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trlProps/ctrlProp1.xml" ContentType="application/vnd.ms-excel.controlproperties+xml"/>
  <Override PartName="/xl/tables/table20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2.xml" ContentType="application/vnd.ms-excel.controlproperties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ctrlProps/ctrlProp3.xml" ContentType="application/vnd.ms-excel.controlproperties+xml"/>
  <Override PartName="/xl/pivotTables/pivotTable5.xml" ContentType="application/vnd.openxmlformats-officedocument.spreadsheetml.pivotTable+xml"/>
  <Override PartName="/xl/drawings/drawing12.xml" ContentType="application/vnd.openxmlformats-officedocument.drawing+xml"/>
  <Override PartName="/xl/ctrlProps/ctrlProp4.xml" ContentType="application/vnd.ms-excel.controlproperties+xml"/>
  <Override PartName="/xl/drawings/drawing1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2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1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23.xml" ContentType="application/vnd.openxmlformats-officedocument.spreadsheetml.table+xml"/>
  <Override PartName="/xl/pivotTables/pivotTable7.xml" ContentType="application/vnd.openxmlformats-officedocument.spreadsheetml.pivotTable+xml"/>
  <Override PartName="/xl/drawings/drawing15.xml" ContentType="application/vnd.openxmlformats-officedocument.drawing+xml"/>
  <Override PartName="/xl/ctrlProps/ctrlProp13.xml" ContentType="application/vnd.ms-excel.controlproperties+xml"/>
  <Override PartName="/xl/comments1.xml" ContentType="application/vnd.openxmlformats-officedocument.spreadsheetml.comments+xml"/>
  <Override PartName="/xl/pivotTables/pivotTable8.xml" ContentType="application/vnd.openxmlformats-officedocument.spreadsheetml.pivotTable+xml"/>
  <Override PartName="/xl/drawings/drawing16.xml" ContentType="application/vnd.openxmlformats-officedocument.drawing+xml"/>
  <Override PartName="/xl/ctrlProps/ctrlProp14.xml" ContentType="application/vnd.ms-excel.controlproperties+xml"/>
  <Override PartName="/xl/comments2.xml" ContentType="application/vnd.openxmlformats-officedocument.spreadsheetml.comments+xml"/>
  <Override PartName="/xl/drawings/drawing1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24.xml" ContentType="application/vnd.openxmlformats-officedocument.spreadsheetml.table+xml"/>
  <Override PartName="/xl/drawings/drawing1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25.xml" ContentType="application/vnd.openxmlformats-officedocument.spreadsheetml.table+xml"/>
  <Override PartName="/xl/drawings/drawing2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4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Sintese\Desktop\Aliança Francesa\"/>
    </mc:Choice>
  </mc:AlternateContent>
  <xr:revisionPtr revIDLastSave="0" documentId="13_ncr:1_{DD7A73E1-4863-4C46-BE35-227C7ED30DF8}" xr6:coauthVersionLast="47" xr6:coauthVersionMax="47" xr10:uidLastSave="{00000000-0000-0000-0000-000000000000}"/>
  <bookViews>
    <workbookView showSheetTabs="0" xWindow="-104" yWindow="-104" windowWidth="20098" windowHeight="10671" tabRatio="877" firstSheet="3" activeTab="7" xr2:uid="{00000000-000D-0000-FFFF-FFFF00000000}"/>
  </bookViews>
  <sheets>
    <sheet name="MENU" sheetId="3" r:id="rId1"/>
    <sheet name="CAD_EMP" sheetId="71" r:id="rId2"/>
    <sheet name="CAD_CLIENTES" sheetId="40" r:id="rId3"/>
    <sheet name="CAD_FORN" sheetId="39" r:id="rId4"/>
    <sheet name="CAD_BANCOS" sheetId="61" r:id="rId5"/>
    <sheet name="CAD_CC" sheetId="68" r:id="rId6"/>
    <sheet name="CAD_PL_REC-DESP" sheetId="5" r:id="rId7"/>
    <sheet name="CAD_ORÇ" sheetId="123" r:id="rId8"/>
    <sheet name="LANÇ_MOV" sheetId="72" r:id="rId9"/>
    <sheet name="REL_FATURAMENTO_BRUTO" sheetId="105" r:id="rId10"/>
    <sheet name="REL_RECEBIMENTO _LÍQUIDO" sheetId="106" r:id="rId11"/>
    <sheet name="REL_DESPESAS__FIN" sheetId="96" r:id="rId12"/>
    <sheet name="REL_RES_DIA" sheetId="9" r:id="rId13"/>
    <sheet name="REL_FC" sheetId="13" r:id="rId14"/>
    <sheet name="REL_CR  " sheetId="110" r:id="rId15"/>
    <sheet name="REL_CP" sheetId="59" r:id="rId16"/>
    <sheet name="REL_VA" sheetId="38" r:id="rId17"/>
    <sheet name="REL_DRE_FINANCEIRO" sheetId="116" r:id="rId18"/>
    <sheet name="REL_BC" sheetId="64" r:id="rId19"/>
    <sheet name="DASH_MENSAL" sheetId="20" r:id="rId20"/>
    <sheet name="DASH_ANUAL" sheetId="19" r:id="rId21"/>
    <sheet name="DASH_CONTAS" sheetId="21" r:id="rId22"/>
    <sheet name="DASH_RECEITAS" sheetId="22" r:id="rId23"/>
    <sheet name="DASH_DESPESAS" sheetId="24" r:id="rId24"/>
    <sheet name="Apoio" sheetId="8" r:id="rId25"/>
  </sheets>
  <externalReferences>
    <externalReference r:id="rId26"/>
  </externalReferences>
  <definedNames>
    <definedName name="_xlnm._FilterDatabase" localSheetId="17" hidden="1">REL_DRE_FINANCEIRO!$B$6:$P$6</definedName>
    <definedName name="_xlcn.WorksheetConnection_20200714Fluxodecaixa.xlsmCAD_Bancos1" hidden="1">CAD_Bancos[]</definedName>
    <definedName name="_xlcn.WorksheetConnection_20200714Fluxodecaixa.xlsmLANÇ_MOV1" hidden="1">LANÇ_MOV[]</definedName>
    <definedName name="_xlnm.Print_Area" localSheetId="4">'CAD_BANCOS'!$A$1:$P$25</definedName>
    <definedName name="_xlnm.Print_Area" localSheetId="5">CAD_CC!$A$1:$S$25</definedName>
    <definedName name="_xlnm.Print_Area" localSheetId="2">'CAD_CLIENTES'!$A$1:$J$25</definedName>
    <definedName name="_xlnm.Print_Area" localSheetId="1">CAD_EMP!$A$1:$I$23</definedName>
    <definedName name="_xlnm.Print_Area" localSheetId="3">CAD_FORN!$A$1:$K$23</definedName>
    <definedName name="_xlnm.Print_Area" localSheetId="7">CAD_ORÇ!#REF!</definedName>
    <definedName name="_xlnm.Print_Area" localSheetId="6">'CAD_PL_REC-DESP'!$A$1:$AJ$104</definedName>
    <definedName name="_xlnm.Print_Area" localSheetId="20">DASH_ANUAL!$A$1:$E$25</definedName>
    <definedName name="_xlnm.Print_Area" localSheetId="21">DASH_CONTAS!$A$1:$K$25</definedName>
    <definedName name="_xlnm.Print_Area" localSheetId="23">DASH_DESPESAS!$A$1:$O$25</definedName>
    <definedName name="_xlnm.Print_Area" localSheetId="19">DASH_MENSAL!$A$1:$H$23</definedName>
    <definedName name="_xlnm.Print_Area" localSheetId="22">DASH_RECEITAS!$A$1:$I$25</definedName>
    <definedName name="_xlnm.Print_Area" localSheetId="8">LANÇ_MOV!$B$4:$R$53</definedName>
    <definedName name="_xlnm.Print_Area" localSheetId="0">MENU!$A$1:$N$41</definedName>
    <definedName name="_xlnm.Print_Area" localSheetId="18">'REL_BC'!$A$1:$O$26</definedName>
    <definedName name="_xlnm.Print_Area" localSheetId="15">REL_CP!$A$1:$H$26</definedName>
    <definedName name="_xlnm.Print_Area" localSheetId="14">'REL_CR  '!$A$1:$F$27</definedName>
    <definedName name="_xlnm.Print_Area" localSheetId="11">REL_DESPESAS__FIN!$A$1:$A$8</definedName>
    <definedName name="_xlnm.Print_Area" localSheetId="17">REL_DRE_FINANCEIRO!$A$1:$P$21</definedName>
    <definedName name="_xlnm.Print_Area" localSheetId="9">REL_FATURAMENTO_BRUTO!$A$1:$A$4</definedName>
    <definedName name="_xlnm.Print_Area" localSheetId="13">'REL_FC'!$A$1:$O$32</definedName>
    <definedName name="_xlnm.Print_Area" localSheetId="10">'REL_RECEBIMENTO _LÍQUIDO'!$A$1:$A$5</definedName>
    <definedName name="_xlnm.Print_Area" localSheetId="12">REL_RES_DIA!$A$1:$R$26</definedName>
    <definedName name="_xlnm.Print_Area" localSheetId="16">REL_VA!$A$1:$O$26</definedName>
    <definedName name="CAD_OBRAS">OFFSET(#REF!,0,0,COUNTA(#REF!),1)</definedName>
    <definedName name="Despesa_com_RH" localSheetId="4">CAD_Desp_RH[DESPESAS COM RH]</definedName>
    <definedName name="Despesa_com_RH" localSheetId="5">CAD_Desp_RH[DESPESAS COM RH]</definedName>
    <definedName name="Despesa_com_RH" localSheetId="1">CAD_Desp_RH[DESPESAS COM RH]</definedName>
    <definedName name="Despesa_com_RH" localSheetId="7">CAD_Desp_RH[DESPESAS COM RH]</definedName>
    <definedName name="Despesa_com_RH" localSheetId="8">CAD_Desp_RH[DESPESAS COM RH]</definedName>
    <definedName name="Despesa_com_RH" localSheetId="18">CAD_Desp_RH[DESPESAS COM RH]</definedName>
    <definedName name="Despesa_com_RH" localSheetId="15">CAD_Desp_RH[DESPESAS COM RH]</definedName>
    <definedName name="Despesa_com_RH" localSheetId="14">CAD_Desp_RH[DESPESAS COM RH]</definedName>
    <definedName name="Despesa_com_RH" localSheetId="11">CAD_Desp_RH[DESPESAS COM RH]</definedName>
    <definedName name="Despesa_com_RH" localSheetId="17">CAD_Desp_RH[DESPESAS COM RH]</definedName>
    <definedName name="Despesa_com_RH" localSheetId="9">CAD_Desp_RH[DESPESAS COM RH]</definedName>
    <definedName name="Despesa_com_RH" localSheetId="10">CAD_Desp_RH[DESPESAS COM RH]</definedName>
    <definedName name="Despesa_com_RH" localSheetId="16">CAD_Desp_RH[DESPESAS COM RH]</definedName>
    <definedName name="Despesa_com_RH">CAD_Desp_RH[DESPESAS COM RH]</definedName>
    <definedName name="DESPESAS_ADMINISTRATIVAS" localSheetId="4">CAD_Desp_Adm[DESPESAS ADMINISTRATIVAS]</definedName>
    <definedName name="DESPESAS_ADMINISTRATIVAS" localSheetId="5">CAD_Desp_Adm[DESPESAS ADMINISTRATIVAS]</definedName>
    <definedName name="DESPESAS_ADMINISTRATIVAS" localSheetId="1">CAD_Desp_Adm[DESPESAS ADMINISTRATIVAS]</definedName>
    <definedName name="DESPESAS_ADMINISTRATIVAS" localSheetId="7">CAD_Desp_Adm[DESPESAS ADMINISTRATIVAS]</definedName>
    <definedName name="DESPESAS_ADMINISTRATIVAS" localSheetId="8">CAD_Desp_Adm[DESPESAS ADMINISTRATIVAS]</definedName>
    <definedName name="DESPESAS_ADMINISTRATIVAS" localSheetId="18">CAD_Desp_Adm[DESPESAS ADMINISTRATIVAS]</definedName>
    <definedName name="DESPESAS_ADMINISTRATIVAS" localSheetId="14">CAD_Desp_Adm[DESPESAS ADMINISTRATIVAS]</definedName>
    <definedName name="DESPESAS_ADMINISTRATIVAS" localSheetId="11">CAD_Desp_Adm[DESPESAS ADMINISTRATIVAS]</definedName>
    <definedName name="DESPESAS_ADMINISTRATIVAS" localSheetId="17">CAD_Desp_Adm[DESPESAS ADMINISTRATIVAS]</definedName>
    <definedName name="DESPESAS_ADMINISTRATIVAS" localSheetId="9">CAD_Desp_Adm[DESPESAS ADMINISTRATIVAS]</definedName>
    <definedName name="DESPESAS_ADMINISTRATIVAS" localSheetId="10">CAD_Desp_Adm[DESPESAS ADMINISTRATIVAS]</definedName>
    <definedName name="DESPESAS_ADMINISTRATIVAS">CAD_Desp_Adm[DESPESAS ADMINISTRATIVAS]</definedName>
    <definedName name="DESPESAS_COM_RH" localSheetId="4">CAD_Desp_RH[DESPESAS COM RH]</definedName>
    <definedName name="DESPESAS_COM_RH" localSheetId="5">CAD_Desp_RH[DESPESAS COM RH]</definedName>
    <definedName name="DESPESAS_COM_RH" localSheetId="1">CAD_Desp_RH[DESPESAS COM RH]</definedName>
    <definedName name="DESPESAS_COM_RH" localSheetId="7">CAD_Desp_RH[DESPESAS COM RH]</definedName>
    <definedName name="DESPESAS_COM_RH" localSheetId="8">CAD_Desp_RH[DESPESAS COM RH]</definedName>
    <definedName name="DESPESAS_COM_RH" localSheetId="18">CAD_Desp_RH[DESPESAS COM RH]</definedName>
    <definedName name="DESPESAS_COM_RH" localSheetId="14">CAD_Desp_RH[DESPESAS COM RH]</definedName>
    <definedName name="DESPESAS_COM_RH" localSheetId="11">CAD_Desp_RH[DESPESAS COM RH]</definedName>
    <definedName name="DESPESAS_COM_RH" localSheetId="17">CAD_Desp_RH[DESPESAS COM RH]</definedName>
    <definedName name="DESPESAS_COM_RH" localSheetId="9">CAD_Desp_RH[DESPESAS COM RH]</definedName>
    <definedName name="DESPESAS_COM_RH" localSheetId="10">CAD_Desp_RH[DESPESAS COM RH]</definedName>
    <definedName name="DESPESAS_COM_RH">CAD_Desp_RH[DESPESAS COM RH]</definedName>
    <definedName name="Despesas_comercia" localSheetId="4">CAD_Desp_Comerciais[DESPESAS COMERCIAIS]</definedName>
    <definedName name="Despesas_comercia" localSheetId="5">CAD_Desp_Comerciais[DESPESAS COMERCIAIS]</definedName>
    <definedName name="Despesas_comercia" localSheetId="1">CAD_Desp_Comerciais[DESPESAS COMERCIAIS]</definedName>
    <definedName name="Despesas_comercia" localSheetId="7">CAD_Desp_Comerciais[DESPESAS COMERCIAIS]</definedName>
    <definedName name="Despesas_comercia" localSheetId="8">CAD_Desp_Comerciais[DESPESAS COMERCIAIS]</definedName>
    <definedName name="Despesas_comercia" localSheetId="18">CAD_Desp_Comerciais[DESPESAS COMERCIAIS]</definedName>
    <definedName name="Despesas_comercia" localSheetId="15">CAD_Desp_Comerciais[DESPESAS COMERCIAIS]</definedName>
    <definedName name="Despesas_comercia" localSheetId="14">CAD_Desp_Comerciais[DESPESAS COMERCIAIS]</definedName>
    <definedName name="Despesas_comercia" localSheetId="11">CAD_Desp_Comerciais[DESPESAS COMERCIAIS]</definedName>
    <definedName name="Despesas_comercia" localSheetId="17">CAD_Desp_Comerciais[DESPESAS COMERCIAIS]</definedName>
    <definedName name="Despesas_comercia" localSheetId="9">CAD_Desp_Comerciais[DESPESAS COMERCIAIS]</definedName>
    <definedName name="Despesas_comercia" localSheetId="10">CAD_Desp_Comerciais[DESPESAS COMERCIAIS]</definedName>
    <definedName name="Despesas_comercia" localSheetId="16">CAD_Desp_Comerciais[DESPESAS COMERCIAIS]</definedName>
    <definedName name="Despesas_comercia">CAD_Desp_Comerciais[DESPESAS COMERCIAIS]</definedName>
    <definedName name="DESPESAS_COMERCIAIS" localSheetId="4">CAD_Desp_Comerciais[DESPESAS COMERCIAIS]</definedName>
    <definedName name="DESPESAS_COMERCIAIS" localSheetId="5">CAD_Desp_Comerciais[DESPESAS COMERCIAIS]</definedName>
    <definedName name="DESPESAS_COMERCIAIS" localSheetId="1">CAD_Desp_Comerciais[DESPESAS COMERCIAIS]</definedName>
    <definedName name="DESPESAS_COMERCIAIS" localSheetId="7">CAD_Desp_Comerciais[DESPESAS COMERCIAIS]</definedName>
    <definedName name="DESPESAS_COMERCIAIS" localSheetId="8">CAD_Desp_Comerciais[DESPESAS COMERCIAIS]</definedName>
    <definedName name="DESPESAS_COMERCIAIS" localSheetId="18">CAD_Desp_Comerciais[DESPESAS COMERCIAIS]</definedName>
    <definedName name="DESPESAS_COMERCIAIS" localSheetId="14">CAD_Desp_Comerciais[DESPESAS COMERCIAIS]</definedName>
    <definedName name="DESPESAS_COMERCIAIS" localSheetId="11">CAD_Desp_Comerciais[DESPESAS COMERCIAIS]</definedName>
    <definedName name="DESPESAS_COMERCIAIS" localSheetId="17">CAD_Desp_Comerciais[DESPESAS COMERCIAIS]</definedName>
    <definedName name="DESPESAS_COMERCIAIS" localSheetId="9">CAD_Desp_Comerciais[DESPESAS COMERCIAIS]</definedName>
    <definedName name="DESPESAS_COMERCIAIS" localSheetId="10">CAD_Desp_Comerciais[DESPESAS COMERCIAIS]</definedName>
    <definedName name="DESPESAS_COMERCIAIS">CAD_Desp_Comerciais[DESPESAS COMERCIAIS]</definedName>
    <definedName name="DESPESAS_ENDIVIDAMENTO" localSheetId="4">CAD_Desp_End[ENDIVIDAMENTOS]</definedName>
    <definedName name="DESPESAS_ENDIVIDAMENTO" localSheetId="5">CAD_Desp_End[ENDIVIDAMENTOS]</definedName>
    <definedName name="DESPESAS_ENDIVIDAMENTO" localSheetId="1">CAD_Desp_End[ENDIVIDAMENTOS]</definedName>
    <definedName name="DESPESAS_ENDIVIDAMENTO" localSheetId="8">CAD_Desp_End[ENDIVIDAMENTOS]</definedName>
    <definedName name="DESPESAS_ENDIVIDAMENTO" localSheetId="18">CAD_Desp_End[ENDIVIDAMENTOS]</definedName>
    <definedName name="DESPESAS_ENDIVIDAMENTOS" localSheetId="7">CAD_Desp_End[ENDIVIDAMENTOS]</definedName>
    <definedName name="DESPESAS_ENDIVIDAMENTOS" localSheetId="14">CAD_Desp_End[ENDIVIDAMENTOS]</definedName>
    <definedName name="DESPESAS_ENDIVIDAMENTOS" localSheetId="11">CAD_Desp_End[ENDIVIDAMENTOS]</definedName>
    <definedName name="DESPESAS_ENDIVIDAMENTOS" localSheetId="17">CAD_Desp_End[ENDIVIDAMENTOS]</definedName>
    <definedName name="DESPESAS_ENDIVIDAMENTOS" localSheetId="9">CAD_Desp_End[ENDIVIDAMENTOS]</definedName>
    <definedName name="DESPESAS_ENDIVIDAMENTOS" localSheetId="10">CAD_Desp_End[ENDIVIDAMENTOS]</definedName>
    <definedName name="DESPESAS_ENDIVIDAMENTOS">CAD_Desp_End[ENDIVIDAMENTOS]</definedName>
    <definedName name="DESPESAS_IMPOSTOS" localSheetId="4">CAD_Desp_Imp[IMPOSTOS]</definedName>
    <definedName name="DESPESAS_IMPOSTOS" localSheetId="5">CAD_Desp_Imp[IMPOSTOS]</definedName>
    <definedName name="DESPESAS_IMPOSTOS" localSheetId="1">CAD_Desp_Imp[IMPOSTOS]</definedName>
    <definedName name="DESPESAS_IMPOSTOS" localSheetId="7">CAD_Desp_Imp[IMPOSTOS]</definedName>
    <definedName name="DESPESAS_IMPOSTOS" localSheetId="8">CAD_Desp_Imp[IMPOSTOS]</definedName>
    <definedName name="DESPESAS_IMPOSTOS" localSheetId="18">CAD_Desp_Imp[IMPOSTOS]</definedName>
    <definedName name="DESPESAS_IMPOSTOS" localSheetId="14">CAD_Desp_Imp[IMPOSTOS]</definedName>
    <definedName name="DESPESAS_IMPOSTOS" localSheetId="11">CAD_Desp_Imp[IMPOSTOS]</definedName>
    <definedName name="DESPESAS_IMPOSTOS" localSheetId="17">CAD_Desp_Imp[IMPOSTOS]</definedName>
    <definedName name="DESPESAS_IMPOSTOS" localSheetId="9">CAD_Desp_Imp[IMPOSTOS]</definedName>
    <definedName name="DESPESAS_IMPOSTOS" localSheetId="10">CAD_Desp_Imp[IMPOSTOS]</definedName>
    <definedName name="DESPESAS_IMPOSTOS">CAD_Desp_Imp[IMPOSTOS]</definedName>
    <definedName name="DESPESAS_INVESTIMENTOS" localSheetId="4">CAD_Desp_Inv[INVESTIMENTOS]</definedName>
    <definedName name="DESPESAS_INVESTIMENTOS" localSheetId="5">CAD_Desp_Inv[INVESTIMENTOS]</definedName>
    <definedName name="DESPESAS_INVESTIMENTOS" localSheetId="1">CAD_Desp_Inv[INVESTIMENTOS]</definedName>
    <definedName name="DESPESAS_INVESTIMENTOS" localSheetId="7">CAD_Desp_Inv[INVESTIMENTOS]</definedName>
    <definedName name="DESPESAS_INVESTIMENTOS" localSheetId="8">CAD_Desp_Inv[INVESTIMENTOS]</definedName>
    <definedName name="DESPESAS_INVESTIMENTOS" localSheetId="18">CAD_Desp_Inv[INVESTIMENTOS]</definedName>
    <definedName name="DESPESAS_INVESTIMENTOS" localSheetId="14">CAD_Desp_Inv[INVESTIMENTOS]</definedName>
    <definedName name="DESPESAS_INVESTIMENTOS" localSheetId="11">CAD_Desp_Inv[INVESTIMENTOS]</definedName>
    <definedName name="DESPESAS_INVESTIMENTOS" localSheetId="17">CAD_Desp_Inv[INVESTIMENTOS]</definedName>
    <definedName name="DESPESAS_INVESTIMENTOS" localSheetId="9">CAD_Desp_Inv[INVESTIMENTOS]</definedName>
    <definedName name="DESPESAS_INVESTIMENTOS" localSheetId="10">CAD_Desp_Inv[INVESTIMENTOS]</definedName>
    <definedName name="DESPESAS_INVESTIMENTOS">CAD_Desp_Inv[INVESTIMENTOS]</definedName>
    <definedName name="DESPESAS_N_OPERACIONAIS" localSheetId="4">CAD_Desp_N_Oper[DESPESAS NÃO OPERACIONAIS]</definedName>
    <definedName name="DESPESAS_N_OPERACIONAIS" localSheetId="5">CAD_Desp_N_Oper[DESPESAS NÃO OPERACIONAIS]</definedName>
    <definedName name="DESPESAS_N_OPERACIONAIS" localSheetId="1">CAD_Desp_N_Oper[DESPESAS NÃO OPERACIONAIS]</definedName>
    <definedName name="DESPESAS_N_OPERACIONAIS" localSheetId="7">CAD_Desp_N_Oper[DESPESAS NÃO OPERACIONAIS]</definedName>
    <definedName name="DESPESAS_N_OPERACIONAIS" localSheetId="8">CAD_Desp_N_Oper[DESPESAS NÃO OPERACIONAIS]</definedName>
    <definedName name="DESPESAS_N_OPERACIONAIS" localSheetId="18">CAD_Desp_N_Oper[DESPESAS NÃO OPERACIONAIS]</definedName>
    <definedName name="Despesas_n_operacionais" localSheetId="15">CAD_Desp_N_Oper[DESPESAS NÃO OPERACIONAIS]</definedName>
    <definedName name="DESPESAS_N_OPERACIONAIS" localSheetId="14">CAD_Desp_N_Oper[DESPESAS NÃO OPERACIONAIS]</definedName>
    <definedName name="DESPESAS_N_OPERACIONAIS" localSheetId="11">CAD_Desp_N_Oper[DESPESAS NÃO OPERACIONAIS]</definedName>
    <definedName name="DESPESAS_N_OPERACIONAIS" localSheetId="17">CAD_Desp_N_Oper[DESPESAS NÃO OPERACIONAIS]</definedName>
    <definedName name="DESPESAS_N_OPERACIONAIS" localSheetId="9">CAD_Desp_N_Oper[DESPESAS NÃO OPERACIONAIS]</definedName>
    <definedName name="DESPESAS_N_OPERACIONAIS" localSheetId="10">CAD_Desp_N_Oper[DESPESAS NÃO OPERACIONAIS]</definedName>
    <definedName name="DESPESAS_N_OPERACIONAIS">CAD_Desp_N_Oper[DESPESAS NÃO OPERACIONAIS]</definedName>
    <definedName name="Despesas_não_operac" localSheetId="4">CAD_Desp_N_Oper[DESPESAS NÃO OPERACIONAIS]</definedName>
    <definedName name="Despesas_não_operac" localSheetId="5">CAD_Desp_N_Oper[DESPESAS NÃO OPERACIONAIS]</definedName>
    <definedName name="Despesas_não_operac" localSheetId="1">CAD_Desp_N_Oper[DESPESAS NÃO OPERACIONAIS]</definedName>
    <definedName name="Despesas_não_operac" localSheetId="7">CAD_Desp_N_Oper[DESPESAS NÃO OPERACIONAIS]</definedName>
    <definedName name="Despesas_não_operac" localSheetId="8">CAD_Desp_N_Oper[DESPESAS NÃO OPERACIONAIS]</definedName>
    <definedName name="Despesas_não_operac" localSheetId="18">CAD_Desp_N_Oper[DESPESAS NÃO OPERACIONAIS]</definedName>
    <definedName name="Despesas_não_operac" localSheetId="14">CAD_Desp_N_Oper[DESPESAS NÃO OPERACIONAIS]</definedName>
    <definedName name="Despesas_não_operac" localSheetId="11">CAD_Desp_N_Oper[DESPESAS NÃO OPERACIONAIS]</definedName>
    <definedName name="Despesas_não_operac" localSheetId="17">CAD_Desp_N_Oper[DESPESAS NÃO OPERACIONAIS]</definedName>
    <definedName name="Despesas_não_operac" localSheetId="9">CAD_Desp_N_Oper[DESPESAS NÃO OPERACIONAIS]</definedName>
    <definedName name="Despesas_não_operac" localSheetId="10">CAD_Desp_N_Oper[DESPESAS NÃO OPERACIONAIS]</definedName>
    <definedName name="Despesas_não_operac" localSheetId="16">CAD_Desp_N_Oper[DESPESAS NÃO OPERACIONAIS]</definedName>
    <definedName name="Despesas_não_operac">CAD_Desp_N_Oper[DESPESAS NÃO OPERACIONAIS]</definedName>
    <definedName name="DESPESAS_OPERACIONAIS" localSheetId="4">CAD­_Desp_Operacionais[DESPESAS OPERACIONAIS]</definedName>
    <definedName name="DESPESAS_OPERACIONAIS" localSheetId="5">CAD­_Desp_Operacionais[DESPESAS OPERACIONAIS]</definedName>
    <definedName name="DESPESAS_OPERACIONAIS" localSheetId="1">CAD­_Desp_Operacionais[DESPESAS OPERACIONAIS]</definedName>
    <definedName name="DESPESAS_OPERACIONAIS" localSheetId="7">CAD­_Desp_Operacionais[DESPESAS OPERACIONAIS]</definedName>
    <definedName name="DESPESAS_OPERACIONAIS" localSheetId="8">CAD­_Desp_Operacionais[DESPESAS OPERACIONAIS]</definedName>
    <definedName name="DESPESAS_OPERACIONAIS" localSheetId="18">CAD­_Desp_Operacionais[DESPESAS OPERACIONAIS]</definedName>
    <definedName name="DESPESAS_OPERACIONAIS" localSheetId="14">CAD­_Desp_Operacionais[DESPESAS OPERACIONAIS]</definedName>
    <definedName name="DESPESAS_OPERACIONAIS" localSheetId="11">CAD­_Desp_Operacionais[DESPESAS OPERACIONAIS]</definedName>
    <definedName name="DESPESAS_OPERACIONAIS" localSheetId="17">CAD­_Desp_Operacionais[DESPESAS OPERACIONAIS]</definedName>
    <definedName name="DESPESAS_OPERACIONAIS" localSheetId="9">CAD­_Desp_Operacionais[DESPESAS OPERACIONAIS]</definedName>
    <definedName name="DESPESAS_OPERACIONAIS" localSheetId="10">CAD­_Desp_Operacionais[DESPESAS OPERACIONAIS]</definedName>
    <definedName name="DESPESAS_OPERACIONAIS">CAD­_Desp_Operacionais[DESPESAS OPERACIONAIS]</definedName>
    <definedName name="DESPESAS_OUTROS_DEBITOS" localSheetId="7">CAD_Desp_Out_Deb[OUTROS DÉBITOS (NÃO ENTRA NA DRE)]</definedName>
    <definedName name="DESPESAS_OUTROS_DEBITOS" localSheetId="14">CAD_Desp_Out_Deb[OUTROS DÉBITOS (NÃO ENTRA NA DRE)]</definedName>
    <definedName name="DESPESAS_OUTROS_DEBITOS" localSheetId="11">CAD_Desp_Out_Deb[OUTROS DÉBITOS (NÃO ENTRA NA DRE)]</definedName>
    <definedName name="DESPESAS_OUTROS_DEBITOS" localSheetId="17">CAD_Desp_Out_Deb[OUTROS DÉBITOS (NÃO ENTRA NA DRE)]</definedName>
    <definedName name="DESPESAS_OUTROS_DEBITOS" localSheetId="9">CAD_Desp_Out_Deb[OUTROS DÉBITOS (NÃO ENTRA NA DRE)]</definedName>
    <definedName name="DESPESAS_OUTROS_DEBITOS" localSheetId="10">CAD_Desp_Out_Deb[OUTROS DÉBITOS (NÃO ENTRA NA DRE)]</definedName>
    <definedName name="DESPESAS_OUTROS_DEBITOS">CAD_Desp_Out_Deb[OUTROS DÉBITOS (NÃO ENTRA NA DRE)]</definedName>
    <definedName name="Endividamento" localSheetId="4">CAD_Desp_End[ENDIVIDAMENTOS]</definedName>
    <definedName name="Endividamento" localSheetId="5">CAD_Desp_End[ENDIVIDAMENTOS]</definedName>
    <definedName name="Endividamento" localSheetId="1">CAD_Desp_End[ENDIVIDAMENTOS]</definedName>
    <definedName name="Endividamento" localSheetId="7">CAD_Desp_End[ENDIVIDAMENTOS]</definedName>
    <definedName name="Endividamento" localSheetId="8">CAD_Desp_End[ENDIVIDAMENTOS]</definedName>
    <definedName name="Endividamento" localSheetId="18">CAD_Desp_End[ENDIVIDAMENTOS]</definedName>
    <definedName name="Endividamento" localSheetId="15">CAD_Desp_End[ENDIVIDAMENTOS]</definedName>
    <definedName name="Endividamento" localSheetId="14">CAD_Desp_End[ENDIVIDAMENTOS]</definedName>
    <definedName name="Endividamento" localSheetId="11">CAD_Desp_End[ENDIVIDAMENTOS]</definedName>
    <definedName name="Endividamento" localSheetId="17">CAD_Desp_End[ENDIVIDAMENTOS]</definedName>
    <definedName name="Endividamento" localSheetId="9">CAD_Desp_End[ENDIVIDAMENTOS]</definedName>
    <definedName name="Endividamento" localSheetId="10">CAD_Desp_End[ENDIVIDAMENTOS]</definedName>
    <definedName name="Endividamento" localSheetId="16">CAD_Desp_End[ENDIVIDAMENTOS]</definedName>
    <definedName name="Endividamento">CAD_Desp_End[ENDIVIDAMENTOS]</definedName>
    <definedName name="funcionario">[1]Cad_Func!$C$7:$C$506</definedName>
    <definedName name="Investimentos" localSheetId="4">CAD_Desp_Inv[INVESTIMENTOS]</definedName>
    <definedName name="Investimentos" localSheetId="5">CAD_Desp_Inv[INVESTIMENTOS]</definedName>
    <definedName name="Investimentos" localSheetId="1">CAD_Desp_Inv[INVESTIMENTOS]</definedName>
    <definedName name="Investimentos" localSheetId="7">CAD_Desp_Inv[INVESTIMENTOS]</definedName>
    <definedName name="Investimentos" localSheetId="8">CAD_Desp_Inv[INVESTIMENTOS]</definedName>
    <definedName name="Investimentos" localSheetId="18">CAD_Desp_Inv[INVESTIMENTOS]</definedName>
    <definedName name="Investimentos" localSheetId="15">CAD_Desp_Inv[INVESTIMENTOS]</definedName>
    <definedName name="Investimentos" localSheetId="14">CAD_Desp_Inv[INVESTIMENTOS]</definedName>
    <definedName name="Investimentos" localSheetId="11">CAD_Desp_Inv[INVESTIMENTOS]</definedName>
    <definedName name="Investimentos" localSheetId="17">CAD_Desp_Inv[INVESTIMENTOS]</definedName>
    <definedName name="Investimentos" localSheetId="9">CAD_Desp_Inv[INVESTIMENTOS]</definedName>
    <definedName name="Investimentos" localSheetId="10">CAD_Desp_Inv[INVESTIMENTOS]</definedName>
    <definedName name="Investimentos" localSheetId="16">CAD_Desp_Inv[INVESTIMENTOS]</definedName>
    <definedName name="Investimentos">CAD_Desp_Inv[INVESTIMENTOS]</definedName>
    <definedName name="LISTA_BANCO">OFFSET('CAD_BANCOS'!$F$5,0,0,COUNTA('CAD_BANCOS'!$F:$F),1)</definedName>
    <definedName name="LISTA_CARGOS">OFFSET(#REF!,0,0,COUNTA(#REF!),1)</definedName>
    <definedName name="LISTA_CATEGORIAS">OFFSET(#REF!,0,0,COUNTA(#REF!),1)</definedName>
    <definedName name="LISTA_CENTRO_CUSTOS">OFFSET(CAD_CC!$B$5,0,0,COUNTA(CAD_CC!$B:$B),1)</definedName>
    <definedName name="LISTA_CLASSIF_FUNCIONAL">OFFSET(#REF!,0,0,COUNTA(#REF!),1)</definedName>
    <definedName name="LISTA_CLIENTES">OFFSET('CAD_CLIENTES'!$C$5,0,0,COUNTA('CAD_CLIENTES'!$C:$C),1)</definedName>
    <definedName name="LISTA_EMPRESA">OFFSET(CAD_EMP!$D$5,0,0,COUNTA(CAD_EMP!$I:$I),1)</definedName>
    <definedName name="LISTA_FORMA_PGTO">OFFSET('CAD_BANCOS'!#REF!,0,0,COUNTIF('CAD_BANCOS'!$M:$M,"?*"),1)</definedName>
    <definedName name="LISTA_FORNECEDORES">OFFSET(CAD_FORN!$C$5,0,0,COUNTA(CAD_FORN!$C:$C),1)</definedName>
    <definedName name="LISTA_FUNCIONARIOS">OFFSET(#REF!,0,0,COUNTA(#REF!),1)</definedName>
    <definedName name="LISTA_GRUPO">OFFSET(#REF!,0,0,COUNTA(#REF!),1)</definedName>
    <definedName name="LISTA_MOTIVOSDISPENSAS">OFFSET(#REF!,0,0,COUNTA(#REF!),1)</definedName>
    <definedName name="LISTA_PARCELAS">OFFSET('CAD_BANCOS'!$P$5,0,0,COUNTA('CAD_BANCOS'!$O:$O),1)</definedName>
    <definedName name="LISTA_PRATOS">OFFSET(#REF!,0,0,COUNTA(#REF!),1)</definedName>
    <definedName name="LISTA_TP_PAGTO">OFFSET('CAD_BANCOS'!$P$5,0,0,COUNTA('CAD_BANCOS'!$P:$P),1)</definedName>
    <definedName name="Plano_de_contas">Apoio!$J$5:$J$16</definedName>
    <definedName name="RECEITAS_N_OPERACIONAIS" localSheetId="4">CAD_Receita_N_Operacionais[RECEITAS NÃO OPERACIONAIS]</definedName>
    <definedName name="RECEITAS_N_OPERACIONAIS" localSheetId="5">CAD_Receita_N_Operacionais[RECEITAS NÃO OPERACIONAIS]</definedName>
    <definedName name="RECEITAS_N_OPERACIONAIS" localSheetId="1">CAD_Receita_N_Operacionais[RECEITAS NÃO OPERACIONAIS]</definedName>
    <definedName name="RECEITAS_N_OPERACIONAIS" localSheetId="7">CAD_Receita_N_Operacionais[RECEITAS NÃO OPERACIONAIS]</definedName>
    <definedName name="RECEITAS_N_OPERACIONAIS" localSheetId="8">CAD_Receita_N_Operacionais[RECEITAS NÃO OPERACIONAIS]</definedName>
    <definedName name="RECEITAS_N_OPERACIONAIS" localSheetId="18">CAD_Receita_N_Operacionais[RECEITAS NÃO OPERACIONAIS]</definedName>
    <definedName name="RECEITAS_N_OPERACIONAIS" localSheetId="14">CAD_Receita_N_Operacionais[RECEITAS NÃO OPERACIONAIS]</definedName>
    <definedName name="RECEITAS_N_OPERACIONAIS" localSheetId="11">CAD_Receita_N_Operacionais[RECEITAS NÃO OPERACIONAIS]</definedName>
    <definedName name="RECEITAS_N_OPERACIONAIS" localSheetId="17">CAD_Receita_N_Operacionais[RECEITAS NÃO OPERACIONAIS]</definedName>
    <definedName name="RECEITAS_N_OPERACIONAIS" localSheetId="9">CAD_Receita_N_Operacionais[RECEITAS NÃO OPERACIONAIS]</definedName>
    <definedName name="RECEITAS_N_OPERACIONAIS" localSheetId="10">CAD_Receita_N_Operacionais[RECEITAS NÃO OPERACIONAIS]</definedName>
    <definedName name="RECEITAS_N_OPERACIONAIS">CAD_Receita_N_Operacionais[RECEITAS NÃO OPERACIONAIS]</definedName>
    <definedName name="RECEITAS_OPERACIONAIS" localSheetId="4">CAD_Receita_Operacionais[RECEITAS OPERACIONAIS]</definedName>
    <definedName name="RECEITAS_OPERACIONAIS" localSheetId="5">CAD_Receita_Operacionais[RECEITAS OPERACIONAIS]</definedName>
    <definedName name="RECEITAS_OPERACIONAIS" localSheetId="1">CAD_Receita_Operacionais[RECEITAS OPERACIONAIS]</definedName>
    <definedName name="RECEITAS_OPERACIONAIS" localSheetId="7">CAD_Receita_Operacionais[RECEITAS OPERACIONAIS]</definedName>
    <definedName name="RECEITAS_OPERACIONAIS" localSheetId="8">CAD_Receita_Operacionais[RECEITAS OPERACIONAIS]</definedName>
    <definedName name="RECEITAS_OPERACIONAIS" localSheetId="18">CAD_Receita_Operacionais[RECEITAS OPERACIONAIS]</definedName>
    <definedName name="RECEITAS_OPERACIONAIS" localSheetId="14">CAD_Receita_Operacionais[RECEITAS OPERACIONAIS]</definedName>
    <definedName name="RECEITAS_OPERACIONAIS" localSheetId="11">CAD_Receita_Operacionais[RECEITAS OPERACIONAIS]</definedName>
    <definedName name="RECEITAS_OPERACIONAIS" localSheetId="17">CAD_Receita_Operacionais[RECEITAS OPERACIONAIS]</definedName>
    <definedName name="RECEITAS_OPERACIONAIS" localSheetId="9">CAD_Receita_Operacionais[RECEITAS OPERACIONAIS]</definedName>
    <definedName name="RECEITAS_OPERACIONAIS" localSheetId="10">CAD_Receita_Operacionais[RECEITAS OPERACIONAIS]</definedName>
    <definedName name="RECEITAS_OPERACIONAIS">CAD_Receita_Operacionais[RECEITAS OPERACIONAIS]</definedName>
    <definedName name="RECEITAS_OUTROS_CREDITOS" localSheetId="7">CAD_Receita_Out_Cred[OUTROS CRÉDITOS (NÃO ENTRA NA DRE)]</definedName>
    <definedName name="RECEITAS_OUTROS_CREDITOS" localSheetId="14">CAD_Receita_Out_Cred[OUTROS CRÉDITOS (NÃO ENTRA NA DRE)]</definedName>
    <definedName name="RECEITAS_OUTROS_CREDITOS" localSheetId="11">CAD_Receita_Out_Cred[OUTROS CRÉDITOS (NÃO ENTRA NA DRE)]</definedName>
    <definedName name="RECEITAS_OUTROS_CREDITOS" localSheetId="17">CAD_Receita_Out_Cred[OUTROS CRÉDITOS (NÃO ENTRA NA DRE)]</definedName>
    <definedName name="RECEITAS_OUTROS_CREDITOS" localSheetId="9">CAD_Receita_Out_Cred[OUTROS CRÉDITOS (NÃO ENTRA NA DRE)]</definedName>
    <definedName name="RECEITAS_OUTROS_CREDITOS" localSheetId="10">CAD_Receita_Out_Cred[OUTROS CRÉDITOS (NÃO ENTRA NA DRE)]</definedName>
    <definedName name="RECEITAS_OUTROS_CREDITOS">CAD_Receita_Out_Cred[OUTROS CRÉDITOS (NÃO ENTRA NA DRE)]</definedName>
  </definedNames>
  <calcPr calcId="191029"/>
  <pivotCaches>
    <pivotCache cacheId="0" r:id="rId27"/>
    <pivotCache cacheId="1" r:id="rId28"/>
    <pivotCache cacheId="2" r:id="rId2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ANÇ_MOV" name="LANÇ_MOV" connection="WorksheetConnection_2020-07-14- Fluxo de caixa.xlsm!LANÇ_MOV"/>
          <x15:modelTable id="CAD_Bancos" name="CAD_Bancos" connection="WorksheetConnection_2020-07-14- Fluxo de caixa.xlsm!CAD_Banco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1" i="123" l="1"/>
  <c r="P172" i="123"/>
  <c r="P173" i="123"/>
  <c r="T171" i="123"/>
  <c r="T172" i="123"/>
  <c r="T173" i="123"/>
  <c r="W171" i="123"/>
  <c r="W172" i="123"/>
  <c r="W173" i="123"/>
  <c r="X171" i="123"/>
  <c r="X172" i="123"/>
  <c r="X173" i="123"/>
  <c r="P160" i="123"/>
  <c r="T160" i="123"/>
  <c r="W160" i="123"/>
  <c r="X160" i="123" s="1"/>
  <c r="P157" i="123"/>
  <c r="T157" i="123"/>
  <c r="W157" i="123"/>
  <c r="X157" i="123" s="1"/>
  <c r="P158" i="123"/>
  <c r="T158" i="123"/>
  <c r="W158" i="123"/>
  <c r="X158" i="123" s="1"/>
  <c r="P159" i="123"/>
  <c r="T159" i="123"/>
  <c r="W159" i="123"/>
  <c r="X159" i="123" s="1"/>
  <c r="P161" i="123"/>
  <c r="P162" i="123"/>
  <c r="P163" i="123"/>
  <c r="P164" i="123"/>
  <c r="P165" i="123"/>
  <c r="P166" i="123"/>
  <c r="T161" i="123"/>
  <c r="T162" i="123"/>
  <c r="T163" i="123"/>
  <c r="T164" i="123"/>
  <c r="T165" i="123"/>
  <c r="T166" i="123"/>
  <c r="W161" i="123"/>
  <c r="X161" i="123" s="1"/>
  <c r="W162" i="123"/>
  <c r="X162" i="123" s="1"/>
  <c r="W163" i="123"/>
  <c r="X163" i="123" s="1"/>
  <c r="W164" i="123"/>
  <c r="X164" i="123" s="1"/>
  <c r="W165" i="123"/>
  <c r="X165" i="123" s="1"/>
  <c r="W166" i="123"/>
  <c r="X166" i="123" s="1"/>
  <c r="P113" i="123"/>
  <c r="P114" i="123"/>
  <c r="P115" i="123"/>
  <c r="P116" i="123"/>
  <c r="P117" i="123"/>
  <c r="P118" i="123"/>
  <c r="P119" i="123"/>
  <c r="P120" i="123"/>
  <c r="P121" i="123"/>
  <c r="P122" i="123"/>
  <c r="P123" i="123"/>
  <c r="P124" i="123"/>
  <c r="P125" i="123"/>
  <c r="P126" i="123"/>
  <c r="P127" i="123"/>
  <c r="P128" i="123"/>
  <c r="P129" i="123"/>
  <c r="P130" i="123"/>
  <c r="P131" i="123"/>
  <c r="P132" i="123"/>
  <c r="P133" i="123"/>
  <c r="P134" i="123"/>
  <c r="P135" i="123"/>
  <c r="P136" i="123"/>
  <c r="P137" i="123"/>
  <c r="P138" i="123"/>
  <c r="P139" i="123"/>
  <c r="P140" i="123"/>
  <c r="P141" i="123"/>
  <c r="P142" i="123"/>
  <c r="P143" i="123"/>
  <c r="P144" i="123"/>
  <c r="P145" i="123"/>
  <c r="P146" i="123"/>
  <c r="P147" i="123"/>
  <c r="P148" i="123"/>
  <c r="P149" i="123"/>
  <c r="P150" i="123"/>
  <c r="P151" i="123"/>
  <c r="P152" i="123"/>
  <c r="P153" i="123"/>
  <c r="P154" i="123"/>
  <c r="P155" i="123"/>
  <c r="P156" i="123"/>
  <c r="W112" i="123" l="1"/>
  <c r="X112" i="123" s="1"/>
  <c r="T112" i="123"/>
  <c r="P112" i="123"/>
  <c r="W111" i="123"/>
  <c r="X111" i="123" s="1"/>
  <c r="T111" i="123"/>
  <c r="P111" i="123"/>
  <c r="W110" i="123"/>
  <c r="X110" i="123" s="1"/>
  <c r="T110" i="123"/>
  <c r="P110" i="123"/>
  <c r="W109" i="123"/>
  <c r="X109" i="123" s="1"/>
  <c r="T109" i="123"/>
  <c r="P109" i="123"/>
  <c r="W108" i="123"/>
  <c r="X108" i="123" s="1"/>
  <c r="T108" i="123"/>
  <c r="P108" i="123"/>
  <c r="W107" i="123"/>
  <c r="X107" i="123" s="1"/>
  <c r="T107" i="123"/>
  <c r="P107" i="123"/>
  <c r="W106" i="123"/>
  <c r="X106" i="123" s="1"/>
  <c r="T106" i="123"/>
  <c r="P106" i="123"/>
  <c r="W105" i="123"/>
  <c r="X105" i="123" s="1"/>
  <c r="T105" i="123"/>
  <c r="P105" i="123"/>
  <c r="W104" i="123"/>
  <c r="X104" i="123" s="1"/>
  <c r="T104" i="123"/>
  <c r="P104" i="123"/>
  <c r="T113" i="123"/>
  <c r="W113" i="123"/>
  <c r="X113" i="123" s="1"/>
  <c r="T114" i="123"/>
  <c r="W114" i="123"/>
  <c r="X114" i="123" s="1"/>
  <c r="T115" i="123"/>
  <c r="W115" i="123"/>
  <c r="X115" i="123" s="1"/>
  <c r="T116" i="123"/>
  <c r="W116" i="123"/>
  <c r="X116" i="123" s="1"/>
  <c r="T117" i="123"/>
  <c r="W117" i="123"/>
  <c r="X117" i="123" s="1"/>
  <c r="T118" i="123"/>
  <c r="W118" i="123"/>
  <c r="X118" i="123" s="1"/>
  <c r="T119" i="123"/>
  <c r="W119" i="123"/>
  <c r="X119" i="123" s="1"/>
  <c r="T120" i="123"/>
  <c r="W120" i="123"/>
  <c r="X120" i="123" s="1"/>
  <c r="T121" i="123"/>
  <c r="W121" i="123"/>
  <c r="X121" i="123" s="1"/>
  <c r="T122" i="123"/>
  <c r="W122" i="123"/>
  <c r="X122" i="123" s="1"/>
  <c r="T123" i="123"/>
  <c r="W123" i="123"/>
  <c r="X123" i="123" s="1"/>
  <c r="T124" i="123"/>
  <c r="W124" i="123"/>
  <c r="X124" i="123" s="1"/>
  <c r="T125" i="123"/>
  <c r="W125" i="123"/>
  <c r="X125" i="123" s="1"/>
  <c r="T126" i="123"/>
  <c r="W126" i="123"/>
  <c r="X126" i="123" s="1"/>
  <c r="T127" i="123"/>
  <c r="W127" i="123"/>
  <c r="X127" i="123" s="1"/>
  <c r="T128" i="123"/>
  <c r="W128" i="123"/>
  <c r="X128" i="123" s="1"/>
  <c r="T129" i="123"/>
  <c r="W129" i="123"/>
  <c r="X129" i="123" s="1"/>
  <c r="T130" i="123"/>
  <c r="W130" i="123"/>
  <c r="X130" i="123" s="1"/>
  <c r="T131" i="123"/>
  <c r="W131" i="123"/>
  <c r="X131" i="123" s="1"/>
  <c r="T132" i="123"/>
  <c r="W132" i="123"/>
  <c r="X132" i="123" s="1"/>
  <c r="T133" i="123"/>
  <c r="W133" i="123"/>
  <c r="X133" i="123" s="1"/>
  <c r="T134" i="123"/>
  <c r="W134" i="123"/>
  <c r="X134" i="123" s="1"/>
  <c r="T135" i="123"/>
  <c r="W135" i="123"/>
  <c r="X135" i="123" s="1"/>
  <c r="T136" i="123"/>
  <c r="W136" i="123"/>
  <c r="X136" i="123" s="1"/>
  <c r="T137" i="123"/>
  <c r="W137" i="123"/>
  <c r="X137" i="123" s="1"/>
  <c r="T138" i="123"/>
  <c r="W138" i="123"/>
  <c r="X138" i="123" s="1"/>
  <c r="T139" i="123"/>
  <c r="W139" i="123"/>
  <c r="X139" i="123" s="1"/>
  <c r="T140" i="123"/>
  <c r="W140" i="123"/>
  <c r="X140" i="123" s="1"/>
  <c r="T141" i="123"/>
  <c r="W141" i="123"/>
  <c r="X141" i="123" s="1"/>
  <c r="T142" i="123"/>
  <c r="W142" i="123"/>
  <c r="X142" i="123" s="1"/>
  <c r="T143" i="123"/>
  <c r="W143" i="123"/>
  <c r="X143" i="123" s="1"/>
  <c r="T144" i="123"/>
  <c r="W144" i="123"/>
  <c r="X144" i="123" s="1"/>
  <c r="T145" i="123"/>
  <c r="W145" i="123"/>
  <c r="X145" i="123" s="1"/>
  <c r="T146" i="123"/>
  <c r="W146" i="123"/>
  <c r="X146" i="123" s="1"/>
  <c r="T147" i="123"/>
  <c r="W147" i="123"/>
  <c r="X147" i="123" s="1"/>
  <c r="T148" i="123"/>
  <c r="W148" i="123"/>
  <c r="X148" i="123" s="1"/>
  <c r="T149" i="123"/>
  <c r="W149" i="123"/>
  <c r="X149" i="123" s="1"/>
  <c r="T150" i="123"/>
  <c r="W150" i="123"/>
  <c r="X150" i="123" s="1"/>
  <c r="T151" i="123"/>
  <c r="W151" i="123"/>
  <c r="X151" i="123" s="1"/>
  <c r="T152" i="123"/>
  <c r="W152" i="123"/>
  <c r="X152" i="123" s="1"/>
  <c r="T153" i="123"/>
  <c r="W153" i="123"/>
  <c r="X153" i="123" s="1"/>
  <c r="T154" i="123"/>
  <c r="W154" i="123"/>
  <c r="X154" i="123" s="1"/>
  <c r="T155" i="123"/>
  <c r="W155" i="123"/>
  <c r="X155" i="123" s="1"/>
  <c r="T156" i="123"/>
  <c r="W156" i="123"/>
  <c r="X156" i="123" s="1"/>
  <c r="P5" i="123"/>
  <c r="T26" i="123"/>
  <c r="T27" i="123"/>
  <c r="T28" i="123"/>
  <c r="T29" i="123"/>
  <c r="T30" i="123"/>
  <c r="W26" i="123"/>
  <c r="X26" i="123" s="1"/>
  <c r="W27" i="123"/>
  <c r="X27" i="123" s="1"/>
  <c r="W28" i="123"/>
  <c r="X28" i="123" s="1"/>
  <c r="W29" i="123"/>
  <c r="X29" i="123" s="1"/>
  <c r="W30" i="123"/>
  <c r="X30" i="123" s="1"/>
  <c r="T31" i="123"/>
  <c r="T32" i="123"/>
  <c r="T33" i="123"/>
  <c r="T34" i="123"/>
  <c r="T35" i="123"/>
  <c r="W31" i="123"/>
  <c r="X31" i="123" s="1"/>
  <c r="W32" i="123"/>
  <c r="X32" i="123" s="1"/>
  <c r="W33" i="123"/>
  <c r="X33" i="123" s="1"/>
  <c r="W34" i="123"/>
  <c r="X34" i="123" s="1"/>
  <c r="W35" i="123"/>
  <c r="X35" i="123" s="1"/>
  <c r="T36" i="123"/>
  <c r="T37" i="123"/>
  <c r="T38" i="123"/>
  <c r="T39" i="123"/>
  <c r="T40" i="123"/>
  <c r="W36" i="123"/>
  <c r="X36" i="123" s="1"/>
  <c r="W37" i="123"/>
  <c r="X37" i="123" s="1"/>
  <c r="W38" i="123"/>
  <c r="X38" i="123" s="1"/>
  <c r="W39" i="123"/>
  <c r="X39" i="123" s="1"/>
  <c r="W40" i="123"/>
  <c r="X40" i="123" s="1"/>
  <c r="T41" i="123"/>
  <c r="T42" i="123"/>
  <c r="T43" i="123"/>
  <c r="T44" i="123"/>
  <c r="T45" i="123"/>
  <c r="W41" i="123"/>
  <c r="X41" i="123" s="1"/>
  <c r="W42" i="123"/>
  <c r="X42" i="123" s="1"/>
  <c r="W43" i="123"/>
  <c r="X43" i="123" s="1"/>
  <c r="W44" i="123"/>
  <c r="X44" i="123" s="1"/>
  <c r="W45" i="123"/>
  <c r="X45" i="123" s="1"/>
  <c r="T46" i="123"/>
  <c r="T47" i="123"/>
  <c r="T48" i="123"/>
  <c r="T49" i="123"/>
  <c r="T50" i="123"/>
  <c r="W46" i="123"/>
  <c r="X46" i="123" s="1"/>
  <c r="W47" i="123"/>
  <c r="X47" i="123" s="1"/>
  <c r="W48" i="123"/>
  <c r="X48" i="123" s="1"/>
  <c r="W49" i="123"/>
  <c r="X49" i="123" s="1"/>
  <c r="W50" i="123"/>
  <c r="X50" i="123" s="1"/>
  <c r="T51" i="123"/>
  <c r="T52" i="123"/>
  <c r="T53" i="123"/>
  <c r="T54" i="123"/>
  <c r="T55" i="123"/>
  <c r="W51" i="123"/>
  <c r="X51" i="123" s="1"/>
  <c r="W52" i="123"/>
  <c r="X52" i="123" s="1"/>
  <c r="W53" i="123"/>
  <c r="X53" i="123" s="1"/>
  <c r="W54" i="123"/>
  <c r="X54" i="123" s="1"/>
  <c r="W55" i="123"/>
  <c r="X55" i="123" s="1"/>
  <c r="T56" i="123"/>
  <c r="T57" i="123"/>
  <c r="T58" i="123"/>
  <c r="T59" i="123"/>
  <c r="T60" i="123"/>
  <c r="W56" i="123"/>
  <c r="X56" i="123" s="1"/>
  <c r="W57" i="123"/>
  <c r="X57" i="123" s="1"/>
  <c r="W58" i="123"/>
  <c r="X58" i="123" s="1"/>
  <c r="W59" i="123"/>
  <c r="X59" i="123" s="1"/>
  <c r="W60" i="123"/>
  <c r="X60" i="123" s="1"/>
  <c r="T61" i="123"/>
  <c r="T62" i="123"/>
  <c r="T63" i="123"/>
  <c r="T64" i="123"/>
  <c r="T65" i="123"/>
  <c r="W61" i="123"/>
  <c r="X61" i="123" s="1"/>
  <c r="W62" i="123"/>
  <c r="X62" i="123" s="1"/>
  <c r="W63" i="123"/>
  <c r="X63" i="123" s="1"/>
  <c r="W64" i="123"/>
  <c r="X64" i="123" s="1"/>
  <c r="W65" i="123"/>
  <c r="X65" i="123" s="1"/>
  <c r="T66" i="123"/>
  <c r="T67" i="123"/>
  <c r="T68" i="123"/>
  <c r="T69" i="123"/>
  <c r="T70" i="123"/>
  <c r="W66" i="123"/>
  <c r="X66" i="123" s="1"/>
  <c r="W67" i="123"/>
  <c r="X67" i="123" s="1"/>
  <c r="W68" i="123"/>
  <c r="X68" i="123" s="1"/>
  <c r="W69" i="123"/>
  <c r="X69" i="123" s="1"/>
  <c r="W70" i="123"/>
  <c r="X70" i="123" s="1"/>
  <c r="T71" i="123"/>
  <c r="T72" i="123"/>
  <c r="T73" i="123"/>
  <c r="T74" i="123"/>
  <c r="T75" i="123"/>
  <c r="W71" i="123"/>
  <c r="X71" i="123" s="1"/>
  <c r="W72" i="123"/>
  <c r="X72" i="123" s="1"/>
  <c r="W73" i="123"/>
  <c r="X73" i="123" s="1"/>
  <c r="W74" i="123"/>
  <c r="X74" i="123" s="1"/>
  <c r="W75" i="123"/>
  <c r="X75" i="123" s="1"/>
  <c r="T76" i="123"/>
  <c r="T77" i="123"/>
  <c r="T78" i="123"/>
  <c r="T79" i="123"/>
  <c r="T80" i="123"/>
  <c r="W76" i="123"/>
  <c r="X76" i="123" s="1"/>
  <c r="W77" i="123"/>
  <c r="X77" i="123" s="1"/>
  <c r="W78" i="123"/>
  <c r="X78" i="123" s="1"/>
  <c r="W79" i="123"/>
  <c r="X79" i="123" s="1"/>
  <c r="W80" i="123"/>
  <c r="X80" i="123" s="1"/>
  <c r="T81" i="123"/>
  <c r="T82" i="123"/>
  <c r="T83" i="123"/>
  <c r="T84" i="123"/>
  <c r="T85" i="123"/>
  <c r="W81" i="123"/>
  <c r="X81" i="123" s="1"/>
  <c r="W82" i="123"/>
  <c r="X82" i="123" s="1"/>
  <c r="W83" i="123"/>
  <c r="X83" i="123" s="1"/>
  <c r="W84" i="123"/>
  <c r="X84" i="123" s="1"/>
  <c r="W85" i="123"/>
  <c r="X85" i="123" s="1"/>
  <c r="T86" i="123"/>
  <c r="T87" i="123"/>
  <c r="T88" i="123"/>
  <c r="T89" i="123"/>
  <c r="T90" i="123"/>
  <c r="W86" i="123"/>
  <c r="X86" i="123" s="1"/>
  <c r="W87" i="123"/>
  <c r="X87" i="123" s="1"/>
  <c r="W88" i="123"/>
  <c r="X88" i="123" s="1"/>
  <c r="W89" i="123"/>
  <c r="X89" i="123" s="1"/>
  <c r="W90" i="123"/>
  <c r="X90" i="123" s="1"/>
  <c r="T91" i="123"/>
  <c r="T92" i="123"/>
  <c r="T93" i="123"/>
  <c r="T94" i="123"/>
  <c r="T95" i="123"/>
  <c r="W91" i="123"/>
  <c r="X91" i="123" s="1"/>
  <c r="W92" i="123"/>
  <c r="X92" i="123" s="1"/>
  <c r="W93" i="123"/>
  <c r="X93" i="123" s="1"/>
  <c r="W94" i="123"/>
  <c r="X94" i="123" s="1"/>
  <c r="W95" i="123"/>
  <c r="X95" i="123" s="1"/>
  <c r="T96" i="123"/>
  <c r="T97" i="123"/>
  <c r="T98" i="123"/>
  <c r="T99" i="123"/>
  <c r="T100" i="123"/>
  <c r="W96" i="123"/>
  <c r="X96" i="123" s="1"/>
  <c r="W97" i="123"/>
  <c r="X97" i="123" s="1"/>
  <c r="W98" i="123"/>
  <c r="X98" i="123" s="1"/>
  <c r="W99" i="123"/>
  <c r="X99" i="123" s="1"/>
  <c r="W100" i="123"/>
  <c r="X100" i="123" s="1"/>
  <c r="T101" i="123"/>
  <c r="T102" i="123"/>
  <c r="T103" i="123"/>
  <c r="W101" i="123"/>
  <c r="X101" i="123" s="1"/>
  <c r="W102" i="123"/>
  <c r="X102" i="123" s="1"/>
  <c r="W103" i="123"/>
  <c r="X103" i="123" s="1"/>
  <c r="O178" i="123"/>
  <c r="P178" i="123" s="1"/>
  <c r="W177" i="123"/>
  <c r="X177" i="123" s="1"/>
  <c r="T177" i="123"/>
  <c r="P177" i="123"/>
  <c r="W176" i="123"/>
  <c r="X176" i="123" s="1"/>
  <c r="T176" i="123"/>
  <c r="P176" i="123"/>
  <c r="W175" i="123"/>
  <c r="X175" i="123" s="1"/>
  <c r="T175" i="123"/>
  <c r="P175" i="123"/>
  <c r="W174" i="123"/>
  <c r="X174" i="123" s="1"/>
  <c r="T174" i="123"/>
  <c r="P174" i="123"/>
  <c r="W170" i="123"/>
  <c r="X170" i="123" s="1"/>
  <c r="T170" i="123"/>
  <c r="P170" i="123"/>
  <c r="W169" i="123"/>
  <c r="X169" i="123" s="1"/>
  <c r="T169" i="123"/>
  <c r="P169" i="123"/>
  <c r="W168" i="123"/>
  <c r="X168" i="123" s="1"/>
  <c r="T168" i="123"/>
  <c r="P168" i="123"/>
  <c r="W167" i="123"/>
  <c r="X167" i="123" s="1"/>
  <c r="T167" i="123"/>
  <c r="P167" i="123"/>
  <c r="W25" i="123"/>
  <c r="X25" i="123" s="1"/>
  <c r="T25" i="123"/>
  <c r="W24" i="123"/>
  <c r="X24" i="123" s="1"/>
  <c r="T24" i="123"/>
  <c r="W23" i="123"/>
  <c r="X23" i="123" s="1"/>
  <c r="T23" i="123"/>
  <c r="W22" i="123"/>
  <c r="X22" i="123" s="1"/>
  <c r="T22" i="123"/>
  <c r="W21" i="123"/>
  <c r="X21" i="123" s="1"/>
  <c r="T21" i="123"/>
  <c r="W20" i="123"/>
  <c r="X20" i="123" s="1"/>
  <c r="T20" i="123"/>
  <c r="W19" i="123"/>
  <c r="X19" i="123" s="1"/>
  <c r="T19" i="123"/>
  <c r="W18" i="123"/>
  <c r="X18" i="123" s="1"/>
  <c r="T18" i="123"/>
  <c r="W17" i="123"/>
  <c r="X17" i="123" s="1"/>
  <c r="T17" i="123"/>
  <c r="W16" i="123"/>
  <c r="X16" i="123" s="1"/>
  <c r="T16" i="123"/>
  <c r="W15" i="123"/>
  <c r="X15" i="123" s="1"/>
  <c r="T15" i="123"/>
  <c r="W14" i="123"/>
  <c r="X14" i="123" s="1"/>
  <c r="T14" i="123"/>
  <c r="W13" i="123"/>
  <c r="X13" i="123" s="1"/>
  <c r="T13" i="123"/>
  <c r="W12" i="123"/>
  <c r="X12" i="123" s="1"/>
  <c r="T12" i="123"/>
  <c r="W11" i="123"/>
  <c r="X11" i="123" s="1"/>
  <c r="T11" i="123"/>
  <c r="W10" i="123"/>
  <c r="X10" i="123" s="1"/>
  <c r="T10" i="123"/>
  <c r="W9" i="123"/>
  <c r="X9" i="123" s="1"/>
  <c r="T9" i="123"/>
  <c r="W8" i="123"/>
  <c r="X8" i="123" s="1"/>
  <c r="T8" i="123"/>
  <c r="W7" i="123"/>
  <c r="X7" i="123" s="1"/>
  <c r="T7" i="123"/>
  <c r="W6" i="123"/>
  <c r="X6" i="123" s="1"/>
  <c r="T6" i="123"/>
  <c r="W5" i="123"/>
  <c r="X5" i="123" s="1"/>
  <c r="T5" i="123"/>
  <c r="P78" i="123" l="1"/>
  <c r="P18" i="123"/>
  <c r="P89" i="123"/>
  <c r="P16" i="123"/>
  <c r="P39" i="123"/>
  <c r="P98" i="123"/>
  <c r="P86" i="123"/>
  <c r="P74" i="123"/>
  <c r="P62" i="123"/>
  <c r="P50" i="123"/>
  <c r="P38" i="123"/>
  <c r="P26" i="123"/>
  <c r="P14" i="123"/>
  <c r="P90" i="123"/>
  <c r="P30" i="123"/>
  <c r="P77" i="123"/>
  <c r="P17" i="123"/>
  <c r="P28" i="123"/>
  <c r="P99" i="123"/>
  <c r="P27" i="123"/>
  <c r="P97" i="123"/>
  <c r="P85" i="123"/>
  <c r="P73" i="123"/>
  <c r="P61" i="123"/>
  <c r="P49" i="123"/>
  <c r="P37" i="123"/>
  <c r="P25" i="123"/>
  <c r="P13" i="123"/>
  <c r="P102" i="123"/>
  <c r="P66" i="123"/>
  <c r="P42" i="123"/>
  <c r="P101" i="123"/>
  <c r="P41" i="123"/>
  <c r="P100" i="123"/>
  <c r="P76" i="123"/>
  <c r="P64" i="123"/>
  <c r="P40" i="123"/>
  <c r="P87" i="123"/>
  <c r="P75" i="123"/>
  <c r="P63" i="123"/>
  <c r="P51" i="123"/>
  <c r="P15" i="123"/>
  <c r="P96" i="123"/>
  <c r="P84" i="123"/>
  <c r="P72" i="123"/>
  <c r="P60" i="123"/>
  <c r="P48" i="123"/>
  <c r="P36" i="123"/>
  <c r="P24" i="123"/>
  <c r="P12" i="123"/>
  <c r="P95" i="123"/>
  <c r="P83" i="123"/>
  <c r="P71" i="123"/>
  <c r="P59" i="123"/>
  <c r="P47" i="123"/>
  <c r="P35" i="123"/>
  <c r="P23" i="123"/>
  <c r="P11" i="123"/>
  <c r="P94" i="123"/>
  <c r="P82" i="123"/>
  <c r="P70" i="123"/>
  <c r="P58" i="123"/>
  <c r="P46" i="123"/>
  <c r="P34" i="123"/>
  <c r="P22" i="123"/>
  <c r="P10" i="123"/>
  <c r="P93" i="123"/>
  <c r="P81" i="123"/>
  <c r="P69" i="123"/>
  <c r="P57" i="123"/>
  <c r="P45" i="123"/>
  <c r="P33" i="123"/>
  <c r="P21" i="123"/>
  <c r="P9" i="123"/>
  <c r="P92" i="123"/>
  <c r="P80" i="123"/>
  <c r="P68" i="123"/>
  <c r="P56" i="123"/>
  <c r="P44" i="123"/>
  <c r="P32" i="123"/>
  <c r="P20" i="123"/>
  <c r="P8" i="123"/>
  <c r="P103" i="123"/>
  <c r="P91" i="123"/>
  <c r="P79" i="123"/>
  <c r="P67" i="123"/>
  <c r="P55" i="123"/>
  <c r="P43" i="123"/>
  <c r="P31" i="123"/>
  <c r="P19" i="123"/>
  <c r="P7" i="123"/>
  <c r="P6" i="123"/>
  <c r="P54" i="123"/>
  <c r="P65" i="123"/>
  <c r="P53" i="123"/>
  <c r="P29" i="123"/>
  <c r="P88" i="123"/>
  <c r="P52" i="123"/>
  <c r="N501" i="72" l="1"/>
  <c r="N502" i="72"/>
  <c r="N503" i="72"/>
  <c r="N504" i="72"/>
  <c r="N505" i="72"/>
  <c r="N506" i="72"/>
  <c r="N507" i="72"/>
  <c r="N508" i="72"/>
  <c r="N509" i="72"/>
  <c r="N510" i="72"/>
  <c r="N511" i="72"/>
  <c r="N512" i="72"/>
  <c r="N513" i="72"/>
  <c r="N514" i="72"/>
  <c r="N515" i="72"/>
  <c r="N516" i="72"/>
  <c r="N517" i="72"/>
  <c r="N518" i="72"/>
  <c r="N519" i="72"/>
  <c r="N520" i="72"/>
  <c r="N521" i="72"/>
  <c r="N522" i="72"/>
  <c r="N523" i="72"/>
  <c r="N524" i="72"/>
  <c r="N525" i="72"/>
  <c r="N526" i="72"/>
  <c r="N527" i="72"/>
  <c r="N528" i="72"/>
  <c r="N529" i="72"/>
  <c r="N530" i="72"/>
  <c r="N531" i="72"/>
  <c r="N532" i="72"/>
  <c r="N533" i="72"/>
  <c r="N534" i="72"/>
  <c r="N535" i="72"/>
  <c r="N536" i="72"/>
  <c r="N537" i="72"/>
  <c r="N538" i="72"/>
  <c r="N539" i="72"/>
  <c r="N540" i="72"/>
  <c r="N541" i="72"/>
  <c r="N542" i="72"/>
  <c r="N543" i="72"/>
  <c r="N544" i="72"/>
  <c r="N545" i="72"/>
  <c r="N546" i="72"/>
  <c r="N547" i="72"/>
  <c r="N548" i="72"/>
  <c r="N549" i="72"/>
  <c r="N550" i="72"/>
  <c r="N551" i="72"/>
  <c r="N552" i="72"/>
  <c r="N553" i="72"/>
  <c r="N554" i="72"/>
  <c r="N555" i="72"/>
  <c r="N556" i="72"/>
  <c r="N557" i="72"/>
  <c r="N558" i="72"/>
  <c r="N559" i="72"/>
  <c r="N560" i="72"/>
  <c r="N561" i="72"/>
  <c r="N562" i="72"/>
  <c r="N563" i="72"/>
  <c r="N564" i="72"/>
  <c r="N565" i="72"/>
  <c r="N566" i="72"/>
  <c r="N567" i="72"/>
  <c r="N568" i="72"/>
  <c r="N569" i="72"/>
  <c r="N570" i="72"/>
  <c r="N571" i="72"/>
  <c r="N572" i="72"/>
  <c r="N573" i="72"/>
  <c r="N574" i="72"/>
  <c r="N575" i="72"/>
  <c r="N576" i="72"/>
  <c r="N577" i="72"/>
  <c r="N578" i="72"/>
  <c r="N579" i="72"/>
  <c r="N580" i="72"/>
  <c r="N581" i="72"/>
  <c r="N582" i="72"/>
  <c r="N583" i="72"/>
  <c r="N584" i="72"/>
  <c r="N585" i="72"/>
  <c r="N586" i="72"/>
  <c r="N587" i="72"/>
  <c r="N588" i="72"/>
  <c r="N589" i="72"/>
  <c r="N590" i="72"/>
  <c r="N591" i="72"/>
  <c r="N592" i="72"/>
  <c r="N593" i="72"/>
  <c r="N594" i="72"/>
  <c r="N595" i="72"/>
  <c r="N596" i="72"/>
  <c r="N597" i="72"/>
  <c r="N598" i="72"/>
  <c r="N599" i="72"/>
  <c r="N600" i="72"/>
  <c r="N601" i="72"/>
  <c r="N602" i="72"/>
  <c r="N603" i="72"/>
  <c r="N604" i="72"/>
  <c r="N605" i="72"/>
  <c r="N606" i="72"/>
  <c r="N607" i="72"/>
  <c r="N608" i="72"/>
  <c r="N609" i="72"/>
  <c r="N610" i="72"/>
  <c r="N611" i="72"/>
  <c r="N612" i="72"/>
  <c r="N613" i="72"/>
  <c r="N614" i="72"/>
  <c r="N615" i="72"/>
  <c r="N616" i="72"/>
  <c r="N617" i="72"/>
  <c r="N618" i="72"/>
  <c r="N619" i="72"/>
  <c r="N620" i="72"/>
  <c r="N621" i="72"/>
  <c r="N622" i="72"/>
  <c r="N623" i="72"/>
  <c r="N624" i="72"/>
  <c r="N625" i="72"/>
  <c r="N626" i="72"/>
  <c r="N627" i="72"/>
  <c r="N628" i="72"/>
  <c r="N629" i="72"/>
  <c r="N630" i="72"/>
  <c r="N631" i="72"/>
  <c r="N632" i="72"/>
  <c r="N633" i="72"/>
  <c r="N634" i="72"/>
  <c r="N635" i="72"/>
  <c r="N636" i="72"/>
  <c r="N637" i="72"/>
  <c r="N638" i="72"/>
  <c r="N639" i="72"/>
  <c r="N640" i="72"/>
  <c r="N641" i="72"/>
  <c r="N642" i="72"/>
  <c r="N643" i="72"/>
  <c r="N644" i="72"/>
  <c r="N645" i="72"/>
  <c r="N646" i="72"/>
  <c r="N647" i="72"/>
  <c r="N648" i="72"/>
  <c r="N649" i="72"/>
  <c r="N650" i="72"/>
  <c r="N651" i="72"/>
  <c r="N652" i="72"/>
  <c r="N653" i="72"/>
  <c r="N654" i="72"/>
  <c r="N655" i="72"/>
  <c r="N656" i="72"/>
  <c r="N657" i="72"/>
  <c r="N658" i="72"/>
  <c r="N659" i="72"/>
  <c r="N660" i="72"/>
  <c r="N661" i="72"/>
  <c r="N662" i="72"/>
  <c r="N663" i="72"/>
  <c r="N664" i="72"/>
  <c r="N665" i="72"/>
  <c r="N666" i="72"/>
  <c r="N667" i="72"/>
  <c r="N668" i="72"/>
  <c r="N669" i="72"/>
  <c r="N670" i="72"/>
  <c r="N671" i="72"/>
  <c r="N672" i="72"/>
  <c r="N673" i="72"/>
  <c r="N674" i="72"/>
  <c r="N675" i="72"/>
  <c r="N676" i="72"/>
  <c r="N677" i="72"/>
  <c r="N678" i="72"/>
  <c r="N679" i="72"/>
  <c r="N680" i="72"/>
  <c r="N681" i="72"/>
  <c r="N682" i="72"/>
  <c r="N683" i="72"/>
  <c r="N684" i="72"/>
  <c r="N685" i="72"/>
  <c r="N686" i="72"/>
  <c r="N687" i="72"/>
  <c r="N688" i="72"/>
  <c r="N689" i="72"/>
  <c r="N690" i="72"/>
  <c r="N691" i="72"/>
  <c r="N692" i="72"/>
  <c r="N693" i="72"/>
  <c r="N694" i="72"/>
  <c r="N695" i="72"/>
  <c r="N696" i="72"/>
  <c r="N697" i="72"/>
  <c r="N698" i="72"/>
  <c r="N699" i="72"/>
  <c r="N700" i="72"/>
  <c r="N701" i="72"/>
  <c r="N702" i="72"/>
  <c r="N703" i="72"/>
  <c r="N704" i="72"/>
  <c r="N705" i="72"/>
  <c r="N706" i="72"/>
  <c r="N707" i="72"/>
  <c r="N708" i="72"/>
  <c r="N709" i="72"/>
  <c r="N710" i="72"/>
  <c r="N711" i="72"/>
  <c r="N712" i="72"/>
  <c r="N713" i="72"/>
  <c r="N714" i="72"/>
  <c r="N715" i="72"/>
  <c r="N716" i="72"/>
  <c r="N717" i="72"/>
  <c r="N718" i="72"/>
  <c r="N719" i="72"/>
  <c r="N720" i="72"/>
  <c r="N721" i="72"/>
  <c r="N722" i="72"/>
  <c r="N723" i="72"/>
  <c r="N724" i="72"/>
  <c r="N725" i="72"/>
  <c r="N726" i="72"/>
  <c r="N727" i="72"/>
  <c r="N728" i="72"/>
  <c r="N729" i="72"/>
  <c r="N730" i="72"/>
  <c r="N731" i="72"/>
  <c r="N732" i="72"/>
  <c r="N733" i="72"/>
  <c r="N734" i="72"/>
  <c r="N735" i="72"/>
  <c r="N736" i="72"/>
  <c r="N737" i="72"/>
  <c r="N738" i="72"/>
  <c r="N739" i="72"/>
  <c r="N740" i="72"/>
  <c r="N741" i="72"/>
  <c r="N742" i="72"/>
  <c r="N743" i="72"/>
  <c r="N744" i="72"/>
  <c r="N745" i="72"/>
  <c r="N746" i="72"/>
  <c r="N747" i="72"/>
  <c r="N748" i="72"/>
  <c r="N749" i="72"/>
  <c r="N750" i="72"/>
  <c r="N751" i="72"/>
  <c r="N752" i="72"/>
  <c r="N753" i="72"/>
  <c r="N754" i="72"/>
  <c r="N755" i="72"/>
  <c r="N756" i="72"/>
  <c r="N757" i="72"/>
  <c r="N758" i="72"/>
  <c r="N759" i="72"/>
  <c r="N760" i="72"/>
  <c r="N761" i="72"/>
  <c r="N762" i="72"/>
  <c r="N763" i="72"/>
  <c r="N764" i="72"/>
  <c r="N765" i="72"/>
  <c r="N766" i="72"/>
  <c r="N767" i="72"/>
  <c r="N768" i="72"/>
  <c r="N769" i="72"/>
  <c r="N770" i="72"/>
  <c r="N771" i="72"/>
  <c r="N772" i="72"/>
  <c r="N773" i="72"/>
  <c r="N774" i="72"/>
  <c r="N775" i="72"/>
  <c r="N776" i="72"/>
  <c r="N777" i="72"/>
  <c r="N778" i="72"/>
  <c r="N779" i="72"/>
  <c r="N780" i="72"/>
  <c r="N781" i="72"/>
  <c r="N782" i="72"/>
  <c r="N783" i="72"/>
  <c r="N784" i="72"/>
  <c r="N785" i="72"/>
  <c r="N786" i="72"/>
  <c r="N787" i="72"/>
  <c r="N788" i="72"/>
  <c r="N789" i="72"/>
  <c r="N790" i="72"/>
  <c r="N791" i="72"/>
  <c r="N792" i="72"/>
  <c r="N793" i="72"/>
  <c r="N794" i="72"/>
  <c r="N795" i="72"/>
  <c r="N796" i="72"/>
  <c r="N797" i="72"/>
  <c r="N798" i="72"/>
  <c r="N799" i="72"/>
  <c r="N800" i="72"/>
  <c r="N801" i="72"/>
  <c r="N802" i="72"/>
  <c r="N803" i="72"/>
  <c r="N804" i="72"/>
  <c r="N805" i="72"/>
  <c r="N806" i="72"/>
  <c r="N807" i="72"/>
  <c r="N808" i="72"/>
  <c r="N809" i="72"/>
  <c r="N810" i="72"/>
  <c r="N811" i="72"/>
  <c r="N812" i="72"/>
  <c r="N813" i="72"/>
  <c r="N814" i="72"/>
  <c r="N815" i="72"/>
  <c r="N816" i="72"/>
  <c r="N817" i="72"/>
  <c r="N818" i="72"/>
  <c r="N819" i="72"/>
  <c r="N820" i="72"/>
  <c r="N821" i="72"/>
  <c r="N822" i="72"/>
  <c r="N823" i="72"/>
  <c r="N824" i="72"/>
  <c r="N825" i="72"/>
  <c r="N826" i="72"/>
  <c r="N827" i="72"/>
  <c r="N828" i="72"/>
  <c r="N829" i="72"/>
  <c r="N830" i="72"/>
  <c r="N831" i="72"/>
  <c r="N832" i="72"/>
  <c r="N833" i="72"/>
  <c r="N834" i="72"/>
  <c r="N835" i="72"/>
  <c r="N836" i="72"/>
  <c r="N837" i="72"/>
  <c r="N838" i="72"/>
  <c r="N839" i="72"/>
  <c r="N840" i="72"/>
  <c r="N841" i="72"/>
  <c r="N842" i="72"/>
  <c r="N843" i="72"/>
  <c r="N844" i="72"/>
  <c r="N845" i="72"/>
  <c r="N846" i="72"/>
  <c r="N847" i="72"/>
  <c r="N848" i="72"/>
  <c r="N849" i="72"/>
  <c r="N850" i="72"/>
  <c r="N851" i="72"/>
  <c r="N852" i="72"/>
  <c r="N853" i="72"/>
  <c r="N854" i="72"/>
  <c r="N855" i="72"/>
  <c r="N856" i="72"/>
  <c r="N857" i="72"/>
  <c r="N858" i="72"/>
  <c r="N859" i="72"/>
  <c r="N860" i="72"/>
  <c r="N861" i="72"/>
  <c r="N862" i="72"/>
  <c r="N863" i="72"/>
  <c r="N864" i="72"/>
  <c r="N865" i="72"/>
  <c r="N866" i="72"/>
  <c r="N867" i="72"/>
  <c r="N868" i="72"/>
  <c r="N869" i="72"/>
  <c r="N870" i="72"/>
  <c r="N871" i="72"/>
  <c r="N872" i="72"/>
  <c r="N873" i="72"/>
  <c r="N874" i="72"/>
  <c r="N875" i="72"/>
  <c r="N876" i="72"/>
  <c r="N877" i="72"/>
  <c r="N878" i="72"/>
  <c r="N879" i="72"/>
  <c r="N880" i="72"/>
  <c r="N881" i="72"/>
  <c r="N882" i="72"/>
  <c r="N883" i="72"/>
  <c r="N884" i="72"/>
  <c r="N885" i="72"/>
  <c r="N886" i="72"/>
  <c r="N887" i="72"/>
  <c r="N888" i="72"/>
  <c r="N889" i="72"/>
  <c r="N890" i="72"/>
  <c r="N891" i="72"/>
  <c r="N892" i="72"/>
  <c r="N893" i="72"/>
  <c r="N894" i="72"/>
  <c r="N895" i="72"/>
  <c r="N896" i="72"/>
  <c r="N897" i="72"/>
  <c r="N898" i="72"/>
  <c r="N899" i="72"/>
  <c r="N900" i="72"/>
  <c r="N901" i="72"/>
  <c r="N902" i="72"/>
  <c r="N903" i="72"/>
  <c r="N904" i="72"/>
  <c r="N905" i="72"/>
  <c r="N906" i="72"/>
  <c r="N907" i="72"/>
  <c r="N908" i="72"/>
  <c r="N909" i="72"/>
  <c r="N910" i="72"/>
  <c r="N911" i="72"/>
  <c r="N912" i="72"/>
  <c r="N913" i="72"/>
  <c r="N914" i="72"/>
  <c r="N915" i="72"/>
  <c r="N916" i="72"/>
  <c r="N917" i="72"/>
  <c r="N918" i="72"/>
  <c r="N919" i="72"/>
  <c r="N920" i="72"/>
  <c r="N921" i="72"/>
  <c r="N922" i="72"/>
  <c r="N923" i="72"/>
  <c r="N924" i="72"/>
  <c r="N925" i="72"/>
  <c r="N926" i="72"/>
  <c r="N927" i="72"/>
  <c r="N928" i="72"/>
  <c r="N929" i="72"/>
  <c r="N930" i="72"/>
  <c r="N931" i="72"/>
  <c r="N932" i="72"/>
  <c r="N933" i="72"/>
  <c r="N934" i="72"/>
  <c r="N935" i="72"/>
  <c r="N936" i="72"/>
  <c r="N937" i="72"/>
  <c r="N938" i="72"/>
  <c r="N939" i="72"/>
  <c r="N940" i="72"/>
  <c r="N941" i="72"/>
  <c r="N942" i="72"/>
  <c r="N943" i="72"/>
  <c r="N944" i="72"/>
  <c r="N945" i="72"/>
  <c r="N946" i="72"/>
  <c r="N947" i="72"/>
  <c r="N948" i="72"/>
  <c r="N949" i="72"/>
  <c r="N950" i="72"/>
  <c r="N951" i="72"/>
  <c r="N952" i="72"/>
  <c r="N953" i="72"/>
  <c r="N954" i="72"/>
  <c r="N955" i="72"/>
  <c r="N956" i="72"/>
  <c r="N957" i="72"/>
  <c r="N958" i="72"/>
  <c r="N959" i="72"/>
  <c r="N960" i="72"/>
  <c r="N961" i="72"/>
  <c r="N962" i="72"/>
  <c r="N963" i="72"/>
  <c r="N964" i="72"/>
  <c r="N965" i="72"/>
  <c r="N966" i="72"/>
  <c r="N967" i="72"/>
  <c r="N968" i="72"/>
  <c r="N969" i="72"/>
  <c r="N970" i="72"/>
  <c r="N971" i="72"/>
  <c r="N972" i="72"/>
  <c r="N973" i="72"/>
  <c r="N974" i="72"/>
  <c r="N975" i="72"/>
  <c r="N976" i="72"/>
  <c r="N977" i="72"/>
  <c r="N978" i="72"/>
  <c r="N979" i="72"/>
  <c r="N980" i="72"/>
  <c r="N981" i="72"/>
  <c r="N982" i="72"/>
  <c r="N983" i="72"/>
  <c r="N984" i="72"/>
  <c r="N985" i="72"/>
  <c r="N986" i="72"/>
  <c r="N987" i="72"/>
  <c r="N988" i="72"/>
  <c r="N989" i="72"/>
  <c r="N990" i="72"/>
  <c r="N991" i="72"/>
  <c r="N992" i="72"/>
  <c r="N993" i="72"/>
  <c r="N994" i="72"/>
  <c r="N995" i="72"/>
  <c r="N996" i="72"/>
  <c r="N997" i="72"/>
  <c r="N998" i="72"/>
  <c r="N999" i="72"/>
  <c r="N1000" i="72"/>
  <c r="N1001" i="72"/>
  <c r="N1002" i="72"/>
  <c r="N1003" i="72"/>
  <c r="N1004" i="72"/>
  <c r="N1005" i="72"/>
  <c r="N1006" i="72"/>
  <c r="N1007" i="72"/>
  <c r="N1008" i="72"/>
  <c r="N1009" i="72"/>
  <c r="N1010" i="72"/>
  <c r="N1011" i="72"/>
  <c r="N1012" i="72"/>
  <c r="N1013" i="72"/>
  <c r="N1014" i="72"/>
  <c r="N1015" i="72"/>
  <c r="N1016" i="72"/>
  <c r="N1017" i="72"/>
  <c r="N1018" i="72"/>
  <c r="N1019" i="72"/>
  <c r="N1020" i="72"/>
  <c r="N1021" i="72"/>
  <c r="N1022" i="72"/>
  <c r="N1023" i="72"/>
  <c r="N1024" i="72"/>
  <c r="N1025" i="72"/>
  <c r="N1026" i="72"/>
  <c r="N1027" i="72"/>
  <c r="N1028" i="72"/>
  <c r="N1029" i="72"/>
  <c r="N1030" i="72"/>
  <c r="N1031" i="72"/>
  <c r="N1032" i="72"/>
  <c r="N1033" i="72"/>
  <c r="N1034" i="72"/>
  <c r="N1035" i="72"/>
  <c r="N1036" i="72"/>
  <c r="N1037" i="72"/>
  <c r="N1038" i="72"/>
  <c r="N1039" i="72"/>
  <c r="N1040" i="72"/>
  <c r="N1041" i="72"/>
  <c r="N1042" i="72"/>
  <c r="N1043" i="72"/>
  <c r="N1044" i="72"/>
  <c r="N1045" i="72"/>
  <c r="N1046" i="72"/>
  <c r="N1047" i="72"/>
  <c r="N1048" i="72"/>
  <c r="N1049" i="72"/>
  <c r="N1050" i="72"/>
  <c r="N1051" i="72"/>
  <c r="N1052" i="72"/>
  <c r="N1053" i="72"/>
  <c r="N1054" i="72"/>
  <c r="N1055" i="72"/>
  <c r="N1056" i="72"/>
  <c r="N1057" i="72"/>
  <c r="N1058" i="72"/>
  <c r="N1059" i="72"/>
  <c r="N1060" i="72"/>
  <c r="N1061" i="72"/>
  <c r="N1062" i="72"/>
  <c r="N1063" i="72"/>
  <c r="N1064" i="72"/>
  <c r="N1065" i="72"/>
  <c r="N1066" i="72"/>
  <c r="N1067" i="72"/>
  <c r="N1068" i="72"/>
  <c r="N1069" i="72"/>
  <c r="N1070" i="72"/>
  <c r="N1071" i="72"/>
  <c r="N1072" i="72"/>
  <c r="N1073" i="72"/>
  <c r="N1074" i="72"/>
  <c r="N1075" i="72"/>
  <c r="N1076" i="72"/>
  <c r="N1077" i="72"/>
  <c r="N1078" i="72"/>
  <c r="N1079" i="72"/>
  <c r="N1080" i="72"/>
  <c r="N1081" i="72"/>
  <c r="N1082" i="72"/>
  <c r="N1083" i="72"/>
  <c r="N1084" i="72"/>
  <c r="N1085" i="72"/>
  <c r="N1086" i="72"/>
  <c r="N1087" i="72"/>
  <c r="N1088" i="72"/>
  <c r="N1089" i="72"/>
  <c r="N1090" i="72"/>
  <c r="N1091" i="72"/>
  <c r="N1092" i="72"/>
  <c r="N1093" i="72"/>
  <c r="N1094" i="72"/>
  <c r="N1095" i="72"/>
  <c r="N1096" i="72"/>
  <c r="N1097" i="72"/>
  <c r="N1098" i="72"/>
  <c r="N1099" i="72"/>
  <c r="N1100" i="72"/>
  <c r="N1101" i="72"/>
  <c r="N1102" i="72"/>
  <c r="N1103" i="72"/>
  <c r="N1104" i="72"/>
  <c r="N1105" i="72"/>
  <c r="N1106" i="72"/>
  <c r="N1107" i="72"/>
  <c r="N1108" i="72"/>
  <c r="N1109" i="72"/>
  <c r="N1110" i="72"/>
  <c r="N1111" i="72"/>
  <c r="N1112" i="72"/>
  <c r="N1113" i="72"/>
  <c r="N1114" i="72"/>
  <c r="N1115" i="72"/>
  <c r="N1116" i="72"/>
  <c r="N1117" i="72"/>
  <c r="N1118" i="72"/>
  <c r="N1119" i="72"/>
  <c r="N1120" i="72"/>
  <c r="N1121" i="72"/>
  <c r="N1122" i="72"/>
  <c r="N1123" i="72"/>
  <c r="N1124" i="72"/>
  <c r="N1125" i="72"/>
  <c r="N1126" i="72"/>
  <c r="N1127" i="72"/>
  <c r="N1128" i="72"/>
  <c r="N1129" i="72"/>
  <c r="N1130" i="72"/>
  <c r="N1131" i="72"/>
  <c r="N1132" i="72"/>
  <c r="N1133" i="72"/>
  <c r="N1134" i="72"/>
  <c r="N1135" i="72"/>
  <c r="N1136" i="72"/>
  <c r="N1137" i="72"/>
  <c r="N1138" i="72"/>
  <c r="N1139" i="72"/>
  <c r="N1140" i="72"/>
  <c r="N1141" i="72"/>
  <c r="N1142" i="72"/>
  <c r="N1143" i="72"/>
  <c r="N1144" i="72"/>
  <c r="N1145" i="72"/>
  <c r="N1146" i="72"/>
  <c r="N1147" i="72"/>
  <c r="N1148" i="72"/>
  <c r="N1149" i="72"/>
  <c r="N1150" i="72"/>
  <c r="N1151" i="72"/>
  <c r="N1152" i="72"/>
  <c r="N1153" i="72"/>
  <c r="N1154" i="72"/>
  <c r="N1155" i="72"/>
  <c r="N1156" i="72"/>
  <c r="N1157" i="72"/>
  <c r="N1158" i="72"/>
  <c r="N1159" i="72"/>
  <c r="N1160" i="72"/>
  <c r="N1161" i="72"/>
  <c r="N1162" i="72"/>
  <c r="N1163" i="72"/>
  <c r="N1164" i="72"/>
  <c r="N1165" i="72"/>
  <c r="N1166" i="72"/>
  <c r="N1167" i="72"/>
  <c r="N1168" i="72"/>
  <c r="N1169" i="72"/>
  <c r="N1170" i="72"/>
  <c r="N1171" i="72"/>
  <c r="N1172" i="72"/>
  <c r="N1173" i="72"/>
  <c r="N1174" i="72"/>
  <c r="N1175" i="72"/>
  <c r="N1176" i="72"/>
  <c r="N1177" i="72"/>
  <c r="N1178" i="72"/>
  <c r="N1179" i="72"/>
  <c r="N1180" i="72"/>
  <c r="N1181" i="72"/>
  <c r="N1182" i="72"/>
  <c r="N1183" i="72"/>
  <c r="N1184" i="72"/>
  <c r="N1185" i="72"/>
  <c r="N1186" i="72"/>
  <c r="N1187" i="72"/>
  <c r="N1188" i="72"/>
  <c r="N1189" i="72"/>
  <c r="N1190" i="72"/>
  <c r="N1191" i="72"/>
  <c r="N1192" i="72"/>
  <c r="N1193" i="72"/>
  <c r="N1194" i="72"/>
  <c r="N1195" i="72"/>
  <c r="N1196" i="72"/>
  <c r="N1197" i="72"/>
  <c r="N1198" i="72"/>
  <c r="N1199" i="72"/>
  <c r="N1200" i="72"/>
  <c r="N1201" i="72"/>
  <c r="N1202" i="72"/>
  <c r="N1203" i="72"/>
  <c r="N1204" i="72"/>
  <c r="N1205" i="72"/>
  <c r="N1206" i="72"/>
  <c r="N1207" i="72"/>
  <c r="N1208" i="72"/>
  <c r="N1209" i="72"/>
  <c r="N1210" i="72"/>
  <c r="N1211" i="72"/>
  <c r="N1212" i="72"/>
  <c r="N1213" i="72"/>
  <c r="N1214" i="72"/>
  <c r="N1215" i="72"/>
  <c r="N1216" i="72"/>
  <c r="N1217" i="72"/>
  <c r="N1218" i="72"/>
  <c r="N1219" i="72"/>
  <c r="N1220" i="72"/>
  <c r="N1221" i="72"/>
  <c r="N1222" i="72"/>
  <c r="N1223" i="72"/>
  <c r="N1224" i="72"/>
  <c r="N1225" i="72"/>
  <c r="N1226" i="72"/>
  <c r="N1227" i="72"/>
  <c r="N1228" i="72"/>
  <c r="N1229" i="72"/>
  <c r="N1230" i="72"/>
  <c r="N1231" i="72"/>
  <c r="N1232" i="72"/>
  <c r="N1233" i="72"/>
  <c r="N1234" i="72"/>
  <c r="N1235" i="72"/>
  <c r="N1236" i="72"/>
  <c r="N1237" i="72"/>
  <c r="N1238" i="72"/>
  <c r="N1239" i="72"/>
  <c r="N1240" i="72"/>
  <c r="N1241" i="72"/>
  <c r="N1242" i="72"/>
  <c r="N1243" i="72"/>
  <c r="N1244" i="72"/>
  <c r="N1245" i="72"/>
  <c r="N1246" i="72"/>
  <c r="N1247" i="72"/>
  <c r="N1248" i="72"/>
  <c r="N1249" i="72"/>
  <c r="N1250" i="72"/>
  <c r="N1251" i="72"/>
  <c r="N1252" i="72"/>
  <c r="P501" i="72"/>
  <c r="P502" i="72"/>
  <c r="P503" i="72"/>
  <c r="P504" i="72"/>
  <c r="P505" i="72"/>
  <c r="P506" i="72"/>
  <c r="P507" i="72"/>
  <c r="P508" i="72"/>
  <c r="P509" i="72"/>
  <c r="P510" i="72"/>
  <c r="P511" i="72"/>
  <c r="P512" i="72"/>
  <c r="P513" i="72"/>
  <c r="P514" i="72"/>
  <c r="P515" i="72"/>
  <c r="P516" i="72"/>
  <c r="P517" i="72"/>
  <c r="P518" i="72"/>
  <c r="P519" i="72"/>
  <c r="P520" i="72"/>
  <c r="P521" i="72"/>
  <c r="P522" i="72"/>
  <c r="P523" i="72"/>
  <c r="P524" i="72"/>
  <c r="P525" i="72"/>
  <c r="P526" i="72"/>
  <c r="P527" i="72"/>
  <c r="P528" i="72"/>
  <c r="P529" i="72"/>
  <c r="P530" i="72"/>
  <c r="P531" i="72"/>
  <c r="P532" i="72"/>
  <c r="P533" i="72"/>
  <c r="P534" i="72"/>
  <c r="P535" i="72"/>
  <c r="P536" i="72"/>
  <c r="P537" i="72"/>
  <c r="P538" i="72"/>
  <c r="P539" i="72"/>
  <c r="P540" i="72"/>
  <c r="P541" i="72"/>
  <c r="P542" i="72"/>
  <c r="P543" i="72"/>
  <c r="P544" i="72"/>
  <c r="P545" i="72"/>
  <c r="P546" i="72"/>
  <c r="P547" i="72"/>
  <c r="P548" i="72"/>
  <c r="P549" i="72"/>
  <c r="P550" i="72"/>
  <c r="P551" i="72"/>
  <c r="P552" i="72"/>
  <c r="P553" i="72"/>
  <c r="P554" i="72"/>
  <c r="P555" i="72"/>
  <c r="P556" i="72"/>
  <c r="P557" i="72"/>
  <c r="P558" i="72"/>
  <c r="P559" i="72"/>
  <c r="P560" i="72"/>
  <c r="P561" i="72"/>
  <c r="P562" i="72"/>
  <c r="P563" i="72"/>
  <c r="P564" i="72"/>
  <c r="P565" i="72"/>
  <c r="P566" i="72"/>
  <c r="P567" i="72"/>
  <c r="P568" i="72"/>
  <c r="P569" i="72"/>
  <c r="P570" i="72"/>
  <c r="P571" i="72"/>
  <c r="P572" i="72"/>
  <c r="P573" i="72"/>
  <c r="P574" i="72"/>
  <c r="P575" i="72"/>
  <c r="P576" i="72"/>
  <c r="P577" i="72"/>
  <c r="P578" i="72"/>
  <c r="P579" i="72"/>
  <c r="P580" i="72"/>
  <c r="P581" i="72"/>
  <c r="P582" i="72"/>
  <c r="P583" i="72"/>
  <c r="P584" i="72"/>
  <c r="P585" i="72"/>
  <c r="P586" i="72"/>
  <c r="P587" i="72"/>
  <c r="P588" i="72"/>
  <c r="P589" i="72"/>
  <c r="P590" i="72"/>
  <c r="P591" i="72"/>
  <c r="P592" i="72"/>
  <c r="P593" i="72"/>
  <c r="P594" i="72"/>
  <c r="P595" i="72"/>
  <c r="P596" i="72"/>
  <c r="P597" i="72"/>
  <c r="P598" i="72"/>
  <c r="P599" i="72"/>
  <c r="P600" i="72"/>
  <c r="P601" i="72"/>
  <c r="P602" i="72"/>
  <c r="P603" i="72"/>
  <c r="P604" i="72"/>
  <c r="P605" i="72"/>
  <c r="P606" i="72"/>
  <c r="P607" i="72"/>
  <c r="P608" i="72"/>
  <c r="P609" i="72"/>
  <c r="P610" i="72"/>
  <c r="P611" i="72"/>
  <c r="P612" i="72"/>
  <c r="P613" i="72"/>
  <c r="P614" i="72"/>
  <c r="P615" i="72"/>
  <c r="P616" i="72"/>
  <c r="P617" i="72"/>
  <c r="P618" i="72"/>
  <c r="P619" i="72"/>
  <c r="P620" i="72"/>
  <c r="P621" i="72"/>
  <c r="P622" i="72"/>
  <c r="P623" i="72"/>
  <c r="P624" i="72"/>
  <c r="P625" i="72"/>
  <c r="P626" i="72"/>
  <c r="P627" i="72"/>
  <c r="P628" i="72"/>
  <c r="P629" i="72"/>
  <c r="P630" i="72"/>
  <c r="P631" i="72"/>
  <c r="P632" i="72"/>
  <c r="P633" i="72"/>
  <c r="P634" i="72"/>
  <c r="P635" i="72"/>
  <c r="P636" i="72"/>
  <c r="P637" i="72"/>
  <c r="P638" i="72"/>
  <c r="P639" i="72"/>
  <c r="P640" i="72"/>
  <c r="P641" i="72"/>
  <c r="P642" i="72"/>
  <c r="P643" i="72"/>
  <c r="P644" i="72"/>
  <c r="P645" i="72"/>
  <c r="P646" i="72"/>
  <c r="P647" i="72"/>
  <c r="P648" i="72"/>
  <c r="P649" i="72"/>
  <c r="P650" i="72"/>
  <c r="P651" i="72"/>
  <c r="P652" i="72"/>
  <c r="P653" i="72"/>
  <c r="P654" i="72"/>
  <c r="P655" i="72"/>
  <c r="P656" i="72"/>
  <c r="P657" i="72"/>
  <c r="P658" i="72"/>
  <c r="P659" i="72"/>
  <c r="P660" i="72"/>
  <c r="P661" i="72"/>
  <c r="P662" i="72"/>
  <c r="P663" i="72"/>
  <c r="P664" i="72"/>
  <c r="P665" i="72"/>
  <c r="P666" i="72"/>
  <c r="P667" i="72"/>
  <c r="P668" i="72"/>
  <c r="P669" i="72"/>
  <c r="P670" i="72"/>
  <c r="P671" i="72"/>
  <c r="P672" i="72"/>
  <c r="P673" i="72"/>
  <c r="P674" i="72"/>
  <c r="P675" i="72"/>
  <c r="P676" i="72"/>
  <c r="P677" i="72"/>
  <c r="P678" i="72"/>
  <c r="P679" i="72"/>
  <c r="P680" i="72"/>
  <c r="P681" i="72"/>
  <c r="P682" i="72"/>
  <c r="P683" i="72"/>
  <c r="P684" i="72"/>
  <c r="P685" i="72"/>
  <c r="P686" i="72"/>
  <c r="P687" i="72"/>
  <c r="P688" i="72"/>
  <c r="P689" i="72"/>
  <c r="P690" i="72"/>
  <c r="P691" i="72"/>
  <c r="P692" i="72"/>
  <c r="P693" i="72"/>
  <c r="P694" i="72"/>
  <c r="P695" i="72"/>
  <c r="P696" i="72"/>
  <c r="P697" i="72"/>
  <c r="P698" i="72"/>
  <c r="P699" i="72"/>
  <c r="P700" i="72"/>
  <c r="P701" i="72"/>
  <c r="P702" i="72"/>
  <c r="P703" i="72"/>
  <c r="P704" i="72"/>
  <c r="P705" i="72"/>
  <c r="P706" i="72"/>
  <c r="P707" i="72"/>
  <c r="P708" i="72"/>
  <c r="P709" i="72"/>
  <c r="P710" i="72"/>
  <c r="P711" i="72"/>
  <c r="P712" i="72"/>
  <c r="P713" i="72"/>
  <c r="P714" i="72"/>
  <c r="P715" i="72"/>
  <c r="P716" i="72"/>
  <c r="P717" i="72"/>
  <c r="P718" i="72"/>
  <c r="P719" i="72"/>
  <c r="P720" i="72"/>
  <c r="P721" i="72"/>
  <c r="P722" i="72"/>
  <c r="P723" i="72"/>
  <c r="P724" i="72"/>
  <c r="P725" i="72"/>
  <c r="P726" i="72"/>
  <c r="P727" i="72"/>
  <c r="P728" i="72"/>
  <c r="P729" i="72"/>
  <c r="P730" i="72"/>
  <c r="P731" i="72"/>
  <c r="P732" i="72"/>
  <c r="P733" i="72"/>
  <c r="P734" i="72"/>
  <c r="P735" i="72"/>
  <c r="P736" i="72"/>
  <c r="P737" i="72"/>
  <c r="P738" i="72"/>
  <c r="P739" i="72"/>
  <c r="P740" i="72"/>
  <c r="P741" i="72"/>
  <c r="P742" i="72"/>
  <c r="P743" i="72"/>
  <c r="P744" i="72"/>
  <c r="P745" i="72"/>
  <c r="P746" i="72"/>
  <c r="P747" i="72"/>
  <c r="P748" i="72"/>
  <c r="P749" i="72"/>
  <c r="P750" i="72"/>
  <c r="P751" i="72"/>
  <c r="P752" i="72"/>
  <c r="P753" i="72"/>
  <c r="P754" i="72"/>
  <c r="P755" i="72"/>
  <c r="P756" i="72"/>
  <c r="P757" i="72"/>
  <c r="P758" i="72"/>
  <c r="P759" i="72"/>
  <c r="P760" i="72"/>
  <c r="P761" i="72"/>
  <c r="P762" i="72"/>
  <c r="P763" i="72"/>
  <c r="P764" i="72"/>
  <c r="P765" i="72"/>
  <c r="P766" i="72"/>
  <c r="P767" i="72"/>
  <c r="P768" i="72"/>
  <c r="P769" i="72"/>
  <c r="P770" i="72"/>
  <c r="P771" i="72"/>
  <c r="P772" i="72"/>
  <c r="P773" i="72"/>
  <c r="P774" i="72"/>
  <c r="P775" i="72"/>
  <c r="P776" i="72"/>
  <c r="P777" i="72"/>
  <c r="P778" i="72"/>
  <c r="P779" i="72"/>
  <c r="P780" i="72"/>
  <c r="P781" i="72"/>
  <c r="P782" i="72"/>
  <c r="P783" i="72"/>
  <c r="P784" i="72"/>
  <c r="P785" i="72"/>
  <c r="P786" i="72"/>
  <c r="P787" i="72"/>
  <c r="P788" i="72"/>
  <c r="P789" i="72"/>
  <c r="P790" i="72"/>
  <c r="P791" i="72"/>
  <c r="P792" i="72"/>
  <c r="P793" i="72"/>
  <c r="P794" i="72"/>
  <c r="P795" i="72"/>
  <c r="P796" i="72"/>
  <c r="P797" i="72"/>
  <c r="P798" i="72"/>
  <c r="P799" i="72"/>
  <c r="P800" i="72"/>
  <c r="P801" i="72"/>
  <c r="P802" i="72"/>
  <c r="P803" i="72"/>
  <c r="P804" i="72"/>
  <c r="P805" i="72"/>
  <c r="P806" i="72"/>
  <c r="P807" i="72"/>
  <c r="P808" i="72"/>
  <c r="P809" i="72"/>
  <c r="P810" i="72"/>
  <c r="P811" i="72"/>
  <c r="P812" i="72"/>
  <c r="P813" i="72"/>
  <c r="P814" i="72"/>
  <c r="P815" i="72"/>
  <c r="P816" i="72"/>
  <c r="P817" i="72"/>
  <c r="P818" i="72"/>
  <c r="P819" i="72"/>
  <c r="P820" i="72"/>
  <c r="P821" i="72"/>
  <c r="P822" i="72"/>
  <c r="P823" i="72"/>
  <c r="P824" i="72"/>
  <c r="P825" i="72"/>
  <c r="P826" i="72"/>
  <c r="P827" i="72"/>
  <c r="P828" i="72"/>
  <c r="P829" i="72"/>
  <c r="P830" i="72"/>
  <c r="P831" i="72"/>
  <c r="P832" i="72"/>
  <c r="P833" i="72"/>
  <c r="P834" i="72"/>
  <c r="P835" i="72"/>
  <c r="P836" i="72"/>
  <c r="P837" i="72"/>
  <c r="P838" i="72"/>
  <c r="P839" i="72"/>
  <c r="P840" i="72"/>
  <c r="P841" i="72"/>
  <c r="P842" i="72"/>
  <c r="P843" i="72"/>
  <c r="P844" i="72"/>
  <c r="P845" i="72"/>
  <c r="P846" i="72"/>
  <c r="P847" i="72"/>
  <c r="P848" i="72"/>
  <c r="P849" i="72"/>
  <c r="P850" i="72"/>
  <c r="P851" i="72"/>
  <c r="P852" i="72"/>
  <c r="P853" i="72"/>
  <c r="P854" i="72"/>
  <c r="P855" i="72"/>
  <c r="P856" i="72"/>
  <c r="P857" i="72"/>
  <c r="P858" i="72"/>
  <c r="P859" i="72"/>
  <c r="P860" i="72"/>
  <c r="P861" i="72"/>
  <c r="P862" i="72"/>
  <c r="P863" i="72"/>
  <c r="P864" i="72"/>
  <c r="P865" i="72"/>
  <c r="P866" i="72"/>
  <c r="P867" i="72"/>
  <c r="P868" i="72"/>
  <c r="P869" i="72"/>
  <c r="P870" i="72"/>
  <c r="P871" i="72"/>
  <c r="P872" i="72"/>
  <c r="P873" i="72"/>
  <c r="P874" i="72"/>
  <c r="P875" i="72"/>
  <c r="P876" i="72"/>
  <c r="P877" i="72"/>
  <c r="P878" i="72"/>
  <c r="P879" i="72"/>
  <c r="P880" i="72"/>
  <c r="P881" i="72"/>
  <c r="P882" i="72"/>
  <c r="P883" i="72"/>
  <c r="P884" i="72"/>
  <c r="P885" i="72"/>
  <c r="P886" i="72"/>
  <c r="P887" i="72"/>
  <c r="P888" i="72"/>
  <c r="P889" i="72"/>
  <c r="P890" i="72"/>
  <c r="P891" i="72"/>
  <c r="P892" i="72"/>
  <c r="P893" i="72"/>
  <c r="P894" i="72"/>
  <c r="P895" i="72"/>
  <c r="P896" i="72"/>
  <c r="P897" i="72"/>
  <c r="P898" i="72"/>
  <c r="P899" i="72"/>
  <c r="P900" i="72"/>
  <c r="P901" i="72"/>
  <c r="P902" i="72"/>
  <c r="P903" i="72"/>
  <c r="P904" i="72"/>
  <c r="P905" i="72"/>
  <c r="P906" i="72"/>
  <c r="P907" i="72"/>
  <c r="P908" i="72"/>
  <c r="P909" i="72"/>
  <c r="P910" i="72"/>
  <c r="P911" i="72"/>
  <c r="P912" i="72"/>
  <c r="P913" i="72"/>
  <c r="P914" i="72"/>
  <c r="P915" i="72"/>
  <c r="P916" i="72"/>
  <c r="P917" i="72"/>
  <c r="P918" i="72"/>
  <c r="P919" i="72"/>
  <c r="P920" i="72"/>
  <c r="P921" i="72"/>
  <c r="P922" i="72"/>
  <c r="P923" i="72"/>
  <c r="P924" i="72"/>
  <c r="P925" i="72"/>
  <c r="P926" i="72"/>
  <c r="P927" i="72"/>
  <c r="P928" i="72"/>
  <c r="P929" i="72"/>
  <c r="P930" i="72"/>
  <c r="P931" i="72"/>
  <c r="P932" i="72"/>
  <c r="P933" i="72"/>
  <c r="P934" i="72"/>
  <c r="P935" i="72"/>
  <c r="P936" i="72"/>
  <c r="P937" i="72"/>
  <c r="P938" i="72"/>
  <c r="P939" i="72"/>
  <c r="P940" i="72"/>
  <c r="P941" i="72"/>
  <c r="P942" i="72"/>
  <c r="P943" i="72"/>
  <c r="P944" i="72"/>
  <c r="P945" i="72"/>
  <c r="P946" i="72"/>
  <c r="P947" i="72"/>
  <c r="P948" i="72"/>
  <c r="P949" i="72"/>
  <c r="P950" i="72"/>
  <c r="P951" i="72"/>
  <c r="P952" i="72"/>
  <c r="P953" i="72"/>
  <c r="P954" i="72"/>
  <c r="P955" i="72"/>
  <c r="P956" i="72"/>
  <c r="P957" i="72"/>
  <c r="P958" i="72"/>
  <c r="P959" i="72"/>
  <c r="P960" i="72"/>
  <c r="P961" i="72"/>
  <c r="P962" i="72"/>
  <c r="P963" i="72"/>
  <c r="P964" i="72"/>
  <c r="P965" i="72"/>
  <c r="P966" i="72"/>
  <c r="P967" i="72"/>
  <c r="P968" i="72"/>
  <c r="P969" i="72"/>
  <c r="P970" i="72"/>
  <c r="P971" i="72"/>
  <c r="P972" i="72"/>
  <c r="P973" i="72"/>
  <c r="P974" i="72"/>
  <c r="P975" i="72"/>
  <c r="P976" i="72"/>
  <c r="P977" i="72"/>
  <c r="P978" i="72"/>
  <c r="P979" i="72"/>
  <c r="P980" i="72"/>
  <c r="P981" i="72"/>
  <c r="P982" i="72"/>
  <c r="P983" i="72"/>
  <c r="P984" i="72"/>
  <c r="P985" i="72"/>
  <c r="P986" i="72"/>
  <c r="P987" i="72"/>
  <c r="P988" i="72"/>
  <c r="P989" i="72"/>
  <c r="P990" i="72"/>
  <c r="P991" i="72"/>
  <c r="P992" i="72"/>
  <c r="P993" i="72"/>
  <c r="P994" i="72"/>
  <c r="P995" i="72"/>
  <c r="P996" i="72"/>
  <c r="P997" i="72"/>
  <c r="P998" i="72"/>
  <c r="P999" i="72"/>
  <c r="P1000" i="72"/>
  <c r="P1001" i="72"/>
  <c r="P1002" i="72"/>
  <c r="P1003" i="72"/>
  <c r="P1004" i="72"/>
  <c r="P1005" i="72"/>
  <c r="P1006" i="72"/>
  <c r="P1007" i="72"/>
  <c r="P1008" i="72"/>
  <c r="P1009" i="72"/>
  <c r="P1010" i="72"/>
  <c r="P1011" i="72"/>
  <c r="P1012" i="72"/>
  <c r="P1013" i="72"/>
  <c r="P1014" i="72"/>
  <c r="P1015" i="72"/>
  <c r="P1016" i="72"/>
  <c r="P1017" i="72"/>
  <c r="P1018" i="72"/>
  <c r="P1019" i="72"/>
  <c r="P1020" i="72"/>
  <c r="P1021" i="72"/>
  <c r="P1022" i="72"/>
  <c r="P1023" i="72"/>
  <c r="P1024" i="72"/>
  <c r="P1025" i="72"/>
  <c r="P1026" i="72"/>
  <c r="P1027" i="72"/>
  <c r="P1028" i="72"/>
  <c r="P1029" i="72"/>
  <c r="P1030" i="72"/>
  <c r="P1031" i="72"/>
  <c r="P1032" i="72"/>
  <c r="P1033" i="72"/>
  <c r="P1034" i="72"/>
  <c r="P1035" i="72"/>
  <c r="P1036" i="72"/>
  <c r="P1037" i="72"/>
  <c r="P1038" i="72"/>
  <c r="P1039" i="72"/>
  <c r="P1040" i="72"/>
  <c r="P1041" i="72"/>
  <c r="P1042" i="72"/>
  <c r="P1043" i="72"/>
  <c r="P1044" i="72"/>
  <c r="P1045" i="72"/>
  <c r="P1046" i="72"/>
  <c r="P1047" i="72"/>
  <c r="P1048" i="72"/>
  <c r="P1049" i="72"/>
  <c r="P1050" i="72"/>
  <c r="P1051" i="72"/>
  <c r="P1052" i="72"/>
  <c r="P1053" i="72"/>
  <c r="P1054" i="72"/>
  <c r="P1055" i="72"/>
  <c r="P1056" i="72"/>
  <c r="P1057" i="72"/>
  <c r="P1058" i="72"/>
  <c r="P1059" i="72"/>
  <c r="P1060" i="72"/>
  <c r="P1061" i="72"/>
  <c r="P1062" i="72"/>
  <c r="P1063" i="72"/>
  <c r="P1064" i="72"/>
  <c r="P1065" i="72"/>
  <c r="P1066" i="72"/>
  <c r="P1067" i="72"/>
  <c r="P1068" i="72"/>
  <c r="P1069" i="72"/>
  <c r="P1070" i="72"/>
  <c r="P1071" i="72"/>
  <c r="P1072" i="72"/>
  <c r="P1073" i="72"/>
  <c r="P1074" i="72"/>
  <c r="P1075" i="72"/>
  <c r="P1076" i="72"/>
  <c r="P1077" i="72"/>
  <c r="P1078" i="72"/>
  <c r="P1079" i="72"/>
  <c r="P1080" i="72"/>
  <c r="P1081" i="72"/>
  <c r="P1082" i="72"/>
  <c r="P1083" i="72"/>
  <c r="P1084" i="72"/>
  <c r="P1085" i="72"/>
  <c r="P1086" i="72"/>
  <c r="P1087" i="72"/>
  <c r="P1088" i="72"/>
  <c r="P1089" i="72"/>
  <c r="P1090" i="72"/>
  <c r="P1091" i="72"/>
  <c r="P1092" i="72"/>
  <c r="P1093" i="72"/>
  <c r="P1094" i="72"/>
  <c r="P1095" i="72"/>
  <c r="P1096" i="72"/>
  <c r="P1097" i="72"/>
  <c r="P1098" i="72"/>
  <c r="P1099" i="72"/>
  <c r="P1100" i="72"/>
  <c r="P1101" i="72"/>
  <c r="P1102" i="72"/>
  <c r="P1103" i="72"/>
  <c r="P1104" i="72"/>
  <c r="P1105" i="72"/>
  <c r="P1106" i="72"/>
  <c r="P1107" i="72"/>
  <c r="P1108" i="72"/>
  <c r="P1109" i="72"/>
  <c r="P1110" i="72"/>
  <c r="P1111" i="72"/>
  <c r="P1112" i="72"/>
  <c r="P1113" i="72"/>
  <c r="P1114" i="72"/>
  <c r="P1115" i="72"/>
  <c r="P1116" i="72"/>
  <c r="P1117" i="72"/>
  <c r="P1118" i="72"/>
  <c r="P1119" i="72"/>
  <c r="P1120" i="72"/>
  <c r="P1121" i="72"/>
  <c r="P1122" i="72"/>
  <c r="P1123" i="72"/>
  <c r="P1124" i="72"/>
  <c r="P1125" i="72"/>
  <c r="P1126" i="72"/>
  <c r="P1127" i="72"/>
  <c r="P1128" i="72"/>
  <c r="P1129" i="72"/>
  <c r="P1130" i="72"/>
  <c r="P1131" i="72"/>
  <c r="P1132" i="72"/>
  <c r="P1133" i="72"/>
  <c r="P1134" i="72"/>
  <c r="P1135" i="72"/>
  <c r="P1136" i="72"/>
  <c r="P1137" i="72"/>
  <c r="P1138" i="72"/>
  <c r="P1139" i="72"/>
  <c r="P1140" i="72"/>
  <c r="P1141" i="72"/>
  <c r="P1142" i="72"/>
  <c r="P1143" i="72"/>
  <c r="P1144" i="72"/>
  <c r="P1145" i="72"/>
  <c r="P1146" i="72"/>
  <c r="P1147" i="72"/>
  <c r="P1148" i="72"/>
  <c r="P1149" i="72"/>
  <c r="P1150" i="72"/>
  <c r="P1151" i="72"/>
  <c r="P1152" i="72"/>
  <c r="P1153" i="72"/>
  <c r="P1154" i="72"/>
  <c r="P1155" i="72"/>
  <c r="P1156" i="72"/>
  <c r="P1157" i="72"/>
  <c r="P1158" i="72"/>
  <c r="P1159" i="72"/>
  <c r="P1160" i="72"/>
  <c r="P1161" i="72"/>
  <c r="P1162" i="72"/>
  <c r="P1163" i="72"/>
  <c r="P1164" i="72"/>
  <c r="P1165" i="72"/>
  <c r="P1166" i="72"/>
  <c r="P1167" i="72"/>
  <c r="P1168" i="72"/>
  <c r="P1169" i="72"/>
  <c r="P1170" i="72"/>
  <c r="P1171" i="72"/>
  <c r="P1172" i="72"/>
  <c r="P1173" i="72"/>
  <c r="P1174" i="72"/>
  <c r="P1175" i="72"/>
  <c r="P1176" i="72"/>
  <c r="P1177" i="72"/>
  <c r="P1178" i="72"/>
  <c r="P1179" i="72"/>
  <c r="P1180" i="72"/>
  <c r="P1181" i="72"/>
  <c r="P1182" i="72"/>
  <c r="P1183" i="72"/>
  <c r="P1184" i="72"/>
  <c r="P1185" i="72"/>
  <c r="P1186" i="72"/>
  <c r="P1187" i="72"/>
  <c r="P1188" i="72"/>
  <c r="P1189" i="72"/>
  <c r="P1190" i="72"/>
  <c r="P1191" i="72"/>
  <c r="P1192" i="72"/>
  <c r="P1193" i="72"/>
  <c r="P1194" i="72"/>
  <c r="P1195" i="72"/>
  <c r="P1196" i="72"/>
  <c r="P1197" i="72"/>
  <c r="P1198" i="72"/>
  <c r="P1199" i="72"/>
  <c r="P1200" i="72"/>
  <c r="P1201" i="72"/>
  <c r="P1202" i="72"/>
  <c r="P1203" i="72"/>
  <c r="P1204" i="72"/>
  <c r="P1205" i="72"/>
  <c r="P1206" i="72"/>
  <c r="P1207" i="72"/>
  <c r="P1208" i="72"/>
  <c r="P1209" i="72"/>
  <c r="P1210" i="72"/>
  <c r="P1211" i="72"/>
  <c r="P1212" i="72"/>
  <c r="P1213" i="72"/>
  <c r="P1214" i="72"/>
  <c r="P1215" i="72"/>
  <c r="P1216" i="72"/>
  <c r="P1217" i="72"/>
  <c r="P1218" i="72"/>
  <c r="P1219" i="72"/>
  <c r="P1220" i="72"/>
  <c r="P1221" i="72"/>
  <c r="P1222" i="72"/>
  <c r="P1223" i="72"/>
  <c r="P1224" i="72"/>
  <c r="P1225" i="72"/>
  <c r="P1226" i="72"/>
  <c r="P1227" i="72"/>
  <c r="P1228" i="72"/>
  <c r="P1229" i="72"/>
  <c r="P1230" i="72"/>
  <c r="P1231" i="72"/>
  <c r="P1232" i="72"/>
  <c r="P1233" i="72"/>
  <c r="P1234" i="72"/>
  <c r="P1235" i="72"/>
  <c r="P1236" i="72"/>
  <c r="P1237" i="72"/>
  <c r="P1238" i="72"/>
  <c r="P1239" i="72"/>
  <c r="P1240" i="72"/>
  <c r="P1241" i="72"/>
  <c r="P1242" i="72"/>
  <c r="P1243" i="72"/>
  <c r="P1244" i="72"/>
  <c r="P1245" i="72"/>
  <c r="P1246" i="72"/>
  <c r="P1247" i="72"/>
  <c r="P1248" i="72"/>
  <c r="P1249" i="72"/>
  <c r="P1250" i="72"/>
  <c r="P1251" i="72"/>
  <c r="P1252" i="72"/>
  <c r="V501" i="72"/>
  <c r="V502" i="72"/>
  <c r="V503" i="72"/>
  <c r="V504" i="72"/>
  <c r="V505" i="72"/>
  <c r="V506" i="72"/>
  <c r="V507" i="72"/>
  <c r="V508" i="72"/>
  <c r="V509" i="72"/>
  <c r="V510" i="72"/>
  <c r="V511" i="72"/>
  <c r="V512" i="72"/>
  <c r="V513" i="72"/>
  <c r="V514" i="72"/>
  <c r="V515" i="72"/>
  <c r="V516" i="72"/>
  <c r="V517" i="72"/>
  <c r="V518" i="72"/>
  <c r="V519" i="72"/>
  <c r="V520" i="72"/>
  <c r="V521" i="72"/>
  <c r="V522" i="72"/>
  <c r="V523" i="72"/>
  <c r="V524" i="72"/>
  <c r="V525" i="72"/>
  <c r="V526" i="72"/>
  <c r="V527" i="72"/>
  <c r="V528" i="72"/>
  <c r="V529" i="72"/>
  <c r="V530" i="72"/>
  <c r="V531" i="72"/>
  <c r="V532" i="72"/>
  <c r="V533" i="72"/>
  <c r="V534" i="72"/>
  <c r="V535" i="72"/>
  <c r="V536" i="72"/>
  <c r="V537" i="72"/>
  <c r="V538" i="72"/>
  <c r="V539" i="72"/>
  <c r="V540" i="72"/>
  <c r="V541" i="72"/>
  <c r="V542" i="72"/>
  <c r="V543" i="72"/>
  <c r="V544" i="72"/>
  <c r="V545" i="72"/>
  <c r="V546" i="72"/>
  <c r="V547" i="72"/>
  <c r="V548" i="72"/>
  <c r="V549" i="72"/>
  <c r="V550" i="72"/>
  <c r="V551" i="72"/>
  <c r="V552" i="72"/>
  <c r="V553" i="72"/>
  <c r="V554" i="72"/>
  <c r="V555" i="72"/>
  <c r="V556" i="72"/>
  <c r="V557" i="72"/>
  <c r="V558" i="72"/>
  <c r="V559" i="72"/>
  <c r="V560" i="72"/>
  <c r="V561" i="72"/>
  <c r="V562" i="72"/>
  <c r="V563" i="72"/>
  <c r="V564" i="72"/>
  <c r="V565" i="72"/>
  <c r="V566" i="72"/>
  <c r="V567" i="72"/>
  <c r="V568" i="72"/>
  <c r="V569" i="72"/>
  <c r="V570" i="72"/>
  <c r="V571" i="72"/>
  <c r="V572" i="72"/>
  <c r="V573" i="72"/>
  <c r="V574" i="72"/>
  <c r="V575" i="72"/>
  <c r="V576" i="72"/>
  <c r="V577" i="72"/>
  <c r="V578" i="72"/>
  <c r="V579" i="72"/>
  <c r="V580" i="72"/>
  <c r="V581" i="72"/>
  <c r="V582" i="72"/>
  <c r="V583" i="72"/>
  <c r="V584" i="72"/>
  <c r="V585" i="72"/>
  <c r="V586" i="72"/>
  <c r="V587" i="72"/>
  <c r="V588" i="72"/>
  <c r="V589" i="72"/>
  <c r="V590" i="72"/>
  <c r="V591" i="72"/>
  <c r="V592" i="72"/>
  <c r="V593" i="72"/>
  <c r="V594" i="72"/>
  <c r="V595" i="72"/>
  <c r="V596" i="72"/>
  <c r="V597" i="72"/>
  <c r="V598" i="72"/>
  <c r="V599" i="72"/>
  <c r="V600" i="72"/>
  <c r="V601" i="72"/>
  <c r="V602" i="72"/>
  <c r="V603" i="72"/>
  <c r="V604" i="72"/>
  <c r="V605" i="72"/>
  <c r="V606" i="72"/>
  <c r="V607" i="72"/>
  <c r="V608" i="72"/>
  <c r="V609" i="72"/>
  <c r="V610" i="72"/>
  <c r="V611" i="72"/>
  <c r="V612" i="72"/>
  <c r="V613" i="72"/>
  <c r="V614" i="72"/>
  <c r="V615" i="72"/>
  <c r="V616" i="72"/>
  <c r="V617" i="72"/>
  <c r="V618" i="72"/>
  <c r="V619" i="72"/>
  <c r="V620" i="72"/>
  <c r="V621" i="72"/>
  <c r="V622" i="72"/>
  <c r="V623" i="72"/>
  <c r="V624" i="72"/>
  <c r="V625" i="72"/>
  <c r="V626" i="72"/>
  <c r="V627" i="72"/>
  <c r="V628" i="72"/>
  <c r="V629" i="72"/>
  <c r="V630" i="72"/>
  <c r="V631" i="72"/>
  <c r="V632" i="72"/>
  <c r="V633" i="72"/>
  <c r="V634" i="72"/>
  <c r="V635" i="72"/>
  <c r="V636" i="72"/>
  <c r="V637" i="72"/>
  <c r="V638" i="72"/>
  <c r="V639" i="72"/>
  <c r="V640" i="72"/>
  <c r="V641" i="72"/>
  <c r="V642" i="72"/>
  <c r="V643" i="72"/>
  <c r="V644" i="72"/>
  <c r="V645" i="72"/>
  <c r="V646" i="72"/>
  <c r="V647" i="72"/>
  <c r="V648" i="72"/>
  <c r="V649" i="72"/>
  <c r="V650" i="72"/>
  <c r="V651" i="72"/>
  <c r="V652" i="72"/>
  <c r="V653" i="72"/>
  <c r="V654" i="72"/>
  <c r="V655" i="72"/>
  <c r="V656" i="72"/>
  <c r="V657" i="72"/>
  <c r="V658" i="72"/>
  <c r="V659" i="72"/>
  <c r="V660" i="72"/>
  <c r="V661" i="72"/>
  <c r="V662" i="72"/>
  <c r="V663" i="72"/>
  <c r="V664" i="72"/>
  <c r="V665" i="72"/>
  <c r="V666" i="72"/>
  <c r="V667" i="72"/>
  <c r="V668" i="72"/>
  <c r="V669" i="72"/>
  <c r="V670" i="72"/>
  <c r="V671" i="72"/>
  <c r="V672" i="72"/>
  <c r="V673" i="72"/>
  <c r="V674" i="72"/>
  <c r="V675" i="72"/>
  <c r="V676" i="72"/>
  <c r="V677" i="72"/>
  <c r="V678" i="72"/>
  <c r="V679" i="72"/>
  <c r="V680" i="72"/>
  <c r="V681" i="72"/>
  <c r="V682" i="72"/>
  <c r="V683" i="72"/>
  <c r="V684" i="72"/>
  <c r="V685" i="72"/>
  <c r="V686" i="72"/>
  <c r="V687" i="72"/>
  <c r="V688" i="72"/>
  <c r="V689" i="72"/>
  <c r="V690" i="72"/>
  <c r="V691" i="72"/>
  <c r="V692" i="72"/>
  <c r="V693" i="72"/>
  <c r="V694" i="72"/>
  <c r="V695" i="72"/>
  <c r="V696" i="72"/>
  <c r="V697" i="72"/>
  <c r="V698" i="72"/>
  <c r="V699" i="72"/>
  <c r="V700" i="72"/>
  <c r="V701" i="72"/>
  <c r="V702" i="72"/>
  <c r="V703" i="72"/>
  <c r="V704" i="72"/>
  <c r="V705" i="72"/>
  <c r="V706" i="72"/>
  <c r="V707" i="72"/>
  <c r="V708" i="72"/>
  <c r="V709" i="72"/>
  <c r="V710" i="72"/>
  <c r="V711" i="72"/>
  <c r="V712" i="72"/>
  <c r="V713" i="72"/>
  <c r="V714" i="72"/>
  <c r="V715" i="72"/>
  <c r="V716" i="72"/>
  <c r="V717" i="72"/>
  <c r="V718" i="72"/>
  <c r="V719" i="72"/>
  <c r="V720" i="72"/>
  <c r="V721" i="72"/>
  <c r="V722" i="72"/>
  <c r="V723" i="72"/>
  <c r="V724" i="72"/>
  <c r="V725" i="72"/>
  <c r="V726" i="72"/>
  <c r="V727" i="72"/>
  <c r="V728" i="72"/>
  <c r="V729" i="72"/>
  <c r="V730" i="72"/>
  <c r="V731" i="72"/>
  <c r="V732" i="72"/>
  <c r="V733" i="72"/>
  <c r="V734" i="72"/>
  <c r="V735" i="72"/>
  <c r="V736" i="72"/>
  <c r="V737" i="72"/>
  <c r="V738" i="72"/>
  <c r="V739" i="72"/>
  <c r="V740" i="72"/>
  <c r="V741" i="72"/>
  <c r="V742" i="72"/>
  <c r="V743" i="72"/>
  <c r="V744" i="72"/>
  <c r="V745" i="72"/>
  <c r="V746" i="72"/>
  <c r="V747" i="72"/>
  <c r="V748" i="72"/>
  <c r="V749" i="72"/>
  <c r="V750" i="72"/>
  <c r="V751" i="72"/>
  <c r="V752" i="72"/>
  <c r="V753" i="72"/>
  <c r="V754" i="72"/>
  <c r="V755" i="72"/>
  <c r="V756" i="72"/>
  <c r="V757" i="72"/>
  <c r="V758" i="72"/>
  <c r="V759" i="72"/>
  <c r="V760" i="72"/>
  <c r="V761" i="72"/>
  <c r="V762" i="72"/>
  <c r="V763" i="72"/>
  <c r="V764" i="72"/>
  <c r="V765" i="72"/>
  <c r="V766" i="72"/>
  <c r="V767" i="72"/>
  <c r="V768" i="72"/>
  <c r="V769" i="72"/>
  <c r="V770" i="72"/>
  <c r="V771" i="72"/>
  <c r="V772" i="72"/>
  <c r="V773" i="72"/>
  <c r="V774" i="72"/>
  <c r="V775" i="72"/>
  <c r="V776" i="72"/>
  <c r="V777" i="72"/>
  <c r="V778" i="72"/>
  <c r="V779" i="72"/>
  <c r="V780" i="72"/>
  <c r="V781" i="72"/>
  <c r="V782" i="72"/>
  <c r="V783" i="72"/>
  <c r="V784" i="72"/>
  <c r="V785" i="72"/>
  <c r="V786" i="72"/>
  <c r="V787" i="72"/>
  <c r="V788" i="72"/>
  <c r="V789" i="72"/>
  <c r="V790" i="72"/>
  <c r="V791" i="72"/>
  <c r="V792" i="72"/>
  <c r="V793" i="72"/>
  <c r="V794" i="72"/>
  <c r="V795" i="72"/>
  <c r="V796" i="72"/>
  <c r="V797" i="72"/>
  <c r="V798" i="72"/>
  <c r="V799" i="72"/>
  <c r="V800" i="72"/>
  <c r="V801" i="72"/>
  <c r="V802" i="72"/>
  <c r="V803" i="72"/>
  <c r="V804" i="72"/>
  <c r="V805" i="72"/>
  <c r="V806" i="72"/>
  <c r="V807" i="72"/>
  <c r="V808" i="72"/>
  <c r="V809" i="72"/>
  <c r="V810" i="72"/>
  <c r="V811" i="72"/>
  <c r="V812" i="72"/>
  <c r="V813" i="72"/>
  <c r="V814" i="72"/>
  <c r="V815" i="72"/>
  <c r="V816" i="72"/>
  <c r="V817" i="72"/>
  <c r="V818" i="72"/>
  <c r="V819" i="72"/>
  <c r="V820" i="72"/>
  <c r="V821" i="72"/>
  <c r="V822" i="72"/>
  <c r="V823" i="72"/>
  <c r="V824" i="72"/>
  <c r="V825" i="72"/>
  <c r="V826" i="72"/>
  <c r="V827" i="72"/>
  <c r="V828" i="72"/>
  <c r="V829" i="72"/>
  <c r="V830" i="72"/>
  <c r="V831" i="72"/>
  <c r="V832" i="72"/>
  <c r="V833" i="72"/>
  <c r="V834" i="72"/>
  <c r="V835" i="72"/>
  <c r="V836" i="72"/>
  <c r="V837" i="72"/>
  <c r="V838" i="72"/>
  <c r="V839" i="72"/>
  <c r="V840" i="72"/>
  <c r="V841" i="72"/>
  <c r="V842" i="72"/>
  <c r="V843" i="72"/>
  <c r="V844" i="72"/>
  <c r="V845" i="72"/>
  <c r="V846" i="72"/>
  <c r="V847" i="72"/>
  <c r="V848" i="72"/>
  <c r="V849" i="72"/>
  <c r="V850" i="72"/>
  <c r="V851" i="72"/>
  <c r="V852" i="72"/>
  <c r="V853" i="72"/>
  <c r="V854" i="72"/>
  <c r="V855" i="72"/>
  <c r="V856" i="72"/>
  <c r="V857" i="72"/>
  <c r="V858" i="72"/>
  <c r="V859" i="72"/>
  <c r="V860" i="72"/>
  <c r="V861" i="72"/>
  <c r="V862" i="72"/>
  <c r="V863" i="72"/>
  <c r="V864" i="72"/>
  <c r="V865" i="72"/>
  <c r="V866" i="72"/>
  <c r="V867" i="72"/>
  <c r="V868" i="72"/>
  <c r="V869" i="72"/>
  <c r="V870" i="72"/>
  <c r="V871" i="72"/>
  <c r="V872" i="72"/>
  <c r="V873" i="72"/>
  <c r="V874" i="72"/>
  <c r="V875" i="72"/>
  <c r="V876" i="72"/>
  <c r="V877" i="72"/>
  <c r="V878" i="72"/>
  <c r="V879" i="72"/>
  <c r="V880" i="72"/>
  <c r="V881" i="72"/>
  <c r="V882" i="72"/>
  <c r="V883" i="72"/>
  <c r="V884" i="72"/>
  <c r="V885" i="72"/>
  <c r="V886" i="72"/>
  <c r="V887" i="72"/>
  <c r="V888" i="72"/>
  <c r="V889" i="72"/>
  <c r="V890" i="72"/>
  <c r="V891" i="72"/>
  <c r="V892" i="72"/>
  <c r="V893" i="72"/>
  <c r="V894" i="72"/>
  <c r="V895" i="72"/>
  <c r="V896" i="72"/>
  <c r="V897" i="72"/>
  <c r="V898" i="72"/>
  <c r="V899" i="72"/>
  <c r="V900" i="72"/>
  <c r="V901" i="72"/>
  <c r="V902" i="72"/>
  <c r="V903" i="72"/>
  <c r="V904" i="72"/>
  <c r="V905" i="72"/>
  <c r="V906" i="72"/>
  <c r="V907" i="72"/>
  <c r="V908" i="72"/>
  <c r="V909" i="72"/>
  <c r="V910" i="72"/>
  <c r="V911" i="72"/>
  <c r="V912" i="72"/>
  <c r="V913" i="72"/>
  <c r="V914" i="72"/>
  <c r="V915" i="72"/>
  <c r="V916" i="72"/>
  <c r="V917" i="72"/>
  <c r="V918" i="72"/>
  <c r="V919" i="72"/>
  <c r="V920" i="72"/>
  <c r="V921" i="72"/>
  <c r="V922" i="72"/>
  <c r="V923" i="72"/>
  <c r="V924" i="72"/>
  <c r="V925" i="72"/>
  <c r="V926" i="72"/>
  <c r="V927" i="72"/>
  <c r="V928" i="72"/>
  <c r="V929" i="72"/>
  <c r="V930" i="72"/>
  <c r="V931" i="72"/>
  <c r="V932" i="72"/>
  <c r="V933" i="72"/>
  <c r="V934" i="72"/>
  <c r="V935" i="72"/>
  <c r="V936" i="72"/>
  <c r="V937" i="72"/>
  <c r="V938" i="72"/>
  <c r="V939" i="72"/>
  <c r="V940" i="72"/>
  <c r="V941" i="72"/>
  <c r="V942" i="72"/>
  <c r="V943" i="72"/>
  <c r="V944" i="72"/>
  <c r="V945" i="72"/>
  <c r="V946" i="72"/>
  <c r="V947" i="72"/>
  <c r="V948" i="72"/>
  <c r="V949" i="72"/>
  <c r="V950" i="72"/>
  <c r="V951" i="72"/>
  <c r="V952" i="72"/>
  <c r="V953" i="72"/>
  <c r="V954" i="72"/>
  <c r="V955" i="72"/>
  <c r="V956" i="72"/>
  <c r="V957" i="72"/>
  <c r="V958" i="72"/>
  <c r="V959" i="72"/>
  <c r="V960" i="72"/>
  <c r="V961" i="72"/>
  <c r="V962" i="72"/>
  <c r="V963" i="72"/>
  <c r="V964" i="72"/>
  <c r="V965" i="72"/>
  <c r="V966" i="72"/>
  <c r="V967" i="72"/>
  <c r="V968" i="72"/>
  <c r="V969" i="72"/>
  <c r="V970" i="72"/>
  <c r="V971" i="72"/>
  <c r="V972" i="72"/>
  <c r="V973" i="72"/>
  <c r="V974" i="72"/>
  <c r="V975" i="72"/>
  <c r="V976" i="72"/>
  <c r="V977" i="72"/>
  <c r="V978" i="72"/>
  <c r="V979" i="72"/>
  <c r="V980" i="72"/>
  <c r="V981" i="72"/>
  <c r="V982" i="72"/>
  <c r="V983" i="72"/>
  <c r="V984" i="72"/>
  <c r="V985" i="72"/>
  <c r="V986" i="72"/>
  <c r="V987" i="72"/>
  <c r="V988" i="72"/>
  <c r="V989" i="72"/>
  <c r="V990" i="72"/>
  <c r="V991" i="72"/>
  <c r="V992" i="72"/>
  <c r="V993" i="72"/>
  <c r="V994" i="72"/>
  <c r="V995" i="72"/>
  <c r="V996" i="72"/>
  <c r="V997" i="72"/>
  <c r="V998" i="72"/>
  <c r="V999" i="72"/>
  <c r="V1000" i="72"/>
  <c r="V1001" i="72"/>
  <c r="V1002" i="72"/>
  <c r="V1003" i="72"/>
  <c r="V1004" i="72"/>
  <c r="V1005" i="72"/>
  <c r="V1006" i="72"/>
  <c r="V1007" i="72"/>
  <c r="V1008" i="72"/>
  <c r="V1009" i="72"/>
  <c r="V1010" i="72"/>
  <c r="V1011" i="72"/>
  <c r="V1012" i="72"/>
  <c r="V1013" i="72"/>
  <c r="V1014" i="72"/>
  <c r="V1015" i="72"/>
  <c r="V1016" i="72"/>
  <c r="V1017" i="72"/>
  <c r="V1018" i="72"/>
  <c r="V1019" i="72"/>
  <c r="V1020" i="72"/>
  <c r="V1021" i="72"/>
  <c r="V1022" i="72"/>
  <c r="V1023" i="72"/>
  <c r="V1024" i="72"/>
  <c r="V1025" i="72"/>
  <c r="V1026" i="72"/>
  <c r="V1027" i="72"/>
  <c r="V1028" i="72"/>
  <c r="V1029" i="72"/>
  <c r="V1030" i="72"/>
  <c r="V1031" i="72"/>
  <c r="V1032" i="72"/>
  <c r="V1033" i="72"/>
  <c r="V1034" i="72"/>
  <c r="V1035" i="72"/>
  <c r="V1036" i="72"/>
  <c r="V1037" i="72"/>
  <c r="V1038" i="72"/>
  <c r="V1039" i="72"/>
  <c r="V1040" i="72"/>
  <c r="V1041" i="72"/>
  <c r="V1042" i="72"/>
  <c r="V1043" i="72"/>
  <c r="V1044" i="72"/>
  <c r="V1045" i="72"/>
  <c r="V1046" i="72"/>
  <c r="V1047" i="72"/>
  <c r="V1048" i="72"/>
  <c r="V1049" i="72"/>
  <c r="V1050" i="72"/>
  <c r="V1051" i="72"/>
  <c r="V1052" i="72"/>
  <c r="V1053" i="72"/>
  <c r="V1054" i="72"/>
  <c r="V1055" i="72"/>
  <c r="V1056" i="72"/>
  <c r="V1057" i="72"/>
  <c r="V1058" i="72"/>
  <c r="V1059" i="72"/>
  <c r="V1060" i="72"/>
  <c r="V1061" i="72"/>
  <c r="V1062" i="72"/>
  <c r="V1063" i="72"/>
  <c r="V1064" i="72"/>
  <c r="V1065" i="72"/>
  <c r="V1066" i="72"/>
  <c r="V1067" i="72"/>
  <c r="V1068" i="72"/>
  <c r="V1069" i="72"/>
  <c r="V1070" i="72"/>
  <c r="V1071" i="72"/>
  <c r="V1072" i="72"/>
  <c r="V1073" i="72"/>
  <c r="V1074" i="72"/>
  <c r="V1075" i="72"/>
  <c r="V1076" i="72"/>
  <c r="V1077" i="72"/>
  <c r="V1078" i="72"/>
  <c r="V1079" i="72"/>
  <c r="V1080" i="72"/>
  <c r="V1081" i="72"/>
  <c r="V1082" i="72"/>
  <c r="V1083" i="72"/>
  <c r="V1084" i="72"/>
  <c r="V1085" i="72"/>
  <c r="V1086" i="72"/>
  <c r="V1087" i="72"/>
  <c r="V1088" i="72"/>
  <c r="V1089" i="72"/>
  <c r="V1090" i="72"/>
  <c r="V1091" i="72"/>
  <c r="V1092" i="72"/>
  <c r="V1093" i="72"/>
  <c r="V1094" i="72"/>
  <c r="V1095" i="72"/>
  <c r="V1096" i="72"/>
  <c r="V1097" i="72"/>
  <c r="V1098" i="72"/>
  <c r="V1099" i="72"/>
  <c r="V1100" i="72"/>
  <c r="V1101" i="72"/>
  <c r="V1102" i="72"/>
  <c r="V1103" i="72"/>
  <c r="V1104" i="72"/>
  <c r="V1105" i="72"/>
  <c r="V1106" i="72"/>
  <c r="V1107" i="72"/>
  <c r="V1108" i="72"/>
  <c r="V1109" i="72"/>
  <c r="V1110" i="72"/>
  <c r="V1111" i="72"/>
  <c r="V1112" i="72"/>
  <c r="V1113" i="72"/>
  <c r="V1114" i="72"/>
  <c r="V1115" i="72"/>
  <c r="V1116" i="72"/>
  <c r="V1117" i="72"/>
  <c r="V1118" i="72"/>
  <c r="V1119" i="72"/>
  <c r="V1120" i="72"/>
  <c r="V1121" i="72"/>
  <c r="V1122" i="72"/>
  <c r="V1123" i="72"/>
  <c r="V1124" i="72"/>
  <c r="V1125" i="72"/>
  <c r="V1126" i="72"/>
  <c r="V1127" i="72"/>
  <c r="V1128" i="72"/>
  <c r="V1129" i="72"/>
  <c r="V1130" i="72"/>
  <c r="V1131" i="72"/>
  <c r="V1132" i="72"/>
  <c r="V1133" i="72"/>
  <c r="V1134" i="72"/>
  <c r="V1135" i="72"/>
  <c r="V1136" i="72"/>
  <c r="V1137" i="72"/>
  <c r="V1138" i="72"/>
  <c r="V1139" i="72"/>
  <c r="V1140" i="72"/>
  <c r="V1141" i="72"/>
  <c r="V1142" i="72"/>
  <c r="V1143" i="72"/>
  <c r="V1144" i="72"/>
  <c r="V1145" i="72"/>
  <c r="V1146" i="72"/>
  <c r="V1147" i="72"/>
  <c r="V1148" i="72"/>
  <c r="V1149" i="72"/>
  <c r="V1150" i="72"/>
  <c r="V1151" i="72"/>
  <c r="V1152" i="72"/>
  <c r="V1153" i="72"/>
  <c r="V1154" i="72"/>
  <c r="V1155" i="72"/>
  <c r="V1156" i="72"/>
  <c r="V1157" i="72"/>
  <c r="V1158" i="72"/>
  <c r="V1159" i="72"/>
  <c r="V1160" i="72"/>
  <c r="V1161" i="72"/>
  <c r="V1162" i="72"/>
  <c r="V1163" i="72"/>
  <c r="V1164" i="72"/>
  <c r="V1165" i="72"/>
  <c r="V1166" i="72"/>
  <c r="V1167" i="72"/>
  <c r="V1168" i="72"/>
  <c r="V1169" i="72"/>
  <c r="V1170" i="72"/>
  <c r="V1171" i="72"/>
  <c r="V1172" i="72"/>
  <c r="V1173" i="72"/>
  <c r="V1174" i="72"/>
  <c r="V1175" i="72"/>
  <c r="V1176" i="72"/>
  <c r="V1177" i="72"/>
  <c r="V1178" i="72"/>
  <c r="V1179" i="72"/>
  <c r="V1180" i="72"/>
  <c r="V1181" i="72"/>
  <c r="V1182" i="72"/>
  <c r="V1183" i="72"/>
  <c r="V1184" i="72"/>
  <c r="V1185" i="72"/>
  <c r="V1186" i="72"/>
  <c r="V1187" i="72"/>
  <c r="V1188" i="72"/>
  <c r="V1189" i="72"/>
  <c r="V1190" i="72"/>
  <c r="V1191" i="72"/>
  <c r="V1192" i="72"/>
  <c r="V1193" i="72"/>
  <c r="V1194" i="72"/>
  <c r="V1195" i="72"/>
  <c r="V1196" i="72"/>
  <c r="V1197" i="72"/>
  <c r="V1198" i="72"/>
  <c r="V1199" i="72"/>
  <c r="V1200" i="72"/>
  <c r="V1201" i="72"/>
  <c r="V1202" i="72"/>
  <c r="V1203" i="72"/>
  <c r="V1204" i="72"/>
  <c r="V1205" i="72"/>
  <c r="V1206" i="72"/>
  <c r="V1207" i="72"/>
  <c r="V1208" i="72"/>
  <c r="V1209" i="72"/>
  <c r="V1210" i="72"/>
  <c r="V1211" i="72"/>
  <c r="V1212" i="72"/>
  <c r="V1213" i="72"/>
  <c r="V1214" i="72"/>
  <c r="V1215" i="72"/>
  <c r="V1216" i="72"/>
  <c r="V1217" i="72"/>
  <c r="V1218" i="72"/>
  <c r="V1219" i="72"/>
  <c r="V1220" i="72"/>
  <c r="V1221" i="72"/>
  <c r="V1222" i="72"/>
  <c r="V1223" i="72"/>
  <c r="V1224" i="72"/>
  <c r="V1225" i="72"/>
  <c r="V1226" i="72"/>
  <c r="V1227" i="72"/>
  <c r="V1228" i="72"/>
  <c r="V1229" i="72"/>
  <c r="V1230" i="72"/>
  <c r="V1231" i="72"/>
  <c r="V1232" i="72"/>
  <c r="V1233" i="72"/>
  <c r="V1234" i="72"/>
  <c r="V1235" i="72"/>
  <c r="V1236" i="72"/>
  <c r="V1237" i="72"/>
  <c r="V1238" i="72"/>
  <c r="V1239" i="72"/>
  <c r="V1240" i="72"/>
  <c r="V1241" i="72"/>
  <c r="V1242" i="72"/>
  <c r="V1243" i="72"/>
  <c r="V1244" i="72"/>
  <c r="V1245" i="72"/>
  <c r="V1246" i="72"/>
  <c r="V1247" i="72"/>
  <c r="V1248" i="72"/>
  <c r="V1249" i="72"/>
  <c r="V1250" i="72"/>
  <c r="V1251" i="72"/>
  <c r="V1252" i="72"/>
  <c r="W501" i="72"/>
  <c r="W502" i="72"/>
  <c r="W503" i="72"/>
  <c r="W504" i="72"/>
  <c r="W505" i="72"/>
  <c r="W506" i="72"/>
  <c r="W507" i="72"/>
  <c r="W508" i="72"/>
  <c r="W509" i="72"/>
  <c r="W510" i="72"/>
  <c r="W511" i="72"/>
  <c r="W512" i="72"/>
  <c r="W513" i="72"/>
  <c r="W514" i="72"/>
  <c r="W515" i="72"/>
  <c r="W516" i="72"/>
  <c r="W517" i="72"/>
  <c r="W518" i="72"/>
  <c r="W519" i="72"/>
  <c r="W520" i="72"/>
  <c r="W521" i="72"/>
  <c r="W522" i="72"/>
  <c r="W523" i="72"/>
  <c r="W524" i="72"/>
  <c r="W525" i="72"/>
  <c r="W526" i="72"/>
  <c r="W527" i="72"/>
  <c r="W528" i="72"/>
  <c r="W529" i="72"/>
  <c r="W530" i="72"/>
  <c r="W531" i="72"/>
  <c r="W532" i="72"/>
  <c r="W533" i="72"/>
  <c r="W534" i="72"/>
  <c r="W535" i="72"/>
  <c r="W536" i="72"/>
  <c r="W537" i="72"/>
  <c r="W538" i="72"/>
  <c r="W539" i="72"/>
  <c r="W540" i="72"/>
  <c r="W541" i="72"/>
  <c r="W542" i="72"/>
  <c r="W543" i="72"/>
  <c r="W544" i="72"/>
  <c r="W545" i="72"/>
  <c r="W546" i="72"/>
  <c r="W547" i="72"/>
  <c r="W548" i="72"/>
  <c r="W549" i="72"/>
  <c r="W550" i="72"/>
  <c r="W551" i="72"/>
  <c r="W552" i="72"/>
  <c r="W553" i="72"/>
  <c r="W554" i="72"/>
  <c r="W555" i="72"/>
  <c r="W556" i="72"/>
  <c r="W557" i="72"/>
  <c r="W558" i="72"/>
  <c r="W559" i="72"/>
  <c r="W560" i="72"/>
  <c r="W561" i="72"/>
  <c r="W562" i="72"/>
  <c r="W563" i="72"/>
  <c r="W564" i="72"/>
  <c r="W565" i="72"/>
  <c r="W566" i="72"/>
  <c r="W567" i="72"/>
  <c r="W568" i="72"/>
  <c r="W569" i="72"/>
  <c r="W570" i="72"/>
  <c r="W571" i="72"/>
  <c r="W572" i="72"/>
  <c r="W573" i="72"/>
  <c r="W574" i="72"/>
  <c r="W575" i="72"/>
  <c r="W576" i="72"/>
  <c r="W577" i="72"/>
  <c r="W578" i="72"/>
  <c r="W579" i="72"/>
  <c r="W580" i="72"/>
  <c r="W581" i="72"/>
  <c r="W582" i="72"/>
  <c r="W583" i="72"/>
  <c r="W584" i="72"/>
  <c r="W585" i="72"/>
  <c r="W586" i="72"/>
  <c r="W587" i="72"/>
  <c r="W588" i="72"/>
  <c r="W589" i="72"/>
  <c r="W590" i="72"/>
  <c r="W591" i="72"/>
  <c r="W592" i="72"/>
  <c r="W593" i="72"/>
  <c r="W594" i="72"/>
  <c r="W595" i="72"/>
  <c r="W596" i="72"/>
  <c r="W597" i="72"/>
  <c r="W598" i="72"/>
  <c r="W599" i="72"/>
  <c r="W600" i="72"/>
  <c r="W601" i="72"/>
  <c r="W602" i="72"/>
  <c r="W603" i="72"/>
  <c r="W604" i="72"/>
  <c r="W605" i="72"/>
  <c r="W606" i="72"/>
  <c r="W607" i="72"/>
  <c r="W608" i="72"/>
  <c r="W609" i="72"/>
  <c r="W610" i="72"/>
  <c r="W611" i="72"/>
  <c r="W612" i="72"/>
  <c r="W613" i="72"/>
  <c r="W614" i="72"/>
  <c r="W615" i="72"/>
  <c r="W616" i="72"/>
  <c r="W617" i="72"/>
  <c r="W618" i="72"/>
  <c r="W619" i="72"/>
  <c r="W620" i="72"/>
  <c r="W621" i="72"/>
  <c r="W622" i="72"/>
  <c r="W623" i="72"/>
  <c r="W624" i="72"/>
  <c r="W625" i="72"/>
  <c r="W626" i="72"/>
  <c r="W627" i="72"/>
  <c r="W628" i="72"/>
  <c r="W629" i="72"/>
  <c r="W630" i="72"/>
  <c r="W631" i="72"/>
  <c r="W632" i="72"/>
  <c r="W633" i="72"/>
  <c r="W634" i="72"/>
  <c r="W635" i="72"/>
  <c r="W636" i="72"/>
  <c r="W637" i="72"/>
  <c r="W638" i="72"/>
  <c r="W639" i="72"/>
  <c r="W640" i="72"/>
  <c r="W641" i="72"/>
  <c r="W642" i="72"/>
  <c r="W643" i="72"/>
  <c r="W644" i="72"/>
  <c r="W645" i="72"/>
  <c r="W646" i="72"/>
  <c r="W647" i="72"/>
  <c r="W648" i="72"/>
  <c r="W649" i="72"/>
  <c r="W650" i="72"/>
  <c r="W651" i="72"/>
  <c r="W652" i="72"/>
  <c r="W653" i="72"/>
  <c r="W654" i="72"/>
  <c r="W655" i="72"/>
  <c r="W656" i="72"/>
  <c r="W657" i="72"/>
  <c r="W658" i="72"/>
  <c r="W659" i="72"/>
  <c r="W660" i="72"/>
  <c r="W661" i="72"/>
  <c r="W662" i="72"/>
  <c r="W663" i="72"/>
  <c r="W664" i="72"/>
  <c r="W665" i="72"/>
  <c r="W666" i="72"/>
  <c r="W667" i="72"/>
  <c r="W668" i="72"/>
  <c r="W669" i="72"/>
  <c r="W670" i="72"/>
  <c r="W671" i="72"/>
  <c r="W672" i="72"/>
  <c r="W673" i="72"/>
  <c r="W674" i="72"/>
  <c r="W675" i="72"/>
  <c r="W676" i="72"/>
  <c r="W677" i="72"/>
  <c r="W678" i="72"/>
  <c r="W679" i="72"/>
  <c r="W680" i="72"/>
  <c r="W681" i="72"/>
  <c r="W682" i="72"/>
  <c r="W683" i="72"/>
  <c r="W684" i="72"/>
  <c r="W685" i="72"/>
  <c r="W686" i="72"/>
  <c r="W687" i="72"/>
  <c r="W688" i="72"/>
  <c r="W689" i="72"/>
  <c r="W690" i="72"/>
  <c r="W691" i="72"/>
  <c r="W692" i="72"/>
  <c r="W693" i="72"/>
  <c r="W694" i="72"/>
  <c r="W695" i="72"/>
  <c r="W696" i="72"/>
  <c r="W697" i="72"/>
  <c r="W698" i="72"/>
  <c r="W699" i="72"/>
  <c r="W700" i="72"/>
  <c r="W701" i="72"/>
  <c r="W702" i="72"/>
  <c r="W703" i="72"/>
  <c r="W704" i="72"/>
  <c r="W705" i="72"/>
  <c r="W706" i="72"/>
  <c r="W707" i="72"/>
  <c r="W708" i="72"/>
  <c r="W709" i="72"/>
  <c r="W710" i="72"/>
  <c r="W711" i="72"/>
  <c r="W712" i="72"/>
  <c r="W713" i="72"/>
  <c r="W714" i="72"/>
  <c r="W715" i="72"/>
  <c r="W716" i="72"/>
  <c r="W717" i="72"/>
  <c r="W718" i="72"/>
  <c r="W719" i="72"/>
  <c r="W720" i="72"/>
  <c r="W721" i="72"/>
  <c r="W722" i="72"/>
  <c r="W723" i="72"/>
  <c r="W724" i="72"/>
  <c r="W725" i="72"/>
  <c r="W726" i="72"/>
  <c r="W727" i="72"/>
  <c r="W728" i="72"/>
  <c r="W729" i="72"/>
  <c r="W730" i="72"/>
  <c r="W731" i="72"/>
  <c r="W732" i="72"/>
  <c r="W733" i="72"/>
  <c r="W734" i="72"/>
  <c r="W735" i="72"/>
  <c r="W736" i="72"/>
  <c r="W737" i="72"/>
  <c r="W738" i="72"/>
  <c r="W739" i="72"/>
  <c r="W740" i="72"/>
  <c r="W741" i="72"/>
  <c r="W742" i="72"/>
  <c r="W743" i="72"/>
  <c r="W744" i="72"/>
  <c r="W745" i="72"/>
  <c r="W746" i="72"/>
  <c r="W747" i="72"/>
  <c r="W748" i="72"/>
  <c r="W749" i="72"/>
  <c r="W750" i="72"/>
  <c r="W751" i="72"/>
  <c r="W752" i="72"/>
  <c r="W753" i="72"/>
  <c r="W754" i="72"/>
  <c r="W755" i="72"/>
  <c r="W756" i="72"/>
  <c r="W757" i="72"/>
  <c r="W758" i="72"/>
  <c r="W759" i="72"/>
  <c r="W760" i="72"/>
  <c r="W761" i="72"/>
  <c r="W762" i="72"/>
  <c r="W763" i="72"/>
  <c r="W764" i="72"/>
  <c r="W765" i="72"/>
  <c r="W766" i="72"/>
  <c r="W767" i="72"/>
  <c r="W768" i="72"/>
  <c r="W769" i="72"/>
  <c r="W770" i="72"/>
  <c r="W771" i="72"/>
  <c r="W772" i="72"/>
  <c r="W773" i="72"/>
  <c r="W774" i="72"/>
  <c r="W775" i="72"/>
  <c r="W776" i="72"/>
  <c r="W777" i="72"/>
  <c r="W778" i="72"/>
  <c r="W779" i="72"/>
  <c r="W780" i="72"/>
  <c r="W781" i="72"/>
  <c r="W782" i="72"/>
  <c r="W783" i="72"/>
  <c r="W784" i="72"/>
  <c r="W785" i="72"/>
  <c r="W786" i="72"/>
  <c r="W787" i="72"/>
  <c r="W788" i="72"/>
  <c r="W789" i="72"/>
  <c r="W790" i="72"/>
  <c r="W791" i="72"/>
  <c r="W792" i="72"/>
  <c r="W793" i="72"/>
  <c r="W794" i="72"/>
  <c r="W795" i="72"/>
  <c r="W796" i="72"/>
  <c r="W797" i="72"/>
  <c r="W798" i="72"/>
  <c r="W799" i="72"/>
  <c r="W800" i="72"/>
  <c r="W801" i="72"/>
  <c r="W802" i="72"/>
  <c r="W803" i="72"/>
  <c r="W804" i="72"/>
  <c r="W805" i="72"/>
  <c r="W806" i="72"/>
  <c r="W807" i="72"/>
  <c r="W808" i="72"/>
  <c r="W809" i="72"/>
  <c r="W810" i="72"/>
  <c r="W811" i="72"/>
  <c r="W812" i="72"/>
  <c r="W813" i="72"/>
  <c r="W814" i="72"/>
  <c r="W815" i="72"/>
  <c r="W816" i="72"/>
  <c r="W817" i="72"/>
  <c r="W818" i="72"/>
  <c r="W819" i="72"/>
  <c r="W820" i="72"/>
  <c r="W821" i="72"/>
  <c r="W822" i="72"/>
  <c r="W823" i="72"/>
  <c r="W824" i="72"/>
  <c r="W825" i="72"/>
  <c r="W826" i="72"/>
  <c r="W827" i="72"/>
  <c r="W828" i="72"/>
  <c r="W829" i="72"/>
  <c r="W830" i="72"/>
  <c r="W831" i="72"/>
  <c r="W832" i="72"/>
  <c r="W833" i="72"/>
  <c r="W834" i="72"/>
  <c r="W835" i="72"/>
  <c r="W836" i="72"/>
  <c r="W837" i="72"/>
  <c r="W838" i="72"/>
  <c r="W839" i="72"/>
  <c r="W840" i="72"/>
  <c r="W841" i="72"/>
  <c r="W842" i="72"/>
  <c r="W843" i="72"/>
  <c r="W844" i="72"/>
  <c r="W845" i="72"/>
  <c r="W846" i="72"/>
  <c r="W847" i="72"/>
  <c r="W848" i="72"/>
  <c r="W849" i="72"/>
  <c r="W850" i="72"/>
  <c r="W851" i="72"/>
  <c r="W852" i="72"/>
  <c r="W853" i="72"/>
  <c r="W854" i="72"/>
  <c r="W855" i="72"/>
  <c r="W856" i="72"/>
  <c r="W857" i="72"/>
  <c r="W858" i="72"/>
  <c r="W859" i="72"/>
  <c r="W860" i="72"/>
  <c r="W861" i="72"/>
  <c r="W862" i="72"/>
  <c r="W863" i="72"/>
  <c r="W864" i="72"/>
  <c r="W865" i="72"/>
  <c r="W866" i="72"/>
  <c r="W867" i="72"/>
  <c r="W868" i="72"/>
  <c r="W869" i="72"/>
  <c r="W870" i="72"/>
  <c r="W871" i="72"/>
  <c r="W872" i="72"/>
  <c r="W873" i="72"/>
  <c r="W874" i="72"/>
  <c r="W875" i="72"/>
  <c r="W876" i="72"/>
  <c r="W877" i="72"/>
  <c r="W878" i="72"/>
  <c r="W879" i="72"/>
  <c r="W880" i="72"/>
  <c r="W881" i="72"/>
  <c r="W882" i="72"/>
  <c r="W883" i="72"/>
  <c r="W884" i="72"/>
  <c r="W885" i="72"/>
  <c r="W886" i="72"/>
  <c r="W887" i="72"/>
  <c r="W888" i="72"/>
  <c r="W889" i="72"/>
  <c r="W890" i="72"/>
  <c r="W891" i="72"/>
  <c r="W892" i="72"/>
  <c r="W893" i="72"/>
  <c r="W894" i="72"/>
  <c r="W895" i="72"/>
  <c r="W896" i="72"/>
  <c r="W897" i="72"/>
  <c r="W898" i="72"/>
  <c r="W899" i="72"/>
  <c r="W900" i="72"/>
  <c r="W901" i="72"/>
  <c r="W902" i="72"/>
  <c r="W903" i="72"/>
  <c r="W904" i="72"/>
  <c r="W905" i="72"/>
  <c r="W906" i="72"/>
  <c r="W907" i="72"/>
  <c r="W908" i="72"/>
  <c r="W909" i="72"/>
  <c r="W910" i="72"/>
  <c r="W911" i="72"/>
  <c r="W912" i="72"/>
  <c r="W913" i="72"/>
  <c r="W914" i="72"/>
  <c r="W915" i="72"/>
  <c r="W916" i="72"/>
  <c r="W917" i="72"/>
  <c r="W918" i="72"/>
  <c r="W919" i="72"/>
  <c r="W920" i="72"/>
  <c r="W921" i="72"/>
  <c r="W922" i="72"/>
  <c r="W923" i="72"/>
  <c r="W924" i="72"/>
  <c r="W925" i="72"/>
  <c r="W926" i="72"/>
  <c r="W927" i="72"/>
  <c r="W928" i="72"/>
  <c r="W929" i="72"/>
  <c r="W930" i="72"/>
  <c r="W931" i="72"/>
  <c r="W932" i="72"/>
  <c r="W933" i="72"/>
  <c r="W934" i="72"/>
  <c r="W935" i="72"/>
  <c r="W936" i="72"/>
  <c r="W937" i="72"/>
  <c r="W938" i="72"/>
  <c r="W939" i="72"/>
  <c r="W940" i="72"/>
  <c r="W941" i="72"/>
  <c r="W942" i="72"/>
  <c r="W943" i="72"/>
  <c r="W944" i="72"/>
  <c r="W945" i="72"/>
  <c r="W946" i="72"/>
  <c r="W947" i="72"/>
  <c r="W948" i="72"/>
  <c r="W949" i="72"/>
  <c r="W950" i="72"/>
  <c r="W951" i="72"/>
  <c r="W952" i="72"/>
  <c r="W953" i="72"/>
  <c r="W954" i="72"/>
  <c r="W955" i="72"/>
  <c r="W956" i="72"/>
  <c r="W957" i="72"/>
  <c r="W958" i="72"/>
  <c r="W959" i="72"/>
  <c r="W960" i="72"/>
  <c r="W961" i="72"/>
  <c r="W962" i="72"/>
  <c r="W963" i="72"/>
  <c r="W964" i="72"/>
  <c r="W965" i="72"/>
  <c r="W966" i="72"/>
  <c r="W967" i="72"/>
  <c r="W968" i="72"/>
  <c r="W969" i="72"/>
  <c r="W970" i="72"/>
  <c r="W971" i="72"/>
  <c r="W972" i="72"/>
  <c r="W973" i="72"/>
  <c r="W974" i="72"/>
  <c r="W975" i="72"/>
  <c r="W976" i="72"/>
  <c r="W977" i="72"/>
  <c r="W978" i="72"/>
  <c r="W979" i="72"/>
  <c r="W980" i="72"/>
  <c r="W981" i="72"/>
  <c r="W982" i="72"/>
  <c r="W983" i="72"/>
  <c r="W984" i="72"/>
  <c r="W985" i="72"/>
  <c r="W986" i="72"/>
  <c r="W987" i="72"/>
  <c r="W988" i="72"/>
  <c r="W989" i="72"/>
  <c r="W990" i="72"/>
  <c r="W991" i="72"/>
  <c r="W992" i="72"/>
  <c r="W993" i="72"/>
  <c r="W994" i="72"/>
  <c r="W995" i="72"/>
  <c r="W996" i="72"/>
  <c r="W997" i="72"/>
  <c r="W998" i="72"/>
  <c r="W999" i="72"/>
  <c r="W1000" i="72"/>
  <c r="W1001" i="72"/>
  <c r="W1002" i="72"/>
  <c r="W1003" i="72"/>
  <c r="W1004" i="72"/>
  <c r="W1005" i="72"/>
  <c r="W1006" i="72"/>
  <c r="W1007" i="72"/>
  <c r="W1008" i="72"/>
  <c r="W1009" i="72"/>
  <c r="W1010" i="72"/>
  <c r="W1011" i="72"/>
  <c r="W1012" i="72"/>
  <c r="W1013" i="72"/>
  <c r="W1014" i="72"/>
  <c r="W1015" i="72"/>
  <c r="W1016" i="72"/>
  <c r="W1017" i="72"/>
  <c r="W1018" i="72"/>
  <c r="W1019" i="72"/>
  <c r="W1020" i="72"/>
  <c r="W1021" i="72"/>
  <c r="W1022" i="72"/>
  <c r="W1023" i="72"/>
  <c r="W1024" i="72"/>
  <c r="W1025" i="72"/>
  <c r="W1026" i="72"/>
  <c r="W1027" i="72"/>
  <c r="W1028" i="72"/>
  <c r="W1029" i="72"/>
  <c r="W1030" i="72"/>
  <c r="W1031" i="72"/>
  <c r="W1032" i="72"/>
  <c r="W1033" i="72"/>
  <c r="W1034" i="72"/>
  <c r="W1035" i="72"/>
  <c r="W1036" i="72"/>
  <c r="W1037" i="72"/>
  <c r="W1038" i="72"/>
  <c r="W1039" i="72"/>
  <c r="W1040" i="72"/>
  <c r="W1041" i="72"/>
  <c r="W1042" i="72"/>
  <c r="W1043" i="72"/>
  <c r="W1044" i="72"/>
  <c r="W1045" i="72"/>
  <c r="W1046" i="72"/>
  <c r="W1047" i="72"/>
  <c r="W1048" i="72"/>
  <c r="W1049" i="72"/>
  <c r="W1050" i="72"/>
  <c r="W1051" i="72"/>
  <c r="W1052" i="72"/>
  <c r="W1053" i="72"/>
  <c r="W1054" i="72"/>
  <c r="W1055" i="72"/>
  <c r="W1056" i="72"/>
  <c r="W1057" i="72"/>
  <c r="W1058" i="72"/>
  <c r="W1059" i="72"/>
  <c r="W1060" i="72"/>
  <c r="W1061" i="72"/>
  <c r="W1062" i="72"/>
  <c r="W1063" i="72"/>
  <c r="W1064" i="72"/>
  <c r="W1065" i="72"/>
  <c r="W1066" i="72"/>
  <c r="W1067" i="72"/>
  <c r="W1068" i="72"/>
  <c r="W1069" i="72"/>
  <c r="W1070" i="72"/>
  <c r="W1071" i="72"/>
  <c r="W1072" i="72"/>
  <c r="W1073" i="72"/>
  <c r="W1074" i="72"/>
  <c r="W1075" i="72"/>
  <c r="W1076" i="72"/>
  <c r="W1077" i="72"/>
  <c r="W1078" i="72"/>
  <c r="W1079" i="72"/>
  <c r="W1080" i="72"/>
  <c r="W1081" i="72"/>
  <c r="W1082" i="72"/>
  <c r="W1083" i="72"/>
  <c r="W1084" i="72"/>
  <c r="W1085" i="72"/>
  <c r="W1086" i="72"/>
  <c r="W1087" i="72"/>
  <c r="W1088" i="72"/>
  <c r="W1089" i="72"/>
  <c r="W1090" i="72"/>
  <c r="W1091" i="72"/>
  <c r="W1092" i="72"/>
  <c r="W1093" i="72"/>
  <c r="W1094" i="72"/>
  <c r="W1095" i="72"/>
  <c r="W1096" i="72"/>
  <c r="W1097" i="72"/>
  <c r="W1098" i="72"/>
  <c r="W1099" i="72"/>
  <c r="W1100" i="72"/>
  <c r="W1101" i="72"/>
  <c r="W1102" i="72"/>
  <c r="W1103" i="72"/>
  <c r="W1104" i="72"/>
  <c r="W1105" i="72"/>
  <c r="W1106" i="72"/>
  <c r="W1107" i="72"/>
  <c r="W1108" i="72"/>
  <c r="W1109" i="72"/>
  <c r="W1110" i="72"/>
  <c r="W1111" i="72"/>
  <c r="W1112" i="72"/>
  <c r="W1113" i="72"/>
  <c r="W1114" i="72"/>
  <c r="W1115" i="72"/>
  <c r="W1116" i="72"/>
  <c r="W1117" i="72"/>
  <c r="W1118" i="72"/>
  <c r="W1119" i="72"/>
  <c r="W1120" i="72"/>
  <c r="W1121" i="72"/>
  <c r="W1122" i="72"/>
  <c r="W1123" i="72"/>
  <c r="W1124" i="72"/>
  <c r="W1125" i="72"/>
  <c r="W1126" i="72"/>
  <c r="W1127" i="72"/>
  <c r="W1128" i="72"/>
  <c r="W1129" i="72"/>
  <c r="W1130" i="72"/>
  <c r="W1131" i="72"/>
  <c r="W1132" i="72"/>
  <c r="W1133" i="72"/>
  <c r="W1134" i="72"/>
  <c r="W1135" i="72"/>
  <c r="W1136" i="72"/>
  <c r="W1137" i="72"/>
  <c r="W1138" i="72"/>
  <c r="W1139" i="72"/>
  <c r="W1140" i="72"/>
  <c r="W1141" i="72"/>
  <c r="W1142" i="72"/>
  <c r="W1143" i="72"/>
  <c r="W1144" i="72"/>
  <c r="W1145" i="72"/>
  <c r="W1146" i="72"/>
  <c r="W1147" i="72"/>
  <c r="W1148" i="72"/>
  <c r="W1149" i="72"/>
  <c r="W1150" i="72"/>
  <c r="W1151" i="72"/>
  <c r="W1152" i="72"/>
  <c r="W1153" i="72"/>
  <c r="W1154" i="72"/>
  <c r="W1155" i="72"/>
  <c r="W1156" i="72"/>
  <c r="W1157" i="72"/>
  <c r="W1158" i="72"/>
  <c r="W1159" i="72"/>
  <c r="W1160" i="72"/>
  <c r="W1161" i="72"/>
  <c r="W1162" i="72"/>
  <c r="W1163" i="72"/>
  <c r="W1164" i="72"/>
  <c r="W1165" i="72"/>
  <c r="W1166" i="72"/>
  <c r="W1167" i="72"/>
  <c r="W1168" i="72"/>
  <c r="W1169" i="72"/>
  <c r="W1170" i="72"/>
  <c r="W1171" i="72"/>
  <c r="W1172" i="72"/>
  <c r="W1173" i="72"/>
  <c r="W1174" i="72"/>
  <c r="W1175" i="72"/>
  <c r="W1176" i="72"/>
  <c r="W1177" i="72"/>
  <c r="W1178" i="72"/>
  <c r="W1179" i="72"/>
  <c r="W1180" i="72"/>
  <c r="W1181" i="72"/>
  <c r="W1182" i="72"/>
  <c r="W1183" i="72"/>
  <c r="W1184" i="72"/>
  <c r="W1185" i="72"/>
  <c r="W1186" i="72"/>
  <c r="W1187" i="72"/>
  <c r="W1188" i="72"/>
  <c r="W1189" i="72"/>
  <c r="W1190" i="72"/>
  <c r="W1191" i="72"/>
  <c r="W1192" i="72"/>
  <c r="W1193" i="72"/>
  <c r="W1194" i="72"/>
  <c r="W1195" i="72"/>
  <c r="W1196" i="72"/>
  <c r="W1197" i="72"/>
  <c r="W1198" i="72"/>
  <c r="W1199" i="72"/>
  <c r="W1200" i="72"/>
  <c r="W1201" i="72"/>
  <c r="W1202" i="72"/>
  <c r="W1203" i="72"/>
  <c r="W1204" i="72"/>
  <c r="W1205" i="72"/>
  <c r="W1206" i="72"/>
  <c r="W1207" i="72"/>
  <c r="W1208" i="72"/>
  <c r="W1209" i="72"/>
  <c r="W1210" i="72"/>
  <c r="W1211" i="72"/>
  <c r="W1212" i="72"/>
  <c r="W1213" i="72"/>
  <c r="W1214" i="72"/>
  <c r="W1215" i="72"/>
  <c r="W1216" i="72"/>
  <c r="W1217" i="72"/>
  <c r="W1218" i="72"/>
  <c r="W1219" i="72"/>
  <c r="W1220" i="72"/>
  <c r="W1221" i="72"/>
  <c r="W1222" i="72"/>
  <c r="W1223" i="72"/>
  <c r="W1224" i="72"/>
  <c r="W1225" i="72"/>
  <c r="W1226" i="72"/>
  <c r="W1227" i="72"/>
  <c r="W1228" i="72"/>
  <c r="W1229" i="72"/>
  <c r="W1230" i="72"/>
  <c r="W1231" i="72"/>
  <c r="W1232" i="72"/>
  <c r="W1233" i="72"/>
  <c r="W1234" i="72"/>
  <c r="W1235" i="72"/>
  <c r="W1236" i="72"/>
  <c r="W1237" i="72"/>
  <c r="W1238" i="72"/>
  <c r="W1239" i="72"/>
  <c r="W1240" i="72"/>
  <c r="W1241" i="72"/>
  <c r="W1242" i="72"/>
  <c r="W1243" i="72"/>
  <c r="W1244" i="72"/>
  <c r="W1245" i="72"/>
  <c r="W1246" i="72"/>
  <c r="W1247" i="72"/>
  <c r="W1248" i="72"/>
  <c r="W1249" i="72"/>
  <c r="W1250" i="72"/>
  <c r="W1251" i="72"/>
  <c r="W1252" i="72"/>
  <c r="X501" i="72"/>
  <c r="X502" i="72"/>
  <c r="X503" i="72"/>
  <c r="X504" i="72"/>
  <c r="X505" i="72"/>
  <c r="X506" i="72"/>
  <c r="X507" i="72"/>
  <c r="X508" i="72"/>
  <c r="X509" i="72"/>
  <c r="X510" i="72"/>
  <c r="X511" i="72"/>
  <c r="X512" i="72"/>
  <c r="X513" i="72"/>
  <c r="X514" i="72"/>
  <c r="X515" i="72"/>
  <c r="X516" i="72"/>
  <c r="X517" i="72"/>
  <c r="X518" i="72"/>
  <c r="X519" i="72"/>
  <c r="X520" i="72"/>
  <c r="X521" i="72"/>
  <c r="X522" i="72"/>
  <c r="X523" i="72"/>
  <c r="X524" i="72"/>
  <c r="X525" i="72"/>
  <c r="X526" i="72"/>
  <c r="X527" i="72"/>
  <c r="X528" i="72"/>
  <c r="X529" i="72"/>
  <c r="X530" i="72"/>
  <c r="X531" i="72"/>
  <c r="X532" i="72"/>
  <c r="X533" i="72"/>
  <c r="X534" i="72"/>
  <c r="X535" i="72"/>
  <c r="X536" i="72"/>
  <c r="X537" i="72"/>
  <c r="X538" i="72"/>
  <c r="X539" i="72"/>
  <c r="X540" i="72"/>
  <c r="X541" i="72"/>
  <c r="X542" i="72"/>
  <c r="X543" i="72"/>
  <c r="X544" i="72"/>
  <c r="X545" i="72"/>
  <c r="X546" i="72"/>
  <c r="X547" i="72"/>
  <c r="X548" i="72"/>
  <c r="X549" i="72"/>
  <c r="X550" i="72"/>
  <c r="X551" i="72"/>
  <c r="X552" i="72"/>
  <c r="X553" i="72"/>
  <c r="X554" i="72"/>
  <c r="X555" i="72"/>
  <c r="X556" i="72"/>
  <c r="X557" i="72"/>
  <c r="X558" i="72"/>
  <c r="X559" i="72"/>
  <c r="X560" i="72"/>
  <c r="X561" i="72"/>
  <c r="X562" i="72"/>
  <c r="X563" i="72"/>
  <c r="X564" i="72"/>
  <c r="X565" i="72"/>
  <c r="X566" i="72"/>
  <c r="X567" i="72"/>
  <c r="X568" i="72"/>
  <c r="X569" i="72"/>
  <c r="X570" i="72"/>
  <c r="X571" i="72"/>
  <c r="X572" i="72"/>
  <c r="X573" i="72"/>
  <c r="X574" i="72"/>
  <c r="X575" i="72"/>
  <c r="X576" i="72"/>
  <c r="X577" i="72"/>
  <c r="X578" i="72"/>
  <c r="X579" i="72"/>
  <c r="X580" i="72"/>
  <c r="X581" i="72"/>
  <c r="X582" i="72"/>
  <c r="X583" i="72"/>
  <c r="X584" i="72"/>
  <c r="X585" i="72"/>
  <c r="X586" i="72"/>
  <c r="X587" i="72"/>
  <c r="X588" i="72"/>
  <c r="X589" i="72"/>
  <c r="X590" i="72"/>
  <c r="X591" i="72"/>
  <c r="X592" i="72"/>
  <c r="X593" i="72"/>
  <c r="X594" i="72"/>
  <c r="X595" i="72"/>
  <c r="X596" i="72"/>
  <c r="X597" i="72"/>
  <c r="X598" i="72"/>
  <c r="X599" i="72"/>
  <c r="X600" i="72"/>
  <c r="X601" i="72"/>
  <c r="X602" i="72"/>
  <c r="X603" i="72"/>
  <c r="X604" i="72"/>
  <c r="X605" i="72"/>
  <c r="X606" i="72"/>
  <c r="X607" i="72"/>
  <c r="X608" i="72"/>
  <c r="X609" i="72"/>
  <c r="X610" i="72"/>
  <c r="X611" i="72"/>
  <c r="X612" i="72"/>
  <c r="X613" i="72"/>
  <c r="X614" i="72"/>
  <c r="X615" i="72"/>
  <c r="X616" i="72"/>
  <c r="X617" i="72"/>
  <c r="X618" i="72"/>
  <c r="X619" i="72"/>
  <c r="X620" i="72"/>
  <c r="X621" i="72"/>
  <c r="X622" i="72"/>
  <c r="X623" i="72"/>
  <c r="X624" i="72"/>
  <c r="X625" i="72"/>
  <c r="X626" i="72"/>
  <c r="X627" i="72"/>
  <c r="X628" i="72"/>
  <c r="X629" i="72"/>
  <c r="X630" i="72"/>
  <c r="X631" i="72"/>
  <c r="X632" i="72"/>
  <c r="X633" i="72"/>
  <c r="X634" i="72"/>
  <c r="X635" i="72"/>
  <c r="X636" i="72"/>
  <c r="X637" i="72"/>
  <c r="X638" i="72"/>
  <c r="X639" i="72"/>
  <c r="X640" i="72"/>
  <c r="X641" i="72"/>
  <c r="X642" i="72"/>
  <c r="X643" i="72"/>
  <c r="X644" i="72"/>
  <c r="X645" i="72"/>
  <c r="X646" i="72"/>
  <c r="X647" i="72"/>
  <c r="X648" i="72"/>
  <c r="X649" i="72"/>
  <c r="X650" i="72"/>
  <c r="X651" i="72"/>
  <c r="X652" i="72"/>
  <c r="X653" i="72"/>
  <c r="X654" i="72"/>
  <c r="X655" i="72"/>
  <c r="X656" i="72"/>
  <c r="X657" i="72"/>
  <c r="X658" i="72"/>
  <c r="X659" i="72"/>
  <c r="X660" i="72"/>
  <c r="X661" i="72"/>
  <c r="X662" i="72"/>
  <c r="X663" i="72"/>
  <c r="X664" i="72"/>
  <c r="X665" i="72"/>
  <c r="X666" i="72"/>
  <c r="X667" i="72"/>
  <c r="X668" i="72"/>
  <c r="X669" i="72"/>
  <c r="X670" i="72"/>
  <c r="X671" i="72"/>
  <c r="X672" i="72"/>
  <c r="X673" i="72"/>
  <c r="X674" i="72"/>
  <c r="X675" i="72"/>
  <c r="X676" i="72"/>
  <c r="X677" i="72"/>
  <c r="X678" i="72"/>
  <c r="X679" i="72"/>
  <c r="X680" i="72"/>
  <c r="X681" i="72"/>
  <c r="X682" i="72"/>
  <c r="X683" i="72"/>
  <c r="X684" i="72"/>
  <c r="X685" i="72"/>
  <c r="X686" i="72"/>
  <c r="X687" i="72"/>
  <c r="X688" i="72"/>
  <c r="X689" i="72"/>
  <c r="X690" i="72"/>
  <c r="X691" i="72"/>
  <c r="X692" i="72"/>
  <c r="X693" i="72"/>
  <c r="X694" i="72"/>
  <c r="X695" i="72"/>
  <c r="X696" i="72"/>
  <c r="X697" i="72"/>
  <c r="X698" i="72"/>
  <c r="X699" i="72"/>
  <c r="X700" i="72"/>
  <c r="X701" i="72"/>
  <c r="X702" i="72"/>
  <c r="X703" i="72"/>
  <c r="X704" i="72"/>
  <c r="X705" i="72"/>
  <c r="X706" i="72"/>
  <c r="X707" i="72"/>
  <c r="X708" i="72"/>
  <c r="X709" i="72"/>
  <c r="X710" i="72"/>
  <c r="X711" i="72"/>
  <c r="X712" i="72"/>
  <c r="X713" i="72"/>
  <c r="X714" i="72"/>
  <c r="X715" i="72"/>
  <c r="X716" i="72"/>
  <c r="X717" i="72"/>
  <c r="X718" i="72"/>
  <c r="X719" i="72"/>
  <c r="X720" i="72"/>
  <c r="X721" i="72"/>
  <c r="X722" i="72"/>
  <c r="X723" i="72"/>
  <c r="X724" i="72"/>
  <c r="X725" i="72"/>
  <c r="X726" i="72"/>
  <c r="X727" i="72"/>
  <c r="X728" i="72"/>
  <c r="X729" i="72"/>
  <c r="X730" i="72"/>
  <c r="X731" i="72"/>
  <c r="X732" i="72"/>
  <c r="X733" i="72"/>
  <c r="X734" i="72"/>
  <c r="X735" i="72"/>
  <c r="X736" i="72"/>
  <c r="X737" i="72"/>
  <c r="X738" i="72"/>
  <c r="X739" i="72"/>
  <c r="X740" i="72"/>
  <c r="X741" i="72"/>
  <c r="X742" i="72"/>
  <c r="X743" i="72"/>
  <c r="X744" i="72"/>
  <c r="X745" i="72"/>
  <c r="X746" i="72"/>
  <c r="X747" i="72"/>
  <c r="X748" i="72"/>
  <c r="X749" i="72"/>
  <c r="X750" i="72"/>
  <c r="X751" i="72"/>
  <c r="X752" i="72"/>
  <c r="X753" i="72"/>
  <c r="X754" i="72"/>
  <c r="X755" i="72"/>
  <c r="X756" i="72"/>
  <c r="X757" i="72"/>
  <c r="X758" i="72"/>
  <c r="X759" i="72"/>
  <c r="X760" i="72"/>
  <c r="X761" i="72"/>
  <c r="X762" i="72"/>
  <c r="X763" i="72"/>
  <c r="X764" i="72"/>
  <c r="X765" i="72"/>
  <c r="X766" i="72"/>
  <c r="X767" i="72"/>
  <c r="X768" i="72"/>
  <c r="X769" i="72"/>
  <c r="X770" i="72"/>
  <c r="X771" i="72"/>
  <c r="X772" i="72"/>
  <c r="X773" i="72"/>
  <c r="X774" i="72"/>
  <c r="X775" i="72"/>
  <c r="X776" i="72"/>
  <c r="X777" i="72"/>
  <c r="X778" i="72"/>
  <c r="X779" i="72"/>
  <c r="X780" i="72"/>
  <c r="X781" i="72"/>
  <c r="X782" i="72"/>
  <c r="X783" i="72"/>
  <c r="X784" i="72"/>
  <c r="X785" i="72"/>
  <c r="X786" i="72"/>
  <c r="X787" i="72"/>
  <c r="X788" i="72"/>
  <c r="X789" i="72"/>
  <c r="X790" i="72"/>
  <c r="X791" i="72"/>
  <c r="X792" i="72"/>
  <c r="X793" i="72"/>
  <c r="X794" i="72"/>
  <c r="X795" i="72"/>
  <c r="X796" i="72"/>
  <c r="X797" i="72"/>
  <c r="X798" i="72"/>
  <c r="X799" i="72"/>
  <c r="X800" i="72"/>
  <c r="X801" i="72"/>
  <c r="X802" i="72"/>
  <c r="X803" i="72"/>
  <c r="X804" i="72"/>
  <c r="X805" i="72"/>
  <c r="X806" i="72"/>
  <c r="X807" i="72"/>
  <c r="X808" i="72"/>
  <c r="X809" i="72"/>
  <c r="X810" i="72"/>
  <c r="X811" i="72"/>
  <c r="X812" i="72"/>
  <c r="X813" i="72"/>
  <c r="X814" i="72"/>
  <c r="X815" i="72"/>
  <c r="X816" i="72"/>
  <c r="X817" i="72"/>
  <c r="X818" i="72"/>
  <c r="X819" i="72"/>
  <c r="X820" i="72"/>
  <c r="X821" i="72"/>
  <c r="X822" i="72"/>
  <c r="X823" i="72"/>
  <c r="X824" i="72"/>
  <c r="X825" i="72"/>
  <c r="X826" i="72"/>
  <c r="X827" i="72"/>
  <c r="X828" i="72"/>
  <c r="X829" i="72"/>
  <c r="X830" i="72"/>
  <c r="X831" i="72"/>
  <c r="X832" i="72"/>
  <c r="X833" i="72"/>
  <c r="X834" i="72"/>
  <c r="X835" i="72"/>
  <c r="X836" i="72"/>
  <c r="X837" i="72"/>
  <c r="X838" i="72"/>
  <c r="X839" i="72"/>
  <c r="X840" i="72"/>
  <c r="X841" i="72"/>
  <c r="X842" i="72"/>
  <c r="X843" i="72"/>
  <c r="X844" i="72"/>
  <c r="X845" i="72"/>
  <c r="X846" i="72"/>
  <c r="X847" i="72"/>
  <c r="X848" i="72"/>
  <c r="X849" i="72"/>
  <c r="X850" i="72"/>
  <c r="X851" i="72"/>
  <c r="X852" i="72"/>
  <c r="X853" i="72"/>
  <c r="X854" i="72"/>
  <c r="X855" i="72"/>
  <c r="X856" i="72"/>
  <c r="X857" i="72"/>
  <c r="X858" i="72"/>
  <c r="X859" i="72"/>
  <c r="X860" i="72"/>
  <c r="X861" i="72"/>
  <c r="X862" i="72"/>
  <c r="X863" i="72"/>
  <c r="X864" i="72"/>
  <c r="X865" i="72"/>
  <c r="X866" i="72"/>
  <c r="X867" i="72"/>
  <c r="X868" i="72"/>
  <c r="X869" i="72"/>
  <c r="X870" i="72"/>
  <c r="X871" i="72"/>
  <c r="X872" i="72"/>
  <c r="X873" i="72"/>
  <c r="X874" i="72"/>
  <c r="X875" i="72"/>
  <c r="X876" i="72"/>
  <c r="X877" i="72"/>
  <c r="X878" i="72"/>
  <c r="X879" i="72"/>
  <c r="X880" i="72"/>
  <c r="X881" i="72"/>
  <c r="X882" i="72"/>
  <c r="X883" i="72"/>
  <c r="X884" i="72"/>
  <c r="X885" i="72"/>
  <c r="X886" i="72"/>
  <c r="X887" i="72"/>
  <c r="X888" i="72"/>
  <c r="X889" i="72"/>
  <c r="X890" i="72"/>
  <c r="X891" i="72"/>
  <c r="X892" i="72"/>
  <c r="X893" i="72"/>
  <c r="X894" i="72"/>
  <c r="X895" i="72"/>
  <c r="X896" i="72"/>
  <c r="X897" i="72"/>
  <c r="X898" i="72"/>
  <c r="X899" i="72"/>
  <c r="X900" i="72"/>
  <c r="X901" i="72"/>
  <c r="X902" i="72"/>
  <c r="X903" i="72"/>
  <c r="X904" i="72"/>
  <c r="X905" i="72"/>
  <c r="X906" i="72"/>
  <c r="X907" i="72"/>
  <c r="X908" i="72"/>
  <c r="X909" i="72"/>
  <c r="X910" i="72"/>
  <c r="X911" i="72"/>
  <c r="X912" i="72"/>
  <c r="X913" i="72"/>
  <c r="X914" i="72"/>
  <c r="X915" i="72"/>
  <c r="X916" i="72"/>
  <c r="X917" i="72"/>
  <c r="X918" i="72"/>
  <c r="X919" i="72"/>
  <c r="X920" i="72"/>
  <c r="X921" i="72"/>
  <c r="X922" i="72"/>
  <c r="X923" i="72"/>
  <c r="X924" i="72"/>
  <c r="X925" i="72"/>
  <c r="X926" i="72"/>
  <c r="X927" i="72"/>
  <c r="X928" i="72"/>
  <c r="X929" i="72"/>
  <c r="X930" i="72"/>
  <c r="X931" i="72"/>
  <c r="X932" i="72"/>
  <c r="X933" i="72"/>
  <c r="X934" i="72"/>
  <c r="X935" i="72"/>
  <c r="X936" i="72"/>
  <c r="X937" i="72"/>
  <c r="X938" i="72"/>
  <c r="X939" i="72"/>
  <c r="X940" i="72"/>
  <c r="X941" i="72"/>
  <c r="X942" i="72"/>
  <c r="X943" i="72"/>
  <c r="X944" i="72"/>
  <c r="X945" i="72"/>
  <c r="X946" i="72"/>
  <c r="X947" i="72"/>
  <c r="X948" i="72"/>
  <c r="X949" i="72"/>
  <c r="X950" i="72"/>
  <c r="X951" i="72"/>
  <c r="X952" i="72"/>
  <c r="X953" i="72"/>
  <c r="X954" i="72"/>
  <c r="X955" i="72"/>
  <c r="X956" i="72"/>
  <c r="X957" i="72"/>
  <c r="X958" i="72"/>
  <c r="X959" i="72"/>
  <c r="X960" i="72"/>
  <c r="X961" i="72"/>
  <c r="X962" i="72"/>
  <c r="X963" i="72"/>
  <c r="X964" i="72"/>
  <c r="X965" i="72"/>
  <c r="X966" i="72"/>
  <c r="X967" i="72"/>
  <c r="X968" i="72"/>
  <c r="X969" i="72"/>
  <c r="X970" i="72"/>
  <c r="X971" i="72"/>
  <c r="X972" i="72"/>
  <c r="X973" i="72"/>
  <c r="X974" i="72"/>
  <c r="X975" i="72"/>
  <c r="X976" i="72"/>
  <c r="X977" i="72"/>
  <c r="X978" i="72"/>
  <c r="X979" i="72"/>
  <c r="X980" i="72"/>
  <c r="X981" i="72"/>
  <c r="X982" i="72"/>
  <c r="X983" i="72"/>
  <c r="X984" i="72"/>
  <c r="X985" i="72"/>
  <c r="X986" i="72"/>
  <c r="X987" i="72"/>
  <c r="X988" i="72"/>
  <c r="X989" i="72"/>
  <c r="X990" i="72"/>
  <c r="X991" i="72"/>
  <c r="X992" i="72"/>
  <c r="X993" i="72"/>
  <c r="X994" i="72"/>
  <c r="X995" i="72"/>
  <c r="X996" i="72"/>
  <c r="X997" i="72"/>
  <c r="X998" i="72"/>
  <c r="X999" i="72"/>
  <c r="X1000" i="72"/>
  <c r="X1001" i="72"/>
  <c r="X1002" i="72"/>
  <c r="X1003" i="72"/>
  <c r="X1004" i="72"/>
  <c r="X1005" i="72"/>
  <c r="X1006" i="72"/>
  <c r="X1007" i="72"/>
  <c r="X1008" i="72"/>
  <c r="X1009" i="72"/>
  <c r="X1010" i="72"/>
  <c r="X1011" i="72"/>
  <c r="X1012" i="72"/>
  <c r="X1013" i="72"/>
  <c r="X1014" i="72"/>
  <c r="X1015" i="72"/>
  <c r="X1016" i="72"/>
  <c r="X1017" i="72"/>
  <c r="X1018" i="72"/>
  <c r="X1019" i="72"/>
  <c r="X1020" i="72"/>
  <c r="X1021" i="72"/>
  <c r="X1022" i="72"/>
  <c r="X1023" i="72"/>
  <c r="X1024" i="72"/>
  <c r="X1025" i="72"/>
  <c r="X1026" i="72"/>
  <c r="X1027" i="72"/>
  <c r="X1028" i="72"/>
  <c r="X1029" i="72"/>
  <c r="X1030" i="72"/>
  <c r="X1031" i="72"/>
  <c r="X1032" i="72"/>
  <c r="X1033" i="72"/>
  <c r="X1034" i="72"/>
  <c r="X1035" i="72"/>
  <c r="X1036" i="72"/>
  <c r="X1037" i="72"/>
  <c r="X1038" i="72"/>
  <c r="X1039" i="72"/>
  <c r="X1040" i="72"/>
  <c r="X1041" i="72"/>
  <c r="X1042" i="72"/>
  <c r="X1043" i="72"/>
  <c r="X1044" i="72"/>
  <c r="X1045" i="72"/>
  <c r="X1046" i="72"/>
  <c r="X1047" i="72"/>
  <c r="X1048" i="72"/>
  <c r="X1049" i="72"/>
  <c r="X1050" i="72"/>
  <c r="X1051" i="72"/>
  <c r="X1052" i="72"/>
  <c r="X1053" i="72"/>
  <c r="X1054" i="72"/>
  <c r="X1055" i="72"/>
  <c r="X1056" i="72"/>
  <c r="X1057" i="72"/>
  <c r="X1058" i="72"/>
  <c r="X1059" i="72"/>
  <c r="X1060" i="72"/>
  <c r="X1061" i="72"/>
  <c r="X1062" i="72"/>
  <c r="X1063" i="72"/>
  <c r="X1064" i="72"/>
  <c r="X1065" i="72"/>
  <c r="X1066" i="72"/>
  <c r="X1067" i="72"/>
  <c r="X1068" i="72"/>
  <c r="X1069" i="72"/>
  <c r="X1070" i="72"/>
  <c r="X1071" i="72"/>
  <c r="X1072" i="72"/>
  <c r="X1073" i="72"/>
  <c r="X1074" i="72"/>
  <c r="X1075" i="72"/>
  <c r="X1076" i="72"/>
  <c r="X1077" i="72"/>
  <c r="X1078" i="72"/>
  <c r="X1079" i="72"/>
  <c r="X1080" i="72"/>
  <c r="X1081" i="72"/>
  <c r="X1082" i="72"/>
  <c r="X1083" i="72"/>
  <c r="X1084" i="72"/>
  <c r="X1085" i="72"/>
  <c r="X1086" i="72"/>
  <c r="X1087" i="72"/>
  <c r="X1088" i="72"/>
  <c r="X1089" i="72"/>
  <c r="X1090" i="72"/>
  <c r="X1091" i="72"/>
  <c r="X1092" i="72"/>
  <c r="X1093" i="72"/>
  <c r="X1094" i="72"/>
  <c r="X1095" i="72"/>
  <c r="X1096" i="72"/>
  <c r="X1097" i="72"/>
  <c r="X1098" i="72"/>
  <c r="X1099" i="72"/>
  <c r="X1100" i="72"/>
  <c r="X1101" i="72"/>
  <c r="X1102" i="72"/>
  <c r="X1103" i="72"/>
  <c r="X1104" i="72"/>
  <c r="X1105" i="72"/>
  <c r="X1106" i="72"/>
  <c r="X1107" i="72"/>
  <c r="X1108" i="72"/>
  <c r="X1109" i="72"/>
  <c r="X1110" i="72"/>
  <c r="X1111" i="72"/>
  <c r="X1112" i="72"/>
  <c r="X1113" i="72"/>
  <c r="X1114" i="72"/>
  <c r="X1115" i="72"/>
  <c r="X1116" i="72"/>
  <c r="X1117" i="72"/>
  <c r="X1118" i="72"/>
  <c r="X1119" i="72"/>
  <c r="X1120" i="72"/>
  <c r="X1121" i="72"/>
  <c r="X1122" i="72"/>
  <c r="X1123" i="72"/>
  <c r="X1124" i="72"/>
  <c r="X1125" i="72"/>
  <c r="X1126" i="72"/>
  <c r="X1127" i="72"/>
  <c r="X1128" i="72"/>
  <c r="X1129" i="72"/>
  <c r="X1130" i="72"/>
  <c r="X1131" i="72"/>
  <c r="X1132" i="72"/>
  <c r="X1133" i="72"/>
  <c r="X1134" i="72"/>
  <c r="X1135" i="72"/>
  <c r="X1136" i="72"/>
  <c r="X1137" i="72"/>
  <c r="X1138" i="72"/>
  <c r="X1139" i="72"/>
  <c r="X1140" i="72"/>
  <c r="X1141" i="72"/>
  <c r="X1142" i="72"/>
  <c r="X1143" i="72"/>
  <c r="X1144" i="72"/>
  <c r="X1145" i="72"/>
  <c r="X1146" i="72"/>
  <c r="X1147" i="72"/>
  <c r="X1148" i="72"/>
  <c r="X1149" i="72"/>
  <c r="X1150" i="72"/>
  <c r="X1151" i="72"/>
  <c r="X1152" i="72"/>
  <c r="X1153" i="72"/>
  <c r="X1154" i="72"/>
  <c r="X1155" i="72"/>
  <c r="X1156" i="72"/>
  <c r="X1157" i="72"/>
  <c r="X1158" i="72"/>
  <c r="X1159" i="72"/>
  <c r="X1160" i="72"/>
  <c r="X1161" i="72"/>
  <c r="X1162" i="72"/>
  <c r="X1163" i="72"/>
  <c r="X1164" i="72"/>
  <c r="X1165" i="72"/>
  <c r="X1166" i="72"/>
  <c r="X1167" i="72"/>
  <c r="X1168" i="72"/>
  <c r="X1169" i="72"/>
  <c r="X1170" i="72"/>
  <c r="X1171" i="72"/>
  <c r="X1172" i="72"/>
  <c r="X1173" i="72"/>
  <c r="X1174" i="72"/>
  <c r="X1175" i="72"/>
  <c r="X1176" i="72"/>
  <c r="X1177" i="72"/>
  <c r="X1178" i="72"/>
  <c r="X1179" i="72"/>
  <c r="X1180" i="72"/>
  <c r="X1181" i="72"/>
  <c r="X1182" i="72"/>
  <c r="X1183" i="72"/>
  <c r="X1184" i="72"/>
  <c r="X1185" i="72"/>
  <c r="X1186" i="72"/>
  <c r="X1187" i="72"/>
  <c r="X1188" i="72"/>
  <c r="X1189" i="72"/>
  <c r="X1190" i="72"/>
  <c r="X1191" i="72"/>
  <c r="X1192" i="72"/>
  <c r="X1193" i="72"/>
  <c r="X1194" i="72"/>
  <c r="X1195" i="72"/>
  <c r="X1196" i="72"/>
  <c r="X1197" i="72"/>
  <c r="X1198" i="72"/>
  <c r="X1199" i="72"/>
  <c r="X1200" i="72"/>
  <c r="X1201" i="72"/>
  <c r="X1202" i="72"/>
  <c r="X1203" i="72"/>
  <c r="X1204" i="72"/>
  <c r="X1205" i="72"/>
  <c r="X1206" i="72"/>
  <c r="X1207" i="72"/>
  <c r="X1208" i="72"/>
  <c r="X1209" i="72"/>
  <c r="X1210" i="72"/>
  <c r="X1211" i="72"/>
  <c r="X1212" i="72"/>
  <c r="X1213" i="72"/>
  <c r="X1214" i="72"/>
  <c r="X1215" i="72"/>
  <c r="X1216" i="72"/>
  <c r="X1217" i="72"/>
  <c r="X1218" i="72"/>
  <c r="X1219" i="72"/>
  <c r="X1220" i="72"/>
  <c r="X1221" i="72"/>
  <c r="X1222" i="72"/>
  <c r="X1223" i="72"/>
  <c r="X1224" i="72"/>
  <c r="X1225" i="72"/>
  <c r="X1226" i="72"/>
  <c r="X1227" i="72"/>
  <c r="X1228" i="72"/>
  <c r="X1229" i="72"/>
  <c r="X1230" i="72"/>
  <c r="X1231" i="72"/>
  <c r="X1232" i="72"/>
  <c r="X1233" i="72"/>
  <c r="X1234" i="72"/>
  <c r="X1235" i="72"/>
  <c r="X1236" i="72"/>
  <c r="X1237" i="72"/>
  <c r="X1238" i="72"/>
  <c r="X1239" i="72"/>
  <c r="X1240" i="72"/>
  <c r="X1241" i="72"/>
  <c r="X1242" i="72"/>
  <c r="X1243" i="72"/>
  <c r="X1244" i="72"/>
  <c r="X1245" i="72"/>
  <c r="X1246" i="72"/>
  <c r="X1247" i="72"/>
  <c r="X1248" i="72"/>
  <c r="X1249" i="72"/>
  <c r="X1250" i="72"/>
  <c r="X1251" i="72"/>
  <c r="X1252" i="72"/>
  <c r="Y501" i="72"/>
  <c r="Y502" i="72"/>
  <c r="Y503" i="72"/>
  <c r="Y504" i="72"/>
  <c r="Y505" i="72"/>
  <c r="Y506" i="72"/>
  <c r="Y507" i="72"/>
  <c r="Y508" i="72"/>
  <c r="Y509" i="72"/>
  <c r="Y510" i="72"/>
  <c r="Y511" i="72"/>
  <c r="Y512" i="72"/>
  <c r="Y513" i="72"/>
  <c r="Y514" i="72"/>
  <c r="Y515" i="72"/>
  <c r="Y516" i="72"/>
  <c r="Y517" i="72"/>
  <c r="Y518" i="72"/>
  <c r="Y519" i="72"/>
  <c r="Y520" i="72"/>
  <c r="Y521" i="72"/>
  <c r="Y522" i="72"/>
  <c r="Y523" i="72"/>
  <c r="Y524" i="72"/>
  <c r="Y525" i="72"/>
  <c r="Y526" i="72"/>
  <c r="Y527" i="72"/>
  <c r="Y528" i="72"/>
  <c r="Y529" i="72"/>
  <c r="Y530" i="72"/>
  <c r="Y531" i="72"/>
  <c r="Y532" i="72"/>
  <c r="Y533" i="72"/>
  <c r="Y534" i="72"/>
  <c r="Y535" i="72"/>
  <c r="Y536" i="72"/>
  <c r="Y537" i="72"/>
  <c r="Y538" i="72"/>
  <c r="Y539" i="72"/>
  <c r="Y540" i="72"/>
  <c r="Y541" i="72"/>
  <c r="Y542" i="72"/>
  <c r="Y543" i="72"/>
  <c r="Y544" i="72"/>
  <c r="Y545" i="72"/>
  <c r="Y546" i="72"/>
  <c r="Y547" i="72"/>
  <c r="Y548" i="72"/>
  <c r="Y549" i="72"/>
  <c r="Y550" i="72"/>
  <c r="Y551" i="72"/>
  <c r="Y552" i="72"/>
  <c r="Y553" i="72"/>
  <c r="Y554" i="72"/>
  <c r="Y555" i="72"/>
  <c r="Y556" i="72"/>
  <c r="Y557" i="72"/>
  <c r="Y558" i="72"/>
  <c r="Y559" i="72"/>
  <c r="Y560" i="72"/>
  <c r="Y561" i="72"/>
  <c r="Y562" i="72"/>
  <c r="Y563" i="72"/>
  <c r="Y564" i="72"/>
  <c r="Y565" i="72"/>
  <c r="Y566" i="72"/>
  <c r="Y567" i="72"/>
  <c r="Y568" i="72"/>
  <c r="Y569" i="72"/>
  <c r="Y570" i="72"/>
  <c r="Y571" i="72"/>
  <c r="Y572" i="72"/>
  <c r="Y573" i="72"/>
  <c r="Y574" i="72"/>
  <c r="Y575" i="72"/>
  <c r="Y576" i="72"/>
  <c r="Y577" i="72"/>
  <c r="Y578" i="72"/>
  <c r="Y579" i="72"/>
  <c r="Y580" i="72"/>
  <c r="Y581" i="72"/>
  <c r="Y582" i="72"/>
  <c r="Y583" i="72"/>
  <c r="Y584" i="72"/>
  <c r="Y585" i="72"/>
  <c r="Y586" i="72"/>
  <c r="Y587" i="72"/>
  <c r="Y588" i="72"/>
  <c r="Y589" i="72"/>
  <c r="Y590" i="72"/>
  <c r="Y591" i="72"/>
  <c r="Y592" i="72"/>
  <c r="Y593" i="72"/>
  <c r="Y594" i="72"/>
  <c r="Y595" i="72"/>
  <c r="Y596" i="72"/>
  <c r="Y597" i="72"/>
  <c r="Y598" i="72"/>
  <c r="Y599" i="72"/>
  <c r="Y600" i="72"/>
  <c r="Y601" i="72"/>
  <c r="Y602" i="72"/>
  <c r="Y603" i="72"/>
  <c r="Y604" i="72"/>
  <c r="Y605" i="72"/>
  <c r="Y606" i="72"/>
  <c r="Y607" i="72"/>
  <c r="Y608" i="72"/>
  <c r="Y609" i="72"/>
  <c r="Y610" i="72"/>
  <c r="Y611" i="72"/>
  <c r="Y612" i="72"/>
  <c r="Y613" i="72"/>
  <c r="Y614" i="72"/>
  <c r="Y615" i="72"/>
  <c r="Y616" i="72"/>
  <c r="Y617" i="72"/>
  <c r="Y618" i="72"/>
  <c r="Y619" i="72"/>
  <c r="Y620" i="72"/>
  <c r="Y621" i="72"/>
  <c r="Y622" i="72"/>
  <c r="Y623" i="72"/>
  <c r="Y624" i="72"/>
  <c r="Y625" i="72"/>
  <c r="Y626" i="72"/>
  <c r="Y627" i="72"/>
  <c r="Y628" i="72"/>
  <c r="Y629" i="72"/>
  <c r="Y630" i="72"/>
  <c r="Y631" i="72"/>
  <c r="Y632" i="72"/>
  <c r="Y633" i="72"/>
  <c r="Y634" i="72"/>
  <c r="Y635" i="72"/>
  <c r="Y636" i="72"/>
  <c r="Y637" i="72"/>
  <c r="Y638" i="72"/>
  <c r="Y639" i="72"/>
  <c r="Y640" i="72"/>
  <c r="Y641" i="72"/>
  <c r="Y642" i="72"/>
  <c r="Y643" i="72"/>
  <c r="Y644" i="72"/>
  <c r="Y645" i="72"/>
  <c r="Y646" i="72"/>
  <c r="Y647" i="72"/>
  <c r="Y648" i="72"/>
  <c r="Y649" i="72"/>
  <c r="Y650" i="72"/>
  <c r="Y651" i="72"/>
  <c r="Y652" i="72"/>
  <c r="Y653" i="72"/>
  <c r="Y654" i="72"/>
  <c r="Y655" i="72"/>
  <c r="Y656" i="72"/>
  <c r="Y657" i="72"/>
  <c r="Y658" i="72"/>
  <c r="Y659" i="72"/>
  <c r="Y660" i="72"/>
  <c r="Y661" i="72"/>
  <c r="Y662" i="72"/>
  <c r="Y663" i="72"/>
  <c r="Y664" i="72"/>
  <c r="Y665" i="72"/>
  <c r="Y666" i="72"/>
  <c r="Y667" i="72"/>
  <c r="Y668" i="72"/>
  <c r="Y669" i="72"/>
  <c r="Y670" i="72"/>
  <c r="Y671" i="72"/>
  <c r="Y672" i="72"/>
  <c r="Y673" i="72"/>
  <c r="Y674" i="72"/>
  <c r="Y675" i="72"/>
  <c r="Y676" i="72"/>
  <c r="Y677" i="72"/>
  <c r="Y678" i="72"/>
  <c r="Y679" i="72"/>
  <c r="Y680" i="72"/>
  <c r="Y681" i="72"/>
  <c r="Y682" i="72"/>
  <c r="Y683" i="72"/>
  <c r="Y684" i="72"/>
  <c r="Y685" i="72"/>
  <c r="Y686" i="72"/>
  <c r="Y687" i="72"/>
  <c r="Y688" i="72"/>
  <c r="Y689" i="72"/>
  <c r="Y690" i="72"/>
  <c r="Y691" i="72"/>
  <c r="Y692" i="72"/>
  <c r="Y693" i="72"/>
  <c r="Y694" i="72"/>
  <c r="Y695" i="72"/>
  <c r="Y696" i="72"/>
  <c r="Y697" i="72"/>
  <c r="Y698" i="72"/>
  <c r="Y699" i="72"/>
  <c r="Y700" i="72"/>
  <c r="Y701" i="72"/>
  <c r="Y702" i="72"/>
  <c r="Y703" i="72"/>
  <c r="Y704" i="72"/>
  <c r="Y705" i="72"/>
  <c r="Y706" i="72"/>
  <c r="Y707" i="72"/>
  <c r="Y708" i="72"/>
  <c r="Y709" i="72"/>
  <c r="Y710" i="72"/>
  <c r="Y711" i="72"/>
  <c r="Y712" i="72"/>
  <c r="Y713" i="72"/>
  <c r="Y714" i="72"/>
  <c r="Y715" i="72"/>
  <c r="Y716" i="72"/>
  <c r="Y717" i="72"/>
  <c r="Y718" i="72"/>
  <c r="Y719" i="72"/>
  <c r="Y720" i="72"/>
  <c r="Y721" i="72"/>
  <c r="Y722" i="72"/>
  <c r="Y723" i="72"/>
  <c r="Y724" i="72"/>
  <c r="Y725" i="72"/>
  <c r="Y726" i="72"/>
  <c r="Y727" i="72"/>
  <c r="Y728" i="72"/>
  <c r="Y729" i="72"/>
  <c r="Y730" i="72"/>
  <c r="Y731" i="72"/>
  <c r="Y732" i="72"/>
  <c r="Y733" i="72"/>
  <c r="Y734" i="72"/>
  <c r="Y735" i="72"/>
  <c r="Y736" i="72"/>
  <c r="Y737" i="72"/>
  <c r="Y738" i="72"/>
  <c r="Y739" i="72"/>
  <c r="Y740" i="72"/>
  <c r="Y741" i="72"/>
  <c r="Y742" i="72"/>
  <c r="Y743" i="72"/>
  <c r="Y744" i="72"/>
  <c r="Y745" i="72"/>
  <c r="Y746" i="72"/>
  <c r="Y747" i="72"/>
  <c r="Y748" i="72"/>
  <c r="Y749" i="72"/>
  <c r="Y750" i="72"/>
  <c r="Y751" i="72"/>
  <c r="Y752" i="72"/>
  <c r="Y753" i="72"/>
  <c r="Y754" i="72"/>
  <c r="Y755" i="72"/>
  <c r="Y756" i="72"/>
  <c r="Y757" i="72"/>
  <c r="Y758" i="72"/>
  <c r="Y759" i="72"/>
  <c r="Y760" i="72"/>
  <c r="Y761" i="72"/>
  <c r="Y762" i="72"/>
  <c r="Y763" i="72"/>
  <c r="Y764" i="72"/>
  <c r="Y765" i="72"/>
  <c r="Y766" i="72"/>
  <c r="Y767" i="72"/>
  <c r="Y768" i="72"/>
  <c r="Y769" i="72"/>
  <c r="Y770" i="72"/>
  <c r="Y771" i="72"/>
  <c r="Y772" i="72"/>
  <c r="Y773" i="72"/>
  <c r="Y774" i="72"/>
  <c r="Y775" i="72"/>
  <c r="Y776" i="72"/>
  <c r="Y777" i="72"/>
  <c r="Y778" i="72"/>
  <c r="Y779" i="72"/>
  <c r="Y780" i="72"/>
  <c r="Y781" i="72"/>
  <c r="Y782" i="72"/>
  <c r="Y783" i="72"/>
  <c r="Y784" i="72"/>
  <c r="Y785" i="72"/>
  <c r="Y786" i="72"/>
  <c r="Y787" i="72"/>
  <c r="Y788" i="72"/>
  <c r="Y789" i="72"/>
  <c r="Y790" i="72"/>
  <c r="Y791" i="72"/>
  <c r="Y792" i="72"/>
  <c r="Y793" i="72"/>
  <c r="Y794" i="72"/>
  <c r="Y795" i="72"/>
  <c r="Y796" i="72"/>
  <c r="Y797" i="72"/>
  <c r="Y798" i="72"/>
  <c r="Y799" i="72"/>
  <c r="Y800" i="72"/>
  <c r="Y801" i="72"/>
  <c r="Y802" i="72"/>
  <c r="Y803" i="72"/>
  <c r="Y804" i="72"/>
  <c r="Y805" i="72"/>
  <c r="Y806" i="72"/>
  <c r="Y807" i="72"/>
  <c r="Y808" i="72"/>
  <c r="Y809" i="72"/>
  <c r="Y810" i="72"/>
  <c r="Y811" i="72"/>
  <c r="Y812" i="72"/>
  <c r="Y813" i="72"/>
  <c r="Y814" i="72"/>
  <c r="Y815" i="72"/>
  <c r="Y816" i="72"/>
  <c r="Y817" i="72"/>
  <c r="Y818" i="72"/>
  <c r="Y819" i="72"/>
  <c r="Y820" i="72"/>
  <c r="Y821" i="72"/>
  <c r="Y822" i="72"/>
  <c r="Y823" i="72"/>
  <c r="Y824" i="72"/>
  <c r="Y825" i="72"/>
  <c r="Y826" i="72"/>
  <c r="Y827" i="72"/>
  <c r="Y828" i="72"/>
  <c r="Y829" i="72"/>
  <c r="Y830" i="72"/>
  <c r="Y831" i="72"/>
  <c r="Y832" i="72"/>
  <c r="Y833" i="72"/>
  <c r="Y834" i="72"/>
  <c r="Y835" i="72"/>
  <c r="Y836" i="72"/>
  <c r="Y837" i="72"/>
  <c r="Y838" i="72"/>
  <c r="Y839" i="72"/>
  <c r="Y840" i="72"/>
  <c r="Y841" i="72"/>
  <c r="Y842" i="72"/>
  <c r="Y843" i="72"/>
  <c r="Y844" i="72"/>
  <c r="Y845" i="72"/>
  <c r="Y846" i="72"/>
  <c r="Y847" i="72"/>
  <c r="Y848" i="72"/>
  <c r="Y849" i="72"/>
  <c r="Y850" i="72"/>
  <c r="Y851" i="72"/>
  <c r="Y852" i="72"/>
  <c r="Y853" i="72"/>
  <c r="Y854" i="72"/>
  <c r="Y855" i="72"/>
  <c r="Y856" i="72"/>
  <c r="Y857" i="72"/>
  <c r="Y858" i="72"/>
  <c r="Y859" i="72"/>
  <c r="Y860" i="72"/>
  <c r="Y861" i="72"/>
  <c r="Y862" i="72"/>
  <c r="Y863" i="72"/>
  <c r="Y864" i="72"/>
  <c r="Y865" i="72"/>
  <c r="Y866" i="72"/>
  <c r="Y867" i="72"/>
  <c r="Y868" i="72"/>
  <c r="Y869" i="72"/>
  <c r="Y870" i="72"/>
  <c r="Y871" i="72"/>
  <c r="Y872" i="72"/>
  <c r="Y873" i="72"/>
  <c r="Y874" i="72"/>
  <c r="Y875" i="72"/>
  <c r="Y876" i="72"/>
  <c r="Y877" i="72"/>
  <c r="Y878" i="72"/>
  <c r="Y879" i="72"/>
  <c r="Y880" i="72"/>
  <c r="Y881" i="72"/>
  <c r="Y882" i="72"/>
  <c r="Y883" i="72"/>
  <c r="Y884" i="72"/>
  <c r="Y885" i="72"/>
  <c r="Y886" i="72"/>
  <c r="Y887" i="72"/>
  <c r="Y888" i="72"/>
  <c r="Y889" i="72"/>
  <c r="Y890" i="72"/>
  <c r="Y891" i="72"/>
  <c r="Y892" i="72"/>
  <c r="Y893" i="72"/>
  <c r="Y894" i="72"/>
  <c r="Y895" i="72"/>
  <c r="Y896" i="72"/>
  <c r="Y897" i="72"/>
  <c r="Y898" i="72"/>
  <c r="Y899" i="72"/>
  <c r="Y900" i="72"/>
  <c r="Y901" i="72"/>
  <c r="Y902" i="72"/>
  <c r="Y903" i="72"/>
  <c r="Y904" i="72"/>
  <c r="Y905" i="72"/>
  <c r="Y906" i="72"/>
  <c r="Y907" i="72"/>
  <c r="Y908" i="72"/>
  <c r="Y909" i="72"/>
  <c r="Y910" i="72"/>
  <c r="Y911" i="72"/>
  <c r="Y912" i="72"/>
  <c r="Y913" i="72"/>
  <c r="Y914" i="72"/>
  <c r="Y915" i="72"/>
  <c r="Y916" i="72"/>
  <c r="Y917" i="72"/>
  <c r="Y918" i="72"/>
  <c r="Y919" i="72"/>
  <c r="Y920" i="72"/>
  <c r="Y921" i="72"/>
  <c r="Y922" i="72"/>
  <c r="Y923" i="72"/>
  <c r="Y924" i="72"/>
  <c r="Y925" i="72"/>
  <c r="Y926" i="72"/>
  <c r="Y927" i="72"/>
  <c r="Y928" i="72"/>
  <c r="Y929" i="72"/>
  <c r="Y930" i="72"/>
  <c r="Y931" i="72"/>
  <c r="Y932" i="72"/>
  <c r="Y933" i="72"/>
  <c r="Y934" i="72"/>
  <c r="Y935" i="72"/>
  <c r="Y936" i="72"/>
  <c r="Y937" i="72"/>
  <c r="Y938" i="72"/>
  <c r="Y939" i="72"/>
  <c r="Y940" i="72"/>
  <c r="Y941" i="72"/>
  <c r="Y942" i="72"/>
  <c r="Y943" i="72"/>
  <c r="Y944" i="72"/>
  <c r="Y945" i="72"/>
  <c r="Y946" i="72"/>
  <c r="Y947" i="72"/>
  <c r="Y948" i="72"/>
  <c r="Y949" i="72"/>
  <c r="Y950" i="72"/>
  <c r="Y951" i="72"/>
  <c r="Y952" i="72"/>
  <c r="Y953" i="72"/>
  <c r="Y954" i="72"/>
  <c r="Y955" i="72"/>
  <c r="Y956" i="72"/>
  <c r="Y957" i="72"/>
  <c r="Y958" i="72"/>
  <c r="Y959" i="72"/>
  <c r="Y960" i="72"/>
  <c r="Y961" i="72"/>
  <c r="Y962" i="72"/>
  <c r="Y963" i="72"/>
  <c r="Y964" i="72"/>
  <c r="Y965" i="72"/>
  <c r="Y966" i="72"/>
  <c r="Y967" i="72"/>
  <c r="Y968" i="72"/>
  <c r="Y969" i="72"/>
  <c r="Y970" i="72"/>
  <c r="Y971" i="72"/>
  <c r="Y972" i="72"/>
  <c r="Y973" i="72"/>
  <c r="Y974" i="72"/>
  <c r="Y975" i="72"/>
  <c r="Y976" i="72"/>
  <c r="Y977" i="72"/>
  <c r="Y978" i="72"/>
  <c r="Y979" i="72"/>
  <c r="Y980" i="72"/>
  <c r="Y981" i="72"/>
  <c r="Y982" i="72"/>
  <c r="Y983" i="72"/>
  <c r="Y984" i="72"/>
  <c r="Y985" i="72"/>
  <c r="Y986" i="72"/>
  <c r="Y987" i="72"/>
  <c r="Y988" i="72"/>
  <c r="Y989" i="72"/>
  <c r="Y990" i="72"/>
  <c r="Y991" i="72"/>
  <c r="Y992" i="72"/>
  <c r="Y993" i="72"/>
  <c r="Y994" i="72"/>
  <c r="Y995" i="72"/>
  <c r="Y996" i="72"/>
  <c r="Y997" i="72"/>
  <c r="Y998" i="72"/>
  <c r="Y999" i="72"/>
  <c r="Y1000" i="72"/>
  <c r="Y1001" i="72"/>
  <c r="Y1002" i="72"/>
  <c r="Y1003" i="72"/>
  <c r="Y1004" i="72"/>
  <c r="Y1005" i="72"/>
  <c r="Y1006" i="72"/>
  <c r="Y1007" i="72"/>
  <c r="Y1008" i="72"/>
  <c r="Y1009" i="72"/>
  <c r="Y1010" i="72"/>
  <c r="Y1011" i="72"/>
  <c r="Y1012" i="72"/>
  <c r="Y1013" i="72"/>
  <c r="Y1014" i="72"/>
  <c r="Y1015" i="72"/>
  <c r="Y1016" i="72"/>
  <c r="Y1017" i="72"/>
  <c r="Y1018" i="72"/>
  <c r="Y1019" i="72"/>
  <c r="Y1020" i="72"/>
  <c r="Y1021" i="72"/>
  <c r="Y1022" i="72"/>
  <c r="Y1023" i="72"/>
  <c r="Y1024" i="72"/>
  <c r="Y1025" i="72"/>
  <c r="Y1026" i="72"/>
  <c r="Y1027" i="72"/>
  <c r="Y1028" i="72"/>
  <c r="Y1029" i="72"/>
  <c r="Y1030" i="72"/>
  <c r="Y1031" i="72"/>
  <c r="Y1032" i="72"/>
  <c r="Y1033" i="72"/>
  <c r="Y1034" i="72"/>
  <c r="Y1035" i="72"/>
  <c r="Y1036" i="72"/>
  <c r="Y1037" i="72"/>
  <c r="Y1038" i="72"/>
  <c r="Y1039" i="72"/>
  <c r="Y1040" i="72"/>
  <c r="Y1041" i="72"/>
  <c r="Y1042" i="72"/>
  <c r="Y1043" i="72"/>
  <c r="Y1044" i="72"/>
  <c r="Y1045" i="72"/>
  <c r="Y1046" i="72"/>
  <c r="Y1047" i="72"/>
  <c r="Y1048" i="72"/>
  <c r="Y1049" i="72"/>
  <c r="Y1050" i="72"/>
  <c r="Y1051" i="72"/>
  <c r="Y1052" i="72"/>
  <c r="Y1053" i="72"/>
  <c r="Y1054" i="72"/>
  <c r="Y1055" i="72"/>
  <c r="Y1056" i="72"/>
  <c r="Y1057" i="72"/>
  <c r="Y1058" i="72"/>
  <c r="Y1059" i="72"/>
  <c r="Y1060" i="72"/>
  <c r="Y1061" i="72"/>
  <c r="Y1062" i="72"/>
  <c r="Y1063" i="72"/>
  <c r="Y1064" i="72"/>
  <c r="Y1065" i="72"/>
  <c r="Y1066" i="72"/>
  <c r="Y1067" i="72"/>
  <c r="Y1068" i="72"/>
  <c r="Y1069" i="72"/>
  <c r="Y1070" i="72"/>
  <c r="Y1071" i="72"/>
  <c r="Y1072" i="72"/>
  <c r="Y1073" i="72"/>
  <c r="Y1074" i="72"/>
  <c r="Y1075" i="72"/>
  <c r="Y1076" i="72"/>
  <c r="Y1077" i="72"/>
  <c r="Y1078" i="72"/>
  <c r="Y1079" i="72"/>
  <c r="Y1080" i="72"/>
  <c r="Y1081" i="72"/>
  <c r="Y1082" i="72"/>
  <c r="Y1083" i="72"/>
  <c r="Y1084" i="72"/>
  <c r="Y1085" i="72"/>
  <c r="Y1086" i="72"/>
  <c r="Y1087" i="72"/>
  <c r="Y1088" i="72"/>
  <c r="Y1089" i="72"/>
  <c r="Y1090" i="72"/>
  <c r="Y1091" i="72"/>
  <c r="Y1092" i="72"/>
  <c r="Y1093" i="72"/>
  <c r="Y1094" i="72"/>
  <c r="Y1095" i="72"/>
  <c r="Y1096" i="72"/>
  <c r="Y1097" i="72"/>
  <c r="Y1098" i="72"/>
  <c r="Y1099" i="72"/>
  <c r="Y1100" i="72"/>
  <c r="Y1101" i="72"/>
  <c r="Y1102" i="72"/>
  <c r="Y1103" i="72"/>
  <c r="Y1104" i="72"/>
  <c r="Y1105" i="72"/>
  <c r="Y1106" i="72"/>
  <c r="Y1107" i="72"/>
  <c r="Y1108" i="72"/>
  <c r="Y1109" i="72"/>
  <c r="Y1110" i="72"/>
  <c r="Y1111" i="72"/>
  <c r="Y1112" i="72"/>
  <c r="Y1113" i="72"/>
  <c r="Y1114" i="72"/>
  <c r="Y1115" i="72"/>
  <c r="Y1116" i="72"/>
  <c r="Y1117" i="72"/>
  <c r="Y1118" i="72"/>
  <c r="Y1119" i="72"/>
  <c r="Y1120" i="72"/>
  <c r="Y1121" i="72"/>
  <c r="Y1122" i="72"/>
  <c r="Y1123" i="72"/>
  <c r="Y1124" i="72"/>
  <c r="Y1125" i="72"/>
  <c r="Y1126" i="72"/>
  <c r="Y1127" i="72"/>
  <c r="Y1128" i="72"/>
  <c r="Y1129" i="72"/>
  <c r="Y1130" i="72"/>
  <c r="Y1131" i="72"/>
  <c r="Y1132" i="72"/>
  <c r="Y1133" i="72"/>
  <c r="Y1134" i="72"/>
  <c r="Y1135" i="72"/>
  <c r="Y1136" i="72"/>
  <c r="Y1137" i="72"/>
  <c r="Y1138" i="72"/>
  <c r="Y1139" i="72"/>
  <c r="Y1140" i="72"/>
  <c r="Y1141" i="72"/>
  <c r="Y1142" i="72"/>
  <c r="Y1143" i="72"/>
  <c r="Y1144" i="72"/>
  <c r="Y1145" i="72"/>
  <c r="Y1146" i="72"/>
  <c r="Y1147" i="72"/>
  <c r="Y1148" i="72"/>
  <c r="Y1149" i="72"/>
  <c r="Y1150" i="72"/>
  <c r="Y1151" i="72"/>
  <c r="Y1152" i="72"/>
  <c r="Y1153" i="72"/>
  <c r="Y1154" i="72"/>
  <c r="Y1155" i="72"/>
  <c r="Y1156" i="72"/>
  <c r="Y1157" i="72"/>
  <c r="Y1158" i="72"/>
  <c r="Y1159" i="72"/>
  <c r="Y1160" i="72"/>
  <c r="Y1161" i="72"/>
  <c r="Y1162" i="72"/>
  <c r="Y1163" i="72"/>
  <c r="Y1164" i="72"/>
  <c r="Y1165" i="72"/>
  <c r="Y1166" i="72"/>
  <c r="Y1167" i="72"/>
  <c r="Y1168" i="72"/>
  <c r="Y1169" i="72"/>
  <c r="Y1170" i="72"/>
  <c r="Y1171" i="72"/>
  <c r="Y1172" i="72"/>
  <c r="Y1173" i="72"/>
  <c r="Y1174" i="72"/>
  <c r="Y1175" i="72"/>
  <c r="Y1176" i="72"/>
  <c r="Y1177" i="72"/>
  <c r="Y1178" i="72"/>
  <c r="Y1179" i="72"/>
  <c r="Y1180" i="72"/>
  <c r="Y1181" i="72"/>
  <c r="Y1182" i="72"/>
  <c r="Y1183" i="72"/>
  <c r="Y1184" i="72"/>
  <c r="Y1185" i="72"/>
  <c r="Y1186" i="72"/>
  <c r="Y1187" i="72"/>
  <c r="Y1188" i="72"/>
  <c r="Y1189" i="72"/>
  <c r="Y1190" i="72"/>
  <c r="Y1191" i="72"/>
  <c r="Y1192" i="72"/>
  <c r="Y1193" i="72"/>
  <c r="Y1194" i="72"/>
  <c r="Y1195" i="72"/>
  <c r="Y1196" i="72"/>
  <c r="Y1197" i="72"/>
  <c r="Y1198" i="72"/>
  <c r="Y1199" i="72"/>
  <c r="Y1200" i="72"/>
  <c r="Y1201" i="72"/>
  <c r="Y1202" i="72"/>
  <c r="Y1203" i="72"/>
  <c r="Y1204" i="72"/>
  <c r="Y1205" i="72"/>
  <c r="Y1206" i="72"/>
  <c r="Y1207" i="72"/>
  <c r="Y1208" i="72"/>
  <c r="Y1209" i="72"/>
  <c r="Y1210" i="72"/>
  <c r="Y1211" i="72"/>
  <c r="Y1212" i="72"/>
  <c r="Y1213" i="72"/>
  <c r="Y1214" i="72"/>
  <c r="Y1215" i="72"/>
  <c r="Y1216" i="72"/>
  <c r="Y1217" i="72"/>
  <c r="Y1218" i="72"/>
  <c r="Y1219" i="72"/>
  <c r="Y1220" i="72"/>
  <c r="Y1221" i="72"/>
  <c r="Y1222" i="72"/>
  <c r="Y1223" i="72"/>
  <c r="Y1224" i="72"/>
  <c r="Y1225" i="72"/>
  <c r="Y1226" i="72"/>
  <c r="Y1227" i="72"/>
  <c r="Y1228" i="72"/>
  <c r="Y1229" i="72"/>
  <c r="Y1230" i="72"/>
  <c r="Y1231" i="72"/>
  <c r="Y1232" i="72"/>
  <c r="Y1233" i="72"/>
  <c r="Y1234" i="72"/>
  <c r="Y1235" i="72"/>
  <c r="Y1236" i="72"/>
  <c r="Y1237" i="72"/>
  <c r="Y1238" i="72"/>
  <c r="Y1239" i="72"/>
  <c r="Y1240" i="72"/>
  <c r="Y1241" i="72"/>
  <c r="Y1242" i="72"/>
  <c r="Y1243" i="72"/>
  <c r="Y1244" i="72"/>
  <c r="Y1245" i="72"/>
  <c r="Y1246" i="72"/>
  <c r="Y1247" i="72"/>
  <c r="Y1248" i="72"/>
  <c r="Y1249" i="72"/>
  <c r="Y1250" i="72"/>
  <c r="Y1251" i="72"/>
  <c r="Y1252" i="72"/>
  <c r="Z501" i="72"/>
  <c r="Z502" i="72"/>
  <c r="Z503" i="72"/>
  <c r="Z504" i="72"/>
  <c r="Z505" i="72"/>
  <c r="Z506" i="72"/>
  <c r="Z507" i="72"/>
  <c r="Z508" i="72"/>
  <c r="Z509" i="72"/>
  <c r="Z510" i="72"/>
  <c r="Z511" i="72"/>
  <c r="Z512" i="72"/>
  <c r="Z513" i="72"/>
  <c r="Z514" i="72"/>
  <c r="Z515" i="72"/>
  <c r="Z516" i="72"/>
  <c r="Z517" i="72"/>
  <c r="Z518" i="72"/>
  <c r="Z519" i="72"/>
  <c r="Z520" i="72"/>
  <c r="Z521" i="72"/>
  <c r="Z522" i="72"/>
  <c r="Z523" i="72"/>
  <c r="Z524" i="72"/>
  <c r="Z525" i="72"/>
  <c r="Z526" i="72"/>
  <c r="Z527" i="72"/>
  <c r="Z528" i="72"/>
  <c r="Z529" i="72"/>
  <c r="Z530" i="72"/>
  <c r="Z531" i="72"/>
  <c r="Z532" i="72"/>
  <c r="Z533" i="72"/>
  <c r="Z534" i="72"/>
  <c r="Z535" i="72"/>
  <c r="Z536" i="72"/>
  <c r="Z537" i="72"/>
  <c r="Z538" i="72"/>
  <c r="Z539" i="72"/>
  <c r="Z540" i="72"/>
  <c r="Z541" i="72"/>
  <c r="Z542" i="72"/>
  <c r="Z543" i="72"/>
  <c r="Z544" i="72"/>
  <c r="Z545" i="72"/>
  <c r="Z546" i="72"/>
  <c r="Z547" i="72"/>
  <c r="Z548" i="72"/>
  <c r="Z549" i="72"/>
  <c r="Z550" i="72"/>
  <c r="Z551" i="72"/>
  <c r="Z552" i="72"/>
  <c r="Z553" i="72"/>
  <c r="Z554" i="72"/>
  <c r="Z555" i="72"/>
  <c r="Z556" i="72"/>
  <c r="Z557" i="72"/>
  <c r="Z558" i="72"/>
  <c r="Z559" i="72"/>
  <c r="Z560" i="72"/>
  <c r="Z561" i="72"/>
  <c r="Z562" i="72"/>
  <c r="Z563" i="72"/>
  <c r="Z564" i="72"/>
  <c r="Z565" i="72"/>
  <c r="Z566" i="72"/>
  <c r="Z567" i="72"/>
  <c r="Z568" i="72"/>
  <c r="Z569" i="72"/>
  <c r="Z570" i="72"/>
  <c r="Z571" i="72"/>
  <c r="Z572" i="72"/>
  <c r="Z573" i="72"/>
  <c r="Z574" i="72"/>
  <c r="Z575" i="72"/>
  <c r="Z576" i="72"/>
  <c r="Z577" i="72"/>
  <c r="Z578" i="72"/>
  <c r="Z579" i="72"/>
  <c r="Z580" i="72"/>
  <c r="Z581" i="72"/>
  <c r="Z582" i="72"/>
  <c r="Z583" i="72"/>
  <c r="Z584" i="72"/>
  <c r="Z585" i="72"/>
  <c r="Z586" i="72"/>
  <c r="Z587" i="72"/>
  <c r="Z588" i="72"/>
  <c r="Z589" i="72"/>
  <c r="Z590" i="72"/>
  <c r="Z591" i="72"/>
  <c r="Z592" i="72"/>
  <c r="Z593" i="72"/>
  <c r="Z594" i="72"/>
  <c r="Z595" i="72"/>
  <c r="Z596" i="72"/>
  <c r="Z597" i="72"/>
  <c r="Z598" i="72"/>
  <c r="Z599" i="72"/>
  <c r="Z600" i="72"/>
  <c r="Z601" i="72"/>
  <c r="Z602" i="72"/>
  <c r="Z603" i="72"/>
  <c r="Z604" i="72"/>
  <c r="Z605" i="72"/>
  <c r="Z606" i="72"/>
  <c r="Z607" i="72"/>
  <c r="Z608" i="72"/>
  <c r="Z609" i="72"/>
  <c r="Z610" i="72"/>
  <c r="Z611" i="72"/>
  <c r="Z612" i="72"/>
  <c r="Z613" i="72"/>
  <c r="Z614" i="72"/>
  <c r="Z615" i="72"/>
  <c r="Z616" i="72"/>
  <c r="Z617" i="72"/>
  <c r="Z618" i="72"/>
  <c r="Z619" i="72"/>
  <c r="Z620" i="72"/>
  <c r="Z621" i="72"/>
  <c r="Z622" i="72"/>
  <c r="Z623" i="72"/>
  <c r="Z624" i="72"/>
  <c r="Z625" i="72"/>
  <c r="Z626" i="72"/>
  <c r="Z627" i="72"/>
  <c r="Z628" i="72"/>
  <c r="Z629" i="72"/>
  <c r="Z630" i="72"/>
  <c r="Z631" i="72"/>
  <c r="Z632" i="72"/>
  <c r="Z633" i="72"/>
  <c r="Z634" i="72"/>
  <c r="Z635" i="72"/>
  <c r="Z636" i="72"/>
  <c r="Z637" i="72"/>
  <c r="Z638" i="72"/>
  <c r="Z639" i="72"/>
  <c r="Z640" i="72"/>
  <c r="Z641" i="72"/>
  <c r="Z642" i="72"/>
  <c r="Z643" i="72"/>
  <c r="Z644" i="72"/>
  <c r="Z645" i="72"/>
  <c r="Z646" i="72"/>
  <c r="Z647" i="72"/>
  <c r="Z648" i="72"/>
  <c r="Z649" i="72"/>
  <c r="Z650" i="72"/>
  <c r="Z651" i="72"/>
  <c r="Z652" i="72"/>
  <c r="Z653" i="72"/>
  <c r="Z654" i="72"/>
  <c r="Z655" i="72"/>
  <c r="Z656" i="72"/>
  <c r="Z657" i="72"/>
  <c r="Z658" i="72"/>
  <c r="Z659" i="72"/>
  <c r="Z660" i="72"/>
  <c r="Z661" i="72"/>
  <c r="Z662" i="72"/>
  <c r="Z663" i="72"/>
  <c r="Z664" i="72"/>
  <c r="Z665" i="72"/>
  <c r="Z666" i="72"/>
  <c r="Z667" i="72"/>
  <c r="Z668" i="72"/>
  <c r="Z669" i="72"/>
  <c r="Z670" i="72"/>
  <c r="Z671" i="72"/>
  <c r="Z672" i="72"/>
  <c r="Z673" i="72"/>
  <c r="Z674" i="72"/>
  <c r="Z675" i="72"/>
  <c r="Z676" i="72"/>
  <c r="Z677" i="72"/>
  <c r="Z678" i="72"/>
  <c r="Z679" i="72"/>
  <c r="Z680" i="72"/>
  <c r="Z681" i="72"/>
  <c r="Z682" i="72"/>
  <c r="Z683" i="72"/>
  <c r="Z684" i="72"/>
  <c r="Z685" i="72"/>
  <c r="Z686" i="72"/>
  <c r="Z687" i="72"/>
  <c r="Z688" i="72"/>
  <c r="Z689" i="72"/>
  <c r="Z690" i="72"/>
  <c r="Z691" i="72"/>
  <c r="Z692" i="72"/>
  <c r="Z693" i="72"/>
  <c r="Z694" i="72"/>
  <c r="Z695" i="72"/>
  <c r="Z696" i="72"/>
  <c r="Z697" i="72"/>
  <c r="Z698" i="72"/>
  <c r="Z699" i="72"/>
  <c r="Z700" i="72"/>
  <c r="Z701" i="72"/>
  <c r="Z702" i="72"/>
  <c r="Z703" i="72"/>
  <c r="Z704" i="72"/>
  <c r="Z705" i="72"/>
  <c r="Z706" i="72"/>
  <c r="Z707" i="72"/>
  <c r="Z708" i="72"/>
  <c r="Z709" i="72"/>
  <c r="Z710" i="72"/>
  <c r="Z711" i="72"/>
  <c r="Z712" i="72"/>
  <c r="Z713" i="72"/>
  <c r="Z714" i="72"/>
  <c r="Z715" i="72"/>
  <c r="Z716" i="72"/>
  <c r="Z717" i="72"/>
  <c r="Z718" i="72"/>
  <c r="Z719" i="72"/>
  <c r="Z720" i="72"/>
  <c r="Z721" i="72"/>
  <c r="Z722" i="72"/>
  <c r="Z723" i="72"/>
  <c r="Z724" i="72"/>
  <c r="Z725" i="72"/>
  <c r="Z726" i="72"/>
  <c r="Z727" i="72"/>
  <c r="Z728" i="72"/>
  <c r="Z729" i="72"/>
  <c r="Z730" i="72"/>
  <c r="Z731" i="72"/>
  <c r="Z732" i="72"/>
  <c r="Z733" i="72"/>
  <c r="Z734" i="72"/>
  <c r="Z735" i="72"/>
  <c r="Z736" i="72"/>
  <c r="Z737" i="72"/>
  <c r="Z738" i="72"/>
  <c r="Z739" i="72"/>
  <c r="Z740" i="72"/>
  <c r="Z741" i="72"/>
  <c r="Z742" i="72"/>
  <c r="Z743" i="72"/>
  <c r="Z744" i="72"/>
  <c r="Z745" i="72"/>
  <c r="Z746" i="72"/>
  <c r="Z747" i="72"/>
  <c r="Z748" i="72"/>
  <c r="Z749" i="72"/>
  <c r="Z750" i="72"/>
  <c r="Z751" i="72"/>
  <c r="Z752" i="72"/>
  <c r="Z753" i="72"/>
  <c r="Z754" i="72"/>
  <c r="Z755" i="72"/>
  <c r="Z756" i="72"/>
  <c r="Z757" i="72"/>
  <c r="Z758" i="72"/>
  <c r="Z759" i="72"/>
  <c r="Z760" i="72"/>
  <c r="Z761" i="72"/>
  <c r="Z762" i="72"/>
  <c r="Z763" i="72"/>
  <c r="Z764" i="72"/>
  <c r="Z765" i="72"/>
  <c r="Z766" i="72"/>
  <c r="Z767" i="72"/>
  <c r="Z768" i="72"/>
  <c r="Z769" i="72"/>
  <c r="Z770" i="72"/>
  <c r="Z771" i="72"/>
  <c r="Z772" i="72"/>
  <c r="Z773" i="72"/>
  <c r="Z774" i="72"/>
  <c r="Z775" i="72"/>
  <c r="Z776" i="72"/>
  <c r="Z777" i="72"/>
  <c r="Z778" i="72"/>
  <c r="Z779" i="72"/>
  <c r="Z780" i="72"/>
  <c r="Z781" i="72"/>
  <c r="Z782" i="72"/>
  <c r="Z783" i="72"/>
  <c r="Z784" i="72"/>
  <c r="Z785" i="72"/>
  <c r="Z786" i="72"/>
  <c r="Z787" i="72"/>
  <c r="Z788" i="72"/>
  <c r="Z789" i="72"/>
  <c r="Z790" i="72"/>
  <c r="Z791" i="72"/>
  <c r="Z792" i="72"/>
  <c r="Z793" i="72"/>
  <c r="Z794" i="72"/>
  <c r="Z795" i="72"/>
  <c r="Z796" i="72"/>
  <c r="Z797" i="72"/>
  <c r="Z798" i="72"/>
  <c r="Z799" i="72"/>
  <c r="Z800" i="72"/>
  <c r="Z801" i="72"/>
  <c r="Z802" i="72"/>
  <c r="Z803" i="72"/>
  <c r="Z804" i="72"/>
  <c r="Z805" i="72"/>
  <c r="Z806" i="72"/>
  <c r="Z807" i="72"/>
  <c r="Z808" i="72"/>
  <c r="Z809" i="72"/>
  <c r="Z810" i="72"/>
  <c r="Z811" i="72"/>
  <c r="Z812" i="72"/>
  <c r="Z813" i="72"/>
  <c r="Z814" i="72"/>
  <c r="Z815" i="72"/>
  <c r="Z816" i="72"/>
  <c r="Z817" i="72"/>
  <c r="Z818" i="72"/>
  <c r="Z819" i="72"/>
  <c r="Z820" i="72"/>
  <c r="Z821" i="72"/>
  <c r="Z822" i="72"/>
  <c r="Z823" i="72"/>
  <c r="Z824" i="72"/>
  <c r="Z825" i="72"/>
  <c r="Z826" i="72"/>
  <c r="Z827" i="72"/>
  <c r="Z828" i="72"/>
  <c r="Z829" i="72"/>
  <c r="Z830" i="72"/>
  <c r="Z831" i="72"/>
  <c r="Z832" i="72"/>
  <c r="Z833" i="72"/>
  <c r="Z834" i="72"/>
  <c r="Z835" i="72"/>
  <c r="Z836" i="72"/>
  <c r="Z837" i="72"/>
  <c r="Z838" i="72"/>
  <c r="Z839" i="72"/>
  <c r="Z840" i="72"/>
  <c r="Z841" i="72"/>
  <c r="Z842" i="72"/>
  <c r="Z843" i="72"/>
  <c r="Z844" i="72"/>
  <c r="Z845" i="72"/>
  <c r="Z846" i="72"/>
  <c r="Z847" i="72"/>
  <c r="Z848" i="72"/>
  <c r="Z849" i="72"/>
  <c r="Z850" i="72"/>
  <c r="Z851" i="72"/>
  <c r="Z852" i="72"/>
  <c r="Z853" i="72"/>
  <c r="Z854" i="72"/>
  <c r="Z855" i="72"/>
  <c r="Z856" i="72"/>
  <c r="Z857" i="72"/>
  <c r="Z858" i="72"/>
  <c r="Z859" i="72"/>
  <c r="Z860" i="72"/>
  <c r="Z861" i="72"/>
  <c r="Z862" i="72"/>
  <c r="Z863" i="72"/>
  <c r="Z864" i="72"/>
  <c r="Z865" i="72"/>
  <c r="Z866" i="72"/>
  <c r="Z867" i="72"/>
  <c r="Z868" i="72"/>
  <c r="Z869" i="72"/>
  <c r="Z870" i="72"/>
  <c r="Z871" i="72"/>
  <c r="Z872" i="72"/>
  <c r="Z873" i="72"/>
  <c r="Z874" i="72"/>
  <c r="Z875" i="72"/>
  <c r="Z876" i="72"/>
  <c r="Z877" i="72"/>
  <c r="Z878" i="72"/>
  <c r="Z879" i="72"/>
  <c r="Z880" i="72"/>
  <c r="Z881" i="72"/>
  <c r="Z882" i="72"/>
  <c r="Z883" i="72"/>
  <c r="Z884" i="72"/>
  <c r="Z885" i="72"/>
  <c r="Z886" i="72"/>
  <c r="Z887" i="72"/>
  <c r="Z888" i="72"/>
  <c r="Z889" i="72"/>
  <c r="Z890" i="72"/>
  <c r="Z891" i="72"/>
  <c r="Z892" i="72"/>
  <c r="Z893" i="72"/>
  <c r="Z894" i="72"/>
  <c r="Z895" i="72"/>
  <c r="Z896" i="72"/>
  <c r="Z897" i="72"/>
  <c r="Z898" i="72"/>
  <c r="Z899" i="72"/>
  <c r="Z900" i="72"/>
  <c r="Z901" i="72"/>
  <c r="Z902" i="72"/>
  <c r="Z903" i="72"/>
  <c r="Z904" i="72"/>
  <c r="Z905" i="72"/>
  <c r="Z906" i="72"/>
  <c r="Z907" i="72"/>
  <c r="Z908" i="72"/>
  <c r="Z909" i="72"/>
  <c r="Z910" i="72"/>
  <c r="Z911" i="72"/>
  <c r="Z912" i="72"/>
  <c r="Z913" i="72"/>
  <c r="Z914" i="72"/>
  <c r="Z915" i="72"/>
  <c r="Z916" i="72"/>
  <c r="Z917" i="72"/>
  <c r="Z918" i="72"/>
  <c r="Z919" i="72"/>
  <c r="Z920" i="72"/>
  <c r="Z921" i="72"/>
  <c r="Z922" i="72"/>
  <c r="Z923" i="72"/>
  <c r="Z924" i="72"/>
  <c r="Z925" i="72"/>
  <c r="Z926" i="72"/>
  <c r="Z927" i="72"/>
  <c r="Z928" i="72"/>
  <c r="Z929" i="72"/>
  <c r="Z930" i="72"/>
  <c r="Z931" i="72"/>
  <c r="Z932" i="72"/>
  <c r="Z933" i="72"/>
  <c r="Z934" i="72"/>
  <c r="Z935" i="72"/>
  <c r="Z936" i="72"/>
  <c r="Z937" i="72"/>
  <c r="Z938" i="72"/>
  <c r="Z939" i="72"/>
  <c r="Z940" i="72"/>
  <c r="Z941" i="72"/>
  <c r="Z942" i="72"/>
  <c r="Z943" i="72"/>
  <c r="Z944" i="72"/>
  <c r="Z945" i="72"/>
  <c r="Z946" i="72"/>
  <c r="Z947" i="72"/>
  <c r="Z948" i="72"/>
  <c r="Z949" i="72"/>
  <c r="Z950" i="72"/>
  <c r="Z951" i="72"/>
  <c r="Z952" i="72"/>
  <c r="Z953" i="72"/>
  <c r="Z954" i="72"/>
  <c r="Z955" i="72"/>
  <c r="Z956" i="72"/>
  <c r="Z957" i="72"/>
  <c r="Z958" i="72"/>
  <c r="Z959" i="72"/>
  <c r="Z960" i="72"/>
  <c r="Z961" i="72"/>
  <c r="Z962" i="72"/>
  <c r="Z963" i="72"/>
  <c r="Z964" i="72"/>
  <c r="Z965" i="72"/>
  <c r="Z966" i="72"/>
  <c r="Z967" i="72"/>
  <c r="Z968" i="72"/>
  <c r="Z969" i="72"/>
  <c r="Z970" i="72"/>
  <c r="Z971" i="72"/>
  <c r="Z972" i="72"/>
  <c r="Z973" i="72"/>
  <c r="Z974" i="72"/>
  <c r="Z975" i="72"/>
  <c r="Z976" i="72"/>
  <c r="Z977" i="72"/>
  <c r="Z978" i="72"/>
  <c r="Z979" i="72"/>
  <c r="Z980" i="72"/>
  <c r="Z981" i="72"/>
  <c r="Z982" i="72"/>
  <c r="Z983" i="72"/>
  <c r="Z984" i="72"/>
  <c r="Z985" i="72"/>
  <c r="Z986" i="72"/>
  <c r="Z987" i="72"/>
  <c r="Z988" i="72"/>
  <c r="Z989" i="72"/>
  <c r="Z990" i="72"/>
  <c r="Z991" i="72"/>
  <c r="Z992" i="72"/>
  <c r="Z993" i="72"/>
  <c r="Z994" i="72"/>
  <c r="Z995" i="72"/>
  <c r="Z996" i="72"/>
  <c r="Z997" i="72"/>
  <c r="Z998" i="72"/>
  <c r="Z999" i="72"/>
  <c r="Z1000" i="72"/>
  <c r="Z1001" i="72"/>
  <c r="Z1002" i="72"/>
  <c r="Z1003" i="72"/>
  <c r="Z1004" i="72"/>
  <c r="Z1005" i="72"/>
  <c r="Z1006" i="72"/>
  <c r="Z1007" i="72"/>
  <c r="Z1008" i="72"/>
  <c r="Z1009" i="72"/>
  <c r="Z1010" i="72"/>
  <c r="Z1011" i="72"/>
  <c r="Z1012" i="72"/>
  <c r="Z1013" i="72"/>
  <c r="Z1014" i="72"/>
  <c r="Z1015" i="72"/>
  <c r="Z1016" i="72"/>
  <c r="Z1017" i="72"/>
  <c r="Z1018" i="72"/>
  <c r="Z1019" i="72"/>
  <c r="Z1020" i="72"/>
  <c r="Z1021" i="72"/>
  <c r="Z1022" i="72"/>
  <c r="Z1023" i="72"/>
  <c r="Z1024" i="72"/>
  <c r="Z1025" i="72"/>
  <c r="Z1026" i="72"/>
  <c r="Z1027" i="72"/>
  <c r="Z1028" i="72"/>
  <c r="Z1029" i="72"/>
  <c r="Z1030" i="72"/>
  <c r="Z1031" i="72"/>
  <c r="Z1032" i="72"/>
  <c r="Z1033" i="72"/>
  <c r="Z1034" i="72"/>
  <c r="Z1035" i="72"/>
  <c r="Z1036" i="72"/>
  <c r="Z1037" i="72"/>
  <c r="Z1038" i="72"/>
  <c r="Z1039" i="72"/>
  <c r="Z1040" i="72"/>
  <c r="Z1041" i="72"/>
  <c r="Z1042" i="72"/>
  <c r="Z1043" i="72"/>
  <c r="Z1044" i="72"/>
  <c r="Z1045" i="72"/>
  <c r="Z1046" i="72"/>
  <c r="Z1047" i="72"/>
  <c r="Z1048" i="72"/>
  <c r="Z1049" i="72"/>
  <c r="Z1050" i="72"/>
  <c r="Z1051" i="72"/>
  <c r="Z1052" i="72"/>
  <c r="Z1053" i="72"/>
  <c r="Z1054" i="72"/>
  <c r="Z1055" i="72"/>
  <c r="Z1056" i="72"/>
  <c r="Z1057" i="72"/>
  <c r="Z1058" i="72"/>
  <c r="Z1059" i="72"/>
  <c r="Z1060" i="72"/>
  <c r="Z1061" i="72"/>
  <c r="Z1062" i="72"/>
  <c r="Z1063" i="72"/>
  <c r="Z1064" i="72"/>
  <c r="Z1065" i="72"/>
  <c r="Z1066" i="72"/>
  <c r="Z1067" i="72"/>
  <c r="Z1068" i="72"/>
  <c r="Z1069" i="72"/>
  <c r="Z1070" i="72"/>
  <c r="Z1071" i="72"/>
  <c r="Z1072" i="72"/>
  <c r="Z1073" i="72"/>
  <c r="Z1074" i="72"/>
  <c r="Z1075" i="72"/>
  <c r="Z1076" i="72"/>
  <c r="Z1077" i="72"/>
  <c r="Z1078" i="72"/>
  <c r="Z1079" i="72"/>
  <c r="Z1080" i="72"/>
  <c r="Z1081" i="72"/>
  <c r="Z1082" i="72"/>
  <c r="Z1083" i="72"/>
  <c r="Z1084" i="72"/>
  <c r="Z1085" i="72"/>
  <c r="Z1086" i="72"/>
  <c r="Z1087" i="72"/>
  <c r="Z1088" i="72"/>
  <c r="Z1089" i="72"/>
  <c r="Z1090" i="72"/>
  <c r="Z1091" i="72"/>
  <c r="Z1092" i="72"/>
  <c r="Z1093" i="72"/>
  <c r="Z1094" i="72"/>
  <c r="Z1095" i="72"/>
  <c r="Z1096" i="72"/>
  <c r="Z1097" i="72"/>
  <c r="Z1098" i="72"/>
  <c r="Z1099" i="72"/>
  <c r="Z1100" i="72"/>
  <c r="Z1101" i="72"/>
  <c r="Z1102" i="72"/>
  <c r="Z1103" i="72"/>
  <c r="Z1104" i="72"/>
  <c r="Z1105" i="72"/>
  <c r="Z1106" i="72"/>
  <c r="Z1107" i="72"/>
  <c r="Z1108" i="72"/>
  <c r="Z1109" i="72"/>
  <c r="Z1110" i="72"/>
  <c r="Z1111" i="72"/>
  <c r="Z1112" i="72"/>
  <c r="Z1113" i="72"/>
  <c r="Z1114" i="72"/>
  <c r="Z1115" i="72"/>
  <c r="Z1116" i="72"/>
  <c r="Z1117" i="72"/>
  <c r="Z1118" i="72"/>
  <c r="Z1119" i="72"/>
  <c r="Z1120" i="72"/>
  <c r="Z1121" i="72"/>
  <c r="Z1122" i="72"/>
  <c r="Z1123" i="72"/>
  <c r="Z1124" i="72"/>
  <c r="Z1125" i="72"/>
  <c r="Z1126" i="72"/>
  <c r="Z1127" i="72"/>
  <c r="Z1128" i="72"/>
  <c r="Z1129" i="72"/>
  <c r="Z1130" i="72"/>
  <c r="Z1131" i="72"/>
  <c r="Z1132" i="72"/>
  <c r="Z1133" i="72"/>
  <c r="Z1134" i="72"/>
  <c r="Z1135" i="72"/>
  <c r="Z1136" i="72"/>
  <c r="Z1137" i="72"/>
  <c r="Z1138" i="72"/>
  <c r="Z1139" i="72"/>
  <c r="Z1140" i="72"/>
  <c r="Z1141" i="72"/>
  <c r="Z1142" i="72"/>
  <c r="Z1143" i="72"/>
  <c r="Z1144" i="72"/>
  <c r="Z1145" i="72"/>
  <c r="Z1146" i="72"/>
  <c r="Z1147" i="72"/>
  <c r="Z1148" i="72"/>
  <c r="Z1149" i="72"/>
  <c r="Z1150" i="72"/>
  <c r="Z1151" i="72"/>
  <c r="Z1152" i="72"/>
  <c r="Z1153" i="72"/>
  <c r="Z1154" i="72"/>
  <c r="Z1155" i="72"/>
  <c r="Z1156" i="72"/>
  <c r="Z1157" i="72"/>
  <c r="Z1158" i="72"/>
  <c r="Z1159" i="72"/>
  <c r="Z1160" i="72"/>
  <c r="Z1161" i="72"/>
  <c r="Z1162" i="72"/>
  <c r="Z1163" i="72"/>
  <c r="Z1164" i="72"/>
  <c r="Z1165" i="72"/>
  <c r="Z1166" i="72"/>
  <c r="Z1167" i="72"/>
  <c r="Z1168" i="72"/>
  <c r="Z1169" i="72"/>
  <c r="Z1170" i="72"/>
  <c r="Z1171" i="72"/>
  <c r="Z1172" i="72"/>
  <c r="Z1173" i="72"/>
  <c r="Z1174" i="72"/>
  <c r="Z1175" i="72"/>
  <c r="Z1176" i="72"/>
  <c r="Z1177" i="72"/>
  <c r="Z1178" i="72"/>
  <c r="Z1179" i="72"/>
  <c r="Z1180" i="72"/>
  <c r="Z1181" i="72"/>
  <c r="Z1182" i="72"/>
  <c r="Z1183" i="72"/>
  <c r="Z1184" i="72"/>
  <c r="Z1185" i="72"/>
  <c r="Z1186" i="72"/>
  <c r="Z1187" i="72"/>
  <c r="Z1188" i="72"/>
  <c r="Z1189" i="72"/>
  <c r="Z1190" i="72"/>
  <c r="Z1191" i="72"/>
  <c r="Z1192" i="72"/>
  <c r="Z1193" i="72"/>
  <c r="Z1194" i="72"/>
  <c r="Z1195" i="72"/>
  <c r="Z1196" i="72"/>
  <c r="Z1197" i="72"/>
  <c r="Z1198" i="72"/>
  <c r="Z1199" i="72"/>
  <c r="Z1200" i="72"/>
  <c r="Z1201" i="72"/>
  <c r="Z1202" i="72"/>
  <c r="Z1203" i="72"/>
  <c r="Z1204" i="72"/>
  <c r="Z1205" i="72"/>
  <c r="Z1206" i="72"/>
  <c r="Z1207" i="72"/>
  <c r="Z1208" i="72"/>
  <c r="Z1209" i="72"/>
  <c r="Z1210" i="72"/>
  <c r="Z1211" i="72"/>
  <c r="Z1212" i="72"/>
  <c r="Z1213" i="72"/>
  <c r="Z1214" i="72"/>
  <c r="Z1215" i="72"/>
  <c r="Z1216" i="72"/>
  <c r="Z1217" i="72"/>
  <c r="Z1218" i="72"/>
  <c r="Z1219" i="72"/>
  <c r="Z1220" i="72"/>
  <c r="Z1221" i="72"/>
  <c r="Z1222" i="72"/>
  <c r="Z1223" i="72"/>
  <c r="Z1224" i="72"/>
  <c r="Z1225" i="72"/>
  <c r="Z1226" i="72"/>
  <c r="Z1227" i="72"/>
  <c r="Z1228" i="72"/>
  <c r="Z1229" i="72"/>
  <c r="Z1230" i="72"/>
  <c r="Z1231" i="72"/>
  <c r="Z1232" i="72"/>
  <c r="Z1233" i="72"/>
  <c r="Z1234" i="72"/>
  <c r="Z1235" i="72"/>
  <c r="Z1236" i="72"/>
  <c r="Z1237" i="72"/>
  <c r="Z1238" i="72"/>
  <c r="Z1239" i="72"/>
  <c r="Z1240" i="72"/>
  <c r="Z1241" i="72"/>
  <c r="Z1242" i="72"/>
  <c r="Z1243" i="72"/>
  <c r="Z1244" i="72"/>
  <c r="Z1245" i="72"/>
  <c r="Z1246" i="72"/>
  <c r="Z1247" i="72"/>
  <c r="Z1248" i="72"/>
  <c r="Z1249" i="72"/>
  <c r="Z1250" i="72"/>
  <c r="Z1251" i="72"/>
  <c r="Z1252" i="72"/>
  <c r="AA501" i="72"/>
  <c r="AA502" i="72"/>
  <c r="AA503" i="72"/>
  <c r="AA504" i="72"/>
  <c r="AA505" i="72"/>
  <c r="AA506" i="72"/>
  <c r="AA507" i="72"/>
  <c r="AA508" i="72"/>
  <c r="AA509" i="72"/>
  <c r="AA510" i="72"/>
  <c r="AA511" i="72"/>
  <c r="AA512" i="72"/>
  <c r="AA513" i="72"/>
  <c r="AA514" i="72"/>
  <c r="AA515" i="72"/>
  <c r="AA516" i="72"/>
  <c r="AA517" i="72"/>
  <c r="AA518" i="72"/>
  <c r="AA519" i="72"/>
  <c r="AA520" i="72"/>
  <c r="AA521" i="72"/>
  <c r="AA522" i="72"/>
  <c r="AA523" i="72"/>
  <c r="AA524" i="72"/>
  <c r="AA525" i="72"/>
  <c r="AA526" i="72"/>
  <c r="AA527" i="72"/>
  <c r="AA528" i="72"/>
  <c r="AA529" i="72"/>
  <c r="AA530" i="72"/>
  <c r="AA531" i="72"/>
  <c r="AA532" i="72"/>
  <c r="AA533" i="72"/>
  <c r="AA534" i="72"/>
  <c r="AA535" i="72"/>
  <c r="AA536" i="72"/>
  <c r="AA537" i="72"/>
  <c r="AA538" i="72"/>
  <c r="AA539" i="72"/>
  <c r="AA540" i="72"/>
  <c r="AA541" i="72"/>
  <c r="AA542" i="72"/>
  <c r="AA543" i="72"/>
  <c r="AA544" i="72"/>
  <c r="AA545" i="72"/>
  <c r="AA546" i="72"/>
  <c r="AA547" i="72"/>
  <c r="AA548" i="72"/>
  <c r="AA549" i="72"/>
  <c r="AA550" i="72"/>
  <c r="AA551" i="72"/>
  <c r="AA552" i="72"/>
  <c r="AA553" i="72"/>
  <c r="AA554" i="72"/>
  <c r="AA555" i="72"/>
  <c r="AA556" i="72"/>
  <c r="AA557" i="72"/>
  <c r="AA558" i="72"/>
  <c r="AA559" i="72"/>
  <c r="AA560" i="72"/>
  <c r="AA561" i="72"/>
  <c r="AA562" i="72"/>
  <c r="AA563" i="72"/>
  <c r="AA564" i="72"/>
  <c r="AA565" i="72"/>
  <c r="AA566" i="72"/>
  <c r="AA567" i="72"/>
  <c r="AA568" i="72"/>
  <c r="AA569" i="72"/>
  <c r="AA570" i="72"/>
  <c r="AA571" i="72"/>
  <c r="AA572" i="72"/>
  <c r="AA573" i="72"/>
  <c r="AA574" i="72"/>
  <c r="AA575" i="72"/>
  <c r="AA576" i="72"/>
  <c r="AA577" i="72"/>
  <c r="AA578" i="72"/>
  <c r="AA579" i="72"/>
  <c r="AA580" i="72"/>
  <c r="AA581" i="72"/>
  <c r="AA582" i="72"/>
  <c r="AA583" i="72"/>
  <c r="AA584" i="72"/>
  <c r="AA585" i="72"/>
  <c r="AA586" i="72"/>
  <c r="AA587" i="72"/>
  <c r="AA588" i="72"/>
  <c r="AA589" i="72"/>
  <c r="AA590" i="72"/>
  <c r="AA591" i="72"/>
  <c r="AA592" i="72"/>
  <c r="AA593" i="72"/>
  <c r="AA594" i="72"/>
  <c r="AA595" i="72"/>
  <c r="AA596" i="72"/>
  <c r="AA597" i="72"/>
  <c r="AA598" i="72"/>
  <c r="AA599" i="72"/>
  <c r="AA600" i="72"/>
  <c r="AA601" i="72"/>
  <c r="AA602" i="72"/>
  <c r="AA603" i="72"/>
  <c r="AA604" i="72"/>
  <c r="AA605" i="72"/>
  <c r="AA606" i="72"/>
  <c r="AA607" i="72"/>
  <c r="AA608" i="72"/>
  <c r="AA609" i="72"/>
  <c r="AA610" i="72"/>
  <c r="AA611" i="72"/>
  <c r="AA612" i="72"/>
  <c r="AA613" i="72"/>
  <c r="AA614" i="72"/>
  <c r="AA615" i="72"/>
  <c r="AA616" i="72"/>
  <c r="AA617" i="72"/>
  <c r="AA618" i="72"/>
  <c r="AA619" i="72"/>
  <c r="AA620" i="72"/>
  <c r="AA621" i="72"/>
  <c r="AA622" i="72"/>
  <c r="AA623" i="72"/>
  <c r="AA624" i="72"/>
  <c r="AA625" i="72"/>
  <c r="AA626" i="72"/>
  <c r="AA627" i="72"/>
  <c r="AA628" i="72"/>
  <c r="AA629" i="72"/>
  <c r="AA630" i="72"/>
  <c r="AA631" i="72"/>
  <c r="AA632" i="72"/>
  <c r="AA633" i="72"/>
  <c r="AA634" i="72"/>
  <c r="AA635" i="72"/>
  <c r="AA636" i="72"/>
  <c r="AA637" i="72"/>
  <c r="AA638" i="72"/>
  <c r="AA639" i="72"/>
  <c r="AA640" i="72"/>
  <c r="AA641" i="72"/>
  <c r="AA642" i="72"/>
  <c r="AA643" i="72"/>
  <c r="AA644" i="72"/>
  <c r="AA645" i="72"/>
  <c r="AA646" i="72"/>
  <c r="AA647" i="72"/>
  <c r="AA648" i="72"/>
  <c r="AA649" i="72"/>
  <c r="AA650" i="72"/>
  <c r="AA651" i="72"/>
  <c r="AA652" i="72"/>
  <c r="AA653" i="72"/>
  <c r="AA654" i="72"/>
  <c r="AA655" i="72"/>
  <c r="AA656" i="72"/>
  <c r="AA657" i="72"/>
  <c r="AA658" i="72"/>
  <c r="AA659" i="72"/>
  <c r="AA660" i="72"/>
  <c r="AA661" i="72"/>
  <c r="AA662" i="72"/>
  <c r="AA663" i="72"/>
  <c r="AA664" i="72"/>
  <c r="AA665" i="72"/>
  <c r="AA666" i="72"/>
  <c r="AA667" i="72"/>
  <c r="AA668" i="72"/>
  <c r="AA669" i="72"/>
  <c r="AA670" i="72"/>
  <c r="AA671" i="72"/>
  <c r="AA672" i="72"/>
  <c r="AA673" i="72"/>
  <c r="AA674" i="72"/>
  <c r="AA675" i="72"/>
  <c r="AA676" i="72"/>
  <c r="AA677" i="72"/>
  <c r="AA678" i="72"/>
  <c r="AA679" i="72"/>
  <c r="AA680" i="72"/>
  <c r="AA681" i="72"/>
  <c r="AA682" i="72"/>
  <c r="AA683" i="72"/>
  <c r="AA684" i="72"/>
  <c r="AA685" i="72"/>
  <c r="AA686" i="72"/>
  <c r="AA687" i="72"/>
  <c r="AA688" i="72"/>
  <c r="AA689" i="72"/>
  <c r="AA690" i="72"/>
  <c r="AA691" i="72"/>
  <c r="AA692" i="72"/>
  <c r="AA693" i="72"/>
  <c r="AA694" i="72"/>
  <c r="AA695" i="72"/>
  <c r="AA696" i="72"/>
  <c r="AA697" i="72"/>
  <c r="AA698" i="72"/>
  <c r="AA699" i="72"/>
  <c r="AA700" i="72"/>
  <c r="AA701" i="72"/>
  <c r="AA702" i="72"/>
  <c r="AA703" i="72"/>
  <c r="AA704" i="72"/>
  <c r="AA705" i="72"/>
  <c r="AA706" i="72"/>
  <c r="AA707" i="72"/>
  <c r="AA708" i="72"/>
  <c r="AA709" i="72"/>
  <c r="AA710" i="72"/>
  <c r="AA711" i="72"/>
  <c r="AA712" i="72"/>
  <c r="AA713" i="72"/>
  <c r="AA714" i="72"/>
  <c r="AA715" i="72"/>
  <c r="AA716" i="72"/>
  <c r="AA717" i="72"/>
  <c r="AA718" i="72"/>
  <c r="AA719" i="72"/>
  <c r="AA720" i="72"/>
  <c r="AA721" i="72"/>
  <c r="AA722" i="72"/>
  <c r="AA723" i="72"/>
  <c r="AA724" i="72"/>
  <c r="AA725" i="72"/>
  <c r="AA726" i="72"/>
  <c r="AA727" i="72"/>
  <c r="AA728" i="72"/>
  <c r="AA729" i="72"/>
  <c r="AA730" i="72"/>
  <c r="AA731" i="72"/>
  <c r="AA732" i="72"/>
  <c r="AA733" i="72"/>
  <c r="AA734" i="72"/>
  <c r="AA735" i="72"/>
  <c r="AA736" i="72"/>
  <c r="AA737" i="72"/>
  <c r="AA738" i="72"/>
  <c r="AA739" i="72"/>
  <c r="AA740" i="72"/>
  <c r="AA741" i="72"/>
  <c r="AA742" i="72"/>
  <c r="AA743" i="72"/>
  <c r="AA744" i="72"/>
  <c r="AA745" i="72"/>
  <c r="AA746" i="72"/>
  <c r="AA747" i="72"/>
  <c r="AA748" i="72"/>
  <c r="AA749" i="72"/>
  <c r="AA750" i="72"/>
  <c r="AA751" i="72"/>
  <c r="AA752" i="72"/>
  <c r="AA753" i="72"/>
  <c r="AA754" i="72"/>
  <c r="AA755" i="72"/>
  <c r="AA756" i="72"/>
  <c r="AA757" i="72"/>
  <c r="AA758" i="72"/>
  <c r="AA759" i="72"/>
  <c r="AA760" i="72"/>
  <c r="AA761" i="72"/>
  <c r="AA762" i="72"/>
  <c r="AA763" i="72"/>
  <c r="AA764" i="72"/>
  <c r="AA765" i="72"/>
  <c r="AA766" i="72"/>
  <c r="AA767" i="72"/>
  <c r="AA768" i="72"/>
  <c r="AA769" i="72"/>
  <c r="AA770" i="72"/>
  <c r="AA771" i="72"/>
  <c r="AA772" i="72"/>
  <c r="AA773" i="72"/>
  <c r="AA774" i="72"/>
  <c r="AA775" i="72"/>
  <c r="AA776" i="72"/>
  <c r="AA777" i="72"/>
  <c r="AA778" i="72"/>
  <c r="AA779" i="72"/>
  <c r="AA780" i="72"/>
  <c r="AA781" i="72"/>
  <c r="AA782" i="72"/>
  <c r="AA783" i="72"/>
  <c r="AA784" i="72"/>
  <c r="AA785" i="72"/>
  <c r="AA786" i="72"/>
  <c r="AA787" i="72"/>
  <c r="AA788" i="72"/>
  <c r="AA789" i="72"/>
  <c r="AA790" i="72"/>
  <c r="AA791" i="72"/>
  <c r="AA792" i="72"/>
  <c r="AA793" i="72"/>
  <c r="AA794" i="72"/>
  <c r="AA795" i="72"/>
  <c r="AA796" i="72"/>
  <c r="AA797" i="72"/>
  <c r="AA798" i="72"/>
  <c r="AA799" i="72"/>
  <c r="AA800" i="72"/>
  <c r="AA801" i="72"/>
  <c r="AA802" i="72"/>
  <c r="AA803" i="72"/>
  <c r="AA804" i="72"/>
  <c r="AA805" i="72"/>
  <c r="AA806" i="72"/>
  <c r="AA807" i="72"/>
  <c r="AA808" i="72"/>
  <c r="AA809" i="72"/>
  <c r="AA810" i="72"/>
  <c r="AA811" i="72"/>
  <c r="AA812" i="72"/>
  <c r="AA813" i="72"/>
  <c r="AA814" i="72"/>
  <c r="AA815" i="72"/>
  <c r="AA816" i="72"/>
  <c r="AA817" i="72"/>
  <c r="AA818" i="72"/>
  <c r="AA819" i="72"/>
  <c r="AA820" i="72"/>
  <c r="AA821" i="72"/>
  <c r="AA822" i="72"/>
  <c r="AA823" i="72"/>
  <c r="AA824" i="72"/>
  <c r="AA825" i="72"/>
  <c r="AA826" i="72"/>
  <c r="AA827" i="72"/>
  <c r="AA828" i="72"/>
  <c r="AA829" i="72"/>
  <c r="AA830" i="72"/>
  <c r="AA831" i="72"/>
  <c r="AA832" i="72"/>
  <c r="AA833" i="72"/>
  <c r="AA834" i="72"/>
  <c r="AA835" i="72"/>
  <c r="AA836" i="72"/>
  <c r="AA837" i="72"/>
  <c r="AA838" i="72"/>
  <c r="AA839" i="72"/>
  <c r="AA840" i="72"/>
  <c r="AA841" i="72"/>
  <c r="AA842" i="72"/>
  <c r="AA843" i="72"/>
  <c r="AA844" i="72"/>
  <c r="AA845" i="72"/>
  <c r="AA846" i="72"/>
  <c r="AA847" i="72"/>
  <c r="AA848" i="72"/>
  <c r="AA849" i="72"/>
  <c r="AA850" i="72"/>
  <c r="AA851" i="72"/>
  <c r="AA852" i="72"/>
  <c r="AA853" i="72"/>
  <c r="AA854" i="72"/>
  <c r="AA855" i="72"/>
  <c r="AA856" i="72"/>
  <c r="AA857" i="72"/>
  <c r="AA858" i="72"/>
  <c r="AA859" i="72"/>
  <c r="AA860" i="72"/>
  <c r="AA861" i="72"/>
  <c r="AA862" i="72"/>
  <c r="AA863" i="72"/>
  <c r="AA864" i="72"/>
  <c r="AA865" i="72"/>
  <c r="AA866" i="72"/>
  <c r="AA867" i="72"/>
  <c r="AA868" i="72"/>
  <c r="AA869" i="72"/>
  <c r="AA870" i="72"/>
  <c r="AA871" i="72"/>
  <c r="AA872" i="72"/>
  <c r="AA873" i="72"/>
  <c r="AA874" i="72"/>
  <c r="AA875" i="72"/>
  <c r="AA876" i="72"/>
  <c r="AA877" i="72"/>
  <c r="AA878" i="72"/>
  <c r="AA879" i="72"/>
  <c r="AA880" i="72"/>
  <c r="AA881" i="72"/>
  <c r="AA882" i="72"/>
  <c r="AA883" i="72"/>
  <c r="AA884" i="72"/>
  <c r="AA885" i="72"/>
  <c r="AA886" i="72"/>
  <c r="AA887" i="72"/>
  <c r="AA888" i="72"/>
  <c r="AA889" i="72"/>
  <c r="AA890" i="72"/>
  <c r="AA891" i="72"/>
  <c r="AA892" i="72"/>
  <c r="AA893" i="72"/>
  <c r="AA894" i="72"/>
  <c r="AA895" i="72"/>
  <c r="AA896" i="72"/>
  <c r="AA897" i="72"/>
  <c r="AA898" i="72"/>
  <c r="AA899" i="72"/>
  <c r="AA900" i="72"/>
  <c r="AA901" i="72"/>
  <c r="AA902" i="72"/>
  <c r="AA903" i="72"/>
  <c r="AA904" i="72"/>
  <c r="AA905" i="72"/>
  <c r="AA906" i="72"/>
  <c r="AA907" i="72"/>
  <c r="AA908" i="72"/>
  <c r="AA909" i="72"/>
  <c r="AA910" i="72"/>
  <c r="AA911" i="72"/>
  <c r="AA912" i="72"/>
  <c r="AA913" i="72"/>
  <c r="AA914" i="72"/>
  <c r="AA915" i="72"/>
  <c r="AA916" i="72"/>
  <c r="AA917" i="72"/>
  <c r="AA918" i="72"/>
  <c r="AA919" i="72"/>
  <c r="AA920" i="72"/>
  <c r="AA921" i="72"/>
  <c r="AA922" i="72"/>
  <c r="AA923" i="72"/>
  <c r="AA924" i="72"/>
  <c r="AA925" i="72"/>
  <c r="AA926" i="72"/>
  <c r="AA927" i="72"/>
  <c r="AA928" i="72"/>
  <c r="AA929" i="72"/>
  <c r="AA930" i="72"/>
  <c r="AA931" i="72"/>
  <c r="AA932" i="72"/>
  <c r="AA933" i="72"/>
  <c r="AA934" i="72"/>
  <c r="AA935" i="72"/>
  <c r="AA936" i="72"/>
  <c r="AA937" i="72"/>
  <c r="AA938" i="72"/>
  <c r="AA939" i="72"/>
  <c r="AA940" i="72"/>
  <c r="AA941" i="72"/>
  <c r="AA942" i="72"/>
  <c r="AA943" i="72"/>
  <c r="AA944" i="72"/>
  <c r="AA945" i="72"/>
  <c r="AA946" i="72"/>
  <c r="AA947" i="72"/>
  <c r="AA948" i="72"/>
  <c r="AA949" i="72"/>
  <c r="AA950" i="72"/>
  <c r="AA951" i="72"/>
  <c r="AA952" i="72"/>
  <c r="AA953" i="72"/>
  <c r="AA954" i="72"/>
  <c r="AA955" i="72"/>
  <c r="AA956" i="72"/>
  <c r="AA957" i="72"/>
  <c r="AA958" i="72"/>
  <c r="AA959" i="72"/>
  <c r="AA960" i="72"/>
  <c r="AA961" i="72"/>
  <c r="AA962" i="72"/>
  <c r="AA963" i="72"/>
  <c r="AA964" i="72"/>
  <c r="AA965" i="72"/>
  <c r="AA966" i="72"/>
  <c r="AA967" i="72"/>
  <c r="AA968" i="72"/>
  <c r="AA969" i="72"/>
  <c r="AA970" i="72"/>
  <c r="AA971" i="72"/>
  <c r="AA972" i="72"/>
  <c r="AA973" i="72"/>
  <c r="AA974" i="72"/>
  <c r="AA975" i="72"/>
  <c r="AA976" i="72"/>
  <c r="AA977" i="72"/>
  <c r="AA978" i="72"/>
  <c r="AA979" i="72"/>
  <c r="AA980" i="72"/>
  <c r="AA981" i="72"/>
  <c r="AA982" i="72"/>
  <c r="AA983" i="72"/>
  <c r="AA984" i="72"/>
  <c r="AA985" i="72"/>
  <c r="AA986" i="72"/>
  <c r="AA987" i="72"/>
  <c r="AA988" i="72"/>
  <c r="AA989" i="72"/>
  <c r="AA990" i="72"/>
  <c r="AA991" i="72"/>
  <c r="AA992" i="72"/>
  <c r="AA993" i="72"/>
  <c r="AA994" i="72"/>
  <c r="AA995" i="72"/>
  <c r="AA996" i="72"/>
  <c r="AA997" i="72"/>
  <c r="AA998" i="72"/>
  <c r="AA999" i="72"/>
  <c r="AA1000" i="72"/>
  <c r="AA1001" i="72"/>
  <c r="AA1002" i="72"/>
  <c r="AA1003" i="72"/>
  <c r="AA1004" i="72"/>
  <c r="AA1005" i="72"/>
  <c r="AA1006" i="72"/>
  <c r="AA1007" i="72"/>
  <c r="AA1008" i="72"/>
  <c r="AA1009" i="72"/>
  <c r="AA1010" i="72"/>
  <c r="AA1011" i="72"/>
  <c r="AA1012" i="72"/>
  <c r="AA1013" i="72"/>
  <c r="AA1014" i="72"/>
  <c r="AA1015" i="72"/>
  <c r="AA1016" i="72"/>
  <c r="AA1017" i="72"/>
  <c r="AA1018" i="72"/>
  <c r="AA1019" i="72"/>
  <c r="AA1020" i="72"/>
  <c r="AA1021" i="72"/>
  <c r="AA1022" i="72"/>
  <c r="AA1023" i="72"/>
  <c r="AA1024" i="72"/>
  <c r="AA1025" i="72"/>
  <c r="AA1026" i="72"/>
  <c r="AA1027" i="72"/>
  <c r="AA1028" i="72"/>
  <c r="AA1029" i="72"/>
  <c r="AA1030" i="72"/>
  <c r="AA1031" i="72"/>
  <c r="AA1032" i="72"/>
  <c r="AA1033" i="72"/>
  <c r="AA1034" i="72"/>
  <c r="AA1035" i="72"/>
  <c r="AA1036" i="72"/>
  <c r="AA1037" i="72"/>
  <c r="AA1038" i="72"/>
  <c r="AA1039" i="72"/>
  <c r="AA1040" i="72"/>
  <c r="AA1041" i="72"/>
  <c r="AA1042" i="72"/>
  <c r="AA1043" i="72"/>
  <c r="AA1044" i="72"/>
  <c r="AA1045" i="72"/>
  <c r="AA1046" i="72"/>
  <c r="AA1047" i="72"/>
  <c r="AA1048" i="72"/>
  <c r="AA1049" i="72"/>
  <c r="AA1050" i="72"/>
  <c r="AA1051" i="72"/>
  <c r="AA1052" i="72"/>
  <c r="AA1053" i="72"/>
  <c r="AA1054" i="72"/>
  <c r="AA1055" i="72"/>
  <c r="AA1056" i="72"/>
  <c r="AA1057" i="72"/>
  <c r="AA1058" i="72"/>
  <c r="AA1059" i="72"/>
  <c r="AA1060" i="72"/>
  <c r="AA1061" i="72"/>
  <c r="AA1062" i="72"/>
  <c r="AA1063" i="72"/>
  <c r="AA1064" i="72"/>
  <c r="AA1065" i="72"/>
  <c r="AA1066" i="72"/>
  <c r="AA1067" i="72"/>
  <c r="AA1068" i="72"/>
  <c r="AA1069" i="72"/>
  <c r="AA1070" i="72"/>
  <c r="AA1071" i="72"/>
  <c r="AA1072" i="72"/>
  <c r="AA1073" i="72"/>
  <c r="AA1074" i="72"/>
  <c r="AA1075" i="72"/>
  <c r="AA1076" i="72"/>
  <c r="AA1077" i="72"/>
  <c r="AA1078" i="72"/>
  <c r="AA1079" i="72"/>
  <c r="AA1080" i="72"/>
  <c r="AA1081" i="72"/>
  <c r="AA1082" i="72"/>
  <c r="AA1083" i="72"/>
  <c r="AA1084" i="72"/>
  <c r="AA1085" i="72"/>
  <c r="AA1086" i="72"/>
  <c r="AA1087" i="72"/>
  <c r="AA1088" i="72"/>
  <c r="AA1089" i="72"/>
  <c r="AA1090" i="72"/>
  <c r="AA1091" i="72"/>
  <c r="AA1092" i="72"/>
  <c r="AA1093" i="72"/>
  <c r="AA1094" i="72"/>
  <c r="AA1095" i="72"/>
  <c r="AA1096" i="72"/>
  <c r="AA1097" i="72"/>
  <c r="AA1098" i="72"/>
  <c r="AA1099" i="72"/>
  <c r="AA1100" i="72"/>
  <c r="AA1101" i="72"/>
  <c r="AA1102" i="72"/>
  <c r="AA1103" i="72"/>
  <c r="AA1104" i="72"/>
  <c r="AA1105" i="72"/>
  <c r="AA1106" i="72"/>
  <c r="AA1107" i="72"/>
  <c r="AA1108" i="72"/>
  <c r="AA1109" i="72"/>
  <c r="AA1110" i="72"/>
  <c r="AA1111" i="72"/>
  <c r="AA1112" i="72"/>
  <c r="AA1113" i="72"/>
  <c r="AA1114" i="72"/>
  <c r="AA1115" i="72"/>
  <c r="AA1116" i="72"/>
  <c r="AA1117" i="72"/>
  <c r="AA1118" i="72"/>
  <c r="AA1119" i="72"/>
  <c r="AA1120" i="72"/>
  <c r="AA1121" i="72"/>
  <c r="AA1122" i="72"/>
  <c r="AA1123" i="72"/>
  <c r="AA1124" i="72"/>
  <c r="AA1125" i="72"/>
  <c r="AA1126" i="72"/>
  <c r="AA1127" i="72"/>
  <c r="AA1128" i="72"/>
  <c r="AA1129" i="72"/>
  <c r="AA1130" i="72"/>
  <c r="AA1131" i="72"/>
  <c r="AA1132" i="72"/>
  <c r="AA1133" i="72"/>
  <c r="AA1134" i="72"/>
  <c r="AA1135" i="72"/>
  <c r="AA1136" i="72"/>
  <c r="AA1137" i="72"/>
  <c r="AA1138" i="72"/>
  <c r="AA1139" i="72"/>
  <c r="AA1140" i="72"/>
  <c r="AA1141" i="72"/>
  <c r="AA1142" i="72"/>
  <c r="AA1143" i="72"/>
  <c r="AA1144" i="72"/>
  <c r="AA1145" i="72"/>
  <c r="AA1146" i="72"/>
  <c r="AA1147" i="72"/>
  <c r="AA1148" i="72"/>
  <c r="AA1149" i="72"/>
  <c r="AA1150" i="72"/>
  <c r="AA1151" i="72"/>
  <c r="AA1152" i="72"/>
  <c r="AA1153" i="72"/>
  <c r="AA1154" i="72"/>
  <c r="AA1155" i="72"/>
  <c r="AA1156" i="72"/>
  <c r="AA1157" i="72"/>
  <c r="AA1158" i="72"/>
  <c r="AA1159" i="72"/>
  <c r="AA1160" i="72"/>
  <c r="AA1161" i="72"/>
  <c r="AA1162" i="72"/>
  <c r="AA1163" i="72"/>
  <c r="AA1164" i="72"/>
  <c r="AA1165" i="72"/>
  <c r="AA1166" i="72"/>
  <c r="AA1167" i="72"/>
  <c r="AA1168" i="72"/>
  <c r="AA1169" i="72"/>
  <c r="AA1170" i="72"/>
  <c r="AA1171" i="72"/>
  <c r="AA1172" i="72"/>
  <c r="AA1173" i="72"/>
  <c r="AA1174" i="72"/>
  <c r="AA1175" i="72"/>
  <c r="AA1176" i="72"/>
  <c r="AA1177" i="72"/>
  <c r="AA1178" i="72"/>
  <c r="AA1179" i="72"/>
  <c r="AA1180" i="72"/>
  <c r="AA1181" i="72"/>
  <c r="AA1182" i="72"/>
  <c r="AA1183" i="72"/>
  <c r="AA1184" i="72"/>
  <c r="AA1185" i="72"/>
  <c r="AA1186" i="72"/>
  <c r="AA1187" i="72"/>
  <c r="AA1188" i="72"/>
  <c r="AA1189" i="72"/>
  <c r="AA1190" i="72"/>
  <c r="AA1191" i="72"/>
  <c r="AA1192" i="72"/>
  <c r="AA1193" i="72"/>
  <c r="AA1194" i="72"/>
  <c r="AA1195" i="72"/>
  <c r="AA1196" i="72"/>
  <c r="AA1197" i="72"/>
  <c r="AA1198" i="72"/>
  <c r="AA1199" i="72"/>
  <c r="AA1200" i="72"/>
  <c r="AA1201" i="72"/>
  <c r="AA1202" i="72"/>
  <c r="AA1203" i="72"/>
  <c r="AA1204" i="72"/>
  <c r="AA1205" i="72"/>
  <c r="AA1206" i="72"/>
  <c r="AA1207" i="72"/>
  <c r="AA1208" i="72"/>
  <c r="AA1209" i="72"/>
  <c r="AA1210" i="72"/>
  <c r="AA1211" i="72"/>
  <c r="AA1212" i="72"/>
  <c r="AA1213" i="72"/>
  <c r="AA1214" i="72"/>
  <c r="AA1215" i="72"/>
  <c r="AA1216" i="72"/>
  <c r="AA1217" i="72"/>
  <c r="AA1218" i="72"/>
  <c r="AA1219" i="72"/>
  <c r="AA1220" i="72"/>
  <c r="AA1221" i="72"/>
  <c r="AA1222" i="72"/>
  <c r="AA1223" i="72"/>
  <c r="AA1224" i="72"/>
  <c r="AA1225" i="72"/>
  <c r="AA1226" i="72"/>
  <c r="AA1227" i="72"/>
  <c r="AA1228" i="72"/>
  <c r="AA1229" i="72"/>
  <c r="AA1230" i="72"/>
  <c r="AA1231" i="72"/>
  <c r="AA1232" i="72"/>
  <c r="AA1233" i="72"/>
  <c r="AA1234" i="72"/>
  <c r="AA1235" i="72"/>
  <c r="AA1236" i="72"/>
  <c r="AA1237" i="72"/>
  <c r="AA1238" i="72"/>
  <c r="AA1239" i="72"/>
  <c r="AA1240" i="72"/>
  <c r="AA1241" i="72"/>
  <c r="AA1242" i="72"/>
  <c r="AA1243" i="72"/>
  <c r="AA1244" i="72"/>
  <c r="AA1245" i="72"/>
  <c r="AA1246" i="72"/>
  <c r="AA1247" i="72"/>
  <c r="AA1248" i="72"/>
  <c r="AA1249" i="72"/>
  <c r="AA1250" i="72"/>
  <c r="AA1251" i="72"/>
  <c r="AA1252" i="72"/>
  <c r="AB501" i="72"/>
  <c r="AB502" i="72"/>
  <c r="AB503" i="72"/>
  <c r="AB504" i="72"/>
  <c r="AB505" i="72"/>
  <c r="AB506" i="72"/>
  <c r="AB507" i="72"/>
  <c r="AB508" i="72"/>
  <c r="AB509" i="72"/>
  <c r="AB510" i="72"/>
  <c r="AB511" i="72"/>
  <c r="AB512" i="72"/>
  <c r="AB513" i="72"/>
  <c r="AB514" i="72"/>
  <c r="AB515" i="72"/>
  <c r="AB516" i="72"/>
  <c r="AB517" i="72"/>
  <c r="AB518" i="72"/>
  <c r="AB519" i="72"/>
  <c r="AB520" i="72"/>
  <c r="AB521" i="72"/>
  <c r="AB522" i="72"/>
  <c r="AB523" i="72"/>
  <c r="AB524" i="72"/>
  <c r="AB525" i="72"/>
  <c r="AB526" i="72"/>
  <c r="AB527" i="72"/>
  <c r="AB528" i="72"/>
  <c r="AB529" i="72"/>
  <c r="AB530" i="72"/>
  <c r="AB531" i="72"/>
  <c r="AB532" i="72"/>
  <c r="AB533" i="72"/>
  <c r="AB534" i="72"/>
  <c r="AB535" i="72"/>
  <c r="AB536" i="72"/>
  <c r="AB537" i="72"/>
  <c r="AB538" i="72"/>
  <c r="AB539" i="72"/>
  <c r="AB540" i="72"/>
  <c r="AB541" i="72"/>
  <c r="AB542" i="72"/>
  <c r="AB543" i="72"/>
  <c r="AB544" i="72"/>
  <c r="AB545" i="72"/>
  <c r="AB546" i="72"/>
  <c r="AB547" i="72"/>
  <c r="AB548" i="72"/>
  <c r="AB549" i="72"/>
  <c r="AB550" i="72"/>
  <c r="AB551" i="72"/>
  <c r="AB552" i="72"/>
  <c r="AB553" i="72"/>
  <c r="AB554" i="72"/>
  <c r="AB555" i="72"/>
  <c r="AB556" i="72"/>
  <c r="AB557" i="72"/>
  <c r="AB558" i="72"/>
  <c r="AB559" i="72"/>
  <c r="AB560" i="72"/>
  <c r="AB561" i="72"/>
  <c r="AB562" i="72"/>
  <c r="AB563" i="72"/>
  <c r="AB564" i="72"/>
  <c r="AB565" i="72"/>
  <c r="AB566" i="72"/>
  <c r="AB567" i="72"/>
  <c r="AB568" i="72"/>
  <c r="AB569" i="72"/>
  <c r="AB570" i="72"/>
  <c r="AB571" i="72"/>
  <c r="AB572" i="72"/>
  <c r="AB573" i="72"/>
  <c r="AB574" i="72"/>
  <c r="AB575" i="72"/>
  <c r="AB576" i="72"/>
  <c r="AB577" i="72"/>
  <c r="AB578" i="72"/>
  <c r="AB579" i="72"/>
  <c r="AB580" i="72"/>
  <c r="AB581" i="72"/>
  <c r="AB582" i="72"/>
  <c r="AB583" i="72"/>
  <c r="AB584" i="72"/>
  <c r="AB585" i="72"/>
  <c r="AB586" i="72"/>
  <c r="AB587" i="72"/>
  <c r="AB588" i="72"/>
  <c r="AB589" i="72"/>
  <c r="AB590" i="72"/>
  <c r="AB591" i="72"/>
  <c r="AB592" i="72"/>
  <c r="AB593" i="72"/>
  <c r="AB594" i="72"/>
  <c r="AB595" i="72"/>
  <c r="AB596" i="72"/>
  <c r="AB597" i="72"/>
  <c r="AB598" i="72"/>
  <c r="AB599" i="72"/>
  <c r="AB600" i="72"/>
  <c r="AB601" i="72"/>
  <c r="AB602" i="72"/>
  <c r="AB603" i="72"/>
  <c r="AB604" i="72"/>
  <c r="AB605" i="72"/>
  <c r="AB606" i="72"/>
  <c r="AB607" i="72"/>
  <c r="AB608" i="72"/>
  <c r="AB609" i="72"/>
  <c r="AB610" i="72"/>
  <c r="AB611" i="72"/>
  <c r="AB612" i="72"/>
  <c r="AB613" i="72"/>
  <c r="AB614" i="72"/>
  <c r="AB615" i="72"/>
  <c r="AB616" i="72"/>
  <c r="AB617" i="72"/>
  <c r="AB618" i="72"/>
  <c r="AB619" i="72"/>
  <c r="AB620" i="72"/>
  <c r="AB621" i="72"/>
  <c r="AB622" i="72"/>
  <c r="AB623" i="72"/>
  <c r="AB624" i="72"/>
  <c r="AB625" i="72"/>
  <c r="AB626" i="72"/>
  <c r="AB627" i="72"/>
  <c r="AB628" i="72"/>
  <c r="AB629" i="72"/>
  <c r="AB630" i="72"/>
  <c r="AB631" i="72"/>
  <c r="AB632" i="72"/>
  <c r="AB633" i="72"/>
  <c r="AB634" i="72"/>
  <c r="AB635" i="72"/>
  <c r="AB636" i="72"/>
  <c r="AB637" i="72"/>
  <c r="AB638" i="72"/>
  <c r="AB639" i="72"/>
  <c r="AB640" i="72"/>
  <c r="AB641" i="72"/>
  <c r="AB642" i="72"/>
  <c r="AB643" i="72"/>
  <c r="AB644" i="72"/>
  <c r="AB645" i="72"/>
  <c r="AB646" i="72"/>
  <c r="AB647" i="72"/>
  <c r="AB648" i="72"/>
  <c r="AB649" i="72"/>
  <c r="AB650" i="72"/>
  <c r="AB651" i="72"/>
  <c r="AB652" i="72"/>
  <c r="AB653" i="72"/>
  <c r="AB654" i="72"/>
  <c r="AB655" i="72"/>
  <c r="AB656" i="72"/>
  <c r="AB657" i="72"/>
  <c r="AB658" i="72"/>
  <c r="AB659" i="72"/>
  <c r="AB660" i="72"/>
  <c r="AB661" i="72"/>
  <c r="AB662" i="72"/>
  <c r="AB663" i="72"/>
  <c r="AB664" i="72"/>
  <c r="AB665" i="72"/>
  <c r="AB666" i="72"/>
  <c r="AB667" i="72"/>
  <c r="AB668" i="72"/>
  <c r="AB669" i="72"/>
  <c r="AB670" i="72"/>
  <c r="AB671" i="72"/>
  <c r="AB672" i="72"/>
  <c r="AB673" i="72"/>
  <c r="AB674" i="72"/>
  <c r="AB675" i="72"/>
  <c r="AB676" i="72"/>
  <c r="AB677" i="72"/>
  <c r="AB678" i="72"/>
  <c r="AB679" i="72"/>
  <c r="AB680" i="72"/>
  <c r="AB681" i="72"/>
  <c r="AB682" i="72"/>
  <c r="AB683" i="72"/>
  <c r="AB684" i="72"/>
  <c r="AB685" i="72"/>
  <c r="AB686" i="72"/>
  <c r="AB687" i="72"/>
  <c r="AB688" i="72"/>
  <c r="AB689" i="72"/>
  <c r="AB690" i="72"/>
  <c r="AB691" i="72"/>
  <c r="AB692" i="72"/>
  <c r="AB693" i="72"/>
  <c r="AB694" i="72"/>
  <c r="AB695" i="72"/>
  <c r="AB696" i="72"/>
  <c r="AB697" i="72"/>
  <c r="AB698" i="72"/>
  <c r="AB699" i="72"/>
  <c r="AB700" i="72"/>
  <c r="AB701" i="72"/>
  <c r="AB702" i="72"/>
  <c r="AB703" i="72"/>
  <c r="AB704" i="72"/>
  <c r="AB705" i="72"/>
  <c r="AB706" i="72"/>
  <c r="AB707" i="72"/>
  <c r="AB708" i="72"/>
  <c r="AB709" i="72"/>
  <c r="AB710" i="72"/>
  <c r="AB711" i="72"/>
  <c r="AB712" i="72"/>
  <c r="AB713" i="72"/>
  <c r="AB714" i="72"/>
  <c r="AB715" i="72"/>
  <c r="AB716" i="72"/>
  <c r="AB717" i="72"/>
  <c r="AB718" i="72"/>
  <c r="AB719" i="72"/>
  <c r="AB720" i="72"/>
  <c r="AB721" i="72"/>
  <c r="AB722" i="72"/>
  <c r="AB723" i="72"/>
  <c r="AB724" i="72"/>
  <c r="AB725" i="72"/>
  <c r="AB726" i="72"/>
  <c r="AB727" i="72"/>
  <c r="AB728" i="72"/>
  <c r="AB729" i="72"/>
  <c r="AB730" i="72"/>
  <c r="AB731" i="72"/>
  <c r="AB732" i="72"/>
  <c r="AB733" i="72"/>
  <c r="AB734" i="72"/>
  <c r="AB735" i="72"/>
  <c r="AB736" i="72"/>
  <c r="AB737" i="72"/>
  <c r="AB738" i="72"/>
  <c r="AB739" i="72"/>
  <c r="AB740" i="72"/>
  <c r="AB741" i="72"/>
  <c r="AB742" i="72"/>
  <c r="AB743" i="72"/>
  <c r="AB744" i="72"/>
  <c r="AB745" i="72"/>
  <c r="AB746" i="72"/>
  <c r="AB747" i="72"/>
  <c r="AB748" i="72"/>
  <c r="AB749" i="72"/>
  <c r="AB750" i="72"/>
  <c r="AB751" i="72"/>
  <c r="AB752" i="72"/>
  <c r="AB753" i="72"/>
  <c r="AB754" i="72"/>
  <c r="AB755" i="72"/>
  <c r="AB756" i="72"/>
  <c r="AB757" i="72"/>
  <c r="AB758" i="72"/>
  <c r="AB759" i="72"/>
  <c r="AB760" i="72"/>
  <c r="AB761" i="72"/>
  <c r="AB762" i="72"/>
  <c r="AB763" i="72"/>
  <c r="AB764" i="72"/>
  <c r="AB765" i="72"/>
  <c r="AB766" i="72"/>
  <c r="AB767" i="72"/>
  <c r="AB768" i="72"/>
  <c r="AB769" i="72"/>
  <c r="AB770" i="72"/>
  <c r="AB771" i="72"/>
  <c r="AB772" i="72"/>
  <c r="AB773" i="72"/>
  <c r="AB774" i="72"/>
  <c r="AB775" i="72"/>
  <c r="AB776" i="72"/>
  <c r="AB777" i="72"/>
  <c r="AB778" i="72"/>
  <c r="AB779" i="72"/>
  <c r="AB780" i="72"/>
  <c r="AB781" i="72"/>
  <c r="AB782" i="72"/>
  <c r="AB783" i="72"/>
  <c r="AB784" i="72"/>
  <c r="AB785" i="72"/>
  <c r="AB786" i="72"/>
  <c r="AB787" i="72"/>
  <c r="AB788" i="72"/>
  <c r="AB789" i="72"/>
  <c r="AB790" i="72"/>
  <c r="AB791" i="72"/>
  <c r="AB792" i="72"/>
  <c r="AB793" i="72"/>
  <c r="AB794" i="72"/>
  <c r="AB795" i="72"/>
  <c r="AB796" i="72"/>
  <c r="AB797" i="72"/>
  <c r="AB798" i="72"/>
  <c r="AB799" i="72"/>
  <c r="AB800" i="72"/>
  <c r="AB801" i="72"/>
  <c r="AB802" i="72"/>
  <c r="AB803" i="72"/>
  <c r="AB804" i="72"/>
  <c r="AB805" i="72"/>
  <c r="AB806" i="72"/>
  <c r="AB807" i="72"/>
  <c r="AB808" i="72"/>
  <c r="AB809" i="72"/>
  <c r="AB810" i="72"/>
  <c r="AB811" i="72"/>
  <c r="AB812" i="72"/>
  <c r="AB813" i="72"/>
  <c r="AB814" i="72"/>
  <c r="AB815" i="72"/>
  <c r="AB816" i="72"/>
  <c r="AB817" i="72"/>
  <c r="AB818" i="72"/>
  <c r="AB819" i="72"/>
  <c r="AB820" i="72"/>
  <c r="AB821" i="72"/>
  <c r="AB822" i="72"/>
  <c r="AB823" i="72"/>
  <c r="AB824" i="72"/>
  <c r="AB825" i="72"/>
  <c r="AB826" i="72"/>
  <c r="AB827" i="72"/>
  <c r="AB828" i="72"/>
  <c r="AB829" i="72"/>
  <c r="AB830" i="72"/>
  <c r="AB831" i="72"/>
  <c r="AB832" i="72"/>
  <c r="AB833" i="72"/>
  <c r="AB834" i="72"/>
  <c r="AB835" i="72"/>
  <c r="AB836" i="72"/>
  <c r="AB837" i="72"/>
  <c r="AB838" i="72"/>
  <c r="AB839" i="72"/>
  <c r="AB840" i="72"/>
  <c r="AB841" i="72"/>
  <c r="AB842" i="72"/>
  <c r="AB843" i="72"/>
  <c r="AB844" i="72"/>
  <c r="AB845" i="72"/>
  <c r="AB846" i="72"/>
  <c r="AB847" i="72"/>
  <c r="AB848" i="72"/>
  <c r="AB849" i="72"/>
  <c r="AB850" i="72"/>
  <c r="AB851" i="72"/>
  <c r="AB852" i="72"/>
  <c r="AB853" i="72"/>
  <c r="AB854" i="72"/>
  <c r="AB855" i="72"/>
  <c r="AB856" i="72"/>
  <c r="AB857" i="72"/>
  <c r="AB858" i="72"/>
  <c r="AB859" i="72"/>
  <c r="AB860" i="72"/>
  <c r="AB861" i="72"/>
  <c r="AB862" i="72"/>
  <c r="AB863" i="72"/>
  <c r="AB864" i="72"/>
  <c r="AB865" i="72"/>
  <c r="AB866" i="72"/>
  <c r="AB867" i="72"/>
  <c r="AB868" i="72"/>
  <c r="AB869" i="72"/>
  <c r="AB870" i="72"/>
  <c r="AB871" i="72"/>
  <c r="AB872" i="72"/>
  <c r="AB873" i="72"/>
  <c r="AB874" i="72"/>
  <c r="AB875" i="72"/>
  <c r="AB876" i="72"/>
  <c r="AB877" i="72"/>
  <c r="AB878" i="72"/>
  <c r="AB879" i="72"/>
  <c r="AB880" i="72"/>
  <c r="AB881" i="72"/>
  <c r="AB882" i="72"/>
  <c r="AB883" i="72"/>
  <c r="AB884" i="72"/>
  <c r="AB885" i="72"/>
  <c r="AB886" i="72"/>
  <c r="AB887" i="72"/>
  <c r="AB888" i="72"/>
  <c r="AB889" i="72"/>
  <c r="AB890" i="72"/>
  <c r="AB891" i="72"/>
  <c r="AB892" i="72"/>
  <c r="AB893" i="72"/>
  <c r="AB894" i="72"/>
  <c r="AB895" i="72"/>
  <c r="AB896" i="72"/>
  <c r="AB897" i="72"/>
  <c r="AB898" i="72"/>
  <c r="AB899" i="72"/>
  <c r="AB900" i="72"/>
  <c r="AB901" i="72"/>
  <c r="AB902" i="72"/>
  <c r="AB903" i="72"/>
  <c r="AB904" i="72"/>
  <c r="AB905" i="72"/>
  <c r="AB906" i="72"/>
  <c r="AB907" i="72"/>
  <c r="AB908" i="72"/>
  <c r="AB909" i="72"/>
  <c r="AB910" i="72"/>
  <c r="AB911" i="72"/>
  <c r="AB912" i="72"/>
  <c r="AB913" i="72"/>
  <c r="AB914" i="72"/>
  <c r="AB915" i="72"/>
  <c r="AB916" i="72"/>
  <c r="AB917" i="72"/>
  <c r="AB918" i="72"/>
  <c r="AB919" i="72"/>
  <c r="AB920" i="72"/>
  <c r="AB921" i="72"/>
  <c r="AB922" i="72"/>
  <c r="AB923" i="72"/>
  <c r="AB924" i="72"/>
  <c r="AB925" i="72"/>
  <c r="AB926" i="72"/>
  <c r="AB927" i="72"/>
  <c r="AB928" i="72"/>
  <c r="AB929" i="72"/>
  <c r="AB930" i="72"/>
  <c r="AB931" i="72"/>
  <c r="AB932" i="72"/>
  <c r="AB933" i="72"/>
  <c r="AB934" i="72"/>
  <c r="AB935" i="72"/>
  <c r="AB936" i="72"/>
  <c r="AB937" i="72"/>
  <c r="AB938" i="72"/>
  <c r="AB939" i="72"/>
  <c r="AB940" i="72"/>
  <c r="AB941" i="72"/>
  <c r="AB942" i="72"/>
  <c r="AB943" i="72"/>
  <c r="AB944" i="72"/>
  <c r="AB945" i="72"/>
  <c r="AB946" i="72"/>
  <c r="AB947" i="72"/>
  <c r="AB948" i="72"/>
  <c r="AB949" i="72"/>
  <c r="AB950" i="72"/>
  <c r="AB951" i="72"/>
  <c r="AB952" i="72"/>
  <c r="AB953" i="72"/>
  <c r="AB954" i="72"/>
  <c r="AB955" i="72"/>
  <c r="AB956" i="72"/>
  <c r="AB957" i="72"/>
  <c r="AB958" i="72"/>
  <c r="AB959" i="72"/>
  <c r="AB960" i="72"/>
  <c r="AB961" i="72"/>
  <c r="AB962" i="72"/>
  <c r="AB963" i="72"/>
  <c r="AB964" i="72"/>
  <c r="AB965" i="72"/>
  <c r="AB966" i="72"/>
  <c r="AB967" i="72"/>
  <c r="AB968" i="72"/>
  <c r="AB969" i="72"/>
  <c r="AB970" i="72"/>
  <c r="AB971" i="72"/>
  <c r="AB972" i="72"/>
  <c r="AB973" i="72"/>
  <c r="AB974" i="72"/>
  <c r="AB975" i="72"/>
  <c r="AB976" i="72"/>
  <c r="AB977" i="72"/>
  <c r="AB978" i="72"/>
  <c r="AB979" i="72"/>
  <c r="AB980" i="72"/>
  <c r="AB981" i="72"/>
  <c r="AB982" i="72"/>
  <c r="AB983" i="72"/>
  <c r="AB984" i="72"/>
  <c r="AB985" i="72"/>
  <c r="AB986" i="72"/>
  <c r="AB987" i="72"/>
  <c r="AB988" i="72"/>
  <c r="AB989" i="72"/>
  <c r="AB990" i="72"/>
  <c r="AB991" i="72"/>
  <c r="AB992" i="72"/>
  <c r="AB993" i="72"/>
  <c r="AB994" i="72"/>
  <c r="AB995" i="72"/>
  <c r="AB996" i="72"/>
  <c r="AB997" i="72"/>
  <c r="AB998" i="72"/>
  <c r="AB999" i="72"/>
  <c r="AB1000" i="72"/>
  <c r="AB1001" i="72"/>
  <c r="AB1002" i="72"/>
  <c r="AB1003" i="72"/>
  <c r="AB1004" i="72"/>
  <c r="AB1005" i="72"/>
  <c r="AB1006" i="72"/>
  <c r="AB1007" i="72"/>
  <c r="AB1008" i="72"/>
  <c r="AB1009" i="72"/>
  <c r="AB1010" i="72"/>
  <c r="AB1011" i="72"/>
  <c r="AB1012" i="72"/>
  <c r="AB1013" i="72"/>
  <c r="AB1014" i="72"/>
  <c r="AB1015" i="72"/>
  <c r="AB1016" i="72"/>
  <c r="AB1017" i="72"/>
  <c r="AB1018" i="72"/>
  <c r="AB1019" i="72"/>
  <c r="AB1020" i="72"/>
  <c r="AB1021" i="72"/>
  <c r="AB1022" i="72"/>
  <c r="AB1023" i="72"/>
  <c r="AB1024" i="72"/>
  <c r="AB1025" i="72"/>
  <c r="AB1026" i="72"/>
  <c r="AB1027" i="72"/>
  <c r="AB1028" i="72"/>
  <c r="AB1029" i="72"/>
  <c r="AB1030" i="72"/>
  <c r="AB1031" i="72"/>
  <c r="AB1032" i="72"/>
  <c r="AB1033" i="72"/>
  <c r="AB1034" i="72"/>
  <c r="AB1035" i="72"/>
  <c r="AB1036" i="72"/>
  <c r="AB1037" i="72"/>
  <c r="AB1038" i="72"/>
  <c r="AB1039" i="72"/>
  <c r="AB1040" i="72"/>
  <c r="AB1041" i="72"/>
  <c r="AB1042" i="72"/>
  <c r="AB1043" i="72"/>
  <c r="AB1044" i="72"/>
  <c r="AB1045" i="72"/>
  <c r="AB1046" i="72"/>
  <c r="AB1047" i="72"/>
  <c r="AB1048" i="72"/>
  <c r="AB1049" i="72"/>
  <c r="AB1050" i="72"/>
  <c r="AB1051" i="72"/>
  <c r="AB1052" i="72"/>
  <c r="AB1053" i="72"/>
  <c r="AB1054" i="72"/>
  <c r="AB1055" i="72"/>
  <c r="AB1056" i="72"/>
  <c r="AB1057" i="72"/>
  <c r="AB1058" i="72"/>
  <c r="AB1059" i="72"/>
  <c r="AB1060" i="72"/>
  <c r="AB1061" i="72"/>
  <c r="AB1062" i="72"/>
  <c r="AB1063" i="72"/>
  <c r="AB1064" i="72"/>
  <c r="AB1065" i="72"/>
  <c r="AB1066" i="72"/>
  <c r="AB1067" i="72"/>
  <c r="AB1068" i="72"/>
  <c r="AB1069" i="72"/>
  <c r="AB1070" i="72"/>
  <c r="AB1071" i="72"/>
  <c r="AB1072" i="72"/>
  <c r="AB1073" i="72"/>
  <c r="AB1074" i="72"/>
  <c r="AB1075" i="72"/>
  <c r="AB1076" i="72"/>
  <c r="AB1077" i="72"/>
  <c r="AB1078" i="72"/>
  <c r="AB1079" i="72"/>
  <c r="AB1080" i="72"/>
  <c r="AB1081" i="72"/>
  <c r="AB1082" i="72"/>
  <c r="AB1083" i="72"/>
  <c r="AB1084" i="72"/>
  <c r="AB1085" i="72"/>
  <c r="AB1086" i="72"/>
  <c r="AB1087" i="72"/>
  <c r="AB1088" i="72"/>
  <c r="AB1089" i="72"/>
  <c r="AB1090" i="72"/>
  <c r="AB1091" i="72"/>
  <c r="AB1092" i="72"/>
  <c r="AB1093" i="72"/>
  <c r="AB1094" i="72"/>
  <c r="AB1095" i="72"/>
  <c r="AB1096" i="72"/>
  <c r="AB1097" i="72"/>
  <c r="AB1098" i="72"/>
  <c r="AB1099" i="72"/>
  <c r="AB1100" i="72"/>
  <c r="AB1101" i="72"/>
  <c r="AB1102" i="72"/>
  <c r="AB1103" i="72"/>
  <c r="AB1104" i="72"/>
  <c r="AB1105" i="72"/>
  <c r="AB1106" i="72"/>
  <c r="AB1107" i="72"/>
  <c r="AB1108" i="72"/>
  <c r="AB1109" i="72"/>
  <c r="AB1110" i="72"/>
  <c r="AB1111" i="72"/>
  <c r="AB1112" i="72"/>
  <c r="AB1113" i="72"/>
  <c r="AB1114" i="72"/>
  <c r="AB1115" i="72"/>
  <c r="AB1116" i="72"/>
  <c r="AB1117" i="72"/>
  <c r="AB1118" i="72"/>
  <c r="AB1119" i="72"/>
  <c r="AB1120" i="72"/>
  <c r="AB1121" i="72"/>
  <c r="AB1122" i="72"/>
  <c r="AB1123" i="72"/>
  <c r="AB1124" i="72"/>
  <c r="AB1125" i="72"/>
  <c r="AB1126" i="72"/>
  <c r="AB1127" i="72"/>
  <c r="AB1128" i="72"/>
  <c r="AB1129" i="72"/>
  <c r="AB1130" i="72"/>
  <c r="AB1131" i="72"/>
  <c r="AB1132" i="72"/>
  <c r="AB1133" i="72"/>
  <c r="AB1134" i="72"/>
  <c r="AB1135" i="72"/>
  <c r="AB1136" i="72"/>
  <c r="AB1137" i="72"/>
  <c r="AB1138" i="72"/>
  <c r="AB1139" i="72"/>
  <c r="AB1140" i="72"/>
  <c r="AB1141" i="72"/>
  <c r="AB1142" i="72"/>
  <c r="AB1143" i="72"/>
  <c r="AB1144" i="72"/>
  <c r="AB1145" i="72"/>
  <c r="AB1146" i="72"/>
  <c r="AB1147" i="72"/>
  <c r="AB1148" i="72"/>
  <c r="AB1149" i="72"/>
  <c r="AB1150" i="72"/>
  <c r="AB1151" i="72"/>
  <c r="AB1152" i="72"/>
  <c r="AB1153" i="72"/>
  <c r="AB1154" i="72"/>
  <c r="AB1155" i="72"/>
  <c r="AB1156" i="72"/>
  <c r="AB1157" i="72"/>
  <c r="AB1158" i="72"/>
  <c r="AB1159" i="72"/>
  <c r="AB1160" i="72"/>
  <c r="AB1161" i="72"/>
  <c r="AB1162" i="72"/>
  <c r="AB1163" i="72"/>
  <c r="AB1164" i="72"/>
  <c r="AB1165" i="72"/>
  <c r="AB1166" i="72"/>
  <c r="AB1167" i="72"/>
  <c r="AB1168" i="72"/>
  <c r="AB1169" i="72"/>
  <c r="AB1170" i="72"/>
  <c r="AB1171" i="72"/>
  <c r="AB1172" i="72"/>
  <c r="AB1173" i="72"/>
  <c r="AB1174" i="72"/>
  <c r="AB1175" i="72"/>
  <c r="AB1176" i="72"/>
  <c r="AB1177" i="72"/>
  <c r="AB1178" i="72"/>
  <c r="AB1179" i="72"/>
  <c r="AB1180" i="72"/>
  <c r="AB1181" i="72"/>
  <c r="AB1182" i="72"/>
  <c r="AB1183" i="72"/>
  <c r="AB1184" i="72"/>
  <c r="AB1185" i="72"/>
  <c r="AB1186" i="72"/>
  <c r="AB1187" i="72"/>
  <c r="AB1188" i="72"/>
  <c r="AB1189" i="72"/>
  <c r="AB1190" i="72"/>
  <c r="AB1191" i="72"/>
  <c r="AB1192" i="72"/>
  <c r="AB1193" i="72"/>
  <c r="AB1194" i="72"/>
  <c r="AB1195" i="72"/>
  <c r="AB1196" i="72"/>
  <c r="AB1197" i="72"/>
  <c r="AB1198" i="72"/>
  <c r="AB1199" i="72"/>
  <c r="AB1200" i="72"/>
  <c r="AB1201" i="72"/>
  <c r="AB1202" i="72"/>
  <c r="AB1203" i="72"/>
  <c r="AB1204" i="72"/>
  <c r="AB1205" i="72"/>
  <c r="AB1206" i="72"/>
  <c r="AB1207" i="72"/>
  <c r="AB1208" i="72"/>
  <c r="AB1209" i="72"/>
  <c r="AB1210" i="72"/>
  <c r="AB1211" i="72"/>
  <c r="AB1212" i="72"/>
  <c r="AB1213" i="72"/>
  <c r="AB1214" i="72"/>
  <c r="AB1215" i="72"/>
  <c r="AB1216" i="72"/>
  <c r="AB1217" i="72"/>
  <c r="AB1218" i="72"/>
  <c r="AB1219" i="72"/>
  <c r="AB1220" i="72"/>
  <c r="AB1221" i="72"/>
  <c r="AB1222" i="72"/>
  <c r="AB1223" i="72"/>
  <c r="AB1224" i="72"/>
  <c r="AB1225" i="72"/>
  <c r="AB1226" i="72"/>
  <c r="AB1227" i="72"/>
  <c r="AB1228" i="72"/>
  <c r="AB1229" i="72"/>
  <c r="AB1230" i="72"/>
  <c r="AB1231" i="72"/>
  <c r="AB1232" i="72"/>
  <c r="AB1233" i="72"/>
  <c r="AB1234" i="72"/>
  <c r="AB1235" i="72"/>
  <c r="AB1236" i="72"/>
  <c r="AB1237" i="72"/>
  <c r="AB1238" i="72"/>
  <c r="AB1239" i="72"/>
  <c r="AB1240" i="72"/>
  <c r="AB1241" i="72"/>
  <c r="AB1242" i="72"/>
  <c r="AB1243" i="72"/>
  <c r="AB1244" i="72"/>
  <c r="AB1245" i="72"/>
  <c r="AB1246" i="72"/>
  <c r="AB1247" i="72"/>
  <c r="AB1248" i="72"/>
  <c r="AB1249" i="72"/>
  <c r="AB1250" i="72"/>
  <c r="AB1251" i="72"/>
  <c r="AB1252" i="72"/>
  <c r="AC501" i="72"/>
  <c r="AC502" i="72"/>
  <c r="AC503" i="72"/>
  <c r="AC504" i="72"/>
  <c r="AC505" i="72"/>
  <c r="AC506" i="72"/>
  <c r="AC507" i="72"/>
  <c r="AC508" i="72"/>
  <c r="AC509" i="72"/>
  <c r="AC510" i="72"/>
  <c r="AC511" i="72"/>
  <c r="AC512" i="72"/>
  <c r="AC513" i="72"/>
  <c r="AC514" i="72"/>
  <c r="AC515" i="72"/>
  <c r="AC516" i="72"/>
  <c r="AC517" i="72"/>
  <c r="AC518" i="72"/>
  <c r="AC519" i="72"/>
  <c r="AC520" i="72"/>
  <c r="AC521" i="72"/>
  <c r="AC522" i="72"/>
  <c r="AC523" i="72"/>
  <c r="AC524" i="72"/>
  <c r="AC525" i="72"/>
  <c r="AC526" i="72"/>
  <c r="AC527" i="72"/>
  <c r="AC528" i="72"/>
  <c r="AC529" i="72"/>
  <c r="AC530" i="72"/>
  <c r="AC531" i="72"/>
  <c r="AC532" i="72"/>
  <c r="AC533" i="72"/>
  <c r="AC534" i="72"/>
  <c r="AC535" i="72"/>
  <c r="AC536" i="72"/>
  <c r="AC537" i="72"/>
  <c r="AC538" i="72"/>
  <c r="AC539" i="72"/>
  <c r="AC540" i="72"/>
  <c r="AC541" i="72"/>
  <c r="AC542" i="72"/>
  <c r="AC543" i="72"/>
  <c r="AC544" i="72"/>
  <c r="AC545" i="72"/>
  <c r="AC546" i="72"/>
  <c r="AC547" i="72"/>
  <c r="AC548" i="72"/>
  <c r="AC549" i="72"/>
  <c r="AC550" i="72"/>
  <c r="AC551" i="72"/>
  <c r="AC552" i="72"/>
  <c r="AC553" i="72"/>
  <c r="AC554" i="72"/>
  <c r="AC555" i="72"/>
  <c r="AC556" i="72"/>
  <c r="AC557" i="72"/>
  <c r="AC558" i="72"/>
  <c r="AC559" i="72"/>
  <c r="AC560" i="72"/>
  <c r="AC561" i="72"/>
  <c r="AC562" i="72"/>
  <c r="AC563" i="72"/>
  <c r="AC564" i="72"/>
  <c r="AC565" i="72"/>
  <c r="AC566" i="72"/>
  <c r="AC567" i="72"/>
  <c r="AC568" i="72"/>
  <c r="AC569" i="72"/>
  <c r="AC570" i="72"/>
  <c r="AC571" i="72"/>
  <c r="AC572" i="72"/>
  <c r="AC573" i="72"/>
  <c r="AC574" i="72"/>
  <c r="AC575" i="72"/>
  <c r="AC576" i="72"/>
  <c r="AC577" i="72"/>
  <c r="AC578" i="72"/>
  <c r="AC579" i="72"/>
  <c r="AC580" i="72"/>
  <c r="AC581" i="72"/>
  <c r="AC582" i="72"/>
  <c r="AC583" i="72"/>
  <c r="AC584" i="72"/>
  <c r="AC585" i="72"/>
  <c r="AC586" i="72"/>
  <c r="AC587" i="72"/>
  <c r="AC588" i="72"/>
  <c r="AC589" i="72"/>
  <c r="AC590" i="72"/>
  <c r="AC591" i="72"/>
  <c r="AC592" i="72"/>
  <c r="AC593" i="72"/>
  <c r="AC594" i="72"/>
  <c r="AC595" i="72"/>
  <c r="AC596" i="72"/>
  <c r="AC597" i="72"/>
  <c r="AC598" i="72"/>
  <c r="AC599" i="72"/>
  <c r="AC600" i="72"/>
  <c r="AC601" i="72"/>
  <c r="AC602" i="72"/>
  <c r="AC603" i="72"/>
  <c r="AC604" i="72"/>
  <c r="AC605" i="72"/>
  <c r="AC606" i="72"/>
  <c r="AC607" i="72"/>
  <c r="AC608" i="72"/>
  <c r="AC609" i="72"/>
  <c r="AC610" i="72"/>
  <c r="AC611" i="72"/>
  <c r="AC612" i="72"/>
  <c r="AC613" i="72"/>
  <c r="AC614" i="72"/>
  <c r="AC615" i="72"/>
  <c r="AC616" i="72"/>
  <c r="AC617" i="72"/>
  <c r="AC618" i="72"/>
  <c r="AC619" i="72"/>
  <c r="AC620" i="72"/>
  <c r="AC621" i="72"/>
  <c r="AC622" i="72"/>
  <c r="AC623" i="72"/>
  <c r="AC624" i="72"/>
  <c r="AC625" i="72"/>
  <c r="AC626" i="72"/>
  <c r="AC627" i="72"/>
  <c r="AC628" i="72"/>
  <c r="AC629" i="72"/>
  <c r="AC630" i="72"/>
  <c r="AC631" i="72"/>
  <c r="AC632" i="72"/>
  <c r="AC633" i="72"/>
  <c r="AC634" i="72"/>
  <c r="AC635" i="72"/>
  <c r="AC636" i="72"/>
  <c r="AC637" i="72"/>
  <c r="AC638" i="72"/>
  <c r="AC639" i="72"/>
  <c r="AC640" i="72"/>
  <c r="AC641" i="72"/>
  <c r="AC642" i="72"/>
  <c r="AC643" i="72"/>
  <c r="AC644" i="72"/>
  <c r="AC645" i="72"/>
  <c r="AC646" i="72"/>
  <c r="AC647" i="72"/>
  <c r="AC648" i="72"/>
  <c r="AC649" i="72"/>
  <c r="AC650" i="72"/>
  <c r="AC651" i="72"/>
  <c r="AC652" i="72"/>
  <c r="AC653" i="72"/>
  <c r="AC654" i="72"/>
  <c r="AC655" i="72"/>
  <c r="AC656" i="72"/>
  <c r="AC657" i="72"/>
  <c r="AC658" i="72"/>
  <c r="AC659" i="72"/>
  <c r="AC660" i="72"/>
  <c r="AC661" i="72"/>
  <c r="AC662" i="72"/>
  <c r="AC663" i="72"/>
  <c r="AC664" i="72"/>
  <c r="AC665" i="72"/>
  <c r="AC666" i="72"/>
  <c r="AC667" i="72"/>
  <c r="AC668" i="72"/>
  <c r="AC669" i="72"/>
  <c r="AC670" i="72"/>
  <c r="AC671" i="72"/>
  <c r="AC672" i="72"/>
  <c r="AC673" i="72"/>
  <c r="AC674" i="72"/>
  <c r="AC675" i="72"/>
  <c r="AC676" i="72"/>
  <c r="AC677" i="72"/>
  <c r="AC678" i="72"/>
  <c r="AC679" i="72"/>
  <c r="AC680" i="72"/>
  <c r="AC681" i="72"/>
  <c r="AC682" i="72"/>
  <c r="AC683" i="72"/>
  <c r="AC684" i="72"/>
  <c r="AC685" i="72"/>
  <c r="AC686" i="72"/>
  <c r="AC687" i="72"/>
  <c r="AC688" i="72"/>
  <c r="AC689" i="72"/>
  <c r="AC690" i="72"/>
  <c r="AC691" i="72"/>
  <c r="AC692" i="72"/>
  <c r="AC693" i="72"/>
  <c r="AC694" i="72"/>
  <c r="AC695" i="72"/>
  <c r="AC696" i="72"/>
  <c r="AC697" i="72"/>
  <c r="AC698" i="72"/>
  <c r="AC699" i="72"/>
  <c r="AC700" i="72"/>
  <c r="AC701" i="72"/>
  <c r="AC702" i="72"/>
  <c r="AC703" i="72"/>
  <c r="AC704" i="72"/>
  <c r="AC705" i="72"/>
  <c r="AC706" i="72"/>
  <c r="AC707" i="72"/>
  <c r="AC708" i="72"/>
  <c r="AC709" i="72"/>
  <c r="AC710" i="72"/>
  <c r="AC711" i="72"/>
  <c r="AC712" i="72"/>
  <c r="AC713" i="72"/>
  <c r="AC714" i="72"/>
  <c r="AC715" i="72"/>
  <c r="AC716" i="72"/>
  <c r="AC717" i="72"/>
  <c r="AC718" i="72"/>
  <c r="AC719" i="72"/>
  <c r="AC720" i="72"/>
  <c r="AC721" i="72"/>
  <c r="AC722" i="72"/>
  <c r="AC723" i="72"/>
  <c r="AC724" i="72"/>
  <c r="AC725" i="72"/>
  <c r="AC726" i="72"/>
  <c r="AC727" i="72"/>
  <c r="AC728" i="72"/>
  <c r="AC729" i="72"/>
  <c r="AC730" i="72"/>
  <c r="AC731" i="72"/>
  <c r="AC732" i="72"/>
  <c r="AC733" i="72"/>
  <c r="AC734" i="72"/>
  <c r="AC735" i="72"/>
  <c r="AC736" i="72"/>
  <c r="AC737" i="72"/>
  <c r="AC738" i="72"/>
  <c r="AC739" i="72"/>
  <c r="AC740" i="72"/>
  <c r="AC741" i="72"/>
  <c r="AC742" i="72"/>
  <c r="AC743" i="72"/>
  <c r="AC744" i="72"/>
  <c r="AC745" i="72"/>
  <c r="AC746" i="72"/>
  <c r="AC747" i="72"/>
  <c r="AC748" i="72"/>
  <c r="AC749" i="72"/>
  <c r="AC750" i="72"/>
  <c r="AC751" i="72"/>
  <c r="AC752" i="72"/>
  <c r="AC753" i="72"/>
  <c r="AC754" i="72"/>
  <c r="AC755" i="72"/>
  <c r="AC756" i="72"/>
  <c r="AC757" i="72"/>
  <c r="AC758" i="72"/>
  <c r="AC759" i="72"/>
  <c r="AC760" i="72"/>
  <c r="AC761" i="72"/>
  <c r="AC762" i="72"/>
  <c r="AC763" i="72"/>
  <c r="AC764" i="72"/>
  <c r="AC765" i="72"/>
  <c r="AC766" i="72"/>
  <c r="AC767" i="72"/>
  <c r="AC768" i="72"/>
  <c r="AC769" i="72"/>
  <c r="AC770" i="72"/>
  <c r="AC771" i="72"/>
  <c r="AC772" i="72"/>
  <c r="AC773" i="72"/>
  <c r="AC774" i="72"/>
  <c r="AC775" i="72"/>
  <c r="AC776" i="72"/>
  <c r="AC777" i="72"/>
  <c r="AC778" i="72"/>
  <c r="AC779" i="72"/>
  <c r="AC780" i="72"/>
  <c r="AC781" i="72"/>
  <c r="AC782" i="72"/>
  <c r="AC783" i="72"/>
  <c r="AC784" i="72"/>
  <c r="AC785" i="72"/>
  <c r="AC786" i="72"/>
  <c r="AC787" i="72"/>
  <c r="AC788" i="72"/>
  <c r="AC789" i="72"/>
  <c r="AC790" i="72"/>
  <c r="AC791" i="72"/>
  <c r="AC792" i="72"/>
  <c r="AC793" i="72"/>
  <c r="AC794" i="72"/>
  <c r="AC795" i="72"/>
  <c r="AC796" i="72"/>
  <c r="AC797" i="72"/>
  <c r="AC798" i="72"/>
  <c r="AC799" i="72"/>
  <c r="AC800" i="72"/>
  <c r="AC801" i="72"/>
  <c r="AC802" i="72"/>
  <c r="AC803" i="72"/>
  <c r="AC804" i="72"/>
  <c r="AC805" i="72"/>
  <c r="AC806" i="72"/>
  <c r="AC807" i="72"/>
  <c r="AC808" i="72"/>
  <c r="AC809" i="72"/>
  <c r="AC810" i="72"/>
  <c r="AC811" i="72"/>
  <c r="AC812" i="72"/>
  <c r="AC813" i="72"/>
  <c r="AC814" i="72"/>
  <c r="AC815" i="72"/>
  <c r="AC816" i="72"/>
  <c r="AC817" i="72"/>
  <c r="AC818" i="72"/>
  <c r="AC819" i="72"/>
  <c r="AC820" i="72"/>
  <c r="AC821" i="72"/>
  <c r="AC822" i="72"/>
  <c r="AC823" i="72"/>
  <c r="AC824" i="72"/>
  <c r="AC825" i="72"/>
  <c r="AC826" i="72"/>
  <c r="AC827" i="72"/>
  <c r="AC828" i="72"/>
  <c r="AC829" i="72"/>
  <c r="AC830" i="72"/>
  <c r="AC831" i="72"/>
  <c r="AC832" i="72"/>
  <c r="AC833" i="72"/>
  <c r="AC834" i="72"/>
  <c r="AC835" i="72"/>
  <c r="AC836" i="72"/>
  <c r="AC837" i="72"/>
  <c r="AC838" i="72"/>
  <c r="AC839" i="72"/>
  <c r="AC840" i="72"/>
  <c r="AC841" i="72"/>
  <c r="AC842" i="72"/>
  <c r="AC843" i="72"/>
  <c r="AC844" i="72"/>
  <c r="AC845" i="72"/>
  <c r="AC846" i="72"/>
  <c r="AC847" i="72"/>
  <c r="AC848" i="72"/>
  <c r="AC849" i="72"/>
  <c r="AC850" i="72"/>
  <c r="AC851" i="72"/>
  <c r="AC852" i="72"/>
  <c r="AC853" i="72"/>
  <c r="AC854" i="72"/>
  <c r="AC855" i="72"/>
  <c r="AC856" i="72"/>
  <c r="AC857" i="72"/>
  <c r="AC858" i="72"/>
  <c r="AC859" i="72"/>
  <c r="AC860" i="72"/>
  <c r="AC861" i="72"/>
  <c r="AC862" i="72"/>
  <c r="AC863" i="72"/>
  <c r="AC864" i="72"/>
  <c r="AC865" i="72"/>
  <c r="AC866" i="72"/>
  <c r="AC867" i="72"/>
  <c r="AC868" i="72"/>
  <c r="AC869" i="72"/>
  <c r="AC870" i="72"/>
  <c r="AC871" i="72"/>
  <c r="AC872" i="72"/>
  <c r="AC873" i="72"/>
  <c r="AC874" i="72"/>
  <c r="AC875" i="72"/>
  <c r="AC876" i="72"/>
  <c r="AC877" i="72"/>
  <c r="AC878" i="72"/>
  <c r="AC879" i="72"/>
  <c r="AC880" i="72"/>
  <c r="AC881" i="72"/>
  <c r="AC882" i="72"/>
  <c r="AC883" i="72"/>
  <c r="AC884" i="72"/>
  <c r="AC885" i="72"/>
  <c r="AC886" i="72"/>
  <c r="AC887" i="72"/>
  <c r="AC888" i="72"/>
  <c r="AC889" i="72"/>
  <c r="AC890" i="72"/>
  <c r="AC891" i="72"/>
  <c r="AC892" i="72"/>
  <c r="AC893" i="72"/>
  <c r="AC894" i="72"/>
  <c r="AC895" i="72"/>
  <c r="AC896" i="72"/>
  <c r="AC897" i="72"/>
  <c r="AC898" i="72"/>
  <c r="AC899" i="72"/>
  <c r="AC900" i="72"/>
  <c r="AC901" i="72"/>
  <c r="AC902" i="72"/>
  <c r="AC903" i="72"/>
  <c r="AC904" i="72"/>
  <c r="AC905" i="72"/>
  <c r="AC906" i="72"/>
  <c r="AC907" i="72"/>
  <c r="AC908" i="72"/>
  <c r="AC909" i="72"/>
  <c r="AC910" i="72"/>
  <c r="AC911" i="72"/>
  <c r="AC912" i="72"/>
  <c r="AC913" i="72"/>
  <c r="AC914" i="72"/>
  <c r="AC915" i="72"/>
  <c r="AC916" i="72"/>
  <c r="AC917" i="72"/>
  <c r="AC918" i="72"/>
  <c r="AC919" i="72"/>
  <c r="AC920" i="72"/>
  <c r="AC921" i="72"/>
  <c r="AC922" i="72"/>
  <c r="AC923" i="72"/>
  <c r="AC924" i="72"/>
  <c r="AC925" i="72"/>
  <c r="AC926" i="72"/>
  <c r="AC927" i="72"/>
  <c r="AC928" i="72"/>
  <c r="AC929" i="72"/>
  <c r="AC930" i="72"/>
  <c r="AC931" i="72"/>
  <c r="AC932" i="72"/>
  <c r="AC933" i="72"/>
  <c r="AC934" i="72"/>
  <c r="AC935" i="72"/>
  <c r="AC936" i="72"/>
  <c r="AC937" i="72"/>
  <c r="AC938" i="72"/>
  <c r="AC939" i="72"/>
  <c r="AC940" i="72"/>
  <c r="AC941" i="72"/>
  <c r="AC942" i="72"/>
  <c r="AC943" i="72"/>
  <c r="AC944" i="72"/>
  <c r="AC945" i="72"/>
  <c r="AC946" i="72"/>
  <c r="AC947" i="72"/>
  <c r="AC948" i="72"/>
  <c r="AC949" i="72"/>
  <c r="AC950" i="72"/>
  <c r="AC951" i="72"/>
  <c r="AC952" i="72"/>
  <c r="AC953" i="72"/>
  <c r="AC954" i="72"/>
  <c r="AC955" i="72"/>
  <c r="AC956" i="72"/>
  <c r="AC957" i="72"/>
  <c r="AC958" i="72"/>
  <c r="AC959" i="72"/>
  <c r="AC960" i="72"/>
  <c r="AC961" i="72"/>
  <c r="AC962" i="72"/>
  <c r="AC963" i="72"/>
  <c r="AC964" i="72"/>
  <c r="AC965" i="72"/>
  <c r="AC966" i="72"/>
  <c r="AC967" i="72"/>
  <c r="AC968" i="72"/>
  <c r="AC969" i="72"/>
  <c r="AC970" i="72"/>
  <c r="AC971" i="72"/>
  <c r="AC972" i="72"/>
  <c r="AC973" i="72"/>
  <c r="AC974" i="72"/>
  <c r="AC975" i="72"/>
  <c r="AC976" i="72"/>
  <c r="AC977" i="72"/>
  <c r="AC978" i="72"/>
  <c r="AC979" i="72"/>
  <c r="AC980" i="72"/>
  <c r="AC981" i="72"/>
  <c r="AC982" i="72"/>
  <c r="AC983" i="72"/>
  <c r="AC984" i="72"/>
  <c r="AC985" i="72"/>
  <c r="AC986" i="72"/>
  <c r="AC987" i="72"/>
  <c r="AC988" i="72"/>
  <c r="AC989" i="72"/>
  <c r="AC990" i="72"/>
  <c r="AC991" i="72"/>
  <c r="AC992" i="72"/>
  <c r="AC993" i="72"/>
  <c r="AC994" i="72"/>
  <c r="AC995" i="72"/>
  <c r="AC996" i="72"/>
  <c r="AC997" i="72"/>
  <c r="AC998" i="72"/>
  <c r="AC999" i="72"/>
  <c r="AC1000" i="72"/>
  <c r="AC1001" i="72"/>
  <c r="AC1002" i="72"/>
  <c r="AC1003" i="72"/>
  <c r="AC1004" i="72"/>
  <c r="AC1005" i="72"/>
  <c r="AC1006" i="72"/>
  <c r="AC1007" i="72"/>
  <c r="AC1008" i="72"/>
  <c r="AC1009" i="72"/>
  <c r="AC1010" i="72"/>
  <c r="AC1011" i="72"/>
  <c r="AC1012" i="72"/>
  <c r="AC1013" i="72"/>
  <c r="AC1014" i="72"/>
  <c r="AC1015" i="72"/>
  <c r="AC1016" i="72"/>
  <c r="AC1017" i="72"/>
  <c r="AC1018" i="72"/>
  <c r="AC1019" i="72"/>
  <c r="AC1020" i="72"/>
  <c r="AC1021" i="72"/>
  <c r="AC1022" i="72"/>
  <c r="AC1023" i="72"/>
  <c r="AC1024" i="72"/>
  <c r="AC1025" i="72"/>
  <c r="AC1026" i="72"/>
  <c r="AC1027" i="72"/>
  <c r="AC1028" i="72"/>
  <c r="AC1029" i="72"/>
  <c r="AC1030" i="72"/>
  <c r="AC1031" i="72"/>
  <c r="AC1032" i="72"/>
  <c r="AC1033" i="72"/>
  <c r="AC1034" i="72"/>
  <c r="AC1035" i="72"/>
  <c r="AC1036" i="72"/>
  <c r="AC1037" i="72"/>
  <c r="AC1038" i="72"/>
  <c r="AC1039" i="72"/>
  <c r="AC1040" i="72"/>
  <c r="AC1041" i="72"/>
  <c r="AC1042" i="72"/>
  <c r="AC1043" i="72"/>
  <c r="AC1044" i="72"/>
  <c r="AC1045" i="72"/>
  <c r="AC1046" i="72"/>
  <c r="AC1047" i="72"/>
  <c r="AC1048" i="72"/>
  <c r="AC1049" i="72"/>
  <c r="AC1050" i="72"/>
  <c r="AC1051" i="72"/>
  <c r="AC1052" i="72"/>
  <c r="AC1053" i="72"/>
  <c r="AC1054" i="72"/>
  <c r="AC1055" i="72"/>
  <c r="AC1056" i="72"/>
  <c r="AC1057" i="72"/>
  <c r="AC1058" i="72"/>
  <c r="AC1059" i="72"/>
  <c r="AC1060" i="72"/>
  <c r="AC1061" i="72"/>
  <c r="AC1062" i="72"/>
  <c r="AC1063" i="72"/>
  <c r="AC1064" i="72"/>
  <c r="AC1065" i="72"/>
  <c r="AC1066" i="72"/>
  <c r="AC1067" i="72"/>
  <c r="AC1068" i="72"/>
  <c r="AC1069" i="72"/>
  <c r="AC1070" i="72"/>
  <c r="AC1071" i="72"/>
  <c r="AC1072" i="72"/>
  <c r="AC1073" i="72"/>
  <c r="AC1074" i="72"/>
  <c r="AC1075" i="72"/>
  <c r="AC1076" i="72"/>
  <c r="AC1077" i="72"/>
  <c r="AC1078" i="72"/>
  <c r="AC1079" i="72"/>
  <c r="AC1080" i="72"/>
  <c r="AC1081" i="72"/>
  <c r="AC1082" i="72"/>
  <c r="AC1083" i="72"/>
  <c r="AC1084" i="72"/>
  <c r="AC1085" i="72"/>
  <c r="AC1086" i="72"/>
  <c r="AC1087" i="72"/>
  <c r="AC1088" i="72"/>
  <c r="AC1089" i="72"/>
  <c r="AC1090" i="72"/>
  <c r="AC1091" i="72"/>
  <c r="AC1092" i="72"/>
  <c r="AC1093" i="72"/>
  <c r="AC1094" i="72"/>
  <c r="AC1095" i="72"/>
  <c r="AC1096" i="72"/>
  <c r="AC1097" i="72"/>
  <c r="AC1098" i="72"/>
  <c r="AC1099" i="72"/>
  <c r="AC1100" i="72"/>
  <c r="AC1101" i="72"/>
  <c r="AC1102" i="72"/>
  <c r="AC1103" i="72"/>
  <c r="AC1104" i="72"/>
  <c r="AC1105" i="72"/>
  <c r="AC1106" i="72"/>
  <c r="AC1107" i="72"/>
  <c r="AC1108" i="72"/>
  <c r="AC1109" i="72"/>
  <c r="AC1110" i="72"/>
  <c r="AC1111" i="72"/>
  <c r="AC1112" i="72"/>
  <c r="AC1113" i="72"/>
  <c r="AC1114" i="72"/>
  <c r="AC1115" i="72"/>
  <c r="AC1116" i="72"/>
  <c r="AC1117" i="72"/>
  <c r="AC1118" i="72"/>
  <c r="AC1119" i="72"/>
  <c r="AC1120" i="72"/>
  <c r="AC1121" i="72"/>
  <c r="AC1122" i="72"/>
  <c r="AC1123" i="72"/>
  <c r="AC1124" i="72"/>
  <c r="AC1125" i="72"/>
  <c r="AC1126" i="72"/>
  <c r="AC1127" i="72"/>
  <c r="AC1128" i="72"/>
  <c r="AC1129" i="72"/>
  <c r="AC1130" i="72"/>
  <c r="AC1131" i="72"/>
  <c r="AC1132" i="72"/>
  <c r="AC1133" i="72"/>
  <c r="AC1134" i="72"/>
  <c r="AC1135" i="72"/>
  <c r="AC1136" i="72"/>
  <c r="AC1137" i="72"/>
  <c r="AC1138" i="72"/>
  <c r="AC1139" i="72"/>
  <c r="AC1140" i="72"/>
  <c r="AC1141" i="72"/>
  <c r="AC1142" i="72"/>
  <c r="AC1143" i="72"/>
  <c r="AC1144" i="72"/>
  <c r="AC1145" i="72"/>
  <c r="AC1146" i="72"/>
  <c r="AC1147" i="72"/>
  <c r="AC1148" i="72"/>
  <c r="AC1149" i="72"/>
  <c r="AC1150" i="72"/>
  <c r="AC1151" i="72"/>
  <c r="AC1152" i="72"/>
  <c r="AC1153" i="72"/>
  <c r="AC1154" i="72"/>
  <c r="AC1155" i="72"/>
  <c r="AC1156" i="72"/>
  <c r="AC1157" i="72"/>
  <c r="AC1158" i="72"/>
  <c r="AC1159" i="72"/>
  <c r="AC1160" i="72"/>
  <c r="AC1161" i="72"/>
  <c r="AC1162" i="72"/>
  <c r="AC1163" i="72"/>
  <c r="AC1164" i="72"/>
  <c r="AC1165" i="72"/>
  <c r="AC1166" i="72"/>
  <c r="AC1167" i="72"/>
  <c r="AC1168" i="72"/>
  <c r="AC1169" i="72"/>
  <c r="AC1170" i="72"/>
  <c r="AC1171" i="72"/>
  <c r="AC1172" i="72"/>
  <c r="AC1173" i="72"/>
  <c r="AC1174" i="72"/>
  <c r="AC1175" i="72"/>
  <c r="AC1176" i="72"/>
  <c r="AC1177" i="72"/>
  <c r="AC1178" i="72"/>
  <c r="AC1179" i="72"/>
  <c r="AC1180" i="72"/>
  <c r="AC1181" i="72"/>
  <c r="AC1182" i="72"/>
  <c r="AC1183" i="72"/>
  <c r="AC1184" i="72"/>
  <c r="AC1185" i="72"/>
  <c r="AC1186" i="72"/>
  <c r="AC1187" i="72"/>
  <c r="AC1188" i="72"/>
  <c r="AC1189" i="72"/>
  <c r="AC1190" i="72"/>
  <c r="AC1191" i="72"/>
  <c r="AC1192" i="72"/>
  <c r="AC1193" i="72"/>
  <c r="AC1194" i="72"/>
  <c r="AC1195" i="72"/>
  <c r="AC1196" i="72"/>
  <c r="AC1197" i="72"/>
  <c r="AC1198" i="72"/>
  <c r="AC1199" i="72"/>
  <c r="AC1200" i="72"/>
  <c r="AC1201" i="72"/>
  <c r="AC1202" i="72"/>
  <c r="AC1203" i="72"/>
  <c r="AC1204" i="72"/>
  <c r="AC1205" i="72"/>
  <c r="AC1206" i="72"/>
  <c r="AC1207" i="72"/>
  <c r="AC1208" i="72"/>
  <c r="AC1209" i="72"/>
  <c r="AC1210" i="72"/>
  <c r="AC1211" i="72"/>
  <c r="AC1212" i="72"/>
  <c r="AC1213" i="72"/>
  <c r="AC1214" i="72"/>
  <c r="AC1215" i="72"/>
  <c r="AC1216" i="72"/>
  <c r="AC1217" i="72"/>
  <c r="AC1218" i="72"/>
  <c r="AC1219" i="72"/>
  <c r="AC1220" i="72"/>
  <c r="AC1221" i="72"/>
  <c r="AC1222" i="72"/>
  <c r="AC1223" i="72"/>
  <c r="AC1224" i="72"/>
  <c r="AC1225" i="72"/>
  <c r="AC1226" i="72"/>
  <c r="AC1227" i="72"/>
  <c r="AC1228" i="72"/>
  <c r="AC1229" i="72"/>
  <c r="AC1230" i="72"/>
  <c r="AC1231" i="72"/>
  <c r="AC1232" i="72"/>
  <c r="AC1233" i="72"/>
  <c r="AC1234" i="72"/>
  <c r="AC1235" i="72"/>
  <c r="AC1236" i="72"/>
  <c r="AC1237" i="72"/>
  <c r="AC1238" i="72"/>
  <c r="AC1239" i="72"/>
  <c r="AC1240" i="72"/>
  <c r="AC1241" i="72"/>
  <c r="AC1242" i="72"/>
  <c r="AC1243" i="72"/>
  <c r="AC1244" i="72"/>
  <c r="AC1245" i="72"/>
  <c r="AC1246" i="72"/>
  <c r="AC1247" i="72"/>
  <c r="AC1248" i="72"/>
  <c r="AC1249" i="72"/>
  <c r="AC1250" i="72"/>
  <c r="AC1251" i="72"/>
  <c r="AC1252" i="72"/>
  <c r="AD501" i="72"/>
  <c r="AD502" i="72"/>
  <c r="AD503" i="72"/>
  <c r="AD504" i="72"/>
  <c r="AD505" i="72"/>
  <c r="AD506" i="72"/>
  <c r="AD507" i="72"/>
  <c r="AD508" i="72"/>
  <c r="AD509" i="72"/>
  <c r="AD510" i="72"/>
  <c r="AD511" i="72"/>
  <c r="AD512" i="72"/>
  <c r="AD513" i="72"/>
  <c r="AD514" i="72"/>
  <c r="AD515" i="72"/>
  <c r="AD516" i="72"/>
  <c r="AD517" i="72"/>
  <c r="AD518" i="72"/>
  <c r="AD519" i="72"/>
  <c r="AD520" i="72"/>
  <c r="AD521" i="72"/>
  <c r="AD522" i="72"/>
  <c r="AD523" i="72"/>
  <c r="AD524" i="72"/>
  <c r="AD525" i="72"/>
  <c r="AD526" i="72"/>
  <c r="AD527" i="72"/>
  <c r="AD528" i="72"/>
  <c r="AD529" i="72"/>
  <c r="AD530" i="72"/>
  <c r="AD531" i="72"/>
  <c r="AD532" i="72"/>
  <c r="AD533" i="72"/>
  <c r="AD534" i="72"/>
  <c r="AD535" i="72"/>
  <c r="AD536" i="72"/>
  <c r="AD537" i="72"/>
  <c r="AD538" i="72"/>
  <c r="AD539" i="72"/>
  <c r="AD540" i="72"/>
  <c r="AD541" i="72"/>
  <c r="AD542" i="72"/>
  <c r="AD543" i="72"/>
  <c r="AD544" i="72"/>
  <c r="AD545" i="72"/>
  <c r="AD546" i="72"/>
  <c r="AD547" i="72"/>
  <c r="AD548" i="72"/>
  <c r="AD549" i="72"/>
  <c r="AD550" i="72"/>
  <c r="AD551" i="72"/>
  <c r="AD552" i="72"/>
  <c r="AD553" i="72"/>
  <c r="AD554" i="72"/>
  <c r="AD555" i="72"/>
  <c r="AD556" i="72"/>
  <c r="AD557" i="72"/>
  <c r="AD558" i="72"/>
  <c r="AD559" i="72"/>
  <c r="AD560" i="72"/>
  <c r="AD561" i="72"/>
  <c r="AD562" i="72"/>
  <c r="AD563" i="72"/>
  <c r="AD564" i="72"/>
  <c r="AD565" i="72"/>
  <c r="AD566" i="72"/>
  <c r="AD567" i="72"/>
  <c r="AD568" i="72"/>
  <c r="AD569" i="72"/>
  <c r="AD570" i="72"/>
  <c r="AD571" i="72"/>
  <c r="AD572" i="72"/>
  <c r="AD573" i="72"/>
  <c r="AD574" i="72"/>
  <c r="AD575" i="72"/>
  <c r="AD576" i="72"/>
  <c r="AD577" i="72"/>
  <c r="AD578" i="72"/>
  <c r="AD579" i="72"/>
  <c r="AD580" i="72"/>
  <c r="AD581" i="72"/>
  <c r="AD582" i="72"/>
  <c r="AD583" i="72"/>
  <c r="AD584" i="72"/>
  <c r="AD585" i="72"/>
  <c r="AD586" i="72"/>
  <c r="AD587" i="72"/>
  <c r="AD588" i="72"/>
  <c r="AD589" i="72"/>
  <c r="AD590" i="72"/>
  <c r="AD591" i="72"/>
  <c r="AD592" i="72"/>
  <c r="AD593" i="72"/>
  <c r="AD594" i="72"/>
  <c r="AD595" i="72"/>
  <c r="AD596" i="72"/>
  <c r="AD597" i="72"/>
  <c r="AD598" i="72"/>
  <c r="AD599" i="72"/>
  <c r="AD600" i="72"/>
  <c r="AD601" i="72"/>
  <c r="AD602" i="72"/>
  <c r="AD603" i="72"/>
  <c r="AD604" i="72"/>
  <c r="AD605" i="72"/>
  <c r="AD606" i="72"/>
  <c r="AD607" i="72"/>
  <c r="AD608" i="72"/>
  <c r="AD609" i="72"/>
  <c r="AD610" i="72"/>
  <c r="AD611" i="72"/>
  <c r="AD612" i="72"/>
  <c r="AD613" i="72"/>
  <c r="AD614" i="72"/>
  <c r="AD615" i="72"/>
  <c r="AD616" i="72"/>
  <c r="AD617" i="72"/>
  <c r="AD618" i="72"/>
  <c r="AD619" i="72"/>
  <c r="AD620" i="72"/>
  <c r="AD621" i="72"/>
  <c r="AD622" i="72"/>
  <c r="AD623" i="72"/>
  <c r="AD624" i="72"/>
  <c r="AD625" i="72"/>
  <c r="AD626" i="72"/>
  <c r="AD627" i="72"/>
  <c r="AD628" i="72"/>
  <c r="AD629" i="72"/>
  <c r="AD630" i="72"/>
  <c r="AD631" i="72"/>
  <c r="AD632" i="72"/>
  <c r="AD633" i="72"/>
  <c r="AD634" i="72"/>
  <c r="AD635" i="72"/>
  <c r="AD636" i="72"/>
  <c r="AD637" i="72"/>
  <c r="AD638" i="72"/>
  <c r="AD639" i="72"/>
  <c r="AD640" i="72"/>
  <c r="AD641" i="72"/>
  <c r="AD642" i="72"/>
  <c r="AD643" i="72"/>
  <c r="AD644" i="72"/>
  <c r="AD645" i="72"/>
  <c r="AD646" i="72"/>
  <c r="AD647" i="72"/>
  <c r="AD648" i="72"/>
  <c r="AD649" i="72"/>
  <c r="AD650" i="72"/>
  <c r="AD651" i="72"/>
  <c r="AD652" i="72"/>
  <c r="AD653" i="72"/>
  <c r="AD654" i="72"/>
  <c r="AD655" i="72"/>
  <c r="AD656" i="72"/>
  <c r="AD657" i="72"/>
  <c r="AD658" i="72"/>
  <c r="AD659" i="72"/>
  <c r="AD660" i="72"/>
  <c r="AD661" i="72"/>
  <c r="AD662" i="72"/>
  <c r="AD663" i="72"/>
  <c r="AD664" i="72"/>
  <c r="AD665" i="72"/>
  <c r="AD666" i="72"/>
  <c r="AD667" i="72"/>
  <c r="AD668" i="72"/>
  <c r="AD669" i="72"/>
  <c r="AD670" i="72"/>
  <c r="AD671" i="72"/>
  <c r="AD672" i="72"/>
  <c r="AD673" i="72"/>
  <c r="AD674" i="72"/>
  <c r="AD675" i="72"/>
  <c r="AD676" i="72"/>
  <c r="AD677" i="72"/>
  <c r="AD678" i="72"/>
  <c r="AD679" i="72"/>
  <c r="AD680" i="72"/>
  <c r="AD681" i="72"/>
  <c r="AD682" i="72"/>
  <c r="AD683" i="72"/>
  <c r="AD684" i="72"/>
  <c r="AD685" i="72"/>
  <c r="AD686" i="72"/>
  <c r="AD687" i="72"/>
  <c r="AD688" i="72"/>
  <c r="AD689" i="72"/>
  <c r="AD690" i="72"/>
  <c r="AD691" i="72"/>
  <c r="AD692" i="72"/>
  <c r="AD693" i="72"/>
  <c r="AD694" i="72"/>
  <c r="AD695" i="72"/>
  <c r="AD696" i="72"/>
  <c r="AD697" i="72"/>
  <c r="AD698" i="72"/>
  <c r="AD699" i="72"/>
  <c r="AD700" i="72"/>
  <c r="AD701" i="72"/>
  <c r="AD702" i="72"/>
  <c r="AD703" i="72"/>
  <c r="AD704" i="72"/>
  <c r="AD705" i="72"/>
  <c r="AD706" i="72"/>
  <c r="AD707" i="72"/>
  <c r="AD708" i="72"/>
  <c r="AD709" i="72"/>
  <c r="AD710" i="72"/>
  <c r="AD711" i="72"/>
  <c r="AD712" i="72"/>
  <c r="AD713" i="72"/>
  <c r="AD714" i="72"/>
  <c r="AD715" i="72"/>
  <c r="AD716" i="72"/>
  <c r="AD717" i="72"/>
  <c r="AD718" i="72"/>
  <c r="AD719" i="72"/>
  <c r="AD720" i="72"/>
  <c r="AD721" i="72"/>
  <c r="AD722" i="72"/>
  <c r="AD723" i="72"/>
  <c r="AD724" i="72"/>
  <c r="AD725" i="72"/>
  <c r="AD726" i="72"/>
  <c r="AD727" i="72"/>
  <c r="AD728" i="72"/>
  <c r="AD729" i="72"/>
  <c r="AD730" i="72"/>
  <c r="AD731" i="72"/>
  <c r="AD732" i="72"/>
  <c r="AD733" i="72"/>
  <c r="AD734" i="72"/>
  <c r="AD735" i="72"/>
  <c r="AD736" i="72"/>
  <c r="AD737" i="72"/>
  <c r="AD738" i="72"/>
  <c r="AD739" i="72"/>
  <c r="AD740" i="72"/>
  <c r="AD741" i="72"/>
  <c r="AD742" i="72"/>
  <c r="AD743" i="72"/>
  <c r="AD744" i="72"/>
  <c r="AD745" i="72"/>
  <c r="AD746" i="72"/>
  <c r="AD747" i="72"/>
  <c r="AD748" i="72"/>
  <c r="AD749" i="72"/>
  <c r="AD750" i="72"/>
  <c r="AD751" i="72"/>
  <c r="AD752" i="72"/>
  <c r="AD753" i="72"/>
  <c r="AD754" i="72"/>
  <c r="AD755" i="72"/>
  <c r="AD756" i="72"/>
  <c r="AD757" i="72"/>
  <c r="AD758" i="72"/>
  <c r="AD759" i="72"/>
  <c r="AD760" i="72"/>
  <c r="AD761" i="72"/>
  <c r="AD762" i="72"/>
  <c r="AD763" i="72"/>
  <c r="AD764" i="72"/>
  <c r="AD765" i="72"/>
  <c r="AD766" i="72"/>
  <c r="AD767" i="72"/>
  <c r="AD768" i="72"/>
  <c r="AD769" i="72"/>
  <c r="AD770" i="72"/>
  <c r="AD771" i="72"/>
  <c r="AD772" i="72"/>
  <c r="AD773" i="72"/>
  <c r="AD774" i="72"/>
  <c r="AD775" i="72"/>
  <c r="AD776" i="72"/>
  <c r="AD777" i="72"/>
  <c r="AD778" i="72"/>
  <c r="AD779" i="72"/>
  <c r="AD780" i="72"/>
  <c r="AD781" i="72"/>
  <c r="AD782" i="72"/>
  <c r="AD783" i="72"/>
  <c r="AD784" i="72"/>
  <c r="AD785" i="72"/>
  <c r="AD786" i="72"/>
  <c r="AD787" i="72"/>
  <c r="AD788" i="72"/>
  <c r="AD789" i="72"/>
  <c r="AD790" i="72"/>
  <c r="AD791" i="72"/>
  <c r="AD792" i="72"/>
  <c r="AD793" i="72"/>
  <c r="AD794" i="72"/>
  <c r="AD795" i="72"/>
  <c r="AD796" i="72"/>
  <c r="AD797" i="72"/>
  <c r="AD798" i="72"/>
  <c r="AD799" i="72"/>
  <c r="AD800" i="72"/>
  <c r="AD801" i="72"/>
  <c r="AD802" i="72"/>
  <c r="AD803" i="72"/>
  <c r="AD804" i="72"/>
  <c r="AD805" i="72"/>
  <c r="AD806" i="72"/>
  <c r="AD807" i="72"/>
  <c r="AD808" i="72"/>
  <c r="AD809" i="72"/>
  <c r="AD810" i="72"/>
  <c r="AD811" i="72"/>
  <c r="AD812" i="72"/>
  <c r="AD813" i="72"/>
  <c r="AD814" i="72"/>
  <c r="AD815" i="72"/>
  <c r="AD816" i="72"/>
  <c r="AD817" i="72"/>
  <c r="AD818" i="72"/>
  <c r="AD819" i="72"/>
  <c r="AD820" i="72"/>
  <c r="AD821" i="72"/>
  <c r="AD822" i="72"/>
  <c r="AD823" i="72"/>
  <c r="AD824" i="72"/>
  <c r="AD825" i="72"/>
  <c r="AD826" i="72"/>
  <c r="AD827" i="72"/>
  <c r="AD828" i="72"/>
  <c r="AD829" i="72"/>
  <c r="AD830" i="72"/>
  <c r="AD831" i="72"/>
  <c r="AD832" i="72"/>
  <c r="AD833" i="72"/>
  <c r="AD834" i="72"/>
  <c r="AD835" i="72"/>
  <c r="AD836" i="72"/>
  <c r="AD837" i="72"/>
  <c r="AD838" i="72"/>
  <c r="AD839" i="72"/>
  <c r="AD840" i="72"/>
  <c r="AD841" i="72"/>
  <c r="AD842" i="72"/>
  <c r="AD843" i="72"/>
  <c r="AD844" i="72"/>
  <c r="AD845" i="72"/>
  <c r="AD846" i="72"/>
  <c r="AD847" i="72"/>
  <c r="AD848" i="72"/>
  <c r="AD849" i="72"/>
  <c r="AD850" i="72"/>
  <c r="AD851" i="72"/>
  <c r="AD852" i="72"/>
  <c r="AD853" i="72"/>
  <c r="AD854" i="72"/>
  <c r="AD855" i="72"/>
  <c r="AD856" i="72"/>
  <c r="AD857" i="72"/>
  <c r="AD858" i="72"/>
  <c r="AD859" i="72"/>
  <c r="AD860" i="72"/>
  <c r="AD861" i="72"/>
  <c r="AD862" i="72"/>
  <c r="AD863" i="72"/>
  <c r="AD864" i="72"/>
  <c r="AD865" i="72"/>
  <c r="AD866" i="72"/>
  <c r="AD867" i="72"/>
  <c r="AD868" i="72"/>
  <c r="AD869" i="72"/>
  <c r="AD870" i="72"/>
  <c r="AD871" i="72"/>
  <c r="AD872" i="72"/>
  <c r="AD873" i="72"/>
  <c r="AD874" i="72"/>
  <c r="AD875" i="72"/>
  <c r="AD876" i="72"/>
  <c r="AD877" i="72"/>
  <c r="AD878" i="72"/>
  <c r="AD879" i="72"/>
  <c r="AD880" i="72"/>
  <c r="AD881" i="72"/>
  <c r="AD882" i="72"/>
  <c r="AD883" i="72"/>
  <c r="AD884" i="72"/>
  <c r="AD885" i="72"/>
  <c r="AD886" i="72"/>
  <c r="AD887" i="72"/>
  <c r="AD888" i="72"/>
  <c r="AD889" i="72"/>
  <c r="AD890" i="72"/>
  <c r="AD891" i="72"/>
  <c r="AD892" i="72"/>
  <c r="AD893" i="72"/>
  <c r="AD894" i="72"/>
  <c r="AD895" i="72"/>
  <c r="AD896" i="72"/>
  <c r="AD897" i="72"/>
  <c r="AD898" i="72"/>
  <c r="AD899" i="72"/>
  <c r="AD900" i="72"/>
  <c r="AD901" i="72"/>
  <c r="AD902" i="72"/>
  <c r="AD903" i="72"/>
  <c r="AD904" i="72"/>
  <c r="AD905" i="72"/>
  <c r="AD906" i="72"/>
  <c r="AD907" i="72"/>
  <c r="AD908" i="72"/>
  <c r="AD909" i="72"/>
  <c r="AD910" i="72"/>
  <c r="AD911" i="72"/>
  <c r="AD912" i="72"/>
  <c r="AD913" i="72"/>
  <c r="AD914" i="72"/>
  <c r="AD915" i="72"/>
  <c r="AD916" i="72"/>
  <c r="AD917" i="72"/>
  <c r="AD918" i="72"/>
  <c r="AD919" i="72"/>
  <c r="AD920" i="72"/>
  <c r="AD921" i="72"/>
  <c r="AD922" i="72"/>
  <c r="AD923" i="72"/>
  <c r="AD924" i="72"/>
  <c r="AD925" i="72"/>
  <c r="AD926" i="72"/>
  <c r="AD927" i="72"/>
  <c r="AD928" i="72"/>
  <c r="AD929" i="72"/>
  <c r="AD930" i="72"/>
  <c r="AD931" i="72"/>
  <c r="AD932" i="72"/>
  <c r="AD933" i="72"/>
  <c r="AD934" i="72"/>
  <c r="AD935" i="72"/>
  <c r="AD936" i="72"/>
  <c r="AD937" i="72"/>
  <c r="AD938" i="72"/>
  <c r="AD939" i="72"/>
  <c r="AD940" i="72"/>
  <c r="AD941" i="72"/>
  <c r="AD942" i="72"/>
  <c r="AD943" i="72"/>
  <c r="AD944" i="72"/>
  <c r="AD945" i="72"/>
  <c r="AD946" i="72"/>
  <c r="AD947" i="72"/>
  <c r="AD948" i="72"/>
  <c r="AD949" i="72"/>
  <c r="AD950" i="72"/>
  <c r="AD951" i="72"/>
  <c r="AD952" i="72"/>
  <c r="AD953" i="72"/>
  <c r="AD954" i="72"/>
  <c r="AD955" i="72"/>
  <c r="AD956" i="72"/>
  <c r="AD957" i="72"/>
  <c r="AD958" i="72"/>
  <c r="AD959" i="72"/>
  <c r="AD960" i="72"/>
  <c r="AD961" i="72"/>
  <c r="AD962" i="72"/>
  <c r="AD963" i="72"/>
  <c r="AD964" i="72"/>
  <c r="AD965" i="72"/>
  <c r="AD966" i="72"/>
  <c r="AD967" i="72"/>
  <c r="AD968" i="72"/>
  <c r="AD969" i="72"/>
  <c r="AD970" i="72"/>
  <c r="AD971" i="72"/>
  <c r="AD972" i="72"/>
  <c r="AD973" i="72"/>
  <c r="AD974" i="72"/>
  <c r="AD975" i="72"/>
  <c r="AD976" i="72"/>
  <c r="AD977" i="72"/>
  <c r="AD978" i="72"/>
  <c r="AD979" i="72"/>
  <c r="AD980" i="72"/>
  <c r="AD981" i="72"/>
  <c r="AD982" i="72"/>
  <c r="AD983" i="72"/>
  <c r="AD984" i="72"/>
  <c r="AD985" i="72"/>
  <c r="AD986" i="72"/>
  <c r="AD987" i="72"/>
  <c r="AD988" i="72"/>
  <c r="AD989" i="72"/>
  <c r="AD990" i="72"/>
  <c r="AD991" i="72"/>
  <c r="AD992" i="72"/>
  <c r="AD993" i="72"/>
  <c r="AD994" i="72"/>
  <c r="AD995" i="72"/>
  <c r="AD996" i="72"/>
  <c r="AD997" i="72"/>
  <c r="AD998" i="72"/>
  <c r="AD999" i="72"/>
  <c r="AD1000" i="72"/>
  <c r="AD1001" i="72"/>
  <c r="AD1002" i="72"/>
  <c r="AD1003" i="72"/>
  <c r="AD1004" i="72"/>
  <c r="AD1005" i="72"/>
  <c r="AD1006" i="72"/>
  <c r="AD1007" i="72"/>
  <c r="AD1008" i="72"/>
  <c r="AD1009" i="72"/>
  <c r="AD1010" i="72"/>
  <c r="AD1011" i="72"/>
  <c r="AD1012" i="72"/>
  <c r="AD1013" i="72"/>
  <c r="AD1014" i="72"/>
  <c r="AD1015" i="72"/>
  <c r="AD1016" i="72"/>
  <c r="AD1017" i="72"/>
  <c r="AD1018" i="72"/>
  <c r="AD1019" i="72"/>
  <c r="AD1020" i="72"/>
  <c r="AD1021" i="72"/>
  <c r="AD1022" i="72"/>
  <c r="AD1023" i="72"/>
  <c r="AD1024" i="72"/>
  <c r="AD1025" i="72"/>
  <c r="AD1026" i="72"/>
  <c r="AD1027" i="72"/>
  <c r="AD1028" i="72"/>
  <c r="AD1029" i="72"/>
  <c r="AD1030" i="72"/>
  <c r="AD1031" i="72"/>
  <c r="AD1032" i="72"/>
  <c r="AD1033" i="72"/>
  <c r="AD1034" i="72"/>
  <c r="AD1035" i="72"/>
  <c r="AD1036" i="72"/>
  <c r="AD1037" i="72"/>
  <c r="AD1038" i="72"/>
  <c r="AD1039" i="72"/>
  <c r="AD1040" i="72"/>
  <c r="AD1041" i="72"/>
  <c r="AD1042" i="72"/>
  <c r="AD1043" i="72"/>
  <c r="AD1044" i="72"/>
  <c r="AD1045" i="72"/>
  <c r="AD1046" i="72"/>
  <c r="AD1047" i="72"/>
  <c r="AD1048" i="72"/>
  <c r="AD1049" i="72"/>
  <c r="AD1050" i="72"/>
  <c r="AD1051" i="72"/>
  <c r="AD1052" i="72"/>
  <c r="AD1053" i="72"/>
  <c r="AD1054" i="72"/>
  <c r="AD1055" i="72"/>
  <c r="AD1056" i="72"/>
  <c r="AD1057" i="72"/>
  <c r="AD1058" i="72"/>
  <c r="AD1059" i="72"/>
  <c r="AD1060" i="72"/>
  <c r="AD1061" i="72"/>
  <c r="AD1062" i="72"/>
  <c r="AD1063" i="72"/>
  <c r="AD1064" i="72"/>
  <c r="AD1065" i="72"/>
  <c r="AD1066" i="72"/>
  <c r="AD1067" i="72"/>
  <c r="AD1068" i="72"/>
  <c r="AD1069" i="72"/>
  <c r="AD1070" i="72"/>
  <c r="AD1071" i="72"/>
  <c r="AD1072" i="72"/>
  <c r="AD1073" i="72"/>
  <c r="AD1074" i="72"/>
  <c r="AD1075" i="72"/>
  <c r="AD1076" i="72"/>
  <c r="AD1077" i="72"/>
  <c r="AD1078" i="72"/>
  <c r="AD1079" i="72"/>
  <c r="AD1080" i="72"/>
  <c r="AD1081" i="72"/>
  <c r="AD1082" i="72"/>
  <c r="AD1083" i="72"/>
  <c r="AD1084" i="72"/>
  <c r="AD1085" i="72"/>
  <c r="AD1086" i="72"/>
  <c r="AD1087" i="72"/>
  <c r="AD1088" i="72"/>
  <c r="AD1089" i="72"/>
  <c r="AD1090" i="72"/>
  <c r="AD1091" i="72"/>
  <c r="AD1092" i="72"/>
  <c r="AD1093" i="72"/>
  <c r="AD1094" i="72"/>
  <c r="AD1095" i="72"/>
  <c r="AD1096" i="72"/>
  <c r="AD1097" i="72"/>
  <c r="AD1098" i="72"/>
  <c r="AD1099" i="72"/>
  <c r="AD1100" i="72"/>
  <c r="AD1101" i="72"/>
  <c r="AD1102" i="72"/>
  <c r="AD1103" i="72"/>
  <c r="AD1104" i="72"/>
  <c r="AD1105" i="72"/>
  <c r="AD1106" i="72"/>
  <c r="AD1107" i="72"/>
  <c r="AD1108" i="72"/>
  <c r="AD1109" i="72"/>
  <c r="AD1110" i="72"/>
  <c r="AD1111" i="72"/>
  <c r="AD1112" i="72"/>
  <c r="AD1113" i="72"/>
  <c r="AD1114" i="72"/>
  <c r="AD1115" i="72"/>
  <c r="AD1116" i="72"/>
  <c r="AD1117" i="72"/>
  <c r="AD1118" i="72"/>
  <c r="AD1119" i="72"/>
  <c r="AD1120" i="72"/>
  <c r="AD1121" i="72"/>
  <c r="AD1122" i="72"/>
  <c r="AD1123" i="72"/>
  <c r="AD1124" i="72"/>
  <c r="AD1125" i="72"/>
  <c r="AD1126" i="72"/>
  <c r="AD1127" i="72"/>
  <c r="AD1128" i="72"/>
  <c r="AD1129" i="72"/>
  <c r="AD1130" i="72"/>
  <c r="AD1131" i="72"/>
  <c r="AD1132" i="72"/>
  <c r="AD1133" i="72"/>
  <c r="AD1134" i="72"/>
  <c r="AD1135" i="72"/>
  <c r="AD1136" i="72"/>
  <c r="AD1137" i="72"/>
  <c r="AD1138" i="72"/>
  <c r="AD1139" i="72"/>
  <c r="AD1140" i="72"/>
  <c r="AD1141" i="72"/>
  <c r="AD1142" i="72"/>
  <c r="AD1143" i="72"/>
  <c r="AD1144" i="72"/>
  <c r="AD1145" i="72"/>
  <c r="AD1146" i="72"/>
  <c r="AD1147" i="72"/>
  <c r="AD1148" i="72"/>
  <c r="AD1149" i="72"/>
  <c r="AD1150" i="72"/>
  <c r="AD1151" i="72"/>
  <c r="AD1152" i="72"/>
  <c r="AD1153" i="72"/>
  <c r="AD1154" i="72"/>
  <c r="AD1155" i="72"/>
  <c r="AD1156" i="72"/>
  <c r="AD1157" i="72"/>
  <c r="AD1158" i="72"/>
  <c r="AD1159" i="72"/>
  <c r="AD1160" i="72"/>
  <c r="AD1161" i="72"/>
  <c r="AD1162" i="72"/>
  <c r="AD1163" i="72"/>
  <c r="AD1164" i="72"/>
  <c r="AD1165" i="72"/>
  <c r="AD1166" i="72"/>
  <c r="AD1167" i="72"/>
  <c r="AD1168" i="72"/>
  <c r="AD1169" i="72"/>
  <c r="AD1170" i="72"/>
  <c r="AD1171" i="72"/>
  <c r="AD1172" i="72"/>
  <c r="AD1173" i="72"/>
  <c r="AD1174" i="72"/>
  <c r="AD1175" i="72"/>
  <c r="AD1176" i="72"/>
  <c r="AD1177" i="72"/>
  <c r="AD1178" i="72"/>
  <c r="AD1179" i="72"/>
  <c r="AD1180" i="72"/>
  <c r="AD1181" i="72"/>
  <c r="AD1182" i="72"/>
  <c r="AD1183" i="72"/>
  <c r="AD1184" i="72"/>
  <c r="AD1185" i="72"/>
  <c r="AD1186" i="72"/>
  <c r="AD1187" i="72"/>
  <c r="AD1188" i="72"/>
  <c r="AD1189" i="72"/>
  <c r="AD1190" i="72"/>
  <c r="AD1191" i="72"/>
  <c r="AD1192" i="72"/>
  <c r="AD1193" i="72"/>
  <c r="AD1194" i="72"/>
  <c r="AD1195" i="72"/>
  <c r="AD1196" i="72"/>
  <c r="AD1197" i="72"/>
  <c r="AD1198" i="72"/>
  <c r="AD1199" i="72"/>
  <c r="AD1200" i="72"/>
  <c r="AD1201" i="72"/>
  <c r="AD1202" i="72"/>
  <c r="AD1203" i="72"/>
  <c r="AD1204" i="72"/>
  <c r="AD1205" i="72"/>
  <c r="AD1206" i="72"/>
  <c r="AD1207" i="72"/>
  <c r="AD1208" i="72"/>
  <c r="AD1209" i="72"/>
  <c r="AD1210" i="72"/>
  <c r="AD1211" i="72"/>
  <c r="AD1212" i="72"/>
  <c r="AD1213" i="72"/>
  <c r="AD1214" i="72"/>
  <c r="AD1215" i="72"/>
  <c r="AD1216" i="72"/>
  <c r="AD1217" i="72"/>
  <c r="AD1218" i="72"/>
  <c r="AD1219" i="72"/>
  <c r="AD1220" i="72"/>
  <c r="AD1221" i="72"/>
  <c r="AD1222" i="72"/>
  <c r="AD1223" i="72"/>
  <c r="AD1224" i="72"/>
  <c r="AD1225" i="72"/>
  <c r="AD1226" i="72"/>
  <c r="AD1227" i="72"/>
  <c r="AD1228" i="72"/>
  <c r="AD1229" i="72"/>
  <c r="AD1230" i="72"/>
  <c r="AD1231" i="72"/>
  <c r="AD1232" i="72"/>
  <c r="AD1233" i="72"/>
  <c r="AD1234" i="72"/>
  <c r="AD1235" i="72"/>
  <c r="AD1236" i="72"/>
  <c r="AD1237" i="72"/>
  <c r="AD1238" i="72"/>
  <c r="AD1239" i="72"/>
  <c r="AD1240" i="72"/>
  <c r="AD1241" i="72"/>
  <c r="AD1242" i="72"/>
  <c r="AD1243" i="72"/>
  <c r="AD1244" i="72"/>
  <c r="AD1245" i="72"/>
  <c r="AD1246" i="72"/>
  <c r="AD1247" i="72"/>
  <c r="AD1248" i="72"/>
  <c r="AD1249" i="72"/>
  <c r="AD1250" i="72"/>
  <c r="AD1251" i="72"/>
  <c r="AD1252" i="72"/>
  <c r="AE501" i="72"/>
  <c r="AE502" i="72"/>
  <c r="AE503" i="72"/>
  <c r="AE504" i="72"/>
  <c r="AE505" i="72"/>
  <c r="AE506" i="72"/>
  <c r="AE507" i="72"/>
  <c r="AE508" i="72"/>
  <c r="AE509" i="72"/>
  <c r="AE510" i="72"/>
  <c r="AE511" i="72"/>
  <c r="AE512" i="72"/>
  <c r="AE513" i="72"/>
  <c r="AE514" i="72"/>
  <c r="AE515" i="72"/>
  <c r="AE516" i="72"/>
  <c r="AE517" i="72"/>
  <c r="AE518" i="72"/>
  <c r="AE519" i="72"/>
  <c r="AE520" i="72"/>
  <c r="AE521" i="72"/>
  <c r="AE522" i="72"/>
  <c r="AE523" i="72"/>
  <c r="AE524" i="72"/>
  <c r="AE525" i="72"/>
  <c r="AE526" i="72"/>
  <c r="AE527" i="72"/>
  <c r="AE528" i="72"/>
  <c r="AE529" i="72"/>
  <c r="AE530" i="72"/>
  <c r="AE531" i="72"/>
  <c r="AE532" i="72"/>
  <c r="AE533" i="72"/>
  <c r="AE534" i="72"/>
  <c r="AE535" i="72"/>
  <c r="AE536" i="72"/>
  <c r="AE537" i="72"/>
  <c r="AE538" i="72"/>
  <c r="AE539" i="72"/>
  <c r="AE540" i="72"/>
  <c r="AE541" i="72"/>
  <c r="AE542" i="72"/>
  <c r="AE543" i="72"/>
  <c r="AE544" i="72"/>
  <c r="AE545" i="72"/>
  <c r="AE546" i="72"/>
  <c r="AE547" i="72"/>
  <c r="AE548" i="72"/>
  <c r="AE549" i="72"/>
  <c r="AE550" i="72"/>
  <c r="AE551" i="72"/>
  <c r="AE552" i="72"/>
  <c r="AE553" i="72"/>
  <c r="AE554" i="72"/>
  <c r="AE555" i="72"/>
  <c r="AE556" i="72"/>
  <c r="AE557" i="72"/>
  <c r="AE558" i="72"/>
  <c r="AE559" i="72"/>
  <c r="AE560" i="72"/>
  <c r="AE561" i="72"/>
  <c r="AE562" i="72"/>
  <c r="AE563" i="72"/>
  <c r="AE564" i="72"/>
  <c r="AE565" i="72"/>
  <c r="AE566" i="72"/>
  <c r="AE567" i="72"/>
  <c r="AE568" i="72"/>
  <c r="AE569" i="72"/>
  <c r="AE570" i="72"/>
  <c r="AE571" i="72"/>
  <c r="AE572" i="72"/>
  <c r="AE573" i="72"/>
  <c r="AE574" i="72"/>
  <c r="AE575" i="72"/>
  <c r="AE576" i="72"/>
  <c r="AE577" i="72"/>
  <c r="AE578" i="72"/>
  <c r="AE579" i="72"/>
  <c r="AE580" i="72"/>
  <c r="AE581" i="72"/>
  <c r="AE582" i="72"/>
  <c r="AE583" i="72"/>
  <c r="AE584" i="72"/>
  <c r="AE585" i="72"/>
  <c r="AE586" i="72"/>
  <c r="AE587" i="72"/>
  <c r="AE588" i="72"/>
  <c r="AE589" i="72"/>
  <c r="AE590" i="72"/>
  <c r="AE591" i="72"/>
  <c r="AE592" i="72"/>
  <c r="AE593" i="72"/>
  <c r="AE594" i="72"/>
  <c r="AE595" i="72"/>
  <c r="AE596" i="72"/>
  <c r="AE597" i="72"/>
  <c r="AE598" i="72"/>
  <c r="AE599" i="72"/>
  <c r="AE600" i="72"/>
  <c r="AE601" i="72"/>
  <c r="AE602" i="72"/>
  <c r="AE603" i="72"/>
  <c r="AE604" i="72"/>
  <c r="AE605" i="72"/>
  <c r="AE606" i="72"/>
  <c r="AE607" i="72"/>
  <c r="AE608" i="72"/>
  <c r="AE609" i="72"/>
  <c r="AE610" i="72"/>
  <c r="AE611" i="72"/>
  <c r="AE612" i="72"/>
  <c r="AE613" i="72"/>
  <c r="AE614" i="72"/>
  <c r="AE615" i="72"/>
  <c r="AE616" i="72"/>
  <c r="AE617" i="72"/>
  <c r="AE618" i="72"/>
  <c r="AE619" i="72"/>
  <c r="AE620" i="72"/>
  <c r="AE621" i="72"/>
  <c r="AE622" i="72"/>
  <c r="AE623" i="72"/>
  <c r="AE624" i="72"/>
  <c r="AE625" i="72"/>
  <c r="AE626" i="72"/>
  <c r="AE627" i="72"/>
  <c r="AE628" i="72"/>
  <c r="AE629" i="72"/>
  <c r="AE630" i="72"/>
  <c r="AE631" i="72"/>
  <c r="AE632" i="72"/>
  <c r="AE633" i="72"/>
  <c r="AE634" i="72"/>
  <c r="AE635" i="72"/>
  <c r="AE636" i="72"/>
  <c r="AE637" i="72"/>
  <c r="AE638" i="72"/>
  <c r="AE639" i="72"/>
  <c r="AE640" i="72"/>
  <c r="AE641" i="72"/>
  <c r="AE642" i="72"/>
  <c r="AE643" i="72"/>
  <c r="AE644" i="72"/>
  <c r="AE645" i="72"/>
  <c r="AE646" i="72"/>
  <c r="AE647" i="72"/>
  <c r="AE648" i="72"/>
  <c r="AE649" i="72"/>
  <c r="AE650" i="72"/>
  <c r="AE651" i="72"/>
  <c r="AE652" i="72"/>
  <c r="AE653" i="72"/>
  <c r="AE654" i="72"/>
  <c r="AE655" i="72"/>
  <c r="AE656" i="72"/>
  <c r="AE657" i="72"/>
  <c r="AE658" i="72"/>
  <c r="AE659" i="72"/>
  <c r="AE660" i="72"/>
  <c r="AE661" i="72"/>
  <c r="AE662" i="72"/>
  <c r="AE663" i="72"/>
  <c r="AE664" i="72"/>
  <c r="AE665" i="72"/>
  <c r="AE666" i="72"/>
  <c r="AE667" i="72"/>
  <c r="AE668" i="72"/>
  <c r="AE669" i="72"/>
  <c r="AE670" i="72"/>
  <c r="AE671" i="72"/>
  <c r="AE672" i="72"/>
  <c r="AE673" i="72"/>
  <c r="AE674" i="72"/>
  <c r="AE675" i="72"/>
  <c r="AE676" i="72"/>
  <c r="AE677" i="72"/>
  <c r="AE678" i="72"/>
  <c r="AE679" i="72"/>
  <c r="AE680" i="72"/>
  <c r="AE681" i="72"/>
  <c r="AE682" i="72"/>
  <c r="AE683" i="72"/>
  <c r="AE684" i="72"/>
  <c r="AE685" i="72"/>
  <c r="AE686" i="72"/>
  <c r="AE687" i="72"/>
  <c r="AE688" i="72"/>
  <c r="AE689" i="72"/>
  <c r="AE690" i="72"/>
  <c r="AE691" i="72"/>
  <c r="AE692" i="72"/>
  <c r="AE693" i="72"/>
  <c r="AE694" i="72"/>
  <c r="AE695" i="72"/>
  <c r="AE696" i="72"/>
  <c r="AE697" i="72"/>
  <c r="AE698" i="72"/>
  <c r="AE699" i="72"/>
  <c r="AE700" i="72"/>
  <c r="AE701" i="72"/>
  <c r="AE702" i="72"/>
  <c r="AE703" i="72"/>
  <c r="AE704" i="72"/>
  <c r="AE705" i="72"/>
  <c r="AE706" i="72"/>
  <c r="AE707" i="72"/>
  <c r="AE708" i="72"/>
  <c r="AE709" i="72"/>
  <c r="AE710" i="72"/>
  <c r="AE711" i="72"/>
  <c r="AE712" i="72"/>
  <c r="AE713" i="72"/>
  <c r="AE714" i="72"/>
  <c r="AE715" i="72"/>
  <c r="AE716" i="72"/>
  <c r="AE717" i="72"/>
  <c r="AE718" i="72"/>
  <c r="AE719" i="72"/>
  <c r="AE720" i="72"/>
  <c r="AE721" i="72"/>
  <c r="AE722" i="72"/>
  <c r="AE723" i="72"/>
  <c r="AE724" i="72"/>
  <c r="AE725" i="72"/>
  <c r="AE726" i="72"/>
  <c r="AE727" i="72"/>
  <c r="AE728" i="72"/>
  <c r="AE729" i="72"/>
  <c r="AE730" i="72"/>
  <c r="AE731" i="72"/>
  <c r="AE732" i="72"/>
  <c r="AE733" i="72"/>
  <c r="AE734" i="72"/>
  <c r="AE735" i="72"/>
  <c r="AE736" i="72"/>
  <c r="AE737" i="72"/>
  <c r="AE738" i="72"/>
  <c r="AE739" i="72"/>
  <c r="AE740" i="72"/>
  <c r="AE741" i="72"/>
  <c r="AE742" i="72"/>
  <c r="AE743" i="72"/>
  <c r="AE744" i="72"/>
  <c r="AE745" i="72"/>
  <c r="AE746" i="72"/>
  <c r="AE747" i="72"/>
  <c r="AE748" i="72"/>
  <c r="AE749" i="72"/>
  <c r="AE750" i="72"/>
  <c r="AE751" i="72"/>
  <c r="AE752" i="72"/>
  <c r="AE753" i="72"/>
  <c r="AE754" i="72"/>
  <c r="AE755" i="72"/>
  <c r="AE756" i="72"/>
  <c r="AE757" i="72"/>
  <c r="AE758" i="72"/>
  <c r="AE759" i="72"/>
  <c r="AE760" i="72"/>
  <c r="AE761" i="72"/>
  <c r="AE762" i="72"/>
  <c r="AE763" i="72"/>
  <c r="AE764" i="72"/>
  <c r="AE765" i="72"/>
  <c r="AE766" i="72"/>
  <c r="AE767" i="72"/>
  <c r="AE768" i="72"/>
  <c r="AE769" i="72"/>
  <c r="AE770" i="72"/>
  <c r="AE771" i="72"/>
  <c r="AE772" i="72"/>
  <c r="AE773" i="72"/>
  <c r="AE774" i="72"/>
  <c r="AE775" i="72"/>
  <c r="AE776" i="72"/>
  <c r="AE777" i="72"/>
  <c r="AE778" i="72"/>
  <c r="AE779" i="72"/>
  <c r="AE780" i="72"/>
  <c r="AE781" i="72"/>
  <c r="AE782" i="72"/>
  <c r="AE783" i="72"/>
  <c r="AE784" i="72"/>
  <c r="AE785" i="72"/>
  <c r="AE786" i="72"/>
  <c r="AE787" i="72"/>
  <c r="AE788" i="72"/>
  <c r="AE789" i="72"/>
  <c r="AE790" i="72"/>
  <c r="AE791" i="72"/>
  <c r="AE792" i="72"/>
  <c r="AE793" i="72"/>
  <c r="AE794" i="72"/>
  <c r="AE795" i="72"/>
  <c r="AE796" i="72"/>
  <c r="AE797" i="72"/>
  <c r="AE798" i="72"/>
  <c r="AE799" i="72"/>
  <c r="AE800" i="72"/>
  <c r="AE801" i="72"/>
  <c r="AE802" i="72"/>
  <c r="AE803" i="72"/>
  <c r="AE804" i="72"/>
  <c r="AE805" i="72"/>
  <c r="AE806" i="72"/>
  <c r="AE807" i="72"/>
  <c r="AE808" i="72"/>
  <c r="AE809" i="72"/>
  <c r="AE810" i="72"/>
  <c r="AE811" i="72"/>
  <c r="AE812" i="72"/>
  <c r="AE813" i="72"/>
  <c r="AE814" i="72"/>
  <c r="AE815" i="72"/>
  <c r="AE816" i="72"/>
  <c r="AE817" i="72"/>
  <c r="AE818" i="72"/>
  <c r="AE819" i="72"/>
  <c r="AE820" i="72"/>
  <c r="AE821" i="72"/>
  <c r="AE822" i="72"/>
  <c r="AE823" i="72"/>
  <c r="AE824" i="72"/>
  <c r="AE825" i="72"/>
  <c r="AE826" i="72"/>
  <c r="AE827" i="72"/>
  <c r="AE828" i="72"/>
  <c r="AE829" i="72"/>
  <c r="AE830" i="72"/>
  <c r="AE831" i="72"/>
  <c r="AE832" i="72"/>
  <c r="AE833" i="72"/>
  <c r="AE834" i="72"/>
  <c r="AE835" i="72"/>
  <c r="AE836" i="72"/>
  <c r="AE837" i="72"/>
  <c r="AE838" i="72"/>
  <c r="AE839" i="72"/>
  <c r="AE840" i="72"/>
  <c r="AE841" i="72"/>
  <c r="AE842" i="72"/>
  <c r="AE843" i="72"/>
  <c r="AE844" i="72"/>
  <c r="AE845" i="72"/>
  <c r="AE846" i="72"/>
  <c r="AE847" i="72"/>
  <c r="AE848" i="72"/>
  <c r="AE849" i="72"/>
  <c r="AE850" i="72"/>
  <c r="AE851" i="72"/>
  <c r="AE852" i="72"/>
  <c r="AE853" i="72"/>
  <c r="AE854" i="72"/>
  <c r="AE855" i="72"/>
  <c r="AE856" i="72"/>
  <c r="AE857" i="72"/>
  <c r="AE858" i="72"/>
  <c r="AE859" i="72"/>
  <c r="AE860" i="72"/>
  <c r="AE861" i="72"/>
  <c r="AE862" i="72"/>
  <c r="AE863" i="72"/>
  <c r="AE864" i="72"/>
  <c r="AE865" i="72"/>
  <c r="AE866" i="72"/>
  <c r="AE867" i="72"/>
  <c r="AE868" i="72"/>
  <c r="AE869" i="72"/>
  <c r="AE870" i="72"/>
  <c r="AE871" i="72"/>
  <c r="AE872" i="72"/>
  <c r="AE873" i="72"/>
  <c r="AE874" i="72"/>
  <c r="AE875" i="72"/>
  <c r="AE876" i="72"/>
  <c r="AE877" i="72"/>
  <c r="AE878" i="72"/>
  <c r="AE879" i="72"/>
  <c r="AE880" i="72"/>
  <c r="AE881" i="72"/>
  <c r="AE882" i="72"/>
  <c r="AE883" i="72"/>
  <c r="AE884" i="72"/>
  <c r="AE885" i="72"/>
  <c r="AE886" i="72"/>
  <c r="AE887" i="72"/>
  <c r="AE888" i="72"/>
  <c r="AE889" i="72"/>
  <c r="AE890" i="72"/>
  <c r="AE891" i="72"/>
  <c r="AE892" i="72"/>
  <c r="AE893" i="72"/>
  <c r="AE894" i="72"/>
  <c r="AE895" i="72"/>
  <c r="AE896" i="72"/>
  <c r="AE897" i="72"/>
  <c r="AE898" i="72"/>
  <c r="AE899" i="72"/>
  <c r="AE900" i="72"/>
  <c r="AE901" i="72"/>
  <c r="AE902" i="72"/>
  <c r="AE903" i="72"/>
  <c r="AE904" i="72"/>
  <c r="AE905" i="72"/>
  <c r="AE906" i="72"/>
  <c r="AE907" i="72"/>
  <c r="AE908" i="72"/>
  <c r="AE909" i="72"/>
  <c r="AE910" i="72"/>
  <c r="AE911" i="72"/>
  <c r="AE912" i="72"/>
  <c r="AE913" i="72"/>
  <c r="AE914" i="72"/>
  <c r="AE915" i="72"/>
  <c r="AE916" i="72"/>
  <c r="AE917" i="72"/>
  <c r="AE918" i="72"/>
  <c r="AE919" i="72"/>
  <c r="AE920" i="72"/>
  <c r="AE921" i="72"/>
  <c r="AE922" i="72"/>
  <c r="AE923" i="72"/>
  <c r="AE924" i="72"/>
  <c r="AE925" i="72"/>
  <c r="AE926" i="72"/>
  <c r="AE927" i="72"/>
  <c r="AE928" i="72"/>
  <c r="AE929" i="72"/>
  <c r="AE930" i="72"/>
  <c r="AE931" i="72"/>
  <c r="AE932" i="72"/>
  <c r="AE933" i="72"/>
  <c r="AE934" i="72"/>
  <c r="AE935" i="72"/>
  <c r="AE936" i="72"/>
  <c r="AE937" i="72"/>
  <c r="AE938" i="72"/>
  <c r="AE939" i="72"/>
  <c r="AE940" i="72"/>
  <c r="AE941" i="72"/>
  <c r="AE942" i="72"/>
  <c r="AE943" i="72"/>
  <c r="AE944" i="72"/>
  <c r="AE945" i="72"/>
  <c r="AE946" i="72"/>
  <c r="AE947" i="72"/>
  <c r="AE948" i="72"/>
  <c r="AE949" i="72"/>
  <c r="AE950" i="72"/>
  <c r="AE951" i="72"/>
  <c r="AE952" i="72"/>
  <c r="AE953" i="72"/>
  <c r="AE954" i="72"/>
  <c r="AE955" i="72"/>
  <c r="AE956" i="72"/>
  <c r="AE957" i="72"/>
  <c r="AE958" i="72"/>
  <c r="AE959" i="72"/>
  <c r="AE960" i="72"/>
  <c r="AE961" i="72"/>
  <c r="AE962" i="72"/>
  <c r="AE963" i="72"/>
  <c r="AE964" i="72"/>
  <c r="AE965" i="72"/>
  <c r="AE966" i="72"/>
  <c r="AE967" i="72"/>
  <c r="AE968" i="72"/>
  <c r="AE969" i="72"/>
  <c r="AE970" i="72"/>
  <c r="AE971" i="72"/>
  <c r="AE972" i="72"/>
  <c r="AE973" i="72"/>
  <c r="AE974" i="72"/>
  <c r="AE975" i="72"/>
  <c r="AE976" i="72"/>
  <c r="AE977" i="72"/>
  <c r="AE978" i="72"/>
  <c r="AE979" i="72"/>
  <c r="AE980" i="72"/>
  <c r="AE981" i="72"/>
  <c r="AE982" i="72"/>
  <c r="AE983" i="72"/>
  <c r="AE984" i="72"/>
  <c r="AE985" i="72"/>
  <c r="AE986" i="72"/>
  <c r="AE987" i="72"/>
  <c r="AE988" i="72"/>
  <c r="AE989" i="72"/>
  <c r="AE990" i="72"/>
  <c r="AE991" i="72"/>
  <c r="AE992" i="72"/>
  <c r="AE993" i="72"/>
  <c r="AE994" i="72"/>
  <c r="AE995" i="72"/>
  <c r="AE996" i="72"/>
  <c r="AE997" i="72"/>
  <c r="AE998" i="72"/>
  <c r="AE999" i="72"/>
  <c r="AE1000" i="72"/>
  <c r="AE1001" i="72"/>
  <c r="AE1002" i="72"/>
  <c r="AE1003" i="72"/>
  <c r="AE1004" i="72"/>
  <c r="AE1005" i="72"/>
  <c r="AE1006" i="72"/>
  <c r="AE1007" i="72"/>
  <c r="AE1008" i="72"/>
  <c r="AE1009" i="72"/>
  <c r="AE1010" i="72"/>
  <c r="AE1011" i="72"/>
  <c r="AE1012" i="72"/>
  <c r="AE1013" i="72"/>
  <c r="AE1014" i="72"/>
  <c r="AE1015" i="72"/>
  <c r="AE1016" i="72"/>
  <c r="AE1017" i="72"/>
  <c r="AE1018" i="72"/>
  <c r="AE1019" i="72"/>
  <c r="AE1020" i="72"/>
  <c r="AE1021" i="72"/>
  <c r="AE1022" i="72"/>
  <c r="AE1023" i="72"/>
  <c r="AE1024" i="72"/>
  <c r="AE1025" i="72"/>
  <c r="AE1026" i="72"/>
  <c r="AE1027" i="72"/>
  <c r="AE1028" i="72"/>
  <c r="AE1029" i="72"/>
  <c r="AE1030" i="72"/>
  <c r="AE1031" i="72"/>
  <c r="AE1032" i="72"/>
  <c r="AE1033" i="72"/>
  <c r="AE1034" i="72"/>
  <c r="AE1035" i="72"/>
  <c r="AE1036" i="72"/>
  <c r="AE1037" i="72"/>
  <c r="AE1038" i="72"/>
  <c r="AE1039" i="72"/>
  <c r="AE1040" i="72"/>
  <c r="AE1041" i="72"/>
  <c r="AE1042" i="72"/>
  <c r="AE1043" i="72"/>
  <c r="AE1044" i="72"/>
  <c r="AE1045" i="72"/>
  <c r="AE1046" i="72"/>
  <c r="AE1047" i="72"/>
  <c r="AE1048" i="72"/>
  <c r="AE1049" i="72"/>
  <c r="AE1050" i="72"/>
  <c r="AE1051" i="72"/>
  <c r="AE1052" i="72"/>
  <c r="AE1053" i="72"/>
  <c r="AE1054" i="72"/>
  <c r="AE1055" i="72"/>
  <c r="AE1056" i="72"/>
  <c r="AE1057" i="72"/>
  <c r="AE1058" i="72"/>
  <c r="AE1059" i="72"/>
  <c r="AE1060" i="72"/>
  <c r="AE1061" i="72"/>
  <c r="AE1062" i="72"/>
  <c r="AE1063" i="72"/>
  <c r="AE1064" i="72"/>
  <c r="AE1065" i="72"/>
  <c r="AE1066" i="72"/>
  <c r="AE1067" i="72"/>
  <c r="AE1068" i="72"/>
  <c r="AE1069" i="72"/>
  <c r="AE1070" i="72"/>
  <c r="AE1071" i="72"/>
  <c r="AE1072" i="72"/>
  <c r="AE1073" i="72"/>
  <c r="AE1074" i="72"/>
  <c r="AE1075" i="72"/>
  <c r="AE1076" i="72"/>
  <c r="AE1077" i="72"/>
  <c r="AE1078" i="72"/>
  <c r="AE1079" i="72"/>
  <c r="AE1080" i="72"/>
  <c r="AE1081" i="72"/>
  <c r="AE1082" i="72"/>
  <c r="AE1083" i="72"/>
  <c r="AE1084" i="72"/>
  <c r="AE1085" i="72"/>
  <c r="AE1086" i="72"/>
  <c r="AE1087" i="72"/>
  <c r="AE1088" i="72"/>
  <c r="AE1089" i="72"/>
  <c r="AE1090" i="72"/>
  <c r="AE1091" i="72"/>
  <c r="AE1092" i="72"/>
  <c r="AE1093" i="72"/>
  <c r="AE1094" i="72"/>
  <c r="AE1095" i="72"/>
  <c r="AE1096" i="72"/>
  <c r="AE1097" i="72"/>
  <c r="AE1098" i="72"/>
  <c r="AE1099" i="72"/>
  <c r="AE1100" i="72"/>
  <c r="AE1101" i="72"/>
  <c r="AE1102" i="72"/>
  <c r="AE1103" i="72"/>
  <c r="AE1104" i="72"/>
  <c r="AE1105" i="72"/>
  <c r="AE1106" i="72"/>
  <c r="AE1107" i="72"/>
  <c r="AE1108" i="72"/>
  <c r="AE1109" i="72"/>
  <c r="AE1110" i="72"/>
  <c r="AE1111" i="72"/>
  <c r="AE1112" i="72"/>
  <c r="AE1113" i="72"/>
  <c r="AE1114" i="72"/>
  <c r="AE1115" i="72"/>
  <c r="AE1116" i="72"/>
  <c r="AE1117" i="72"/>
  <c r="AE1118" i="72"/>
  <c r="AE1119" i="72"/>
  <c r="AE1120" i="72"/>
  <c r="AE1121" i="72"/>
  <c r="AE1122" i="72"/>
  <c r="AE1123" i="72"/>
  <c r="AE1124" i="72"/>
  <c r="AE1125" i="72"/>
  <c r="AE1126" i="72"/>
  <c r="AE1127" i="72"/>
  <c r="AE1128" i="72"/>
  <c r="AE1129" i="72"/>
  <c r="AE1130" i="72"/>
  <c r="AE1131" i="72"/>
  <c r="AE1132" i="72"/>
  <c r="AE1133" i="72"/>
  <c r="AE1134" i="72"/>
  <c r="AE1135" i="72"/>
  <c r="AE1136" i="72"/>
  <c r="AE1137" i="72"/>
  <c r="AE1138" i="72"/>
  <c r="AE1139" i="72"/>
  <c r="AE1140" i="72"/>
  <c r="AE1141" i="72"/>
  <c r="AE1142" i="72"/>
  <c r="AE1143" i="72"/>
  <c r="AE1144" i="72"/>
  <c r="AE1145" i="72"/>
  <c r="AE1146" i="72"/>
  <c r="AE1147" i="72"/>
  <c r="AE1148" i="72"/>
  <c r="AE1149" i="72"/>
  <c r="AE1150" i="72"/>
  <c r="AE1151" i="72"/>
  <c r="AE1152" i="72"/>
  <c r="AE1153" i="72"/>
  <c r="AE1154" i="72"/>
  <c r="AE1155" i="72"/>
  <c r="AE1156" i="72"/>
  <c r="AE1157" i="72"/>
  <c r="AE1158" i="72"/>
  <c r="AE1159" i="72"/>
  <c r="AE1160" i="72"/>
  <c r="AE1161" i="72"/>
  <c r="AE1162" i="72"/>
  <c r="AE1163" i="72"/>
  <c r="AE1164" i="72"/>
  <c r="AE1165" i="72"/>
  <c r="AE1166" i="72"/>
  <c r="AE1167" i="72"/>
  <c r="AE1168" i="72"/>
  <c r="AE1169" i="72"/>
  <c r="AE1170" i="72"/>
  <c r="AE1171" i="72"/>
  <c r="AE1172" i="72"/>
  <c r="AE1173" i="72"/>
  <c r="AE1174" i="72"/>
  <c r="AE1175" i="72"/>
  <c r="AE1176" i="72"/>
  <c r="AE1177" i="72"/>
  <c r="AE1178" i="72"/>
  <c r="AE1179" i="72"/>
  <c r="AE1180" i="72"/>
  <c r="AE1181" i="72"/>
  <c r="AE1182" i="72"/>
  <c r="AE1183" i="72"/>
  <c r="AE1184" i="72"/>
  <c r="AE1185" i="72"/>
  <c r="AE1186" i="72"/>
  <c r="AE1187" i="72"/>
  <c r="AE1188" i="72"/>
  <c r="AE1189" i="72"/>
  <c r="AE1190" i="72"/>
  <c r="AE1191" i="72"/>
  <c r="AE1192" i="72"/>
  <c r="AE1193" i="72"/>
  <c r="AE1194" i="72"/>
  <c r="AE1195" i="72"/>
  <c r="AE1196" i="72"/>
  <c r="AE1197" i="72"/>
  <c r="AE1198" i="72"/>
  <c r="AE1199" i="72"/>
  <c r="AE1200" i="72"/>
  <c r="AE1201" i="72"/>
  <c r="AE1202" i="72"/>
  <c r="AE1203" i="72"/>
  <c r="AE1204" i="72"/>
  <c r="AE1205" i="72"/>
  <c r="AE1206" i="72"/>
  <c r="AE1207" i="72"/>
  <c r="AE1208" i="72"/>
  <c r="AE1209" i="72"/>
  <c r="AE1210" i="72"/>
  <c r="AE1211" i="72"/>
  <c r="AE1212" i="72"/>
  <c r="AE1213" i="72"/>
  <c r="AE1214" i="72"/>
  <c r="AE1215" i="72"/>
  <c r="AE1216" i="72"/>
  <c r="AE1217" i="72"/>
  <c r="AE1218" i="72"/>
  <c r="AE1219" i="72"/>
  <c r="AE1220" i="72"/>
  <c r="AE1221" i="72"/>
  <c r="AE1222" i="72"/>
  <c r="AE1223" i="72"/>
  <c r="AE1224" i="72"/>
  <c r="AE1225" i="72"/>
  <c r="AE1226" i="72"/>
  <c r="AE1227" i="72"/>
  <c r="AE1228" i="72"/>
  <c r="AE1229" i="72"/>
  <c r="AE1230" i="72"/>
  <c r="AE1231" i="72"/>
  <c r="AE1232" i="72"/>
  <c r="AE1233" i="72"/>
  <c r="AE1234" i="72"/>
  <c r="AE1235" i="72"/>
  <c r="AE1236" i="72"/>
  <c r="AE1237" i="72"/>
  <c r="AE1238" i="72"/>
  <c r="AE1239" i="72"/>
  <c r="AE1240" i="72"/>
  <c r="AE1241" i="72"/>
  <c r="AE1242" i="72"/>
  <c r="AE1243" i="72"/>
  <c r="AE1244" i="72"/>
  <c r="AE1245" i="72"/>
  <c r="AE1246" i="72"/>
  <c r="AE1247" i="72"/>
  <c r="AE1248" i="72"/>
  <c r="AE1249" i="72"/>
  <c r="AE1250" i="72"/>
  <c r="AE1251" i="72"/>
  <c r="AE1252" i="72"/>
  <c r="AF501" i="72"/>
  <c r="AF502" i="72"/>
  <c r="AF503" i="72"/>
  <c r="AF504" i="72"/>
  <c r="AF505" i="72"/>
  <c r="AF506" i="72"/>
  <c r="AF507" i="72"/>
  <c r="AF508" i="72"/>
  <c r="AF509" i="72"/>
  <c r="AF510" i="72"/>
  <c r="AF511" i="72"/>
  <c r="AF512" i="72"/>
  <c r="AF513" i="72"/>
  <c r="AF514" i="72"/>
  <c r="AF515" i="72"/>
  <c r="AF516" i="72"/>
  <c r="AF517" i="72"/>
  <c r="AF518" i="72"/>
  <c r="AF519" i="72"/>
  <c r="AF520" i="72"/>
  <c r="AF521" i="72"/>
  <c r="AF522" i="72"/>
  <c r="AF523" i="72"/>
  <c r="AF524" i="72"/>
  <c r="AF525" i="72"/>
  <c r="AF526" i="72"/>
  <c r="AF527" i="72"/>
  <c r="AF528" i="72"/>
  <c r="AF529" i="72"/>
  <c r="AF530" i="72"/>
  <c r="AF531" i="72"/>
  <c r="AF532" i="72"/>
  <c r="AF533" i="72"/>
  <c r="AF534" i="72"/>
  <c r="AF535" i="72"/>
  <c r="AF536" i="72"/>
  <c r="AF537" i="72"/>
  <c r="AF538" i="72"/>
  <c r="AF539" i="72"/>
  <c r="AF540" i="72"/>
  <c r="AF541" i="72"/>
  <c r="AF542" i="72"/>
  <c r="AF543" i="72"/>
  <c r="AF544" i="72"/>
  <c r="AF545" i="72"/>
  <c r="AF546" i="72"/>
  <c r="AF547" i="72"/>
  <c r="AF548" i="72"/>
  <c r="AF549" i="72"/>
  <c r="AF550" i="72"/>
  <c r="AF551" i="72"/>
  <c r="AF552" i="72"/>
  <c r="AF553" i="72"/>
  <c r="AF554" i="72"/>
  <c r="AF555" i="72"/>
  <c r="AF556" i="72"/>
  <c r="AF557" i="72"/>
  <c r="AF558" i="72"/>
  <c r="AF559" i="72"/>
  <c r="AF560" i="72"/>
  <c r="AF561" i="72"/>
  <c r="AF562" i="72"/>
  <c r="AF563" i="72"/>
  <c r="AF564" i="72"/>
  <c r="AF565" i="72"/>
  <c r="AF566" i="72"/>
  <c r="AF567" i="72"/>
  <c r="AF568" i="72"/>
  <c r="AF569" i="72"/>
  <c r="AF570" i="72"/>
  <c r="AF571" i="72"/>
  <c r="AF572" i="72"/>
  <c r="AF573" i="72"/>
  <c r="AF574" i="72"/>
  <c r="AF575" i="72"/>
  <c r="AF576" i="72"/>
  <c r="AF577" i="72"/>
  <c r="AF578" i="72"/>
  <c r="AF579" i="72"/>
  <c r="AF580" i="72"/>
  <c r="AF581" i="72"/>
  <c r="AF582" i="72"/>
  <c r="AF583" i="72"/>
  <c r="AF584" i="72"/>
  <c r="AF585" i="72"/>
  <c r="AF586" i="72"/>
  <c r="AF587" i="72"/>
  <c r="AF588" i="72"/>
  <c r="AF589" i="72"/>
  <c r="AF590" i="72"/>
  <c r="AF591" i="72"/>
  <c r="AF592" i="72"/>
  <c r="AF593" i="72"/>
  <c r="AF594" i="72"/>
  <c r="AF595" i="72"/>
  <c r="AF596" i="72"/>
  <c r="AF597" i="72"/>
  <c r="AF598" i="72"/>
  <c r="AF599" i="72"/>
  <c r="AF600" i="72"/>
  <c r="AF601" i="72"/>
  <c r="AF602" i="72"/>
  <c r="AF603" i="72"/>
  <c r="AF604" i="72"/>
  <c r="AF605" i="72"/>
  <c r="AF606" i="72"/>
  <c r="AF607" i="72"/>
  <c r="AF608" i="72"/>
  <c r="AF609" i="72"/>
  <c r="AF610" i="72"/>
  <c r="AF611" i="72"/>
  <c r="AF612" i="72"/>
  <c r="AF613" i="72"/>
  <c r="AF614" i="72"/>
  <c r="AF615" i="72"/>
  <c r="AF616" i="72"/>
  <c r="AF617" i="72"/>
  <c r="AF618" i="72"/>
  <c r="AF619" i="72"/>
  <c r="AF620" i="72"/>
  <c r="AF621" i="72"/>
  <c r="AF622" i="72"/>
  <c r="AF623" i="72"/>
  <c r="AF624" i="72"/>
  <c r="AF625" i="72"/>
  <c r="AF626" i="72"/>
  <c r="AF627" i="72"/>
  <c r="AF628" i="72"/>
  <c r="AF629" i="72"/>
  <c r="AF630" i="72"/>
  <c r="AF631" i="72"/>
  <c r="AF632" i="72"/>
  <c r="AF633" i="72"/>
  <c r="AF634" i="72"/>
  <c r="AF635" i="72"/>
  <c r="AF636" i="72"/>
  <c r="AF637" i="72"/>
  <c r="AF638" i="72"/>
  <c r="AF639" i="72"/>
  <c r="AF640" i="72"/>
  <c r="AF641" i="72"/>
  <c r="AF642" i="72"/>
  <c r="AF643" i="72"/>
  <c r="AF644" i="72"/>
  <c r="AF645" i="72"/>
  <c r="AF646" i="72"/>
  <c r="AF647" i="72"/>
  <c r="AF648" i="72"/>
  <c r="AF649" i="72"/>
  <c r="AF650" i="72"/>
  <c r="AF651" i="72"/>
  <c r="AF652" i="72"/>
  <c r="AF653" i="72"/>
  <c r="AF654" i="72"/>
  <c r="AF655" i="72"/>
  <c r="AF656" i="72"/>
  <c r="AF657" i="72"/>
  <c r="AF658" i="72"/>
  <c r="AF659" i="72"/>
  <c r="AF660" i="72"/>
  <c r="AF661" i="72"/>
  <c r="AF662" i="72"/>
  <c r="AF663" i="72"/>
  <c r="AF664" i="72"/>
  <c r="AF665" i="72"/>
  <c r="AF666" i="72"/>
  <c r="AF667" i="72"/>
  <c r="AF668" i="72"/>
  <c r="AF669" i="72"/>
  <c r="AF670" i="72"/>
  <c r="AF671" i="72"/>
  <c r="AF672" i="72"/>
  <c r="AF673" i="72"/>
  <c r="AF674" i="72"/>
  <c r="AF675" i="72"/>
  <c r="AF676" i="72"/>
  <c r="AF677" i="72"/>
  <c r="AF678" i="72"/>
  <c r="AF679" i="72"/>
  <c r="AF680" i="72"/>
  <c r="AF681" i="72"/>
  <c r="AF682" i="72"/>
  <c r="AF683" i="72"/>
  <c r="AF684" i="72"/>
  <c r="AF685" i="72"/>
  <c r="AF686" i="72"/>
  <c r="AF687" i="72"/>
  <c r="AF688" i="72"/>
  <c r="AF689" i="72"/>
  <c r="AF690" i="72"/>
  <c r="AF691" i="72"/>
  <c r="AF692" i="72"/>
  <c r="AF693" i="72"/>
  <c r="AF694" i="72"/>
  <c r="AF695" i="72"/>
  <c r="AF696" i="72"/>
  <c r="AF697" i="72"/>
  <c r="AF698" i="72"/>
  <c r="AF699" i="72"/>
  <c r="AF700" i="72"/>
  <c r="AF701" i="72"/>
  <c r="AF702" i="72"/>
  <c r="AF703" i="72"/>
  <c r="AF704" i="72"/>
  <c r="AF705" i="72"/>
  <c r="AF706" i="72"/>
  <c r="AF707" i="72"/>
  <c r="AF708" i="72"/>
  <c r="AF709" i="72"/>
  <c r="AF710" i="72"/>
  <c r="AF711" i="72"/>
  <c r="AF712" i="72"/>
  <c r="AF713" i="72"/>
  <c r="AF714" i="72"/>
  <c r="AF715" i="72"/>
  <c r="AF716" i="72"/>
  <c r="AF717" i="72"/>
  <c r="AF718" i="72"/>
  <c r="AF719" i="72"/>
  <c r="AF720" i="72"/>
  <c r="AF721" i="72"/>
  <c r="AF722" i="72"/>
  <c r="AF723" i="72"/>
  <c r="AF724" i="72"/>
  <c r="AF725" i="72"/>
  <c r="AF726" i="72"/>
  <c r="AF727" i="72"/>
  <c r="AF728" i="72"/>
  <c r="AF729" i="72"/>
  <c r="AF730" i="72"/>
  <c r="AF731" i="72"/>
  <c r="AF732" i="72"/>
  <c r="AF733" i="72"/>
  <c r="AF734" i="72"/>
  <c r="AF735" i="72"/>
  <c r="AF736" i="72"/>
  <c r="AF737" i="72"/>
  <c r="AF738" i="72"/>
  <c r="AF739" i="72"/>
  <c r="AF740" i="72"/>
  <c r="AF741" i="72"/>
  <c r="AF742" i="72"/>
  <c r="AF743" i="72"/>
  <c r="AF744" i="72"/>
  <c r="AF745" i="72"/>
  <c r="AF746" i="72"/>
  <c r="AF747" i="72"/>
  <c r="AF748" i="72"/>
  <c r="AF749" i="72"/>
  <c r="AF750" i="72"/>
  <c r="AF751" i="72"/>
  <c r="AF752" i="72"/>
  <c r="AF753" i="72"/>
  <c r="AF754" i="72"/>
  <c r="AF755" i="72"/>
  <c r="AF756" i="72"/>
  <c r="AF757" i="72"/>
  <c r="AF758" i="72"/>
  <c r="AF759" i="72"/>
  <c r="AF760" i="72"/>
  <c r="AF761" i="72"/>
  <c r="AF762" i="72"/>
  <c r="AF763" i="72"/>
  <c r="AF764" i="72"/>
  <c r="AF765" i="72"/>
  <c r="AF766" i="72"/>
  <c r="AF767" i="72"/>
  <c r="AF768" i="72"/>
  <c r="AF769" i="72"/>
  <c r="AF770" i="72"/>
  <c r="AF771" i="72"/>
  <c r="AF772" i="72"/>
  <c r="AF773" i="72"/>
  <c r="AF774" i="72"/>
  <c r="AF775" i="72"/>
  <c r="AF776" i="72"/>
  <c r="AF777" i="72"/>
  <c r="AF778" i="72"/>
  <c r="AF779" i="72"/>
  <c r="AF780" i="72"/>
  <c r="AF781" i="72"/>
  <c r="AF782" i="72"/>
  <c r="AF783" i="72"/>
  <c r="AF784" i="72"/>
  <c r="AF785" i="72"/>
  <c r="AF786" i="72"/>
  <c r="AF787" i="72"/>
  <c r="AF788" i="72"/>
  <c r="AF789" i="72"/>
  <c r="AF790" i="72"/>
  <c r="AF791" i="72"/>
  <c r="AF792" i="72"/>
  <c r="AF793" i="72"/>
  <c r="AF794" i="72"/>
  <c r="AF795" i="72"/>
  <c r="AF796" i="72"/>
  <c r="AF797" i="72"/>
  <c r="AF798" i="72"/>
  <c r="AF799" i="72"/>
  <c r="AF800" i="72"/>
  <c r="AF801" i="72"/>
  <c r="AF802" i="72"/>
  <c r="AF803" i="72"/>
  <c r="AF804" i="72"/>
  <c r="AF805" i="72"/>
  <c r="AF806" i="72"/>
  <c r="AF807" i="72"/>
  <c r="AF808" i="72"/>
  <c r="AF809" i="72"/>
  <c r="AF810" i="72"/>
  <c r="AF811" i="72"/>
  <c r="AF812" i="72"/>
  <c r="AF813" i="72"/>
  <c r="AF814" i="72"/>
  <c r="AF815" i="72"/>
  <c r="AF816" i="72"/>
  <c r="AF817" i="72"/>
  <c r="AF818" i="72"/>
  <c r="AF819" i="72"/>
  <c r="AF820" i="72"/>
  <c r="AF821" i="72"/>
  <c r="AF822" i="72"/>
  <c r="AF823" i="72"/>
  <c r="AF824" i="72"/>
  <c r="AF825" i="72"/>
  <c r="AF826" i="72"/>
  <c r="AF827" i="72"/>
  <c r="AF828" i="72"/>
  <c r="AF829" i="72"/>
  <c r="AF830" i="72"/>
  <c r="AF831" i="72"/>
  <c r="AF832" i="72"/>
  <c r="AF833" i="72"/>
  <c r="AF834" i="72"/>
  <c r="AF835" i="72"/>
  <c r="AF836" i="72"/>
  <c r="AF837" i="72"/>
  <c r="AF838" i="72"/>
  <c r="AF839" i="72"/>
  <c r="AF840" i="72"/>
  <c r="AF841" i="72"/>
  <c r="AF842" i="72"/>
  <c r="AF843" i="72"/>
  <c r="AF844" i="72"/>
  <c r="AF845" i="72"/>
  <c r="AF846" i="72"/>
  <c r="AF847" i="72"/>
  <c r="AF848" i="72"/>
  <c r="AF849" i="72"/>
  <c r="AF850" i="72"/>
  <c r="AF851" i="72"/>
  <c r="AF852" i="72"/>
  <c r="AF853" i="72"/>
  <c r="AF854" i="72"/>
  <c r="AF855" i="72"/>
  <c r="AF856" i="72"/>
  <c r="AF857" i="72"/>
  <c r="AF858" i="72"/>
  <c r="AF859" i="72"/>
  <c r="AF860" i="72"/>
  <c r="AF861" i="72"/>
  <c r="AF862" i="72"/>
  <c r="AF863" i="72"/>
  <c r="AF864" i="72"/>
  <c r="AF865" i="72"/>
  <c r="AF866" i="72"/>
  <c r="AF867" i="72"/>
  <c r="AF868" i="72"/>
  <c r="AF869" i="72"/>
  <c r="AF870" i="72"/>
  <c r="AF871" i="72"/>
  <c r="AF872" i="72"/>
  <c r="AF873" i="72"/>
  <c r="AF874" i="72"/>
  <c r="AF875" i="72"/>
  <c r="AF876" i="72"/>
  <c r="AF877" i="72"/>
  <c r="AF878" i="72"/>
  <c r="AF879" i="72"/>
  <c r="AF880" i="72"/>
  <c r="AF881" i="72"/>
  <c r="AF882" i="72"/>
  <c r="AF883" i="72"/>
  <c r="AF884" i="72"/>
  <c r="AF885" i="72"/>
  <c r="AF886" i="72"/>
  <c r="AF887" i="72"/>
  <c r="AF888" i="72"/>
  <c r="AF889" i="72"/>
  <c r="AF890" i="72"/>
  <c r="AF891" i="72"/>
  <c r="AF892" i="72"/>
  <c r="AF893" i="72"/>
  <c r="AF894" i="72"/>
  <c r="AF895" i="72"/>
  <c r="AF896" i="72"/>
  <c r="AF897" i="72"/>
  <c r="AF898" i="72"/>
  <c r="AF899" i="72"/>
  <c r="AF900" i="72"/>
  <c r="AF901" i="72"/>
  <c r="AF902" i="72"/>
  <c r="AF903" i="72"/>
  <c r="AF904" i="72"/>
  <c r="AF905" i="72"/>
  <c r="AF906" i="72"/>
  <c r="AF907" i="72"/>
  <c r="AF908" i="72"/>
  <c r="AF909" i="72"/>
  <c r="AF910" i="72"/>
  <c r="AF911" i="72"/>
  <c r="AF912" i="72"/>
  <c r="AF913" i="72"/>
  <c r="AF914" i="72"/>
  <c r="AF915" i="72"/>
  <c r="AF916" i="72"/>
  <c r="AF917" i="72"/>
  <c r="AF918" i="72"/>
  <c r="AF919" i="72"/>
  <c r="AF920" i="72"/>
  <c r="AF921" i="72"/>
  <c r="AF922" i="72"/>
  <c r="AF923" i="72"/>
  <c r="AF924" i="72"/>
  <c r="AF925" i="72"/>
  <c r="AF926" i="72"/>
  <c r="AF927" i="72"/>
  <c r="AF928" i="72"/>
  <c r="AF929" i="72"/>
  <c r="AF930" i="72"/>
  <c r="AF931" i="72"/>
  <c r="AF932" i="72"/>
  <c r="AF933" i="72"/>
  <c r="AF934" i="72"/>
  <c r="AF935" i="72"/>
  <c r="AF936" i="72"/>
  <c r="AF937" i="72"/>
  <c r="AF938" i="72"/>
  <c r="AF939" i="72"/>
  <c r="AF940" i="72"/>
  <c r="AF941" i="72"/>
  <c r="AF942" i="72"/>
  <c r="AF943" i="72"/>
  <c r="AF944" i="72"/>
  <c r="AF945" i="72"/>
  <c r="AF946" i="72"/>
  <c r="AF947" i="72"/>
  <c r="AF948" i="72"/>
  <c r="AF949" i="72"/>
  <c r="AF950" i="72"/>
  <c r="AF951" i="72"/>
  <c r="AF952" i="72"/>
  <c r="AF953" i="72"/>
  <c r="AF954" i="72"/>
  <c r="AF955" i="72"/>
  <c r="AF956" i="72"/>
  <c r="AF957" i="72"/>
  <c r="AF958" i="72"/>
  <c r="AF959" i="72"/>
  <c r="AF960" i="72"/>
  <c r="AF961" i="72"/>
  <c r="AF962" i="72"/>
  <c r="AF963" i="72"/>
  <c r="AF964" i="72"/>
  <c r="AF965" i="72"/>
  <c r="AF966" i="72"/>
  <c r="AF967" i="72"/>
  <c r="AF968" i="72"/>
  <c r="AF969" i="72"/>
  <c r="AF970" i="72"/>
  <c r="AF971" i="72"/>
  <c r="AF972" i="72"/>
  <c r="AF973" i="72"/>
  <c r="AF974" i="72"/>
  <c r="AF975" i="72"/>
  <c r="AF976" i="72"/>
  <c r="AF977" i="72"/>
  <c r="AF978" i="72"/>
  <c r="AF979" i="72"/>
  <c r="AF980" i="72"/>
  <c r="AF981" i="72"/>
  <c r="AF982" i="72"/>
  <c r="AF983" i="72"/>
  <c r="AF984" i="72"/>
  <c r="AF985" i="72"/>
  <c r="AF986" i="72"/>
  <c r="AF987" i="72"/>
  <c r="AF988" i="72"/>
  <c r="AF989" i="72"/>
  <c r="AF990" i="72"/>
  <c r="AF991" i="72"/>
  <c r="AF992" i="72"/>
  <c r="AF993" i="72"/>
  <c r="AF994" i="72"/>
  <c r="AF995" i="72"/>
  <c r="AF996" i="72"/>
  <c r="AF997" i="72"/>
  <c r="AF998" i="72"/>
  <c r="AF999" i="72"/>
  <c r="AF1000" i="72"/>
  <c r="AF1001" i="72"/>
  <c r="AF1002" i="72"/>
  <c r="AF1003" i="72"/>
  <c r="AF1004" i="72"/>
  <c r="AF1005" i="72"/>
  <c r="AF1006" i="72"/>
  <c r="AF1007" i="72"/>
  <c r="AF1008" i="72"/>
  <c r="AF1009" i="72"/>
  <c r="AF1010" i="72"/>
  <c r="AF1011" i="72"/>
  <c r="AF1012" i="72"/>
  <c r="AF1013" i="72"/>
  <c r="AF1014" i="72"/>
  <c r="AF1015" i="72"/>
  <c r="AF1016" i="72"/>
  <c r="AF1017" i="72"/>
  <c r="AF1018" i="72"/>
  <c r="AF1019" i="72"/>
  <c r="AF1020" i="72"/>
  <c r="AF1021" i="72"/>
  <c r="AF1022" i="72"/>
  <c r="AF1023" i="72"/>
  <c r="AF1024" i="72"/>
  <c r="AF1025" i="72"/>
  <c r="AF1026" i="72"/>
  <c r="AF1027" i="72"/>
  <c r="AF1028" i="72"/>
  <c r="AF1029" i="72"/>
  <c r="AF1030" i="72"/>
  <c r="AF1031" i="72"/>
  <c r="AF1032" i="72"/>
  <c r="AF1033" i="72"/>
  <c r="AF1034" i="72"/>
  <c r="AF1035" i="72"/>
  <c r="AF1036" i="72"/>
  <c r="AF1037" i="72"/>
  <c r="AF1038" i="72"/>
  <c r="AF1039" i="72"/>
  <c r="AF1040" i="72"/>
  <c r="AF1041" i="72"/>
  <c r="AF1042" i="72"/>
  <c r="AF1043" i="72"/>
  <c r="AF1044" i="72"/>
  <c r="AF1045" i="72"/>
  <c r="AF1046" i="72"/>
  <c r="AF1047" i="72"/>
  <c r="AF1048" i="72"/>
  <c r="AF1049" i="72"/>
  <c r="AF1050" i="72"/>
  <c r="AF1051" i="72"/>
  <c r="AF1052" i="72"/>
  <c r="AF1053" i="72"/>
  <c r="AF1054" i="72"/>
  <c r="AF1055" i="72"/>
  <c r="AF1056" i="72"/>
  <c r="AF1057" i="72"/>
  <c r="AF1058" i="72"/>
  <c r="AF1059" i="72"/>
  <c r="AF1060" i="72"/>
  <c r="AF1061" i="72"/>
  <c r="AF1062" i="72"/>
  <c r="AF1063" i="72"/>
  <c r="AF1064" i="72"/>
  <c r="AF1065" i="72"/>
  <c r="AF1066" i="72"/>
  <c r="AF1067" i="72"/>
  <c r="AF1068" i="72"/>
  <c r="AF1069" i="72"/>
  <c r="AF1070" i="72"/>
  <c r="AF1071" i="72"/>
  <c r="AF1072" i="72"/>
  <c r="AF1073" i="72"/>
  <c r="AF1074" i="72"/>
  <c r="AF1075" i="72"/>
  <c r="AF1076" i="72"/>
  <c r="AF1077" i="72"/>
  <c r="AF1078" i="72"/>
  <c r="AF1079" i="72"/>
  <c r="AF1080" i="72"/>
  <c r="AF1081" i="72"/>
  <c r="AF1082" i="72"/>
  <c r="AF1083" i="72"/>
  <c r="AF1084" i="72"/>
  <c r="AF1085" i="72"/>
  <c r="AF1086" i="72"/>
  <c r="AF1087" i="72"/>
  <c r="AF1088" i="72"/>
  <c r="AF1089" i="72"/>
  <c r="AF1090" i="72"/>
  <c r="AF1091" i="72"/>
  <c r="AF1092" i="72"/>
  <c r="AF1093" i="72"/>
  <c r="AF1094" i="72"/>
  <c r="AF1095" i="72"/>
  <c r="AF1096" i="72"/>
  <c r="AF1097" i="72"/>
  <c r="AF1098" i="72"/>
  <c r="AF1099" i="72"/>
  <c r="AF1100" i="72"/>
  <c r="AF1101" i="72"/>
  <c r="AF1102" i="72"/>
  <c r="AF1103" i="72"/>
  <c r="AF1104" i="72"/>
  <c r="AF1105" i="72"/>
  <c r="AF1106" i="72"/>
  <c r="AF1107" i="72"/>
  <c r="AF1108" i="72"/>
  <c r="AF1109" i="72"/>
  <c r="AF1110" i="72"/>
  <c r="AF1111" i="72"/>
  <c r="AF1112" i="72"/>
  <c r="AF1113" i="72"/>
  <c r="AF1114" i="72"/>
  <c r="AF1115" i="72"/>
  <c r="AF1116" i="72"/>
  <c r="AF1117" i="72"/>
  <c r="AF1118" i="72"/>
  <c r="AF1119" i="72"/>
  <c r="AF1120" i="72"/>
  <c r="AF1121" i="72"/>
  <c r="AF1122" i="72"/>
  <c r="AF1123" i="72"/>
  <c r="AF1124" i="72"/>
  <c r="AF1125" i="72"/>
  <c r="AF1126" i="72"/>
  <c r="AF1127" i="72"/>
  <c r="AF1128" i="72"/>
  <c r="AF1129" i="72"/>
  <c r="AF1130" i="72"/>
  <c r="AF1131" i="72"/>
  <c r="AF1132" i="72"/>
  <c r="AF1133" i="72"/>
  <c r="AF1134" i="72"/>
  <c r="AF1135" i="72"/>
  <c r="AF1136" i="72"/>
  <c r="AF1137" i="72"/>
  <c r="AF1138" i="72"/>
  <c r="AF1139" i="72"/>
  <c r="AF1140" i="72"/>
  <c r="AF1141" i="72"/>
  <c r="AF1142" i="72"/>
  <c r="AF1143" i="72"/>
  <c r="AF1144" i="72"/>
  <c r="AF1145" i="72"/>
  <c r="AF1146" i="72"/>
  <c r="AF1147" i="72"/>
  <c r="AF1148" i="72"/>
  <c r="AF1149" i="72"/>
  <c r="AF1150" i="72"/>
  <c r="AF1151" i="72"/>
  <c r="AF1152" i="72"/>
  <c r="AF1153" i="72"/>
  <c r="AF1154" i="72"/>
  <c r="AF1155" i="72"/>
  <c r="AF1156" i="72"/>
  <c r="AF1157" i="72"/>
  <c r="AF1158" i="72"/>
  <c r="AF1159" i="72"/>
  <c r="AF1160" i="72"/>
  <c r="AF1161" i="72"/>
  <c r="AF1162" i="72"/>
  <c r="AF1163" i="72"/>
  <c r="AF1164" i="72"/>
  <c r="AF1165" i="72"/>
  <c r="AF1166" i="72"/>
  <c r="AF1167" i="72"/>
  <c r="AF1168" i="72"/>
  <c r="AF1169" i="72"/>
  <c r="AF1170" i="72"/>
  <c r="AF1171" i="72"/>
  <c r="AF1172" i="72"/>
  <c r="AF1173" i="72"/>
  <c r="AF1174" i="72"/>
  <c r="AF1175" i="72"/>
  <c r="AF1176" i="72"/>
  <c r="AF1177" i="72"/>
  <c r="AF1178" i="72"/>
  <c r="AF1179" i="72"/>
  <c r="AF1180" i="72"/>
  <c r="AF1181" i="72"/>
  <c r="AF1182" i="72"/>
  <c r="AF1183" i="72"/>
  <c r="AF1184" i="72"/>
  <c r="AF1185" i="72"/>
  <c r="AF1186" i="72"/>
  <c r="AF1187" i="72"/>
  <c r="AF1188" i="72"/>
  <c r="AF1189" i="72"/>
  <c r="AF1190" i="72"/>
  <c r="AF1191" i="72"/>
  <c r="AF1192" i="72"/>
  <c r="AF1193" i="72"/>
  <c r="AF1194" i="72"/>
  <c r="AF1195" i="72"/>
  <c r="AF1196" i="72"/>
  <c r="AF1197" i="72"/>
  <c r="AF1198" i="72"/>
  <c r="AF1199" i="72"/>
  <c r="AF1200" i="72"/>
  <c r="AF1201" i="72"/>
  <c r="AF1202" i="72"/>
  <c r="AF1203" i="72"/>
  <c r="AF1204" i="72"/>
  <c r="AF1205" i="72"/>
  <c r="AF1206" i="72"/>
  <c r="AF1207" i="72"/>
  <c r="AF1208" i="72"/>
  <c r="AF1209" i="72"/>
  <c r="AF1210" i="72"/>
  <c r="AF1211" i="72"/>
  <c r="AF1212" i="72"/>
  <c r="AF1213" i="72"/>
  <c r="AF1214" i="72"/>
  <c r="AF1215" i="72"/>
  <c r="AF1216" i="72"/>
  <c r="AF1217" i="72"/>
  <c r="AF1218" i="72"/>
  <c r="AF1219" i="72"/>
  <c r="AF1220" i="72"/>
  <c r="AF1221" i="72"/>
  <c r="AF1222" i="72"/>
  <c r="AF1223" i="72"/>
  <c r="AF1224" i="72"/>
  <c r="AF1225" i="72"/>
  <c r="AF1226" i="72"/>
  <c r="AF1227" i="72"/>
  <c r="AF1228" i="72"/>
  <c r="AF1229" i="72"/>
  <c r="AF1230" i="72"/>
  <c r="AF1231" i="72"/>
  <c r="AF1232" i="72"/>
  <c r="AF1233" i="72"/>
  <c r="AF1234" i="72"/>
  <c r="AF1235" i="72"/>
  <c r="AF1236" i="72"/>
  <c r="AF1237" i="72"/>
  <c r="AF1238" i="72"/>
  <c r="AF1239" i="72"/>
  <c r="AF1240" i="72"/>
  <c r="AF1241" i="72"/>
  <c r="AF1242" i="72"/>
  <c r="AF1243" i="72"/>
  <c r="AF1244" i="72"/>
  <c r="AF1245" i="72"/>
  <c r="AF1246" i="72"/>
  <c r="AF1247" i="72"/>
  <c r="AF1248" i="72"/>
  <c r="AF1249" i="72"/>
  <c r="AF1250" i="72"/>
  <c r="AF1251" i="72"/>
  <c r="AF1252" i="72"/>
  <c r="AG501" i="72"/>
  <c r="AG502" i="72"/>
  <c r="AG503" i="72"/>
  <c r="AG504" i="72"/>
  <c r="AG505" i="72"/>
  <c r="AG506" i="72"/>
  <c r="AG507" i="72"/>
  <c r="AG508" i="72"/>
  <c r="AG509" i="72"/>
  <c r="AG510" i="72"/>
  <c r="AG511" i="72"/>
  <c r="AG512" i="72"/>
  <c r="AG513" i="72"/>
  <c r="AG514" i="72"/>
  <c r="AG515" i="72"/>
  <c r="AG516" i="72"/>
  <c r="AG517" i="72"/>
  <c r="AG518" i="72"/>
  <c r="AG519" i="72"/>
  <c r="AG520" i="72"/>
  <c r="AG521" i="72"/>
  <c r="AG522" i="72"/>
  <c r="AG523" i="72"/>
  <c r="AG524" i="72"/>
  <c r="AG525" i="72"/>
  <c r="AG526" i="72"/>
  <c r="AG527" i="72"/>
  <c r="AG528" i="72"/>
  <c r="AG529" i="72"/>
  <c r="AG530" i="72"/>
  <c r="AG531" i="72"/>
  <c r="AG532" i="72"/>
  <c r="AG533" i="72"/>
  <c r="AG534" i="72"/>
  <c r="AG535" i="72"/>
  <c r="AG536" i="72"/>
  <c r="AG537" i="72"/>
  <c r="AG538" i="72"/>
  <c r="AG539" i="72"/>
  <c r="AG540" i="72"/>
  <c r="AG541" i="72"/>
  <c r="AG542" i="72"/>
  <c r="AG543" i="72"/>
  <c r="AG544" i="72"/>
  <c r="AG545" i="72"/>
  <c r="AG546" i="72"/>
  <c r="AG547" i="72"/>
  <c r="AG548" i="72"/>
  <c r="AG549" i="72"/>
  <c r="AG550" i="72"/>
  <c r="AG551" i="72"/>
  <c r="AG552" i="72"/>
  <c r="AG553" i="72"/>
  <c r="AG554" i="72"/>
  <c r="AG555" i="72"/>
  <c r="AG556" i="72"/>
  <c r="AG557" i="72"/>
  <c r="AG558" i="72"/>
  <c r="AG559" i="72"/>
  <c r="AG560" i="72"/>
  <c r="AG561" i="72"/>
  <c r="AG562" i="72"/>
  <c r="AG563" i="72"/>
  <c r="AG564" i="72"/>
  <c r="AG565" i="72"/>
  <c r="AG566" i="72"/>
  <c r="AG567" i="72"/>
  <c r="AG568" i="72"/>
  <c r="AG569" i="72"/>
  <c r="AG570" i="72"/>
  <c r="AG571" i="72"/>
  <c r="AG572" i="72"/>
  <c r="AG573" i="72"/>
  <c r="AG574" i="72"/>
  <c r="AG575" i="72"/>
  <c r="AG576" i="72"/>
  <c r="AG577" i="72"/>
  <c r="AG578" i="72"/>
  <c r="AG579" i="72"/>
  <c r="AG580" i="72"/>
  <c r="AG581" i="72"/>
  <c r="AG582" i="72"/>
  <c r="AG583" i="72"/>
  <c r="AG584" i="72"/>
  <c r="AG585" i="72"/>
  <c r="AG586" i="72"/>
  <c r="AG587" i="72"/>
  <c r="AG588" i="72"/>
  <c r="AG589" i="72"/>
  <c r="AG590" i="72"/>
  <c r="AG591" i="72"/>
  <c r="AG592" i="72"/>
  <c r="AG593" i="72"/>
  <c r="AG594" i="72"/>
  <c r="AG595" i="72"/>
  <c r="AG596" i="72"/>
  <c r="AG597" i="72"/>
  <c r="AG598" i="72"/>
  <c r="AG599" i="72"/>
  <c r="AG600" i="72"/>
  <c r="AG601" i="72"/>
  <c r="AG602" i="72"/>
  <c r="AG603" i="72"/>
  <c r="AG604" i="72"/>
  <c r="AG605" i="72"/>
  <c r="AG606" i="72"/>
  <c r="AG607" i="72"/>
  <c r="AG608" i="72"/>
  <c r="AG609" i="72"/>
  <c r="AG610" i="72"/>
  <c r="AG611" i="72"/>
  <c r="AG612" i="72"/>
  <c r="AG613" i="72"/>
  <c r="AG614" i="72"/>
  <c r="AG615" i="72"/>
  <c r="AG616" i="72"/>
  <c r="AG617" i="72"/>
  <c r="AG618" i="72"/>
  <c r="AG619" i="72"/>
  <c r="AG620" i="72"/>
  <c r="AG621" i="72"/>
  <c r="AG622" i="72"/>
  <c r="AG623" i="72"/>
  <c r="AG624" i="72"/>
  <c r="AG625" i="72"/>
  <c r="AG626" i="72"/>
  <c r="AG627" i="72"/>
  <c r="AG628" i="72"/>
  <c r="AG629" i="72"/>
  <c r="AG630" i="72"/>
  <c r="AG631" i="72"/>
  <c r="AG632" i="72"/>
  <c r="AG633" i="72"/>
  <c r="AG634" i="72"/>
  <c r="AG635" i="72"/>
  <c r="AG636" i="72"/>
  <c r="AG637" i="72"/>
  <c r="AG638" i="72"/>
  <c r="AG639" i="72"/>
  <c r="AG640" i="72"/>
  <c r="AG641" i="72"/>
  <c r="AG642" i="72"/>
  <c r="AG643" i="72"/>
  <c r="AG644" i="72"/>
  <c r="AG645" i="72"/>
  <c r="AG646" i="72"/>
  <c r="AG647" i="72"/>
  <c r="AG648" i="72"/>
  <c r="AG649" i="72"/>
  <c r="AG650" i="72"/>
  <c r="AG651" i="72"/>
  <c r="AG652" i="72"/>
  <c r="AG653" i="72"/>
  <c r="AG654" i="72"/>
  <c r="AG655" i="72"/>
  <c r="AG656" i="72"/>
  <c r="AG657" i="72"/>
  <c r="AG658" i="72"/>
  <c r="AG659" i="72"/>
  <c r="AG660" i="72"/>
  <c r="AG661" i="72"/>
  <c r="AG662" i="72"/>
  <c r="AG663" i="72"/>
  <c r="AG664" i="72"/>
  <c r="AG665" i="72"/>
  <c r="AG666" i="72"/>
  <c r="AG667" i="72"/>
  <c r="AG668" i="72"/>
  <c r="AG669" i="72"/>
  <c r="AG670" i="72"/>
  <c r="AG671" i="72"/>
  <c r="AG672" i="72"/>
  <c r="AG673" i="72"/>
  <c r="AG674" i="72"/>
  <c r="AG675" i="72"/>
  <c r="AG676" i="72"/>
  <c r="AG677" i="72"/>
  <c r="AG678" i="72"/>
  <c r="AG679" i="72"/>
  <c r="AG680" i="72"/>
  <c r="AG681" i="72"/>
  <c r="AG682" i="72"/>
  <c r="AG683" i="72"/>
  <c r="AG684" i="72"/>
  <c r="AG685" i="72"/>
  <c r="AG686" i="72"/>
  <c r="AG687" i="72"/>
  <c r="AG688" i="72"/>
  <c r="AG689" i="72"/>
  <c r="AG690" i="72"/>
  <c r="AG691" i="72"/>
  <c r="AG692" i="72"/>
  <c r="AG693" i="72"/>
  <c r="AG694" i="72"/>
  <c r="AG695" i="72"/>
  <c r="AG696" i="72"/>
  <c r="AG697" i="72"/>
  <c r="AG698" i="72"/>
  <c r="AG699" i="72"/>
  <c r="AG700" i="72"/>
  <c r="AG701" i="72"/>
  <c r="AG702" i="72"/>
  <c r="AG703" i="72"/>
  <c r="AG704" i="72"/>
  <c r="AG705" i="72"/>
  <c r="AG706" i="72"/>
  <c r="AG707" i="72"/>
  <c r="AG708" i="72"/>
  <c r="AG709" i="72"/>
  <c r="AG710" i="72"/>
  <c r="AG711" i="72"/>
  <c r="AG712" i="72"/>
  <c r="AG713" i="72"/>
  <c r="AG714" i="72"/>
  <c r="AG715" i="72"/>
  <c r="AG716" i="72"/>
  <c r="AG717" i="72"/>
  <c r="AG718" i="72"/>
  <c r="AG719" i="72"/>
  <c r="AG720" i="72"/>
  <c r="AG721" i="72"/>
  <c r="AG722" i="72"/>
  <c r="AG723" i="72"/>
  <c r="AG724" i="72"/>
  <c r="AG725" i="72"/>
  <c r="AG726" i="72"/>
  <c r="AG727" i="72"/>
  <c r="AG728" i="72"/>
  <c r="AG729" i="72"/>
  <c r="AG730" i="72"/>
  <c r="AG731" i="72"/>
  <c r="AG732" i="72"/>
  <c r="AG733" i="72"/>
  <c r="AG734" i="72"/>
  <c r="AG735" i="72"/>
  <c r="AG736" i="72"/>
  <c r="AG737" i="72"/>
  <c r="AG738" i="72"/>
  <c r="AG739" i="72"/>
  <c r="AG740" i="72"/>
  <c r="AG741" i="72"/>
  <c r="AG742" i="72"/>
  <c r="AG743" i="72"/>
  <c r="AG744" i="72"/>
  <c r="AG745" i="72"/>
  <c r="AG746" i="72"/>
  <c r="AG747" i="72"/>
  <c r="AG748" i="72"/>
  <c r="AG749" i="72"/>
  <c r="AG750" i="72"/>
  <c r="AG751" i="72"/>
  <c r="AG752" i="72"/>
  <c r="AG753" i="72"/>
  <c r="AG754" i="72"/>
  <c r="AG755" i="72"/>
  <c r="AG756" i="72"/>
  <c r="AG757" i="72"/>
  <c r="AG758" i="72"/>
  <c r="AG759" i="72"/>
  <c r="AG760" i="72"/>
  <c r="AG761" i="72"/>
  <c r="AG762" i="72"/>
  <c r="AG763" i="72"/>
  <c r="AG764" i="72"/>
  <c r="AG765" i="72"/>
  <c r="AG766" i="72"/>
  <c r="AG767" i="72"/>
  <c r="AG768" i="72"/>
  <c r="AG769" i="72"/>
  <c r="AG770" i="72"/>
  <c r="AG771" i="72"/>
  <c r="AG772" i="72"/>
  <c r="AG773" i="72"/>
  <c r="AG774" i="72"/>
  <c r="AG775" i="72"/>
  <c r="AG776" i="72"/>
  <c r="AG777" i="72"/>
  <c r="AG778" i="72"/>
  <c r="AG779" i="72"/>
  <c r="AG780" i="72"/>
  <c r="AG781" i="72"/>
  <c r="AG782" i="72"/>
  <c r="AG783" i="72"/>
  <c r="AG784" i="72"/>
  <c r="AG785" i="72"/>
  <c r="AG786" i="72"/>
  <c r="AG787" i="72"/>
  <c r="AG788" i="72"/>
  <c r="AG789" i="72"/>
  <c r="AG790" i="72"/>
  <c r="AG791" i="72"/>
  <c r="AG792" i="72"/>
  <c r="AG793" i="72"/>
  <c r="AG794" i="72"/>
  <c r="AG795" i="72"/>
  <c r="AG796" i="72"/>
  <c r="AG797" i="72"/>
  <c r="AG798" i="72"/>
  <c r="AG799" i="72"/>
  <c r="AG800" i="72"/>
  <c r="AG801" i="72"/>
  <c r="AG802" i="72"/>
  <c r="AG803" i="72"/>
  <c r="AG804" i="72"/>
  <c r="AG805" i="72"/>
  <c r="AG806" i="72"/>
  <c r="AG807" i="72"/>
  <c r="AG808" i="72"/>
  <c r="AG809" i="72"/>
  <c r="AG810" i="72"/>
  <c r="AG811" i="72"/>
  <c r="AG812" i="72"/>
  <c r="AG813" i="72"/>
  <c r="AG814" i="72"/>
  <c r="AG815" i="72"/>
  <c r="AG816" i="72"/>
  <c r="AG817" i="72"/>
  <c r="AG818" i="72"/>
  <c r="AG819" i="72"/>
  <c r="AG820" i="72"/>
  <c r="AG821" i="72"/>
  <c r="AG822" i="72"/>
  <c r="AG823" i="72"/>
  <c r="AG824" i="72"/>
  <c r="AG825" i="72"/>
  <c r="AG826" i="72"/>
  <c r="AG827" i="72"/>
  <c r="AG828" i="72"/>
  <c r="AG829" i="72"/>
  <c r="AG830" i="72"/>
  <c r="AG831" i="72"/>
  <c r="AG832" i="72"/>
  <c r="AG833" i="72"/>
  <c r="AG834" i="72"/>
  <c r="AG835" i="72"/>
  <c r="AG836" i="72"/>
  <c r="AG837" i="72"/>
  <c r="AG838" i="72"/>
  <c r="AG839" i="72"/>
  <c r="AG840" i="72"/>
  <c r="AG841" i="72"/>
  <c r="AG842" i="72"/>
  <c r="AG843" i="72"/>
  <c r="AG844" i="72"/>
  <c r="AG845" i="72"/>
  <c r="AG846" i="72"/>
  <c r="AG847" i="72"/>
  <c r="AG848" i="72"/>
  <c r="AG849" i="72"/>
  <c r="AG850" i="72"/>
  <c r="AG851" i="72"/>
  <c r="AG852" i="72"/>
  <c r="AG853" i="72"/>
  <c r="AG854" i="72"/>
  <c r="AG855" i="72"/>
  <c r="AG856" i="72"/>
  <c r="AG857" i="72"/>
  <c r="AG858" i="72"/>
  <c r="AG859" i="72"/>
  <c r="AG860" i="72"/>
  <c r="AG861" i="72"/>
  <c r="AG862" i="72"/>
  <c r="AG863" i="72"/>
  <c r="AG864" i="72"/>
  <c r="AG865" i="72"/>
  <c r="AG866" i="72"/>
  <c r="AG867" i="72"/>
  <c r="AG868" i="72"/>
  <c r="AG869" i="72"/>
  <c r="AG870" i="72"/>
  <c r="AG871" i="72"/>
  <c r="AG872" i="72"/>
  <c r="AG873" i="72"/>
  <c r="AG874" i="72"/>
  <c r="AG875" i="72"/>
  <c r="AG876" i="72"/>
  <c r="AG877" i="72"/>
  <c r="AG878" i="72"/>
  <c r="AG879" i="72"/>
  <c r="AG880" i="72"/>
  <c r="AG881" i="72"/>
  <c r="AG882" i="72"/>
  <c r="AG883" i="72"/>
  <c r="AG884" i="72"/>
  <c r="AG885" i="72"/>
  <c r="AG886" i="72"/>
  <c r="AG887" i="72"/>
  <c r="AG888" i="72"/>
  <c r="AG889" i="72"/>
  <c r="AG890" i="72"/>
  <c r="AG891" i="72"/>
  <c r="AG892" i="72"/>
  <c r="AG893" i="72"/>
  <c r="AG894" i="72"/>
  <c r="AG895" i="72"/>
  <c r="AG896" i="72"/>
  <c r="AG897" i="72"/>
  <c r="AG898" i="72"/>
  <c r="AG899" i="72"/>
  <c r="AG900" i="72"/>
  <c r="AG901" i="72"/>
  <c r="AG902" i="72"/>
  <c r="AG903" i="72"/>
  <c r="AG904" i="72"/>
  <c r="AG905" i="72"/>
  <c r="AG906" i="72"/>
  <c r="AG907" i="72"/>
  <c r="AG908" i="72"/>
  <c r="AG909" i="72"/>
  <c r="AG910" i="72"/>
  <c r="AG911" i="72"/>
  <c r="AG912" i="72"/>
  <c r="AG913" i="72"/>
  <c r="AG914" i="72"/>
  <c r="AG915" i="72"/>
  <c r="AG916" i="72"/>
  <c r="AG917" i="72"/>
  <c r="AG918" i="72"/>
  <c r="AG919" i="72"/>
  <c r="AG920" i="72"/>
  <c r="AG921" i="72"/>
  <c r="AG922" i="72"/>
  <c r="AG923" i="72"/>
  <c r="AG924" i="72"/>
  <c r="AG925" i="72"/>
  <c r="AG926" i="72"/>
  <c r="AG927" i="72"/>
  <c r="AG928" i="72"/>
  <c r="AG929" i="72"/>
  <c r="AG930" i="72"/>
  <c r="AG931" i="72"/>
  <c r="AG932" i="72"/>
  <c r="AG933" i="72"/>
  <c r="AG934" i="72"/>
  <c r="AG935" i="72"/>
  <c r="AG936" i="72"/>
  <c r="AG937" i="72"/>
  <c r="AG938" i="72"/>
  <c r="AG939" i="72"/>
  <c r="AG940" i="72"/>
  <c r="AG941" i="72"/>
  <c r="AG942" i="72"/>
  <c r="AG943" i="72"/>
  <c r="AG944" i="72"/>
  <c r="AG945" i="72"/>
  <c r="AG946" i="72"/>
  <c r="AG947" i="72"/>
  <c r="AG948" i="72"/>
  <c r="AG949" i="72"/>
  <c r="AG950" i="72"/>
  <c r="AG951" i="72"/>
  <c r="AG952" i="72"/>
  <c r="AG953" i="72"/>
  <c r="AG954" i="72"/>
  <c r="AG955" i="72"/>
  <c r="AG956" i="72"/>
  <c r="AG957" i="72"/>
  <c r="AG958" i="72"/>
  <c r="AG959" i="72"/>
  <c r="AG960" i="72"/>
  <c r="AG961" i="72"/>
  <c r="AG962" i="72"/>
  <c r="AG963" i="72"/>
  <c r="AG964" i="72"/>
  <c r="AG965" i="72"/>
  <c r="AG966" i="72"/>
  <c r="AG967" i="72"/>
  <c r="AG968" i="72"/>
  <c r="AG969" i="72"/>
  <c r="AG970" i="72"/>
  <c r="AG971" i="72"/>
  <c r="AG972" i="72"/>
  <c r="AG973" i="72"/>
  <c r="AG974" i="72"/>
  <c r="AG975" i="72"/>
  <c r="AG976" i="72"/>
  <c r="AG977" i="72"/>
  <c r="AG978" i="72"/>
  <c r="AG979" i="72"/>
  <c r="AG980" i="72"/>
  <c r="AG981" i="72"/>
  <c r="AG982" i="72"/>
  <c r="AG983" i="72"/>
  <c r="AG984" i="72"/>
  <c r="AG985" i="72"/>
  <c r="AG986" i="72"/>
  <c r="AG987" i="72"/>
  <c r="AG988" i="72"/>
  <c r="AG989" i="72"/>
  <c r="AG990" i="72"/>
  <c r="AG991" i="72"/>
  <c r="AG992" i="72"/>
  <c r="AG993" i="72"/>
  <c r="AG994" i="72"/>
  <c r="AG995" i="72"/>
  <c r="AG996" i="72"/>
  <c r="AG997" i="72"/>
  <c r="AG998" i="72"/>
  <c r="AG999" i="72"/>
  <c r="AG1000" i="72"/>
  <c r="AG1001" i="72"/>
  <c r="AG1002" i="72"/>
  <c r="AG1003" i="72"/>
  <c r="AG1004" i="72"/>
  <c r="AG1005" i="72"/>
  <c r="AG1006" i="72"/>
  <c r="AG1007" i="72"/>
  <c r="AG1008" i="72"/>
  <c r="AG1009" i="72"/>
  <c r="AG1010" i="72"/>
  <c r="AG1011" i="72"/>
  <c r="AG1012" i="72"/>
  <c r="AG1013" i="72"/>
  <c r="AG1014" i="72"/>
  <c r="AG1015" i="72"/>
  <c r="AG1016" i="72"/>
  <c r="AG1017" i="72"/>
  <c r="AG1018" i="72"/>
  <c r="AG1019" i="72"/>
  <c r="AG1020" i="72"/>
  <c r="AG1021" i="72"/>
  <c r="AG1022" i="72"/>
  <c r="AG1023" i="72"/>
  <c r="AG1024" i="72"/>
  <c r="AG1025" i="72"/>
  <c r="AG1026" i="72"/>
  <c r="AG1027" i="72"/>
  <c r="AG1028" i="72"/>
  <c r="AG1029" i="72"/>
  <c r="AG1030" i="72"/>
  <c r="AG1031" i="72"/>
  <c r="AG1032" i="72"/>
  <c r="AG1033" i="72"/>
  <c r="AG1034" i="72"/>
  <c r="AG1035" i="72"/>
  <c r="AG1036" i="72"/>
  <c r="AG1037" i="72"/>
  <c r="AG1038" i="72"/>
  <c r="AG1039" i="72"/>
  <c r="AG1040" i="72"/>
  <c r="AG1041" i="72"/>
  <c r="AG1042" i="72"/>
  <c r="AG1043" i="72"/>
  <c r="AG1044" i="72"/>
  <c r="AG1045" i="72"/>
  <c r="AG1046" i="72"/>
  <c r="AG1047" i="72"/>
  <c r="AG1048" i="72"/>
  <c r="AG1049" i="72"/>
  <c r="AG1050" i="72"/>
  <c r="AG1051" i="72"/>
  <c r="AG1052" i="72"/>
  <c r="AG1053" i="72"/>
  <c r="AG1054" i="72"/>
  <c r="AG1055" i="72"/>
  <c r="AG1056" i="72"/>
  <c r="AG1057" i="72"/>
  <c r="AG1058" i="72"/>
  <c r="AG1059" i="72"/>
  <c r="AG1060" i="72"/>
  <c r="AG1061" i="72"/>
  <c r="AG1062" i="72"/>
  <c r="AG1063" i="72"/>
  <c r="AG1064" i="72"/>
  <c r="AG1065" i="72"/>
  <c r="AG1066" i="72"/>
  <c r="AG1067" i="72"/>
  <c r="AG1068" i="72"/>
  <c r="AG1069" i="72"/>
  <c r="AG1070" i="72"/>
  <c r="AG1071" i="72"/>
  <c r="AG1072" i="72"/>
  <c r="AG1073" i="72"/>
  <c r="AG1074" i="72"/>
  <c r="AG1075" i="72"/>
  <c r="AG1076" i="72"/>
  <c r="AG1077" i="72"/>
  <c r="AG1078" i="72"/>
  <c r="AG1079" i="72"/>
  <c r="AG1080" i="72"/>
  <c r="AG1081" i="72"/>
  <c r="AG1082" i="72"/>
  <c r="AG1083" i="72"/>
  <c r="AG1084" i="72"/>
  <c r="AG1085" i="72"/>
  <c r="AG1086" i="72"/>
  <c r="AG1087" i="72"/>
  <c r="AG1088" i="72"/>
  <c r="AG1089" i="72"/>
  <c r="AG1090" i="72"/>
  <c r="AG1091" i="72"/>
  <c r="AG1092" i="72"/>
  <c r="AG1093" i="72"/>
  <c r="AG1094" i="72"/>
  <c r="AG1095" i="72"/>
  <c r="AG1096" i="72"/>
  <c r="AG1097" i="72"/>
  <c r="AG1098" i="72"/>
  <c r="AG1099" i="72"/>
  <c r="AG1100" i="72"/>
  <c r="AG1101" i="72"/>
  <c r="AG1102" i="72"/>
  <c r="AG1103" i="72"/>
  <c r="AG1104" i="72"/>
  <c r="AG1105" i="72"/>
  <c r="AG1106" i="72"/>
  <c r="AG1107" i="72"/>
  <c r="AG1108" i="72"/>
  <c r="AG1109" i="72"/>
  <c r="AG1110" i="72"/>
  <c r="AG1111" i="72"/>
  <c r="AG1112" i="72"/>
  <c r="AG1113" i="72"/>
  <c r="AG1114" i="72"/>
  <c r="AG1115" i="72"/>
  <c r="AG1116" i="72"/>
  <c r="AG1117" i="72"/>
  <c r="AG1118" i="72"/>
  <c r="AG1119" i="72"/>
  <c r="AG1120" i="72"/>
  <c r="AG1121" i="72"/>
  <c r="AG1122" i="72"/>
  <c r="AG1123" i="72"/>
  <c r="AG1124" i="72"/>
  <c r="AG1125" i="72"/>
  <c r="AG1126" i="72"/>
  <c r="AG1127" i="72"/>
  <c r="AG1128" i="72"/>
  <c r="AG1129" i="72"/>
  <c r="AG1130" i="72"/>
  <c r="AG1131" i="72"/>
  <c r="AG1132" i="72"/>
  <c r="AG1133" i="72"/>
  <c r="AG1134" i="72"/>
  <c r="AG1135" i="72"/>
  <c r="AG1136" i="72"/>
  <c r="AG1137" i="72"/>
  <c r="AG1138" i="72"/>
  <c r="AG1139" i="72"/>
  <c r="AG1140" i="72"/>
  <c r="AG1141" i="72"/>
  <c r="AG1142" i="72"/>
  <c r="AG1143" i="72"/>
  <c r="AG1144" i="72"/>
  <c r="AG1145" i="72"/>
  <c r="AG1146" i="72"/>
  <c r="AG1147" i="72"/>
  <c r="AG1148" i="72"/>
  <c r="AG1149" i="72"/>
  <c r="AG1150" i="72"/>
  <c r="AG1151" i="72"/>
  <c r="AG1152" i="72"/>
  <c r="AG1153" i="72"/>
  <c r="AG1154" i="72"/>
  <c r="AG1155" i="72"/>
  <c r="AG1156" i="72"/>
  <c r="AG1157" i="72"/>
  <c r="AG1158" i="72"/>
  <c r="AG1159" i="72"/>
  <c r="AG1160" i="72"/>
  <c r="AG1161" i="72"/>
  <c r="AG1162" i="72"/>
  <c r="AG1163" i="72"/>
  <c r="AG1164" i="72"/>
  <c r="AG1165" i="72"/>
  <c r="AG1166" i="72"/>
  <c r="AG1167" i="72"/>
  <c r="AG1168" i="72"/>
  <c r="AG1169" i="72"/>
  <c r="AG1170" i="72"/>
  <c r="AG1171" i="72"/>
  <c r="AG1172" i="72"/>
  <c r="AG1173" i="72"/>
  <c r="AG1174" i="72"/>
  <c r="AG1175" i="72"/>
  <c r="AG1176" i="72"/>
  <c r="AG1177" i="72"/>
  <c r="AG1178" i="72"/>
  <c r="AG1179" i="72"/>
  <c r="AG1180" i="72"/>
  <c r="AG1181" i="72"/>
  <c r="AG1182" i="72"/>
  <c r="AG1183" i="72"/>
  <c r="AG1184" i="72"/>
  <c r="AG1185" i="72"/>
  <c r="AG1186" i="72"/>
  <c r="AG1187" i="72"/>
  <c r="AG1188" i="72"/>
  <c r="AG1189" i="72"/>
  <c r="AG1190" i="72"/>
  <c r="AG1191" i="72"/>
  <c r="AG1192" i="72"/>
  <c r="AG1193" i="72"/>
  <c r="AG1194" i="72"/>
  <c r="AG1195" i="72"/>
  <c r="AG1196" i="72"/>
  <c r="AG1197" i="72"/>
  <c r="AG1198" i="72"/>
  <c r="AG1199" i="72"/>
  <c r="AG1200" i="72"/>
  <c r="AG1201" i="72"/>
  <c r="AG1202" i="72"/>
  <c r="AG1203" i="72"/>
  <c r="AG1204" i="72"/>
  <c r="AG1205" i="72"/>
  <c r="AG1206" i="72"/>
  <c r="AG1207" i="72"/>
  <c r="AG1208" i="72"/>
  <c r="AG1209" i="72"/>
  <c r="AG1210" i="72"/>
  <c r="AG1211" i="72"/>
  <c r="AG1212" i="72"/>
  <c r="AG1213" i="72"/>
  <c r="AG1214" i="72"/>
  <c r="AG1215" i="72"/>
  <c r="AG1216" i="72"/>
  <c r="AG1217" i="72"/>
  <c r="AG1218" i="72"/>
  <c r="AG1219" i="72"/>
  <c r="AG1220" i="72"/>
  <c r="AG1221" i="72"/>
  <c r="AG1222" i="72"/>
  <c r="AG1223" i="72"/>
  <c r="AG1224" i="72"/>
  <c r="AG1225" i="72"/>
  <c r="AG1226" i="72"/>
  <c r="AG1227" i="72"/>
  <c r="AG1228" i="72"/>
  <c r="AG1229" i="72"/>
  <c r="AG1230" i="72"/>
  <c r="AG1231" i="72"/>
  <c r="AG1232" i="72"/>
  <c r="AG1233" i="72"/>
  <c r="AG1234" i="72"/>
  <c r="AG1235" i="72"/>
  <c r="AG1236" i="72"/>
  <c r="AG1237" i="72"/>
  <c r="AG1238" i="72"/>
  <c r="AG1239" i="72"/>
  <c r="AG1240" i="72"/>
  <c r="AG1241" i="72"/>
  <c r="AG1242" i="72"/>
  <c r="AG1243" i="72"/>
  <c r="AG1244" i="72"/>
  <c r="AG1245" i="72"/>
  <c r="AG1246" i="72"/>
  <c r="AG1247" i="72"/>
  <c r="AG1248" i="72"/>
  <c r="AG1249" i="72"/>
  <c r="AG1250" i="72"/>
  <c r="AG1251" i="72"/>
  <c r="AG1252" i="72"/>
  <c r="AH501" i="72"/>
  <c r="AH502" i="72"/>
  <c r="AH503" i="72"/>
  <c r="AH504" i="72"/>
  <c r="AH505" i="72"/>
  <c r="AH506" i="72"/>
  <c r="AH507" i="72"/>
  <c r="AH508" i="72"/>
  <c r="AH509" i="72"/>
  <c r="AH510" i="72"/>
  <c r="AH511" i="72"/>
  <c r="AH512" i="72"/>
  <c r="AH513" i="72"/>
  <c r="AH514" i="72"/>
  <c r="AH515" i="72"/>
  <c r="AH516" i="72"/>
  <c r="AH517" i="72"/>
  <c r="AH518" i="72"/>
  <c r="AH519" i="72"/>
  <c r="AH520" i="72"/>
  <c r="AH521" i="72"/>
  <c r="AH522" i="72"/>
  <c r="AH523" i="72"/>
  <c r="AH524" i="72"/>
  <c r="AH525" i="72"/>
  <c r="AH526" i="72"/>
  <c r="AH527" i="72"/>
  <c r="AH528" i="72"/>
  <c r="AH529" i="72"/>
  <c r="AH530" i="72"/>
  <c r="AH531" i="72"/>
  <c r="AH532" i="72"/>
  <c r="AH533" i="72"/>
  <c r="AH534" i="72"/>
  <c r="AH535" i="72"/>
  <c r="AH536" i="72"/>
  <c r="AH537" i="72"/>
  <c r="AH538" i="72"/>
  <c r="AH539" i="72"/>
  <c r="AH540" i="72"/>
  <c r="AH541" i="72"/>
  <c r="AH542" i="72"/>
  <c r="AH543" i="72"/>
  <c r="AH544" i="72"/>
  <c r="AH545" i="72"/>
  <c r="AH546" i="72"/>
  <c r="AH547" i="72"/>
  <c r="AH548" i="72"/>
  <c r="AH549" i="72"/>
  <c r="AH550" i="72"/>
  <c r="AH551" i="72"/>
  <c r="AH552" i="72"/>
  <c r="AH553" i="72"/>
  <c r="AH554" i="72"/>
  <c r="AH555" i="72"/>
  <c r="AH556" i="72"/>
  <c r="AH557" i="72"/>
  <c r="AH558" i="72"/>
  <c r="AH559" i="72"/>
  <c r="AH560" i="72"/>
  <c r="AH561" i="72"/>
  <c r="AH562" i="72"/>
  <c r="AH563" i="72"/>
  <c r="AH564" i="72"/>
  <c r="AH565" i="72"/>
  <c r="AH566" i="72"/>
  <c r="AH567" i="72"/>
  <c r="AH568" i="72"/>
  <c r="AH569" i="72"/>
  <c r="AH570" i="72"/>
  <c r="AH571" i="72"/>
  <c r="AH572" i="72"/>
  <c r="AH573" i="72"/>
  <c r="AH574" i="72"/>
  <c r="AH575" i="72"/>
  <c r="AH576" i="72"/>
  <c r="AH577" i="72"/>
  <c r="AH578" i="72"/>
  <c r="AH579" i="72"/>
  <c r="AH580" i="72"/>
  <c r="AH581" i="72"/>
  <c r="AH582" i="72"/>
  <c r="AH583" i="72"/>
  <c r="AH584" i="72"/>
  <c r="AH585" i="72"/>
  <c r="AH586" i="72"/>
  <c r="AH587" i="72"/>
  <c r="AH588" i="72"/>
  <c r="AH589" i="72"/>
  <c r="AH590" i="72"/>
  <c r="AH591" i="72"/>
  <c r="AH592" i="72"/>
  <c r="AH593" i="72"/>
  <c r="AH594" i="72"/>
  <c r="AH595" i="72"/>
  <c r="AH596" i="72"/>
  <c r="AH597" i="72"/>
  <c r="AH598" i="72"/>
  <c r="AH599" i="72"/>
  <c r="AH600" i="72"/>
  <c r="AH601" i="72"/>
  <c r="AH602" i="72"/>
  <c r="AH603" i="72"/>
  <c r="AH604" i="72"/>
  <c r="AH605" i="72"/>
  <c r="AH606" i="72"/>
  <c r="AH607" i="72"/>
  <c r="AH608" i="72"/>
  <c r="AH609" i="72"/>
  <c r="AH610" i="72"/>
  <c r="AH611" i="72"/>
  <c r="AH612" i="72"/>
  <c r="AH613" i="72"/>
  <c r="AH614" i="72"/>
  <c r="AH615" i="72"/>
  <c r="AH616" i="72"/>
  <c r="AH617" i="72"/>
  <c r="AH618" i="72"/>
  <c r="AH619" i="72"/>
  <c r="AH620" i="72"/>
  <c r="AH621" i="72"/>
  <c r="AH622" i="72"/>
  <c r="AH623" i="72"/>
  <c r="AH624" i="72"/>
  <c r="AH625" i="72"/>
  <c r="AH626" i="72"/>
  <c r="AH627" i="72"/>
  <c r="AH628" i="72"/>
  <c r="AH629" i="72"/>
  <c r="AH630" i="72"/>
  <c r="AH631" i="72"/>
  <c r="AH632" i="72"/>
  <c r="AH633" i="72"/>
  <c r="AH634" i="72"/>
  <c r="AH635" i="72"/>
  <c r="AH636" i="72"/>
  <c r="AH637" i="72"/>
  <c r="AH638" i="72"/>
  <c r="AH639" i="72"/>
  <c r="AH640" i="72"/>
  <c r="AH641" i="72"/>
  <c r="AH642" i="72"/>
  <c r="AH643" i="72"/>
  <c r="AH644" i="72"/>
  <c r="AH645" i="72"/>
  <c r="AH646" i="72"/>
  <c r="AH647" i="72"/>
  <c r="AH648" i="72"/>
  <c r="AH649" i="72"/>
  <c r="AH650" i="72"/>
  <c r="AH651" i="72"/>
  <c r="AH652" i="72"/>
  <c r="AH653" i="72"/>
  <c r="AH654" i="72"/>
  <c r="AH655" i="72"/>
  <c r="AH656" i="72"/>
  <c r="AH657" i="72"/>
  <c r="AH658" i="72"/>
  <c r="AH659" i="72"/>
  <c r="AH660" i="72"/>
  <c r="AH661" i="72"/>
  <c r="AH662" i="72"/>
  <c r="AH663" i="72"/>
  <c r="AH664" i="72"/>
  <c r="AH665" i="72"/>
  <c r="AH666" i="72"/>
  <c r="AH667" i="72"/>
  <c r="AH668" i="72"/>
  <c r="AH669" i="72"/>
  <c r="AH670" i="72"/>
  <c r="AH671" i="72"/>
  <c r="AH672" i="72"/>
  <c r="AH673" i="72"/>
  <c r="AH674" i="72"/>
  <c r="AH675" i="72"/>
  <c r="AH676" i="72"/>
  <c r="AH677" i="72"/>
  <c r="AH678" i="72"/>
  <c r="AH679" i="72"/>
  <c r="AH680" i="72"/>
  <c r="AH681" i="72"/>
  <c r="AH682" i="72"/>
  <c r="AH683" i="72"/>
  <c r="AH684" i="72"/>
  <c r="AH685" i="72"/>
  <c r="AH686" i="72"/>
  <c r="AH687" i="72"/>
  <c r="AH688" i="72"/>
  <c r="AH689" i="72"/>
  <c r="AH690" i="72"/>
  <c r="AH691" i="72"/>
  <c r="AH692" i="72"/>
  <c r="AH693" i="72"/>
  <c r="AH694" i="72"/>
  <c r="AH695" i="72"/>
  <c r="AH696" i="72"/>
  <c r="AH697" i="72"/>
  <c r="AH698" i="72"/>
  <c r="AH699" i="72"/>
  <c r="AH700" i="72"/>
  <c r="AH701" i="72"/>
  <c r="AH702" i="72"/>
  <c r="AH703" i="72"/>
  <c r="AH704" i="72"/>
  <c r="AH705" i="72"/>
  <c r="AH706" i="72"/>
  <c r="AH707" i="72"/>
  <c r="AH708" i="72"/>
  <c r="AH709" i="72"/>
  <c r="AH710" i="72"/>
  <c r="AH711" i="72"/>
  <c r="AH712" i="72"/>
  <c r="AH713" i="72"/>
  <c r="AH714" i="72"/>
  <c r="AH715" i="72"/>
  <c r="AH716" i="72"/>
  <c r="AH717" i="72"/>
  <c r="AH718" i="72"/>
  <c r="AH719" i="72"/>
  <c r="AH720" i="72"/>
  <c r="AH721" i="72"/>
  <c r="AH722" i="72"/>
  <c r="AH723" i="72"/>
  <c r="AH724" i="72"/>
  <c r="AH725" i="72"/>
  <c r="AH726" i="72"/>
  <c r="AH727" i="72"/>
  <c r="AH728" i="72"/>
  <c r="AH729" i="72"/>
  <c r="AH730" i="72"/>
  <c r="AH731" i="72"/>
  <c r="AH732" i="72"/>
  <c r="AH733" i="72"/>
  <c r="AH734" i="72"/>
  <c r="AH735" i="72"/>
  <c r="AH736" i="72"/>
  <c r="AH737" i="72"/>
  <c r="AH738" i="72"/>
  <c r="AH739" i="72"/>
  <c r="AH740" i="72"/>
  <c r="AH741" i="72"/>
  <c r="AH742" i="72"/>
  <c r="AH743" i="72"/>
  <c r="AH744" i="72"/>
  <c r="AH745" i="72"/>
  <c r="AH746" i="72"/>
  <c r="AH747" i="72"/>
  <c r="AH748" i="72"/>
  <c r="AH749" i="72"/>
  <c r="AH750" i="72"/>
  <c r="AH751" i="72"/>
  <c r="AH752" i="72"/>
  <c r="AH753" i="72"/>
  <c r="AH754" i="72"/>
  <c r="AH755" i="72"/>
  <c r="AH756" i="72"/>
  <c r="AH757" i="72"/>
  <c r="AH758" i="72"/>
  <c r="AH759" i="72"/>
  <c r="AH760" i="72"/>
  <c r="AH761" i="72"/>
  <c r="AH762" i="72"/>
  <c r="AH763" i="72"/>
  <c r="AH764" i="72"/>
  <c r="AH765" i="72"/>
  <c r="AH766" i="72"/>
  <c r="AH767" i="72"/>
  <c r="AH768" i="72"/>
  <c r="AH769" i="72"/>
  <c r="AH770" i="72"/>
  <c r="AH771" i="72"/>
  <c r="AH772" i="72"/>
  <c r="AH773" i="72"/>
  <c r="AH774" i="72"/>
  <c r="AH775" i="72"/>
  <c r="AH776" i="72"/>
  <c r="AH777" i="72"/>
  <c r="AH778" i="72"/>
  <c r="AH779" i="72"/>
  <c r="AH780" i="72"/>
  <c r="AH781" i="72"/>
  <c r="AH782" i="72"/>
  <c r="AH783" i="72"/>
  <c r="AH784" i="72"/>
  <c r="AH785" i="72"/>
  <c r="AH786" i="72"/>
  <c r="AH787" i="72"/>
  <c r="AH788" i="72"/>
  <c r="AH789" i="72"/>
  <c r="AH790" i="72"/>
  <c r="AH791" i="72"/>
  <c r="AH792" i="72"/>
  <c r="AH793" i="72"/>
  <c r="AH794" i="72"/>
  <c r="AH795" i="72"/>
  <c r="AH796" i="72"/>
  <c r="AH797" i="72"/>
  <c r="AH798" i="72"/>
  <c r="AH799" i="72"/>
  <c r="AH800" i="72"/>
  <c r="AH801" i="72"/>
  <c r="AH802" i="72"/>
  <c r="AH803" i="72"/>
  <c r="AH804" i="72"/>
  <c r="AH805" i="72"/>
  <c r="AH806" i="72"/>
  <c r="AH807" i="72"/>
  <c r="AH808" i="72"/>
  <c r="AH809" i="72"/>
  <c r="AH810" i="72"/>
  <c r="AH811" i="72"/>
  <c r="AH812" i="72"/>
  <c r="AH813" i="72"/>
  <c r="AH814" i="72"/>
  <c r="AH815" i="72"/>
  <c r="AH816" i="72"/>
  <c r="AH817" i="72"/>
  <c r="AH818" i="72"/>
  <c r="AH819" i="72"/>
  <c r="AH820" i="72"/>
  <c r="AH821" i="72"/>
  <c r="AH822" i="72"/>
  <c r="AH823" i="72"/>
  <c r="AH824" i="72"/>
  <c r="AH825" i="72"/>
  <c r="AH826" i="72"/>
  <c r="AH827" i="72"/>
  <c r="AH828" i="72"/>
  <c r="AH829" i="72"/>
  <c r="AH830" i="72"/>
  <c r="AH831" i="72"/>
  <c r="AH832" i="72"/>
  <c r="AH833" i="72"/>
  <c r="AH834" i="72"/>
  <c r="AH835" i="72"/>
  <c r="AH836" i="72"/>
  <c r="AH837" i="72"/>
  <c r="AH838" i="72"/>
  <c r="AH839" i="72"/>
  <c r="AH840" i="72"/>
  <c r="AH841" i="72"/>
  <c r="AH842" i="72"/>
  <c r="AH843" i="72"/>
  <c r="AH844" i="72"/>
  <c r="AH845" i="72"/>
  <c r="AH846" i="72"/>
  <c r="AH847" i="72"/>
  <c r="AH848" i="72"/>
  <c r="AH849" i="72"/>
  <c r="AH850" i="72"/>
  <c r="AH851" i="72"/>
  <c r="AH852" i="72"/>
  <c r="AH853" i="72"/>
  <c r="AH854" i="72"/>
  <c r="AH855" i="72"/>
  <c r="AH856" i="72"/>
  <c r="AH857" i="72"/>
  <c r="AH858" i="72"/>
  <c r="AH859" i="72"/>
  <c r="AH860" i="72"/>
  <c r="AH861" i="72"/>
  <c r="AH862" i="72"/>
  <c r="AH863" i="72"/>
  <c r="AH864" i="72"/>
  <c r="AH865" i="72"/>
  <c r="AH866" i="72"/>
  <c r="AH867" i="72"/>
  <c r="AH868" i="72"/>
  <c r="AH869" i="72"/>
  <c r="AH870" i="72"/>
  <c r="AH871" i="72"/>
  <c r="AH872" i="72"/>
  <c r="AH873" i="72"/>
  <c r="AH874" i="72"/>
  <c r="AH875" i="72"/>
  <c r="AH876" i="72"/>
  <c r="AH877" i="72"/>
  <c r="AH878" i="72"/>
  <c r="AH879" i="72"/>
  <c r="AH880" i="72"/>
  <c r="AH881" i="72"/>
  <c r="AH882" i="72"/>
  <c r="AH883" i="72"/>
  <c r="AH884" i="72"/>
  <c r="AH885" i="72"/>
  <c r="AH886" i="72"/>
  <c r="AH887" i="72"/>
  <c r="AH888" i="72"/>
  <c r="AH889" i="72"/>
  <c r="AH890" i="72"/>
  <c r="AH891" i="72"/>
  <c r="AH892" i="72"/>
  <c r="AH893" i="72"/>
  <c r="AH894" i="72"/>
  <c r="AH895" i="72"/>
  <c r="AH896" i="72"/>
  <c r="AH897" i="72"/>
  <c r="AH898" i="72"/>
  <c r="AH899" i="72"/>
  <c r="AH900" i="72"/>
  <c r="AH901" i="72"/>
  <c r="AH902" i="72"/>
  <c r="AH903" i="72"/>
  <c r="AH904" i="72"/>
  <c r="AH905" i="72"/>
  <c r="AH906" i="72"/>
  <c r="AH907" i="72"/>
  <c r="AH908" i="72"/>
  <c r="AH909" i="72"/>
  <c r="AH910" i="72"/>
  <c r="AH911" i="72"/>
  <c r="AH912" i="72"/>
  <c r="AH913" i="72"/>
  <c r="AH914" i="72"/>
  <c r="AH915" i="72"/>
  <c r="AH916" i="72"/>
  <c r="AH917" i="72"/>
  <c r="AH918" i="72"/>
  <c r="AH919" i="72"/>
  <c r="AH920" i="72"/>
  <c r="AH921" i="72"/>
  <c r="AH922" i="72"/>
  <c r="AH923" i="72"/>
  <c r="AH924" i="72"/>
  <c r="AH925" i="72"/>
  <c r="AH926" i="72"/>
  <c r="AH927" i="72"/>
  <c r="AH928" i="72"/>
  <c r="AH929" i="72"/>
  <c r="AH930" i="72"/>
  <c r="AH931" i="72"/>
  <c r="AH932" i="72"/>
  <c r="AH933" i="72"/>
  <c r="AH934" i="72"/>
  <c r="AH935" i="72"/>
  <c r="AH936" i="72"/>
  <c r="AH937" i="72"/>
  <c r="AH938" i="72"/>
  <c r="AH939" i="72"/>
  <c r="AH940" i="72"/>
  <c r="AH941" i="72"/>
  <c r="AH942" i="72"/>
  <c r="AH943" i="72"/>
  <c r="AH944" i="72"/>
  <c r="AH945" i="72"/>
  <c r="AH946" i="72"/>
  <c r="AH947" i="72"/>
  <c r="AH948" i="72"/>
  <c r="AH949" i="72"/>
  <c r="AH950" i="72"/>
  <c r="AH951" i="72"/>
  <c r="AH952" i="72"/>
  <c r="AH953" i="72"/>
  <c r="AH954" i="72"/>
  <c r="AH955" i="72"/>
  <c r="AH956" i="72"/>
  <c r="AH957" i="72"/>
  <c r="AH958" i="72"/>
  <c r="AH959" i="72"/>
  <c r="AH960" i="72"/>
  <c r="AH961" i="72"/>
  <c r="AH962" i="72"/>
  <c r="AH963" i="72"/>
  <c r="AH964" i="72"/>
  <c r="AH965" i="72"/>
  <c r="AH966" i="72"/>
  <c r="AH967" i="72"/>
  <c r="AH968" i="72"/>
  <c r="AH969" i="72"/>
  <c r="AH970" i="72"/>
  <c r="AH971" i="72"/>
  <c r="AH972" i="72"/>
  <c r="AH973" i="72"/>
  <c r="AH974" i="72"/>
  <c r="AH975" i="72"/>
  <c r="AH976" i="72"/>
  <c r="AH977" i="72"/>
  <c r="AH978" i="72"/>
  <c r="AH979" i="72"/>
  <c r="AH980" i="72"/>
  <c r="AH981" i="72"/>
  <c r="AH982" i="72"/>
  <c r="AH983" i="72"/>
  <c r="AH984" i="72"/>
  <c r="AH985" i="72"/>
  <c r="AH986" i="72"/>
  <c r="AH987" i="72"/>
  <c r="AH988" i="72"/>
  <c r="AH989" i="72"/>
  <c r="AH990" i="72"/>
  <c r="AH991" i="72"/>
  <c r="AH992" i="72"/>
  <c r="AH993" i="72"/>
  <c r="AH994" i="72"/>
  <c r="AH995" i="72"/>
  <c r="AH996" i="72"/>
  <c r="AH997" i="72"/>
  <c r="AH998" i="72"/>
  <c r="AH999" i="72"/>
  <c r="AH1000" i="72"/>
  <c r="AH1001" i="72"/>
  <c r="AH1002" i="72"/>
  <c r="AH1003" i="72"/>
  <c r="AH1004" i="72"/>
  <c r="AH1005" i="72"/>
  <c r="AH1006" i="72"/>
  <c r="AH1007" i="72"/>
  <c r="AH1008" i="72"/>
  <c r="AH1009" i="72"/>
  <c r="AH1010" i="72"/>
  <c r="AH1011" i="72"/>
  <c r="AH1012" i="72"/>
  <c r="AH1013" i="72"/>
  <c r="AH1014" i="72"/>
  <c r="AH1015" i="72"/>
  <c r="AH1016" i="72"/>
  <c r="AH1017" i="72"/>
  <c r="AH1018" i="72"/>
  <c r="AH1019" i="72"/>
  <c r="AH1020" i="72"/>
  <c r="AH1021" i="72"/>
  <c r="AH1022" i="72"/>
  <c r="AH1023" i="72"/>
  <c r="AH1024" i="72"/>
  <c r="AH1025" i="72"/>
  <c r="AH1026" i="72"/>
  <c r="AH1027" i="72"/>
  <c r="AH1028" i="72"/>
  <c r="AH1029" i="72"/>
  <c r="AH1030" i="72"/>
  <c r="AH1031" i="72"/>
  <c r="AH1032" i="72"/>
  <c r="AH1033" i="72"/>
  <c r="AH1034" i="72"/>
  <c r="AH1035" i="72"/>
  <c r="AH1036" i="72"/>
  <c r="AH1037" i="72"/>
  <c r="AH1038" i="72"/>
  <c r="AH1039" i="72"/>
  <c r="AH1040" i="72"/>
  <c r="AH1041" i="72"/>
  <c r="AH1042" i="72"/>
  <c r="AH1043" i="72"/>
  <c r="AH1044" i="72"/>
  <c r="AH1045" i="72"/>
  <c r="AH1046" i="72"/>
  <c r="AH1047" i="72"/>
  <c r="AH1048" i="72"/>
  <c r="AH1049" i="72"/>
  <c r="AH1050" i="72"/>
  <c r="AH1051" i="72"/>
  <c r="AH1052" i="72"/>
  <c r="AH1053" i="72"/>
  <c r="AH1054" i="72"/>
  <c r="AH1055" i="72"/>
  <c r="AH1056" i="72"/>
  <c r="AH1057" i="72"/>
  <c r="AH1058" i="72"/>
  <c r="AH1059" i="72"/>
  <c r="AH1060" i="72"/>
  <c r="AH1061" i="72"/>
  <c r="AH1062" i="72"/>
  <c r="AH1063" i="72"/>
  <c r="AH1064" i="72"/>
  <c r="AH1065" i="72"/>
  <c r="AH1066" i="72"/>
  <c r="AH1067" i="72"/>
  <c r="AH1068" i="72"/>
  <c r="AH1069" i="72"/>
  <c r="AH1070" i="72"/>
  <c r="AH1071" i="72"/>
  <c r="AH1072" i="72"/>
  <c r="AH1073" i="72"/>
  <c r="AH1074" i="72"/>
  <c r="AH1075" i="72"/>
  <c r="AH1076" i="72"/>
  <c r="AH1077" i="72"/>
  <c r="AH1078" i="72"/>
  <c r="AH1079" i="72"/>
  <c r="AH1080" i="72"/>
  <c r="AH1081" i="72"/>
  <c r="AH1082" i="72"/>
  <c r="AH1083" i="72"/>
  <c r="AH1084" i="72"/>
  <c r="AH1085" i="72"/>
  <c r="AH1086" i="72"/>
  <c r="AH1087" i="72"/>
  <c r="AH1088" i="72"/>
  <c r="AH1089" i="72"/>
  <c r="AH1090" i="72"/>
  <c r="AH1091" i="72"/>
  <c r="AH1092" i="72"/>
  <c r="AH1093" i="72"/>
  <c r="AH1094" i="72"/>
  <c r="AH1095" i="72"/>
  <c r="AH1096" i="72"/>
  <c r="AH1097" i="72"/>
  <c r="AH1098" i="72"/>
  <c r="AH1099" i="72"/>
  <c r="AH1100" i="72"/>
  <c r="AH1101" i="72"/>
  <c r="AH1102" i="72"/>
  <c r="AH1103" i="72"/>
  <c r="AH1104" i="72"/>
  <c r="AH1105" i="72"/>
  <c r="AH1106" i="72"/>
  <c r="AH1107" i="72"/>
  <c r="AH1108" i="72"/>
  <c r="AH1109" i="72"/>
  <c r="AH1110" i="72"/>
  <c r="AH1111" i="72"/>
  <c r="AH1112" i="72"/>
  <c r="AH1113" i="72"/>
  <c r="AH1114" i="72"/>
  <c r="AH1115" i="72"/>
  <c r="AH1116" i="72"/>
  <c r="AH1117" i="72"/>
  <c r="AH1118" i="72"/>
  <c r="AH1119" i="72"/>
  <c r="AH1120" i="72"/>
  <c r="AH1121" i="72"/>
  <c r="AH1122" i="72"/>
  <c r="AH1123" i="72"/>
  <c r="AH1124" i="72"/>
  <c r="AH1125" i="72"/>
  <c r="AH1126" i="72"/>
  <c r="AH1127" i="72"/>
  <c r="AH1128" i="72"/>
  <c r="AH1129" i="72"/>
  <c r="AH1130" i="72"/>
  <c r="AH1131" i="72"/>
  <c r="AH1132" i="72"/>
  <c r="AH1133" i="72"/>
  <c r="AH1134" i="72"/>
  <c r="AH1135" i="72"/>
  <c r="AH1136" i="72"/>
  <c r="AH1137" i="72"/>
  <c r="AH1138" i="72"/>
  <c r="AH1139" i="72"/>
  <c r="AH1140" i="72"/>
  <c r="AH1141" i="72"/>
  <c r="AH1142" i="72"/>
  <c r="AH1143" i="72"/>
  <c r="AH1144" i="72"/>
  <c r="AH1145" i="72"/>
  <c r="AH1146" i="72"/>
  <c r="AH1147" i="72"/>
  <c r="AH1148" i="72"/>
  <c r="AH1149" i="72"/>
  <c r="AH1150" i="72"/>
  <c r="AH1151" i="72"/>
  <c r="AH1152" i="72"/>
  <c r="AH1153" i="72"/>
  <c r="AH1154" i="72"/>
  <c r="AH1155" i="72"/>
  <c r="AH1156" i="72"/>
  <c r="AH1157" i="72"/>
  <c r="AH1158" i="72"/>
  <c r="AH1159" i="72"/>
  <c r="AH1160" i="72"/>
  <c r="AH1161" i="72"/>
  <c r="AH1162" i="72"/>
  <c r="AH1163" i="72"/>
  <c r="AH1164" i="72"/>
  <c r="AH1165" i="72"/>
  <c r="AH1166" i="72"/>
  <c r="AH1167" i="72"/>
  <c r="AH1168" i="72"/>
  <c r="AH1169" i="72"/>
  <c r="AH1170" i="72"/>
  <c r="AH1171" i="72"/>
  <c r="AH1172" i="72"/>
  <c r="AH1173" i="72"/>
  <c r="AH1174" i="72"/>
  <c r="AH1175" i="72"/>
  <c r="AH1176" i="72"/>
  <c r="AH1177" i="72"/>
  <c r="AH1178" i="72"/>
  <c r="AH1179" i="72"/>
  <c r="AH1180" i="72"/>
  <c r="AH1181" i="72"/>
  <c r="AH1182" i="72"/>
  <c r="AH1183" i="72"/>
  <c r="AH1184" i="72"/>
  <c r="AH1185" i="72"/>
  <c r="AH1186" i="72"/>
  <c r="AH1187" i="72"/>
  <c r="AH1188" i="72"/>
  <c r="AH1189" i="72"/>
  <c r="AH1190" i="72"/>
  <c r="AH1191" i="72"/>
  <c r="AH1192" i="72"/>
  <c r="AH1193" i="72"/>
  <c r="AH1194" i="72"/>
  <c r="AH1195" i="72"/>
  <c r="AH1196" i="72"/>
  <c r="AH1197" i="72"/>
  <c r="AH1198" i="72"/>
  <c r="AH1199" i="72"/>
  <c r="AH1200" i="72"/>
  <c r="AH1201" i="72"/>
  <c r="AH1202" i="72"/>
  <c r="AH1203" i="72"/>
  <c r="AH1204" i="72"/>
  <c r="AH1205" i="72"/>
  <c r="AH1206" i="72"/>
  <c r="AH1207" i="72"/>
  <c r="AH1208" i="72"/>
  <c r="AH1209" i="72"/>
  <c r="AH1210" i="72"/>
  <c r="AH1211" i="72"/>
  <c r="AH1212" i="72"/>
  <c r="AH1213" i="72"/>
  <c r="AH1214" i="72"/>
  <c r="AH1215" i="72"/>
  <c r="AH1216" i="72"/>
  <c r="AH1217" i="72"/>
  <c r="AH1218" i="72"/>
  <c r="AH1219" i="72"/>
  <c r="AH1220" i="72"/>
  <c r="AH1221" i="72"/>
  <c r="AH1222" i="72"/>
  <c r="AH1223" i="72"/>
  <c r="AH1224" i="72"/>
  <c r="AH1225" i="72"/>
  <c r="AH1226" i="72"/>
  <c r="AH1227" i="72"/>
  <c r="AH1228" i="72"/>
  <c r="AH1229" i="72"/>
  <c r="AH1230" i="72"/>
  <c r="AH1231" i="72"/>
  <c r="AH1232" i="72"/>
  <c r="AH1233" i="72"/>
  <c r="AH1234" i="72"/>
  <c r="AH1235" i="72"/>
  <c r="AH1236" i="72"/>
  <c r="AH1237" i="72"/>
  <c r="AH1238" i="72"/>
  <c r="AH1239" i="72"/>
  <c r="AH1240" i="72"/>
  <c r="AH1241" i="72"/>
  <c r="AH1242" i="72"/>
  <c r="AH1243" i="72"/>
  <c r="AH1244" i="72"/>
  <c r="AH1245" i="72"/>
  <c r="AH1246" i="72"/>
  <c r="AH1247" i="72"/>
  <c r="AH1248" i="72"/>
  <c r="AH1249" i="72"/>
  <c r="AH1250" i="72"/>
  <c r="AH1251" i="72"/>
  <c r="AH1252" i="72"/>
  <c r="AI501" i="72"/>
  <c r="AI502" i="72"/>
  <c r="AI503" i="72"/>
  <c r="AI504" i="72"/>
  <c r="AI505" i="72"/>
  <c r="AI506" i="72"/>
  <c r="AI507" i="72"/>
  <c r="AI508" i="72"/>
  <c r="AI509" i="72"/>
  <c r="AI510" i="72"/>
  <c r="AI511" i="72"/>
  <c r="AI512" i="72"/>
  <c r="AI513" i="72"/>
  <c r="AI514" i="72"/>
  <c r="AI515" i="72"/>
  <c r="AI516" i="72"/>
  <c r="AI517" i="72"/>
  <c r="AI518" i="72"/>
  <c r="AI519" i="72"/>
  <c r="AI520" i="72"/>
  <c r="AI521" i="72"/>
  <c r="AI522" i="72"/>
  <c r="AI523" i="72"/>
  <c r="AI524" i="72"/>
  <c r="AI525" i="72"/>
  <c r="AI526" i="72"/>
  <c r="AI527" i="72"/>
  <c r="AI528" i="72"/>
  <c r="AI529" i="72"/>
  <c r="AI530" i="72"/>
  <c r="AI531" i="72"/>
  <c r="AI532" i="72"/>
  <c r="AI533" i="72"/>
  <c r="AI534" i="72"/>
  <c r="AI535" i="72"/>
  <c r="AI536" i="72"/>
  <c r="AI537" i="72"/>
  <c r="AI538" i="72"/>
  <c r="AI539" i="72"/>
  <c r="AI540" i="72"/>
  <c r="AI541" i="72"/>
  <c r="AI542" i="72"/>
  <c r="AI543" i="72"/>
  <c r="AI544" i="72"/>
  <c r="AI545" i="72"/>
  <c r="AI546" i="72"/>
  <c r="AI547" i="72"/>
  <c r="AI548" i="72"/>
  <c r="AI549" i="72"/>
  <c r="AI550" i="72"/>
  <c r="AI551" i="72"/>
  <c r="AI552" i="72"/>
  <c r="AI553" i="72"/>
  <c r="AI554" i="72"/>
  <c r="AI555" i="72"/>
  <c r="AI556" i="72"/>
  <c r="AI557" i="72"/>
  <c r="AI558" i="72"/>
  <c r="AI559" i="72"/>
  <c r="AI560" i="72"/>
  <c r="AI561" i="72"/>
  <c r="AI562" i="72"/>
  <c r="AI563" i="72"/>
  <c r="AI564" i="72"/>
  <c r="AI565" i="72"/>
  <c r="AI566" i="72"/>
  <c r="AI567" i="72"/>
  <c r="AI568" i="72"/>
  <c r="AI569" i="72"/>
  <c r="AI570" i="72"/>
  <c r="AI571" i="72"/>
  <c r="AI572" i="72"/>
  <c r="AI573" i="72"/>
  <c r="AI574" i="72"/>
  <c r="AI575" i="72"/>
  <c r="AI576" i="72"/>
  <c r="AI577" i="72"/>
  <c r="AI578" i="72"/>
  <c r="AI579" i="72"/>
  <c r="AI580" i="72"/>
  <c r="AI581" i="72"/>
  <c r="AI582" i="72"/>
  <c r="AI583" i="72"/>
  <c r="AI584" i="72"/>
  <c r="AI585" i="72"/>
  <c r="AI586" i="72"/>
  <c r="AI587" i="72"/>
  <c r="AI588" i="72"/>
  <c r="AI589" i="72"/>
  <c r="AI590" i="72"/>
  <c r="AI591" i="72"/>
  <c r="AI592" i="72"/>
  <c r="AI593" i="72"/>
  <c r="AI594" i="72"/>
  <c r="AI595" i="72"/>
  <c r="AI596" i="72"/>
  <c r="AI597" i="72"/>
  <c r="AI598" i="72"/>
  <c r="AI599" i="72"/>
  <c r="AI600" i="72"/>
  <c r="AI601" i="72"/>
  <c r="AI602" i="72"/>
  <c r="AI603" i="72"/>
  <c r="AI604" i="72"/>
  <c r="AI605" i="72"/>
  <c r="AI606" i="72"/>
  <c r="AI607" i="72"/>
  <c r="AI608" i="72"/>
  <c r="AI609" i="72"/>
  <c r="AI610" i="72"/>
  <c r="AI611" i="72"/>
  <c r="AI612" i="72"/>
  <c r="AI613" i="72"/>
  <c r="AI614" i="72"/>
  <c r="AI615" i="72"/>
  <c r="AI616" i="72"/>
  <c r="AI617" i="72"/>
  <c r="AI618" i="72"/>
  <c r="AI619" i="72"/>
  <c r="AI620" i="72"/>
  <c r="AI621" i="72"/>
  <c r="AI622" i="72"/>
  <c r="AI623" i="72"/>
  <c r="AI624" i="72"/>
  <c r="AI625" i="72"/>
  <c r="AI626" i="72"/>
  <c r="AI627" i="72"/>
  <c r="AI628" i="72"/>
  <c r="AI629" i="72"/>
  <c r="AI630" i="72"/>
  <c r="AI631" i="72"/>
  <c r="AI632" i="72"/>
  <c r="AI633" i="72"/>
  <c r="AI634" i="72"/>
  <c r="AI635" i="72"/>
  <c r="AI636" i="72"/>
  <c r="AI637" i="72"/>
  <c r="AI638" i="72"/>
  <c r="AI639" i="72"/>
  <c r="AI640" i="72"/>
  <c r="AI641" i="72"/>
  <c r="AI642" i="72"/>
  <c r="AI643" i="72"/>
  <c r="AI644" i="72"/>
  <c r="AI645" i="72"/>
  <c r="AI646" i="72"/>
  <c r="AI647" i="72"/>
  <c r="AI648" i="72"/>
  <c r="AI649" i="72"/>
  <c r="AI650" i="72"/>
  <c r="AI651" i="72"/>
  <c r="AI652" i="72"/>
  <c r="AI653" i="72"/>
  <c r="AI654" i="72"/>
  <c r="AI655" i="72"/>
  <c r="AI656" i="72"/>
  <c r="AI657" i="72"/>
  <c r="AI658" i="72"/>
  <c r="AI659" i="72"/>
  <c r="AI660" i="72"/>
  <c r="AI661" i="72"/>
  <c r="AI662" i="72"/>
  <c r="AI663" i="72"/>
  <c r="AI664" i="72"/>
  <c r="AI665" i="72"/>
  <c r="AI666" i="72"/>
  <c r="AI667" i="72"/>
  <c r="AI668" i="72"/>
  <c r="AI669" i="72"/>
  <c r="AI670" i="72"/>
  <c r="AI671" i="72"/>
  <c r="AI672" i="72"/>
  <c r="AI673" i="72"/>
  <c r="AI674" i="72"/>
  <c r="AI675" i="72"/>
  <c r="AI676" i="72"/>
  <c r="AI677" i="72"/>
  <c r="AI678" i="72"/>
  <c r="AI679" i="72"/>
  <c r="AI680" i="72"/>
  <c r="AI681" i="72"/>
  <c r="AI682" i="72"/>
  <c r="AI683" i="72"/>
  <c r="AI684" i="72"/>
  <c r="AI685" i="72"/>
  <c r="AI686" i="72"/>
  <c r="AI687" i="72"/>
  <c r="AI688" i="72"/>
  <c r="AI689" i="72"/>
  <c r="AI690" i="72"/>
  <c r="AI691" i="72"/>
  <c r="AI692" i="72"/>
  <c r="AI693" i="72"/>
  <c r="AI694" i="72"/>
  <c r="AI695" i="72"/>
  <c r="AI696" i="72"/>
  <c r="AI697" i="72"/>
  <c r="AI698" i="72"/>
  <c r="AI699" i="72"/>
  <c r="AI700" i="72"/>
  <c r="AI701" i="72"/>
  <c r="AI702" i="72"/>
  <c r="AI703" i="72"/>
  <c r="AI704" i="72"/>
  <c r="AI705" i="72"/>
  <c r="AI706" i="72"/>
  <c r="AI707" i="72"/>
  <c r="AI708" i="72"/>
  <c r="AI709" i="72"/>
  <c r="AI710" i="72"/>
  <c r="AI711" i="72"/>
  <c r="AI712" i="72"/>
  <c r="AI713" i="72"/>
  <c r="AI714" i="72"/>
  <c r="AI715" i="72"/>
  <c r="AI716" i="72"/>
  <c r="AI717" i="72"/>
  <c r="AI718" i="72"/>
  <c r="AI719" i="72"/>
  <c r="AI720" i="72"/>
  <c r="AI721" i="72"/>
  <c r="AI722" i="72"/>
  <c r="AI723" i="72"/>
  <c r="AI724" i="72"/>
  <c r="AI725" i="72"/>
  <c r="AI726" i="72"/>
  <c r="AI727" i="72"/>
  <c r="AI728" i="72"/>
  <c r="AI729" i="72"/>
  <c r="AI730" i="72"/>
  <c r="AI731" i="72"/>
  <c r="AI732" i="72"/>
  <c r="AI733" i="72"/>
  <c r="AI734" i="72"/>
  <c r="AI735" i="72"/>
  <c r="AI736" i="72"/>
  <c r="AI737" i="72"/>
  <c r="AI738" i="72"/>
  <c r="AI739" i="72"/>
  <c r="AI740" i="72"/>
  <c r="AI741" i="72"/>
  <c r="AI742" i="72"/>
  <c r="AI743" i="72"/>
  <c r="AI744" i="72"/>
  <c r="AI745" i="72"/>
  <c r="AI746" i="72"/>
  <c r="AI747" i="72"/>
  <c r="AI748" i="72"/>
  <c r="AI749" i="72"/>
  <c r="AI750" i="72"/>
  <c r="AI751" i="72"/>
  <c r="AI752" i="72"/>
  <c r="AI753" i="72"/>
  <c r="AI754" i="72"/>
  <c r="AI755" i="72"/>
  <c r="AI756" i="72"/>
  <c r="AI757" i="72"/>
  <c r="AI758" i="72"/>
  <c r="AI759" i="72"/>
  <c r="AI760" i="72"/>
  <c r="AI761" i="72"/>
  <c r="AI762" i="72"/>
  <c r="AI763" i="72"/>
  <c r="AI764" i="72"/>
  <c r="AI765" i="72"/>
  <c r="AI766" i="72"/>
  <c r="AI767" i="72"/>
  <c r="AI768" i="72"/>
  <c r="AI769" i="72"/>
  <c r="AI770" i="72"/>
  <c r="AI771" i="72"/>
  <c r="AI772" i="72"/>
  <c r="AI773" i="72"/>
  <c r="AI774" i="72"/>
  <c r="AI775" i="72"/>
  <c r="AI776" i="72"/>
  <c r="AI777" i="72"/>
  <c r="AI778" i="72"/>
  <c r="AI779" i="72"/>
  <c r="AI780" i="72"/>
  <c r="AI781" i="72"/>
  <c r="AI782" i="72"/>
  <c r="AI783" i="72"/>
  <c r="AI784" i="72"/>
  <c r="AI785" i="72"/>
  <c r="AI786" i="72"/>
  <c r="AI787" i="72"/>
  <c r="AI788" i="72"/>
  <c r="AI789" i="72"/>
  <c r="AI790" i="72"/>
  <c r="AI791" i="72"/>
  <c r="AI792" i="72"/>
  <c r="AI793" i="72"/>
  <c r="AI794" i="72"/>
  <c r="AI795" i="72"/>
  <c r="AI796" i="72"/>
  <c r="AI797" i="72"/>
  <c r="AI798" i="72"/>
  <c r="AI799" i="72"/>
  <c r="AI800" i="72"/>
  <c r="AI801" i="72"/>
  <c r="AI802" i="72"/>
  <c r="AI803" i="72"/>
  <c r="AI804" i="72"/>
  <c r="AI805" i="72"/>
  <c r="AI806" i="72"/>
  <c r="AI807" i="72"/>
  <c r="AI808" i="72"/>
  <c r="AI809" i="72"/>
  <c r="AI810" i="72"/>
  <c r="AI811" i="72"/>
  <c r="AI812" i="72"/>
  <c r="AI813" i="72"/>
  <c r="AI814" i="72"/>
  <c r="AI815" i="72"/>
  <c r="AI816" i="72"/>
  <c r="AI817" i="72"/>
  <c r="AI818" i="72"/>
  <c r="AI819" i="72"/>
  <c r="AI820" i="72"/>
  <c r="AI821" i="72"/>
  <c r="AI822" i="72"/>
  <c r="AI823" i="72"/>
  <c r="AI824" i="72"/>
  <c r="AI825" i="72"/>
  <c r="AI826" i="72"/>
  <c r="AI827" i="72"/>
  <c r="AI828" i="72"/>
  <c r="AI829" i="72"/>
  <c r="AI830" i="72"/>
  <c r="AI831" i="72"/>
  <c r="AI832" i="72"/>
  <c r="AI833" i="72"/>
  <c r="AI834" i="72"/>
  <c r="AI835" i="72"/>
  <c r="AI836" i="72"/>
  <c r="AI837" i="72"/>
  <c r="AI838" i="72"/>
  <c r="AI839" i="72"/>
  <c r="AI840" i="72"/>
  <c r="AI841" i="72"/>
  <c r="AI842" i="72"/>
  <c r="AI843" i="72"/>
  <c r="AI844" i="72"/>
  <c r="AI845" i="72"/>
  <c r="AI846" i="72"/>
  <c r="AI847" i="72"/>
  <c r="AI848" i="72"/>
  <c r="AI849" i="72"/>
  <c r="AI850" i="72"/>
  <c r="AI851" i="72"/>
  <c r="AI852" i="72"/>
  <c r="AI853" i="72"/>
  <c r="AI854" i="72"/>
  <c r="AI855" i="72"/>
  <c r="AI856" i="72"/>
  <c r="AI857" i="72"/>
  <c r="AI858" i="72"/>
  <c r="AI859" i="72"/>
  <c r="AI860" i="72"/>
  <c r="AI861" i="72"/>
  <c r="AI862" i="72"/>
  <c r="AI863" i="72"/>
  <c r="AI864" i="72"/>
  <c r="AI865" i="72"/>
  <c r="AI866" i="72"/>
  <c r="AI867" i="72"/>
  <c r="AI868" i="72"/>
  <c r="AI869" i="72"/>
  <c r="AI870" i="72"/>
  <c r="AI871" i="72"/>
  <c r="AI872" i="72"/>
  <c r="AI873" i="72"/>
  <c r="AI874" i="72"/>
  <c r="AI875" i="72"/>
  <c r="AI876" i="72"/>
  <c r="AI877" i="72"/>
  <c r="AI878" i="72"/>
  <c r="AI879" i="72"/>
  <c r="AI880" i="72"/>
  <c r="AI881" i="72"/>
  <c r="AI882" i="72"/>
  <c r="AI883" i="72"/>
  <c r="AI884" i="72"/>
  <c r="AI885" i="72"/>
  <c r="AI886" i="72"/>
  <c r="AI887" i="72"/>
  <c r="AI888" i="72"/>
  <c r="AI889" i="72"/>
  <c r="AI890" i="72"/>
  <c r="AI891" i="72"/>
  <c r="AI892" i="72"/>
  <c r="AI893" i="72"/>
  <c r="AI894" i="72"/>
  <c r="AI895" i="72"/>
  <c r="AI896" i="72"/>
  <c r="AI897" i="72"/>
  <c r="AI898" i="72"/>
  <c r="AI899" i="72"/>
  <c r="AI900" i="72"/>
  <c r="AI901" i="72"/>
  <c r="AI902" i="72"/>
  <c r="AI903" i="72"/>
  <c r="AI904" i="72"/>
  <c r="AI905" i="72"/>
  <c r="AI906" i="72"/>
  <c r="AI907" i="72"/>
  <c r="AI908" i="72"/>
  <c r="AI909" i="72"/>
  <c r="AI910" i="72"/>
  <c r="AI911" i="72"/>
  <c r="AI912" i="72"/>
  <c r="AI913" i="72"/>
  <c r="AI914" i="72"/>
  <c r="AI915" i="72"/>
  <c r="AI916" i="72"/>
  <c r="AI917" i="72"/>
  <c r="AI918" i="72"/>
  <c r="AI919" i="72"/>
  <c r="AI920" i="72"/>
  <c r="AI921" i="72"/>
  <c r="AI922" i="72"/>
  <c r="AI923" i="72"/>
  <c r="AI924" i="72"/>
  <c r="AI925" i="72"/>
  <c r="AI926" i="72"/>
  <c r="AI927" i="72"/>
  <c r="AI928" i="72"/>
  <c r="AI929" i="72"/>
  <c r="AI930" i="72"/>
  <c r="AI931" i="72"/>
  <c r="AI932" i="72"/>
  <c r="AI933" i="72"/>
  <c r="AI934" i="72"/>
  <c r="AI935" i="72"/>
  <c r="AI936" i="72"/>
  <c r="AI937" i="72"/>
  <c r="AI938" i="72"/>
  <c r="AI939" i="72"/>
  <c r="AI940" i="72"/>
  <c r="AI941" i="72"/>
  <c r="AI942" i="72"/>
  <c r="AI943" i="72"/>
  <c r="AI944" i="72"/>
  <c r="AI945" i="72"/>
  <c r="AI946" i="72"/>
  <c r="AI947" i="72"/>
  <c r="AI948" i="72"/>
  <c r="AI949" i="72"/>
  <c r="AI950" i="72"/>
  <c r="AI951" i="72"/>
  <c r="AI952" i="72"/>
  <c r="AI953" i="72"/>
  <c r="AI954" i="72"/>
  <c r="AI955" i="72"/>
  <c r="AI956" i="72"/>
  <c r="AI957" i="72"/>
  <c r="AI958" i="72"/>
  <c r="AI959" i="72"/>
  <c r="AI960" i="72"/>
  <c r="AI961" i="72"/>
  <c r="AI962" i="72"/>
  <c r="AI963" i="72"/>
  <c r="AI964" i="72"/>
  <c r="AI965" i="72"/>
  <c r="AI966" i="72"/>
  <c r="AI967" i="72"/>
  <c r="AI968" i="72"/>
  <c r="AI969" i="72"/>
  <c r="AI970" i="72"/>
  <c r="AI971" i="72"/>
  <c r="AI972" i="72"/>
  <c r="AI973" i="72"/>
  <c r="AI974" i="72"/>
  <c r="AI975" i="72"/>
  <c r="AI976" i="72"/>
  <c r="AI977" i="72"/>
  <c r="AI978" i="72"/>
  <c r="AI979" i="72"/>
  <c r="AI980" i="72"/>
  <c r="AI981" i="72"/>
  <c r="AI982" i="72"/>
  <c r="AI983" i="72"/>
  <c r="AI984" i="72"/>
  <c r="AI985" i="72"/>
  <c r="AI986" i="72"/>
  <c r="AI987" i="72"/>
  <c r="AI988" i="72"/>
  <c r="AI989" i="72"/>
  <c r="AI990" i="72"/>
  <c r="AI991" i="72"/>
  <c r="AI992" i="72"/>
  <c r="AI993" i="72"/>
  <c r="AI994" i="72"/>
  <c r="AI995" i="72"/>
  <c r="AI996" i="72"/>
  <c r="AI997" i="72"/>
  <c r="AI998" i="72"/>
  <c r="AI999" i="72"/>
  <c r="AI1000" i="72"/>
  <c r="AI1001" i="72"/>
  <c r="AI1002" i="72"/>
  <c r="AI1003" i="72"/>
  <c r="AI1004" i="72"/>
  <c r="AI1005" i="72"/>
  <c r="AI1006" i="72"/>
  <c r="AI1007" i="72"/>
  <c r="AI1008" i="72"/>
  <c r="AI1009" i="72"/>
  <c r="AI1010" i="72"/>
  <c r="AI1011" i="72"/>
  <c r="AI1012" i="72"/>
  <c r="AI1013" i="72"/>
  <c r="AI1014" i="72"/>
  <c r="AI1015" i="72"/>
  <c r="AI1016" i="72"/>
  <c r="AI1017" i="72"/>
  <c r="AI1018" i="72"/>
  <c r="AI1019" i="72"/>
  <c r="AI1020" i="72"/>
  <c r="AI1021" i="72"/>
  <c r="AI1022" i="72"/>
  <c r="AI1023" i="72"/>
  <c r="AI1024" i="72"/>
  <c r="AI1025" i="72"/>
  <c r="AI1026" i="72"/>
  <c r="AI1027" i="72"/>
  <c r="AI1028" i="72"/>
  <c r="AI1029" i="72"/>
  <c r="AI1030" i="72"/>
  <c r="AI1031" i="72"/>
  <c r="AI1032" i="72"/>
  <c r="AI1033" i="72"/>
  <c r="AI1034" i="72"/>
  <c r="AI1035" i="72"/>
  <c r="AI1036" i="72"/>
  <c r="AI1037" i="72"/>
  <c r="AI1038" i="72"/>
  <c r="AI1039" i="72"/>
  <c r="AI1040" i="72"/>
  <c r="AI1041" i="72"/>
  <c r="AI1042" i="72"/>
  <c r="AI1043" i="72"/>
  <c r="AI1044" i="72"/>
  <c r="AI1045" i="72"/>
  <c r="AI1046" i="72"/>
  <c r="AI1047" i="72"/>
  <c r="AI1048" i="72"/>
  <c r="AI1049" i="72"/>
  <c r="AI1050" i="72"/>
  <c r="AI1051" i="72"/>
  <c r="AI1052" i="72"/>
  <c r="AI1053" i="72"/>
  <c r="AI1054" i="72"/>
  <c r="AI1055" i="72"/>
  <c r="AI1056" i="72"/>
  <c r="AI1057" i="72"/>
  <c r="AI1058" i="72"/>
  <c r="AI1059" i="72"/>
  <c r="AI1060" i="72"/>
  <c r="AI1061" i="72"/>
  <c r="AI1062" i="72"/>
  <c r="AI1063" i="72"/>
  <c r="AI1064" i="72"/>
  <c r="AI1065" i="72"/>
  <c r="AI1066" i="72"/>
  <c r="AI1067" i="72"/>
  <c r="AI1068" i="72"/>
  <c r="AI1069" i="72"/>
  <c r="AI1070" i="72"/>
  <c r="AI1071" i="72"/>
  <c r="AI1072" i="72"/>
  <c r="AI1073" i="72"/>
  <c r="AI1074" i="72"/>
  <c r="AI1075" i="72"/>
  <c r="AI1076" i="72"/>
  <c r="AI1077" i="72"/>
  <c r="AI1078" i="72"/>
  <c r="AI1079" i="72"/>
  <c r="AI1080" i="72"/>
  <c r="AI1081" i="72"/>
  <c r="AI1082" i="72"/>
  <c r="AI1083" i="72"/>
  <c r="AI1084" i="72"/>
  <c r="AI1085" i="72"/>
  <c r="AI1086" i="72"/>
  <c r="AI1087" i="72"/>
  <c r="AI1088" i="72"/>
  <c r="AI1089" i="72"/>
  <c r="AI1090" i="72"/>
  <c r="AI1091" i="72"/>
  <c r="AI1092" i="72"/>
  <c r="AI1093" i="72"/>
  <c r="AI1094" i="72"/>
  <c r="AI1095" i="72"/>
  <c r="AI1096" i="72"/>
  <c r="AI1097" i="72"/>
  <c r="AI1098" i="72"/>
  <c r="AI1099" i="72"/>
  <c r="AI1100" i="72"/>
  <c r="AI1101" i="72"/>
  <c r="AI1102" i="72"/>
  <c r="AI1103" i="72"/>
  <c r="AI1104" i="72"/>
  <c r="AI1105" i="72"/>
  <c r="AI1106" i="72"/>
  <c r="AI1107" i="72"/>
  <c r="AI1108" i="72"/>
  <c r="AI1109" i="72"/>
  <c r="AI1110" i="72"/>
  <c r="AI1111" i="72"/>
  <c r="AI1112" i="72"/>
  <c r="AI1113" i="72"/>
  <c r="AI1114" i="72"/>
  <c r="AI1115" i="72"/>
  <c r="AI1116" i="72"/>
  <c r="AI1117" i="72"/>
  <c r="AI1118" i="72"/>
  <c r="AI1119" i="72"/>
  <c r="AI1120" i="72"/>
  <c r="AI1121" i="72"/>
  <c r="AI1122" i="72"/>
  <c r="AI1123" i="72"/>
  <c r="AI1124" i="72"/>
  <c r="AI1125" i="72"/>
  <c r="AI1126" i="72"/>
  <c r="AI1127" i="72"/>
  <c r="AI1128" i="72"/>
  <c r="AI1129" i="72"/>
  <c r="AI1130" i="72"/>
  <c r="AI1131" i="72"/>
  <c r="AI1132" i="72"/>
  <c r="AI1133" i="72"/>
  <c r="AI1134" i="72"/>
  <c r="AI1135" i="72"/>
  <c r="AI1136" i="72"/>
  <c r="AI1137" i="72"/>
  <c r="AI1138" i="72"/>
  <c r="AI1139" i="72"/>
  <c r="AI1140" i="72"/>
  <c r="AI1141" i="72"/>
  <c r="AI1142" i="72"/>
  <c r="AI1143" i="72"/>
  <c r="AI1144" i="72"/>
  <c r="AI1145" i="72"/>
  <c r="AI1146" i="72"/>
  <c r="AI1147" i="72"/>
  <c r="AI1148" i="72"/>
  <c r="AI1149" i="72"/>
  <c r="AI1150" i="72"/>
  <c r="AI1151" i="72"/>
  <c r="AI1152" i="72"/>
  <c r="AI1153" i="72"/>
  <c r="AI1154" i="72"/>
  <c r="AI1155" i="72"/>
  <c r="AI1156" i="72"/>
  <c r="AI1157" i="72"/>
  <c r="AI1158" i="72"/>
  <c r="AI1159" i="72"/>
  <c r="AI1160" i="72"/>
  <c r="AI1161" i="72"/>
  <c r="AI1162" i="72"/>
  <c r="AI1163" i="72"/>
  <c r="AI1164" i="72"/>
  <c r="AI1165" i="72"/>
  <c r="AI1166" i="72"/>
  <c r="AI1167" i="72"/>
  <c r="AI1168" i="72"/>
  <c r="AI1169" i="72"/>
  <c r="AI1170" i="72"/>
  <c r="AI1171" i="72"/>
  <c r="AI1172" i="72"/>
  <c r="AI1173" i="72"/>
  <c r="AI1174" i="72"/>
  <c r="AI1175" i="72"/>
  <c r="AI1176" i="72"/>
  <c r="AI1177" i="72"/>
  <c r="AI1178" i="72"/>
  <c r="AI1179" i="72"/>
  <c r="AI1180" i="72"/>
  <c r="AI1181" i="72"/>
  <c r="AI1182" i="72"/>
  <c r="AI1183" i="72"/>
  <c r="AI1184" i="72"/>
  <c r="AI1185" i="72"/>
  <c r="AI1186" i="72"/>
  <c r="AI1187" i="72"/>
  <c r="AI1188" i="72"/>
  <c r="AI1189" i="72"/>
  <c r="AI1190" i="72"/>
  <c r="AI1191" i="72"/>
  <c r="AI1192" i="72"/>
  <c r="AI1193" i="72"/>
  <c r="AI1194" i="72"/>
  <c r="AI1195" i="72"/>
  <c r="AI1196" i="72"/>
  <c r="AI1197" i="72"/>
  <c r="AI1198" i="72"/>
  <c r="AI1199" i="72"/>
  <c r="AI1200" i="72"/>
  <c r="AI1201" i="72"/>
  <c r="AI1202" i="72"/>
  <c r="AI1203" i="72"/>
  <c r="AI1204" i="72"/>
  <c r="AI1205" i="72"/>
  <c r="AI1206" i="72"/>
  <c r="AI1207" i="72"/>
  <c r="AI1208" i="72"/>
  <c r="AI1209" i="72"/>
  <c r="AI1210" i="72"/>
  <c r="AI1211" i="72"/>
  <c r="AI1212" i="72"/>
  <c r="AI1213" i="72"/>
  <c r="AI1214" i="72"/>
  <c r="AI1215" i="72"/>
  <c r="AI1216" i="72"/>
  <c r="AI1217" i="72"/>
  <c r="AI1218" i="72"/>
  <c r="AI1219" i="72"/>
  <c r="AI1220" i="72"/>
  <c r="AI1221" i="72"/>
  <c r="AI1222" i="72"/>
  <c r="AI1223" i="72"/>
  <c r="AI1224" i="72"/>
  <c r="AI1225" i="72"/>
  <c r="AI1226" i="72"/>
  <c r="AI1227" i="72"/>
  <c r="AI1228" i="72"/>
  <c r="AI1229" i="72"/>
  <c r="AI1230" i="72"/>
  <c r="AI1231" i="72"/>
  <c r="AI1232" i="72"/>
  <c r="AI1233" i="72"/>
  <c r="AI1234" i="72"/>
  <c r="AI1235" i="72"/>
  <c r="AI1236" i="72"/>
  <c r="AI1237" i="72"/>
  <c r="AI1238" i="72"/>
  <c r="AI1239" i="72"/>
  <c r="AI1240" i="72"/>
  <c r="AI1241" i="72"/>
  <c r="AI1242" i="72"/>
  <c r="AI1243" i="72"/>
  <c r="AI1244" i="72"/>
  <c r="AI1245" i="72"/>
  <c r="AI1246" i="72"/>
  <c r="AI1247" i="72"/>
  <c r="AI1248" i="72"/>
  <c r="AI1249" i="72"/>
  <c r="AI1250" i="72"/>
  <c r="AI1251" i="72"/>
  <c r="AI1252" i="72"/>
  <c r="AJ501" i="72"/>
  <c r="AJ502" i="72"/>
  <c r="AJ503" i="72"/>
  <c r="AJ504" i="72"/>
  <c r="AJ505" i="72"/>
  <c r="AJ506" i="72"/>
  <c r="AJ507" i="72"/>
  <c r="AJ508" i="72"/>
  <c r="AJ509" i="72"/>
  <c r="AJ510" i="72"/>
  <c r="AJ511" i="72"/>
  <c r="AJ512" i="72"/>
  <c r="AJ513" i="72"/>
  <c r="AJ514" i="72"/>
  <c r="AJ515" i="72"/>
  <c r="AJ516" i="72"/>
  <c r="AJ517" i="72"/>
  <c r="AJ518" i="72"/>
  <c r="AJ519" i="72"/>
  <c r="AJ520" i="72"/>
  <c r="AJ521" i="72"/>
  <c r="AJ522" i="72"/>
  <c r="AJ523" i="72"/>
  <c r="AJ524" i="72"/>
  <c r="AJ525" i="72"/>
  <c r="AJ526" i="72"/>
  <c r="AJ527" i="72"/>
  <c r="AJ528" i="72"/>
  <c r="AJ529" i="72"/>
  <c r="AJ530" i="72"/>
  <c r="AJ531" i="72"/>
  <c r="AJ532" i="72"/>
  <c r="AJ533" i="72"/>
  <c r="AJ534" i="72"/>
  <c r="AJ535" i="72"/>
  <c r="AJ536" i="72"/>
  <c r="AJ537" i="72"/>
  <c r="AJ538" i="72"/>
  <c r="AJ539" i="72"/>
  <c r="AJ540" i="72"/>
  <c r="AJ541" i="72"/>
  <c r="AJ542" i="72"/>
  <c r="AJ543" i="72"/>
  <c r="AJ544" i="72"/>
  <c r="AJ545" i="72"/>
  <c r="AJ546" i="72"/>
  <c r="AJ547" i="72"/>
  <c r="AJ548" i="72"/>
  <c r="AJ549" i="72"/>
  <c r="AJ550" i="72"/>
  <c r="AJ551" i="72"/>
  <c r="AJ552" i="72"/>
  <c r="AJ553" i="72"/>
  <c r="AJ554" i="72"/>
  <c r="AJ555" i="72"/>
  <c r="AJ556" i="72"/>
  <c r="AJ557" i="72"/>
  <c r="AJ558" i="72"/>
  <c r="AJ559" i="72"/>
  <c r="AJ560" i="72"/>
  <c r="AJ561" i="72"/>
  <c r="AJ562" i="72"/>
  <c r="AJ563" i="72"/>
  <c r="AJ564" i="72"/>
  <c r="AJ565" i="72"/>
  <c r="AJ566" i="72"/>
  <c r="AJ567" i="72"/>
  <c r="AJ568" i="72"/>
  <c r="AJ569" i="72"/>
  <c r="AJ570" i="72"/>
  <c r="AJ571" i="72"/>
  <c r="AJ572" i="72"/>
  <c r="AJ573" i="72"/>
  <c r="AJ574" i="72"/>
  <c r="AJ575" i="72"/>
  <c r="AJ576" i="72"/>
  <c r="AJ577" i="72"/>
  <c r="AJ578" i="72"/>
  <c r="AJ579" i="72"/>
  <c r="AJ580" i="72"/>
  <c r="AJ581" i="72"/>
  <c r="AJ582" i="72"/>
  <c r="AJ583" i="72"/>
  <c r="AJ584" i="72"/>
  <c r="AJ585" i="72"/>
  <c r="AJ586" i="72"/>
  <c r="AJ587" i="72"/>
  <c r="AJ588" i="72"/>
  <c r="AJ589" i="72"/>
  <c r="AJ590" i="72"/>
  <c r="AJ591" i="72"/>
  <c r="AJ592" i="72"/>
  <c r="AJ593" i="72"/>
  <c r="AJ594" i="72"/>
  <c r="AJ595" i="72"/>
  <c r="AJ596" i="72"/>
  <c r="AJ597" i="72"/>
  <c r="AJ598" i="72"/>
  <c r="AJ599" i="72"/>
  <c r="AJ600" i="72"/>
  <c r="AJ601" i="72"/>
  <c r="AJ602" i="72"/>
  <c r="AJ603" i="72"/>
  <c r="AJ604" i="72"/>
  <c r="AJ605" i="72"/>
  <c r="AJ606" i="72"/>
  <c r="AJ607" i="72"/>
  <c r="AJ608" i="72"/>
  <c r="AJ609" i="72"/>
  <c r="AJ610" i="72"/>
  <c r="AJ611" i="72"/>
  <c r="AJ612" i="72"/>
  <c r="AJ613" i="72"/>
  <c r="AJ614" i="72"/>
  <c r="AJ615" i="72"/>
  <c r="AJ616" i="72"/>
  <c r="AJ617" i="72"/>
  <c r="AJ618" i="72"/>
  <c r="AJ619" i="72"/>
  <c r="AJ620" i="72"/>
  <c r="AJ621" i="72"/>
  <c r="AJ622" i="72"/>
  <c r="AJ623" i="72"/>
  <c r="AJ624" i="72"/>
  <c r="AJ625" i="72"/>
  <c r="AJ626" i="72"/>
  <c r="AJ627" i="72"/>
  <c r="AJ628" i="72"/>
  <c r="AJ629" i="72"/>
  <c r="AJ630" i="72"/>
  <c r="AJ631" i="72"/>
  <c r="AJ632" i="72"/>
  <c r="AJ633" i="72"/>
  <c r="AJ634" i="72"/>
  <c r="AJ635" i="72"/>
  <c r="AJ636" i="72"/>
  <c r="AJ637" i="72"/>
  <c r="AJ638" i="72"/>
  <c r="AJ639" i="72"/>
  <c r="AJ640" i="72"/>
  <c r="AJ641" i="72"/>
  <c r="AJ642" i="72"/>
  <c r="AJ643" i="72"/>
  <c r="AJ644" i="72"/>
  <c r="AJ645" i="72"/>
  <c r="AJ646" i="72"/>
  <c r="AJ647" i="72"/>
  <c r="AJ648" i="72"/>
  <c r="AJ649" i="72"/>
  <c r="AJ650" i="72"/>
  <c r="AJ651" i="72"/>
  <c r="AJ652" i="72"/>
  <c r="AJ653" i="72"/>
  <c r="AJ654" i="72"/>
  <c r="AJ655" i="72"/>
  <c r="AJ656" i="72"/>
  <c r="AJ657" i="72"/>
  <c r="AJ658" i="72"/>
  <c r="AJ659" i="72"/>
  <c r="AJ660" i="72"/>
  <c r="AJ661" i="72"/>
  <c r="AJ662" i="72"/>
  <c r="AJ663" i="72"/>
  <c r="AJ664" i="72"/>
  <c r="AJ665" i="72"/>
  <c r="AJ666" i="72"/>
  <c r="AJ667" i="72"/>
  <c r="AJ668" i="72"/>
  <c r="AJ669" i="72"/>
  <c r="AJ670" i="72"/>
  <c r="AJ671" i="72"/>
  <c r="AJ672" i="72"/>
  <c r="AJ673" i="72"/>
  <c r="AJ674" i="72"/>
  <c r="AJ675" i="72"/>
  <c r="AJ676" i="72"/>
  <c r="AJ677" i="72"/>
  <c r="AJ678" i="72"/>
  <c r="AJ679" i="72"/>
  <c r="AJ680" i="72"/>
  <c r="AJ681" i="72"/>
  <c r="AJ682" i="72"/>
  <c r="AJ683" i="72"/>
  <c r="AJ684" i="72"/>
  <c r="AJ685" i="72"/>
  <c r="AJ686" i="72"/>
  <c r="AJ687" i="72"/>
  <c r="AJ688" i="72"/>
  <c r="AJ689" i="72"/>
  <c r="AJ690" i="72"/>
  <c r="AJ691" i="72"/>
  <c r="AJ692" i="72"/>
  <c r="AJ693" i="72"/>
  <c r="AJ694" i="72"/>
  <c r="AJ695" i="72"/>
  <c r="AJ696" i="72"/>
  <c r="AJ697" i="72"/>
  <c r="AJ698" i="72"/>
  <c r="AJ699" i="72"/>
  <c r="AJ700" i="72"/>
  <c r="AJ701" i="72"/>
  <c r="AJ702" i="72"/>
  <c r="AJ703" i="72"/>
  <c r="AJ704" i="72"/>
  <c r="AJ705" i="72"/>
  <c r="AJ706" i="72"/>
  <c r="AJ707" i="72"/>
  <c r="AJ708" i="72"/>
  <c r="AJ709" i="72"/>
  <c r="AJ710" i="72"/>
  <c r="AJ711" i="72"/>
  <c r="AJ712" i="72"/>
  <c r="AJ713" i="72"/>
  <c r="AJ714" i="72"/>
  <c r="AJ715" i="72"/>
  <c r="AJ716" i="72"/>
  <c r="AJ717" i="72"/>
  <c r="AJ718" i="72"/>
  <c r="AJ719" i="72"/>
  <c r="AJ720" i="72"/>
  <c r="AJ721" i="72"/>
  <c r="AJ722" i="72"/>
  <c r="AJ723" i="72"/>
  <c r="AJ724" i="72"/>
  <c r="AJ725" i="72"/>
  <c r="AJ726" i="72"/>
  <c r="AJ727" i="72"/>
  <c r="AJ728" i="72"/>
  <c r="AJ729" i="72"/>
  <c r="AJ730" i="72"/>
  <c r="AJ731" i="72"/>
  <c r="AJ732" i="72"/>
  <c r="AJ733" i="72"/>
  <c r="AJ734" i="72"/>
  <c r="AJ735" i="72"/>
  <c r="AJ736" i="72"/>
  <c r="AJ737" i="72"/>
  <c r="AJ738" i="72"/>
  <c r="AJ739" i="72"/>
  <c r="AJ740" i="72"/>
  <c r="AJ741" i="72"/>
  <c r="AJ742" i="72"/>
  <c r="AJ743" i="72"/>
  <c r="AJ744" i="72"/>
  <c r="AJ745" i="72"/>
  <c r="AJ746" i="72"/>
  <c r="AJ747" i="72"/>
  <c r="AJ748" i="72"/>
  <c r="AJ749" i="72"/>
  <c r="AJ750" i="72"/>
  <c r="AJ751" i="72"/>
  <c r="AJ752" i="72"/>
  <c r="AJ753" i="72"/>
  <c r="AJ754" i="72"/>
  <c r="AJ755" i="72"/>
  <c r="AJ756" i="72"/>
  <c r="AJ757" i="72"/>
  <c r="AJ758" i="72"/>
  <c r="AJ759" i="72"/>
  <c r="AJ760" i="72"/>
  <c r="AJ761" i="72"/>
  <c r="AJ762" i="72"/>
  <c r="AJ763" i="72"/>
  <c r="AJ764" i="72"/>
  <c r="AJ765" i="72"/>
  <c r="AJ766" i="72"/>
  <c r="AJ767" i="72"/>
  <c r="AJ768" i="72"/>
  <c r="AJ769" i="72"/>
  <c r="AJ770" i="72"/>
  <c r="AJ771" i="72"/>
  <c r="AJ772" i="72"/>
  <c r="AJ773" i="72"/>
  <c r="AJ774" i="72"/>
  <c r="AJ775" i="72"/>
  <c r="AJ776" i="72"/>
  <c r="AJ777" i="72"/>
  <c r="AJ778" i="72"/>
  <c r="AJ779" i="72"/>
  <c r="AJ780" i="72"/>
  <c r="AJ781" i="72"/>
  <c r="AJ782" i="72"/>
  <c r="AJ783" i="72"/>
  <c r="AJ784" i="72"/>
  <c r="AJ785" i="72"/>
  <c r="AJ786" i="72"/>
  <c r="AJ787" i="72"/>
  <c r="AJ788" i="72"/>
  <c r="AJ789" i="72"/>
  <c r="AJ790" i="72"/>
  <c r="AJ791" i="72"/>
  <c r="AJ792" i="72"/>
  <c r="AJ793" i="72"/>
  <c r="AJ794" i="72"/>
  <c r="AJ795" i="72"/>
  <c r="AJ796" i="72"/>
  <c r="AJ797" i="72"/>
  <c r="AJ798" i="72"/>
  <c r="AJ799" i="72"/>
  <c r="AJ800" i="72"/>
  <c r="AJ801" i="72"/>
  <c r="AJ802" i="72"/>
  <c r="AJ803" i="72"/>
  <c r="AJ804" i="72"/>
  <c r="AJ805" i="72"/>
  <c r="AJ806" i="72"/>
  <c r="AJ807" i="72"/>
  <c r="AJ808" i="72"/>
  <c r="AJ809" i="72"/>
  <c r="AJ810" i="72"/>
  <c r="AJ811" i="72"/>
  <c r="AJ812" i="72"/>
  <c r="AJ813" i="72"/>
  <c r="AJ814" i="72"/>
  <c r="AJ815" i="72"/>
  <c r="AJ816" i="72"/>
  <c r="AJ817" i="72"/>
  <c r="AJ818" i="72"/>
  <c r="AJ819" i="72"/>
  <c r="AJ820" i="72"/>
  <c r="AJ821" i="72"/>
  <c r="AJ822" i="72"/>
  <c r="AJ823" i="72"/>
  <c r="AJ824" i="72"/>
  <c r="AJ825" i="72"/>
  <c r="AJ826" i="72"/>
  <c r="AJ827" i="72"/>
  <c r="AJ828" i="72"/>
  <c r="AJ829" i="72"/>
  <c r="AJ830" i="72"/>
  <c r="AJ831" i="72"/>
  <c r="AJ832" i="72"/>
  <c r="AJ833" i="72"/>
  <c r="AJ834" i="72"/>
  <c r="AJ835" i="72"/>
  <c r="AJ836" i="72"/>
  <c r="AJ837" i="72"/>
  <c r="AJ838" i="72"/>
  <c r="AJ839" i="72"/>
  <c r="AJ840" i="72"/>
  <c r="AJ841" i="72"/>
  <c r="AJ842" i="72"/>
  <c r="AJ843" i="72"/>
  <c r="AJ844" i="72"/>
  <c r="AJ845" i="72"/>
  <c r="AJ846" i="72"/>
  <c r="AJ847" i="72"/>
  <c r="AJ848" i="72"/>
  <c r="AJ849" i="72"/>
  <c r="AJ850" i="72"/>
  <c r="AJ851" i="72"/>
  <c r="AJ852" i="72"/>
  <c r="AJ853" i="72"/>
  <c r="AJ854" i="72"/>
  <c r="AJ855" i="72"/>
  <c r="AJ856" i="72"/>
  <c r="AJ857" i="72"/>
  <c r="AJ858" i="72"/>
  <c r="AJ859" i="72"/>
  <c r="AJ860" i="72"/>
  <c r="AJ861" i="72"/>
  <c r="AJ862" i="72"/>
  <c r="AJ863" i="72"/>
  <c r="AJ864" i="72"/>
  <c r="AJ865" i="72"/>
  <c r="AJ866" i="72"/>
  <c r="AJ867" i="72"/>
  <c r="AJ868" i="72"/>
  <c r="AJ869" i="72"/>
  <c r="AJ870" i="72"/>
  <c r="AJ871" i="72"/>
  <c r="AJ872" i="72"/>
  <c r="AJ873" i="72"/>
  <c r="AJ874" i="72"/>
  <c r="AJ875" i="72"/>
  <c r="AJ876" i="72"/>
  <c r="AJ877" i="72"/>
  <c r="AJ878" i="72"/>
  <c r="AJ879" i="72"/>
  <c r="AJ880" i="72"/>
  <c r="AJ881" i="72"/>
  <c r="AJ882" i="72"/>
  <c r="AJ883" i="72"/>
  <c r="AJ884" i="72"/>
  <c r="AJ885" i="72"/>
  <c r="AJ886" i="72"/>
  <c r="AJ887" i="72"/>
  <c r="AJ888" i="72"/>
  <c r="AJ889" i="72"/>
  <c r="AJ890" i="72"/>
  <c r="AJ891" i="72"/>
  <c r="AJ892" i="72"/>
  <c r="AJ893" i="72"/>
  <c r="AJ894" i="72"/>
  <c r="AJ895" i="72"/>
  <c r="AJ896" i="72"/>
  <c r="AJ897" i="72"/>
  <c r="AJ898" i="72"/>
  <c r="AJ899" i="72"/>
  <c r="AJ900" i="72"/>
  <c r="AJ901" i="72"/>
  <c r="AJ902" i="72"/>
  <c r="AJ903" i="72"/>
  <c r="AJ904" i="72"/>
  <c r="AJ905" i="72"/>
  <c r="AJ906" i="72"/>
  <c r="AJ907" i="72"/>
  <c r="AJ908" i="72"/>
  <c r="AJ909" i="72"/>
  <c r="AJ910" i="72"/>
  <c r="AJ911" i="72"/>
  <c r="AJ912" i="72"/>
  <c r="AJ913" i="72"/>
  <c r="AJ914" i="72"/>
  <c r="AJ915" i="72"/>
  <c r="AJ916" i="72"/>
  <c r="AJ917" i="72"/>
  <c r="AJ918" i="72"/>
  <c r="AJ919" i="72"/>
  <c r="AJ920" i="72"/>
  <c r="AJ921" i="72"/>
  <c r="AJ922" i="72"/>
  <c r="AJ923" i="72"/>
  <c r="AJ924" i="72"/>
  <c r="AJ925" i="72"/>
  <c r="AJ926" i="72"/>
  <c r="AJ927" i="72"/>
  <c r="AJ928" i="72"/>
  <c r="AJ929" i="72"/>
  <c r="AJ930" i="72"/>
  <c r="AJ931" i="72"/>
  <c r="AJ932" i="72"/>
  <c r="AJ933" i="72"/>
  <c r="AJ934" i="72"/>
  <c r="AJ935" i="72"/>
  <c r="AJ936" i="72"/>
  <c r="AJ937" i="72"/>
  <c r="AJ938" i="72"/>
  <c r="AJ939" i="72"/>
  <c r="AJ940" i="72"/>
  <c r="AJ941" i="72"/>
  <c r="AJ942" i="72"/>
  <c r="AJ943" i="72"/>
  <c r="AJ944" i="72"/>
  <c r="AJ945" i="72"/>
  <c r="AJ946" i="72"/>
  <c r="AJ947" i="72"/>
  <c r="AJ948" i="72"/>
  <c r="AJ949" i="72"/>
  <c r="AJ950" i="72"/>
  <c r="AJ951" i="72"/>
  <c r="AJ952" i="72"/>
  <c r="AJ953" i="72"/>
  <c r="AJ954" i="72"/>
  <c r="AJ955" i="72"/>
  <c r="AJ956" i="72"/>
  <c r="AJ957" i="72"/>
  <c r="AJ958" i="72"/>
  <c r="AJ959" i="72"/>
  <c r="AJ960" i="72"/>
  <c r="AJ961" i="72"/>
  <c r="AJ962" i="72"/>
  <c r="AJ963" i="72"/>
  <c r="AJ964" i="72"/>
  <c r="AJ965" i="72"/>
  <c r="AJ966" i="72"/>
  <c r="AJ967" i="72"/>
  <c r="AJ968" i="72"/>
  <c r="AJ969" i="72"/>
  <c r="AJ970" i="72"/>
  <c r="AJ971" i="72"/>
  <c r="AJ972" i="72"/>
  <c r="AJ973" i="72"/>
  <c r="AJ974" i="72"/>
  <c r="AJ975" i="72"/>
  <c r="AJ976" i="72"/>
  <c r="AJ977" i="72"/>
  <c r="AJ978" i="72"/>
  <c r="AJ979" i="72"/>
  <c r="AJ980" i="72"/>
  <c r="AJ981" i="72"/>
  <c r="AJ982" i="72"/>
  <c r="AJ983" i="72"/>
  <c r="AJ984" i="72"/>
  <c r="AJ985" i="72"/>
  <c r="AJ986" i="72"/>
  <c r="AJ987" i="72"/>
  <c r="AJ988" i="72"/>
  <c r="AJ989" i="72"/>
  <c r="AJ990" i="72"/>
  <c r="AJ991" i="72"/>
  <c r="AJ992" i="72"/>
  <c r="AJ993" i="72"/>
  <c r="AJ994" i="72"/>
  <c r="AJ995" i="72"/>
  <c r="AJ996" i="72"/>
  <c r="AJ997" i="72"/>
  <c r="AJ998" i="72"/>
  <c r="AJ999" i="72"/>
  <c r="AJ1000" i="72"/>
  <c r="AJ1001" i="72"/>
  <c r="AJ1002" i="72"/>
  <c r="AJ1003" i="72"/>
  <c r="AJ1004" i="72"/>
  <c r="AJ1005" i="72"/>
  <c r="AJ1006" i="72"/>
  <c r="AJ1007" i="72"/>
  <c r="AJ1008" i="72"/>
  <c r="AJ1009" i="72"/>
  <c r="AJ1010" i="72"/>
  <c r="AJ1011" i="72"/>
  <c r="AJ1012" i="72"/>
  <c r="AJ1013" i="72"/>
  <c r="AJ1014" i="72"/>
  <c r="AJ1015" i="72"/>
  <c r="AJ1016" i="72"/>
  <c r="AJ1017" i="72"/>
  <c r="AJ1018" i="72"/>
  <c r="AJ1019" i="72"/>
  <c r="AJ1020" i="72"/>
  <c r="AJ1021" i="72"/>
  <c r="AJ1022" i="72"/>
  <c r="AJ1023" i="72"/>
  <c r="AJ1024" i="72"/>
  <c r="AJ1025" i="72"/>
  <c r="AJ1026" i="72"/>
  <c r="AJ1027" i="72"/>
  <c r="AJ1028" i="72"/>
  <c r="AJ1029" i="72"/>
  <c r="AJ1030" i="72"/>
  <c r="AJ1031" i="72"/>
  <c r="AJ1032" i="72"/>
  <c r="AJ1033" i="72"/>
  <c r="AJ1034" i="72"/>
  <c r="AJ1035" i="72"/>
  <c r="AJ1036" i="72"/>
  <c r="AJ1037" i="72"/>
  <c r="AJ1038" i="72"/>
  <c r="AJ1039" i="72"/>
  <c r="AJ1040" i="72"/>
  <c r="AJ1041" i="72"/>
  <c r="AJ1042" i="72"/>
  <c r="AJ1043" i="72"/>
  <c r="AJ1044" i="72"/>
  <c r="AJ1045" i="72"/>
  <c r="AJ1046" i="72"/>
  <c r="AJ1047" i="72"/>
  <c r="AJ1048" i="72"/>
  <c r="AJ1049" i="72"/>
  <c r="AJ1050" i="72"/>
  <c r="AJ1051" i="72"/>
  <c r="AJ1052" i="72"/>
  <c r="AJ1053" i="72"/>
  <c r="AJ1054" i="72"/>
  <c r="AJ1055" i="72"/>
  <c r="AJ1056" i="72"/>
  <c r="AJ1057" i="72"/>
  <c r="AJ1058" i="72"/>
  <c r="AJ1059" i="72"/>
  <c r="AJ1060" i="72"/>
  <c r="AJ1061" i="72"/>
  <c r="AJ1062" i="72"/>
  <c r="AJ1063" i="72"/>
  <c r="AJ1064" i="72"/>
  <c r="AJ1065" i="72"/>
  <c r="AJ1066" i="72"/>
  <c r="AJ1067" i="72"/>
  <c r="AJ1068" i="72"/>
  <c r="AJ1069" i="72"/>
  <c r="AJ1070" i="72"/>
  <c r="AJ1071" i="72"/>
  <c r="AJ1072" i="72"/>
  <c r="AJ1073" i="72"/>
  <c r="AJ1074" i="72"/>
  <c r="AJ1075" i="72"/>
  <c r="AJ1076" i="72"/>
  <c r="AJ1077" i="72"/>
  <c r="AJ1078" i="72"/>
  <c r="AJ1079" i="72"/>
  <c r="AJ1080" i="72"/>
  <c r="AJ1081" i="72"/>
  <c r="AJ1082" i="72"/>
  <c r="AJ1083" i="72"/>
  <c r="AJ1084" i="72"/>
  <c r="AJ1085" i="72"/>
  <c r="AJ1086" i="72"/>
  <c r="AJ1087" i="72"/>
  <c r="AJ1088" i="72"/>
  <c r="AJ1089" i="72"/>
  <c r="AJ1090" i="72"/>
  <c r="AJ1091" i="72"/>
  <c r="AJ1092" i="72"/>
  <c r="AJ1093" i="72"/>
  <c r="AJ1094" i="72"/>
  <c r="AJ1095" i="72"/>
  <c r="AJ1096" i="72"/>
  <c r="AJ1097" i="72"/>
  <c r="AJ1098" i="72"/>
  <c r="AJ1099" i="72"/>
  <c r="AJ1100" i="72"/>
  <c r="AJ1101" i="72"/>
  <c r="AJ1102" i="72"/>
  <c r="AJ1103" i="72"/>
  <c r="AJ1104" i="72"/>
  <c r="AJ1105" i="72"/>
  <c r="AJ1106" i="72"/>
  <c r="AJ1107" i="72"/>
  <c r="AJ1108" i="72"/>
  <c r="AJ1109" i="72"/>
  <c r="AJ1110" i="72"/>
  <c r="AJ1111" i="72"/>
  <c r="AJ1112" i="72"/>
  <c r="AJ1113" i="72"/>
  <c r="AJ1114" i="72"/>
  <c r="AJ1115" i="72"/>
  <c r="AJ1116" i="72"/>
  <c r="AJ1117" i="72"/>
  <c r="AJ1118" i="72"/>
  <c r="AJ1119" i="72"/>
  <c r="AJ1120" i="72"/>
  <c r="AJ1121" i="72"/>
  <c r="AJ1122" i="72"/>
  <c r="AJ1123" i="72"/>
  <c r="AJ1124" i="72"/>
  <c r="AJ1125" i="72"/>
  <c r="AJ1126" i="72"/>
  <c r="AJ1127" i="72"/>
  <c r="AJ1128" i="72"/>
  <c r="AJ1129" i="72"/>
  <c r="AJ1130" i="72"/>
  <c r="AJ1131" i="72"/>
  <c r="AJ1132" i="72"/>
  <c r="AJ1133" i="72"/>
  <c r="AJ1134" i="72"/>
  <c r="AJ1135" i="72"/>
  <c r="AJ1136" i="72"/>
  <c r="AJ1137" i="72"/>
  <c r="AJ1138" i="72"/>
  <c r="AJ1139" i="72"/>
  <c r="AJ1140" i="72"/>
  <c r="AJ1141" i="72"/>
  <c r="AJ1142" i="72"/>
  <c r="AJ1143" i="72"/>
  <c r="AJ1144" i="72"/>
  <c r="AJ1145" i="72"/>
  <c r="AJ1146" i="72"/>
  <c r="AJ1147" i="72"/>
  <c r="AJ1148" i="72"/>
  <c r="AJ1149" i="72"/>
  <c r="AJ1150" i="72"/>
  <c r="AJ1151" i="72"/>
  <c r="AJ1152" i="72"/>
  <c r="AJ1153" i="72"/>
  <c r="AJ1154" i="72"/>
  <c r="AJ1155" i="72"/>
  <c r="AJ1156" i="72"/>
  <c r="AJ1157" i="72"/>
  <c r="AJ1158" i="72"/>
  <c r="AJ1159" i="72"/>
  <c r="AJ1160" i="72"/>
  <c r="AJ1161" i="72"/>
  <c r="AJ1162" i="72"/>
  <c r="AJ1163" i="72"/>
  <c r="AJ1164" i="72"/>
  <c r="AJ1165" i="72"/>
  <c r="AJ1166" i="72"/>
  <c r="AJ1167" i="72"/>
  <c r="AJ1168" i="72"/>
  <c r="AJ1169" i="72"/>
  <c r="AJ1170" i="72"/>
  <c r="AJ1171" i="72"/>
  <c r="AJ1172" i="72"/>
  <c r="AJ1173" i="72"/>
  <c r="AJ1174" i="72"/>
  <c r="AJ1175" i="72"/>
  <c r="AJ1176" i="72"/>
  <c r="AJ1177" i="72"/>
  <c r="AJ1178" i="72"/>
  <c r="AJ1179" i="72"/>
  <c r="AJ1180" i="72"/>
  <c r="AJ1181" i="72"/>
  <c r="AJ1182" i="72"/>
  <c r="AJ1183" i="72"/>
  <c r="AJ1184" i="72"/>
  <c r="AJ1185" i="72"/>
  <c r="AJ1186" i="72"/>
  <c r="AJ1187" i="72"/>
  <c r="AJ1188" i="72"/>
  <c r="AJ1189" i="72"/>
  <c r="AJ1190" i="72"/>
  <c r="AJ1191" i="72"/>
  <c r="AJ1192" i="72"/>
  <c r="AJ1193" i="72"/>
  <c r="AJ1194" i="72"/>
  <c r="AJ1195" i="72"/>
  <c r="AJ1196" i="72"/>
  <c r="AJ1197" i="72"/>
  <c r="AJ1198" i="72"/>
  <c r="AJ1199" i="72"/>
  <c r="AJ1200" i="72"/>
  <c r="AJ1201" i="72"/>
  <c r="AJ1202" i="72"/>
  <c r="AJ1203" i="72"/>
  <c r="AJ1204" i="72"/>
  <c r="AJ1205" i="72"/>
  <c r="AJ1206" i="72"/>
  <c r="AJ1207" i="72"/>
  <c r="AJ1208" i="72"/>
  <c r="AJ1209" i="72"/>
  <c r="AJ1210" i="72"/>
  <c r="AJ1211" i="72"/>
  <c r="AJ1212" i="72"/>
  <c r="AJ1213" i="72"/>
  <c r="AJ1214" i="72"/>
  <c r="AJ1215" i="72"/>
  <c r="AJ1216" i="72"/>
  <c r="AJ1217" i="72"/>
  <c r="AJ1218" i="72"/>
  <c r="AJ1219" i="72"/>
  <c r="AJ1220" i="72"/>
  <c r="AJ1221" i="72"/>
  <c r="AJ1222" i="72"/>
  <c r="AJ1223" i="72"/>
  <c r="AJ1224" i="72"/>
  <c r="AJ1225" i="72"/>
  <c r="AJ1226" i="72"/>
  <c r="AJ1227" i="72"/>
  <c r="AJ1228" i="72"/>
  <c r="AJ1229" i="72"/>
  <c r="AJ1230" i="72"/>
  <c r="AJ1231" i="72"/>
  <c r="AJ1232" i="72"/>
  <c r="AJ1233" i="72"/>
  <c r="AJ1234" i="72"/>
  <c r="AJ1235" i="72"/>
  <c r="AJ1236" i="72"/>
  <c r="AJ1237" i="72"/>
  <c r="AJ1238" i="72"/>
  <c r="AJ1239" i="72"/>
  <c r="AJ1240" i="72"/>
  <c r="AJ1241" i="72"/>
  <c r="AJ1242" i="72"/>
  <c r="AJ1243" i="72"/>
  <c r="AJ1244" i="72"/>
  <c r="AJ1245" i="72"/>
  <c r="AJ1246" i="72"/>
  <c r="AJ1247" i="72"/>
  <c r="AJ1248" i="72"/>
  <c r="AJ1249" i="72"/>
  <c r="AJ1250" i="72"/>
  <c r="AJ1251" i="72"/>
  <c r="AJ1252" i="72"/>
  <c r="AK501" i="72"/>
  <c r="AK502" i="72"/>
  <c r="AK503" i="72"/>
  <c r="AK504" i="72"/>
  <c r="AK505" i="72"/>
  <c r="AK506" i="72"/>
  <c r="AK507" i="72"/>
  <c r="AK508" i="72"/>
  <c r="AK509" i="72"/>
  <c r="AK510" i="72"/>
  <c r="AK511" i="72"/>
  <c r="AK512" i="72"/>
  <c r="AK513" i="72"/>
  <c r="AK514" i="72"/>
  <c r="AK515" i="72"/>
  <c r="AK516" i="72"/>
  <c r="AK517" i="72"/>
  <c r="AK518" i="72"/>
  <c r="AK519" i="72"/>
  <c r="AK520" i="72"/>
  <c r="AK521" i="72"/>
  <c r="AK522" i="72"/>
  <c r="AK523" i="72"/>
  <c r="AK524" i="72"/>
  <c r="AK525" i="72"/>
  <c r="AK526" i="72"/>
  <c r="AK527" i="72"/>
  <c r="AK528" i="72"/>
  <c r="AK529" i="72"/>
  <c r="AK530" i="72"/>
  <c r="AK531" i="72"/>
  <c r="AK532" i="72"/>
  <c r="AK533" i="72"/>
  <c r="AK534" i="72"/>
  <c r="AK535" i="72"/>
  <c r="AK536" i="72"/>
  <c r="AK537" i="72"/>
  <c r="AK538" i="72"/>
  <c r="AK539" i="72"/>
  <c r="AK540" i="72"/>
  <c r="AK541" i="72"/>
  <c r="AK542" i="72"/>
  <c r="AK543" i="72"/>
  <c r="AK544" i="72"/>
  <c r="AK545" i="72"/>
  <c r="AK546" i="72"/>
  <c r="AK547" i="72"/>
  <c r="AK548" i="72"/>
  <c r="AK549" i="72"/>
  <c r="AK550" i="72"/>
  <c r="AK551" i="72"/>
  <c r="AK552" i="72"/>
  <c r="AK553" i="72"/>
  <c r="AK554" i="72"/>
  <c r="AK555" i="72"/>
  <c r="AK556" i="72"/>
  <c r="AK557" i="72"/>
  <c r="AK558" i="72"/>
  <c r="AK559" i="72"/>
  <c r="AK560" i="72"/>
  <c r="AK561" i="72"/>
  <c r="AK562" i="72"/>
  <c r="AK563" i="72"/>
  <c r="AK564" i="72"/>
  <c r="AK565" i="72"/>
  <c r="AK566" i="72"/>
  <c r="AK567" i="72"/>
  <c r="AK568" i="72"/>
  <c r="AK569" i="72"/>
  <c r="AK570" i="72"/>
  <c r="AK571" i="72"/>
  <c r="AK572" i="72"/>
  <c r="AK573" i="72"/>
  <c r="AK574" i="72"/>
  <c r="AK575" i="72"/>
  <c r="AK576" i="72"/>
  <c r="AK577" i="72"/>
  <c r="AK578" i="72"/>
  <c r="AK579" i="72"/>
  <c r="AK580" i="72"/>
  <c r="AK581" i="72"/>
  <c r="AK582" i="72"/>
  <c r="AK583" i="72"/>
  <c r="AK584" i="72"/>
  <c r="AK585" i="72"/>
  <c r="AK586" i="72"/>
  <c r="AK587" i="72"/>
  <c r="AK588" i="72"/>
  <c r="AK589" i="72"/>
  <c r="AK590" i="72"/>
  <c r="AK591" i="72"/>
  <c r="AK592" i="72"/>
  <c r="AK593" i="72"/>
  <c r="AK594" i="72"/>
  <c r="AK595" i="72"/>
  <c r="AK596" i="72"/>
  <c r="AK597" i="72"/>
  <c r="AK598" i="72"/>
  <c r="AK599" i="72"/>
  <c r="AK600" i="72"/>
  <c r="AK601" i="72"/>
  <c r="AK602" i="72"/>
  <c r="AK603" i="72"/>
  <c r="AK604" i="72"/>
  <c r="AK605" i="72"/>
  <c r="AK606" i="72"/>
  <c r="AK607" i="72"/>
  <c r="AK608" i="72"/>
  <c r="AK609" i="72"/>
  <c r="AK610" i="72"/>
  <c r="AK611" i="72"/>
  <c r="AK612" i="72"/>
  <c r="AK613" i="72"/>
  <c r="AK614" i="72"/>
  <c r="AK615" i="72"/>
  <c r="AK616" i="72"/>
  <c r="AK617" i="72"/>
  <c r="AK618" i="72"/>
  <c r="AK619" i="72"/>
  <c r="AK620" i="72"/>
  <c r="AK621" i="72"/>
  <c r="AK622" i="72"/>
  <c r="AK623" i="72"/>
  <c r="AK624" i="72"/>
  <c r="AK625" i="72"/>
  <c r="AK626" i="72"/>
  <c r="AK627" i="72"/>
  <c r="AK628" i="72"/>
  <c r="AK629" i="72"/>
  <c r="AK630" i="72"/>
  <c r="AK631" i="72"/>
  <c r="AK632" i="72"/>
  <c r="AK633" i="72"/>
  <c r="AK634" i="72"/>
  <c r="AK635" i="72"/>
  <c r="AK636" i="72"/>
  <c r="AK637" i="72"/>
  <c r="AK638" i="72"/>
  <c r="AK639" i="72"/>
  <c r="AK640" i="72"/>
  <c r="AK641" i="72"/>
  <c r="AK642" i="72"/>
  <c r="AK643" i="72"/>
  <c r="AK644" i="72"/>
  <c r="AK645" i="72"/>
  <c r="AK646" i="72"/>
  <c r="AK647" i="72"/>
  <c r="AK648" i="72"/>
  <c r="AK649" i="72"/>
  <c r="AK650" i="72"/>
  <c r="AK651" i="72"/>
  <c r="AK652" i="72"/>
  <c r="AK653" i="72"/>
  <c r="AK654" i="72"/>
  <c r="AK655" i="72"/>
  <c r="AK656" i="72"/>
  <c r="AK657" i="72"/>
  <c r="AK658" i="72"/>
  <c r="AK659" i="72"/>
  <c r="AK660" i="72"/>
  <c r="AK661" i="72"/>
  <c r="AK662" i="72"/>
  <c r="AK663" i="72"/>
  <c r="AK664" i="72"/>
  <c r="AK665" i="72"/>
  <c r="AK666" i="72"/>
  <c r="AK667" i="72"/>
  <c r="AK668" i="72"/>
  <c r="AK669" i="72"/>
  <c r="AK670" i="72"/>
  <c r="AK671" i="72"/>
  <c r="AK672" i="72"/>
  <c r="AK673" i="72"/>
  <c r="AK674" i="72"/>
  <c r="AK675" i="72"/>
  <c r="AK676" i="72"/>
  <c r="AK677" i="72"/>
  <c r="AK678" i="72"/>
  <c r="AK679" i="72"/>
  <c r="AK680" i="72"/>
  <c r="AK681" i="72"/>
  <c r="AK682" i="72"/>
  <c r="AK683" i="72"/>
  <c r="AK684" i="72"/>
  <c r="AK685" i="72"/>
  <c r="AK686" i="72"/>
  <c r="AK687" i="72"/>
  <c r="AK688" i="72"/>
  <c r="AK689" i="72"/>
  <c r="AK690" i="72"/>
  <c r="AK691" i="72"/>
  <c r="AK692" i="72"/>
  <c r="AK693" i="72"/>
  <c r="AK694" i="72"/>
  <c r="AK695" i="72"/>
  <c r="AK696" i="72"/>
  <c r="AK697" i="72"/>
  <c r="AK698" i="72"/>
  <c r="AK699" i="72"/>
  <c r="AK700" i="72"/>
  <c r="AK701" i="72"/>
  <c r="AK702" i="72"/>
  <c r="AK703" i="72"/>
  <c r="AK704" i="72"/>
  <c r="AK705" i="72"/>
  <c r="AK706" i="72"/>
  <c r="AK707" i="72"/>
  <c r="AK708" i="72"/>
  <c r="AK709" i="72"/>
  <c r="AK710" i="72"/>
  <c r="AK711" i="72"/>
  <c r="AK712" i="72"/>
  <c r="AK713" i="72"/>
  <c r="AK714" i="72"/>
  <c r="AK715" i="72"/>
  <c r="AK716" i="72"/>
  <c r="AK717" i="72"/>
  <c r="AK718" i="72"/>
  <c r="AK719" i="72"/>
  <c r="AK720" i="72"/>
  <c r="AK721" i="72"/>
  <c r="AK722" i="72"/>
  <c r="AK723" i="72"/>
  <c r="AK724" i="72"/>
  <c r="AK725" i="72"/>
  <c r="AK726" i="72"/>
  <c r="AK727" i="72"/>
  <c r="AK728" i="72"/>
  <c r="AK729" i="72"/>
  <c r="AK730" i="72"/>
  <c r="AK731" i="72"/>
  <c r="AK732" i="72"/>
  <c r="AK733" i="72"/>
  <c r="AK734" i="72"/>
  <c r="AK735" i="72"/>
  <c r="AK736" i="72"/>
  <c r="AK737" i="72"/>
  <c r="AK738" i="72"/>
  <c r="AK739" i="72"/>
  <c r="AK740" i="72"/>
  <c r="AK741" i="72"/>
  <c r="AK742" i="72"/>
  <c r="AK743" i="72"/>
  <c r="AK744" i="72"/>
  <c r="AK745" i="72"/>
  <c r="AK746" i="72"/>
  <c r="AK747" i="72"/>
  <c r="AK748" i="72"/>
  <c r="AK749" i="72"/>
  <c r="AK750" i="72"/>
  <c r="AK751" i="72"/>
  <c r="AK752" i="72"/>
  <c r="AK753" i="72"/>
  <c r="AK754" i="72"/>
  <c r="AK755" i="72"/>
  <c r="AK756" i="72"/>
  <c r="AK757" i="72"/>
  <c r="AK758" i="72"/>
  <c r="AK759" i="72"/>
  <c r="AK760" i="72"/>
  <c r="AK761" i="72"/>
  <c r="AK762" i="72"/>
  <c r="AK763" i="72"/>
  <c r="AK764" i="72"/>
  <c r="AK765" i="72"/>
  <c r="AK766" i="72"/>
  <c r="AK767" i="72"/>
  <c r="AK768" i="72"/>
  <c r="AK769" i="72"/>
  <c r="AK770" i="72"/>
  <c r="AK771" i="72"/>
  <c r="AK772" i="72"/>
  <c r="AK773" i="72"/>
  <c r="AK774" i="72"/>
  <c r="AK775" i="72"/>
  <c r="AK776" i="72"/>
  <c r="AK777" i="72"/>
  <c r="AK778" i="72"/>
  <c r="AK779" i="72"/>
  <c r="AK780" i="72"/>
  <c r="AK781" i="72"/>
  <c r="AK782" i="72"/>
  <c r="AK783" i="72"/>
  <c r="AK784" i="72"/>
  <c r="AK785" i="72"/>
  <c r="AK786" i="72"/>
  <c r="AK787" i="72"/>
  <c r="AK788" i="72"/>
  <c r="AK789" i="72"/>
  <c r="AK790" i="72"/>
  <c r="AK791" i="72"/>
  <c r="AK792" i="72"/>
  <c r="AK793" i="72"/>
  <c r="AK794" i="72"/>
  <c r="AK795" i="72"/>
  <c r="AK796" i="72"/>
  <c r="AK797" i="72"/>
  <c r="AK798" i="72"/>
  <c r="AK799" i="72"/>
  <c r="AK800" i="72"/>
  <c r="AK801" i="72"/>
  <c r="AK802" i="72"/>
  <c r="AK803" i="72"/>
  <c r="AK804" i="72"/>
  <c r="AK805" i="72"/>
  <c r="AK806" i="72"/>
  <c r="AK807" i="72"/>
  <c r="AK808" i="72"/>
  <c r="AK809" i="72"/>
  <c r="AK810" i="72"/>
  <c r="AK811" i="72"/>
  <c r="AK812" i="72"/>
  <c r="AK813" i="72"/>
  <c r="AK814" i="72"/>
  <c r="AK815" i="72"/>
  <c r="AK816" i="72"/>
  <c r="AK817" i="72"/>
  <c r="AK818" i="72"/>
  <c r="AK819" i="72"/>
  <c r="AK820" i="72"/>
  <c r="AK821" i="72"/>
  <c r="AK822" i="72"/>
  <c r="AK823" i="72"/>
  <c r="AK824" i="72"/>
  <c r="AK825" i="72"/>
  <c r="AK826" i="72"/>
  <c r="AK827" i="72"/>
  <c r="AK828" i="72"/>
  <c r="AK829" i="72"/>
  <c r="AK830" i="72"/>
  <c r="AK831" i="72"/>
  <c r="AK832" i="72"/>
  <c r="AK833" i="72"/>
  <c r="AK834" i="72"/>
  <c r="AK835" i="72"/>
  <c r="AK836" i="72"/>
  <c r="AK837" i="72"/>
  <c r="AK838" i="72"/>
  <c r="AK839" i="72"/>
  <c r="AK840" i="72"/>
  <c r="AK841" i="72"/>
  <c r="AK842" i="72"/>
  <c r="AK843" i="72"/>
  <c r="AK844" i="72"/>
  <c r="AK845" i="72"/>
  <c r="AK846" i="72"/>
  <c r="AK847" i="72"/>
  <c r="AK848" i="72"/>
  <c r="AK849" i="72"/>
  <c r="AK850" i="72"/>
  <c r="AK851" i="72"/>
  <c r="AK852" i="72"/>
  <c r="AK853" i="72"/>
  <c r="AK854" i="72"/>
  <c r="AK855" i="72"/>
  <c r="AK856" i="72"/>
  <c r="AK857" i="72"/>
  <c r="AK858" i="72"/>
  <c r="AK859" i="72"/>
  <c r="AK860" i="72"/>
  <c r="AK861" i="72"/>
  <c r="AK862" i="72"/>
  <c r="AK863" i="72"/>
  <c r="AK864" i="72"/>
  <c r="AK865" i="72"/>
  <c r="AK866" i="72"/>
  <c r="AK867" i="72"/>
  <c r="AK868" i="72"/>
  <c r="AK869" i="72"/>
  <c r="AK870" i="72"/>
  <c r="AK871" i="72"/>
  <c r="AK872" i="72"/>
  <c r="AK873" i="72"/>
  <c r="AK874" i="72"/>
  <c r="AK875" i="72"/>
  <c r="AK876" i="72"/>
  <c r="AK877" i="72"/>
  <c r="AK878" i="72"/>
  <c r="AK879" i="72"/>
  <c r="AK880" i="72"/>
  <c r="AK881" i="72"/>
  <c r="AK882" i="72"/>
  <c r="AK883" i="72"/>
  <c r="AK884" i="72"/>
  <c r="AK885" i="72"/>
  <c r="AK886" i="72"/>
  <c r="AK887" i="72"/>
  <c r="AK888" i="72"/>
  <c r="AK889" i="72"/>
  <c r="AK890" i="72"/>
  <c r="AK891" i="72"/>
  <c r="AK892" i="72"/>
  <c r="AK893" i="72"/>
  <c r="AK894" i="72"/>
  <c r="AK895" i="72"/>
  <c r="AK896" i="72"/>
  <c r="AK897" i="72"/>
  <c r="AK898" i="72"/>
  <c r="AK899" i="72"/>
  <c r="AK900" i="72"/>
  <c r="AK901" i="72"/>
  <c r="AK902" i="72"/>
  <c r="AK903" i="72"/>
  <c r="AK904" i="72"/>
  <c r="AK905" i="72"/>
  <c r="AK906" i="72"/>
  <c r="AK907" i="72"/>
  <c r="AK908" i="72"/>
  <c r="AK909" i="72"/>
  <c r="AK910" i="72"/>
  <c r="AK911" i="72"/>
  <c r="AK912" i="72"/>
  <c r="AK913" i="72"/>
  <c r="AK914" i="72"/>
  <c r="AK915" i="72"/>
  <c r="AK916" i="72"/>
  <c r="AK917" i="72"/>
  <c r="AK918" i="72"/>
  <c r="AK919" i="72"/>
  <c r="AK920" i="72"/>
  <c r="AK921" i="72"/>
  <c r="AK922" i="72"/>
  <c r="AK923" i="72"/>
  <c r="AK924" i="72"/>
  <c r="AK925" i="72"/>
  <c r="AK926" i="72"/>
  <c r="AK927" i="72"/>
  <c r="AK928" i="72"/>
  <c r="AK929" i="72"/>
  <c r="AK930" i="72"/>
  <c r="AK931" i="72"/>
  <c r="AK932" i="72"/>
  <c r="AK933" i="72"/>
  <c r="AK934" i="72"/>
  <c r="AK935" i="72"/>
  <c r="AK936" i="72"/>
  <c r="AK937" i="72"/>
  <c r="AK938" i="72"/>
  <c r="AK939" i="72"/>
  <c r="AK940" i="72"/>
  <c r="AK941" i="72"/>
  <c r="AK942" i="72"/>
  <c r="AK943" i="72"/>
  <c r="AK944" i="72"/>
  <c r="AK945" i="72"/>
  <c r="AK946" i="72"/>
  <c r="AK947" i="72"/>
  <c r="AK948" i="72"/>
  <c r="AK949" i="72"/>
  <c r="AK950" i="72"/>
  <c r="AK951" i="72"/>
  <c r="AK952" i="72"/>
  <c r="AK953" i="72"/>
  <c r="AK954" i="72"/>
  <c r="AK955" i="72"/>
  <c r="AK956" i="72"/>
  <c r="AK957" i="72"/>
  <c r="AK958" i="72"/>
  <c r="AK959" i="72"/>
  <c r="AK960" i="72"/>
  <c r="AK961" i="72"/>
  <c r="AK962" i="72"/>
  <c r="AK963" i="72"/>
  <c r="AK964" i="72"/>
  <c r="AK965" i="72"/>
  <c r="AK966" i="72"/>
  <c r="AK967" i="72"/>
  <c r="AK968" i="72"/>
  <c r="AK969" i="72"/>
  <c r="AK970" i="72"/>
  <c r="AK971" i="72"/>
  <c r="AK972" i="72"/>
  <c r="AK973" i="72"/>
  <c r="AK974" i="72"/>
  <c r="AK975" i="72"/>
  <c r="AK976" i="72"/>
  <c r="AK977" i="72"/>
  <c r="AK978" i="72"/>
  <c r="AK979" i="72"/>
  <c r="AK980" i="72"/>
  <c r="AK981" i="72"/>
  <c r="AK982" i="72"/>
  <c r="AK983" i="72"/>
  <c r="AK984" i="72"/>
  <c r="AK985" i="72"/>
  <c r="AK986" i="72"/>
  <c r="AK987" i="72"/>
  <c r="AK988" i="72"/>
  <c r="AK989" i="72"/>
  <c r="AK990" i="72"/>
  <c r="AK991" i="72"/>
  <c r="AK992" i="72"/>
  <c r="AK993" i="72"/>
  <c r="AK994" i="72"/>
  <c r="AK995" i="72"/>
  <c r="AK996" i="72"/>
  <c r="AK997" i="72"/>
  <c r="AK998" i="72"/>
  <c r="AK999" i="72"/>
  <c r="AK1000" i="72"/>
  <c r="AK1001" i="72"/>
  <c r="AK1002" i="72"/>
  <c r="AK1003" i="72"/>
  <c r="AK1004" i="72"/>
  <c r="AK1005" i="72"/>
  <c r="AK1006" i="72"/>
  <c r="AK1007" i="72"/>
  <c r="AK1008" i="72"/>
  <c r="AK1009" i="72"/>
  <c r="AK1010" i="72"/>
  <c r="AK1011" i="72"/>
  <c r="AK1012" i="72"/>
  <c r="AK1013" i="72"/>
  <c r="AK1014" i="72"/>
  <c r="AK1015" i="72"/>
  <c r="AK1016" i="72"/>
  <c r="AK1017" i="72"/>
  <c r="AK1018" i="72"/>
  <c r="AK1019" i="72"/>
  <c r="AK1020" i="72"/>
  <c r="AK1021" i="72"/>
  <c r="AK1022" i="72"/>
  <c r="AK1023" i="72"/>
  <c r="AK1024" i="72"/>
  <c r="AK1025" i="72"/>
  <c r="AK1026" i="72"/>
  <c r="AK1027" i="72"/>
  <c r="AK1028" i="72"/>
  <c r="AK1029" i="72"/>
  <c r="AK1030" i="72"/>
  <c r="AK1031" i="72"/>
  <c r="AK1032" i="72"/>
  <c r="AK1033" i="72"/>
  <c r="AK1034" i="72"/>
  <c r="AK1035" i="72"/>
  <c r="AK1036" i="72"/>
  <c r="AK1037" i="72"/>
  <c r="AK1038" i="72"/>
  <c r="AK1039" i="72"/>
  <c r="AK1040" i="72"/>
  <c r="AK1041" i="72"/>
  <c r="AK1042" i="72"/>
  <c r="AK1043" i="72"/>
  <c r="AK1044" i="72"/>
  <c r="AK1045" i="72"/>
  <c r="AK1046" i="72"/>
  <c r="AK1047" i="72"/>
  <c r="AK1048" i="72"/>
  <c r="AK1049" i="72"/>
  <c r="AK1050" i="72"/>
  <c r="AK1051" i="72"/>
  <c r="AK1052" i="72"/>
  <c r="AK1053" i="72"/>
  <c r="AK1054" i="72"/>
  <c r="AK1055" i="72"/>
  <c r="AK1056" i="72"/>
  <c r="AK1057" i="72"/>
  <c r="AK1058" i="72"/>
  <c r="AK1059" i="72"/>
  <c r="AK1060" i="72"/>
  <c r="AK1061" i="72"/>
  <c r="AK1062" i="72"/>
  <c r="AK1063" i="72"/>
  <c r="AK1064" i="72"/>
  <c r="AK1065" i="72"/>
  <c r="AK1066" i="72"/>
  <c r="AK1067" i="72"/>
  <c r="AK1068" i="72"/>
  <c r="AK1069" i="72"/>
  <c r="AK1070" i="72"/>
  <c r="AK1071" i="72"/>
  <c r="AK1072" i="72"/>
  <c r="AK1073" i="72"/>
  <c r="AK1074" i="72"/>
  <c r="AK1075" i="72"/>
  <c r="AK1076" i="72"/>
  <c r="AK1077" i="72"/>
  <c r="AK1078" i="72"/>
  <c r="AK1079" i="72"/>
  <c r="AK1080" i="72"/>
  <c r="AK1081" i="72"/>
  <c r="AK1082" i="72"/>
  <c r="AK1083" i="72"/>
  <c r="AK1084" i="72"/>
  <c r="AK1085" i="72"/>
  <c r="AK1086" i="72"/>
  <c r="AK1087" i="72"/>
  <c r="AK1088" i="72"/>
  <c r="AK1089" i="72"/>
  <c r="AK1090" i="72"/>
  <c r="AK1091" i="72"/>
  <c r="AK1092" i="72"/>
  <c r="AK1093" i="72"/>
  <c r="AK1094" i="72"/>
  <c r="AK1095" i="72"/>
  <c r="AK1096" i="72"/>
  <c r="AK1097" i="72"/>
  <c r="AK1098" i="72"/>
  <c r="AK1099" i="72"/>
  <c r="AK1100" i="72"/>
  <c r="AK1101" i="72"/>
  <c r="AK1102" i="72"/>
  <c r="AK1103" i="72"/>
  <c r="AK1104" i="72"/>
  <c r="AK1105" i="72"/>
  <c r="AK1106" i="72"/>
  <c r="AK1107" i="72"/>
  <c r="AK1108" i="72"/>
  <c r="AK1109" i="72"/>
  <c r="AK1110" i="72"/>
  <c r="AK1111" i="72"/>
  <c r="AK1112" i="72"/>
  <c r="AK1113" i="72"/>
  <c r="AK1114" i="72"/>
  <c r="AK1115" i="72"/>
  <c r="AK1116" i="72"/>
  <c r="AK1117" i="72"/>
  <c r="AK1118" i="72"/>
  <c r="AK1119" i="72"/>
  <c r="AK1120" i="72"/>
  <c r="AK1121" i="72"/>
  <c r="AK1122" i="72"/>
  <c r="AK1123" i="72"/>
  <c r="AK1124" i="72"/>
  <c r="AK1125" i="72"/>
  <c r="AK1126" i="72"/>
  <c r="AK1127" i="72"/>
  <c r="AK1128" i="72"/>
  <c r="AK1129" i="72"/>
  <c r="AK1130" i="72"/>
  <c r="AK1131" i="72"/>
  <c r="AK1132" i="72"/>
  <c r="AK1133" i="72"/>
  <c r="AK1134" i="72"/>
  <c r="AK1135" i="72"/>
  <c r="AK1136" i="72"/>
  <c r="AK1137" i="72"/>
  <c r="AK1138" i="72"/>
  <c r="AK1139" i="72"/>
  <c r="AK1140" i="72"/>
  <c r="AK1141" i="72"/>
  <c r="AK1142" i="72"/>
  <c r="AK1143" i="72"/>
  <c r="AK1144" i="72"/>
  <c r="AK1145" i="72"/>
  <c r="AK1146" i="72"/>
  <c r="AK1147" i="72"/>
  <c r="AK1148" i="72"/>
  <c r="AK1149" i="72"/>
  <c r="AK1150" i="72"/>
  <c r="AK1151" i="72"/>
  <c r="AK1152" i="72"/>
  <c r="AK1153" i="72"/>
  <c r="AK1154" i="72"/>
  <c r="AK1155" i="72"/>
  <c r="AK1156" i="72"/>
  <c r="AK1157" i="72"/>
  <c r="AK1158" i="72"/>
  <c r="AK1159" i="72"/>
  <c r="AK1160" i="72"/>
  <c r="AK1161" i="72"/>
  <c r="AK1162" i="72"/>
  <c r="AK1163" i="72"/>
  <c r="AK1164" i="72"/>
  <c r="AK1165" i="72"/>
  <c r="AK1166" i="72"/>
  <c r="AK1167" i="72"/>
  <c r="AK1168" i="72"/>
  <c r="AK1169" i="72"/>
  <c r="AK1170" i="72"/>
  <c r="AK1171" i="72"/>
  <c r="AK1172" i="72"/>
  <c r="AK1173" i="72"/>
  <c r="AK1174" i="72"/>
  <c r="AK1175" i="72"/>
  <c r="AK1176" i="72"/>
  <c r="AK1177" i="72"/>
  <c r="AK1178" i="72"/>
  <c r="AK1179" i="72"/>
  <c r="AK1180" i="72"/>
  <c r="AK1181" i="72"/>
  <c r="AK1182" i="72"/>
  <c r="AK1183" i="72"/>
  <c r="AK1184" i="72"/>
  <c r="AK1185" i="72"/>
  <c r="AK1186" i="72"/>
  <c r="AK1187" i="72"/>
  <c r="AK1188" i="72"/>
  <c r="AK1189" i="72"/>
  <c r="AK1190" i="72"/>
  <c r="AK1191" i="72"/>
  <c r="AK1192" i="72"/>
  <c r="AK1193" i="72"/>
  <c r="AK1194" i="72"/>
  <c r="AK1195" i="72"/>
  <c r="AK1196" i="72"/>
  <c r="AK1197" i="72"/>
  <c r="AK1198" i="72"/>
  <c r="AK1199" i="72"/>
  <c r="AK1200" i="72"/>
  <c r="AK1201" i="72"/>
  <c r="AK1202" i="72"/>
  <c r="AK1203" i="72"/>
  <c r="AK1204" i="72"/>
  <c r="AK1205" i="72"/>
  <c r="AK1206" i="72"/>
  <c r="AK1207" i="72"/>
  <c r="AK1208" i="72"/>
  <c r="AK1209" i="72"/>
  <c r="AK1210" i="72"/>
  <c r="AK1211" i="72"/>
  <c r="AK1212" i="72"/>
  <c r="AK1213" i="72"/>
  <c r="AK1214" i="72"/>
  <c r="AK1215" i="72"/>
  <c r="AK1216" i="72"/>
  <c r="AK1217" i="72"/>
  <c r="AK1218" i="72"/>
  <c r="AK1219" i="72"/>
  <c r="AK1220" i="72"/>
  <c r="AK1221" i="72"/>
  <c r="AK1222" i="72"/>
  <c r="AK1223" i="72"/>
  <c r="AK1224" i="72"/>
  <c r="AK1225" i="72"/>
  <c r="AK1226" i="72"/>
  <c r="AK1227" i="72"/>
  <c r="AK1228" i="72"/>
  <c r="AK1229" i="72"/>
  <c r="AK1230" i="72"/>
  <c r="AK1231" i="72"/>
  <c r="AK1232" i="72"/>
  <c r="AK1233" i="72"/>
  <c r="AK1234" i="72"/>
  <c r="AK1235" i="72"/>
  <c r="AK1236" i="72"/>
  <c r="AK1237" i="72"/>
  <c r="AK1238" i="72"/>
  <c r="AK1239" i="72"/>
  <c r="AK1240" i="72"/>
  <c r="AK1241" i="72"/>
  <c r="AK1242" i="72"/>
  <c r="AK1243" i="72"/>
  <c r="AK1244" i="72"/>
  <c r="AK1245" i="72"/>
  <c r="AK1246" i="72"/>
  <c r="AK1247" i="72"/>
  <c r="AK1248" i="72"/>
  <c r="AK1249" i="72"/>
  <c r="AK1250" i="72"/>
  <c r="AK1251" i="72"/>
  <c r="AK1252" i="72"/>
  <c r="AL501" i="72"/>
  <c r="AL502" i="72"/>
  <c r="AL503" i="72"/>
  <c r="AL504" i="72"/>
  <c r="AL505" i="72"/>
  <c r="AL506" i="72"/>
  <c r="AL507" i="72"/>
  <c r="AL508" i="72"/>
  <c r="AL509" i="72"/>
  <c r="AL510" i="72"/>
  <c r="AL511" i="72"/>
  <c r="AL512" i="72"/>
  <c r="AL513" i="72"/>
  <c r="AL514" i="72"/>
  <c r="AL515" i="72"/>
  <c r="AL516" i="72"/>
  <c r="AL517" i="72"/>
  <c r="AL518" i="72"/>
  <c r="AL519" i="72"/>
  <c r="AL520" i="72"/>
  <c r="AL521" i="72"/>
  <c r="AL522" i="72"/>
  <c r="AL523" i="72"/>
  <c r="AL524" i="72"/>
  <c r="AL525" i="72"/>
  <c r="AL526" i="72"/>
  <c r="AL527" i="72"/>
  <c r="AL528" i="72"/>
  <c r="AL529" i="72"/>
  <c r="AL530" i="72"/>
  <c r="AL531" i="72"/>
  <c r="AL532" i="72"/>
  <c r="AL533" i="72"/>
  <c r="AL534" i="72"/>
  <c r="AL535" i="72"/>
  <c r="AL536" i="72"/>
  <c r="AL537" i="72"/>
  <c r="AL538" i="72"/>
  <c r="AL539" i="72"/>
  <c r="AL540" i="72"/>
  <c r="AL541" i="72"/>
  <c r="AL542" i="72"/>
  <c r="AL543" i="72"/>
  <c r="AL544" i="72"/>
  <c r="AL545" i="72"/>
  <c r="AL546" i="72"/>
  <c r="AL547" i="72"/>
  <c r="AL548" i="72"/>
  <c r="AL549" i="72"/>
  <c r="AL550" i="72"/>
  <c r="AL551" i="72"/>
  <c r="AL552" i="72"/>
  <c r="AL553" i="72"/>
  <c r="AL554" i="72"/>
  <c r="AL555" i="72"/>
  <c r="AL556" i="72"/>
  <c r="AL557" i="72"/>
  <c r="AL558" i="72"/>
  <c r="AL559" i="72"/>
  <c r="AL560" i="72"/>
  <c r="AL561" i="72"/>
  <c r="AL562" i="72"/>
  <c r="AL563" i="72"/>
  <c r="AL564" i="72"/>
  <c r="AL565" i="72"/>
  <c r="AL566" i="72"/>
  <c r="AL567" i="72"/>
  <c r="AL568" i="72"/>
  <c r="AL569" i="72"/>
  <c r="AL570" i="72"/>
  <c r="AL571" i="72"/>
  <c r="AL572" i="72"/>
  <c r="AL573" i="72"/>
  <c r="AL574" i="72"/>
  <c r="AL575" i="72"/>
  <c r="AL576" i="72"/>
  <c r="AL577" i="72"/>
  <c r="AL578" i="72"/>
  <c r="AL579" i="72"/>
  <c r="AL580" i="72"/>
  <c r="AL581" i="72"/>
  <c r="AL582" i="72"/>
  <c r="AL583" i="72"/>
  <c r="AL584" i="72"/>
  <c r="AL585" i="72"/>
  <c r="AL586" i="72"/>
  <c r="AL587" i="72"/>
  <c r="AL588" i="72"/>
  <c r="AL589" i="72"/>
  <c r="AL590" i="72"/>
  <c r="AL591" i="72"/>
  <c r="AL592" i="72"/>
  <c r="AL593" i="72"/>
  <c r="AL594" i="72"/>
  <c r="AL595" i="72"/>
  <c r="AL596" i="72"/>
  <c r="AL597" i="72"/>
  <c r="AL598" i="72"/>
  <c r="AL599" i="72"/>
  <c r="AL600" i="72"/>
  <c r="AL601" i="72"/>
  <c r="AL602" i="72"/>
  <c r="AL603" i="72"/>
  <c r="AL604" i="72"/>
  <c r="AL605" i="72"/>
  <c r="AL606" i="72"/>
  <c r="AL607" i="72"/>
  <c r="AL608" i="72"/>
  <c r="AL609" i="72"/>
  <c r="AL610" i="72"/>
  <c r="AL611" i="72"/>
  <c r="AL612" i="72"/>
  <c r="AL613" i="72"/>
  <c r="AL614" i="72"/>
  <c r="AL615" i="72"/>
  <c r="AL616" i="72"/>
  <c r="AL617" i="72"/>
  <c r="AL618" i="72"/>
  <c r="AL619" i="72"/>
  <c r="AL620" i="72"/>
  <c r="AL621" i="72"/>
  <c r="AL622" i="72"/>
  <c r="AL623" i="72"/>
  <c r="AL624" i="72"/>
  <c r="AL625" i="72"/>
  <c r="AL626" i="72"/>
  <c r="AL627" i="72"/>
  <c r="AL628" i="72"/>
  <c r="AL629" i="72"/>
  <c r="AL630" i="72"/>
  <c r="AL631" i="72"/>
  <c r="AL632" i="72"/>
  <c r="AL633" i="72"/>
  <c r="AL634" i="72"/>
  <c r="AL635" i="72"/>
  <c r="AL636" i="72"/>
  <c r="AL637" i="72"/>
  <c r="AL638" i="72"/>
  <c r="AL639" i="72"/>
  <c r="AL640" i="72"/>
  <c r="AL641" i="72"/>
  <c r="AL642" i="72"/>
  <c r="AL643" i="72"/>
  <c r="AL644" i="72"/>
  <c r="AL645" i="72"/>
  <c r="AL646" i="72"/>
  <c r="AL647" i="72"/>
  <c r="AL648" i="72"/>
  <c r="AL649" i="72"/>
  <c r="AL650" i="72"/>
  <c r="AL651" i="72"/>
  <c r="AL652" i="72"/>
  <c r="AL653" i="72"/>
  <c r="AL654" i="72"/>
  <c r="AL655" i="72"/>
  <c r="AL656" i="72"/>
  <c r="AL657" i="72"/>
  <c r="AL658" i="72"/>
  <c r="AL659" i="72"/>
  <c r="AL660" i="72"/>
  <c r="AL661" i="72"/>
  <c r="AL662" i="72"/>
  <c r="AL663" i="72"/>
  <c r="AL664" i="72"/>
  <c r="AL665" i="72"/>
  <c r="AL666" i="72"/>
  <c r="AL667" i="72"/>
  <c r="AL668" i="72"/>
  <c r="AL669" i="72"/>
  <c r="AL670" i="72"/>
  <c r="AL671" i="72"/>
  <c r="AL672" i="72"/>
  <c r="AL673" i="72"/>
  <c r="AL674" i="72"/>
  <c r="AL675" i="72"/>
  <c r="AL676" i="72"/>
  <c r="AL677" i="72"/>
  <c r="AL678" i="72"/>
  <c r="AL679" i="72"/>
  <c r="AL680" i="72"/>
  <c r="AL681" i="72"/>
  <c r="AL682" i="72"/>
  <c r="AL683" i="72"/>
  <c r="AL684" i="72"/>
  <c r="AL685" i="72"/>
  <c r="AL686" i="72"/>
  <c r="AL687" i="72"/>
  <c r="AL688" i="72"/>
  <c r="AL689" i="72"/>
  <c r="AL690" i="72"/>
  <c r="AL691" i="72"/>
  <c r="AL692" i="72"/>
  <c r="AL693" i="72"/>
  <c r="AL694" i="72"/>
  <c r="AL695" i="72"/>
  <c r="AL696" i="72"/>
  <c r="AL697" i="72"/>
  <c r="AL698" i="72"/>
  <c r="AL699" i="72"/>
  <c r="AL700" i="72"/>
  <c r="AL701" i="72"/>
  <c r="AL702" i="72"/>
  <c r="AL703" i="72"/>
  <c r="AL704" i="72"/>
  <c r="AL705" i="72"/>
  <c r="AL706" i="72"/>
  <c r="AL707" i="72"/>
  <c r="AL708" i="72"/>
  <c r="AL709" i="72"/>
  <c r="AL710" i="72"/>
  <c r="AL711" i="72"/>
  <c r="AL712" i="72"/>
  <c r="AL713" i="72"/>
  <c r="AL714" i="72"/>
  <c r="AL715" i="72"/>
  <c r="AL716" i="72"/>
  <c r="AL717" i="72"/>
  <c r="AL718" i="72"/>
  <c r="AL719" i="72"/>
  <c r="AL720" i="72"/>
  <c r="AL721" i="72"/>
  <c r="AL722" i="72"/>
  <c r="AL723" i="72"/>
  <c r="AL724" i="72"/>
  <c r="AL725" i="72"/>
  <c r="AL726" i="72"/>
  <c r="AL727" i="72"/>
  <c r="AL728" i="72"/>
  <c r="AL729" i="72"/>
  <c r="AL730" i="72"/>
  <c r="AL731" i="72"/>
  <c r="AL732" i="72"/>
  <c r="AL733" i="72"/>
  <c r="AL734" i="72"/>
  <c r="AL735" i="72"/>
  <c r="AL736" i="72"/>
  <c r="AL737" i="72"/>
  <c r="AL738" i="72"/>
  <c r="AL739" i="72"/>
  <c r="AL740" i="72"/>
  <c r="AL741" i="72"/>
  <c r="AL742" i="72"/>
  <c r="AL743" i="72"/>
  <c r="AL744" i="72"/>
  <c r="AL745" i="72"/>
  <c r="AL746" i="72"/>
  <c r="AL747" i="72"/>
  <c r="AL748" i="72"/>
  <c r="AL749" i="72"/>
  <c r="AL750" i="72"/>
  <c r="AL751" i="72"/>
  <c r="AL752" i="72"/>
  <c r="AL753" i="72"/>
  <c r="AL754" i="72"/>
  <c r="AL755" i="72"/>
  <c r="AL756" i="72"/>
  <c r="AL757" i="72"/>
  <c r="AL758" i="72"/>
  <c r="AL759" i="72"/>
  <c r="AL760" i="72"/>
  <c r="AL761" i="72"/>
  <c r="AL762" i="72"/>
  <c r="AL763" i="72"/>
  <c r="AL764" i="72"/>
  <c r="AL765" i="72"/>
  <c r="AL766" i="72"/>
  <c r="AL767" i="72"/>
  <c r="AL768" i="72"/>
  <c r="AL769" i="72"/>
  <c r="AL770" i="72"/>
  <c r="AL771" i="72"/>
  <c r="AL772" i="72"/>
  <c r="AL773" i="72"/>
  <c r="AL774" i="72"/>
  <c r="AL775" i="72"/>
  <c r="AL776" i="72"/>
  <c r="AL777" i="72"/>
  <c r="AL778" i="72"/>
  <c r="AL779" i="72"/>
  <c r="AL780" i="72"/>
  <c r="AL781" i="72"/>
  <c r="AL782" i="72"/>
  <c r="AL783" i="72"/>
  <c r="AL784" i="72"/>
  <c r="AL785" i="72"/>
  <c r="AL786" i="72"/>
  <c r="AL787" i="72"/>
  <c r="AL788" i="72"/>
  <c r="AL789" i="72"/>
  <c r="AL790" i="72"/>
  <c r="AL791" i="72"/>
  <c r="AL792" i="72"/>
  <c r="AL793" i="72"/>
  <c r="AL794" i="72"/>
  <c r="AL795" i="72"/>
  <c r="AL796" i="72"/>
  <c r="AL797" i="72"/>
  <c r="AL798" i="72"/>
  <c r="AL799" i="72"/>
  <c r="AL800" i="72"/>
  <c r="AL801" i="72"/>
  <c r="AL802" i="72"/>
  <c r="AL803" i="72"/>
  <c r="AL804" i="72"/>
  <c r="AL805" i="72"/>
  <c r="AL806" i="72"/>
  <c r="AL807" i="72"/>
  <c r="AL808" i="72"/>
  <c r="AL809" i="72"/>
  <c r="AL810" i="72"/>
  <c r="AL811" i="72"/>
  <c r="AL812" i="72"/>
  <c r="AL813" i="72"/>
  <c r="AL814" i="72"/>
  <c r="AL815" i="72"/>
  <c r="AL816" i="72"/>
  <c r="AL817" i="72"/>
  <c r="AL818" i="72"/>
  <c r="AL819" i="72"/>
  <c r="AL820" i="72"/>
  <c r="AL821" i="72"/>
  <c r="AL822" i="72"/>
  <c r="AL823" i="72"/>
  <c r="AL824" i="72"/>
  <c r="AL825" i="72"/>
  <c r="AL826" i="72"/>
  <c r="AL827" i="72"/>
  <c r="AL828" i="72"/>
  <c r="AL829" i="72"/>
  <c r="AL830" i="72"/>
  <c r="AL831" i="72"/>
  <c r="AL832" i="72"/>
  <c r="AL833" i="72"/>
  <c r="AL834" i="72"/>
  <c r="AL835" i="72"/>
  <c r="AL836" i="72"/>
  <c r="AL837" i="72"/>
  <c r="AL838" i="72"/>
  <c r="AL839" i="72"/>
  <c r="AL840" i="72"/>
  <c r="AL841" i="72"/>
  <c r="AL842" i="72"/>
  <c r="AL843" i="72"/>
  <c r="AL844" i="72"/>
  <c r="AL845" i="72"/>
  <c r="AL846" i="72"/>
  <c r="AL847" i="72"/>
  <c r="AL848" i="72"/>
  <c r="AL849" i="72"/>
  <c r="AL850" i="72"/>
  <c r="AL851" i="72"/>
  <c r="AL852" i="72"/>
  <c r="AL853" i="72"/>
  <c r="AL854" i="72"/>
  <c r="AL855" i="72"/>
  <c r="AL856" i="72"/>
  <c r="AL857" i="72"/>
  <c r="AL858" i="72"/>
  <c r="AL859" i="72"/>
  <c r="AL860" i="72"/>
  <c r="AL861" i="72"/>
  <c r="AL862" i="72"/>
  <c r="AL863" i="72"/>
  <c r="AL864" i="72"/>
  <c r="AL865" i="72"/>
  <c r="AL866" i="72"/>
  <c r="AL867" i="72"/>
  <c r="AL868" i="72"/>
  <c r="AL869" i="72"/>
  <c r="AL870" i="72"/>
  <c r="AL871" i="72"/>
  <c r="AL872" i="72"/>
  <c r="AL873" i="72"/>
  <c r="AL874" i="72"/>
  <c r="AL875" i="72"/>
  <c r="AL876" i="72"/>
  <c r="AL877" i="72"/>
  <c r="AL878" i="72"/>
  <c r="AL879" i="72"/>
  <c r="AL880" i="72"/>
  <c r="AL881" i="72"/>
  <c r="AL882" i="72"/>
  <c r="AL883" i="72"/>
  <c r="AL884" i="72"/>
  <c r="AL885" i="72"/>
  <c r="AL886" i="72"/>
  <c r="AL887" i="72"/>
  <c r="AL888" i="72"/>
  <c r="AL889" i="72"/>
  <c r="AL890" i="72"/>
  <c r="AL891" i="72"/>
  <c r="AL892" i="72"/>
  <c r="AL893" i="72"/>
  <c r="AL894" i="72"/>
  <c r="AL895" i="72"/>
  <c r="AL896" i="72"/>
  <c r="AL897" i="72"/>
  <c r="AL898" i="72"/>
  <c r="AL899" i="72"/>
  <c r="AL900" i="72"/>
  <c r="AL901" i="72"/>
  <c r="AL902" i="72"/>
  <c r="AL903" i="72"/>
  <c r="AL904" i="72"/>
  <c r="AL905" i="72"/>
  <c r="AL906" i="72"/>
  <c r="AL907" i="72"/>
  <c r="AL908" i="72"/>
  <c r="AL909" i="72"/>
  <c r="AL910" i="72"/>
  <c r="AL911" i="72"/>
  <c r="AL912" i="72"/>
  <c r="AL913" i="72"/>
  <c r="AL914" i="72"/>
  <c r="AL915" i="72"/>
  <c r="AL916" i="72"/>
  <c r="AL917" i="72"/>
  <c r="AL918" i="72"/>
  <c r="AL919" i="72"/>
  <c r="AL920" i="72"/>
  <c r="AL921" i="72"/>
  <c r="AL922" i="72"/>
  <c r="AL923" i="72"/>
  <c r="AL924" i="72"/>
  <c r="AL925" i="72"/>
  <c r="AL926" i="72"/>
  <c r="AL927" i="72"/>
  <c r="AL928" i="72"/>
  <c r="AL929" i="72"/>
  <c r="AL930" i="72"/>
  <c r="AL931" i="72"/>
  <c r="AL932" i="72"/>
  <c r="AL933" i="72"/>
  <c r="AL934" i="72"/>
  <c r="AL935" i="72"/>
  <c r="AL936" i="72"/>
  <c r="AL937" i="72"/>
  <c r="AL938" i="72"/>
  <c r="AL939" i="72"/>
  <c r="AL940" i="72"/>
  <c r="AL941" i="72"/>
  <c r="AL942" i="72"/>
  <c r="AL943" i="72"/>
  <c r="AL944" i="72"/>
  <c r="AL945" i="72"/>
  <c r="AL946" i="72"/>
  <c r="AL947" i="72"/>
  <c r="AL948" i="72"/>
  <c r="AL949" i="72"/>
  <c r="AL950" i="72"/>
  <c r="AL951" i="72"/>
  <c r="AL952" i="72"/>
  <c r="AL953" i="72"/>
  <c r="AL954" i="72"/>
  <c r="AL955" i="72"/>
  <c r="AL956" i="72"/>
  <c r="AL957" i="72"/>
  <c r="AL958" i="72"/>
  <c r="AL959" i="72"/>
  <c r="AL960" i="72"/>
  <c r="AL961" i="72"/>
  <c r="AL962" i="72"/>
  <c r="AL963" i="72"/>
  <c r="AL964" i="72"/>
  <c r="AL965" i="72"/>
  <c r="AL966" i="72"/>
  <c r="AL967" i="72"/>
  <c r="AL968" i="72"/>
  <c r="AL969" i="72"/>
  <c r="AL970" i="72"/>
  <c r="AL971" i="72"/>
  <c r="AL972" i="72"/>
  <c r="AL973" i="72"/>
  <c r="AL974" i="72"/>
  <c r="AL975" i="72"/>
  <c r="AL976" i="72"/>
  <c r="AL977" i="72"/>
  <c r="AL978" i="72"/>
  <c r="AL979" i="72"/>
  <c r="AL980" i="72"/>
  <c r="AL981" i="72"/>
  <c r="AL982" i="72"/>
  <c r="AL983" i="72"/>
  <c r="AL984" i="72"/>
  <c r="AL985" i="72"/>
  <c r="AL986" i="72"/>
  <c r="AL987" i="72"/>
  <c r="AL988" i="72"/>
  <c r="AL989" i="72"/>
  <c r="AL990" i="72"/>
  <c r="AL991" i="72"/>
  <c r="AL992" i="72"/>
  <c r="AL993" i="72"/>
  <c r="AL994" i="72"/>
  <c r="AL995" i="72"/>
  <c r="AL996" i="72"/>
  <c r="AL997" i="72"/>
  <c r="AL998" i="72"/>
  <c r="AL999" i="72"/>
  <c r="AL1000" i="72"/>
  <c r="AL1001" i="72"/>
  <c r="AL1002" i="72"/>
  <c r="AL1003" i="72"/>
  <c r="AL1004" i="72"/>
  <c r="AL1005" i="72"/>
  <c r="AL1006" i="72"/>
  <c r="AL1007" i="72"/>
  <c r="AL1008" i="72"/>
  <c r="AL1009" i="72"/>
  <c r="AL1010" i="72"/>
  <c r="AL1011" i="72"/>
  <c r="AL1012" i="72"/>
  <c r="AL1013" i="72"/>
  <c r="AL1014" i="72"/>
  <c r="AL1015" i="72"/>
  <c r="AL1016" i="72"/>
  <c r="AL1017" i="72"/>
  <c r="AL1018" i="72"/>
  <c r="AL1019" i="72"/>
  <c r="AL1020" i="72"/>
  <c r="AL1021" i="72"/>
  <c r="AL1022" i="72"/>
  <c r="AL1023" i="72"/>
  <c r="AL1024" i="72"/>
  <c r="AL1025" i="72"/>
  <c r="AL1026" i="72"/>
  <c r="AL1027" i="72"/>
  <c r="AL1028" i="72"/>
  <c r="AL1029" i="72"/>
  <c r="AL1030" i="72"/>
  <c r="AL1031" i="72"/>
  <c r="AL1032" i="72"/>
  <c r="AL1033" i="72"/>
  <c r="AL1034" i="72"/>
  <c r="AL1035" i="72"/>
  <c r="AL1036" i="72"/>
  <c r="AL1037" i="72"/>
  <c r="AL1038" i="72"/>
  <c r="AL1039" i="72"/>
  <c r="AL1040" i="72"/>
  <c r="AL1041" i="72"/>
  <c r="AL1042" i="72"/>
  <c r="AL1043" i="72"/>
  <c r="AL1044" i="72"/>
  <c r="AL1045" i="72"/>
  <c r="AL1046" i="72"/>
  <c r="AL1047" i="72"/>
  <c r="AL1048" i="72"/>
  <c r="AL1049" i="72"/>
  <c r="AL1050" i="72"/>
  <c r="AL1051" i="72"/>
  <c r="AL1052" i="72"/>
  <c r="AL1053" i="72"/>
  <c r="AL1054" i="72"/>
  <c r="AL1055" i="72"/>
  <c r="AL1056" i="72"/>
  <c r="AL1057" i="72"/>
  <c r="AL1058" i="72"/>
  <c r="AL1059" i="72"/>
  <c r="AL1060" i="72"/>
  <c r="AL1061" i="72"/>
  <c r="AL1062" i="72"/>
  <c r="AL1063" i="72"/>
  <c r="AL1064" i="72"/>
  <c r="AL1065" i="72"/>
  <c r="AL1066" i="72"/>
  <c r="AL1067" i="72"/>
  <c r="AL1068" i="72"/>
  <c r="AL1069" i="72"/>
  <c r="AL1070" i="72"/>
  <c r="AL1071" i="72"/>
  <c r="AL1072" i="72"/>
  <c r="AL1073" i="72"/>
  <c r="AL1074" i="72"/>
  <c r="AL1075" i="72"/>
  <c r="AL1076" i="72"/>
  <c r="AL1077" i="72"/>
  <c r="AL1078" i="72"/>
  <c r="AL1079" i="72"/>
  <c r="AL1080" i="72"/>
  <c r="AL1081" i="72"/>
  <c r="AL1082" i="72"/>
  <c r="AL1083" i="72"/>
  <c r="AL1084" i="72"/>
  <c r="AL1085" i="72"/>
  <c r="AL1086" i="72"/>
  <c r="AL1087" i="72"/>
  <c r="AL1088" i="72"/>
  <c r="AL1089" i="72"/>
  <c r="AL1090" i="72"/>
  <c r="AL1091" i="72"/>
  <c r="AL1092" i="72"/>
  <c r="AL1093" i="72"/>
  <c r="AL1094" i="72"/>
  <c r="AL1095" i="72"/>
  <c r="AL1096" i="72"/>
  <c r="AL1097" i="72"/>
  <c r="AL1098" i="72"/>
  <c r="AL1099" i="72"/>
  <c r="AL1100" i="72"/>
  <c r="AL1101" i="72"/>
  <c r="AL1102" i="72"/>
  <c r="AL1103" i="72"/>
  <c r="AL1104" i="72"/>
  <c r="AL1105" i="72"/>
  <c r="AL1106" i="72"/>
  <c r="AL1107" i="72"/>
  <c r="AL1108" i="72"/>
  <c r="AL1109" i="72"/>
  <c r="AL1110" i="72"/>
  <c r="AL1111" i="72"/>
  <c r="AL1112" i="72"/>
  <c r="AL1113" i="72"/>
  <c r="AL1114" i="72"/>
  <c r="AL1115" i="72"/>
  <c r="AL1116" i="72"/>
  <c r="AL1117" i="72"/>
  <c r="AL1118" i="72"/>
  <c r="AL1119" i="72"/>
  <c r="AL1120" i="72"/>
  <c r="AL1121" i="72"/>
  <c r="AL1122" i="72"/>
  <c r="AL1123" i="72"/>
  <c r="AL1124" i="72"/>
  <c r="AL1125" i="72"/>
  <c r="AL1126" i="72"/>
  <c r="AL1127" i="72"/>
  <c r="AL1128" i="72"/>
  <c r="AL1129" i="72"/>
  <c r="AL1130" i="72"/>
  <c r="AL1131" i="72"/>
  <c r="AL1132" i="72"/>
  <c r="AL1133" i="72"/>
  <c r="AL1134" i="72"/>
  <c r="AL1135" i="72"/>
  <c r="AL1136" i="72"/>
  <c r="AL1137" i="72"/>
  <c r="AL1138" i="72"/>
  <c r="AL1139" i="72"/>
  <c r="AL1140" i="72"/>
  <c r="AL1141" i="72"/>
  <c r="AL1142" i="72"/>
  <c r="AL1143" i="72"/>
  <c r="AL1144" i="72"/>
  <c r="AL1145" i="72"/>
  <c r="AL1146" i="72"/>
  <c r="AL1147" i="72"/>
  <c r="AL1148" i="72"/>
  <c r="AL1149" i="72"/>
  <c r="AL1150" i="72"/>
  <c r="AL1151" i="72"/>
  <c r="AL1152" i="72"/>
  <c r="AL1153" i="72"/>
  <c r="AL1154" i="72"/>
  <c r="AL1155" i="72"/>
  <c r="AL1156" i="72"/>
  <c r="AL1157" i="72"/>
  <c r="AL1158" i="72"/>
  <c r="AL1159" i="72"/>
  <c r="AL1160" i="72"/>
  <c r="AL1161" i="72"/>
  <c r="AL1162" i="72"/>
  <c r="AL1163" i="72"/>
  <c r="AL1164" i="72"/>
  <c r="AL1165" i="72"/>
  <c r="AL1166" i="72"/>
  <c r="AL1167" i="72"/>
  <c r="AL1168" i="72"/>
  <c r="AL1169" i="72"/>
  <c r="AL1170" i="72"/>
  <c r="AL1171" i="72"/>
  <c r="AL1172" i="72"/>
  <c r="AL1173" i="72"/>
  <c r="AL1174" i="72"/>
  <c r="AL1175" i="72"/>
  <c r="AL1176" i="72"/>
  <c r="AL1177" i="72"/>
  <c r="AL1178" i="72"/>
  <c r="AL1179" i="72"/>
  <c r="AL1180" i="72"/>
  <c r="AL1181" i="72"/>
  <c r="AL1182" i="72"/>
  <c r="AL1183" i="72"/>
  <c r="AL1184" i="72"/>
  <c r="AL1185" i="72"/>
  <c r="AL1186" i="72"/>
  <c r="AL1187" i="72"/>
  <c r="AL1188" i="72"/>
  <c r="AL1189" i="72"/>
  <c r="AL1190" i="72"/>
  <c r="AL1191" i="72"/>
  <c r="AL1192" i="72"/>
  <c r="AL1193" i="72"/>
  <c r="AL1194" i="72"/>
  <c r="AL1195" i="72"/>
  <c r="AL1196" i="72"/>
  <c r="AL1197" i="72"/>
  <c r="AL1198" i="72"/>
  <c r="AL1199" i="72"/>
  <c r="AL1200" i="72"/>
  <c r="AL1201" i="72"/>
  <c r="AL1202" i="72"/>
  <c r="AL1203" i="72"/>
  <c r="AL1204" i="72"/>
  <c r="AL1205" i="72"/>
  <c r="AL1206" i="72"/>
  <c r="AL1207" i="72"/>
  <c r="AL1208" i="72"/>
  <c r="AL1209" i="72"/>
  <c r="AL1210" i="72"/>
  <c r="AL1211" i="72"/>
  <c r="AL1212" i="72"/>
  <c r="AL1213" i="72"/>
  <c r="AL1214" i="72"/>
  <c r="AL1215" i="72"/>
  <c r="AL1216" i="72"/>
  <c r="AL1217" i="72"/>
  <c r="AL1218" i="72"/>
  <c r="AL1219" i="72"/>
  <c r="AL1220" i="72"/>
  <c r="AL1221" i="72"/>
  <c r="AL1222" i="72"/>
  <c r="AL1223" i="72"/>
  <c r="AL1224" i="72"/>
  <c r="AL1225" i="72"/>
  <c r="AL1226" i="72"/>
  <c r="AL1227" i="72"/>
  <c r="AL1228" i="72"/>
  <c r="AL1229" i="72"/>
  <c r="AL1230" i="72"/>
  <c r="AL1231" i="72"/>
  <c r="AL1232" i="72"/>
  <c r="AL1233" i="72"/>
  <c r="AL1234" i="72"/>
  <c r="AL1235" i="72"/>
  <c r="AL1236" i="72"/>
  <c r="AL1237" i="72"/>
  <c r="AL1238" i="72"/>
  <c r="AL1239" i="72"/>
  <c r="AL1240" i="72"/>
  <c r="AL1241" i="72"/>
  <c r="AL1242" i="72"/>
  <c r="AL1243" i="72"/>
  <c r="AL1244" i="72"/>
  <c r="AL1245" i="72"/>
  <c r="AL1246" i="72"/>
  <c r="AL1247" i="72"/>
  <c r="AL1248" i="72"/>
  <c r="AL1249" i="72"/>
  <c r="AL1250" i="72"/>
  <c r="AL1251" i="72"/>
  <c r="AL1252" i="72"/>
  <c r="B26" i="61"/>
  <c r="C26" i="61"/>
  <c r="P5" i="72"/>
  <c r="P6" i="72"/>
  <c r="P7" i="72"/>
  <c r="P8" i="72"/>
  <c r="P9" i="72"/>
  <c r="P10" i="72"/>
  <c r="P11" i="72"/>
  <c r="P12" i="72"/>
  <c r="P13" i="72"/>
  <c r="P14" i="72"/>
  <c r="P15" i="72"/>
  <c r="P16" i="72"/>
  <c r="P17" i="72"/>
  <c r="P18" i="72"/>
  <c r="P19" i="72"/>
  <c r="P20" i="72"/>
  <c r="P21" i="72"/>
  <c r="P22" i="72"/>
  <c r="P23" i="72"/>
  <c r="P24" i="72"/>
  <c r="P25" i="72"/>
  <c r="P26" i="72"/>
  <c r="P27" i="72"/>
  <c r="P28" i="72"/>
  <c r="P29" i="72"/>
  <c r="P30" i="72"/>
  <c r="P31" i="72"/>
  <c r="P32" i="72"/>
  <c r="P33" i="72"/>
  <c r="P34" i="72"/>
  <c r="P35" i="72"/>
  <c r="P36" i="72"/>
  <c r="P37" i="72"/>
  <c r="P38" i="72"/>
  <c r="P39" i="72"/>
  <c r="P40" i="72"/>
  <c r="P41" i="72"/>
  <c r="P42" i="72"/>
  <c r="P43" i="72"/>
  <c r="P44" i="72"/>
  <c r="P45" i="72"/>
  <c r="P46" i="72"/>
  <c r="P47" i="72"/>
  <c r="P48" i="72"/>
  <c r="P49" i="72"/>
  <c r="P50" i="72"/>
  <c r="P51" i="72"/>
  <c r="P52" i="72"/>
  <c r="P53" i="72"/>
  <c r="P54" i="72"/>
  <c r="P55" i="72"/>
  <c r="P56" i="72"/>
  <c r="P57" i="72"/>
  <c r="P58" i="72"/>
  <c r="P59" i="72"/>
  <c r="P60" i="72"/>
  <c r="P61" i="72"/>
  <c r="P62" i="72"/>
  <c r="P63" i="72"/>
  <c r="P64" i="72"/>
  <c r="P65" i="72"/>
  <c r="P66" i="72"/>
  <c r="P67" i="72"/>
  <c r="P68" i="72"/>
  <c r="P69" i="72"/>
  <c r="P70" i="72"/>
  <c r="P71" i="72"/>
  <c r="P72" i="72"/>
  <c r="P73" i="72"/>
  <c r="P74" i="72"/>
  <c r="P75" i="72"/>
  <c r="P76" i="72"/>
  <c r="P77" i="72"/>
  <c r="P78" i="72"/>
  <c r="P79" i="72"/>
  <c r="P80" i="72"/>
  <c r="P81" i="72"/>
  <c r="P82" i="72"/>
  <c r="P83" i="72"/>
  <c r="P84" i="72"/>
  <c r="P85" i="72"/>
  <c r="P86" i="72"/>
  <c r="P87" i="72"/>
  <c r="P88" i="72"/>
  <c r="P89" i="72"/>
  <c r="P90" i="72"/>
  <c r="P91" i="72"/>
  <c r="P92" i="72"/>
  <c r="P93" i="72"/>
  <c r="P94" i="72"/>
  <c r="P95" i="72"/>
  <c r="P96" i="72"/>
  <c r="P97" i="72"/>
  <c r="P98" i="72"/>
  <c r="P99" i="72"/>
  <c r="P100" i="72"/>
  <c r="P101" i="72"/>
  <c r="P102" i="72"/>
  <c r="P103" i="72"/>
  <c r="P104" i="72"/>
  <c r="P105" i="72"/>
  <c r="P106" i="72"/>
  <c r="P107" i="72"/>
  <c r="P108" i="72"/>
  <c r="P109" i="72"/>
  <c r="P110" i="72"/>
  <c r="P111" i="72"/>
  <c r="P112" i="72"/>
  <c r="P113" i="72"/>
  <c r="P114" i="72"/>
  <c r="P115" i="72"/>
  <c r="P116" i="72"/>
  <c r="P117" i="72"/>
  <c r="P118" i="72"/>
  <c r="P119" i="72"/>
  <c r="P120" i="72"/>
  <c r="P121" i="72"/>
  <c r="P122" i="72"/>
  <c r="P123" i="72"/>
  <c r="P124" i="72"/>
  <c r="P125" i="72"/>
  <c r="P126" i="72"/>
  <c r="P127" i="72"/>
  <c r="P128" i="72"/>
  <c r="P129" i="72"/>
  <c r="P130" i="72"/>
  <c r="P131" i="72"/>
  <c r="P132" i="72"/>
  <c r="P133" i="72"/>
  <c r="P134" i="72"/>
  <c r="P135" i="72"/>
  <c r="P136" i="72"/>
  <c r="P137" i="72"/>
  <c r="P138" i="72"/>
  <c r="P139" i="72"/>
  <c r="P140" i="72"/>
  <c r="P141" i="72"/>
  <c r="P142" i="72"/>
  <c r="P143" i="72"/>
  <c r="P144" i="72"/>
  <c r="P145" i="72"/>
  <c r="P146" i="72"/>
  <c r="P147" i="72"/>
  <c r="P148" i="72"/>
  <c r="P149" i="72"/>
  <c r="P150" i="72"/>
  <c r="P151" i="72"/>
  <c r="P152" i="72"/>
  <c r="P153" i="72"/>
  <c r="P154" i="72"/>
  <c r="P155" i="72"/>
  <c r="P156" i="72"/>
  <c r="P157" i="72"/>
  <c r="P158" i="72"/>
  <c r="P159" i="72"/>
  <c r="P160" i="72"/>
  <c r="P161" i="72"/>
  <c r="P162" i="72"/>
  <c r="P163" i="72"/>
  <c r="P164" i="72"/>
  <c r="P165" i="72"/>
  <c r="P166" i="72"/>
  <c r="P167" i="72"/>
  <c r="P168" i="72"/>
  <c r="P169" i="72"/>
  <c r="P170" i="72"/>
  <c r="P171" i="72"/>
  <c r="P172" i="72"/>
  <c r="P173" i="72"/>
  <c r="P174" i="72"/>
  <c r="P175" i="72"/>
  <c r="P176" i="72"/>
  <c r="P177" i="72"/>
  <c r="P178" i="72"/>
  <c r="P179" i="72"/>
  <c r="P180" i="72"/>
  <c r="P181" i="72"/>
  <c r="P182" i="72"/>
  <c r="P183" i="72"/>
  <c r="P184" i="72"/>
  <c r="P185" i="72"/>
  <c r="P186" i="72"/>
  <c r="P187" i="72"/>
  <c r="P188" i="72"/>
  <c r="P189" i="72"/>
  <c r="P190" i="72"/>
  <c r="P191" i="72"/>
  <c r="P192" i="72"/>
  <c r="P193" i="72"/>
  <c r="P194" i="72"/>
  <c r="P195" i="72"/>
  <c r="P196" i="72"/>
  <c r="P197" i="72"/>
  <c r="P198" i="72"/>
  <c r="P199" i="72"/>
  <c r="P200" i="72"/>
  <c r="P201" i="72"/>
  <c r="P202" i="72"/>
  <c r="P203" i="72"/>
  <c r="P204" i="72"/>
  <c r="P205" i="72"/>
  <c r="P206" i="72"/>
  <c r="P207" i="72"/>
  <c r="P208" i="72"/>
  <c r="P209" i="72"/>
  <c r="P210" i="72"/>
  <c r="P211" i="72"/>
  <c r="P212" i="72"/>
  <c r="P213" i="72"/>
  <c r="P214" i="72"/>
  <c r="P215" i="72"/>
  <c r="P216" i="72"/>
  <c r="P217" i="72"/>
  <c r="P218" i="72"/>
  <c r="P219" i="72"/>
  <c r="P220" i="72"/>
  <c r="P221" i="72"/>
  <c r="P222" i="72"/>
  <c r="P223" i="72"/>
  <c r="P224" i="72"/>
  <c r="P225" i="72"/>
  <c r="P226" i="72"/>
  <c r="P227" i="72"/>
  <c r="P228" i="72"/>
  <c r="P229" i="72"/>
  <c r="P230" i="72"/>
  <c r="P231" i="72"/>
  <c r="P232" i="72"/>
  <c r="P233" i="72"/>
  <c r="P234" i="72"/>
  <c r="P235" i="72"/>
  <c r="P236" i="72"/>
  <c r="P237" i="72"/>
  <c r="P238" i="72"/>
  <c r="P239" i="72"/>
  <c r="P240" i="72"/>
  <c r="P241" i="72"/>
  <c r="P242" i="72"/>
  <c r="P243" i="72"/>
  <c r="P244" i="72"/>
  <c r="P245" i="72"/>
  <c r="P246" i="72"/>
  <c r="P247" i="72"/>
  <c r="P248" i="72"/>
  <c r="P249" i="72"/>
  <c r="P250" i="72"/>
  <c r="P251" i="72"/>
  <c r="P252" i="72"/>
  <c r="P253" i="72"/>
  <c r="P254" i="72"/>
  <c r="P255" i="72"/>
  <c r="P256" i="72"/>
  <c r="P257" i="72"/>
  <c r="P258" i="72"/>
  <c r="P259" i="72"/>
  <c r="P260" i="72"/>
  <c r="P261" i="72"/>
  <c r="P262" i="72"/>
  <c r="P263" i="72"/>
  <c r="P264" i="72"/>
  <c r="P265" i="72"/>
  <c r="P266" i="72"/>
  <c r="P267" i="72"/>
  <c r="P268" i="72"/>
  <c r="P269" i="72"/>
  <c r="P270" i="72"/>
  <c r="P271" i="72"/>
  <c r="P272" i="72"/>
  <c r="P273" i="72"/>
  <c r="P274" i="72"/>
  <c r="P275" i="72"/>
  <c r="P276" i="72"/>
  <c r="P277" i="72"/>
  <c r="P278" i="72"/>
  <c r="P279" i="72"/>
  <c r="P280" i="72"/>
  <c r="P281" i="72"/>
  <c r="P282" i="72"/>
  <c r="P283" i="72"/>
  <c r="P284" i="72"/>
  <c r="P285" i="72"/>
  <c r="P286" i="72"/>
  <c r="P287" i="72"/>
  <c r="P288" i="72"/>
  <c r="P289" i="72"/>
  <c r="P290" i="72"/>
  <c r="P291" i="72"/>
  <c r="P292" i="72"/>
  <c r="P293" i="72"/>
  <c r="P294" i="72"/>
  <c r="P295" i="72"/>
  <c r="P296" i="72"/>
  <c r="P297" i="72"/>
  <c r="P298" i="72"/>
  <c r="P299" i="72"/>
  <c r="P300" i="72"/>
  <c r="P301" i="72"/>
  <c r="P302" i="72"/>
  <c r="P303" i="72"/>
  <c r="P304" i="72"/>
  <c r="P305" i="72"/>
  <c r="P306" i="72"/>
  <c r="P307" i="72"/>
  <c r="P308" i="72"/>
  <c r="P309" i="72"/>
  <c r="P310" i="72"/>
  <c r="P311" i="72"/>
  <c r="P312" i="72"/>
  <c r="P313" i="72"/>
  <c r="P314" i="72"/>
  <c r="P315" i="72"/>
  <c r="P316" i="72"/>
  <c r="P317" i="72"/>
  <c r="P318" i="72"/>
  <c r="P319" i="72"/>
  <c r="P320" i="72"/>
  <c r="P321" i="72"/>
  <c r="P322" i="72"/>
  <c r="P323" i="72"/>
  <c r="P324" i="72"/>
  <c r="P325" i="72"/>
  <c r="P326" i="72"/>
  <c r="P327" i="72"/>
  <c r="P328" i="72"/>
  <c r="P329" i="72"/>
  <c r="P330" i="72"/>
  <c r="P331" i="72"/>
  <c r="P332" i="72"/>
  <c r="P333" i="72"/>
  <c r="P334" i="72"/>
  <c r="P335" i="72"/>
  <c r="P336" i="72"/>
  <c r="P337" i="72"/>
  <c r="P338" i="72"/>
  <c r="P339" i="72"/>
  <c r="P340" i="72"/>
  <c r="P341" i="72"/>
  <c r="P342" i="72"/>
  <c r="P343" i="72"/>
  <c r="P344" i="72"/>
  <c r="P345" i="72"/>
  <c r="P346" i="72"/>
  <c r="P347" i="72"/>
  <c r="P348" i="72"/>
  <c r="P349" i="72"/>
  <c r="P350" i="72"/>
  <c r="P351" i="72"/>
  <c r="P352" i="72"/>
  <c r="P353" i="72"/>
  <c r="P354" i="72"/>
  <c r="P355" i="72"/>
  <c r="P356" i="72"/>
  <c r="P357" i="72"/>
  <c r="P358" i="72"/>
  <c r="P359" i="72"/>
  <c r="P360" i="72"/>
  <c r="P361" i="72"/>
  <c r="P362" i="72"/>
  <c r="P363" i="72"/>
  <c r="P364" i="72"/>
  <c r="P365" i="72"/>
  <c r="P366" i="72"/>
  <c r="P367" i="72"/>
  <c r="P368" i="72"/>
  <c r="P369" i="72"/>
  <c r="P370" i="72"/>
  <c r="P371" i="72"/>
  <c r="P372" i="72"/>
  <c r="P373" i="72"/>
  <c r="P374" i="72"/>
  <c r="P375" i="72"/>
  <c r="P376" i="72"/>
  <c r="P377" i="72"/>
  <c r="P378" i="72"/>
  <c r="P379" i="72"/>
  <c r="P380" i="72"/>
  <c r="P381" i="72"/>
  <c r="P382" i="72"/>
  <c r="P383" i="72"/>
  <c r="P384" i="72"/>
  <c r="P385" i="72"/>
  <c r="P386" i="72"/>
  <c r="P387" i="72"/>
  <c r="P388" i="72"/>
  <c r="P389" i="72"/>
  <c r="P390" i="72"/>
  <c r="P391" i="72"/>
  <c r="P392" i="72"/>
  <c r="P393" i="72"/>
  <c r="P394" i="72"/>
  <c r="P395" i="72"/>
  <c r="P396" i="72"/>
  <c r="P397" i="72"/>
  <c r="P398" i="72"/>
  <c r="P399" i="72"/>
  <c r="P400" i="72"/>
  <c r="P401" i="72"/>
  <c r="P402" i="72"/>
  <c r="P403" i="72"/>
  <c r="P404" i="72"/>
  <c r="P405" i="72"/>
  <c r="P406" i="72"/>
  <c r="P407" i="72"/>
  <c r="P408" i="72"/>
  <c r="P409" i="72"/>
  <c r="P410" i="72"/>
  <c r="P411" i="72"/>
  <c r="P412" i="72"/>
  <c r="P413" i="72"/>
  <c r="P414" i="72"/>
  <c r="P415" i="72"/>
  <c r="P416" i="72"/>
  <c r="P417" i="72"/>
  <c r="P418" i="72"/>
  <c r="P419" i="72"/>
  <c r="P420" i="72"/>
  <c r="P421" i="72"/>
  <c r="P422" i="72"/>
  <c r="P423" i="72"/>
  <c r="P424" i="72"/>
  <c r="P425" i="72"/>
  <c r="P426" i="72"/>
  <c r="P427" i="72"/>
  <c r="P428" i="72"/>
  <c r="P429" i="72"/>
  <c r="P430" i="72"/>
  <c r="P431" i="72"/>
  <c r="P432" i="72"/>
  <c r="P433" i="72"/>
  <c r="P434" i="72"/>
  <c r="P435" i="72"/>
  <c r="P436" i="72"/>
  <c r="P437" i="72"/>
  <c r="P438" i="72"/>
  <c r="P439" i="72"/>
  <c r="P440" i="72"/>
  <c r="P441" i="72"/>
  <c r="P442" i="72"/>
  <c r="P443" i="72"/>
  <c r="P444" i="72"/>
  <c r="P445" i="72"/>
  <c r="P446" i="72"/>
  <c r="P447" i="72"/>
  <c r="P448" i="72"/>
  <c r="P449" i="72"/>
  <c r="P450" i="72"/>
  <c r="P451" i="72"/>
  <c r="P452" i="72"/>
  <c r="P453" i="72"/>
  <c r="P454" i="72"/>
  <c r="P455" i="72"/>
  <c r="P456" i="72"/>
  <c r="P457" i="72"/>
  <c r="P458" i="72"/>
  <c r="P459" i="72"/>
  <c r="P460" i="72"/>
  <c r="P461" i="72"/>
  <c r="P462" i="72"/>
  <c r="P463" i="72"/>
  <c r="P464" i="72"/>
  <c r="P465" i="72"/>
  <c r="P466" i="72"/>
  <c r="P467" i="72"/>
  <c r="P468" i="72"/>
  <c r="P469" i="72"/>
  <c r="P470" i="72"/>
  <c r="P471" i="72"/>
  <c r="P472" i="72"/>
  <c r="P473" i="72"/>
  <c r="P474" i="72"/>
  <c r="P475" i="72"/>
  <c r="P476" i="72"/>
  <c r="P477" i="72"/>
  <c r="P478" i="72"/>
  <c r="P479" i="72"/>
  <c r="P480" i="72"/>
  <c r="P481" i="72"/>
  <c r="P482" i="72"/>
  <c r="P483" i="72"/>
  <c r="P484" i="72"/>
  <c r="P485" i="72"/>
  <c r="P486" i="72"/>
  <c r="P487" i="72"/>
  <c r="P488" i="72"/>
  <c r="P489" i="72"/>
  <c r="P490" i="72"/>
  <c r="P491" i="72"/>
  <c r="P492" i="72"/>
  <c r="P493" i="72"/>
  <c r="P494" i="72"/>
  <c r="P495" i="72"/>
  <c r="P496" i="72"/>
  <c r="P497" i="72"/>
  <c r="P498" i="72"/>
  <c r="P499" i="72"/>
  <c r="P500" i="72"/>
  <c r="N5" i="72"/>
  <c r="N6" i="72"/>
  <c r="N7" i="72"/>
  <c r="N8" i="72"/>
  <c r="N9" i="72"/>
  <c r="N10" i="72"/>
  <c r="N11" i="72"/>
  <c r="N12" i="72"/>
  <c r="N13" i="72"/>
  <c r="N14" i="72"/>
  <c r="N15" i="72"/>
  <c r="N16" i="72"/>
  <c r="N17" i="72"/>
  <c r="N18" i="72"/>
  <c r="N19" i="72"/>
  <c r="N20" i="72"/>
  <c r="N21" i="72"/>
  <c r="N22" i="72"/>
  <c r="N23" i="72"/>
  <c r="N24" i="72"/>
  <c r="N25" i="72"/>
  <c r="N26" i="72"/>
  <c r="N27" i="72"/>
  <c r="N28" i="72"/>
  <c r="N29" i="72"/>
  <c r="N30" i="72"/>
  <c r="N31" i="72"/>
  <c r="N32" i="72"/>
  <c r="N33" i="72"/>
  <c r="N34" i="72"/>
  <c r="N35" i="72"/>
  <c r="N36" i="72"/>
  <c r="N37" i="72"/>
  <c r="N38" i="72"/>
  <c r="N39" i="72"/>
  <c r="N40" i="72"/>
  <c r="N41" i="72"/>
  <c r="N42" i="72"/>
  <c r="N43" i="72"/>
  <c r="N44" i="72"/>
  <c r="N45" i="72"/>
  <c r="N46" i="72"/>
  <c r="N47" i="72"/>
  <c r="N48" i="72"/>
  <c r="N49" i="72"/>
  <c r="N50" i="72"/>
  <c r="N51" i="72"/>
  <c r="N52" i="72"/>
  <c r="N53" i="72"/>
  <c r="N54" i="72"/>
  <c r="N55" i="72"/>
  <c r="N56" i="72"/>
  <c r="N57" i="72"/>
  <c r="N58" i="72"/>
  <c r="N59" i="72"/>
  <c r="N60" i="72"/>
  <c r="N61" i="72"/>
  <c r="N62" i="72"/>
  <c r="N63" i="72"/>
  <c r="N64" i="72"/>
  <c r="N65" i="72"/>
  <c r="N66" i="72"/>
  <c r="N67" i="72"/>
  <c r="N68" i="72"/>
  <c r="N69" i="72"/>
  <c r="N70" i="72"/>
  <c r="N71" i="72"/>
  <c r="N72" i="72"/>
  <c r="N73" i="72"/>
  <c r="N74" i="72"/>
  <c r="N75" i="72"/>
  <c r="N76" i="72"/>
  <c r="N77" i="72"/>
  <c r="N78" i="72"/>
  <c r="N79" i="72"/>
  <c r="N80" i="72"/>
  <c r="N81" i="72"/>
  <c r="N82" i="72"/>
  <c r="N83" i="72"/>
  <c r="N84" i="72"/>
  <c r="N85" i="72"/>
  <c r="N86" i="72"/>
  <c r="N87" i="72"/>
  <c r="N88" i="72"/>
  <c r="N89" i="72"/>
  <c r="N90" i="72"/>
  <c r="N91" i="72"/>
  <c r="N92" i="72"/>
  <c r="N93" i="72"/>
  <c r="N94" i="72"/>
  <c r="N95" i="72"/>
  <c r="N96" i="72"/>
  <c r="N97" i="72"/>
  <c r="N98" i="72"/>
  <c r="N99" i="72"/>
  <c r="N100" i="72"/>
  <c r="N101" i="72"/>
  <c r="N102" i="72"/>
  <c r="N103" i="72"/>
  <c r="N104" i="72"/>
  <c r="N105" i="72"/>
  <c r="N106" i="72"/>
  <c r="N107" i="72"/>
  <c r="N108" i="72"/>
  <c r="N109" i="72"/>
  <c r="N110" i="72"/>
  <c r="N111" i="72"/>
  <c r="N112" i="72"/>
  <c r="N113" i="72"/>
  <c r="N114" i="72"/>
  <c r="N115" i="72"/>
  <c r="N116" i="72"/>
  <c r="N117" i="72"/>
  <c r="N118" i="72"/>
  <c r="N119" i="72"/>
  <c r="N120" i="72"/>
  <c r="N121" i="72"/>
  <c r="N122" i="72"/>
  <c r="N123" i="72"/>
  <c r="N124" i="72"/>
  <c r="N125" i="72"/>
  <c r="N126" i="72"/>
  <c r="N127" i="72"/>
  <c r="N128" i="72"/>
  <c r="N129" i="72"/>
  <c r="N130" i="72"/>
  <c r="N131" i="72"/>
  <c r="N132" i="72"/>
  <c r="N133" i="72"/>
  <c r="N134" i="72"/>
  <c r="N135" i="72"/>
  <c r="N136" i="72"/>
  <c r="N137" i="72"/>
  <c r="N138" i="72"/>
  <c r="N139" i="72"/>
  <c r="N140" i="72"/>
  <c r="N141" i="72"/>
  <c r="N142" i="72"/>
  <c r="N143" i="72"/>
  <c r="N144" i="72"/>
  <c r="N145" i="72"/>
  <c r="N146" i="72"/>
  <c r="N147" i="72"/>
  <c r="N148" i="72"/>
  <c r="N149" i="72"/>
  <c r="N150" i="72"/>
  <c r="N151" i="72"/>
  <c r="N152" i="72"/>
  <c r="N153" i="72"/>
  <c r="N154" i="72"/>
  <c r="N155" i="72"/>
  <c r="N156" i="72"/>
  <c r="N157" i="72"/>
  <c r="N158" i="72"/>
  <c r="N159" i="72"/>
  <c r="N160" i="72"/>
  <c r="N161" i="72"/>
  <c r="N162" i="72"/>
  <c r="N163" i="72"/>
  <c r="N164" i="72"/>
  <c r="N165" i="72"/>
  <c r="N166" i="72"/>
  <c r="N167" i="72"/>
  <c r="N168" i="72"/>
  <c r="N169" i="72"/>
  <c r="N170" i="72"/>
  <c r="N171" i="72"/>
  <c r="N172" i="72"/>
  <c r="N173" i="72"/>
  <c r="N174" i="72"/>
  <c r="N175" i="72"/>
  <c r="N176" i="72"/>
  <c r="N177" i="72"/>
  <c r="N178" i="72"/>
  <c r="N179" i="72"/>
  <c r="N180" i="72"/>
  <c r="N181" i="72"/>
  <c r="N182" i="72"/>
  <c r="N183" i="72"/>
  <c r="N184" i="72"/>
  <c r="N185" i="72"/>
  <c r="N186" i="72"/>
  <c r="N187" i="72"/>
  <c r="N188" i="72"/>
  <c r="N189" i="72"/>
  <c r="N190" i="72"/>
  <c r="N191" i="72"/>
  <c r="N192" i="72"/>
  <c r="N193" i="72"/>
  <c r="N194" i="72"/>
  <c r="N195" i="72"/>
  <c r="N196" i="72"/>
  <c r="N197" i="72"/>
  <c r="N198" i="72"/>
  <c r="N199" i="72"/>
  <c r="N200" i="72"/>
  <c r="N201" i="72"/>
  <c r="N202" i="72"/>
  <c r="N203" i="72"/>
  <c r="N204" i="72"/>
  <c r="N205" i="72"/>
  <c r="N206" i="72"/>
  <c r="N207" i="72"/>
  <c r="N208" i="72"/>
  <c r="N209" i="72"/>
  <c r="N210" i="72"/>
  <c r="N211" i="72"/>
  <c r="N212" i="72"/>
  <c r="N213" i="72"/>
  <c r="N214" i="72"/>
  <c r="N215" i="72"/>
  <c r="N216" i="72"/>
  <c r="N217" i="72"/>
  <c r="N218" i="72"/>
  <c r="N219" i="72"/>
  <c r="N220" i="72"/>
  <c r="N221" i="72"/>
  <c r="N222" i="72"/>
  <c r="N223" i="72"/>
  <c r="N224" i="72"/>
  <c r="N225" i="72"/>
  <c r="N226" i="72"/>
  <c r="N227" i="72"/>
  <c r="N228" i="72"/>
  <c r="N229" i="72"/>
  <c r="N230" i="72"/>
  <c r="N231" i="72"/>
  <c r="N232" i="72"/>
  <c r="N233" i="72"/>
  <c r="N234" i="72"/>
  <c r="N235" i="72"/>
  <c r="N236" i="72"/>
  <c r="N237" i="72"/>
  <c r="N238" i="72"/>
  <c r="N239" i="72"/>
  <c r="N240" i="72"/>
  <c r="N241" i="72"/>
  <c r="N242" i="72"/>
  <c r="N243" i="72"/>
  <c r="N244" i="72"/>
  <c r="N245" i="72"/>
  <c r="N246" i="72"/>
  <c r="N247" i="72"/>
  <c r="N248" i="72"/>
  <c r="N249" i="72"/>
  <c r="N250" i="72"/>
  <c r="N251" i="72"/>
  <c r="N252" i="72"/>
  <c r="N253" i="72"/>
  <c r="N254" i="72"/>
  <c r="N255" i="72"/>
  <c r="N256" i="72"/>
  <c r="N257" i="72"/>
  <c r="N258" i="72"/>
  <c r="N259" i="72"/>
  <c r="N260" i="72"/>
  <c r="N261" i="72"/>
  <c r="N262" i="72"/>
  <c r="N263" i="72"/>
  <c r="N264" i="72"/>
  <c r="N265" i="72"/>
  <c r="N266" i="72"/>
  <c r="N267" i="72"/>
  <c r="N268" i="72"/>
  <c r="N269" i="72"/>
  <c r="N270" i="72"/>
  <c r="N271" i="72"/>
  <c r="N272" i="72"/>
  <c r="N273" i="72"/>
  <c r="N274" i="72"/>
  <c r="N275" i="72"/>
  <c r="N276" i="72"/>
  <c r="N277" i="72"/>
  <c r="N278" i="72"/>
  <c r="N279" i="72"/>
  <c r="N280" i="72"/>
  <c r="N281" i="72"/>
  <c r="N282" i="72"/>
  <c r="N283" i="72"/>
  <c r="N284" i="72"/>
  <c r="N285" i="72"/>
  <c r="N286" i="72"/>
  <c r="N287" i="72"/>
  <c r="N288" i="72"/>
  <c r="N289" i="72"/>
  <c r="N290" i="72"/>
  <c r="N291" i="72"/>
  <c r="N292" i="72"/>
  <c r="N293" i="72"/>
  <c r="N294" i="72"/>
  <c r="N295" i="72"/>
  <c r="N296" i="72"/>
  <c r="N297" i="72"/>
  <c r="N298" i="72"/>
  <c r="N299" i="72"/>
  <c r="N300" i="72"/>
  <c r="N301" i="72"/>
  <c r="N302" i="72"/>
  <c r="N303" i="72"/>
  <c r="N304" i="72"/>
  <c r="N305" i="72"/>
  <c r="N306" i="72"/>
  <c r="N307" i="72"/>
  <c r="N308" i="72"/>
  <c r="N309" i="72"/>
  <c r="N310" i="72"/>
  <c r="N311" i="72"/>
  <c r="N312" i="72"/>
  <c r="N313" i="72"/>
  <c r="N314" i="72"/>
  <c r="N315" i="72"/>
  <c r="N316" i="72"/>
  <c r="N317" i="72"/>
  <c r="N318" i="72"/>
  <c r="N319" i="72"/>
  <c r="N320" i="72"/>
  <c r="N321" i="72"/>
  <c r="N322" i="72"/>
  <c r="N323" i="72"/>
  <c r="N324" i="72"/>
  <c r="N325" i="72"/>
  <c r="N326" i="72"/>
  <c r="N327" i="72"/>
  <c r="N328" i="72"/>
  <c r="N329" i="72"/>
  <c r="N330" i="72"/>
  <c r="N331" i="72"/>
  <c r="N332" i="72"/>
  <c r="N333" i="72"/>
  <c r="N334" i="72"/>
  <c r="N335" i="72"/>
  <c r="N336" i="72"/>
  <c r="N337" i="72"/>
  <c r="N338" i="72"/>
  <c r="N339" i="72"/>
  <c r="N340" i="72"/>
  <c r="N341" i="72"/>
  <c r="N342" i="72"/>
  <c r="N343" i="72"/>
  <c r="N344" i="72"/>
  <c r="N345" i="72"/>
  <c r="N346" i="72"/>
  <c r="N347" i="72"/>
  <c r="N348" i="72"/>
  <c r="N349" i="72"/>
  <c r="N350" i="72"/>
  <c r="N351" i="72"/>
  <c r="N352" i="72"/>
  <c r="N353" i="72"/>
  <c r="N354" i="72"/>
  <c r="N355" i="72"/>
  <c r="N356" i="72"/>
  <c r="N357" i="72"/>
  <c r="N358" i="72"/>
  <c r="N359" i="72"/>
  <c r="N360" i="72"/>
  <c r="N361" i="72"/>
  <c r="N362" i="72"/>
  <c r="N363" i="72"/>
  <c r="N364" i="72"/>
  <c r="N365" i="72"/>
  <c r="N366" i="72"/>
  <c r="N367" i="72"/>
  <c r="N368" i="72"/>
  <c r="N369" i="72"/>
  <c r="N370" i="72"/>
  <c r="N371" i="72"/>
  <c r="N372" i="72"/>
  <c r="N373" i="72"/>
  <c r="N374" i="72"/>
  <c r="N375" i="72"/>
  <c r="N376" i="72"/>
  <c r="N377" i="72"/>
  <c r="N378" i="72"/>
  <c r="N379" i="72"/>
  <c r="N380" i="72"/>
  <c r="N381" i="72"/>
  <c r="N382" i="72"/>
  <c r="N383" i="72"/>
  <c r="N384" i="72"/>
  <c r="N385" i="72"/>
  <c r="N386" i="72"/>
  <c r="N387" i="72"/>
  <c r="N388" i="72"/>
  <c r="N389" i="72"/>
  <c r="N390" i="72"/>
  <c r="N391" i="72"/>
  <c r="N392" i="72"/>
  <c r="N393" i="72"/>
  <c r="N394" i="72"/>
  <c r="N395" i="72"/>
  <c r="N396" i="72"/>
  <c r="N397" i="72"/>
  <c r="N398" i="72"/>
  <c r="N399" i="72"/>
  <c r="N400" i="72"/>
  <c r="N401" i="72"/>
  <c r="N402" i="72"/>
  <c r="N403" i="72"/>
  <c r="N404" i="72"/>
  <c r="N405" i="72"/>
  <c r="N406" i="72"/>
  <c r="N407" i="72"/>
  <c r="N408" i="72"/>
  <c r="N409" i="72"/>
  <c r="N410" i="72"/>
  <c r="N411" i="72"/>
  <c r="N412" i="72"/>
  <c r="N413" i="72"/>
  <c r="N414" i="72"/>
  <c r="N415" i="72"/>
  <c r="N416" i="72"/>
  <c r="N417" i="72"/>
  <c r="N418" i="72"/>
  <c r="N419" i="72"/>
  <c r="N420" i="72"/>
  <c r="N421" i="72"/>
  <c r="N422" i="72"/>
  <c r="N423" i="72"/>
  <c r="N424" i="72"/>
  <c r="N425" i="72"/>
  <c r="N426" i="72"/>
  <c r="N427" i="72"/>
  <c r="N428" i="72"/>
  <c r="N429" i="72"/>
  <c r="N430" i="72"/>
  <c r="N431" i="72"/>
  <c r="N432" i="72"/>
  <c r="N433" i="72"/>
  <c r="N434" i="72"/>
  <c r="N435" i="72"/>
  <c r="N436" i="72"/>
  <c r="N437" i="72"/>
  <c r="N438" i="72"/>
  <c r="N439" i="72"/>
  <c r="N440" i="72"/>
  <c r="N441" i="72"/>
  <c r="N442" i="72"/>
  <c r="N443" i="72"/>
  <c r="N444" i="72"/>
  <c r="N445" i="72"/>
  <c r="N446" i="72"/>
  <c r="N447" i="72"/>
  <c r="N448" i="72"/>
  <c r="N449" i="72"/>
  <c r="N450" i="72"/>
  <c r="N451" i="72"/>
  <c r="N452" i="72"/>
  <c r="N453" i="72"/>
  <c r="N454" i="72"/>
  <c r="N455" i="72"/>
  <c r="N456" i="72"/>
  <c r="N457" i="72"/>
  <c r="N458" i="72"/>
  <c r="N459" i="72"/>
  <c r="N460" i="72"/>
  <c r="N461" i="72"/>
  <c r="N462" i="72"/>
  <c r="N463" i="72"/>
  <c r="N464" i="72"/>
  <c r="N465" i="72"/>
  <c r="N466" i="72"/>
  <c r="N467" i="72"/>
  <c r="N468" i="72"/>
  <c r="N469" i="72"/>
  <c r="N470" i="72"/>
  <c r="N471" i="72"/>
  <c r="N472" i="72"/>
  <c r="N473" i="72"/>
  <c r="N474" i="72"/>
  <c r="N475" i="72"/>
  <c r="N476" i="72"/>
  <c r="N477" i="72"/>
  <c r="N478" i="72"/>
  <c r="N479" i="72"/>
  <c r="N480" i="72"/>
  <c r="N481" i="72"/>
  <c r="N482" i="72"/>
  <c r="N483" i="72"/>
  <c r="N484" i="72"/>
  <c r="N485" i="72"/>
  <c r="N486" i="72"/>
  <c r="N487" i="72"/>
  <c r="N488" i="72"/>
  <c r="N489" i="72"/>
  <c r="N490" i="72"/>
  <c r="N491" i="72"/>
  <c r="N492" i="72"/>
  <c r="N493" i="72"/>
  <c r="N494" i="72"/>
  <c r="N495" i="72"/>
  <c r="N496" i="72"/>
  <c r="N497" i="72"/>
  <c r="N498" i="72"/>
  <c r="N499" i="72"/>
  <c r="N500" i="72"/>
  <c r="V56" i="72"/>
  <c r="V97" i="72"/>
  <c r="V104" i="72"/>
  <c r="W104" i="72"/>
  <c r="V5" i="72"/>
  <c r="V6" i="72"/>
  <c r="V7" i="72"/>
  <c r="V8" i="72"/>
  <c r="V9" i="72"/>
  <c r="V10" i="72"/>
  <c r="V11" i="72"/>
  <c r="V12" i="72"/>
  <c r="V13" i="72"/>
  <c r="V14" i="72"/>
  <c r="V15" i="72"/>
  <c r="V16" i="72"/>
  <c r="V17" i="72"/>
  <c r="V18" i="72"/>
  <c r="V19" i="72"/>
  <c r="V20" i="72"/>
  <c r="V21" i="72"/>
  <c r="V22" i="72"/>
  <c r="V23" i="72"/>
  <c r="V24" i="72"/>
  <c r="V25" i="72"/>
  <c r="V26" i="72"/>
  <c r="V27" i="72"/>
  <c r="V28" i="72"/>
  <c r="V29" i="72"/>
  <c r="V30" i="72"/>
  <c r="V31" i="72"/>
  <c r="V32" i="72"/>
  <c r="V33" i="72"/>
  <c r="V34" i="72"/>
  <c r="V35" i="72"/>
  <c r="V36" i="72"/>
  <c r="V37" i="72"/>
  <c r="V38" i="72"/>
  <c r="V39" i="72"/>
  <c r="V40" i="72"/>
  <c r="V41" i="72"/>
  <c r="V42" i="72"/>
  <c r="V43" i="72"/>
  <c r="V44" i="72"/>
  <c r="V45" i="72"/>
  <c r="V46" i="72"/>
  <c r="V47" i="72"/>
  <c r="V48" i="72"/>
  <c r="V49" i="72"/>
  <c r="V50" i="72"/>
  <c r="V51" i="72"/>
  <c r="V52" i="72"/>
  <c r="V53" i="72"/>
  <c r="V54" i="72"/>
  <c r="V55" i="72"/>
  <c r="V57" i="72"/>
  <c r="V58" i="72"/>
  <c r="V59" i="72"/>
  <c r="V60" i="72"/>
  <c r="V61" i="72"/>
  <c r="V62" i="72"/>
  <c r="V63" i="72"/>
  <c r="V64" i="72"/>
  <c r="V65" i="72"/>
  <c r="V66" i="72"/>
  <c r="V67" i="72"/>
  <c r="V68" i="72"/>
  <c r="V69" i="72"/>
  <c r="V70" i="72"/>
  <c r="V71" i="72"/>
  <c r="V72" i="72"/>
  <c r="V73" i="72"/>
  <c r="V74" i="72"/>
  <c r="V75" i="72"/>
  <c r="V76" i="72"/>
  <c r="V77" i="72"/>
  <c r="V78" i="72"/>
  <c r="V79" i="72"/>
  <c r="V80" i="72"/>
  <c r="V81" i="72"/>
  <c r="V82" i="72"/>
  <c r="V83" i="72"/>
  <c r="V84" i="72"/>
  <c r="V85" i="72"/>
  <c r="V86" i="72"/>
  <c r="V87" i="72"/>
  <c r="V88" i="72"/>
  <c r="V89" i="72"/>
  <c r="V90" i="72"/>
  <c r="V91" i="72"/>
  <c r="V92" i="72"/>
  <c r="V93" i="72"/>
  <c r="V94" i="72"/>
  <c r="V95" i="72"/>
  <c r="V96" i="72"/>
  <c r="V98" i="72"/>
  <c r="V99" i="72"/>
  <c r="V100" i="72"/>
  <c r="V101" i="72"/>
  <c r="V102" i="72"/>
  <c r="V103" i="72"/>
  <c r="V105" i="72"/>
  <c r="V106" i="72"/>
  <c r="V107" i="72"/>
  <c r="V108" i="72"/>
  <c r="V109" i="72"/>
  <c r="V110" i="72"/>
  <c r="V111" i="72"/>
  <c r="V112" i="72"/>
  <c r="V113" i="72"/>
  <c r="V114" i="72"/>
  <c r="V115" i="72"/>
  <c r="V116" i="72"/>
  <c r="V117" i="72"/>
  <c r="V118" i="72"/>
  <c r="V119" i="72"/>
  <c r="V120" i="72"/>
  <c r="V121" i="72"/>
  <c r="V122" i="72"/>
  <c r="V123" i="72"/>
  <c r="V124" i="72"/>
  <c r="V125" i="72"/>
  <c r="V126" i="72"/>
  <c r="V127" i="72"/>
  <c r="V128" i="72"/>
  <c r="V129" i="72"/>
  <c r="V130" i="72"/>
  <c r="V131" i="72"/>
  <c r="V132" i="72"/>
  <c r="V133" i="72"/>
  <c r="V134" i="72"/>
  <c r="V135" i="72"/>
  <c r="V136" i="72"/>
  <c r="V137" i="72"/>
  <c r="V138" i="72"/>
  <c r="V139" i="72"/>
  <c r="V140" i="72"/>
  <c r="V141" i="72"/>
  <c r="V142" i="72"/>
  <c r="V143" i="72"/>
  <c r="V144" i="72"/>
  <c r="V145" i="72"/>
  <c r="V146" i="72"/>
  <c r="V147" i="72"/>
  <c r="V148" i="72"/>
  <c r="V149" i="72"/>
  <c r="V150" i="72"/>
  <c r="V151" i="72"/>
  <c r="V152" i="72"/>
  <c r="V153" i="72"/>
  <c r="V154" i="72"/>
  <c r="V155" i="72"/>
  <c r="V156" i="72"/>
  <c r="V157" i="72"/>
  <c r="V158" i="72"/>
  <c r="V159" i="72"/>
  <c r="V160" i="72"/>
  <c r="V161" i="72"/>
  <c r="V162" i="72"/>
  <c r="V163" i="72"/>
  <c r="V164" i="72"/>
  <c r="V165" i="72"/>
  <c r="V166" i="72"/>
  <c r="V167" i="72"/>
  <c r="V168" i="72"/>
  <c r="V169" i="72"/>
  <c r="V170" i="72"/>
  <c r="V171" i="72"/>
  <c r="V172" i="72"/>
  <c r="V173" i="72"/>
  <c r="V174" i="72"/>
  <c r="V175" i="72"/>
  <c r="V176" i="72"/>
  <c r="V177" i="72"/>
  <c r="V178" i="72"/>
  <c r="V179" i="72"/>
  <c r="V180" i="72"/>
  <c r="V181" i="72"/>
  <c r="V182" i="72"/>
  <c r="V183" i="72"/>
  <c r="V184" i="72"/>
  <c r="V185" i="72"/>
  <c r="V186" i="72"/>
  <c r="V187" i="72"/>
  <c r="V188" i="72"/>
  <c r="V189" i="72"/>
  <c r="V190" i="72"/>
  <c r="V191" i="72"/>
  <c r="V192" i="72"/>
  <c r="V193" i="72"/>
  <c r="V194" i="72"/>
  <c r="V195" i="72"/>
  <c r="V196" i="72"/>
  <c r="V197" i="72"/>
  <c r="V198" i="72"/>
  <c r="V199" i="72"/>
  <c r="V200" i="72"/>
  <c r="V201" i="72"/>
  <c r="V202" i="72"/>
  <c r="V203" i="72"/>
  <c r="V204" i="72"/>
  <c r="V205" i="72"/>
  <c r="V206" i="72"/>
  <c r="V207" i="72"/>
  <c r="V208" i="72"/>
  <c r="V209" i="72"/>
  <c r="V210" i="72"/>
  <c r="V211" i="72"/>
  <c r="V212" i="72"/>
  <c r="V213" i="72"/>
  <c r="V214" i="72"/>
  <c r="V215" i="72"/>
  <c r="V216" i="72"/>
  <c r="V217" i="72"/>
  <c r="V218" i="72"/>
  <c r="V219" i="72"/>
  <c r="V220" i="72"/>
  <c r="V221" i="72"/>
  <c r="V222" i="72"/>
  <c r="V223" i="72"/>
  <c r="V224" i="72"/>
  <c r="V225" i="72"/>
  <c r="V226" i="72"/>
  <c r="V227" i="72"/>
  <c r="V228" i="72"/>
  <c r="V229" i="72"/>
  <c r="V230" i="72"/>
  <c r="V231" i="72"/>
  <c r="V232" i="72"/>
  <c r="V233" i="72"/>
  <c r="V234" i="72"/>
  <c r="V235" i="72"/>
  <c r="V236" i="72"/>
  <c r="V237" i="72"/>
  <c r="V238" i="72"/>
  <c r="V239" i="72"/>
  <c r="V240" i="72"/>
  <c r="V241" i="72"/>
  <c r="V242" i="72"/>
  <c r="V243" i="72"/>
  <c r="V244" i="72"/>
  <c r="V245" i="72"/>
  <c r="V246" i="72"/>
  <c r="V247" i="72"/>
  <c r="V248" i="72"/>
  <c r="V249" i="72"/>
  <c r="V250" i="72"/>
  <c r="V251" i="72"/>
  <c r="V252" i="72"/>
  <c r="V253" i="72"/>
  <c r="V254" i="72"/>
  <c r="V255" i="72"/>
  <c r="V256" i="72"/>
  <c r="V257" i="72"/>
  <c r="V258" i="72"/>
  <c r="V259" i="72"/>
  <c r="V260" i="72"/>
  <c r="V261" i="72"/>
  <c r="V262" i="72"/>
  <c r="V263" i="72"/>
  <c r="V264" i="72"/>
  <c r="V265" i="72"/>
  <c r="V266" i="72"/>
  <c r="V267" i="72"/>
  <c r="V268" i="72"/>
  <c r="V269" i="72"/>
  <c r="V270" i="72"/>
  <c r="V271" i="72"/>
  <c r="V272" i="72"/>
  <c r="V273" i="72"/>
  <c r="V274" i="72"/>
  <c r="V275" i="72"/>
  <c r="V276" i="72"/>
  <c r="V277" i="72"/>
  <c r="V278" i="72"/>
  <c r="V279" i="72"/>
  <c r="V280" i="72"/>
  <c r="V281" i="72"/>
  <c r="V282" i="72"/>
  <c r="V283" i="72"/>
  <c r="V284" i="72"/>
  <c r="V285" i="72"/>
  <c r="V286" i="72"/>
  <c r="V287" i="72"/>
  <c r="V288" i="72"/>
  <c r="V289" i="72"/>
  <c r="V290" i="72"/>
  <c r="V291" i="72"/>
  <c r="V292" i="72"/>
  <c r="V293" i="72"/>
  <c r="V294" i="72"/>
  <c r="V295" i="72"/>
  <c r="V296" i="72"/>
  <c r="V297" i="72"/>
  <c r="V298" i="72"/>
  <c r="V299" i="72"/>
  <c r="V300" i="72"/>
  <c r="V301" i="72"/>
  <c r="V302" i="72"/>
  <c r="V303" i="72"/>
  <c r="V304" i="72"/>
  <c r="V305" i="72"/>
  <c r="V306" i="72"/>
  <c r="V307" i="72"/>
  <c r="V308" i="72"/>
  <c r="V309" i="72"/>
  <c r="V310" i="72"/>
  <c r="V311" i="72"/>
  <c r="V312" i="72"/>
  <c r="V313" i="72"/>
  <c r="V314" i="72"/>
  <c r="V315" i="72"/>
  <c r="V316" i="72"/>
  <c r="V317" i="72"/>
  <c r="V318" i="72"/>
  <c r="V319" i="72"/>
  <c r="V320" i="72"/>
  <c r="V321" i="72"/>
  <c r="V322" i="72"/>
  <c r="V323" i="72"/>
  <c r="V324" i="72"/>
  <c r="V325" i="72"/>
  <c r="V326" i="72"/>
  <c r="V327" i="72"/>
  <c r="V328" i="72"/>
  <c r="V329" i="72"/>
  <c r="V330" i="72"/>
  <c r="V331" i="72"/>
  <c r="V332" i="72"/>
  <c r="V333" i="72"/>
  <c r="V334" i="72"/>
  <c r="V335" i="72"/>
  <c r="V336" i="72"/>
  <c r="V337" i="72"/>
  <c r="V338" i="72"/>
  <c r="V339" i="72"/>
  <c r="V340" i="72"/>
  <c r="V341" i="72"/>
  <c r="V342" i="72"/>
  <c r="V343" i="72"/>
  <c r="V344" i="72"/>
  <c r="V345" i="72"/>
  <c r="V346" i="72"/>
  <c r="V347" i="72"/>
  <c r="V348" i="72"/>
  <c r="V349" i="72"/>
  <c r="V350" i="72"/>
  <c r="V351" i="72"/>
  <c r="V352" i="72"/>
  <c r="V353" i="72"/>
  <c r="V354" i="72"/>
  <c r="V355" i="72"/>
  <c r="V356" i="72"/>
  <c r="V357" i="72"/>
  <c r="V358" i="72"/>
  <c r="V359" i="72"/>
  <c r="V360" i="72"/>
  <c r="V361" i="72"/>
  <c r="V362" i="72"/>
  <c r="V363" i="72"/>
  <c r="V364" i="72"/>
  <c r="V365" i="72"/>
  <c r="V366" i="72"/>
  <c r="V367" i="72"/>
  <c r="V368" i="72"/>
  <c r="V369" i="72"/>
  <c r="V370" i="72"/>
  <c r="V371" i="72"/>
  <c r="V372" i="72"/>
  <c r="V373" i="72"/>
  <c r="V374" i="72"/>
  <c r="V375" i="72"/>
  <c r="V376" i="72"/>
  <c r="V377" i="72"/>
  <c r="V378" i="72"/>
  <c r="V379" i="72"/>
  <c r="V380" i="72"/>
  <c r="V381" i="72"/>
  <c r="V382" i="72"/>
  <c r="V383" i="72"/>
  <c r="V384" i="72"/>
  <c r="V385" i="72"/>
  <c r="V386" i="72"/>
  <c r="V387" i="72"/>
  <c r="V388" i="72"/>
  <c r="V389" i="72"/>
  <c r="V390" i="72"/>
  <c r="V391" i="72"/>
  <c r="V392" i="72"/>
  <c r="V393" i="72"/>
  <c r="V394" i="72"/>
  <c r="V395" i="72"/>
  <c r="V396" i="72"/>
  <c r="V397" i="72"/>
  <c r="V398" i="72"/>
  <c r="V399" i="72"/>
  <c r="V400" i="72"/>
  <c r="V401" i="72"/>
  <c r="V402" i="72"/>
  <c r="V403" i="72"/>
  <c r="V404" i="72"/>
  <c r="V405" i="72"/>
  <c r="V406" i="72"/>
  <c r="V407" i="72"/>
  <c r="V408" i="72"/>
  <c r="V409" i="72"/>
  <c r="V410" i="72"/>
  <c r="V411" i="72"/>
  <c r="V412" i="72"/>
  <c r="V413" i="72"/>
  <c r="V414" i="72"/>
  <c r="V415" i="72"/>
  <c r="V416" i="72"/>
  <c r="V417" i="72"/>
  <c r="V418" i="72"/>
  <c r="V419" i="72"/>
  <c r="V420" i="72"/>
  <c r="V421" i="72"/>
  <c r="V422" i="72"/>
  <c r="V423" i="72"/>
  <c r="V424" i="72"/>
  <c r="V425" i="72"/>
  <c r="V426" i="72"/>
  <c r="V427" i="72"/>
  <c r="V428" i="72"/>
  <c r="V429" i="72"/>
  <c r="V430" i="72"/>
  <c r="V431" i="72"/>
  <c r="V432" i="72"/>
  <c r="V433" i="72"/>
  <c r="V434" i="72"/>
  <c r="V435" i="72"/>
  <c r="V436" i="72"/>
  <c r="V437" i="72"/>
  <c r="V438" i="72"/>
  <c r="V439" i="72"/>
  <c r="V440" i="72"/>
  <c r="V441" i="72"/>
  <c r="V442" i="72"/>
  <c r="V443" i="72"/>
  <c r="V444" i="72"/>
  <c r="V445" i="72"/>
  <c r="V446" i="72"/>
  <c r="V447" i="72"/>
  <c r="V448" i="72"/>
  <c r="V449" i="72"/>
  <c r="V450" i="72"/>
  <c r="V451" i="72"/>
  <c r="V452" i="72"/>
  <c r="V453" i="72"/>
  <c r="V454" i="72"/>
  <c r="V455" i="72"/>
  <c r="V456" i="72"/>
  <c r="V457" i="72"/>
  <c r="V458" i="72"/>
  <c r="V459" i="72"/>
  <c r="V460" i="72"/>
  <c r="V461" i="72"/>
  <c r="V462" i="72"/>
  <c r="V463" i="72"/>
  <c r="V464" i="72"/>
  <c r="V465" i="72"/>
  <c r="V466" i="72"/>
  <c r="V467" i="72"/>
  <c r="V468" i="72"/>
  <c r="V469" i="72"/>
  <c r="V470" i="72"/>
  <c r="V471" i="72"/>
  <c r="V472" i="72"/>
  <c r="V473" i="72"/>
  <c r="V474" i="72"/>
  <c r="V475" i="72"/>
  <c r="V476" i="72"/>
  <c r="V477" i="72"/>
  <c r="V478" i="72"/>
  <c r="V479" i="72"/>
  <c r="V480" i="72"/>
  <c r="V481" i="72"/>
  <c r="V482" i="72"/>
  <c r="V483" i="72"/>
  <c r="V484" i="72"/>
  <c r="V485" i="72"/>
  <c r="V486" i="72"/>
  <c r="V487" i="72"/>
  <c r="V488" i="72"/>
  <c r="V489" i="72"/>
  <c r="V490" i="72"/>
  <c r="V491" i="72"/>
  <c r="V492" i="72"/>
  <c r="V493" i="72"/>
  <c r="V494" i="72"/>
  <c r="V495" i="72"/>
  <c r="V496" i="72"/>
  <c r="V497" i="72"/>
  <c r="V498" i="72"/>
  <c r="V499" i="72"/>
  <c r="V500" i="72"/>
  <c r="W5" i="72"/>
  <c r="W6" i="72"/>
  <c r="W7" i="72"/>
  <c r="W8" i="72"/>
  <c r="W9" i="72"/>
  <c r="W10" i="72"/>
  <c r="W11" i="72"/>
  <c r="W12" i="72"/>
  <c r="W13" i="72"/>
  <c r="W14" i="72"/>
  <c r="W15" i="72"/>
  <c r="W16" i="72"/>
  <c r="W17" i="72"/>
  <c r="W18" i="72"/>
  <c r="W19" i="72"/>
  <c r="W20" i="72"/>
  <c r="W21" i="72"/>
  <c r="W22" i="72"/>
  <c r="W23" i="72"/>
  <c r="W24" i="72"/>
  <c r="W25" i="72"/>
  <c r="W26" i="72"/>
  <c r="W27" i="72"/>
  <c r="W28" i="72"/>
  <c r="W29" i="72"/>
  <c r="W30" i="72"/>
  <c r="W31" i="72"/>
  <c r="W32" i="72"/>
  <c r="W33" i="72"/>
  <c r="W34" i="72"/>
  <c r="W35" i="72"/>
  <c r="W36" i="72"/>
  <c r="W37" i="72"/>
  <c r="W38" i="72"/>
  <c r="W39" i="72"/>
  <c r="W40" i="72"/>
  <c r="W41" i="72"/>
  <c r="W42" i="72"/>
  <c r="W43" i="72"/>
  <c r="W44" i="72"/>
  <c r="W45" i="72"/>
  <c r="W46" i="72"/>
  <c r="W47" i="72"/>
  <c r="W48" i="72"/>
  <c r="W49" i="72"/>
  <c r="W50" i="72"/>
  <c r="W51" i="72"/>
  <c r="W52" i="72"/>
  <c r="W53" i="72"/>
  <c r="W54" i="72"/>
  <c r="W55" i="72"/>
  <c r="W56" i="72"/>
  <c r="W57" i="72"/>
  <c r="W58" i="72"/>
  <c r="W59" i="72"/>
  <c r="W60" i="72"/>
  <c r="W61" i="72"/>
  <c r="W62" i="72"/>
  <c r="W63" i="72"/>
  <c r="W64" i="72"/>
  <c r="W65" i="72"/>
  <c r="W66" i="72"/>
  <c r="W67" i="72"/>
  <c r="W68" i="72"/>
  <c r="W69" i="72"/>
  <c r="W70" i="72"/>
  <c r="W71" i="72"/>
  <c r="W72" i="72"/>
  <c r="W73" i="72"/>
  <c r="W74" i="72"/>
  <c r="W75" i="72"/>
  <c r="W76" i="72"/>
  <c r="W77" i="72"/>
  <c r="W78" i="72"/>
  <c r="W79" i="72"/>
  <c r="W80" i="72"/>
  <c r="W81" i="72"/>
  <c r="W82" i="72"/>
  <c r="W83" i="72"/>
  <c r="W84" i="72"/>
  <c r="W85" i="72"/>
  <c r="W86" i="72"/>
  <c r="W87" i="72"/>
  <c r="W88" i="72"/>
  <c r="W89" i="72"/>
  <c r="W90" i="72"/>
  <c r="W91" i="72"/>
  <c r="W92" i="72"/>
  <c r="W93" i="72"/>
  <c r="W94" i="72"/>
  <c r="W95" i="72"/>
  <c r="W96" i="72"/>
  <c r="W97" i="72"/>
  <c r="W98" i="72"/>
  <c r="W99" i="72"/>
  <c r="W100" i="72"/>
  <c r="W101" i="72"/>
  <c r="W102" i="72"/>
  <c r="W103" i="72"/>
  <c r="W105" i="72"/>
  <c r="W106" i="72"/>
  <c r="W107" i="72"/>
  <c r="W108" i="72"/>
  <c r="W109" i="72"/>
  <c r="W110" i="72"/>
  <c r="W111" i="72"/>
  <c r="W112" i="72"/>
  <c r="W113" i="72"/>
  <c r="W114" i="72"/>
  <c r="W115" i="72"/>
  <c r="W116" i="72"/>
  <c r="W117" i="72"/>
  <c r="W118" i="72"/>
  <c r="W119" i="72"/>
  <c r="W120" i="72"/>
  <c r="W121" i="72"/>
  <c r="W122" i="72"/>
  <c r="W123" i="72"/>
  <c r="W124" i="72"/>
  <c r="W125" i="72"/>
  <c r="W126" i="72"/>
  <c r="W127" i="72"/>
  <c r="W128" i="72"/>
  <c r="W129" i="72"/>
  <c r="W130" i="72"/>
  <c r="W131" i="72"/>
  <c r="W132" i="72"/>
  <c r="W133" i="72"/>
  <c r="W134" i="72"/>
  <c r="W135" i="72"/>
  <c r="W136" i="72"/>
  <c r="W137" i="72"/>
  <c r="W138" i="72"/>
  <c r="W139" i="72"/>
  <c r="W140" i="72"/>
  <c r="W141" i="72"/>
  <c r="W142" i="72"/>
  <c r="W143" i="72"/>
  <c r="W144" i="72"/>
  <c r="W145" i="72"/>
  <c r="W146" i="72"/>
  <c r="W147" i="72"/>
  <c r="W148" i="72"/>
  <c r="W149" i="72"/>
  <c r="W150" i="72"/>
  <c r="W151" i="72"/>
  <c r="W152" i="72"/>
  <c r="W153" i="72"/>
  <c r="W154" i="72"/>
  <c r="W155" i="72"/>
  <c r="W156" i="72"/>
  <c r="W157" i="72"/>
  <c r="W158" i="72"/>
  <c r="W159" i="72"/>
  <c r="W160" i="72"/>
  <c r="W161" i="72"/>
  <c r="W162" i="72"/>
  <c r="W163" i="72"/>
  <c r="W164" i="72"/>
  <c r="W165" i="72"/>
  <c r="W166" i="72"/>
  <c r="W167" i="72"/>
  <c r="W168" i="72"/>
  <c r="W169" i="72"/>
  <c r="W170" i="72"/>
  <c r="W171" i="72"/>
  <c r="W172" i="72"/>
  <c r="W173" i="72"/>
  <c r="W174" i="72"/>
  <c r="W175" i="72"/>
  <c r="W176" i="72"/>
  <c r="W177" i="72"/>
  <c r="W178" i="72"/>
  <c r="W179" i="72"/>
  <c r="W180" i="72"/>
  <c r="W181" i="72"/>
  <c r="W182" i="72"/>
  <c r="W183" i="72"/>
  <c r="W184" i="72"/>
  <c r="W185" i="72"/>
  <c r="W186" i="72"/>
  <c r="W187" i="72"/>
  <c r="W188" i="72"/>
  <c r="W189" i="72"/>
  <c r="W190" i="72"/>
  <c r="W191" i="72"/>
  <c r="W192" i="72"/>
  <c r="W193" i="72"/>
  <c r="W194" i="72"/>
  <c r="W195" i="72"/>
  <c r="W196" i="72"/>
  <c r="W197" i="72"/>
  <c r="W198" i="72"/>
  <c r="W199" i="72"/>
  <c r="W200" i="72"/>
  <c r="W201" i="72"/>
  <c r="W202" i="72"/>
  <c r="W203" i="72"/>
  <c r="W204" i="72"/>
  <c r="W205" i="72"/>
  <c r="W206" i="72"/>
  <c r="W207" i="72"/>
  <c r="W208" i="72"/>
  <c r="W209" i="72"/>
  <c r="W210" i="72"/>
  <c r="W211" i="72"/>
  <c r="W212" i="72"/>
  <c r="W213" i="72"/>
  <c r="W214" i="72"/>
  <c r="W215" i="72"/>
  <c r="W216" i="72"/>
  <c r="W217" i="72"/>
  <c r="W218" i="72"/>
  <c r="W219" i="72"/>
  <c r="W220" i="72"/>
  <c r="W221" i="72"/>
  <c r="W222" i="72"/>
  <c r="W223" i="72"/>
  <c r="W224" i="72"/>
  <c r="W225" i="72"/>
  <c r="W226" i="72"/>
  <c r="W227" i="72"/>
  <c r="W228" i="72"/>
  <c r="W229" i="72"/>
  <c r="W230" i="72"/>
  <c r="W231" i="72"/>
  <c r="W232" i="72"/>
  <c r="W233" i="72"/>
  <c r="W234" i="72"/>
  <c r="W235" i="72"/>
  <c r="W236" i="72"/>
  <c r="W237" i="72"/>
  <c r="W238" i="72"/>
  <c r="W239" i="72"/>
  <c r="W240" i="72"/>
  <c r="W241" i="72"/>
  <c r="W242" i="72"/>
  <c r="W243" i="72"/>
  <c r="W244" i="72"/>
  <c r="W245" i="72"/>
  <c r="W246" i="72"/>
  <c r="W247" i="72"/>
  <c r="W248" i="72"/>
  <c r="W249" i="72"/>
  <c r="W250" i="72"/>
  <c r="W251" i="72"/>
  <c r="W252" i="72"/>
  <c r="W253" i="72"/>
  <c r="W254" i="72"/>
  <c r="W255" i="72"/>
  <c r="W256" i="72"/>
  <c r="W257" i="72"/>
  <c r="W258" i="72"/>
  <c r="W259" i="72"/>
  <c r="W260" i="72"/>
  <c r="W261" i="72"/>
  <c r="W262" i="72"/>
  <c r="W263" i="72"/>
  <c r="W264" i="72"/>
  <c r="W265" i="72"/>
  <c r="W266" i="72"/>
  <c r="W267" i="72"/>
  <c r="W268" i="72"/>
  <c r="W269" i="72"/>
  <c r="W270" i="72"/>
  <c r="W271" i="72"/>
  <c r="W272" i="72"/>
  <c r="W273" i="72"/>
  <c r="W274" i="72"/>
  <c r="W275" i="72"/>
  <c r="W276" i="72"/>
  <c r="W277" i="72"/>
  <c r="W278" i="72"/>
  <c r="W279" i="72"/>
  <c r="W280" i="72"/>
  <c r="W281" i="72"/>
  <c r="W282" i="72"/>
  <c r="W283" i="72"/>
  <c r="W284" i="72"/>
  <c r="W285" i="72"/>
  <c r="W286" i="72"/>
  <c r="W287" i="72"/>
  <c r="W288" i="72"/>
  <c r="W289" i="72"/>
  <c r="W290" i="72"/>
  <c r="W291" i="72"/>
  <c r="W292" i="72"/>
  <c r="W293" i="72"/>
  <c r="W294" i="72"/>
  <c r="W295" i="72"/>
  <c r="W296" i="72"/>
  <c r="W297" i="72"/>
  <c r="W298" i="72"/>
  <c r="W299" i="72"/>
  <c r="W300" i="72"/>
  <c r="W301" i="72"/>
  <c r="W302" i="72"/>
  <c r="W303" i="72"/>
  <c r="W304" i="72"/>
  <c r="W305" i="72"/>
  <c r="W306" i="72"/>
  <c r="W307" i="72"/>
  <c r="W308" i="72"/>
  <c r="W309" i="72"/>
  <c r="W310" i="72"/>
  <c r="W311" i="72"/>
  <c r="W312" i="72"/>
  <c r="W313" i="72"/>
  <c r="W314" i="72"/>
  <c r="W315" i="72"/>
  <c r="W316" i="72"/>
  <c r="W317" i="72"/>
  <c r="W318" i="72"/>
  <c r="W319" i="72"/>
  <c r="W320" i="72"/>
  <c r="W321" i="72"/>
  <c r="W322" i="72"/>
  <c r="W323" i="72"/>
  <c r="W324" i="72"/>
  <c r="W325" i="72"/>
  <c r="W326" i="72"/>
  <c r="W327" i="72"/>
  <c r="W328" i="72"/>
  <c r="W329" i="72"/>
  <c r="W330" i="72"/>
  <c r="W331" i="72"/>
  <c r="W332" i="72"/>
  <c r="W333" i="72"/>
  <c r="W334" i="72"/>
  <c r="W335" i="72"/>
  <c r="W336" i="72"/>
  <c r="W337" i="72"/>
  <c r="W338" i="72"/>
  <c r="W339" i="72"/>
  <c r="W340" i="72"/>
  <c r="W341" i="72"/>
  <c r="W342" i="72"/>
  <c r="W343" i="72"/>
  <c r="W344" i="72"/>
  <c r="W345" i="72"/>
  <c r="W346" i="72"/>
  <c r="W347" i="72"/>
  <c r="W348" i="72"/>
  <c r="W349" i="72"/>
  <c r="W350" i="72"/>
  <c r="W351" i="72"/>
  <c r="W352" i="72"/>
  <c r="W353" i="72"/>
  <c r="W354" i="72"/>
  <c r="W355" i="72"/>
  <c r="W356" i="72"/>
  <c r="W357" i="72"/>
  <c r="W358" i="72"/>
  <c r="W359" i="72"/>
  <c r="W360" i="72"/>
  <c r="W361" i="72"/>
  <c r="W362" i="72"/>
  <c r="W363" i="72"/>
  <c r="W364" i="72"/>
  <c r="W365" i="72"/>
  <c r="W366" i="72"/>
  <c r="W367" i="72"/>
  <c r="W368" i="72"/>
  <c r="W369" i="72"/>
  <c r="W370" i="72"/>
  <c r="W371" i="72"/>
  <c r="W372" i="72"/>
  <c r="W373" i="72"/>
  <c r="W374" i="72"/>
  <c r="W375" i="72"/>
  <c r="W376" i="72"/>
  <c r="W377" i="72"/>
  <c r="W378" i="72"/>
  <c r="W379" i="72"/>
  <c r="W380" i="72"/>
  <c r="W381" i="72"/>
  <c r="W382" i="72"/>
  <c r="W383" i="72"/>
  <c r="W384" i="72"/>
  <c r="W385" i="72"/>
  <c r="W386" i="72"/>
  <c r="W387" i="72"/>
  <c r="W388" i="72"/>
  <c r="W389" i="72"/>
  <c r="W390" i="72"/>
  <c r="W391" i="72"/>
  <c r="W392" i="72"/>
  <c r="W393" i="72"/>
  <c r="W394" i="72"/>
  <c r="W395" i="72"/>
  <c r="W396" i="72"/>
  <c r="W397" i="72"/>
  <c r="W398" i="72"/>
  <c r="W399" i="72"/>
  <c r="W400" i="72"/>
  <c r="W401" i="72"/>
  <c r="W402" i="72"/>
  <c r="W403" i="72"/>
  <c r="W404" i="72"/>
  <c r="W405" i="72"/>
  <c r="W406" i="72"/>
  <c r="W407" i="72"/>
  <c r="W408" i="72"/>
  <c r="W409" i="72"/>
  <c r="W410" i="72"/>
  <c r="W411" i="72"/>
  <c r="W412" i="72"/>
  <c r="W413" i="72"/>
  <c r="W414" i="72"/>
  <c r="W415" i="72"/>
  <c r="W416" i="72"/>
  <c r="W417" i="72"/>
  <c r="W418" i="72"/>
  <c r="W419" i="72"/>
  <c r="W420" i="72"/>
  <c r="W421" i="72"/>
  <c r="W422" i="72"/>
  <c r="W423" i="72"/>
  <c r="W424" i="72"/>
  <c r="W425" i="72"/>
  <c r="W426" i="72"/>
  <c r="W427" i="72"/>
  <c r="W428" i="72"/>
  <c r="W429" i="72"/>
  <c r="W430" i="72"/>
  <c r="W431" i="72"/>
  <c r="W432" i="72"/>
  <c r="W433" i="72"/>
  <c r="W434" i="72"/>
  <c r="W435" i="72"/>
  <c r="W436" i="72"/>
  <c r="W437" i="72"/>
  <c r="W438" i="72"/>
  <c r="W439" i="72"/>
  <c r="W440" i="72"/>
  <c r="W441" i="72"/>
  <c r="W442" i="72"/>
  <c r="W443" i="72"/>
  <c r="W444" i="72"/>
  <c r="W445" i="72"/>
  <c r="W446" i="72"/>
  <c r="W447" i="72"/>
  <c r="W448" i="72"/>
  <c r="W449" i="72"/>
  <c r="W450" i="72"/>
  <c r="W451" i="72"/>
  <c r="W452" i="72"/>
  <c r="W453" i="72"/>
  <c r="W454" i="72"/>
  <c r="W455" i="72"/>
  <c r="W456" i="72"/>
  <c r="W457" i="72"/>
  <c r="W458" i="72"/>
  <c r="W459" i="72"/>
  <c r="W460" i="72"/>
  <c r="W461" i="72"/>
  <c r="W462" i="72"/>
  <c r="W463" i="72"/>
  <c r="W464" i="72"/>
  <c r="W465" i="72"/>
  <c r="W466" i="72"/>
  <c r="W467" i="72"/>
  <c r="W468" i="72"/>
  <c r="W469" i="72"/>
  <c r="W470" i="72"/>
  <c r="W471" i="72"/>
  <c r="W472" i="72"/>
  <c r="W473" i="72"/>
  <c r="W474" i="72"/>
  <c r="W475" i="72"/>
  <c r="W476" i="72"/>
  <c r="W477" i="72"/>
  <c r="W478" i="72"/>
  <c r="W479" i="72"/>
  <c r="W480" i="72"/>
  <c r="W481" i="72"/>
  <c r="W482" i="72"/>
  <c r="W483" i="72"/>
  <c r="W484" i="72"/>
  <c r="W485" i="72"/>
  <c r="W486" i="72"/>
  <c r="W487" i="72"/>
  <c r="W488" i="72"/>
  <c r="W489" i="72"/>
  <c r="W490" i="72"/>
  <c r="W491" i="72"/>
  <c r="W492" i="72"/>
  <c r="W493" i="72"/>
  <c r="W494" i="72"/>
  <c r="W495" i="72"/>
  <c r="W496" i="72"/>
  <c r="W497" i="72"/>
  <c r="W498" i="72"/>
  <c r="W499" i="72"/>
  <c r="W500" i="72"/>
  <c r="X427" i="72"/>
  <c r="Y427" i="72"/>
  <c r="Z427" i="72"/>
  <c r="AA427" i="72"/>
  <c r="AB427" i="72"/>
  <c r="AC427" i="72"/>
  <c r="AD427" i="72"/>
  <c r="AE427" i="72"/>
  <c r="AF427" i="72"/>
  <c r="AG427" i="72"/>
  <c r="AH427" i="72"/>
  <c r="AI427" i="72"/>
  <c r="AJ427" i="72"/>
  <c r="AK427" i="72"/>
  <c r="AL427" i="72"/>
  <c r="X369" i="72"/>
  <c r="Y369" i="72"/>
  <c r="Z369" i="72"/>
  <c r="AA369" i="72"/>
  <c r="AB369" i="72"/>
  <c r="AC369" i="72"/>
  <c r="AD369" i="72"/>
  <c r="AE369" i="72"/>
  <c r="AF369" i="72"/>
  <c r="AG369" i="72"/>
  <c r="AH369" i="72"/>
  <c r="AI369" i="72"/>
  <c r="AJ369" i="72"/>
  <c r="AK369" i="72"/>
  <c r="AL369" i="72"/>
  <c r="X470" i="72"/>
  <c r="Y470" i="72"/>
  <c r="Z470" i="72"/>
  <c r="AA470" i="72"/>
  <c r="AB470" i="72"/>
  <c r="AC470" i="72"/>
  <c r="AD470" i="72"/>
  <c r="AE470" i="72"/>
  <c r="AF470" i="72"/>
  <c r="AG470" i="72"/>
  <c r="AH470" i="72"/>
  <c r="AI470" i="72"/>
  <c r="AJ470" i="72"/>
  <c r="AK470" i="72"/>
  <c r="AL470" i="72"/>
  <c r="C36" i="116"/>
  <c r="C37" i="116"/>
  <c r="X500" i="72"/>
  <c r="Y500" i="72"/>
  <c r="Z500" i="72"/>
  <c r="AA500" i="72"/>
  <c r="AB500" i="72"/>
  <c r="AC500" i="72"/>
  <c r="AD500" i="72"/>
  <c r="AE500" i="72"/>
  <c r="AF500" i="72"/>
  <c r="AG500" i="72"/>
  <c r="AH500" i="72"/>
  <c r="AI500" i="72"/>
  <c r="AJ500" i="72"/>
  <c r="AK500" i="72"/>
  <c r="AL500" i="72"/>
  <c r="X445" i="72"/>
  <c r="Y445" i="72"/>
  <c r="Z445" i="72"/>
  <c r="AA445" i="72"/>
  <c r="AB445" i="72"/>
  <c r="AC445" i="72"/>
  <c r="AD445" i="72"/>
  <c r="AE445" i="72"/>
  <c r="AF445" i="72"/>
  <c r="AG445" i="72"/>
  <c r="AH445" i="72"/>
  <c r="AI445" i="72"/>
  <c r="AJ445" i="72"/>
  <c r="AK445" i="72"/>
  <c r="AL445" i="72"/>
  <c r="X446" i="72"/>
  <c r="Y446" i="72"/>
  <c r="Z446" i="72"/>
  <c r="AA446" i="72"/>
  <c r="AB446" i="72"/>
  <c r="AC446" i="72"/>
  <c r="AD446" i="72"/>
  <c r="AE446" i="72"/>
  <c r="AF446" i="72"/>
  <c r="AG446" i="72"/>
  <c r="AH446" i="72"/>
  <c r="AI446" i="72"/>
  <c r="AJ446" i="72"/>
  <c r="AK446" i="72"/>
  <c r="AL446" i="72"/>
  <c r="X167" i="72"/>
  <c r="Y167" i="72"/>
  <c r="Z167" i="72"/>
  <c r="AA167" i="72"/>
  <c r="AB167" i="72"/>
  <c r="AC167" i="72"/>
  <c r="AD167" i="72"/>
  <c r="AE167" i="72"/>
  <c r="AF167" i="72"/>
  <c r="AG167" i="72"/>
  <c r="AH167" i="72"/>
  <c r="AI167" i="72"/>
  <c r="AJ167" i="72"/>
  <c r="AK167" i="72"/>
  <c r="AL167" i="72"/>
  <c r="X168" i="72"/>
  <c r="Y168" i="72"/>
  <c r="Z168" i="72"/>
  <c r="AA168" i="72"/>
  <c r="AB168" i="72"/>
  <c r="AC168" i="72"/>
  <c r="AD168" i="72"/>
  <c r="AE168" i="72"/>
  <c r="AF168" i="72"/>
  <c r="AG168" i="72"/>
  <c r="AH168" i="72"/>
  <c r="AI168" i="72"/>
  <c r="AJ168" i="72"/>
  <c r="AK168" i="72"/>
  <c r="AL168" i="72"/>
  <c r="X169" i="72"/>
  <c r="Y169" i="72"/>
  <c r="Z169" i="72"/>
  <c r="AA169" i="72"/>
  <c r="AB169" i="72"/>
  <c r="AC169" i="72"/>
  <c r="AD169" i="72"/>
  <c r="AE169" i="72"/>
  <c r="AF169" i="72"/>
  <c r="AG169" i="72"/>
  <c r="AH169" i="72"/>
  <c r="AI169" i="72"/>
  <c r="AJ169" i="72"/>
  <c r="AK169" i="72"/>
  <c r="AL169" i="72"/>
  <c r="X487" i="72"/>
  <c r="Y487" i="72"/>
  <c r="Z487" i="72"/>
  <c r="AA487" i="72"/>
  <c r="AB487" i="72"/>
  <c r="AC487" i="72"/>
  <c r="AD487" i="72"/>
  <c r="AE487" i="72"/>
  <c r="AF487" i="72"/>
  <c r="AG487" i="72"/>
  <c r="AH487" i="72"/>
  <c r="AI487" i="72"/>
  <c r="AJ487" i="72"/>
  <c r="AK487" i="72"/>
  <c r="AL487" i="72"/>
  <c r="X488" i="72"/>
  <c r="Y488" i="72"/>
  <c r="Z488" i="72"/>
  <c r="AA488" i="72"/>
  <c r="AB488" i="72"/>
  <c r="AC488" i="72"/>
  <c r="AD488" i="72"/>
  <c r="AE488" i="72"/>
  <c r="AF488" i="72"/>
  <c r="AG488" i="72"/>
  <c r="AH488" i="72"/>
  <c r="AI488" i="72"/>
  <c r="AJ488" i="72"/>
  <c r="AK488" i="72"/>
  <c r="AL488" i="72"/>
  <c r="X489" i="72"/>
  <c r="Y489" i="72"/>
  <c r="Z489" i="72"/>
  <c r="AA489" i="72"/>
  <c r="AB489" i="72"/>
  <c r="AC489" i="72"/>
  <c r="AD489" i="72"/>
  <c r="AE489" i="72"/>
  <c r="AF489" i="72"/>
  <c r="AG489" i="72"/>
  <c r="AH489" i="72"/>
  <c r="AI489" i="72"/>
  <c r="AJ489" i="72"/>
  <c r="AK489" i="72"/>
  <c r="AL489" i="72"/>
  <c r="X463" i="72"/>
  <c r="Y463" i="72"/>
  <c r="Z463" i="72"/>
  <c r="AA463" i="72"/>
  <c r="AB463" i="72"/>
  <c r="AC463" i="72"/>
  <c r="AD463" i="72"/>
  <c r="AE463" i="72"/>
  <c r="AF463" i="72"/>
  <c r="AG463" i="72"/>
  <c r="AH463" i="72"/>
  <c r="AI463" i="72"/>
  <c r="AJ463" i="72"/>
  <c r="AK463" i="72"/>
  <c r="AL463" i="72"/>
  <c r="X457" i="72"/>
  <c r="Y457" i="72"/>
  <c r="Z457" i="72"/>
  <c r="AA457" i="72"/>
  <c r="AB457" i="72"/>
  <c r="AC457" i="72"/>
  <c r="AD457" i="72"/>
  <c r="AE457" i="72"/>
  <c r="AF457" i="72"/>
  <c r="AG457" i="72"/>
  <c r="AH457" i="72"/>
  <c r="AI457" i="72"/>
  <c r="AJ457" i="72"/>
  <c r="AK457" i="72"/>
  <c r="AL457" i="72"/>
  <c r="X458" i="72"/>
  <c r="Y458" i="72"/>
  <c r="Z458" i="72"/>
  <c r="AA458" i="72"/>
  <c r="AB458" i="72"/>
  <c r="AC458" i="72"/>
  <c r="AD458" i="72"/>
  <c r="AE458" i="72"/>
  <c r="AF458" i="72"/>
  <c r="AG458" i="72"/>
  <c r="AH458" i="72"/>
  <c r="AI458" i="72"/>
  <c r="AJ458" i="72"/>
  <c r="AK458" i="72"/>
  <c r="AL458" i="72"/>
  <c r="X459" i="72"/>
  <c r="Y459" i="72"/>
  <c r="Z459" i="72"/>
  <c r="AA459" i="72"/>
  <c r="AB459" i="72"/>
  <c r="AC459" i="72"/>
  <c r="AD459" i="72"/>
  <c r="AE459" i="72"/>
  <c r="AF459" i="72"/>
  <c r="AG459" i="72"/>
  <c r="AH459" i="72"/>
  <c r="AI459" i="72"/>
  <c r="AJ459" i="72"/>
  <c r="AK459" i="72"/>
  <c r="AL459" i="72"/>
  <c r="X428" i="72"/>
  <c r="Y428" i="72"/>
  <c r="Z428" i="72"/>
  <c r="AA428" i="72"/>
  <c r="AB428" i="72"/>
  <c r="AC428" i="72"/>
  <c r="AD428" i="72"/>
  <c r="AE428" i="72"/>
  <c r="AF428" i="72"/>
  <c r="AG428" i="72"/>
  <c r="AH428" i="72"/>
  <c r="AI428" i="72"/>
  <c r="AJ428" i="72"/>
  <c r="AK428" i="72"/>
  <c r="AL428" i="72"/>
  <c r="X429" i="72"/>
  <c r="Y429" i="72"/>
  <c r="Z429" i="72"/>
  <c r="AA429" i="72"/>
  <c r="AB429" i="72"/>
  <c r="AC429" i="72"/>
  <c r="AD429" i="72"/>
  <c r="AE429" i="72"/>
  <c r="AF429" i="72"/>
  <c r="AG429" i="72"/>
  <c r="AH429" i="72"/>
  <c r="AI429" i="72"/>
  <c r="AJ429" i="72"/>
  <c r="AK429" i="72"/>
  <c r="AL429" i="72"/>
  <c r="X430" i="72"/>
  <c r="Y430" i="72"/>
  <c r="Z430" i="72"/>
  <c r="AA430" i="72"/>
  <c r="AB430" i="72"/>
  <c r="AC430" i="72"/>
  <c r="AD430" i="72"/>
  <c r="AE430" i="72"/>
  <c r="AF430" i="72"/>
  <c r="AG430" i="72"/>
  <c r="AH430" i="72"/>
  <c r="AI430" i="72"/>
  <c r="AJ430" i="72"/>
  <c r="AK430" i="72"/>
  <c r="AL430" i="72"/>
  <c r="X423" i="72"/>
  <c r="Y423" i="72"/>
  <c r="Z423" i="72"/>
  <c r="AA423" i="72"/>
  <c r="AB423" i="72"/>
  <c r="AC423" i="72"/>
  <c r="AD423" i="72"/>
  <c r="AE423" i="72"/>
  <c r="AF423" i="72"/>
  <c r="AG423" i="72"/>
  <c r="AH423" i="72"/>
  <c r="AI423" i="72"/>
  <c r="AJ423" i="72"/>
  <c r="AK423" i="72"/>
  <c r="AL423" i="72"/>
  <c r="X417" i="72"/>
  <c r="Y417" i="72"/>
  <c r="Z417" i="72"/>
  <c r="AA417" i="72"/>
  <c r="AB417" i="72"/>
  <c r="AC417" i="72"/>
  <c r="AD417" i="72"/>
  <c r="AE417" i="72"/>
  <c r="AF417" i="72"/>
  <c r="AG417" i="72"/>
  <c r="AH417" i="72"/>
  <c r="AI417" i="72"/>
  <c r="AJ417" i="72"/>
  <c r="AK417" i="72"/>
  <c r="AL417" i="72"/>
  <c r="X418" i="72"/>
  <c r="Y418" i="72"/>
  <c r="Z418" i="72"/>
  <c r="AA418" i="72"/>
  <c r="AB418" i="72"/>
  <c r="AC418" i="72"/>
  <c r="AD418" i="72"/>
  <c r="AE418" i="72"/>
  <c r="AF418" i="72"/>
  <c r="AG418" i="72"/>
  <c r="AH418" i="72"/>
  <c r="AI418" i="72"/>
  <c r="AJ418" i="72"/>
  <c r="AK418" i="72"/>
  <c r="AL418" i="72"/>
  <c r="X414" i="72"/>
  <c r="Y414" i="72"/>
  <c r="Z414" i="72"/>
  <c r="AA414" i="72"/>
  <c r="AB414" i="72"/>
  <c r="AC414" i="72"/>
  <c r="AD414" i="72"/>
  <c r="AE414" i="72"/>
  <c r="AF414" i="72"/>
  <c r="AG414" i="72"/>
  <c r="AH414" i="72"/>
  <c r="AI414" i="72"/>
  <c r="AJ414" i="72"/>
  <c r="AK414" i="72"/>
  <c r="AL414" i="72"/>
  <c r="X412" i="72"/>
  <c r="Y412" i="72"/>
  <c r="Z412" i="72"/>
  <c r="AA412" i="72"/>
  <c r="AB412" i="72"/>
  <c r="AC412" i="72"/>
  <c r="AD412" i="72"/>
  <c r="AE412" i="72"/>
  <c r="AF412" i="72"/>
  <c r="AG412" i="72"/>
  <c r="AH412" i="72"/>
  <c r="AI412" i="72"/>
  <c r="AJ412" i="72"/>
  <c r="AK412" i="72"/>
  <c r="AL412" i="72"/>
  <c r="X410" i="72"/>
  <c r="Y410" i="72"/>
  <c r="Z410" i="72"/>
  <c r="AA410" i="72"/>
  <c r="AB410" i="72"/>
  <c r="AC410" i="72"/>
  <c r="AD410" i="72"/>
  <c r="AE410" i="72"/>
  <c r="AF410" i="72"/>
  <c r="AG410" i="72"/>
  <c r="AH410" i="72"/>
  <c r="AI410" i="72"/>
  <c r="AJ410" i="72"/>
  <c r="AK410" i="72"/>
  <c r="AL410" i="72"/>
  <c r="X411" i="72"/>
  <c r="Y411" i="72"/>
  <c r="Z411" i="72"/>
  <c r="AA411" i="72"/>
  <c r="AB411" i="72"/>
  <c r="AC411" i="72"/>
  <c r="AD411" i="72"/>
  <c r="AE411" i="72"/>
  <c r="AF411" i="72"/>
  <c r="AG411" i="72"/>
  <c r="AH411" i="72"/>
  <c r="AI411" i="72"/>
  <c r="AJ411" i="72"/>
  <c r="AK411" i="72"/>
  <c r="AL411" i="72"/>
  <c r="X405" i="72"/>
  <c r="Y405" i="72"/>
  <c r="Z405" i="72"/>
  <c r="AA405" i="72"/>
  <c r="AB405" i="72"/>
  <c r="AC405" i="72"/>
  <c r="AD405" i="72"/>
  <c r="AE405" i="72"/>
  <c r="AF405" i="72"/>
  <c r="AG405" i="72"/>
  <c r="AH405" i="72"/>
  <c r="AI405" i="72"/>
  <c r="AJ405" i="72"/>
  <c r="AK405" i="72"/>
  <c r="AL405" i="72"/>
  <c r="X467" i="72"/>
  <c r="Y467" i="72"/>
  <c r="Z467" i="72"/>
  <c r="AA467" i="72"/>
  <c r="AB467" i="72"/>
  <c r="AC467" i="72"/>
  <c r="AD467" i="72"/>
  <c r="AE467" i="72"/>
  <c r="AF467" i="72"/>
  <c r="AG467" i="72"/>
  <c r="AH467" i="72"/>
  <c r="AI467" i="72"/>
  <c r="AJ467" i="72"/>
  <c r="AK467" i="72"/>
  <c r="AL467" i="72"/>
  <c r="X444" i="72"/>
  <c r="Y444" i="72"/>
  <c r="Z444" i="72"/>
  <c r="AA444" i="72"/>
  <c r="AB444" i="72"/>
  <c r="AC444" i="72"/>
  <c r="AD444" i="72"/>
  <c r="AE444" i="72"/>
  <c r="AF444" i="72"/>
  <c r="AG444" i="72"/>
  <c r="AH444" i="72"/>
  <c r="AI444" i="72"/>
  <c r="AJ444" i="72"/>
  <c r="AK444" i="72"/>
  <c r="AL444" i="72"/>
  <c r="X486" i="72"/>
  <c r="Y486" i="72"/>
  <c r="Z486" i="72"/>
  <c r="AA486" i="72"/>
  <c r="AB486" i="72"/>
  <c r="AC486" i="72"/>
  <c r="AD486" i="72"/>
  <c r="AE486" i="72"/>
  <c r="AF486" i="72"/>
  <c r="AG486" i="72"/>
  <c r="AH486" i="72"/>
  <c r="AI486" i="72"/>
  <c r="AJ486" i="72"/>
  <c r="AK486" i="72"/>
  <c r="AL486" i="72"/>
  <c r="X478" i="72"/>
  <c r="Y478" i="72"/>
  <c r="Z478" i="72"/>
  <c r="AA478" i="72"/>
  <c r="AB478" i="72"/>
  <c r="AC478" i="72"/>
  <c r="AD478" i="72"/>
  <c r="AE478" i="72"/>
  <c r="AF478" i="72"/>
  <c r="AG478" i="72"/>
  <c r="AH478" i="72"/>
  <c r="AI478" i="72"/>
  <c r="AJ478" i="72"/>
  <c r="AK478" i="72"/>
  <c r="AL478" i="72"/>
  <c r="X479" i="72"/>
  <c r="Y479" i="72"/>
  <c r="Z479" i="72"/>
  <c r="AA479" i="72"/>
  <c r="AB479" i="72"/>
  <c r="AC479" i="72"/>
  <c r="AD479" i="72"/>
  <c r="AE479" i="72"/>
  <c r="AF479" i="72"/>
  <c r="AG479" i="72"/>
  <c r="AH479" i="72"/>
  <c r="AI479" i="72"/>
  <c r="AJ479" i="72"/>
  <c r="AK479" i="72"/>
  <c r="AL479" i="72"/>
  <c r="X480" i="72"/>
  <c r="Y480" i="72"/>
  <c r="Z480" i="72"/>
  <c r="AA480" i="72"/>
  <c r="AB480" i="72"/>
  <c r="AC480" i="72"/>
  <c r="AD480" i="72"/>
  <c r="AE480" i="72"/>
  <c r="AF480" i="72"/>
  <c r="AG480" i="72"/>
  <c r="AH480" i="72"/>
  <c r="AI480" i="72"/>
  <c r="AJ480" i="72"/>
  <c r="AK480" i="72"/>
  <c r="AL480" i="72"/>
  <c r="X481" i="72"/>
  <c r="Y481" i="72"/>
  <c r="Z481" i="72"/>
  <c r="AA481" i="72"/>
  <c r="AB481" i="72"/>
  <c r="AC481" i="72"/>
  <c r="AD481" i="72"/>
  <c r="AE481" i="72"/>
  <c r="AF481" i="72"/>
  <c r="AG481" i="72"/>
  <c r="AH481" i="72"/>
  <c r="AI481" i="72"/>
  <c r="AJ481" i="72"/>
  <c r="AK481" i="72"/>
  <c r="AL481" i="72"/>
  <c r="X482" i="72"/>
  <c r="Y482" i="72"/>
  <c r="Z482" i="72"/>
  <c r="AA482" i="72"/>
  <c r="AB482" i="72"/>
  <c r="AC482" i="72"/>
  <c r="AD482" i="72"/>
  <c r="AE482" i="72"/>
  <c r="AF482" i="72"/>
  <c r="AG482" i="72"/>
  <c r="AH482" i="72"/>
  <c r="AI482" i="72"/>
  <c r="AJ482" i="72"/>
  <c r="AK482" i="72"/>
  <c r="AL482" i="72"/>
  <c r="X483" i="72"/>
  <c r="Y483" i="72"/>
  <c r="Z483" i="72"/>
  <c r="AA483" i="72"/>
  <c r="AB483" i="72"/>
  <c r="AC483" i="72"/>
  <c r="AD483" i="72"/>
  <c r="AE483" i="72"/>
  <c r="AF483" i="72"/>
  <c r="AG483" i="72"/>
  <c r="AH483" i="72"/>
  <c r="AI483" i="72"/>
  <c r="AJ483" i="72"/>
  <c r="AK483" i="72"/>
  <c r="AL483" i="72"/>
  <c r="X484" i="72"/>
  <c r="Y484" i="72"/>
  <c r="Z484" i="72"/>
  <c r="AA484" i="72"/>
  <c r="AB484" i="72"/>
  <c r="AC484" i="72"/>
  <c r="AD484" i="72"/>
  <c r="AE484" i="72"/>
  <c r="AF484" i="72"/>
  <c r="AG484" i="72"/>
  <c r="AH484" i="72"/>
  <c r="AI484" i="72"/>
  <c r="AJ484" i="72"/>
  <c r="AK484" i="72"/>
  <c r="AL484" i="72"/>
  <c r="X468" i="72"/>
  <c r="Y468" i="72"/>
  <c r="Z468" i="72"/>
  <c r="AA468" i="72"/>
  <c r="AB468" i="72"/>
  <c r="AC468" i="72"/>
  <c r="AD468" i="72"/>
  <c r="AE468" i="72"/>
  <c r="AF468" i="72"/>
  <c r="AG468" i="72"/>
  <c r="AH468" i="72"/>
  <c r="AI468" i="72"/>
  <c r="AJ468" i="72"/>
  <c r="AK468" i="72"/>
  <c r="AL468" i="72"/>
  <c r="X469" i="72"/>
  <c r="X471" i="72"/>
  <c r="Y469" i="72"/>
  <c r="Y471" i="72"/>
  <c r="Z469" i="72"/>
  <c r="Z471" i="72"/>
  <c r="AA469" i="72"/>
  <c r="AA471" i="72"/>
  <c r="AB469" i="72"/>
  <c r="AB471" i="72"/>
  <c r="AC469" i="72"/>
  <c r="AC471" i="72"/>
  <c r="AD469" i="72"/>
  <c r="AD471" i="72"/>
  <c r="AE469" i="72"/>
  <c r="AE471" i="72"/>
  <c r="AF469" i="72"/>
  <c r="AF471" i="72"/>
  <c r="AG469" i="72"/>
  <c r="AG471" i="72"/>
  <c r="AH469" i="72"/>
  <c r="AH471" i="72"/>
  <c r="AI469" i="72"/>
  <c r="AI471" i="72"/>
  <c r="AJ469" i="72"/>
  <c r="AJ471" i="72"/>
  <c r="AK469" i="72"/>
  <c r="AK471" i="72"/>
  <c r="AL469" i="72"/>
  <c r="AL471" i="72"/>
  <c r="X472" i="72"/>
  <c r="Y472" i="72"/>
  <c r="Z472" i="72"/>
  <c r="AA472" i="72"/>
  <c r="AB472" i="72"/>
  <c r="AC472" i="72"/>
  <c r="AD472" i="72"/>
  <c r="AE472" i="72"/>
  <c r="AF472" i="72"/>
  <c r="AG472" i="72"/>
  <c r="AH472" i="72"/>
  <c r="AI472" i="72"/>
  <c r="AJ472" i="72"/>
  <c r="AK472" i="72"/>
  <c r="AL472" i="72"/>
  <c r="X473" i="72"/>
  <c r="Y473" i="72"/>
  <c r="Z473" i="72"/>
  <c r="AA473" i="72"/>
  <c r="AB473" i="72"/>
  <c r="AC473" i="72"/>
  <c r="AD473" i="72"/>
  <c r="AE473" i="72"/>
  <c r="AF473" i="72"/>
  <c r="AG473" i="72"/>
  <c r="AH473" i="72"/>
  <c r="AI473" i="72"/>
  <c r="AJ473" i="72"/>
  <c r="AK473" i="72"/>
  <c r="AL473" i="72"/>
  <c r="X492" i="72"/>
  <c r="Y492" i="72"/>
  <c r="Z492" i="72"/>
  <c r="AA492" i="72"/>
  <c r="AB492" i="72"/>
  <c r="AC492" i="72"/>
  <c r="AD492" i="72"/>
  <c r="AE492" i="72"/>
  <c r="AF492" i="72"/>
  <c r="AG492" i="72"/>
  <c r="AH492" i="72"/>
  <c r="AI492" i="72"/>
  <c r="AJ492" i="72"/>
  <c r="AK492" i="72"/>
  <c r="AL492" i="72"/>
  <c r="X493" i="72"/>
  <c r="Y493" i="72"/>
  <c r="Z493" i="72"/>
  <c r="AA493" i="72"/>
  <c r="AB493" i="72"/>
  <c r="AC493" i="72"/>
  <c r="AD493" i="72"/>
  <c r="AE493" i="72"/>
  <c r="AF493" i="72"/>
  <c r="AG493" i="72"/>
  <c r="AH493" i="72"/>
  <c r="AI493" i="72"/>
  <c r="AJ493" i="72"/>
  <c r="AK493" i="72"/>
  <c r="AL493" i="72"/>
  <c r="X494" i="72"/>
  <c r="Y494" i="72"/>
  <c r="Z494" i="72"/>
  <c r="AA494" i="72"/>
  <c r="AB494" i="72"/>
  <c r="AC494" i="72"/>
  <c r="AD494" i="72"/>
  <c r="AE494" i="72"/>
  <c r="AF494" i="72"/>
  <c r="AG494" i="72"/>
  <c r="AH494" i="72"/>
  <c r="AI494" i="72"/>
  <c r="AJ494" i="72"/>
  <c r="AK494" i="72"/>
  <c r="AL494" i="72"/>
  <c r="X495" i="72"/>
  <c r="Y495" i="72"/>
  <c r="Z495" i="72"/>
  <c r="AA495" i="72"/>
  <c r="AB495" i="72"/>
  <c r="AC495" i="72"/>
  <c r="AD495" i="72"/>
  <c r="AE495" i="72"/>
  <c r="AF495" i="72"/>
  <c r="AG495" i="72"/>
  <c r="AH495" i="72"/>
  <c r="AI495" i="72"/>
  <c r="AJ495" i="72"/>
  <c r="AK495" i="72"/>
  <c r="AL495" i="72"/>
  <c r="X496" i="72"/>
  <c r="Y496" i="72"/>
  <c r="Z496" i="72"/>
  <c r="AA496" i="72"/>
  <c r="AB496" i="72"/>
  <c r="AC496" i="72"/>
  <c r="AD496" i="72"/>
  <c r="AE496" i="72"/>
  <c r="AF496" i="72"/>
  <c r="AG496" i="72"/>
  <c r="AH496" i="72"/>
  <c r="AI496" i="72"/>
  <c r="AJ496" i="72"/>
  <c r="AK496" i="72"/>
  <c r="AL496" i="72"/>
  <c r="X491" i="72"/>
  <c r="Y491" i="72"/>
  <c r="Z491" i="72"/>
  <c r="AA491" i="72"/>
  <c r="AB491" i="72"/>
  <c r="AC491" i="72"/>
  <c r="AD491" i="72"/>
  <c r="AE491" i="72"/>
  <c r="AF491" i="72"/>
  <c r="AG491" i="72"/>
  <c r="AH491" i="72"/>
  <c r="AI491" i="72"/>
  <c r="AJ491" i="72"/>
  <c r="AK491" i="72"/>
  <c r="AL491" i="72"/>
  <c r="X431" i="72"/>
  <c r="Y431" i="72"/>
  <c r="Z431" i="72"/>
  <c r="AA431" i="72"/>
  <c r="AB431" i="72"/>
  <c r="AC431" i="72"/>
  <c r="AD431" i="72"/>
  <c r="AE431" i="72"/>
  <c r="AF431" i="72"/>
  <c r="AG431" i="72"/>
  <c r="AH431" i="72"/>
  <c r="AI431" i="72"/>
  <c r="AJ431" i="72"/>
  <c r="AK431" i="72"/>
  <c r="AL431" i="72"/>
  <c r="X432" i="72"/>
  <c r="Y432" i="72"/>
  <c r="Z432" i="72"/>
  <c r="AA432" i="72"/>
  <c r="AB432" i="72"/>
  <c r="AC432" i="72"/>
  <c r="AD432" i="72"/>
  <c r="AE432" i="72"/>
  <c r="AF432" i="72"/>
  <c r="AG432" i="72"/>
  <c r="AH432" i="72"/>
  <c r="AI432" i="72"/>
  <c r="AJ432" i="72"/>
  <c r="AK432" i="72"/>
  <c r="AL432" i="72"/>
  <c r="X433" i="72"/>
  <c r="Y433" i="72"/>
  <c r="Z433" i="72"/>
  <c r="AA433" i="72"/>
  <c r="AB433" i="72"/>
  <c r="AC433" i="72"/>
  <c r="AD433" i="72"/>
  <c r="AE433" i="72"/>
  <c r="AF433" i="72"/>
  <c r="AG433" i="72"/>
  <c r="AH433" i="72"/>
  <c r="AI433" i="72"/>
  <c r="AJ433" i="72"/>
  <c r="AK433" i="72"/>
  <c r="AL433" i="72"/>
  <c r="X419" i="72"/>
  <c r="Y419" i="72"/>
  <c r="Z419" i="72"/>
  <c r="AA419" i="72"/>
  <c r="AB419" i="72"/>
  <c r="AC419" i="72"/>
  <c r="AD419" i="72"/>
  <c r="AE419" i="72"/>
  <c r="AF419" i="72"/>
  <c r="AG419" i="72"/>
  <c r="AH419" i="72"/>
  <c r="AI419" i="72"/>
  <c r="AJ419" i="72"/>
  <c r="AK419" i="72"/>
  <c r="AL419" i="72"/>
  <c r="X420" i="72"/>
  <c r="Y420" i="72"/>
  <c r="Z420" i="72"/>
  <c r="AA420" i="72"/>
  <c r="AB420" i="72"/>
  <c r="AC420" i="72"/>
  <c r="AD420" i="72"/>
  <c r="AE420" i="72"/>
  <c r="AF420" i="72"/>
  <c r="AG420" i="72"/>
  <c r="AH420" i="72"/>
  <c r="AI420" i="72"/>
  <c r="AJ420" i="72"/>
  <c r="AK420" i="72"/>
  <c r="AL420" i="72"/>
  <c r="X434" i="72"/>
  <c r="Y434" i="72"/>
  <c r="Z434" i="72"/>
  <c r="AA434" i="72"/>
  <c r="AB434" i="72"/>
  <c r="AC434" i="72"/>
  <c r="AD434" i="72"/>
  <c r="AE434" i="72"/>
  <c r="AF434" i="72"/>
  <c r="AG434" i="72"/>
  <c r="AH434" i="72"/>
  <c r="AI434" i="72"/>
  <c r="AJ434" i="72"/>
  <c r="AK434" i="72"/>
  <c r="AL434" i="72"/>
  <c r="X421" i="72"/>
  <c r="Y421" i="72"/>
  <c r="Z421" i="72"/>
  <c r="AA421" i="72"/>
  <c r="AB421" i="72"/>
  <c r="AC421" i="72"/>
  <c r="AD421" i="72"/>
  <c r="AE421" i="72"/>
  <c r="AF421" i="72"/>
  <c r="AG421" i="72"/>
  <c r="AH421" i="72"/>
  <c r="AI421" i="72"/>
  <c r="AJ421" i="72"/>
  <c r="AK421" i="72"/>
  <c r="AL421" i="72"/>
  <c r="X422" i="72"/>
  <c r="Y422" i="72"/>
  <c r="Z422" i="72"/>
  <c r="AA422" i="72"/>
  <c r="AB422" i="72"/>
  <c r="AC422" i="72"/>
  <c r="AD422" i="72"/>
  <c r="AE422" i="72"/>
  <c r="AF422" i="72"/>
  <c r="AG422" i="72"/>
  <c r="AH422" i="72"/>
  <c r="AI422" i="72"/>
  <c r="AJ422" i="72"/>
  <c r="AK422" i="72"/>
  <c r="AL422" i="72"/>
  <c r="X443" i="72"/>
  <c r="Y443" i="72"/>
  <c r="Z443" i="72"/>
  <c r="AA443" i="72"/>
  <c r="AB443" i="72"/>
  <c r="AC443" i="72"/>
  <c r="AD443" i="72"/>
  <c r="AE443" i="72"/>
  <c r="AF443" i="72"/>
  <c r="AG443" i="72"/>
  <c r="AH443" i="72"/>
  <c r="AI443" i="72"/>
  <c r="AJ443" i="72"/>
  <c r="AK443" i="72"/>
  <c r="AL443" i="72"/>
  <c r="X442" i="72"/>
  <c r="Y442" i="72"/>
  <c r="Z442" i="72"/>
  <c r="AA442" i="72"/>
  <c r="AB442" i="72"/>
  <c r="AC442" i="72"/>
  <c r="AD442" i="72"/>
  <c r="AE442" i="72"/>
  <c r="AF442" i="72"/>
  <c r="AG442" i="72"/>
  <c r="AH442" i="72"/>
  <c r="AI442" i="72"/>
  <c r="AJ442" i="72"/>
  <c r="AK442" i="72"/>
  <c r="AL442" i="72"/>
  <c r="X436" i="72"/>
  <c r="Y436" i="72"/>
  <c r="Z436" i="72"/>
  <c r="AA436" i="72"/>
  <c r="AB436" i="72"/>
  <c r="AC436" i="72"/>
  <c r="AD436" i="72"/>
  <c r="AE436" i="72"/>
  <c r="AF436" i="72"/>
  <c r="AG436" i="72"/>
  <c r="AH436" i="72"/>
  <c r="AI436" i="72"/>
  <c r="AJ436" i="72"/>
  <c r="AK436" i="72"/>
  <c r="AL436" i="72"/>
  <c r="X407" i="72"/>
  <c r="Y407" i="72"/>
  <c r="Z407" i="72"/>
  <c r="AA407" i="72"/>
  <c r="AB407" i="72"/>
  <c r="AC407" i="72"/>
  <c r="AD407" i="72"/>
  <c r="AE407" i="72"/>
  <c r="AF407" i="72"/>
  <c r="AG407" i="72"/>
  <c r="AH407" i="72"/>
  <c r="AI407" i="72"/>
  <c r="AJ407" i="72"/>
  <c r="AK407" i="72"/>
  <c r="AL407" i="72"/>
  <c r="X409" i="72"/>
  <c r="Y409" i="72"/>
  <c r="Z409" i="72"/>
  <c r="AA409" i="72"/>
  <c r="AB409" i="72"/>
  <c r="AC409" i="72"/>
  <c r="AD409" i="72"/>
  <c r="AE409" i="72"/>
  <c r="AF409" i="72"/>
  <c r="AG409" i="72"/>
  <c r="AH409" i="72"/>
  <c r="AI409" i="72"/>
  <c r="AJ409" i="72"/>
  <c r="AK409" i="72"/>
  <c r="AL409" i="72"/>
  <c r="X333" i="72"/>
  <c r="Y333" i="72"/>
  <c r="Z333" i="72"/>
  <c r="AA333" i="72"/>
  <c r="AB333" i="72"/>
  <c r="AC333" i="72"/>
  <c r="AD333" i="72"/>
  <c r="AE333" i="72"/>
  <c r="AF333" i="72"/>
  <c r="AG333" i="72"/>
  <c r="AH333" i="72"/>
  <c r="AI333" i="72"/>
  <c r="AJ333" i="72"/>
  <c r="AK333" i="72"/>
  <c r="AL333" i="72"/>
  <c r="X334" i="72"/>
  <c r="Y334" i="72"/>
  <c r="Z334" i="72"/>
  <c r="AA334" i="72"/>
  <c r="AB334" i="72"/>
  <c r="AC334" i="72"/>
  <c r="AD334" i="72"/>
  <c r="AE334" i="72"/>
  <c r="AF334" i="72"/>
  <c r="AG334" i="72"/>
  <c r="AH334" i="72"/>
  <c r="AI334" i="72"/>
  <c r="AJ334" i="72"/>
  <c r="AK334" i="72"/>
  <c r="AL334" i="72"/>
  <c r="X264" i="72"/>
  <c r="Y264" i="72"/>
  <c r="Z264" i="72"/>
  <c r="AA264" i="72"/>
  <c r="AB264" i="72"/>
  <c r="AC264" i="72"/>
  <c r="AD264" i="72"/>
  <c r="AE264" i="72"/>
  <c r="AF264" i="72"/>
  <c r="AG264" i="72"/>
  <c r="AH264" i="72"/>
  <c r="AI264" i="72"/>
  <c r="AJ264" i="72"/>
  <c r="AK264" i="72"/>
  <c r="AL264" i="72"/>
  <c r="X105" i="72"/>
  <c r="Y105" i="72"/>
  <c r="Z105" i="72"/>
  <c r="AA105" i="72"/>
  <c r="AB105" i="72"/>
  <c r="AC105" i="72"/>
  <c r="AD105" i="72"/>
  <c r="AE105" i="72"/>
  <c r="AF105" i="72"/>
  <c r="AG105" i="72"/>
  <c r="AH105" i="72"/>
  <c r="AI105" i="72"/>
  <c r="AJ105" i="72"/>
  <c r="AK105" i="72"/>
  <c r="AL105" i="72"/>
  <c r="X359" i="72"/>
  <c r="Y359" i="72"/>
  <c r="Z359" i="72"/>
  <c r="AA359" i="72"/>
  <c r="AB359" i="72"/>
  <c r="AC359" i="72"/>
  <c r="AD359" i="72"/>
  <c r="AE359" i="72"/>
  <c r="AF359" i="72"/>
  <c r="AG359" i="72"/>
  <c r="AH359" i="72"/>
  <c r="AI359" i="72"/>
  <c r="AJ359" i="72"/>
  <c r="AK359" i="72"/>
  <c r="AL359" i="72"/>
  <c r="X319" i="72"/>
  <c r="Y319" i="72"/>
  <c r="Z319" i="72"/>
  <c r="AA319" i="72"/>
  <c r="AB319" i="72"/>
  <c r="AC319" i="72"/>
  <c r="AD319" i="72"/>
  <c r="AE319" i="72"/>
  <c r="AF319" i="72"/>
  <c r="AG319" i="72"/>
  <c r="AH319" i="72"/>
  <c r="AI319" i="72"/>
  <c r="AJ319" i="72"/>
  <c r="AK319" i="72"/>
  <c r="AL319" i="72"/>
  <c r="X395" i="72"/>
  <c r="Y395" i="72"/>
  <c r="Z395" i="72"/>
  <c r="AA395" i="72"/>
  <c r="AB395" i="72"/>
  <c r="AC395" i="72"/>
  <c r="AD395" i="72"/>
  <c r="AE395" i="72"/>
  <c r="AF395" i="72"/>
  <c r="AG395" i="72"/>
  <c r="AH395" i="72"/>
  <c r="AI395" i="72"/>
  <c r="AJ395" i="72"/>
  <c r="AK395" i="72"/>
  <c r="AL395" i="72"/>
  <c r="X396" i="72"/>
  <c r="Y396" i="72"/>
  <c r="Z396" i="72"/>
  <c r="AA396" i="72"/>
  <c r="AB396" i="72"/>
  <c r="AC396" i="72"/>
  <c r="AD396" i="72"/>
  <c r="AE396" i="72"/>
  <c r="AF396" i="72"/>
  <c r="AG396" i="72"/>
  <c r="AH396" i="72"/>
  <c r="AI396" i="72"/>
  <c r="AJ396" i="72"/>
  <c r="AK396" i="72"/>
  <c r="AL396" i="72"/>
  <c r="X397" i="72"/>
  <c r="Y397" i="72"/>
  <c r="Z397" i="72"/>
  <c r="AA397" i="72"/>
  <c r="AB397" i="72"/>
  <c r="AC397" i="72"/>
  <c r="AD397" i="72"/>
  <c r="AE397" i="72"/>
  <c r="AF397" i="72"/>
  <c r="AG397" i="72"/>
  <c r="AH397" i="72"/>
  <c r="AI397" i="72"/>
  <c r="AJ397" i="72"/>
  <c r="AK397" i="72"/>
  <c r="AL397" i="72"/>
  <c r="X385" i="72"/>
  <c r="Y385" i="72"/>
  <c r="Z385" i="72"/>
  <c r="AA385" i="72"/>
  <c r="AB385" i="72"/>
  <c r="AC385" i="72"/>
  <c r="AD385" i="72"/>
  <c r="AE385" i="72"/>
  <c r="AF385" i="72"/>
  <c r="AG385" i="72"/>
  <c r="AH385" i="72"/>
  <c r="AI385" i="72"/>
  <c r="AJ385" i="72"/>
  <c r="AK385" i="72"/>
  <c r="AL385" i="72"/>
  <c r="X386" i="72"/>
  <c r="Y386" i="72"/>
  <c r="Z386" i="72"/>
  <c r="AA386" i="72"/>
  <c r="AB386" i="72"/>
  <c r="AC386" i="72"/>
  <c r="AD386" i="72"/>
  <c r="AE386" i="72"/>
  <c r="AF386" i="72"/>
  <c r="AG386" i="72"/>
  <c r="AH386" i="72"/>
  <c r="AI386" i="72"/>
  <c r="AJ386" i="72"/>
  <c r="AK386" i="72"/>
  <c r="AL386" i="72"/>
  <c r="X387" i="72"/>
  <c r="Y387" i="72"/>
  <c r="Z387" i="72"/>
  <c r="AA387" i="72"/>
  <c r="AB387" i="72"/>
  <c r="AC387" i="72"/>
  <c r="AD387" i="72"/>
  <c r="AE387" i="72"/>
  <c r="AF387" i="72"/>
  <c r="AG387" i="72"/>
  <c r="AH387" i="72"/>
  <c r="AI387" i="72"/>
  <c r="AJ387" i="72"/>
  <c r="AK387" i="72"/>
  <c r="AL387" i="72"/>
  <c r="X398" i="72"/>
  <c r="Y398" i="72"/>
  <c r="Z398" i="72"/>
  <c r="AA398" i="72"/>
  <c r="AB398" i="72"/>
  <c r="AC398" i="72"/>
  <c r="AD398" i="72"/>
  <c r="AE398" i="72"/>
  <c r="AF398" i="72"/>
  <c r="AG398" i="72"/>
  <c r="AH398" i="72"/>
  <c r="AI398" i="72"/>
  <c r="AJ398" i="72"/>
  <c r="AK398" i="72"/>
  <c r="AL398" i="72"/>
  <c r="X394" i="72"/>
  <c r="Y394" i="72"/>
  <c r="Z394" i="72"/>
  <c r="AA394" i="72"/>
  <c r="AB394" i="72"/>
  <c r="AC394" i="72"/>
  <c r="AD394" i="72"/>
  <c r="AE394" i="72"/>
  <c r="AF394" i="72"/>
  <c r="AG394" i="72"/>
  <c r="AH394" i="72"/>
  <c r="AI394" i="72"/>
  <c r="AJ394" i="72"/>
  <c r="AK394" i="72"/>
  <c r="AL394" i="72"/>
  <c r="X393" i="72"/>
  <c r="Y393" i="72"/>
  <c r="Z393" i="72"/>
  <c r="AA393" i="72"/>
  <c r="AB393" i="72"/>
  <c r="AC393" i="72"/>
  <c r="AD393" i="72"/>
  <c r="AE393" i="72"/>
  <c r="AF393" i="72"/>
  <c r="AG393" i="72"/>
  <c r="AH393" i="72"/>
  <c r="AI393" i="72"/>
  <c r="AJ393" i="72"/>
  <c r="AK393" i="72"/>
  <c r="AL393" i="72"/>
  <c r="X384" i="72"/>
  <c r="Y384" i="72"/>
  <c r="Z384" i="72"/>
  <c r="AA384" i="72"/>
  <c r="AB384" i="72"/>
  <c r="AC384" i="72"/>
  <c r="AD384" i="72"/>
  <c r="AE384" i="72"/>
  <c r="AF384" i="72"/>
  <c r="AG384" i="72"/>
  <c r="AH384" i="72"/>
  <c r="AI384" i="72"/>
  <c r="AJ384" i="72"/>
  <c r="AK384" i="72"/>
  <c r="AL384" i="72"/>
  <c r="X391" i="72"/>
  <c r="Y391" i="72"/>
  <c r="Z391" i="72"/>
  <c r="AA391" i="72"/>
  <c r="AB391" i="72"/>
  <c r="AC391" i="72"/>
  <c r="AD391" i="72"/>
  <c r="AE391" i="72"/>
  <c r="AF391" i="72"/>
  <c r="AG391" i="72"/>
  <c r="AH391" i="72"/>
  <c r="AI391" i="72"/>
  <c r="AJ391" i="72"/>
  <c r="AK391" i="72"/>
  <c r="AL391" i="72"/>
  <c r="X400" i="72"/>
  <c r="Y400" i="72"/>
  <c r="Z400" i="72"/>
  <c r="AA400" i="72"/>
  <c r="AB400" i="72"/>
  <c r="AC400" i="72"/>
  <c r="AD400" i="72"/>
  <c r="AE400" i="72"/>
  <c r="AF400" i="72"/>
  <c r="AG400" i="72"/>
  <c r="AH400" i="72"/>
  <c r="AI400" i="72"/>
  <c r="AJ400" i="72"/>
  <c r="AK400" i="72"/>
  <c r="AL400" i="72"/>
  <c r="X368" i="72"/>
  <c r="Y368" i="72"/>
  <c r="Z368" i="72"/>
  <c r="AA368" i="72"/>
  <c r="AB368" i="72"/>
  <c r="AC368" i="72"/>
  <c r="AD368" i="72"/>
  <c r="AE368" i="72"/>
  <c r="AF368" i="72"/>
  <c r="AG368" i="72"/>
  <c r="AH368" i="72"/>
  <c r="AI368" i="72"/>
  <c r="AJ368" i="72"/>
  <c r="AK368" i="72"/>
  <c r="AL368" i="72"/>
  <c r="X362" i="72"/>
  <c r="Y362" i="72"/>
  <c r="Z362" i="72"/>
  <c r="AA362" i="72"/>
  <c r="AB362" i="72"/>
  <c r="AC362" i="72"/>
  <c r="AD362" i="72"/>
  <c r="AE362" i="72"/>
  <c r="AF362" i="72"/>
  <c r="AG362" i="72"/>
  <c r="AH362" i="72"/>
  <c r="AI362" i="72"/>
  <c r="AJ362" i="72"/>
  <c r="AK362" i="72"/>
  <c r="AL362" i="72"/>
  <c r="X363" i="72"/>
  <c r="Y363" i="72"/>
  <c r="Z363" i="72"/>
  <c r="AA363" i="72"/>
  <c r="AB363" i="72"/>
  <c r="AC363" i="72"/>
  <c r="AD363" i="72"/>
  <c r="AE363" i="72"/>
  <c r="AF363" i="72"/>
  <c r="AG363" i="72"/>
  <c r="AH363" i="72"/>
  <c r="AI363" i="72"/>
  <c r="AJ363" i="72"/>
  <c r="AK363" i="72"/>
  <c r="AL363" i="72"/>
  <c r="X321" i="72"/>
  <c r="Y321" i="72"/>
  <c r="Z321" i="72"/>
  <c r="AA321" i="72"/>
  <c r="AB321" i="72"/>
  <c r="AC321" i="72"/>
  <c r="AD321" i="72"/>
  <c r="AE321" i="72"/>
  <c r="AF321" i="72"/>
  <c r="AG321" i="72"/>
  <c r="AH321" i="72"/>
  <c r="AI321" i="72"/>
  <c r="AJ321" i="72"/>
  <c r="AK321" i="72"/>
  <c r="AL321" i="72"/>
  <c r="X322" i="72"/>
  <c r="Y322" i="72"/>
  <c r="Z322" i="72"/>
  <c r="AA322" i="72"/>
  <c r="AB322" i="72"/>
  <c r="AC322" i="72"/>
  <c r="AD322" i="72"/>
  <c r="AE322" i="72"/>
  <c r="AF322" i="72"/>
  <c r="AG322" i="72"/>
  <c r="AH322" i="72"/>
  <c r="AI322" i="72"/>
  <c r="AJ322" i="72"/>
  <c r="AK322" i="72"/>
  <c r="AL322" i="72"/>
  <c r="X323" i="72"/>
  <c r="Y323" i="72"/>
  <c r="Z323" i="72"/>
  <c r="AA323" i="72"/>
  <c r="AB323" i="72"/>
  <c r="AC323" i="72"/>
  <c r="AD323" i="72"/>
  <c r="AE323" i="72"/>
  <c r="AF323" i="72"/>
  <c r="AG323" i="72"/>
  <c r="AH323" i="72"/>
  <c r="AI323" i="72"/>
  <c r="AJ323" i="72"/>
  <c r="AK323" i="72"/>
  <c r="AL323" i="72"/>
  <c r="X349" i="72"/>
  <c r="Y349" i="72"/>
  <c r="Z349" i="72"/>
  <c r="AA349" i="72"/>
  <c r="AB349" i="72"/>
  <c r="AC349" i="72"/>
  <c r="AD349" i="72"/>
  <c r="AE349" i="72"/>
  <c r="AF349" i="72"/>
  <c r="AG349" i="72"/>
  <c r="AH349" i="72"/>
  <c r="AI349" i="72"/>
  <c r="AJ349" i="72"/>
  <c r="AK349" i="72"/>
  <c r="AL349" i="72"/>
  <c r="X344" i="72"/>
  <c r="Y344" i="72"/>
  <c r="Z344" i="72"/>
  <c r="AA344" i="72"/>
  <c r="AB344" i="72"/>
  <c r="AC344" i="72"/>
  <c r="AD344" i="72"/>
  <c r="AE344" i="72"/>
  <c r="AF344" i="72"/>
  <c r="AG344" i="72"/>
  <c r="AH344" i="72"/>
  <c r="AI344" i="72"/>
  <c r="AJ344" i="72"/>
  <c r="AK344" i="72"/>
  <c r="AL344" i="72"/>
  <c r="X341" i="72"/>
  <c r="Y341" i="72"/>
  <c r="Z341" i="72"/>
  <c r="AA341" i="72"/>
  <c r="AB341" i="72"/>
  <c r="AC341" i="72"/>
  <c r="AD341" i="72"/>
  <c r="AE341" i="72"/>
  <c r="AF341" i="72"/>
  <c r="AG341" i="72"/>
  <c r="AH341" i="72"/>
  <c r="AI341" i="72"/>
  <c r="AJ341" i="72"/>
  <c r="AK341" i="72"/>
  <c r="AL341" i="72"/>
  <c r="X340" i="72"/>
  <c r="Y340" i="72"/>
  <c r="Z340" i="72"/>
  <c r="AA340" i="72"/>
  <c r="AB340" i="72"/>
  <c r="AC340" i="72"/>
  <c r="AD340" i="72"/>
  <c r="AE340" i="72"/>
  <c r="AF340" i="72"/>
  <c r="AG340" i="72"/>
  <c r="AH340" i="72"/>
  <c r="AI340" i="72"/>
  <c r="AJ340" i="72"/>
  <c r="AK340" i="72"/>
  <c r="AL340" i="72"/>
  <c r="X338" i="72"/>
  <c r="Y338" i="72"/>
  <c r="Z338" i="72"/>
  <c r="AA338" i="72"/>
  <c r="AB338" i="72"/>
  <c r="AC338" i="72"/>
  <c r="AD338" i="72"/>
  <c r="AE338" i="72"/>
  <c r="AF338" i="72"/>
  <c r="AG338" i="72"/>
  <c r="AH338" i="72"/>
  <c r="AI338" i="72"/>
  <c r="AJ338" i="72"/>
  <c r="AK338" i="72"/>
  <c r="AL338" i="72"/>
  <c r="X326" i="72"/>
  <c r="Y326" i="72"/>
  <c r="Z326" i="72"/>
  <c r="AA326" i="72"/>
  <c r="AB326" i="72"/>
  <c r="AC326" i="72"/>
  <c r="AD326" i="72"/>
  <c r="AE326" i="72"/>
  <c r="AF326" i="72"/>
  <c r="AG326" i="72"/>
  <c r="AH326" i="72"/>
  <c r="AI326" i="72"/>
  <c r="AJ326" i="72"/>
  <c r="AK326" i="72"/>
  <c r="AL326" i="72"/>
  <c r="X325" i="72"/>
  <c r="Y325" i="72"/>
  <c r="Z325" i="72"/>
  <c r="AA325" i="72"/>
  <c r="AB325" i="72"/>
  <c r="AC325" i="72"/>
  <c r="AD325" i="72"/>
  <c r="AE325" i="72"/>
  <c r="AF325" i="72"/>
  <c r="AG325" i="72"/>
  <c r="AH325" i="72"/>
  <c r="AI325" i="72"/>
  <c r="AJ325" i="72"/>
  <c r="AK325" i="72"/>
  <c r="AL325" i="72"/>
  <c r="X324" i="72"/>
  <c r="Y324" i="72"/>
  <c r="Z324" i="72"/>
  <c r="AA324" i="72"/>
  <c r="AB324" i="72"/>
  <c r="AC324" i="72"/>
  <c r="AD324" i="72"/>
  <c r="AE324" i="72"/>
  <c r="AF324" i="72"/>
  <c r="AG324" i="72"/>
  <c r="AH324" i="72"/>
  <c r="AI324" i="72"/>
  <c r="AJ324" i="72"/>
  <c r="AK324" i="72"/>
  <c r="AL324" i="72"/>
  <c r="X315" i="72"/>
  <c r="Y315" i="72"/>
  <c r="Z315" i="72"/>
  <c r="AA315" i="72"/>
  <c r="AB315" i="72"/>
  <c r="AC315" i="72"/>
  <c r="AD315" i="72"/>
  <c r="AE315" i="72"/>
  <c r="AF315" i="72"/>
  <c r="AG315" i="72"/>
  <c r="AH315" i="72"/>
  <c r="AI315" i="72"/>
  <c r="AJ315" i="72"/>
  <c r="AK315" i="72"/>
  <c r="AL315" i="72"/>
  <c r="X336" i="72"/>
  <c r="Y336" i="72"/>
  <c r="Z336" i="72"/>
  <c r="AA336" i="72"/>
  <c r="AB336" i="72"/>
  <c r="AC336" i="72"/>
  <c r="AD336" i="72"/>
  <c r="AE336" i="72"/>
  <c r="AF336" i="72"/>
  <c r="AG336" i="72"/>
  <c r="AH336" i="72"/>
  <c r="AI336" i="72"/>
  <c r="AJ336" i="72"/>
  <c r="AK336" i="72"/>
  <c r="AL336" i="72"/>
  <c r="X337" i="72"/>
  <c r="Y337" i="72"/>
  <c r="Z337" i="72"/>
  <c r="AA337" i="72"/>
  <c r="AB337" i="72"/>
  <c r="AC337" i="72"/>
  <c r="AD337" i="72"/>
  <c r="AE337" i="72"/>
  <c r="AF337" i="72"/>
  <c r="AG337" i="72"/>
  <c r="AH337" i="72"/>
  <c r="AI337" i="72"/>
  <c r="AJ337" i="72"/>
  <c r="AK337" i="72"/>
  <c r="AL337" i="72"/>
  <c r="X303" i="72"/>
  <c r="Y303" i="72"/>
  <c r="Z303" i="72"/>
  <c r="AA303" i="72"/>
  <c r="AB303" i="72"/>
  <c r="AC303" i="72"/>
  <c r="AD303" i="72"/>
  <c r="AE303" i="72"/>
  <c r="AF303" i="72"/>
  <c r="AG303" i="72"/>
  <c r="AH303" i="72"/>
  <c r="AI303" i="72"/>
  <c r="AJ303" i="72"/>
  <c r="AK303" i="72"/>
  <c r="AL303" i="72"/>
  <c r="X317" i="72"/>
  <c r="Y317" i="72"/>
  <c r="Z317" i="72"/>
  <c r="AA317" i="72"/>
  <c r="AB317" i="72"/>
  <c r="AC317" i="72"/>
  <c r="AD317" i="72"/>
  <c r="AE317" i="72"/>
  <c r="AF317" i="72"/>
  <c r="AG317" i="72"/>
  <c r="AH317" i="72"/>
  <c r="AI317" i="72"/>
  <c r="AJ317" i="72"/>
  <c r="AK317" i="72"/>
  <c r="AL317" i="72"/>
  <c r="X327" i="72"/>
  <c r="Y327" i="72"/>
  <c r="Z327" i="72"/>
  <c r="AA327" i="72"/>
  <c r="AB327" i="72"/>
  <c r="AC327" i="72"/>
  <c r="AD327" i="72"/>
  <c r="AE327" i="72"/>
  <c r="AF327" i="72"/>
  <c r="AG327" i="72"/>
  <c r="AH327" i="72"/>
  <c r="AI327" i="72"/>
  <c r="AJ327" i="72"/>
  <c r="AK327" i="72"/>
  <c r="AL327" i="72"/>
  <c r="X312" i="72"/>
  <c r="Y312" i="72"/>
  <c r="Z312" i="72"/>
  <c r="AA312" i="72"/>
  <c r="AB312" i="72"/>
  <c r="AC312" i="72"/>
  <c r="AD312" i="72"/>
  <c r="AE312" i="72"/>
  <c r="AF312" i="72"/>
  <c r="AG312" i="72"/>
  <c r="AH312" i="72"/>
  <c r="AI312" i="72"/>
  <c r="AJ312" i="72"/>
  <c r="AK312" i="72"/>
  <c r="AL312" i="72"/>
  <c r="X309" i="72"/>
  <c r="Y309" i="72"/>
  <c r="Z309" i="72"/>
  <c r="AA309" i="72"/>
  <c r="AB309" i="72"/>
  <c r="AC309" i="72"/>
  <c r="AD309" i="72"/>
  <c r="AE309" i="72"/>
  <c r="AF309" i="72"/>
  <c r="AG309" i="72"/>
  <c r="AH309" i="72"/>
  <c r="AI309" i="72"/>
  <c r="AJ309" i="72"/>
  <c r="AK309" i="72"/>
  <c r="AL309" i="72"/>
  <c r="X308" i="72"/>
  <c r="Y308" i="72"/>
  <c r="Z308" i="72"/>
  <c r="AA308" i="72"/>
  <c r="AB308" i="72"/>
  <c r="AC308" i="72"/>
  <c r="AD308" i="72"/>
  <c r="AE308" i="72"/>
  <c r="AF308" i="72"/>
  <c r="AG308" i="72"/>
  <c r="AH308" i="72"/>
  <c r="AI308" i="72"/>
  <c r="AJ308" i="72"/>
  <c r="AK308" i="72"/>
  <c r="AL308" i="72"/>
  <c r="X307" i="72"/>
  <c r="Y307" i="72"/>
  <c r="Z307" i="72"/>
  <c r="AA307" i="72"/>
  <c r="AB307" i="72"/>
  <c r="AC307" i="72"/>
  <c r="AD307" i="72"/>
  <c r="AE307" i="72"/>
  <c r="AF307" i="72"/>
  <c r="AG307" i="72"/>
  <c r="AH307" i="72"/>
  <c r="AI307" i="72"/>
  <c r="AJ307" i="72"/>
  <c r="AK307" i="72"/>
  <c r="AL307" i="72"/>
  <c r="X306" i="72"/>
  <c r="Y306" i="72"/>
  <c r="Z306" i="72"/>
  <c r="AA306" i="72"/>
  <c r="AB306" i="72"/>
  <c r="AC306" i="72"/>
  <c r="AD306" i="72"/>
  <c r="AE306" i="72"/>
  <c r="AF306" i="72"/>
  <c r="AG306" i="72"/>
  <c r="AH306" i="72"/>
  <c r="AI306" i="72"/>
  <c r="AJ306" i="72"/>
  <c r="AK306" i="72"/>
  <c r="AL306" i="72"/>
  <c r="X249" i="72"/>
  <c r="Y249" i="72"/>
  <c r="Z249" i="72"/>
  <c r="AA249" i="72"/>
  <c r="AB249" i="72"/>
  <c r="AC249" i="72"/>
  <c r="AD249" i="72"/>
  <c r="AE249" i="72"/>
  <c r="AF249" i="72"/>
  <c r="AG249" i="72"/>
  <c r="AH249" i="72"/>
  <c r="AI249" i="72"/>
  <c r="AJ249" i="72"/>
  <c r="AK249" i="72"/>
  <c r="AL249" i="72"/>
  <c r="X271" i="72"/>
  <c r="Y271" i="72"/>
  <c r="Z271" i="72"/>
  <c r="AA271" i="72"/>
  <c r="AB271" i="72"/>
  <c r="AC271" i="72"/>
  <c r="AD271" i="72"/>
  <c r="AE271" i="72"/>
  <c r="AF271" i="72"/>
  <c r="AG271" i="72"/>
  <c r="AH271" i="72"/>
  <c r="AI271" i="72"/>
  <c r="AJ271" i="72"/>
  <c r="AK271" i="72"/>
  <c r="AL271" i="72"/>
  <c r="X280" i="72"/>
  <c r="Y280" i="72"/>
  <c r="Z280" i="72"/>
  <c r="AA280" i="72"/>
  <c r="AB280" i="72"/>
  <c r="AC280" i="72"/>
  <c r="AD280" i="72"/>
  <c r="AE280" i="72"/>
  <c r="AF280" i="72"/>
  <c r="AG280" i="72"/>
  <c r="AH280" i="72"/>
  <c r="AI280" i="72"/>
  <c r="AJ280" i="72"/>
  <c r="AK280" i="72"/>
  <c r="AL280" i="72"/>
  <c r="X281" i="72"/>
  <c r="Y281" i="72"/>
  <c r="Z281" i="72"/>
  <c r="AA281" i="72"/>
  <c r="AB281" i="72"/>
  <c r="AC281" i="72"/>
  <c r="AD281" i="72"/>
  <c r="AE281" i="72"/>
  <c r="AF281" i="72"/>
  <c r="AG281" i="72"/>
  <c r="AH281" i="72"/>
  <c r="AI281" i="72"/>
  <c r="AJ281" i="72"/>
  <c r="AK281" i="72"/>
  <c r="AL281" i="72"/>
  <c r="X283" i="72"/>
  <c r="Y283" i="72"/>
  <c r="Z283" i="72"/>
  <c r="AA283" i="72"/>
  <c r="AB283" i="72"/>
  <c r="AC283" i="72"/>
  <c r="AD283" i="72"/>
  <c r="AE283" i="72"/>
  <c r="AF283" i="72"/>
  <c r="AG283" i="72"/>
  <c r="AH283" i="72"/>
  <c r="AI283" i="72"/>
  <c r="AJ283" i="72"/>
  <c r="AK283" i="72"/>
  <c r="AL283" i="72"/>
  <c r="X282" i="72"/>
  <c r="Y282" i="72"/>
  <c r="Z282" i="72"/>
  <c r="AA282" i="72"/>
  <c r="AB282" i="72"/>
  <c r="AC282" i="72"/>
  <c r="AD282" i="72"/>
  <c r="AE282" i="72"/>
  <c r="AF282" i="72"/>
  <c r="AG282" i="72"/>
  <c r="AH282" i="72"/>
  <c r="AI282" i="72"/>
  <c r="AJ282" i="72"/>
  <c r="AK282" i="72"/>
  <c r="AL282" i="72"/>
  <c r="X279" i="72"/>
  <c r="Y279" i="72"/>
  <c r="Z279" i="72"/>
  <c r="AA279" i="72"/>
  <c r="AB279" i="72"/>
  <c r="AC279" i="72"/>
  <c r="AD279" i="72"/>
  <c r="AE279" i="72"/>
  <c r="AF279" i="72"/>
  <c r="AG279" i="72"/>
  <c r="AH279" i="72"/>
  <c r="AI279" i="72"/>
  <c r="AJ279" i="72"/>
  <c r="AK279" i="72"/>
  <c r="AL279" i="72"/>
  <c r="X285" i="72"/>
  <c r="Y285" i="72"/>
  <c r="Z285" i="72"/>
  <c r="AA285" i="72"/>
  <c r="AB285" i="72"/>
  <c r="AC285" i="72"/>
  <c r="AD285" i="72"/>
  <c r="AE285" i="72"/>
  <c r="AF285" i="72"/>
  <c r="AG285" i="72"/>
  <c r="AH285" i="72"/>
  <c r="AI285" i="72"/>
  <c r="AJ285" i="72"/>
  <c r="AK285" i="72"/>
  <c r="AL285" i="72"/>
  <c r="X252" i="72"/>
  <c r="Y252" i="72"/>
  <c r="Z252" i="72"/>
  <c r="AA252" i="72"/>
  <c r="AB252" i="72"/>
  <c r="AC252" i="72"/>
  <c r="AD252" i="72"/>
  <c r="AE252" i="72"/>
  <c r="AF252" i="72"/>
  <c r="AG252" i="72"/>
  <c r="AH252" i="72"/>
  <c r="AI252" i="72"/>
  <c r="AJ252" i="72"/>
  <c r="AK252" i="72"/>
  <c r="AL252" i="72"/>
  <c r="X251" i="72"/>
  <c r="Y251" i="72"/>
  <c r="Z251" i="72"/>
  <c r="AA251" i="72"/>
  <c r="AB251" i="72"/>
  <c r="AC251" i="72"/>
  <c r="AD251" i="72"/>
  <c r="AE251" i="72"/>
  <c r="AF251" i="72"/>
  <c r="AG251" i="72"/>
  <c r="AH251" i="72"/>
  <c r="AI251" i="72"/>
  <c r="AJ251" i="72"/>
  <c r="AK251" i="72"/>
  <c r="AL251" i="72"/>
  <c r="X233" i="72"/>
  <c r="Y233" i="72"/>
  <c r="Z233" i="72"/>
  <c r="AA233" i="72"/>
  <c r="AB233" i="72"/>
  <c r="AC233" i="72"/>
  <c r="AD233" i="72"/>
  <c r="AE233" i="72"/>
  <c r="AF233" i="72"/>
  <c r="AG233" i="72"/>
  <c r="AH233" i="72"/>
  <c r="AI233" i="72"/>
  <c r="AJ233" i="72"/>
  <c r="AK233" i="72"/>
  <c r="AL233" i="72"/>
  <c r="X245" i="72"/>
  <c r="Y245" i="72"/>
  <c r="Z245" i="72"/>
  <c r="AA245" i="72"/>
  <c r="AB245" i="72"/>
  <c r="AC245" i="72"/>
  <c r="AD245" i="72"/>
  <c r="AE245" i="72"/>
  <c r="AF245" i="72"/>
  <c r="AG245" i="72"/>
  <c r="AH245" i="72"/>
  <c r="AI245" i="72"/>
  <c r="AJ245" i="72"/>
  <c r="AK245" i="72"/>
  <c r="AL245" i="72"/>
  <c r="X236" i="72"/>
  <c r="Y236" i="72"/>
  <c r="Z236" i="72"/>
  <c r="AA236" i="72"/>
  <c r="AB236" i="72"/>
  <c r="AC236" i="72"/>
  <c r="AD236" i="72"/>
  <c r="AE236" i="72"/>
  <c r="AF236" i="72"/>
  <c r="AG236" i="72"/>
  <c r="AH236" i="72"/>
  <c r="AI236" i="72"/>
  <c r="AJ236" i="72"/>
  <c r="AK236" i="72"/>
  <c r="AL236" i="72"/>
  <c r="X246" i="72"/>
  <c r="Y246" i="72"/>
  <c r="Z246" i="72"/>
  <c r="AA246" i="72"/>
  <c r="AB246" i="72"/>
  <c r="AC246" i="72"/>
  <c r="AD246" i="72"/>
  <c r="AE246" i="72"/>
  <c r="AF246" i="72"/>
  <c r="AG246" i="72"/>
  <c r="AH246" i="72"/>
  <c r="AI246" i="72"/>
  <c r="AJ246" i="72"/>
  <c r="AK246" i="72"/>
  <c r="AL246" i="72"/>
  <c r="X250" i="72"/>
  <c r="Y250" i="72"/>
  <c r="Z250" i="72"/>
  <c r="AA250" i="72"/>
  <c r="AB250" i="72"/>
  <c r="AC250" i="72"/>
  <c r="AD250" i="72"/>
  <c r="AE250" i="72"/>
  <c r="AF250" i="72"/>
  <c r="AG250" i="72"/>
  <c r="AH250" i="72"/>
  <c r="AI250" i="72"/>
  <c r="AJ250" i="72"/>
  <c r="AK250" i="72"/>
  <c r="AL250" i="72"/>
  <c r="X248" i="72"/>
  <c r="Y248" i="72"/>
  <c r="Z248" i="72"/>
  <c r="AA248" i="72"/>
  <c r="AB248" i="72"/>
  <c r="AC248" i="72"/>
  <c r="AD248" i="72"/>
  <c r="AE248" i="72"/>
  <c r="AF248" i="72"/>
  <c r="AG248" i="72"/>
  <c r="AH248" i="72"/>
  <c r="AI248" i="72"/>
  <c r="AJ248" i="72"/>
  <c r="AK248" i="72"/>
  <c r="AL248" i="72"/>
  <c r="X247" i="72"/>
  <c r="Y247" i="72"/>
  <c r="Z247" i="72"/>
  <c r="AA247" i="72"/>
  <c r="AB247" i="72"/>
  <c r="AC247" i="72"/>
  <c r="AD247" i="72"/>
  <c r="AE247" i="72"/>
  <c r="AF247" i="72"/>
  <c r="AG247" i="72"/>
  <c r="AH247" i="72"/>
  <c r="AI247" i="72"/>
  <c r="AJ247" i="72"/>
  <c r="AK247" i="72"/>
  <c r="AL247" i="72"/>
  <c r="X244" i="72"/>
  <c r="Y244" i="72"/>
  <c r="Z244" i="72"/>
  <c r="AA244" i="72"/>
  <c r="AB244" i="72"/>
  <c r="AC244" i="72"/>
  <c r="AD244" i="72"/>
  <c r="AE244" i="72"/>
  <c r="AF244" i="72"/>
  <c r="AG244" i="72"/>
  <c r="AH244" i="72"/>
  <c r="AI244" i="72"/>
  <c r="AJ244" i="72"/>
  <c r="AK244" i="72"/>
  <c r="AL244" i="72"/>
  <c r="X243" i="72"/>
  <c r="Y243" i="72"/>
  <c r="Z243" i="72"/>
  <c r="AA243" i="72"/>
  <c r="AB243" i="72"/>
  <c r="AC243" i="72"/>
  <c r="AD243" i="72"/>
  <c r="AE243" i="72"/>
  <c r="AF243" i="72"/>
  <c r="AG243" i="72"/>
  <c r="AH243" i="72"/>
  <c r="AI243" i="72"/>
  <c r="AJ243" i="72"/>
  <c r="AK243" i="72"/>
  <c r="AL243" i="72"/>
  <c r="X242" i="72"/>
  <c r="Y242" i="72"/>
  <c r="Z242" i="72"/>
  <c r="AA242" i="72"/>
  <c r="AB242" i="72"/>
  <c r="AC242" i="72"/>
  <c r="AD242" i="72"/>
  <c r="AE242" i="72"/>
  <c r="AF242" i="72"/>
  <c r="AG242" i="72"/>
  <c r="AH242" i="72"/>
  <c r="AI242" i="72"/>
  <c r="AJ242" i="72"/>
  <c r="AK242" i="72"/>
  <c r="AL242" i="72"/>
  <c r="X254" i="72"/>
  <c r="Y254" i="72"/>
  <c r="Z254" i="72"/>
  <c r="AA254" i="72"/>
  <c r="AB254" i="72"/>
  <c r="AC254" i="72"/>
  <c r="AD254" i="72"/>
  <c r="AE254" i="72"/>
  <c r="AF254" i="72"/>
  <c r="AG254" i="72"/>
  <c r="AH254" i="72"/>
  <c r="AI254" i="72"/>
  <c r="AJ254" i="72"/>
  <c r="AK254" i="72"/>
  <c r="AL254" i="72"/>
  <c r="X232" i="72"/>
  <c r="Y232" i="72"/>
  <c r="Z232" i="72"/>
  <c r="AA232" i="72"/>
  <c r="AB232" i="72"/>
  <c r="AC232" i="72"/>
  <c r="AD232" i="72"/>
  <c r="AE232" i="72"/>
  <c r="AF232" i="72"/>
  <c r="AG232" i="72"/>
  <c r="AH232" i="72"/>
  <c r="AI232" i="72"/>
  <c r="AJ232" i="72"/>
  <c r="AK232" i="72"/>
  <c r="AL232" i="72"/>
  <c r="C244" i="116"/>
  <c r="C245" i="116"/>
  <c r="C246" i="116"/>
  <c r="C247" i="116"/>
  <c r="C248" i="116"/>
  <c r="C249" i="116"/>
  <c r="C250" i="116"/>
  <c r="C251" i="116"/>
  <c r="C252" i="116"/>
  <c r="C253" i="116"/>
  <c r="C254" i="116"/>
  <c r="C255" i="116"/>
  <c r="C256" i="116"/>
  <c r="C257" i="116"/>
  <c r="C258" i="116"/>
  <c r="C259" i="116"/>
  <c r="C260" i="116"/>
  <c r="C261" i="116"/>
  <c r="C262" i="116"/>
  <c r="C263" i="116"/>
  <c r="C264" i="116"/>
  <c r="C265" i="116"/>
  <c r="C266" i="116"/>
  <c r="C267" i="116"/>
  <c r="C268" i="116"/>
  <c r="C269" i="116"/>
  <c r="C270" i="116"/>
  <c r="C271" i="116"/>
  <c r="C272" i="116"/>
  <c r="C273" i="116"/>
  <c r="C274" i="116"/>
  <c r="C275" i="116"/>
  <c r="C276" i="116"/>
  <c r="C277" i="116"/>
  <c r="C278" i="116"/>
  <c r="C279" i="116"/>
  <c r="C280" i="116"/>
  <c r="C281" i="116"/>
  <c r="C282" i="116"/>
  <c r="C283" i="116"/>
  <c r="C284" i="116"/>
  <c r="C285" i="116"/>
  <c r="C286" i="116"/>
  <c r="C287" i="116"/>
  <c r="C288" i="116"/>
  <c r="S288" i="116" s="1"/>
  <c r="V288" i="116" s="1"/>
  <c r="C289" i="116"/>
  <c r="C290" i="116"/>
  <c r="C291" i="116"/>
  <c r="C292" i="116"/>
  <c r="C293" i="116"/>
  <c r="C294" i="116"/>
  <c r="C295" i="116"/>
  <c r="C296" i="116"/>
  <c r="C297" i="116"/>
  <c r="C298" i="116"/>
  <c r="C299" i="116"/>
  <c r="C300" i="116"/>
  <c r="C301" i="116"/>
  <c r="C302" i="116"/>
  <c r="C303" i="116"/>
  <c r="C304" i="116"/>
  <c r="C305" i="116"/>
  <c r="C306" i="116"/>
  <c r="C307" i="116"/>
  <c r="C308" i="116"/>
  <c r="C309" i="116"/>
  <c r="C310" i="116"/>
  <c r="C311" i="116"/>
  <c r="C312" i="116"/>
  <c r="C313" i="116"/>
  <c r="C314" i="116"/>
  <c r="C315" i="116"/>
  <c r="C316" i="116"/>
  <c r="C317" i="116"/>
  <c r="C318" i="116"/>
  <c r="C319" i="116"/>
  <c r="C320" i="116"/>
  <c r="C321" i="116"/>
  <c r="C322" i="116"/>
  <c r="C323" i="116"/>
  <c r="C324" i="116"/>
  <c r="C325" i="116"/>
  <c r="C326" i="116"/>
  <c r="C327" i="116"/>
  <c r="C328" i="116"/>
  <c r="C329" i="116"/>
  <c r="C330" i="116"/>
  <c r="C331" i="116"/>
  <c r="C332" i="116"/>
  <c r="C333" i="116"/>
  <c r="C334" i="116"/>
  <c r="C335" i="116"/>
  <c r="C336" i="116"/>
  <c r="S336" i="116" s="1"/>
  <c r="V336" i="116" s="1"/>
  <c r="C337" i="116"/>
  <c r="C338" i="116"/>
  <c r="C339" i="116"/>
  <c r="C340" i="116"/>
  <c r="C341" i="116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X6" i="72"/>
  <c r="Y6" i="72"/>
  <c r="Z6" i="72"/>
  <c r="AA6" i="72"/>
  <c r="AB6" i="72"/>
  <c r="AC6" i="72"/>
  <c r="AD6" i="72"/>
  <c r="AE6" i="72"/>
  <c r="AF6" i="72"/>
  <c r="AG6" i="72"/>
  <c r="AH6" i="72"/>
  <c r="AI6" i="72"/>
  <c r="AJ6" i="72"/>
  <c r="AK6" i="72"/>
  <c r="AL6" i="72"/>
  <c r="X7" i="72"/>
  <c r="Y7" i="72"/>
  <c r="Z7" i="72"/>
  <c r="AA7" i="72"/>
  <c r="AB7" i="72"/>
  <c r="AC7" i="72"/>
  <c r="AD7" i="72"/>
  <c r="AE7" i="72"/>
  <c r="AF7" i="72"/>
  <c r="AG7" i="72"/>
  <c r="AH7" i="72"/>
  <c r="AI7" i="72"/>
  <c r="AJ7" i="72"/>
  <c r="AK7" i="72"/>
  <c r="AL7" i="72"/>
  <c r="X8" i="72"/>
  <c r="Y8" i="72"/>
  <c r="Z8" i="72"/>
  <c r="AA8" i="72"/>
  <c r="AB8" i="72"/>
  <c r="AC8" i="72"/>
  <c r="AD8" i="72"/>
  <c r="AE8" i="72"/>
  <c r="AF8" i="72"/>
  <c r="AG8" i="72"/>
  <c r="AH8" i="72"/>
  <c r="AI8" i="72"/>
  <c r="AJ8" i="72"/>
  <c r="AK8" i="72"/>
  <c r="AL8" i="72"/>
  <c r="X9" i="72"/>
  <c r="Y9" i="72"/>
  <c r="Z9" i="72"/>
  <c r="AA9" i="72"/>
  <c r="AB9" i="72"/>
  <c r="AC9" i="72"/>
  <c r="AD9" i="72"/>
  <c r="AE9" i="72"/>
  <c r="AF9" i="72"/>
  <c r="AG9" i="72"/>
  <c r="AH9" i="72"/>
  <c r="AI9" i="72"/>
  <c r="AJ9" i="72"/>
  <c r="AK9" i="72"/>
  <c r="AL9" i="72"/>
  <c r="X10" i="72"/>
  <c r="Y10" i="72"/>
  <c r="Z10" i="72"/>
  <c r="AA10" i="72"/>
  <c r="AB10" i="72"/>
  <c r="AC10" i="72"/>
  <c r="AD10" i="72"/>
  <c r="AE10" i="72"/>
  <c r="AF10" i="72"/>
  <c r="AG10" i="72"/>
  <c r="AH10" i="72"/>
  <c r="AI10" i="72"/>
  <c r="AJ10" i="72"/>
  <c r="AK10" i="72"/>
  <c r="AL10" i="72"/>
  <c r="X11" i="72"/>
  <c r="Y11" i="72"/>
  <c r="Z11" i="72"/>
  <c r="AA11" i="72"/>
  <c r="AB11" i="72"/>
  <c r="AC11" i="72"/>
  <c r="AD11" i="72"/>
  <c r="AE11" i="72"/>
  <c r="AF11" i="72"/>
  <c r="AG11" i="72"/>
  <c r="AH11" i="72"/>
  <c r="AI11" i="72"/>
  <c r="AJ11" i="72"/>
  <c r="AK11" i="72"/>
  <c r="AL11" i="72"/>
  <c r="X12" i="72"/>
  <c r="Y12" i="72"/>
  <c r="Z12" i="72"/>
  <c r="AA12" i="72"/>
  <c r="AB12" i="72"/>
  <c r="AC12" i="72"/>
  <c r="AD12" i="72"/>
  <c r="AE12" i="72"/>
  <c r="AF12" i="72"/>
  <c r="AG12" i="72"/>
  <c r="AH12" i="72"/>
  <c r="AI12" i="72"/>
  <c r="AJ12" i="72"/>
  <c r="AK12" i="72"/>
  <c r="AL12" i="72"/>
  <c r="X13" i="72"/>
  <c r="Y13" i="72"/>
  <c r="Z13" i="72"/>
  <c r="AA13" i="72"/>
  <c r="AB13" i="72"/>
  <c r="AC13" i="72"/>
  <c r="AD13" i="72"/>
  <c r="AE13" i="72"/>
  <c r="AF13" i="72"/>
  <c r="AG13" i="72"/>
  <c r="AH13" i="72"/>
  <c r="AI13" i="72"/>
  <c r="AJ13" i="72"/>
  <c r="AK13" i="72"/>
  <c r="AL13" i="72"/>
  <c r="X14" i="72"/>
  <c r="Y14" i="72"/>
  <c r="Z14" i="72"/>
  <c r="AA14" i="72"/>
  <c r="AB14" i="72"/>
  <c r="AC14" i="72"/>
  <c r="AD14" i="72"/>
  <c r="AE14" i="72"/>
  <c r="AF14" i="72"/>
  <c r="AG14" i="72"/>
  <c r="AH14" i="72"/>
  <c r="AI14" i="72"/>
  <c r="AJ14" i="72"/>
  <c r="AK14" i="72"/>
  <c r="AL14" i="72"/>
  <c r="X15" i="72"/>
  <c r="Y15" i="72"/>
  <c r="Z15" i="72"/>
  <c r="AA15" i="72"/>
  <c r="AB15" i="72"/>
  <c r="AC15" i="72"/>
  <c r="AD15" i="72"/>
  <c r="AE15" i="72"/>
  <c r="AF15" i="72"/>
  <c r="AG15" i="72"/>
  <c r="AH15" i="72"/>
  <c r="AI15" i="72"/>
  <c r="AJ15" i="72"/>
  <c r="AK15" i="72"/>
  <c r="AL15" i="72"/>
  <c r="X16" i="72"/>
  <c r="Y16" i="72"/>
  <c r="Z16" i="72"/>
  <c r="AA16" i="72"/>
  <c r="AB16" i="72"/>
  <c r="AC16" i="72"/>
  <c r="AD16" i="72"/>
  <c r="AE16" i="72"/>
  <c r="AF16" i="72"/>
  <c r="AG16" i="72"/>
  <c r="AH16" i="72"/>
  <c r="AI16" i="72"/>
  <c r="AJ16" i="72"/>
  <c r="AK16" i="72"/>
  <c r="AL16" i="72"/>
  <c r="X17" i="72"/>
  <c r="Y17" i="72"/>
  <c r="Z17" i="72"/>
  <c r="AA17" i="72"/>
  <c r="AB17" i="72"/>
  <c r="AC17" i="72"/>
  <c r="AD17" i="72"/>
  <c r="AE17" i="72"/>
  <c r="AF17" i="72"/>
  <c r="AG17" i="72"/>
  <c r="AH17" i="72"/>
  <c r="AI17" i="72"/>
  <c r="AJ17" i="72"/>
  <c r="AK17" i="72"/>
  <c r="AL17" i="72"/>
  <c r="X18" i="72"/>
  <c r="Y18" i="72"/>
  <c r="Z18" i="72"/>
  <c r="AA18" i="72"/>
  <c r="AB18" i="72"/>
  <c r="AC18" i="72"/>
  <c r="AD18" i="72"/>
  <c r="AE18" i="72"/>
  <c r="AF18" i="72"/>
  <c r="AG18" i="72"/>
  <c r="AH18" i="72"/>
  <c r="AI18" i="72"/>
  <c r="AJ18" i="72"/>
  <c r="AK18" i="72"/>
  <c r="AL18" i="72"/>
  <c r="X19" i="72"/>
  <c r="Y19" i="72"/>
  <c r="Z19" i="72"/>
  <c r="AA19" i="72"/>
  <c r="AB19" i="72"/>
  <c r="AC19" i="72"/>
  <c r="AD19" i="72"/>
  <c r="AE19" i="72"/>
  <c r="AF19" i="72"/>
  <c r="AG19" i="72"/>
  <c r="AH19" i="72"/>
  <c r="AI19" i="72"/>
  <c r="AJ19" i="72"/>
  <c r="AK19" i="72"/>
  <c r="AL19" i="72"/>
  <c r="X20" i="72"/>
  <c r="Y20" i="72"/>
  <c r="Z20" i="72"/>
  <c r="AA20" i="72"/>
  <c r="AB20" i="72"/>
  <c r="AC20" i="72"/>
  <c r="AD20" i="72"/>
  <c r="AE20" i="72"/>
  <c r="AF20" i="72"/>
  <c r="AG20" i="72"/>
  <c r="AH20" i="72"/>
  <c r="AI20" i="72"/>
  <c r="AJ20" i="72"/>
  <c r="AK20" i="72"/>
  <c r="AL20" i="72"/>
  <c r="X21" i="72"/>
  <c r="Y21" i="72"/>
  <c r="Z21" i="72"/>
  <c r="AA21" i="72"/>
  <c r="AB21" i="72"/>
  <c r="AC21" i="72"/>
  <c r="AD21" i="72"/>
  <c r="AE21" i="72"/>
  <c r="AF21" i="72"/>
  <c r="AG21" i="72"/>
  <c r="AH21" i="72"/>
  <c r="AI21" i="72"/>
  <c r="AJ21" i="72"/>
  <c r="AK21" i="72"/>
  <c r="AL21" i="72"/>
  <c r="X22" i="72"/>
  <c r="Y22" i="72"/>
  <c r="Z22" i="72"/>
  <c r="AA22" i="72"/>
  <c r="AB22" i="72"/>
  <c r="AC22" i="72"/>
  <c r="AD22" i="72"/>
  <c r="AE22" i="72"/>
  <c r="AF22" i="72"/>
  <c r="AG22" i="72"/>
  <c r="AH22" i="72"/>
  <c r="AI22" i="72"/>
  <c r="AJ22" i="72"/>
  <c r="AK22" i="72"/>
  <c r="AL22" i="72"/>
  <c r="X23" i="72"/>
  <c r="Y23" i="72"/>
  <c r="Z23" i="72"/>
  <c r="AA23" i="72"/>
  <c r="AB23" i="72"/>
  <c r="AC23" i="72"/>
  <c r="AD23" i="72"/>
  <c r="AE23" i="72"/>
  <c r="AF23" i="72"/>
  <c r="AG23" i="72"/>
  <c r="AH23" i="72"/>
  <c r="AI23" i="72"/>
  <c r="AJ23" i="72"/>
  <c r="AK23" i="72"/>
  <c r="AL23" i="72"/>
  <c r="X24" i="72"/>
  <c r="Y24" i="72"/>
  <c r="Z24" i="72"/>
  <c r="AA24" i="72"/>
  <c r="AB24" i="72"/>
  <c r="AC24" i="72"/>
  <c r="AD24" i="72"/>
  <c r="AE24" i="72"/>
  <c r="AF24" i="72"/>
  <c r="AG24" i="72"/>
  <c r="AH24" i="72"/>
  <c r="AI24" i="72"/>
  <c r="AJ24" i="72"/>
  <c r="AK24" i="72"/>
  <c r="AL24" i="72"/>
  <c r="X25" i="72"/>
  <c r="Y25" i="72"/>
  <c r="Z25" i="72"/>
  <c r="AA25" i="72"/>
  <c r="AB25" i="72"/>
  <c r="AC25" i="72"/>
  <c r="AD25" i="72"/>
  <c r="AE25" i="72"/>
  <c r="AF25" i="72"/>
  <c r="AG25" i="72"/>
  <c r="AH25" i="72"/>
  <c r="AI25" i="72"/>
  <c r="AJ25" i="72"/>
  <c r="AK25" i="72"/>
  <c r="AL25" i="72"/>
  <c r="X26" i="72"/>
  <c r="Y26" i="72"/>
  <c r="Z26" i="72"/>
  <c r="AA26" i="72"/>
  <c r="AB26" i="72"/>
  <c r="AC26" i="72"/>
  <c r="AD26" i="72"/>
  <c r="AE26" i="72"/>
  <c r="AF26" i="72"/>
  <c r="AG26" i="72"/>
  <c r="AH26" i="72"/>
  <c r="AI26" i="72"/>
  <c r="AJ26" i="72"/>
  <c r="AK26" i="72"/>
  <c r="AL26" i="72"/>
  <c r="X27" i="72"/>
  <c r="Y27" i="72"/>
  <c r="Z27" i="72"/>
  <c r="AA27" i="72"/>
  <c r="AB27" i="72"/>
  <c r="AC27" i="72"/>
  <c r="AD27" i="72"/>
  <c r="AE27" i="72"/>
  <c r="AF27" i="72"/>
  <c r="AG27" i="72"/>
  <c r="AH27" i="72"/>
  <c r="AI27" i="72"/>
  <c r="AJ27" i="72"/>
  <c r="AK27" i="72"/>
  <c r="AL27" i="72"/>
  <c r="X28" i="72"/>
  <c r="Y28" i="72"/>
  <c r="Z28" i="72"/>
  <c r="AA28" i="72"/>
  <c r="AB28" i="72"/>
  <c r="AC28" i="72"/>
  <c r="AD28" i="72"/>
  <c r="AE28" i="72"/>
  <c r="AF28" i="72"/>
  <c r="AG28" i="72"/>
  <c r="AH28" i="72"/>
  <c r="AI28" i="72"/>
  <c r="AJ28" i="72"/>
  <c r="AK28" i="72"/>
  <c r="AL28" i="72"/>
  <c r="X29" i="72"/>
  <c r="Y29" i="72"/>
  <c r="Z29" i="72"/>
  <c r="AA29" i="72"/>
  <c r="AB29" i="72"/>
  <c r="AC29" i="72"/>
  <c r="AD29" i="72"/>
  <c r="AE29" i="72"/>
  <c r="AF29" i="72"/>
  <c r="AG29" i="72"/>
  <c r="AH29" i="72"/>
  <c r="AI29" i="72"/>
  <c r="AJ29" i="72"/>
  <c r="AK29" i="72"/>
  <c r="AL29" i="72"/>
  <c r="X30" i="72"/>
  <c r="Y30" i="72"/>
  <c r="Z30" i="72"/>
  <c r="AA30" i="72"/>
  <c r="AB30" i="72"/>
  <c r="AC30" i="72"/>
  <c r="AD30" i="72"/>
  <c r="AE30" i="72"/>
  <c r="AF30" i="72"/>
  <c r="AG30" i="72"/>
  <c r="AH30" i="72"/>
  <c r="AI30" i="72"/>
  <c r="AJ30" i="72"/>
  <c r="AK30" i="72"/>
  <c r="AL30" i="72"/>
  <c r="X31" i="72"/>
  <c r="Y31" i="72"/>
  <c r="Z31" i="72"/>
  <c r="AA31" i="72"/>
  <c r="AB31" i="72"/>
  <c r="AC31" i="72"/>
  <c r="AD31" i="72"/>
  <c r="AE31" i="72"/>
  <c r="AF31" i="72"/>
  <c r="AG31" i="72"/>
  <c r="AH31" i="72"/>
  <c r="AI31" i="72"/>
  <c r="AJ31" i="72"/>
  <c r="AK31" i="72"/>
  <c r="AL31" i="72"/>
  <c r="X32" i="72"/>
  <c r="Y32" i="72"/>
  <c r="Z32" i="72"/>
  <c r="AA32" i="72"/>
  <c r="AB32" i="72"/>
  <c r="AC32" i="72"/>
  <c r="AD32" i="72"/>
  <c r="AE32" i="72"/>
  <c r="AF32" i="72"/>
  <c r="AG32" i="72"/>
  <c r="AH32" i="72"/>
  <c r="AI32" i="72"/>
  <c r="AJ32" i="72"/>
  <c r="AK32" i="72"/>
  <c r="AL32" i="72"/>
  <c r="X33" i="72"/>
  <c r="Y33" i="72"/>
  <c r="Z33" i="72"/>
  <c r="AA33" i="72"/>
  <c r="AB33" i="72"/>
  <c r="AC33" i="72"/>
  <c r="AD33" i="72"/>
  <c r="AE33" i="72"/>
  <c r="AF33" i="72"/>
  <c r="AG33" i="72"/>
  <c r="AH33" i="72"/>
  <c r="AI33" i="72"/>
  <c r="AJ33" i="72"/>
  <c r="AK33" i="72"/>
  <c r="AL33" i="72"/>
  <c r="X34" i="72"/>
  <c r="Y34" i="72"/>
  <c r="Z34" i="72"/>
  <c r="AA34" i="72"/>
  <c r="AB34" i="72"/>
  <c r="AC34" i="72"/>
  <c r="AD34" i="72"/>
  <c r="AE34" i="72"/>
  <c r="AF34" i="72"/>
  <c r="AG34" i="72"/>
  <c r="AH34" i="72"/>
  <c r="AI34" i="72"/>
  <c r="AJ34" i="72"/>
  <c r="AK34" i="72"/>
  <c r="AL34" i="72"/>
  <c r="X35" i="72"/>
  <c r="Y35" i="72"/>
  <c r="Z35" i="72"/>
  <c r="AA35" i="72"/>
  <c r="AB35" i="72"/>
  <c r="AC35" i="72"/>
  <c r="AD35" i="72"/>
  <c r="AE35" i="72"/>
  <c r="AF35" i="72"/>
  <c r="AG35" i="72"/>
  <c r="AH35" i="72"/>
  <c r="AI35" i="72"/>
  <c r="AJ35" i="72"/>
  <c r="AK35" i="72"/>
  <c r="AL35" i="72"/>
  <c r="X36" i="72"/>
  <c r="Y36" i="72"/>
  <c r="Z36" i="72"/>
  <c r="AA36" i="72"/>
  <c r="AB36" i="72"/>
  <c r="AC36" i="72"/>
  <c r="AD36" i="72"/>
  <c r="AE36" i="72"/>
  <c r="AF36" i="72"/>
  <c r="AG36" i="72"/>
  <c r="AH36" i="72"/>
  <c r="AI36" i="72"/>
  <c r="AJ36" i="72"/>
  <c r="AK36" i="72"/>
  <c r="AL36" i="72"/>
  <c r="X37" i="72"/>
  <c r="Y37" i="72"/>
  <c r="Z37" i="72"/>
  <c r="AA37" i="72"/>
  <c r="AB37" i="72"/>
  <c r="AC37" i="72"/>
  <c r="AD37" i="72"/>
  <c r="AE37" i="72"/>
  <c r="AF37" i="72"/>
  <c r="AG37" i="72"/>
  <c r="AH37" i="72"/>
  <c r="AI37" i="72"/>
  <c r="AJ37" i="72"/>
  <c r="AK37" i="72"/>
  <c r="AL37" i="72"/>
  <c r="X38" i="72"/>
  <c r="Y38" i="72"/>
  <c r="Z38" i="72"/>
  <c r="AA38" i="72"/>
  <c r="AB38" i="72"/>
  <c r="AC38" i="72"/>
  <c r="AD38" i="72"/>
  <c r="AE38" i="72"/>
  <c r="AF38" i="72"/>
  <c r="AG38" i="72"/>
  <c r="AH38" i="72"/>
  <c r="AI38" i="72"/>
  <c r="AJ38" i="72"/>
  <c r="AK38" i="72"/>
  <c r="AL38" i="72"/>
  <c r="X39" i="72"/>
  <c r="Y39" i="72"/>
  <c r="Z39" i="72"/>
  <c r="AA39" i="72"/>
  <c r="AB39" i="72"/>
  <c r="AC39" i="72"/>
  <c r="AD39" i="72"/>
  <c r="AE39" i="72"/>
  <c r="AF39" i="72"/>
  <c r="AG39" i="72"/>
  <c r="AH39" i="72"/>
  <c r="AI39" i="72"/>
  <c r="AJ39" i="72"/>
  <c r="AK39" i="72"/>
  <c r="AL39" i="72"/>
  <c r="X40" i="72"/>
  <c r="Y40" i="72"/>
  <c r="Z40" i="72"/>
  <c r="AA40" i="72"/>
  <c r="AB40" i="72"/>
  <c r="AC40" i="72"/>
  <c r="AD40" i="72"/>
  <c r="AE40" i="72"/>
  <c r="AF40" i="72"/>
  <c r="AG40" i="72"/>
  <c r="AH40" i="72"/>
  <c r="AI40" i="72"/>
  <c r="AJ40" i="72"/>
  <c r="AK40" i="72"/>
  <c r="AL40" i="72"/>
  <c r="X41" i="72"/>
  <c r="Y41" i="72"/>
  <c r="Z41" i="72"/>
  <c r="AA41" i="72"/>
  <c r="AB41" i="72"/>
  <c r="AC41" i="72"/>
  <c r="AD41" i="72"/>
  <c r="AE41" i="72"/>
  <c r="AF41" i="72"/>
  <c r="AG41" i="72"/>
  <c r="AH41" i="72"/>
  <c r="AI41" i="72"/>
  <c r="AJ41" i="72"/>
  <c r="AK41" i="72"/>
  <c r="AL41" i="72"/>
  <c r="X42" i="72"/>
  <c r="Y42" i="72"/>
  <c r="Z42" i="72"/>
  <c r="AA42" i="72"/>
  <c r="AB42" i="72"/>
  <c r="AC42" i="72"/>
  <c r="AD42" i="72"/>
  <c r="AE42" i="72"/>
  <c r="AF42" i="72"/>
  <c r="AG42" i="72"/>
  <c r="AH42" i="72"/>
  <c r="AI42" i="72"/>
  <c r="AJ42" i="72"/>
  <c r="AK42" i="72"/>
  <c r="AL42" i="72"/>
  <c r="X43" i="72"/>
  <c r="Y43" i="72"/>
  <c r="Z43" i="72"/>
  <c r="AA43" i="72"/>
  <c r="AB43" i="72"/>
  <c r="AC43" i="72"/>
  <c r="AD43" i="72"/>
  <c r="AE43" i="72"/>
  <c r="AF43" i="72"/>
  <c r="AG43" i="72"/>
  <c r="AH43" i="72"/>
  <c r="AI43" i="72"/>
  <c r="AJ43" i="72"/>
  <c r="AK43" i="72"/>
  <c r="AL43" i="72"/>
  <c r="X44" i="72"/>
  <c r="Y44" i="72"/>
  <c r="Z44" i="72"/>
  <c r="AA44" i="72"/>
  <c r="AB44" i="72"/>
  <c r="AC44" i="72"/>
  <c r="AD44" i="72"/>
  <c r="AE44" i="72"/>
  <c r="AF44" i="72"/>
  <c r="AG44" i="72"/>
  <c r="AH44" i="72"/>
  <c r="AI44" i="72"/>
  <c r="AJ44" i="72"/>
  <c r="AK44" i="72"/>
  <c r="AL44" i="72"/>
  <c r="X45" i="72"/>
  <c r="Y45" i="72"/>
  <c r="Z45" i="72"/>
  <c r="AA45" i="72"/>
  <c r="AB45" i="72"/>
  <c r="AC45" i="72"/>
  <c r="AD45" i="72"/>
  <c r="AE45" i="72"/>
  <c r="AF45" i="72"/>
  <c r="AG45" i="72"/>
  <c r="AH45" i="72"/>
  <c r="AI45" i="72"/>
  <c r="AJ45" i="72"/>
  <c r="AK45" i="72"/>
  <c r="AL45" i="72"/>
  <c r="X46" i="72"/>
  <c r="Y46" i="72"/>
  <c r="Z46" i="72"/>
  <c r="AA46" i="72"/>
  <c r="AB46" i="72"/>
  <c r="AC46" i="72"/>
  <c r="AD46" i="72"/>
  <c r="AE46" i="72"/>
  <c r="AF46" i="72"/>
  <c r="AG46" i="72"/>
  <c r="AH46" i="72"/>
  <c r="AI46" i="72"/>
  <c r="AJ46" i="72"/>
  <c r="AK46" i="72"/>
  <c r="AL46" i="72"/>
  <c r="X47" i="72"/>
  <c r="Y47" i="72"/>
  <c r="Z47" i="72"/>
  <c r="AA47" i="72"/>
  <c r="AB47" i="72"/>
  <c r="AC47" i="72"/>
  <c r="AD47" i="72"/>
  <c r="AE47" i="72"/>
  <c r="AF47" i="72"/>
  <c r="AG47" i="72"/>
  <c r="AH47" i="72"/>
  <c r="AI47" i="72"/>
  <c r="AJ47" i="72"/>
  <c r="AK47" i="72"/>
  <c r="AL47" i="72"/>
  <c r="X48" i="72"/>
  <c r="Y48" i="72"/>
  <c r="Z48" i="72"/>
  <c r="AA48" i="72"/>
  <c r="AB48" i="72"/>
  <c r="AC48" i="72"/>
  <c r="AD48" i="72"/>
  <c r="AE48" i="72"/>
  <c r="AF48" i="72"/>
  <c r="AG48" i="72"/>
  <c r="AH48" i="72"/>
  <c r="AI48" i="72"/>
  <c r="AJ48" i="72"/>
  <c r="AK48" i="72"/>
  <c r="AL48" i="72"/>
  <c r="X49" i="72"/>
  <c r="Y49" i="72"/>
  <c r="Z49" i="72"/>
  <c r="AA49" i="72"/>
  <c r="AB49" i="72"/>
  <c r="AC49" i="72"/>
  <c r="AD49" i="72"/>
  <c r="AE49" i="72"/>
  <c r="AF49" i="72"/>
  <c r="AG49" i="72"/>
  <c r="AH49" i="72"/>
  <c r="AI49" i="72"/>
  <c r="AJ49" i="72"/>
  <c r="AK49" i="72"/>
  <c r="AL49" i="72"/>
  <c r="X50" i="72"/>
  <c r="Y50" i="72"/>
  <c r="Z50" i="72"/>
  <c r="AA50" i="72"/>
  <c r="AB50" i="72"/>
  <c r="AC50" i="72"/>
  <c r="AD50" i="72"/>
  <c r="AE50" i="72"/>
  <c r="AF50" i="72"/>
  <c r="AG50" i="72"/>
  <c r="AH50" i="72"/>
  <c r="AI50" i="72"/>
  <c r="AJ50" i="72"/>
  <c r="AK50" i="72"/>
  <c r="AL50" i="72"/>
  <c r="X51" i="72"/>
  <c r="Y51" i="72"/>
  <c r="Z51" i="72"/>
  <c r="AA51" i="72"/>
  <c r="AB51" i="72"/>
  <c r="AC51" i="72"/>
  <c r="AD51" i="72"/>
  <c r="AE51" i="72"/>
  <c r="AF51" i="72"/>
  <c r="AG51" i="72"/>
  <c r="AH51" i="72"/>
  <c r="AI51" i="72"/>
  <c r="AJ51" i="72"/>
  <c r="AK51" i="72"/>
  <c r="AL51" i="72"/>
  <c r="X52" i="72"/>
  <c r="Y52" i="72"/>
  <c r="Z52" i="72"/>
  <c r="AA52" i="72"/>
  <c r="AB52" i="72"/>
  <c r="AC52" i="72"/>
  <c r="AD52" i="72"/>
  <c r="AE52" i="72"/>
  <c r="AF52" i="72"/>
  <c r="AG52" i="72"/>
  <c r="AH52" i="72"/>
  <c r="AI52" i="72"/>
  <c r="AJ52" i="72"/>
  <c r="AK52" i="72"/>
  <c r="AL52" i="72"/>
  <c r="X53" i="72"/>
  <c r="Y53" i="72"/>
  <c r="Z53" i="72"/>
  <c r="AA53" i="72"/>
  <c r="AB53" i="72"/>
  <c r="AC53" i="72"/>
  <c r="AD53" i="72"/>
  <c r="AE53" i="72"/>
  <c r="AF53" i="72"/>
  <c r="AG53" i="72"/>
  <c r="AH53" i="72"/>
  <c r="AI53" i="72"/>
  <c r="AJ53" i="72"/>
  <c r="AK53" i="72"/>
  <c r="AL53" i="72"/>
  <c r="X54" i="72"/>
  <c r="Y54" i="72"/>
  <c r="Z54" i="72"/>
  <c r="AA54" i="72"/>
  <c r="AB54" i="72"/>
  <c r="AC54" i="72"/>
  <c r="AD54" i="72"/>
  <c r="AE54" i="72"/>
  <c r="AF54" i="72"/>
  <c r="AG54" i="72"/>
  <c r="AH54" i="72"/>
  <c r="AI54" i="72"/>
  <c r="AJ54" i="72"/>
  <c r="AK54" i="72"/>
  <c r="AL54" i="72"/>
  <c r="X55" i="72"/>
  <c r="Y55" i="72"/>
  <c r="Z55" i="72"/>
  <c r="AA55" i="72"/>
  <c r="AB55" i="72"/>
  <c r="AC55" i="72"/>
  <c r="AD55" i="72"/>
  <c r="AE55" i="72"/>
  <c r="AF55" i="72"/>
  <c r="AG55" i="72"/>
  <c r="AH55" i="72"/>
  <c r="AI55" i="72"/>
  <c r="AJ55" i="72"/>
  <c r="AK55" i="72"/>
  <c r="AL55" i="72"/>
  <c r="X56" i="72"/>
  <c r="Y56" i="72"/>
  <c r="Z56" i="72"/>
  <c r="AA56" i="72"/>
  <c r="AB56" i="72"/>
  <c r="AC56" i="72"/>
  <c r="AD56" i="72"/>
  <c r="AE56" i="72"/>
  <c r="AF56" i="72"/>
  <c r="AG56" i="72"/>
  <c r="AH56" i="72"/>
  <c r="AI56" i="72"/>
  <c r="AJ56" i="72"/>
  <c r="AK56" i="72"/>
  <c r="AL56" i="72"/>
  <c r="X57" i="72"/>
  <c r="Y57" i="72"/>
  <c r="Z57" i="72"/>
  <c r="AA57" i="72"/>
  <c r="AB57" i="72"/>
  <c r="AC57" i="72"/>
  <c r="AD57" i="72"/>
  <c r="AE57" i="72"/>
  <c r="AF57" i="72"/>
  <c r="AG57" i="72"/>
  <c r="AH57" i="72"/>
  <c r="AI57" i="72"/>
  <c r="AJ57" i="72"/>
  <c r="AK57" i="72"/>
  <c r="AL57" i="72"/>
  <c r="X58" i="72"/>
  <c r="Y58" i="72"/>
  <c r="Z58" i="72"/>
  <c r="AA58" i="72"/>
  <c r="AB58" i="72"/>
  <c r="AC58" i="72"/>
  <c r="AD58" i="72"/>
  <c r="AE58" i="72"/>
  <c r="AF58" i="72"/>
  <c r="AG58" i="72"/>
  <c r="AH58" i="72"/>
  <c r="AI58" i="72"/>
  <c r="AJ58" i="72"/>
  <c r="AK58" i="72"/>
  <c r="AL58" i="72"/>
  <c r="X59" i="72"/>
  <c r="Y59" i="72"/>
  <c r="Z59" i="72"/>
  <c r="AA59" i="72"/>
  <c r="AB59" i="72"/>
  <c r="AC59" i="72"/>
  <c r="AD59" i="72"/>
  <c r="AE59" i="72"/>
  <c r="AF59" i="72"/>
  <c r="AG59" i="72"/>
  <c r="AH59" i="72"/>
  <c r="AI59" i="72"/>
  <c r="AJ59" i="72"/>
  <c r="AK59" i="72"/>
  <c r="AL59" i="72"/>
  <c r="X60" i="72"/>
  <c r="Y60" i="72"/>
  <c r="Z60" i="72"/>
  <c r="AA60" i="72"/>
  <c r="AB60" i="72"/>
  <c r="AC60" i="72"/>
  <c r="AD60" i="72"/>
  <c r="AE60" i="72"/>
  <c r="AF60" i="72"/>
  <c r="AG60" i="72"/>
  <c r="AH60" i="72"/>
  <c r="AI60" i="72"/>
  <c r="AJ60" i="72"/>
  <c r="AK60" i="72"/>
  <c r="AL60" i="72"/>
  <c r="X61" i="72"/>
  <c r="Y61" i="72"/>
  <c r="Z61" i="72"/>
  <c r="AA61" i="72"/>
  <c r="AB61" i="72"/>
  <c r="AC61" i="72"/>
  <c r="AD61" i="72"/>
  <c r="AE61" i="72"/>
  <c r="AF61" i="72"/>
  <c r="AG61" i="72"/>
  <c r="AH61" i="72"/>
  <c r="AI61" i="72"/>
  <c r="AJ61" i="72"/>
  <c r="AK61" i="72"/>
  <c r="AL61" i="72"/>
  <c r="X62" i="72"/>
  <c r="Y62" i="72"/>
  <c r="Z62" i="72"/>
  <c r="AA62" i="72"/>
  <c r="AB62" i="72"/>
  <c r="AC62" i="72"/>
  <c r="AD62" i="72"/>
  <c r="AE62" i="72"/>
  <c r="AF62" i="72"/>
  <c r="AG62" i="72"/>
  <c r="AH62" i="72"/>
  <c r="AI62" i="72"/>
  <c r="AJ62" i="72"/>
  <c r="AK62" i="72"/>
  <c r="AL62" i="72"/>
  <c r="X63" i="72"/>
  <c r="Y63" i="72"/>
  <c r="Z63" i="72"/>
  <c r="AA63" i="72"/>
  <c r="AB63" i="72"/>
  <c r="AC63" i="72"/>
  <c r="AD63" i="72"/>
  <c r="AE63" i="72"/>
  <c r="AF63" i="72"/>
  <c r="AG63" i="72"/>
  <c r="AH63" i="72"/>
  <c r="AI63" i="72"/>
  <c r="AJ63" i="72"/>
  <c r="AK63" i="72"/>
  <c r="AL63" i="72"/>
  <c r="X64" i="72"/>
  <c r="Y64" i="72"/>
  <c r="Z64" i="72"/>
  <c r="AA64" i="72"/>
  <c r="AB64" i="72"/>
  <c r="AC64" i="72"/>
  <c r="AD64" i="72"/>
  <c r="AE64" i="72"/>
  <c r="AF64" i="72"/>
  <c r="AG64" i="72"/>
  <c r="AH64" i="72"/>
  <c r="AI64" i="72"/>
  <c r="AJ64" i="72"/>
  <c r="AK64" i="72"/>
  <c r="AL64" i="72"/>
  <c r="X65" i="72"/>
  <c r="Y65" i="72"/>
  <c r="Z65" i="72"/>
  <c r="AA65" i="72"/>
  <c r="AB65" i="72"/>
  <c r="AC65" i="72"/>
  <c r="AD65" i="72"/>
  <c r="AE65" i="72"/>
  <c r="AF65" i="72"/>
  <c r="AG65" i="72"/>
  <c r="AH65" i="72"/>
  <c r="AI65" i="72"/>
  <c r="AJ65" i="72"/>
  <c r="AK65" i="72"/>
  <c r="AL65" i="72"/>
  <c r="X66" i="72"/>
  <c r="Y66" i="72"/>
  <c r="Z66" i="72"/>
  <c r="AA66" i="72"/>
  <c r="AB66" i="72"/>
  <c r="AC66" i="72"/>
  <c r="AD66" i="72"/>
  <c r="AE66" i="72"/>
  <c r="AF66" i="72"/>
  <c r="AG66" i="72"/>
  <c r="AH66" i="72"/>
  <c r="AI66" i="72"/>
  <c r="AJ66" i="72"/>
  <c r="AK66" i="72"/>
  <c r="AL66" i="72"/>
  <c r="X67" i="72"/>
  <c r="Y67" i="72"/>
  <c r="Z67" i="72"/>
  <c r="AA67" i="72"/>
  <c r="AB67" i="72"/>
  <c r="AC67" i="72"/>
  <c r="AD67" i="72"/>
  <c r="AE67" i="72"/>
  <c r="AF67" i="72"/>
  <c r="AG67" i="72"/>
  <c r="AH67" i="72"/>
  <c r="AI67" i="72"/>
  <c r="AJ67" i="72"/>
  <c r="AK67" i="72"/>
  <c r="AL67" i="72"/>
  <c r="X68" i="72"/>
  <c r="Y68" i="72"/>
  <c r="Z68" i="72"/>
  <c r="AA68" i="72"/>
  <c r="AB68" i="72"/>
  <c r="AC68" i="72"/>
  <c r="AD68" i="72"/>
  <c r="AE68" i="72"/>
  <c r="AF68" i="72"/>
  <c r="AG68" i="72"/>
  <c r="AH68" i="72"/>
  <c r="AI68" i="72"/>
  <c r="AJ68" i="72"/>
  <c r="AK68" i="72"/>
  <c r="AL68" i="72"/>
  <c r="X69" i="72"/>
  <c r="Y69" i="72"/>
  <c r="Z69" i="72"/>
  <c r="AA69" i="72"/>
  <c r="AB69" i="72"/>
  <c r="AC69" i="72"/>
  <c r="AD69" i="72"/>
  <c r="AE69" i="72"/>
  <c r="AF69" i="72"/>
  <c r="AG69" i="72"/>
  <c r="AH69" i="72"/>
  <c r="AI69" i="72"/>
  <c r="AJ69" i="72"/>
  <c r="AK69" i="72"/>
  <c r="AL69" i="72"/>
  <c r="X70" i="72"/>
  <c r="Y70" i="72"/>
  <c r="Z70" i="72"/>
  <c r="AA70" i="72"/>
  <c r="AB70" i="72"/>
  <c r="AC70" i="72"/>
  <c r="AD70" i="72"/>
  <c r="AE70" i="72"/>
  <c r="AF70" i="72"/>
  <c r="AG70" i="72"/>
  <c r="AH70" i="72"/>
  <c r="AI70" i="72"/>
  <c r="AJ70" i="72"/>
  <c r="AK70" i="72"/>
  <c r="AL70" i="72"/>
  <c r="X71" i="72"/>
  <c r="Y71" i="72"/>
  <c r="Z71" i="72"/>
  <c r="AA71" i="72"/>
  <c r="AB71" i="72"/>
  <c r="AC71" i="72"/>
  <c r="AD71" i="72"/>
  <c r="AE71" i="72"/>
  <c r="AF71" i="72"/>
  <c r="AG71" i="72"/>
  <c r="AH71" i="72"/>
  <c r="AI71" i="72"/>
  <c r="AJ71" i="72"/>
  <c r="AK71" i="72"/>
  <c r="AL71" i="72"/>
  <c r="X72" i="72"/>
  <c r="Y72" i="72"/>
  <c r="Z72" i="72"/>
  <c r="AA72" i="72"/>
  <c r="AB72" i="72"/>
  <c r="AC72" i="72"/>
  <c r="AD72" i="72"/>
  <c r="AE72" i="72"/>
  <c r="AF72" i="72"/>
  <c r="AG72" i="72"/>
  <c r="AH72" i="72"/>
  <c r="AI72" i="72"/>
  <c r="AJ72" i="72"/>
  <c r="AK72" i="72"/>
  <c r="AL72" i="72"/>
  <c r="X73" i="72"/>
  <c r="Y73" i="72"/>
  <c r="Z73" i="72"/>
  <c r="AA73" i="72"/>
  <c r="AB73" i="72"/>
  <c r="AC73" i="72"/>
  <c r="AD73" i="72"/>
  <c r="AE73" i="72"/>
  <c r="AF73" i="72"/>
  <c r="AG73" i="72"/>
  <c r="AH73" i="72"/>
  <c r="AI73" i="72"/>
  <c r="AJ73" i="72"/>
  <c r="AK73" i="72"/>
  <c r="AL73" i="72"/>
  <c r="X74" i="72"/>
  <c r="Y74" i="72"/>
  <c r="Z74" i="72"/>
  <c r="AA74" i="72"/>
  <c r="AB74" i="72"/>
  <c r="AC74" i="72"/>
  <c r="AD74" i="72"/>
  <c r="AE74" i="72"/>
  <c r="AF74" i="72"/>
  <c r="AG74" i="72"/>
  <c r="AH74" i="72"/>
  <c r="AI74" i="72"/>
  <c r="AJ74" i="72"/>
  <c r="AK74" i="72"/>
  <c r="AL74" i="72"/>
  <c r="X75" i="72"/>
  <c r="Y75" i="72"/>
  <c r="Z75" i="72"/>
  <c r="AA75" i="72"/>
  <c r="AB75" i="72"/>
  <c r="AC75" i="72"/>
  <c r="AD75" i="72"/>
  <c r="AE75" i="72"/>
  <c r="AF75" i="72"/>
  <c r="AG75" i="72"/>
  <c r="AH75" i="72"/>
  <c r="AI75" i="72"/>
  <c r="AJ75" i="72"/>
  <c r="AK75" i="72"/>
  <c r="AL75" i="72"/>
  <c r="X76" i="72"/>
  <c r="Y76" i="72"/>
  <c r="Z76" i="72"/>
  <c r="AA76" i="72"/>
  <c r="AB76" i="72"/>
  <c r="AC76" i="72"/>
  <c r="AD76" i="72"/>
  <c r="AE76" i="72"/>
  <c r="AF76" i="72"/>
  <c r="AG76" i="72"/>
  <c r="AH76" i="72"/>
  <c r="AI76" i="72"/>
  <c r="AJ76" i="72"/>
  <c r="AK76" i="72"/>
  <c r="AL76" i="72"/>
  <c r="X77" i="72"/>
  <c r="Y77" i="72"/>
  <c r="Z77" i="72"/>
  <c r="AA77" i="72"/>
  <c r="AB77" i="72"/>
  <c r="AC77" i="72"/>
  <c r="AD77" i="72"/>
  <c r="AE77" i="72"/>
  <c r="AF77" i="72"/>
  <c r="AG77" i="72"/>
  <c r="AH77" i="72"/>
  <c r="AI77" i="72"/>
  <c r="AJ77" i="72"/>
  <c r="AK77" i="72"/>
  <c r="AL77" i="72"/>
  <c r="X78" i="72"/>
  <c r="Y78" i="72"/>
  <c r="Z78" i="72"/>
  <c r="AA78" i="72"/>
  <c r="AB78" i="72"/>
  <c r="AC78" i="72"/>
  <c r="AD78" i="72"/>
  <c r="AE78" i="72"/>
  <c r="AF78" i="72"/>
  <c r="AG78" i="72"/>
  <c r="AH78" i="72"/>
  <c r="AI78" i="72"/>
  <c r="AJ78" i="72"/>
  <c r="AK78" i="72"/>
  <c r="AL78" i="72"/>
  <c r="X79" i="72"/>
  <c r="Y79" i="72"/>
  <c r="Z79" i="72"/>
  <c r="AA79" i="72"/>
  <c r="AB79" i="72"/>
  <c r="AC79" i="72"/>
  <c r="AD79" i="72"/>
  <c r="AE79" i="72"/>
  <c r="AF79" i="72"/>
  <c r="AG79" i="72"/>
  <c r="AH79" i="72"/>
  <c r="AI79" i="72"/>
  <c r="AJ79" i="72"/>
  <c r="AK79" i="72"/>
  <c r="AL79" i="72"/>
  <c r="X80" i="72"/>
  <c r="Y80" i="72"/>
  <c r="Z80" i="72"/>
  <c r="AA80" i="72"/>
  <c r="AB80" i="72"/>
  <c r="AC80" i="72"/>
  <c r="AD80" i="72"/>
  <c r="AE80" i="72"/>
  <c r="AF80" i="72"/>
  <c r="AG80" i="72"/>
  <c r="AH80" i="72"/>
  <c r="AI80" i="72"/>
  <c r="AJ80" i="72"/>
  <c r="AK80" i="72"/>
  <c r="AL80" i="72"/>
  <c r="X81" i="72"/>
  <c r="Y81" i="72"/>
  <c r="Z81" i="72"/>
  <c r="AA81" i="72"/>
  <c r="AB81" i="72"/>
  <c r="AC81" i="72"/>
  <c r="AD81" i="72"/>
  <c r="AE81" i="72"/>
  <c r="AF81" i="72"/>
  <c r="AG81" i="72"/>
  <c r="AH81" i="72"/>
  <c r="AI81" i="72"/>
  <c r="AJ81" i="72"/>
  <c r="AK81" i="72"/>
  <c r="AL81" i="72"/>
  <c r="X82" i="72"/>
  <c r="Y82" i="72"/>
  <c r="Z82" i="72"/>
  <c r="AA82" i="72"/>
  <c r="AB82" i="72"/>
  <c r="AC82" i="72"/>
  <c r="AD82" i="72"/>
  <c r="AE82" i="72"/>
  <c r="AF82" i="72"/>
  <c r="AG82" i="72"/>
  <c r="AH82" i="72"/>
  <c r="AI82" i="72"/>
  <c r="AJ82" i="72"/>
  <c r="AK82" i="72"/>
  <c r="AL82" i="72"/>
  <c r="X83" i="72"/>
  <c r="Y83" i="72"/>
  <c r="Z83" i="72"/>
  <c r="AA83" i="72"/>
  <c r="AB83" i="72"/>
  <c r="AC83" i="72"/>
  <c r="AD83" i="72"/>
  <c r="AE83" i="72"/>
  <c r="AF83" i="72"/>
  <c r="AG83" i="72"/>
  <c r="AH83" i="72"/>
  <c r="AI83" i="72"/>
  <c r="AJ83" i="72"/>
  <c r="AK83" i="72"/>
  <c r="AL83" i="72"/>
  <c r="X84" i="72"/>
  <c r="Y84" i="72"/>
  <c r="Z84" i="72"/>
  <c r="AA84" i="72"/>
  <c r="AB84" i="72"/>
  <c r="AC84" i="72"/>
  <c r="AD84" i="72"/>
  <c r="AE84" i="72"/>
  <c r="AF84" i="72"/>
  <c r="AG84" i="72"/>
  <c r="AH84" i="72"/>
  <c r="AI84" i="72"/>
  <c r="AJ84" i="72"/>
  <c r="AK84" i="72"/>
  <c r="AL84" i="72"/>
  <c r="X85" i="72"/>
  <c r="Y85" i="72"/>
  <c r="Z85" i="72"/>
  <c r="AA85" i="72"/>
  <c r="AB85" i="72"/>
  <c r="AC85" i="72"/>
  <c r="AD85" i="72"/>
  <c r="AE85" i="72"/>
  <c r="AF85" i="72"/>
  <c r="AG85" i="72"/>
  <c r="AH85" i="72"/>
  <c r="AI85" i="72"/>
  <c r="AJ85" i="72"/>
  <c r="AK85" i="72"/>
  <c r="AL85" i="72"/>
  <c r="X86" i="72"/>
  <c r="Y86" i="72"/>
  <c r="Z86" i="72"/>
  <c r="AA86" i="72"/>
  <c r="AB86" i="72"/>
  <c r="AC86" i="72"/>
  <c r="AD86" i="72"/>
  <c r="AE86" i="72"/>
  <c r="AF86" i="72"/>
  <c r="AG86" i="72"/>
  <c r="AH86" i="72"/>
  <c r="AI86" i="72"/>
  <c r="AJ86" i="72"/>
  <c r="AK86" i="72"/>
  <c r="AL86" i="72"/>
  <c r="X87" i="72"/>
  <c r="Y87" i="72"/>
  <c r="Z87" i="72"/>
  <c r="AA87" i="72"/>
  <c r="AB87" i="72"/>
  <c r="AC87" i="72"/>
  <c r="AD87" i="72"/>
  <c r="AE87" i="72"/>
  <c r="AF87" i="72"/>
  <c r="AG87" i="72"/>
  <c r="AH87" i="72"/>
  <c r="AI87" i="72"/>
  <c r="AJ87" i="72"/>
  <c r="AK87" i="72"/>
  <c r="AL87" i="72"/>
  <c r="X88" i="72"/>
  <c r="Y88" i="72"/>
  <c r="Z88" i="72"/>
  <c r="AA88" i="72"/>
  <c r="AB88" i="72"/>
  <c r="AC88" i="72"/>
  <c r="AD88" i="72"/>
  <c r="AE88" i="72"/>
  <c r="AF88" i="72"/>
  <c r="AG88" i="72"/>
  <c r="AH88" i="72"/>
  <c r="AI88" i="72"/>
  <c r="AJ88" i="72"/>
  <c r="AK88" i="72"/>
  <c r="AL88" i="72"/>
  <c r="X89" i="72"/>
  <c r="Y89" i="72"/>
  <c r="Z89" i="72"/>
  <c r="AA89" i="72"/>
  <c r="AB89" i="72"/>
  <c r="AC89" i="72"/>
  <c r="AD89" i="72"/>
  <c r="AE89" i="72"/>
  <c r="AF89" i="72"/>
  <c r="AG89" i="72"/>
  <c r="AH89" i="72"/>
  <c r="AI89" i="72"/>
  <c r="AJ89" i="72"/>
  <c r="AK89" i="72"/>
  <c r="AL89" i="72"/>
  <c r="X90" i="72"/>
  <c r="Y90" i="72"/>
  <c r="Z90" i="72"/>
  <c r="AA90" i="72"/>
  <c r="AB90" i="72"/>
  <c r="AC90" i="72"/>
  <c r="AD90" i="72"/>
  <c r="AE90" i="72"/>
  <c r="AF90" i="72"/>
  <c r="AG90" i="72"/>
  <c r="AH90" i="72"/>
  <c r="AI90" i="72"/>
  <c r="AJ90" i="72"/>
  <c r="AK90" i="72"/>
  <c r="AL90" i="72"/>
  <c r="X91" i="72"/>
  <c r="Y91" i="72"/>
  <c r="Z91" i="72"/>
  <c r="AA91" i="72"/>
  <c r="AB91" i="72"/>
  <c r="AC91" i="72"/>
  <c r="AD91" i="72"/>
  <c r="AE91" i="72"/>
  <c r="AF91" i="72"/>
  <c r="AG91" i="72"/>
  <c r="AH91" i="72"/>
  <c r="AI91" i="72"/>
  <c r="AJ91" i="72"/>
  <c r="AK91" i="72"/>
  <c r="AL91" i="72"/>
  <c r="X92" i="72"/>
  <c r="Y92" i="72"/>
  <c r="Z92" i="72"/>
  <c r="AA92" i="72"/>
  <c r="AB92" i="72"/>
  <c r="AC92" i="72"/>
  <c r="AD92" i="72"/>
  <c r="AE92" i="72"/>
  <c r="AF92" i="72"/>
  <c r="AG92" i="72"/>
  <c r="AH92" i="72"/>
  <c r="AI92" i="72"/>
  <c r="AJ92" i="72"/>
  <c r="AK92" i="72"/>
  <c r="AL92" i="72"/>
  <c r="X93" i="72"/>
  <c r="Y93" i="72"/>
  <c r="Z93" i="72"/>
  <c r="AA93" i="72"/>
  <c r="AB93" i="72"/>
  <c r="AC93" i="72"/>
  <c r="AD93" i="72"/>
  <c r="AE93" i="72"/>
  <c r="AF93" i="72"/>
  <c r="AG93" i="72"/>
  <c r="AH93" i="72"/>
  <c r="AI93" i="72"/>
  <c r="AJ93" i="72"/>
  <c r="AK93" i="72"/>
  <c r="AL93" i="72"/>
  <c r="X94" i="72"/>
  <c r="Y94" i="72"/>
  <c r="Z94" i="72"/>
  <c r="AA94" i="72"/>
  <c r="AB94" i="72"/>
  <c r="AC94" i="72"/>
  <c r="AD94" i="72"/>
  <c r="AE94" i="72"/>
  <c r="AF94" i="72"/>
  <c r="AG94" i="72"/>
  <c r="AH94" i="72"/>
  <c r="AI94" i="72"/>
  <c r="AJ94" i="72"/>
  <c r="AK94" i="72"/>
  <c r="AL94" i="72"/>
  <c r="X95" i="72"/>
  <c r="Y95" i="72"/>
  <c r="Z95" i="72"/>
  <c r="AA95" i="72"/>
  <c r="AB95" i="72"/>
  <c r="AC95" i="72"/>
  <c r="AD95" i="72"/>
  <c r="AE95" i="72"/>
  <c r="AF95" i="72"/>
  <c r="AG95" i="72"/>
  <c r="AH95" i="72"/>
  <c r="AI95" i="72"/>
  <c r="AJ95" i="72"/>
  <c r="AK95" i="72"/>
  <c r="AL95" i="72"/>
  <c r="X96" i="72"/>
  <c r="Y96" i="72"/>
  <c r="Z96" i="72"/>
  <c r="AA96" i="72"/>
  <c r="AB96" i="72"/>
  <c r="AC96" i="72"/>
  <c r="AD96" i="72"/>
  <c r="AE96" i="72"/>
  <c r="AF96" i="72"/>
  <c r="AG96" i="72"/>
  <c r="AH96" i="72"/>
  <c r="AI96" i="72"/>
  <c r="AJ96" i="72"/>
  <c r="AK96" i="72"/>
  <c r="AL96" i="72"/>
  <c r="X97" i="72"/>
  <c r="Y97" i="72"/>
  <c r="Z97" i="72"/>
  <c r="AA97" i="72"/>
  <c r="AB97" i="72"/>
  <c r="AC97" i="72"/>
  <c r="AD97" i="72"/>
  <c r="AE97" i="72"/>
  <c r="AF97" i="72"/>
  <c r="AG97" i="72"/>
  <c r="AH97" i="72"/>
  <c r="AI97" i="72"/>
  <c r="AJ97" i="72"/>
  <c r="AK97" i="72"/>
  <c r="AL97" i="72"/>
  <c r="X98" i="72"/>
  <c r="Y98" i="72"/>
  <c r="Z98" i="72"/>
  <c r="AA98" i="72"/>
  <c r="AB98" i="72"/>
  <c r="AC98" i="72"/>
  <c r="AD98" i="72"/>
  <c r="AE98" i="72"/>
  <c r="AF98" i="72"/>
  <c r="AG98" i="72"/>
  <c r="AH98" i="72"/>
  <c r="AI98" i="72"/>
  <c r="AJ98" i="72"/>
  <c r="AK98" i="72"/>
  <c r="AL98" i="72"/>
  <c r="X99" i="72"/>
  <c r="Y99" i="72"/>
  <c r="Z99" i="72"/>
  <c r="AA99" i="72"/>
  <c r="AB99" i="72"/>
  <c r="AC99" i="72"/>
  <c r="AD99" i="72"/>
  <c r="AE99" i="72"/>
  <c r="AF99" i="72"/>
  <c r="AG99" i="72"/>
  <c r="AH99" i="72"/>
  <c r="AI99" i="72"/>
  <c r="AJ99" i="72"/>
  <c r="AK99" i="72"/>
  <c r="AL99" i="72"/>
  <c r="X100" i="72"/>
  <c r="Y100" i="72"/>
  <c r="Z100" i="72"/>
  <c r="AA100" i="72"/>
  <c r="AB100" i="72"/>
  <c r="AC100" i="72"/>
  <c r="AD100" i="72"/>
  <c r="AE100" i="72"/>
  <c r="AF100" i="72"/>
  <c r="AG100" i="72"/>
  <c r="AH100" i="72"/>
  <c r="AI100" i="72"/>
  <c r="AJ100" i="72"/>
  <c r="AK100" i="72"/>
  <c r="AL100" i="72"/>
  <c r="X101" i="72"/>
  <c r="Y101" i="72"/>
  <c r="Z101" i="72"/>
  <c r="AA101" i="72"/>
  <c r="AB101" i="72"/>
  <c r="AC101" i="72"/>
  <c r="AD101" i="72"/>
  <c r="AE101" i="72"/>
  <c r="AF101" i="72"/>
  <c r="AG101" i="72"/>
  <c r="AH101" i="72"/>
  <c r="AI101" i="72"/>
  <c r="AJ101" i="72"/>
  <c r="AK101" i="72"/>
  <c r="AL101" i="72"/>
  <c r="X102" i="72"/>
  <c r="Y102" i="72"/>
  <c r="Z102" i="72"/>
  <c r="AA102" i="72"/>
  <c r="AB102" i="72"/>
  <c r="AC102" i="72"/>
  <c r="AD102" i="72"/>
  <c r="AE102" i="72"/>
  <c r="AF102" i="72"/>
  <c r="AG102" i="72"/>
  <c r="AH102" i="72"/>
  <c r="AI102" i="72"/>
  <c r="AJ102" i="72"/>
  <c r="AK102" i="72"/>
  <c r="AL102" i="72"/>
  <c r="X103" i="72"/>
  <c r="Y103" i="72"/>
  <c r="Z103" i="72"/>
  <c r="AA103" i="72"/>
  <c r="AB103" i="72"/>
  <c r="AC103" i="72"/>
  <c r="AD103" i="72"/>
  <c r="AE103" i="72"/>
  <c r="AF103" i="72"/>
  <c r="AG103" i="72"/>
  <c r="AH103" i="72"/>
  <c r="AI103" i="72"/>
  <c r="AJ103" i="72"/>
  <c r="AK103" i="72"/>
  <c r="AL103" i="72"/>
  <c r="X104" i="72"/>
  <c r="Y104" i="72"/>
  <c r="Z104" i="72"/>
  <c r="AA104" i="72"/>
  <c r="AB104" i="72"/>
  <c r="AC104" i="72"/>
  <c r="AD104" i="72"/>
  <c r="AE104" i="72"/>
  <c r="AF104" i="72"/>
  <c r="AG104" i="72"/>
  <c r="AH104" i="72"/>
  <c r="AI104" i="72"/>
  <c r="AJ104" i="72"/>
  <c r="AK104" i="72"/>
  <c r="AL104" i="72"/>
  <c r="X106" i="72"/>
  <c r="Y106" i="72"/>
  <c r="Z106" i="72"/>
  <c r="AA106" i="72"/>
  <c r="AB106" i="72"/>
  <c r="AC106" i="72"/>
  <c r="AD106" i="72"/>
  <c r="AE106" i="72"/>
  <c r="AF106" i="72"/>
  <c r="AG106" i="72"/>
  <c r="AH106" i="72"/>
  <c r="AI106" i="72"/>
  <c r="AJ106" i="72"/>
  <c r="AK106" i="72"/>
  <c r="AL106" i="72"/>
  <c r="X107" i="72"/>
  <c r="Y107" i="72"/>
  <c r="Z107" i="72"/>
  <c r="AA107" i="72"/>
  <c r="AB107" i="72"/>
  <c r="AC107" i="72"/>
  <c r="AD107" i="72"/>
  <c r="AE107" i="72"/>
  <c r="AF107" i="72"/>
  <c r="AG107" i="72"/>
  <c r="AH107" i="72"/>
  <c r="AI107" i="72"/>
  <c r="AJ107" i="72"/>
  <c r="AK107" i="72"/>
  <c r="AL107" i="72"/>
  <c r="X108" i="72"/>
  <c r="Y108" i="72"/>
  <c r="Z108" i="72"/>
  <c r="AA108" i="72"/>
  <c r="AB108" i="72"/>
  <c r="AC108" i="72"/>
  <c r="AD108" i="72"/>
  <c r="AE108" i="72"/>
  <c r="AF108" i="72"/>
  <c r="AG108" i="72"/>
  <c r="AH108" i="72"/>
  <c r="AI108" i="72"/>
  <c r="AJ108" i="72"/>
  <c r="AK108" i="72"/>
  <c r="AL108" i="72"/>
  <c r="X109" i="72"/>
  <c r="Y109" i="72"/>
  <c r="Z109" i="72"/>
  <c r="AA109" i="72"/>
  <c r="AB109" i="72"/>
  <c r="AC109" i="72"/>
  <c r="AD109" i="72"/>
  <c r="AE109" i="72"/>
  <c r="AF109" i="72"/>
  <c r="AG109" i="72"/>
  <c r="AH109" i="72"/>
  <c r="AI109" i="72"/>
  <c r="AJ109" i="72"/>
  <c r="AK109" i="72"/>
  <c r="AL109" i="72"/>
  <c r="X110" i="72"/>
  <c r="Y110" i="72"/>
  <c r="Z110" i="72"/>
  <c r="AA110" i="72"/>
  <c r="AB110" i="72"/>
  <c r="AC110" i="72"/>
  <c r="AD110" i="72"/>
  <c r="AE110" i="72"/>
  <c r="AF110" i="72"/>
  <c r="AG110" i="72"/>
  <c r="AH110" i="72"/>
  <c r="AI110" i="72"/>
  <c r="AJ110" i="72"/>
  <c r="AK110" i="72"/>
  <c r="AL110" i="72"/>
  <c r="X111" i="72"/>
  <c r="Y111" i="72"/>
  <c r="Z111" i="72"/>
  <c r="AA111" i="72"/>
  <c r="AB111" i="72"/>
  <c r="AC111" i="72"/>
  <c r="AD111" i="72"/>
  <c r="AE111" i="72"/>
  <c r="AF111" i="72"/>
  <c r="AG111" i="72"/>
  <c r="AH111" i="72"/>
  <c r="AI111" i="72"/>
  <c r="AJ111" i="72"/>
  <c r="AK111" i="72"/>
  <c r="AL111" i="72"/>
  <c r="X112" i="72"/>
  <c r="Y112" i="72"/>
  <c r="Z112" i="72"/>
  <c r="AA112" i="72"/>
  <c r="AB112" i="72"/>
  <c r="AC112" i="72"/>
  <c r="AD112" i="72"/>
  <c r="AE112" i="72"/>
  <c r="AF112" i="72"/>
  <c r="AG112" i="72"/>
  <c r="AH112" i="72"/>
  <c r="AI112" i="72"/>
  <c r="AJ112" i="72"/>
  <c r="AK112" i="72"/>
  <c r="AL112" i="72"/>
  <c r="X113" i="72"/>
  <c r="Y113" i="72"/>
  <c r="Z113" i="72"/>
  <c r="AA113" i="72"/>
  <c r="AB113" i="72"/>
  <c r="AC113" i="72"/>
  <c r="AD113" i="72"/>
  <c r="AE113" i="72"/>
  <c r="AF113" i="72"/>
  <c r="AG113" i="72"/>
  <c r="AH113" i="72"/>
  <c r="AI113" i="72"/>
  <c r="AJ113" i="72"/>
  <c r="AK113" i="72"/>
  <c r="AL113" i="72"/>
  <c r="X114" i="72"/>
  <c r="Y114" i="72"/>
  <c r="Z114" i="72"/>
  <c r="AA114" i="72"/>
  <c r="AB114" i="72"/>
  <c r="AC114" i="72"/>
  <c r="AD114" i="72"/>
  <c r="AE114" i="72"/>
  <c r="AF114" i="72"/>
  <c r="AG114" i="72"/>
  <c r="AH114" i="72"/>
  <c r="AI114" i="72"/>
  <c r="AJ114" i="72"/>
  <c r="AK114" i="72"/>
  <c r="AL114" i="72"/>
  <c r="X115" i="72"/>
  <c r="Y115" i="72"/>
  <c r="Z115" i="72"/>
  <c r="AA115" i="72"/>
  <c r="AB115" i="72"/>
  <c r="AC115" i="72"/>
  <c r="AD115" i="72"/>
  <c r="AE115" i="72"/>
  <c r="AF115" i="72"/>
  <c r="AG115" i="72"/>
  <c r="AH115" i="72"/>
  <c r="AI115" i="72"/>
  <c r="AJ115" i="72"/>
  <c r="AK115" i="72"/>
  <c r="AL115" i="72"/>
  <c r="X116" i="72"/>
  <c r="Y116" i="72"/>
  <c r="Z116" i="72"/>
  <c r="AA116" i="72"/>
  <c r="AB116" i="72"/>
  <c r="AC116" i="72"/>
  <c r="AD116" i="72"/>
  <c r="AE116" i="72"/>
  <c r="AF116" i="72"/>
  <c r="AG116" i="72"/>
  <c r="AH116" i="72"/>
  <c r="AI116" i="72"/>
  <c r="AJ116" i="72"/>
  <c r="AK116" i="72"/>
  <c r="AL116" i="72"/>
  <c r="X117" i="72"/>
  <c r="Y117" i="72"/>
  <c r="Z117" i="72"/>
  <c r="AA117" i="72"/>
  <c r="AB117" i="72"/>
  <c r="AC117" i="72"/>
  <c r="AD117" i="72"/>
  <c r="AE117" i="72"/>
  <c r="AF117" i="72"/>
  <c r="AG117" i="72"/>
  <c r="AH117" i="72"/>
  <c r="AI117" i="72"/>
  <c r="AJ117" i="72"/>
  <c r="AK117" i="72"/>
  <c r="AL117" i="72"/>
  <c r="X118" i="72"/>
  <c r="Y118" i="72"/>
  <c r="Z118" i="72"/>
  <c r="AA118" i="72"/>
  <c r="AB118" i="72"/>
  <c r="AC118" i="72"/>
  <c r="AD118" i="72"/>
  <c r="AE118" i="72"/>
  <c r="AF118" i="72"/>
  <c r="AG118" i="72"/>
  <c r="AH118" i="72"/>
  <c r="AI118" i="72"/>
  <c r="AJ118" i="72"/>
  <c r="AK118" i="72"/>
  <c r="AL118" i="72"/>
  <c r="X119" i="72"/>
  <c r="Y119" i="72"/>
  <c r="Z119" i="72"/>
  <c r="AA119" i="72"/>
  <c r="AB119" i="72"/>
  <c r="AC119" i="72"/>
  <c r="AD119" i="72"/>
  <c r="AE119" i="72"/>
  <c r="AF119" i="72"/>
  <c r="AG119" i="72"/>
  <c r="AH119" i="72"/>
  <c r="AI119" i="72"/>
  <c r="AJ119" i="72"/>
  <c r="AK119" i="72"/>
  <c r="AL119" i="72"/>
  <c r="X120" i="72"/>
  <c r="Y120" i="72"/>
  <c r="Z120" i="72"/>
  <c r="AA120" i="72"/>
  <c r="AB120" i="72"/>
  <c r="AC120" i="72"/>
  <c r="AD120" i="72"/>
  <c r="AE120" i="72"/>
  <c r="AF120" i="72"/>
  <c r="AG120" i="72"/>
  <c r="AH120" i="72"/>
  <c r="AI120" i="72"/>
  <c r="AJ120" i="72"/>
  <c r="AK120" i="72"/>
  <c r="AL120" i="72"/>
  <c r="X121" i="72"/>
  <c r="Y121" i="72"/>
  <c r="Z121" i="72"/>
  <c r="AA121" i="72"/>
  <c r="AB121" i="72"/>
  <c r="AC121" i="72"/>
  <c r="AD121" i="72"/>
  <c r="AE121" i="72"/>
  <c r="AF121" i="72"/>
  <c r="AG121" i="72"/>
  <c r="AH121" i="72"/>
  <c r="AI121" i="72"/>
  <c r="AJ121" i="72"/>
  <c r="AK121" i="72"/>
  <c r="AL121" i="72"/>
  <c r="X122" i="72"/>
  <c r="Y122" i="72"/>
  <c r="Z122" i="72"/>
  <c r="AA122" i="72"/>
  <c r="AB122" i="72"/>
  <c r="AC122" i="72"/>
  <c r="AD122" i="72"/>
  <c r="AE122" i="72"/>
  <c r="AF122" i="72"/>
  <c r="AG122" i="72"/>
  <c r="AH122" i="72"/>
  <c r="AI122" i="72"/>
  <c r="AJ122" i="72"/>
  <c r="AK122" i="72"/>
  <c r="AL122" i="72"/>
  <c r="X123" i="72"/>
  <c r="Y123" i="72"/>
  <c r="Z123" i="72"/>
  <c r="AA123" i="72"/>
  <c r="AB123" i="72"/>
  <c r="AC123" i="72"/>
  <c r="AD123" i="72"/>
  <c r="AE123" i="72"/>
  <c r="AF123" i="72"/>
  <c r="AG123" i="72"/>
  <c r="AH123" i="72"/>
  <c r="AI123" i="72"/>
  <c r="AJ123" i="72"/>
  <c r="AK123" i="72"/>
  <c r="AL123" i="72"/>
  <c r="X124" i="72"/>
  <c r="Y124" i="72"/>
  <c r="Z124" i="72"/>
  <c r="AA124" i="72"/>
  <c r="AB124" i="72"/>
  <c r="AC124" i="72"/>
  <c r="AD124" i="72"/>
  <c r="AE124" i="72"/>
  <c r="AF124" i="72"/>
  <c r="AG124" i="72"/>
  <c r="AH124" i="72"/>
  <c r="AI124" i="72"/>
  <c r="AJ124" i="72"/>
  <c r="AK124" i="72"/>
  <c r="AL124" i="72"/>
  <c r="X125" i="72"/>
  <c r="Y125" i="72"/>
  <c r="Z125" i="72"/>
  <c r="AA125" i="72"/>
  <c r="AB125" i="72"/>
  <c r="AC125" i="72"/>
  <c r="AD125" i="72"/>
  <c r="AE125" i="72"/>
  <c r="AF125" i="72"/>
  <c r="AG125" i="72"/>
  <c r="AH125" i="72"/>
  <c r="AI125" i="72"/>
  <c r="AJ125" i="72"/>
  <c r="AK125" i="72"/>
  <c r="AL125" i="72"/>
  <c r="X126" i="72"/>
  <c r="Y126" i="72"/>
  <c r="Z126" i="72"/>
  <c r="AA126" i="72"/>
  <c r="AB126" i="72"/>
  <c r="AC126" i="72"/>
  <c r="AD126" i="72"/>
  <c r="AE126" i="72"/>
  <c r="AF126" i="72"/>
  <c r="AG126" i="72"/>
  <c r="AH126" i="72"/>
  <c r="AI126" i="72"/>
  <c r="AJ126" i="72"/>
  <c r="AK126" i="72"/>
  <c r="AL126" i="72"/>
  <c r="X127" i="72"/>
  <c r="Y127" i="72"/>
  <c r="Z127" i="72"/>
  <c r="AA127" i="72"/>
  <c r="AB127" i="72"/>
  <c r="AC127" i="72"/>
  <c r="AD127" i="72"/>
  <c r="AE127" i="72"/>
  <c r="AF127" i="72"/>
  <c r="AG127" i="72"/>
  <c r="AH127" i="72"/>
  <c r="AI127" i="72"/>
  <c r="AJ127" i="72"/>
  <c r="AK127" i="72"/>
  <c r="AL127" i="72"/>
  <c r="X128" i="72"/>
  <c r="Y128" i="72"/>
  <c r="Z128" i="72"/>
  <c r="AA128" i="72"/>
  <c r="AB128" i="72"/>
  <c r="AC128" i="72"/>
  <c r="AD128" i="72"/>
  <c r="AE128" i="72"/>
  <c r="AF128" i="72"/>
  <c r="AG128" i="72"/>
  <c r="AH128" i="72"/>
  <c r="AI128" i="72"/>
  <c r="AJ128" i="72"/>
  <c r="AK128" i="72"/>
  <c r="AL128" i="72"/>
  <c r="X129" i="72"/>
  <c r="Y129" i="72"/>
  <c r="Z129" i="72"/>
  <c r="AA129" i="72"/>
  <c r="AB129" i="72"/>
  <c r="AC129" i="72"/>
  <c r="AD129" i="72"/>
  <c r="AE129" i="72"/>
  <c r="AF129" i="72"/>
  <c r="AG129" i="72"/>
  <c r="AH129" i="72"/>
  <c r="AI129" i="72"/>
  <c r="AJ129" i="72"/>
  <c r="AK129" i="72"/>
  <c r="AL129" i="72"/>
  <c r="X130" i="72"/>
  <c r="Y130" i="72"/>
  <c r="Z130" i="72"/>
  <c r="AA130" i="72"/>
  <c r="AB130" i="72"/>
  <c r="AC130" i="72"/>
  <c r="AD130" i="72"/>
  <c r="AE130" i="72"/>
  <c r="AF130" i="72"/>
  <c r="AG130" i="72"/>
  <c r="AH130" i="72"/>
  <c r="AI130" i="72"/>
  <c r="AJ130" i="72"/>
  <c r="AK130" i="72"/>
  <c r="AL130" i="72"/>
  <c r="X131" i="72"/>
  <c r="Y131" i="72"/>
  <c r="Z131" i="72"/>
  <c r="AA131" i="72"/>
  <c r="AB131" i="72"/>
  <c r="AC131" i="72"/>
  <c r="AD131" i="72"/>
  <c r="AE131" i="72"/>
  <c r="AF131" i="72"/>
  <c r="AG131" i="72"/>
  <c r="AH131" i="72"/>
  <c r="AI131" i="72"/>
  <c r="AJ131" i="72"/>
  <c r="AK131" i="72"/>
  <c r="AL131" i="72"/>
  <c r="X132" i="72"/>
  <c r="Y132" i="72"/>
  <c r="Z132" i="72"/>
  <c r="AA132" i="72"/>
  <c r="AB132" i="72"/>
  <c r="AC132" i="72"/>
  <c r="AD132" i="72"/>
  <c r="AE132" i="72"/>
  <c r="AF132" i="72"/>
  <c r="AG132" i="72"/>
  <c r="AH132" i="72"/>
  <c r="AI132" i="72"/>
  <c r="AJ132" i="72"/>
  <c r="AK132" i="72"/>
  <c r="AL132" i="72"/>
  <c r="X133" i="72"/>
  <c r="Y133" i="72"/>
  <c r="Z133" i="72"/>
  <c r="AA133" i="72"/>
  <c r="AB133" i="72"/>
  <c r="AC133" i="72"/>
  <c r="AD133" i="72"/>
  <c r="AE133" i="72"/>
  <c r="AF133" i="72"/>
  <c r="AG133" i="72"/>
  <c r="AH133" i="72"/>
  <c r="AI133" i="72"/>
  <c r="AJ133" i="72"/>
  <c r="AK133" i="72"/>
  <c r="AL133" i="72"/>
  <c r="X134" i="72"/>
  <c r="Y134" i="72"/>
  <c r="Z134" i="72"/>
  <c r="AA134" i="72"/>
  <c r="AB134" i="72"/>
  <c r="AC134" i="72"/>
  <c r="AD134" i="72"/>
  <c r="AE134" i="72"/>
  <c r="AF134" i="72"/>
  <c r="AG134" i="72"/>
  <c r="AH134" i="72"/>
  <c r="AI134" i="72"/>
  <c r="AJ134" i="72"/>
  <c r="AK134" i="72"/>
  <c r="AL134" i="72"/>
  <c r="X135" i="72"/>
  <c r="Y135" i="72"/>
  <c r="Z135" i="72"/>
  <c r="AA135" i="72"/>
  <c r="AB135" i="72"/>
  <c r="AC135" i="72"/>
  <c r="AD135" i="72"/>
  <c r="AE135" i="72"/>
  <c r="AF135" i="72"/>
  <c r="AG135" i="72"/>
  <c r="AH135" i="72"/>
  <c r="AI135" i="72"/>
  <c r="AJ135" i="72"/>
  <c r="AK135" i="72"/>
  <c r="AL135" i="72"/>
  <c r="X136" i="72"/>
  <c r="Y136" i="72"/>
  <c r="Z136" i="72"/>
  <c r="AA136" i="72"/>
  <c r="AB136" i="72"/>
  <c r="AC136" i="72"/>
  <c r="AD136" i="72"/>
  <c r="AE136" i="72"/>
  <c r="AF136" i="72"/>
  <c r="AG136" i="72"/>
  <c r="AH136" i="72"/>
  <c r="AI136" i="72"/>
  <c r="AJ136" i="72"/>
  <c r="AK136" i="72"/>
  <c r="AL136" i="72"/>
  <c r="X137" i="72"/>
  <c r="Y137" i="72"/>
  <c r="Z137" i="72"/>
  <c r="AA137" i="72"/>
  <c r="AB137" i="72"/>
  <c r="AC137" i="72"/>
  <c r="AD137" i="72"/>
  <c r="AE137" i="72"/>
  <c r="AF137" i="72"/>
  <c r="AG137" i="72"/>
  <c r="AH137" i="72"/>
  <c r="AI137" i="72"/>
  <c r="AJ137" i="72"/>
  <c r="AK137" i="72"/>
  <c r="AL137" i="72"/>
  <c r="X138" i="72"/>
  <c r="Y138" i="72"/>
  <c r="Z138" i="72"/>
  <c r="AA138" i="72"/>
  <c r="AB138" i="72"/>
  <c r="AC138" i="72"/>
  <c r="AD138" i="72"/>
  <c r="AE138" i="72"/>
  <c r="AF138" i="72"/>
  <c r="AG138" i="72"/>
  <c r="AH138" i="72"/>
  <c r="AI138" i="72"/>
  <c r="AJ138" i="72"/>
  <c r="AK138" i="72"/>
  <c r="AL138" i="72"/>
  <c r="X139" i="72"/>
  <c r="Y139" i="72"/>
  <c r="Z139" i="72"/>
  <c r="AA139" i="72"/>
  <c r="AB139" i="72"/>
  <c r="AC139" i="72"/>
  <c r="AD139" i="72"/>
  <c r="AE139" i="72"/>
  <c r="AF139" i="72"/>
  <c r="AG139" i="72"/>
  <c r="AH139" i="72"/>
  <c r="AI139" i="72"/>
  <c r="AJ139" i="72"/>
  <c r="AK139" i="72"/>
  <c r="AL139" i="72"/>
  <c r="X140" i="72"/>
  <c r="Y140" i="72"/>
  <c r="Z140" i="72"/>
  <c r="AA140" i="72"/>
  <c r="AB140" i="72"/>
  <c r="AC140" i="72"/>
  <c r="AD140" i="72"/>
  <c r="AE140" i="72"/>
  <c r="AF140" i="72"/>
  <c r="AG140" i="72"/>
  <c r="AH140" i="72"/>
  <c r="AI140" i="72"/>
  <c r="AJ140" i="72"/>
  <c r="AK140" i="72"/>
  <c r="AL140" i="72"/>
  <c r="X141" i="72"/>
  <c r="Y141" i="72"/>
  <c r="Z141" i="72"/>
  <c r="AA141" i="72"/>
  <c r="AB141" i="72"/>
  <c r="AC141" i="72"/>
  <c r="AD141" i="72"/>
  <c r="AE141" i="72"/>
  <c r="AF141" i="72"/>
  <c r="AG141" i="72"/>
  <c r="AH141" i="72"/>
  <c r="AI141" i="72"/>
  <c r="AJ141" i="72"/>
  <c r="AK141" i="72"/>
  <c r="AL141" i="72"/>
  <c r="X142" i="72"/>
  <c r="Y142" i="72"/>
  <c r="Z142" i="72"/>
  <c r="AA142" i="72"/>
  <c r="AB142" i="72"/>
  <c r="AC142" i="72"/>
  <c r="AD142" i="72"/>
  <c r="AE142" i="72"/>
  <c r="AF142" i="72"/>
  <c r="AG142" i="72"/>
  <c r="AH142" i="72"/>
  <c r="AI142" i="72"/>
  <c r="AJ142" i="72"/>
  <c r="AK142" i="72"/>
  <c r="AL142" i="72"/>
  <c r="X143" i="72"/>
  <c r="Y143" i="72"/>
  <c r="Z143" i="72"/>
  <c r="AA143" i="72"/>
  <c r="AB143" i="72"/>
  <c r="AC143" i="72"/>
  <c r="AD143" i="72"/>
  <c r="AE143" i="72"/>
  <c r="AF143" i="72"/>
  <c r="AG143" i="72"/>
  <c r="AH143" i="72"/>
  <c r="AI143" i="72"/>
  <c r="AJ143" i="72"/>
  <c r="AK143" i="72"/>
  <c r="AL143" i="72"/>
  <c r="X144" i="72"/>
  <c r="Y144" i="72"/>
  <c r="Z144" i="72"/>
  <c r="AA144" i="72"/>
  <c r="AB144" i="72"/>
  <c r="AC144" i="72"/>
  <c r="AD144" i="72"/>
  <c r="AE144" i="72"/>
  <c r="AF144" i="72"/>
  <c r="AG144" i="72"/>
  <c r="AH144" i="72"/>
  <c r="AI144" i="72"/>
  <c r="AJ144" i="72"/>
  <c r="AK144" i="72"/>
  <c r="AL144" i="72"/>
  <c r="X145" i="72"/>
  <c r="Y145" i="72"/>
  <c r="Z145" i="72"/>
  <c r="AA145" i="72"/>
  <c r="AB145" i="72"/>
  <c r="AC145" i="72"/>
  <c r="AD145" i="72"/>
  <c r="AE145" i="72"/>
  <c r="AF145" i="72"/>
  <c r="AG145" i="72"/>
  <c r="AH145" i="72"/>
  <c r="AI145" i="72"/>
  <c r="AJ145" i="72"/>
  <c r="AK145" i="72"/>
  <c r="AL145" i="72"/>
  <c r="X146" i="72"/>
  <c r="Y146" i="72"/>
  <c r="Z146" i="72"/>
  <c r="AA146" i="72"/>
  <c r="AB146" i="72"/>
  <c r="AC146" i="72"/>
  <c r="AD146" i="72"/>
  <c r="AE146" i="72"/>
  <c r="AF146" i="72"/>
  <c r="AG146" i="72"/>
  <c r="AH146" i="72"/>
  <c r="AI146" i="72"/>
  <c r="AJ146" i="72"/>
  <c r="AK146" i="72"/>
  <c r="AL146" i="72"/>
  <c r="X147" i="72"/>
  <c r="Y147" i="72"/>
  <c r="Z147" i="72"/>
  <c r="AA147" i="72"/>
  <c r="AB147" i="72"/>
  <c r="AC147" i="72"/>
  <c r="AD147" i="72"/>
  <c r="AE147" i="72"/>
  <c r="AF147" i="72"/>
  <c r="AG147" i="72"/>
  <c r="AH147" i="72"/>
  <c r="AI147" i="72"/>
  <c r="AJ147" i="72"/>
  <c r="AK147" i="72"/>
  <c r="AL147" i="72"/>
  <c r="X148" i="72"/>
  <c r="Y148" i="72"/>
  <c r="Z148" i="72"/>
  <c r="AA148" i="72"/>
  <c r="AB148" i="72"/>
  <c r="AC148" i="72"/>
  <c r="AD148" i="72"/>
  <c r="AE148" i="72"/>
  <c r="AF148" i="72"/>
  <c r="AG148" i="72"/>
  <c r="AH148" i="72"/>
  <c r="AI148" i="72"/>
  <c r="AJ148" i="72"/>
  <c r="AK148" i="72"/>
  <c r="AL148" i="72"/>
  <c r="X149" i="72"/>
  <c r="Y149" i="72"/>
  <c r="Z149" i="72"/>
  <c r="AA149" i="72"/>
  <c r="AB149" i="72"/>
  <c r="AC149" i="72"/>
  <c r="AD149" i="72"/>
  <c r="AE149" i="72"/>
  <c r="AF149" i="72"/>
  <c r="AG149" i="72"/>
  <c r="AH149" i="72"/>
  <c r="AI149" i="72"/>
  <c r="AJ149" i="72"/>
  <c r="AK149" i="72"/>
  <c r="AL149" i="72"/>
  <c r="X150" i="72"/>
  <c r="Y150" i="72"/>
  <c r="Z150" i="72"/>
  <c r="AA150" i="72"/>
  <c r="AB150" i="72"/>
  <c r="AC150" i="72"/>
  <c r="AD150" i="72"/>
  <c r="AE150" i="72"/>
  <c r="AF150" i="72"/>
  <c r="AG150" i="72"/>
  <c r="AH150" i="72"/>
  <c r="AI150" i="72"/>
  <c r="AJ150" i="72"/>
  <c r="AK150" i="72"/>
  <c r="AL150" i="72"/>
  <c r="X151" i="72"/>
  <c r="Y151" i="72"/>
  <c r="Z151" i="72"/>
  <c r="AA151" i="72"/>
  <c r="AB151" i="72"/>
  <c r="AC151" i="72"/>
  <c r="AD151" i="72"/>
  <c r="AE151" i="72"/>
  <c r="AF151" i="72"/>
  <c r="AG151" i="72"/>
  <c r="AH151" i="72"/>
  <c r="AI151" i="72"/>
  <c r="AJ151" i="72"/>
  <c r="AK151" i="72"/>
  <c r="AL151" i="72"/>
  <c r="X152" i="72"/>
  <c r="Y152" i="72"/>
  <c r="Z152" i="72"/>
  <c r="AA152" i="72"/>
  <c r="AB152" i="72"/>
  <c r="AC152" i="72"/>
  <c r="AD152" i="72"/>
  <c r="AE152" i="72"/>
  <c r="AF152" i="72"/>
  <c r="AG152" i="72"/>
  <c r="AH152" i="72"/>
  <c r="AI152" i="72"/>
  <c r="AJ152" i="72"/>
  <c r="AK152" i="72"/>
  <c r="AL152" i="72"/>
  <c r="X153" i="72"/>
  <c r="Y153" i="72"/>
  <c r="Z153" i="72"/>
  <c r="AA153" i="72"/>
  <c r="AB153" i="72"/>
  <c r="AC153" i="72"/>
  <c r="AD153" i="72"/>
  <c r="AE153" i="72"/>
  <c r="AF153" i="72"/>
  <c r="AG153" i="72"/>
  <c r="AH153" i="72"/>
  <c r="AI153" i="72"/>
  <c r="AJ153" i="72"/>
  <c r="AK153" i="72"/>
  <c r="AL153" i="72"/>
  <c r="X154" i="72"/>
  <c r="Y154" i="72"/>
  <c r="Z154" i="72"/>
  <c r="AA154" i="72"/>
  <c r="AB154" i="72"/>
  <c r="AC154" i="72"/>
  <c r="AD154" i="72"/>
  <c r="AE154" i="72"/>
  <c r="AF154" i="72"/>
  <c r="AG154" i="72"/>
  <c r="AH154" i="72"/>
  <c r="AI154" i="72"/>
  <c r="AJ154" i="72"/>
  <c r="AK154" i="72"/>
  <c r="AL154" i="72"/>
  <c r="X155" i="72"/>
  <c r="Y155" i="72"/>
  <c r="Z155" i="72"/>
  <c r="AA155" i="72"/>
  <c r="AB155" i="72"/>
  <c r="AC155" i="72"/>
  <c r="AD155" i="72"/>
  <c r="AE155" i="72"/>
  <c r="AF155" i="72"/>
  <c r="AG155" i="72"/>
  <c r="AH155" i="72"/>
  <c r="AI155" i="72"/>
  <c r="AJ155" i="72"/>
  <c r="AK155" i="72"/>
  <c r="AL155" i="72"/>
  <c r="X156" i="72"/>
  <c r="Y156" i="72"/>
  <c r="Z156" i="72"/>
  <c r="AA156" i="72"/>
  <c r="AB156" i="72"/>
  <c r="AC156" i="72"/>
  <c r="AD156" i="72"/>
  <c r="AE156" i="72"/>
  <c r="AF156" i="72"/>
  <c r="AG156" i="72"/>
  <c r="AH156" i="72"/>
  <c r="AI156" i="72"/>
  <c r="AJ156" i="72"/>
  <c r="AK156" i="72"/>
  <c r="AL156" i="72"/>
  <c r="X157" i="72"/>
  <c r="Y157" i="72"/>
  <c r="Z157" i="72"/>
  <c r="AA157" i="72"/>
  <c r="AB157" i="72"/>
  <c r="AC157" i="72"/>
  <c r="AD157" i="72"/>
  <c r="AE157" i="72"/>
  <c r="AF157" i="72"/>
  <c r="AG157" i="72"/>
  <c r="AH157" i="72"/>
  <c r="AI157" i="72"/>
  <c r="AJ157" i="72"/>
  <c r="AK157" i="72"/>
  <c r="AL157" i="72"/>
  <c r="X158" i="72"/>
  <c r="Y158" i="72"/>
  <c r="Z158" i="72"/>
  <c r="AA158" i="72"/>
  <c r="AB158" i="72"/>
  <c r="AC158" i="72"/>
  <c r="AD158" i="72"/>
  <c r="AE158" i="72"/>
  <c r="AF158" i="72"/>
  <c r="AG158" i="72"/>
  <c r="AH158" i="72"/>
  <c r="AI158" i="72"/>
  <c r="AJ158" i="72"/>
  <c r="AK158" i="72"/>
  <c r="AL158" i="72"/>
  <c r="X159" i="72"/>
  <c r="Y159" i="72"/>
  <c r="Z159" i="72"/>
  <c r="AA159" i="72"/>
  <c r="AB159" i="72"/>
  <c r="AC159" i="72"/>
  <c r="AD159" i="72"/>
  <c r="AE159" i="72"/>
  <c r="AF159" i="72"/>
  <c r="AG159" i="72"/>
  <c r="AH159" i="72"/>
  <c r="AI159" i="72"/>
  <c r="AJ159" i="72"/>
  <c r="AK159" i="72"/>
  <c r="AL159" i="72"/>
  <c r="X160" i="72"/>
  <c r="Y160" i="72"/>
  <c r="Z160" i="72"/>
  <c r="AA160" i="72"/>
  <c r="AB160" i="72"/>
  <c r="AC160" i="72"/>
  <c r="AD160" i="72"/>
  <c r="AE160" i="72"/>
  <c r="AF160" i="72"/>
  <c r="AG160" i="72"/>
  <c r="AH160" i="72"/>
  <c r="AI160" i="72"/>
  <c r="AJ160" i="72"/>
  <c r="AK160" i="72"/>
  <c r="AL160" i="72"/>
  <c r="X161" i="72"/>
  <c r="Y161" i="72"/>
  <c r="Z161" i="72"/>
  <c r="AA161" i="72"/>
  <c r="AB161" i="72"/>
  <c r="AC161" i="72"/>
  <c r="AD161" i="72"/>
  <c r="AE161" i="72"/>
  <c r="AF161" i="72"/>
  <c r="AG161" i="72"/>
  <c r="AH161" i="72"/>
  <c r="AI161" i="72"/>
  <c r="AJ161" i="72"/>
  <c r="AK161" i="72"/>
  <c r="AL161" i="72"/>
  <c r="X162" i="72"/>
  <c r="Y162" i="72"/>
  <c r="Z162" i="72"/>
  <c r="AA162" i="72"/>
  <c r="AB162" i="72"/>
  <c r="AC162" i="72"/>
  <c r="AD162" i="72"/>
  <c r="AE162" i="72"/>
  <c r="AF162" i="72"/>
  <c r="AG162" i="72"/>
  <c r="AH162" i="72"/>
  <c r="AI162" i="72"/>
  <c r="AJ162" i="72"/>
  <c r="AK162" i="72"/>
  <c r="AL162" i="72"/>
  <c r="X163" i="72"/>
  <c r="Y163" i="72"/>
  <c r="Z163" i="72"/>
  <c r="AA163" i="72"/>
  <c r="AB163" i="72"/>
  <c r="AC163" i="72"/>
  <c r="AD163" i="72"/>
  <c r="AE163" i="72"/>
  <c r="AF163" i="72"/>
  <c r="AG163" i="72"/>
  <c r="AH163" i="72"/>
  <c r="AI163" i="72"/>
  <c r="AJ163" i="72"/>
  <c r="AK163" i="72"/>
  <c r="AL163" i="72"/>
  <c r="X164" i="72"/>
  <c r="Y164" i="72"/>
  <c r="Z164" i="72"/>
  <c r="AA164" i="72"/>
  <c r="AB164" i="72"/>
  <c r="AC164" i="72"/>
  <c r="AD164" i="72"/>
  <c r="AE164" i="72"/>
  <c r="AF164" i="72"/>
  <c r="AG164" i="72"/>
  <c r="AH164" i="72"/>
  <c r="AI164" i="72"/>
  <c r="AJ164" i="72"/>
  <c r="AK164" i="72"/>
  <c r="AL164" i="72"/>
  <c r="X165" i="72"/>
  <c r="Y165" i="72"/>
  <c r="Z165" i="72"/>
  <c r="AA165" i="72"/>
  <c r="AB165" i="72"/>
  <c r="AC165" i="72"/>
  <c r="AD165" i="72"/>
  <c r="AE165" i="72"/>
  <c r="AF165" i="72"/>
  <c r="AG165" i="72"/>
  <c r="AH165" i="72"/>
  <c r="AI165" i="72"/>
  <c r="AJ165" i="72"/>
  <c r="AK165" i="72"/>
  <c r="AL165" i="72"/>
  <c r="X166" i="72"/>
  <c r="Y166" i="72"/>
  <c r="Z166" i="72"/>
  <c r="AA166" i="72"/>
  <c r="AB166" i="72"/>
  <c r="AC166" i="72"/>
  <c r="AD166" i="72"/>
  <c r="AE166" i="72"/>
  <c r="AF166" i="72"/>
  <c r="AG166" i="72"/>
  <c r="AH166" i="72"/>
  <c r="AI166" i="72"/>
  <c r="AJ166" i="72"/>
  <c r="AK166" i="72"/>
  <c r="AL166" i="72"/>
  <c r="X170" i="72"/>
  <c r="Y170" i="72"/>
  <c r="Z170" i="72"/>
  <c r="AA170" i="72"/>
  <c r="AB170" i="72"/>
  <c r="AC170" i="72"/>
  <c r="AD170" i="72"/>
  <c r="AE170" i="72"/>
  <c r="AF170" i="72"/>
  <c r="AG170" i="72"/>
  <c r="AH170" i="72"/>
  <c r="AI170" i="72"/>
  <c r="AJ170" i="72"/>
  <c r="AK170" i="72"/>
  <c r="AL170" i="72"/>
  <c r="X171" i="72"/>
  <c r="Y171" i="72"/>
  <c r="Z171" i="72"/>
  <c r="AA171" i="72"/>
  <c r="AB171" i="72"/>
  <c r="AC171" i="72"/>
  <c r="AD171" i="72"/>
  <c r="AE171" i="72"/>
  <c r="AF171" i="72"/>
  <c r="AG171" i="72"/>
  <c r="AH171" i="72"/>
  <c r="AI171" i="72"/>
  <c r="AJ171" i="72"/>
  <c r="AK171" i="72"/>
  <c r="AL171" i="72"/>
  <c r="X172" i="72"/>
  <c r="Y172" i="72"/>
  <c r="Z172" i="72"/>
  <c r="AA172" i="72"/>
  <c r="AB172" i="72"/>
  <c r="AC172" i="72"/>
  <c r="AD172" i="72"/>
  <c r="AE172" i="72"/>
  <c r="AF172" i="72"/>
  <c r="AG172" i="72"/>
  <c r="AH172" i="72"/>
  <c r="AI172" i="72"/>
  <c r="AJ172" i="72"/>
  <c r="AK172" i="72"/>
  <c r="AL172" i="72"/>
  <c r="X173" i="72"/>
  <c r="Y173" i="72"/>
  <c r="Z173" i="72"/>
  <c r="AA173" i="72"/>
  <c r="AB173" i="72"/>
  <c r="AC173" i="72"/>
  <c r="AD173" i="72"/>
  <c r="AE173" i="72"/>
  <c r="AF173" i="72"/>
  <c r="AG173" i="72"/>
  <c r="AH173" i="72"/>
  <c r="AI173" i="72"/>
  <c r="AJ173" i="72"/>
  <c r="AK173" i="72"/>
  <c r="AL173" i="72"/>
  <c r="X174" i="72"/>
  <c r="Y174" i="72"/>
  <c r="Z174" i="72"/>
  <c r="AA174" i="72"/>
  <c r="AB174" i="72"/>
  <c r="AC174" i="72"/>
  <c r="AD174" i="72"/>
  <c r="AE174" i="72"/>
  <c r="AF174" i="72"/>
  <c r="AG174" i="72"/>
  <c r="AH174" i="72"/>
  <c r="AI174" i="72"/>
  <c r="AJ174" i="72"/>
  <c r="AK174" i="72"/>
  <c r="AL174" i="72"/>
  <c r="X175" i="72"/>
  <c r="Y175" i="72"/>
  <c r="Z175" i="72"/>
  <c r="AA175" i="72"/>
  <c r="AB175" i="72"/>
  <c r="AC175" i="72"/>
  <c r="AD175" i="72"/>
  <c r="AE175" i="72"/>
  <c r="AF175" i="72"/>
  <c r="AG175" i="72"/>
  <c r="AH175" i="72"/>
  <c r="AI175" i="72"/>
  <c r="AJ175" i="72"/>
  <c r="AK175" i="72"/>
  <c r="AL175" i="72"/>
  <c r="X176" i="72"/>
  <c r="Y176" i="72"/>
  <c r="Z176" i="72"/>
  <c r="AA176" i="72"/>
  <c r="AB176" i="72"/>
  <c r="AC176" i="72"/>
  <c r="AD176" i="72"/>
  <c r="AE176" i="72"/>
  <c r="AF176" i="72"/>
  <c r="AG176" i="72"/>
  <c r="AH176" i="72"/>
  <c r="AI176" i="72"/>
  <c r="AJ176" i="72"/>
  <c r="AK176" i="72"/>
  <c r="AL176" i="72"/>
  <c r="X177" i="72"/>
  <c r="Y177" i="72"/>
  <c r="Z177" i="72"/>
  <c r="AA177" i="72"/>
  <c r="AB177" i="72"/>
  <c r="AC177" i="72"/>
  <c r="AD177" i="72"/>
  <c r="AE177" i="72"/>
  <c r="AF177" i="72"/>
  <c r="AG177" i="72"/>
  <c r="AH177" i="72"/>
  <c r="AI177" i="72"/>
  <c r="AJ177" i="72"/>
  <c r="AK177" i="72"/>
  <c r="AL177" i="72"/>
  <c r="X178" i="72"/>
  <c r="Y178" i="72"/>
  <c r="Z178" i="72"/>
  <c r="AA178" i="72"/>
  <c r="AB178" i="72"/>
  <c r="AC178" i="72"/>
  <c r="AD178" i="72"/>
  <c r="AE178" i="72"/>
  <c r="AF178" i="72"/>
  <c r="AG178" i="72"/>
  <c r="AH178" i="72"/>
  <c r="AI178" i="72"/>
  <c r="AJ178" i="72"/>
  <c r="AK178" i="72"/>
  <c r="AL178" i="72"/>
  <c r="X179" i="72"/>
  <c r="Y179" i="72"/>
  <c r="Z179" i="72"/>
  <c r="AA179" i="72"/>
  <c r="AB179" i="72"/>
  <c r="AC179" i="72"/>
  <c r="AD179" i="72"/>
  <c r="AE179" i="72"/>
  <c r="AF179" i="72"/>
  <c r="AG179" i="72"/>
  <c r="AH179" i="72"/>
  <c r="AI179" i="72"/>
  <c r="AJ179" i="72"/>
  <c r="AK179" i="72"/>
  <c r="AL179" i="72"/>
  <c r="X180" i="72"/>
  <c r="Y180" i="72"/>
  <c r="Z180" i="72"/>
  <c r="AA180" i="72"/>
  <c r="AB180" i="72"/>
  <c r="AC180" i="72"/>
  <c r="AD180" i="72"/>
  <c r="AE180" i="72"/>
  <c r="AF180" i="72"/>
  <c r="AG180" i="72"/>
  <c r="AH180" i="72"/>
  <c r="AI180" i="72"/>
  <c r="AJ180" i="72"/>
  <c r="AK180" i="72"/>
  <c r="AL180" i="72"/>
  <c r="X181" i="72"/>
  <c r="Y181" i="72"/>
  <c r="Z181" i="72"/>
  <c r="AA181" i="72"/>
  <c r="AB181" i="72"/>
  <c r="AC181" i="72"/>
  <c r="AD181" i="72"/>
  <c r="AE181" i="72"/>
  <c r="AF181" i="72"/>
  <c r="AG181" i="72"/>
  <c r="AH181" i="72"/>
  <c r="AI181" i="72"/>
  <c r="AJ181" i="72"/>
  <c r="AK181" i="72"/>
  <c r="AL181" i="72"/>
  <c r="X182" i="72"/>
  <c r="Y182" i="72"/>
  <c r="Z182" i="72"/>
  <c r="AA182" i="72"/>
  <c r="AB182" i="72"/>
  <c r="AC182" i="72"/>
  <c r="AD182" i="72"/>
  <c r="AE182" i="72"/>
  <c r="AF182" i="72"/>
  <c r="AG182" i="72"/>
  <c r="AH182" i="72"/>
  <c r="AI182" i="72"/>
  <c r="AJ182" i="72"/>
  <c r="AK182" i="72"/>
  <c r="AL182" i="72"/>
  <c r="X183" i="72"/>
  <c r="Y183" i="72"/>
  <c r="Z183" i="72"/>
  <c r="AA183" i="72"/>
  <c r="AB183" i="72"/>
  <c r="AC183" i="72"/>
  <c r="AD183" i="72"/>
  <c r="AE183" i="72"/>
  <c r="AF183" i="72"/>
  <c r="AG183" i="72"/>
  <c r="AH183" i="72"/>
  <c r="AI183" i="72"/>
  <c r="AJ183" i="72"/>
  <c r="AK183" i="72"/>
  <c r="AL183" i="72"/>
  <c r="X184" i="72"/>
  <c r="Y184" i="72"/>
  <c r="Z184" i="72"/>
  <c r="AA184" i="72"/>
  <c r="AB184" i="72"/>
  <c r="AC184" i="72"/>
  <c r="AD184" i="72"/>
  <c r="AE184" i="72"/>
  <c r="AF184" i="72"/>
  <c r="AG184" i="72"/>
  <c r="AH184" i="72"/>
  <c r="AI184" i="72"/>
  <c r="AJ184" i="72"/>
  <c r="AK184" i="72"/>
  <c r="AL184" i="72"/>
  <c r="X185" i="72"/>
  <c r="Y185" i="72"/>
  <c r="Z185" i="72"/>
  <c r="AA185" i="72"/>
  <c r="AB185" i="72"/>
  <c r="AC185" i="72"/>
  <c r="AD185" i="72"/>
  <c r="AE185" i="72"/>
  <c r="AF185" i="72"/>
  <c r="AG185" i="72"/>
  <c r="AH185" i="72"/>
  <c r="AI185" i="72"/>
  <c r="AJ185" i="72"/>
  <c r="AK185" i="72"/>
  <c r="AL185" i="72"/>
  <c r="X186" i="72"/>
  <c r="Y186" i="72"/>
  <c r="Z186" i="72"/>
  <c r="AA186" i="72"/>
  <c r="AB186" i="72"/>
  <c r="AC186" i="72"/>
  <c r="AD186" i="72"/>
  <c r="AE186" i="72"/>
  <c r="AF186" i="72"/>
  <c r="AG186" i="72"/>
  <c r="AH186" i="72"/>
  <c r="AI186" i="72"/>
  <c r="AJ186" i="72"/>
  <c r="AK186" i="72"/>
  <c r="AL186" i="72"/>
  <c r="X187" i="72"/>
  <c r="Y187" i="72"/>
  <c r="Z187" i="72"/>
  <c r="AA187" i="72"/>
  <c r="AB187" i="72"/>
  <c r="AC187" i="72"/>
  <c r="AD187" i="72"/>
  <c r="AE187" i="72"/>
  <c r="AF187" i="72"/>
  <c r="AG187" i="72"/>
  <c r="AH187" i="72"/>
  <c r="AI187" i="72"/>
  <c r="AJ187" i="72"/>
  <c r="AK187" i="72"/>
  <c r="AL187" i="72"/>
  <c r="X188" i="72"/>
  <c r="Y188" i="72"/>
  <c r="Z188" i="72"/>
  <c r="AA188" i="72"/>
  <c r="AB188" i="72"/>
  <c r="AC188" i="72"/>
  <c r="AD188" i="72"/>
  <c r="AE188" i="72"/>
  <c r="AF188" i="72"/>
  <c r="AG188" i="72"/>
  <c r="AH188" i="72"/>
  <c r="AI188" i="72"/>
  <c r="AJ188" i="72"/>
  <c r="AK188" i="72"/>
  <c r="AL188" i="72"/>
  <c r="X189" i="72"/>
  <c r="Y189" i="72"/>
  <c r="Z189" i="72"/>
  <c r="AA189" i="72"/>
  <c r="AB189" i="72"/>
  <c r="AC189" i="72"/>
  <c r="AD189" i="72"/>
  <c r="AE189" i="72"/>
  <c r="AF189" i="72"/>
  <c r="AG189" i="72"/>
  <c r="AH189" i="72"/>
  <c r="AI189" i="72"/>
  <c r="AJ189" i="72"/>
  <c r="AK189" i="72"/>
  <c r="AL189" i="72"/>
  <c r="X190" i="72"/>
  <c r="Y190" i="72"/>
  <c r="Z190" i="72"/>
  <c r="AA190" i="72"/>
  <c r="AB190" i="72"/>
  <c r="AC190" i="72"/>
  <c r="AD190" i="72"/>
  <c r="AE190" i="72"/>
  <c r="AF190" i="72"/>
  <c r="AG190" i="72"/>
  <c r="AH190" i="72"/>
  <c r="AI190" i="72"/>
  <c r="AJ190" i="72"/>
  <c r="AK190" i="72"/>
  <c r="AL190" i="72"/>
  <c r="X191" i="72"/>
  <c r="Y191" i="72"/>
  <c r="Z191" i="72"/>
  <c r="AA191" i="72"/>
  <c r="AB191" i="72"/>
  <c r="AC191" i="72"/>
  <c r="AD191" i="72"/>
  <c r="AE191" i="72"/>
  <c r="AF191" i="72"/>
  <c r="AG191" i="72"/>
  <c r="AH191" i="72"/>
  <c r="AI191" i="72"/>
  <c r="AJ191" i="72"/>
  <c r="AK191" i="72"/>
  <c r="AL191" i="72"/>
  <c r="X192" i="72"/>
  <c r="Y192" i="72"/>
  <c r="Z192" i="72"/>
  <c r="AA192" i="72"/>
  <c r="AB192" i="72"/>
  <c r="AC192" i="72"/>
  <c r="AD192" i="72"/>
  <c r="AE192" i="72"/>
  <c r="AF192" i="72"/>
  <c r="AG192" i="72"/>
  <c r="AH192" i="72"/>
  <c r="AI192" i="72"/>
  <c r="AJ192" i="72"/>
  <c r="AK192" i="72"/>
  <c r="AL192" i="72"/>
  <c r="X193" i="72"/>
  <c r="Y193" i="72"/>
  <c r="Z193" i="72"/>
  <c r="AA193" i="72"/>
  <c r="AB193" i="72"/>
  <c r="AC193" i="72"/>
  <c r="AD193" i="72"/>
  <c r="AE193" i="72"/>
  <c r="AF193" i="72"/>
  <c r="AG193" i="72"/>
  <c r="AH193" i="72"/>
  <c r="AI193" i="72"/>
  <c r="AJ193" i="72"/>
  <c r="AK193" i="72"/>
  <c r="AL193" i="72"/>
  <c r="X194" i="72"/>
  <c r="Y194" i="72"/>
  <c r="Z194" i="72"/>
  <c r="AA194" i="72"/>
  <c r="AB194" i="72"/>
  <c r="AC194" i="72"/>
  <c r="AD194" i="72"/>
  <c r="AE194" i="72"/>
  <c r="AF194" i="72"/>
  <c r="AG194" i="72"/>
  <c r="AH194" i="72"/>
  <c r="AI194" i="72"/>
  <c r="AJ194" i="72"/>
  <c r="AK194" i="72"/>
  <c r="AL194" i="72"/>
  <c r="X195" i="72"/>
  <c r="Y195" i="72"/>
  <c r="Z195" i="72"/>
  <c r="AA195" i="72"/>
  <c r="AB195" i="72"/>
  <c r="AC195" i="72"/>
  <c r="AD195" i="72"/>
  <c r="AE195" i="72"/>
  <c r="AF195" i="72"/>
  <c r="AG195" i="72"/>
  <c r="AH195" i="72"/>
  <c r="AI195" i="72"/>
  <c r="AJ195" i="72"/>
  <c r="AK195" i="72"/>
  <c r="AL195" i="72"/>
  <c r="X196" i="72"/>
  <c r="Y196" i="72"/>
  <c r="Z196" i="72"/>
  <c r="AA196" i="72"/>
  <c r="AB196" i="72"/>
  <c r="AC196" i="72"/>
  <c r="AD196" i="72"/>
  <c r="AE196" i="72"/>
  <c r="AF196" i="72"/>
  <c r="AG196" i="72"/>
  <c r="AH196" i="72"/>
  <c r="AI196" i="72"/>
  <c r="AJ196" i="72"/>
  <c r="AK196" i="72"/>
  <c r="AL196" i="72"/>
  <c r="X197" i="72"/>
  <c r="Y197" i="72"/>
  <c r="Z197" i="72"/>
  <c r="AA197" i="72"/>
  <c r="AB197" i="72"/>
  <c r="AC197" i="72"/>
  <c r="AD197" i="72"/>
  <c r="AE197" i="72"/>
  <c r="AF197" i="72"/>
  <c r="AG197" i="72"/>
  <c r="AH197" i="72"/>
  <c r="AI197" i="72"/>
  <c r="AJ197" i="72"/>
  <c r="AK197" i="72"/>
  <c r="AL197" i="72"/>
  <c r="X198" i="72"/>
  <c r="Y198" i="72"/>
  <c r="Z198" i="72"/>
  <c r="AA198" i="72"/>
  <c r="AB198" i="72"/>
  <c r="AC198" i="72"/>
  <c r="AD198" i="72"/>
  <c r="AE198" i="72"/>
  <c r="AF198" i="72"/>
  <c r="AG198" i="72"/>
  <c r="AH198" i="72"/>
  <c r="AI198" i="72"/>
  <c r="AJ198" i="72"/>
  <c r="AK198" i="72"/>
  <c r="AL198" i="72"/>
  <c r="X199" i="72"/>
  <c r="Y199" i="72"/>
  <c r="Z199" i="72"/>
  <c r="AA199" i="72"/>
  <c r="AB199" i="72"/>
  <c r="AC199" i="72"/>
  <c r="AD199" i="72"/>
  <c r="AE199" i="72"/>
  <c r="AF199" i="72"/>
  <c r="AG199" i="72"/>
  <c r="AH199" i="72"/>
  <c r="AI199" i="72"/>
  <c r="AJ199" i="72"/>
  <c r="AK199" i="72"/>
  <c r="AL199" i="72"/>
  <c r="X200" i="72"/>
  <c r="Y200" i="72"/>
  <c r="Z200" i="72"/>
  <c r="AA200" i="72"/>
  <c r="AB200" i="72"/>
  <c r="AC200" i="72"/>
  <c r="AD200" i="72"/>
  <c r="AE200" i="72"/>
  <c r="AF200" i="72"/>
  <c r="AG200" i="72"/>
  <c r="AH200" i="72"/>
  <c r="AI200" i="72"/>
  <c r="AJ200" i="72"/>
  <c r="AK200" i="72"/>
  <c r="AL200" i="72"/>
  <c r="X201" i="72"/>
  <c r="Y201" i="72"/>
  <c r="Z201" i="72"/>
  <c r="AA201" i="72"/>
  <c r="AB201" i="72"/>
  <c r="AC201" i="72"/>
  <c r="AD201" i="72"/>
  <c r="AE201" i="72"/>
  <c r="AF201" i="72"/>
  <c r="AG201" i="72"/>
  <c r="AH201" i="72"/>
  <c r="AI201" i="72"/>
  <c r="AJ201" i="72"/>
  <c r="AK201" i="72"/>
  <c r="AL201" i="72"/>
  <c r="X202" i="72"/>
  <c r="Y202" i="72"/>
  <c r="Z202" i="72"/>
  <c r="AA202" i="72"/>
  <c r="AB202" i="72"/>
  <c r="AC202" i="72"/>
  <c r="AD202" i="72"/>
  <c r="AE202" i="72"/>
  <c r="AF202" i="72"/>
  <c r="AG202" i="72"/>
  <c r="AH202" i="72"/>
  <c r="AI202" i="72"/>
  <c r="AJ202" i="72"/>
  <c r="AK202" i="72"/>
  <c r="AL202" i="72"/>
  <c r="X203" i="72"/>
  <c r="Y203" i="72"/>
  <c r="Z203" i="72"/>
  <c r="AA203" i="72"/>
  <c r="AB203" i="72"/>
  <c r="AC203" i="72"/>
  <c r="AD203" i="72"/>
  <c r="AE203" i="72"/>
  <c r="AF203" i="72"/>
  <c r="AG203" i="72"/>
  <c r="AH203" i="72"/>
  <c r="AI203" i="72"/>
  <c r="AJ203" i="72"/>
  <c r="AK203" i="72"/>
  <c r="AL203" i="72"/>
  <c r="X204" i="72"/>
  <c r="Y204" i="72"/>
  <c r="Z204" i="72"/>
  <c r="AA204" i="72"/>
  <c r="AB204" i="72"/>
  <c r="AC204" i="72"/>
  <c r="AD204" i="72"/>
  <c r="AE204" i="72"/>
  <c r="AF204" i="72"/>
  <c r="AG204" i="72"/>
  <c r="AH204" i="72"/>
  <c r="AI204" i="72"/>
  <c r="AJ204" i="72"/>
  <c r="AK204" i="72"/>
  <c r="AL204" i="72"/>
  <c r="X205" i="72"/>
  <c r="Y205" i="72"/>
  <c r="Z205" i="72"/>
  <c r="AA205" i="72"/>
  <c r="AB205" i="72"/>
  <c r="AC205" i="72"/>
  <c r="AD205" i="72"/>
  <c r="AE205" i="72"/>
  <c r="AF205" i="72"/>
  <c r="AG205" i="72"/>
  <c r="AH205" i="72"/>
  <c r="AI205" i="72"/>
  <c r="AJ205" i="72"/>
  <c r="AK205" i="72"/>
  <c r="AL205" i="72"/>
  <c r="X206" i="72"/>
  <c r="Y206" i="72"/>
  <c r="Z206" i="72"/>
  <c r="AA206" i="72"/>
  <c r="AB206" i="72"/>
  <c r="AC206" i="72"/>
  <c r="AD206" i="72"/>
  <c r="AE206" i="72"/>
  <c r="AF206" i="72"/>
  <c r="AG206" i="72"/>
  <c r="AH206" i="72"/>
  <c r="AI206" i="72"/>
  <c r="AJ206" i="72"/>
  <c r="AK206" i="72"/>
  <c r="AL206" i="72"/>
  <c r="X207" i="72"/>
  <c r="Y207" i="72"/>
  <c r="Z207" i="72"/>
  <c r="AA207" i="72"/>
  <c r="AB207" i="72"/>
  <c r="AC207" i="72"/>
  <c r="AD207" i="72"/>
  <c r="AE207" i="72"/>
  <c r="AF207" i="72"/>
  <c r="AG207" i="72"/>
  <c r="AH207" i="72"/>
  <c r="AI207" i="72"/>
  <c r="AJ207" i="72"/>
  <c r="AK207" i="72"/>
  <c r="AL207" i="72"/>
  <c r="X208" i="72"/>
  <c r="Y208" i="72"/>
  <c r="Z208" i="72"/>
  <c r="AA208" i="72"/>
  <c r="AB208" i="72"/>
  <c r="AC208" i="72"/>
  <c r="AD208" i="72"/>
  <c r="AE208" i="72"/>
  <c r="AF208" i="72"/>
  <c r="AG208" i="72"/>
  <c r="AH208" i="72"/>
  <c r="AI208" i="72"/>
  <c r="AJ208" i="72"/>
  <c r="AK208" i="72"/>
  <c r="AL208" i="72"/>
  <c r="X209" i="72"/>
  <c r="Y209" i="72"/>
  <c r="Z209" i="72"/>
  <c r="AA209" i="72"/>
  <c r="AB209" i="72"/>
  <c r="AC209" i="72"/>
  <c r="AD209" i="72"/>
  <c r="AE209" i="72"/>
  <c r="AF209" i="72"/>
  <c r="AG209" i="72"/>
  <c r="AH209" i="72"/>
  <c r="AI209" i="72"/>
  <c r="AJ209" i="72"/>
  <c r="AK209" i="72"/>
  <c r="AL209" i="72"/>
  <c r="X210" i="72"/>
  <c r="Y210" i="72"/>
  <c r="Z210" i="72"/>
  <c r="AA210" i="72"/>
  <c r="AB210" i="72"/>
  <c r="AC210" i="72"/>
  <c r="AD210" i="72"/>
  <c r="AE210" i="72"/>
  <c r="AF210" i="72"/>
  <c r="AG210" i="72"/>
  <c r="AH210" i="72"/>
  <c r="AI210" i="72"/>
  <c r="AJ210" i="72"/>
  <c r="AK210" i="72"/>
  <c r="AL210" i="72"/>
  <c r="X211" i="72"/>
  <c r="Y211" i="72"/>
  <c r="Z211" i="72"/>
  <c r="AA211" i="72"/>
  <c r="AB211" i="72"/>
  <c r="AC211" i="72"/>
  <c r="AD211" i="72"/>
  <c r="AE211" i="72"/>
  <c r="AF211" i="72"/>
  <c r="AG211" i="72"/>
  <c r="AH211" i="72"/>
  <c r="AI211" i="72"/>
  <c r="AJ211" i="72"/>
  <c r="AK211" i="72"/>
  <c r="AL211" i="72"/>
  <c r="X212" i="72"/>
  <c r="Y212" i="72"/>
  <c r="Z212" i="72"/>
  <c r="AA212" i="72"/>
  <c r="AB212" i="72"/>
  <c r="AC212" i="72"/>
  <c r="AD212" i="72"/>
  <c r="AE212" i="72"/>
  <c r="AF212" i="72"/>
  <c r="AG212" i="72"/>
  <c r="AH212" i="72"/>
  <c r="AI212" i="72"/>
  <c r="AJ212" i="72"/>
  <c r="AK212" i="72"/>
  <c r="AL212" i="72"/>
  <c r="X213" i="72"/>
  <c r="Y213" i="72"/>
  <c r="Z213" i="72"/>
  <c r="AA213" i="72"/>
  <c r="AB213" i="72"/>
  <c r="AC213" i="72"/>
  <c r="AD213" i="72"/>
  <c r="AE213" i="72"/>
  <c r="AF213" i="72"/>
  <c r="AG213" i="72"/>
  <c r="AH213" i="72"/>
  <c r="AI213" i="72"/>
  <c r="AJ213" i="72"/>
  <c r="AK213" i="72"/>
  <c r="AL213" i="72"/>
  <c r="X214" i="72"/>
  <c r="Y214" i="72"/>
  <c r="Z214" i="72"/>
  <c r="AA214" i="72"/>
  <c r="AB214" i="72"/>
  <c r="AC214" i="72"/>
  <c r="AD214" i="72"/>
  <c r="AE214" i="72"/>
  <c r="AF214" i="72"/>
  <c r="AG214" i="72"/>
  <c r="AH214" i="72"/>
  <c r="AI214" i="72"/>
  <c r="AJ214" i="72"/>
  <c r="AK214" i="72"/>
  <c r="AL214" i="72"/>
  <c r="X215" i="72"/>
  <c r="Y215" i="72"/>
  <c r="Z215" i="72"/>
  <c r="AA215" i="72"/>
  <c r="AB215" i="72"/>
  <c r="AC215" i="72"/>
  <c r="AD215" i="72"/>
  <c r="AE215" i="72"/>
  <c r="AF215" i="72"/>
  <c r="AG215" i="72"/>
  <c r="AH215" i="72"/>
  <c r="AI215" i="72"/>
  <c r="AJ215" i="72"/>
  <c r="AK215" i="72"/>
  <c r="AL215" i="72"/>
  <c r="X216" i="72"/>
  <c r="Y216" i="72"/>
  <c r="Z216" i="72"/>
  <c r="AA216" i="72"/>
  <c r="AB216" i="72"/>
  <c r="AC216" i="72"/>
  <c r="AD216" i="72"/>
  <c r="AE216" i="72"/>
  <c r="AF216" i="72"/>
  <c r="AG216" i="72"/>
  <c r="AH216" i="72"/>
  <c r="AI216" i="72"/>
  <c r="AJ216" i="72"/>
  <c r="AK216" i="72"/>
  <c r="AL216" i="72"/>
  <c r="X217" i="72"/>
  <c r="Y217" i="72"/>
  <c r="Z217" i="72"/>
  <c r="AA217" i="72"/>
  <c r="AB217" i="72"/>
  <c r="AC217" i="72"/>
  <c r="AD217" i="72"/>
  <c r="AE217" i="72"/>
  <c r="AF217" i="72"/>
  <c r="AG217" i="72"/>
  <c r="AH217" i="72"/>
  <c r="AI217" i="72"/>
  <c r="AJ217" i="72"/>
  <c r="AK217" i="72"/>
  <c r="AL217" i="72"/>
  <c r="X218" i="72"/>
  <c r="Y218" i="72"/>
  <c r="Z218" i="72"/>
  <c r="AA218" i="72"/>
  <c r="AB218" i="72"/>
  <c r="AC218" i="72"/>
  <c r="AD218" i="72"/>
  <c r="AE218" i="72"/>
  <c r="AF218" i="72"/>
  <c r="AG218" i="72"/>
  <c r="AH218" i="72"/>
  <c r="AI218" i="72"/>
  <c r="AJ218" i="72"/>
  <c r="AK218" i="72"/>
  <c r="AL218" i="72"/>
  <c r="X219" i="72"/>
  <c r="Y219" i="72"/>
  <c r="Z219" i="72"/>
  <c r="AA219" i="72"/>
  <c r="AB219" i="72"/>
  <c r="AC219" i="72"/>
  <c r="AD219" i="72"/>
  <c r="AE219" i="72"/>
  <c r="AF219" i="72"/>
  <c r="AG219" i="72"/>
  <c r="AH219" i="72"/>
  <c r="AI219" i="72"/>
  <c r="AJ219" i="72"/>
  <c r="AK219" i="72"/>
  <c r="AL219" i="72"/>
  <c r="X220" i="72"/>
  <c r="Y220" i="72"/>
  <c r="Z220" i="72"/>
  <c r="AA220" i="72"/>
  <c r="AB220" i="72"/>
  <c r="AC220" i="72"/>
  <c r="AD220" i="72"/>
  <c r="AE220" i="72"/>
  <c r="AF220" i="72"/>
  <c r="AG220" i="72"/>
  <c r="AH220" i="72"/>
  <c r="AI220" i="72"/>
  <c r="AJ220" i="72"/>
  <c r="AK220" i="72"/>
  <c r="AL220" i="72"/>
  <c r="X221" i="72"/>
  <c r="Y221" i="72"/>
  <c r="Z221" i="72"/>
  <c r="AA221" i="72"/>
  <c r="AB221" i="72"/>
  <c r="AC221" i="72"/>
  <c r="AD221" i="72"/>
  <c r="AE221" i="72"/>
  <c r="AF221" i="72"/>
  <c r="AG221" i="72"/>
  <c r="AH221" i="72"/>
  <c r="AI221" i="72"/>
  <c r="AJ221" i="72"/>
  <c r="AK221" i="72"/>
  <c r="AL221" i="72"/>
  <c r="X222" i="72"/>
  <c r="Y222" i="72"/>
  <c r="Z222" i="72"/>
  <c r="AA222" i="72"/>
  <c r="AB222" i="72"/>
  <c r="AC222" i="72"/>
  <c r="AD222" i="72"/>
  <c r="AE222" i="72"/>
  <c r="AF222" i="72"/>
  <c r="AG222" i="72"/>
  <c r="AH222" i="72"/>
  <c r="AI222" i="72"/>
  <c r="AJ222" i="72"/>
  <c r="AK222" i="72"/>
  <c r="AL222" i="72"/>
  <c r="X223" i="72"/>
  <c r="Y223" i="72"/>
  <c r="Z223" i="72"/>
  <c r="AA223" i="72"/>
  <c r="AB223" i="72"/>
  <c r="AC223" i="72"/>
  <c r="AD223" i="72"/>
  <c r="AE223" i="72"/>
  <c r="AF223" i="72"/>
  <c r="AG223" i="72"/>
  <c r="AH223" i="72"/>
  <c r="AI223" i="72"/>
  <c r="AJ223" i="72"/>
  <c r="AK223" i="72"/>
  <c r="AL223" i="72"/>
  <c r="X224" i="72"/>
  <c r="Y224" i="72"/>
  <c r="Z224" i="72"/>
  <c r="AA224" i="72"/>
  <c r="AB224" i="72"/>
  <c r="AC224" i="72"/>
  <c r="AD224" i="72"/>
  <c r="AE224" i="72"/>
  <c r="AF224" i="72"/>
  <c r="AG224" i="72"/>
  <c r="AH224" i="72"/>
  <c r="AI224" i="72"/>
  <c r="AJ224" i="72"/>
  <c r="AK224" i="72"/>
  <c r="AL224" i="72"/>
  <c r="X225" i="72"/>
  <c r="Y225" i="72"/>
  <c r="Z225" i="72"/>
  <c r="AA225" i="72"/>
  <c r="AB225" i="72"/>
  <c r="AC225" i="72"/>
  <c r="AD225" i="72"/>
  <c r="AE225" i="72"/>
  <c r="AF225" i="72"/>
  <c r="AG225" i="72"/>
  <c r="AH225" i="72"/>
  <c r="AI225" i="72"/>
  <c r="AJ225" i="72"/>
  <c r="AK225" i="72"/>
  <c r="AL225" i="72"/>
  <c r="X226" i="72"/>
  <c r="Y226" i="72"/>
  <c r="Z226" i="72"/>
  <c r="AA226" i="72"/>
  <c r="AB226" i="72"/>
  <c r="AC226" i="72"/>
  <c r="AD226" i="72"/>
  <c r="AE226" i="72"/>
  <c r="AF226" i="72"/>
  <c r="AG226" i="72"/>
  <c r="AH226" i="72"/>
  <c r="AI226" i="72"/>
  <c r="AJ226" i="72"/>
  <c r="AK226" i="72"/>
  <c r="AL226" i="72"/>
  <c r="X227" i="72"/>
  <c r="Y227" i="72"/>
  <c r="Z227" i="72"/>
  <c r="AA227" i="72"/>
  <c r="AB227" i="72"/>
  <c r="AC227" i="72"/>
  <c r="AD227" i="72"/>
  <c r="AE227" i="72"/>
  <c r="AF227" i="72"/>
  <c r="AG227" i="72"/>
  <c r="AH227" i="72"/>
  <c r="AI227" i="72"/>
  <c r="AJ227" i="72"/>
  <c r="AK227" i="72"/>
  <c r="AL227" i="72"/>
  <c r="X228" i="72"/>
  <c r="Y228" i="72"/>
  <c r="Z228" i="72"/>
  <c r="AA228" i="72"/>
  <c r="AB228" i="72"/>
  <c r="AC228" i="72"/>
  <c r="AD228" i="72"/>
  <c r="AE228" i="72"/>
  <c r="AF228" i="72"/>
  <c r="AG228" i="72"/>
  <c r="AH228" i="72"/>
  <c r="AI228" i="72"/>
  <c r="AJ228" i="72"/>
  <c r="AK228" i="72"/>
  <c r="AL228" i="72"/>
  <c r="X229" i="72"/>
  <c r="Y229" i="72"/>
  <c r="Z229" i="72"/>
  <c r="AA229" i="72"/>
  <c r="AB229" i="72"/>
  <c r="AC229" i="72"/>
  <c r="AD229" i="72"/>
  <c r="AE229" i="72"/>
  <c r="AF229" i="72"/>
  <c r="AG229" i="72"/>
  <c r="AH229" i="72"/>
  <c r="AI229" i="72"/>
  <c r="AJ229" i="72"/>
  <c r="AK229" i="72"/>
  <c r="AL229" i="72"/>
  <c r="X230" i="72"/>
  <c r="Y230" i="72"/>
  <c r="Z230" i="72"/>
  <c r="AA230" i="72"/>
  <c r="AB230" i="72"/>
  <c r="AC230" i="72"/>
  <c r="AD230" i="72"/>
  <c r="AE230" i="72"/>
  <c r="AF230" i="72"/>
  <c r="AG230" i="72"/>
  <c r="AH230" i="72"/>
  <c r="AI230" i="72"/>
  <c r="AJ230" i="72"/>
  <c r="AK230" i="72"/>
  <c r="AL230" i="72"/>
  <c r="X231" i="72"/>
  <c r="Y231" i="72"/>
  <c r="Z231" i="72"/>
  <c r="AA231" i="72"/>
  <c r="AB231" i="72"/>
  <c r="AC231" i="72"/>
  <c r="AD231" i="72"/>
  <c r="AE231" i="72"/>
  <c r="AF231" i="72"/>
  <c r="AG231" i="72"/>
  <c r="AH231" i="72"/>
  <c r="AI231" i="72"/>
  <c r="AJ231" i="72"/>
  <c r="AK231" i="72"/>
  <c r="AL231" i="72"/>
  <c r="X234" i="72"/>
  <c r="Y234" i="72"/>
  <c r="Z234" i="72"/>
  <c r="AA234" i="72"/>
  <c r="AB234" i="72"/>
  <c r="AC234" i="72"/>
  <c r="AD234" i="72"/>
  <c r="AE234" i="72"/>
  <c r="AF234" i="72"/>
  <c r="AG234" i="72"/>
  <c r="AH234" i="72"/>
  <c r="AI234" i="72"/>
  <c r="AJ234" i="72"/>
  <c r="AK234" i="72"/>
  <c r="AL234" i="72"/>
  <c r="X235" i="72"/>
  <c r="Y235" i="72"/>
  <c r="Z235" i="72"/>
  <c r="AA235" i="72"/>
  <c r="AB235" i="72"/>
  <c r="AC235" i="72"/>
  <c r="AD235" i="72"/>
  <c r="AE235" i="72"/>
  <c r="AF235" i="72"/>
  <c r="AG235" i="72"/>
  <c r="AH235" i="72"/>
  <c r="AI235" i="72"/>
  <c r="AJ235" i="72"/>
  <c r="AK235" i="72"/>
  <c r="AL235" i="72"/>
  <c r="X237" i="72"/>
  <c r="Y237" i="72"/>
  <c r="Z237" i="72"/>
  <c r="AA237" i="72"/>
  <c r="AB237" i="72"/>
  <c r="AC237" i="72"/>
  <c r="AD237" i="72"/>
  <c r="AE237" i="72"/>
  <c r="AF237" i="72"/>
  <c r="AG237" i="72"/>
  <c r="AH237" i="72"/>
  <c r="AI237" i="72"/>
  <c r="AJ237" i="72"/>
  <c r="AK237" i="72"/>
  <c r="AL237" i="72"/>
  <c r="X238" i="72"/>
  <c r="Y238" i="72"/>
  <c r="Z238" i="72"/>
  <c r="AA238" i="72"/>
  <c r="AB238" i="72"/>
  <c r="AC238" i="72"/>
  <c r="AD238" i="72"/>
  <c r="AE238" i="72"/>
  <c r="AF238" i="72"/>
  <c r="AG238" i="72"/>
  <c r="AH238" i="72"/>
  <c r="AI238" i="72"/>
  <c r="AJ238" i="72"/>
  <c r="AK238" i="72"/>
  <c r="AL238" i="72"/>
  <c r="X239" i="72"/>
  <c r="Y239" i="72"/>
  <c r="Z239" i="72"/>
  <c r="AA239" i="72"/>
  <c r="AB239" i="72"/>
  <c r="AC239" i="72"/>
  <c r="AD239" i="72"/>
  <c r="AE239" i="72"/>
  <c r="AF239" i="72"/>
  <c r="AG239" i="72"/>
  <c r="AH239" i="72"/>
  <c r="AI239" i="72"/>
  <c r="AJ239" i="72"/>
  <c r="AK239" i="72"/>
  <c r="AL239" i="72"/>
  <c r="X240" i="72"/>
  <c r="Y240" i="72"/>
  <c r="Z240" i="72"/>
  <c r="AA240" i="72"/>
  <c r="AB240" i="72"/>
  <c r="AC240" i="72"/>
  <c r="AD240" i="72"/>
  <c r="AE240" i="72"/>
  <c r="AF240" i="72"/>
  <c r="AG240" i="72"/>
  <c r="AH240" i="72"/>
  <c r="AI240" i="72"/>
  <c r="AJ240" i="72"/>
  <c r="AK240" i="72"/>
  <c r="AL240" i="72"/>
  <c r="X241" i="72"/>
  <c r="Y241" i="72"/>
  <c r="Z241" i="72"/>
  <c r="AA241" i="72"/>
  <c r="AB241" i="72"/>
  <c r="AC241" i="72"/>
  <c r="AD241" i="72"/>
  <c r="AE241" i="72"/>
  <c r="AF241" i="72"/>
  <c r="AG241" i="72"/>
  <c r="AH241" i="72"/>
  <c r="AI241" i="72"/>
  <c r="AJ241" i="72"/>
  <c r="AK241" i="72"/>
  <c r="AL241" i="72"/>
  <c r="X253" i="72"/>
  <c r="Y253" i="72"/>
  <c r="Z253" i="72"/>
  <c r="AA253" i="72"/>
  <c r="AB253" i="72"/>
  <c r="AC253" i="72"/>
  <c r="AD253" i="72"/>
  <c r="AE253" i="72"/>
  <c r="AF253" i="72"/>
  <c r="AG253" i="72"/>
  <c r="AH253" i="72"/>
  <c r="AI253" i="72"/>
  <c r="AJ253" i="72"/>
  <c r="AK253" i="72"/>
  <c r="AL253" i="72"/>
  <c r="X255" i="72"/>
  <c r="Y255" i="72"/>
  <c r="Z255" i="72"/>
  <c r="AA255" i="72"/>
  <c r="AB255" i="72"/>
  <c r="AC255" i="72"/>
  <c r="AD255" i="72"/>
  <c r="AE255" i="72"/>
  <c r="AF255" i="72"/>
  <c r="AG255" i="72"/>
  <c r="AH255" i="72"/>
  <c r="AI255" i="72"/>
  <c r="AJ255" i="72"/>
  <c r="AK255" i="72"/>
  <c r="AL255" i="72"/>
  <c r="X256" i="72"/>
  <c r="Y256" i="72"/>
  <c r="Z256" i="72"/>
  <c r="AA256" i="72"/>
  <c r="AB256" i="72"/>
  <c r="AC256" i="72"/>
  <c r="AD256" i="72"/>
  <c r="AE256" i="72"/>
  <c r="AF256" i="72"/>
  <c r="AG256" i="72"/>
  <c r="AH256" i="72"/>
  <c r="AI256" i="72"/>
  <c r="AJ256" i="72"/>
  <c r="AK256" i="72"/>
  <c r="AL256" i="72"/>
  <c r="X257" i="72"/>
  <c r="Y257" i="72"/>
  <c r="Z257" i="72"/>
  <c r="AA257" i="72"/>
  <c r="AB257" i="72"/>
  <c r="AC257" i="72"/>
  <c r="AD257" i="72"/>
  <c r="AE257" i="72"/>
  <c r="AF257" i="72"/>
  <c r="AG257" i="72"/>
  <c r="AH257" i="72"/>
  <c r="AI257" i="72"/>
  <c r="AJ257" i="72"/>
  <c r="AK257" i="72"/>
  <c r="AL257" i="72"/>
  <c r="X258" i="72"/>
  <c r="Y258" i="72"/>
  <c r="Z258" i="72"/>
  <c r="AA258" i="72"/>
  <c r="AB258" i="72"/>
  <c r="AC258" i="72"/>
  <c r="AD258" i="72"/>
  <c r="AE258" i="72"/>
  <c r="AF258" i="72"/>
  <c r="AG258" i="72"/>
  <c r="AH258" i="72"/>
  <c r="AI258" i="72"/>
  <c r="AJ258" i="72"/>
  <c r="AK258" i="72"/>
  <c r="AL258" i="72"/>
  <c r="X259" i="72"/>
  <c r="Y259" i="72"/>
  <c r="Z259" i="72"/>
  <c r="AA259" i="72"/>
  <c r="AB259" i="72"/>
  <c r="AC259" i="72"/>
  <c r="AD259" i="72"/>
  <c r="AE259" i="72"/>
  <c r="AF259" i="72"/>
  <c r="AG259" i="72"/>
  <c r="AH259" i="72"/>
  <c r="AI259" i="72"/>
  <c r="AJ259" i="72"/>
  <c r="AK259" i="72"/>
  <c r="AL259" i="72"/>
  <c r="X260" i="72"/>
  <c r="Y260" i="72"/>
  <c r="Z260" i="72"/>
  <c r="AA260" i="72"/>
  <c r="AB260" i="72"/>
  <c r="AC260" i="72"/>
  <c r="AD260" i="72"/>
  <c r="AE260" i="72"/>
  <c r="AF260" i="72"/>
  <c r="AG260" i="72"/>
  <c r="AH260" i="72"/>
  <c r="AI260" i="72"/>
  <c r="AJ260" i="72"/>
  <c r="AK260" i="72"/>
  <c r="AL260" i="72"/>
  <c r="X261" i="72"/>
  <c r="Y261" i="72"/>
  <c r="Z261" i="72"/>
  <c r="AA261" i="72"/>
  <c r="AB261" i="72"/>
  <c r="AC261" i="72"/>
  <c r="AD261" i="72"/>
  <c r="AE261" i="72"/>
  <c r="AF261" i="72"/>
  <c r="AG261" i="72"/>
  <c r="AH261" i="72"/>
  <c r="AI261" i="72"/>
  <c r="AJ261" i="72"/>
  <c r="AK261" i="72"/>
  <c r="AL261" i="72"/>
  <c r="X262" i="72"/>
  <c r="Y262" i="72"/>
  <c r="Z262" i="72"/>
  <c r="AA262" i="72"/>
  <c r="AB262" i="72"/>
  <c r="AC262" i="72"/>
  <c r="AD262" i="72"/>
  <c r="AE262" i="72"/>
  <c r="AF262" i="72"/>
  <c r="AG262" i="72"/>
  <c r="AH262" i="72"/>
  <c r="AI262" i="72"/>
  <c r="AJ262" i="72"/>
  <c r="AK262" i="72"/>
  <c r="AL262" i="72"/>
  <c r="X263" i="72"/>
  <c r="Y263" i="72"/>
  <c r="Z263" i="72"/>
  <c r="AA263" i="72"/>
  <c r="AB263" i="72"/>
  <c r="AC263" i="72"/>
  <c r="AD263" i="72"/>
  <c r="AE263" i="72"/>
  <c r="AF263" i="72"/>
  <c r="AG263" i="72"/>
  <c r="AH263" i="72"/>
  <c r="AI263" i="72"/>
  <c r="AJ263" i="72"/>
  <c r="AK263" i="72"/>
  <c r="AL263" i="72"/>
  <c r="X265" i="72"/>
  <c r="Y265" i="72"/>
  <c r="Z265" i="72"/>
  <c r="AA265" i="72"/>
  <c r="AB265" i="72"/>
  <c r="AC265" i="72"/>
  <c r="AD265" i="72"/>
  <c r="AE265" i="72"/>
  <c r="AF265" i="72"/>
  <c r="AG265" i="72"/>
  <c r="AH265" i="72"/>
  <c r="AI265" i="72"/>
  <c r="AJ265" i="72"/>
  <c r="AK265" i="72"/>
  <c r="AL265" i="72"/>
  <c r="X266" i="72"/>
  <c r="Y266" i="72"/>
  <c r="Z266" i="72"/>
  <c r="AA266" i="72"/>
  <c r="AB266" i="72"/>
  <c r="AC266" i="72"/>
  <c r="AD266" i="72"/>
  <c r="AE266" i="72"/>
  <c r="AF266" i="72"/>
  <c r="AG266" i="72"/>
  <c r="AH266" i="72"/>
  <c r="AI266" i="72"/>
  <c r="AJ266" i="72"/>
  <c r="AK266" i="72"/>
  <c r="AL266" i="72"/>
  <c r="X267" i="72"/>
  <c r="Y267" i="72"/>
  <c r="Z267" i="72"/>
  <c r="AA267" i="72"/>
  <c r="AB267" i="72"/>
  <c r="AC267" i="72"/>
  <c r="AD267" i="72"/>
  <c r="AE267" i="72"/>
  <c r="AF267" i="72"/>
  <c r="AG267" i="72"/>
  <c r="AH267" i="72"/>
  <c r="AI267" i="72"/>
  <c r="AJ267" i="72"/>
  <c r="AK267" i="72"/>
  <c r="AL267" i="72"/>
  <c r="X268" i="72"/>
  <c r="Y268" i="72"/>
  <c r="Z268" i="72"/>
  <c r="AA268" i="72"/>
  <c r="AB268" i="72"/>
  <c r="AC268" i="72"/>
  <c r="AD268" i="72"/>
  <c r="AE268" i="72"/>
  <c r="AF268" i="72"/>
  <c r="AG268" i="72"/>
  <c r="AH268" i="72"/>
  <c r="AI268" i="72"/>
  <c r="AJ268" i="72"/>
  <c r="AK268" i="72"/>
  <c r="AL268" i="72"/>
  <c r="X269" i="72"/>
  <c r="Y269" i="72"/>
  <c r="Z269" i="72"/>
  <c r="AA269" i="72"/>
  <c r="AB269" i="72"/>
  <c r="AC269" i="72"/>
  <c r="AD269" i="72"/>
  <c r="AE269" i="72"/>
  <c r="AF269" i="72"/>
  <c r="AG269" i="72"/>
  <c r="AH269" i="72"/>
  <c r="AI269" i="72"/>
  <c r="AJ269" i="72"/>
  <c r="AK269" i="72"/>
  <c r="AL269" i="72"/>
  <c r="X270" i="72"/>
  <c r="Y270" i="72"/>
  <c r="Z270" i="72"/>
  <c r="AA270" i="72"/>
  <c r="AB270" i="72"/>
  <c r="AC270" i="72"/>
  <c r="AD270" i="72"/>
  <c r="AE270" i="72"/>
  <c r="AF270" i="72"/>
  <c r="AG270" i="72"/>
  <c r="AH270" i="72"/>
  <c r="AI270" i="72"/>
  <c r="AJ270" i="72"/>
  <c r="AK270" i="72"/>
  <c r="AL270" i="72"/>
  <c r="X272" i="72"/>
  <c r="Y272" i="72"/>
  <c r="Z272" i="72"/>
  <c r="AA272" i="72"/>
  <c r="AB272" i="72"/>
  <c r="AC272" i="72"/>
  <c r="AD272" i="72"/>
  <c r="AE272" i="72"/>
  <c r="AF272" i="72"/>
  <c r="AG272" i="72"/>
  <c r="AH272" i="72"/>
  <c r="AI272" i="72"/>
  <c r="AJ272" i="72"/>
  <c r="AK272" i="72"/>
  <c r="AL272" i="72"/>
  <c r="X273" i="72"/>
  <c r="Y273" i="72"/>
  <c r="Z273" i="72"/>
  <c r="AA273" i="72"/>
  <c r="AB273" i="72"/>
  <c r="AC273" i="72"/>
  <c r="AD273" i="72"/>
  <c r="AE273" i="72"/>
  <c r="AF273" i="72"/>
  <c r="AG273" i="72"/>
  <c r="AH273" i="72"/>
  <c r="AI273" i="72"/>
  <c r="AJ273" i="72"/>
  <c r="AK273" i="72"/>
  <c r="AL273" i="72"/>
  <c r="X274" i="72"/>
  <c r="Y274" i="72"/>
  <c r="Z274" i="72"/>
  <c r="AA274" i="72"/>
  <c r="AB274" i="72"/>
  <c r="AC274" i="72"/>
  <c r="AD274" i="72"/>
  <c r="AE274" i="72"/>
  <c r="AF274" i="72"/>
  <c r="AG274" i="72"/>
  <c r="AH274" i="72"/>
  <c r="AI274" i="72"/>
  <c r="AJ274" i="72"/>
  <c r="AK274" i="72"/>
  <c r="AL274" i="72"/>
  <c r="X275" i="72"/>
  <c r="Y275" i="72"/>
  <c r="Z275" i="72"/>
  <c r="AA275" i="72"/>
  <c r="AB275" i="72"/>
  <c r="AC275" i="72"/>
  <c r="AD275" i="72"/>
  <c r="AE275" i="72"/>
  <c r="AF275" i="72"/>
  <c r="AG275" i="72"/>
  <c r="AH275" i="72"/>
  <c r="AI275" i="72"/>
  <c r="AJ275" i="72"/>
  <c r="AK275" i="72"/>
  <c r="AL275" i="72"/>
  <c r="X276" i="72"/>
  <c r="Y276" i="72"/>
  <c r="Z276" i="72"/>
  <c r="AA276" i="72"/>
  <c r="AB276" i="72"/>
  <c r="AC276" i="72"/>
  <c r="AD276" i="72"/>
  <c r="AE276" i="72"/>
  <c r="AF276" i="72"/>
  <c r="AG276" i="72"/>
  <c r="AH276" i="72"/>
  <c r="AI276" i="72"/>
  <c r="AJ276" i="72"/>
  <c r="AK276" i="72"/>
  <c r="AL276" i="72"/>
  <c r="X277" i="72"/>
  <c r="Y277" i="72"/>
  <c r="Z277" i="72"/>
  <c r="AA277" i="72"/>
  <c r="AB277" i="72"/>
  <c r="AC277" i="72"/>
  <c r="AD277" i="72"/>
  <c r="AE277" i="72"/>
  <c r="AF277" i="72"/>
  <c r="AG277" i="72"/>
  <c r="AH277" i="72"/>
  <c r="AI277" i="72"/>
  <c r="AJ277" i="72"/>
  <c r="AK277" i="72"/>
  <c r="AL277" i="72"/>
  <c r="X278" i="72"/>
  <c r="Y278" i="72"/>
  <c r="Z278" i="72"/>
  <c r="AA278" i="72"/>
  <c r="AB278" i="72"/>
  <c r="AC278" i="72"/>
  <c r="AD278" i="72"/>
  <c r="AE278" i="72"/>
  <c r="AF278" i="72"/>
  <c r="AG278" i="72"/>
  <c r="AH278" i="72"/>
  <c r="AI278" i="72"/>
  <c r="AJ278" i="72"/>
  <c r="AK278" i="72"/>
  <c r="AL278" i="72"/>
  <c r="X284" i="72"/>
  <c r="Y284" i="72"/>
  <c r="Z284" i="72"/>
  <c r="AA284" i="72"/>
  <c r="AB284" i="72"/>
  <c r="AC284" i="72"/>
  <c r="AD284" i="72"/>
  <c r="AE284" i="72"/>
  <c r="AF284" i="72"/>
  <c r="AG284" i="72"/>
  <c r="AH284" i="72"/>
  <c r="AI284" i="72"/>
  <c r="AJ284" i="72"/>
  <c r="AK284" i="72"/>
  <c r="AL284" i="72"/>
  <c r="X286" i="72"/>
  <c r="Y286" i="72"/>
  <c r="Z286" i="72"/>
  <c r="AA286" i="72"/>
  <c r="AB286" i="72"/>
  <c r="AC286" i="72"/>
  <c r="AD286" i="72"/>
  <c r="AE286" i="72"/>
  <c r="AF286" i="72"/>
  <c r="AG286" i="72"/>
  <c r="AH286" i="72"/>
  <c r="AI286" i="72"/>
  <c r="AJ286" i="72"/>
  <c r="AK286" i="72"/>
  <c r="AL286" i="72"/>
  <c r="X287" i="72"/>
  <c r="Y287" i="72"/>
  <c r="Z287" i="72"/>
  <c r="AA287" i="72"/>
  <c r="AB287" i="72"/>
  <c r="AC287" i="72"/>
  <c r="AD287" i="72"/>
  <c r="AE287" i="72"/>
  <c r="AF287" i="72"/>
  <c r="AG287" i="72"/>
  <c r="AH287" i="72"/>
  <c r="AI287" i="72"/>
  <c r="AJ287" i="72"/>
  <c r="AK287" i="72"/>
  <c r="AL287" i="72"/>
  <c r="X288" i="72"/>
  <c r="Y288" i="72"/>
  <c r="Z288" i="72"/>
  <c r="AA288" i="72"/>
  <c r="AB288" i="72"/>
  <c r="AC288" i="72"/>
  <c r="AD288" i="72"/>
  <c r="AE288" i="72"/>
  <c r="AF288" i="72"/>
  <c r="AG288" i="72"/>
  <c r="AH288" i="72"/>
  <c r="AI288" i="72"/>
  <c r="AJ288" i="72"/>
  <c r="AK288" i="72"/>
  <c r="AL288" i="72"/>
  <c r="X289" i="72"/>
  <c r="Y289" i="72"/>
  <c r="Z289" i="72"/>
  <c r="AA289" i="72"/>
  <c r="AB289" i="72"/>
  <c r="AC289" i="72"/>
  <c r="AD289" i="72"/>
  <c r="AE289" i="72"/>
  <c r="AF289" i="72"/>
  <c r="AG289" i="72"/>
  <c r="AH289" i="72"/>
  <c r="AI289" i="72"/>
  <c r="AJ289" i="72"/>
  <c r="AK289" i="72"/>
  <c r="AL289" i="72"/>
  <c r="X290" i="72"/>
  <c r="Y290" i="72"/>
  <c r="Z290" i="72"/>
  <c r="AA290" i="72"/>
  <c r="AB290" i="72"/>
  <c r="AC290" i="72"/>
  <c r="AD290" i="72"/>
  <c r="AE290" i="72"/>
  <c r="AF290" i="72"/>
  <c r="AG290" i="72"/>
  <c r="AH290" i="72"/>
  <c r="AI290" i="72"/>
  <c r="AJ290" i="72"/>
  <c r="AK290" i="72"/>
  <c r="AL290" i="72"/>
  <c r="X291" i="72"/>
  <c r="Y291" i="72"/>
  <c r="Z291" i="72"/>
  <c r="AA291" i="72"/>
  <c r="AB291" i="72"/>
  <c r="AC291" i="72"/>
  <c r="AD291" i="72"/>
  <c r="AE291" i="72"/>
  <c r="AF291" i="72"/>
  <c r="AG291" i="72"/>
  <c r="AH291" i="72"/>
  <c r="AI291" i="72"/>
  <c r="AJ291" i="72"/>
  <c r="AK291" i="72"/>
  <c r="AL291" i="72"/>
  <c r="X292" i="72"/>
  <c r="Y292" i="72"/>
  <c r="Z292" i="72"/>
  <c r="AA292" i="72"/>
  <c r="AB292" i="72"/>
  <c r="AC292" i="72"/>
  <c r="AD292" i="72"/>
  <c r="AE292" i="72"/>
  <c r="AF292" i="72"/>
  <c r="AG292" i="72"/>
  <c r="AH292" i="72"/>
  <c r="AI292" i="72"/>
  <c r="AJ292" i="72"/>
  <c r="AK292" i="72"/>
  <c r="AL292" i="72"/>
  <c r="X293" i="72"/>
  <c r="Y293" i="72"/>
  <c r="Z293" i="72"/>
  <c r="AA293" i="72"/>
  <c r="AB293" i="72"/>
  <c r="AC293" i="72"/>
  <c r="AD293" i="72"/>
  <c r="AE293" i="72"/>
  <c r="AF293" i="72"/>
  <c r="AG293" i="72"/>
  <c r="AH293" i="72"/>
  <c r="AI293" i="72"/>
  <c r="AJ293" i="72"/>
  <c r="AK293" i="72"/>
  <c r="AL293" i="72"/>
  <c r="X294" i="72"/>
  <c r="Y294" i="72"/>
  <c r="Z294" i="72"/>
  <c r="AA294" i="72"/>
  <c r="AB294" i="72"/>
  <c r="AC294" i="72"/>
  <c r="AD294" i="72"/>
  <c r="AE294" i="72"/>
  <c r="AF294" i="72"/>
  <c r="AG294" i="72"/>
  <c r="AH294" i="72"/>
  <c r="AI294" i="72"/>
  <c r="AJ294" i="72"/>
  <c r="AK294" i="72"/>
  <c r="AL294" i="72"/>
  <c r="X295" i="72"/>
  <c r="Y295" i="72"/>
  <c r="Z295" i="72"/>
  <c r="AA295" i="72"/>
  <c r="AB295" i="72"/>
  <c r="AC295" i="72"/>
  <c r="AD295" i="72"/>
  <c r="AE295" i="72"/>
  <c r="AF295" i="72"/>
  <c r="AG295" i="72"/>
  <c r="AH295" i="72"/>
  <c r="AI295" i="72"/>
  <c r="AJ295" i="72"/>
  <c r="AK295" i="72"/>
  <c r="AL295" i="72"/>
  <c r="X296" i="72"/>
  <c r="Y296" i="72"/>
  <c r="Z296" i="72"/>
  <c r="AA296" i="72"/>
  <c r="AB296" i="72"/>
  <c r="AC296" i="72"/>
  <c r="AD296" i="72"/>
  <c r="AE296" i="72"/>
  <c r="AF296" i="72"/>
  <c r="AG296" i="72"/>
  <c r="AH296" i="72"/>
  <c r="AI296" i="72"/>
  <c r="AJ296" i="72"/>
  <c r="AK296" i="72"/>
  <c r="AL296" i="72"/>
  <c r="X297" i="72"/>
  <c r="Y297" i="72"/>
  <c r="Z297" i="72"/>
  <c r="AA297" i="72"/>
  <c r="AB297" i="72"/>
  <c r="AC297" i="72"/>
  <c r="AD297" i="72"/>
  <c r="AE297" i="72"/>
  <c r="AF297" i="72"/>
  <c r="AG297" i="72"/>
  <c r="AH297" i="72"/>
  <c r="AI297" i="72"/>
  <c r="AJ297" i="72"/>
  <c r="AK297" i="72"/>
  <c r="AL297" i="72"/>
  <c r="X298" i="72"/>
  <c r="Y298" i="72"/>
  <c r="Z298" i="72"/>
  <c r="AA298" i="72"/>
  <c r="AB298" i="72"/>
  <c r="AC298" i="72"/>
  <c r="AD298" i="72"/>
  <c r="AE298" i="72"/>
  <c r="AF298" i="72"/>
  <c r="AG298" i="72"/>
  <c r="AH298" i="72"/>
  <c r="AI298" i="72"/>
  <c r="AJ298" i="72"/>
  <c r="AK298" i="72"/>
  <c r="AL298" i="72"/>
  <c r="X299" i="72"/>
  <c r="Y299" i="72"/>
  <c r="Z299" i="72"/>
  <c r="AA299" i="72"/>
  <c r="AB299" i="72"/>
  <c r="AC299" i="72"/>
  <c r="AD299" i="72"/>
  <c r="AE299" i="72"/>
  <c r="AF299" i="72"/>
  <c r="AG299" i="72"/>
  <c r="AH299" i="72"/>
  <c r="AI299" i="72"/>
  <c r="AJ299" i="72"/>
  <c r="AK299" i="72"/>
  <c r="AL299" i="72"/>
  <c r="X300" i="72"/>
  <c r="Y300" i="72"/>
  <c r="Z300" i="72"/>
  <c r="AA300" i="72"/>
  <c r="AB300" i="72"/>
  <c r="AC300" i="72"/>
  <c r="AD300" i="72"/>
  <c r="AE300" i="72"/>
  <c r="AF300" i="72"/>
  <c r="AG300" i="72"/>
  <c r="AH300" i="72"/>
  <c r="AI300" i="72"/>
  <c r="AJ300" i="72"/>
  <c r="AK300" i="72"/>
  <c r="AL300" i="72"/>
  <c r="X301" i="72"/>
  <c r="Y301" i="72"/>
  <c r="Z301" i="72"/>
  <c r="AA301" i="72"/>
  <c r="AB301" i="72"/>
  <c r="AC301" i="72"/>
  <c r="AD301" i="72"/>
  <c r="AE301" i="72"/>
  <c r="AF301" i="72"/>
  <c r="AG301" i="72"/>
  <c r="AH301" i="72"/>
  <c r="AI301" i="72"/>
  <c r="AJ301" i="72"/>
  <c r="AK301" i="72"/>
  <c r="AL301" i="72"/>
  <c r="X302" i="72"/>
  <c r="Y302" i="72"/>
  <c r="Z302" i="72"/>
  <c r="AA302" i="72"/>
  <c r="AB302" i="72"/>
  <c r="AC302" i="72"/>
  <c r="AD302" i="72"/>
  <c r="AE302" i="72"/>
  <c r="AF302" i="72"/>
  <c r="AG302" i="72"/>
  <c r="AH302" i="72"/>
  <c r="AI302" i="72"/>
  <c r="AJ302" i="72"/>
  <c r="AK302" i="72"/>
  <c r="AL302" i="72"/>
  <c r="X304" i="72"/>
  <c r="Y304" i="72"/>
  <c r="Z304" i="72"/>
  <c r="AA304" i="72"/>
  <c r="AB304" i="72"/>
  <c r="AC304" i="72"/>
  <c r="AD304" i="72"/>
  <c r="AE304" i="72"/>
  <c r="AF304" i="72"/>
  <c r="AG304" i="72"/>
  <c r="AH304" i="72"/>
  <c r="AI304" i="72"/>
  <c r="AJ304" i="72"/>
  <c r="AK304" i="72"/>
  <c r="AL304" i="72"/>
  <c r="X305" i="72"/>
  <c r="Y305" i="72"/>
  <c r="Z305" i="72"/>
  <c r="AA305" i="72"/>
  <c r="AB305" i="72"/>
  <c r="AC305" i="72"/>
  <c r="AD305" i="72"/>
  <c r="AE305" i="72"/>
  <c r="AF305" i="72"/>
  <c r="AG305" i="72"/>
  <c r="AH305" i="72"/>
  <c r="AI305" i="72"/>
  <c r="AJ305" i="72"/>
  <c r="AK305" i="72"/>
  <c r="AL305" i="72"/>
  <c r="X310" i="72"/>
  <c r="Y310" i="72"/>
  <c r="Z310" i="72"/>
  <c r="AA310" i="72"/>
  <c r="AB310" i="72"/>
  <c r="AC310" i="72"/>
  <c r="AD310" i="72"/>
  <c r="AE310" i="72"/>
  <c r="AF310" i="72"/>
  <c r="AG310" i="72"/>
  <c r="AH310" i="72"/>
  <c r="AI310" i="72"/>
  <c r="AJ310" i="72"/>
  <c r="AK310" i="72"/>
  <c r="AL310" i="72"/>
  <c r="X311" i="72"/>
  <c r="Y311" i="72"/>
  <c r="Z311" i="72"/>
  <c r="AA311" i="72"/>
  <c r="AB311" i="72"/>
  <c r="AC311" i="72"/>
  <c r="AD311" i="72"/>
  <c r="AE311" i="72"/>
  <c r="AF311" i="72"/>
  <c r="AG311" i="72"/>
  <c r="AH311" i="72"/>
  <c r="AI311" i="72"/>
  <c r="AJ311" i="72"/>
  <c r="AK311" i="72"/>
  <c r="AL311" i="72"/>
  <c r="X313" i="72"/>
  <c r="Y313" i="72"/>
  <c r="Z313" i="72"/>
  <c r="AA313" i="72"/>
  <c r="AB313" i="72"/>
  <c r="AC313" i="72"/>
  <c r="AD313" i="72"/>
  <c r="AE313" i="72"/>
  <c r="AF313" i="72"/>
  <c r="AG313" i="72"/>
  <c r="AH313" i="72"/>
  <c r="AI313" i="72"/>
  <c r="AJ313" i="72"/>
  <c r="AK313" i="72"/>
  <c r="AL313" i="72"/>
  <c r="X314" i="72"/>
  <c r="Y314" i="72"/>
  <c r="Z314" i="72"/>
  <c r="AA314" i="72"/>
  <c r="AB314" i="72"/>
  <c r="AC314" i="72"/>
  <c r="AD314" i="72"/>
  <c r="AE314" i="72"/>
  <c r="AF314" i="72"/>
  <c r="AG314" i="72"/>
  <c r="AH314" i="72"/>
  <c r="AI314" i="72"/>
  <c r="AJ314" i="72"/>
  <c r="AK314" i="72"/>
  <c r="AL314" i="72"/>
  <c r="X316" i="72"/>
  <c r="Y316" i="72"/>
  <c r="Z316" i="72"/>
  <c r="AA316" i="72"/>
  <c r="AB316" i="72"/>
  <c r="AC316" i="72"/>
  <c r="AD316" i="72"/>
  <c r="AE316" i="72"/>
  <c r="AF316" i="72"/>
  <c r="AG316" i="72"/>
  <c r="AH316" i="72"/>
  <c r="AI316" i="72"/>
  <c r="AJ316" i="72"/>
  <c r="AK316" i="72"/>
  <c r="AL316" i="72"/>
  <c r="X318" i="72"/>
  <c r="Y318" i="72"/>
  <c r="Z318" i="72"/>
  <c r="AA318" i="72"/>
  <c r="AB318" i="72"/>
  <c r="AC318" i="72"/>
  <c r="AD318" i="72"/>
  <c r="AE318" i="72"/>
  <c r="AF318" i="72"/>
  <c r="AG318" i="72"/>
  <c r="AH318" i="72"/>
  <c r="AI318" i="72"/>
  <c r="AJ318" i="72"/>
  <c r="AK318" i="72"/>
  <c r="AL318" i="72"/>
  <c r="X320" i="72"/>
  <c r="Y320" i="72"/>
  <c r="Z320" i="72"/>
  <c r="AA320" i="72"/>
  <c r="AB320" i="72"/>
  <c r="AC320" i="72"/>
  <c r="AD320" i="72"/>
  <c r="AE320" i="72"/>
  <c r="AF320" i="72"/>
  <c r="AG320" i="72"/>
  <c r="AH320" i="72"/>
  <c r="AI320" i="72"/>
  <c r="AJ320" i="72"/>
  <c r="AK320" i="72"/>
  <c r="AL320" i="72"/>
  <c r="X328" i="72"/>
  <c r="Y328" i="72"/>
  <c r="Z328" i="72"/>
  <c r="AA328" i="72"/>
  <c r="AB328" i="72"/>
  <c r="AC328" i="72"/>
  <c r="AD328" i="72"/>
  <c r="AE328" i="72"/>
  <c r="AF328" i="72"/>
  <c r="AG328" i="72"/>
  <c r="AH328" i="72"/>
  <c r="AI328" i="72"/>
  <c r="AJ328" i="72"/>
  <c r="AK328" i="72"/>
  <c r="AL328" i="72"/>
  <c r="X329" i="72"/>
  <c r="Y329" i="72"/>
  <c r="Z329" i="72"/>
  <c r="AA329" i="72"/>
  <c r="AB329" i="72"/>
  <c r="AC329" i="72"/>
  <c r="AD329" i="72"/>
  <c r="AE329" i="72"/>
  <c r="AF329" i="72"/>
  <c r="AG329" i="72"/>
  <c r="AH329" i="72"/>
  <c r="AI329" i="72"/>
  <c r="AJ329" i="72"/>
  <c r="AK329" i="72"/>
  <c r="AL329" i="72"/>
  <c r="X330" i="72"/>
  <c r="Y330" i="72"/>
  <c r="Z330" i="72"/>
  <c r="AA330" i="72"/>
  <c r="AB330" i="72"/>
  <c r="AC330" i="72"/>
  <c r="AD330" i="72"/>
  <c r="AE330" i="72"/>
  <c r="AF330" i="72"/>
  <c r="AG330" i="72"/>
  <c r="AH330" i="72"/>
  <c r="AI330" i="72"/>
  <c r="AJ330" i="72"/>
  <c r="AK330" i="72"/>
  <c r="AL330" i="72"/>
  <c r="X331" i="72"/>
  <c r="Y331" i="72"/>
  <c r="Z331" i="72"/>
  <c r="AA331" i="72"/>
  <c r="AB331" i="72"/>
  <c r="AC331" i="72"/>
  <c r="AD331" i="72"/>
  <c r="AE331" i="72"/>
  <c r="AF331" i="72"/>
  <c r="AG331" i="72"/>
  <c r="AH331" i="72"/>
  <c r="AI331" i="72"/>
  <c r="AJ331" i="72"/>
  <c r="AK331" i="72"/>
  <c r="AL331" i="72"/>
  <c r="X332" i="72"/>
  <c r="Y332" i="72"/>
  <c r="Z332" i="72"/>
  <c r="AA332" i="72"/>
  <c r="AB332" i="72"/>
  <c r="AC332" i="72"/>
  <c r="AD332" i="72"/>
  <c r="AE332" i="72"/>
  <c r="AF332" i="72"/>
  <c r="AG332" i="72"/>
  <c r="AH332" i="72"/>
  <c r="AI332" i="72"/>
  <c r="AJ332" i="72"/>
  <c r="AK332" i="72"/>
  <c r="AL332" i="72"/>
  <c r="X335" i="72"/>
  <c r="Y335" i="72"/>
  <c r="Z335" i="72"/>
  <c r="AA335" i="72"/>
  <c r="AB335" i="72"/>
  <c r="AC335" i="72"/>
  <c r="AD335" i="72"/>
  <c r="AE335" i="72"/>
  <c r="AF335" i="72"/>
  <c r="AG335" i="72"/>
  <c r="AH335" i="72"/>
  <c r="AI335" i="72"/>
  <c r="AJ335" i="72"/>
  <c r="AK335" i="72"/>
  <c r="AL335" i="72"/>
  <c r="X339" i="72"/>
  <c r="Y339" i="72"/>
  <c r="Z339" i="72"/>
  <c r="AA339" i="72"/>
  <c r="AB339" i="72"/>
  <c r="AC339" i="72"/>
  <c r="AD339" i="72"/>
  <c r="AE339" i="72"/>
  <c r="AF339" i="72"/>
  <c r="AG339" i="72"/>
  <c r="AH339" i="72"/>
  <c r="AI339" i="72"/>
  <c r="AJ339" i="72"/>
  <c r="AK339" i="72"/>
  <c r="AL339" i="72"/>
  <c r="X342" i="72"/>
  <c r="Y342" i="72"/>
  <c r="Z342" i="72"/>
  <c r="AA342" i="72"/>
  <c r="AB342" i="72"/>
  <c r="AC342" i="72"/>
  <c r="AD342" i="72"/>
  <c r="AE342" i="72"/>
  <c r="AF342" i="72"/>
  <c r="AG342" i="72"/>
  <c r="AH342" i="72"/>
  <c r="AI342" i="72"/>
  <c r="AJ342" i="72"/>
  <c r="AK342" i="72"/>
  <c r="AL342" i="72"/>
  <c r="X343" i="72"/>
  <c r="Y343" i="72"/>
  <c r="Z343" i="72"/>
  <c r="AA343" i="72"/>
  <c r="AB343" i="72"/>
  <c r="AC343" i="72"/>
  <c r="AD343" i="72"/>
  <c r="AE343" i="72"/>
  <c r="AF343" i="72"/>
  <c r="AG343" i="72"/>
  <c r="AH343" i="72"/>
  <c r="AI343" i="72"/>
  <c r="AJ343" i="72"/>
  <c r="AK343" i="72"/>
  <c r="AL343" i="72"/>
  <c r="X345" i="72"/>
  <c r="Y345" i="72"/>
  <c r="Z345" i="72"/>
  <c r="AA345" i="72"/>
  <c r="AB345" i="72"/>
  <c r="AC345" i="72"/>
  <c r="AD345" i="72"/>
  <c r="AE345" i="72"/>
  <c r="AF345" i="72"/>
  <c r="AG345" i="72"/>
  <c r="AH345" i="72"/>
  <c r="AI345" i="72"/>
  <c r="AJ345" i="72"/>
  <c r="AK345" i="72"/>
  <c r="AL345" i="72"/>
  <c r="X346" i="72"/>
  <c r="Y346" i="72"/>
  <c r="Z346" i="72"/>
  <c r="AA346" i="72"/>
  <c r="AB346" i="72"/>
  <c r="AC346" i="72"/>
  <c r="AD346" i="72"/>
  <c r="AE346" i="72"/>
  <c r="AF346" i="72"/>
  <c r="AG346" i="72"/>
  <c r="AH346" i="72"/>
  <c r="AI346" i="72"/>
  <c r="AJ346" i="72"/>
  <c r="AK346" i="72"/>
  <c r="AL346" i="72"/>
  <c r="X347" i="72"/>
  <c r="Y347" i="72"/>
  <c r="Z347" i="72"/>
  <c r="AA347" i="72"/>
  <c r="AB347" i="72"/>
  <c r="AC347" i="72"/>
  <c r="AD347" i="72"/>
  <c r="AE347" i="72"/>
  <c r="AF347" i="72"/>
  <c r="AG347" i="72"/>
  <c r="AH347" i="72"/>
  <c r="AI347" i="72"/>
  <c r="AJ347" i="72"/>
  <c r="AK347" i="72"/>
  <c r="AL347" i="72"/>
  <c r="X348" i="72"/>
  <c r="Y348" i="72"/>
  <c r="Z348" i="72"/>
  <c r="AA348" i="72"/>
  <c r="AB348" i="72"/>
  <c r="AC348" i="72"/>
  <c r="AD348" i="72"/>
  <c r="AE348" i="72"/>
  <c r="AF348" i="72"/>
  <c r="AG348" i="72"/>
  <c r="AH348" i="72"/>
  <c r="AI348" i="72"/>
  <c r="AJ348" i="72"/>
  <c r="AK348" i="72"/>
  <c r="AL348" i="72"/>
  <c r="X350" i="72"/>
  <c r="Y350" i="72"/>
  <c r="Z350" i="72"/>
  <c r="AA350" i="72"/>
  <c r="AB350" i="72"/>
  <c r="AC350" i="72"/>
  <c r="AD350" i="72"/>
  <c r="AE350" i="72"/>
  <c r="AF350" i="72"/>
  <c r="AG350" i="72"/>
  <c r="AH350" i="72"/>
  <c r="AI350" i="72"/>
  <c r="AJ350" i="72"/>
  <c r="AK350" i="72"/>
  <c r="AL350" i="72"/>
  <c r="X351" i="72"/>
  <c r="Y351" i="72"/>
  <c r="Z351" i="72"/>
  <c r="AA351" i="72"/>
  <c r="AB351" i="72"/>
  <c r="AC351" i="72"/>
  <c r="AD351" i="72"/>
  <c r="AE351" i="72"/>
  <c r="AF351" i="72"/>
  <c r="AG351" i="72"/>
  <c r="AH351" i="72"/>
  <c r="AI351" i="72"/>
  <c r="AJ351" i="72"/>
  <c r="AK351" i="72"/>
  <c r="AL351" i="72"/>
  <c r="X352" i="72"/>
  <c r="Y352" i="72"/>
  <c r="Z352" i="72"/>
  <c r="AA352" i="72"/>
  <c r="AB352" i="72"/>
  <c r="AC352" i="72"/>
  <c r="AD352" i="72"/>
  <c r="AE352" i="72"/>
  <c r="AF352" i="72"/>
  <c r="AG352" i="72"/>
  <c r="AH352" i="72"/>
  <c r="AI352" i="72"/>
  <c r="AJ352" i="72"/>
  <c r="AK352" i="72"/>
  <c r="AL352" i="72"/>
  <c r="X353" i="72"/>
  <c r="Y353" i="72"/>
  <c r="Z353" i="72"/>
  <c r="AA353" i="72"/>
  <c r="AB353" i="72"/>
  <c r="AC353" i="72"/>
  <c r="AD353" i="72"/>
  <c r="AE353" i="72"/>
  <c r="AF353" i="72"/>
  <c r="AG353" i="72"/>
  <c r="AH353" i="72"/>
  <c r="AI353" i="72"/>
  <c r="AJ353" i="72"/>
  <c r="AK353" i="72"/>
  <c r="AL353" i="72"/>
  <c r="X354" i="72"/>
  <c r="Y354" i="72"/>
  <c r="Z354" i="72"/>
  <c r="AA354" i="72"/>
  <c r="AB354" i="72"/>
  <c r="AC354" i="72"/>
  <c r="AD354" i="72"/>
  <c r="AE354" i="72"/>
  <c r="AF354" i="72"/>
  <c r="AG354" i="72"/>
  <c r="AH354" i="72"/>
  <c r="AI354" i="72"/>
  <c r="AJ354" i="72"/>
  <c r="AK354" i="72"/>
  <c r="AL354" i="72"/>
  <c r="X355" i="72"/>
  <c r="Y355" i="72"/>
  <c r="Z355" i="72"/>
  <c r="AA355" i="72"/>
  <c r="AB355" i="72"/>
  <c r="AC355" i="72"/>
  <c r="AD355" i="72"/>
  <c r="AE355" i="72"/>
  <c r="AF355" i="72"/>
  <c r="AG355" i="72"/>
  <c r="AH355" i="72"/>
  <c r="AI355" i="72"/>
  <c r="AJ355" i="72"/>
  <c r="AK355" i="72"/>
  <c r="AL355" i="72"/>
  <c r="X356" i="72"/>
  <c r="Y356" i="72"/>
  <c r="Z356" i="72"/>
  <c r="AA356" i="72"/>
  <c r="AB356" i="72"/>
  <c r="AC356" i="72"/>
  <c r="AD356" i="72"/>
  <c r="AE356" i="72"/>
  <c r="AF356" i="72"/>
  <c r="AG356" i="72"/>
  <c r="AH356" i="72"/>
  <c r="AI356" i="72"/>
  <c r="AJ356" i="72"/>
  <c r="AK356" i="72"/>
  <c r="AL356" i="72"/>
  <c r="X357" i="72"/>
  <c r="Y357" i="72"/>
  <c r="Z357" i="72"/>
  <c r="AA357" i="72"/>
  <c r="AB357" i="72"/>
  <c r="AC357" i="72"/>
  <c r="AD357" i="72"/>
  <c r="AE357" i="72"/>
  <c r="AF357" i="72"/>
  <c r="AG357" i="72"/>
  <c r="AH357" i="72"/>
  <c r="AI357" i="72"/>
  <c r="AJ357" i="72"/>
  <c r="AK357" i="72"/>
  <c r="AL357" i="72"/>
  <c r="X358" i="72"/>
  <c r="Y358" i="72"/>
  <c r="Z358" i="72"/>
  <c r="AA358" i="72"/>
  <c r="AB358" i="72"/>
  <c r="AC358" i="72"/>
  <c r="AD358" i="72"/>
  <c r="AE358" i="72"/>
  <c r="AF358" i="72"/>
  <c r="AG358" i="72"/>
  <c r="AH358" i="72"/>
  <c r="AI358" i="72"/>
  <c r="AJ358" i="72"/>
  <c r="AK358" i="72"/>
  <c r="AL358" i="72"/>
  <c r="X360" i="72"/>
  <c r="Y360" i="72"/>
  <c r="Z360" i="72"/>
  <c r="AA360" i="72"/>
  <c r="AB360" i="72"/>
  <c r="AC360" i="72"/>
  <c r="AD360" i="72"/>
  <c r="AE360" i="72"/>
  <c r="AF360" i="72"/>
  <c r="AG360" i="72"/>
  <c r="AH360" i="72"/>
  <c r="AI360" i="72"/>
  <c r="AJ360" i="72"/>
  <c r="AK360" i="72"/>
  <c r="AL360" i="72"/>
  <c r="X361" i="72"/>
  <c r="Y361" i="72"/>
  <c r="Z361" i="72"/>
  <c r="AA361" i="72"/>
  <c r="AB361" i="72"/>
  <c r="AC361" i="72"/>
  <c r="AD361" i="72"/>
  <c r="AE361" i="72"/>
  <c r="AF361" i="72"/>
  <c r="AG361" i="72"/>
  <c r="AH361" i="72"/>
  <c r="AI361" i="72"/>
  <c r="AJ361" i="72"/>
  <c r="AK361" i="72"/>
  <c r="AL361" i="72"/>
  <c r="X364" i="72"/>
  <c r="Y364" i="72"/>
  <c r="Z364" i="72"/>
  <c r="AA364" i="72"/>
  <c r="AB364" i="72"/>
  <c r="AC364" i="72"/>
  <c r="AD364" i="72"/>
  <c r="AE364" i="72"/>
  <c r="AF364" i="72"/>
  <c r="AG364" i="72"/>
  <c r="AH364" i="72"/>
  <c r="AI364" i="72"/>
  <c r="AJ364" i="72"/>
  <c r="AK364" i="72"/>
  <c r="AL364" i="72"/>
  <c r="X365" i="72"/>
  <c r="Y365" i="72"/>
  <c r="Z365" i="72"/>
  <c r="AA365" i="72"/>
  <c r="AB365" i="72"/>
  <c r="AC365" i="72"/>
  <c r="AD365" i="72"/>
  <c r="AE365" i="72"/>
  <c r="AF365" i="72"/>
  <c r="AG365" i="72"/>
  <c r="AH365" i="72"/>
  <c r="AI365" i="72"/>
  <c r="AJ365" i="72"/>
  <c r="AK365" i="72"/>
  <c r="AL365" i="72"/>
  <c r="X366" i="72"/>
  <c r="Y366" i="72"/>
  <c r="Z366" i="72"/>
  <c r="AA366" i="72"/>
  <c r="AB366" i="72"/>
  <c r="AC366" i="72"/>
  <c r="AD366" i="72"/>
  <c r="AE366" i="72"/>
  <c r="AF366" i="72"/>
  <c r="AG366" i="72"/>
  <c r="AH366" i="72"/>
  <c r="AI366" i="72"/>
  <c r="AJ366" i="72"/>
  <c r="AK366" i="72"/>
  <c r="AL366" i="72"/>
  <c r="X367" i="72"/>
  <c r="Y367" i="72"/>
  <c r="Z367" i="72"/>
  <c r="AA367" i="72"/>
  <c r="AB367" i="72"/>
  <c r="AC367" i="72"/>
  <c r="AD367" i="72"/>
  <c r="AE367" i="72"/>
  <c r="AF367" i="72"/>
  <c r="AG367" i="72"/>
  <c r="AH367" i="72"/>
  <c r="AI367" i="72"/>
  <c r="AJ367" i="72"/>
  <c r="AK367" i="72"/>
  <c r="AL367" i="72"/>
  <c r="X370" i="72"/>
  <c r="Y370" i="72"/>
  <c r="Z370" i="72"/>
  <c r="AA370" i="72"/>
  <c r="AB370" i="72"/>
  <c r="AC370" i="72"/>
  <c r="AD370" i="72"/>
  <c r="AE370" i="72"/>
  <c r="AF370" i="72"/>
  <c r="AG370" i="72"/>
  <c r="AH370" i="72"/>
  <c r="AI370" i="72"/>
  <c r="AJ370" i="72"/>
  <c r="AK370" i="72"/>
  <c r="AL370" i="72"/>
  <c r="X371" i="72"/>
  <c r="Y371" i="72"/>
  <c r="Z371" i="72"/>
  <c r="AA371" i="72"/>
  <c r="AB371" i="72"/>
  <c r="AC371" i="72"/>
  <c r="AD371" i="72"/>
  <c r="AE371" i="72"/>
  <c r="AF371" i="72"/>
  <c r="AG371" i="72"/>
  <c r="AH371" i="72"/>
  <c r="AI371" i="72"/>
  <c r="AJ371" i="72"/>
  <c r="AK371" i="72"/>
  <c r="AL371" i="72"/>
  <c r="X372" i="72"/>
  <c r="Y372" i="72"/>
  <c r="Z372" i="72"/>
  <c r="AA372" i="72"/>
  <c r="AB372" i="72"/>
  <c r="AC372" i="72"/>
  <c r="AD372" i="72"/>
  <c r="AE372" i="72"/>
  <c r="AF372" i="72"/>
  <c r="AG372" i="72"/>
  <c r="AH372" i="72"/>
  <c r="AI372" i="72"/>
  <c r="AJ372" i="72"/>
  <c r="AK372" i="72"/>
  <c r="AL372" i="72"/>
  <c r="X373" i="72"/>
  <c r="Y373" i="72"/>
  <c r="Z373" i="72"/>
  <c r="AA373" i="72"/>
  <c r="AB373" i="72"/>
  <c r="AC373" i="72"/>
  <c r="AD373" i="72"/>
  <c r="AE373" i="72"/>
  <c r="AF373" i="72"/>
  <c r="AG373" i="72"/>
  <c r="AH373" i="72"/>
  <c r="AI373" i="72"/>
  <c r="AJ373" i="72"/>
  <c r="AK373" i="72"/>
  <c r="AL373" i="72"/>
  <c r="X374" i="72"/>
  <c r="Y374" i="72"/>
  <c r="Z374" i="72"/>
  <c r="AA374" i="72"/>
  <c r="AB374" i="72"/>
  <c r="AC374" i="72"/>
  <c r="AD374" i="72"/>
  <c r="AE374" i="72"/>
  <c r="AF374" i="72"/>
  <c r="AG374" i="72"/>
  <c r="AH374" i="72"/>
  <c r="AI374" i="72"/>
  <c r="AJ374" i="72"/>
  <c r="AK374" i="72"/>
  <c r="AL374" i="72"/>
  <c r="X375" i="72"/>
  <c r="Y375" i="72"/>
  <c r="Z375" i="72"/>
  <c r="AA375" i="72"/>
  <c r="AB375" i="72"/>
  <c r="AC375" i="72"/>
  <c r="AD375" i="72"/>
  <c r="AE375" i="72"/>
  <c r="AF375" i="72"/>
  <c r="AG375" i="72"/>
  <c r="AH375" i="72"/>
  <c r="AI375" i="72"/>
  <c r="AJ375" i="72"/>
  <c r="AK375" i="72"/>
  <c r="AL375" i="72"/>
  <c r="X376" i="72"/>
  <c r="Y376" i="72"/>
  <c r="Z376" i="72"/>
  <c r="AA376" i="72"/>
  <c r="AB376" i="72"/>
  <c r="AC376" i="72"/>
  <c r="AD376" i="72"/>
  <c r="AE376" i="72"/>
  <c r="AF376" i="72"/>
  <c r="AG376" i="72"/>
  <c r="AH376" i="72"/>
  <c r="AI376" i="72"/>
  <c r="AJ376" i="72"/>
  <c r="AK376" i="72"/>
  <c r="AL376" i="72"/>
  <c r="X377" i="72"/>
  <c r="Y377" i="72"/>
  <c r="Z377" i="72"/>
  <c r="AA377" i="72"/>
  <c r="AB377" i="72"/>
  <c r="AC377" i="72"/>
  <c r="AD377" i="72"/>
  <c r="AE377" i="72"/>
  <c r="AF377" i="72"/>
  <c r="AG377" i="72"/>
  <c r="AH377" i="72"/>
  <c r="AI377" i="72"/>
  <c r="AJ377" i="72"/>
  <c r="AK377" i="72"/>
  <c r="AL377" i="72"/>
  <c r="X378" i="72"/>
  <c r="Y378" i="72"/>
  <c r="Z378" i="72"/>
  <c r="AA378" i="72"/>
  <c r="AB378" i="72"/>
  <c r="AC378" i="72"/>
  <c r="AD378" i="72"/>
  <c r="AE378" i="72"/>
  <c r="AF378" i="72"/>
  <c r="AG378" i="72"/>
  <c r="AH378" i="72"/>
  <c r="AI378" i="72"/>
  <c r="AJ378" i="72"/>
  <c r="AK378" i="72"/>
  <c r="AL378" i="72"/>
  <c r="X379" i="72"/>
  <c r="Y379" i="72"/>
  <c r="Z379" i="72"/>
  <c r="AA379" i="72"/>
  <c r="AB379" i="72"/>
  <c r="AC379" i="72"/>
  <c r="AD379" i="72"/>
  <c r="AE379" i="72"/>
  <c r="AF379" i="72"/>
  <c r="AG379" i="72"/>
  <c r="AH379" i="72"/>
  <c r="AI379" i="72"/>
  <c r="AJ379" i="72"/>
  <c r="AK379" i="72"/>
  <c r="AL379" i="72"/>
  <c r="X380" i="72"/>
  <c r="Y380" i="72"/>
  <c r="Z380" i="72"/>
  <c r="AA380" i="72"/>
  <c r="AB380" i="72"/>
  <c r="AC380" i="72"/>
  <c r="AD380" i="72"/>
  <c r="AE380" i="72"/>
  <c r="AF380" i="72"/>
  <c r="AG380" i="72"/>
  <c r="AH380" i="72"/>
  <c r="AI380" i="72"/>
  <c r="AJ380" i="72"/>
  <c r="AK380" i="72"/>
  <c r="AL380" i="72"/>
  <c r="X381" i="72"/>
  <c r="Y381" i="72"/>
  <c r="Z381" i="72"/>
  <c r="AA381" i="72"/>
  <c r="AB381" i="72"/>
  <c r="AC381" i="72"/>
  <c r="AD381" i="72"/>
  <c r="AE381" i="72"/>
  <c r="AF381" i="72"/>
  <c r="AG381" i="72"/>
  <c r="AH381" i="72"/>
  <c r="AI381" i="72"/>
  <c r="AJ381" i="72"/>
  <c r="AK381" i="72"/>
  <c r="AL381" i="72"/>
  <c r="X382" i="72"/>
  <c r="Y382" i="72"/>
  <c r="Z382" i="72"/>
  <c r="AA382" i="72"/>
  <c r="AB382" i="72"/>
  <c r="AC382" i="72"/>
  <c r="AD382" i="72"/>
  <c r="AE382" i="72"/>
  <c r="AF382" i="72"/>
  <c r="AG382" i="72"/>
  <c r="AH382" i="72"/>
  <c r="AI382" i="72"/>
  <c r="AJ382" i="72"/>
  <c r="AK382" i="72"/>
  <c r="AL382" i="72"/>
  <c r="X383" i="72"/>
  <c r="Y383" i="72"/>
  <c r="Z383" i="72"/>
  <c r="AA383" i="72"/>
  <c r="AB383" i="72"/>
  <c r="AC383" i="72"/>
  <c r="AD383" i="72"/>
  <c r="AE383" i="72"/>
  <c r="AF383" i="72"/>
  <c r="AG383" i="72"/>
  <c r="AH383" i="72"/>
  <c r="AI383" i="72"/>
  <c r="AJ383" i="72"/>
  <c r="AK383" i="72"/>
  <c r="AL383" i="72"/>
  <c r="X388" i="72"/>
  <c r="Y388" i="72"/>
  <c r="Z388" i="72"/>
  <c r="AA388" i="72"/>
  <c r="AB388" i="72"/>
  <c r="AC388" i="72"/>
  <c r="AD388" i="72"/>
  <c r="AE388" i="72"/>
  <c r="AF388" i="72"/>
  <c r="AG388" i="72"/>
  <c r="AH388" i="72"/>
  <c r="AI388" i="72"/>
  <c r="AJ388" i="72"/>
  <c r="AK388" i="72"/>
  <c r="AL388" i="72"/>
  <c r="X389" i="72"/>
  <c r="Y389" i="72"/>
  <c r="Z389" i="72"/>
  <c r="AA389" i="72"/>
  <c r="AB389" i="72"/>
  <c r="AC389" i="72"/>
  <c r="AD389" i="72"/>
  <c r="AE389" i="72"/>
  <c r="AF389" i="72"/>
  <c r="AG389" i="72"/>
  <c r="AH389" i="72"/>
  <c r="AI389" i="72"/>
  <c r="AJ389" i="72"/>
  <c r="AK389" i="72"/>
  <c r="AL389" i="72"/>
  <c r="X390" i="72"/>
  <c r="Y390" i="72"/>
  <c r="Z390" i="72"/>
  <c r="AA390" i="72"/>
  <c r="AB390" i="72"/>
  <c r="AC390" i="72"/>
  <c r="AD390" i="72"/>
  <c r="AE390" i="72"/>
  <c r="AF390" i="72"/>
  <c r="AG390" i="72"/>
  <c r="AH390" i="72"/>
  <c r="AI390" i="72"/>
  <c r="AJ390" i="72"/>
  <c r="AK390" i="72"/>
  <c r="AL390" i="72"/>
  <c r="X392" i="72"/>
  <c r="Y392" i="72"/>
  <c r="Z392" i="72"/>
  <c r="AA392" i="72"/>
  <c r="AB392" i="72"/>
  <c r="AC392" i="72"/>
  <c r="AD392" i="72"/>
  <c r="AE392" i="72"/>
  <c r="AF392" i="72"/>
  <c r="AG392" i="72"/>
  <c r="AH392" i="72"/>
  <c r="AI392" i="72"/>
  <c r="AJ392" i="72"/>
  <c r="AK392" i="72"/>
  <c r="AL392" i="72"/>
  <c r="X399" i="72"/>
  <c r="Y399" i="72"/>
  <c r="Z399" i="72"/>
  <c r="AA399" i="72"/>
  <c r="AB399" i="72"/>
  <c r="AC399" i="72"/>
  <c r="AD399" i="72"/>
  <c r="AE399" i="72"/>
  <c r="AF399" i="72"/>
  <c r="AG399" i="72"/>
  <c r="AH399" i="72"/>
  <c r="AI399" i="72"/>
  <c r="AJ399" i="72"/>
  <c r="AK399" i="72"/>
  <c r="AL399" i="72"/>
  <c r="X401" i="72"/>
  <c r="Y401" i="72"/>
  <c r="Z401" i="72"/>
  <c r="AA401" i="72"/>
  <c r="AB401" i="72"/>
  <c r="AC401" i="72"/>
  <c r="AD401" i="72"/>
  <c r="AE401" i="72"/>
  <c r="AF401" i="72"/>
  <c r="AG401" i="72"/>
  <c r="AH401" i="72"/>
  <c r="AI401" i="72"/>
  <c r="AJ401" i="72"/>
  <c r="AK401" i="72"/>
  <c r="AL401" i="72"/>
  <c r="X402" i="72"/>
  <c r="Y402" i="72"/>
  <c r="Z402" i="72"/>
  <c r="AA402" i="72"/>
  <c r="AB402" i="72"/>
  <c r="AC402" i="72"/>
  <c r="AD402" i="72"/>
  <c r="AE402" i="72"/>
  <c r="AF402" i="72"/>
  <c r="AG402" i="72"/>
  <c r="AH402" i="72"/>
  <c r="AI402" i="72"/>
  <c r="AJ402" i="72"/>
  <c r="AK402" i="72"/>
  <c r="AL402" i="72"/>
  <c r="X403" i="72"/>
  <c r="Y403" i="72"/>
  <c r="Z403" i="72"/>
  <c r="AA403" i="72"/>
  <c r="AB403" i="72"/>
  <c r="AC403" i="72"/>
  <c r="AD403" i="72"/>
  <c r="AE403" i="72"/>
  <c r="AF403" i="72"/>
  <c r="AG403" i="72"/>
  <c r="AH403" i="72"/>
  <c r="AI403" i="72"/>
  <c r="AJ403" i="72"/>
  <c r="AK403" i="72"/>
  <c r="AL403" i="72"/>
  <c r="X404" i="72"/>
  <c r="Y404" i="72"/>
  <c r="Z404" i="72"/>
  <c r="AA404" i="72"/>
  <c r="AB404" i="72"/>
  <c r="AC404" i="72"/>
  <c r="AD404" i="72"/>
  <c r="AE404" i="72"/>
  <c r="AF404" i="72"/>
  <c r="AG404" i="72"/>
  <c r="AH404" i="72"/>
  <c r="AI404" i="72"/>
  <c r="AJ404" i="72"/>
  <c r="AK404" i="72"/>
  <c r="AL404" i="72"/>
  <c r="X406" i="72"/>
  <c r="Y406" i="72"/>
  <c r="Z406" i="72"/>
  <c r="AA406" i="72"/>
  <c r="AB406" i="72"/>
  <c r="AC406" i="72"/>
  <c r="AD406" i="72"/>
  <c r="AE406" i="72"/>
  <c r="AF406" i="72"/>
  <c r="AG406" i="72"/>
  <c r="AH406" i="72"/>
  <c r="AI406" i="72"/>
  <c r="AJ406" i="72"/>
  <c r="AK406" i="72"/>
  <c r="AL406" i="72"/>
  <c r="X408" i="72"/>
  <c r="Y408" i="72"/>
  <c r="Z408" i="72"/>
  <c r="AA408" i="72"/>
  <c r="AB408" i="72"/>
  <c r="AC408" i="72"/>
  <c r="AD408" i="72"/>
  <c r="AE408" i="72"/>
  <c r="AF408" i="72"/>
  <c r="AG408" i="72"/>
  <c r="AH408" i="72"/>
  <c r="AI408" i="72"/>
  <c r="AJ408" i="72"/>
  <c r="AK408" i="72"/>
  <c r="AL408" i="72"/>
  <c r="X413" i="72"/>
  <c r="Y413" i="72"/>
  <c r="Z413" i="72"/>
  <c r="AA413" i="72"/>
  <c r="AB413" i="72"/>
  <c r="AC413" i="72"/>
  <c r="AD413" i="72"/>
  <c r="AE413" i="72"/>
  <c r="AF413" i="72"/>
  <c r="AG413" i="72"/>
  <c r="AH413" i="72"/>
  <c r="AI413" i="72"/>
  <c r="AJ413" i="72"/>
  <c r="AK413" i="72"/>
  <c r="AL413" i="72"/>
  <c r="X415" i="72"/>
  <c r="Y415" i="72"/>
  <c r="Z415" i="72"/>
  <c r="AA415" i="72"/>
  <c r="AB415" i="72"/>
  <c r="AC415" i="72"/>
  <c r="AD415" i="72"/>
  <c r="AE415" i="72"/>
  <c r="AF415" i="72"/>
  <c r="AG415" i="72"/>
  <c r="AH415" i="72"/>
  <c r="AI415" i="72"/>
  <c r="AJ415" i="72"/>
  <c r="AK415" i="72"/>
  <c r="AL415" i="72"/>
  <c r="X416" i="72"/>
  <c r="Y416" i="72"/>
  <c r="Z416" i="72"/>
  <c r="AA416" i="72"/>
  <c r="AB416" i="72"/>
  <c r="AC416" i="72"/>
  <c r="AD416" i="72"/>
  <c r="AE416" i="72"/>
  <c r="AF416" i="72"/>
  <c r="AG416" i="72"/>
  <c r="AH416" i="72"/>
  <c r="AI416" i="72"/>
  <c r="AJ416" i="72"/>
  <c r="AK416" i="72"/>
  <c r="AL416" i="72"/>
  <c r="X424" i="72"/>
  <c r="Y424" i="72"/>
  <c r="Z424" i="72"/>
  <c r="AA424" i="72"/>
  <c r="AB424" i="72"/>
  <c r="AC424" i="72"/>
  <c r="AD424" i="72"/>
  <c r="AE424" i="72"/>
  <c r="AF424" i="72"/>
  <c r="AG424" i="72"/>
  <c r="AH424" i="72"/>
  <c r="AI424" i="72"/>
  <c r="AJ424" i="72"/>
  <c r="AK424" i="72"/>
  <c r="AL424" i="72"/>
  <c r="X425" i="72"/>
  <c r="Y425" i="72"/>
  <c r="Z425" i="72"/>
  <c r="AA425" i="72"/>
  <c r="AB425" i="72"/>
  <c r="AC425" i="72"/>
  <c r="AD425" i="72"/>
  <c r="AE425" i="72"/>
  <c r="AF425" i="72"/>
  <c r="AG425" i="72"/>
  <c r="AH425" i="72"/>
  <c r="AI425" i="72"/>
  <c r="AJ425" i="72"/>
  <c r="AK425" i="72"/>
  <c r="AL425" i="72"/>
  <c r="X426" i="72"/>
  <c r="Y426" i="72"/>
  <c r="Z426" i="72"/>
  <c r="AA426" i="72"/>
  <c r="AB426" i="72"/>
  <c r="AC426" i="72"/>
  <c r="AD426" i="72"/>
  <c r="AE426" i="72"/>
  <c r="AF426" i="72"/>
  <c r="AG426" i="72"/>
  <c r="AH426" i="72"/>
  <c r="AI426" i="72"/>
  <c r="AJ426" i="72"/>
  <c r="AK426" i="72"/>
  <c r="AL426" i="72"/>
  <c r="X435" i="72"/>
  <c r="Y435" i="72"/>
  <c r="Z435" i="72"/>
  <c r="AA435" i="72"/>
  <c r="AB435" i="72"/>
  <c r="AC435" i="72"/>
  <c r="AD435" i="72"/>
  <c r="AE435" i="72"/>
  <c r="AF435" i="72"/>
  <c r="AG435" i="72"/>
  <c r="AH435" i="72"/>
  <c r="AI435" i="72"/>
  <c r="AJ435" i="72"/>
  <c r="AK435" i="72"/>
  <c r="AL435" i="72"/>
  <c r="X437" i="72"/>
  <c r="Y437" i="72"/>
  <c r="Z437" i="72"/>
  <c r="AA437" i="72"/>
  <c r="AB437" i="72"/>
  <c r="AC437" i="72"/>
  <c r="AD437" i="72"/>
  <c r="AE437" i="72"/>
  <c r="AF437" i="72"/>
  <c r="AG437" i="72"/>
  <c r="AH437" i="72"/>
  <c r="AI437" i="72"/>
  <c r="AJ437" i="72"/>
  <c r="AK437" i="72"/>
  <c r="AL437" i="72"/>
  <c r="X438" i="72"/>
  <c r="Y438" i="72"/>
  <c r="Z438" i="72"/>
  <c r="AA438" i="72"/>
  <c r="AB438" i="72"/>
  <c r="AC438" i="72"/>
  <c r="AD438" i="72"/>
  <c r="AE438" i="72"/>
  <c r="AF438" i="72"/>
  <c r="AG438" i="72"/>
  <c r="AH438" i="72"/>
  <c r="AI438" i="72"/>
  <c r="AJ438" i="72"/>
  <c r="AK438" i="72"/>
  <c r="AL438" i="72"/>
  <c r="X439" i="72"/>
  <c r="Y439" i="72"/>
  <c r="Z439" i="72"/>
  <c r="AA439" i="72"/>
  <c r="AB439" i="72"/>
  <c r="AC439" i="72"/>
  <c r="AD439" i="72"/>
  <c r="AE439" i="72"/>
  <c r="AF439" i="72"/>
  <c r="AG439" i="72"/>
  <c r="AH439" i="72"/>
  <c r="AI439" i="72"/>
  <c r="AJ439" i="72"/>
  <c r="AK439" i="72"/>
  <c r="AL439" i="72"/>
  <c r="X440" i="72"/>
  <c r="Y440" i="72"/>
  <c r="Z440" i="72"/>
  <c r="AA440" i="72"/>
  <c r="AB440" i="72"/>
  <c r="AC440" i="72"/>
  <c r="AD440" i="72"/>
  <c r="AE440" i="72"/>
  <c r="AF440" i="72"/>
  <c r="AG440" i="72"/>
  <c r="AH440" i="72"/>
  <c r="AI440" i="72"/>
  <c r="AJ440" i="72"/>
  <c r="AK440" i="72"/>
  <c r="AL440" i="72"/>
  <c r="X441" i="72"/>
  <c r="Y441" i="72"/>
  <c r="Z441" i="72"/>
  <c r="AA441" i="72"/>
  <c r="AB441" i="72"/>
  <c r="AC441" i="72"/>
  <c r="AD441" i="72"/>
  <c r="AE441" i="72"/>
  <c r="AF441" i="72"/>
  <c r="AG441" i="72"/>
  <c r="AH441" i="72"/>
  <c r="AI441" i="72"/>
  <c r="AJ441" i="72"/>
  <c r="AK441" i="72"/>
  <c r="AL441" i="72"/>
  <c r="X447" i="72"/>
  <c r="Y447" i="72"/>
  <c r="Z447" i="72"/>
  <c r="AA447" i="72"/>
  <c r="AB447" i="72"/>
  <c r="AC447" i="72"/>
  <c r="AD447" i="72"/>
  <c r="AE447" i="72"/>
  <c r="AF447" i="72"/>
  <c r="AG447" i="72"/>
  <c r="AH447" i="72"/>
  <c r="AI447" i="72"/>
  <c r="AJ447" i="72"/>
  <c r="AK447" i="72"/>
  <c r="AL447" i="72"/>
  <c r="X448" i="72"/>
  <c r="Y448" i="72"/>
  <c r="Z448" i="72"/>
  <c r="AA448" i="72"/>
  <c r="AB448" i="72"/>
  <c r="AC448" i="72"/>
  <c r="AD448" i="72"/>
  <c r="AE448" i="72"/>
  <c r="AF448" i="72"/>
  <c r="AG448" i="72"/>
  <c r="AH448" i="72"/>
  <c r="AI448" i="72"/>
  <c r="AJ448" i="72"/>
  <c r="AK448" i="72"/>
  <c r="AL448" i="72"/>
  <c r="X449" i="72"/>
  <c r="Y449" i="72"/>
  <c r="Z449" i="72"/>
  <c r="AA449" i="72"/>
  <c r="AB449" i="72"/>
  <c r="AC449" i="72"/>
  <c r="AD449" i="72"/>
  <c r="AE449" i="72"/>
  <c r="AF449" i="72"/>
  <c r="AG449" i="72"/>
  <c r="AH449" i="72"/>
  <c r="AI449" i="72"/>
  <c r="AJ449" i="72"/>
  <c r="AK449" i="72"/>
  <c r="AL449" i="72"/>
  <c r="X450" i="72"/>
  <c r="Y450" i="72"/>
  <c r="Z450" i="72"/>
  <c r="AA450" i="72"/>
  <c r="AB450" i="72"/>
  <c r="AC450" i="72"/>
  <c r="AD450" i="72"/>
  <c r="AE450" i="72"/>
  <c r="AF450" i="72"/>
  <c r="AG450" i="72"/>
  <c r="AH450" i="72"/>
  <c r="AI450" i="72"/>
  <c r="AJ450" i="72"/>
  <c r="AK450" i="72"/>
  <c r="AL450" i="72"/>
  <c r="X451" i="72"/>
  <c r="Y451" i="72"/>
  <c r="Z451" i="72"/>
  <c r="AA451" i="72"/>
  <c r="AB451" i="72"/>
  <c r="AC451" i="72"/>
  <c r="AD451" i="72"/>
  <c r="AE451" i="72"/>
  <c r="AF451" i="72"/>
  <c r="AG451" i="72"/>
  <c r="AH451" i="72"/>
  <c r="AI451" i="72"/>
  <c r="AJ451" i="72"/>
  <c r="AK451" i="72"/>
  <c r="AL451" i="72"/>
  <c r="X452" i="72"/>
  <c r="Y452" i="72"/>
  <c r="Z452" i="72"/>
  <c r="AA452" i="72"/>
  <c r="AB452" i="72"/>
  <c r="AC452" i="72"/>
  <c r="AD452" i="72"/>
  <c r="AE452" i="72"/>
  <c r="AF452" i="72"/>
  <c r="AG452" i="72"/>
  <c r="AH452" i="72"/>
  <c r="AI452" i="72"/>
  <c r="AJ452" i="72"/>
  <c r="AK452" i="72"/>
  <c r="AL452" i="72"/>
  <c r="X453" i="72"/>
  <c r="Y453" i="72"/>
  <c r="Z453" i="72"/>
  <c r="AA453" i="72"/>
  <c r="AB453" i="72"/>
  <c r="AC453" i="72"/>
  <c r="AD453" i="72"/>
  <c r="AE453" i="72"/>
  <c r="AF453" i="72"/>
  <c r="AG453" i="72"/>
  <c r="AH453" i="72"/>
  <c r="AI453" i="72"/>
  <c r="AJ453" i="72"/>
  <c r="AK453" i="72"/>
  <c r="AL453" i="72"/>
  <c r="X454" i="72"/>
  <c r="Y454" i="72"/>
  <c r="Z454" i="72"/>
  <c r="AA454" i="72"/>
  <c r="AB454" i="72"/>
  <c r="AC454" i="72"/>
  <c r="AD454" i="72"/>
  <c r="AE454" i="72"/>
  <c r="AF454" i="72"/>
  <c r="AG454" i="72"/>
  <c r="AH454" i="72"/>
  <c r="AI454" i="72"/>
  <c r="AJ454" i="72"/>
  <c r="AK454" i="72"/>
  <c r="AL454" i="72"/>
  <c r="X455" i="72"/>
  <c r="Y455" i="72"/>
  <c r="Z455" i="72"/>
  <c r="AA455" i="72"/>
  <c r="AB455" i="72"/>
  <c r="AC455" i="72"/>
  <c r="AD455" i="72"/>
  <c r="AE455" i="72"/>
  <c r="AF455" i="72"/>
  <c r="AG455" i="72"/>
  <c r="AH455" i="72"/>
  <c r="AI455" i="72"/>
  <c r="AJ455" i="72"/>
  <c r="AK455" i="72"/>
  <c r="AL455" i="72"/>
  <c r="X456" i="72"/>
  <c r="Y456" i="72"/>
  <c r="Z456" i="72"/>
  <c r="AA456" i="72"/>
  <c r="AB456" i="72"/>
  <c r="AC456" i="72"/>
  <c r="AD456" i="72"/>
  <c r="AE456" i="72"/>
  <c r="AF456" i="72"/>
  <c r="AG456" i="72"/>
  <c r="AH456" i="72"/>
  <c r="AI456" i="72"/>
  <c r="AJ456" i="72"/>
  <c r="AK456" i="72"/>
  <c r="AL456" i="72"/>
  <c r="X460" i="72"/>
  <c r="Y460" i="72"/>
  <c r="Z460" i="72"/>
  <c r="AA460" i="72"/>
  <c r="AB460" i="72"/>
  <c r="AC460" i="72"/>
  <c r="AD460" i="72"/>
  <c r="AE460" i="72"/>
  <c r="AF460" i="72"/>
  <c r="AG460" i="72"/>
  <c r="AH460" i="72"/>
  <c r="AI460" i="72"/>
  <c r="AJ460" i="72"/>
  <c r="AK460" i="72"/>
  <c r="AL460" i="72"/>
  <c r="X461" i="72"/>
  <c r="Y461" i="72"/>
  <c r="Z461" i="72"/>
  <c r="AA461" i="72"/>
  <c r="AB461" i="72"/>
  <c r="AC461" i="72"/>
  <c r="AD461" i="72"/>
  <c r="AE461" i="72"/>
  <c r="AF461" i="72"/>
  <c r="AG461" i="72"/>
  <c r="AH461" i="72"/>
  <c r="AI461" i="72"/>
  <c r="AJ461" i="72"/>
  <c r="AK461" i="72"/>
  <c r="AL461" i="72"/>
  <c r="X462" i="72"/>
  <c r="Y462" i="72"/>
  <c r="Z462" i="72"/>
  <c r="AA462" i="72"/>
  <c r="AB462" i="72"/>
  <c r="AC462" i="72"/>
  <c r="AD462" i="72"/>
  <c r="AE462" i="72"/>
  <c r="AF462" i="72"/>
  <c r="AG462" i="72"/>
  <c r="AH462" i="72"/>
  <c r="AI462" i="72"/>
  <c r="AJ462" i="72"/>
  <c r="AK462" i="72"/>
  <c r="AL462" i="72"/>
  <c r="X464" i="72"/>
  <c r="Y464" i="72"/>
  <c r="Z464" i="72"/>
  <c r="AA464" i="72"/>
  <c r="AB464" i="72"/>
  <c r="AC464" i="72"/>
  <c r="AD464" i="72"/>
  <c r="AE464" i="72"/>
  <c r="AF464" i="72"/>
  <c r="AG464" i="72"/>
  <c r="AH464" i="72"/>
  <c r="AI464" i="72"/>
  <c r="AJ464" i="72"/>
  <c r="AK464" i="72"/>
  <c r="AL464" i="72"/>
  <c r="X465" i="72"/>
  <c r="Y465" i="72"/>
  <c r="Z465" i="72"/>
  <c r="AA465" i="72"/>
  <c r="AB465" i="72"/>
  <c r="AC465" i="72"/>
  <c r="AD465" i="72"/>
  <c r="AE465" i="72"/>
  <c r="AF465" i="72"/>
  <c r="AG465" i="72"/>
  <c r="AH465" i="72"/>
  <c r="AI465" i="72"/>
  <c r="AJ465" i="72"/>
  <c r="AK465" i="72"/>
  <c r="AL465" i="72"/>
  <c r="X466" i="72"/>
  <c r="Y466" i="72"/>
  <c r="Z466" i="72"/>
  <c r="AA466" i="72"/>
  <c r="AB466" i="72"/>
  <c r="AC466" i="72"/>
  <c r="AD466" i="72"/>
  <c r="AE466" i="72"/>
  <c r="AF466" i="72"/>
  <c r="AG466" i="72"/>
  <c r="AH466" i="72"/>
  <c r="AI466" i="72"/>
  <c r="AJ466" i="72"/>
  <c r="AK466" i="72"/>
  <c r="AL466" i="72"/>
  <c r="X474" i="72"/>
  <c r="Y474" i="72"/>
  <c r="Z474" i="72"/>
  <c r="AA474" i="72"/>
  <c r="AB474" i="72"/>
  <c r="AC474" i="72"/>
  <c r="AD474" i="72"/>
  <c r="AE474" i="72"/>
  <c r="AF474" i="72"/>
  <c r="AG474" i="72"/>
  <c r="AH474" i="72"/>
  <c r="AI474" i="72"/>
  <c r="AJ474" i="72"/>
  <c r="AK474" i="72"/>
  <c r="AL474" i="72"/>
  <c r="X475" i="72"/>
  <c r="Y475" i="72"/>
  <c r="Z475" i="72"/>
  <c r="AA475" i="72"/>
  <c r="AB475" i="72"/>
  <c r="AC475" i="72"/>
  <c r="AD475" i="72"/>
  <c r="AE475" i="72"/>
  <c r="AF475" i="72"/>
  <c r="AG475" i="72"/>
  <c r="AH475" i="72"/>
  <c r="AI475" i="72"/>
  <c r="AJ475" i="72"/>
  <c r="AK475" i="72"/>
  <c r="AL475" i="72"/>
  <c r="X476" i="72"/>
  <c r="Y476" i="72"/>
  <c r="Z476" i="72"/>
  <c r="AA476" i="72"/>
  <c r="AB476" i="72"/>
  <c r="AC476" i="72"/>
  <c r="AD476" i="72"/>
  <c r="AE476" i="72"/>
  <c r="AF476" i="72"/>
  <c r="AG476" i="72"/>
  <c r="AH476" i="72"/>
  <c r="AI476" i="72"/>
  <c r="AJ476" i="72"/>
  <c r="AK476" i="72"/>
  <c r="AL476" i="72"/>
  <c r="X477" i="72"/>
  <c r="Y477" i="72"/>
  <c r="Z477" i="72"/>
  <c r="AA477" i="72"/>
  <c r="AB477" i="72"/>
  <c r="AC477" i="72"/>
  <c r="AD477" i="72"/>
  <c r="AE477" i="72"/>
  <c r="AF477" i="72"/>
  <c r="AG477" i="72"/>
  <c r="AH477" i="72"/>
  <c r="AI477" i="72"/>
  <c r="AJ477" i="72"/>
  <c r="AK477" i="72"/>
  <c r="AL477" i="72"/>
  <c r="X485" i="72"/>
  <c r="Y485" i="72"/>
  <c r="Z485" i="72"/>
  <c r="AA485" i="72"/>
  <c r="AB485" i="72"/>
  <c r="AC485" i="72"/>
  <c r="AD485" i="72"/>
  <c r="AE485" i="72"/>
  <c r="AF485" i="72"/>
  <c r="AG485" i="72"/>
  <c r="AH485" i="72"/>
  <c r="AI485" i="72"/>
  <c r="AJ485" i="72"/>
  <c r="AK485" i="72"/>
  <c r="AL485" i="72"/>
  <c r="X490" i="72"/>
  <c r="Y490" i="72"/>
  <c r="Z490" i="72"/>
  <c r="AA490" i="72"/>
  <c r="AB490" i="72"/>
  <c r="AC490" i="72"/>
  <c r="AD490" i="72"/>
  <c r="AE490" i="72"/>
  <c r="AF490" i="72"/>
  <c r="AG490" i="72"/>
  <c r="AH490" i="72"/>
  <c r="AI490" i="72"/>
  <c r="AJ490" i="72"/>
  <c r="AK490" i="72"/>
  <c r="AL490" i="72"/>
  <c r="X497" i="72"/>
  <c r="Y497" i="72"/>
  <c r="Z497" i="72"/>
  <c r="AA497" i="72"/>
  <c r="AB497" i="72"/>
  <c r="AC497" i="72"/>
  <c r="AD497" i="72"/>
  <c r="AE497" i="72"/>
  <c r="AF497" i="72"/>
  <c r="AG497" i="72"/>
  <c r="AH497" i="72"/>
  <c r="AI497" i="72"/>
  <c r="AJ497" i="72"/>
  <c r="AK497" i="72"/>
  <c r="AL497" i="72"/>
  <c r="X498" i="72"/>
  <c r="Y498" i="72"/>
  <c r="Z498" i="72"/>
  <c r="AA498" i="72"/>
  <c r="AB498" i="72"/>
  <c r="AC498" i="72"/>
  <c r="AD498" i="72"/>
  <c r="AE498" i="72"/>
  <c r="AF498" i="72"/>
  <c r="AG498" i="72"/>
  <c r="AH498" i="72"/>
  <c r="AI498" i="72"/>
  <c r="AJ498" i="72"/>
  <c r="AK498" i="72"/>
  <c r="AL498" i="72"/>
  <c r="X499" i="72"/>
  <c r="Y499" i="72"/>
  <c r="Z499" i="72"/>
  <c r="AA499" i="72"/>
  <c r="AB499" i="72"/>
  <c r="AC499" i="72"/>
  <c r="AD499" i="72"/>
  <c r="AE499" i="72"/>
  <c r="AF499" i="72"/>
  <c r="AG499" i="72"/>
  <c r="AH499" i="72"/>
  <c r="AI499" i="72"/>
  <c r="AJ499" i="72"/>
  <c r="AK499" i="72"/>
  <c r="AL499" i="72"/>
  <c r="K128" i="8"/>
  <c r="K127" i="8"/>
  <c r="G127" i="8"/>
  <c r="K126" i="8"/>
  <c r="G126" i="8"/>
  <c r="K125" i="8"/>
  <c r="G125" i="8"/>
  <c r="K124" i="8"/>
  <c r="G124" i="8"/>
  <c r="K123" i="8"/>
  <c r="G123" i="8"/>
  <c r="K122" i="8"/>
  <c r="G122" i="8"/>
  <c r="K121" i="8"/>
  <c r="G121" i="8"/>
  <c r="K120" i="8"/>
  <c r="G120" i="8"/>
  <c r="K119" i="8"/>
  <c r="G119" i="8"/>
  <c r="K118" i="8"/>
  <c r="G118" i="8"/>
  <c r="K117" i="8"/>
  <c r="G117" i="8"/>
  <c r="K116" i="8"/>
  <c r="G116" i="8"/>
  <c r="K115" i="8"/>
  <c r="G115" i="8"/>
  <c r="K114" i="8"/>
  <c r="G114" i="8"/>
  <c r="K113" i="8"/>
  <c r="G113" i="8"/>
  <c r="K112" i="8"/>
  <c r="G112" i="8"/>
  <c r="K111" i="8"/>
  <c r="G111" i="8"/>
  <c r="K110" i="8"/>
  <c r="G110" i="8"/>
  <c r="K109" i="8"/>
  <c r="G109" i="8"/>
  <c r="K108" i="8"/>
  <c r="G108" i="8"/>
  <c r="K107" i="8"/>
  <c r="G107" i="8"/>
  <c r="K106" i="8"/>
  <c r="G106" i="8"/>
  <c r="K105" i="8"/>
  <c r="G105" i="8"/>
  <c r="K104" i="8"/>
  <c r="G104" i="8"/>
  <c r="K103" i="8"/>
  <c r="G103" i="8"/>
  <c r="K102" i="8"/>
  <c r="G102" i="8"/>
  <c r="K101" i="8"/>
  <c r="G101" i="8"/>
  <c r="K100" i="8"/>
  <c r="G100" i="8"/>
  <c r="K99" i="8"/>
  <c r="G99" i="8"/>
  <c r="K98" i="8"/>
  <c r="G98" i="8"/>
  <c r="K97" i="8"/>
  <c r="G97" i="8"/>
  <c r="K96" i="8"/>
  <c r="G96" i="8"/>
  <c r="K95" i="8"/>
  <c r="G95" i="8"/>
  <c r="K94" i="8"/>
  <c r="G94" i="8"/>
  <c r="K93" i="8"/>
  <c r="G93" i="8"/>
  <c r="K92" i="8"/>
  <c r="G92" i="8"/>
  <c r="K91" i="8"/>
  <c r="G91" i="8"/>
  <c r="K90" i="8"/>
  <c r="G90" i="8"/>
  <c r="K89" i="8"/>
  <c r="G89" i="8"/>
  <c r="K88" i="8"/>
  <c r="G88" i="8"/>
  <c r="K87" i="8"/>
  <c r="G87" i="8"/>
  <c r="K86" i="8"/>
  <c r="G86" i="8"/>
  <c r="K85" i="8"/>
  <c r="G85" i="8"/>
  <c r="K84" i="8"/>
  <c r="G84" i="8"/>
  <c r="K83" i="8"/>
  <c r="G83" i="8"/>
  <c r="K82" i="8"/>
  <c r="G82" i="8"/>
  <c r="K81" i="8"/>
  <c r="G81" i="8"/>
  <c r="K80" i="8"/>
  <c r="G80" i="8"/>
  <c r="K79" i="8"/>
  <c r="G79" i="8"/>
  <c r="K78" i="8"/>
  <c r="G78" i="8"/>
  <c r="K77" i="8"/>
  <c r="G77" i="8"/>
  <c r="K76" i="8"/>
  <c r="G76" i="8"/>
  <c r="K75" i="8"/>
  <c r="G75" i="8"/>
  <c r="K74" i="8"/>
  <c r="G74" i="8"/>
  <c r="K73" i="8"/>
  <c r="G73" i="8"/>
  <c r="K72" i="8"/>
  <c r="G72" i="8"/>
  <c r="K71" i="8"/>
  <c r="G71" i="8"/>
  <c r="K70" i="8"/>
  <c r="G70" i="8"/>
  <c r="K69" i="8"/>
  <c r="G69" i="8"/>
  <c r="K68" i="8"/>
  <c r="G68" i="8"/>
  <c r="K67" i="8"/>
  <c r="G67" i="8"/>
  <c r="K66" i="8"/>
  <c r="G66" i="8"/>
  <c r="K65" i="8"/>
  <c r="G65" i="8"/>
  <c r="K64" i="8"/>
  <c r="G64" i="8"/>
  <c r="K63" i="8"/>
  <c r="G63" i="8"/>
  <c r="K62" i="8"/>
  <c r="G62" i="8"/>
  <c r="K61" i="8"/>
  <c r="G61" i="8"/>
  <c r="K60" i="8"/>
  <c r="G60" i="8"/>
  <c r="K59" i="8"/>
  <c r="G59" i="8"/>
  <c r="K58" i="8"/>
  <c r="G58" i="8"/>
  <c r="K57" i="8"/>
  <c r="G57" i="8"/>
  <c r="K56" i="8"/>
  <c r="G56" i="8"/>
  <c r="K55" i="8"/>
  <c r="G55" i="8"/>
  <c r="K54" i="8"/>
  <c r="G54" i="8"/>
  <c r="K53" i="8"/>
  <c r="G53" i="8"/>
  <c r="K52" i="8"/>
  <c r="G52" i="8"/>
  <c r="K51" i="8"/>
  <c r="G51" i="8"/>
  <c r="K50" i="8"/>
  <c r="G50" i="8"/>
  <c r="K49" i="8"/>
  <c r="G49" i="8"/>
  <c r="K48" i="8"/>
  <c r="G48" i="8"/>
  <c r="K47" i="8"/>
  <c r="G47" i="8"/>
  <c r="K46" i="8"/>
  <c r="G46" i="8"/>
  <c r="K45" i="8"/>
  <c r="G45" i="8"/>
  <c r="K44" i="8"/>
  <c r="G44" i="8"/>
  <c r="K43" i="8"/>
  <c r="G43" i="8"/>
  <c r="K42" i="8"/>
  <c r="G42" i="8"/>
  <c r="K41" i="8"/>
  <c r="G41" i="8"/>
  <c r="K40" i="8"/>
  <c r="G40" i="8"/>
  <c r="K39" i="8"/>
  <c r="G39" i="8"/>
  <c r="K38" i="8"/>
  <c r="G38" i="8"/>
  <c r="K37" i="8"/>
  <c r="G37" i="8"/>
  <c r="K36" i="8"/>
  <c r="G36" i="8"/>
  <c r="K35" i="8"/>
  <c r="G35" i="8"/>
  <c r="K34" i="8"/>
  <c r="G34" i="8"/>
  <c r="K33" i="8"/>
  <c r="G33" i="8"/>
  <c r="K32" i="8"/>
  <c r="G32" i="8"/>
  <c r="K31" i="8"/>
  <c r="G31" i="8"/>
  <c r="K30" i="8"/>
  <c r="G30" i="8"/>
  <c r="K29" i="8"/>
  <c r="G29" i="8"/>
  <c r="K28" i="8"/>
  <c r="G28" i="8"/>
  <c r="K27" i="8"/>
  <c r="G27" i="8"/>
  <c r="K26" i="8"/>
  <c r="G26" i="8"/>
  <c r="K25" i="8"/>
  <c r="G25" i="8"/>
  <c r="K24" i="8"/>
  <c r="G24" i="8"/>
  <c r="C24" i="8"/>
  <c r="K23" i="8"/>
  <c r="P9" i="8"/>
  <c r="G23" i="8"/>
  <c r="C23" i="8"/>
  <c r="G22" i="8"/>
  <c r="P7" i="8"/>
  <c r="C22" i="8"/>
  <c r="S17" i="8"/>
  <c r="G17" i="8"/>
  <c r="BR16" i="8"/>
  <c r="W16" i="8"/>
  <c r="BU16" i="8"/>
  <c r="E14" i="24"/>
  <c r="G16" i="8"/>
  <c r="BR15" i="8"/>
  <c r="W15" i="8"/>
  <c r="BU15" i="8"/>
  <c r="N10" i="24"/>
  <c r="S15" i="8"/>
  <c r="G15" i="8"/>
  <c r="BR14" i="8"/>
  <c r="BC14" i="8"/>
  <c r="B9" i="21"/>
  <c r="W14" i="8"/>
  <c r="BU14" i="8"/>
  <c r="K10" i="24"/>
  <c r="G14" i="8"/>
  <c r="BR13" i="8"/>
  <c r="W13" i="8"/>
  <c r="G13" i="8"/>
  <c r="BR12" i="8"/>
  <c r="W12" i="8"/>
  <c r="BU12" i="8"/>
  <c r="E10" i="24"/>
  <c r="P12" i="8"/>
  <c r="G12" i="8"/>
  <c r="BR11" i="8"/>
  <c r="W11" i="8"/>
  <c r="P11" i="8"/>
  <c r="G11" i="8"/>
  <c r="BR10" i="8"/>
  <c r="BC10" i="8"/>
  <c r="W10" i="8"/>
  <c r="BU10" i="8"/>
  <c r="K6" i="24"/>
  <c r="P10" i="8"/>
  <c r="G10" i="8"/>
  <c r="BR9" i="8"/>
  <c r="BC9" i="8"/>
  <c r="W9" i="8"/>
  <c r="G9" i="8"/>
  <c r="BR8" i="8"/>
  <c r="W8" i="8"/>
  <c r="P8" i="8"/>
  <c r="G8" i="8"/>
  <c r="BR7" i="8"/>
  <c r="W7" i="8"/>
  <c r="G7" i="8"/>
  <c r="BR6" i="8"/>
  <c r="W6" i="8"/>
  <c r="BU6" i="8"/>
  <c r="H6" i="22"/>
  <c r="P6" i="8"/>
  <c r="G6" i="8"/>
  <c r="D4" i="38"/>
  <c r="BR5" i="8"/>
  <c r="AQ5" i="8"/>
  <c r="AO5" i="8"/>
  <c r="W5" i="8"/>
  <c r="P5" i="8"/>
  <c r="E4" i="24"/>
  <c r="C4" i="24"/>
  <c r="E4" i="22"/>
  <c r="C4" i="22"/>
  <c r="D6" i="21"/>
  <c r="D4" i="19"/>
  <c r="E4" i="20"/>
  <c r="C4" i="20"/>
  <c r="B8" i="38"/>
  <c r="B9" i="38"/>
  <c r="Q4" i="38"/>
  <c r="G4" i="38"/>
  <c r="E4" i="38"/>
  <c r="B26" i="64"/>
  <c r="B25" i="64"/>
  <c r="B24" i="64"/>
  <c r="B23" i="64"/>
  <c r="B22" i="64"/>
  <c r="B21" i="64"/>
  <c r="B20" i="64"/>
  <c r="B19" i="64"/>
  <c r="B18" i="64"/>
  <c r="B17" i="64"/>
  <c r="B16" i="64"/>
  <c r="B15" i="64"/>
  <c r="B14" i="64"/>
  <c r="B13" i="64"/>
  <c r="B12" i="64"/>
  <c r="B11" i="64"/>
  <c r="B10" i="64"/>
  <c r="B9" i="64"/>
  <c r="B8" i="64"/>
  <c r="B7" i="64"/>
  <c r="D4" i="64"/>
  <c r="D4" i="13"/>
  <c r="B8" i="9"/>
  <c r="B9" i="9"/>
  <c r="H4" i="9"/>
  <c r="E4" i="9"/>
  <c r="B1264" i="116"/>
  <c r="B1263" i="116"/>
  <c r="B1262" i="116"/>
  <c r="B1261" i="116"/>
  <c r="B1260" i="116"/>
  <c r="B1259" i="116"/>
  <c r="B1258" i="116"/>
  <c r="B1257" i="116"/>
  <c r="B1256" i="116"/>
  <c r="B1255" i="116"/>
  <c r="B1254" i="116"/>
  <c r="B1253" i="116"/>
  <c r="B1252" i="116"/>
  <c r="B1251" i="116"/>
  <c r="B1250" i="116"/>
  <c r="B1249" i="116"/>
  <c r="B1248" i="116"/>
  <c r="B1247" i="116"/>
  <c r="B1246" i="116"/>
  <c r="B1245" i="116"/>
  <c r="B1244" i="116"/>
  <c r="B1243" i="116"/>
  <c r="B1242" i="116"/>
  <c r="B1241" i="116"/>
  <c r="B1240" i="116"/>
  <c r="B1239" i="116"/>
  <c r="B1238" i="116"/>
  <c r="B1237" i="116"/>
  <c r="B1236" i="116"/>
  <c r="B1235" i="116"/>
  <c r="B1234" i="116"/>
  <c r="B1233" i="116"/>
  <c r="B1232" i="116"/>
  <c r="B1231" i="116"/>
  <c r="B1230" i="116"/>
  <c r="B1229" i="116"/>
  <c r="B1228" i="116"/>
  <c r="B1227" i="116"/>
  <c r="B1226" i="116"/>
  <c r="B1225" i="116"/>
  <c r="B1224" i="116"/>
  <c r="B1223" i="116"/>
  <c r="B1222" i="116"/>
  <c r="B1221" i="116"/>
  <c r="B1220" i="116"/>
  <c r="B1219" i="116"/>
  <c r="B1218" i="116"/>
  <c r="B1217" i="116"/>
  <c r="B1216" i="116"/>
  <c r="B1215" i="116"/>
  <c r="B1214" i="116"/>
  <c r="B1213" i="116"/>
  <c r="B1212" i="116"/>
  <c r="B1211" i="116"/>
  <c r="B1210" i="116"/>
  <c r="B1209" i="116"/>
  <c r="B1208" i="116"/>
  <c r="B1207" i="116"/>
  <c r="B1206" i="116"/>
  <c r="B1205" i="116"/>
  <c r="B1204" i="116"/>
  <c r="B1203" i="116"/>
  <c r="B1202" i="116"/>
  <c r="B1201" i="116"/>
  <c r="B1200" i="116"/>
  <c r="B1199" i="116"/>
  <c r="B1198" i="116"/>
  <c r="B1197" i="116"/>
  <c r="B1196" i="116"/>
  <c r="B1195" i="116"/>
  <c r="B1194" i="116"/>
  <c r="B1193" i="116"/>
  <c r="B1192" i="116"/>
  <c r="B1191" i="116"/>
  <c r="B1190" i="116"/>
  <c r="B1189" i="116"/>
  <c r="B1188" i="116"/>
  <c r="B1187" i="116"/>
  <c r="B1186" i="116"/>
  <c r="B1185" i="116"/>
  <c r="B1184" i="116"/>
  <c r="B1183" i="116"/>
  <c r="B1182" i="116"/>
  <c r="B1181" i="116"/>
  <c r="B1180" i="116"/>
  <c r="B1179" i="116"/>
  <c r="B1178" i="116"/>
  <c r="B1177" i="116"/>
  <c r="B1176" i="116"/>
  <c r="B1175" i="116"/>
  <c r="B1174" i="116"/>
  <c r="B1173" i="116"/>
  <c r="B1172" i="116"/>
  <c r="B1171" i="116"/>
  <c r="B1170" i="116"/>
  <c r="B1169" i="116"/>
  <c r="B1168" i="116"/>
  <c r="B1167" i="116"/>
  <c r="B1166" i="116"/>
  <c r="B1165" i="116"/>
  <c r="B1164" i="116"/>
  <c r="B1162" i="116"/>
  <c r="B1161" i="116"/>
  <c r="B1160" i="116"/>
  <c r="B1159" i="116"/>
  <c r="B1158" i="116"/>
  <c r="B1157" i="116"/>
  <c r="B1156" i="116"/>
  <c r="B1155" i="116"/>
  <c r="B1154" i="116"/>
  <c r="B1153" i="116"/>
  <c r="B1152" i="116"/>
  <c r="B1151" i="116"/>
  <c r="B1150" i="116"/>
  <c r="B1149" i="116"/>
  <c r="B1148" i="116"/>
  <c r="B1147" i="116"/>
  <c r="B1146" i="116"/>
  <c r="B1145" i="116"/>
  <c r="B1144" i="116"/>
  <c r="B1143" i="116"/>
  <c r="B1142" i="116"/>
  <c r="B1141" i="116"/>
  <c r="B1140" i="116"/>
  <c r="B1139" i="116"/>
  <c r="B1138" i="116"/>
  <c r="B1137" i="116"/>
  <c r="B1136" i="116"/>
  <c r="B1135" i="116"/>
  <c r="B1134" i="116"/>
  <c r="B1133" i="116"/>
  <c r="B1132" i="116"/>
  <c r="B1131" i="116"/>
  <c r="B1130" i="116"/>
  <c r="B1129" i="116"/>
  <c r="B1128" i="116"/>
  <c r="B1127" i="116"/>
  <c r="B1126" i="116"/>
  <c r="B1125" i="116"/>
  <c r="B1124" i="116"/>
  <c r="B1123" i="116"/>
  <c r="B1122" i="116"/>
  <c r="B1121" i="116"/>
  <c r="B1120" i="116"/>
  <c r="B1119" i="116"/>
  <c r="B1118" i="116"/>
  <c r="B1117" i="116"/>
  <c r="B1116" i="116"/>
  <c r="B1115" i="116"/>
  <c r="B1114" i="116"/>
  <c r="B1113" i="116"/>
  <c r="B1112" i="116"/>
  <c r="B1111" i="116"/>
  <c r="B1110" i="116"/>
  <c r="B1109" i="116"/>
  <c r="B1108" i="116"/>
  <c r="B1107" i="116"/>
  <c r="B1106" i="116"/>
  <c r="B1105" i="116"/>
  <c r="B1104" i="116"/>
  <c r="B1103" i="116"/>
  <c r="B1102" i="116"/>
  <c r="B1101" i="116"/>
  <c r="B1100" i="116"/>
  <c r="B1099" i="116"/>
  <c r="B1098" i="116"/>
  <c r="B1097" i="116"/>
  <c r="B1096" i="116"/>
  <c r="B1095" i="116"/>
  <c r="B1094" i="116"/>
  <c r="B1093" i="116"/>
  <c r="B1092" i="116"/>
  <c r="B1091" i="116"/>
  <c r="B1090" i="116"/>
  <c r="B1089" i="116"/>
  <c r="B1088" i="116"/>
  <c r="B1087" i="116"/>
  <c r="B1086" i="116"/>
  <c r="B1085" i="116"/>
  <c r="B1084" i="116"/>
  <c r="B1083" i="116"/>
  <c r="B1082" i="116"/>
  <c r="B1081" i="116"/>
  <c r="B1080" i="116"/>
  <c r="B1079" i="116"/>
  <c r="B1078" i="116"/>
  <c r="B1077" i="116"/>
  <c r="B1076" i="116"/>
  <c r="B1075" i="116"/>
  <c r="B1074" i="116"/>
  <c r="B1073" i="116"/>
  <c r="B1072" i="116"/>
  <c r="B1071" i="116"/>
  <c r="B1070" i="116"/>
  <c r="B1069" i="116"/>
  <c r="B1068" i="116"/>
  <c r="B1067" i="116"/>
  <c r="B1066" i="116"/>
  <c r="B1065" i="116"/>
  <c r="B1064" i="116"/>
  <c r="B1063" i="116"/>
  <c r="B1062" i="116"/>
  <c r="B1057" i="116"/>
  <c r="B1056" i="116"/>
  <c r="B1055" i="116"/>
  <c r="B1054" i="116"/>
  <c r="B1053" i="116"/>
  <c r="B1052" i="116"/>
  <c r="B1051" i="116"/>
  <c r="B1050" i="116"/>
  <c r="B1049" i="116"/>
  <c r="B1048" i="116"/>
  <c r="B1047" i="116"/>
  <c r="B1046" i="116"/>
  <c r="B1045" i="116"/>
  <c r="B1044" i="116"/>
  <c r="B1043" i="116"/>
  <c r="B1042" i="116"/>
  <c r="B1041" i="116"/>
  <c r="B1040" i="116"/>
  <c r="B1039" i="116"/>
  <c r="B1038" i="116"/>
  <c r="B1037" i="116"/>
  <c r="B1036" i="116"/>
  <c r="B1035" i="116"/>
  <c r="B1034" i="116"/>
  <c r="B1033" i="116"/>
  <c r="B1032" i="116"/>
  <c r="B1031" i="116"/>
  <c r="B1030" i="116"/>
  <c r="B1029" i="116"/>
  <c r="B1028" i="116"/>
  <c r="B1027" i="116"/>
  <c r="B1026" i="116"/>
  <c r="B1025" i="116"/>
  <c r="B1024" i="116"/>
  <c r="B1023" i="116"/>
  <c r="B1022" i="116"/>
  <c r="B1021" i="116"/>
  <c r="B1020" i="116"/>
  <c r="B1019" i="116"/>
  <c r="B1018" i="116"/>
  <c r="B1017" i="116"/>
  <c r="B1016" i="116"/>
  <c r="B1015" i="116"/>
  <c r="B1014" i="116"/>
  <c r="B1013" i="116"/>
  <c r="B1012" i="116"/>
  <c r="B1011" i="116"/>
  <c r="B1010" i="116"/>
  <c r="B1009" i="116"/>
  <c r="B1008" i="116"/>
  <c r="B1007" i="116"/>
  <c r="B1006" i="116"/>
  <c r="B1005" i="116"/>
  <c r="B1004" i="116"/>
  <c r="B1003" i="116"/>
  <c r="B1002" i="116"/>
  <c r="B1001" i="116"/>
  <c r="B1000" i="116"/>
  <c r="B999" i="116"/>
  <c r="B998" i="116"/>
  <c r="B997" i="116"/>
  <c r="B996" i="116"/>
  <c r="B995" i="116"/>
  <c r="B994" i="116"/>
  <c r="B993" i="116"/>
  <c r="B992" i="116"/>
  <c r="B991" i="116"/>
  <c r="B990" i="116"/>
  <c r="B989" i="116"/>
  <c r="B988" i="116"/>
  <c r="B987" i="116"/>
  <c r="B986" i="116"/>
  <c r="B985" i="116"/>
  <c r="B984" i="116"/>
  <c r="B983" i="116"/>
  <c r="B982" i="116"/>
  <c r="B981" i="116"/>
  <c r="B980" i="116"/>
  <c r="B979" i="116"/>
  <c r="B978" i="116"/>
  <c r="B977" i="116"/>
  <c r="B976" i="116"/>
  <c r="B975" i="116"/>
  <c r="B974" i="116"/>
  <c r="B973" i="116"/>
  <c r="B972" i="116"/>
  <c r="B971" i="116"/>
  <c r="B970" i="116"/>
  <c r="B969" i="116"/>
  <c r="B968" i="116"/>
  <c r="B967" i="116"/>
  <c r="B966" i="116"/>
  <c r="B965" i="116"/>
  <c r="B964" i="116"/>
  <c r="B963" i="116"/>
  <c r="B962" i="116"/>
  <c r="B961" i="116"/>
  <c r="B960" i="116"/>
  <c r="B959" i="116"/>
  <c r="B958" i="116"/>
  <c r="B957" i="116"/>
  <c r="B955" i="116"/>
  <c r="B954" i="116"/>
  <c r="B953" i="116"/>
  <c r="B952" i="116"/>
  <c r="B951" i="116"/>
  <c r="B950" i="116"/>
  <c r="B949" i="116"/>
  <c r="B948" i="116"/>
  <c r="B947" i="116"/>
  <c r="B946" i="116"/>
  <c r="B945" i="116"/>
  <c r="B944" i="116"/>
  <c r="B943" i="116"/>
  <c r="B942" i="116"/>
  <c r="B941" i="116"/>
  <c r="B940" i="116"/>
  <c r="B939" i="116"/>
  <c r="B938" i="116"/>
  <c r="B937" i="116"/>
  <c r="B936" i="116"/>
  <c r="B935" i="116"/>
  <c r="B934" i="116"/>
  <c r="B933" i="116"/>
  <c r="B932" i="116"/>
  <c r="B931" i="116"/>
  <c r="B930" i="116"/>
  <c r="B929" i="116"/>
  <c r="B928" i="116"/>
  <c r="B927" i="116"/>
  <c r="B926" i="116"/>
  <c r="B925" i="116"/>
  <c r="B924" i="116"/>
  <c r="B923" i="116"/>
  <c r="B922" i="116"/>
  <c r="B921" i="116"/>
  <c r="B920" i="116"/>
  <c r="B919" i="116"/>
  <c r="B918" i="116"/>
  <c r="B917" i="116"/>
  <c r="B916" i="116"/>
  <c r="B915" i="116"/>
  <c r="B914" i="116"/>
  <c r="B913" i="116"/>
  <c r="B912" i="116"/>
  <c r="B911" i="116"/>
  <c r="B910" i="116"/>
  <c r="B909" i="116"/>
  <c r="B908" i="116"/>
  <c r="B907" i="116"/>
  <c r="B906" i="116"/>
  <c r="B905" i="116"/>
  <c r="B904" i="116"/>
  <c r="B903" i="116"/>
  <c r="B902" i="116"/>
  <c r="B901" i="116"/>
  <c r="B900" i="116"/>
  <c r="B899" i="116"/>
  <c r="B898" i="116"/>
  <c r="B897" i="116"/>
  <c r="B896" i="116"/>
  <c r="B895" i="116"/>
  <c r="B894" i="116"/>
  <c r="B893" i="116"/>
  <c r="B892" i="116"/>
  <c r="B891" i="116"/>
  <c r="B890" i="116"/>
  <c r="B889" i="116"/>
  <c r="B888" i="116"/>
  <c r="B887" i="116"/>
  <c r="B886" i="116"/>
  <c r="B885" i="116"/>
  <c r="B884" i="116"/>
  <c r="B883" i="116"/>
  <c r="B882" i="116"/>
  <c r="B881" i="116"/>
  <c r="B880" i="116"/>
  <c r="B879" i="116"/>
  <c r="B878" i="116"/>
  <c r="B877" i="116"/>
  <c r="B876" i="116"/>
  <c r="B875" i="116"/>
  <c r="B874" i="116"/>
  <c r="B873" i="116"/>
  <c r="B872" i="116"/>
  <c r="B871" i="116"/>
  <c r="B870" i="116"/>
  <c r="B869" i="116"/>
  <c r="B868" i="116"/>
  <c r="B867" i="116"/>
  <c r="B866" i="116"/>
  <c r="B865" i="116"/>
  <c r="B864" i="116"/>
  <c r="B863" i="116"/>
  <c r="B862" i="116"/>
  <c r="B861" i="116"/>
  <c r="B860" i="116"/>
  <c r="B859" i="116"/>
  <c r="B858" i="116"/>
  <c r="B857" i="116"/>
  <c r="B856" i="116"/>
  <c r="B855" i="116"/>
  <c r="B853" i="116"/>
  <c r="B852" i="116"/>
  <c r="B851" i="116"/>
  <c r="B850" i="116"/>
  <c r="B849" i="116"/>
  <c r="B848" i="116"/>
  <c r="B847" i="116"/>
  <c r="B846" i="116"/>
  <c r="B845" i="116"/>
  <c r="B844" i="116"/>
  <c r="B843" i="116"/>
  <c r="B842" i="116"/>
  <c r="B841" i="116"/>
  <c r="B840" i="116"/>
  <c r="B839" i="116"/>
  <c r="B838" i="116"/>
  <c r="B837" i="116"/>
  <c r="B836" i="116"/>
  <c r="B835" i="116"/>
  <c r="B834" i="116"/>
  <c r="B833" i="116"/>
  <c r="B832" i="116"/>
  <c r="B831" i="116"/>
  <c r="B830" i="116"/>
  <c r="B829" i="116"/>
  <c r="B828" i="116"/>
  <c r="B827" i="116"/>
  <c r="B826" i="116"/>
  <c r="B825" i="116"/>
  <c r="B824" i="116"/>
  <c r="B823" i="116"/>
  <c r="B822" i="116"/>
  <c r="B821" i="116"/>
  <c r="B820" i="116"/>
  <c r="B819" i="116"/>
  <c r="B818" i="116"/>
  <c r="B817" i="116"/>
  <c r="B816" i="116"/>
  <c r="B815" i="116"/>
  <c r="B814" i="116"/>
  <c r="B813" i="116"/>
  <c r="B812" i="116"/>
  <c r="B811" i="116"/>
  <c r="B810" i="116"/>
  <c r="B809" i="116"/>
  <c r="B808" i="116"/>
  <c r="B807" i="116"/>
  <c r="B806" i="116"/>
  <c r="B805" i="116"/>
  <c r="B804" i="116"/>
  <c r="B803" i="116"/>
  <c r="B802" i="116"/>
  <c r="B801" i="116"/>
  <c r="B800" i="116"/>
  <c r="B799" i="116"/>
  <c r="B798" i="116"/>
  <c r="B797" i="116"/>
  <c r="B796" i="116"/>
  <c r="B795" i="116"/>
  <c r="B794" i="116"/>
  <c r="B793" i="116"/>
  <c r="B792" i="116"/>
  <c r="B791" i="116"/>
  <c r="B790" i="116"/>
  <c r="B789" i="116"/>
  <c r="B788" i="116"/>
  <c r="B787" i="116"/>
  <c r="B786" i="116"/>
  <c r="B785" i="116"/>
  <c r="B784" i="116"/>
  <c r="B783" i="116"/>
  <c r="B782" i="116"/>
  <c r="B781" i="116"/>
  <c r="B780" i="116"/>
  <c r="B779" i="116"/>
  <c r="B778" i="116"/>
  <c r="B777" i="116"/>
  <c r="B776" i="116"/>
  <c r="B775" i="116"/>
  <c r="B774" i="116"/>
  <c r="B773" i="116"/>
  <c r="B772" i="116"/>
  <c r="B771" i="116"/>
  <c r="B770" i="116"/>
  <c r="B769" i="116"/>
  <c r="B768" i="116"/>
  <c r="B767" i="116"/>
  <c r="B766" i="116"/>
  <c r="B765" i="116"/>
  <c r="B764" i="116"/>
  <c r="B763" i="116"/>
  <c r="B762" i="116"/>
  <c r="B761" i="116"/>
  <c r="B760" i="116"/>
  <c r="B759" i="116"/>
  <c r="B758" i="116"/>
  <c r="B757" i="116"/>
  <c r="B756" i="116"/>
  <c r="B755" i="116"/>
  <c r="B754" i="116"/>
  <c r="B753" i="116"/>
  <c r="B751" i="116"/>
  <c r="B750" i="116"/>
  <c r="B749" i="116"/>
  <c r="B748" i="116"/>
  <c r="B747" i="116"/>
  <c r="B746" i="116"/>
  <c r="B745" i="116"/>
  <c r="B744" i="116"/>
  <c r="B743" i="116"/>
  <c r="B742" i="116"/>
  <c r="B741" i="116"/>
  <c r="B740" i="116"/>
  <c r="B739" i="116"/>
  <c r="B738" i="116"/>
  <c r="B737" i="116"/>
  <c r="B736" i="116"/>
  <c r="B735" i="116"/>
  <c r="B734" i="116"/>
  <c r="B733" i="116"/>
  <c r="B732" i="116"/>
  <c r="B731" i="116"/>
  <c r="B730" i="116"/>
  <c r="B729" i="116"/>
  <c r="B728" i="116"/>
  <c r="B727" i="116"/>
  <c r="B726" i="116"/>
  <c r="B725" i="116"/>
  <c r="B724" i="116"/>
  <c r="B723" i="116"/>
  <c r="B722" i="116"/>
  <c r="B721" i="116"/>
  <c r="B720" i="116"/>
  <c r="B719" i="116"/>
  <c r="B718" i="116"/>
  <c r="B717" i="116"/>
  <c r="B716" i="116"/>
  <c r="B715" i="116"/>
  <c r="B714" i="116"/>
  <c r="B713" i="116"/>
  <c r="B712" i="116"/>
  <c r="B711" i="116"/>
  <c r="B710" i="116"/>
  <c r="B709" i="116"/>
  <c r="B708" i="116"/>
  <c r="B707" i="116"/>
  <c r="B706" i="116"/>
  <c r="B705" i="116"/>
  <c r="B704" i="116"/>
  <c r="B703" i="116"/>
  <c r="B702" i="116"/>
  <c r="B701" i="116"/>
  <c r="B700" i="116"/>
  <c r="B699" i="116"/>
  <c r="B698" i="116"/>
  <c r="B697" i="116"/>
  <c r="B696" i="116"/>
  <c r="B695" i="116"/>
  <c r="B694" i="116"/>
  <c r="B693" i="116"/>
  <c r="B692" i="116"/>
  <c r="B691" i="116"/>
  <c r="B690" i="116"/>
  <c r="B689" i="116"/>
  <c r="B688" i="116"/>
  <c r="B687" i="116"/>
  <c r="B686" i="116"/>
  <c r="B685" i="116"/>
  <c r="B684" i="116"/>
  <c r="B683" i="116"/>
  <c r="B682" i="116"/>
  <c r="B681" i="116"/>
  <c r="B680" i="116"/>
  <c r="B679" i="116"/>
  <c r="B678" i="116"/>
  <c r="B677" i="116"/>
  <c r="B676" i="116"/>
  <c r="B675" i="116"/>
  <c r="B674" i="116"/>
  <c r="B673" i="116"/>
  <c r="B672" i="116"/>
  <c r="B671" i="116"/>
  <c r="B670" i="116"/>
  <c r="B669" i="116"/>
  <c r="B668" i="116"/>
  <c r="B667" i="116"/>
  <c r="B666" i="116"/>
  <c r="B665" i="116"/>
  <c r="B664" i="116"/>
  <c r="B663" i="116"/>
  <c r="B662" i="116"/>
  <c r="B661" i="116"/>
  <c r="B660" i="116"/>
  <c r="B659" i="116"/>
  <c r="B658" i="116"/>
  <c r="B657" i="116"/>
  <c r="B656" i="116"/>
  <c r="B655" i="116"/>
  <c r="B654" i="116"/>
  <c r="B653" i="116"/>
  <c r="B652" i="116"/>
  <c r="B651" i="116"/>
  <c r="B649" i="116"/>
  <c r="B648" i="116"/>
  <c r="B647" i="116"/>
  <c r="B646" i="116"/>
  <c r="B645" i="116"/>
  <c r="B644" i="116"/>
  <c r="B643" i="116"/>
  <c r="B642" i="116"/>
  <c r="B641" i="116"/>
  <c r="B640" i="116"/>
  <c r="B639" i="116"/>
  <c r="B638" i="116"/>
  <c r="B637" i="116"/>
  <c r="B636" i="116"/>
  <c r="B635" i="116"/>
  <c r="B634" i="116"/>
  <c r="B633" i="116"/>
  <c r="B632" i="116"/>
  <c r="B631" i="116"/>
  <c r="B630" i="116"/>
  <c r="B629" i="116"/>
  <c r="B628" i="116"/>
  <c r="B627" i="116"/>
  <c r="B626" i="116"/>
  <c r="B625" i="116"/>
  <c r="B624" i="116"/>
  <c r="B623" i="116"/>
  <c r="B622" i="116"/>
  <c r="B621" i="116"/>
  <c r="B620" i="116"/>
  <c r="B619" i="116"/>
  <c r="B618" i="116"/>
  <c r="B617" i="116"/>
  <c r="B616" i="116"/>
  <c r="B615" i="116"/>
  <c r="B614" i="116"/>
  <c r="B613" i="116"/>
  <c r="B612" i="116"/>
  <c r="B611" i="116"/>
  <c r="B610" i="116"/>
  <c r="B609" i="116"/>
  <c r="B608" i="116"/>
  <c r="B607" i="116"/>
  <c r="B606" i="116"/>
  <c r="B605" i="116"/>
  <c r="B604" i="116"/>
  <c r="B603" i="116"/>
  <c r="B602" i="116"/>
  <c r="B601" i="116"/>
  <c r="B600" i="116"/>
  <c r="B599" i="116"/>
  <c r="B598" i="116"/>
  <c r="B597" i="116"/>
  <c r="B596" i="116"/>
  <c r="B595" i="116"/>
  <c r="B594" i="116"/>
  <c r="B593" i="116"/>
  <c r="B592" i="116"/>
  <c r="B591" i="116"/>
  <c r="B590" i="116"/>
  <c r="B589" i="116"/>
  <c r="B588" i="116"/>
  <c r="B587" i="116"/>
  <c r="B586" i="116"/>
  <c r="B585" i="116"/>
  <c r="B584" i="116"/>
  <c r="B583" i="116"/>
  <c r="B582" i="116"/>
  <c r="B581" i="116"/>
  <c r="B580" i="116"/>
  <c r="B579" i="116"/>
  <c r="B578" i="116"/>
  <c r="B577" i="116"/>
  <c r="B576" i="116"/>
  <c r="B575" i="116"/>
  <c r="B574" i="116"/>
  <c r="B573" i="116"/>
  <c r="B572" i="116"/>
  <c r="B571" i="116"/>
  <c r="B570" i="116"/>
  <c r="B569" i="116"/>
  <c r="B568" i="116"/>
  <c r="B567" i="116"/>
  <c r="B566" i="116"/>
  <c r="B565" i="116"/>
  <c r="B564" i="116"/>
  <c r="B563" i="116"/>
  <c r="B562" i="116"/>
  <c r="B561" i="116"/>
  <c r="B560" i="116"/>
  <c r="B559" i="116"/>
  <c r="B558" i="116"/>
  <c r="B557" i="116"/>
  <c r="B556" i="116"/>
  <c r="B555" i="116"/>
  <c r="B554" i="116"/>
  <c r="B553" i="116"/>
  <c r="B552" i="116"/>
  <c r="B551" i="116"/>
  <c r="B550" i="116"/>
  <c r="B549" i="116"/>
  <c r="B545" i="116"/>
  <c r="B544" i="116"/>
  <c r="B543" i="116"/>
  <c r="B542" i="116"/>
  <c r="B541" i="116"/>
  <c r="B540" i="116"/>
  <c r="B539" i="116"/>
  <c r="B538" i="116"/>
  <c r="B537" i="116"/>
  <c r="B536" i="116"/>
  <c r="B535" i="116"/>
  <c r="B534" i="116"/>
  <c r="B533" i="116"/>
  <c r="B532" i="116"/>
  <c r="B531" i="116"/>
  <c r="B530" i="116"/>
  <c r="B529" i="116"/>
  <c r="B528" i="116"/>
  <c r="B527" i="116"/>
  <c r="B526" i="116"/>
  <c r="B525" i="116"/>
  <c r="B524" i="116"/>
  <c r="B523" i="116"/>
  <c r="B522" i="116"/>
  <c r="B521" i="116"/>
  <c r="B520" i="116"/>
  <c r="B519" i="116"/>
  <c r="B518" i="116"/>
  <c r="B517" i="116"/>
  <c r="B516" i="116"/>
  <c r="B515" i="116"/>
  <c r="B514" i="116"/>
  <c r="B513" i="116"/>
  <c r="B512" i="116"/>
  <c r="B511" i="116"/>
  <c r="B510" i="116"/>
  <c r="B509" i="116"/>
  <c r="B508" i="116"/>
  <c r="B507" i="116"/>
  <c r="B506" i="116"/>
  <c r="B505" i="116"/>
  <c r="B504" i="116"/>
  <c r="B503" i="116"/>
  <c r="B502" i="116"/>
  <c r="B501" i="116"/>
  <c r="B500" i="116"/>
  <c r="B499" i="116"/>
  <c r="B498" i="116"/>
  <c r="B497" i="116"/>
  <c r="B496" i="116"/>
  <c r="B495" i="116"/>
  <c r="B494" i="116"/>
  <c r="B493" i="116"/>
  <c r="B492" i="116"/>
  <c r="B491" i="116"/>
  <c r="B490" i="116"/>
  <c r="B489" i="116"/>
  <c r="B488" i="116"/>
  <c r="B487" i="116"/>
  <c r="B486" i="116"/>
  <c r="B485" i="116"/>
  <c r="B484" i="116"/>
  <c r="B483" i="116"/>
  <c r="B482" i="116"/>
  <c r="B481" i="116"/>
  <c r="B480" i="116"/>
  <c r="B479" i="116"/>
  <c r="B478" i="116"/>
  <c r="B477" i="116"/>
  <c r="B476" i="116"/>
  <c r="B475" i="116"/>
  <c r="B474" i="116"/>
  <c r="B473" i="116"/>
  <c r="B472" i="116"/>
  <c r="B471" i="116"/>
  <c r="B470" i="116"/>
  <c r="B469" i="116"/>
  <c r="B468" i="116"/>
  <c r="B467" i="116"/>
  <c r="B466" i="116"/>
  <c r="B465" i="116"/>
  <c r="B464" i="116"/>
  <c r="B463" i="116"/>
  <c r="B462" i="116"/>
  <c r="B461" i="116"/>
  <c r="B460" i="116"/>
  <c r="B459" i="116"/>
  <c r="B458" i="116"/>
  <c r="B457" i="116"/>
  <c r="B456" i="116"/>
  <c r="B455" i="116"/>
  <c r="B454" i="116"/>
  <c r="B453" i="116"/>
  <c r="B452" i="116"/>
  <c r="B451" i="116"/>
  <c r="B450" i="116"/>
  <c r="B449" i="116"/>
  <c r="B448" i="116"/>
  <c r="B447" i="116"/>
  <c r="B446" i="116"/>
  <c r="B445" i="116"/>
  <c r="B443" i="116"/>
  <c r="B442" i="116"/>
  <c r="B441" i="116"/>
  <c r="B440" i="116"/>
  <c r="B439" i="116"/>
  <c r="B438" i="116"/>
  <c r="B437" i="116"/>
  <c r="B436" i="116"/>
  <c r="B435" i="116"/>
  <c r="B434" i="116"/>
  <c r="B433" i="116"/>
  <c r="B432" i="116"/>
  <c r="B431" i="116"/>
  <c r="B430" i="116"/>
  <c r="B429" i="116"/>
  <c r="B428" i="116"/>
  <c r="B427" i="116"/>
  <c r="B426" i="116"/>
  <c r="B425" i="116"/>
  <c r="B424" i="116"/>
  <c r="B423" i="116"/>
  <c r="B422" i="116"/>
  <c r="B421" i="116"/>
  <c r="B420" i="116"/>
  <c r="B419" i="116"/>
  <c r="B418" i="116"/>
  <c r="B417" i="116"/>
  <c r="B416" i="116"/>
  <c r="B415" i="116"/>
  <c r="B414" i="116"/>
  <c r="B413" i="116"/>
  <c r="B412" i="116"/>
  <c r="B411" i="116"/>
  <c r="B410" i="116"/>
  <c r="B409" i="116"/>
  <c r="B408" i="116"/>
  <c r="B407" i="116"/>
  <c r="B406" i="116"/>
  <c r="B405" i="116"/>
  <c r="B404" i="116"/>
  <c r="B403" i="116"/>
  <c r="B402" i="116"/>
  <c r="B401" i="116"/>
  <c r="B400" i="116"/>
  <c r="B399" i="116"/>
  <c r="B398" i="116"/>
  <c r="B397" i="116"/>
  <c r="B396" i="116"/>
  <c r="B395" i="116"/>
  <c r="B394" i="116"/>
  <c r="B393" i="116"/>
  <c r="B392" i="116"/>
  <c r="B391" i="116"/>
  <c r="B390" i="116"/>
  <c r="B389" i="116"/>
  <c r="B388" i="116"/>
  <c r="B387" i="116"/>
  <c r="B386" i="116"/>
  <c r="B385" i="116"/>
  <c r="B384" i="116"/>
  <c r="B383" i="116"/>
  <c r="B382" i="116"/>
  <c r="B381" i="116"/>
  <c r="B380" i="116"/>
  <c r="B379" i="116"/>
  <c r="B378" i="116"/>
  <c r="B377" i="116"/>
  <c r="B376" i="116"/>
  <c r="B375" i="116"/>
  <c r="B374" i="116"/>
  <c r="B373" i="116"/>
  <c r="B372" i="116"/>
  <c r="B371" i="116"/>
  <c r="B370" i="116"/>
  <c r="B369" i="116"/>
  <c r="B368" i="116"/>
  <c r="B367" i="116"/>
  <c r="B366" i="116"/>
  <c r="B365" i="116"/>
  <c r="B364" i="116"/>
  <c r="B363" i="116"/>
  <c r="B362" i="116"/>
  <c r="B361" i="116"/>
  <c r="B360" i="116"/>
  <c r="B359" i="116"/>
  <c r="B358" i="116"/>
  <c r="B357" i="116"/>
  <c r="B356" i="116"/>
  <c r="B355" i="116"/>
  <c r="B354" i="116"/>
  <c r="B353" i="116"/>
  <c r="B352" i="116"/>
  <c r="B351" i="116"/>
  <c r="B350" i="116"/>
  <c r="B349" i="116"/>
  <c r="B348" i="116"/>
  <c r="B347" i="116"/>
  <c r="B346" i="116"/>
  <c r="B345" i="116"/>
  <c r="B344" i="116"/>
  <c r="B343" i="116"/>
  <c r="B341" i="116"/>
  <c r="B340" i="116"/>
  <c r="B339" i="116"/>
  <c r="B338" i="116"/>
  <c r="B337" i="116"/>
  <c r="B336" i="116"/>
  <c r="B335" i="116"/>
  <c r="B334" i="116"/>
  <c r="B333" i="116"/>
  <c r="B332" i="116"/>
  <c r="B331" i="116"/>
  <c r="B330" i="116"/>
  <c r="B329" i="116"/>
  <c r="B328" i="116"/>
  <c r="B327" i="116"/>
  <c r="B326" i="116"/>
  <c r="B325" i="116"/>
  <c r="B324" i="116"/>
  <c r="B323" i="116"/>
  <c r="B322" i="116"/>
  <c r="B321" i="116"/>
  <c r="B320" i="116"/>
  <c r="B319" i="116"/>
  <c r="B318" i="116"/>
  <c r="B317" i="116"/>
  <c r="B316" i="116"/>
  <c r="B315" i="116"/>
  <c r="B314" i="116"/>
  <c r="B313" i="116"/>
  <c r="B312" i="116"/>
  <c r="B311" i="116"/>
  <c r="B310" i="116"/>
  <c r="B309" i="116"/>
  <c r="B308" i="116"/>
  <c r="B307" i="116"/>
  <c r="B306" i="116"/>
  <c r="B305" i="116"/>
  <c r="B304" i="116"/>
  <c r="B303" i="116"/>
  <c r="B302" i="116"/>
  <c r="B301" i="116"/>
  <c r="B300" i="116"/>
  <c r="B299" i="116"/>
  <c r="B298" i="116"/>
  <c r="B297" i="116"/>
  <c r="B296" i="116"/>
  <c r="B295" i="116"/>
  <c r="B294" i="116"/>
  <c r="B293" i="116"/>
  <c r="B292" i="116"/>
  <c r="B291" i="116"/>
  <c r="B290" i="116"/>
  <c r="B289" i="116"/>
  <c r="B288" i="116"/>
  <c r="B287" i="116"/>
  <c r="B286" i="116"/>
  <c r="B285" i="116"/>
  <c r="B284" i="116"/>
  <c r="B283" i="116"/>
  <c r="B282" i="116"/>
  <c r="B281" i="116"/>
  <c r="B280" i="116"/>
  <c r="B279" i="116"/>
  <c r="B278" i="116"/>
  <c r="B277" i="116"/>
  <c r="B276" i="116"/>
  <c r="B275" i="116"/>
  <c r="B274" i="116"/>
  <c r="B273" i="116"/>
  <c r="B272" i="116"/>
  <c r="B271" i="116"/>
  <c r="B270" i="116"/>
  <c r="B269" i="116"/>
  <c r="B268" i="116"/>
  <c r="B267" i="116"/>
  <c r="B266" i="116"/>
  <c r="B265" i="116"/>
  <c r="B264" i="116"/>
  <c r="B263" i="116"/>
  <c r="B262" i="116"/>
  <c r="B261" i="116"/>
  <c r="B260" i="116"/>
  <c r="B259" i="116"/>
  <c r="B258" i="116"/>
  <c r="B257" i="116"/>
  <c r="B256" i="116"/>
  <c r="B255" i="116"/>
  <c r="B254" i="116"/>
  <c r="B253" i="116"/>
  <c r="B252" i="116"/>
  <c r="B251" i="116"/>
  <c r="B250" i="116"/>
  <c r="B249" i="116"/>
  <c r="B248" i="116"/>
  <c r="B247" i="116"/>
  <c r="B246" i="116"/>
  <c r="B245" i="116"/>
  <c r="B244" i="116"/>
  <c r="B243" i="116"/>
  <c r="B242" i="116"/>
  <c r="B241" i="116"/>
  <c r="B235" i="116"/>
  <c r="B234" i="116"/>
  <c r="B233" i="116"/>
  <c r="B232" i="116"/>
  <c r="B231" i="116"/>
  <c r="B230" i="116"/>
  <c r="B229" i="116"/>
  <c r="B228" i="116"/>
  <c r="B227" i="116"/>
  <c r="B226" i="116"/>
  <c r="B225" i="116"/>
  <c r="B224" i="116"/>
  <c r="B223" i="116"/>
  <c r="B222" i="116"/>
  <c r="B221" i="116"/>
  <c r="B220" i="116"/>
  <c r="B219" i="116"/>
  <c r="B218" i="116"/>
  <c r="B217" i="116"/>
  <c r="B216" i="116"/>
  <c r="B215" i="116"/>
  <c r="B214" i="116"/>
  <c r="B213" i="116"/>
  <c r="B212" i="116"/>
  <c r="B211" i="116"/>
  <c r="B210" i="116"/>
  <c r="B209" i="116"/>
  <c r="B208" i="116"/>
  <c r="B207" i="116"/>
  <c r="B206" i="116"/>
  <c r="B205" i="116"/>
  <c r="B204" i="116"/>
  <c r="B203" i="116"/>
  <c r="B202" i="116"/>
  <c r="B201" i="116"/>
  <c r="B200" i="116"/>
  <c r="B199" i="116"/>
  <c r="B198" i="116"/>
  <c r="B197" i="116"/>
  <c r="B196" i="116"/>
  <c r="B195" i="116"/>
  <c r="B194" i="116"/>
  <c r="B193" i="116"/>
  <c r="B192" i="116"/>
  <c r="B191" i="116"/>
  <c r="B190" i="116"/>
  <c r="B189" i="116"/>
  <c r="B188" i="116"/>
  <c r="B187" i="116"/>
  <c r="B186" i="116"/>
  <c r="B185" i="116"/>
  <c r="B184" i="116"/>
  <c r="B183" i="116"/>
  <c r="B182" i="116"/>
  <c r="B181" i="116"/>
  <c r="B180" i="116"/>
  <c r="B179" i="116"/>
  <c r="B178" i="116"/>
  <c r="B177" i="116"/>
  <c r="B176" i="116"/>
  <c r="B175" i="116"/>
  <c r="B174" i="116"/>
  <c r="B173" i="116"/>
  <c r="B172" i="116"/>
  <c r="B171" i="116"/>
  <c r="B170" i="116"/>
  <c r="B169" i="116"/>
  <c r="B168" i="116"/>
  <c r="B167" i="116"/>
  <c r="B166" i="116"/>
  <c r="B165" i="116"/>
  <c r="B164" i="116"/>
  <c r="B163" i="116"/>
  <c r="B162" i="116"/>
  <c r="B161" i="116"/>
  <c r="B160" i="116"/>
  <c r="B159" i="116"/>
  <c r="B158" i="116"/>
  <c r="B157" i="116"/>
  <c r="B156" i="116"/>
  <c r="B155" i="116"/>
  <c r="B154" i="116"/>
  <c r="B153" i="116"/>
  <c r="B152" i="116"/>
  <c r="B151" i="116"/>
  <c r="B150" i="116"/>
  <c r="B149" i="116"/>
  <c r="B148" i="116"/>
  <c r="B147" i="116"/>
  <c r="B146" i="116"/>
  <c r="B145" i="116"/>
  <c r="B144" i="116"/>
  <c r="B143" i="116"/>
  <c r="B142" i="116"/>
  <c r="B141" i="116"/>
  <c r="B140" i="116"/>
  <c r="B139" i="116"/>
  <c r="B138" i="116"/>
  <c r="B137" i="116"/>
  <c r="B136" i="116"/>
  <c r="B135" i="116"/>
  <c r="B130" i="116"/>
  <c r="B129" i="116"/>
  <c r="B128" i="116"/>
  <c r="B127" i="116"/>
  <c r="B126" i="116"/>
  <c r="B125" i="116"/>
  <c r="B124" i="116"/>
  <c r="B123" i="116"/>
  <c r="B122" i="116"/>
  <c r="B121" i="116"/>
  <c r="B120" i="116"/>
  <c r="B119" i="116"/>
  <c r="B118" i="116"/>
  <c r="B117" i="116"/>
  <c r="B116" i="116"/>
  <c r="B115" i="116"/>
  <c r="B114" i="116"/>
  <c r="B113" i="116"/>
  <c r="B112" i="116"/>
  <c r="B111" i="116"/>
  <c r="B110" i="116"/>
  <c r="B109" i="116"/>
  <c r="B108" i="116"/>
  <c r="B107" i="116"/>
  <c r="B106" i="116"/>
  <c r="B105" i="116"/>
  <c r="B104" i="116"/>
  <c r="B103" i="116"/>
  <c r="B102" i="116"/>
  <c r="B101" i="116"/>
  <c r="B100" i="116"/>
  <c r="B99" i="116"/>
  <c r="B98" i="116"/>
  <c r="B97" i="116"/>
  <c r="B96" i="116"/>
  <c r="B95" i="116"/>
  <c r="B94" i="116"/>
  <c r="B93" i="116"/>
  <c r="B92" i="116"/>
  <c r="B91" i="116"/>
  <c r="B90" i="116"/>
  <c r="B89" i="116"/>
  <c r="B88" i="116"/>
  <c r="B87" i="116"/>
  <c r="B86" i="116"/>
  <c r="B85" i="116"/>
  <c r="B84" i="116"/>
  <c r="B83" i="116"/>
  <c r="B82" i="116"/>
  <c r="B81" i="116"/>
  <c r="B80" i="116"/>
  <c r="B79" i="116"/>
  <c r="B78" i="116"/>
  <c r="B77" i="116"/>
  <c r="B76" i="116"/>
  <c r="B75" i="116"/>
  <c r="B74" i="116"/>
  <c r="B73" i="116"/>
  <c r="B72" i="116"/>
  <c r="B71" i="116"/>
  <c r="B70" i="116"/>
  <c r="B69" i="116"/>
  <c r="B68" i="116"/>
  <c r="B67" i="116"/>
  <c r="B66" i="116"/>
  <c r="B65" i="116"/>
  <c r="B64" i="116"/>
  <c r="B63" i="116"/>
  <c r="B62" i="116"/>
  <c r="B61" i="116"/>
  <c r="B60" i="116"/>
  <c r="B59" i="116"/>
  <c r="B58" i="116"/>
  <c r="B57" i="116"/>
  <c r="B56" i="116"/>
  <c r="B55" i="116"/>
  <c r="B54" i="116"/>
  <c r="B53" i="116"/>
  <c r="B52" i="116"/>
  <c r="B51" i="116"/>
  <c r="B50" i="116"/>
  <c r="B49" i="116"/>
  <c r="B48" i="116"/>
  <c r="B47" i="116"/>
  <c r="B46" i="116"/>
  <c r="B45" i="116"/>
  <c r="B44" i="116"/>
  <c r="B43" i="116"/>
  <c r="B42" i="116"/>
  <c r="B41" i="116"/>
  <c r="B40" i="116"/>
  <c r="B39" i="116"/>
  <c r="B38" i="116"/>
  <c r="B37" i="116"/>
  <c r="B36" i="116"/>
  <c r="B35" i="116"/>
  <c r="B34" i="116"/>
  <c r="B33" i="116"/>
  <c r="B32" i="116"/>
  <c r="B31" i="116"/>
  <c r="B30" i="116"/>
  <c r="D4" i="116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J2" i="72"/>
  <c r="C25" i="61"/>
  <c r="B25" i="61"/>
  <c r="C24" i="61"/>
  <c r="B24" i="61"/>
  <c r="C23" i="61"/>
  <c r="B23" i="61"/>
  <c r="C22" i="61"/>
  <c r="B22" i="61"/>
  <c r="C21" i="61"/>
  <c r="B21" i="61"/>
  <c r="C20" i="61"/>
  <c r="B20" i="61"/>
  <c r="C19" i="61"/>
  <c r="B19" i="61"/>
  <c r="C18" i="61"/>
  <c r="B18" i="61"/>
  <c r="C17" i="61"/>
  <c r="B17" i="61"/>
  <c r="C16" i="61"/>
  <c r="B16" i="61"/>
  <c r="C15" i="61"/>
  <c r="B15" i="61"/>
  <c r="C14" i="61"/>
  <c r="B14" i="61"/>
  <c r="C13" i="61"/>
  <c r="B13" i="61"/>
  <c r="C12" i="61"/>
  <c r="B12" i="61"/>
  <c r="C11" i="61"/>
  <c r="B11" i="61"/>
  <c r="C10" i="61"/>
  <c r="B10" i="61"/>
  <c r="C9" i="61"/>
  <c r="B9" i="61"/>
  <c r="C8" i="61"/>
  <c r="B8" i="61"/>
  <c r="C7" i="61"/>
  <c r="B7" i="61"/>
  <c r="C6" i="61"/>
  <c r="B6" i="61"/>
  <c r="C5" i="61"/>
  <c r="B5" i="61"/>
  <c r="G4" i="9"/>
  <c r="C6" i="21"/>
  <c r="C4" i="116"/>
  <c r="D4" i="22"/>
  <c r="D4" i="20"/>
  <c r="C4" i="13"/>
  <c r="C4" i="19"/>
  <c r="D4" i="24"/>
  <c r="C4" i="64"/>
  <c r="F4" i="38"/>
  <c r="BS5" i="8"/>
  <c r="BU9" i="8"/>
  <c r="H6" i="24"/>
  <c r="BS9" i="8"/>
  <c r="BS8" i="8"/>
  <c r="BS13" i="8"/>
  <c r="BS7" i="8"/>
  <c r="BS15" i="8"/>
  <c r="BS12" i="8"/>
  <c r="BS6" i="8"/>
  <c r="BS10" i="8"/>
  <c r="BS14" i="8"/>
  <c r="BS11" i="8"/>
  <c r="BS16" i="8"/>
  <c r="P13" i="8"/>
  <c r="C4" i="21"/>
  <c r="B4" i="13"/>
  <c r="B4" i="116"/>
  <c r="D4" i="9"/>
  <c r="B4" i="64"/>
  <c r="B4" i="20"/>
  <c r="AG12" i="8" s="1"/>
  <c r="B4" i="19"/>
  <c r="B4" i="22"/>
  <c r="B4" i="24"/>
  <c r="BC17" i="8"/>
  <c r="C652" i="116"/>
  <c r="C1166" i="116"/>
  <c r="C1167" i="116"/>
  <c r="C1168" i="116"/>
  <c r="C141" i="116"/>
  <c r="C1171" i="116"/>
  <c r="C144" i="116"/>
  <c r="C661" i="116"/>
  <c r="S661" i="116" s="1"/>
  <c r="V661" i="116" s="1"/>
  <c r="C147" i="116"/>
  <c r="S147" i="116" s="1"/>
  <c r="C664" i="116"/>
  <c r="C150" i="116"/>
  <c r="C667" i="116"/>
  <c r="C668" i="116"/>
  <c r="S668" i="116" s="1"/>
  <c r="V668" i="116" s="1"/>
  <c r="C1182" i="116"/>
  <c r="C1184" i="116"/>
  <c r="C672" i="116"/>
  <c r="C673" i="116"/>
  <c r="C1187" i="116"/>
  <c r="C676" i="116"/>
  <c r="C1190" i="116"/>
  <c r="C163" i="116"/>
  <c r="C164" i="116"/>
  <c r="C681" i="116"/>
  <c r="C167" i="116"/>
  <c r="C684" i="116"/>
  <c r="C1198" i="116"/>
  <c r="C171" i="116"/>
  <c r="C688" i="116"/>
  <c r="C1202" i="116"/>
  <c r="C175" i="116"/>
  <c r="C692" i="116"/>
  <c r="C177" i="116"/>
  <c r="C694" i="116"/>
  <c r="S694" i="116" s="1"/>
  <c r="V694" i="116" s="1"/>
  <c r="C1208" i="116"/>
  <c r="C181" i="116"/>
  <c r="C182" i="116"/>
  <c r="C699" i="116"/>
  <c r="C1213" i="116"/>
  <c r="C702" i="116"/>
  <c r="C703" i="116"/>
  <c r="C1217" i="116"/>
  <c r="C706" i="116"/>
  <c r="C707" i="116"/>
  <c r="C193" i="116"/>
  <c r="C194" i="116"/>
  <c r="C711" i="116"/>
  <c r="C1225" i="116"/>
  <c r="C198" i="116"/>
  <c r="C715" i="116"/>
  <c r="C1229" i="116"/>
  <c r="C1230" i="116"/>
  <c r="C203" i="116"/>
  <c r="C1232" i="116"/>
  <c r="C1233" i="116"/>
  <c r="C1234" i="116"/>
  <c r="C207" i="116"/>
  <c r="C208" i="116"/>
  <c r="C725" i="116"/>
  <c r="S725" i="116" s="1"/>
  <c r="V725" i="116" s="1"/>
  <c r="C1239" i="116"/>
  <c r="C212" i="116"/>
  <c r="C729" i="116"/>
  <c r="C730" i="116"/>
  <c r="C1244" i="116"/>
  <c r="C733" i="116"/>
  <c r="C1247" i="116"/>
  <c r="C220" i="116"/>
  <c r="C737" i="116"/>
  <c r="C1251" i="116"/>
  <c r="C224" i="116"/>
  <c r="C741" i="116"/>
  <c r="C1255" i="116"/>
  <c r="C1256" i="116"/>
  <c r="C229" i="116"/>
  <c r="C746" i="116"/>
  <c r="C1260" i="116"/>
  <c r="C1261" i="116"/>
  <c r="C749" i="116"/>
  <c r="C1263" i="116"/>
  <c r="C344" i="116"/>
  <c r="C551" i="116"/>
  <c r="C857" i="116"/>
  <c r="S857" i="116" s="1"/>
  <c r="V857" i="116" s="1"/>
  <c r="C346" i="116"/>
  <c r="C553" i="116"/>
  <c r="C859" i="116"/>
  <c r="C348" i="116"/>
  <c r="C555" i="116"/>
  <c r="C349" i="116"/>
  <c r="C556" i="116"/>
  <c r="C350" i="116"/>
  <c r="C557" i="116"/>
  <c r="C863" i="116"/>
  <c r="C558" i="116"/>
  <c r="C352" i="116"/>
  <c r="C559" i="116"/>
  <c r="C865" i="116"/>
  <c r="C354" i="116"/>
  <c r="C561" i="116"/>
  <c r="C867" i="116"/>
  <c r="C868" i="116"/>
  <c r="C357" i="116"/>
  <c r="C564" i="116"/>
  <c r="C870" i="116"/>
  <c r="C359" i="116"/>
  <c r="C566" i="116"/>
  <c r="C872" i="116"/>
  <c r="C361" i="116"/>
  <c r="C568" i="116"/>
  <c r="C874" i="116"/>
  <c r="C363" i="116"/>
  <c r="C570" i="116"/>
  <c r="C876" i="116"/>
  <c r="C365" i="116"/>
  <c r="C572" i="116"/>
  <c r="C878" i="116"/>
  <c r="C367" i="116"/>
  <c r="C574" i="116"/>
  <c r="C368" i="116"/>
  <c r="C575" i="116"/>
  <c r="C881" i="116"/>
  <c r="C370" i="116"/>
  <c r="C577" i="116"/>
  <c r="C578" i="116"/>
  <c r="C884" i="116"/>
  <c r="C373" i="116"/>
  <c r="C580" i="116"/>
  <c r="C886" i="116"/>
  <c r="C375" i="116"/>
  <c r="C582" i="116"/>
  <c r="C888" i="116"/>
  <c r="C377" i="116"/>
  <c r="C584" i="116"/>
  <c r="C890" i="116"/>
  <c r="C379" i="116"/>
  <c r="C586" i="116"/>
  <c r="C892" i="116"/>
  <c r="C381" i="116"/>
  <c r="C588" i="116"/>
  <c r="C894" i="116"/>
  <c r="C383" i="116"/>
  <c r="C590" i="116"/>
  <c r="C896" i="116"/>
  <c r="C385" i="116"/>
  <c r="C592" i="116"/>
  <c r="C898" i="116"/>
  <c r="C387" i="116"/>
  <c r="C388" i="116"/>
  <c r="C595" i="116"/>
  <c r="C901" i="116"/>
  <c r="C596" i="116"/>
  <c r="C902" i="116"/>
  <c r="C391" i="116"/>
  <c r="C598" i="116"/>
  <c r="C599" i="116"/>
  <c r="C905" i="116"/>
  <c r="C394" i="116"/>
  <c r="C601" i="116"/>
  <c r="C907" i="116"/>
  <c r="C396" i="116"/>
  <c r="C603" i="116"/>
  <c r="C397" i="116"/>
  <c r="C398" i="116"/>
  <c r="C605" i="116"/>
  <c r="C911" i="116"/>
  <c r="C400" i="116"/>
  <c r="C607" i="116"/>
  <c r="C401" i="116"/>
  <c r="C608" i="116"/>
  <c r="C914" i="116"/>
  <c r="C403" i="116"/>
  <c r="C610" i="116"/>
  <c r="C916" i="116"/>
  <c r="C405" i="116"/>
  <c r="C612" i="116"/>
  <c r="C918" i="116"/>
  <c r="C407" i="116"/>
  <c r="C614" i="116"/>
  <c r="C920" i="116"/>
  <c r="C409" i="116"/>
  <c r="C616" i="116"/>
  <c r="C922" i="116"/>
  <c r="C923" i="116"/>
  <c r="C412" i="116"/>
  <c r="C619" i="116"/>
  <c r="S619" i="116" s="1"/>
  <c r="V619" i="116" s="1"/>
  <c r="C925" i="116"/>
  <c r="C926" i="116"/>
  <c r="C415" i="116"/>
  <c r="C622" i="116"/>
  <c r="C928" i="116"/>
  <c r="C417" i="116"/>
  <c r="C624" i="116"/>
  <c r="C930" i="116"/>
  <c r="C419" i="116"/>
  <c r="C626" i="116"/>
  <c r="C420" i="116"/>
  <c r="C932" i="116"/>
  <c r="C627" i="116"/>
  <c r="C421" i="116"/>
  <c r="C628" i="116"/>
  <c r="C422" i="116"/>
  <c r="C934" i="116"/>
  <c r="C629" i="116"/>
  <c r="C423" i="116"/>
  <c r="C935" i="116"/>
  <c r="C630" i="116"/>
  <c r="S630" i="116" s="1"/>
  <c r="V630" i="116" s="1"/>
  <c r="C424" i="116"/>
  <c r="C936" i="116"/>
  <c r="C631" i="116"/>
  <c r="C425" i="116"/>
  <c r="C937" i="116"/>
  <c r="C632" i="116"/>
  <c r="C426" i="116"/>
  <c r="C938" i="116"/>
  <c r="C633" i="116"/>
  <c r="C427" i="116"/>
  <c r="C939" i="116"/>
  <c r="C634" i="116"/>
  <c r="C428" i="116"/>
  <c r="C940" i="116"/>
  <c r="C635" i="116"/>
  <c r="C429" i="116"/>
  <c r="C941" i="116"/>
  <c r="C636" i="116"/>
  <c r="C430" i="116"/>
  <c r="C942" i="116"/>
  <c r="C637" i="116"/>
  <c r="C431" i="116"/>
  <c r="C943" i="116"/>
  <c r="C638" i="116"/>
  <c r="C432" i="116"/>
  <c r="C944" i="116"/>
  <c r="C639" i="116"/>
  <c r="C433" i="116"/>
  <c r="C945" i="116"/>
  <c r="C640" i="116"/>
  <c r="C434" i="116"/>
  <c r="C946" i="116"/>
  <c r="C641" i="116"/>
  <c r="C435" i="116"/>
  <c r="C947" i="116"/>
  <c r="C642" i="116"/>
  <c r="C436" i="116"/>
  <c r="C948" i="116"/>
  <c r="C643" i="116"/>
  <c r="S643" i="116" s="1"/>
  <c r="V643" i="116" s="1"/>
  <c r="C437" i="116"/>
  <c r="C949" i="116"/>
  <c r="C644" i="116"/>
  <c r="C438" i="116"/>
  <c r="C950" i="116"/>
  <c r="C645" i="116"/>
  <c r="C439" i="116"/>
  <c r="C951" i="116"/>
  <c r="C646" i="116"/>
  <c r="C440" i="116"/>
  <c r="C952" i="116"/>
  <c r="C647" i="116"/>
  <c r="C441" i="116"/>
  <c r="C953" i="116"/>
  <c r="C648" i="116"/>
  <c r="C442" i="116"/>
  <c r="C954" i="116"/>
  <c r="C649" i="116"/>
  <c r="C443" i="116"/>
  <c r="C955" i="116"/>
  <c r="C1063" i="116"/>
  <c r="C446" i="116"/>
  <c r="C958" i="116"/>
  <c r="C1064" i="116"/>
  <c r="C447" i="116"/>
  <c r="C959" i="116"/>
  <c r="C1065" i="116"/>
  <c r="C448" i="116"/>
  <c r="C960" i="116"/>
  <c r="C1066" i="116"/>
  <c r="C449" i="116"/>
  <c r="C961" i="116"/>
  <c r="C1067" i="116"/>
  <c r="C450" i="116"/>
  <c r="C962" i="116"/>
  <c r="C1068" i="116"/>
  <c r="C451" i="116"/>
  <c r="C963" i="116"/>
  <c r="C1069" i="116"/>
  <c r="C452" i="116"/>
  <c r="C964" i="116"/>
  <c r="C1070" i="116"/>
  <c r="C453" i="116"/>
  <c r="C965" i="116"/>
  <c r="C1071" i="116"/>
  <c r="C454" i="116"/>
  <c r="C966" i="116"/>
  <c r="C1072" i="116"/>
  <c r="C455" i="116"/>
  <c r="C967" i="116"/>
  <c r="C1073" i="116"/>
  <c r="C456" i="116"/>
  <c r="C968" i="116"/>
  <c r="C1074" i="116"/>
  <c r="C457" i="116"/>
  <c r="C969" i="116"/>
  <c r="C1075" i="116"/>
  <c r="C458" i="116"/>
  <c r="C970" i="116"/>
  <c r="C1076" i="116"/>
  <c r="C459" i="116"/>
  <c r="C971" i="116"/>
  <c r="C1077" i="116"/>
  <c r="C460" i="116"/>
  <c r="C972" i="116"/>
  <c r="C1078" i="116"/>
  <c r="C461" i="116"/>
  <c r="C973" i="116"/>
  <c r="C1079" i="116"/>
  <c r="C462" i="116"/>
  <c r="C974" i="116"/>
  <c r="C1080" i="116"/>
  <c r="C463" i="116"/>
  <c r="C975" i="116"/>
  <c r="C1081" i="116"/>
  <c r="C464" i="116"/>
  <c r="C976" i="116"/>
  <c r="C1082" i="116"/>
  <c r="C465" i="116"/>
  <c r="C977" i="116"/>
  <c r="C1083" i="116"/>
  <c r="C466" i="116"/>
  <c r="C978" i="116"/>
  <c r="C1084" i="116"/>
  <c r="C467" i="116"/>
  <c r="C979" i="116"/>
  <c r="C1085" i="116"/>
  <c r="C468" i="116"/>
  <c r="C980" i="116"/>
  <c r="C1086" i="116"/>
  <c r="C469" i="116"/>
  <c r="C981" i="116"/>
  <c r="C1087" i="116"/>
  <c r="C470" i="116"/>
  <c r="C982" i="116"/>
  <c r="C1088" i="116"/>
  <c r="C471" i="116"/>
  <c r="C983" i="116"/>
  <c r="C1089" i="116"/>
  <c r="C472" i="116"/>
  <c r="C984" i="116"/>
  <c r="C1090" i="116"/>
  <c r="C473" i="116"/>
  <c r="C985" i="116"/>
  <c r="C1091" i="116"/>
  <c r="C474" i="116"/>
  <c r="C986" i="116"/>
  <c r="C1092" i="116"/>
  <c r="C475" i="116"/>
  <c r="C987" i="116"/>
  <c r="C1093" i="116"/>
  <c r="C476" i="116"/>
  <c r="C988" i="116"/>
  <c r="C1094" i="116"/>
  <c r="C477" i="116"/>
  <c r="C989" i="116"/>
  <c r="C1095" i="116"/>
  <c r="C478" i="116"/>
  <c r="C990" i="116"/>
  <c r="C1096" i="116"/>
  <c r="C479" i="116"/>
  <c r="C991" i="116"/>
  <c r="C1097" i="116"/>
  <c r="C480" i="116"/>
  <c r="C992" i="116"/>
  <c r="C1098" i="116"/>
  <c r="C481" i="116"/>
  <c r="C993" i="116"/>
  <c r="C1099" i="116"/>
  <c r="C482" i="116"/>
  <c r="C994" i="116"/>
  <c r="C1100" i="116"/>
  <c r="C483" i="116"/>
  <c r="C995" i="116"/>
  <c r="C1101" i="116"/>
  <c r="C484" i="116"/>
  <c r="C996" i="116"/>
  <c r="C1102" i="116"/>
  <c r="S1102" i="116" s="1"/>
  <c r="V1102" i="116" s="1"/>
  <c r="C485" i="116"/>
  <c r="C997" i="116"/>
  <c r="C1103" i="116"/>
  <c r="C486" i="116"/>
  <c r="C998" i="116"/>
  <c r="C1104" i="116"/>
  <c r="C487" i="116"/>
  <c r="C999" i="116"/>
  <c r="C1105" i="116"/>
  <c r="C488" i="116"/>
  <c r="C1000" i="116"/>
  <c r="C1106" i="116"/>
  <c r="C489" i="116"/>
  <c r="S489" i="116" s="1"/>
  <c r="V489" i="116" s="1"/>
  <c r="C1001" i="116"/>
  <c r="C1107" i="116"/>
  <c r="C490" i="116"/>
  <c r="C1002" i="116"/>
  <c r="C1108" i="116"/>
  <c r="C491" i="116"/>
  <c r="C1003" i="116"/>
  <c r="C1109" i="116"/>
  <c r="C492" i="116"/>
  <c r="C1004" i="116"/>
  <c r="S1004" i="116" s="1"/>
  <c r="V1004" i="116" s="1"/>
  <c r="C1110" i="116"/>
  <c r="C493" i="116"/>
  <c r="C1005" i="116"/>
  <c r="C1111" i="116"/>
  <c r="C494" i="116"/>
  <c r="C1006" i="116"/>
  <c r="C1112" i="116"/>
  <c r="C495" i="116"/>
  <c r="C1007" i="116"/>
  <c r="C1113" i="116"/>
  <c r="C496" i="116"/>
  <c r="C1008" i="116"/>
  <c r="C1114" i="116"/>
  <c r="C497" i="116"/>
  <c r="C1009" i="116"/>
  <c r="C1115" i="116"/>
  <c r="C498" i="116"/>
  <c r="C1010" i="116"/>
  <c r="C1116" i="116"/>
  <c r="C499" i="116"/>
  <c r="C1011" i="116"/>
  <c r="C1117" i="116"/>
  <c r="C500" i="116"/>
  <c r="C1012" i="116"/>
  <c r="C1118" i="116"/>
  <c r="S1118" i="116" s="1"/>
  <c r="V1118" i="116" s="1"/>
  <c r="C501" i="116"/>
  <c r="C1013" i="116"/>
  <c r="C1119" i="116"/>
  <c r="S1119" i="116" s="1"/>
  <c r="V1119" i="116" s="1"/>
  <c r="C502" i="116"/>
  <c r="C1014" i="116"/>
  <c r="C1120" i="116"/>
  <c r="C503" i="116"/>
  <c r="C1015" i="116"/>
  <c r="C1121" i="116"/>
  <c r="C504" i="116"/>
  <c r="C1016" i="116"/>
  <c r="C1122" i="116"/>
  <c r="C505" i="116"/>
  <c r="C1017" i="116"/>
  <c r="C1123" i="116"/>
  <c r="C506" i="116"/>
  <c r="C1018" i="116"/>
  <c r="C1124" i="116"/>
  <c r="C507" i="116"/>
  <c r="C1019" i="116"/>
  <c r="C1125" i="116"/>
  <c r="C508" i="116"/>
  <c r="C1020" i="116"/>
  <c r="C1126" i="116"/>
  <c r="C509" i="116"/>
  <c r="C1021" i="116"/>
  <c r="C1127" i="116"/>
  <c r="C510" i="116"/>
  <c r="C1022" i="116"/>
  <c r="C1128" i="116"/>
  <c r="C511" i="116"/>
  <c r="C1023" i="116"/>
  <c r="C1129" i="116"/>
  <c r="C512" i="116"/>
  <c r="C1024" i="116"/>
  <c r="C1130" i="116"/>
  <c r="C513" i="116"/>
  <c r="C1025" i="116"/>
  <c r="C1131" i="116"/>
  <c r="C514" i="116"/>
  <c r="C1026" i="116"/>
  <c r="C1132" i="116"/>
  <c r="C515" i="116"/>
  <c r="C1027" i="116"/>
  <c r="C1133" i="116"/>
  <c r="C516" i="116"/>
  <c r="C1028" i="116"/>
  <c r="C1134" i="116"/>
  <c r="C517" i="116"/>
  <c r="C1029" i="116"/>
  <c r="C1135" i="116"/>
  <c r="C518" i="116"/>
  <c r="C1030" i="116"/>
  <c r="C1136" i="116"/>
  <c r="C519" i="116"/>
  <c r="C1031" i="116"/>
  <c r="C1137" i="116"/>
  <c r="C520" i="116"/>
  <c r="C1032" i="116"/>
  <c r="C1138" i="116"/>
  <c r="C521" i="116"/>
  <c r="C1033" i="116"/>
  <c r="C1139" i="116"/>
  <c r="C522" i="116"/>
  <c r="C1034" i="116"/>
  <c r="C1140" i="116"/>
  <c r="C523" i="116"/>
  <c r="C1035" i="116"/>
  <c r="C1141" i="116"/>
  <c r="C524" i="116"/>
  <c r="C1036" i="116"/>
  <c r="C1142" i="116"/>
  <c r="C525" i="116"/>
  <c r="C1037" i="116"/>
  <c r="C1143" i="116"/>
  <c r="C526" i="116"/>
  <c r="C1038" i="116"/>
  <c r="C1144" i="116"/>
  <c r="C527" i="116"/>
  <c r="C1039" i="116"/>
  <c r="C1145" i="116"/>
  <c r="C528" i="116"/>
  <c r="C1040" i="116"/>
  <c r="C1146" i="116"/>
  <c r="C529" i="116"/>
  <c r="C1041" i="116"/>
  <c r="C1147" i="116"/>
  <c r="C530" i="116"/>
  <c r="C1042" i="116"/>
  <c r="C1148" i="116"/>
  <c r="C531" i="116"/>
  <c r="C1043" i="116"/>
  <c r="C1149" i="116"/>
  <c r="C532" i="116"/>
  <c r="C1044" i="116"/>
  <c r="C1150" i="116"/>
  <c r="C533" i="116"/>
  <c r="C1045" i="116"/>
  <c r="C1151" i="116"/>
  <c r="C534" i="116"/>
  <c r="C1046" i="116"/>
  <c r="C1152" i="116"/>
  <c r="C535" i="116"/>
  <c r="C1047" i="116"/>
  <c r="C1153" i="116"/>
  <c r="C536" i="116"/>
  <c r="C1048" i="116"/>
  <c r="C1154" i="116"/>
  <c r="C537" i="116"/>
  <c r="C1049" i="116"/>
  <c r="C1155" i="116"/>
  <c r="C538" i="116"/>
  <c r="C1050" i="116"/>
  <c r="C1156" i="116"/>
  <c r="C539" i="116"/>
  <c r="C1051" i="116"/>
  <c r="C1157" i="116"/>
  <c r="C540" i="116"/>
  <c r="C1052" i="116"/>
  <c r="C1158" i="116"/>
  <c r="S1158" i="116" s="1"/>
  <c r="V1158" i="116" s="1"/>
  <c r="C541" i="116"/>
  <c r="C1053" i="116"/>
  <c r="C1159" i="116"/>
  <c r="C542" i="116"/>
  <c r="C1054" i="116"/>
  <c r="C1160" i="116"/>
  <c r="C543" i="116"/>
  <c r="C1055" i="116"/>
  <c r="C1161" i="116"/>
  <c r="C544" i="116"/>
  <c r="S544" i="116" s="1"/>
  <c r="V544" i="116" s="1"/>
  <c r="C1056" i="116"/>
  <c r="C1162" i="116"/>
  <c r="C545" i="116"/>
  <c r="C1057" i="116"/>
  <c r="C137" i="116"/>
  <c r="C654" i="116"/>
  <c r="C140" i="116"/>
  <c r="C1170" i="116"/>
  <c r="C143" i="116"/>
  <c r="C660" i="116"/>
  <c r="C1174" i="116"/>
  <c r="C1175" i="116"/>
  <c r="C148" i="116"/>
  <c r="C665" i="116"/>
  <c r="C666" i="116"/>
  <c r="C152" i="116"/>
  <c r="C669" i="116"/>
  <c r="C1183" i="116"/>
  <c r="C1185" i="116"/>
  <c r="C158" i="116"/>
  <c r="C675" i="116"/>
  <c r="C1189" i="116"/>
  <c r="C678" i="116"/>
  <c r="C1192" i="116"/>
  <c r="C165" i="116"/>
  <c r="C166" i="116"/>
  <c r="C683" i="116"/>
  <c r="C169" i="116"/>
  <c r="C170" i="116"/>
  <c r="C1200" i="116"/>
  <c r="C173" i="116"/>
  <c r="C690" i="116"/>
  <c r="C1204" i="116"/>
  <c r="C1205" i="116"/>
  <c r="C178" i="116"/>
  <c r="C695" i="116"/>
  <c r="C697" i="116"/>
  <c r="C1211" i="116"/>
  <c r="C700" i="116"/>
  <c r="C701" i="116"/>
  <c r="C1215" i="116"/>
  <c r="C188" i="116"/>
  <c r="C705" i="116"/>
  <c r="C1219" i="116"/>
  <c r="C192" i="116"/>
  <c r="C709" i="116"/>
  <c r="C1223" i="116"/>
  <c r="C712" i="116"/>
  <c r="C1226" i="116"/>
  <c r="C199" i="116"/>
  <c r="C716" i="116"/>
  <c r="C718" i="116"/>
  <c r="S718" i="116" s="1"/>
  <c r="V718" i="116" s="1"/>
  <c r="C724" i="116"/>
  <c r="C1238" i="116"/>
  <c r="C211" i="116"/>
  <c r="C728" i="116"/>
  <c r="C1242" i="116"/>
  <c r="C215" i="116"/>
  <c r="C732" i="116"/>
  <c r="C1246" i="116"/>
  <c r="C219" i="116"/>
  <c r="S219" i="116" s="1"/>
  <c r="V219" i="116" s="1"/>
  <c r="C736" i="116"/>
  <c r="C1250" i="116"/>
  <c r="C223" i="116"/>
  <c r="C740" i="116"/>
  <c r="C1254" i="116"/>
  <c r="C227" i="116"/>
  <c r="C744" i="116"/>
  <c r="C1258" i="116"/>
  <c r="C231" i="116"/>
  <c r="C748" i="116"/>
  <c r="C750" i="116"/>
  <c r="C235" i="116"/>
  <c r="C136" i="116"/>
  <c r="S136" i="116" s="1"/>
  <c r="V136" i="116" s="1"/>
  <c r="C653" i="116"/>
  <c r="C139" i="116"/>
  <c r="C1169" i="116"/>
  <c r="C657" i="116"/>
  <c r="C658" i="116"/>
  <c r="C659" i="116"/>
  <c r="C145" i="116"/>
  <c r="C662" i="116"/>
  <c r="C1176" i="116"/>
  <c r="C149" i="116"/>
  <c r="C151" i="116"/>
  <c r="C153" i="116"/>
  <c r="C670" i="116"/>
  <c r="C671" i="116"/>
  <c r="C157" i="116"/>
  <c r="C674" i="116"/>
  <c r="C1188" i="116"/>
  <c r="C161" i="116"/>
  <c r="C162" i="116"/>
  <c r="C679" i="116"/>
  <c r="C1193" i="116"/>
  <c r="C682" i="116"/>
  <c r="C1196" i="116"/>
  <c r="C1197" i="116"/>
  <c r="S1197" i="116" s="1"/>
  <c r="V1197" i="116" s="1"/>
  <c r="C686" i="116"/>
  <c r="C687" i="116"/>
  <c r="C1201" i="116"/>
  <c r="C174" i="116"/>
  <c r="C691" i="116"/>
  <c r="C693" i="116"/>
  <c r="C1207" i="116"/>
  <c r="C696" i="116"/>
  <c r="C1210" i="116"/>
  <c r="S1210" i="116" s="1"/>
  <c r="V1210" i="116" s="1"/>
  <c r="C183" i="116"/>
  <c r="C184" i="116"/>
  <c r="C1214" i="116"/>
  <c r="C187" i="116"/>
  <c r="C704" i="116"/>
  <c r="C1218" i="116"/>
  <c r="C191" i="116"/>
  <c r="C708" i="116"/>
  <c r="C1222" i="116"/>
  <c r="C195" i="116"/>
  <c r="C196" i="116"/>
  <c r="C713" i="116"/>
  <c r="C714" i="116"/>
  <c r="C1228" i="116"/>
  <c r="C717" i="116"/>
  <c r="C1231" i="116"/>
  <c r="C204" i="116"/>
  <c r="C205" i="116"/>
  <c r="C722" i="116"/>
  <c r="C723" i="116"/>
  <c r="C1237" i="116"/>
  <c r="C210" i="116"/>
  <c r="C727" i="116"/>
  <c r="C1241" i="116"/>
  <c r="C214" i="116"/>
  <c r="C731" i="116"/>
  <c r="C1245" i="116"/>
  <c r="C218" i="116"/>
  <c r="C735" i="116"/>
  <c r="C1249" i="116"/>
  <c r="C222" i="116"/>
  <c r="C739" i="116"/>
  <c r="C1253" i="116"/>
  <c r="C226" i="116"/>
  <c r="C228" i="116"/>
  <c r="C745" i="116"/>
  <c r="C1259" i="116"/>
  <c r="C232" i="116"/>
  <c r="C234" i="116"/>
  <c r="C1264" i="116"/>
  <c r="C31" i="116"/>
  <c r="C242" i="116"/>
  <c r="C754" i="116"/>
  <c r="C32" i="116"/>
  <c r="C243" i="116"/>
  <c r="C755" i="116"/>
  <c r="C33" i="116"/>
  <c r="C756" i="116"/>
  <c r="C34" i="116"/>
  <c r="C757" i="116"/>
  <c r="C35" i="116"/>
  <c r="C758" i="116"/>
  <c r="C759" i="116"/>
  <c r="C760" i="116"/>
  <c r="C38" i="116"/>
  <c r="C761" i="116"/>
  <c r="C39" i="116"/>
  <c r="C762" i="116"/>
  <c r="C40" i="116"/>
  <c r="C763" i="116"/>
  <c r="C41" i="116"/>
  <c r="C764" i="116"/>
  <c r="S764" i="116" s="1"/>
  <c r="V764" i="116" s="1"/>
  <c r="C42" i="116"/>
  <c r="C765" i="116"/>
  <c r="C43" i="116"/>
  <c r="C766" i="116"/>
  <c r="C44" i="116"/>
  <c r="C767" i="116"/>
  <c r="C45" i="116"/>
  <c r="C768" i="116"/>
  <c r="C46" i="116"/>
  <c r="C769" i="116"/>
  <c r="C47" i="116"/>
  <c r="C770" i="116"/>
  <c r="C48" i="116"/>
  <c r="C771" i="116"/>
  <c r="C49" i="116"/>
  <c r="C772" i="116"/>
  <c r="C50" i="116"/>
  <c r="C773" i="116"/>
  <c r="C51" i="116"/>
  <c r="C774" i="116"/>
  <c r="C52" i="116"/>
  <c r="C775" i="116"/>
  <c r="C53" i="116"/>
  <c r="C776" i="116"/>
  <c r="C54" i="116"/>
  <c r="C777" i="116"/>
  <c r="C55" i="116"/>
  <c r="C778" i="116"/>
  <c r="C56" i="116"/>
  <c r="C779" i="116"/>
  <c r="C57" i="116"/>
  <c r="C780" i="116"/>
  <c r="C58" i="116"/>
  <c r="C781" i="116"/>
  <c r="C59" i="116"/>
  <c r="C782" i="116"/>
  <c r="C60" i="116"/>
  <c r="C783" i="116"/>
  <c r="C61" i="116"/>
  <c r="S61" i="116" s="1"/>
  <c r="C784" i="116"/>
  <c r="C62" i="116"/>
  <c r="C785" i="116"/>
  <c r="C63" i="116"/>
  <c r="C786" i="116"/>
  <c r="C64" i="116"/>
  <c r="C787" i="116"/>
  <c r="C65" i="116"/>
  <c r="C788" i="116"/>
  <c r="C66" i="116"/>
  <c r="C789" i="116"/>
  <c r="C67" i="116"/>
  <c r="S67" i="116" s="1"/>
  <c r="C790" i="116"/>
  <c r="C68" i="116"/>
  <c r="C791" i="116"/>
  <c r="C69" i="116"/>
  <c r="C792" i="116"/>
  <c r="C70" i="116"/>
  <c r="C793" i="116"/>
  <c r="C71" i="116"/>
  <c r="C794" i="116"/>
  <c r="C72" i="116"/>
  <c r="C795" i="116"/>
  <c r="C73" i="116"/>
  <c r="S73" i="116" s="1"/>
  <c r="C796" i="116"/>
  <c r="C74" i="116"/>
  <c r="C797" i="116"/>
  <c r="C75" i="116"/>
  <c r="C798" i="116"/>
  <c r="C76" i="116"/>
  <c r="C799" i="116"/>
  <c r="C77" i="116"/>
  <c r="C800" i="116"/>
  <c r="C78" i="116"/>
  <c r="C801" i="116"/>
  <c r="C79" i="116"/>
  <c r="S79" i="116" s="1"/>
  <c r="C802" i="116"/>
  <c r="C80" i="116"/>
  <c r="C803" i="116"/>
  <c r="C81" i="116"/>
  <c r="C804" i="116"/>
  <c r="C82" i="116"/>
  <c r="C805" i="116"/>
  <c r="C83" i="116"/>
  <c r="C806" i="116"/>
  <c r="C84" i="116"/>
  <c r="C807" i="116"/>
  <c r="C85" i="116"/>
  <c r="S85" i="116" s="1"/>
  <c r="C808" i="116"/>
  <c r="C86" i="116"/>
  <c r="C809" i="116"/>
  <c r="C87" i="116"/>
  <c r="C810" i="116"/>
  <c r="C88" i="116"/>
  <c r="C811" i="116"/>
  <c r="C89" i="116"/>
  <c r="C812" i="116"/>
  <c r="C90" i="116"/>
  <c r="C813" i="116"/>
  <c r="C91" i="116"/>
  <c r="S91" i="116" s="1"/>
  <c r="C814" i="116"/>
  <c r="C92" i="116"/>
  <c r="C815" i="116"/>
  <c r="C93" i="116"/>
  <c r="C816" i="116"/>
  <c r="C94" i="116"/>
  <c r="C817" i="116"/>
  <c r="C95" i="116"/>
  <c r="C818" i="116"/>
  <c r="C96" i="116"/>
  <c r="C819" i="116"/>
  <c r="C97" i="116"/>
  <c r="S97" i="116" s="1"/>
  <c r="C820" i="116"/>
  <c r="C98" i="116"/>
  <c r="C821" i="116"/>
  <c r="C99" i="116"/>
  <c r="C822" i="116"/>
  <c r="C100" i="116"/>
  <c r="C823" i="116"/>
  <c r="C101" i="116"/>
  <c r="C824" i="116"/>
  <c r="C102" i="116"/>
  <c r="C825" i="116"/>
  <c r="C103" i="116"/>
  <c r="S103" i="116" s="1"/>
  <c r="C826" i="116"/>
  <c r="C104" i="116"/>
  <c r="C827" i="116"/>
  <c r="C105" i="116"/>
  <c r="C828" i="116"/>
  <c r="C106" i="116"/>
  <c r="C829" i="116"/>
  <c r="C107" i="116"/>
  <c r="C830" i="116"/>
  <c r="C108" i="116"/>
  <c r="C831" i="116"/>
  <c r="C109" i="116"/>
  <c r="S109" i="116" s="1"/>
  <c r="C832" i="116"/>
  <c r="C110" i="116"/>
  <c r="C833" i="116"/>
  <c r="C111" i="116"/>
  <c r="C834" i="116"/>
  <c r="C112" i="116"/>
  <c r="C835" i="116"/>
  <c r="C113" i="116"/>
  <c r="C836" i="116"/>
  <c r="C114" i="116"/>
  <c r="C837" i="116"/>
  <c r="C115" i="116"/>
  <c r="S115" i="116" s="1"/>
  <c r="C838" i="116"/>
  <c r="C116" i="116"/>
  <c r="C839" i="116"/>
  <c r="C117" i="116"/>
  <c r="C840" i="116"/>
  <c r="C118" i="116"/>
  <c r="C841" i="116"/>
  <c r="C119" i="116"/>
  <c r="C842" i="116"/>
  <c r="C120" i="116"/>
  <c r="C843" i="116"/>
  <c r="C121" i="116"/>
  <c r="S121" i="116" s="1"/>
  <c r="C844" i="116"/>
  <c r="C122" i="116"/>
  <c r="C845" i="116"/>
  <c r="C123" i="116"/>
  <c r="C846" i="116"/>
  <c r="C124" i="116"/>
  <c r="C847" i="116"/>
  <c r="C125" i="116"/>
  <c r="C848" i="116"/>
  <c r="C126" i="116"/>
  <c r="C849" i="116"/>
  <c r="C127" i="116"/>
  <c r="S127" i="116" s="1"/>
  <c r="C850" i="116"/>
  <c r="C128" i="116"/>
  <c r="C851" i="116"/>
  <c r="C129" i="116"/>
  <c r="C852" i="116"/>
  <c r="C130" i="116"/>
  <c r="C853" i="116"/>
  <c r="C1165" i="116"/>
  <c r="C138" i="116"/>
  <c r="C655" i="116"/>
  <c r="C656" i="116"/>
  <c r="C142" i="116"/>
  <c r="C1172" i="116"/>
  <c r="C1173" i="116"/>
  <c r="C146" i="116"/>
  <c r="C663" i="116"/>
  <c r="C1177" i="116"/>
  <c r="C1178" i="116"/>
  <c r="C1179" i="116"/>
  <c r="C1180" i="116"/>
  <c r="C1181" i="116"/>
  <c r="C154" i="116"/>
  <c r="C155" i="116"/>
  <c r="C156" i="116"/>
  <c r="C1186" i="116"/>
  <c r="C159" i="116"/>
  <c r="C160" i="116"/>
  <c r="C677" i="116"/>
  <c r="C1191" i="116"/>
  <c r="C680" i="116"/>
  <c r="C1194" i="116"/>
  <c r="C1195" i="116"/>
  <c r="C168" i="116"/>
  <c r="C685" i="116"/>
  <c r="C1199" i="116"/>
  <c r="S1199" i="116" s="1"/>
  <c r="V1199" i="116" s="1"/>
  <c r="C172" i="116"/>
  <c r="C689" i="116"/>
  <c r="C1203" i="116"/>
  <c r="C176" i="116"/>
  <c r="C1206" i="116"/>
  <c r="C179" i="116"/>
  <c r="C180" i="116"/>
  <c r="C1209" i="116"/>
  <c r="C698" i="116"/>
  <c r="C1212" i="116"/>
  <c r="C185" i="116"/>
  <c r="C186" i="116"/>
  <c r="C1216" i="116"/>
  <c r="C189" i="116"/>
  <c r="C190" i="116"/>
  <c r="C1220" i="116"/>
  <c r="C1221" i="116"/>
  <c r="C710" i="116"/>
  <c r="C1224" i="116"/>
  <c r="C197" i="116"/>
  <c r="C1227" i="116"/>
  <c r="C200" i="116"/>
  <c r="C201" i="116"/>
  <c r="C202" i="116"/>
  <c r="C719" i="116"/>
  <c r="C720" i="116"/>
  <c r="C721" i="116"/>
  <c r="S721" i="116" s="1"/>
  <c r="V721" i="116" s="1"/>
  <c r="C206" i="116"/>
  <c r="C1235" i="116"/>
  <c r="C1236" i="116"/>
  <c r="C209" i="116"/>
  <c r="S209" i="116" s="1"/>
  <c r="V209" i="116" s="1"/>
  <c r="C726" i="116"/>
  <c r="C1240" i="116"/>
  <c r="C213" i="116"/>
  <c r="C1243" i="116"/>
  <c r="C216" i="116"/>
  <c r="C217" i="116"/>
  <c r="C734" i="116"/>
  <c r="C1248" i="116"/>
  <c r="C221" i="116"/>
  <c r="C738" i="116"/>
  <c r="C1252" i="116"/>
  <c r="C225" i="116"/>
  <c r="S225" i="116" s="1"/>
  <c r="V225" i="116" s="1"/>
  <c r="C742" i="116"/>
  <c r="C743" i="116"/>
  <c r="C1257" i="116"/>
  <c r="C230" i="116"/>
  <c r="C747" i="116"/>
  <c r="C233" i="116"/>
  <c r="C1262" i="116"/>
  <c r="C751" i="116"/>
  <c r="C550" i="116"/>
  <c r="C856" i="116"/>
  <c r="C345" i="116"/>
  <c r="C552" i="116"/>
  <c r="C858" i="116"/>
  <c r="C347" i="116"/>
  <c r="C554" i="116"/>
  <c r="C860" i="116"/>
  <c r="C861" i="116"/>
  <c r="C862" i="116"/>
  <c r="C351" i="116"/>
  <c r="C864" i="116"/>
  <c r="C353" i="116"/>
  <c r="C560" i="116"/>
  <c r="C866" i="116"/>
  <c r="C355" i="116"/>
  <c r="C562" i="116"/>
  <c r="C356" i="116"/>
  <c r="C563" i="116"/>
  <c r="C869" i="116"/>
  <c r="C358" i="116"/>
  <c r="C565" i="116"/>
  <c r="C871" i="116"/>
  <c r="C360" i="116"/>
  <c r="C567" i="116"/>
  <c r="S567" i="116" s="1"/>
  <c r="V567" i="116" s="1"/>
  <c r="C873" i="116"/>
  <c r="C362" i="116"/>
  <c r="C569" i="116"/>
  <c r="C875" i="116"/>
  <c r="C364" i="116"/>
  <c r="C571" i="116"/>
  <c r="C877" i="116"/>
  <c r="C366" i="116"/>
  <c r="C573" i="116"/>
  <c r="C879" i="116"/>
  <c r="C880" i="116"/>
  <c r="C369" i="116"/>
  <c r="C576" i="116"/>
  <c r="S576" i="116" s="1"/>
  <c r="V576" i="116" s="1"/>
  <c r="C882" i="116"/>
  <c r="C371" i="116"/>
  <c r="C883" i="116"/>
  <c r="C372" i="116"/>
  <c r="C579" i="116"/>
  <c r="C885" i="116"/>
  <c r="S885" i="116" s="1"/>
  <c r="V885" i="116" s="1"/>
  <c r="C374" i="116"/>
  <c r="C581" i="116"/>
  <c r="C887" i="116"/>
  <c r="C376" i="116"/>
  <c r="C583" i="116"/>
  <c r="C889" i="116"/>
  <c r="C378" i="116"/>
  <c r="C585" i="116"/>
  <c r="C891" i="116"/>
  <c r="C380" i="116"/>
  <c r="C587" i="116"/>
  <c r="C893" i="116"/>
  <c r="C382" i="116"/>
  <c r="C589" i="116"/>
  <c r="C895" i="116"/>
  <c r="C384" i="116"/>
  <c r="C591" i="116"/>
  <c r="S591" i="116" s="1"/>
  <c r="V591" i="116" s="1"/>
  <c r="C897" i="116"/>
  <c r="C386" i="116"/>
  <c r="C593" i="116"/>
  <c r="C899" i="116"/>
  <c r="C594" i="116"/>
  <c r="C900" i="116"/>
  <c r="C389" i="116"/>
  <c r="C390" i="116"/>
  <c r="C597" i="116"/>
  <c r="C903" i="116"/>
  <c r="C392" i="116"/>
  <c r="C904" i="116"/>
  <c r="C393" i="116"/>
  <c r="C600" i="116"/>
  <c r="C906" i="116"/>
  <c r="C395" i="116"/>
  <c r="C602" i="116"/>
  <c r="C908" i="116"/>
  <c r="C909" i="116"/>
  <c r="C604" i="116"/>
  <c r="C910" i="116"/>
  <c r="C399" i="116"/>
  <c r="C606" i="116"/>
  <c r="C912" i="116"/>
  <c r="C913" i="116"/>
  <c r="C402" i="116"/>
  <c r="C609" i="116"/>
  <c r="C915" i="116"/>
  <c r="C404" i="116"/>
  <c r="C611" i="116"/>
  <c r="C917" i="116"/>
  <c r="C406" i="116"/>
  <c r="C613" i="116"/>
  <c r="C919" i="116"/>
  <c r="C408" i="116"/>
  <c r="C615" i="116"/>
  <c r="C921" i="116"/>
  <c r="C410" i="116"/>
  <c r="C617" i="116"/>
  <c r="C411" i="116"/>
  <c r="C618" i="116"/>
  <c r="C924" i="116"/>
  <c r="C413" i="116"/>
  <c r="C620" i="116"/>
  <c r="C414" i="116"/>
  <c r="S414" i="116" s="1"/>
  <c r="V414" i="116" s="1"/>
  <c r="C621" i="116"/>
  <c r="C927" i="116"/>
  <c r="C416" i="116"/>
  <c r="C623" i="116"/>
  <c r="C929" i="116"/>
  <c r="C418" i="116"/>
  <c r="C625" i="116"/>
  <c r="C931" i="116"/>
  <c r="C933" i="116"/>
  <c r="B10" i="9"/>
  <c r="B10" i="38"/>
  <c r="Q6" i="38"/>
  <c r="BU13" i="8"/>
  <c r="H10" i="24"/>
  <c r="BC12" i="8"/>
  <c r="BU11" i="8"/>
  <c r="N6" i="24"/>
  <c r="BC22" i="8"/>
  <c r="BC21" i="8"/>
  <c r="BC19" i="8"/>
  <c r="BC24" i="8"/>
  <c r="BC20" i="8"/>
  <c r="BC18" i="8"/>
  <c r="BC23" i="8"/>
  <c r="BU8" i="8"/>
  <c r="E6" i="24"/>
  <c r="BU5" i="8"/>
  <c r="E6" i="22"/>
  <c r="BU7" i="8"/>
  <c r="K6" i="22"/>
  <c r="BD10" i="8"/>
  <c r="BL10" i="8" s="1" a="1"/>
  <c r="BL10" i="8" s="1"/>
  <c r="BD9" i="8"/>
  <c r="BC13" i="8"/>
  <c r="D3" i="21"/>
  <c r="B6" i="21"/>
  <c r="AC29" i="116"/>
  <c r="B11" i="9"/>
  <c r="S228" i="116"/>
  <c r="V228" i="116"/>
  <c r="S1253" i="116"/>
  <c r="V1253" i="116"/>
  <c r="S222" i="116"/>
  <c r="V222" i="116" s="1"/>
  <c r="S727" i="116"/>
  <c r="V727" i="116" s="1"/>
  <c r="S1237" i="116"/>
  <c r="V1237" i="116" s="1"/>
  <c r="S204" i="116"/>
  <c r="V204" i="116"/>
  <c r="S196" i="116"/>
  <c r="V196" i="116" s="1"/>
  <c r="S1222" i="116"/>
  <c r="V1222" i="116"/>
  <c r="S191" i="116"/>
  <c r="V191" i="116" s="1"/>
  <c r="S1214" i="116"/>
  <c r="V1214" i="116" s="1"/>
  <c r="S696" i="116"/>
  <c r="V696" i="116"/>
  <c r="S693" i="116"/>
  <c r="V693" i="116" s="1"/>
  <c r="S174" i="116"/>
  <c r="V174" i="116"/>
  <c r="S679" i="116"/>
  <c r="V679" i="116"/>
  <c r="S161" i="116"/>
  <c r="V161" i="116" s="1"/>
  <c r="S671" i="116"/>
  <c r="V671" i="116" s="1"/>
  <c r="S662" i="116"/>
  <c r="V662" i="116"/>
  <c r="S659" i="116"/>
  <c r="V659" i="116" s="1"/>
  <c r="S744" i="116"/>
  <c r="V744" i="116"/>
  <c r="S728" i="116"/>
  <c r="V728" i="116" s="1"/>
  <c r="S199" i="116"/>
  <c r="V199" i="116"/>
  <c r="S709" i="116"/>
  <c r="V709" i="116"/>
  <c r="S1219" i="116"/>
  <c r="V1219" i="116"/>
  <c r="S188" i="116"/>
  <c r="V188" i="116"/>
  <c r="S1205" i="116"/>
  <c r="V1205" i="116" s="1"/>
  <c r="S690" i="116"/>
  <c r="V690" i="116" s="1"/>
  <c r="S1189" i="116"/>
  <c r="V1189" i="116"/>
  <c r="S158" i="116"/>
  <c r="V158" i="116"/>
  <c r="S152" i="116"/>
  <c r="V152" i="116" s="1"/>
  <c r="S1175" i="116"/>
  <c r="V1175" i="116"/>
  <c r="S660" i="116"/>
  <c r="V660" i="116" s="1"/>
  <c r="S1170" i="116"/>
  <c r="V1170" i="116" s="1"/>
  <c r="S625" i="116"/>
  <c r="V625" i="116" s="1"/>
  <c r="S929" i="116"/>
  <c r="V929" i="116"/>
  <c r="S416" i="116"/>
  <c r="V416" i="116" s="1"/>
  <c r="S621" i="116"/>
  <c r="V621" i="116" s="1"/>
  <c r="S620" i="116"/>
  <c r="V620" i="116" s="1"/>
  <c r="S411" i="116"/>
  <c r="V411" i="116"/>
  <c r="S410" i="116"/>
  <c r="V410" i="116" s="1"/>
  <c r="S919" i="116"/>
  <c r="V919" i="116" s="1"/>
  <c r="S406" i="116"/>
  <c r="V406" i="116" s="1"/>
  <c r="S611" i="116"/>
  <c r="V611" i="116"/>
  <c r="S402" i="116"/>
  <c r="V402" i="116"/>
  <c r="S912" i="116"/>
  <c r="V912" i="116"/>
  <c r="S604" i="116"/>
  <c r="V604" i="116" s="1"/>
  <c r="S395" i="116"/>
  <c r="V395" i="116"/>
  <c r="S904" i="116"/>
  <c r="V904" i="116" s="1"/>
  <c r="S903" i="116"/>
  <c r="V903" i="116"/>
  <c r="S899" i="116"/>
  <c r="V899" i="116"/>
  <c r="S386" i="116"/>
  <c r="V386" i="116"/>
  <c r="S895" i="116"/>
  <c r="V895" i="116" s="1"/>
  <c r="S587" i="116"/>
  <c r="V587" i="116"/>
  <c r="S891" i="116"/>
  <c r="V891" i="116"/>
  <c r="S378" i="116"/>
  <c r="V378" i="116"/>
  <c r="S583" i="116"/>
  <c r="V583" i="116"/>
  <c r="S579" i="116"/>
  <c r="V579" i="116"/>
  <c r="S882" i="116"/>
  <c r="V882" i="116" s="1"/>
  <c r="S369" i="116"/>
  <c r="V369" i="116"/>
  <c r="S571" i="116"/>
  <c r="V571" i="116"/>
  <c r="S362" i="116"/>
  <c r="V362" i="116"/>
  <c r="S871" i="116"/>
  <c r="V871" i="116"/>
  <c r="S563" i="116"/>
  <c r="V563" i="116"/>
  <c r="S562" i="116"/>
  <c r="V562" i="116"/>
  <c r="S866" i="116"/>
  <c r="V866" i="116" s="1"/>
  <c r="S353" i="116"/>
  <c r="V353" i="116"/>
  <c r="S861" i="116"/>
  <c r="V861" i="116"/>
  <c r="S554" i="116"/>
  <c r="V554" i="116"/>
  <c r="S858" i="116"/>
  <c r="V858" i="116" s="1"/>
  <c r="S345" i="116"/>
  <c r="V345" i="116" s="1"/>
  <c r="S1252" i="116"/>
  <c r="V1252" i="116"/>
  <c r="S221" i="116"/>
  <c r="V221" i="116" s="1"/>
  <c r="S734" i="116"/>
  <c r="V734" i="116" s="1"/>
  <c r="S216" i="116"/>
  <c r="V216" i="116" s="1"/>
  <c r="S1236" i="116"/>
  <c r="V1236" i="116" s="1"/>
  <c r="S206" i="116"/>
  <c r="V206" i="116"/>
  <c r="S200" i="116"/>
  <c r="V200" i="116"/>
  <c r="S197" i="116"/>
  <c r="V197" i="116"/>
  <c r="S1220" i="116"/>
  <c r="V1220" i="116"/>
  <c r="S179" i="116"/>
  <c r="V179" i="116"/>
  <c r="S176" i="116"/>
  <c r="V176" i="116" s="1"/>
  <c r="S1194" i="116"/>
  <c r="V1194" i="116"/>
  <c r="S1191" i="116"/>
  <c r="V1191" i="116" s="1"/>
  <c r="S160" i="116"/>
  <c r="V160" i="116" s="1"/>
  <c r="S155" i="116"/>
  <c r="V155" i="116" s="1"/>
  <c r="S1181" i="116"/>
  <c r="V1181" i="116" s="1"/>
  <c r="S1179" i="116"/>
  <c r="V1179" i="116" s="1"/>
  <c r="S1177" i="116"/>
  <c r="V1177" i="116"/>
  <c r="S146" i="116"/>
  <c r="V146" i="116"/>
  <c r="S138" i="116"/>
  <c r="V138" i="116" s="1"/>
  <c r="S340" i="116"/>
  <c r="V340" i="116"/>
  <c r="S851" i="116"/>
  <c r="V851" i="116"/>
  <c r="S128" i="116"/>
  <c r="V128" i="116" s="1"/>
  <c r="S338" i="116"/>
  <c r="V338" i="116"/>
  <c r="S849" i="116"/>
  <c r="V849" i="116"/>
  <c r="S847" i="116"/>
  <c r="V847" i="116"/>
  <c r="S845" i="116"/>
  <c r="V845" i="116" s="1"/>
  <c r="S332" i="116"/>
  <c r="V332" i="116" s="1"/>
  <c r="S843" i="116"/>
  <c r="V843" i="116" s="1"/>
  <c r="S328" i="116"/>
  <c r="V328" i="116" s="1"/>
  <c r="S839" i="116"/>
  <c r="V839" i="116" s="1"/>
  <c r="S116" i="116"/>
  <c r="V116" i="116" s="1"/>
  <c r="S326" i="116"/>
  <c r="V326" i="116"/>
  <c r="S837" i="116"/>
  <c r="V837" i="116" s="1"/>
  <c r="S833" i="116"/>
  <c r="V833" i="116" s="1"/>
  <c r="S831" i="116"/>
  <c r="V831" i="116"/>
  <c r="S108" i="116"/>
  <c r="V108" i="116" s="1"/>
  <c r="S318" i="116"/>
  <c r="V318" i="116" s="1"/>
  <c r="S829" i="116"/>
  <c r="V829" i="116"/>
  <c r="S316" i="116"/>
  <c r="V316" i="116" s="1"/>
  <c r="S827" i="116"/>
  <c r="V827" i="116" s="1"/>
  <c r="S314" i="116"/>
  <c r="V314" i="116" s="1"/>
  <c r="S825" i="116"/>
  <c r="V825" i="116"/>
  <c r="S823" i="116"/>
  <c r="V823" i="116"/>
  <c r="S821" i="116"/>
  <c r="V821" i="116"/>
  <c r="S819" i="116"/>
  <c r="V819" i="116"/>
  <c r="S304" i="116"/>
  <c r="V304" i="116"/>
  <c r="S815" i="116"/>
  <c r="V815" i="116"/>
  <c r="S302" i="116"/>
  <c r="V302" i="116"/>
  <c r="S813" i="116"/>
  <c r="V813" i="116" s="1"/>
  <c r="S811" i="116"/>
  <c r="V811" i="116"/>
  <c r="S809" i="116"/>
  <c r="V809" i="116"/>
  <c r="S807" i="116"/>
  <c r="V807" i="116"/>
  <c r="S294" i="116"/>
  <c r="V294" i="116" s="1"/>
  <c r="S292" i="116"/>
  <c r="V292" i="116"/>
  <c r="S803" i="116"/>
  <c r="V803" i="116"/>
  <c r="S80" i="116"/>
  <c r="V80" i="116" s="1"/>
  <c r="S290" i="116"/>
  <c r="V290" i="116" s="1"/>
  <c r="S801" i="116"/>
  <c r="V801" i="116" s="1"/>
  <c r="S797" i="116"/>
  <c r="V797" i="116"/>
  <c r="S795" i="116"/>
  <c r="V795" i="116"/>
  <c r="S282" i="116"/>
  <c r="V282" i="116" s="1"/>
  <c r="S793" i="116"/>
  <c r="V793" i="116" s="1"/>
  <c r="S280" i="116"/>
  <c r="V280" i="116"/>
  <c r="S791" i="116"/>
  <c r="V791" i="116"/>
  <c r="S68" i="116"/>
  <c r="V68" i="116" s="1"/>
  <c r="S278" i="116"/>
  <c r="V278" i="116"/>
  <c r="S789" i="116"/>
  <c r="V789" i="116"/>
  <c r="S66" i="116"/>
  <c r="V66" i="116" s="1"/>
  <c r="S787" i="116"/>
  <c r="V787" i="116"/>
  <c r="S64" i="116"/>
  <c r="V64" i="116" s="1"/>
  <c r="S785" i="116"/>
  <c r="V785" i="116"/>
  <c r="S62" i="116"/>
  <c r="V62" i="116" s="1"/>
  <c r="S783" i="116"/>
  <c r="V783" i="116"/>
  <c r="S270" i="116"/>
  <c r="V270" i="116" s="1"/>
  <c r="S781" i="116"/>
  <c r="V781" i="116" s="1"/>
  <c r="S268" i="116"/>
  <c r="V268" i="116" s="1"/>
  <c r="S779" i="116"/>
  <c r="V779" i="116"/>
  <c r="S266" i="116"/>
  <c r="V266" i="116" s="1"/>
  <c r="S777" i="116"/>
  <c r="V777" i="116"/>
  <c r="S773" i="116"/>
  <c r="V773" i="116" s="1"/>
  <c r="S50" i="116"/>
  <c r="V50" i="116" s="1"/>
  <c r="S771" i="116"/>
  <c r="V771" i="116"/>
  <c r="S769" i="116"/>
  <c r="V769" i="116"/>
  <c r="S256" i="116"/>
  <c r="V256" i="116" s="1"/>
  <c r="S767" i="116"/>
  <c r="V767" i="116" s="1"/>
  <c r="S44" i="116"/>
  <c r="V44" i="116" s="1"/>
  <c r="S254" i="116"/>
  <c r="V254" i="116"/>
  <c r="S765" i="116"/>
  <c r="V765" i="116" s="1"/>
  <c r="S761" i="116"/>
  <c r="V761" i="116"/>
  <c r="S759" i="116"/>
  <c r="V759" i="116"/>
  <c r="S246" i="116"/>
  <c r="V246" i="116"/>
  <c r="S757" i="116"/>
  <c r="V757" i="116"/>
  <c r="S244" i="116"/>
  <c r="V244" i="116" s="1"/>
  <c r="S755" i="116"/>
  <c r="V755" i="116"/>
  <c r="S32" i="116"/>
  <c r="V32" i="116"/>
  <c r="S1161" i="116"/>
  <c r="V1161" i="116" s="1"/>
  <c r="S543" i="116"/>
  <c r="V543" i="116" s="1"/>
  <c r="S1054" i="116"/>
  <c r="V1054" i="116"/>
  <c r="S1157" i="116"/>
  <c r="V1157" i="116" s="1"/>
  <c r="S1050" i="116"/>
  <c r="V1050" i="116" s="1"/>
  <c r="S535" i="116"/>
  <c r="V535" i="116" s="1"/>
  <c r="S1046" i="116"/>
  <c r="V1046" i="116" s="1"/>
  <c r="S1149" i="116"/>
  <c r="V1149" i="116"/>
  <c r="S531" i="116"/>
  <c r="V531" i="116" s="1"/>
  <c r="S1042" i="116"/>
  <c r="V1042" i="116"/>
  <c r="S1040" i="116"/>
  <c r="V1040" i="116" s="1"/>
  <c r="S1145" i="116"/>
  <c r="V1145" i="116"/>
  <c r="S527" i="116"/>
  <c r="V527" i="116" s="1"/>
  <c r="S1038" i="116"/>
  <c r="V1038" i="116"/>
  <c r="S1141" i="116"/>
  <c r="V1141" i="116" s="1"/>
  <c r="S523" i="116"/>
  <c r="V523" i="116" s="1"/>
  <c r="S1034" i="116"/>
  <c r="V1034" i="116" s="1"/>
  <c r="S1139" i="116"/>
  <c r="V1139" i="116"/>
  <c r="S1032" i="116"/>
  <c r="V1032" i="116"/>
  <c r="S519" i="116"/>
  <c r="V519" i="116" s="1"/>
  <c r="S1030" i="116"/>
  <c r="V1030" i="116"/>
  <c r="S1133" i="116"/>
  <c r="V1133" i="116"/>
  <c r="S515" i="116"/>
  <c r="V515" i="116"/>
  <c r="S1026" i="116"/>
  <c r="V1026" i="116"/>
  <c r="S1129" i="116"/>
  <c r="V1129" i="116"/>
  <c r="S1022" i="116"/>
  <c r="V1022" i="116"/>
  <c r="S1125" i="116"/>
  <c r="V1125" i="116" s="1"/>
  <c r="S507" i="116"/>
  <c r="V507" i="116" s="1"/>
  <c r="S1018" i="116"/>
  <c r="V1018" i="116" s="1"/>
  <c r="S1123" i="116"/>
  <c r="V1123" i="116" s="1"/>
  <c r="S1016" i="116"/>
  <c r="V1016" i="116"/>
  <c r="S503" i="116"/>
  <c r="V503" i="116" s="1"/>
  <c r="S1014" i="116"/>
  <c r="V1014" i="116"/>
  <c r="S1117" i="116"/>
  <c r="V1117" i="116"/>
  <c r="S499" i="116"/>
  <c r="V499" i="116" s="1"/>
  <c r="S1010" i="116"/>
  <c r="V1010" i="116"/>
  <c r="S1008" i="116"/>
  <c r="V1008" i="116"/>
  <c r="S1113" i="116"/>
  <c r="V1113" i="116"/>
  <c r="S495" i="116"/>
  <c r="V495" i="116"/>
  <c r="S1006" i="116"/>
  <c r="V1006" i="116"/>
  <c r="S1109" i="116"/>
  <c r="V1109" i="116" s="1"/>
  <c r="S491" i="116"/>
  <c r="V491" i="116"/>
  <c r="S1002" i="116"/>
  <c r="V1002" i="116"/>
  <c r="S1000" i="116"/>
  <c r="V1000" i="116"/>
  <c r="S487" i="116"/>
  <c r="V487" i="116"/>
  <c r="S998" i="116"/>
  <c r="V998" i="116" s="1"/>
  <c r="S1101" i="116"/>
  <c r="V1101" i="116"/>
  <c r="S483" i="116"/>
  <c r="V483" i="116"/>
  <c r="S994" i="116"/>
  <c r="V994" i="116"/>
  <c r="S992" i="116"/>
  <c r="V992" i="116"/>
  <c r="S1097" i="116"/>
  <c r="V1097" i="116"/>
  <c r="S990" i="116"/>
  <c r="V990" i="116"/>
  <c r="S988" i="116"/>
  <c r="V988" i="116"/>
  <c r="S1093" i="116"/>
  <c r="V1093" i="116" s="1"/>
  <c r="S475" i="116"/>
  <c r="V475" i="116"/>
  <c r="S986" i="116"/>
  <c r="V986" i="116"/>
  <c r="S471" i="116"/>
  <c r="V471" i="116"/>
  <c r="S982" i="116"/>
  <c r="V982" i="116"/>
  <c r="S469" i="116"/>
  <c r="V469" i="116"/>
  <c r="S980" i="116"/>
  <c r="V980" i="116" s="1"/>
  <c r="S1085" i="116"/>
  <c r="V1085" i="116"/>
  <c r="S467" i="116"/>
  <c r="V467" i="116"/>
  <c r="S978" i="116"/>
  <c r="V978" i="116"/>
  <c r="S465" i="116"/>
  <c r="V465" i="116"/>
  <c r="S1081" i="116"/>
  <c r="V1081" i="116"/>
  <c r="S463" i="116"/>
  <c r="V463" i="116"/>
  <c r="S974" i="116"/>
  <c r="V974" i="116"/>
  <c r="S461" i="116"/>
  <c r="V461" i="116"/>
  <c r="S1077" i="116"/>
  <c r="V1077" i="116" s="1"/>
  <c r="S459" i="116"/>
  <c r="V459" i="116"/>
  <c r="S970" i="116"/>
  <c r="V970" i="116"/>
  <c r="S457" i="116"/>
  <c r="V457" i="116"/>
  <c r="S968" i="116"/>
  <c r="V968" i="116" s="1"/>
  <c r="S455" i="116"/>
  <c r="V455" i="116"/>
  <c r="S966" i="116"/>
  <c r="V966" i="116"/>
  <c r="S453" i="116"/>
  <c r="V453" i="116"/>
  <c r="S964" i="116"/>
  <c r="V964" i="116"/>
  <c r="S451" i="116"/>
  <c r="V451" i="116"/>
  <c r="S962" i="116"/>
  <c r="V962" i="116" s="1"/>
  <c r="S449" i="116"/>
  <c r="V449" i="116"/>
  <c r="S1065" i="116"/>
  <c r="V1065" i="116" s="1"/>
  <c r="S447" i="116"/>
  <c r="V447" i="116"/>
  <c r="S958" i="116"/>
  <c r="V958" i="116"/>
  <c r="S443" i="116"/>
  <c r="V443" i="116" s="1"/>
  <c r="S648" i="116"/>
  <c r="V648" i="116" s="1"/>
  <c r="S441" i="116"/>
  <c r="V441" i="116"/>
  <c r="S952" i="116"/>
  <c r="V952" i="116" s="1"/>
  <c r="S646" i="116"/>
  <c r="V646" i="116"/>
  <c r="S439" i="116"/>
  <c r="V439" i="116" s="1"/>
  <c r="S644" i="116"/>
  <c r="V644" i="116"/>
  <c r="S437" i="116"/>
  <c r="V437" i="116" s="1"/>
  <c r="S948" i="116"/>
  <c r="V948" i="116"/>
  <c r="S640" i="116"/>
  <c r="V640" i="116"/>
  <c r="S433" i="116"/>
  <c r="V433" i="116"/>
  <c r="S944" i="116"/>
  <c r="V944" i="116"/>
  <c r="S638" i="116"/>
  <c r="V638" i="116"/>
  <c r="S636" i="116"/>
  <c r="V636" i="116"/>
  <c r="S429" i="116"/>
  <c r="V429" i="116"/>
  <c r="S940" i="116"/>
  <c r="V940" i="116"/>
  <c r="S632" i="116"/>
  <c r="V632" i="116"/>
  <c r="S425" i="116"/>
  <c r="V425" i="116" s="1"/>
  <c r="S936" i="116"/>
  <c r="V936" i="116" s="1"/>
  <c r="S423" i="116"/>
  <c r="V423" i="116"/>
  <c r="S628" i="116"/>
  <c r="V628" i="116"/>
  <c r="S420" i="116"/>
  <c r="V420" i="116"/>
  <c r="S415" i="116"/>
  <c r="V415" i="116"/>
  <c r="S925" i="116"/>
  <c r="V925" i="116"/>
  <c r="S412" i="116"/>
  <c r="V412" i="116"/>
  <c r="S922" i="116"/>
  <c r="V922" i="116" s="1"/>
  <c r="S409" i="116"/>
  <c r="V409" i="116"/>
  <c r="S614" i="116"/>
  <c r="V614" i="116"/>
  <c r="S918" i="116"/>
  <c r="V918" i="116"/>
  <c r="S405" i="116"/>
  <c r="V405" i="116" s="1"/>
  <c r="S914" i="116"/>
  <c r="V914" i="116"/>
  <c r="S401" i="116"/>
  <c r="V401" i="116"/>
  <c r="S400" i="116"/>
  <c r="V400" i="116" s="1"/>
  <c r="S605" i="116"/>
  <c r="V605" i="116" s="1"/>
  <c r="S397" i="116"/>
  <c r="V397" i="116" s="1"/>
  <c r="S396" i="116"/>
  <c r="V396" i="116"/>
  <c r="S601" i="116"/>
  <c r="V601" i="116"/>
  <c r="S905" i="116"/>
  <c r="V905" i="116"/>
  <c r="S598" i="116"/>
  <c r="V598" i="116"/>
  <c r="S902" i="116"/>
  <c r="V902" i="116" s="1"/>
  <c r="S901" i="116"/>
  <c r="V901" i="116"/>
  <c r="S388" i="116"/>
  <c r="V388" i="116"/>
  <c r="S385" i="116"/>
  <c r="V385" i="116"/>
  <c r="S590" i="116"/>
  <c r="V590" i="116" s="1"/>
  <c r="S894" i="116"/>
  <c r="V894" i="116"/>
  <c r="S381" i="116"/>
  <c r="V381" i="116"/>
  <c r="S377" i="116"/>
  <c r="V377" i="116"/>
  <c r="S582" i="116"/>
  <c r="V582" i="116"/>
  <c r="S373" i="116"/>
  <c r="V373" i="116" s="1"/>
  <c r="S574" i="116"/>
  <c r="V574" i="116"/>
  <c r="S878" i="116"/>
  <c r="V878" i="116" s="1"/>
  <c r="S365" i="116"/>
  <c r="V365" i="116"/>
  <c r="S874" i="116"/>
  <c r="V874" i="116"/>
  <c r="S361" i="116"/>
  <c r="V361" i="116"/>
  <c r="S566" i="116"/>
  <c r="V566" i="116"/>
  <c r="S870" i="116"/>
  <c r="V870" i="116" s="1"/>
  <c r="S357" i="116"/>
  <c r="V357" i="116"/>
  <c r="S867" i="116"/>
  <c r="V867" i="116"/>
  <c r="S559" i="116"/>
  <c r="V559" i="116"/>
  <c r="S558" i="116"/>
  <c r="V558" i="116"/>
  <c r="S557" i="116"/>
  <c r="V557" i="116" s="1"/>
  <c r="S555" i="116"/>
  <c r="V555" i="116"/>
  <c r="S859" i="116"/>
  <c r="V859" i="116"/>
  <c r="S346" i="116"/>
  <c r="V346" i="116"/>
  <c r="S551" i="116"/>
  <c r="V551" i="116"/>
  <c r="S1263" i="116"/>
  <c r="V1263" i="116" s="1"/>
  <c r="S1261" i="116"/>
  <c r="V1261" i="116"/>
  <c r="S746" i="116"/>
  <c r="V746" i="116" s="1"/>
  <c r="S1251" i="116"/>
  <c r="V1251" i="116"/>
  <c r="S733" i="116"/>
  <c r="V733" i="116" s="1"/>
  <c r="S730" i="116"/>
  <c r="V730" i="116" s="1"/>
  <c r="S207" i="116"/>
  <c r="V207" i="116" s="1"/>
  <c r="S203" i="116"/>
  <c r="V203" i="116" s="1"/>
  <c r="S1229" i="116"/>
  <c r="V1229" i="116" s="1"/>
  <c r="S193" i="116"/>
  <c r="V193" i="116"/>
  <c r="S706" i="116"/>
  <c r="V706" i="116"/>
  <c r="S1213" i="116"/>
  <c r="V1213" i="116"/>
  <c r="S1208" i="116"/>
  <c r="V1208" i="116"/>
  <c r="S177" i="116"/>
  <c r="V177" i="116"/>
  <c r="S175" i="116"/>
  <c r="V175" i="116" s="1"/>
  <c r="S1198" i="116"/>
  <c r="V1198" i="116"/>
  <c r="S1187" i="116"/>
  <c r="V1187" i="116" s="1"/>
  <c r="S1182" i="116"/>
  <c r="V1182" i="116" s="1"/>
  <c r="S1171" i="116"/>
  <c r="V1171" i="116" s="1"/>
  <c r="S1168" i="116"/>
  <c r="V1168" i="116"/>
  <c r="S1166" i="116"/>
  <c r="V1166" i="116" s="1"/>
  <c r="B11" i="38"/>
  <c r="S745" i="116"/>
  <c r="V745" i="116" s="1"/>
  <c r="S226" i="116"/>
  <c r="V226" i="116"/>
  <c r="S739" i="116"/>
  <c r="V739" i="116"/>
  <c r="S210" i="116"/>
  <c r="V210" i="116" s="1"/>
  <c r="S723" i="116"/>
  <c r="V723" i="116" s="1"/>
  <c r="S205" i="116"/>
  <c r="V205" i="116" s="1"/>
  <c r="S1231" i="116"/>
  <c r="V1231" i="116"/>
  <c r="S1228" i="116"/>
  <c r="V1228" i="116" s="1"/>
  <c r="S713" i="116"/>
  <c r="V713" i="116"/>
  <c r="S195" i="116"/>
  <c r="V195" i="116"/>
  <c r="S708" i="116"/>
  <c r="V708" i="116"/>
  <c r="S1207" i="116"/>
  <c r="V1207" i="116" s="1"/>
  <c r="S691" i="116"/>
  <c r="V691" i="116"/>
  <c r="S1196" i="116"/>
  <c r="V1196" i="116"/>
  <c r="S162" i="116"/>
  <c r="V162" i="116"/>
  <c r="S1188" i="116"/>
  <c r="V1188" i="116"/>
  <c r="S1176" i="116"/>
  <c r="V1176" i="116" s="1"/>
  <c r="S145" i="116"/>
  <c r="V145" i="116" s="1"/>
  <c r="S658" i="116"/>
  <c r="V658" i="116" s="1"/>
  <c r="S1169" i="116"/>
  <c r="V1169" i="116"/>
  <c r="S235" i="116"/>
  <c r="V235" i="116"/>
  <c r="S1258" i="116"/>
  <c r="V1258" i="116"/>
  <c r="S227" i="116"/>
  <c r="V227" i="116" s="1"/>
  <c r="S1250" i="116"/>
  <c r="V1250" i="116" s="1"/>
  <c r="S732" i="116"/>
  <c r="V732" i="116"/>
  <c r="S1242" i="116"/>
  <c r="V1242" i="116"/>
  <c r="S211" i="116"/>
  <c r="V211" i="116" s="1"/>
  <c r="S192" i="116"/>
  <c r="V192" i="116" s="1"/>
  <c r="S705" i="116"/>
  <c r="V705" i="116"/>
  <c r="S178" i="116"/>
  <c r="V178" i="116"/>
  <c r="S1204" i="116"/>
  <c r="V1204" i="116"/>
  <c r="S173" i="116"/>
  <c r="V173" i="116"/>
  <c r="S165" i="116"/>
  <c r="V165" i="116" s="1"/>
  <c r="S675" i="116"/>
  <c r="V675" i="116"/>
  <c r="S1185" i="116"/>
  <c r="V1185" i="116"/>
  <c r="S669" i="116"/>
  <c r="V669" i="116" s="1"/>
  <c r="S1174" i="116"/>
  <c r="V1174" i="116"/>
  <c r="S143" i="116"/>
  <c r="V143" i="116"/>
  <c r="S140" i="116"/>
  <c r="V140" i="116" s="1"/>
  <c r="S931" i="116"/>
  <c r="V931" i="116" s="1"/>
  <c r="S418" i="116"/>
  <c r="V418" i="116"/>
  <c r="S927" i="116"/>
  <c r="V927" i="116" s="1"/>
  <c r="S413" i="116"/>
  <c r="V413" i="116"/>
  <c r="S618" i="116"/>
  <c r="V618" i="116" s="1"/>
  <c r="S617" i="116"/>
  <c r="V617" i="116" s="1"/>
  <c r="S921" i="116"/>
  <c r="V921" i="116"/>
  <c r="S408" i="116"/>
  <c r="V408" i="116" s="1"/>
  <c r="S613" i="116"/>
  <c r="V613" i="116"/>
  <c r="S404" i="116"/>
  <c r="V404" i="116" s="1"/>
  <c r="S609" i="116"/>
  <c r="V609" i="116" s="1"/>
  <c r="S913" i="116"/>
  <c r="V913" i="116"/>
  <c r="S910" i="116"/>
  <c r="V910" i="116" s="1"/>
  <c r="S602" i="116"/>
  <c r="V602" i="116"/>
  <c r="S906" i="116"/>
  <c r="V906" i="116"/>
  <c r="S393" i="116"/>
  <c r="V393" i="116" s="1"/>
  <c r="S392" i="116"/>
  <c r="V392" i="116"/>
  <c r="S597" i="116"/>
  <c r="V597" i="116"/>
  <c r="S389" i="116"/>
  <c r="V389" i="116"/>
  <c r="S594" i="116"/>
  <c r="V594" i="116" s="1"/>
  <c r="S593" i="116"/>
  <c r="V593" i="116" s="1"/>
  <c r="S897" i="116"/>
  <c r="V897" i="116"/>
  <c r="S384" i="116"/>
  <c r="V384" i="116" s="1"/>
  <c r="S589" i="116"/>
  <c r="V589" i="116"/>
  <c r="S380" i="116"/>
  <c r="V380" i="116"/>
  <c r="S585" i="116"/>
  <c r="V585" i="116" s="1"/>
  <c r="S889" i="116"/>
  <c r="V889" i="116"/>
  <c r="S376" i="116"/>
  <c r="V376" i="116" s="1"/>
  <c r="S581" i="116"/>
  <c r="V581" i="116" s="1"/>
  <c r="S372" i="116"/>
  <c r="V372" i="116" s="1"/>
  <c r="S371" i="116"/>
  <c r="V371" i="116" s="1"/>
  <c r="S573" i="116"/>
  <c r="V573" i="116" s="1"/>
  <c r="S364" i="116"/>
  <c r="V364" i="116"/>
  <c r="S569" i="116"/>
  <c r="V569" i="116" s="1"/>
  <c r="S873" i="116"/>
  <c r="V873" i="116" s="1"/>
  <c r="S360" i="116"/>
  <c r="V360" i="116" s="1"/>
  <c r="S565" i="116"/>
  <c r="V565" i="116"/>
  <c r="S356" i="116"/>
  <c r="V356" i="116"/>
  <c r="S355" i="116"/>
  <c r="V355" i="116"/>
  <c r="S862" i="116"/>
  <c r="V862" i="116" s="1"/>
  <c r="S347" i="116"/>
  <c r="V347" i="116" s="1"/>
  <c r="S552" i="116"/>
  <c r="V552" i="116"/>
  <c r="S856" i="116"/>
  <c r="V856" i="116"/>
  <c r="S738" i="116"/>
  <c r="V738" i="116"/>
  <c r="S1240" i="116"/>
  <c r="V1240" i="116" s="1"/>
  <c r="S1235" i="116"/>
  <c r="V1235" i="116" s="1"/>
  <c r="S1224" i="116"/>
  <c r="V1224" i="116" s="1"/>
  <c r="S1221" i="116"/>
  <c r="V1221" i="116"/>
  <c r="S190" i="116"/>
  <c r="V190" i="116" s="1"/>
  <c r="S180" i="116"/>
  <c r="V180" i="116"/>
  <c r="S1206" i="116"/>
  <c r="V1206" i="116" s="1"/>
  <c r="S1195" i="116"/>
  <c r="V1195" i="116"/>
  <c r="S680" i="116"/>
  <c r="V680" i="116"/>
  <c r="S677" i="116"/>
  <c r="V677" i="116" s="1"/>
  <c r="S159" i="116"/>
  <c r="V159" i="116" s="1"/>
  <c r="S154" i="116"/>
  <c r="V154" i="116"/>
  <c r="S1178" i="116"/>
  <c r="V1178" i="116" s="1"/>
  <c r="S663" i="116"/>
  <c r="V663" i="116" s="1"/>
  <c r="S1165" i="116"/>
  <c r="V1165" i="116"/>
  <c r="S341" i="116"/>
  <c r="V341" i="116"/>
  <c r="S852" i="116"/>
  <c r="V852" i="116"/>
  <c r="S339" i="116"/>
  <c r="V339" i="116" s="1"/>
  <c r="S850" i="116"/>
  <c r="V850" i="116" s="1"/>
  <c r="V127" i="116"/>
  <c r="S337" i="116"/>
  <c r="V337" i="116"/>
  <c r="S846" i="116"/>
  <c r="V846" i="116"/>
  <c r="S333" i="116"/>
  <c r="V333" i="116" s="1"/>
  <c r="V121" i="116"/>
  <c r="S329" i="116"/>
  <c r="V329" i="116"/>
  <c r="S840" i="116"/>
  <c r="V840" i="116"/>
  <c r="S327" i="116"/>
  <c r="V327" i="116"/>
  <c r="V115" i="116"/>
  <c r="S325" i="116"/>
  <c r="V325" i="116" s="1"/>
  <c r="S836" i="116"/>
  <c r="V836" i="116"/>
  <c r="S834" i="116"/>
  <c r="V834" i="116"/>
  <c r="S832" i="116"/>
  <c r="V832" i="116" s="1"/>
  <c r="V109" i="116"/>
  <c r="S828" i="116"/>
  <c r="V828" i="116"/>
  <c r="S315" i="116"/>
  <c r="V315" i="116"/>
  <c r="S826" i="116"/>
  <c r="V826" i="116"/>
  <c r="V103" i="116"/>
  <c r="S313" i="116"/>
  <c r="V313" i="116" s="1"/>
  <c r="S822" i="116"/>
  <c r="V822" i="116" s="1"/>
  <c r="S309" i="116"/>
  <c r="V309" i="116" s="1"/>
  <c r="V97" i="116"/>
  <c r="S305" i="116"/>
  <c r="V305" i="116" s="1"/>
  <c r="S816" i="116"/>
  <c r="V816" i="116"/>
  <c r="S303" i="116"/>
  <c r="V303" i="116" s="1"/>
  <c r="S814" i="116"/>
  <c r="V814" i="116"/>
  <c r="V91" i="116"/>
  <c r="S301" i="116"/>
  <c r="V301" i="116"/>
  <c r="S810" i="116"/>
  <c r="V810" i="116"/>
  <c r="S808" i="116"/>
  <c r="V808" i="116"/>
  <c r="V85" i="116"/>
  <c r="S806" i="116"/>
  <c r="V806" i="116"/>
  <c r="S293" i="116"/>
  <c r="V293" i="116" s="1"/>
  <c r="S804" i="116"/>
  <c r="V804" i="116" s="1"/>
  <c r="S291" i="116"/>
  <c r="V291" i="116"/>
  <c r="V79" i="116"/>
  <c r="S289" i="116"/>
  <c r="V289" i="116" s="1"/>
  <c r="S798" i="116"/>
  <c r="V798" i="116"/>
  <c r="V73" i="116"/>
  <c r="S281" i="116"/>
  <c r="V281" i="116" s="1"/>
  <c r="S792" i="116"/>
  <c r="V792" i="116" s="1"/>
  <c r="S279" i="116"/>
  <c r="V279" i="116" s="1"/>
  <c r="V67" i="116"/>
  <c r="S277" i="116"/>
  <c r="V277" i="116" s="1"/>
  <c r="S786" i="116"/>
  <c r="V786" i="116"/>
  <c r="V61" i="116"/>
  <c r="S782" i="116"/>
  <c r="V782" i="116"/>
  <c r="S269" i="116"/>
  <c r="V269" i="116" s="1"/>
  <c r="S780" i="116"/>
  <c r="V780" i="116" s="1"/>
  <c r="S57" i="116"/>
  <c r="V57" i="116"/>
  <c r="S267" i="116"/>
  <c r="V267" i="116"/>
  <c r="S778" i="116"/>
  <c r="V778" i="116"/>
  <c r="S55" i="116"/>
  <c r="V55" i="116"/>
  <c r="S265" i="116"/>
  <c r="V265" i="116"/>
  <c r="S776" i="116"/>
  <c r="V776" i="116"/>
  <c r="S53" i="116"/>
  <c r="V53" i="116" s="1"/>
  <c r="S774" i="116"/>
  <c r="V774" i="116"/>
  <c r="S772" i="116"/>
  <c r="V772" i="116" s="1"/>
  <c r="S49" i="116"/>
  <c r="V49" i="116"/>
  <c r="S259" i="116"/>
  <c r="V259" i="116" s="1"/>
  <c r="S770" i="116"/>
  <c r="V770" i="116"/>
  <c r="S257" i="116"/>
  <c r="V257" i="116" s="1"/>
  <c r="S768" i="116"/>
  <c r="V768" i="116"/>
  <c r="S45" i="116"/>
  <c r="V45" i="116"/>
  <c r="S255" i="116"/>
  <c r="V255" i="116" s="1"/>
  <c r="S43" i="116"/>
  <c r="V43" i="116"/>
  <c r="S253" i="116"/>
  <c r="V253" i="116" s="1"/>
  <c r="S762" i="116"/>
  <c r="V762" i="116" s="1"/>
  <c r="S249" i="116"/>
  <c r="V249" i="116"/>
  <c r="S37" i="116"/>
  <c r="V37" i="116" s="1"/>
  <c r="S247" i="116"/>
  <c r="V247" i="116"/>
  <c r="S758" i="116"/>
  <c r="V758" i="116"/>
  <c r="S35" i="116"/>
  <c r="V35" i="116" s="1"/>
  <c r="S756" i="116"/>
  <c r="V756" i="116" s="1"/>
  <c r="S243" i="116"/>
  <c r="V243" i="116" s="1"/>
  <c r="S31" i="116"/>
  <c r="V31" i="116"/>
  <c r="S1055" i="116"/>
  <c r="V1055" i="116"/>
  <c r="S1160" i="116"/>
  <c r="V1160" i="116" s="1"/>
  <c r="S1051" i="116"/>
  <c r="V1051" i="116"/>
  <c r="S1156" i="116"/>
  <c r="V1156" i="116"/>
  <c r="S538" i="116"/>
  <c r="V538" i="116" s="1"/>
  <c r="S1047" i="116"/>
  <c r="V1047" i="116"/>
  <c r="S1152" i="116"/>
  <c r="V1152" i="116"/>
  <c r="S1150" i="116"/>
  <c r="V1150" i="116"/>
  <c r="S1043" i="116"/>
  <c r="V1043" i="116"/>
  <c r="S1148" i="116"/>
  <c r="V1148" i="116"/>
  <c r="S1039" i="116"/>
  <c r="V1039" i="116"/>
  <c r="S1144" i="116"/>
  <c r="V1144" i="116" s="1"/>
  <c r="S524" i="116"/>
  <c r="V524" i="116"/>
  <c r="S1035" i="116"/>
  <c r="V1035" i="116"/>
  <c r="S1140" i="116"/>
  <c r="V1140" i="116"/>
  <c r="S1031" i="116"/>
  <c r="V1031" i="116" s="1"/>
  <c r="S1136" i="116"/>
  <c r="V1136" i="116" s="1"/>
  <c r="S1027" i="116"/>
  <c r="V1027" i="116" s="1"/>
  <c r="S1132" i="116"/>
  <c r="V1132" i="116"/>
  <c r="S512" i="116"/>
  <c r="V512" i="116" s="1"/>
  <c r="S1023" i="116"/>
  <c r="V1023" i="116"/>
  <c r="S1128" i="116"/>
  <c r="V1128" i="116" s="1"/>
  <c r="S1126" i="116"/>
  <c r="V1126" i="116" s="1"/>
  <c r="S1124" i="116"/>
  <c r="V1124" i="116"/>
  <c r="S1017" i="116"/>
  <c r="V1017" i="116" s="1"/>
  <c r="S1015" i="116"/>
  <c r="V1015" i="116"/>
  <c r="S1120" i="116"/>
  <c r="V1120" i="116"/>
  <c r="S1011" i="116"/>
  <c r="V1011" i="116" s="1"/>
  <c r="S1116" i="116"/>
  <c r="V1116" i="116"/>
  <c r="S1007" i="116"/>
  <c r="V1007" i="116"/>
  <c r="S1112" i="116"/>
  <c r="V1112" i="116"/>
  <c r="S1108" i="116"/>
  <c r="V1108" i="116" s="1"/>
  <c r="S1106" i="116"/>
  <c r="V1106" i="116" s="1"/>
  <c r="S999" i="116"/>
  <c r="V999" i="116"/>
  <c r="S1104" i="116"/>
  <c r="V1104" i="116"/>
  <c r="S484" i="116"/>
  <c r="V484" i="116"/>
  <c r="S1100" i="116"/>
  <c r="V1100" i="116"/>
  <c r="S1098" i="116"/>
  <c r="V1098" i="116"/>
  <c r="S480" i="116"/>
  <c r="V480" i="116" s="1"/>
  <c r="S991" i="116"/>
  <c r="V991" i="116"/>
  <c r="S1096" i="116"/>
  <c r="V1096" i="116" s="1"/>
  <c r="S987" i="116"/>
  <c r="V987" i="116"/>
  <c r="S1092" i="116"/>
  <c r="V1092" i="116" s="1"/>
  <c r="S472" i="116"/>
  <c r="V472" i="116"/>
  <c r="S983" i="116"/>
  <c r="V983" i="116"/>
  <c r="S1088" i="116"/>
  <c r="V1088" i="116"/>
  <c r="S470" i="116"/>
  <c r="V470" i="116"/>
  <c r="S1086" i="116"/>
  <c r="V1086" i="116"/>
  <c r="S468" i="116"/>
  <c r="V468" i="116"/>
  <c r="S1084" i="116"/>
  <c r="V1084" i="116" s="1"/>
  <c r="S466" i="116"/>
  <c r="V466" i="116"/>
  <c r="S464" i="116"/>
  <c r="V464" i="116"/>
  <c r="S975" i="116"/>
  <c r="V975" i="116" s="1"/>
  <c r="S1080" i="116"/>
  <c r="V1080" i="116"/>
  <c r="S462" i="116"/>
  <c r="V462" i="116"/>
  <c r="S1078" i="116"/>
  <c r="V1078" i="116"/>
  <c r="S460" i="116"/>
  <c r="V460" i="116"/>
  <c r="S971" i="116"/>
  <c r="V971" i="116"/>
  <c r="S1076" i="116"/>
  <c r="V1076" i="116"/>
  <c r="S458" i="116"/>
  <c r="V458" i="116"/>
  <c r="S456" i="116"/>
  <c r="V456" i="116"/>
  <c r="S967" i="116"/>
  <c r="V967" i="116"/>
  <c r="S1072" i="116"/>
  <c r="V1072" i="116" s="1"/>
  <c r="S454" i="116"/>
  <c r="V454" i="116"/>
  <c r="S1070" i="116"/>
  <c r="V1070" i="116" s="1"/>
  <c r="S452" i="116"/>
  <c r="V452" i="116"/>
  <c r="S963" i="116"/>
  <c r="V963" i="116" s="1"/>
  <c r="S1068" i="116"/>
  <c r="V1068" i="116"/>
  <c r="S450" i="116"/>
  <c r="V450" i="116"/>
  <c r="S448" i="116"/>
  <c r="V448" i="116"/>
  <c r="S959" i="116"/>
  <c r="V959" i="116" s="1"/>
  <c r="S1064" i="116"/>
  <c r="V1064" i="116"/>
  <c r="S446" i="116"/>
  <c r="V446" i="116"/>
  <c r="S955" i="116"/>
  <c r="V955" i="116"/>
  <c r="S649" i="116"/>
  <c r="V649" i="116"/>
  <c r="S442" i="116"/>
  <c r="V442" i="116" s="1"/>
  <c r="S953" i="116"/>
  <c r="V953" i="116"/>
  <c r="S647" i="116"/>
  <c r="V647" i="116"/>
  <c r="S440" i="116"/>
  <c r="V440" i="116" s="1"/>
  <c r="S951" i="116"/>
  <c r="V951" i="116"/>
  <c r="S645" i="116"/>
  <c r="V645" i="116"/>
  <c r="S438" i="116"/>
  <c r="V438" i="116" s="1"/>
  <c r="S949" i="116"/>
  <c r="V949" i="116" s="1"/>
  <c r="S436" i="116"/>
  <c r="V436" i="116"/>
  <c r="S947" i="116"/>
  <c r="V947" i="116"/>
  <c r="S641" i="116"/>
  <c r="V641" i="116"/>
  <c r="S434" i="116"/>
  <c r="V434" i="116"/>
  <c r="S945" i="116"/>
  <c r="V945" i="116"/>
  <c r="S432" i="116"/>
  <c r="V432" i="116"/>
  <c r="S943" i="116"/>
  <c r="V943" i="116"/>
  <c r="S637" i="116"/>
  <c r="V637" i="116"/>
  <c r="S430" i="116"/>
  <c r="V430" i="116"/>
  <c r="S941" i="116"/>
  <c r="V941" i="116"/>
  <c r="S428" i="116"/>
  <c r="V428" i="116" s="1"/>
  <c r="S939" i="116"/>
  <c r="V939" i="116"/>
  <c r="S633" i="116"/>
  <c r="V633" i="116" s="1"/>
  <c r="S426" i="116"/>
  <c r="V426" i="116" s="1"/>
  <c r="S937" i="116"/>
  <c r="V937" i="116" s="1"/>
  <c r="S424" i="116"/>
  <c r="V424" i="116" s="1"/>
  <c r="S935" i="116"/>
  <c r="V935" i="116"/>
  <c r="S629" i="116"/>
  <c r="V629" i="116"/>
  <c r="S422" i="116"/>
  <c r="V422" i="116" s="1"/>
  <c r="S421" i="116"/>
  <c r="V421" i="116"/>
  <c r="S932" i="116"/>
  <c r="V932" i="116" s="1"/>
  <c r="S930" i="116"/>
  <c r="V930" i="116"/>
  <c r="S417" i="116"/>
  <c r="V417" i="116"/>
  <c r="S622" i="116"/>
  <c r="V622" i="116" s="1"/>
  <c r="S926" i="116"/>
  <c r="V926" i="116"/>
  <c r="S616" i="116"/>
  <c r="V616" i="116" s="1"/>
  <c r="S407" i="116"/>
  <c r="V407" i="116" s="1"/>
  <c r="S612" i="116"/>
  <c r="V612" i="116"/>
  <c r="S916" i="116"/>
  <c r="V916" i="116"/>
  <c r="S403" i="116"/>
  <c r="V403" i="116" s="1"/>
  <c r="S608" i="116"/>
  <c r="V608" i="116" s="1"/>
  <c r="S607" i="116"/>
  <c r="V607" i="116"/>
  <c r="S398" i="116"/>
  <c r="V398" i="116"/>
  <c r="S603" i="116"/>
  <c r="V603" i="116" s="1"/>
  <c r="S599" i="116"/>
  <c r="V599" i="116"/>
  <c r="S391" i="116"/>
  <c r="V391" i="116"/>
  <c r="S596" i="116"/>
  <c r="V596" i="116" s="1"/>
  <c r="S387" i="116"/>
  <c r="V387" i="116"/>
  <c r="S592" i="116"/>
  <c r="V592" i="116" s="1"/>
  <c r="S896" i="116"/>
  <c r="V896" i="116" s="1"/>
  <c r="S383" i="116"/>
  <c r="V383" i="116"/>
  <c r="S588" i="116"/>
  <c r="V588" i="116"/>
  <c r="S892" i="116"/>
  <c r="V892" i="116"/>
  <c r="S379" i="116"/>
  <c r="V379" i="116"/>
  <c r="S584" i="116"/>
  <c r="V584" i="116" s="1"/>
  <c r="S375" i="116"/>
  <c r="V375" i="116" s="1"/>
  <c r="S580" i="116"/>
  <c r="V580" i="116"/>
  <c r="S884" i="116"/>
  <c r="V884" i="116" s="1"/>
  <c r="S881" i="116"/>
  <c r="V881" i="116"/>
  <c r="S368" i="116"/>
  <c r="V368" i="116"/>
  <c r="S367" i="116"/>
  <c r="V367" i="116" s="1"/>
  <c r="S572" i="116"/>
  <c r="V572" i="116"/>
  <c r="S876" i="116"/>
  <c r="V876" i="116" s="1"/>
  <c r="S363" i="116"/>
  <c r="V363" i="116"/>
  <c r="S568" i="116"/>
  <c r="V568" i="116" s="1"/>
  <c r="S359" i="116"/>
  <c r="V359" i="116"/>
  <c r="S564" i="116"/>
  <c r="V564" i="116"/>
  <c r="S868" i="116"/>
  <c r="V868" i="116" s="1"/>
  <c r="S561" i="116"/>
  <c r="V561" i="116"/>
  <c r="S865" i="116"/>
  <c r="V865" i="116"/>
  <c r="S352" i="116"/>
  <c r="V352" i="116"/>
  <c r="S863" i="116"/>
  <c r="V863" i="116" s="1"/>
  <c r="S350" i="116"/>
  <c r="V350" i="116" s="1"/>
  <c r="S349" i="116"/>
  <c r="V349" i="116"/>
  <c r="S348" i="116"/>
  <c r="V348" i="116"/>
  <c r="S553" i="116"/>
  <c r="V553" i="116" s="1"/>
  <c r="S344" i="116"/>
  <c r="V344" i="116"/>
  <c r="S749" i="116"/>
  <c r="V749" i="116"/>
  <c r="S1260" i="116"/>
  <c r="V1260" i="116" s="1"/>
  <c r="S229" i="116"/>
  <c r="V229" i="116" s="1"/>
  <c r="S224" i="116"/>
  <c r="V224" i="116" s="1"/>
  <c r="S1247" i="116"/>
  <c r="V1247" i="116"/>
  <c r="S1244" i="116"/>
  <c r="V1244" i="116"/>
  <c r="S208" i="116"/>
  <c r="V208" i="116"/>
  <c r="S1234" i="116"/>
  <c r="V1234" i="116"/>
  <c r="S1232" i="116"/>
  <c r="V1232" i="116"/>
  <c r="S1230" i="116"/>
  <c r="V1230" i="116"/>
  <c r="S1217" i="116"/>
  <c r="V1217" i="116"/>
  <c r="S702" i="116"/>
  <c r="V702" i="116"/>
  <c r="S1202" i="116"/>
  <c r="V1202" i="116"/>
  <c r="S171" i="116"/>
  <c r="V171" i="116"/>
  <c r="S684" i="116"/>
  <c r="V684" i="116" s="1"/>
  <c r="S163" i="116"/>
  <c r="V163" i="116"/>
  <c r="S673" i="116"/>
  <c r="V673" i="116" s="1"/>
  <c r="S1184" i="116"/>
  <c r="V1184" i="116"/>
  <c r="S150" i="116"/>
  <c r="V150" i="116" s="1"/>
  <c r="V147" i="116"/>
  <c r="S144" i="116"/>
  <c r="V144" i="116" s="1"/>
  <c r="S141" i="116"/>
  <c r="V141" i="116"/>
  <c r="S1167" i="116"/>
  <c r="V1167" i="116"/>
  <c r="BE21" i="8"/>
  <c r="BE24" i="8"/>
  <c r="BE23" i="8"/>
  <c r="BE22" i="8"/>
  <c r="BH10" i="8" a="1"/>
  <c r="BH10" i="8" s="1"/>
  <c r="BH9" i="8" a="1"/>
  <c r="BH9" i="8" s="1"/>
  <c r="BK10" i="8" a="1"/>
  <c r="BK10" i="8" s="1"/>
  <c r="BN10" i="8" a="1"/>
  <c r="BN10" i="8" s="1"/>
  <c r="B12" i="38"/>
  <c r="B12" i="9"/>
  <c r="BE20" i="8"/>
  <c r="B13" i="9"/>
  <c r="B13" i="38"/>
  <c r="B14" i="38"/>
  <c r="B14" i="9"/>
  <c r="B15" i="38"/>
  <c r="B15" i="9"/>
  <c r="B16" i="38"/>
  <c r="B16" i="9"/>
  <c r="B17" i="38"/>
  <c r="B17" i="9"/>
  <c r="B18" i="38"/>
  <c r="B18" i="9"/>
  <c r="B19" i="9"/>
  <c r="B19" i="38"/>
  <c r="B20" i="38"/>
  <c r="B20" i="9"/>
  <c r="B21" i="9"/>
  <c r="B21" i="38"/>
  <c r="B22" i="38"/>
  <c r="B22" i="9"/>
  <c r="B23" i="38"/>
  <c r="B23" i="9"/>
  <c r="B24" i="38"/>
  <c r="B24" i="9"/>
  <c r="B25" i="38"/>
  <c r="B25" i="9"/>
  <c r="B26" i="9"/>
  <c r="B26" i="38"/>
  <c r="B27" i="38"/>
  <c r="B27" i="9"/>
  <c r="B28" i="9"/>
  <c r="B28" i="38"/>
  <c r="B29" i="9"/>
  <c r="B29" i="38"/>
  <c r="B30" i="38"/>
  <c r="B30" i="9"/>
  <c r="B31" i="9"/>
  <c r="B31" i="38"/>
  <c r="B32" i="38"/>
  <c r="B32" i="9"/>
  <c r="B33" i="9"/>
  <c r="B33" i="38"/>
  <c r="B34" i="38"/>
  <c r="B34" i="9"/>
  <c r="B35" i="38"/>
  <c r="B35" i="9"/>
  <c r="B36" i="38"/>
  <c r="B36" i="9"/>
  <c r="B37" i="38"/>
  <c r="B37" i="9"/>
  <c r="D1064" i="116" l="1"/>
  <c r="K11" i="13"/>
  <c r="M857" i="116"/>
  <c r="E612" i="116"/>
  <c r="O383" i="116"/>
  <c r="AC14" i="8"/>
  <c r="F926" i="116"/>
  <c r="H224" i="116"/>
  <c r="E448" i="116"/>
  <c r="K889" i="116"/>
  <c r="D144" i="116"/>
  <c r="G868" i="116"/>
  <c r="L641" i="116"/>
  <c r="I951" i="116"/>
  <c r="J999" i="116"/>
  <c r="H861" i="116"/>
  <c r="H676" i="116"/>
  <c r="J1217" i="116"/>
  <c r="N865" i="116"/>
  <c r="N884" i="116"/>
  <c r="J1088" i="116"/>
  <c r="I1132" i="116"/>
  <c r="K432" i="116"/>
  <c r="J949" i="116"/>
  <c r="J411" i="116"/>
  <c r="O915" i="116"/>
  <c r="D395" i="116"/>
  <c r="H899" i="116"/>
  <c r="L891" i="116"/>
  <c r="M883" i="116"/>
  <c r="N875" i="116"/>
  <c r="E858" i="116"/>
  <c r="E742" i="116"/>
  <c r="G1209" i="116"/>
  <c r="N1194" i="116"/>
  <c r="E1179" i="116"/>
  <c r="F1241" i="116"/>
  <c r="O1193" i="116"/>
  <c r="AA9" i="8"/>
  <c r="Y7" i="8"/>
  <c r="D1234" i="116"/>
  <c r="N350" i="116"/>
  <c r="N368" i="116"/>
  <c r="J456" i="116"/>
  <c r="M637" i="116"/>
  <c r="G1260" i="116"/>
  <c r="D181" i="116"/>
  <c r="F359" i="116"/>
  <c r="L85" i="116"/>
  <c r="N171" i="116"/>
  <c r="F375" i="116"/>
  <c r="N629" i="116"/>
  <c r="F599" i="116"/>
  <c r="L11" i="13"/>
  <c r="I9" i="13"/>
  <c r="J9" i="13"/>
  <c r="E11" i="13"/>
  <c r="M11" i="13"/>
  <c r="N9" i="13"/>
  <c r="N8" i="13" s="1"/>
  <c r="F9" i="13"/>
  <c r="K821" i="116"/>
  <c r="I515" i="116"/>
  <c r="O507" i="116"/>
  <c r="J467" i="116"/>
  <c r="F457" i="116"/>
  <c r="K397" i="116"/>
  <c r="F905" i="116"/>
  <c r="L890" i="116"/>
  <c r="E730" i="116"/>
  <c r="J175" i="116"/>
  <c r="G1168" i="116"/>
  <c r="G226" i="116"/>
  <c r="D210" i="116"/>
  <c r="O691" i="116"/>
  <c r="L192" i="116"/>
  <c r="L1204" i="116"/>
  <c r="D678" i="116"/>
  <c r="G618" i="116"/>
  <c r="G408" i="116"/>
  <c r="G913" i="116"/>
  <c r="K910" i="116"/>
  <c r="N380" i="116"/>
  <c r="G376" i="116"/>
  <c r="I371" i="116"/>
  <c r="E569" i="116"/>
  <c r="D356" i="116"/>
  <c r="O552" i="116"/>
  <c r="D225" i="116"/>
  <c r="H209" i="116"/>
  <c r="J190" i="116"/>
  <c r="M1206" i="116"/>
  <c r="K680" i="116"/>
  <c r="K154" i="116"/>
  <c r="G1178" i="116"/>
  <c r="O341" i="116"/>
  <c r="O339" i="116"/>
  <c r="M337" i="116"/>
  <c r="K844" i="116"/>
  <c r="J117" i="116"/>
  <c r="D327" i="116"/>
  <c r="O325" i="116"/>
  <c r="N834" i="116"/>
  <c r="N109" i="116"/>
  <c r="L828" i="116"/>
  <c r="J315" i="116"/>
  <c r="F103" i="116"/>
  <c r="H822" i="116"/>
  <c r="N820" i="116"/>
  <c r="J305" i="116"/>
  <c r="I93" i="116"/>
  <c r="L91" i="116"/>
  <c r="G301" i="116"/>
  <c r="N87" i="116"/>
  <c r="E804" i="116"/>
  <c r="F291" i="116"/>
  <c r="K79" i="116"/>
  <c r="F287" i="116"/>
  <c r="E75" i="116"/>
  <c r="L73" i="116"/>
  <c r="L792" i="116"/>
  <c r="N279" i="116"/>
  <c r="G67" i="116"/>
  <c r="O275" i="116"/>
  <c r="E63" i="116"/>
  <c r="N780" i="116"/>
  <c r="D267" i="116"/>
  <c r="I51" i="116"/>
  <c r="F49" i="116"/>
  <c r="F257" i="116"/>
  <c r="N766" i="116"/>
  <c r="H253" i="116"/>
  <c r="G762" i="116"/>
  <c r="E760" i="116"/>
  <c r="O35" i="116"/>
  <c r="G33" i="116"/>
  <c r="G31" i="116"/>
  <c r="M1055" i="116"/>
  <c r="O1051" i="116"/>
  <c r="O1047" i="116"/>
  <c r="J1043" i="116"/>
  <c r="O1039" i="116"/>
  <c r="M1140" i="116"/>
  <c r="H1031" i="116"/>
  <c r="O1026" i="116"/>
  <c r="M1018" i="116"/>
  <c r="H1004" i="116"/>
  <c r="N998" i="116"/>
  <c r="F467" i="116"/>
  <c r="E457" i="116"/>
  <c r="L412" i="116"/>
  <c r="M905" i="116"/>
  <c r="K590" i="116"/>
  <c r="H377" i="116"/>
  <c r="H730" i="116"/>
  <c r="F175" i="116"/>
  <c r="L723" i="116"/>
  <c r="M1188" i="116"/>
  <c r="D192" i="116"/>
  <c r="H1204" i="116"/>
  <c r="M1174" i="116"/>
  <c r="I393" i="116"/>
  <c r="M389" i="116"/>
  <c r="L384" i="116"/>
  <c r="J380" i="116"/>
  <c r="O873" i="116"/>
  <c r="O356" i="116"/>
  <c r="F862" i="116"/>
  <c r="K552" i="116"/>
  <c r="I225" i="116"/>
  <c r="O209" i="116"/>
  <c r="N1224" i="116"/>
  <c r="E185" i="116"/>
  <c r="O1206" i="116"/>
  <c r="G154" i="116"/>
  <c r="K341" i="116"/>
  <c r="I337" i="116"/>
  <c r="N844" i="116"/>
  <c r="F117" i="116"/>
  <c r="H838" i="116"/>
  <c r="K325" i="116"/>
  <c r="D111" i="116"/>
  <c r="J109" i="116"/>
  <c r="H828" i="116"/>
  <c r="G826" i="116"/>
  <c r="I313" i="116"/>
  <c r="D822" i="116"/>
  <c r="O97" i="116"/>
  <c r="F305" i="116"/>
  <c r="H93" i="116"/>
  <c r="H91" i="116"/>
  <c r="M808" i="116"/>
  <c r="L804" i="116"/>
  <c r="M291" i="116"/>
  <c r="G79" i="116"/>
  <c r="M287" i="116"/>
  <c r="L75" i="116"/>
  <c r="H73" i="116"/>
  <c r="O792" i="116"/>
  <c r="J279" i="116"/>
  <c r="G275" i="116"/>
  <c r="N63" i="116"/>
  <c r="L269" i="116"/>
  <c r="J780" i="116"/>
  <c r="O778" i="116"/>
  <c r="F263" i="116"/>
  <c r="D51" i="116"/>
  <c r="M49" i="116"/>
  <c r="O768" i="116"/>
  <c r="H45" i="116"/>
  <c r="J766" i="116"/>
  <c r="D253" i="116"/>
  <c r="L760" i="116"/>
  <c r="G35" i="116"/>
  <c r="E1055" i="116"/>
  <c r="K1051" i="116"/>
  <c r="K1047" i="116"/>
  <c r="M1043" i="116"/>
  <c r="K1039" i="116"/>
  <c r="E1140" i="116"/>
  <c r="D1031" i="116"/>
  <c r="F1136" i="116"/>
  <c r="H290" i="116"/>
  <c r="M44" i="116"/>
  <c r="K972" i="116"/>
  <c r="E940" i="116"/>
  <c r="E628" i="116"/>
  <c r="J405" i="116"/>
  <c r="I396" i="116"/>
  <c r="I905" i="116"/>
  <c r="M566" i="116"/>
  <c r="D730" i="116"/>
  <c r="H723" i="116"/>
  <c r="D708" i="116"/>
  <c r="E1188" i="116"/>
  <c r="I732" i="116"/>
  <c r="N618" i="116"/>
  <c r="E393" i="116"/>
  <c r="E389" i="116"/>
  <c r="H384" i="116"/>
  <c r="F380" i="116"/>
  <c r="N376" i="116"/>
  <c r="N573" i="116"/>
  <c r="G873" i="116"/>
  <c r="M860" i="116"/>
  <c r="G552" i="116"/>
  <c r="E225" i="116"/>
  <c r="D1235" i="116"/>
  <c r="J1224" i="116"/>
  <c r="E698" i="116"/>
  <c r="K1206" i="116"/>
  <c r="O663" i="116"/>
  <c r="G341" i="116"/>
  <c r="L339" i="116"/>
  <c r="E337" i="116"/>
  <c r="I846" i="116"/>
  <c r="O121" i="116"/>
  <c r="I840" i="116"/>
  <c r="M117" i="116"/>
  <c r="D838" i="116"/>
  <c r="G325" i="116"/>
  <c r="O111" i="116"/>
  <c r="F109" i="116"/>
  <c r="D828" i="116"/>
  <c r="H313" i="116"/>
  <c r="M99" i="116"/>
  <c r="M816" i="116"/>
  <c r="D91" i="116"/>
  <c r="G808" i="116"/>
  <c r="N806" i="116"/>
  <c r="I291" i="116"/>
  <c r="O798" i="116"/>
  <c r="E796" i="116"/>
  <c r="D73" i="116"/>
  <c r="K792" i="116"/>
  <c r="D279" i="116"/>
  <c r="N67" i="116"/>
  <c r="O786" i="116"/>
  <c r="N784" i="116"/>
  <c r="H269" i="116"/>
  <c r="F780" i="116"/>
  <c r="L265" i="116"/>
  <c r="O774" i="116"/>
  <c r="K772" i="116"/>
  <c r="I49" i="116"/>
  <c r="K768" i="116"/>
  <c r="M43" i="116"/>
  <c r="O253" i="116"/>
  <c r="L39" i="116"/>
  <c r="H760" i="116"/>
  <c r="N243" i="116"/>
  <c r="M1160" i="116"/>
  <c r="G1051" i="116"/>
  <c r="N1156" i="116"/>
  <c r="G1047" i="116"/>
  <c r="F1152" i="116"/>
  <c r="I1043" i="116"/>
  <c r="G1039" i="116"/>
  <c r="L1140" i="116"/>
  <c r="N1029" i="116"/>
  <c r="F785" i="116"/>
  <c r="I972" i="116"/>
  <c r="L441" i="116"/>
  <c r="N437" i="116"/>
  <c r="I634" i="116"/>
  <c r="F405" i="116"/>
  <c r="L396" i="116"/>
  <c r="J590" i="116"/>
  <c r="K365" i="116"/>
  <c r="I566" i="116"/>
  <c r="M746" i="116"/>
  <c r="E725" i="116"/>
  <c r="L1166" i="116"/>
  <c r="O739" i="116"/>
  <c r="O708" i="116"/>
  <c r="I418" i="116"/>
  <c r="J618" i="116"/>
  <c r="H913" i="116"/>
  <c r="I602" i="116"/>
  <c r="K594" i="116"/>
  <c r="D384" i="116"/>
  <c r="L585" i="116"/>
  <c r="J376" i="116"/>
  <c r="J573" i="116"/>
  <c r="M347" i="116"/>
  <c r="M856" i="116"/>
  <c r="O1235" i="116"/>
  <c r="F1224" i="116"/>
  <c r="H698" i="116"/>
  <c r="G1206" i="116"/>
  <c r="K677" i="116"/>
  <c r="K663" i="116"/>
  <c r="H339" i="116"/>
  <c r="L337" i="116"/>
  <c r="E846" i="116"/>
  <c r="G121" i="116"/>
  <c r="E840" i="116"/>
  <c r="I117" i="116"/>
  <c r="M115" i="116"/>
  <c r="K111" i="116"/>
  <c r="M109" i="116"/>
  <c r="K828" i="116"/>
  <c r="I99" i="116"/>
  <c r="E97" i="116"/>
  <c r="I816" i="116"/>
  <c r="J303" i="116"/>
  <c r="O91" i="116"/>
  <c r="O810" i="116"/>
  <c r="M806" i="116"/>
  <c r="J804" i="116"/>
  <c r="E291" i="116"/>
  <c r="I289" i="116"/>
  <c r="K798" i="116"/>
  <c r="D796" i="116"/>
  <c r="J283" i="116"/>
  <c r="G792" i="116"/>
  <c r="O790" i="116"/>
  <c r="J67" i="116"/>
  <c r="K786" i="116"/>
  <c r="O61" i="116"/>
  <c r="D269" i="116"/>
  <c r="H265" i="116"/>
  <c r="K774" i="116"/>
  <c r="G772" i="116"/>
  <c r="E49" i="116"/>
  <c r="N255" i="116"/>
  <c r="I43" i="116"/>
  <c r="K253" i="116"/>
  <c r="H39" i="116"/>
  <c r="D760" i="116"/>
  <c r="E35" i="116"/>
  <c r="J243" i="116"/>
  <c r="I31" i="116"/>
  <c r="I1160" i="116"/>
  <c r="J1156" i="116"/>
  <c r="H1045" i="116"/>
  <c r="E1043" i="116"/>
  <c r="N524" i="116"/>
  <c r="H1140" i="116"/>
  <c r="F1031" i="116"/>
  <c r="J1029" i="116"/>
  <c r="L244" i="116"/>
  <c r="O1095" i="116"/>
  <c r="O469" i="116"/>
  <c r="D441" i="116"/>
  <c r="J437" i="116"/>
  <c r="F610" i="116"/>
  <c r="M590" i="116"/>
  <c r="G365" i="116"/>
  <c r="F558" i="116"/>
  <c r="I346" i="116"/>
  <c r="L725" i="116"/>
  <c r="H1166" i="116"/>
  <c r="K739" i="116"/>
  <c r="G708" i="116"/>
  <c r="D173" i="116"/>
  <c r="J143" i="116"/>
  <c r="E418" i="116"/>
  <c r="H618" i="116"/>
  <c r="D913" i="116"/>
  <c r="E602" i="116"/>
  <c r="G594" i="116"/>
  <c r="K384" i="116"/>
  <c r="F376" i="116"/>
  <c r="D877" i="116"/>
  <c r="K161" i="116"/>
  <c r="O823" i="116"/>
  <c r="N362" i="116"/>
  <c r="H244" i="116"/>
  <c r="H1038" i="116"/>
  <c r="K1014" i="116"/>
  <c r="K1097" i="116"/>
  <c r="K459" i="116"/>
  <c r="K453" i="116"/>
  <c r="I449" i="116"/>
  <c r="N365" i="116"/>
  <c r="G1261" i="116"/>
  <c r="F1213" i="116"/>
  <c r="G672" i="116"/>
  <c r="N708" i="116"/>
  <c r="E740" i="116"/>
  <c r="O1223" i="116"/>
  <c r="J1185" i="116"/>
  <c r="E143" i="116"/>
  <c r="N606" i="116"/>
  <c r="F906" i="116"/>
  <c r="D389" i="116"/>
  <c r="K589" i="116"/>
  <c r="M889" i="116"/>
  <c r="M862" i="116"/>
  <c r="N856" i="116"/>
  <c r="D1240" i="116"/>
  <c r="N1180" i="116"/>
  <c r="E655" i="116"/>
  <c r="H129" i="116"/>
  <c r="M123" i="116"/>
  <c r="L329" i="116"/>
  <c r="I325" i="116"/>
  <c r="G111" i="116"/>
  <c r="I317" i="116"/>
  <c r="J313" i="116"/>
  <c r="O820" i="116"/>
  <c r="E816" i="116"/>
  <c r="D303" i="116"/>
  <c r="K301" i="116"/>
  <c r="M293" i="116"/>
  <c r="O291" i="116"/>
  <c r="E289" i="116"/>
  <c r="L798" i="116"/>
  <c r="M283" i="116"/>
  <c r="O279" i="116"/>
  <c r="I786" i="116"/>
  <c r="N57" i="116"/>
  <c r="H55" i="116"/>
  <c r="O770" i="116"/>
  <c r="D762" i="116"/>
  <c r="G760" i="116"/>
  <c r="N758" i="116"/>
  <c r="M245" i="116"/>
  <c r="O31" i="116"/>
  <c r="E1160" i="116"/>
  <c r="I1156" i="116"/>
  <c r="F536" i="116"/>
  <c r="G1148" i="116"/>
  <c r="D1144" i="116"/>
  <c r="I1035" i="116"/>
  <c r="E1031" i="116"/>
  <c r="O1027" i="116"/>
  <c r="O1023" i="116"/>
  <c r="E1019" i="116"/>
  <c r="D1015" i="116"/>
  <c r="K1120" i="116"/>
  <c r="G1011" i="116"/>
  <c r="M1114" i="116"/>
  <c r="I1112" i="116"/>
  <c r="N1003" i="116"/>
  <c r="F1108" i="116"/>
  <c r="K995" i="116"/>
  <c r="E221" i="116"/>
  <c r="N1212" i="116"/>
  <c r="G268" i="116"/>
  <c r="G1002" i="116"/>
  <c r="M381" i="116"/>
  <c r="M558" i="116"/>
  <c r="M551" i="116"/>
  <c r="I220" i="116"/>
  <c r="O1166" i="116"/>
  <c r="N1241" i="116"/>
  <c r="J145" i="116"/>
  <c r="E1258" i="116"/>
  <c r="K1242" i="116"/>
  <c r="H678" i="116"/>
  <c r="N921" i="116"/>
  <c r="D609" i="116"/>
  <c r="N392" i="116"/>
  <c r="E585" i="116"/>
  <c r="H360" i="116"/>
  <c r="F355" i="116"/>
  <c r="K201" i="116"/>
  <c r="N190" i="116"/>
  <c r="N1195" i="116"/>
  <c r="K1178" i="116"/>
  <c r="L852" i="116"/>
  <c r="M127" i="116"/>
  <c r="H121" i="116"/>
  <c r="E115" i="116"/>
  <c r="O834" i="116"/>
  <c r="H105" i="116"/>
  <c r="E99" i="116"/>
  <c r="F307" i="116"/>
  <c r="F93" i="116"/>
  <c r="N810" i="116"/>
  <c r="H85" i="116"/>
  <c r="F804" i="116"/>
  <c r="I79" i="116"/>
  <c r="J800" i="116"/>
  <c r="F796" i="116"/>
  <c r="M790" i="116"/>
  <c r="J277" i="116"/>
  <c r="O780" i="116"/>
  <c r="D265" i="116"/>
  <c r="E774" i="116"/>
  <c r="J49" i="116"/>
  <c r="J768" i="116"/>
  <c r="L255" i="116"/>
  <c r="G253" i="116"/>
  <c r="I39" i="116"/>
  <c r="G37" i="116"/>
  <c r="H35" i="116"/>
  <c r="I243" i="116"/>
  <c r="H1055" i="116"/>
  <c r="D1051" i="116"/>
  <c r="F1156" i="116"/>
  <c r="L1152" i="116"/>
  <c r="L1035" i="116"/>
  <c r="M520" i="116"/>
  <c r="J1136" i="116"/>
  <c r="H1132" i="116"/>
  <c r="I1130" i="116"/>
  <c r="M1128" i="116"/>
  <c r="L1019" i="116"/>
  <c r="N1124" i="116"/>
  <c r="E1120" i="116"/>
  <c r="M1118" i="116"/>
  <c r="O1116" i="116"/>
  <c r="J1112" i="116"/>
  <c r="K1108" i="116"/>
  <c r="J488" i="116"/>
  <c r="G1034" i="116"/>
  <c r="M449" i="116"/>
  <c r="F582" i="116"/>
  <c r="I867" i="116"/>
  <c r="H210" i="116"/>
  <c r="E705" i="116"/>
  <c r="M173" i="116"/>
  <c r="J921" i="116"/>
  <c r="K581" i="116"/>
  <c r="N738" i="116"/>
  <c r="G1224" i="116"/>
  <c r="K846" i="116"/>
  <c r="D121" i="116"/>
  <c r="O117" i="116"/>
  <c r="K115" i="116"/>
  <c r="D321" i="116"/>
  <c r="L317" i="116"/>
  <c r="M826" i="116"/>
  <c r="K822" i="116"/>
  <c r="J307" i="116"/>
  <c r="F303" i="116"/>
  <c r="D301" i="116"/>
  <c r="J293" i="116"/>
  <c r="H291" i="116"/>
  <c r="H800" i="116"/>
  <c r="J792" i="116"/>
  <c r="L786" i="116"/>
  <c r="K269" i="116"/>
  <c r="H49" i="116"/>
  <c r="K45" i="116"/>
  <c r="E43" i="116"/>
  <c r="O762" i="116"/>
  <c r="H37" i="116"/>
  <c r="G758" i="116"/>
  <c r="E243" i="116"/>
  <c r="E1156" i="116"/>
  <c r="D1039" i="116"/>
  <c r="J524" i="116"/>
  <c r="L1031" i="116"/>
  <c r="D1027" i="116"/>
  <c r="M1025" i="116"/>
  <c r="K1126" i="116"/>
  <c r="H1120" i="116"/>
  <c r="K1011" i="116"/>
  <c r="J496" i="116"/>
  <c r="H1112" i="116"/>
  <c r="M1108" i="116"/>
  <c r="F488" i="116"/>
  <c r="L1104" i="116"/>
  <c r="L995" i="116"/>
  <c r="J771" i="116"/>
  <c r="N1161" i="116"/>
  <c r="N905" i="116"/>
  <c r="M582" i="116"/>
  <c r="F1251" i="116"/>
  <c r="E232" i="116"/>
  <c r="L705" i="116"/>
  <c r="F921" i="116"/>
  <c r="I569" i="116"/>
  <c r="J738" i="116"/>
  <c r="N1178" i="116"/>
  <c r="D341" i="116"/>
  <c r="I850" i="116"/>
  <c r="H331" i="116"/>
  <c r="K117" i="116"/>
  <c r="M832" i="116"/>
  <c r="E828" i="116"/>
  <c r="I826" i="116"/>
  <c r="G822" i="116"/>
  <c r="M307" i="116"/>
  <c r="I303" i="116"/>
  <c r="O301" i="116"/>
  <c r="F293" i="116"/>
  <c r="H284" i="116"/>
  <c r="J905" i="116"/>
  <c r="I582" i="116"/>
  <c r="E220" i="116"/>
  <c r="L232" i="116"/>
  <c r="I1207" i="116"/>
  <c r="D162" i="116"/>
  <c r="E678" i="116"/>
  <c r="K414" i="116"/>
  <c r="K408" i="116"/>
  <c r="M906" i="116"/>
  <c r="M355" i="116"/>
  <c r="F552" i="116"/>
  <c r="F217" i="116"/>
  <c r="G677" i="116"/>
  <c r="L1178" i="116"/>
  <c r="O127" i="116"/>
  <c r="D842" i="116"/>
  <c r="H325" i="116"/>
  <c r="I832" i="116"/>
  <c r="D826" i="116"/>
  <c r="L307" i="116"/>
  <c r="H303" i="116"/>
  <c r="N85" i="116"/>
  <c r="I304" i="116"/>
  <c r="K294" i="116"/>
  <c r="O1097" i="116"/>
  <c r="M420" i="116"/>
  <c r="E346" i="116"/>
  <c r="F220" i="116"/>
  <c r="N1187" i="116"/>
  <c r="O1188" i="116"/>
  <c r="H414" i="116"/>
  <c r="K393" i="116"/>
  <c r="N594" i="116"/>
  <c r="D360" i="116"/>
  <c r="I355" i="116"/>
  <c r="H1240" i="116"/>
  <c r="N1206" i="116"/>
  <c r="H1178" i="116"/>
  <c r="L846" i="116"/>
  <c r="M329" i="116"/>
  <c r="D325" i="116"/>
  <c r="G103" i="116"/>
  <c r="L99" i="116"/>
  <c r="K305" i="116"/>
  <c r="O814" i="116"/>
  <c r="M85" i="116"/>
  <c r="I804" i="116"/>
  <c r="E79" i="116"/>
  <c r="M281" i="116"/>
  <c r="G279" i="116"/>
  <c r="K277" i="116"/>
  <c r="K61" i="116"/>
  <c r="F269" i="116"/>
  <c r="K265" i="116"/>
  <c r="D774" i="116"/>
  <c r="M259" i="116"/>
  <c r="N43" i="116"/>
  <c r="O39" i="116"/>
  <c r="K37" i="116"/>
  <c r="N245" i="116"/>
  <c r="H31" i="116"/>
  <c r="H1160" i="116"/>
  <c r="D1156" i="116"/>
  <c r="E1152" i="116"/>
  <c r="N1039" i="116"/>
  <c r="M1136" i="116"/>
  <c r="J1130" i="116"/>
  <c r="E1023" i="116"/>
  <c r="J1019" i="116"/>
  <c r="M1011" i="116"/>
  <c r="O1007" i="116"/>
  <c r="N1112" i="116"/>
  <c r="O999" i="116"/>
  <c r="G1104" i="116"/>
  <c r="O995" i="116"/>
  <c r="L991" i="116"/>
  <c r="L1096" i="116"/>
  <c r="L987" i="116"/>
  <c r="N1092" i="116"/>
  <c r="J472" i="116"/>
  <c r="G1088" i="116"/>
  <c r="H470" i="116"/>
  <c r="G468" i="116"/>
  <c r="N979" i="116"/>
  <c r="N1084" i="116"/>
  <c r="O1082" i="116"/>
  <c r="F464" i="116"/>
  <c r="H462" i="116"/>
  <c r="K460" i="116"/>
  <c r="D458" i="116"/>
  <c r="F456" i="116"/>
  <c r="H1072" i="116"/>
  <c r="H454" i="116"/>
  <c r="G452" i="116"/>
  <c r="K1068" i="116"/>
  <c r="K450" i="116"/>
  <c r="N1066" i="116"/>
  <c r="J448" i="116"/>
  <c r="E1064" i="116"/>
  <c r="E446" i="116"/>
  <c r="F649" i="116"/>
  <c r="L442" i="116"/>
  <c r="D953" i="116"/>
  <c r="J440" i="116"/>
  <c r="J951" i="116"/>
  <c r="I645" i="116"/>
  <c r="H438" i="116"/>
  <c r="L1014" i="116"/>
  <c r="N409" i="116"/>
  <c r="I373" i="116"/>
  <c r="J1187" i="116"/>
  <c r="E745" i="116"/>
  <c r="L691" i="116"/>
  <c r="O1242" i="116"/>
  <c r="E178" i="116"/>
  <c r="M143" i="116"/>
  <c r="E910" i="116"/>
  <c r="G393" i="116"/>
  <c r="H594" i="116"/>
  <c r="F371" i="116"/>
  <c r="O360" i="116"/>
  <c r="E355" i="116"/>
  <c r="F1221" i="116"/>
  <c r="J1206" i="116"/>
  <c r="E677" i="116"/>
  <c r="D1178" i="116"/>
  <c r="F127" i="116"/>
  <c r="H846" i="116"/>
  <c r="J327" i="116"/>
  <c r="J832" i="116"/>
  <c r="M105" i="116"/>
  <c r="H99" i="116"/>
  <c r="G761" i="116"/>
  <c r="F507" i="116"/>
  <c r="H640" i="116"/>
  <c r="M936" i="116"/>
  <c r="J1241" i="116"/>
  <c r="J1196" i="116"/>
  <c r="E658" i="116"/>
  <c r="K227" i="116"/>
  <c r="H1185" i="116"/>
  <c r="H609" i="116"/>
  <c r="N597" i="116"/>
  <c r="O569" i="116"/>
  <c r="H347" i="116"/>
  <c r="G1227" i="116"/>
  <c r="I180" i="116"/>
  <c r="D680" i="116"/>
  <c r="L1165" i="116"/>
  <c r="D339" i="116"/>
  <c r="E848" i="116"/>
  <c r="D115" i="116"/>
  <c r="D830" i="116"/>
  <c r="D311" i="116"/>
  <c r="L97" i="116"/>
  <c r="J93" i="116"/>
  <c r="L301" i="116"/>
  <c r="G87" i="116"/>
  <c r="D806" i="116"/>
  <c r="G289" i="116"/>
  <c r="J796" i="116"/>
  <c r="O67" i="116"/>
  <c r="G267" i="116"/>
  <c r="K55" i="116"/>
  <c r="G774" i="116"/>
  <c r="H768" i="116"/>
  <c r="K766" i="116"/>
  <c r="L762" i="116"/>
  <c r="M758" i="116"/>
  <c r="D1055" i="116"/>
  <c r="E1051" i="116"/>
  <c r="H1047" i="116"/>
  <c r="O1045" i="116"/>
  <c r="N1148" i="116"/>
  <c r="J1140" i="116"/>
  <c r="L1027" i="116"/>
  <c r="K1023" i="116"/>
  <c r="J1128" i="116"/>
  <c r="G1124" i="116"/>
  <c r="I1120" i="116"/>
  <c r="M500" i="116"/>
  <c r="E1112" i="116"/>
  <c r="M1003" i="116"/>
  <c r="E1106" i="116"/>
  <c r="E999" i="116"/>
  <c r="L1100" i="116"/>
  <c r="I991" i="116"/>
  <c r="F1096" i="116"/>
  <c r="D1092" i="116"/>
  <c r="O472" i="116"/>
  <c r="E1088" i="116"/>
  <c r="E1086" i="116"/>
  <c r="H979" i="116"/>
  <c r="D1084" i="116"/>
  <c r="I466" i="116"/>
  <c r="G464" i="116"/>
  <c r="E1080" i="116"/>
  <c r="F462" i="116"/>
  <c r="E1078" i="116"/>
  <c r="I460" i="116"/>
  <c r="L1076" i="116"/>
  <c r="M458" i="116"/>
  <c r="G456" i="116"/>
  <c r="F967" i="116"/>
  <c r="F1072" i="116"/>
  <c r="F454" i="116"/>
  <c r="I452" i="116"/>
  <c r="M1068" i="116"/>
  <c r="E450" i="116"/>
  <c r="O448" i="116"/>
  <c r="L955" i="116"/>
  <c r="G649" i="116"/>
  <c r="J442" i="116"/>
  <c r="J953" i="116"/>
  <c r="H440" i="116"/>
  <c r="D951" i="116"/>
  <c r="F438" i="116"/>
  <c r="M949" i="116"/>
  <c r="D436" i="116"/>
  <c r="L947" i="116"/>
  <c r="O641" i="116"/>
  <c r="G434" i="116"/>
  <c r="O945" i="116"/>
  <c r="E432" i="116"/>
  <c r="E943" i="116"/>
  <c r="L637" i="116"/>
  <c r="E637" i="116"/>
  <c r="D430" i="116"/>
  <c r="L941" i="116"/>
  <c r="G428" i="116"/>
  <c r="G939" i="116"/>
  <c r="M426" i="116"/>
  <c r="M937" i="116"/>
  <c r="D424" i="116"/>
  <c r="D935" i="116"/>
  <c r="K629" i="116"/>
  <c r="O421" i="116"/>
  <c r="D932" i="116"/>
  <c r="L417" i="116"/>
  <c r="E417" i="116"/>
  <c r="D622" i="116"/>
  <c r="O926" i="116"/>
  <c r="K407" i="116"/>
  <c r="N612" i="116"/>
  <c r="J916" i="116"/>
  <c r="H403" i="116"/>
  <c r="G607" i="116"/>
  <c r="F398" i="116"/>
  <c r="G599" i="116"/>
  <c r="O391" i="116"/>
  <c r="M387" i="116"/>
  <c r="H592" i="116"/>
  <c r="F383" i="116"/>
  <c r="E588" i="116"/>
  <c r="L892" i="116"/>
  <c r="I892" i="116"/>
  <c r="D379" i="116"/>
  <c r="D375" i="116"/>
  <c r="G580" i="116"/>
  <c r="I368" i="116"/>
  <c r="F368" i="116"/>
  <c r="K367" i="116"/>
  <c r="J876" i="116"/>
  <c r="E363" i="116"/>
  <c r="O568" i="116"/>
  <c r="I359" i="116"/>
  <c r="H564" i="116"/>
  <c r="D868" i="116"/>
  <c r="J865" i="116"/>
  <c r="O863" i="116"/>
  <c r="O350" i="116"/>
  <c r="I349" i="116"/>
  <c r="E348" i="116"/>
  <c r="J553" i="116"/>
  <c r="M344" i="116"/>
  <c r="H1260" i="116"/>
  <c r="L229" i="116"/>
  <c r="E229" i="116"/>
  <c r="L1247" i="116"/>
  <c r="H1244" i="116"/>
  <c r="E1244" i="116"/>
  <c r="N1234" i="116"/>
  <c r="K1232" i="116"/>
  <c r="N1230" i="116"/>
  <c r="I194" i="116"/>
  <c r="K1217" i="116"/>
  <c r="D1217" i="116"/>
  <c r="O702" i="116"/>
  <c r="F952" i="116"/>
  <c r="D910" i="116"/>
  <c r="J597" i="116"/>
  <c r="E1221" i="116"/>
  <c r="O680" i="116"/>
  <c r="O1178" i="116"/>
  <c r="M129" i="116"/>
  <c r="J449" i="116"/>
  <c r="J381" i="116"/>
  <c r="N211" i="116"/>
  <c r="O910" i="116"/>
  <c r="L209" i="116"/>
  <c r="D129" i="116"/>
  <c r="D840" i="116"/>
  <c r="L319" i="116"/>
  <c r="N826" i="116"/>
  <c r="G820" i="116"/>
  <c r="E91" i="116"/>
  <c r="K87" i="116"/>
  <c r="O796" i="116"/>
  <c r="D277" i="116"/>
  <c r="G61" i="116"/>
  <c r="E778" i="116"/>
  <c r="I760" i="116"/>
  <c r="L35" i="116"/>
  <c r="K31" i="116"/>
  <c r="F1160" i="116"/>
  <c r="J1154" i="116"/>
  <c r="K1132" i="116"/>
  <c r="F1019" i="116"/>
  <c r="O1015" i="116"/>
  <c r="J1118" i="116"/>
  <c r="J1108" i="116"/>
  <c r="M999" i="116"/>
  <c r="N484" i="116"/>
  <c r="D1096" i="116"/>
  <c r="D472" i="116"/>
  <c r="H1088" i="116"/>
  <c r="F470" i="116"/>
  <c r="I1084" i="116"/>
  <c r="F466" i="116"/>
  <c r="K1080" i="116"/>
  <c r="L462" i="116"/>
  <c r="F971" i="116"/>
  <c r="K456" i="116"/>
  <c r="I1072" i="116"/>
  <c r="L454" i="116"/>
  <c r="N1068" i="116"/>
  <c r="I450" i="116"/>
  <c r="G448" i="116"/>
  <c r="J1064" i="116"/>
  <c r="I446" i="116"/>
  <c r="N955" i="116"/>
  <c r="E649" i="116"/>
  <c r="D440" i="116"/>
  <c r="M645" i="116"/>
  <c r="O949" i="116"/>
  <c r="I436" i="116"/>
  <c r="M947" i="116"/>
  <c r="H641" i="116"/>
  <c r="K434" i="116"/>
  <c r="H432" i="116"/>
  <c r="D943" i="116"/>
  <c r="K637" i="116"/>
  <c r="N941" i="116"/>
  <c r="L428" i="116"/>
  <c r="H939" i="116"/>
  <c r="O633" i="116"/>
  <c r="N937" i="116"/>
  <c r="H424" i="116"/>
  <c r="O935" i="116"/>
  <c r="J422" i="116"/>
  <c r="I930" i="116"/>
  <c r="F622" i="116"/>
  <c r="I926" i="116"/>
  <c r="H616" i="116"/>
  <c r="E407" i="116"/>
  <c r="K612" i="116"/>
  <c r="L403" i="116"/>
  <c r="H911" i="116"/>
  <c r="I398" i="116"/>
  <c r="J599" i="116"/>
  <c r="N391" i="116"/>
  <c r="I596" i="116"/>
  <c r="F595" i="116"/>
  <c r="D387" i="116"/>
  <c r="J592" i="116"/>
  <c r="I1046" i="116"/>
  <c r="J507" i="116"/>
  <c r="M409" i="116"/>
  <c r="M605" i="116"/>
  <c r="I381" i="116"/>
  <c r="M867" i="116"/>
  <c r="N1182" i="116"/>
  <c r="K1241" i="116"/>
  <c r="I1226" i="116"/>
  <c r="N404" i="116"/>
  <c r="M371" i="116"/>
  <c r="J565" i="116"/>
  <c r="K1235" i="116"/>
  <c r="M180" i="116"/>
  <c r="G663" i="116"/>
  <c r="D846" i="116"/>
  <c r="H319" i="116"/>
  <c r="K91" i="116"/>
  <c r="O81" i="116"/>
  <c r="L289" i="116"/>
  <c r="N796" i="116"/>
  <c r="N792" i="116"/>
  <c r="O277" i="116"/>
  <c r="D55" i="116"/>
  <c r="D49" i="116"/>
  <c r="N253" i="116"/>
  <c r="L1051" i="116"/>
  <c r="D1047" i="116"/>
  <c r="E1144" i="116"/>
  <c r="E1035" i="116"/>
  <c r="N1136" i="116"/>
  <c r="M1019" i="116"/>
  <c r="K1015" i="116"/>
  <c r="F1118" i="116"/>
  <c r="N496" i="116"/>
  <c r="F1112" i="116"/>
  <c r="K490" i="116"/>
  <c r="I999" i="116"/>
  <c r="H995" i="116"/>
  <c r="H991" i="116"/>
  <c r="K1096" i="116"/>
  <c r="M1092" i="116"/>
  <c r="K472" i="116"/>
  <c r="D1088" i="116"/>
  <c r="I470" i="116"/>
  <c r="E1084" i="116"/>
  <c r="M466" i="116"/>
  <c r="G1080" i="116"/>
  <c r="D462" i="116"/>
  <c r="M1076" i="116"/>
  <c r="E1072" i="116"/>
  <c r="D454" i="116"/>
  <c r="N452" i="116"/>
  <c r="J1068" i="116"/>
  <c r="L450" i="116"/>
  <c r="F1064" i="116"/>
  <c r="L446" i="116"/>
  <c r="J955" i="116"/>
  <c r="G442" i="116"/>
  <c r="N953" i="116"/>
  <c r="O440" i="116"/>
  <c r="N951" i="116"/>
  <c r="E645" i="116"/>
  <c r="E436" i="116"/>
  <c r="I947" i="116"/>
  <c r="D641" i="116"/>
  <c r="D432" i="116"/>
  <c r="O943" i="116"/>
  <c r="G637" i="116"/>
  <c r="F430" i="116"/>
  <c r="J941" i="116"/>
  <c r="H428" i="116"/>
  <c r="D939" i="116"/>
  <c r="K633" i="116"/>
  <c r="N426" i="116"/>
  <c r="F937" i="116"/>
  <c r="O424" i="116"/>
  <c r="K935" i="116"/>
  <c r="F422" i="116"/>
  <c r="N932" i="116"/>
  <c r="E930" i="116"/>
  <c r="M622" i="116"/>
  <c r="E926" i="116"/>
  <c r="D616" i="116"/>
  <c r="L407" i="116"/>
  <c r="L388" i="116"/>
  <c r="J1182" i="116"/>
  <c r="M1223" i="116"/>
  <c r="F173" i="116"/>
  <c r="J404" i="116"/>
  <c r="G1235" i="116"/>
  <c r="E180" i="116"/>
  <c r="M655" i="116"/>
  <c r="G850" i="116"/>
  <c r="I123" i="116"/>
  <c r="H830" i="116"/>
  <c r="N103" i="116"/>
  <c r="D97" i="116"/>
  <c r="G91" i="116"/>
  <c r="K81" i="116"/>
  <c r="O289" i="116"/>
  <c r="O73" i="116"/>
  <c r="D69" i="116"/>
  <c r="G277" i="116"/>
  <c r="J61" i="116"/>
  <c r="O55" i="116"/>
  <c r="F255" i="116"/>
  <c r="N764" i="116"/>
  <c r="L37" i="116"/>
  <c r="J245" i="116"/>
  <c r="I532" i="116"/>
  <c r="L1144" i="116"/>
  <c r="D1140" i="116"/>
  <c r="M516" i="116"/>
  <c r="I1023" i="116"/>
  <c r="I1019" i="116"/>
  <c r="G1015" i="116"/>
  <c r="I1118" i="116"/>
  <c r="H1007" i="116"/>
  <c r="H1110" i="116"/>
  <c r="K1106" i="116"/>
  <c r="M1104" i="116"/>
  <c r="D995" i="116"/>
  <c r="N1100" i="116"/>
  <c r="D991" i="116"/>
  <c r="E1092" i="116"/>
  <c r="G472" i="116"/>
  <c r="M1213" i="116"/>
  <c r="H1258" i="116"/>
  <c r="E413" i="116"/>
  <c r="F404" i="116"/>
  <c r="L602" i="116"/>
  <c r="G593" i="116"/>
  <c r="O889" i="116"/>
  <c r="I364" i="116"/>
  <c r="L677" i="116"/>
  <c r="I655" i="116"/>
  <c r="F840" i="116"/>
  <c r="E317" i="116"/>
  <c r="J103" i="116"/>
  <c r="G81" i="116"/>
  <c r="K289" i="116"/>
  <c r="K279" i="116"/>
  <c r="F61" i="116"/>
  <c r="K267" i="116"/>
  <c r="G55" i="116"/>
  <c r="L774" i="116"/>
  <c r="M255" i="116"/>
  <c r="J764" i="116"/>
  <c r="D37" i="116"/>
  <c r="F245" i="116"/>
  <c r="E31" i="116"/>
  <c r="H1144" i="116"/>
  <c r="H1027" i="116"/>
  <c r="I1025" i="116"/>
  <c r="I1128" i="116"/>
  <c r="M1124" i="116"/>
  <c r="O1011" i="116"/>
  <c r="D1007" i="116"/>
  <c r="D1110" i="116"/>
  <c r="O1104" i="116"/>
  <c r="N995" i="116"/>
  <c r="J1100" i="116"/>
  <c r="O991" i="116"/>
  <c r="N1096" i="116"/>
  <c r="O1092" i="116"/>
  <c r="O470" i="116"/>
  <c r="J468" i="116"/>
  <c r="H1084" i="116"/>
  <c r="H466" i="116"/>
  <c r="J464" i="116"/>
  <c r="K462" i="116"/>
  <c r="F460" i="116"/>
  <c r="E1076" i="116"/>
  <c r="L640" i="116"/>
  <c r="K713" i="116"/>
  <c r="D178" i="116"/>
  <c r="E1185" i="116"/>
  <c r="L910" i="116"/>
  <c r="G589" i="116"/>
  <c r="O581" i="116"/>
  <c r="E347" i="116"/>
  <c r="M1221" i="116"/>
  <c r="F1195" i="116"/>
  <c r="F337" i="116"/>
  <c r="E327" i="116"/>
  <c r="N315" i="116"/>
  <c r="I806" i="116"/>
  <c r="M79" i="116"/>
  <c r="H798" i="116"/>
  <c r="O281" i="116"/>
  <c r="D67" i="116"/>
  <c r="E786" i="116"/>
  <c r="J269" i="116"/>
  <c r="H772" i="116"/>
  <c r="D768" i="116"/>
  <c r="E39" i="116"/>
  <c r="J758" i="116"/>
  <c r="M243" i="116"/>
  <c r="L1160" i="116"/>
  <c r="K1035" i="116"/>
  <c r="I1136" i="116"/>
  <c r="L1132" i="116"/>
  <c r="L1023" i="116"/>
  <c r="F1128" i="116"/>
  <c r="F1124" i="116"/>
  <c r="K1116" i="116"/>
  <c r="M1112" i="116"/>
  <c r="G1108" i="116"/>
  <c r="D1102" i="116"/>
  <c r="H1100" i="116"/>
  <c r="I1096" i="116"/>
  <c r="D987" i="116"/>
  <c r="O1090" i="116"/>
  <c r="M1088" i="116"/>
  <c r="D468" i="116"/>
  <c r="G979" i="116"/>
  <c r="D464" i="116"/>
  <c r="I1080" i="116"/>
  <c r="M462" i="116"/>
  <c r="D460" i="116"/>
  <c r="N1076" i="116"/>
  <c r="G458" i="116"/>
  <c r="M454" i="116"/>
  <c r="G1070" i="116"/>
  <c r="G1068" i="116"/>
  <c r="H448" i="116"/>
  <c r="G955" i="116"/>
  <c r="J649" i="116"/>
  <c r="K953" i="116"/>
  <c r="I440" i="116"/>
  <c r="H951" i="116"/>
  <c r="N645" i="116"/>
  <c r="E438" i="116"/>
  <c r="D949" i="116"/>
  <c r="N436" i="116"/>
  <c r="J947" i="116"/>
  <c r="I641" i="116"/>
  <c r="L434" i="116"/>
  <c r="H945" i="116"/>
  <c r="I943" i="116"/>
  <c r="H637" i="116"/>
  <c r="K430" i="116"/>
  <c r="G941" i="116"/>
  <c r="M428" i="116"/>
  <c r="I939" i="116"/>
  <c r="L633" i="116"/>
  <c r="O426" i="116"/>
  <c r="K937" i="116"/>
  <c r="M424" i="116"/>
  <c r="E935" i="116"/>
  <c r="D629" i="116"/>
  <c r="G422" i="116"/>
  <c r="D421" i="116"/>
  <c r="O932" i="116"/>
  <c r="N930" i="116"/>
  <c r="D417" i="116"/>
  <c r="J926" i="116"/>
  <c r="L923" i="116"/>
  <c r="F407" i="116"/>
  <c r="H612" i="116"/>
  <c r="K916" i="116"/>
  <c r="F403" i="116"/>
  <c r="K608" i="116"/>
  <c r="D607" i="116"/>
  <c r="N398" i="116"/>
  <c r="K599" i="116"/>
  <c r="K391" i="116"/>
  <c r="N596" i="116"/>
  <c r="E387" i="116"/>
  <c r="K592" i="116"/>
  <c r="L383" i="116"/>
  <c r="K588" i="116"/>
  <c r="M379" i="116"/>
  <c r="D584" i="116"/>
  <c r="I375" i="116"/>
  <c r="D580" i="116"/>
  <c r="K884" i="116"/>
  <c r="K881" i="116"/>
  <c r="D881" i="116"/>
  <c r="J368" i="116"/>
  <c r="G367" i="116"/>
  <c r="N572" i="116"/>
  <c r="M876" i="116"/>
  <c r="D363" i="116"/>
  <c r="J568" i="116"/>
  <c r="O359" i="116"/>
  <c r="F868" i="116"/>
  <c r="K865" i="116"/>
  <c r="O352" i="116"/>
  <c r="M863" i="116"/>
  <c r="L350" i="116"/>
  <c r="F349" i="116"/>
  <c r="I348" i="116"/>
  <c r="F553" i="116"/>
  <c r="E344" i="116"/>
  <c r="N749" i="116"/>
  <c r="K1260" i="116"/>
  <c r="K229" i="116"/>
  <c r="K224" i="116"/>
  <c r="N1244" i="116"/>
  <c r="H1232" i="116"/>
  <c r="G1230" i="116"/>
  <c r="G1217" i="116"/>
  <c r="G699" i="116"/>
  <c r="N1202" i="116"/>
  <c r="K171" i="116"/>
  <c r="F676" i="116"/>
  <c r="I673" i="116"/>
  <c r="G147" i="116"/>
  <c r="J144" i="116"/>
  <c r="F141" i="116"/>
  <c r="M1167" i="116"/>
  <c r="L1185" i="116"/>
  <c r="J337" i="116"/>
  <c r="H840" i="116"/>
  <c r="O315" i="116"/>
  <c r="D820" i="116"/>
  <c r="I85" i="116"/>
  <c r="D291" i="116"/>
  <c r="I73" i="116"/>
  <c r="L790" i="116"/>
  <c r="D61" i="116"/>
  <c r="N267" i="116"/>
  <c r="I255" i="116"/>
  <c r="F39" i="116"/>
  <c r="G1055" i="116"/>
  <c r="K1045" i="116"/>
  <c r="F520" i="116"/>
  <c r="O1132" i="116"/>
  <c r="E1128" i="116"/>
  <c r="N1011" i="116"/>
  <c r="M944" i="116"/>
  <c r="H936" i="116"/>
  <c r="I415" i="116"/>
  <c r="I357" i="116"/>
  <c r="O227" i="116"/>
  <c r="H178" i="116"/>
  <c r="J856" i="116"/>
  <c r="O846" i="116"/>
  <c r="K820" i="116"/>
  <c r="H301" i="116"/>
  <c r="E85" i="116"/>
  <c r="L79" i="116"/>
  <c r="E73" i="116"/>
  <c r="K67" i="116"/>
  <c r="O782" i="116"/>
  <c r="J267" i="116"/>
  <c r="E255" i="116"/>
  <c r="M39" i="116"/>
  <c r="I245" i="116"/>
  <c r="E1049" i="116"/>
  <c r="O1144" i="116"/>
  <c r="L1128" i="116"/>
  <c r="H1015" i="116"/>
  <c r="I1011" i="116"/>
  <c r="M488" i="116"/>
  <c r="K1098" i="116"/>
  <c r="E1096" i="116"/>
  <c r="G1092" i="116"/>
  <c r="I1088" i="116"/>
  <c r="D470" i="116"/>
  <c r="L979" i="116"/>
  <c r="J1080" i="116"/>
  <c r="O460" i="116"/>
  <c r="J971" i="116"/>
  <c r="I458" i="116"/>
  <c r="M456" i="116"/>
  <c r="N1072" i="116"/>
  <c r="L1068" i="116"/>
  <c r="M448" i="116"/>
  <c r="K1064" i="116"/>
  <c r="F955" i="116"/>
  <c r="M442" i="116"/>
  <c r="K438" i="116"/>
  <c r="I949" i="116"/>
  <c r="K641" i="116"/>
  <c r="J434" i="116"/>
  <c r="M945" i="116"/>
  <c r="M943" i="116"/>
  <c r="E430" i="116"/>
  <c r="D941" i="116"/>
  <c r="L939" i="116"/>
  <c r="J633" i="116"/>
  <c r="H426" i="116"/>
  <c r="I424" i="116"/>
  <c r="F629" i="116"/>
  <c r="L421" i="116"/>
  <c r="H932" i="116"/>
  <c r="F930" i="116"/>
  <c r="N417" i="116"/>
  <c r="L622" i="116"/>
  <c r="O619" i="116"/>
  <c r="I407" i="116"/>
  <c r="J612" i="116"/>
  <c r="I916" i="116"/>
  <c r="L608" i="116"/>
  <c r="L607" i="116"/>
  <c r="J398" i="116"/>
  <c r="N599" i="116"/>
  <c r="F391" i="116"/>
  <c r="D596" i="116"/>
  <c r="J387" i="116"/>
  <c r="O592" i="116"/>
  <c r="D383" i="116"/>
  <c r="J892" i="116"/>
  <c r="H379" i="116"/>
  <c r="J584" i="116"/>
  <c r="G375" i="116"/>
  <c r="F580" i="116"/>
  <c r="E884" i="116"/>
  <c r="E881" i="116"/>
  <c r="O367" i="116"/>
  <c r="J572" i="116"/>
  <c r="E876" i="116"/>
  <c r="G363" i="116"/>
  <c r="N359" i="116"/>
  <c r="I437" i="116"/>
  <c r="N936" i="116"/>
  <c r="M658" i="116"/>
  <c r="N233" i="116"/>
  <c r="I1221" i="116"/>
  <c r="D677" i="116"/>
  <c r="K1034" i="116"/>
  <c r="J936" i="116"/>
  <c r="L658" i="116"/>
  <c r="K864" i="116"/>
  <c r="J230" i="116"/>
  <c r="G834" i="116"/>
  <c r="I558" i="116"/>
  <c r="G1229" i="116"/>
  <c r="E743" i="116"/>
  <c r="N790" i="116"/>
  <c r="H1156" i="116"/>
  <c r="N1128" i="116"/>
  <c r="D1120" i="116"/>
  <c r="K1007" i="116"/>
  <c r="I1108" i="116"/>
  <c r="K1100" i="116"/>
  <c r="J470" i="116"/>
  <c r="D979" i="116"/>
  <c r="N466" i="116"/>
  <c r="N464" i="116"/>
  <c r="G1076" i="116"/>
  <c r="K458" i="116"/>
  <c r="M1072" i="116"/>
  <c r="N454" i="116"/>
  <c r="J450" i="116"/>
  <c r="G446" i="116"/>
  <c r="F442" i="116"/>
  <c r="L949" i="116"/>
  <c r="F436" i="116"/>
  <c r="N641" i="116"/>
  <c r="E434" i="116"/>
  <c r="L432" i="116"/>
  <c r="O430" i="116"/>
  <c r="F941" i="116"/>
  <c r="J428" i="116"/>
  <c r="D633" i="116"/>
  <c r="E426" i="116"/>
  <c r="G631" i="116"/>
  <c r="I629" i="116"/>
  <c r="K421" i="116"/>
  <c r="O930" i="116"/>
  <c r="O622" i="116"/>
  <c r="M926" i="116"/>
  <c r="E920" i="116"/>
  <c r="D612" i="116"/>
  <c r="N916" i="116"/>
  <c r="G403" i="116"/>
  <c r="I607" i="116"/>
  <c r="M398" i="116"/>
  <c r="M599" i="116"/>
  <c r="E391" i="116"/>
  <c r="O387" i="116"/>
  <c r="N383" i="116"/>
  <c r="H588" i="116"/>
  <c r="K892" i="116"/>
  <c r="F379" i="116"/>
  <c r="K584" i="116"/>
  <c r="O375" i="116"/>
  <c r="J580" i="116"/>
  <c r="D577" i="116"/>
  <c r="H881" i="116"/>
  <c r="E572" i="116"/>
  <c r="D876" i="116"/>
  <c r="F363" i="116"/>
  <c r="K568" i="116"/>
  <c r="D359" i="116"/>
  <c r="M868" i="116"/>
  <c r="K863" i="116"/>
  <c r="O349" i="116"/>
  <c r="O553" i="116"/>
  <c r="N344" i="116"/>
  <c r="G749" i="116"/>
  <c r="D1260" i="116"/>
  <c r="O229" i="116"/>
  <c r="G224" i="116"/>
  <c r="F1244" i="116"/>
  <c r="G1232" i="116"/>
  <c r="F1230" i="116"/>
  <c r="D194" i="116"/>
  <c r="F1217" i="116"/>
  <c r="I702" i="116"/>
  <c r="I694" i="116"/>
  <c r="H1202" i="116"/>
  <c r="E171" i="116"/>
  <c r="K163" i="116"/>
  <c r="J673" i="116"/>
  <c r="G1184" i="116"/>
  <c r="F150" i="116"/>
  <c r="N144" i="116"/>
  <c r="M141" i="116"/>
  <c r="E1167" i="116"/>
  <c r="O1068" i="116"/>
  <c r="H949" i="116"/>
  <c r="J641" i="116"/>
  <c r="H434" i="116"/>
  <c r="O432" i="116"/>
  <c r="G430" i="116"/>
  <c r="M941" i="116"/>
  <c r="F428" i="116"/>
  <c r="L426" i="116"/>
  <c r="L424" i="116"/>
  <c r="E629" i="116"/>
  <c r="J932" i="116"/>
  <c r="K930" i="116"/>
  <c r="G622" i="116"/>
  <c r="L926" i="116"/>
  <c r="O612" i="116"/>
  <c r="F916" i="116"/>
  <c r="H607" i="116"/>
  <c r="E398" i="116"/>
  <c r="L391" i="116"/>
  <c r="J596" i="116"/>
  <c r="K387" i="116"/>
  <c r="D588" i="116"/>
  <c r="G892" i="116"/>
  <c r="G584" i="116"/>
  <c r="K375" i="116"/>
  <c r="K577" i="116"/>
  <c r="M368" i="116"/>
  <c r="N367" i="116"/>
  <c r="O876" i="116"/>
  <c r="M363" i="116"/>
  <c r="G568" i="116"/>
  <c r="N564" i="116"/>
  <c r="I868" i="116"/>
  <c r="K349" i="116"/>
  <c r="K553" i="116"/>
  <c r="O1260" i="116"/>
  <c r="G229" i="116"/>
  <c r="N1247" i="116"/>
  <c r="M1230" i="116"/>
  <c r="L707" i="116"/>
  <c r="E702" i="116"/>
  <c r="G694" i="116"/>
  <c r="D1202" i="116"/>
  <c r="G163" i="116"/>
  <c r="F673" i="116"/>
  <c r="K147" i="116"/>
  <c r="I141" i="116"/>
  <c r="L1167" i="116"/>
  <c r="E558" i="116"/>
  <c r="K1261" i="116"/>
  <c r="O609" i="116"/>
  <c r="K810" i="116"/>
  <c r="M804" i="116"/>
  <c r="E798" i="116"/>
  <c r="J790" i="116"/>
  <c r="M778" i="116"/>
  <c r="J43" i="116"/>
  <c r="I1031" i="116"/>
  <c r="E1025" i="116"/>
  <c r="O1120" i="116"/>
  <c r="J991" i="116"/>
  <c r="K470" i="116"/>
  <c r="O979" i="116"/>
  <c r="J466" i="116"/>
  <c r="M464" i="116"/>
  <c r="J460" i="116"/>
  <c r="L1074" i="116"/>
  <c r="L1072" i="116"/>
  <c r="J454" i="116"/>
  <c r="H450" i="116"/>
  <c r="I959" i="116"/>
  <c r="I442" i="116"/>
  <c r="M440" i="116"/>
  <c r="N438" i="116"/>
  <c r="E947" i="116"/>
  <c r="N943" i="116"/>
  <c r="G633" i="116"/>
  <c r="G421" i="116"/>
  <c r="E608" i="116"/>
  <c r="I599" i="116"/>
  <c r="J383" i="116"/>
  <c r="I379" i="116"/>
  <c r="L884" i="116"/>
  <c r="L572" i="116"/>
  <c r="K359" i="116"/>
  <c r="J344" i="116"/>
  <c r="M1244" i="116"/>
  <c r="M1217" i="116"/>
  <c r="L171" i="116"/>
  <c r="F144" i="116"/>
  <c r="E373" i="116"/>
  <c r="D81" i="116"/>
  <c r="I75" i="116"/>
  <c r="M51" i="116"/>
  <c r="F758" i="116"/>
  <c r="L1055" i="116"/>
  <c r="L1136" i="116"/>
  <c r="M1130" i="116"/>
  <c r="I1124" i="116"/>
  <c r="M1007" i="116"/>
  <c r="J1104" i="116"/>
  <c r="F1100" i="116"/>
  <c r="M1096" i="116"/>
  <c r="O1088" i="116"/>
  <c r="J979" i="116"/>
  <c r="K466" i="116"/>
  <c r="E464" i="116"/>
  <c r="E462" i="116"/>
  <c r="E460" i="116"/>
  <c r="J1076" i="116"/>
  <c r="O1072" i="116"/>
  <c r="K1070" i="116"/>
  <c r="H1066" i="116"/>
  <c r="G1064" i="116"/>
  <c r="N446" i="116"/>
  <c r="H649" i="116"/>
  <c r="H442" i="116"/>
  <c r="L440" i="116"/>
  <c r="L645" i="116"/>
  <c r="M438" i="116"/>
  <c r="M436" i="116"/>
  <c r="D947" i="116"/>
  <c r="M641" i="116"/>
  <c r="G432" i="116"/>
  <c r="F943" i="116"/>
  <c r="E941" i="116"/>
  <c r="E939" i="116"/>
  <c r="F633" i="116"/>
  <c r="O937" i="116"/>
  <c r="G424" i="116"/>
  <c r="J935" i="116"/>
  <c r="K422" i="116"/>
  <c r="M932" i="116"/>
  <c r="H417" i="116"/>
  <c r="N622" i="116"/>
  <c r="D926" i="116"/>
  <c r="J407" i="116"/>
  <c r="E916" i="116"/>
  <c r="O608" i="116"/>
  <c r="K607" i="116"/>
  <c r="H398" i="116"/>
  <c r="L599" i="116"/>
  <c r="D391" i="116"/>
  <c r="I595" i="116"/>
  <c r="M592" i="116"/>
  <c r="I383" i="116"/>
  <c r="G588" i="116"/>
  <c r="L379" i="116"/>
  <c r="G888" i="116"/>
  <c r="I580" i="116"/>
  <c r="D884" i="116"/>
  <c r="G881" i="116"/>
  <c r="L368" i="116"/>
  <c r="F367" i="116"/>
  <c r="D572" i="116"/>
  <c r="G876" i="116"/>
  <c r="L363" i="116"/>
  <c r="K640" i="116"/>
  <c r="O618" i="116"/>
  <c r="K569" i="116"/>
  <c r="I347" i="116"/>
  <c r="N337" i="116"/>
  <c r="D323" i="116"/>
  <c r="N816" i="116"/>
  <c r="D780" i="116"/>
  <c r="N768" i="116"/>
  <c r="H762" i="116"/>
  <c r="E758" i="116"/>
  <c r="L1049" i="116"/>
  <c r="G512" i="116"/>
  <c r="K1124" i="116"/>
  <c r="F1120" i="116"/>
  <c r="I1007" i="116"/>
  <c r="I1106" i="116"/>
  <c r="O1098" i="116"/>
  <c r="H1096" i="116"/>
  <c r="J1092" i="116"/>
  <c r="M979" i="116"/>
  <c r="G466" i="116"/>
  <c r="O462" i="116"/>
  <c r="H971" i="116"/>
  <c r="F1076" i="116"/>
  <c r="K1072" i="116"/>
  <c r="F1068" i="116"/>
  <c r="I448" i="116"/>
  <c r="M446" i="116"/>
  <c r="K649" i="116"/>
  <c r="G953" i="116"/>
  <c r="H645" i="116"/>
  <c r="I438" i="116"/>
  <c r="L436" i="116"/>
  <c r="O947" i="116"/>
  <c r="E641" i="116"/>
  <c r="D637" i="116"/>
  <c r="M430" i="116"/>
  <c r="H941" i="116"/>
  <c r="O939" i="116"/>
  <c r="M633" i="116"/>
  <c r="G937" i="116"/>
  <c r="L629" i="116"/>
  <c r="J421" i="116"/>
  <c r="I932" i="116"/>
  <c r="K417" i="116"/>
  <c r="J622" i="116"/>
  <c r="G926" i="116"/>
  <c r="M407" i="116"/>
  <c r="F612" i="116"/>
  <c r="G608" i="116"/>
  <c r="D911" i="116"/>
  <c r="D398" i="116"/>
  <c r="H599" i="116"/>
  <c r="G391" i="116"/>
  <c r="E595" i="116"/>
  <c r="E592" i="116"/>
  <c r="E383" i="116"/>
  <c r="N892" i="116"/>
  <c r="O379" i="116"/>
  <c r="E580" i="116"/>
  <c r="O884" i="116"/>
  <c r="H368" i="116"/>
  <c r="M367" i="116"/>
  <c r="O572" i="116"/>
  <c r="H363" i="116"/>
  <c r="I564" i="116"/>
  <c r="L868" i="116"/>
  <c r="M865" i="116"/>
  <c r="F352" i="116"/>
  <c r="F350" i="116"/>
  <c r="F348" i="116"/>
  <c r="N553" i="116"/>
  <c r="L344" i="116"/>
  <c r="F749" i="116"/>
  <c r="N1260" i="116"/>
  <c r="J229" i="116"/>
  <c r="I1247" i="116"/>
  <c r="L1244" i="116"/>
  <c r="O1239" i="116"/>
  <c r="M1234" i="116"/>
  <c r="J1232" i="116"/>
  <c r="L1230" i="116"/>
  <c r="O707" i="116"/>
  <c r="L1217" i="116"/>
  <c r="H691" i="116"/>
  <c r="F145" i="116"/>
  <c r="E593" i="116"/>
  <c r="I889" i="116"/>
  <c r="H156" i="116"/>
  <c r="D281" i="116"/>
  <c r="F43" i="116"/>
  <c r="H1152" i="116"/>
  <c r="K1148" i="116"/>
  <c r="D1132" i="116"/>
  <c r="I1126" i="116"/>
  <c r="H1116" i="116"/>
  <c r="F1003" i="116"/>
  <c r="E1094" i="116"/>
  <c r="M468" i="116"/>
  <c r="H464" i="116"/>
  <c r="N1080" i="116"/>
  <c r="H456" i="116"/>
  <c r="O1070" i="116"/>
  <c r="H1068" i="116"/>
  <c r="K446" i="116"/>
  <c r="L649" i="116"/>
  <c r="M953" i="116"/>
  <c r="L951" i="116"/>
  <c r="K436" i="116"/>
  <c r="N945" i="116"/>
  <c r="H943" i="116"/>
  <c r="I637" i="116"/>
  <c r="I428" i="116"/>
  <c r="F939" i="116"/>
  <c r="I937" i="116"/>
  <c r="L935" i="116"/>
  <c r="J629" i="116"/>
  <c r="F421" i="116"/>
  <c r="J930" i="116"/>
  <c r="L616" i="116"/>
  <c r="L612" i="116"/>
  <c r="N403" i="116"/>
  <c r="J607" i="116"/>
  <c r="J391" i="116"/>
  <c r="F596" i="116"/>
  <c r="O588" i="116"/>
  <c r="M892" i="116"/>
  <c r="H584" i="116"/>
  <c r="L580" i="116"/>
  <c r="F884" i="116"/>
  <c r="E368" i="116"/>
  <c r="L367" i="116"/>
  <c r="H876" i="116"/>
  <c r="K363" i="116"/>
  <c r="M359" i="116"/>
  <c r="G561" i="116"/>
  <c r="F865" i="116"/>
  <c r="M352" i="116"/>
  <c r="E350" i="116"/>
  <c r="L349" i="116"/>
  <c r="K348" i="116"/>
  <c r="I344" i="116"/>
  <c r="I749" i="116"/>
  <c r="E1260" i="116"/>
  <c r="F1247" i="116"/>
  <c r="K208" i="116"/>
  <c r="G1234" i="116"/>
  <c r="D707" i="116"/>
  <c r="O181" i="116"/>
  <c r="L1202" i="116"/>
  <c r="D171" i="116"/>
  <c r="I676" i="116"/>
  <c r="L1184" i="116"/>
  <c r="E1184" i="116"/>
  <c r="G144" i="116"/>
  <c r="E141" i="116"/>
  <c r="O1167" i="116"/>
  <c r="K140" i="116"/>
  <c r="F856" i="116"/>
  <c r="L291" i="116"/>
  <c r="K281" i="116"/>
  <c r="D756" i="116"/>
  <c r="J1160" i="116"/>
  <c r="D1152" i="116"/>
  <c r="D1116" i="116"/>
  <c r="I1003" i="116"/>
  <c r="G1098" i="116"/>
  <c r="L1094" i="116"/>
  <c r="K979" i="116"/>
  <c r="F1080" i="116"/>
  <c r="M460" i="116"/>
  <c r="N458" i="116"/>
  <c r="D456" i="116"/>
  <c r="D1068" i="116"/>
  <c r="I953" i="116"/>
  <c r="G951" i="116"/>
  <c r="J438" i="116"/>
  <c r="F641" i="116"/>
  <c r="J945" i="116"/>
  <c r="K943" i="116"/>
  <c r="E428" i="116"/>
  <c r="H633" i="116"/>
  <c r="E937" i="116"/>
  <c r="H935" i="116"/>
  <c r="O422" i="116"/>
  <c r="L930" i="116"/>
  <c r="I622" i="116"/>
  <c r="O616" i="116"/>
  <c r="J403" i="116"/>
  <c r="F607" i="116"/>
  <c r="M391" i="116"/>
  <c r="E892" i="116"/>
  <c r="O584" i="116"/>
  <c r="H580" i="116"/>
  <c r="D368" i="116"/>
  <c r="H367" i="116"/>
  <c r="K876" i="116"/>
  <c r="M568" i="116"/>
  <c r="E359" i="116"/>
  <c r="I865" i="116"/>
  <c r="H350" i="116"/>
  <c r="H349" i="116"/>
  <c r="G348" i="116"/>
  <c r="E749" i="116"/>
  <c r="H229" i="116"/>
  <c r="G737" i="116"/>
  <c r="G208" i="116"/>
  <c r="L1232" i="116"/>
  <c r="J1230" i="116"/>
  <c r="N702" i="116"/>
  <c r="E181" i="116"/>
  <c r="O1202" i="116"/>
  <c r="E676" i="116"/>
  <c r="G150" i="116"/>
  <c r="L141" i="116"/>
  <c r="L931" i="116"/>
  <c r="L840" i="116"/>
  <c r="M810" i="116"/>
  <c r="H79" i="116"/>
  <c r="D786" i="116"/>
  <c r="K762" i="116"/>
  <c r="O756" i="116"/>
  <c r="O1152" i="116"/>
  <c r="G1116" i="116"/>
  <c r="N1104" i="116"/>
  <c r="H1094" i="116"/>
  <c r="I472" i="116"/>
  <c r="N470" i="116"/>
  <c r="L1084" i="116"/>
  <c r="K464" i="116"/>
  <c r="D971" i="116"/>
  <c r="E458" i="116"/>
  <c r="O450" i="116"/>
  <c r="F448" i="116"/>
  <c r="E953" i="116"/>
  <c r="L438" i="116"/>
  <c r="O434" i="116"/>
  <c r="F945" i="116"/>
  <c r="G943" i="116"/>
  <c r="D428" i="116"/>
  <c r="L937" i="116"/>
  <c r="G935" i="116"/>
  <c r="I421" i="116"/>
  <c r="H930" i="116"/>
  <c r="E622" i="116"/>
  <c r="K616" i="116"/>
  <c r="I403" i="116"/>
  <c r="M607" i="116"/>
  <c r="F394" i="116"/>
  <c r="I391" i="116"/>
  <c r="O580" i="116"/>
  <c r="I884" i="116"/>
  <c r="O368" i="116"/>
  <c r="D367" i="116"/>
  <c r="H786" i="116"/>
  <c r="O464" i="116"/>
  <c r="G436" i="116"/>
  <c r="M421" i="116"/>
  <c r="E907" i="116"/>
  <c r="M884" i="116"/>
  <c r="I352" i="116"/>
  <c r="H344" i="116"/>
  <c r="D1244" i="116"/>
  <c r="K707" i="116"/>
  <c r="O171" i="116"/>
  <c r="H1184" i="116"/>
  <c r="K1167" i="116"/>
  <c r="J1231" i="116"/>
  <c r="H931" i="116"/>
  <c r="E1203" i="116"/>
  <c r="J816" i="116"/>
  <c r="I778" i="116"/>
  <c r="H774" i="116"/>
  <c r="K1152" i="116"/>
  <c r="F1148" i="116"/>
  <c r="N1140" i="116"/>
  <c r="F1130" i="116"/>
  <c r="J1124" i="116"/>
  <c r="N1108" i="116"/>
  <c r="D1094" i="116"/>
  <c r="E472" i="116"/>
  <c r="G470" i="116"/>
  <c r="O1084" i="116"/>
  <c r="G971" i="116"/>
  <c r="L458" i="116"/>
  <c r="G450" i="116"/>
  <c r="H446" i="116"/>
  <c r="N649" i="116"/>
  <c r="D438" i="116"/>
  <c r="I945" i="116"/>
  <c r="I430" i="116"/>
  <c r="O428" i="116"/>
  <c r="I633" i="116"/>
  <c r="H937" i="116"/>
  <c r="N422" i="116"/>
  <c r="E421" i="116"/>
  <c r="D930" i="116"/>
  <c r="H622" i="116"/>
  <c r="L916" i="116"/>
  <c r="E403" i="116"/>
  <c r="O607" i="116"/>
  <c r="M394" i="116"/>
  <c r="H391" i="116"/>
  <c r="N387" i="116"/>
  <c r="N588" i="116"/>
  <c r="K580" i="116"/>
  <c r="O881" i="116"/>
  <c r="K368" i="116"/>
  <c r="M572" i="116"/>
  <c r="N876" i="116"/>
  <c r="L568" i="116"/>
  <c r="H359" i="116"/>
  <c r="F564" i="116"/>
  <c r="N561" i="116"/>
  <c r="L352" i="116"/>
  <c r="K350" i="116"/>
  <c r="O344" i="116"/>
  <c r="H749" i="116"/>
  <c r="E1247" i="116"/>
  <c r="K1244" i="116"/>
  <c r="O1232" i="116"/>
  <c r="E1230" i="116"/>
  <c r="O1217" i="116"/>
  <c r="F702" i="116"/>
  <c r="L692" i="116"/>
  <c r="G1202" i="116"/>
  <c r="K673" i="116"/>
  <c r="O1184" i="116"/>
  <c r="J150" i="116"/>
  <c r="I144" i="116"/>
  <c r="D141" i="116"/>
  <c r="L652" i="116"/>
  <c r="K834" i="116"/>
  <c r="F816" i="116"/>
  <c r="G45" i="116"/>
  <c r="M1156" i="116"/>
  <c r="D480" i="116"/>
  <c r="G987" i="116"/>
  <c r="K1084" i="116"/>
  <c r="I462" i="116"/>
  <c r="H458" i="116"/>
  <c r="D1072" i="116"/>
  <c r="J452" i="116"/>
  <c r="O1064" i="116"/>
  <c r="D446" i="116"/>
  <c r="M649" i="116"/>
  <c r="F951" i="116"/>
  <c r="J436" i="116"/>
  <c r="E945" i="116"/>
  <c r="L430" i="116"/>
  <c r="K428" i="116"/>
  <c r="E633" i="116"/>
  <c r="D937" i="116"/>
  <c r="M422" i="116"/>
  <c r="L932" i="116"/>
  <c r="G930" i="116"/>
  <c r="H916" i="116"/>
  <c r="D403" i="116"/>
  <c r="O911" i="116"/>
  <c r="M596" i="116"/>
  <c r="F387" i="116"/>
  <c r="M383" i="116"/>
  <c r="J588" i="116"/>
  <c r="N379" i="116"/>
  <c r="N375" i="116"/>
  <c r="G368" i="116"/>
  <c r="I572" i="116"/>
  <c r="F876" i="116"/>
  <c r="H568" i="116"/>
  <c r="G359" i="116"/>
  <c r="H868" i="116"/>
  <c r="L865" i="116"/>
  <c r="H352" i="116"/>
  <c r="I863" i="116"/>
  <c r="G350" i="116"/>
  <c r="M553" i="116"/>
  <c r="K344" i="116"/>
  <c r="D749" i="116"/>
  <c r="N229" i="116"/>
  <c r="H1247" i="116"/>
  <c r="G1244" i="116"/>
  <c r="N208" i="116"/>
  <c r="H1230" i="116"/>
  <c r="M702" i="116"/>
  <c r="H692" i="116"/>
  <c r="I681" i="116"/>
  <c r="G673" i="116"/>
  <c r="K1184" i="116"/>
  <c r="E144" i="116"/>
  <c r="D1014" i="116"/>
  <c r="M1196" i="116"/>
  <c r="M1185" i="116"/>
  <c r="G798" i="116"/>
  <c r="F790" i="116"/>
  <c r="F772" i="116"/>
  <c r="G243" i="116"/>
  <c r="L1156" i="116"/>
  <c r="E1136" i="116"/>
  <c r="H1023" i="116"/>
  <c r="N488" i="116"/>
  <c r="I995" i="116"/>
  <c r="G480" i="116"/>
  <c r="G1084" i="116"/>
  <c r="I464" i="116"/>
  <c r="G462" i="116"/>
  <c r="O458" i="116"/>
  <c r="F452" i="116"/>
  <c r="M955" i="116"/>
  <c r="I649" i="116"/>
  <c r="E440" i="116"/>
  <c r="D645" i="116"/>
  <c r="N949" i="116"/>
  <c r="H947" i="116"/>
  <c r="N434" i="116"/>
  <c r="L945" i="116"/>
  <c r="J943" i="116"/>
  <c r="H430" i="116"/>
  <c r="K426" i="116"/>
  <c r="K631" i="116"/>
  <c r="N935" i="116"/>
  <c r="I422" i="116"/>
  <c r="K932" i="116"/>
  <c r="G417" i="116"/>
  <c r="N407" i="116"/>
  <c r="D916" i="116"/>
  <c r="O403" i="116"/>
  <c r="K911" i="116"/>
  <c r="E596" i="116"/>
  <c r="I387" i="116"/>
  <c r="H383" i="116"/>
  <c r="F588" i="116"/>
  <c r="J379" i="116"/>
  <c r="J375" i="116"/>
  <c r="H572" i="116"/>
  <c r="I876" i="116"/>
  <c r="D568" i="116"/>
  <c r="M564" i="116"/>
  <c r="O868" i="116"/>
  <c r="H865" i="116"/>
  <c r="D352" i="116"/>
  <c r="E863" i="116"/>
  <c r="G349" i="116"/>
  <c r="N348" i="116"/>
  <c r="I553" i="116"/>
  <c r="G344" i="116"/>
  <c r="L1260" i="116"/>
  <c r="F229" i="116"/>
  <c r="D1247" i="116"/>
  <c r="D1230" i="116"/>
  <c r="L702" i="116"/>
  <c r="N147" i="116"/>
  <c r="O141" i="116"/>
  <c r="K424" i="116"/>
  <c r="K1223" i="116"/>
  <c r="K1137" i="116"/>
  <c r="N1105" i="116"/>
  <c r="D1081" i="116"/>
  <c r="I894" i="116"/>
  <c r="E1263" i="116"/>
  <c r="O1080" i="116"/>
  <c r="J637" i="116"/>
  <c r="N141" i="116"/>
  <c r="J1247" i="116"/>
  <c r="L881" i="116"/>
  <c r="K403" i="116"/>
  <c r="O438" i="116"/>
  <c r="I1152" i="116"/>
  <c r="L111" i="116"/>
  <c r="J69" i="116"/>
  <c r="J349" i="116"/>
  <c r="N580" i="116"/>
  <c r="O629" i="116"/>
  <c r="O454" i="116"/>
  <c r="I198" i="116"/>
  <c r="O555" i="116"/>
  <c r="K129" i="116"/>
  <c r="J1096" i="116"/>
  <c r="D1167" i="116"/>
  <c r="H702" i="116"/>
  <c r="H629" i="116"/>
  <c r="J1248" i="116"/>
  <c r="J1173" i="116"/>
  <c r="J722" i="116"/>
  <c r="E1238" i="116"/>
  <c r="L1183" i="116"/>
  <c r="N654" i="116"/>
  <c r="K534" i="116"/>
  <c r="O530" i="116"/>
  <c r="N522" i="116"/>
  <c r="I514" i="116"/>
  <c r="N494" i="116"/>
  <c r="N490" i="116"/>
  <c r="M486" i="116"/>
  <c r="M626" i="116"/>
  <c r="M907" i="116"/>
  <c r="N577" i="116"/>
  <c r="K561" i="116"/>
  <c r="D729" i="116"/>
  <c r="I715" i="116"/>
  <c r="E699" i="116"/>
  <c r="K652" i="116"/>
  <c r="M958" i="116"/>
  <c r="I967" i="116"/>
  <c r="E1174" i="116"/>
  <c r="H1145" i="116"/>
  <c r="K1121" i="116"/>
  <c r="H1085" i="116"/>
  <c r="G870" i="116"/>
  <c r="E1187" i="116"/>
  <c r="E1100" i="116"/>
  <c r="O63" i="116"/>
  <c r="F550" i="116"/>
  <c r="L610" i="116"/>
  <c r="M570" i="116"/>
  <c r="E673" i="116"/>
  <c r="H707" i="116"/>
  <c r="O348" i="116"/>
  <c r="D865" i="116"/>
  <c r="H596" i="116"/>
  <c r="I417" i="116"/>
  <c r="I941" i="116"/>
  <c r="J645" i="116"/>
  <c r="E454" i="116"/>
  <c r="O468" i="116"/>
  <c r="L31" i="116"/>
  <c r="I327" i="116"/>
  <c r="N1235" i="116"/>
  <c r="D1203" i="116"/>
  <c r="J1200" i="116"/>
  <c r="H1167" i="116"/>
  <c r="G141" i="116"/>
  <c r="I1184" i="116"/>
  <c r="M673" i="116"/>
  <c r="G171" i="116"/>
  <c r="M1202" i="116"/>
  <c r="J702" i="116"/>
  <c r="H194" i="116"/>
  <c r="N1232" i="116"/>
  <c r="G1247" i="116"/>
  <c r="D229" i="116"/>
  <c r="K749" i="116"/>
  <c r="D348" i="116"/>
  <c r="N352" i="116"/>
  <c r="K564" i="116"/>
  <c r="E568" i="116"/>
  <c r="G572" i="116"/>
  <c r="F881" i="116"/>
  <c r="G379" i="116"/>
  <c r="D592" i="116"/>
  <c r="L596" i="116"/>
  <c r="M417" i="116"/>
  <c r="M434" i="116"/>
  <c r="O955" i="116"/>
  <c r="I454" i="116"/>
  <c r="L460" i="116"/>
  <c r="H1086" i="116"/>
  <c r="E991" i="116"/>
  <c r="E995" i="116"/>
  <c r="G810" i="116"/>
  <c r="M327" i="116"/>
  <c r="L680" i="116"/>
  <c r="I143" i="116"/>
  <c r="K1229" i="116"/>
  <c r="K1153" i="116"/>
  <c r="K1133" i="116"/>
  <c r="H1097" i="116"/>
  <c r="M902" i="116"/>
  <c r="G878" i="116"/>
  <c r="O1233" i="116"/>
  <c r="N1088" i="116"/>
  <c r="K1202" i="116"/>
  <c r="J749" i="116"/>
  <c r="F572" i="116"/>
  <c r="K596" i="116"/>
  <c r="G629" i="116"/>
  <c r="O115" i="116"/>
  <c r="N123" i="116"/>
  <c r="J99" i="116"/>
  <c r="H87" i="116"/>
  <c r="N51" i="116"/>
  <c r="E631" i="116"/>
  <c r="O595" i="116"/>
  <c r="G707" i="116"/>
  <c r="I881" i="116"/>
  <c r="I426" i="116"/>
  <c r="L999" i="116"/>
  <c r="O967" i="116"/>
  <c r="I1202" i="116"/>
  <c r="N349" i="116"/>
  <c r="G564" i="116"/>
  <c r="M584" i="116"/>
  <c r="H407" i="116"/>
  <c r="J426" i="116"/>
  <c r="I434" i="116"/>
  <c r="H460" i="116"/>
  <c r="M1100" i="116"/>
  <c r="D844" i="116"/>
  <c r="H1254" i="116"/>
  <c r="G684" i="116"/>
  <c r="I1167" i="116"/>
  <c r="K141" i="116"/>
  <c r="M1184" i="116"/>
  <c r="N673" i="116"/>
  <c r="H171" i="116"/>
  <c r="F1202" i="116"/>
  <c r="L194" i="116"/>
  <c r="G1239" i="116"/>
  <c r="K1247" i="116"/>
  <c r="I1260" i="116"/>
  <c r="O749" i="116"/>
  <c r="H348" i="116"/>
  <c r="O564" i="116"/>
  <c r="O363" i="116"/>
  <c r="K572" i="116"/>
  <c r="J881" i="116"/>
  <c r="M580" i="116"/>
  <c r="K379" i="116"/>
  <c r="L588" i="116"/>
  <c r="L592" i="116"/>
  <c r="G398" i="116"/>
  <c r="F417" i="116"/>
  <c r="H421" i="116"/>
  <c r="G426" i="116"/>
  <c r="F434" i="116"/>
  <c r="O436" i="116"/>
  <c r="F953" i="116"/>
  <c r="E955" i="116"/>
  <c r="J1072" i="116"/>
  <c r="L464" i="116"/>
  <c r="J1003" i="116"/>
  <c r="G1023" i="116"/>
  <c r="O1148" i="116"/>
  <c r="G780" i="116"/>
  <c r="O822" i="116"/>
  <c r="O109" i="116"/>
  <c r="F327" i="116"/>
  <c r="M1176" i="116"/>
  <c r="K1117" i="116"/>
  <c r="F1073" i="116"/>
  <c r="N918" i="116"/>
  <c r="F886" i="116"/>
  <c r="D1171" i="116"/>
  <c r="N456" i="116"/>
  <c r="H673" i="116"/>
  <c r="M349" i="116"/>
  <c r="L584" i="116"/>
  <c r="D426" i="116"/>
  <c r="M1080" i="116"/>
  <c r="N105" i="116"/>
  <c r="O93" i="116"/>
  <c r="L57" i="116"/>
  <c r="K647" i="116"/>
  <c r="D603" i="116"/>
  <c r="E1202" i="116"/>
  <c r="E352" i="116"/>
  <c r="H892" i="116"/>
  <c r="L1088" i="116"/>
  <c r="L327" i="116"/>
  <c r="I578" i="116"/>
  <c r="F1232" i="116"/>
  <c r="J352" i="116"/>
  <c r="M881" i="116"/>
  <c r="G592" i="116"/>
  <c r="M916" i="116"/>
  <c r="O637" i="116"/>
  <c r="K955" i="116"/>
  <c r="L502" i="116"/>
  <c r="F1167" i="116"/>
  <c r="M144" i="116"/>
  <c r="F1184" i="116"/>
  <c r="I171" i="116"/>
  <c r="J1202" i="116"/>
  <c r="E194" i="116"/>
  <c r="K1239" i="116"/>
  <c r="O1247" i="116"/>
  <c r="M1260" i="116"/>
  <c r="D344" i="116"/>
  <c r="L348" i="116"/>
  <c r="D350" i="116"/>
  <c r="E868" i="116"/>
  <c r="D564" i="116"/>
  <c r="I363" i="116"/>
  <c r="E367" i="116"/>
  <c r="N881" i="116"/>
  <c r="H375" i="116"/>
  <c r="E379" i="116"/>
  <c r="I588" i="116"/>
  <c r="G387" i="116"/>
  <c r="K398" i="116"/>
  <c r="G916" i="116"/>
  <c r="E616" i="116"/>
  <c r="J417" i="116"/>
  <c r="D422" i="116"/>
  <c r="M935" i="116"/>
  <c r="K941" i="116"/>
  <c r="L943" i="116"/>
  <c r="H436" i="116"/>
  <c r="O645" i="116"/>
  <c r="I955" i="116"/>
  <c r="L452" i="116"/>
  <c r="D1082" i="116"/>
  <c r="L492" i="116"/>
  <c r="L1120" i="116"/>
  <c r="N1043" i="116"/>
  <c r="G265" i="116"/>
  <c r="J824" i="116"/>
  <c r="E975" i="116"/>
  <c r="H141" i="116"/>
  <c r="H144" i="116"/>
  <c r="D1184" i="116"/>
  <c r="F163" i="116"/>
  <c r="L181" i="116"/>
  <c r="N1217" i="116"/>
  <c r="F1234" i="116"/>
  <c r="I1255" i="116"/>
  <c r="L749" i="116"/>
  <c r="D553" i="116"/>
  <c r="D349" i="116"/>
  <c r="K868" i="116"/>
  <c r="J359" i="116"/>
  <c r="I612" i="116"/>
  <c r="N926" i="116"/>
  <c r="E932" i="116"/>
  <c r="K939" i="116"/>
  <c r="F637" i="116"/>
  <c r="I432" i="116"/>
  <c r="F947" i="116"/>
  <c r="M951" i="116"/>
  <c r="H1064" i="116"/>
  <c r="D450" i="116"/>
  <c r="N468" i="116"/>
  <c r="K1092" i="116"/>
  <c r="N999" i="116"/>
  <c r="O37" i="116"/>
  <c r="D798" i="116"/>
  <c r="G159" i="116"/>
  <c r="J141" i="116"/>
  <c r="L144" i="116"/>
  <c r="D673" i="116"/>
  <c r="N163" i="116"/>
  <c r="G702" i="116"/>
  <c r="E1232" i="116"/>
  <c r="J1234" i="116"/>
  <c r="O1244" i="116"/>
  <c r="M1255" i="116"/>
  <c r="M749" i="116"/>
  <c r="H553" i="116"/>
  <c r="E349" i="116"/>
  <c r="L863" i="116"/>
  <c r="J564" i="116"/>
  <c r="L876" i="116"/>
  <c r="G884" i="116"/>
  <c r="O892" i="116"/>
  <c r="G596" i="116"/>
  <c r="H608" i="116"/>
  <c r="M612" i="116"/>
  <c r="F932" i="116"/>
  <c r="M939" i="116"/>
  <c r="N947" i="116"/>
  <c r="F440" i="116"/>
  <c r="L1064" i="116"/>
  <c r="N450" i="116"/>
  <c r="L1080" i="116"/>
  <c r="D1100" i="116"/>
  <c r="G1027" i="116"/>
  <c r="G1144" i="116"/>
  <c r="E1162" i="116"/>
  <c r="G786" i="116"/>
  <c r="L121" i="116"/>
  <c r="F129" i="116"/>
  <c r="L558" i="116"/>
  <c r="L122" i="116"/>
  <c r="J963" i="116"/>
  <c r="H959" i="116"/>
  <c r="G967" i="116"/>
  <c r="E257" i="116"/>
  <c r="J271" i="116"/>
  <c r="H961" i="116"/>
  <c r="J147" i="116"/>
  <c r="K702" i="116"/>
  <c r="I1232" i="116"/>
  <c r="I229" i="116"/>
  <c r="G865" i="116"/>
  <c r="H884" i="116"/>
  <c r="D892" i="116"/>
  <c r="G407" i="116"/>
  <c r="N440" i="116"/>
  <c r="N1064" i="116"/>
  <c r="K1027" i="116"/>
  <c r="J788" i="116"/>
  <c r="L347" i="116"/>
  <c r="O821" i="116"/>
  <c r="D117" i="116"/>
  <c r="M75" i="116"/>
  <c r="J987" i="116"/>
  <c r="G1167" i="116"/>
  <c r="L673" i="116"/>
  <c r="D702" i="116"/>
  <c r="M1232" i="116"/>
  <c r="M229" i="116"/>
  <c r="G553" i="116"/>
  <c r="O865" i="116"/>
  <c r="I872" i="116"/>
  <c r="E584" i="116"/>
  <c r="O596" i="116"/>
  <c r="L398" i="116"/>
  <c r="O407" i="116"/>
  <c r="G932" i="116"/>
  <c r="E635" i="116"/>
  <c r="D434" i="116"/>
  <c r="F645" i="116"/>
  <c r="O456" i="116"/>
  <c r="G460" i="116"/>
  <c r="K468" i="116"/>
  <c r="I1100" i="116"/>
  <c r="H1128" i="116"/>
  <c r="N277" i="116"/>
  <c r="O844" i="116"/>
  <c r="K1224" i="116"/>
  <c r="J1167" i="116"/>
  <c r="J1184" i="116"/>
  <c r="O673" i="116"/>
  <c r="M171" i="116"/>
  <c r="H1217" i="116"/>
  <c r="K1230" i="116"/>
  <c r="D1232" i="116"/>
  <c r="J729" i="116"/>
  <c r="M1247" i="116"/>
  <c r="F1260" i="116"/>
  <c r="F344" i="116"/>
  <c r="M348" i="116"/>
  <c r="I350" i="116"/>
  <c r="G352" i="116"/>
  <c r="J868" i="116"/>
  <c r="L564" i="116"/>
  <c r="J363" i="116"/>
  <c r="I367" i="116"/>
  <c r="L375" i="116"/>
  <c r="M588" i="116"/>
  <c r="H387" i="116"/>
  <c r="O599" i="116"/>
  <c r="N911" i="116"/>
  <c r="O916" i="116"/>
  <c r="K619" i="116"/>
  <c r="H422" i="116"/>
  <c r="F424" i="116"/>
  <c r="J939" i="116"/>
  <c r="O941" i="116"/>
  <c r="F432" i="116"/>
  <c r="O643" i="116"/>
  <c r="K448" i="116"/>
  <c r="E452" i="116"/>
  <c r="K1076" i="116"/>
  <c r="E466" i="116"/>
  <c r="H472" i="116"/>
  <c r="G766" i="116"/>
  <c r="O265" i="116"/>
  <c r="N313" i="116"/>
  <c r="N1167" i="116"/>
  <c r="K144" i="116"/>
  <c r="N1184" i="116"/>
  <c r="M676" i="116"/>
  <c r="F171" i="116"/>
  <c r="E1217" i="116"/>
  <c r="O1230" i="116"/>
  <c r="K1234" i="116"/>
  <c r="I1244" i="116"/>
  <c r="J1260" i="116"/>
  <c r="J348" i="116"/>
  <c r="M350" i="116"/>
  <c r="K352" i="116"/>
  <c r="N868" i="116"/>
  <c r="E564" i="116"/>
  <c r="N363" i="116"/>
  <c r="J367" i="116"/>
  <c r="E375" i="116"/>
  <c r="G383" i="116"/>
  <c r="L387" i="116"/>
  <c r="D599" i="116"/>
  <c r="N607" i="116"/>
  <c r="D619" i="116"/>
  <c r="L422" i="116"/>
  <c r="J424" i="116"/>
  <c r="N939" i="116"/>
  <c r="E949" i="116"/>
  <c r="E442" i="116"/>
  <c r="D448" i="116"/>
  <c r="M452" i="116"/>
  <c r="H1076" i="116"/>
  <c r="L472" i="116"/>
  <c r="G1035" i="116"/>
  <c r="H255" i="116"/>
  <c r="O49" i="116"/>
  <c r="E281" i="116"/>
  <c r="H910" i="116"/>
  <c r="O144" i="116"/>
  <c r="D676" i="116"/>
  <c r="J171" i="116"/>
  <c r="J694" i="116"/>
  <c r="I1217" i="116"/>
  <c r="I1230" i="116"/>
  <c r="O1234" i="116"/>
  <c r="J1244" i="116"/>
  <c r="D224" i="116"/>
  <c r="J350" i="116"/>
  <c r="E865" i="116"/>
  <c r="L359" i="116"/>
  <c r="J884" i="116"/>
  <c r="M375" i="116"/>
  <c r="F892" i="116"/>
  <c r="K383" i="116"/>
  <c r="E599" i="116"/>
  <c r="H926" i="116"/>
  <c r="N424" i="116"/>
  <c r="F949" i="116"/>
  <c r="E951" i="116"/>
  <c r="N442" i="116"/>
  <c r="O446" i="116"/>
  <c r="L448" i="116"/>
  <c r="I456" i="116"/>
  <c r="I1076" i="116"/>
  <c r="F1088" i="116"/>
  <c r="F1092" i="116"/>
  <c r="K1104" i="116"/>
  <c r="L1112" i="116"/>
  <c r="E1132" i="116"/>
  <c r="M772" i="116"/>
  <c r="I281" i="116"/>
  <c r="F360" i="116"/>
  <c r="M621" i="116"/>
  <c r="E919" i="116"/>
  <c r="E399" i="116"/>
  <c r="N903" i="116"/>
  <c r="N895" i="116"/>
  <c r="K887" i="116"/>
  <c r="O879" i="116"/>
  <c r="L871" i="116"/>
  <c r="E351" i="116"/>
  <c r="J734" i="116"/>
  <c r="E189" i="116"/>
  <c r="J689" i="116"/>
  <c r="D1172" i="116"/>
  <c r="N850" i="116"/>
  <c r="M844" i="116"/>
  <c r="F838" i="116"/>
  <c r="E832" i="116"/>
  <c r="E826" i="116"/>
  <c r="I820" i="116"/>
  <c r="N814" i="116"/>
  <c r="D808" i="116"/>
  <c r="K802" i="116"/>
  <c r="D763" i="116"/>
  <c r="G180" i="116"/>
  <c r="J124" i="116"/>
  <c r="M112" i="116"/>
  <c r="M40" i="116"/>
  <c r="H33" i="116"/>
  <c r="L228" i="116"/>
  <c r="E196" i="116"/>
  <c r="O231" i="116"/>
  <c r="O215" i="116"/>
  <c r="J1031" i="116"/>
  <c r="M1027" i="116"/>
  <c r="G959" i="116"/>
  <c r="C11" i="13"/>
  <c r="H11" i="13"/>
  <c r="G9" i="13"/>
  <c r="L9" i="13"/>
  <c r="L8" i="13" s="1"/>
  <c r="C9" i="13"/>
  <c r="H9" i="13"/>
  <c r="H8" i="13" s="1"/>
  <c r="N11" i="13"/>
  <c r="N10" i="13" s="1"/>
  <c r="D9" i="13"/>
  <c r="D8" i="13" s="1"/>
  <c r="F11" i="13"/>
  <c r="F10" i="13" s="1"/>
  <c r="K959" i="116"/>
  <c r="H257" i="116"/>
  <c r="J270" i="116"/>
  <c r="I11" i="13"/>
  <c r="I983" i="116"/>
  <c r="M971" i="116"/>
  <c r="N983" i="116"/>
  <c r="E986" i="116"/>
  <c r="L975" i="116"/>
  <c r="K967" i="116"/>
  <c r="H7" i="116"/>
  <c r="I257" i="116"/>
  <c r="I958" i="116"/>
  <c r="O959" i="116"/>
  <c r="G976" i="116"/>
  <c r="N959" i="116"/>
  <c r="E967" i="116"/>
  <c r="I971" i="116"/>
  <c r="O271" i="116"/>
  <c r="F982" i="116"/>
  <c r="M271" i="116"/>
  <c r="F963" i="116"/>
  <c r="M963" i="116"/>
  <c r="M967" i="116"/>
  <c r="D959" i="116"/>
  <c r="O963" i="116"/>
  <c r="M965" i="116"/>
  <c r="N498" i="116"/>
  <c r="H967" i="116"/>
  <c r="J967" i="116"/>
  <c r="D11" i="38"/>
  <c r="N2" i="72"/>
  <c r="J18" i="13"/>
  <c r="O482" i="116"/>
  <c r="N478" i="116"/>
  <c r="O975" i="116"/>
  <c r="M975" i="116"/>
  <c r="K963" i="116"/>
  <c r="D961" i="116"/>
  <c r="D12" i="38"/>
  <c r="G983" i="116"/>
  <c r="G963" i="116"/>
  <c r="O983" i="116"/>
  <c r="M959" i="116"/>
  <c r="H983" i="116"/>
  <c r="I975" i="116"/>
  <c r="I987" i="116"/>
  <c r="I18" i="13"/>
  <c r="C15" i="9"/>
  <c r="O961" i="116"/>
  <c r="J975" i="116"/>
  <c r="N975" i="116"/>
  <c r="E987" i="116"/>
  <c r="F959" i="116"/>
  <c r="D963" i="116"/>
  <c r="L971" i="116"/>
  <c r="M987" i="116"/>
  <c r="I963" i="116"/>
  <c r="N963" i="116"/>
  <c r="F975" i="116"/>
  <c r="K983" i="116"/>
  <c r="D983" i="116"/>
  <c r="K975" i="116"/>
  <c r="J959" i="116"/>
  <c r="E963" i="116"/>
  <c r="D975" i="116"/>
  <c r="E971" i="116"/>
  <c r="H975" i="116"/>
  <c r="D902" i="116"/>
  <c r="E425" i="116"/>
  <c r="N463" i="116"/>
  <c r="J998" i="116"/>
  <c r="H1010" i="116"/>
  <c r="E244" i="116"/>
  <c r="O294" i="116"/>
  <c r="E304" i="116"/>
  <c r="E9" i="13"/>
  <c r="E8" i="13" s="1"/>
  <c r="G11" i="13"/>
  <c r="G10" i="13" s="1"/>
  <c r="D25" i="9"/>
  <c r="D19" i="9"/>
  <c r="D30" i="9"/>
  <c r="L19" i="13"/>
  <c r="C17" i="9"/>
  <c r="C31" i="9"/>
  <c r="D27" i="9"/>
  <c r="C23" i="38"/>
  <c r="D37" i="38"/>
  <c r="AH15" i="8"/>
  <c r="AH6" i="8"/>
  <c r="X6" i="8"/>
  <c r="AH11" i="8"/>
  <c r="AF9" i="8"/>
  <c r="AI8" i="8"/>
  <c r="Y12" i="8"/>
  <c r="AG15" i="8"/>
  <c r="AG5" i="8"/>
  <c r="BN7" i="8" s="1"/>
  <c r="Z15" i="8"/>
  <c r="X10" i="8"/>
  <c r="AF15" i="8"/>
  <c r="AC6" i="8"/>
  <c r="AC15" i="8"/>
  <c r="AC9" i="8"/>
  <c r="AH9" i="8"/>
  <c r="AG11" i="8"/>
  <c r="AA12" i="8"/>
  <c r="AI13" i="8"/>
  <c r="AD12" i="8"/>
  <c r="AC8" i="8"/>
  <c r="Y6" i="8"/>
  <c r="AI14" i="8"/>
  <c r="AI11" i="8"/>
  <c r="AA5" i="8"/>
  <c r="BH7" i="8" s="1"/>
  <c r="X13" i="8"/>
  <c r="AH16" i="8"/>
  <c r="AC7" i="8"/>
  <c r="AF13" i="8"/>
  <c r="AB7" i="8"/>
  <c r="AD5" i="8"/>
  <c r="BK7" i="8" s="1"/>
  <c r="X7" i="8"/>
  <c r="Z9" i="8"/>
  <c r="AF14" i="8"/>
  <c r="AH14" i="8"/>
  <c r="Z16" i="8"/>
  <c r="AH13" i="8"/>
  <c r="AD9" i="8"/>
  <c r="AD15" i="8"/>
  <c r="AH12" i="8"/>
  <c r="AB11" i="8"/>
  <c r="X9" i="8"/>
  <c r="Y8" i="8"/>
  <c r="AD13" i="8"/>
  <c r="AB13" i="8"/>
  <c r="AE16" i="8"/>
  <c r="AI9" i="8"/>
  <c r="AG13" i="8"/>
  <c r="AG14" i="8"/>
  <c r="AF5" i="8"/>
  <c r="BM7" i="8" s="1"/>
  <c r="AF10" i="8"/>
  <c r="AA10" i="8"/>
  <c r="Z10" i="8"/>
  <c r="AG7" i="8"/>
  <c r="Z14" i="8"/>
  <c r="AD14" i="8"/>
  <c r="AA8" i="8"/>
  <c r="AE5" i="8"/>
  <c r="BL7" i="8" s="1"/>
  <c r="Y10" i="8"/>
  <c r="AB5" i="8"/>
  <c r="BI7" i="8" s="1"/>
  <c r="AG6" i="8"/>
  <c r="AH7" i="8"/>
  <c r="AE10" i="8"/>
  <c r="AC11" i="8"/>
  <c r="X15" i="8"/>
  <c r="Z6" i="8"/>
  <c r="AF6" i="8"/>
  <c r="AC16" i="8"/>
  <c r="AE9" i="8"/>
  <c r="Z8" i="8"/>
  <c r="Z12" i="8"/>
  <c r="Y9" i="8"/>
  <c r="AD11" i="8"/>
  <c r="AF11" i="8"/>
  <c r="AD16" i="8"/>
  <c r="AF12" i="8"/>
  <c r="X11" i="8"/>
  <c r="AA13" i="8"/>
  <c r="Z5" i="8"/>
  <c r="BG7" i="8" s="1"/>
  <c r="AG10" i="8"/>
  <c r="AB16" i="8"/>
  <c r="Z11" i="8"/>
  <c r="Y13" i="8"/>
  <c r="AC13" i="8"/>
  <c r="AE7" i="8"/>
  <c r="AD8" i="8"/>
  <c r="AB15" i="8"/>
  <c r="Z7" i="8"/>
  <c r="AH8" i="8"/>
  <c r="AC10" i="8"/>
  <c r="X12" i="8"/>
  <c r="AI10" i="8"/>
  <c r="AE14" i="8"/>
  <c r="X5" i="8"/>
  <c r="BE7" i="8" s="1"/>
  <c r="X14" i="8"/>
  <c r="AC5" i="8"/>
  <c r="BJ7" i="8" s="1"/>
  <c r="Y16" i="8"/>
  <c r="AA14" i="8"/>
  <c r="AE6" i="8"/>
  <c r="AI16" i="8"/>
  <c r="X8" i="8"/>
  <c r="AD10" i="8"/>
  <c r="AB9" i="8"/>
  <c r="AI7" i="8"/>
  <c r="AI6" i="8"/>
  <c r="AC12" i="8"/>
  <c r="AB14" i="8"/>
  <c r="AG9" i="8"/>
  <c r="AH5" i="8"/>
  <c r="BO7" i="8" s="1"/>
  <c r="AE13" i="8"/>
  <c r="AI5" i="8"/>
  <c r="BP7" i="8" s="1"/>
  <c r="AB6" i="8"/>
  <c r="AB8" i="8"/>
  <c r="AE8" i="8"/>
  <c r="AA11" i="8"/>
  <c r="X16" i="8"/>
  <c r="AA7" i="8"/>
  <c r="AD7" i="8"/>
  <c r="Z13" i="8"/>
  <c r="G9" i="116"/>
  <c r="H8" i="116"/>
  <c r="F228" i="116"/>
  <c r="D1253" i="116"/>
  <c r="H735" i="116"/>
  <c r="O727" i="116"/>
  <c r="M1237" i="116"/>
  <c r="K196" i="116"/>
  <c r="L1222" i="116"/>
  <c r="O191" i="116"/>
  <c r="D696" i="116"/>
  <c r="G693" i="116"/>
  <c r="F1197" i="116"/>
  <c r="G679" i="116"/>
  <c r="M161" i="116"/>
  <c r="I149" i="116"/>
  <c r="K139" i="116"/>
  <c r="M231" i="116"/>
  <c r="N1246" i="116"/>
  <c r="L215" i="116"/>
  <c r="M728" i="116"/>
  <c r="I1219" i="116"/>
  <c r="F1219" i="116"/>
  <c r="N188" i="116"/>
  <c r="K1205" i="116"/>
  <c r="G690" i="116"/>
  <c r="F1192" i="116"/>
  <c r="I1189" i="116"/>
  <c r="F158" i="116"/>
  <c r="D665" i="116"/>
  <c r="G660" i="116"/>
  <c r="I1170" i="116"/>
  <c r="M933" i="116"/>
  <c r="I625" i="116"/>
  <c r="E929" i="116"/>
  <c r="G416" i="116"/>
  <c r="G620" i="116"/>
  <c r="G411" i="116"/>
  <c r="H410" i="116"/>
  <c r="J919" i="116"/>
  <c r="J8" i="116"/>
  <c r="D7" i="116"/>
  <c r="O1253" i="116"/>
  <c r="O222" i="116"/>
  <c r="K735" i="116"/>
  <c r="K727" i="116"/>
  <c r="L1237" i="116"/>
  <c r="G196" i="116"/>
  <c r="O1222" i="116"/>
  <c r="K191" i="116"/>
  <c r="O696" i="116"/>
  <c r="M1197" i="116"/>
  <c r="I161" i="116"/>
  <c r="I662" i="116"/>
  <c r="N659" i="116"/>
  <c r="G139" i="116"/>
  <c r="I231" i="116"/>
  <c r="N744" i="116"/>
  <c r="J1246" i="116"/>
  <c r="H215" i="116"/>
  <c r="I728" i="116"/>
  <c r="E1219" i="116"/>
  <c r="M188" i="116"/>
  <c r="J188" i="116"/>
  <c r="G1205" i="116"/>
  <c r="N690" i="116"/>
  <c r="K7" i="116"/>
  <c r="J7" i="116"/>
  <c r="K234" i="116"/>
  <c r="G1253" i="116"/>
  <c r="G222" i="116"/>
  <c r="L1245" i="116"/>
  <c r="D1237" i="116"/>
  <c r="F196" i="116"/>
  <c r="G1222" i="116"/>
  <c r="L704" i="116"/>
  <c r="G696" i="116"/>
  <c r="J693" i="116"/>
  <c r="J174" i="116"/>
  <c r="O682" i="116"/>
  <c r="F679" i="116"/>
  <c r="K671" i="116"/>
  <c r="L662" i="116"/>
  <c r="F659" i="116"/>
  <c r="L136" i="116"/>
  <c r="L231" i="116"/>
  <c r="F744" i="116"/>
  <c r="I1246" i="116"/>
  <c r="H728" i="116"/>
  <c r="L1238" i="116"/>
  <c r="J709" i="116"/>
  <c r="H1219" i="116"/>
  <c r="E188" i="116"/>
  <c r="M701" i="116"/>
  <c r="N1205" i="116"/>
  <c r="F690" i="116"/>
  <c r="E169" i="116"/>
  <c r="O1189" i="116"/>
  <c r="H1189" i="116"/>
  <c r="E7" i="116"/>
  <c r="K9" i="116"/>
  <c r="L7" i="116"/>
  <c r="I9" i="116"/>
  <c r="G228" i="116"/>
  <c r="M1253" i="116"/>
  <c r="L222" i="116"/>
  <c r="L727" i="116"/>
  <c r="N1237" i="116"/>
  <c r="I717" i="116"/>
  <c r="M1222" i="116"/>
  <c r="I191" i="116"/>
  <c r="I183" i="116"/>
  <c r="E696" i="116"/>
  <c r="O174" i="116"/>
  <c r="N687" i="116"/>
  <c r="D679" i="116"/>
  <c r="G161" i="116"/>
  <c r="J149" i="116"/>
  <c r="K659" i="116"/>
  <c r="N231" i="116"/>
  <c r="K744" i="116"/>
  <c r="O223" i="116"/>
  <c r="M215" i="116"/>
  <c r="N728" i="116"/>
  <c r="O709" i="116"/>
  <c r="H709" i="116"/>
  <c r="G188" i="116"/>
  <c r="N695" i="116"/>
  <c r="L1205" i="116"/>
  <c r="D690" i="116"/>
  <c r="O1192" i="116"/>
  <c r="J1189" i="116"/>
  <c r="G152" i="116"/>
  <c r="E1175" i="116"/>
  <c r="H660" i="116"/>
  <c r="N1170" i="116"/>
  <c r="J625" i="116"/>
  <c r="F929" i="116"/>
  <c r="D416" i="116"/>
  <c r="D620" i="116"/>
  <c r="D411" i="116"/>
  <c r="I410" i="116"/>
  <c r="K919" i="116"/>
  <c r="E9" i="116"/>
  <c r="M9" i="116"/>
  <c r="K1253" i="116"/>
  <c r="I222" i="116"/>
  <c r="G727" i="116"/>
  <c r="N204" i="116"/>
  <c r="E1222" i="116"/>
  <c r="L1214" i="116"/>
  <c r="K693" i="116"/>
  <c r="N174" i="116"/>
  <c r="L679" i="116"/>
  <c r="N161" i="116"/>
  <c r="O662" i="116"/>
  <c r="O659" i="116"/>
  <c r="H231" i="116"/>
  <c r="H223" i="116"/>
  <c r="L728" i="116"/>
  <c r="E199" i="116"/>
  <c r="D709" i="116"/>
  <c r="L188" i="116"/>
  <c r="F1211" i="116"/>
  <c r="J690" i="116"/>
  <c r="D166" i="116"/>
  <c r="F1189" i="116"/>
  <c r="M158" i="116"/>
  <c r="M660" i="116"/>
  <c r="G1170" i="116"/>
  <c r="F625" i="116"/>
  <c r="L929" i="116"/>
  <c r="J416" i="116"/>
  <c r="F410" i="116"/>
  <c r="G919" i="116"/>
  <c r="M611" i="116"/>
  <c r="N915" i="116"/>
  <c r="I402" i="116"/>
  <c r="K604" i="116"/>
  <c r="K395" i="116"/>
  <c r="J904" i="116"/>
  <c r="I390" i="116"/>
  <c r="G591" i="116"/>
  <c r="N587" i="116"/>
  <c r="E891" i="116"/>
  <c r="F378" i="116"/>
  <c r="I887" i="116"/>
  <c r="N579" i="116"/>
  <c r="H883" i="116"/>
  <c r="I8" i="116"/>
  <c r="L9" i="116"/>
  <c r="E222" i="116"/>
  <c r="F717" i="116"/>
  <c r="K1222" i="116"/>
  <c r="H1214" i="116"/>
  <c r="I174" i="116"/>
  <c r="H679" i="116"/>
  <c r="E161" i="116"/>
  <c r="K662" i="116"/>
  <c r="G659" i="116"/>
  <c r="L744" i="116"/>
  <c r="D223" i="116"/>
  <c r="D728" i="116"/>
  <c r="H712" i="116"/>
  <c r="M1219" i="116"/>
  <c r="H188" i="116"/>
  <c r="F695" i="116"/>
  <c r="M690" i="116"/>
  <c r="H1192" i="116"/>
  <c r="M1189" i="116"/>
  <c r="I158" i="116"/>
  <c r="I660" i="116"/>
  <c r="M625" i="116"/>
  <c r="H929" i="116"/>
  <c r="F416" i="116"/>
  <c r="E411" i="116"/>
  <c r="M410" i="116"/>
  <c r="I611" i="116"/>
  <c r="J915" i="116"/>
  <c r="E402" i="116"/>
  <c r="N912" i="116"/>
  <c r="G604" i="116"/>
  <c r="G395" i="116"/>
  <c r="F904" i="116"/>
  <c r="E390" i="116"/>
  <c r="E895" i="116"/>
  <c r="J587" i="116"/>
  <c r="N8" i="116"/>
  <c r="F7" i="116"/>
  <c r="H222" i="116"/>
  <c r="F727" i="116"/>
  <c r="M717" i="116"/>
  <c r="M183" i="116"/>
  <c r="N693" i="116"/>
  <c r="E174" i="116"/>
  <c r="O679" i="116"/>
  <c r="G662" i="116"/>
  <c r="I139" i="116"/>
  <c r="H744" i="116"/>
  <c r="K736" i="116"/>
  <c r="O728" i="116"/>
  <c r="K709" i="116"/>
  <c r="L1219" i="116"/>
  <c r="D188" i="116"/>
  <c r="O1205" i="116"/>
  <c r="I690" i="116"/>
  <c r="D1192" i="116"/>
  <c r="E1189" i="116"/>
  <c r="E158" i="116"/>
  <c r="N1175" i="116"/>
  <c r="E660" i="116"/>
  <c r="J1170" i="116"/>
  <c r="E625" i="116"/>
  <c r="D929" i="116"/>
  <c r="G621" i="116"/>
  <c r="L411" i="116"/>
  <c r="E410" i="116"/>
  <c r="F919" i="116"/>
  <c r="E611" i="116"/>
  <c r="F915" i="116"/>
  <c r="L402" i="116"/>
  <c r="J912" i="116"/>
  <c r="N600" i="116"/>
  <c r="F8" i="116"/>
  <c r="K228" i="116"/>
  <c r="E727" i="116"/>
  <c r="H1237" i="116"/>
  <c r="J1222" i="116"/>
  <c r="G191" i="116"/>
  <c r="J696" i="116"/>
  <c r="G174" i="116"/>
  <c r="K682" i="116"/>
  <c r="O161" i="116"/>
  <c r="E662" i="116"/>
  <c r="I659" i="116"/>
  <c r="J231" i="116"/>
  <c r="M744" i="116"/>
  <c r="F215" i="116"/>
  <c r="I709" i="116"/>
  <c r="N1219" i="116"/>
  <c r="O1211" i="116"/>
  <c r="H1205" i="116"/>
  <c r="I169" i="116"/>
  <c r="K665" i="116"/>
  <c r="N660" i="116"/>
  <c r="D1170" i="116"/>
  <c r="G625" i="116"/>
  <c r="J929" i="116"/>
  <c r="K416" i="116"/>
  <c r="G924" i="116"/>
  <c r="M919" i="116"/>
  <c r="N611" i="116"/>
  <c r="M915" i="116"/>
  <c r="J402" i="116"/>
  <c r="K912" i="116"/>
  <c r="H604" i="116"/>
  <c r="I395" i="116"/>
  <c r="G904" i="116"/>
  <c r="O386" i="116"/>
  <c r="H386" i="116"/>
  <c r="E382" i="116"/>
  <c r="O587" i="116"/>
  <c r="E583" i="116"/>
  <c r="M374" i="116"/>
  <c r="O579" i="116"/>
  <c r="M882" i="116"/>
  <c r="O369" i="116"/>
  <c r="I879" i="116"/>
  <c r="J571" i="116"/>
  <c r="H875" i="116"/>
  <c r="I362" i="116"/>
  <c r="G871" i="116"/>
  <c r="I563" i="116"/>
  <c r="E866" i="116"/>
  <c r="I353" i="116"/>
  <c r="F353" i="116"/>
  <c r="D861" i="116"/>
  <c r="N554" i="116"/>
  <c r="G345" i="116"/>
  <c r="H550" i="116"/>
  <c r="O1252" i="116"/>
  <c r="H221" i="116"/>
  <c r="H1236" i="116"/>
  <c r="O206" i="116"/>
  <c r="H206" i="116"/>
  <c r="N200" i="116"/>
  <c r="M710" i="116"/>
  <c r="J1220" i="116"/>
  <c r="E1212" i="116"/>
  <c r="N179" i="116"/>
  <c r="M176" i="116"/>
  <c r="F176" i="116"/>
  <c r="O168" i="116"/>
  <c r="M1191" i="116"/>
  <c r="F1191" i="116"/>
  <c r="J160" i="116"/>
  <c r="E1181" i="116"/>
  <c r="O1177" i="116"/>
  <c r="M8" i="116"/>
  <c r="F234" i="116"/>
  <c r="H1253" i="116"/>
  <c r="D727" i="116"/>
  <c r="D191" i="116"/>
  <c r="F693" i="116"/>
  <c r="N1197" i="116"/>
  <c r="E231" i="116"/>
  <c r="L1246" i="116"/>
  <c r="K1219" i="116"/>
  <c r="N1211" i="116"/>
  <c r="H690" i="116"/>
  <c r="L158" i="116"/>
  <c r="I1175" i="116"/>
  <c r="O1170" i="116"/>
  <c r="K929" i="116"/>
  <c r="O416" i="116"/>
  <c r="H411" i="116"/>
  <c r="L615" i="116"/>
  <c r="J611" i="116"/>
  <c r="G402" i="116"/>
  <c r="G912" i="116"/>
  <c r="O904" i="116"/>
  <c r="D895" i="116"/>
  <c r="H587" i="116"/>
  <c r="M887" i="116"/>
  <c r="F579" i="116"/>
  <c r="N883" i="116"/>
  <c r="G882" i="116"/>
  <c r="I369" i="116"/>
  <c r="L875" i="116"/>
  <c r="E362" i="116"/>
  <c r="H563" i="116"/>
  <c r="F562" i="116"/>
  <c r="O866" i="116"/>
  <c r="O353" i="116"/>
  <c r="F861" i="116"/>
  <c r="O554" i="116"/>
  <c r="N858" i="116"/>
  <c r="H345" i="116"/>
  <c r="H1252" i="116"/>
  <c r="L221" i="116"/>
  <c r="D1236" i="116"/>
  <c r="G206" i="116"/>
  <c r="G202" i="116"/>
  <c r="D1220" i="116"/>
  <c r="K186" i="116"/>
  <c r="L1209" i="116"/>
  <c r="D179" i="116"/>
  <c r="M168" i="116"/>
  <c r="G1194" i="116"/>
  <c r="M160" i="116"/>
  <c r="F1186" i="116"/>
  <c r="M1179" i="116"/>
  <c r="N146" i="116"/>
  <c r="J1172" i="116"/>
  <c r="K130" i="116"/>
  <c r="O340" i="116"/>
  <c r="H851" i="116"/>
  <c r="F128" i="116"/>
  <c r="M338" i="116"/>
  <c r="J849" i="116"/>
  <c r="J847" i="116"/>
  <c r="M845" i="116"/>
  <c r="F332" i="116"/>
  <c r="O843" i="116"/>
  <c r="I330" i="116"/>
  <c r="I328" i="116"/>
  <c r="M839" i="116"/>
  <c r="N326" i="116"/>
  <c r="I835" i="116"/>
  <c r="J833" i="116"/>
  <c r="K320" i="116"/>
  <c r="D831" i="116"/>
  <c r="I316" i="116"/>
  <c r="M827" i="116"/>
  <c r="M104" i="116"/>
  <c r="F314" i="116"/>
  <c r="N825" i="116"/>
  <c r="E8" i="116"/>
  <c r="J1259" i="116"/>
  <c r="K222" i="116"/>
  <c r="H704" i="116"/>
  <c r="M693" i="116"/>
  <c r="I1197" i="116"/>
  <c r="N153" i="116"/>
  <c r="J659" i="116"/>
  <c r="D744" i="116"/>
  <c r="N215" i="116"/>
  <c r="I199" i="116"/>
  <c r="G1219" i="116"/>
  <c r="J1211" i="116"/>
  <c r="O690" i="116"/>
  <c r="H158" i="116"/>
  <c r="O660" i="116"/>
  <c r="K1170" i="116"/>
  <c r="G929" i="116"/>
  <c r="O411" i="116"/>
  <c r="H615" i="116"/>
  <c r="F611" i="116"/>
  <c r="K904" i="116"/>
  <c r="M390" i="116"/>
  <c r="N386" i="116"/>
  <c r="G895" i="116"/>
  <c r="D587" i="116"/>
  <c r="N378" i="116"/>
  <c r="E887" i="116"/>
  <c r="M579" i="116"/>
  <c r="L369" i="116"/>
  <c r="E369" i="116"/>
  <c r="N571" i="116"/>
  <c r="D875" i="116"/>
  <c r="L362" i="116"/>
  <c r="F871" i="116"/>
  <c r="D563" i="116"/>
  <c r="M562" i="116"/>
  <c r="K866" i="116"/>
  <c r="K353" i="116"/>
  <c r="M861" i="116"/>
  <c r="K554" i="116"/>
  <c r="I858" i="116"/>
  <c r="D345" i="116"/>
  <c r="D1252" i="116"/>
  <c r="D221" i="116"/>
  <c r="O1236" i="116"/>
  <c r="F202" i="116"/>
  <c r="O1220" i="116"/>
  <c r="D186" i="116"/>
  <c r="H1209" i="116"/>
  <c r="O179" i="116"/>
  <c r="N176" i="116"/>
  <c r="D168" i="116"/>
  <c r="I1191" i="116"/>
  <c r="I160" i="116"/>
  <c r="I1186" i="116"/>
  <c r="I1179" i="116"/>
  <c r="N1177" i="116"/>
  <c r="J146" i="116"/>
  <c r="F1172" i="116"/>
  <c r="K340" i="116"/>
  <c r="D851" i="116"/>
  <c r="L338" i="116"/>
  <c r="I338" i="116"/>
  <c r="F849" i="116"/>
  <c r="G847" i="116"/>
  <c r="I845" i="116"/>
  <c r="M332" i="116"/>
  <c r="K843" i="116"/>
  <c r="E330" i="116"/>
  <c r="E328" i="116"/>
  <c r="I839" i="116"/>
  <c r="G7" i="116"/>
  <c r="I228" i="116"/>
  <c r="O1237" i="116"/>
  <c r="L693" i="116"/>
  <c r="I679" i="116"/>
  <c r="J153" i="116"/>
  <c r="M659" i="116"/>
  <c r="O744" i="116"/>
  <c r="J215" i="116"/>
  <c r="G709" i="116"/>
  <c r="K690" i="116"/>
  <c r="N1189" i="116"/>
  <c r="D158" i="116"/>
  <c r="K660" i="116"/>
  <c r="N416" i="116"/>
  <c r="K411" i="116"/>
  <c r="D615" i="116"/>
  <c r="L611" i="116"/>
  <c r="N395" i="116"/>
  <c r="G900" i="116"/>
  <c r="J386" i="116"/>
  <c r="K587" i="116"/>
  <c r="J378" i="116"/>
  <c r="D887" i="116"/>
  <c r="I579" i="116"/>
  <c r="N882" i="116"/>
  <c r="H369" i="116"/>
  <c r="M879" i="116"/>
  <c r="F571" i="116"/>
  <c r="O875" i="116"/>
  <c r="H362" i="116"/>
  <c r="N358" i="116"/>
  <c r="O563" i="116"/>
  <c r="I562" i="116"/>
  <c r="G866" i="116"/>
  <c r="G353" i="116"/>
  <c r="I861" i="116"/>
  <c r="G554" i="116"/>
  <c r="O345" i="116"/>
  <c r="L550" i="116"/>
  <c r="K1252" i="116"/>
  <c r="O221" i="116"/>
  <c r="F216" i="116"/>
  <c r="K1236" i="116"/>
  <c r="M202" i="116"/>
  <c r="N197" i="116"/>
  <c r="K1220" i="116"/>
  <c r="H1212" i="116"/>
  <c r="D1209" i="116"/>
  <c r="K179" i="116"/>
  <c r="J176" i="116"/>
  <c r="K168" i="116"/>
  <c r="E1191" i="116"/>
  <c r="E160" i="116"/>
  <c r="O1179" i="116"/>
  <c r="J1177" i="116"/>
  <c r="F146" i="116"/>
  <c r="L138" i="116"/>
  <c r="G340" i="116"/>
  <c r="O851" i="116"/>
  <c r="H338" i="116"/>
  <c r="E338" i="116"/>
  <c r="M849" i="116"/>
  <c r="L845" i="116"/>
  <c r="E845" i="116"/>
  <c r="G843" i="116"/>
  <c r="I7" i="116"/>
  <c r="O228" i="116"/>
  <c r="N222" i="116"/>
  <c r="K1237" i="116"/>
  <c r="N1222" i="116"/>
  <c r="K183" i="116"/>
  <c r="H693" i="116"/>
  <c r="E679" i="116"/>
  <c r="F153" i="116"/>
  <c r="E659" i="116"/>
  <c r="G744" i="116"/>
  <c r="I215" i="116"/>
  <c r="J1205" i="116"/>
  <c r="F169" i="116"/>
  <c r="L1189" i="116"/>
  <c r="I152" i="116"/>
  <c r="F1170" i="116"/>
  <c r="O410" i="116"/>
  <c r="I919" i="116"/>
  <c r="H611" i="116"/>
  <c r="N402" i="116"/>
  <c r="F912" i="116"/>
  <c r="J395" i="116"/>
  <c r="N904" i="116"/>
  <c r="M900" i="116"/>
  <c r="F386" i="116"/>
  <c r="M382" i="116"/>
  <c r="G587" i="116"/>
  <c r="M378" i="116"/>
  <c r="O887" i="116"/>
  <c r="E579" i="116"/>
  <c r="J882" i="116"/>
  <c r="D369" i="116"/>
  <c r="H879" i="116"/>
  <c r="M571" i="116"/>
  <c r="O362" i="116"/>
  <c r="D362" i="116"/>
  <c r="J358" i="116"/>
  <c r="K563" i="116"/>
  <c r="E562" i="116"/>
  <c r="E861" i="116"/>
  <c r="K345" i="116"/>
  <c r="M747" i="116"/>
  <c r="G1252" i="116"/>
  <c r="K221" i="116"/>
  <c r="F213" i="116"/>
  <c r="G1236" i="116"/>
  <c r="N206" i="116"/>
  <c r="I202" i="116"/>
  <c r="J197" i="116"/>
  <c r="G1220" i="116"/>
  <c r="D1212" i="116"/>
  <c r="G179" i="116"/>
  <c r="I1199" i="116"/>
  <c r="G168" i="116"/>
  <c r="L1191" i="116"/>
  <c r="L160" i="116"/>
  <c r="K155" i="116"/>
  <c r="K1179" i="116"/>
  <c r="F1177" i="116"/>
  <c r="M146" i="116"/>
  <c r="G138" i="116"/>
  <c r="N340" i="116"/>
  <c r="K851" i="116"/>
  <c r="D338" i="116"/>
  <c r="L849" i="116"/>
  <c r="I849" i="116"/>
  <c r="H845" i="116"/>
  <c r="F122" i="116"/>
  <c r="N843" i="116"/>
  <c r="N120" i="116"/>
  <c r="N841" i="116"/>
  <c r="H328" i="116"/>
  <c r="L839" i="116"/>
  <c r="E116" i="116"/>
  <c r="M326" i="116"/>
  <c r="F837" i="116"/>
  <c r="N322" i="116"/>
  <c r="O8" i="116"/>
  <c r="J1253" i="116"/>
  <c r="H214" i="116"/>
  <c r="F191" i="116"/>
  <c r="F696" i="116"/>
  <c r="H174" i="116"/>
  <c r="D161" i="116"/>
  <c r="H750" i="116"/>
  <c r="G736" i="116"/>
  <c r="F728" i="116"/>
  <c r="L709" i="116"/>
  <c r="E1192" i="116"/>
  <c r="E1170" i="116"/>
  <c r="E416" i="116"/>
  <c r="M924" i="116"/>
  <c r="L410" i="116"/>
  <c r="D406" i="116"/>
  <c r="D915" i="116"/>
  <c r="H912" i="116"/>
  <c r="D604" i="116"/>
  <c r="L904" i="116"/>
  <c r="D903" i="116"/>
  <c r="K386" i="116"/>
  <c r="K591" i="116"/>
  <c r="I587" i="116"/>
  <c r="K378" i="116"/>
  <c r="D883" i="116"/>
  <c r="D882" i="116"/>
  <c r="J369" i="116"/>
  <c r="F366" i="116"/>
  <c r="O571" i="116"/>
  <c r="J362" i="116"/>
  <c r="E871" i="116"/>
  <c r="M563" i="116"/>
  <c r="L866" i="116"/>
  <c r="L353" i="116"/>
  <c r="L554" i="116"/>
  <c r="E554" i="116"/>
  <c r="I345" i="116"/>
  <c r="F742" i="116"/>
  <c r="M1252" i="116"/>
  <c r="M221" i="116"/>
  <c r="D726" i="116"/>
  <c r="I1236" i="116"/>
  <c r="L206" i="116"/>
  <c r="J200" i="116"/>
  <c r="O710" i="116"/>
  <c r="I1220" i="116"/>
  <c r="F1209" i="116"/>
  <c r="E179" i="116"/>
  <c r="O176" i="116"/>
  <c r="K1199" i="116"/>
  <c r="H1194" i="116"/>
  <c r="I1181" i="116"/>
  <c r="K1177" i="116"/>
  <c r="D1177" i="116"/>
  <c r="O146" i="116"/>
  <c r="I853" i="116"/>
  <c r="L340" i="116"/>
  <c r="I851" i="116"/>
  <c r="N338" i="116"/>
  <c r="N845" i="116"/>
  <c r="K122" i="116"/>
  <c r="L843" i="116"/>
  <c r="D330" i="116"/>
  <c r="J328" i="116"/>
  <c r="N839" i="116"/>
  <c r="H116" i="116"/>
  <c r="G326" i="116"/>
  <c r="O837" i="116"/>
  <c r="J835" i="116"/>
  <c r="G833" i="116"/>
  <c r="E110" i="116"/>
  <c r="E831" i="116"/>
  <c r="L829" i="116"/>
  <c r="J316" i="116"/>
  <c r="N827" i="116"/>
  <c r="N104" i="116"/>
  <c r="G825" i="116"/>
  <c r="D821" i="116"/>
  <c r="N98" i="116"/>
  <c r="J819" i="116"/>
  <c r="H306" i="116"/>
  <c r="D94" i="116"/>
  <c r="D304" i="116"/>
  <c r="L815" i="116"/>
  <c r="L302" i="116"/>
  <c r="I302" i="116"/>
  <c r="M813" i="116"/>
  <c r="G811" i="116"/>
  <c r="N809" i="116"/>
  <c r="E296" i="116"/>
  <c r="H807" i="116"/>
  <c r="H9" i="116"/>
  <c r="G735" i="116"/>
  <c r="D196" i="116"/>
  <c r="L174" i="116"/>
  <c r="F149" i="116"/>
  <c r="O136" i="116"/>
  <c r="G728" i="116"/>
  <c r="D1219" i="116"/>
  <c r="J1192" i="116"/>
  <c r="N158" i="116"/>
  <c r="F660" i="116"/>
  <c r="N410" i="116"/>
  <c r="O611" i="116"/>
  <c r="L912" i="116"/>
  <c r="E904" i="116"/>
  <c r="J374" i="116"/>
  <c r="N369" i="116"/>
  <c r="E571" i="116"/>
  <c r="M362" i="116"/>
  <c r="J563" i="116"/>
  <c r="L562" i="116"/>
  <c r="E353" i="116"/>
  <c r="L861" i="116"/>
  <c r="I554" i="116"/>
  <c r="M1257" i="116"/>
  <c r="G221" i="116"/>
  <c r="L726" i="116"/>
  <c r="M1209" i="116"/>
  <c r="L176" i="116"/>
  <c r="F1199" i="116"/>
  <c r="G1191" i="116"/>
  <c r="F1179" i="116"/>
  <c r="E146" i="116"/>
  <c r="D130" i="116"/>
  <c r="N851" i="116"/>
  <c r="N128" i="116"/>
  <c r="K849" i="116"/>
  <c r="N847" i="116"/>
  <c r="D122" i="116"/>
  <c r="F120" i="116"/>
  <c r="F328" i="116"/>
  <c r="D839" i="116"/>
  <c r="O326" i="116"/>
  <c r="G837" i="116"/>
  <c r="E112" i="116"/>
  <c r="J110" i="116"/>
  <c r="M831" i="116"/>
  <c r="K829" i="116"/>
  <c r="M316" i="116"/>
  <c r="E827" i="116"/>
  <c r="H314" i="116"/>
  <c r="H825" i="116"/>
  <c r="I312" i="116"/>
  <c r="L821" i="116"/>
  <c r="E821" i="116"/>
  <c r="F819" i="116"/>
  <c r="K306" i="116"/>
  <c r="G815" i="116"/>
  <c r="G813" i="116"/>
  <c r="J811" i="116"/>
  <c r="G809" i="116"/>
  <c r="K86" i="116"/>
  <c r="L807" i="116"/>
  <c r="H805" i="116"/>
  <c r="M292" i="116"/>
  <c r="J803" i="116"/>
  <c r="K80" i="116"/>
  <c r="N290" i="116"/>
  <c r="H799" i="116"/>
  <c r="E284" i="116"/>
  <c r="L795" i="116"/>
  <c r="O282" i="116"/>
  <c r="N280" i="116"/>
  <c r="K791" i="116"/>
  <c r="G278" i="116"/>
  <c r="O789" i="116"/>
  <c r="D785" i="116"/>
  <c r="J783" i="116"/>
  <c r="H270" i="116"/>
  <c r="I781" i="116"/>
  <c r="O268" i="116"/>
  <c r="H779" i="116"/>
  <c r="D266" i="116"/>
  <c r="H777" i="116"/>
  <c r="E777" i="116"/>
  <c r="K773" i="116"/>
  <c r="J258" i="116"/>
  <c r="G256" i="116"/>
  <c r="I767" i="116"/>
  <c r="O254" i="116"/>
  <c r="K765" i="116"/>
  <c r="O42" i="116"/>
  <c r="F38" i="116"/>
  <c r="F759" i="116"/>
  <c r="I36" i="116"/>
  <c r="F246" i="116"/>
  <c r="F244" i="116"/>
  <c r="N755" i="116"/>
  <c r="L1056" i="116"/>
  <c r="E543" i="116"/>
  <c r="O1054" i="116"/>
  <c r="I1052" i="116"/>
  <c r="E539" i="116"/>
  <c r="K1050" i="116"/>
  <c r="E1048" i="116"/>
  <c r="E535" i="116"/>
  <c r="G1046" i="116"/>
  <c r="L1044" i="116"/>
  <c r="L531" i="116"/>
  <c r="G1145" i="116"/>
  <c r="O527" i="116"/>
  <c r="D1141" i="116"/>
  <c r="O523" i="116"/>
  <c r="H1137" i="116"/>
  <c r="K519" i="116"/>
  <c r="E1133" i="116"/>
  <c r="M1026" i="116"/>
  <c r="J1026" i="116"/>
  <c r="G511" i="116"/>
  <c r="N1022" i="116"/>
  <c r="K1125" i="116"/>
  <c r="G507" i="116"/>
  <c r="J1018" i="116"/>
  <c r="E1121" i="116"/>
  <c r="I1014" i="116"/>
  <c r="F1014" i="116"/>
  <c r="N499" i="116"/>
  <c r="L1010" i="116"/>
  <c r="K1115" i="116"/>
  <c r="J495" i="116"/>
  <c r="N1006" i="116"/>
  <c r="K1109" i="116"/>
  <c r="F491" i="116"/>
  <c r="N1002" i="116"/>
  <c r="E1105" i="116"/>
  <c r="I998" i="116"/>
  <c r="O485" i="116"/>
  <c r="L483" i="116"/>
  <c r="L994" i="116"/>
  <c r="O1099" i="116"/>
  <c r="J479" i="116"/>
  <c r="F988" i="116"/>
  <c r="G475" i="116"/>
  <c r="O986" i="116"/>
  <c r="D984" i="116"/>
  <c r="K471" i="116"/>
  <c r="D982" i="116"/>
  <c r="G980" i="116"/>
  <c r="H467" i="116"/>
  <c r="E978" i="116"/>
  <c r="H1083" i="116"/>
  <c r="E465" i="116"/>
  <c r="G463" i="116"/>
  <c r="O974" i="116"/>
  <c r="G461" i="116"/>
  <c r="O972" i="116"/>
  <c r="M459" i="116"/>
  <c r="J459" i="116"/>
  <c r="N457" i="116"/>
  <c r="J1073" i="116"/>
  <c r="D455" i="116"/>
  <c r="N966" i="116"/>
  <c r="G453" i="116"/>
  <c r="F964" i="116"/>
  <c r="G451" i="116"/>
  <c r="F962" i="116"/>
  <c r="G449" i="116"/>
  <c r="I727" i="116"/>
  <c r="K679" i="116"/>
  <c r="D662" i="116"/>
  <c r="E728" i="116"/>
  <c r="N9" i="116"/>
  <c r="F1237" i="116"/>
  <c r="J191" i="116"/>
  <c r="K174" i="116"/>
  <c r="E136" i="116"/>
  <c r="E1246" i="116"/>
  <c r="F709" i="116"/>
  <c r="L166" i="116"/>
  <c r="G158" i="116"/>
  <c r="M1175" i="116"/>
  <c r="D625" i="116"/>
  <c r="I416" i="116"/>
  <c r="K410" i="116"/>
  <c r="M402" i="116"/>
  <c r="L604" i="116"/>
  <c r="O378" i="116"/>
  <c r="N887" i="116"/>
  <c r="G579" i="116"/>
  <c r="G369" i="116"/>
  <c r="J866" i="116"/>
  <c r="J554" i="116"/>
  <c r="L345" i="116"/>
  <c r="F1252" i="116"/>
  <c r="M213" i="116"/>
  <c r="E1236" i="116"/>
  <c r="K200" i="116"/>
  <c r="I710" i="116"/>
  <c r="O1209" i="116"/>
  <c r="H179" i="116"/>
  <c r="D1199" i="116"/>
  <c r="D1191" i="116"/>
  <c r="D853" i="116"/>
  <c r="D340" i="116"/>
  <c r="D128" i="116"/>
  <c r="H849" i="116"/>
  <c r="J336" i="116"/>
  <c r="I122" i="116"/>
  <c r="H843" i="116"/>
  <c r="M841" i="116"/>
  <c r="F839" i="116"/>
  <c r="L326" i="116"/>
  <c r="H837" i="116"/>
  <c r="F835" i="116"/>
  <c r="M833" i="116"/>
  <c r="N831" i="116"/>
  <c r="N318" i="116"/>
  <c r="J827" i="116"/>
  <c r="I104" i="116"/>
  <c r="I314" i="116"/>
  <c r="I825" i="116"/>
  <c r="N100" i="116"/>
  <c r="F821" i="116"/>
  <c r="G819" i="116"/>
  <c r="M817" i="116"/>
  <c r="O304" i="116"/>
  <c r="D815" i="116"/>
  <c r="O302" i="116"/>
  <c r="D813" i="116"/>
  <c r="D809" i="116"/>
  <c r="E86" i="116"/>
  <c r="M807" i="116"/>
  <c r="G294" i="116"/>
  <c r="N292" i="116"/>
  <c r="K803" i="116"/>
  <c r="K290" i="116"/>
  <c r="O801" i="116"/>
  <c r="I799" i="116"/>
  <c r="K797" i="116"/>
  <c r="D74" i="116"/>
  <c r="M795" i="116"/>
  <c r="L282" i="116"/>
  <c r="F793" i="116"/>
  <c r="O280" i="116"/>
  <c r="H791" i="116"/>
  <c r="D278" i="116"/>
  <c r="L789" i="116"/>
  <c r="I789" i="116"/>
  <c r="M785" i="116"/>
  <c r="K783" i="116"/>
  <c r="L268" i="116"/>
  <c r="I779" i="116"/>
  <c r="E56" i="116"/>
  <c r="I266" i="116"/>
  <c r="F777" i="116"/>
  <c r="L262" i="116"/>
  <c r="D773" i="116"/>
  <c r="K771" i="116"/>
  <c r="D258" i="116"/>
  <c r="O769" i="116"/>
  <c r="D256" i="116"/>
  <c r="J767" i="116"/>
  <c r="L254" i="116"/>
  <c r="I254" i="116"/>
  <c r="L765" i="116"/>
  <c r="K761" i="116"/>
  <c r="D761" i="116"/>
  <c r="G36" i="116"/>
  <c r="G755" i="116"/>
  <c r="O32" i="116"/>
  <c r="H32" i="116"/>
  <c r="J543" i="116"/>
  <c r="L1054" i="116"/>
  <c r="G1052" i="116"/>
  <c r="F539" i="116"/>
  <c r="H1050" i="116"/>
  <c r="O1048" i="116"/>
  <c r="F535" i="116"/>
  <c r="D1046" i="116"/>
  <c r="D8" i="116"/>
  <c r="J222" i="116"/>
  <c r="L161" i="116"/>
  <c r="L659" i="116"/>
  <c r="K728" i="116"/>
  <c r="I1205" i="116"/>
  <c r="O625" i="116"/>
  <c r="H416" i="116"/>
  <c r="J410" i="116"/>
  <c r="G611" i="116"/>
  <c r="H395" i="116"/>
  <c r="L899" i="116"/>
  <c r="D386" i="116"/>
  <c r="G891" i="116"/>
  <c r="O883" i="116"/>
  <c r="L571" i="116"/>
  <c r="O567" i="116"/>
  <c r="L563" i="116"/>
  <c r="I866" i="116"/>
  <c r="J353" i="116"/>
  <c r="K1257" i="116"/>
  <c r="L1236" i="116"/>
  <c r="I206" i="116"/>
  <c r="F197" i="116"/>
  <c r="O186" i="116"/>
  <c r="L179" i="116"/>
  <c r="G1199" i="116"/>
  <c r="N1191" i="116"/>
  <c r="K1181" i="116"/>
  <c r="K146" i="116"/>
  <c r="I340" i="116"/>
  <c r="H128" i="116"/>
  <c r="O849" i="116"/>
  <c r="O845" i="116"/>
  <c r="J843" i="116"/>
  <c r="O841" i="116"/>
  <c r="J839" i="116"/>
  <c r="D326" i="116"/>
  <c r="N837" i="116"/>
  <c r="O833" i="116"/>
  <c r="G320" i="116"/>
  <c r="N316" i="116"/>
  <c r="L827" i="116"/>
  <c r="K314" i="116"/>
  <c r="K823" i="116"/>
  <c r="M821" i="116"/>
  <c r="N819" i="116"/>
  <c r="J306" i="116"/>
  <c r="F304" i="116"/>
  <c r="F815" i="116"/>
  <c r="E92" i="116"/>
  <c r="L813" i="116"/>
  <c r="K809" i="116"/>
  <c r="L296" i="116"/>
  <c r="G807" i="116"/>
  <c r="K82" i="116"/>
  <c r="G292" i="116"/>
  <c r="G803" i="116"/>
  <c r="J290" i="116"/>
  <c r="J801" i="116"/>
  <c r="N286" i="116"/>
  <c r="I797" i="116"/>
  <c r="J795" i="116"/>
  <c r="H282" i="116"/>
  <c r="J280" i="116"/>
  <c r="N791" i="116"/>
  <c r="M68" i="116"/>
  <c r="M278" i="116"/>
  <c r="M789" i="116"/>
  <c r="E785" i="116"/>
  <c r="N783" i="116"/>
  <c r="O270" i="116"/>
  <c r="N268" i="116"/>
  <c r="N779" i="116"/>
  <c r="M56" i="116"/>
  <c r="E266" i="116"/>
  <c r="J54" i="116"/>
  <c r="N773" i="116"/>
  <c r="K50" i="116"/>
  <c r="I771" i="116"/>
  <c r="H769" i="116"/>
  <c r="H256" i="116"/>
  <c r="M767" i="116"/>
  <c r="G254" i="116"/>
  <c r="J765" i="116"/>
  <c r="K763" i="116"/>
  <c r="L761" i="116"/>
  <c r="M36" i="116"/>
  <c r="M757" i="116"/>
  <c r="I244" i="116"/>
  <c r="I755" i="116"/>
  <c r="M32" i="116"/>
  <c r="E1161" i="116"/>
  <c r="H1054" i="116"/>
  <c r="E1052" i="116"/>
  <c r="D539" i="116"/>
  <c r="F1050" i="116"/>
  <c r="N535" i="116"/>
  <c r="O1046" i="116"/>
  <c r="E1044" i="116"/>
  <c r="H531" i="116"/>
  <c r="M1038" i="116"/>
  <c r="J1038" i="116"/>
  <c r="E1034" i="116"/>
  <c r="I519" i="116"/>
  <c r="D1030" i="116"/>
  <c r="L1028" i="116"/>
  <c r="D515" i="116"/>
  <c r="K1129" i="116"/>
  <c r="L511" i="116"/>
  <c r="G1125" i="116"/>
  <c r="I1018" i="116"/>
  <c r="O1016" i="116"/>
  <c r="F503" i="116"/>
  <c r="O1014" i="116"/>
  <c r="D1012" i="116"/>
  <c r="K499" i="116"/>
  <c r="N1010" i="116"/>
  <c r="K1113" i="116"/>
  <c r="O1109" i="116"/>
  <c r="M1002" i="116"/>
  <c r="F1002" i="116"/>
  <c r="H487" i="116"/>
  <c r="D998" i="116"/>
  <c r="H996" i="116"/>
  <c r="N992" i="116"/>
  <c r="H479" i="116"/>
  <c r="K990" i="116"/>
  <c r="D475" i="116"/>
  <c r="D986" i="116"/>
  <c r="H1089" i="116"/>
  <c r="G982" i="116"/>
  <c r="J469" i="116"/>
  <c r="G978" i="116"/>
  <c r="N465" i="116"/>
  <c r="D976" i="116"/>
  <c r="H463" i="116"/>
  <c r="L974" i="116"/>
  <c r="O461" i="116"/>
  <c r="D461" i="116"/>
  <c r="I459" i="116"/>
  <c r="M970" i="116"/>
  <c r="J970" i="116"/>
  <c r="M457" i="116"/>
  <c r="N455" i="116"/>
  <c r="H966" i="116"/>
  <c r="E1071" i="116"/>
  <c r="I453" i="116"/>
  <c r="H451" i="116"/>
  <c r="H1067" i="116"/>
  <c r="O449" i="116"/>
  <c r="N1065" i="116"/>
  <c r="F447" i="116"/>
  <c r="L958" i="116"/>
  <c r="O443" i="116"/>
  <c r="N648" i="116"/>
  <c r="J441" i="116"/>
  <c r="N952" i="116"/>
  <c r="D439" i="116"/>
  <c r="K644" i="116"/>
  <c r="G437" i="116"/>
  <c r="K948" i="116"/>
  <c r="I642" i="116"/>
  <c r="O640" i="116"/>
  <c r="K433" i="116"/>
  <c r="D944" i="116"/>
  <c r="N942" i="116"/>
  <c r="N636" i="116"/>
  <c r="J429" i="116"/>
  <c r="E427" i="116"/>
  <c r="K632" i="116"/>
  <c r="G425" i="116"/>
  <c r="K936" i="116"/>
  <c r="M630" i="116"/>
  <c r="K934" i="116"/>
  <c r="N628" i="116"/>
  <c r="K420" i="116"/>
  <c r="K8" i="116"/>
  <c r="D222" i="116"/>
  <c r="H161" i="116"/>
  <c r="H136" i="116"/>
  <c r="J1219" i="116"/>
  <c r="E1205" i="116"/>
  <c r="D1189" i="116"/>
  <c r="J1175" i="116"/>
  <c r="K625" i="116"/>
  <c r="D410" i="116"/>
  <c r="I915" i="116"/>
  <c r="M912" i="116"/>
  <c r="J600" i="116"/>
  <c r="G899" i="116"/>
  <c r="L895" i="116"/>
  <c r="L583" i="116"/>
  <c r="K883" i="116"/>
  <c r="F369" i="116"/>
  <c r="H571" i="116"/>
  <c r="K567" i="116"/>
  <c r="G563" i="116"/>
  <c r="H866" i="116"/>
  <c r="M351" i="116"/>
  <c r="G1257" i="116"/>
  <c r="N221" i="116"/>
  <c r="E206" i="116"/>
  <c r="N710" i="116"/>
  <c r="O1212" i="116"/>
  <c r="I176" i="116"/>
  <c r="J1191" i="116"/>
  <c r="G1181" i="116"/>
  <c r="M1177" i="116"/>
  <c r="G146" i="116"/>
  <c r="E340" i="116"/>
  <c r="K128" i="116"/>
  <c r="G849" i="116"/>
  <c r="K845" i="116"/>
  <c r="F843" i="116"/>
  <c r="J841" i="116"/>
  <c r="E839" i="116"/>
  <c r="K326" i="116"/>
  <c r="J837" i="116"/>
  <c r="K833" i="116"/>
  <c r="J318" i="116"/>
  <c r="F316" i="116"/>
  <c r="H827" i="116"/>
  <c r="G314" i="116"/>
  <c r="J825" i="116"/>
  <c r="G823" i="116"/>
  <c r="I821" i="116"/>
  <c r="M819" i="116"/>
  <c r="F306" i="116"/>
  <c r="M304" i="116"/>
  <c r="M815" i="116"/>
  <c r="H302" i="116"/>
  <c r="H813" i="116"/>
  <c r="H296" i="116"/>
  <c r="I84" i="116"/>
  <c r="D80" i="116"/>
  <c r="F290" i="116"/>
  <c r="F801" i="116"/>
  <c r="L797" i="116"/>
  <c r="E797" i="116"/>
  <c r="F795" i="116"/>
  <c r="D282" i="116"/>
  <c r="F280" i="116"/>
  <c r="J791" i="116"/>
  <c r="I68" i="116"/>
  <c r="I278" i="116"/>
  <c r="E789" i="116"/>
  <c r="L785" i="116"/>
  <c r="F783" i="116"/>
  <c r="K270" i="116"/>
  <c r="J268" i="116"/>
  <c r="J779" i="116"/>
  <c r="I56" i="116"/>
  <c r="L777" i="116"/>
  <c r="F54" i="116"/>
  <c r="I773" i="116"/>
  <c r="L771" i="116"/>
  <c r="E771" i="116"/>
  <c r="D769" i="116"/>
  <c r="O256" i="116"/>
  <c r="J1237" i="116"/>
  <c r="H191" i="116"/>
  <c r="D174" i="116"/>
  <c r="F662" i="116"/>
  <c r="I188" i="116"/>
  <c r="E690" i="116"/>
  <c r="M1170" i="116"/>
  <c r="M929" i="116"/>
  <c r="K611" i="116"/>
  <c r="I912" i="116"/>
  <c r="M587" i="116"/>
  <c r="H378" i="116"/>
  <c r="D579" i="116"/>
  <c r="K571" i="116"/>
  <c r="N562" i="116"/>
  <c r="D554" i="116"/>
  <c r="E345" i="116"/>
  <c r="J221" i="116"/>
  <c r="J1236" i="116"/>
  <c r="G200" i="116"/>
  <c r="F179" i="116"/>
  <c r="O1199" i="116"/>
  <c r="H160" i="116"/>
  <c r="L1181" i="116"/>
  <c r="H1177" i="116"/>
  <c r="L851" i="116"/>
  <c r="D849" i="116"/>
  <c r="D843" i="116"/>
  <c r="D328" i="116"/>
  <c r="M116" i="116"/>
  <c r="N833" i="116"/>
  <c r="F831" i="116"/>
  <c r="K316" i="116"/>
  <c r="L314" i="116"/>
  <c r="J100" i="116"/>
  <c r="M98" i="116"/>
  <c r="D819" i="116"/>
  <c r="N815" i="116"/>
  <c r="D302" i="116"/>
  <c r="O811" i="116"/>
  <c r="M809" i="116"/>
  <c r="I807" i="116"/>
  <c r="M805" i="116"/>
  <c r="O292" i="116"/>
  <c r="O803" i="116"/>
  <c r="I290" i="116"/>
  <c r="K78" i="116"/>
  <c r="I72" i="116"/>
  <c r="I280" i="116"/>
  <c r="E791" i="116"/>
  <c r="N789" i="116"/>
  <c r="K64" i="116"/>
  <c r="I783" i="116"/>
  <c r="H781" i="116"/>
  <c r="D268" i="116"/>
  <c r="G779" i="116"/>
  <c r="M266" i="116"/>
  <c r="E775" i="116"/>
  <c r="H773" i="116"/>
  <c r="J687" i="116"/>
  <c r="J728" i="116"/>
  <c r="O188" i="116"/>
  <c r="L690" i="116"/>
  <c r="J158" i="116"/>
  <c r="L1170" i="116"/>
  <c r="I929" i="116"/>
  <c r="G410" i="116"/>
  <c r="O402" i="116"/>
  <c r="E912" i="116"/>
  <c r="M904" i="116"/>
  <c r="E587" i="116"/>
  <c r="D378" i="116"/>
  <c r="K579" i="116"/>
  <c r="M369" i="116"/>
  <c r="G571" i="116"/>
  <c r="J562" i="116"/>
  <c r="D1257" i="116"/>
  <c r="F221" i="116"/>
  <c r="F1236" i="116"/>
  <c r="N1220" i="116"/>
  <c r="M179" i="116"/>
  <c r="D160" i="116"/>
  <c r="D1181" i="116"/>
  <c r="G851" i="116"/>
  <c r="J845" i="116"/>
  <c r="J120" i="116"/>
  <c r="O328" i="116"/>
  <c r="I116" i="116"/>
  <c r="M837" i="116"/>
  <c r="F833" i="116"/>
  <c r="I831" i="116"/>
  <c r="N829" i="116"/>
  <c r="G316" i="116"/>
  <c r="D314" i="116"/>
  <c r="F100" i="116"/>
  <c r="I98" i="116"/>
  <c r="O819" i="116"/>
  <c r="J815" i="116"/>
  <c r="K302" i="116"/>
  <c r="N813" i="116"/>
  <c r="K811" i="116"/>
  <c r="I809" i="116"/>
  <c r="E807" i="116"/>
  <c r="I805" i="116"/>
  <c r="K292" i="116"/>
  <c r="E290" i="116"/>
  <c r="N799" i="116"/>
  <c r="N797" i="116"/>
  <c r="K282" i="116"/>
  <c r="E280" i="116"/>
  <c r="L791" i="116"/>
  <c r="J789" i="116"/>
  <c r="N62" i="116"/>
  <c r="E783" i="116"/>
  <c r="D781" i="116"/>
  <c r="K268" i="116"/>
  <c r="L56" i="116"/>
  <c r="D777" i="116"/>
  <c r="L775" i="116"/>
  <c r="L773" i="116"/>
  <c r="N771" i="116"/>
  <c r="K256" i="116"/>
  <c r="K44" i="116"/>
  <c r="J254" i="116"/>
  <c r="H765" i="116"/>
  <c r="N761" i="116"/>
  <c r="J248" i="116"/>
  <c r="H759" i="116"/>
  <c r="N244" i="116"/>
  <c r="F755" i="116"/>
  <c r="F32" i="116"/>
  <c r="K1054" i="116"/>
  <c r="O1157" i="116"/>
  <c r="E1050" i="116"/>
  <c r="I1048" i="116"/>
  <c r="K535" i="116"/>
  <c r="H533" i="116"/>
  <c r="F531" i="116"/>
  <c r="K1042" i="116"/>
  <c r="O1145" i="116"/>
  <c r="D527" i="116"/>
  <c r="G1141" i="116"/>
  <c r="I1034" i="116"/>
  <c r="E519" i="116"/>
  <c r="K1030" i="116"/>
  <c r="I1026" i="116"/>
  <c r="K1131" i="116"/>
  <c r="E1129" i="116"/>
  <c r="H1022" i="116"/>
  <c r="E1020" i="116"/>
  <c r="I507" i="116"/>
  <c r="H1014" i="116"/>
  <c r="H1012" i="116"/>
  <c r="G499" i="116"/>
  <c r="F1010" i="116"/>
  <c r="M1006" i="116"/>
  <c r="F1006" i="116"/>
  <c r="L491" i="116"/>
  <c r="D1002" i="116"/>
  <c r="J1000" i="116"/>
  <c r="F487" i="116"/>
  <c r="O996" i="116"/>
  <c r="O483" i="116"/>
  <c r="K994" i="116"/>
  <c r="G992" i="116"/>
  <c r="E479" i="116"/>
  <c r="O990" i="116"/>
  <c r="K475" i="116"/>
  <c r="G986" i="116"/>
  <c r="E1089" i="116"/>
  <c r="J471" i="116"/>
  <c r="J982" i="116"/>
  <c r="L469" i="116"/>
  <c r="I467" i="116"/>
  <c r="M978" i="116"/>
  <c r="D1083" i="116"/>
  <c r="D465" i="116"/>
  <c r="M463" i="116"/>
  <c r="M974" i="116"/>
  <c r="D1079" i="116"/>
  <c r="H461" i="116"/>
  <c r="E459" i="116"/>
  <c r="E970" i="116"/>
  <c r="H457" i="116"/>
  <c r="H968" i="116"/>
  <c r="E455" i="116"/>
  <c r="E1069" i="116"/>
  <c r="M451" i="116"/>
  <c r="O962" i="116"/>
  <c r="H449" i="116"/>
  <c r="M447" i="116"/>
  <c r="D958" i="116"/>
  <c r="I648" i="116"/>
  <c r="H441" i="116"/>
  <c r="L952" i="116"/>
  <c r="E644" i="116"/>
  <c r="H437" i="116"/>
  <c r="H948" i="116"/>
  <c r="F642" i="116"/>
  <c r="D640" i="116"/>
  <c r="G433" i="116"/>
  <c r="K944" i="116"/>
  <c r="N638" i="116"/>
  <c r="E636" i="116"/>
  <c r="H429" i="116"/>
  <c r="L940" i="116"/>
  <c r="I940" i="116"/>
  <c r="I632" i="116"/>
  <c r="L425" i="116"/>
  <c r="L936" i="116"/>
  <c r="N630" i="116"/>
  <c r="G423" i="116"/>
  <c r="G420" i="116"/>
  <c r="O624" i="116"/>
  <c r="H415" i="116"/>
  <c r="F925" i="116"/>
  <c r="D412" i="116"/>
  <c r="D922" i="116"/>
  <c r="J409" i="116"/>
  <c r="M614" i="116"/>
  <c r="K918" i="116"/>
  <c r="M405" i="116"/>
  <c r="K914" i="116"/>
  <c r="M401" i="116"/>
  <c r="N400" i="116"/>
  <c r="F605" i="116"/>
  <c r="D1245" i="116"/>
  <c r="F1222" i="116"/>
  <c r="E215" i="116"/>
  <c r="K188" i="116"/>
  <c r="M1192" i="116"/>
  <c r="H1175" i="116"/>
  <c r="N625" i="116"/>
  <c r="K620" i="116"/>
  <c r="M399" i="116"/>
  <c r="L903" i="116"/>
  <c r="I386" i="116"/>
  <c r="K882" i="116"/>
  <c r="I571" i="116"/>
  <c r="H562" i="116"/>
  <c r="N353" i="116"/>
  <c r="F554" i="116"/>
  <c r="E726" i="116"/>
  <c r="D206" i="116"/>
  <c r="H1220" i="116"/>
  <c r="J179" i="116"/>
  <c r="G160" i="116"/>
  <c r="G1177" i="116"/>
  <c r="D845" i="116"/>
  <c r="E843" i="116"/>
  <c r="G328" i="116"/>
  <c r="J326" i="116"/>
  <c r="M835" i="116"/>
  <c r="D110" i="116"/>
  <c r="G829" i="116"/>
  <c r="O316" i="116"/>
  <c r="M825" i="116"/>
  <c r="G821" i="116"/>
  <c r="J817" i="116"/>
  <c r="G304" i="116"/>
  <c r="I92" i="116"/>
  <c r="J813" i="116"/>
  <c r="E88" i="116"/>
  <c r="F296" i="116"/>
  <c r="H292" i="116"/>
  <c r="H801" i="116"/>
  <c r="D286" i="116"/>
  <c r="L74" i="116"/>
  <c r="D795" i="116"/>
  <c r="M791" i="116"/>
  <c r="F789" i="116"/>
  <c r="O785" i="116"/>
  <c r="L62" i="116"/>
  <c r="G783" i="116"/>
  <c r="M268" i="116"/>
  <c r="O779" i="116"/>
  <c r="O777" i="116"/>
  <c r="O775" i="116"/>
  <c r="I50" i="116"/>
  <c r="K258" i="116"/>
  <c r="J256" i="116"/>
  <c r="K254" i="116"/>
  <c r="M765" i="116"/>
  <c r="E248" i="116"/>
  <c r="D759" i="116"/>
  <c r="M244" i="116"/>
  <c r="L755" i="116"/>
  <c r="D32" i="116"/>
  <c r="H543" i="116"/>
  <c r="J1054" i="116"/>
  <c r="I539" i="116"/>
  <c r="J1050" i="116"/>
  <c r="M535" i="116"/>
  <c r="J1046" i="116"/>
  <c r="N531" i="116"/>
  <c r="O1042" i="116"/>
  <c r="K1145" i="116"/>
  <c r="G527" i="116"/>
  <c r="F1038" i="116"/>
  <c r="G8" i="116"/>
  <c r="H727" i="116"/>
  <c r="G1189" i="116"/>
  <c r="K402" i="116"/>
  <c r="O903" i="116"/>
  <c r="L386" i="116"/>
  <c r="J579" i="116"/>
  <c r="K362" i="116"/>
  <c r="M866" i="116"/>
  <c r="G858" i="116"/>
  <c r="N1252" i="116"/>
  <c r="G726" i="116"/>
  <c r="E202" i="116"/>
  <c r="E176" i="116"/>
  <c r="E1194" i="116"/>
  <c r="N160" i="116"/>
  <c r="H853" i="116"/>
  <c r="F851" i="116"/>
  <c r="F338" i="116"/>
  <c r="L330" i="116"/>
  <c r="H839" i="116"/>
  <c r="I326" i="116"/>
  <c r="L833" i="116"/>
  <c r="F827" i="116"/>
  <c r="J314" i="116"/>
  <c r="M312" i="116"/>
  <c r="E819" i="116"/>
  <c r="K94" i="116"/>
  <c r="I813" i="116"/>
  <c r="H809" i="116"/>
  <c r="D805" i="116"/>
  <c r="J80" i="116"/>
  <c r="K801" i="116"/>
  <c r="H797" i="116"/>
  <c r="L8" i="116"/>
  <c r="O234" i="116"/>
  <c r="N191" i="116"/>
  <c r="D136" i="116"/>
  <c r="F188" i="116"/>
  <c r="H895" i="116"/>
  <c r="L579" i="116"/>
  <c r="G362" i="116"/>
  <c r="D866" i="116"/>
  <c r="N861" i="116"/>
  <c r="J1252" i="116"/>
  <c r="F1220" i="116"/>
  <c r="H176" i="116"/>
  <c r="L1194" i="116"/>
  <c r="F160" i="116"/>
  <c r="I1177" i="116"/>
  <c r="O853" i="116"/>
  <c r="M851" i="116"/>
  <c r="F845" i="116"/>
  <c r="H330" i="116"/>
  <c r="O839" i="116"/>
  <c r="E326" i="116"/>
  <c r="H833" i="116"/>
  <c r="J831" i="116"/>
  <c r="I829" i="116"/>
  <c r="I827" i="116"/>
  <c r="M314" i="116"/>
  <c r="N821" i="116"/>
  <c r="L819" i="116"/>
  <c r="I815" i="116"/>
  <c r="E813" i="116"/>
  <c r="O809" i="116"/>
  <c r="N807" i="116"/>
  <c r="O805" i="116"/>
  <c r="F1253" i="116"/>
  <c r="M153" i="116"/>
  <c r="I744" i="116"/>
  <c r="O1219" i="116"/>
  <c r="E152" i="116"/>
  <c r="L625" i="116"/>
  <c r="L620" i="116"/>
  <c r="G406" i="116"/>
  <c r="O912" i="116"/>
  <c r="D904" i="116"/>
  <c r="L587" i="116"/>
  <c r="J887" i="116"/>
  <c r="L882" i="116"/>
  <c r="M366" i="116"/>
  <c r="G567" i="116"/>
  <c r="G562" i="116"/>
  <c r="D353" i="116"/>
  <c r="H554" i="116"/>
  <c r="J742" i="116"/>
  <c r="J206" i="116"/>
  <c r="J710" i="116"/>
  <c r="I1209" i="116"/>
  <c r="L1199" i="116"/>
  <c r="L146" i="116"/>
  <c r="M340" i="116"/>
  <c r="K338" i="116"/>
  <c r="K126" i="116"/>
  <c r="M328" i="116"/>
  <c r="H326" i="116"/>
  <c r="E837" i="116"/>
  <c r="M110" i="116"/>
  <c r="L316" i="116"/>
  <c r="F104" i="116"/>
  <c r="H821" i="116"/>
  <c r="K308" i="116"/>
  <c r="M306" i="116"/>
  <c r="L304" i="116"/>
  <c r="J92" i="116"/>
  <c r="O813" i="116"/>
  <c r="E811" i="116"/>
  <c r="J86" i="116"/>
  <c r="D294" i="116"/>
  <c r="I292" i="116"/>
  <c r="L803" i="116"/>
  <c r="E799" i="116"/>
  <c r="F797" i="116"/>
  <c r="I795" i="116"/>
  <c r="O793" i="116"/>
  <c r="H278" i="116"/>
  <c r="G789" i="116"/>
  <c r="G787" i="116"/>
  <c r="H783" i="116"/>
  <c r="E781" i="116"/>
  <c r="E779" i="116"/>
  <c r="N266" i="116"/>
  <c r="J775" i="116"/>
  <c r="M771" i="116"/>
  <c r="G769" i="116"/>
  <c r="O767" i="116"/>
  <c r="E44" i="116"/>
  <c r="N763" i="116"/>
  <c r="G38" i="116"/>
  <c r="I759" i="116"/>
  <c r="K246" i="116"/>
  <c r="G244" i="116"/>
  <c r="J755" i="116"/>
  <c r="I32" i="116"/>
  <c r="M543" i="116"/>
  <c r="G1050" i="116"/>
  <c r="E1153" i="116"/>
  <c r="K1046" i="116"/>
  <c r="N1149" i="116"/>
  <c r="L1042" i="116"/>
  <c r="O1040" i="116"/>
  <c r="M527" i="116"/>
  <c r="K1141" i="116"/>
  <c r="L1034" i="116"/>
  <c r="O1032" i="116"/>
  <c r="H519" i="116"/>
  <c r="D1026" i="116"/>
  <c r="F1024" i="116"/>
  <c r="E511" i="116"/>
  <c r="J1022" i="116"/>
  <c r="N507" i="116"/>
  <c r="O1018" i="116"/>
  <c r="H1121" i="116"/>
  <c r="M1014" i="116"/>
  <c r="I1012" i="116"/>
  <c r="O499" i="116"/>
  <c r="O1115" i="116"/>
  <c r="N1113" i="116"/>
  <c r="E1006" i="116"/>
  <c r="I1004" i="116"/>
  <c r="K491" i="116"/>
  <c r="D487" i="116"/>
  <c r="G998" i="116"/>
  <c r="E1101" i="116"/>
  <c r="H994" i="116"/>
  <c r="O992" i="116"/>
  <c r="I479" i="116"/>
  <c r="G990" i="116"/>
  <c r="N988" i="116"/>
  <c r="N986" i="116"/>
  <c r="L471" i="116"/>
  <c r="L982" i="116"/>
  <c r="N978" i="116"/>
  <c r="L465" i="116"/>
  <c r="E1081" i="116"/>
  <c r="I974" i="116"/>
  <c r="K461" i="116"/>
  <c r="E972" i="116"/>
  <c r="O459" i="116"/>
  <c r="K970" i="116"/>
  <c r="O966" i="116"/>
  <c r="D453" i="116"/>
  <c r="N964" i="116"/>
  <c r="N451" i="116"/>
  <c r="H962" i="116"/>
  <c r="L449" i="116"/>
  <c r="I447" i="116"/>
  <c r="K958" i="116"/>
  <c r="H648" i="116"/>
  <c r="G441" i="116"/>
  <c r="G952" i="116"/>
  <c r="H439" i="116"/>
  <c r="F437" i="116"/>
  <c r="F948" i="116"/>
  <c r="E640" i="116"/>
  <c r="D433" i="116"/>
  <c r="O944" i="116"/>
  <c r="J638" i="116"/>
  <c r="H636" i="116"/>
  <c r="K429" i="116"/>
  <c r="K940" i="116"/>
  <c r="M427" i="116"/>
  <c r="G632" i="116"/>
  <c r="J425" i="116"/>
  <c r="F936" i="116"/>
  <c r="M423" i="116"/>
  <c r="G628" i="116"/>
  <c r="D420" i="116"/>
  <c r="D624" i="116"/>
  <c r="D415" i="116"/>
  <c r="I925" i="116"/>
  <c r="G412" i="116"/>
  <c r="L409" i="116"/>
  <c r="K614" i="116"/>
  <c r="G405" i="116"/>
  <c r="N914" i="116"/>
  <c r="N401" i="116"/>
  <c r="G400" i="116"/>
  <c r="J605" i="116"/>
  <c r="J397" i="116"/>
  <c r="K396" i="116"/>
  <c r="K905" i="116"/>
  <c r="D905" i="116"/>
  <c r="L598" i="116"/>
  <c r="G901" i="116"/>
  <c r="M388" i="116"/>
  <c r="J388" i="116"/>
  <c r="K385" i="116"/>
  <c r="G590" i="116"/>
  <c r="G381" i="116"/>
  <c r="E586" i="116"/>
  <c r="G377" i="116"/>
  <c r="J886" i="116"/>
  <c r="N373" i="116"/>
  <c r="M575" i="116"/>
  <c r="L1253" i="116"/>
  <c r="I1222" i="116"/>
  <c r="D750" i="116"/>
  <c r="N709" i="116"/>
  <c r="E615" i="116"/>
  <c r="D402" i="116"/>
  <c r="E386" i="116"/>
  <c r="I378" i="116"/>
  <c r="I882" i="116"/>
  <c r="F866" i="116"/>
  <c r="M1236" i="116"/>
  <c r="I179" i="116"/>
  <c r="H1191" i="116"/>
  <c r="L128" i="116"/>
  <c r="M126" i="116"/>
  <c r="M843" i="116"/>
  <c r="G839" i="116"/>
  <c r="D114" i="116"/>
  <c r="L831" i="116"/>
  <c r="K106" i="116"/>
  <c r="O314" i="116"/>
  <c r="F98" i="116"/>
  <c r="O817" i="116"/>
  <c r="J302" i="116"/>
  <c r="N88" i="116"/>
  <c r="J807" i="116"/>
  <c r="J292" i="116"/>
  <c r="H803" i="116"/>
  <c r="L801" i="116"/>
  <c r="O797" i="116"/>
  <c r="D793" i="116"/>
  <c r="K278" i="116"/>
  <c r="F272" i="116"/>
  <c r="M779" i="116"/>
  <c r="F266" i="116"/>
  <c r="O773" i="116"/>
  <c r="O771" i="116"/>
  <c r="H767" i="116"/>
  <c r="I44" i="116"/>
  <c r="N765" i="116"/>
  <c r="K759" i="116"/>
  <c r="E36" i="116"/>
  <c r="E32" i="116"/>
  <c r="D543" i="116"/>
  <c r="O541" i="116"/>
  <c r="G539" i="116"/>
  <c r="D1048" i="116"/>
  <c r="L1046" i="116"/>
  <c r="E1149" i="116"/>
  <c r="G1042" i="116"/>
  <c r="N1145" i="116"/>
  <c r="D1038" i="116"/>
  <c r="D1036" i="116"/>
  <c r="G523" i="116"/>
  <c r="D519" i="116"/>
  <c r="N1030" i="116"/>
  <c r="F515" i="116"/>
  <c r="K1026" i="116"/>
  <c r="G1129" i="116"/>
  <c r="E1022" i="116"/>
  <c r="H1020" i="116"/>
  <c r="K507" i="116"/>
  <c r="K1016" i="116"/>
  <c r="D503" i="116"/>
  <c r="J1014" i="116"/>
  <c r="L499" i="116"/>
  <c r="J1010" i="116"/>
  <c r="E1113" i="116"/>
  <c r="H1006" i="116"/>
  <c r="D1004" i="116"/>
  <c r="I1002" i="116"/>
  <c r="E996" i="116"/>
  <c r="F994" i="116"/>
  <c r="N1097" i="116"/>
  <c r="H990" i="116"/>
  <c r="J986" i="116"/>
  <c r="D471" i="116"/>
  <c r="K982" i="116"/>
  <c r="M469" i="116"/>
  <c r="F231" i="116"/>
  <c r="M709" i="116"/>
  <c r="H166" i="116"/>
  <c r="N929" i="116"/>
  <c r="O919" i="116"/>
  <c r="D912" i="116"/>
  <c r="I904" i="116"/>
  <c r="E378" i="116"/>
  <c r="E882" i="116"/>
  <c r="M353" i="116"/>
  <c r="I1252" i="116"/>
  <c r="K206" i="116"/>
  <c r="F710" i="116"/>
  <c r="D176" i="116"/>
  <c r="O1191" i="116"/>
  <c r="N1179" i="116"/>
  <c r="L853" i="116"/>
  <c r="D126" i="116"/>
  <c r="I843" i="116"/>
  <c r="D116" i="116"/>
  <c r="N835" i="116"/>
  <c r="H831" i="116"/>
  <c r="K98" i="116"/>
  <c r="N817" i="116"/>
  <c r="E815" i="116"/>
  <c r="F302" i="116"/>
  <c r="I88" i="116"/>
  <c r="F807" i="116"/>
  <c r="F292" i="116"/>
  <c r="D803" i="116"/>
  <c r="D801" i="116"/>
  <c r="G797" i="116"/>
  <c r="K793" i="116"/>
  <c r="F781" i="116"/>
  <c r="L779" i="116"/>
  <c r="K777" i="116"/>
  <c r="J773" i="116"/>
  <c r="G771" i="116"/>
  <c r="D767" i="116"/>
  <c r="H254" i="116"/>
  <c r="F765" i="116"/>
  <c r="G759" i="116"/>
  <c r="L36" i="116"/>
  <c r="L32" i="116"/>
  <c r="O543" i="116"/>
  <c r="N1052" i="116"/>
  <c r="M1050" i="116"/>
  <c r="H1153" i="116"/>
  <c r="H1046" i="116"/>
  <c r="E1145" i="116"/>
  <c r="O1038" i="116"/>
  <c r="H1141" i="116"/>
  <c r="M1034" i="116"/>
  <c r="K1032" i="116"/>
  <c r="O519" i="116"/>
  <c r="J1030" i="116"/>
  <c r="L214" i="116"/>
  <c r="M191" i="116"/>
  <c r="E709" i="116"/>
  <c r="N1192" i="116"/>
  <c r="M416" i="116"/>
  <c r="H903" i="116"/>
  <c r="I382" i="116"/>
  <c r="L378" i="116"/>
  <c r="H882" i="116"/>
  <c r="D571" i="116"/>
  <c r="N563" i="116"/>
  <c r="H353" i="116"/>
  <c r="M554" i="116"/>
  <c r="E1252" i="116"/>
  <c r="L1220" i="116"/>
  <c r="K176" i="116"/>
  <c r="K1191" i="116"/>
  <c r="J1179" i="116"/>
  <c r="E853" i="116"/>
  <c r="J128" i="116"/>
  <c r="M120" i="116"/>
  <c r="K116" i="116"/>
  <c r="D835" i="116"/>
  <c r="O831" i="116"/>
  <c r="E316" i="116"/>
  <c r="N314" i="116"/>
  <c r="M823" i="116"/>
  <c r="H308" i="116"/>
  <c r="F817" i="116"/>
  <c r="H815" i="116"/>
  <c r="M302" i="116"/>
  <c r="L809" i="116"/>
  <c r="D807" i="116"/>
  <c r="E292" i="116"/>
  <c r="G801" i="116"/>
  <c r="N795" i="116"/>
  <c r="G793" i="116"/>
  <c r="F791" i="116"/>
  <c r="N785" i="116"/>
  <c r="M781" i="116"/>
  <c r="D779" i="116"/>
  <c r="G777" i="116"/>
  <c r="F773" i="116"/>
  <c r="M769" i="116"/>
  <c r="K767" i="116"/>
  <c r="D254" i="116"/>
  <c r="I765" i="116"/>
  <c r="J761" i="116"/>
  <c r="H36" i="116"/>
  <c r="O244" i="116"/>
  <c r="M755" i="116"/>
  <c r="E1056" i="116"/>
  <c r="K543" i="116"/>
  <c r="J1052" i="116"/>
  <c r="I1050" i="116"/>
  <c r="D1153" i="116"/>
  <c r="J531" i="116"/>
  <c r="K1038" i="116"/>
  <c r="O1141" i="116"/>
  <c r="H1034" i="116"/>
  <c r="G1032" i="116"/>
  <c r="G519" i="116"/>
  <c r="F1030" i="116"/>
  <c r="E515" i="116"/>
  <c r="D1022" i="116"/>
  <c r="H1125" i="116"/>
  <c r="E1018" i="116"/>
  <c r="K503" i="116"/>
  <c r="K1012" i="116"/>
  <c r="M1010" i="116"/>
  <c r="G1008" i="116"/>
  <c r="L495" i="116"/>
  <c r="O1006" i="116"/>
  <c r="D1109" i="116"/>
  <c r="L1002" i="116"/>
  <c r="N1000" i="116"/>
  <c r="E998" i="116"/>
  <c r="D996" i="116"/>
  <c r="M994" i="116"/>
  <c r="E481" i="116"/>
  <c r="M479" i="116"/>
  <c r="H1093" i="116"/>
  <c r="J475" i="116"/>
  <c r="K984" i="116"/>
  <c r="K1189" i="116"/>
  <c r="J660" i="116"/>
  <c r="L416" i="116"/>
  <c r="K406" i="116"/>
  <c r="O882" i="116"/>
  <c r="F563" i="116"/>
  <c r="G176" i="116"/>
  <c r="O338" i="116"/>
  <c r="K330" i="116"/>
  <c r="D833" i="116"/>
  <c r="K831" i="116"/>
  <c r="H316" i="116"/>
  <c r="E314" i="116"/>
  <c r="H823" i="116"/>
  <c r="G308" i="116"/>
  <c r="O815" i="116"/>
  <c r="E302" i="116"/>
  <c r="O807" i="116"/>
  <c r="L292" i="116"/>
  <c r="N80" i="116"/>
  <c r="E795" i="116"/>
  <c r="I791" i="116"/>
  <c r="N278" i="116"/>
  <c r="N787" i="116"/>
  <c r="J785" i="116"/>
  <c r="M783" i="116"/>
  <c r="K779" i="116"/>
  <c r="E773" i="116"/>
  <c r="K769" i="116"/>
  <c r="G767" i="116"/>
  <c r="E765" i="116"/>
  <c r="F761" i="116"/>
  <c r="D36" i="116"/>
  <c r="K244" i="116"/>
  <c r="E755" i="116"/>
  <c r="D1056" i="116"/>
  <c r="M1054" i="116"/>
  <c r="H1157" i="116"/>
  <c r="L1050" i="116"/>
  <c r="O1153" i="116"/>
  <c r="N1046" i="116"/>
  <c r="M531" i="116"/>
  <c r="N1042" i="116"/>
  <c r="N527" i="116"/>
  <c r="G1038" i="116"/>
  <c r="D1034" i="116"/>
  <c r="M1030" i="116"/>
  <c r="G1028" i="116"/>
  <c r="L515" i="116"/>
  <c r="N1129" i="116"/>
  <c r="O1022" i="116"/>
  <c r="D1125" i="116"/>
  <c r="L1018" i="116"/>
  <c r="N1016" i="116"/>
  <c r="G503" i="116"/>
  <c r="L1012" i="116"/>
  <c r="I1010" i="116"/>
  <c r="D495" i="116"/>
  <c r="K1006" i="116"/>
  <c r="G1109" i="116"/>
  <c r="F9" i="116"/>
  <c r="O693" i="116"/>
  <c r="F1205" i="116"/>
  <c r="M395" i="116"/>
  <c r="G378" i="116"/>
  <c r="H579" i="116"/>
  <c r="J879" i="116"/>
  <c r="K871" i="116"/>
  <c r="D562" i="116"/>
  <c r="O861" i="116"/>
  <c r="M742" i="116"/>
  <c r="H726" i="116"/>
  <c r="O197" i="116"/>
  <c r="J1209" i="116"/>
  <c r="I1194" i="116"/>
  <c r="I146" i="116"/>
  <c r="K328" i="116"/>
  <c r="K837" i="116"/>
  <c r="L110" i="116"/>
  <c r="G827" i="116"/>
  <c r="E96" i="116"/>
  <c r="H304" i="116"/>
  <c r="D86" i="116"/>
  <c r="E805" i="116"/>
  <c r="M803" i="116"/>
  <c r="G290" i="116"/>
  <c r="D799" i="116"/>
  <c r="L284" i="116"/>
  <c r="M72" i="116"/>
  <c r="D280" i="116"/>
  <c r="E68" i="116"/>
  <c r="K789" i="116"/>
  <c r="H785" i="116"/>
  <c r="D62" i="116"/>
  <c r="G266" i="116"/>
  <c r="H775" i="116"/>
  <c r="M50" i="116"/>
  <c r="F258" i="116"/>
  <c r="E256" i="116"/>
  <c r="O765" i="116"/>
  <c r="O763" i="116"/>
  <c r="E38" i="116"/>
  <c r="O36" i="116"/>
  <c r="J246" i="116"/>
  <c r="D244" i="116"/>
  <c r="M539" i="116"/>
  <c r="K537" i="116"/>
  <c r="M1046" i="116"/>
  <c r="M1044" i="116"/>
  <c r="E1042" i="116"/>
  <c r="E1038" i="116"/>
  <c r="E1036" i="116"/>
  <c r="H523" i="116"/>
  <c r="J1034" i="116"/>
  <c r="G1030" i="116"/>
  <c r="N1133" i="116"/>
  <c r="L1026" i="116"/>
  <c r="N1024" i="116"/>
  <c r="O511" i="116"/>
  <c r="O1020" i="116"/>
  <c r="M507" i="116"/>
  <c r="N1018" i="116"/>
  <c r="J503" i="116"/>
  <c r="J499" i="116"/>
  <c r="G1010" i="116"/>
  <c r="G1113" i="116"/>
  <c r="N495" i="116"/>
  <c r="M1004" i="116"/>
  <c r="G491" i="116"/>
  <c r="J1002" i="116"/>
  <c r="K487" i="116"/>
  <c r="O196" i="116"/>
  <c r="D693" i="116"/>
  <c r="G386" i="116"/>
  <c r="D879" i="116"/>
  <c r="J345" i="116"/>
  <c r="J340" i="116"/>
  <c r="J332" i="116"/>
  <c r="F326" i="116"/>
  <c r="G831" i="116"/>
  <c r="O827" i="116"/>
  <c r="E825" i="116"/>
  <c r="K304" i="116"/>
  <c r="L86" i="116"/>
  <c r="M290" i="116"/>
  <c r="M797" i="116"/>
  <c r="H72" i="116"/>
  <c r="E278" i="116"/>
  <c r="F268" i="116"/>
  <c r="K266" i="116"/>
  <c r="M773" i="116"/>
  <c r="N258" i="116"/>
  <c r="M254" i="116"/>
  <c r="M759" i="116"/>
  <c r="D755" i="116"/>
  <c r="K1157" i="116"/>
  <c r="K1048" i="116"/>
  <c r="J1044" i="116"/>
  <c r="F527" i="116"/>
  <c r="H1036" i="116"/>
  <c r="F519" i="116"/>
  <c r="G1026" i="116"/>
  <c r="N511" i="116"/>
  <c r="F1022" i="116"/>
  <c r="H1018" i="116"/>
  <c r="N1014" i="116"/>
  <c r="D1010" i="116"/>
  <c r="H998" i="116"/>
  <c r="I483" i="116"/>
  <c r="G994" i="116"/>
  <c r="G1097" i="116"/>
  <c r="L990" i="116"/>
  <c r="N475" i="116"/>
  <c r="E984" i="116"/>
  <c r="N471" i="116"/>
  <c r="K469" i="116"/>
  <c r="N980" i="116"/>
  <c r="G467" i="116"/>
  <c r="I465" i="116"/>
  <c r="I463" i="116"/>
  <c r="H974" i="116"/>
  <c r="N461" i="116"/>
  <c r="D1077" i="116"/>
  <c r="N459" i="116"/>
  <c r="L457" i="116"/>
  <c r="D968" i="116"/>
  <c r="H455" i="116"/>
  <c r="M966" i="116"/>
  <c r="M453" i="116"/>
  <c r="K451" i="116"/>
  <c r="E962" i="116"/>
  <c r="E449" i="116"/>
  <c r="E447" i="116"/>
  <c r="H1063" i="116"/>
  <c r="K648" i="116"/>
  <c r="F441" i="116"/>
  <c r="I952" i="116"/>
  <c r="I644" i="116"/>
  <c r="D437" i="116"/>
  <c r="G948" i="116"/>
  <c r="D435" i="116"/>
  <c r="F640" i="116"/>
  <c r="L944" i="116"/>
  <c r="D636" i="116"/>
  <c r="H938" i="116"/>
  <c r="F632" i="116"/>
  <c r="D936" i="116"/>
  <c r="H628" i="116"/>
  <c r="E420" i="116"/>
  <c r="L624" i="116"/>
  <c r="L415" i="116"/>
  <c r="E925" i="116"/>
  <c r="K409" i="116"/>
  <c r="N614" i="116"/>
  <c r="L918" i="116"/>
  <c r="I405" i="116"/>
  <c r="D401" i="116"/>
  <c r="L400" i="116"/>
  <c r="K605" i="116"/>
  <c r="G397" i="116"/>
  <c r="D396" i="116"/>
  <c r="O905" i="116"/>
  <c r="O598" i="116"/>
  <c r="D598" i="116"/>
  <c r="N901" i="116"/>
  <c r="H388" i="116"/>
  <c r="I898" i="116"/>
  <c r="F385" i="116"/>
  <c r="E590" i="116"/>
  <c r="L381" i="116"/>
  <c r="E381" i="116"/>
  <c r="D377" i="116"/>
  <c r="K582" i="116"/>
  <c r="D582" i="116"/>
  <c r="I575" i="116"/>
  <c r="I574" i="116"/>
  <c r="L365" i="116"/>
  <c r="I365" i="116"/>
  <c r="L361" i="116"/>
  <c r="I361" i="116"/>
  <c r="E566" i="116"/>
  <c r="H357" i="116"/>
  <c r="E357" i="116"/>
  <c r="O867" i="116"/>
  <c r="K558" i="116"/>
  <c r="N557" i="116"/>
  <c r="N859" i="116"/>
  <c r="N346" i="116"/>
  <c r="O551" i="116"/>
  <c r="G1263" i="116"/>
  <c r="F1261" i="116"/>
  <c r="I746" i="116"/>
  <c r="D741" i="116"/>
  <c r="L220" i="116"/>
  <c r="H733" i="116"/>
  <c r="O730" i="116"/>
  <c r="J1233" i="116"/>
  <c r="L203" i="116"/>
  <c r="F1229" i="116"/>
  <c r="K703" i="116"/>
  <c r="I1213" i="116"/>
  <c r="N1208" i="116"/>
  <c r="M175" i="116"/>
  <c r="I688" i="116"/>
  <c r="D1198" i="116"/>
  <c r="M1187" i="116"/>
  <c r="K672" i="116"/>
  <c r="H1182" i="116"/>
  <c r="I1171" i="116"/>
  <c r="E1168" i="116"/>
  <c r="G1166" i="116"/>
  <c r="F1264" i="116"/>
  <c r="N745" i="116"/>
  <c r="E226" i="116"/>
  <c r="G739" i="116"/>
  <c r="G1241" i="116"/>
  <c r="F210" i="116"/>
  <c r="D723" i="116"/>
  <c r="O1231" i="116"/>
  <c r="J1228" i="116"/>
  <c r="J195" i="116"/>
  <c r="H708" i="116"/>
  <c r="E708" i="116"/>
  <c r="M1210" i="116"/>
  <c r="O1207" i="116"/>
  <c r="D691" i="116"/>
  <c r="L1196" i="116"/>
  <c r="I1193" i="116"/>
  <c r="I162" i="116"/>
  <c r="G151" i="116"/>
  <c r="D145" i="116"/>
  <c r="H658" i="116"/>
  <c r="O653" i="116"/>
  <c r="M1258" i="116"/>
  <c r="F227" i="116"/>
  <c r="F219" i="116"/>
  <c r="G1242" i="116"/>
  <c r="K211" i="116"/>
  <c r="I1223" i="116"/>
  <c r="H192" i="116"/>
  <c r="F1215" i="116"/>
  <c r="L178" i="116"/>
  <c r="J1204" i="116"/>
  <c r="D675" i="116"/>
  <c r="N1185" i="116"/>
  <c r="O929" i="116"/>
  <c r="N879" i="116"/>
  <c r="F345" i="116"/>
  <c r="N1236" i="116"/>
  <c r="O1194" i="116"/>
  <c r="F340" i="116"/>
  <c r="L837" i="116"/>
  <c r="K827" i="116"/>
  <c r="I819" i="116"/>
  <c r="F813" i="116"/>
  <c r="N803" i="116"/>
  <c r="E74" i="116"/>
  <c r="G282" i="116"/>
  <c r="D791" i="116"/>
  <c r="H789" i="116"/>
  <c r="K785" i="116"/>
  <c r="I268" i="116"/>
  <c r="G773" i="116"/>
  <c r="M258" i="116"/>
  <c r="N767" i="116"/>
  <c r="E254" i="116"/>
  <c r="M761" i="116"/>
  <c r="E759" i="116"/>
  <c r="K32" i="116"/>
  <c r="I543" i="116"/>
  <c r="G1157" i="116"/>
  <c r="F1044" i="116"/>
  <c r="L527" i="116"/>
  <c r="N1034" i="116"/>
  <c r="L519" i="116"/>
  <c r="J511" i="116"/>
  <c r="M1020" i="116"/>
  <c r="D1018" i="116"/>
  <c r="N503" i="116"/>
  <c r="O1012" i="116"/>
  <c r="O1010" i="116"/>
  <c r="H1105" i="116"/>
  <c r="O998" i="116"/>
  <c r="H483" i="116"/>
  <c r="D990" i="116"/>
  <c r="J988" i="116"/>
  <c r="F475" i="116"/>
  <c r="L984" i="116"/>
  <c r="F471" i="116"/>
  <c r="G469" i="116"/>
  <c r="D980" i="116"/>
  <c r="H465" i="116"/>
  <c r="E463" i="116"/>
  <c r="D974" i="116"/>
  <c r="J461" i="116"/>
  <c r="O1077" i="116"/>
  <c r="F459" i="116"/>
  <c r="D457" i="116"/>
  <c r="K968" i="116"/>
  <c r="O455" i="116"/>
  <c r="I966" i="116"/>
  <c r="E453" i="116"/>
  <c r="L962" i="116"/>
  <c r="D449" i="116"/>
  <c r="E1065" i="116"/>
  <c r="D1063" i="116"/>
  <c r="G648" i="116"/>
  <c r="M441" i="116"/>
  <c r="E952" i="116"/>
  <c r="L644" i="116"/>
  <c r="O437" i="116"/>
  <c r="O435" i="116"/>
  <c r="L433" i="116"/>
  <c r="H944" i="116"/>
  <c r="F638" i="116"/>
  <c r="O636" i="116"/>
  <c r="N940" i="116"/>
  <c r="D938" i="116"/>
  <c r="H425" i="116"/>
  <c r="O936" i="116"/>
  <c r="D628" i="116"/>
  <c r="L420" i="116"/>
  <c r="H624" i="116"/>
  <c r="O415" i="116"/>
  <c r="L925" i="116"/>
  <c r="N412" i="116"/>
  <c r="G409" i="116"/>
  <c r="J614" i="116"/>
  <c r="H918" i="116"/>
  <c r="E405" i="116"/>
  <c r="O401" i="116"/>
  <c r="H400" i="116"/>
  <c r="G605" i="116"/>
  <c r="O396" i="116"/>
  <c r="G905" i="116"/>
  <c r="K598" i="116"/>
  <c r="J901" i="116"/>
  <c r="D388" i="116"/>
  <c r="H898" i="116"/>
  <c r="M385" i="116"/>
  <c r="L590" i="116"/>
  <c r="H381" i="116"/>
  <c r="F586" i="116"/>
  <c r="O377" i="116"/>
  <c r="G582" i="116"/>
  <c r="N886" i="116"/>
  <c r="J373" i="116"/>
  <c r="E575" i="116"/>
  <c r="E574" i="116"/>
  <c r="H365" i="116"/>
  <c r="E365" i="116"/>
  <c r="H361" i="116"/>
  <c r="E361" i="116"/>
  <c r="L566" i="116"/>
  <c r="D357" i="116"/>
  <c r="K867" i="116"/>
  <c r="G558" i="116"/>
  <c r="J557" i="116"/>
  <c r="J859" i="116"/>
  <c r="J346" i="116"/>
  <c r="K551" i="116"/>
  <c r="M1261" i="116"/>
  <c r="E746" i="116"/>
  <c r="I1251" i="116"/>
  <c r="H220" i="116"/>
  <c r="D733" i="116"/>
  <c r="K730" i="116"/>
  <c r="F1233" i="116"/>
  <c r="H203" i="116"/>
  <c r="M1229" i="116"/>
  <c r="I193" i="116"/>
  <c r="J703" i="116"/>
  <c r="E1213" i="116"/>
  <c r="E1208" i="116"/>
  <c r="D175" i="116"/>
  <c r="E688" i="116"/>
  <c r="O1198" i="116"/>
  <c r="I1187" i="116"/>
  <c r="F879" i="116"/>
  <c r="M345" i="116"/>
  <c r="M1220" i="116"/>
  <c r="K1194" i="116"/>
  <c r="H340" i="116"/>
  <c r="N849" i="116"/>
  <c r="M330" i="116"/>
  <c r="D837" i="116"/>
  <c r="J104" i="116"/>
  <c r="H819" i="116"/>
  <c r="K300" i="116"/>
  <c r="F803" i="116"/>
  <c r="N801" i="116"/>
  <c r="K74" i="116"/>
  <c r="O791" i="116"/>
  <c r="D789" i="116"/>
  <c r="G785" i="116"/>
  <c r="L783" i="116"/>
  <c r="E268" i="116"/>
  <c r="J266" i="116"/>
  <c r="I258" i="116"/>
  <c r="F767" i="116"/>
  <c r="G765" i="116"/>
  <c r="I761" i="116"/>
  <c r="L759" i="116"/>
  <c r="G32" i="116"/>
  <c r="L543" i="116"/>
  <c r="J535" i="116"/>
  <c r="J1042" i="116"/>
  <c r="K527" i="116"/>
  <c r="F1034" i="116"/>
  <c r="I1030" i="116"/>
  <c r="F511" i="116"/>
  <c r="I1020" i="116"/>
  <c r="K1018" i="116"/>
  <c r="M503" i="116"/>
  <c r="K1010" i="116"/>
  <c r="M495" i="116"/>
  <c r="J1006" i="116"/>
  <c r="E1002" i="116"/>
  <c r="D1105" i="116"/>
  <c r="K998" i="116"/>
  <c r="D483" i="116"/>
  <c r="D1093" i="116"/>
  <c r="M986" i="116"/>
  <c r="D1089" i="116"/>
  <c r="M982" i="116"/>
  <c r="J978" i="116"/>
  <c r="O976" i="116"/>
  <c r="L463" i="116"/>
  <c r="K974" i="116"/>
  <c r="F461" i="116"/>
  <c r="K1077" i="116"/>
  <c r="I970" i="116"/>
  <c r="O457" i="116"/>
  <c r="G968" i="116"/>
  <c r="K455" i="116"/>
  <c r="E966" i="116"/>
  <c r="D962" i="116"/>
  <c r="K449" i="116"/>
  <c r="L447" i="116"/>
  <c r="I441" i="116"/>
  <c r="H644" i="116"/>
  <c r="K437" i="116"/>
  <c r="M640" i="116"/>
  <c r="H433" i="116"/>
  <c r="G944" i="116"/>
  <c r="N431" i="116"/>
  <c r="K636" i="116"/>
  <c r="N429" i="116"/>
  <c r="J940" i="116"/>
  <c r="M632" i="116"/>
  <c r="D425" i="116"/>
  <c r="G936" i="116"/>
  <c r="N423" i="116"/>
  <c r="O628" i="116"/>
  <c r="H420" i="116"/>
  <c r="K624" i="116"/>
  <c r="K415" i="116"/>
  <c r="H925" i="116"/>
  <c r="J412" i="116"/>
  <c r="F614" i="116"/>
  <c r="G918" i="116"/>
  <c r="N610" i="116"/>
  <c r="K401" i="116"/>
  <c r="D400" i="116"/>
  <c r="N397" i="116"/>
  <c r="G396" i="116"/>
  <c r="G598" i="116"/>
  <c r="J902" i="116"/>
  <c r="F901" i="116"/>
  <c r="O388" i="116"/>
  <c r="D898" i="116"/>
  <c r="I385" i="116"/>
  <c r="H590" i="116"/>
  <c r="D381" i="116"/>
  <c r="M586" i="116"/>
  <c r="K377" i="116"/>
  <c r="L886" i="116"/>
  <c r="F373" i="116"/>
  <c r="G575" i="116"/>
  <c r="L574" i="116"/>
  <c r="D365" i="116"/>
  <c r="N570" i="116"/>
  <c r="D361" i="116"/>
  <c r="O566" i="116"/>
  <c r="H566" i="116"/>
  <c r="O357" i="116"/>
  <c r="G867" i="116"/>
  <c r="N558" i="116"/>
  <c r="M557" i="116"/>
  <c r="F557" i="116"/>
  <c r="I859" i="116"/>
  <c r="F346" i="116"/>
  <c r="G551" i="116"/>
  <c r="N1263" i="116"/>
  <c r="I1261" i="116"/>
  <c r="L746" i="116"/>
  <c r="E1251" i="116"/>
  <c r="D220" i="116"/>
  <c r="G730" i="116"/>
  <c r="I1233" i="116"/>
  <c r="D203" i="116"/>
  <c r="I1229" i="116"/>
  <c r="E193" i="116"/>
  <c r="F703" i="116"/>
  <c r="L1213" i="116"/>
  <c r="O177" i="116"/>
  <c r="O175" i="116"/>
  <c r="K1198" i="116"/>
  <c r="O1187" i="116"/>
  <c r="N672" i="116"/>
  <c r="O1182" i="116"/>
  <c r="O1168" i="116"/>
  <c r="H1168" i="116"/>
  <c r="N1166" i="116"/>
  <c r="I1264" i="116"/>
  <c r="O226" i="116"/>
  <c r="J744" i="116"/>
  <c r="I701" i="116"/>
  <c r="L1175" i="116"/>
  <c r="F395" i="116"/>
  <c r="M386" i="116"/>
  <c r="F887" i="116"/>
  <c r="J366" i="116"/>
  <c r="J861" i="116"/>
  <c r="L1252" i="116"/>
  <c r="E1220" i="116"/>
  <c r="E1177" i="116"/>
  <c r="E849" i="116"/>
  <c r="F841" i="116"/>
  <c r="M318" i="116"/>
  <c r="E104" i="116"/>
  <c r="D823" i="116"/>
  <c r="K819" i="116"/>
  <c r="K815" i="116"/>
  <c r="G300" i="116"/>
  <c r="K807" i="116"/>
  <c r="I803" i="116"/>
  <c r="M801" i="116"/>
  <c r="I284" i="116"/>
  <c r="G791" i="116"/>
  <c r="D783" i="116"/>
  <c r="H268" i="116"/>
  <c r="J50" i="116"/>
  <c r="E767" i="116"/>
  <c r="E761" i="116"/>
  <c r="K36" i="116"/>
  <c r="J244" i="116"/>
  <c r="I1054" i="116"/>
  <c r="J539" i="116"/>
  <c r="I535" i="116"/>
  <c r="F1042" i="116"/>
  <c r="I1038" i="116"/>
  <c r="N523" i="116"/>
  <c r="E1030" i="116"/>
  <c r="N1026" i="116"/>
  <c r="M511" i="116"/>
  <c r="D1020" i="116"/>
  <c r="G1018" i="116"/>
  <c r="L503" i="116"/>
  <c r="O495" i="116"/>
  <c r="F1004" i="116"/>
  <c r="H1002" i="116"/>
  <c r="O1105" i="116"/>
  <c r="K483" i="116"/>
  <c r="N994" i="116"/>
  <c r="E1097" i="116"/>
  <c r="O1093" i="116"/>
  <c r="I986" i="116"/>
  <c r="O1089" i="116"/>
  <c r="I982" i="116"/>
  <c r="N467" i="116"/>
  <c r="F978" i="116"/>
  <c r="K976" i="116"/>
  <c r="D463" i="116"/>
  <c r="G974" i="116"/>
  <c r="M461" i="116"/>
  <c r="G1077" i="116"/>
  <c r="L970" i="116"/>
  <c r="K457" i="116"/>
  <c r="N1073" i="116"/>
  <c r="G455" i="116"/>
  <c r="L453" i="116"/>
  <c r="J451" i="116"/>
  <c r="K962" i="116"/>
  <c r="L960" i="116"/>
  <c r="H447" i="116"/>
  <c r="N958" i="116"/>
  <c r="L443" i="116"/>
  <c r="J648" i="116"/>
  <c r="E441" i="116"/>
  <c r="D644" i="116"/>
  <c r="N948" i="116"/>
  <c r="I640" i="116"/>
  <c r="O433" i="116"/>
  <c r="J431" i="116"/>
  <c r="G636" i="116"/>
  <c r="F429" i="116"/>
  <c r="F940" i="116"/>
  <c r="E632" i="116"/>
  <c r="O425" i="116"/>
  <c r="J423" i="116"/>
  <c r="K628" i="116"/>
  <c r="O420" i="116"/>
  <c r="F624" i="116"/>
  <c r="G415" i="116"/>
  <c r="D925" i="116"/>
  <c r="F412" i="116"/>
  <c r="I614" i="116"/>
  <c r="L405" i="116"/>
  <c r="J610" i="116"/>
  <c r="G401" i="116"/>
  <c r="O400" i="116"/>
  <c r="N605" i="116"/>
  <c r="F397" i="116"/>
  <c r="F902" i="116"/>
  <c r="M901" i="116"/>
  <c r="K388" i="116"/>
  <c r="L385" i="116"/>
  <c r="E385" i="116"/>
  <c r="D590" i="116"/>
  <c r="O381" i="116"/>
  <c r="I586" i="116"/>
  <c r="H886" i="116"/>
  <c r="M373" i="116"/>
  <c r="O574" i="116"/>
  <c r="H574" i="116"/>
  <c r="O365" i="116"/>
  <c r="J570" i="116"/>
  <c r="O361" i="116"/>
  <c r="K566" i="116"/>
  <c r="D566" i="116"/>
  <c r="K357" i="116"/>
  <c r="N867" i="116"/>
  <c r="E354" i="116"/>
  <c r="J558" i="116"/>
  <c r="I557" i="116"/>
  <c r="N556" i="116"/>
  <c r="E859" i="116"/>
  <c r="M346" i="116"/>
  <c r="J1263" i="116"/>
  <c r="E1261" i="116"/>
  <c r="H746" i="116"/>
  <c r="L1251" i="116"/>
  <c r="N220" i="116"/>
  <c r="N730" i="116"/>
  <c r="N725" i="116"/>
  <c r="E1233" i="116"/>
  <c r="O203" i="116"/>
  <c r="E1229" i="116"/>
  <c r="O1213" i="116"/>
  <c r="H1213" i="116"/>
  <c r="K177" i="116"/>
  <c r="K175" i="116"/>
  <c r="G1198" i="116"/>
  <c r="K1187" i="116"/>
  <c r="E672" i="116"/>
  <c r="K1182" i="116"/>
  <c r="K1168" i="116"/>
  <c r="D1168" i="116"/>
  <c r="J1166" i="116"/>
  <c r="E1264" i="116"/>
  <c r="K226" i="116"/>
  <c r="D226" i="116"/>
  <c r="N739" i="116"/>
  <c r="L1241" i="116"/>
  <c r="E210" i="116"/>
  <c r="G723" i="116"/>
  <c r="I195" i="116"/>
  <c r="K708" i="116"/>
  <c r="I187" i="116"/>
  <c r="H1210" i="116"/>
  <c r="G691" i="116"/>
  <c r="O162" i="116"/>
  <c r="H162" i="116"/>
  <c r="F1188" i="116"/>
  <c r="O1176" i="116"/>
  <c r="G145" i="116"/>
  <c r="K658" i="116"/>
  <c r="N235" i="116"/>
  <c r="L1258" i="116"/>
  <c r="E227" i="116"/>
  <c r="F1250" i="116"/>
  <c r="O219" i="116"/>
  <c r="F1242" i="116"/>
  <c r="J211" i="116"/>
  <c r="H662" i="116"/>
  <c r="H1170" i="116"/>
  <c r="K369" i="116"/>
  <c r="F362" i="116"/>
  <c r="K197" i="116"/>
  <c r="E1199" i="116"/>
  <c r="E122" i="116"/>
  <c r="I110" i="116"/>
  <c r="D316" i="116"/>
  <c r="J821" i="116"/>
  <c r="J304" i="116"/>
  <c r="J809" i="116"/>
  <c r="D290" i="116"/>
  <c r="O795" i="116"/>
  <c r="K280" i="116"/>
  <c r="D787" i="116"/>
  <c r="E62" i="116"/>
  <c r="L781" i="116"/>
  <c r="L266" i="116"/>
  <c r="D775" i="116"/>
  <c r="F771" i="116"/>
  <c r="I256" i="116"/>
  <c r="O761" i="116"/>
  <c r="N246" i="116"/>
  <c r="G1161" i="116"/>
  <c r="N1054" i="116"/>
  <c r="N1050" i="116"/>
  <c r="F1046" i="116"/>
  <c r="I1042" i="116"/>
  <c r="M1036" i="116"/>
  <c r="O1034" i="116"/>
  <c r="O1137" i="116"/>
  <c r="I1028" i="116"/>
  <c r="E1026" i="116"/>
  <c r="O1129" i="116"/>
  <c r="G1022" i="116"/>
  <c r="H507" i="116"/>
  <c r="J1016" i="116"/>
  <c r="G1014" i="116"/>
  <c r="D499" i="116"/>
  <c r="J1008" i="116"/>
  <c r="L1006" i="116"/>
  <c r="H491" i="116"/>
  <c r="O1000" i="116"/>
  <c r="E994" i="116"/>
  <c r="M990" i="116"/>
  <c r="M477" i="116"/>
  <c r="E475" i="116"/>
  <c r="G471" i="116"/>
  <c r="N982" i="116"/>
  <c r="D469" i="116"/>
  <c r="D467" i="116"/>
  <c r="D978" i="116"/>
  <c r="J465" i="116"/>
  <c r="J463" i="116"/>
  <c r="O1079" i="116"/>
  <c r="L972" i="116"/>
  <c r="G459" i="116"/>
  <c r="I457" i="116"/>
  <c r="M455" i="116"/>
  <c r="N453" i="116"/>
  <c r="L451" i="116"/>
  <c r="J962" i="116"/>
  <c r="F449" i="116"/>
  <c r="O1065" i="116"/>
  <c r="H958" i="116"/>
  <c r="L648" i="116"/>
  <c r="J952" i="116"/>
  <c r="N950" i="116"/>
  <c r="J644" i="116"/>
  <c r="L948" i="116"/>
  <c r="E435" i="116"/>
  <c r="M433" i="116"/>
  <c r="I944" i="116"/>
  <c r="M636" i="116"/>
  <c r="D429" i="116"/>
  <c r="O940" i="116"/>
  <c r="I427" i="116"/>
  <c r="I425" i="116"/>
  <c r="J630" i="116"/>
  <c r="I628" i="116"/>
  <c r="D627" i="116"/>
  <c r="L419" i="116"/>
  <c r="M415" i="116"/>
  <c r="N925" i="116"/>
  <c r="O412" i="116"/>
  <c r="G922" i="116"/>
  <c r="G614" i="116"/>
  <c r="N405" i="116"/>
  <c r="E914" i="116"/>
  <c r="M400" i="116"/>
  <c r="H605" i="116"/>
  <c r="D397" i="116"/>
  <c r="E396" i="116"/>
  <c r="E905" i="116"/>
  <c r="I598" i="116"/>
  <c r="K901" i="116"/>
  <c r="I388" i="116"/>
  <c r="J898" i="116"/>
  <c r="F590" i="116"/>
  <c r="O894" i="116"/>
  <c r="F381" i="116"/>
  <c r="H890" i="116"/>
  <c r="I377" i="116"/>
  <c r="E582" i="116"/>
  <c r="O373" i="116"/>
  <c r="N575" i="116"/>
  <c r="J574" i="116"/>
  <c r="L878" i="116"/>
  <c r="J365" i="116"/>
  <c r="O874" i="116"/>
  <c r="J361" i="116"/>
  <c r="F566" i="116"/>
  <c r="O870" i="116"/>
  <c r="F357" i="116"/>
  <c r="L867" i="116"/>
  <c r="J559" i="116"/>
  <c r="H558" i="116"/>
  <c r="K557" i="116"/>
  <c r="H859" i="116"/>
  <c r="G346" i="116"/>
  <c r="L551" i="116"/>
  <c r="I1263" i="116"/>
  <c r="J746" i="116"/>
  <c r="E1256" i="116"/>
  <c r="M220" i="116"/>
  <c r="L730" i="116"/>
  <c r="K207" i="116"/>
  <c r="M203" i="116"/>
  <c r="E711" i="116"/>
  <c r="I703" i="116"/>
  <c r="J1213" i="116"/>
  <c r="G1208" i="116"/>
  <c r="N175" i="116"/>
  <c r="N688" i="116"/>
  <c r="E1198" i="116"/>
  <c r="D1190" i="116"/>
  <c r="H672" i="116"/>
  <c r="I1182" i="116"/>
  <c r="N1171" i="116"/>
  <c r="F1168" i="116"/>
  <c r="D1166" i="116"/>
  <c r="O1264" i="116"/>
  <c r="K745" i="116"/>
  <c r="F226" i="116"/>
  <c r="D739" i="116"/>
  <c r="D218" i="116"/>
  <c r="E723" i="116"/>
  <c r="G1228" i="116"/>
  <c r="K195" i="116"/>
  <c r="F708" i="116"/>
  <c r="J184" i="116"/>
  <c r="L1207" i="116"/>
  <c r="E691" i="116"/>
  <c r="N1201" i="116"/>
  <c r="N1193" i="116"/>
  <c r="J162" i="116"/>
  <c r="K1188" i="116"/>
  <c r="I151" i="116"/>
  <c r="E145" i="116"/>
  <c r="I658" i="116"/>
  <c r="N1258" i="116"/>
  <c r="G227" i="116"/>
  <c r="G1250" i="116"/>
  <c r="J732" i="116"/>
  <c r="D1242" i="116"/>
  <c r="H211" i="116"/>
  <c r="L1226" i="116"/>
  <c r="I192" i="116"/>
  <c r="O705" i="116"/>
  <c r="H705" i="116"/>
  <c r="K173" i="116"/>
  <c r="J683" i="116"/>
  <c r="I675" i="116"/>
  <c r="G1185" i="116"/>
  <c r="I1174" i="116"/>
  <c r="L143" i="116"/>
  <c r="D140" i="116"/>
  <c r="L623" i="116"/>
  <c r="G413" i="116"/>
  <c r="D617" i="116"/>
  <c r="K921" i="116"/>
  <c r="D921" i="116"/>
  <c r="J408" i="116"/>
  <c r="I404" i="116"/>
  <c r="L609" i="116"/>
  <c r="E609" i="116"/>
  <c r="L913" i="116"/>
  <c r="M910" i="116"/>
  <c r="G602" i="116"/>
  <c r="K906" i="116"/>
  <c r="M393" i="116"/>
  <c r="L389" i="116"/>
  <c r="I389" i="116"/>
  <c r="L594" i="116"/>
  <c r="F593" i="116"/>
  <c r="M897" i="116"/>
  <c r="O384" i="116"/>
  <c r="N589" i="116"/>
  <c r="J585" i="116"/>
  <c r="F889" i="116"/>
  <c r="D376" i="116"/>
  <c r="N581" i="116"/>
  <c r="N372" i="116"/>
  <c r="D371" i="116"/>
  <c r="M364" i="116"/>
  <c r="J364" i="116"/>
  <c r="M569" i="116"/>
  <c r="E873" i="116"/>
  <c r="H625" i="116"/>
  <c r="F374" i="116"/>
  <c r="D567" i="116"/>
  <c r="N866" i="116"/>
  <c r="N345" i="116"/>
  <c r="F206" i="116"/>
  <c r="M1181" i="116"/>
  <c r="K839" i="116"/>
  <c r="O825" i="116"/>
  <c r="J98" i="116"/>
  <c r="N92" i="116"/>
  <c r="D292" i="116"/>
  <c r="E801" i="116"/>
  <c r="K795" i="116"/>
  <c r="L68" i="116"/>
  <c r="J272" i="116"/>
  <c r="H262" i="116"/>
  <c r="H761" i="116"/>
  <c r="D1054" i="116"/>
  <c r="N1155" i="116"/>
  <c r="D1028" i="116"/>
  <c r="L1022" i="116"/>
  <c r="F1018" i="116"/>
  <c r="O491" i="116"/>
  <c r="L487" i="116"/>
  <c r="L996" i="116"/>
  <c r="D479" i="116"/>
  <c r="F477" i="116"/>
  <c r="L986" i="116"/>
  <c r="F469" i="116"/>
  <c r="L467" i="116"/>
  <c r="K1081" i="116"/>
  <c r="D972" i="116"/>
  <c r="G970" i="116"/>
  <c r="G1073" i="116"/>
  <c r="O964" i="116"/>
  <c r="O960" i="116"/>
  <c r="O441" i="116"/>
  <c r="G640" i="116"/>
  <c r="E431" i="116"/>
  <c r="J427" i="116"/>
  <c r="K425" i="116"/>
  <c r="E936" i="116"/>
  <c r="I624" i="116"/>
  <c r="I409" i="116"/>
  <c r="H405" i="116"/>
  <c r="G914" i="116"/>
  <c r="F400" i="116"/>
  <c r="F396" i="116"/>
  <c r="L905" i="116"/>
  <c r="O9" i="116"/>
  <c r="N1253" i="116"/>
  <c r="H696" i="116"/>
  <c r="O158" i="116"/>
  <c r="I871" i="116"/>
  <c r="M206" i="116"/>
  <c r="G1179" i="116"/>
  <c r="K825" i="116"/>
  <c r="F92" i="116"/>
  <c r="L799" i="116"/>
  <c r="G795" i="116"/>
  <c r="I787" i="116"/>
  <c r="F779" i="116"/>
  <c r="N256" i="116"/>
  <c r="N254" i="116"/>
  <c r="O38" i="116"/>
  <c r="H757" i="116"/>
  <c r="H755" i="116"/>
  <c r="G1054" i="116"/>
  <c r="G537" i="116"/>
  <c r="I531" i="116"/>
  <c r="K1022" i="116"/>
  <c r="J497" i="116"/>
  <c r="I1006" i="116"/>
  <c r="O487" i="116"/>
  <c r="J994" i="116"/>
  <c r="G479" i="116"/>
  <c r="G988" i="116"/>
  <c r="H986" i="116"/>
  <c r="I469" i="116"/>
  <c r="O467" i="116"/>
  <c r="G1081" i="116"/>
  <c r="H1077" i="116"/>
  <c r="J966" i="116"/>
  <c r="G964" i="116"/>
  <c r="N962" i="116"/>
  <c r="K960" i="116"/>
  <c r="N447" i="116"/>
  <c r="H443" i="116"/>
  <c r="K441" i="116"/>
  <c r="N644" i="116"/>
  <c r="L431" i="116"/>
  <c r="M429" i="116"/>
  <c r="F427" i="116"/>
  <c r="F630" i="116"/>
  <c r="E624" i="116"/>
  <c r="F922" i="116"/>
  <c r="O614" i="116"/>
  <c r="D405" i="116"/>
  <c r="H401" i="116"/>
  <c r="L605" i="116"/>
  <c r="M397" i="116"/>
  <c r="H905" i="116"/>
  <c r="O902" i="116"/>
  <c r="G388" i="116"/>
  <c r="F894" i="116"/>
  <c r="N890" i="116"/>
  <c r="M377" i="116"/>
  <c r="D886" i="116"/>
  <c r="H370" i="116"/>
  <c r="M878" i="116"/>
  <c r="F361" i="116"/>
  <c r="E870" i="116"/>
  <c r="N559" i="116"/>
  <c r="E557" i="116"/>
  <c r="I551" i="116"/>
  <c r="I733" i="116"/>
  <c r="H725" i="116"/>
  <c r="K203" i="116"/>
  <c r="E198" i="116"/>
  <c r="K1213" i="116"/>
  <c r="K688" i="116"/>
  <c r="H1198" i="116"/>
  <c r="F1187" i="116"/>
  <c r="G1182" i="116"/>
  <c r="J1168" i="116"/>
  <c r="F1166" i="116"/>
  <c r="O745" i="116"/>
  <c r="H226" i="116"/>
  <c r="J218" i="116"/>
  <c r="O723" i="116"/>
  <c r="N713" i="116"/>
  <c r="D195" i="116"/>
  <c r="I708" i="116"/>
  <c r="D1210" i="116"/>
  <c r="F1207" i="116"/>
  <c r="H686" i="116"/>
  <c r="E1193" i="116"/>
  <c r="L1188" i="116"/>
  <c r="N670" i="116"/>
  <c r="H145" i="116"/>
  <c r="G658" i="116"/>
  <c r="M748" i="116"/>
  <c r="K732" i="116"/>
  <c r="E1242" i="116"/>
  <c r="D211" i="116"/>
  <c r="E1223" i="116"/>
  <c r="K192" i="116"/>
  <c r="F705" i="116"/>
  <c r="K178" i="116"/>
  <c r="K1204" i="116"/>
  <c r="O173" i="116"/>
  <c r="F683" i="116"/>
  <c r="H675" i="116"/>
  <c r="F1185" i="116"/>
  <c r="F148" i="116"/>
  <c r="N143" i="116"/>
  <c r="M140" i="116"/>
  <c r="L418" i="116"/>
  <c r="D413" i="116"/>
  <c r="K618" i="116"/>
  <c r="L617" i="116"/>
  <c r="O921" i="116"/>
  <c r="M408" i="116"/>
  <c r="K696" i="116"/>
  <c r="M149" i="116"/>
  <c r="K158" i="116"/>
  <c r="J720" i="116"/>
  <c r="H1199" i="116"/>
  <c r="G845" i="116"/>
  <c r="M92" i="116"/>
  <c r="F809" i="116"/>
  <c r="O286" i="116"/>
  <c r="L278" i="116"/>
  <c r="O787" i="116"/>
  <c r="H56" i="116"/>
  <c r="F256" i="116"/>
  <c r="F254" i="116"/>
  <c r="H38" i="116"/>
  <c r="G757" i="116"/>
  <c r="E531" i="116"/>
  <c r="J523" i="116"/>
  <c r="D1032" i="116"/>
  <c r="F1026" i="116"/>
  <c r="D1006" i="116"/>
  <c r="G487" i="116"/>
  <c r="D1099" i="116"/>
  <c r="N479" i="116"/>
  <c r="K986" i="116"/>
  <c r="E982" i="116"/>
  <c r="E469" i="116"/>
  <c r="K467" i="116"/>
  <c r="O465" i="116"/>
  <c r="N974" i="116"/>
  <c r="F966" i="116"/>
  <c r="I1069" i="116"/>
  <c r="M962" i="116"/>
  <c r="G960" i="116"/>
  <c r="J447" i="116"/>
  <c r="D443" i="116"/>
  <c r="N646" i="116"/>
  <c r="F644" i="116"/>
  <c r="J948" i="116"/>
  <c r="N944" i="116"/>
  <c r="I636" i="116"/>
  <c r="I429" i="116"/>
  <c r="L427" i="116"/>
  <c r="N425" i="116"/>
  <c r="I630" i="116"/>
  <c r="J628" i="116"/>
  <c r="J925" i="116"/>
  <c r="M922" i="116"/>
  <c r="O405" i="116"/>
  <c r="D605" i="116"/>
  <c r="I397" i="116"/>
  <c r="K902" i="116"/>
  <c r="N385" i="116"/>
  <c r="M894" i="116"/>
  <c r="J890" i="116"/>
  <c r="E377" i="116"/>
  <c r="O886" i="116"/>
  <c r="J575" i="116"/>
  <c r="I878" i="116"/>
  <c r="M361" i="116"/>
  <c r="L870" i="116"/>
  <c r="J867" i="116"/>
  <c r="F559" i="116"/>
  <c r="L557" i="116"/>
  <c r="E551" i="116"/>
  <c r="F1263" i="116"/>
  <c r="N746" i="116"/>
  <c r="L733" i="116"/>
  <c r="G203" i="116"/>
  <c r="G193" i="116"/>
  <c r="G1213" i="116"/>
  <c r="G688" i="116"/>
  <c r="E164" i="116"/>
  <c r="D672" i="116"/>
  <c r="F667" i="116"/>
  <c r="M1168" i="116"/>
  <c r="G745" i="116"/>
  <c r="M739" i="116"/>
  <c r="F218" i="116"/>
  <c r="N210" i="116"/>
  <c r="K723" i="116"/>
  <c r="J713" i="116"/>
  <c r="O195" i="116"/>
  <c r="E1218" i="116"/>
  <c r="O1210" i="116"/>
  <c r="M691" i="116"/>
  <c r="O686" i="116"/>
  <c r="L1193" i="116"/>
  <c r="H1188" i="116"/>
  <c r="M151" i="116"/>
  <c r="O145" i="116"/>
  <c r="N227" i="116"/>
  <c r="N1250" i="116"/>
  <c r="G732" i="116"/>
  <c r="L1242" i="116"/>
  <c r="O211" i="116"/>
  <c r="H1223" i="116"/>
  <c r="G192" i="116"/>
  <c r="M705" i="116"/>
  <c r="G178" i="116"/>
  <c r="L395" i="116"/>
  <c r="J851" i="116"/>
  <c r="D306" i="116"/>
  <c r="G302" i="116"/>
  <c r="E809" i="116"/>
  <c r="E803" i="116"/>
  <c r="D797" i="116"/>
  <c r="O278" i="116"/>
  <c r="K787" i="116"/>
  <c r="O783" i="116"/>
  <c r="H266" i="116"/>
  <c r="H771" i="116"/>
  <c r="M256" i="116"/>
  <c r="O759" i="116"/>
  <c r="L535" i="116"/>
  <c r="K531" i="116"/>
  <c r="I523" i="116"/>
  <c r="D1137" i="116"/>
  <c r="G1131" i="116"/>
  <c r="G1006" i="116"/>
  <c r="O1002" i="116"/>
  <c r="N1101" i="116"/>
  <c r="L481" i="116"/>
  <c r="F479" i="116"/>
  <c r="H982" i="116"/>
  <c r="H469" i="116"/>
  <c r="K465" i="116"/>
  <c r="J974" i="116"/>
  <c r="L459" i="116"/>
  <c r="N970" i="116"/>
  <c r="J455" i="116"/>
  <c r="H453" i="116"/>
  <c r="L1069" i="116"/>
  <c r="I962" i="116"/>
  <c r="E960" i="116"/>
  <c r="K443" i="116"/>
  <c r="L437" i="116"/>
  <c r="M948" i="116"/>
  <c r="N640" i="116"/>
  <c r="J944" i="116"/>
  <c r="L636" i="116"/>
  <c r="E429" i="116"/>
  <c r="H427" i="116"/>
  <c r="F425" i="116"/>
  <c r="F628" i="116"/>
  <c r="M925" i="116"/>
  <c r="O922" i="116"/>
  <c r="K405" i="116"/>
  <c r="O605" i="116"/>
  <c r="E397" i="116"/>
  <c r="N601" i="116"/>
  <c r="O901" i="116"/>
  <c r="J385" i="116"/>
  <c r="D894" i="116"/>
  <c r="F890" i="116"/>
  <c r="O582" i="116"/>
  <c r="L373" i="116"/>
  <c r="F575" i="116"/>
  <c r="E878" i="116"/>
  <c r="N874" i="116"/>
  <c r="G566" i="116"/>
  <c r="K870" i="116"/>
  <c r="F867" i="116"/>
  <c r="D559" i="116"/>
  <c r="H557" i="116"/>
  <c r="L346" i="116"/>
  <c r="H551" i="116"/>
  <c r="O1261" i="116"/>
  <c r="F746" i="116"/>
  <c r="N1251" i="116"/>
  <c r="E207" i="116"/>
  <c r="O1229" i="116"/>
  <c r="G177" i="116"/>
  <c r="F688" i="116"/>
  <c r="N1190" i="116"/>
  <c r="O672" i="116"/>
  <c r="L1171" i="116"/>
  <c r="I1168" i="116"/>
  <c r="L1264" i="116"/>
  <c r="I739" i="116"/>
  <c r="M218" i="116"/>
  <c r="J210" i="116"/>
  <c r="N1231" i="116"/>
  <c r="I713" i="116"/>
  <c r="G195" i="116"/>
  <c r="L1218" i="116"/>
  <c r="M1207" i="116"/>
  <c r="I691" i="116"/>
  <c r="H1196" i="116"/>
  <c r="K162" i="116"/>
  <c r="D1188" i="116"/>
  <c r="O151" i="116"/>
  <c r="K145" i="116"/>
  <c r="N658" i="116"/>
  <c r="J227" i="116"/>
  <c r="J1250" i="116"/>
  <c r="H1242" i="116"/>
  <c r="G211" i="116"/>
  <c r="D1223" i="116"/>
  <c r="I705" i="116"/>
  <c r="K675" i="116"/>
  <c r="I1185" i="116"/>
  <c r="F143" i="116"/>
  <c r="E140" i="116"/>
  <c r="K418" i="116"/>
  <c r="D418" i="116"/>
  <c r="K413" i="116"/>
  <c r="O617" i="116"/>
  <c r="E408" i="116"/>
  <c r="G613" i="116"/>
  <c r="O404" i="116"/>
  <c r="J913" i="116"/>
  <c r="D909" i="116"/>
  <c r="H602" i="116"/>
  <c r="D906" i="116"/>
  <c r="F393" i="116"/>
  <c r="H389" i="116"/>
  <c r="O594" i="116"/>
  <c r="L593" i="116"/>
  <c r="O897" i="116"/>
  <c r="D897" i="116"/>
  <c r="F384" i="116"/>
  <c r="D380" i="116"/>
  <c r="O585" i="116"/>
  <c r="E376" i="116"/>
  <c r="G581" i="116"/>
  <c r="O371" i="116"/>
  <c r="E364" i="116"/>
  <c r="H569" i="116"/>
  <c r="K873" i="116"/>
  <c r="I360" i="116"/>
  <c r="O565" i="116"/>
  <c r="H356" i="116"/>
  <c r="G355" i="116"/>
  <c r="M560" i="116"/>
  <c r="G862" i="116"/>
  <c r="O347" i="116"/>
  <c r="M552" i="116"/>
  <c r="L856" i="116"/>
  <c r="G233" i="116"/>
  <c r="O743" i="116"/>
  <c r="G738" i="116"/>
  <c r="D209" i="116"/>
  <c r="H1235" i="116"/>
  <c r="O201" i="116"/>
  <c r="D1224" i="116"/>
  <c r="K1221" i="116"/>
  <c r="D1221" i="116"/>
  <c r="H190" i="116"/>
  <c r="L180" i="116"/>
  <c r="F1206" i="116"/>
  <c r="K172" i="116"/>
  <c r="H680" i="116"/>
  <c r="E680" i="116"/>
  <c r="H677" i="116"/>
  <c r="O159" i="116"/>
  <c r="G1237" i="116"/>
  <c r="D611" i="116"/>
  <c r="H904" i="116"/>
  <c r="F587" i="116"/>
  <c r="F882" i="116"/>
  <c r="I221" i="116"/>
  <c r="E851" i="116"/>
  <c r="M122" i="116"/>
  <c r="L106" i="116"/>
  <c r="F825" i="116"/>
  <c r="N306" i="116"/>
  <c r="L270" i="116"/>
  <c r="O266" i="116"/>
  <c r="D771" i="116"/>
  <c r="L256" i="116"/>
  <c r="D765" i="116"/>
  <c r="N32" i="116"/>
  <c r="F1054" i="116"/>
  <c r="H535" i="116"/>
  <c r="M1042" i="116"/>
  <c r="J527" i="116"/>
  <c r="L523" i="116"/>
  <c r="E1137" i="116"/>
  <c r="K1024" i="116"/>
  <c r="O1125" i="116"/>
  <c r="D1121" i="116"/>
  <c r="N1117" i="116"/>
  <c r="N1008" i="116"/>
  <c r="K1002" i="116"/>
  <c r="G483" i="116"/>
  <c r="K992" i="116"/>
  <c r="I990" i="116"/>
  <c r="K1093" i="116"/>
  <c r="O982" i="116"/>
  <c r="K980" i="116"/>
  <c r="G465" i="116"/>
  <c r="N1081" i="116"/>
  <c r="F974" i="116"/>
  <c r="H459" i="116"/>
  <c r="F970" i="116"/>
  <c r="F455" i="116"/>
  <c r="O453" i="116"/>
  <c r="G1069" i="116"/>
  <c r="G962" i="116"/>
  <c r="K1065" i="116"/>
  <c r="M648" i="116"/>
  <c r="N441" i="116"/>
  <c r="L439" i="116"/>
  <c r="I948" i="116"/>
  <c r="J640" i="116"/>
  <c r="F944" i="116"/>
  <c r="H940" i="116"/>
  <c r="L632" i="116"/>
  <c r="M425" i="116"/>
  <c r="H627" i="116"/>
  <c r="N415" i="116"/>
  <c r="M412" i="116"/>
  <c r="K922" i="116"/>
  <c r="E614" i="116"/>
  <c r="J401" i="116"/>
  <c r="M396" i="116"/>
  <c r="J601" i="116"/>
  <c r="N598" i="116"/>
  <c r="N388" i="116"/>
  <c r="O590" i="116"/>
  <c r="K894" i="116"/>
  <c r="M890" i="116"/>
  <c r="H373" i="116"/>
  <c r="K574" i="116"/>
  <c r="O878" i="116"/>
  <c r="N696" i="116"/>
  <c r="K861" i="116"/>
  <c r="I213" i="116"/>
  <c r="I833" i="116"/>
  <c r="D827" i="116"/>
  <c r="N302" i="116"/>
  <c r="F278" i="116"/>
  <c r="I62" i="116"/>
  <c r="L48" i="116"/>
  <c r="J759" i="116"/>
  <c r="O755" i="116"/>
  <c r="E1054" i="116"/>
  <c r="E1046" i="116"/>
  <c r="K529" i="116"/>
  <c r="L1036" i="116"/>
  <c r="H515" i="116"/>
  <c r="I511" i="116"/>
  <c r="M1008" i="116"/>
  <c r="H1109" i="116"/>
  <c r="I487" i="116"/>
  <c r="G1093" i="116"/>
  <c r="I471" i="116"/>
  <c r="N469" i="116"/>
  <c r="I978" i="116"/>
  <c r="N976" i="116"/>
  <c r="E451" i="116"/>
  <c r="O447" i="116"/>
  <c r="O958" i="116"/>
  <c r="H952" i="116"/>
  <c r="G950" i="116"/>
  <c r="D948" i="116"/>
  <c r="I420" i="116"/>
  <c r="O925" i="116"/>
  <c r="D614" i="116"/>
  <c r="I914" i="116"/>
  <c r="I605" i="116"/>
  <c r="N396" i="116"/>
  <c r="E901" i="116"/>
  <c r="D385" i="116"/>
  <c r="L582" i="116"/>
  <c r="F365" i="116"/>
  <c r="N361" i="116"/>
  <c r="D867" i="116"/>
  <c r="D558" i="116"/>
  <c r="N1261" i="116"/>
  <c r="O741" i="116"/>
  <c r="G733" i="116"/>
  <c r="J706" i="116"/>
  <c r="D1208" i="116"/>
  <c r="H688" i="116"/>
  <c r="L1190" i="116"/>
  <c r="F1182" i="116"/>
  <c r="H1264" i="116"/>
  <c r="G210" i="116"/>
  <c r="N723" i="116"/>
  <c r="O1228" i="116"/>
  <c r="F195" i="116"/>
  <c r="J708" i="116"/>
  <c r="E1207" i="116"/>
  <c r="J1193" i="116"/>
  <c r="G1188" i="116"/>
  <c r="D658" i="116"/>
  <c r="M227" i="116"/>
  <c r="D1250" i="116"/>
  <c r="E211" i="116"/>
  <c r="N1223" i="116"/>
  <c r="K705" i="116"/>
  <c r="E697" i="116"/>
  <c r="O1204" i="116"/>
  <c r="G173" i="116"/>
  <c r="D1185" i="116"/>
  <c r="O143" i="116"/>
  <c r="N140" i="116"/>
  <c r="D931" i="116"/>
  <c r="H418" i="116"/>
  <c r="F618" i="116"/>
  <c r="J617" i="116"/>
  <c r="I921" i="116"/>
  <c r="N408" i="116"/>
  <c r="L404" i="116"/>
  <c r="K609" i="116"/>
  <c r="I606" i="116"/>
  <c r="G910" i="116"/>
  <c r="D602" i="116"/>
  <c r="G906" i="116"/>
  <c r="M392" i="116"/>
  <c r="J392" i="116"/>
  <c r="G389" i="116"/>
  <c r="J594" i="116"/>
  <c r="F897" i="116"/>
  <c r="G384" i="116"/>
  <c r="E380" i="116"/>
  <c r="H585" i="116"/>
  <c r="G889" i="116"/>
  <c r="I376" i="116"/>
  <c r="J372" i="116"/>
  <c r="G371" i="116"/>
  <c r="D364" i="116"/>
  <c r="G569" i="116"/>
  <c r="F873" i="116"/>
  <c r="K360" i="116"/>
  <c r="N869" i="116"/>
  <c r="J356" i="116"/>
  <c r="L355" i="116"/>
  <c r="O862" i="116"/>
  <c r="D347" i="116"/>
  <c r="I552" i="116"/>
  <c r="D856" i="116"/>
  <c r="F230" i="116"/>
  <c r="O225" i="116"/>
  <c r="M738" i="116"/>
  <c r="O1240" i="116"/>
  <c r="I209" i="116"/>
  <c r="J1235" i="116"/>
  <c r="N1227" i="116"/>
  <c r="I1224" i="116"/>
  <c r="L1221" i="116"/>
  <c r="L190" i="116"/>
  <c r="H180" i="116"/>
  <c r="I1206" i="116"/>
  <c r="I1195" i="116"/>
  <c r="G680" i="116"/>
  <c r="N677" i="116"/>
  <c r="M159" i="116"/>
  <c r="J1178" i="116"/>
  <c r="N663" i="116"/>
  <c r="L142" i="116"/>
  <c r="N1165" i="116"/>
  <c r="F850" i="116"/>
  <c r="K127" i="116"/>
  <c r="L660" i="116"/>
  <c r="O604" i="116"/>
  <c r="E563" i="116"/>
  <c r="G861" i="116"/>
  <c r="E833" i="116"/>
  <c r="K813" i="116"/>
  <c r="L805" i="116"/>
  <c r="I801" i="116"/>
  <c r="N272" i="116"/>
  <c r="H48" i="116"/>
  <c r="J36" i="116"/>
  <c r="K755" i="116"/>
  <c r="G1040" i="116"/>
  <c r="L1030" i="116"/>
  <c r="O515" i="116"/>
  <c r="M1022" i="116"/>
  <c r="O1113" i="116"/>
  <c r="E471" i="116"/>
  <c r="L978" i="116"/>
  <c r="O1081" i="116"/>
  <c r="H970" i="116"/>
  <c r="K447" i="116"/>
  <c r="G958" i="116"/>
  <c r="D952" i="116"/>
  <c r="M644" i="116"/>
  <c r="O948" i="116"/>
  <c r="K925" i="116"/>
  <c r="D409" i="116"/>
  <c r="E605" i="116"/>
  <c r="J396" i="116"/>
  <c r="J598" i="116"/>
  <c r="L901" i="116"/>
  <c r="O385" i="116"/>
  <c r="G894" i="116"/>
  <c r="H582" i="116"/>
  <c r="N574" i="116"/>
  <c r="M365" i="116"/>
  <c r="K559" i="116"/>
  <c r="O558" i="116"/>
  <c r="H346" i="116"/>
  <c r="N551" i="116"/>
  <c r="J1261" i="116"/>
  <c r="H741" i="116"/>
  <c r="G207" i="116"/>
  <c r="N1229" i="116"/>
  <c r="O706" i="116"/>
  <c r="O1208" i="116"/>
  <c r="O688" i="116"/>
  <c r="H1190" i="116"/>
  <c r="M1182" i="116"/>
  <c r="N1168" i="116"/>
  <c r="D1264" i="116"/>
  <c r="J723" i="116"/>
  <c r="K1228" i="116"/>
  <c r="M195" i="116"/>
  <c r="M708" i="116"/>
  <c r="H1207" i="116"/>
  <c r="F1193" i="116"/>
  <c r="N1176" i="116"/>
  <c r="O658" i="116"/>
  <c r="I227" i="116"/>
  <c r="O1250" i="116"/>
  <c r="N1242" i="116"/>
  <c r="L211" i="116"/>
  <c r="J1223" i="116"/>
  <c r="G705" i="116"/>
  <c r="L697" i="116"/>
  <c r="G1204" i="116"/>
  <c r="M165" i="116"/>
  <c r="K143" i="116"/>
  <c r="J140" i="116"/>
  <c r="E623" i="116"/>
  <c r="N413" i="116"/>
  <c r="M618" i="116"/>
  <c r="F617" i="116"/>
  <c r="E921" i="116"/>
  <c r="F408" i="116"/>
  <c r="H404" i="116"/>
  <c r="G609" i="116"/>
  <c r="N913" i="116"/>
  <c r="O602" i="116"/>
  <c r="L393" i="116"/>
  <c r="I392" i="116"/>
  <c r="F392" i="116"/>
  <c r="F594" i="116"/>
  <c r="N593" i="116"/>
  <c r="I897" i="116"/>
  <c r="L380" i="116"/>
  <c r="D585" i="116"/>
  <c r="L376" i="116"/>
  <c r="J581" i="116"/>
  <c r="F372" i="116"/>
  <c r="M576" i="116"/>
  <c r="O364" i="116"/>
  <c r="M873" i="116"/>
  <c r="G360" i="116"/>
  <c r="M356" i="116"/>
  <c r="F356" i="116"/>
  <c r="H355" i="116"/>
  <c r="K862" i="116"/>
  <c r="K347" i="116"/>
  <c r="E552" i="116"/>
  <c r="O856" i="116"/>
  <c r="M230" i="116"/>
  <c r="K225" i="116"/>
  <c r="I738" i="116"/>
  <c r="K1240" i="116"/>
  <c r="E209" i="116"/>
  <c r="F1235" i="116"/>
  <c r="J1227" i="116"/>
  <c r="E1224" i="116"/>
  <c r="H1221" i="116"/>
  <c r="D190" i="116"/>
  <c r="O180" i="116"/>
  <c r="E1206" i="116"/>
  <c r="E1195" i="116"/>
  <c r="J677" i="116"/>
  <c r="I159" i="116"/>
  <c r="N154" i="116"/>
  <c r="F1178" i="116"/>
  <c r="J663" i="116"/>
  <c r="H142" i="116"/>
  <c r="F1165" i="116"/>
  <c r="J341" i="116"/>
  <c r="N852" i="116"/>
  <c r="N339" i="116"/>
  <c r="M850" i="116"/>
  <c r="G127" i="116"/>
  <c r="K337" i="116"/>
  <c r="E123" i="116"/>
  <c r="K121" i="116"/>
  <c r="L331" i="116"/>
  <c r="O327" i="116"/>
  <c r="H327" i="116"/>
  <c r="I115" i="116"/>
  <c r="M325" i="116"/>
  <c r="F325" i="116"/>
  <c r="J834" i="116"/>
  <c r="N111" i="116"/>
  <c r="F832" i="116"/>
  <c r="H109" i="116"/>
  <c r="H317" i="116"/>
  <c r="O828" i="116"/>
  <c r="D105" i="116"/>
  <c r="L315" i="116"/>
  <c r="I103" i="116"/>
  <c r="M313" i="116"/>
  <c r="F313" i="116"/>
  <c r="M822" i="116"/>
  <c r="E309" i="116"/>
  <c r="J820" i="116"/>
  <c r="H97" i="116"/>
  <c r="L305" i="116"/>
  <c r="H816" i="116"/>
  <c r="M93" i="116"/>
  <c r="M303" i="116"/>
  <c r="L814" i="116"/>
  <c r="E744" i="116"/>
  <c r="M1205" i="116"/>
  <c r="D660" i="116"/>
  <c r="O562" i="116"/>
  <c r="G338" i="116"/>
  <c r="F110" i="116"/>
  <c r="L825" i="116"/>
  <c r="M280" i="116"/>
  <c r="G42" i="116"/>
  <c r="H246" i="116"/>
  <c r="L533" i="116"/>
  <c r="H1030" i="116"/>
  <c r="K515" i="116"/>
  <c r="I1022" i="116"/>
  <c r="E1117" i="116"/>
  <c r="I491" i="116"/>
  <c r="F483" i="116"/>
  <c r="L479" i="116"/>
  <c r="M475" i="116"/>
  <c r="H471" i="116"/>
  <c r="H978" i="116"/>
  <c r="D970" i="116"/>
  <c r="J453" i="116"/>
  <c r="G447" i="116"/>
  <c r="O952" i="116"/>
  <c r="O644" i="116"/>
  <c r="F431" i="116"/>
  <c r="D940" i="116"/>
  <c r="N632" i="116"/>
  <c r="F423" i="116"/>
  <c r="G925" i="116"/>
  <c r="O409" i="116"/>
  <c r="L397" i="116"/>
  <c r="F598" i="116"/>
  <c r="H901" i="116"/>
  <c r="G385" i="116"/>
  <c r="K381" i="116"/>
  <c r="N377" i="116"/>
  <c r="D373" i="116"/>
  <c r="F574" i="116"/>
  <c r="N357" i="116"/>
  <c r="G559" i="116"/>
  <c r="D557" i="116"/>
  <c r="D346" i="116"/>
  <c r="J551" i="116"/>
  <c r="L1261" i="116"/>
  <c r="G1251" i="116"/>
  <c r="N1233" i="116"/>
  <c r="J1229" i="116"/>
  <c r="M703" i="116"/>
  <c r="K1208" i="116"/>
  <c r="M688" i="116"/>
  <c r="O1190" i="116"/>
  <c r="E1182" i="116"/>
  <c r="L1168" i="116"/>
  <c r="K1264" i="116"/>
  <c r="N226" i="116"/>
  <c r="J739" i="116"/>
  <c r="M210" i="116"/>
  <c r="F723" i="116"/>
  <c r="E195" i="116"/>
  <c r="E187" i="116"/>
  <c r="D1207" i="116"/>
  <c r="N691" i="116"/>
  <c r="G162" i="116"/>
  <c r="M145" i="116"/>
  <c r="J1258" i="116"/>
  <c r="L227" i="116"/>
  <c r="K1250" i="116"/>
  <c r="J1242" i="116"/>
  <c r="F724" i="116"/>
  <c r="F1223" i="116"/>
  <c r="O178" i="116"/>
  <c r="I165" i="116"/>
  <c r="F675" i="116"/>
  <c r="L669" i="116"/>
  <c r="G143" i="116"/>
  <c r="F140" i="116"/>
  <c r="O418" i="116"/>
  <c r="H623" i="116"/>
  <c r="J413" i="116"/>
  <c r="I618" i="116"/>
  <c r="M617" i="116"/>
  <c r="L921" i="116"/>
  <c r="O613" i="116"/>
  <c r="D404" i="116"/>
  <c r="F913" i="116"/>
  <c r="N910" i="116"/>
  <c r="K602" i="116"/>
  <c r="H393" i="116"/>
  <c r="E392" i="116"/>
  <c r="O597" i="116"/>
  <c r="M594" i="116"/>
  <c r="J593" i="116"/>
  <c r="E897" i="116"/>
  <c r="N384" i="116"/>
  <c r="H380" i="116"/>
  <c r="K585" i="116"/>
  <c r="H376" i="116"/>
  <c r="M372" i="116"/>
  <c r="O573" i="116"/>
  <c r="K364" i="116"/>
  <c r="N569" i="116"/>
  <c r="I873" i="116"/>
  <c r="I356" i="116"/>
  <c r="O355" i="116"/>
  <c r="D355" i="116"/>
  <c r="G347" i="116"/>
  <c r="L552" i="116"/>
  <c r="K856" i="116"/>
  <c r="D230" i="116"/>
  <c r="J225" i="116"/>
  <c r="E738" i="116"/>
  <c r="M1235" i="116"/>
  <c r="M721" i="116"/>
  <c r="L1224" i="116"/>
  <c r="O1221" i="116"/>
  <c r="O190" i="116"/>
  <c r="L1216" i="116"/>
  <c r="K180" i="116"/>
  <c r="L1206" i="116"/>
  <c r="L1195" i="116"/>
  <c r="F677" i="116"/>
  <c r="E159" i="116"/>
  <c r="H1180" i="116"/>
  <c r="M1178" i="116"/>
  <c r="F663" i="116"/>
  <c r="D142" i="116"/>
  <c r="M1165" i="116"/>
  <c r="M852" i="116"/>
  <c r="J852" i="116"/>
  <c r="J339" i="116"/>
  <c r="F1246" i="116"/>
  <c r="D1205" i="116"/>
  <c r="K562" i="116"/>
  <c r="L1177" i="116"/>
  <c r="N328" i="116"/>
  <c r="D825" i="116"/>
  <c r="L280" i="116"/>
  <c r="N777" i="116"/>
  <c r="L763" i="116"/>
  <c r="G246" i="116"/>
  <c r="D1157" i="116"/>
  <c r="N1044" i="116"/>
  <c r="D523" i="116"/>
  <c r="O1030" i="116"/>
  <c r="G515" i="116"/>
  <c r="O1121" i="116"/>
  <c r="D491" i="116"/>
  <c r="M998" i="116"/>
  <c r="I994" i="116"/>
  <c r="E990" i="116"/>
  <c r="I475" i="116"/>
  <c r="O471" i="116"/>
  <c r="O978" i="116"/>
  <c r="I461" i="116"/>
  <c r="O970" i="116"/>
  <c r="I455" i="116"/>
  <c r="F453" i="116"/>
  <c r="E648" i="116"/>
  <c r="K952" i="116"/>
  <c r="G644" i="116"/>
  <c r="N433" i="116"/>
  <c r="M431" i="116"/>
  <c r="G940" i="116"/>
  <c r="J632" i="116"/>
  <c r="I423" i="116"/>
  <c r="N420" i="116"/>
  <c r="I918" i="116"/>
  <c r="F401" i="116"/>
  <c r="H397" i="116"/>
  <c r="M598" i="116"/>
  <c r="D901" i="116"/>
  <c r="J377" i="116"/>
  <c r="K373" i="116"/>
  <c r="M574" i="116"/>
  <c r="N566" i="116"/>
  <c r="J357" i="116"/>
  <c r="O557" i="116"/>
  <c r="O346" i="116"/>
  <c r="F551" i="116"/>
  <c r="H1261" i="116"/>
  <c r="J730" i="116"/>
  <c r="L1233" i="116"/>
  <c r="L1229" i="116"/>
  <c r="E703" i="116"/>
  <c r="G1190" i="116"/>
  <c r="L1182" i="116"/>
  <c r="M1166" i="116"/>
  <c r="J1264" i="116"/>
  <c r="J226" i="116"/>
  <c r="F739" i="116"/>
  <c r="I210" i="116"/>
  <c r="G205" i="116"/>
  <c r="N1228" i="116"/>
  <c r="L195" i="116"/>
  <c r="L187" i="116"/>
  <c r="K1207" i="116"/>
  <c r="J691" i="116"/>
  <c r="N1188" i="116"/>
  <c r="I145" i="116"/>
  <c r="J658" i="116"/>
  <c r="F1258" i="116"/>
  <c r="H227" i="116"/>
  <c r="N219" i="116"/>
  <c r="M1242" i="116"/>
  <c r="M724" i="116"/>
  <c r="M192" i="116"/>
  <c r="N173" i="116"/>
  <c r="E165" i="116"/>
  <c r="O1185" i="116"/>
  <c r="M148" i="116"/>
  <c r="I140" i="116"/>
  <c r="G418" i="116"/>
  <c r="F413" i="116"/>
  <c r="E618" i="116"/>
  <c r="I617" i="116"/>
  <c r="H921" i="116"/>
  <c r="K613" i="116"/>
  <c r="K404" i="116"/>
  <c r="N609" i="116"/>
  <c r="M913" i="116"/>
  <c r="J910" i="116"/>
  <c r="N906" i="116"/>
  <c r="D393" i="116"/>
  <c r="L392" i="116"/>
  <c r="K597" i="116"/>
  <c r="N389" i="116"/>
  <c r="I594" i="116"/>
  <c r="M593" i="116"/>
  <c r="L897" i="116"/>
  <c r="J384" i="116"/>
  <c r="O380" i="116"/>
  <c r="G585" i="116"/>
  <c r="N889" i="116"/>
  <c r="O376" i="116"/>
  <c r="I372" i="116"/>
  <c r="N371" i="116"/>
  <c r="K573" i="116"/>
  <c r="G364" i="116"/>
  <c r="J569" i="116"/>
  <c r="L873" i="116"/>
  <c r="N360" i="116"/>
  <c r="E356" i="116"/>
  <c r="K355" i="116"/>
  <c r="I560" i="116"/>
  <c r="N862" i="116"/>
  <c r="H552" i="116"/>
  <c r="G856" i="116"/>
  <c r="M743" i="116"/>
  <c r="F225" i="116"/>
  <c r="L738" i="116"/>
  <c r="N1240" i="116"/>
  <c r="I1235" i="116"/>
  <c r="H201" i="116"/>
  <c r="H1224" i="116"/>
  <c r="G1221" i="116"/>
  <c r="K190" i="116"/>
  <c r="H1216" i="116"/>
  <c r="H1206" i="116"/>
  <c r="G1195" i="116"/>
  <c r="N680" i="116"/>
  <c r="M677" i="116"/>
  <c r="L159" i="116"/>
  <c r="D1180" i="116"/>
  <c r="I1178" i="116"/>
  <c r="M663" i="116"/>
  <c r="G142" i="116"/>
  <c r="I1165" i="116"/>
  <c r="I852" i="116"/>
  <c r="F852" i="116"/>
  <c r="F339" i="116"/>
  <c r="E850" i="116"/>
  <c r="N127" i="116"/>
  <c r="J846" i="116"/>
  <c r="F123" i="116"/>
  <c r="D331" i="116"/>
  <c r="J329" i="116"/>
  <c r="N840" i="116"/>
  <c r="G327" i="116"/>
  <c r="O838" i="116"/>
  <c r="L115" i="116"/>
  <c r="E325" i="116"/>
  <c r="G836" i="116"/>
  <c r="M834" i="116"/>
  <c r="N321" i="116"/>
  <c r="K109" i="116"/>
  <c r="N319" i="116"/>
  <c r="O317" i="116"/>
  <c r="G828" i="116"/>
  <c r="K315" i="116"/>
  <c r="D315" i="116"/>
  <c r="L103" i="116"/>
  <c r="E313" i="116"/>
  <c r="F824" i="116"/>
  <c r="E822" i="116"/>
  <c r="H309" i="116"/>
  <c r="K97" i="116"/>
  <c r="K307" i="116"/>
  <c r="D305" i="116"/>
  <c r="O816" i="116"/>
  <c r="E93" i="116"/>
  <c r="E303" i="116"/>
  <c r="M91" i="116"/>
  <c r="F91" i="116"/>
  <c r="N301" i="116"/>
  <c r="J810" i="116"/>
  <c r="L808" i="116"/>
  <c r="J85" i="116"/>
  <c r="O293" i="116"/>
  <c r="K804" i="116"/>
  <c r="G291" i="116"/>
  <c r="O802" i="116"/>
  <c r="D79" i="116"/>
  <c r="H289" i="116"/>
  <c r="K800" i="116"/>
  <c r="F798" i="116"/>
  <c r="N75" i="116"/>
  <c r="K73" i="116"/>
  <c r="K283" i="116"/>
  <c r="L281" i="116"/>
  <c r="H792" i="116"/>
  <c r="L69" i="116"/>
  <c r="E279" i="116"/>
  <c r="I67" i="116"/>
  <c r="M277" i="116"/>
  <c r="F277" i="116"/>
  <c r="L63" i="116"/>
  <c r="N61" i="116"/>
  <c r="E271" i="116"/>
  <c r="O269" i="116"/>
  <c r="K780" i="116"/>
  <c r="O267" i="116"/>
  <c r="H267" i="116"/>
  <c r="E55" i="116"/>
  <c r="M265" i="116"/>
  <c r="J265" i="116"/>
  <c r="N774" i="116"/>
  <c r="O51" i="116"/>
  <c r="D772" i="116"/>
  <c r="L49" i="116"/>
  <c r="M257" i="116"/>
  <c r="G768" i="116"/>
  <c r="O45" i="116"/>
  <c r="J255" i="116"/>
  <c r="O766" i="116"/>
  <c r="K43" i="116"/>
  <c r="I253" i="116"/>
  <c r="O764" i="116"/>
  <c r="J762" i="116"/>
  <c r="N37" i="116"/>
  <c r="I758" i="116"/>
  <c r="E245" i="116"/>
  <c r="F243" i="116"/>
  <c r="D31" i="116"/>
  <c r="I1162" i="116"/>
  <c r="I1055" i="116"/>
  <c r="N1160" i="116"/>
  <c r="F1051" i="116"/>
  <c r="E1154" i="116"/>
  <c r="F1047" i="116"/>
  <c r="L1043" i="116"/>
  <c r="M1148" i="116"/>
  <c r="J1148" i="116"/>
  <c r="K1144" i="116"/>
  <c r="H1035" i="116"/>
  <c r="I1140" i="116"/>
  <c r="F1140" i="116"/>
  <c r="M1031" i="116"/>
  <c r="F516" i="116"/>
  <c r="E1027" i="116"/>
  <c r="N1132" i="116"/>
  <c r="K891" i="116"/>
  <c r="L328" i="116"/>
  <c r="J797" i="116"/>
  <c r="H280" i="116"/>
  <c r="D270" i="116"/>
  <c r="J777" i="116"/>
  <c r="H763" i="116"/>
  <c r="K523" i="116"/>
  <c r="H1026" i="116"/>
  <c r="F499" i="116"/>
  <c r="K495" i="116"/>
  <c r="L998" i="116"/>
  <c r="D994" i="116"/>
  <c r="N1085" i="116"/>
  <c r="K978" i="116"/>
  <c r="O463" i="116"/>
  <c r="E461" i="116"/>
  <c r="L455" i="116"/>
  <c r="N449" i="116"/>
  <c r="D648" i="116"/>
  <c r="E948" i="116"/>
  <c r="J433" i="116"/>
  <c r="I431" i="116"/>
  <c r="K423" i="116"/>
  <c r="J420" i="116"/>
  <c r="E918" i="116"/>
  <c r="E401" i="116"/>
  <c r="O397" i="116"/>
  <c r="E598" i="116"/>
  <c r="E388" i="116"/>
  <c r="F377" i="116"/>
  <c r="G373" i="116"/>
  <c r="D574" i="116"/>
  <c r="M874" i="116"/>
  <c r="J566" i="116"/>
  <c r="M357" i="116"/>
  <c r="G557" i="116"/>
  <c r="K346" i="116"/>
  <c r="M1263" i="116"/>
  <c r="D1261" i="116"/>
  <c r="F730" i="116"/>
  <c r="H1229" i="116"/>
  <c r="D703" i="116"/>
  <c r="G1187" i="116"/>
  <c r="D1182" i="116"/>
  <c r="I1166" i="116"/>
  <c r="M1264" i="116"/>
  <c r="M226" i="116"/>
  <c r="O1241" i="116"/>
  <c r="L210" i="116"/>
  <c r="F1228" i="116"/>
  <c r="H195" i="116"/>
  <c r="G187" i="116"/>
  <c r="G1207" i="116"/>
  <c r="F691" i="116"/>
  <c r="J1188" i="116"/>
  <c r="L145" i="116"/>
  <c r="F658" i="116"/>
  <c r="I1258" i="116"/>
  <c r="D227" i="116"/>
  <c r="J219" i="116"/>
  <c r="I1242" i="116"/>
  <c r="N1226" i="116"/>
  <c r="E192" i="116"/>
  <c r="N705" i="116"/>
  <c r="N1204" i="116"/>
  <c r="J173" i="116"/>
  <c r="I678" i="116"/>
  <c r="K1185" i="116"/>
  <c r="I148" i="116"/>
  <c r="L140" i="116"/>
  <c r="O414" i="116"/>
  <c r="M413" i="116"/>
  <c r="L618" i="116"/>
  <c r="E617" i="116"/>
  <c r="I408" i="116"/>
  <c r="G404" i="116"/>
  <c r="J609" i="116"/>
  <c r="I913" i="116"/>
  <c r="F910" i="116"/>
  <c r="J906" i="116"/>
  <c r="O393" i="116"/>
  <c r="H392" i="116"/>
  <c r="G597" i="116"/>
  <c r="J389" i="116"/>
  <c r="E594" i="116"/>
  <c r="I593" i="116"/>
  <c r="H897" i="116"/>
  <c r="O589" i="116"/>
  <c r="K380" i="116"/>
  <c r="J889" i="116"/>
  <c r="K376" i="116"/>
  <c r="E372" i="116"/>
  <c r="J371" i="116"/>
  <c r="G573" i="116"/>
  <c r="F569" i="116"/>
  <c r="H873" i="116"/>
  <c r="J360" i="116"/>
  <c r="L356" i="116"/>
  <c r="E560" i="116"/>
  <c r="J862" i="116"/>
  <c r="N347" i="116"/>
  <c r="D552" i="116"/>
  <c r="I743" i="116"/>
  <c r="M225" i="116"/>
  <c r="H738" i="116"/>
  <c r="E1240" i="116"/>
  <c r="E1235" i="116"/>
  <c r="D201" i="116"/>
  <c r="O1224" i="116"/>
  <c r="G190" i="116"/>
  <c r="O1216" i="116"/>
  <c r="D1206" i="116"/>
  <c r="J680" i="116"/>
  <c r="I677" i="116"/>
  <c r="H159" i="116"/>
  <c r="O1180" i="116"/>
  <c r="E1178" i="116"/>
  <c r="I663" i="116"/>
  <c r="F655" i="116"/>
  <c r="M341" i="116"/>
  <c r="E852" i="116"/>
  <c r="J129" i="116"/>
  <c r="M339" i="116"/>
  <c r="L850" i="116"/>
  <c r="J127" i="116"/>
  <c r="F846" i="116"/>
  <c r="N121" i="116"/>
  <c r="H842" i="116"/>
  <c r="M840" i="116"/>
  <c r="J840" i="116"/>
  <c r="K838" i="116"/>
  <c r="H115" i="116"/>
  <c r="L325" i="116"/>
  <c r="I834" i="116"/>
  <c r="F321" i="116"/>
  <c r="G109" i="116"/>
  <c r="J319" i="116"/>
  <c r="K317" i="116"/>
  <c r="G315" i="116"/>
  <c r="K826" i="116"/>
  <c r="H103" i="116"/>
  <c r="L313" i="116"/>
  <c r="H311" i="116"/>
  <c r="L822" i="116"/>
  <c r="O309" i="116"/>
  <c r="G97" i="116"/>
  <c r="N307" i="116"/>
  <c r="O305" i="116"/>
  <c r="K816" i="116"/>
  <c r="L93" i="116"/>
  <c r="L303" i="116"/>
  <c r="I91" i="116"/>
  <c r="M301" i="116"/>
  <c r="J301" i="116"/>
  <c r="F810" i="116"/>
  <c r="H808" i="116"/>
  <c r="F85" i="116"/>
  <c r="K293" i="116"/>
  <c r="G804" i="116"/>
  <c r="N802" i="116"/>
  <c r="O79" i="116"/>
  <c r="D289" i="116"/>
  <c r="G800" i="116"/>
  <c r="M798" i="116"/>
  <c r="E285" i="116"/>
  <c r="G73" i="116"/>
  <c r="N283" i="116"/>
  <c r="H281" i="116"/>
  <c r="D792" i="116"/>
  <c r="J338" i="116"/>
  <c r="D284" i="116"/>
  <c r="I785" i="116"/>
  <c r="L767" i="116"/>
  <c r="H1042" i="116"/>
  <c r="G1024" i="116"/>
  <c r="G495" i="116"/>
  <c r="F463" i="116"/>
  <c r="D451" i="116"/>
  <c r="H960" i="116"/>
  <c r="E958" i="116"/>
  <c r="E437" i="116"/>
  <c r="J636" i="116"/>
  <c r="H632" i="116"/>
  <c r="I936" i="116"/>
  <c r="F420" i="116"/>
  <c r="H412" i="116"/>
  <c r="L614" i="116"/>
  <c r="H396" i="116"/>
  <c r="F388" i="116"/>
  <c r="O370" i="116"/>
  <c r="E867" i="116"/>
  <c r="J556" i="116"/>
  <c r="D551" i="116"/>
  <c r="D746" i="116"/>
  <c r="O733" i="116"/>
  <c r="F1198" i="116"/>
  <c r="H1171" i="116"/>
  <c r="K1166" i="116"/>
  <c r="I226" i="116"/>
  <c r="H1241" i="116"/>
  <c r="L713" i="116"/>
  <c r="N184" i="116"/>
  <c r="K691" i="116"/>
  <c r="N162" i="116"/>
  <c r="K151" i="116"/>
  <c r="D1258" i="116"/>
  <c r="M219" i="116"/>
  <c r="F211" i="116"/>
  <c r="O192" i="116"/>
  <c r="I700" i="116"/>
  <c r="I173" i="116"/>
  <c r="G675" i="116"/>
  <c r="G1174" i="116"/>
  <c r="H143" i="116"/>
  <c r="H413" i="116"/>
  <c r="D618" i="116"/>
  <c r="M921" i="116"/>
  <c r="O917" i="116"/>
  <c r="F609" i="116"/>
  <c r="J606" i="116"/>
  <c r="I906" i="116"/>
  <c r="D392" i="116"/>
  <c r="O389" i="116"/>
  <c r="D594" i="116"/>
  <c r="N897" i="116"/>
  <c r="E889" i="116"/>
  <c r="E371" i="116"/>
  <c r="K565" i="116"/>
  <c r="N356" i="116"/>
  <c r="E862" i="116"/>
  <c r="I856" i="116"/>
  <c r="L743" i="116"/>
  <c r="F738" i="116"/>
  <c r="K209" i="116"/>
  <c r="G201" i="116"/>
  <c r="M1224" i="116"/>
  <c r="F190" i="116"/>
  <c r="O172" i="116"/>
  <c r="N159" i="116"/>
  <c r="J1180" i="116"/>
  <c r="G1165" i="116"/>
  <c r="H852" i="116"/>
  <c r="K339" i="116"/>
  <c r="I127" i="116"/>
  <c r="H337" i="116"/>
  <c r="G846" i="116"/>
  <c r="L123" i="116"/>
  <c r="J121" i="116"/>
  <c r="H329" i="116"/>
  <c r="O840" i="116"/>
  <c r="E117" i="116"/>
  <c r="G838" i="116"/>
  <c r="G115" i="116"/>
  <c r="N325" i="116"/>
  <c r="F834" i="116"/>
  <c r="D832" i="116"/>
  <c r="I109" i="116"/>
  <c r="D317" i="116"/>
  <c r="N828" i="116"/>
  <c r="F315" i="116"/>
  <c r="M103" i="116"/>
  <c r="D313" i="116"/>
  <c r="G99" i="116"/>
  <c r="N97" i="116"/>
  <c r="L818" i="116"/>
  <c r="L816" i="116"/>
  <c r="O303" i="116"/>
  <c r="I810" i="116"/>
  <c r="N808" i="116"/>
  <c r="D85" i="116"/>
  <c r="I293" i="116"/>
  <c r="H804" i="116"/>
  <c r="K291" i="116"/>
  <c r="J802" i="116"/>
  <c r="N289" i="116"/>
  <c r="H75" i="116"/>
  <c r="D283" i="116"/>
  <c r="J281" i="116"/>
  <c r="F792" i="116"/>
  <c r="F279" i="116"/>
  <c r="H790" i="116"/>
  <c r="F67" i="116"/>
  <c r="E788" i="116"/>
  <c r="L784" i="116"/>
  <c r="M61" i="116"/>
  <c r="M782" i="116"/>
  <c r="M780" i="116"/>
  <c r="O57" i="116"/>
  <c r="F267" i="116"/>
  <c r="L778" i="116"/>
  <c r="N55" i="116"/>
  <c r="K51" i="116"/>
  <c r="K49" i="116"/>
  <c r="O259" i="116"/>
  <c r="K257" i="116"/>
  <c r="F768" i="116"/>
  <c r="D45" i="116"/>
  <c r="D255" i="116"/>
  <c r="L43" i="116"/>
  <c r="J253" i="116"/>
  <c r="I764" i="116"/>
  <c r="N762" i="116"/>
  <c r="J37" i="116"/>
  <c r="L758" i="116"/>
  <c r="L245" i="116"/>
  <c r="K756" i="116"/>
  <c r="L243" i="116"/>
  <c r="D1160" i="116"/>
  <c r="O1156" i="116"/>
  <c r="F1154" i="116"/>
  <c r="G1152" i="116"/>
  <c r="L532" i="116"/>
  <c r="I1148" i="116"/>
  <c r="M1041" i="116"/>
  <c r="J1039" i="116"/>
  <c r="N1144" i="116"/>
  <c r="O1140" i="116"/>
  <c r="O1031" i="116"/>
  <c r="H1136" i="116"/>
  <c r="I516" i="116"/>
  <c r="N1027" i="116"/>
  <c r="G1132" i="116"/>
  <c r="E1130" i="116"/>
  <c r="D1128" i="116"/>
  <c r="D1019" i="116"/>
  <c r="E1124" i="116"/>
  <c r="H506" i="116"/>
  <c r="N1015" i="116"/>
  <c r="G1120" i="116"/>
  <c r="G500" i="116"/>
  <c r="E1011" i="116"/>
  <c r="N1116" i="116"/>
  <c r="G1007" i="116"/>
  <c r="D1112" i="116"/>
  <c r="L1003" i="116"/>
  <c r="E1108" i="116"/>
  <c r="N1001" i="116"/>
  <c r="H999" i="116"/>
  <c r="I1104" i="116"/>
  <c r="F1104" i="116"/>
  <c r="L539" i="116"/>
  <c r="D1042" i="116"/>
  <c r="N1038" i="116"/>
  <c r="M1024" i="116"/>
  <c r="K1000" i="116"/>
  <c r="E974" i="116"/>
  <c r="L966" i="116"/>
  <c r="O451" i="116"/>
  <c r="G1065" i="116"/>
  <c r="F433" i="116"/>
  <c r="F636" i="116"/>
  <c r="D632" i="116"/>
  <c r="K412" i="116"/>
  <c r="H614" i="116"/>
  <c r="I400" i="116"/>
  <c r="F898" i="116"/>
  <c r="G574" i="116"/>
  <c r="I874" i="116"/>
  <c r="M870" i="116"/>
  <c r="H867" i="116"/>
  <c r="O746" i="116"/>
  <c r="K733" i="116"/>
  <c r="N203" i="116"/>
  <c r="M1198" i="116"/>
  <c r="L226" i="116"/>
  <c r="D1241" i="116"/>
  <c r="M1231" i="116"/>
  <c r="F184" i="116"/>
  <c r="F162" i="116"/>
  <c r="H1176" i="116"/>
  <c r="O1258" i="116"/>
  <c r="I219" i="116"/>
  <c r="M211" i="116"/>
  <c r="E700" i="116"/>
  <c r="F1204" i="116"/>
  <c r="E173" i="116"/>
  <c r="D143" i="116"/>
  <c r="N418" i="116"/>
  <c r="O413" i="116"/>
  <c r="H617" i="116"/>
  <c r="L408" i="116"/>
  <c r="L917" i="116"/>
  <c r="M609" i="116"/>
  <c r="F606" i="116"/>
  <c r="N602" i="116"/>
  <c r="E906" i="116"/>
  <c r="O392" i="116"/>
  <c r="K389" i="116"/>
  <c r="H593" i="116"/>
  <c r="J897" i="116"/>
  <c r="N585" i="116"/>
  <c r="L889" i="116"/>
  <c r="L372" i="116"/>
  <c r="L371" i="116"/>
  <c r="N364" i="116"/>
  <c r="N873" i="116"/>
  <c r="G565" i="116"/>
  <c r="L862" i="116"/>
  <c r="J347" i="116"/>
  <c r="E856" i="116"/>
  <c r="H743" i="116"/>
  <c r="D738" i="116"/>
  <c r="J209" i="116"/>
  <c r="M1227" i="116"/>
  <c r="M190" i="116"/>
  <c r="N180" i="116"/>
  <c r="K685" i="116"/>
  <c r="F680" i="116"/>
  <c r="J159" i="116"/>
  <c r="F1180" i="116"/>
  <c r="E663" i="116"/>
  <c r="D852" i="116"/>
  <c r="G339" i="116"/>
  <c r="E127" i="116"/>
  <c r="D337" i="116"/>
  <c r="F121" i="116"/>
  <c r="D329" i="116"/>
  <c r="K840" i="116"/>
  <c r="K327" i="116"/>
  <c r="N838" i="116"/>
  <c r="J325" i="116"/>
  <c r="E834" i="116"/>
  <c r="O832" i="116"/>
  <c r="E109" i="116"/>
  <c r="G317" i="116"/>
  <c r="J828" i="116"/>
  <c r="M315" i="116"/>
  <c r="E103" i="116"/>
  <c r="O313" i="116"/>
  <c r="N822" i="116"/>
  <c r="L309" i="116"/>
  <c r="J97" i="116"/>
  <c r="M305" i="116"/>
  <c r="D816" i="116"/>
  <c r="K303" i="116"/>
  <c r="M814" i="116"/>
  <c r="N91" i="116"/>
  <c r="F301" i="116"/>
  <c r="E810" i="116"/>
  <c r="J808" i="116"/>
  <c r="K295" i="116"/>
  <c r="E293" i="116"/>
  <c r="D804" i="116"/>
  <c r="F802" i="116"/>
  <c r="N79" i="116"/>
  <c r="J289" i="116"/>
  <c r="G75" i="116"/>
  <c r="N73" i="116"/>
  <c r="N794" i="116"/>
  <c r="F281" i="116"/>
  <c r="M69" i="116"/>
  <c r="M279" i="116"/>
  <c r="M67" i="116"/>
  <c r="I277" i="116"/>
  <c r="L788" i="116"/>
  <c r="N786" i="116"/>
  <c r="H784" i="116"/>
  <c r="I61" i="116"/>
  <c r="K59" i="116"/>
  <c r="I780" i="116"/>
  <c r="K57" i="116"/>
  <c r="M267" i="116"/>
  <c r="H778" i="116"/>
  <c r="J55" i="116"/>
  <c r="N265" i="116"/>
  <c r="J774" i="116"/>
  <c r="G51" i="116"/>
  <c r="G49" i="116"/>
  <c r="K259" i="116"/>
  <c r="G257" i="116"/>
  <c r="M768" i="116"/>
  <c r="O255" i="116"/>
  <c r="M766" i="116"/>
  <c r="H43" i="116"/>
  <c r="F253" i="116"/>
  <c r="E764" i="116"/>
  <c r="F762" i="116"/>
  <c r="F37" i="116"/>
  <c r="J247" i="116"/>
  <c r="H758" i="116"/>
  <c r="H245" i="116"/>
  <c r="G756" i="116"/>
  <c r="H243" i="116"/>
  <c r="N31" i="116"/>
  <c r="O1160" i="116"/>
  <c r="K1156" i="116"/>
  <c r="M1154" i="116"/>
  <c r="J1047" i="116"/>
  <c r="H1043" i="116"/>
  <c r="E1148" i="116"/>
  <c r="N1146" i="116"/>
  <c r="M1039" i="116"/>
  <c r="J1144" i="116"/>
  <c r="N1035" i="116"/>
  <c r="K1140" i="116"/>
  <c r="K1031" i="116"/>
  <c r="D1136" i="116"/>
  <c r="E516" i="116"/>
  <c r="J1027" i="116"/>
  <c r="I512" i="116"/>
  <c r="O1128" i="116"/>
  <c r="O1019" i="116"/>
  <c r="L1124" i="116"/>
  <c r="F1015" i="116"/>
  <c r="F500" i="116"/>
  <c r="M1116" i="116"/>
  <c r="J1116" i="116"/>
  <c r="O1112" i="116"/>
  <c r="D1003" i="116"/>
  <c r="L1108" i="116"/>
  <c r="F1001" i="116"/>
  <c r="D999" i="116"/>
  <c r="E1104" i="116"/>
  <c r="H1102" i="116"/>
  <c r="G995" i="116"/>
  <c r="O1100" i="116"/>
  <c r="N991" i="116"/>
  <c r="O1096" i="116"/>
  <c r="H987" i="116"/>
  <c r="I1092" i="116"/>
  <c r="M474" i="116"/>
  <c r="N472" i="116"/>
  <c r="K1088" i="116"/>
  <c r="M470" i="116"/>
  <c r="L1086" i="116"/>
  <c r="F468" i="116"/>
  <c r="F979" i="116"/>
  <c r="L466" i="116"/>
  <c r="H620" i="116"/>
  <c r="F402" i="116"/>
  <c r="N899" i="116"/>
  <c r="H146" i="116"/>
  <c r="N811" i="116"/>
  <c r="J278" i="116"/>
  <c r="M777" i="116"/>
  <c r="D44" i="116"/>
  <c r="H539" i="116"/>
  <c r="I1036" i="116"/>
  <c r="N990" i="116"/>
  <c r="F986" i="116"/>
  <c r="D966" i="116"/>
  <c r="O648" i="116"/>
  <c r="I433" i="116"/>
  <c r="L429" i="116"/>
  <c r="O632" i="116"/>
  <c r="E400" i="116"/>
  <c r="H598" i="116"/>
  <c r="M898" i="116"/>
  <c r="K874" i="116"/>
  <c r="I870" i="116"/>
  <c r="K746" i="116"/>
  <c r="J203" i="116"/>
  <c r="I1198" i="116"/>
  <c r="J1171" i="116"/>
  <c r="E739" i="116"/>
  <c r="O210" i="116"/>
  <c r="D1231" i="116"/>
  <c r="F1210" i="116"/>
  <c r="M162" i="116"/>
  <c r="D1176" i="116"/>
  <c r="K1258" i="116"/>
  <c r="I211" i="116"/>
  <c r="N192" i="116"/>
  <c r="M1204" i="116"/>
  <c r="I170" i="116"/>
  <c r="J418" i="116"/>
  <c r="K617" i="116"/>
  <c r="H408" i="116"/>
  <c r="M404" i="116"/>
  <c r="I609" i="116"/>
  <c r="M606" i="116"/>
  <c r="J602" i="116"/>
  <c r="L906" i="116"/>
  <c r="K392" i="116"/>
  <c r="D593" i="116"/>
  <c r="M384" i="116"/>
  <c r="J589" i="116"/>
  <c r="F585" i="116"/>
  <c r="H889" i="116"/>
  <c r="H372" i="116"/>
  <c r="H371" i="116"/>
  <c r="F364" i="116"/>
  <c r="J873" i="116"/>
  <c r="H862" i="116"/>
  <c r="F347" i="116"/>
  <c r="H856" i="116"/>
  <c r="D743" i="116"/>
  <c r="O738" i="116"/>
  <c r="F209" i="116"/>
  <c r="D1227" i="116"/>
  <c r="I190" i="116"/>
  <c r="J180" i="116"/>
  <c r="G685" i="116"/>
  <c r="M680" i="116"/>
  <c r="F159" i="116"/>
  <c r="M1180" i="116"/>
  <c r="L663" i="116"/>
  <c r="O852" i="116"/>
  <c r="L127" i="116"/>
  <c r="O337" i="116"/>
  <c r="F333" i="116"/>
  <c r="M121" i="116"/>
  <c r="O329" i="116"/>
  <c r="G840" i="116"/>
  <c r="J838" i="116"/>
  <c r="N115" i="116"/>
  <c r="K836" i="116"/>
  <c r="L834" i="116"/>
  <c r="K832" i="116"/>
  <c r="L109" i="116"/>
  <c r="F317" i="116"/>
  <c r="F828" i="116"/>
  <c r="I315" i="116"/>
  <c r="D103" i="116"/>
  <c r="K313" i="116"/>
  <c r="J822" i="116"/>
  <c r="F97" i="116"/>
  <c r="I305" i="116"/>
  <c r="G816" i="116"/>
  <c r="G303" i="116"/>
  <c r="I814" i="116"/>
  <c r="J91" i="116"/>
  <c r="O812" i="116"/>
  <c r="L810" i="116"/>
  <c r="O85" i="116"/>
  <c r="N295" i="116"/>
  <c r="L293" i="116"/>
  <c r="O804" i="116"/>
  <c r="M802" i="116"/>
  <c r="J79" i="116"/>
  <c r="F289" i="116"/>
  <c r="N798" i="116"/>
  <c r="H285" i="116"/>
  <c r="J73" i="116"/>
  <c r="J794" i="116"/>
  <c r="M792" i="116"/>
  <c r="I69" i="116"/>
  <c r="I279" i="116"/>
  <c r="E67" i="116"/>
  <c r="E277" i="116"/>
  <c r="H788" i="116"/>
  <c r="J786" i="116"/>
  <c r="D784" i="116"/>
  <c r="E61" i="116"/>
  <c r="M269" i="116"/>
  <c r="E780" i="116"/>
  <c r="G57" i="116"/>
  <c r="I267" i="116"/>
  <c r="M55" i="116"/>
  <c r="F55" i="116"/>
  <c r="F265" i="116"/>
  <c r="F774" i="116"/>
  <c r="D261" i="116"/>
  <c r="G259" i="116"/>
  <c r="I768" i="116"/>
  <c r="K255" i="116"/>
  <c r="E766" i="116"/>
  <c r="D43" i="116"/>
  <c r="M253" i="116"/>
  <c r="M251" i="116"/>
  <c r="M762" i="116"/>
  <c r="N249" i="116"/>
  <c r="M37" i="116"/>
  <c r="I247" i="116"/>
  <c r="D758" i="116"/>
  <c r="D245" i="116"/>
  <c r="D243" i="116"/>
  <c r="J31" i="116"/>
  <c r="N1055" i="116"/>
  <c r="K1160" i="116"/>
  <c r="N1051" i="116"/>
  <c r="G1156" i="116"/>
  <c r="I1154" i="116"/>
  <c r="M1047" i="116"/>
  <c r="D1043" i="116"/>
  <c r="L1148" i="116"/>
  <c r="J1146" i="116"/>
  <c r="I1039" i="116"/>
  <c r="F1144" i="116"/>
  <c r="J1035" i="116"/>
  <c r="G1140" i="116"/>
  <c r="G1031" i="116"/>
  <c r="O1136" i="116"/>
  <c r="L516" i="116"/>
  <c r="F1027" i="116"/>
  <c r="E512" i="116"/>
  <c r="J1023" i="116"/>
  <c r="K1128" i="116"/>
  <c r="K1019" i="116"/>
  <c r="H1124" i="116"/>
  <c r="O1017" i="116"/>
  <c r="I1015" i="116"/>
  <c r="L1011" i="116"/>
  <c r="I1116" i="116"/>
  <c r="F1116" i="116"/>
  <c r="K1112" i="116"/>
  <c r="O1003" i="116"/>
  <c r="H1108" i="116"/>
  <c r="O620" i="116"/>
  <c r="H402" i="116"/>
  <c r="O160" i="116"/>
  <c r="D146" i="116"/>
  <c r="I837" i="116"/>
  <c r="F80" i="116"/>
  <c r="H795" i="116"/>
  <c r="I777" i="116"/>
  <c r="N759" i="116"/>
  <c r="D1050" i="116"/>
  <c r="E1028" i="116"/>
  <c r="M499" i="116"/>
  <c r="O994" i="116"/>
  <c r="J990" i="116"/>
  <c r="I984" i="116"/>
  <c r="F465" i="116"/>
  <c r="K966" i="116"/>
  <c r="D447" i="116"/>
  <c r="O439" i="116"/>
  <c r="M642" i="116"/>
  <c r="E433" i="116"/>
  <c r="O429" i="116"/>
  <c r="I934" i="116"/>
  <c r="J415" i="116"/>
  <c r="K400" i="116"/>
  <c r="H385" i="116"/>
  <c r="N582" i="116"/>
  <c r="G874" i="116"/>
  <c r="L357" i="116"/>
  <c r="N555" i="116"/>
  <c r="O1263" i="116"/>
  <c r="G746" i="116"/>
  <c r="F203" i="116"/>
  <c r="N706" i="116"/>
  <c r="I177" i="116"/>
  <c r="L1198" i="116"/>
  <c r="M1171" i="116"/>
  <c r="M232" i="116"/>
  <c r="L739" i="116"/>
  <c r="K210" i="116"/>
  <c r="K1231" i="116"/>
  <c r="N195" i="116"/>
  <c r="I1210" i="116"/>
  <c r="E162" i="116"/>
  <c r="K1176" i="116"/>
  <c r="H653" i="116"/>
  <c r="G1258" i="116"/>
  <c r="J1226" i="116"/>
  <c r="J192" i="116"/>
  <c r="I1204" i="116"/>
  <c r="E170" i="116"/>
  <c r="N1174" i="116"/>
  <c r="H140" i="116"/>
  <c r="F418" i="116"/>
  <c r="G617" i="116"/>
  <c r="D408" i="116"/>
  <c r="E404" i="116"/>
  <c r="O913" i="116"/>
  <c r="F602" i="116"/>
  <c r="H906" i="116"/>
  <c r="G392" i="116"/>
  <c r="O593" i="116"/>
  <c r="I384" i="116"/>
  <c r="M380" i="116"/>
  <c r="M585" i="116"/>
  <c r="D889" i="116"/>
  <c r="D372" i="116"/>
  <c r="K371" i="116"/>
  <c r="L569" i="116"/>
  <c r="D873" i="116"/>
  <c r="N355" i="116"/>
  <c r="D862" i="116"/>
  <c r="L225" i="116"/>
  <c r="K738" i="116"/>
  <c r="M209" i="116"/>
  <c r="O1227" i="116"/>
  <c r="N1221" i="116"/>
  <c r="E190" i="116"/>
  <c r="F180" i="116"/>
  <c r="I680" i="116"/>
  <c r="D159" i="116"/>
  <c r="E1180" i="116"/>
  <c r="H663" i="116"/>
  <c r="L341" i="116"/>
  <c r="K852" i="116"/>
  <c r="I339" i="116"/>
  <c r="H127" i="116"/>
  <c r="G337" i="116"/>
  <c r="N846" i="116"/>
  <c r="L844" i="116"/>
  <c r="I121" i="116"/>
  <c r="K329" i="116"/>
  <c r="E838" i="116"/>
  <c r="J115" i="116"/>
  <c r="H834" i="116"/>
  <c r="G832" i="116"/>
  <c r="D109" i="116"/>
  <c r="M828" i="116"/>
  <c r="O105" i="116"/>
  <c r="E315" i="116"/>
  <c r="O103" i="116"/>
  <c r="G313" i="116"/>
  <c r="F822" i="116"/>
  <c r="M820" i="116"/>
  <c r="M97" i="116"/>
  <c r="E305" i="116"/>
  <c r="E814" i="116"/>
  <c r="I301" i="116"/>
  <c r="K812" i="116"/>
  <c r="H810" i="116"/>
  <c r="K85" i="116"/>
  <c r="J295" i="116"/>
  <c r="H293" i="116"/>
  <c r="N291" i="116"/>
  <c r="L802" i="116"/>
  <c r="F79" i="116"/>
  <c r="E800" i="116"/>
  <c r="J798" i="116"/>
  <c r="M796" i="116"/>
  <c r="F73" i="116"/>
  <c r="I794" i="116"/>
  <c r="I792" i="116"/>
  <c r="E69" i="116"/>
  <c r="L279" i="116"/>
  <c r="L67" i="116"/>
  <c r="L277" i="116"/>
  <c r="K788" i="116"/>
  <c r="F786" i="116"/>
  <c r="O784" i="116"/>
  <c r="L61" i="116"/>
  <c r="I269" i="116"/>
  <c r="L780" i="116"/>
  <c r="E267" i="116"/>
  <c r="I55" i="116"/>
  <c r="I265" i="116"/>
  <c r="O776" i="116"/>
  <c r="M774" i="116"/>
  <c r="O261" i="116"/>
  <c r="N257" i="116"/>
  <c r="E768" i="116"/>
  <c r="G255" i="116"/>
  <c r="H766" i="116"/>
  <c r="O43" i="116"/>
  <c r="E253" i="116"/>
  <c r="I251" i="116"/>
  <c r="I762" i="116"/>
  <c r="N760" i="116"/>
  <c r="I37" i="116"/>
  <c r="E247" i="116"/>
  <c r="O758" i="116"/>
  <c r="O245" i="116"/>
  <c r="J756" i="116"/>
  <c r="O243" i="116"/>
  <c r="F31" i="116"/>
  <c r="J1055" i="116"/>
  <c r="G1160" i="116"/>
  <c r="J1051" i="116"/>
  <c r="H536" i="116"/>
  <c r="I1047" i="116"/>
  <c r="N1152" i="116"/>
  <c r="O1043" i="116"/>
  <c r="H1148" i="116"/>
  <c r="O528" i="116"/>
  <c r="M1144" i="116"/>
  <c r="L526" i="116"/>
  <c r="F1035" i="116"/>
  <c r="K1136" i="116"/>
  <c r="N516" i="116"/>
  <c r="I1027" i="116"/>
  <c r="J1132" i="116"/>
  <c r="L512" i="116"/>
  <c r="F1023" i="116"/>
  <c r="G1128" i="116"/>
  <c r="G1019" i="116"/>
  <c r="D1124" i="116"/>
  <c r="K1017" i="116"/>
  <c r="E1015" i="116"/>
  <c r="N1120" i="116"/>
  <c r="H1011" i="116"/>
  <c r="E1116" i="116"/>
  <c r="J1114" i="116"/>
  <c r="N1007" i="116"/>
  <c r="G1112" i="116"/>
  <c r="K1003" i="116"/>
  <c r="D1108" i="116"/>
  <c r="G1106" i="116"/>
  <c r="K999" i="116"/>
  <c r="H1104" i="116"/>
  <c r="O484" i="116"/>
  <c r="F995" i="116"/>
  <c r="G1100" i="116"/>
  <c r="O480" i="116"/>
  <c r="F991" i="116"/>
  <c r="G1096" i="116"/>
  <c r="O987" i="116"/>
  <c r="L1092" i="116"/>
  <c r="K1090" i="116"/>
  <c r="F472" i="116"/>
  <c r="F983" i="116"/>
  <c r="E470" i="116"/>
  <c r="L468" i="116"/>
  <c r="I468" i="116"/>
  <c r="E979" i="116"/>
  <c r="J1084" i="116"/>
  <c r="D466" i="116"/>
  <c r="G975" i="116"/>
  <c r="H1080" i="116"/>
  <c r="N462" i="116"/>
  <c r="K1078" i="116"/>
  <c r="D1076" i="116"/>
  <c r="J458" i="116"/>
  <c r="H1074" i="116"/>
  <c r="E456" i="116"/>
  <c r="G1072" i="116"/>
  <c r="P1072" i="116" s="1"/>
  <c r="K454" i="116"/>
  <c r="O452" i="116"/>
  <c r="H452" i="116"/>
  <c r="L963" i="116"/>
  <c r="I1068" i="116"/>
  <c r="F450" i="116"/>
  <c r="J1066" i="116"/>
  <c r="E959" i="116"/>
  <c r="M1064" i="116"/>
  <c r="J446" i="116"/>
  <c r="H955" i="116"/>
  <c r="D649" i="116"/>
  <c r="O442" i="116"/>
  <c r="D442" i="116"/>
  <c r="L953" i="116"/>
  <c r="K440" i="116"/>
  <c r="O951" i="116"/>
  <c r="K645" i="116"/>
  <c r="G438" i="116"/>
  <c r="K949" i="116"/>
  <c r="H643" i="116"/>
  <c r="K947" i="116"/>
  <c r="G641" i="116"/>
  <c r="K945" i="116"/>
  <c r="D945" i="116"/>
  <c r="N432" i="116"/>
  <c r="N430" i="116"/>
  <c r="L635" i="116"/>
  <c r="N428" i="116"/>
  <c r="N633" i="116"/>
  <c r="F426" i="116"/>
  <c r="J937" i="116"/>
  <c r="E424" i="116"/>
  <c r="P424" i="116" s="1"/>
  <c r="I935" i="116"/>
  <c r="F935" i="116"/>
  <c r="M629" i="116"/>
  <c r="E422" i="116"/>
  <c r="N421" i="116"/>
  <c r="M930" i="116"/>
  <c r="O417" i="116"/>
  <c r="K622" i="116"/>
  <c r="K926" i="116"/>
  <c r="G616" i="116"/>
  <c r="D407" i="116"/>
  <c r="G612" i="116"/>
  <c r="M403" i="116"/>
  <c r="D608" i="116"/>
  <c r="E607" i="116"/>
  <c r="P607" i="116" s="1"/>
  <c r="T607" i="116" s="1"/>
  <c r="O398" i="116"/>
  <c r="P398" i="116" s="1"/>
  <c r="K160" i="116"/>
  <c r="N304" i="116"/>
  <c r="L290" i="116"/>
  <c r="J44" i="116"/>
  <c r="J32" i="116"/>
  <c r="O1050" i="116"/>
  <c r="G1147" i="116"/>
  <c r="E1010" i="116"/>
  <c r="F990" i="116"/>
  <c r="M471" i="116"/>
  <c r="E1085" i="116"/>
  <c r="M465" i="116"/>
  <c r="G457" i="116"/>
  <c r="G966" i="116"/>
  <c r="F451" i="116"/>
  <c r="F648" i="116"/>
  <c r="K439" i="116"/>
  <c r="L435" i="116"/>
  <c r="G429" i="116"/>
  <c r="M628" i="116"/>
  <c r="F415" i="116"/>
  <c r="H902" i="116"/>
  <c r="N381" i="116"/>
  <c r="J582" i="116"/>
  <c r="K361" i="116"/>
  <c r="G357" i="116"/>
  <c r="L859" i="116"/>
  <c r="K1263" i="116"/>
  <c r="N1256" i="116"/>
  <c r="M730" i="116"/>
  <c r="I203" i="116"/>
  <c r="J1190" i="116"/>
  <c r="E1171" i="116"/>
  <c r="I232" i="116"/>
  <c r="H739" i="116"/>
  <c r="G1231" i="116"/>
  <c r="L708" i="116"/>
  <c r="E1210" i="116"/>
  <c r="L162" i="116"/>
  <c r="N732" i="116"/>
  <c r="F1226" i="116"/>
  <c r="F192" i="116"/>
  <c r="I178" i="116"/>
  <c r="E1204" i="116"/>
  <c r="G165" i="116"/>
  <c r="F1174" i="116"/>
  <c r="O140" i="116"/>
  <c r="M418" i="116"/>
  <c r="I413" i="116"/>
  <c r="O408" i="116"/>
  <c r="K913" i="116"/>
  <c r="I910" i="116"/>
  <c r="M602" i="116"/>
  <c r="O906" i="116"/>
  <c r="F389" i="116"/>
  <c r="K593" i="116"/>
  <c r="E384" i="116"/>
  <c r="I380" i="116"/>
  <c r="I585" i="116"/>
  <c r="M376" i="116"/>
  <c r="O372" i="116"/>
  <c r="D569" i="116"/>
  <c r="M360" i="116"/>
  <c r="N565" i="116"/>
  <c r="J355" i="116"/>
  <c r="H225" i="116"/>
  <c r="E1248" i="116"/>
  <c r="L1235" i="116"/>
  <c r="K1227" i="116"/>
  <c r="J1221" i="116"/>
  <c r="N185" i="116"/>
  <c r="O677" i="116"/>
  <c r="K159" i="116"/>
  <c r="D663" i="116"/>
  <c r="H341" i="116"/>
  <c r="G852" i="116"/>
  <c r="E339" i="116"/>
  <c r="D127" i="116"/>
  <c r="M846" i="116"/>
  <c r="H844" i="116"/>
  <c r="E121" i="116"/>
  <c r="G329" i="116"/>
  <c r="N327" i="116"/>
  <c r="L838" i="116"/>
  <c r="F115" i="116"/>
  <c r="D834" i="116"/>
  <c r="I319" i="116"/>
  <c r="I828" i="116"/>
  <c r="K105" i="116"/>
  <c r="H315" i="116"/>
  <c r="K103" i="116"/>
  <c r="I822" i="116"/>
  <c r="H820" i="116"/>
  <c r="I97" i="116"/>
  <c r="H305" i="116"/>
  <c r="N303" i="116"/>
  <c r="H814" i="116"/>
  <c r="E301" i="116"/>
  <c r="N812" i="116"/>
  <c r="D810" i="116"/>
  <c r="G85" i="116"/>
  <c r="F295" i="116"/>
  <c r="D293" i="116"/>
  <c r="N804" i="116"/>
  <c r="J291" i="116"/>
  <c r="H802" i="116"/>
  <c r="M289" i="116"/>
  <c r="L800" i="116"/>
  <c r="I798" i="116"/>
  <c r="I796" i="116"/>
  <c r="M73" i="116"/>
  <c r="E794" i="116"/>
  <c r="E792" i="116"/>
  <c r="H69" i="116"/>
  <c r="H279" i="116"/>
  <c r="H67" i="116"/>
  <c r="H277" i="116"/>
  <c r="G788" i="116"/>
  <c r="M786" i="116"/>
  <c r="K784" i="116"/>
  <c r="H61" i="116"/>
  <c r="E269" i="116"/>
  <c r="H780" i="116"/>
  <c r="L267" i="116"/>
  <c r="L55" i="116"/>
  <c r="E265" i="116"/>
  <c r="I774" i="116"/>
  <c r="O772" i="116"/>
  <c r="N49" i="116"/>
  <c r="N259" i="116"/>
  <c r="J257" i="116"/>
  <c r="L768" i="116"/>
  <c r="D766" i="116"/>
  <c r="G43" i="116"/>
  <c r="L253" i="116"/>
  <c r="E251" i="116"/>
  <c r="E762" i="116"/>
  <c r="F760" i="116"/>
  <c r="E37" i="116"/>
  <c r="H247" i="116"/>
  <c r="K758" i="116"/>
  <c r="G245" i="116"/>
  <c r="F756" i="116"/>
  <c r="K243" i="116"/>
  <c r="M31" i="116"/>
  <c r="F1055" i="116"/>
  <c r="I1051" i="116"/>
  <c r="D536" i="116"/>
  <c r="M1152" i="116"/>
  <c r="J1152" i="116"/>
  <c r="G1043" i="116"/>
  <c r="D1148" i="116"/>
  <c r="L1039" i="116"/>
  <c r="I1144" i="116"/>
  <c r="M1035" i="116"/>
  <c r="N1031" i="116"/>
  <c r="G1136" i="116"/>
  <c r="J516" i="116"/>
  <c r="M1132" i="116"/>
  <c r="F1132" i="116"/>
  <c r="O512" i="116"/>
  <c r="M1023" i="116"/>
  <c r="N1019" i="116"/>
  <c r="O1124" i="116"/>
  <c r="L1015" i="116"/>
  <c r="M1120" i="116"/>
  <c r="J1120" i="116"/>
  <c r="D1011" i="116"/>
  <c r="L1116" i="116"/>
  <c r="F1114" i="116"/>
  <c r="J1007" i="116"/>
  <c r="G1003" i="116"/>
  <c r="O1108" i="116"/>
  <c r="D1104" i="116"/>
  <c r="G484" i="116"/>
  <c r="M995" i="116"/>
  <c r="K480" i="116"/>
  <c r="M991" i="116"/>
  <c r="K987" i="116"/>
  <c r="H1092" i="116"/>
  <c r="G1090" i="116"/>
  <c r="M472" i="116"/>
  <c r="M983" i="116"/>
  <c r="L470" i="116"/>
  <c r="H468" i="116"/>
  <c r="E468" i="116"/>
  <c r="M1084" i="116"/>
  <c r="F1084" i="116"/>
  <c r="O466" i="116"/>
  <c r="D1080" i="116"/>
  <c r="J462" i="116"/>
  <c r="G1078" i="116"/>
  <c r="N460" i="116"/>
  <c r="N971" i="116"/>
  <c r="O1076" i="116"/>
  <c r="F458" i="116"/>
  <c r="D1074" i="116"/>
  <c r="L456" i="116"/>
  <c r="N967" i="116"/>
  <c r="G454" i="116"/>
  <c r="K452" i="116"/>
  <c r="D452" i="116"/>
  <c r="H963" i="116"/>
  <c r="E1068" i="116"/>
  <c r="M450" i="116"/>
  <c r="F1066" i="116"/>
  <c r="N448" i="116"/>
  <c r="L959" i="116"/>
  <c r="I1064" i="116"/>
  <c r="F446" i="116"/>
  <c r="D955" i="116"/>
  <c r="O649" i="116"/>
  <c r="K442" i="116"/>
  <c r="O953" i="116"/>
  <c r="H953" i="116"/>
  <c r="G440" i="116"/>
  <c r="K951" i="116"/>
  <c r="G645" i="116"/>
  <c r="G949" i="116"/>
  <c r="D643" i="116"/>
  <c r="G947" i="116"/>
  <c r="G945" i="116"/>
  <c r="M432" i="116"/>
  <c r="J432" i="116"/>
  <c r="N637" i="116"/>
  <c r="P637" i="116" s="1"/>
  <c r="J430" i="116"/>
  <c r="H635" i="116"/>
  <c r="N312" i="116"/>
  <c r="K796" i="116"/>
  <c r="K790" i="116"/>
  <c r="M784" i="116"/>
  <c r="N778" i="116"/>
  <c r="I772" i="116"/>
  <c r="I766" i="116"/>
  <c r="J760" i="116"/>
  <c r="F1249" i="116"/>
  <c r="K205" i="116"/>
  <c r="F1218" i="116"/>
  <c r="N157" i="116"/>
  <c r="D1169" i="116"/>
  <c r="H740" i="116"/>
  <c r="O724" i="116"/>
  <c r="M1215" i="116"/>
  <c r="L1159" i="116"/>
  <c r="D1147" i="116"/>
  <c r="H1143" i="116"/>
  <c r="K1135" i="116"/>
  <c r="D1131" i="116"/>
  <c r="H1127" i="116"/>
  <c r="D1115" i="116"/>
  <c r="N1111" i="116"/>
  <c r="E1107" i="116"/>
  <c r="K1103" i="116"/>
  <c r="D1095" i="116"/>
  <c r="L1091" i="116"/>
  <c r="G1087" i="116"/>
  <c r="N1079" i="116"/>
  <c r="N1075" i="116"/>
  <c r="H1071" i="116"/>
  <c r="E1063" i="116"/>
  <c r="I646" i="116"/>
  <c r="J642" i="116"/>
  <c r="I638" i="116"/>
  <c r="F634" i="116"/>
  <c r="D419" i="116"/>
  <c r="I922" i="116"/>
  <c r="L914" i="116"/>
  <c r="O601" i="116"/>
  <c r="O898" i="116"/>
  <c r="D890" i="116"/>
  <c r="G370" i="116"/>
  <c r="E874" i="116"/>
  <c r="H354" i="116"/>
  <c r="D859" i="116"/>
  <c r="K1256" i="116"/>
  <c r="N212" i="116"/>
  <c r="M198" i="116"/>
  <c r="O167" i="116"/>
  <c r="M667" i="116"/>
  <c r="AO8" i="8"/>
  <c r="I299" i="116"/>
  <c r="G287" i="116"/>
  <c r="J552" i="116"/>
  <c r="G356" i="116"/>
  <c r="L360" i="116"/>
  <c r="H364" i="116"/>
  <c r="G372" i="116"/>
  <c r="G380" i="116"/>
  <c r="G897" i="116"/>
  <c r="J393" i="116"/>
  <c r="E913" i="116"/>
  <c r="J613" i="116"/>
  <c r="G921" i="116"/>
  <c r="L413" i="116"/>
  <c r="E931" i="116"/>
  <c r="O675" i="116"/>
  <c r="H173" i="116"/>
  <c r="J1215" i="116"/>
  <c r="G1226" i="116"/>
  <c r="H1250" i="116"/>
  <c r="N748" i="116"/>
  <c r="N145" i="116"/>
  <c r="E1196" i="116"/>
  <c r="J1207" i="116"/>
  <c r="I723" i="116"/>
  <c r="E1166" i="116"/>
  <c r="J1198" i="116"/>
  <c r="H1208" i="116"/>
  <c r="D1229" i="116"/>
  <c r="I730" i="116"/>
  <c r="K878" i="116"/>
  <c r="I901" i="116"/>
  <c r="J400" i="116"/>
  <c r="E412" i="116"/>
  <c r="H435" i="116"/>
  <c r="F958" i="116"/>
  <c r="D459" i="116"/>
  <c r="K463" i="116"/>
  <c r="E467" i="116"/>
  <c r="K996" i="116"/>
  <c r="E1014" i="116"/>
  <c r="K1161" i="116"/>
  <c r="K233" i="116"/>
  <c r="N552" i="116"/>
  <c r="I862" i="116"/>
  <c r="K356" i="116"/>
  <c r="E360" i="116"/>
  <c r="L364" i="116"/>
  <c r="K372" i="116"/>
  <c r="K897" i="116"/>
  <c r="N393" i="116"/>
  <c r="N613" i="116"/>
  <c r="N617" i="116"/>
  <c r="D414" i="116"/>
  <c r="G140" i="116"/>
  <c r="E148" i="116"/>
  <c r="L675" i="116"/>
  <c r="L173" i="116"/>
  <c r="D705" i="116"/>
  <c r="E1226" i="116"/>
  <c r="M1250" i="116"/>
  <c r="G235" i="116"/>
  <c r="I1196" i="116"/>
  <c r="N1207" i="116"/>
  <c r="M723" i="116"/>
  <c r="N1198" i="116"/>
  <c r="D1213" i="116"/>
  <c r="I590" i="116"/>
  <c r="I412" i="116"/>
  <c r="L628" i="116"/>
  <c r="E944" i="116"/>
  <c r="M952" i="116"/>
  <c r="J958" i="116"/>
  <c r="I451" i="116"/>
  <c r="M467" i="116"/>
  <c r="F998" i="116"/>
  <c r="O503" i="116"/>
  <c r="O1161" i="116"/>
  <c r="G280" i="116"/>
  <c r="O290" i="116"/>
  <c r="K1209" i="116"/>
  <c r="L678" i="116"/>
  <c r="D1204" i="116"/>
  <c r="J705" i="116"/>
  <c r="I740" i="116"/>
  <c r="I1188" i="116"/>
  <c r="N1196" i="116"/>
  <c r="M184" i="116"/>
  <c r="G175" i="116"/>
  <c r="N1213" i="116"/>
  <c r="E203" i="116"/>
  <c r="J220" i="116"/>
  <c r="G361" i="116"/>
  <c r="N578" i="116"/>
  <c r="L377" i="116"/>
  <c r="N590" i="116"/>
  <c r="J914" i="116"/>
  <c r="F409" i="116"/>
  <c r="E415" i="116"/>
  <c r="M940" i="116"/>
  <c r="M437" i="116"/>
  <c r="J457" i="116"/>
  <c r="L461" i="116"/>
  <c r="L1004" i="116"/>
  <c r="L1038" i="116"/>
  <c r="D106" i="116"/>
  <c r="G155" i="116"/>
  <c r="H719" i="116"/>
  <c r="G1216" i="116"/>
  <c r="L735" i="116"/>
  <c r="M687" i="116"/>
  <c r="F1049" i="116"/>
  <c r="O1037" i="116"/>
  <c r="D1013" i="116"/>
  <c r="E1005" i="116"/>
  <c r="N985" i="116"/>
  <c r="E981" i="116"/>
  <c r="K973" i="116"/>
  <c r="N394" i="116"/>
  <c r="J1239" i="116"/>
  <c r="F1225" i="116"/>
  <c r="O681" i="116"/>
  <c r="O322" i="116"/>
  <c r="N274" i="116"/>
  <c r="G710" i="116"/>
  <c r="I556" i="116"/>
  <c r="E733" i="116"/>
  <c r="N703" i="116"/>
  <c r="D688" i="116"/>
  <c r="M672" i="116"/>
  <c r="N406" i="116"/>
  <c r="O390" i="116"/>
  <c r="O382" i="116"/>
  <c r="E374" i="116"/>
  <c r="E366" i="116"/>
  <c r="M358" i="116"/>
  <c r="G656" i="116"/>
  <c r="G1264" i="116"/>
  <c r="I1231" i="116"/>
  <c r="M653" i="116"/>
  <c r="I1250" i="116"/>
  <c r="D716" i="116"/>
  <c r="K683" i="116"/>
  <c r="E666" i="116"/>
  <c r="I537" i="116"/>
  <c r="E533" i="116"/>
  <c r="M529" i="116"/>
  <c r="L525" i="116"/>
  <c r="O521" i="116"/>
  <c r="J517" i="116"/>
  <c r="D513" i="116"/>
  <c r="H509" i="116"/>
  <c r="E505" i="116"/>
  <c r="E497" i="116"/>
  <c r="G493" i="116"/>
  <c r="H477" i="116"/>
  <c r="N443" i="116"/>
  <c r="N439" i="116"/>
  <c r="G435" i="116"/>
  <c r="D431" i="116"/>
  <c r="O427" i="116"/>
  <c r="L423" i="116"/>
  <c r="H409" i="116"/>
  <c r="L401" i="116"/>
  <c r="D711" i="116"/>
  <c r="J1208" i="116"/>
  <c r="E664" i="116"/>
  <c r="H321" i="116"/>
  <c r="L297" i="116"/>
  <c r="K917" i="116"/>
  <c r="O909" i="116"/>
  <c r="L869" i="116"/>
  <c r="L860" i="116"/>
  <c r="D1243" i="116"/>
  <c r="G185" i="116"/>
  <c r="J655" i="116"/>
  <c r="H234" i="116"/>
  <c r="G1245" i="116"/>
  <c r="K1214" i="116"/>
  <c r="O199" i="116"/>
  <c r="E1211" i="116"/>
  <c r="F166" i="116"/>
  <c r="N1162" i="116"/>
  <c r="N1154" i="116"/>
  <c r="E1134" i="116"/>
  <c r="N1130" i="116"/>
  <c r="G1110" i="116"/>
  <c r="O1106" i="116"/>
  <c r="K1094" i="116"/>
  <c r="G1086" i="116"/>
  <c r="O1078" i="116"/>
  <c r="E1074" i="116"/>
  <c r="D1070" i="116"/>
  <c r="L1066" i="116"/>
  <c r="H920" i="116"/>
  <c r="M896" i="116"/>
  <c r="K888" i="116"/>
  <c r="E208" i="116"/>
  <c r="N194" i="116"/>
  <c r="J163" i="116"/>
  <c r="L924" i="116"/>
  <c r="I900" i="116"/>
  <c r="O200" i="116"/>
  <c r="J168" i="116"/>
  <c r="M138" i="116"/>
  <c r="N842" i="116"/>
  <c r="N830" i="116"/>
  <c r="F818" i="116"/>
  <c r="H812" i="116"/>
  <c r="I800" i="116"/>
  <c r="G794" i="116"/>
  <c r="M788" i="116"/>
  <c r="E776" i="116"/>
  <c r="E770" i="116"/>
  <c r="D232" i="116"/>
  <c r="K731" i="116"/>
  <c r="D184" i="116"/>
  <c r="N151" i="116"/>
  <c r="D697" i="116"/>
  <c r="K165" i="116"/>
  <c r="D148" i="116"/>
  <c r="N1056" i="116"/>
  <c r="H1052" i="116"/>
  <c r="D1044" i="116"/>
  <c r="L1040" i="116"/>
  <c r="O1036" i="116"/>
  <c r="M1028" i="116"/>
  <c r="N1020" i="116"/>
  <c r="M1016" i="116"/>
  <c r="E1012" i="116"/>
  <c r="E1000" i="116"/>
  <c r="J996" i="116"/>
  <c r="L992" i="116"/>
  <c r="D988" i="116"/>
  <c r="I980" i="116"/>
  <c r="I976" i="116"/>
  <c r="F972" i="116"/>
  <c r="F968" i="116"/>
  <c r="J960" i="116"/>
  <c r="I950" i="116"/>
  <c r="O938" i="116"/>
  <c r="G934" i="116"/>
  <c r="F207" i="116"/>
  <c r="O193" i="116"/>
  <c r="L177" i="116"/>
  <c r="O698" i="116"/>
  <c r="N119" i="116"/>
  <c r="G101" i="116"/>
  <c r="M83" i="116"/>
  <c r="N77" i="116"/>
  <c r="O65" i="116"/>
  <c r="N53" i="116"/>
  <c r="D47" i="116"/>
  <c r="F41" i="116"/>
  <c r="J34" i="116"/>
  <c r="I750" i="116"/>
  <c r="I695" i="116"/>
  <c r="H540" i="116"/>
  <c r="J508" i="116"/>
  <c r="D504" i="116"/>
  <c r="L484" i="116"/>
  <c r="D737" i="116"/>
  <c r="C26" i="9"/>
  <c r="F18" i="13"/>
  <c r="M19" i="13"/>
  <c r="C7" i="38"/>
  <c r="C37" i="9"/>
  <c r="D35" i="38"/>
  <c r="D33" i="38"/>
  <c r="D31" i="9"/>
  <c r="D28" i="9"/>
  <c r="C24" i="9"/>
  <c r="C22" i="9"/>
  <c r="D19" i="38"/>
  <c r="D17" i="9"/>
  <c r="E17" i="9" s="1"/>
  <c r="Q17" i="9" s="1"/>
  <c r="D15" i="9"/>
  <c r="E15" i="9" s="1"/>
  <c r="Q15" i="9" s="1"/>
  <c r="C13" i="9"/>
  <c r="C11" i="38"/>
  <c r="F19" i="13"/>
  <c r="C18" i="13"/>
  <c r="AP19" i="8"/>
  <c r="C13" i="19" s="1"/>
  <c r="I8" i="13"/>
  <c r="D9" i="38"/>
  <c r="C28" i="38"/>
  <c r="C28" i="9"/>
  <c r="L18" i="13"/>
  <c r="D13" i="9"/>
  <c r="H19" i="13"/>
  <c r="D35" i="9"/>
  <c r="D31" i="38"/>
  <c r="H18" i="13"/>
  <c r="C35" i="38"/>
  <c r="C11" i="9"/>
  <c r="D32" i="38"/>
  <c r="C15" i="38"/>
  <c r="C10" i="38"/>
  <c r="D33" i="9"/>
  <c r="D26" i="9"/>
  <c r="D26" i="38"/>
  <c r="C34" i="9"/>
  <c r="C20" i="38"/>
  <c r="G8" i="13"/>
  <c r="C26" i="38"/>
  <c r="D11" i="9"/>
  <c r="C32" i="38"/>
  <c r="C18" i="38"/>
  <c r="N18" i="13"/>
  <c r="C10" i="13"/>
  <c r="C8" i="38"/>
  <c r="C12" i="38"/>
  <c r="E12" i="38" s="1"/>
  <c r="C29" i="9"/>
  <c r="D10" i="38"/>
  <c r="D24" i="38"/>
  <c r="D29" i="9"/>
  <c r="D18" i="38"/>
  <c r="C9" i="9"/>
  <c r="D29" i="38"/>
  <c r="D20" i="9"/>
  <c r="J19" i="13"/>
  <c r="D27" i="38"/>
  <c r="C16" i="9"/>
  <c r="D36" i="38"/>
  <c r="D34" i="38"/>
  <c r="D32" i="9"/>
  <c r="C30" i="38"/>
  <c r="C29" i="38"/>
  <c r="C21" i="9"/>
  <c r="C18" i="9"/>
  <c r="C13" i="38"/>
  <c r="C19" i="13"/>
  <c r="G19" i="13"/>
  <c r="J8" i="13"/>
  <c r="C14" i="38"/>
  <c r="D37" i="9"/>
  <c r="D17" i="38"/>
  <c r="C19" i="38"/>
  <c r="D36" i="9"/>
  <c r="C17" i="38"/>
  <c r="D30" i="38"/>
  <c r="D16" i="9"/>
  <c r="D25" i="38"/>
  <c r="C20" i="9"/>
  <c r="C10" i="9"/>
  <c r="C27" i="38"/>
  <c r="C25" i="38"/>
  <c r="D23" i="9"/>
  <c r="D16" i="38"/>
  <c r="D14" i="9"/>
  <c r="D10" i="9"/>
  <c r="C7" i="9"/>
  <c r="I19" i="13"/>
  <c r="D7" i="38"/>
  <c r="C21" i="38"/>
  <c r="D20" i="38"/>
  <c r="E10" i="13"/>
  <c r="C33" i="38"/>
  <c r="I10" i="13"/>
  <c r="D22" i="38"/>
  <c r="C36" i="9"/>
  <c r="D13" i="38"/>
  <c r="D34" i="9"/>
  <c r="C22" i="38"/>
  <c r="C34" i="38"/>
  <c r="C25" i="9"/>
  <c r="D18" i="9"/>
  <c r="D8" i="9"/>
  <c r="G18" i="13"/>
  <c r="E19" i="13"/>
  <c r="D8" i="38"/>
  <c r="K10" i="13"/>
  <c r="C37" i="38"/>
  <c r="D24" i="9"/>
  <c r="D15" i="38"/>
  <c r="C8" i="13"/>
  <c r="D22" i="9"/>
  <c r="C31" i="38"/>
  <c r="D12" i="9"/>
  <c r="K18" i="13"/>
  <c r="C24" i="38"/>
  <c r="C12" i="9"/>
  <c r="M10" i="13"/>
  <c r="C23" i="9"/>
  <c r="C14" i="9"/>
  <c r="C32" i="9"/>
  <c r="C36" i="38"/>
  <c r="C30" i="9"/>
  <c r="C27" i="9"/>
  <c r="D23" i="38"/>
  <c r="D21" i="9"/>
  <c r="C19" i="9"/>
  <c r="C35" i="9"/>
  <c r="C33" i="9"/>
  <c r="D28" i="38"/>
  <c r="D21" i="38"/>
  <c r="C16" i="38"/>
  <c r="D14" i="38"/>
  <c r="D7" i="9"/>
  <c r="K19" i="13"/>
  <c r="N19" i="13"/>
  <c r="C9" i="38"/>
  <c r="L10" i="13"/>
  <c r="AP18" i="8"/>
  <c r="C12" i="19" s="1"/>
  <c r="S1262" i="116"/>
  <c r="V1262" i="116" s="1"/>
  <c r="K1262" i="116"/>
  <c r="G1262" i="116"/>
  <c r="N1262" i="116"/>
  <c r="J1262" i="116"/>
  <c r="L1262" i="116"/>
  <c r="J1238" i="116"/>
  <c r="S1243" i="116"/>
  <c r="V1243" i="116" s="1"/>
  <c r="H1169" i="116"/>
  <c r="N1218" i="116"/>
  <c r="M1249" i="116"/>
  <c r="O1256" i="116"/>
  <c r="L1172" i="116"/>
  <c r="H1262" i="116"/>
  <c r="H1183" i="116"/>
  <c r="D1211" i="116"/>
  <c r="J1254" i="116"/>
  <c r="E1245" i="116"/>
  <c r="I1257" i="116"/>
  <c r="E1257" i="116"/>
  <c r="L1257" i="116"/>
  <c r="O1257" i="116"/>
  <c r="H1257" i="116"/>
  <c r="N1257" i="116"/>
  <c r="K1212" i="116"/>
  <c r="G1212" i="116"/>
  <c r="S1212" i="116"/>
  <c r="V1212" i="116" s="1"/>
  <c r="L1212" i="116"/>
  <c r="I1212" i="116"/>
  <c r="N1181" i="116"/>
  <c r="J1181" i="116"/>
  <c r="F1181" i="116"/>
  <c r="O1181" i="116"/>
  <c r="H1181" i="116"/>
  <c r="M1228" i="116"/>
  <c r="L1228" i="116"/>
  <c r="I1228" i="116"/>
  <c r="H1228" i="116"/>
  <c r="E1228" i="116"/>
  <c r="D1228" i="116"/>
  <c r="D1196" i="116"/>
  <c r="O1196" i="116"/>
  <c r="K1196" i="116"/>
  <c r="G1196" i="116"/>
  <c r="F1196" i="116"/>
  <c r="H1226" i="116"/>
  <c r="D1226" i="116"/>
  <c r="O1226" i="116"/>
  <c r="S1226" i="116"/>
  <c r="V1226" i="116" s="1"/>
  <c r="K1226" i="116"/>
  <c r="M1226" i="116"/>
  <c r="H1251" i="116"/>
  <c r="D1251" i="116"/>
  <c r="O1251" i="116"/>
  <c r="K1251" i="116"/>
  <c r="M1251" i="116"/>
  <c r="J1251" i="116"/>
  <c r="F1190" i="116"/>
  <c r="M1190" i="116"/>
  <c r="I1190" i="116"/>
  <c r="E1190" i="116"/>
  <c r="S1190" i="116"/>
  <c r="V1190" i="116" s="1"/>
  <c r="K1190" i="116"/>
  <c r="D1248" i="116"/>
  <c r="O1248" i="116"/>
  <c r="K1248" i="116"/>
  <c r="G1248" i="116"/>
  <c r="F1248" i="116"/>
  <c r="H1186" i="116"/>
  <c r="D1186" i="116"/>
  <c r="O1186" i="116"/>
  <c r="S1186" i="116"/>
  <c r="V1186" i="116" s="1"/>
  <c r="K1186" i="116"/>
  <c r="M1186" i="116"/>
  <c r="K1172" i="116"/>
  <c r="N1248" i="116"/>
  <c r="L1169" i="116"/>
  <c r="D1256" i="116"/>
  <c r="E1172" i="116"/>
  <c r="E1262" i="116"/>
  <c r="S1200" i="116"/>
  <c r="V1200" i="116" s="1"/>
  <c r="H1211" i="116"/>
  <c r="N1254" i="116"/>
  <c r="I1245" i="116"/>
  <c r="J1240" i="116"/>
  <c r="F1240" i="116"/>
  <c r="M1240" i="116"/>
  <c r="L1240" i="116"/>
  <c r="I1240" i="116"/>
  <c r="G1240" i="116"/>
  <c r="I1227" i="116"/>
  <c r="F1227" i="116"/>
  <c r="E1227" i="116"/>
  <c r="L1227" i="116"/>
  <c r="H1227" i="116"/>
  <c r="S1227" i="116"/>
  <c r="V1227" i="116" s="1"/>
  <c r="H1195" i="116"/>
  <c r="D1195" i="116"/>
  <c r="O1195" i="116"/>
  <c r="K1195" i="116"/>
  <c r="M1195" i="116"/>
  <c r="J1195" i="116"/>
  <c r="K1180" i="116"/>
  <c r="G1180" i="116"/>
  <c r="S1180" i="116"/>
  <c r="V1180" i="116" s="1"/>
  <c r="L1180" i="116"/>
  <c r="I1180" i="116"/>
  <c r="H1165" i="116"/>
  <c r="E1165" i="116"/>
  <c r="D1165" i="116"/>
  <c r="O1165" i="116"/>
  <c r="K1165" i="116"/>
  <c r="J1165" i="116"/>
  <c r="M1259" i="116"/>
  <c r="L1259" i="116"/>
  <c r="H1259" i="116"/>
  <c r="D1259" i="116"/>
  <c r="O1259" i="116"/>
  <c r="H1246" i="116"/>
  <c r="D1246" i="116"/>
  <c r="O1246" i="116"/>
  <c r="S1246" i="116"/>
  <c r="V1246" i="116" s="1"/>
  <c r="K1246" i="116"/>
  <c r="G1246" i="116"/>
  <c r="M1246" i="116"/>
  <c r="K1192" i="116"/>
  <c r="G1192" i="116"/>
  <c r="S1192" i="116"/>
  <c r="V1192" i="116" s="1"/>
  <c r="L1192" i="116"/>
  <c r="I1192" i="116"/>
  <c r="D1175" i="116"/>
  <c r="O1175" i="116"/>
  <c r="K1175" i="116"/>
  <c r="G1175" i="116"/>
  <c r="F1175" i="116"/>
  <c r="I1234" i="116"/>
  <c r="E1234" i="116"/>
  <c r="L1234" i="116"/>
  <c r="H1234" i="116"/>
  <c r="N1183" i="116"/>
  <c r="M1183" i="116"/>
  <c r="J1183" i="116"/>
  <c r="I1183" i="116"/>
  <c r="F1183" i="116"/>
  <c r="O1183" i="116"/>
  <c r="J1201" i="116"/>
  <c r="F1201" i="116"/>
  <c r="M1201" i="116"/>
  <c r="I1201" i="116"/>
  <c r="G1201" i="116"/>
  <c r="G1169" i="116"/>
  <c r="G1183" i="116"/>
  <c r="E1255" i="116"/>
  <c r="L1255" i="116"/>
  <c r="H1255" i="116"/>
  <c r="D1255" i="116"/>
  <c r="H1173" i="116"/>
  <c r="M1239" i="116"/>
  <c r="O1201" i="116"/>
  <c r="J1218" i="116"/>
  <c r="E1197" i="116"/>
  <c r="L1197" i="116"/>
  <c r="O1197" i="116"/>
  <c r="H1197" i="116"/>
  <c r="K1197" i="116"/>
  <c r="D1197" i="116"/>
  <c r="G1197" i="116"/>
  <c r="J1197" i="116"/>
  <c r="L1225" i="116"/>
  <c r="I1173" i="116"/>
  <c r="H1256" i="116"/>
  <c r="I1172" i="116"/>
  <c r="I1262" i="116"/>
  <c r="E1183" i="116"/>
  <c r="G1200" i="116"/>
  <c r="S1245" i="116"/>
  <c r="V1245" i="116" s="1"/>
  <c r="D1238" i="116"/>
  <c r="O1238" i="116"/>
  <c r="S1238" i="116"/>
  <c r="V1238" i="116" s="1"/>
  <c r="K1238" i="116"/>
  <c r="G1238" i="116"/>
  <c r="N1238" i="116"/>
  <c r="I1238" i="116"/>
  <c r="G1254" i="116"/>
  <c r="K1249" i="116"/>
  <c r="D1249" i="116"/>
  <c r="G1249" i="116"/>
  <c r="S1249" i="116"/>
  <c r="V1249" i="116" s="1"/>
  <c r="I1249" i="116"/>
  <c r="M1238" i="116"/>
  <c r="O1254" i="116"/>
  <c r="S1215" i="116"/>
  <c r="V1215" i="116" s="1"/>
  <c r="S1256" i="116"/>
  <c r="V1256" i="116" s="1"/>
  <c r="O1172" i="116"/>
  <c r="N1186" i="116"/>
  <c r="L1173" i="116"/>
  <c r="K1211" i="116"/>
  <c r="G1211" i="116"/>
  <c r="S1211" i="116"/>
  <c r="V1211" i="116" s="1"/>
  <c r="L1211" i="116"/>
  <c r="S1203" i="116"/>
  <c r="V1203" i="116" s="1"/>
  <c r="E1216" i="116"/>
  <c r="O1215" i="116"/>
  <c r="I1216" i="116"/>
  <c r="M1216" i="116"/>
  <c r="L1248" i="116"/>
  <c r="D1201" i="116"/>
  <c r="N1249" i="116"/>
  <c r="M1172" i="116"/>
  <c r="M1212" i="116"/>
  <c r="F1257" i="116"/>
  <c r="M1262" i="116"/>
  <c r="K1200" i="116"/>
  <c r="I1211" i="116"/>
  <c r="N1259" i="116"/>
  <c r="F1254" i="116"/>
  <c r="M1254" i="116"/>
  <c r="I1254" i="116"/>
  <c r="E1254" i="116"/>
  <c r="L1254" i="116"/>
  <c r="S1254" i="116"/>
  <c r="V1254" i="116" s="1"/>
  <c r="K1254" i="116"/>
  <c r="I1248" i="116"/>
  <c r="E1215" i="116"/>
  <c r="L1215" i="116"/>
  <c r="H1215" i="116"/>
  <c r="D1215" i="116"/>
  <c r="I1239" i="116"/>
  <c r="F1239" i="116"/>
  <c r="E1239" i="116"/>
  <c r="L1239" i="116"/>
  <c r="H1239" i="116"/>
  <c r="D1239" i="116"/>
  <c r="O1169" i="116"/>
  <c r="L1249" i="116"/>
  <c r="K1183" i="116"/>
  <c r="F1200" i="116"/>
  <c r="F1238" i="116"/>
  <c r="D1254" i="116"/>
  <c r="F1255" i="116"/>
  <c r="E1249" i="116"/>
  <c r="N1243" i="116"/>
  <c r="M1243" i="116"/>
  <c r="J1243" i="116"/>
  <c r="I1243" i="116"/>
  <c r="F1243" i="116"/>
  <c r="E1243" i="116"/>
  <c r="K1243" i="116"/>
  <c r="N1245" i="116"/>
  <c r="J1245" i="116"/>
  <c r="M1245" i="116"/>
  <c r="F1245" i="116"/>
  <c r="O1245" i="116"/>
  <c r="H1245" i="116"/>
  <c r="E1225" i="116"/>
  <c r="N1255" i="116"/>
  <c r="F1173" i="116"/>
  <c r="G1203" i="116"/>
  <c r="O1243" i="116"/>
  <c r="H1248" i="116"/>
  <c r="I1215" i="116"/>
  <c r="J1249" i="116"/>
  <c r="N1239" i="116"/>
  <c r="G1255" i="116"/>
  <c r="F1216" i="116"/>
  <c r="H1243" i="116"/>
  <c r="H1201" i="116"/>
  <c r="O1249" i="116"/>
  <c r="G1186" i="116"/>
  <c r="F1212" i="116"/>
  <c r="J1257" i="116"/>
  <c r="F1262" i="116"/>
  <c r="M1211" i="116"/>
  <c r="G1214" i="116"/>
  <c r="K1245" i="116"/>
  <c r="S1259" i="116"/>
  <c r="V1259" i="116" s="1"/>
  <c r="N1203" i="116"/>
  <c r="M1203" i="116"/>
  <c r="J1203" i="116"/>
  <c r="I1203" i="116"/>
  <c r="F1203" i="116"/>
  <c r="O1203" i="116"/>
  <c r="N1169" i="116"/>
  <c r="J1169" i="116"/>
  <c r="F1169" i="116"/>
  <c r="M1169" i="116"/>
  <c r="K1169" i="116"/>
  <c r="D1173" i="116"/>
  <c r="M1248" i="116"/>
  <c r="J1186" i="116"/>
  <c r="M1200" i="116"/>
  <c r="O1225" i="116"/>
  <c r="H1225" i="116"/>
  <c r="K1225" i="116"/>
  <c r="D1225" i="116"/>
  <c r="G1225" i="116"/>
  <c r="S1225" i="116"/>
  <c r="V1225" i="116" s="1"/>
  <c r="K1201" i="116"/>
  <c r="M1173" i="116"/>
  <c r="G1243" i="116"/>
  <c r="S1248" i="116"/>
  <c r="V1248" i="116" s="1"/>
  <c r="I1225" i="116"/>
  <c r="M1225" i="116"/>
  <c r="S1255" i="116"/>
  <c r="V1255" i="116" s="1"/>
  <c r="K1203" i="116"/>
  <c r="J1225" i="116"/>
  <c r="K1255" i="116"/>
  <c r="H1203" i="116"/>
  <c r="L1243" i="116"/>
  <c r="E1169" i="116"/>
  <c r="L1201" i="116"/>
  <c r="L1186" i="116"/>
  <c r="J1212" i="116"/>
  <c r="G1259" i="116"/>
  <c r="O1173" i="116"/>
  <c r="S1173" i="116"/>
  <c r="V1173" i="116" s="1"/>
  <c r="K1173" i="116"/>
  <c r="G1173" i="116"/>
  <c r="N1173" i="116"/>
  <c r="E1173" i="116"/>
  <c r="L1200" i="116"/>
  <c r="I1200" i="116"/>
  <c r="H1200" i="116"/>
  <c r="E1200" i="116"/>
  <c r="D1200" i="116"/>
  <c r="O1200" i="116"/>
  <c r="N1200" i="116"/>
  <c r="S1183" i="116"/>
  <c r="V1183" i="116" s="1"/>
  <c r="G1172" i="116"/>
  <c r="S1172" i="116"/>
  <c r="V1172" i="116" s="1"/>
  <c r="N1172" i="116"/>
  <c r="H1172" i="116"/>
  <c r="D1218" i="116"/>
  <c r="O1218" i="116"/>
  <c r="S1218" i="116"/>
  <c r="V1218" i="116" s="1"/>
  <c r="K1218" i="116"/>
  <c r="G1218" i="116"/>
  <c r="I1218" i="116"/>
  <c r="J1256" i="116"/>
  <c r="F1256" i="116"/>
  <c r="M1256" i="116"/>
  <c r="L1256" i="116"/>
  <c r="I1256" i="116"/>
  <c r="G1256" i="116"/>
  <c r="N1215" i="116"/>
  <c r="S1201" i="116"/>
  <c r="V1201" i="116" s="1"/>
  <c r="M1218" i="116"/>
  <c r="H1249" i="116"/>
  <c r="S1216" i="116"/>
  <c r="V1216" i="116" s="1"/>
  <c r="N1216" i="116"/>
  <c r="J1216" i="116"/>
  <c r="D1216" i="116"/>
  <c r="O1262" i="116"/>
  <c r="G1215" i="116"/>
  <c r="D1262" i="116"/>
  <c r="D1183" i="116"/>
  <c r="N1214" i="116"/>
  <c r="M1214" i="116"/>
  <c r="I1214" i="116"/>
  <c r="E1214" i="116"/>
  <c r="O1214" i="116"/>
  <c r="J1255" i="116"/>
  <c r="K1215" i="116"/>
  <c r="N1225" i="116"/>
  <c r="S1239" i="116"/>
  <c r="V1239" i="116" s="1"/>
  <c r="O1255" i="116"/>
  <c r="L1203" i="116"/>
  <c r="K1216" i="116"/>
  <c r="I1169" i="116"/>
  <c r="E1201" i="116"/>
  <c r="H1218" i="116"/>
  <c r="E1186" i="116"/>
  <c r="S1257" i="116"/>
  <c r="V1257" i="116" s="1"/>
  <c r="H1238" i="116"/>
  <c r="D1214" i="116"/>
  <c r="K1259" i="116"/>
  <c r="J1174" i="116"/>
  <c r="L1223" i="116"/>
  <c r="G1176" i="116"/>
  <c r="M1193" i="116"/>
  <c r="L1210" i="116"/>
  <c r="S1241" i="116"/>
  <c r="V1241" i="116" s="1"/>
  <c r="F1171" i="116"/>
  <c r="M1233" i="116"/>
  <c r="D1194" i="116"/>
  <c r="E1209" i="116"/>
  <c r="D1174" i="116"/>
  <c r="K1174" i="116"/>
  <c r="L1250" i="116"/>
  <c r="L1176" i="116"/>
  <c r="S1193" i="116"/>
  <c r="V1193" i="116" s="1"/>
  <c r="J1210" i="116"/>
  <c r="H1231" i="116"/>
  <c r="E1241" i="116"/>
  <c r="N1264" i="116"/>
  <c r="G1171" i="116"/>
  <c r="D1187" i="116"/>
  <c r="I1208" i="116"/>
  <c r="L1208" i="116"/>
  <c r="S1233" i="116"/>
  <c r="V1233" i="116" s="1"/>
  <c r="D1263" i="116"/>
  <c r="D1179" i="116"/>
  <c r="M1194" i="116"/>
  <c r="J1199" i="116"/>
  <c r="M1199" i="116"/>
  <c r="N1209" i="116"/>
  <c r="H1174" i="116"/>
  <c r="O1174" i="116"/>
  <c r="S1223" i="116"/>
  <c r="V1223" i="116" s="1"/>
  <c r="E1250" i="116"/>
  <c r="E1176" i="116"/>
  <c r="G1193" i="116"/>
  <c r="N1210" i="116"/>
  <c r="L1231" i="116"/>
  <c r="I1241" i="116"/>
  <c r="K1171" i="116"/>
  <c r="H1187" i="116"/>
  <c r="M1208" i="116"/>
  <c r="G1233" i="116"/>
  <c r="H1263" i="116"/>
  <c r="H1179" i="116"/>
  <c r="F1194" i="116"/>
  <c r="N1199" i="116"/>
  <c r="L1174" i="116"/>
  <c r="G1223" i="116"/>
  <c r="F1176" i="116"/>
  <c r="I1176" i="116"/>
  <c r="D1193" i="116"/>
  <c r="K1193" i="116"/>
  <c r="G1210" i="116"/>
  <c r="E1231" i="116"/>
  <c r="M1241" i="116"/>
  <c r="S1264" i="116"/>
  <c r="V1264" i="116" s="1"/>
  <c r="O1171" i="116"/>
  <c r="L1187" i="116"/>
  <c r="F1208" i="116"/>
  <c r="D1233" i="116"/>
  <c r="K1233" i="116"/>
  <c r="L1263" i="116"/>
  <c r="L1179" i="116"/>
  <c r="J1194" i="116"/>
  <c r="S1209" i="116"/>
  <c r="V1209" i="116" s="1"/>
  <c r="J1176" i="116"/>
  <c r="H1193" i="116"/>
  <c r="K1210" i="116"/>
  <c r="F1231" i="116"/>
  <c r="H1233" i="116"/>
  <c r="G1053" i="116"/>
  <c r="N1053" i="116"/>
  <c r="K1053" i="116"/>
  <c r="S1053" i="116"/>
  <c r="V1053" i="116" s="1"/>
  <c r="I1053" i="116"/>
  <c r="F1053" i="116"/>
  <c r="M1053" i="116"/>
  <c r="E1053" i="116"/>
  <c r="J1053" i="116"/>
  <c r="I1041" i="116"/>
  <c r="E1041" i="116"/>
  <c r="H1041" i="116"/>
  <c r="L1041" i="116"/>
  <c r="O1041" i="116"/>
  <c r="S1041" i="116"/>
  <c r="V1041" i="116" s="1"/>
  <c r="D1041" i="116"/>
  <c r="K1041" i="116"/>
  <c r="G1041" i="116"/>
  <c r="F1029" i="116"/>
  <c r="E1029" i="116"/>
  <c r="M1029" i="116"/>
  <c r="D1029" i="116"/>
  <c r="O1029" i="116"/>
  <c r="K1029" i="116"/>
  <c r="I1029" i="116"/>
  <c r="L1029" i="116"/>
  <c r="G1029" i="116"/>
  <c r="H1029" i="116"/>
  <c r="G1017" i="116"/>
  <c r="D1017" i="116"/>
  <c r="N1017" i="116"/>
  <c r="F1017" i="116"/>
  <c r="I1017" i="116"/>
  <c r="L1017" i="116"/>
  <c r="J1017" i="116"/>
  <c r="H1017" i="116"/>
  <c r="M1017" i="116"/>
  <c r="E1017" i="116"/>
  <c r="M1009" i="116"/>
  <c r="E1009" i="116"/>
  <c r="N1009" i="116"/>
  <c r="F1009" i="116"/>
  <c r="L1009" i="116"/>
  <c r="J1009" i="116"/>
  <c r="D1009" i="116"/>
  <c r="I1009" i="116"/>
  <c r="H1009" i="116"/>
  <c r="O1009" i="116"/>
  <c r="I997" i="116"/>
  <c r="N997" i="116"/>
  <c r="E997" i="116"/>
  <c r="H997" i="116"/>
  <c r="O997" i="116"/>
  <c r="L997" i="116"/>
  <c r="K997" i="116"/>
  <c r="D997" i="116"/>
  <c r="S997" i="116"/>
  <c r="V997" i="116" s="1"/>
  <c r="G997" i="116"/>
  <c r="N989" i="116"/>
  <c r="J989" i="116"/>
  <c r="O989" i="116"/>
  <c r="G989" i="116"/>
  <c r="K989" i="116"/>
  <c r="I989" i="116"/>
  <c r="S989" i="116"/>
  <c r="V989" i="116" s="1"/>
  <c r="F989" i="116"/>
  <c r="M989" i="116"/>
  <c r="G977" i="116"/>
  <c r="L977" i="116"/>
  <c r="O977" i="116"/>
  <c r="J977" i="116"/>
  <c r="F977" i="116"/>
  <c r="K977" i="116"/>
  <c r="N977" i="116"/>
  <c r="S977" i="116"/>
  <c r="V977" i="116" s="1"/>
  <c r="M977" i="116"/>
  <c r="E969" i="116"/>
  <c r="L969" i="116"/>
  <c r="J969" i="116"/>
  <c r="H969" i="116"/>
  <c r="N969" i="116"/>
  <c r="F969" i="116"/>
  <c r="M969" i="116"/>
  <c r="I969" i="116"/>
  <c r="D969" i="116"/>
  <c r="S1029" i="116"/>
  <c r="V1029" i="116" s="1"/>
  <c r="J1041" i="116"/>
  <c r="D989" i="116"/>
  <c r="O969" i="116"/>
  <c r="H977" i="116"/>
  <c r="G985" i="116"/>
  <c r="L989" i="116"/>
  <c r="L1005" i="116"/>
  <c r="K1037" i="116"/>
  <c r="L1057" i="116"/>
  <c r="I1057" i="116"/>
  <c r="H1057" i="116"/>
  <c r="N1057" i="116"/>
  <c r="J1057" i="116"/>
  <c r="M1057" i="116"/>
  <c r="E1057" i="116"/>
  <c r="F1057" i="116"/>
  <c r="D1057" i="116"/>
  <c r="F1045" i="116"/>
  <c r="D1045" i="116"/>
  <c r="G1045" i="116"/>
  <c r="S1045" i="116"/>
  <c r="V1045" i="116" s="1"/>
  <c r="J1045" i="116"/>
  <c r="E1045" i="116"/>
  <c r="N1045" i="116"/>
  <c r="M1045" i="116"/>
  <c r="I1045" i="116"/>
  <c r="O1033" i="116"/>
  <c r="K1033" i="116"/>
  <c r="E1033" i="116"/>
  <c r="G1033" i="116"/>
  <c r="L1033" i="116"/>
  <c r="H1033" i="116"/>
  <c r="N1033" i="116"/>
  <c r="D1033" i="116"/>
  <c r="S1033" i="116"/>
  <c r="V1033" i="116" s="1"/>
  <c r="O1021" i="116"/>
  <c r="M1021" i="116"/>
  <c r="L1021" i="116"/>
  <c r="H1021" i="116"/>
  <c r="D1021" i="116"/>
  <c r="K1021" i="116"/>
  <c r="G1021" i="116"/>
  <c r="N1021" i="116"/>
  <c r="S1021" i="116"/>
  <c r="V1021" i="116" s="1"/>
  <c r="I1013" i="116"/>
  <c r="M1013" i="116"/>
  <c r="G1013" i="116"/>
  <c r="S1013" i="116"/>
  <c r="V1013" i="116" s="1"/>
  <c r="J1013" i="116"/>
  <c r="L1013" i="116"/>
  <c r="N1013" i="116"/>
  <c r="F1013" i="116"/>
  <c r="E1013" i="116"/>
  <c r="H1001" i="116"/>
  <c r="J1001" i="116"/>
  <c r="M1001" i="116"/>
  <c r="D1001" i="116"/>
  <c r="O1001" i="116"/>
  <c r="K1001" i="116"/>
  <c r="I1001" i="116"/>
  <c r="E1001" i="116"/>
  <c r="G1001" i="116"/>
  <c r="L1001" i="116"/>
  <c r="M993" i="116"/>
  <c r="J993" i="116"/>
  <c r="D993" i="116"/>
  <c r="F993" i="116"/>
  <c r="O993" i="116"/>
  <c r="K993" i="116"/>
  <c r="G993" i="116"/>
  <c r="S993" i="116"/>
  <c r="V993" i="116" s="1"/>
  <c r="N993" i="116"/>
  <c r="J981" i="116"/>
  <c r="L981" i="116"/>
  <c r="H981" i="116"/>
  <c r="D981" i="116"/>
  <c r="O981" i="116"/>
  <c r="S981" i="116"/>
  <c r="V981" i="116" s="1"/>
  <c r="N981" i="116"/>
  <c r="K981" i="116"/>
  <c r="G981" i="116"/>
  <c r="G973" i="116"/>
  <c r="O973" i="116"/>
  <c r="J973" i="116"/>
  <c r="E973" i="116"/>
  <c r="F973" i="116"/>
  <c r="M973" i="116"/>
  <c r="L973" i="116"/>
  <c r="H973" i="116"/>
  <c r="I973" i="116"/>
  <c r="D973" i="116"/>
  <c r="O965" i="116"/>
  <c r="H965" i="116"/>
  <c r="I965" i="116"/>
  <c r="E965" i="116"/>
  <c r="L965" i="116"/>
  <c r="K965" i="116"/>
  <c r="D965" i="116"/>
  <c r="G965" i="116"/>
  <c r="S965" i="116"/>
  <c r="V965" i="116" s="1"/>
  <c r="F965" i="116"/>
  <c r="S1001" i="116"/>
  <c r="V1001" i="116" s="1"/>
  <c r="F1041" i="116"/>
  <c r="N965" i="116"/>
  <c r="D977" i="116"/>
  <c r="H989" i="116"/>
  <c r="S1057" i="116"/>
  <c r="V1057" i="116" s="1"/>
  <c r="N973" i="116"/>
  <c r="E977" i="116"/>
  <c r="I981" i="116"/>
  <c r="E989" i="116"/>
  <c r="H993" i="116"/>
  <c r="S1009" i="116"/>
  <c r="V1009" i="116" s="1"/>
  <c r="H1013" i="116"/>
  <c r="E1021" i="116"/>
  <c r="I1033" i="116"/>
  <c r="O1053" i="116"/>
  <c r="I1049" i="116"/>
  <c r="D1049" i="116"/>
  <c r="H1049" i="116"/>
  <c r="N1049" i="116"/>
  <c r="O1049" i="116"/>
  <c r="K1049" i="116"/>
  <c r="S1049" i="116"/>
  <c r="V1049" i="116" s="1"/>
  <c r="G1049" i="116"/>
  <c r="J1049" i="116"/>
  <c r="H1037" i="116"/>
  <c r="E1037" i="116"/>
  <c r="J1037" i="116"/>
  <c r="N1037" i="116"/>
  <c r="M1037" i="116"/>
  <c r="D1037" i="116"/>
  <c r="F1037" i="116"/>
  <c r="I1037" i="116"/>
  <c r="L1037" i="116"/>
  <c r="J1025" i="116"/>
  <c r="L1025" i="116"/>
  <c r="H1025" i="116"/>
  <c r="O1025" i="116"/>
  <c r="D1025" i="116"/>
  <c r="S1025" i="116"/>
  <c r="V1025" i="116" s="1"/>
  <c r="N1025" i="116"/>
  <c r="K1025" i="116"/>
  <c r="G1025" i="116"/>
  <c r="I1005" i="116"/>
  <c r="D1005" i="116"/>
  <c r="H1005" i="116"/>
  <c r="K1005" i="116"/>
  <c r="N1005" i="116"/>
  <c r="O1005" i="116"/>
  <c r="J1005" i="116"/>
  <c r="G1005" i="116"/>
  <c r="S1005" i="116"/>
  <c r="V1005" i="116" s="1"/>
  <c r="F985" i="116"/>
  <c r="E985" i="116"/>
  <c r="J985" i="116"/>
  <c r="I985" i="116"/>
  <c r="H985" i="116"/>
  <c r="D985" i="116"/>
  <c r="M985" i="116"/>
  <c r="K985" i="116"/>
  <c r="L985" i="116"/>
  <c r="O985" i="116"/>
  <c r="S961" i="116"/>
  <c r="V961" i="116" s="1"/>
  <c r="J961" i="116"/>
  <c r="I961" i="116"/>
  <c r="E961" i="116"/>
  <c r="N961" i="116"/>
  <c r="L961" i="116"/>
  <c r="M961" i="116"/>
  <c r="F961" i="116"/>
  <c r="L1045" i="116"/>
  <c r="M1049" i="116"/>
  <c r="G1057" i="116"/>
  <c r="G969" i="116"/>
  <c r="O1013" i="116"/>
  <c r="G1037" i="116"/>
  <c r="S973" i="116"/>
  <c r="V973" i="116" s="1"/>
  <c r="I977" i="116"/>
  <c r="M981" i="116"/>
  <c r="L993" i="116"/>
  <c r="M997" i="116"/>
  <c r="M1005" i="116"/>
  <c r="I1021" i="116"/>
  <c r="M1033" i="116"/>
  <c r="S1037" i="116"/>
  <c r="V1037" i="116" s="1"/>
  <c r="D1053" i="116"/>
  <c r="F1025" i="116"/>
  <c r="J965" i="116"/>
  <c r="S969" i="116"/>
  <c r="V969" i="116" s="1"/>
  <c r="K1057" i="116"/>
  <c r="G1009" i="116"/>
  <c r="K1013" i="116"/>
  <c r="N1041" i="116"/>
  <c r="O1057" i="116"/>
  <c r="K969" i="116"/>
  <c r="K1009" i="116"/>
  <c r="G961" i="116"/>
  <c r="F981" i="116"/>
  <c r="S985" i="116"/>
  <c r="V985" i="116" s="1"/>
  <c r="E993" i="116"/>
  <c r="F997" i="116"/>
  <c r="F1005" i="116"/>
  <c r="F1021" i="116"/>
  <c r="F1033" i="116"/>
  <c r="H1053" i="116"/>
  <c r="K961" i="116"/>
  <c r="I993" i="116"/>
  <c r="J997" i="116"/>
  <c r="J1021" i="116"/>
  <c r="J1033" i="116"/>
  <c r="L1053" i="116"/>
  <c r="N1048" i="116"/>
  <c r="L1048" i="116"/>
  <c r="H1048" i="116"/>
  <c r="J1032" i="116"/>
  <c r="N1032" i="116"/>
  <c r="S1024" i="116"/>
  <c r="V1024" i="116" s="1"/>
  <c r="J1024" i="116"/>
  <c r="F1008" i="116"/>
  <c r="K1008" i="116"/>
  <c r="O984" i="116"/>
  <c r="H984" i="116"/>
  <c r="G984" i="116"/>
  <c r="J964" i="116"/>
  <c r="K964" i="116"/>
  <c r="L968" i="116"/>
  <c r="M972" i="116"/>
  <c r="H976" i="116"/>
  <c r="L980" i="116"/>
  <c r="D992" i="116"/>
  <c r="D1000" i="116"/>
  <c r="I1056" i="116"/>
  <c r="H964" i="116"/>
  <c r="E968" i="116"/>
  <c r="L976" i="116"/>
  <c r="E980" i="116"/>
  <c r="F984" i="116"/>
  <c r="O988" i="116"/>
  <c r="H992" i="116"/>
  <c r="M996" i="116"/>
  <c r="H1000" i="116"/>
  <c r="D1008" i="116"/>
  <c r="F1012" i="116"/>
  <c r="H1016" i="116"/>
  <c r="D1024" i="116"/>
  <c r="F1028" i="116"/>
  <c r="L1032" i="116"/>
  <c r="J1036" i="116"/>
  <c r="K1044" i="116"/>
  <c r="F1048" i="116"/>
  <c r="O1052" i="116"/>
  <c r="M1056" i="116"/>
  <c r="K1040" i="116"/>
  <c r="D1040" i="116"/>
  <c r="I1040" i="116"/>
  <c r="E1040" i="116"/>
  <c r="F1020" i="116"/>
  <c r="L1020" i="116"/>
  <c r="N972" i="116"/>
  <c r="H972" i="116"/>
  <c r="K988" i="116"/>
  <c r="I996" i="116"/>
  <c r="J1020" i="116"/>
  <c r="O1024" i="116"/>
  <c r="L964" i="116"/>
  <c r="I968" i="116"/>
  <c r="J972" i="116"/>
  <c r="J984" i="116"/>
  <c r="H1008" i="116"/>
  <c r="J1012" i="116"/>
  <c r="L1016" i="116"/>
  <c r="H1024" i="116"/>
  <c r="J1028" i="116"/>
  <c r="E1032" i="116"/>
  <c r="N1036" i="116"/>
  <c r="M1040" i="116"/>
  <c r="O1044" i="116"/>
  <c r="J1048" i="116"/>
  <c r="F1056" i="116"/>
  <c r="K1055" i="116"/>
  <c r="O1055" i="116"/>
  <c r="M1051" i="116"/>
  <c r="H1051" i="116"/>
  <c r="N1047" i="116"/>
  <c r="L1047" i="116"/>
  <c r="E1047" i="116"/>
  <c r="F1043" i="116"/>
  <c r="K1043" i="116"/>
  <c r="H1039" i="116"/>
  <c r="E1039" i="116"/>
  <c r="F1039" i="116"/>
  <c r="O1035" i="116"/>
  <c r="D1035" i="116"/>
  <c r="D1023" i="116"/>
  <c r="N1023" i="116"/>
  <c r="S1019" i="116"/>
  <c r="V1019" i="116" s="1"/>
  <c r="H1019" i="116"/>
  <c r="M1015" i="116"/>
  <c r="J1015" i="116"/>
  <c r="J1011" i="116"/>
  <c r="F1011" i="116"/>
  <c r="F1007" i="116"/>
  <c r="L1007" i="116"/>
  <c r="E1007" i="116"/>
  <c r="H1003" i="116"/>
  <c r="E1003" i="116"/>
  <c r="S1003" i="116"/>
  <c r="V1003" i="116" s="1"/>
  <c r="F999" i="116"/>
  <c r="G999" i="116"/>
  <c r="J995" i="116"/>
  <c r="S995" i="116"/>
  <c r="V995" i="116" s="1"/>
  <c r="G991" i="116"/>
  <c r="K991" i="116"/>
  <c r="N987" i="116"/>
  <c r="F987" i="116"/>
  <c r="J983" i="116"/>
  <c r="L983" i="116"/>
  <c r="E983" i="116"/>
  <c r="S979" i="116"/>
  <c r="V979" i="116" s="1"/>
  <c r="I979" i="116"/>
  <c r="K971" i="116"/>
  <c r="O971" i="116"/>
  <c r="L967" i="116"/>
  <c r="D967" i="116"/>
  <c r="E1004" i="116"/>
  <c r="N1004" i="116"/>
  <c r="G1000" i="116"/>
  <c r="L1000" i="116"/>
  <c r="F996" i="116"/>
  <c r="N996" i="116"/>
  <c r="I992" i="116"/>
  <c r="M992" i="116"/>
  <c r="I988" i="116"/>
  <c r="E988" i="116"/>
  <c r="O980" i="116"/>
  <c r="H980" i="116"/>
  <c r="E976" i="116"/>
  <c r="S976" i="116"/>
  <c r="V976" i="116" s="1"/>
  <c r="D960" i="116"/>
  <c r="I960" i="116"/>
  <c r="M960" i="116"/>
  <c r="J1004" i="116"/>
  <c r="O1008" i="116"/>
  <c r="F1036" i="116"/>
  <c r="H1040" i="116"/>
  <c r="G1044" i="116"/>
  <c r="E964" i="116"/>
  <c r="M976" i="116"/>
  <c r="M980" i="116"/>
  <c r="N984" i="116"/>
  <c r="E992" i="116"/>
  <c r="L1008" i="116"/>
  <c r="S1020" i="116"/>
  <c r="V1020" i="116" s="1"/>
  <c r="I1032" i="116"/>
  <c r="I964" i="116"/>
  <c r="S972" i="116"/>
  <c r="V972" i="116" s="1"/>
  <c r="F976" i="116"/>
  <c r="F980" i="116"/>
  <c r="L988" i="116"/>
  <c r="F992" i="116"/>
  <c r="S996" i="116"/>
  <c r="V996" i="116" s="1"/>
  <c r="M1000" i="116"/>
  <c r="K1004" i="116"/>
  <c r="E1008" i="116"/>
  <c r="S1012" i="116"/>
  <c r="V1012" i="116" s="1"/>
  <c r="G1020" i="116"/>
  <c r="E1024" i="116"/>
  <c r="M1032" i="116"/>
  <c r="J1040" i="116"/>
  <c r="S1048" i="116"/>
  <c r="V1048" i="116" s="1"/>
  <c r="O1056" i="116"/>
  <c r="H1056" i="116"/>
  <c r="K1056" i="116"/>
  <c r="G1056" i="116"/>
  <c r="S1056" i="116"/>
  <c r="V1056" i="116" s="1"/>
  <c r="S1052" i="116"/>
  <c r="V1052" i="116" s="1"/>
  <c r="F1052" i="116"/>
  <c r="M1052" i="116"/>
  <c r="I1044" i="116"/>
  <c r="S1044" i="116"/>
  <c r="V1044" i="116" s="1"/>
  <c r="K1036" i="116"/>
  <c r="G1036" i="116"/>
  <c r="O1028" i="116"/>
  <c r="H1028" i="116"/>
  <c r="K1028" i="116"/>
  <c r="E1016" i="116"/>
  <c r="G1016" i="116"/>
  <c r="J968" i="116"/>
  <c r="O968" i="116"/>
  <c r="D964" i="116"/>
  <c r="M984" i="116"/>
  <c r="M1012" i="116"/>
  <c r="D1016" i="116"/>
  <c r="H1032" i="116"/>
  <c r="M1048" i="116"/>
  <c r="K1052" i="116"/>
  <c r="F960" i="116"/>
  <c r="N960" i="116"/>
  <c r="M968" i="116"/>
  <c r="H988" i="116"/>
  <c r="I1000" i="116"/>
  <c r="G1004" i="116"/>
  <c r="N1012" i="116"/>
  <c r="I1016" i="116"/>
  <c r="L1024" i="116"/>
  <c r="N1028" i="116"/>
  <c r="S1036" i="116"/>
  <c r="V1036" i="116" s="1"/>
  <c r="F1040" i="116"/>
  <c r="D1052" i="116"/>
  <c r="J1056" i="116"/>
  <c r="S960" i="116"/>
  <c r="V960" i="116" s="1"/>
  <c r="M964" i="116"/>
  <c r="N968" i="116"/>
  <c r="G972" i="116"/>
  <c r="J976" i="116"/>
  <c r="J980" i="116"/>
  <c r="S984" i="116"/>
  <c r="V984" i="116" s="1"/>
  <c r="M988" i="116"/>
  <c r="J992" i="116"/>
  <c r="G996" i="116"/>
  <c r="F1000" i="116"/>
  <c r="O1004" i="116"/>
  <c r="I1008" i="116"/>
  <c r="G1012" i="116"/>
  <c r="F1016" i="116"/>
  <c r="K1020" i="116"/>
  <c r="I1024" i="116"/>
  <c r="S1028" i="116"/>
  <c r="V1028" i="116" s="1"/>
  <c r="F1032" i="116"/>
  <c r="N1040" i="116"/>
  <c r="H1044" i="116"/>
  <c r="G1048" i="116"/>
  <c r="L1052" i="116"/>
  <c r="L927" i="116"/>
  <c r="H927" i="116"/>
  <c r="D927" i="116"/>
  <c r="O927" i="116"/>
  <c r="N927" i="116"/>
  <c r="I927" i="116"/>
  <c r="F927" i="116"/>
  <c r="M927" i="116"/>
  <c r="J927" i="116"/>
  <c r="G880" i="116"/>
  <c r="S880" i="116"/>
  <c r="V880" i="116" s="1"/>
  <c r="N880" i="116"/>
  <c r="H880" i="116"/>
  <c r="E880" i="116"/>
  <c r="O880" i="116"/>
  <c r="D880" i="116"/>
  <c r="H923" i="116"/>
  <c r="D923" i="116"/>
  <c r="O923" i="116"/>
  <c r="K923" i="116"/>
  <c r="M923" i="116"/>
  <c r="J923" i="116"/>
  <c r="I923" i="116"/>
  <c r="F923" i="116"/>
  <c r="N857" i="116"/>
  <c r="F888" i="116"/>
  <c r="E896" i="116"/>
  <c r="I907" i="116"/>
  <c r="J917" i="116"/>
  <c r="G927" i="116"/>
  <c r="H860" i="116"/>
  <c r="K869" i="116"/>
  <c r="K950" i="116"/>
  <c r="E900" i="116"/>
  <c r="H924" i="116"/>
  <c r="I864" i="116"/>
  <c r="E864" i="116"/>
  <c r="L864" i="116"/>
  <c r="O864" i="116"/>
  <c r="H864" i="116"/>
  <c r="N864" i="116"/>
  <c r="J864" i="116"/>
  <c r="K907" i="116"/>
  <c r="G907" i="116"/>
  <c r="S907" i="116"/>
  <c r="V907" i="116" s="1"/>
  <c r="L907" i="116"/>
  <c r="H907" i="116"/>
  <c r="E923" i="116"/>
  <c r="S860" i="116"/>
  <c r="V860" i="116" s="1"/>
  <c r="J888" i="116"/>
  <c r="I896" i="116"/>
  <c r="I885" i="116"/>
  <c r="G917" i="116"/>
  <c r="K927" i="116"/>
  <c r="S888" i="116"/>
  <c r="V888" i="116" s="1"/>
  <c r="O869" i="116"/>
  <c r="N885" i="116"/>
  <c r="E927" i="116"/>
  <c r="F917" i="116"/>
  <c r="M917" i="116"/>
  <c r="I917" i="116"/>
  <c r="E917" i="116"/>
  <c r="S917" i="116"/>
  <c r="V917" i="116" s="1"/>
  <c r="N917" i="116"/>
  <c r="O893" i="116"/>
  <c r="H893" i="116"/>
  <c r="K893" i="116"/>
  <c r="D893" i="116"/>
  <c r="G893" i="116"/>
  <c r="S893" i="116"/>
  <c r="V893" i="116" s="1"/>
  <c r="M893" i="116"/>
  <c r="I893" i="116"/>
  <c r="E893" i="116"/>
  <c r="I877" i="116"/>
  <c r="E877" i="116"/>
  <c r="L877" i="116"/>
  <c r="O877" i="116"/>
  <c r="H877" i="116"/>
  <c r="N877" i="116"/>
  <c r="J877" i="116"/>
  <c r="N896" i="116"/>
  <c r="J896" i="116"/>
  <c r="F896" i="116"/>
  <c r="O896" i="116"/>
  <c r="K896" i="116"/>
  <c r="G872" i="116"/>
  <c r="S872" i="116"/>
  <c r="V872" i="116" s="1"/>
  <c r="N872" i="116"/>
  <c r="H872" i="116"/>
  <c r="E872" i="116"/>
  <c r="D872" i="116"/>
  <c r="I933" i="116"/>
  <c r="K933" i="116"/>
  <c r="E933" i="116"/>
  <c r="D933" i="116"/>
  <c r="L933" i="116"/>
  <c r="O933" i="116"/>
  <c r="H933" i="116"/>
  <c r="N933" i="116"/>
  <c r="F933" i="116"/>
  <c r="J933" i="116"/>
  <c r="S924" i="116"/>
  <c r="V924" i="116" s="1"/>
  <c r="N924" i="116"/>
  <c r="J924" i="116"/>
  <c r="F924" i="116"/>
  <c r="D924" i="116"/>
  <c r="O924" i="116"/>
  <c r="K924" i="116"/>
  <c r="K908" i="116"/>
  <c r="G908" i="116"/>
  <c r="N908" i="116"/>
  <c r="S908" i="116"/>
  <c r="V908" i="116" s="1"/>
  <c r="L908" i="116"/>
  <c r="I908" i="116"/>
  <c r="D908" i="116"/>
  <c r="H908" i="116"/>
  <c r="E908" i="116"/>
  <c r="S900" i="116"/>
  <c r="V900" i="116" s="1"/>
  <c r="N900" i="116"/>
  <c r="F900" i="116"/>
  <c r="J900" i="116"/>
  <c r="D900" i="116"/>
  <c r="O900" i="116"/>
  <c r="K900" i="116"/>
  <c r="O954" i="116"/>
  <c r="S954" i="116"/>
  <c r="V954" i="116" s="1"/>
  <c r="K954" i="116"/>
  <c r="G954" i="116"/>
  <c r="J954" i="116"/>
  <c r="N954" i="116"/>
  <c r="E954" i="116"/>
  <c r="L954" i="116"/>
  <c r="H954" i="116"/>
  <c r="E950" i="116"/>
  <c r="O950" i="116"/>
  <c r="L950" i="116"/>
  <c r="H950" i="116"/>
  <c r="D950" i="116"/>
  <c r="J950" i="116"/>
  <c r="M950" i="116"/>
  <c r="F950" i="116"/>
  <c r="F946" i="116"/>
  <c r="M946" i="116"/>
  <c r="I946" i="116"/>
  <c r="E946" i="116"/>
  <c r="L946" i="116"/>
  <c r="S946" i="116"/>
  <c r="V946" i="116" s="1"/>
  <c r="K946" i="116"/>
  <c r="N946" i="116"/>
  <c r="G946" i="116"/>
  <c r="L942" i="116"/>
  <c r="H942" i="116"/>
  <c r="D942" i="116"/>
  <c r="O942" i="116"/>
  <c r="S942" i="116"/>
  <c r="V942" i="116" s="1"/>
  <c r="K942" i="116"/>
  <c r="F942" i="116"/>
  <c r="M942" i="116"/>
  <c r="I942" i="116"/>
  <c r="F938" i="116"/>
  <c r="M938" i="116"/>
  <c r="L938" i="116"/>
  <c r="I938" i="116"/>
  <c r="E938" i="116"/>
  <c r="S938" i="116"/>
  <c r="V938" i="116" s="1"/>
  <c r="K938" i="116"/>
  <c r="G938" i="116"/>
  <c r="N938" i="116"/>
  <c r="E934" i="116"/>
  <c r="L934" i="116"/>
  <c r="O934" i="116"/>
  <c r="H934" i="116"/>
  <c r="D934" i="116"/>
  <c r="J934" i="116"/>
  <c r="M934" i="116"/>
  <c r="F934" i="116"/>
  <c r="D928" i="116"/>
  <c r="O928" i="116"/>
  <c r="S928" i="116"/>
  <c r="V928" i="116" s="1"/>
  <c r="K928" i="116"/>
  <c r="G928" i="116"/>
  <c r="F928" i="116"/>
  <c r="L928" i="116"/>
  <c r="I928" i="116"/>
  <c r="M928" i="116"/>
  <c r="F872" i="116"/>
  <c r="O888" i="116"/>
  <c r="D896" i="116"/>
  <c r="M920" i="116"/>
  <c r="D864" i="116"/>
  <c r="F877" i="116"/>
  <c r="M880" i="116"/>
  <c r="G885" i="116"/>
  <c r="L909" i="116"/>
  <c r="N934" i="116"/>
  <c r="J938" i="116"/>
  <c r="S950" i="116"/>
  <c r="V950" i="116" s="1"/>
  <c r="H900" i="116"/>
  <c r="N931" i="116"/>
  <c r="M931" i="116"/>
  <c r="J931" i="116"/>
  <c r="I931" i="116"/>
  <c r="F931" i="116"/>
  <c r="O931" i="116"/>
  <c r="G931" i="116"/>
  <c r="K931" i="116"/>
  <c r="M911" i="116"/>
  <c r="J911" i="116"/>
  <c r="I911" i="116"/>
  <c r="F911" i="116"/>
  <c r="E911" i="116"/>
  <c r="L911" i="116"/>
  <c r="G911" i="116"/>
  <c r="S911" i="116"/>
  <c r="V911" i="116" s="1"/>
  <c r="G863" i="116"/>
  <c r="N863" i="116"/>
  <c r="J863" i="116"/>
  <c r="F863" i="116"/>
  <c r="H863" i="116"/>
  <c r="D863" i="116"/>
  <c r="I920" i="116"/>
  <c r="M877" i="116"/>
  <c r="I880" i="116"/>
  <c r="J872" i="116"/>
  <c r="H896" i="116"/>
  <c r="F907" i="116"/>
  <c r="F920" i="116"/>
  <c r="M864" i="116"/>
  <c r="F880" i="116"/>
  <c r="L893" i="116"/>
  <c r="E909" i="116"/>
  <c r="E928" i="116"/>
  <c r="L900" i="116"/>
  <c r="S933" i="116"/>
  <c r="V933" i="116" s="1"/>
  <c r="F864" i="116"/>
  <c r="D869" i="116"/>
  <c r="S877" i="116"/>
  <c r="V877" i="116" s="1"/>
  <c r="J880" i="116"/>
  <c r="F893" i="116"/>
  <c r="N909" i="116"/>
  <c r="J928" i="116"/>
  <c r="S934" i="116"/>
  <c r="V934" i="116" s="1"/>
  <c r="O946" i="116"/>
  <c r="D954" i="116"/>
  <c r="M908" i="116"/>
  <c r="G933" i="116"/>
  <c r="D860" i="116"/>
  <c r="O860" i="116"/>
  <c r="K860" i="116"/>
  <c r="G860" i="116"/>
  <c r="I860" i="116"/>
  <c r="F860" i="116"/>
  <c r="E860" i="116"/>
  <c r="E857" i="116"/>
  <c r="L857" i="116"/>
  <c r="H857" i="116"/>
  <c r="D857" i="116"/>
  <c r="J857" i="116"/>
  <c r="F857" i="116"/>
  <c r="K872" i="116"/>
  <c r="L896" i="116"/>
  <c r="J907" i="116"/>
  <c r="G920" i="116"/>
  <c r="N907" i="116"/>
  <c r="K920" i="116"/>
  <c r="H869" i="116"/>
  <c r="G877" i="116"/>
  <c r="K880" i="116"/>
  <c r="J893" i="116"/>
  <c r="K909" i="116"/>
  <c r="N928" i="116"/>
  <c r="G942" i="116"/>
  <c r="D946" i="116"/>
  <c r="I954" i="116"/>
  <c r="F908" i="116"/>
  <c r="M872" i="116"/>
  <c r="G896" i="116"/>
  <c r="H909" i="116"/>
  <c r="O872" i="116"/>
  <c r="L872" i="116"/>
  <c r="O907" i="116"/>
  <c r="S923" i="116"/>
  <c r="V923" i="116" s="1"/>
  <c r="J860" i="116"/>
  <c r="S864" i="116"/>
  <c r="V864" i="116" s="1"/>
  <c r="K877" i="116"/>
  <c r="L880" i="116"/>
  <c r="N893" i="116"/>
  <c r="D917" i="116"/>
  <c r="E942" i="116"/>
  <c r="H946" i="116"/>
  <c r="M954" i="116"/>
  <c r="J908" i="116"/>
  <c r="E924" i="116"/>
  <c r="J909" i="116"/>
  <c r="F909" i="116"/>
  <c r="M909" i="116"/>
  <c r="I909" i="116"/>
  <c r="G909" i="116"/>
  <c r="S909" i="116"/>
  <c r="V909" i="116" s="1"/>
  <c r="E885" i="116"/>
  <c r="L885" i="116"/>
  <c r="O885" i="116"/>
  <c r="H885" i="116"/>
  <c r="K885" i="116"/>
  <c r="D885" i="116"/>
  <c r="J885" i="116"/>
  <c r="M885" i="116"/>
  <c r="F885" i="116"/>
  <c r="J869" i="116"/>
  <c r="F869" i="116"/>
  <c r="M869" i="116"/>
  <c r="I869" i="116"/>
  <c r="G869" i="116"/>
  <c r="S869" i="116"/>
  <c r="V869" i="116" s="1"/>
  <c r="S920" i="116"/>
  <c r="V920" i="116" s="1"/>
  <c r="N920" i="116"/>
  <c r="J920" i="116"/>
  <c r="D920" i="116"/>
  <c r="O920" i="116"/>
  <c r="M888" i="116"/>
  <c r="L888" i="116"/>
  <c r="I888" i="116"/>
  <c r="H888" i="116"/>
  <c r="E888" i="116"/>
  <c r="D888" i="116"/>
  <c r="N888" i="116"/>
  <c r="G857" i="116"/>
  <c r="N923" i="116"/>
  <c r="K857" i="116"/>
  <c r="O857" i="116"/>
  <c r="I857" i="116"/>
  <c r="D907" i="116"/>
  <c r="L920" i="116"/>
  <c r="G923" i="116"/>
  <c r="N860" i="116"/>
  <c r="G864" i="116"/>
  <c r="E869" i="116"/>
  <c r="H917" i="116"/>
  <c r="H928" i="116"/>
  <c r="J942" i="116"/>
  <c r="J946" i="116"/>
  <c r="F954" i="116"/>
  <c r="O908" i="116"/>
  <c r="I924" i="116"/>
  <c r="M858" i="116"/>
  <c r="S875" i="116"/>
  <c r="V875" i="116" s="1"/>
  <c r="E899" i="116"/>
  <c r="M859" i="116"/>
  <c r="D870" i="116"/>
  <c r="F874" i="116"/>
  <c r="D878" i="116"/>
  <c r="G886" i="116"/>
  <c r="E890" i="116"/>
  <c r="J894" i="116"/>
  <c r="L898" i="116"/>
  <c r="N902" i="116"/>
  <c r="M914" i="116"/>
  <c r="O918" i="116"/>
  <c r="J922" i="116"/>
  <c r="F858" i="116"/>
  <c r="J871" i="116"/>
  <c r="M871" i="116"/>
  <c r="G875" i="116"/>
  <c r="L879" i="116"/>
  <c r="S883" i="116"/>
  <c r="V883" i="116" s="1"/>
  <c r="H887" i="116"/>
  <c r="J891" i="116"/>
  <c r="M891" i="116"/>
  <c r="K895" i="116"/>
  <c r="F899" i="116"/>
  <c r="I899" i="116"/>
  <c r="G903" i="116"/>
  <c r="L915" i="116"/>
  <c r="N919" i="116"/>
  <c r="F891" i="116"/>
  <c r="I891" i="116"/>
  <c r="H915" i="116"/>
  <c r="F859" i="116"/>
  <c r="H870" i="116"/>
  <c r="J874" i="116"/>
  <c r="H878" i="116"/>
  <c r="K886" i="116"/>
  <c r="S886" i="116"/>
  <c r="V886" i="116" s="1"/>
  <c r="I890" i="116"/>
  <c r="N894" i="116"/>
  <c r="E898" i="116"/>
  <c r="G902" i="116"/>
  <c r="F914" i="116"/>
  <c r="D918" i="116"/>
  <c r="N922" i="116"/>
  <c r="J858" i="116"/>
  <c r="N871" i="116"/>
  <c r="K875" i="116"/>
  <c r="E879" i="116"/>
  <c r="G883" i="116"/>
  <c r="L887" i="116"/>
  <c r="N891" i="116"/>
  <c r="O895" i="116"/>
  <c r="J899" i="116"/>
  <c r="M899" i="116"/>
  <c r="K903" i="116"/>
  <c r="E915" i="116"/>
  <c r="G859" i="116"/>
  <c r="F870" i="116"/>
  <c r="D874" i="116"/>
  <c r="F878" i="116"/>
  <c r="E886" i="116"/>
  <c r="G890" i="116"/>
  <c r="H894" i="116"/>
  <c r="N898" i="116"/>
  <c r="L902" i="116"/>
  <c r="O914" i="116"/>
  <c r="M918" i="116"/>
  <c r="H922" i="116"/>
  <c r="D858" i="116"/>
  <c r="K858" i="116"/>
  <c r="O871" i="116"/>
  <c r="E875" i="116"/>
  <c r="S879" i="116"/>
  <c r="V879" i="116" s="1"/>
  <c r="L883" i="116"/>
  <c r="O891" i="116"/>
  <c r="F895" i="116"/>
  <c r="I895" i="116"/>
  <c r="K899" i="116"/>
  <c r="E903" i="116"/>
  <c r="S915" i="116"/>
  <c r="V915" i="116" s="1"/>
  <c r="D919" i="116"/>
  <c r="K859" i="116"/>
  <c r="J870" i="116"/>
  <c r="H874" i="116"/>
  <c r="J878" i="116"/>
  <c r="I886" i="116"/>
  <c r="K890" i="116"/>
  <c r="S890" i="116"/>
  <c r="V890" i="116" s="1"/>
  <c r="L894" i="116"/>
  <c r="G898" i="116"/>
  <c r="E902" i="116"/>
  <c r="D914" i="116"/>
  <c r="F918" i="116"/>
  <c r="L922" i="116"/>
  <c r="H858" i="116"/>
  <c r="O858" i="116"/>
  <c r="D871" i="116"/>
  <c r="F875" i="116"/>
  <c r="I875" i="116"/>
  <c r="G879" i="116"/>
  <c r="E883" i="116"/>
  <c r="S887" i="116"/>
  <c r="V887" i="116" s="1"/>
  <c r="D891" i="116"/>
  <c r="J895" i="116"/>
  <c r="M895" i="116"/>
  <c r="O899" i="116"/>
  <c r="F903" i="116"/>
  <c r="I903" i="116"/>
  <c r="G915" i="116"/>
  <c r="H919" i="116"/>
  <c r="O859" i="116"/>
  <c r="N870" i="116"/>
  <c r="L874" i="116"/>
  <c r="N878" i="116"/>
  <c r="M886" i="116"/>
  <c r="O890" i="116"/>
  <c r="E894" i="116"/>
  <c r="K898" i="116"/>
  <c r="S898" i="116"/>
  <c r="V898" i="116" s="1"/>
  <c r="I902" i="116"/>
  <c r="H914" i="116"/>
  <c r="J918" i="116"/>
  <c r="E922" i="116"/>
  <c r="L858" i="116"/>
  <c r="H871" i="116"/>
  <c r="J875" i="116"/>
  <c r="M875" i="116"/>
  <c r="K879" i="116"/>
  <c r="F883" i="116"/>
  <c r="I883" i="116"/>
  <c r="G887" i="116"/>
  <c r="H891" i="116"/>
  <c r="D899" i="116"/>
  <c r="J903" i="116"/>
  <c r="M903" i="116"/>
  <c r="K915" i="116"/>
  <c r="L919" i="116"/>
  <c r="J883" i="116"/>
  <c r="L830" i="116"/>
  <c r="D770" i="116"/>
  <c r="E818" i="116"/>
  <c r="E830" i="116"/>
  <c r="N853" i="116"/>
  <c r="M853" i="116"/>
  <c r="J853" i="116"/>
  <c r="F853" i="116"/>
  <c r="K853" i="116"/>
  <c r="S853" i="116"/>
  <c r="V853" i="116" s="1"/>
  <c r="G853" i="116"/>
  <c r="L847" i="116"/>
  <c r="O847" i="116"/>
  <c r="H847" i="116"/>
  <c r="D847" i="116"/>
  <c r="F847" i="116"/>
  <c r="I847" i="116"/>
  <c r="M847" i="116"/>
  <c r="K841" i="116"/>
  <c r="G841" i="116"/>
  <c r="S841" i="116"/>
  <c r="V841" i="116" s="1"/>
  <c r="L841" i="116"/>
  <c r="I841" i="116"/>
  <c r="H841" i="116"/>
  <c r="E841" i="116"/>
  <c r="D841" i="116"/>
  <c r="O835" i="116"/>
  <c r="S835" i="116"/>
  <c r="V835" i="116" s="1"/>
  <c r="K835" i="116"/>
  <c r="G835" i="116"/>
  <c r="E835" i="116"/>
  <c r="L835" i="116"/>
  <c r="H835" i="116"/>
  <c r="H829" i="116"/>
  <c r="E829" i="116"/>
  <c r="D829" i="116"/>
  <c r="O829" i="116"/>
  <c r="J829" i="116"/>
  <c r="F829" i="116"/>
  <c r="M829" i="116"/>
  <c r="I823" i="116"/>
  <c r="E823" i="116"/>
  <c r="L823" i="116"/>
  <c r="N823" i="116"/>
  <c r="J823" i="116"/>
  <c r="F823" i="116"/>
  <c r="K817" i="116"/>
  <c r="G817" i="116"/>
  <c r="S817" i="116"/>
  <c r="V817" i="116" s="1"/>
  <c r="L817" i="116"/>
  <c r="I817" i="116"/>
  <c r="D817" i="116"/>
  <c r="H817" i="116"/>
  <c r="E817" i="116"/>
  <c r="L811" i="116"/>
  <c r="H811" i="116"/>
  <c r="D811" i="116"/>
  <c r="F811" i="116"/>
  <c r="I811" i="116"/>
  <c r="M811" i="116"/>
  <c r="N805" i="116"/>
  <c r="J805" i="116"/>
  <c r="F805" i="116"/>
  <c r="K805" i="116"/>
  <c r="G805" i="116"/>
  <c r="S805" i="116"/>
  <c r="V805" i="116" s="1"/>
  <c r="J799" i="116"/>
  <c r="F799" i="116"/>
  <c r="M799" i="116"/>
  <c r="O799" i="116"/>
  <c r="S799" i="116"/>
  <c r="V799" i="116" s="1"/>
  <c r="K799" i="116"/>
  <c r="G799" i="116"/>
  <c r="M793" i="116"/>
  <c r="L793" i="116"/>
  <c r="I793" i="116"/>
  <c r="H793" i="116"/>
  <c r="E793" i="116"/>
  <c r="N793" i="116"/>
  <c r="J793" i="116"/>
  <c r="E787" i="116"/>
  <c r="L787" i="116"/>
  <c r="H787" i="116"/>
  <c r="J787" i="116"/>
  <c r="F787" i="116"/>
  <c r="M787" i="116"/>
  <c r="N781" i="116"/>
  <c r="J781" i="116"/>
  <c r="O781" i="116"/>
  <c r="G781" i="116"/>
  <c r="K781" i="116"/>
  <c r="F775" i="116"/>
  <c r="M775" i="116"/>
  <c r="I775" i="116"/>
  <c r="S775" i="116"/>
  <c r="V775" i="116" s="1"/>
  <c r="K775" i="116"/>
  <c r="G775" i="116"/>
  <c r="N775" i="116"/>
  <c r="I769" i="116"/>
  <c r="E769" i="116"/>
  <c r="L769" i="116"/>
  <c r="N769" i="116"/>
  <c r="J769" i="116"/>
  <c r="F769" i="116"/>
  <c r="M763" i="116"/>
  <c r="J763" i="116"/>
  <c r="I763" i="116"/>
  <c r="F763" i="116"/>
  <c r="E763" i="116"/>
  <c r="G763" i="116"/>
  <c r="S763" i="116"/>
  <c r="V763" i="116" s="1"/>
  <c r="M756" i="116"/>
  <c r="L756" i="116"/>
  <c r="I756" i="116"/>
  <c r="H756" i="116"/>
  <c r="E756" i="116"/>
  <c r="N756" i="116"/>
  <c r="E754" i="116"/>
  <c r="L754" i="116"/>
  <c r="H754" i="116"/>
  <c r="J754" i="116"/>
  <c r="F754" i="116"/>
  <c r="G754" i="116"/>
  <c r="E806" i="116"/>
  <c r="L806" i="116"/>
  <c r="O806" i="116"/>
  <c r="H806" i="116"/>
  <c r="J806" i="116"/>
  <c r="F806" i="116"/>
  <c r="M754" i="116"/>
  <c r="I830" i="116"/>
  <c r="I842" i="116"/>
  <c r="O754" i="116"/>
  <c r="D754" i="116"/>
  <c r="N848" i="116"/>
  <c r="M848" i="116"/>
  <c r="J848" i="116"/>
  <c r="I848" i="116"/>
  <c r="F848" i="116"/>
  <c r="K848" i="116"/>
  <c r="G848" i="116"/>
  <c r="S848" i="116"/>
  <c r="V848" i="116" s="1"/>
  <c r="L836" i="116"/>
  <c r="H836" i="116"/>
  <c r="D836" i="116"/>
  <c r="N836" i="116"/>
  <c r="I836" i="116"/>
  <c r="F836" i="116"/>
  <c r="M836" i="116"/>
  <c r="J836" i="116"/>
  <c r="O824" i="116"/>
  <c r="K824" i="116"/>
  <c r="G824" i="116"/>
  <c r="E824" i="116"/>
  <c r="L824" i="116"/>
  <c r="H824" i="116"/>
  <c r="M812" i="116"/>
  <c r="J812" i="116"/>
  <c r="I812" i="116"/>
  <c r="F812" i="116"/>
  <c r="E812" i="116"/>
  <c r="G812" i="116"/>
  <c r="S812" i="116"/>
  <c r="V812" i="116" s="1"/>
  <c r="N782" i="116"/>
  <c r="J782" i="116"/>
  <c r="F782" i="116"/>
  <c r="K782" i="116"/>
  <c r="D782" i="116"/>
  <c r="G782" i="116"/>
  <c r="D757" i="116"/>
  <c r="O757" i="116"/>
  <c r="K757" i="116"/>
  <c r="I757" i="116"/>
  <c r="F757" i="116"/>
  <c r="L757" i="116"/>
  <c r="E757" i="116"/>
  <c r="D776" i="116"/>
  <c r="I788" i="116"/>
  <c r="S794" i="116"/>
  <c r="V794" i="116" s="1"/>
  <c r="G806" i="116"/>
  <c r="D812" i="116"/>
  <c r="N824" i="116"/>
  <c r="L842" i="116"/>
  <c r="H776" i="116"/>
  <c r="K806" i="116"/>
  <c r="I818" i="116"/>
  <c r="L770" i="116"/>
  <c r="S824" i="116"/>
  <c r="V824" i="116" s="1"/>
  <c r="L782" i="116"/>
  <c r="D824" i="116"/>
  <c r="D848" i="116"/>
  <c r="K847" i="116"/>
  <c r="K754" i="116"/>
  <c r="J842" i="116"/>
  <c r="F842" i="116"/>
  <c r="M842" i="116"/>
  <c r="G842" i="116"/>
  <c r="S842" i="116"/>
  <c r="V842" i="116" s="1"/>
  <c r="J830" i="116"/>
  <c r="F830" i="116"/>
  <c r="M830" i="116"/>
  <c r="G830" i="116"/>
  <c r="S830" i="116"/>
  <c r="V830" i="116" s="1"/>
  <c r="N818" i="116"/>
  <c r="J818" i="116"/>
  <c r="O818" i="116"/>
  <c r="H818" i="116"/>
  <c r="G818" i="116"/>
  <c r="K818" i="116"/>
  <c r="D818" i="116"/>
  <c r="S800" i="116"/>
  <c r="V800" i="116" s="1"/>
  <c r="N800" i="116"/>
  <c r="D800" i="116"/>
  <c r="O800" i="116"/>
  <c r="L794" i="116"/>
  <c r="O794" i="116"/>
  <c r="H794" i="116"/>
  <c r="K794" i="116"/>
  <c r="D794" i="116"/>
  <c r="F794" i="116"/>
  <c r="M794" i="116"/>
  <c r="S788" i="116"/>
  <c r="V788" i="116" s="1"/>
  <c r="N788" i="116"/>
  <c r="D788" i="116"/>
  <c r="O788" i="116"/>
  <c r="N776" i="116"/>
  <c r="M776" i="116"/>
  <c r="J776" i="116"/>
  <c r="I776" i="116"/>
  <c r="F776" i="116"/>
  <c r="K776" i="116"/>
  <c r="G776" i="116"/>
  <c r="N770" i="116"/>
  <c r="M770" i="116"/>
  <c r="J770" i="116"/>
  <c r="I770" i="116"/>
  <c r="F770" i="116"/>
  <c r="K770" i="116"/>
  <c r="G770" i="116"/>
  <c r="L764" i="116"/>
  <c r="H764" i="116"/>
  <c r="D764" i="116"/>
  <c r="F764" i="116"/>
  <c r="M764" i="116"/>
  <c r="I754" i="116"/>
  <c r="O836" i="116"/>
  <c r="H770" i="116"/>
  <c r="M800" i="116"/>
  <c r="E836" i="116"/>
  <c r="E842" i="116"/>
  <c r="N754" i="116"/>
  <c r="L776" i="116"/>
  <c r="H782" i="116"/>
  <c r="L812" i="116"/>
  <c r="M818" i="116"/>
  <c r="O848" i="116"/>
  <c r="S754" i="116"/>
  <c r="V754" i="116" s="1"/>
  <c r="G764" i="116"/>
  <c r="E782" i="116"/>
  <c r="S818" i="116"/>
  <c r="V818" i="116" s="1"/>
  <c r="I824" i="116"/>
  <c r="K830" i="116"/>
  <c r="K842" i="116"/>
  <c r="H848" i="116"/>
  <c r="J757" i="116"/>
  <c r="E847" i="116"/>
  <c r="K764" i="116"/>
  <c r="I782" i="116"/>
  <c r="F788" i="116"/>
  <c r="F800" i="116"/>
  <c r="M824" i="116"/>
  <c r="O830" i="116"/>
  <c r="O842" i="116"/>
  <c r="L848" i="116"/>
  <c r="N757" i="116"/>
  <c r="S784" i="116"/>
  <c r="V784" i="116" s="1"/>
  <c r="E790" i="116"/>
  <c r="H796" i="116"/>
  <c r="E802" i="116"/>
  <c r="E808" i="116"/>
  <c r="G814" i="116"/>
  <c r="F826" i="116"/>
  <c r="N832" i="116"/>
  <c r="S844" i="116"/>
  <c r="V844" i="116" s="1"/>
  <c r="D850" i="116"/>
  <c r="K850" i="116"/>
  <c r="K760" i="116"/>
  <c r="S760" i="116"/>
  <c r="V760" i="116" s="1"/>
  <c r="J772" i="116"/>
  <c r="G778" i="116"/>
  <c r="O760" i="116"/>
  <c r="S766" i="116"/>
  <c r="V766" i="116" s="1"/>
  <c r="N772" i="116"/>
  <c r="D778" i="116"/>
  <c r="K778" i="116"/>
  <c r="G784" i="116"/>
  <c r="I790" i="116"/>
  <c r="L796" i="116"/>
  <c r="I802" i="116"/>
  <c r="F808" i="116"/>
  <c r="I808" i="116"/>
  <c r="D814" i="116"/>
  <c r="K814" i="116"/>
  <c r="S820" i="116"/>
  <c r="V820" i="116" s="1"/>
  <c r="J826" i="116"/>
  <c r="S838" i="116"/>
  <c r="V838" i="116" s="1"/>
  <c r="G844" i="116"/>
  <c r="H850" i="116"/>
  <c r="O850" i="116"/>
  <c r="M760" i="116"/>
  <c r="L766" i="116"/>
  <c r="L772" i="116"/>
  <c r="F778" i="116"/>
  <c r="E784" i="116"/>
  <c r="S790" i="116"/>
  <c r="V790" i="116" s="1"/>
  <c r="S796" i="116"/>
  <c r="V796" i="116" s="1"/>
  <c r="S802" i="116"/>
  <c r="V802" i="116" s="1"/>
  <c r="K808" i="116"/>
  <c r="F814" i="116"/>
  <c r="L820" i="116"/>
  <c r="H826" i="116"/>
  <c r="O826" i="116"/>
  <c r="H832" i="116"/>
  <c r="I838" i="116"/>
  <c r="E844" i="116"/>
  <c r="J850" i="116"/>
  <c r="J778" i="116"/>
  <c r="F784" i="116"/>
  <c r="I784" i="116"/>
  <c r="G790" i="116"/>
  <c r="G796" i="116"/>
  <c r="G802" i="116"/>
  <c r="O808" i="116"/>
  <c r="J814" i="116"/>
  <c r="E820" i="116"/>
  <c r="L826" i="116"/>
  <c r="L832" i="116"/>
  <c r="M838" i="116"/>
  <c r="F844" i="116"/>
  <c r="I844" i="116"/>
  <c r="E772" i="116"/>
  <c r="F766" i="116"/>
  <c r="J784" i="116"/>
  <c r="D790" i="116"/>
  <c r="D802" i="116"/>
  <c r="F820" i="116"/>
  <c r="J844" i="116"/>
  <c r="G720" i="116"/>
  <c r="S720" i="116"/>
  <c r="V720" i="116" s="1"/>
  <c r="N720" i="116"/>
  <c r="H720" i="116"/>
  <c r="L720" i="116"/>
  <c r="D720" i="116"/>
  <c r="O720" i="116"/>
  <c r="O699" i="116"/>
  <c r="K720" i="116"/>
  <c r="M681" i="116"/>
  <c r="D657" i="116"/>
  <c r="O657" i="116"/>
  <c r="G657" i="116"/>
  <c r="N657" i="116"/>
  <c r="J657" i="116"/>
  <c r="F657" i="116"/>
  <c r="S657" i="116"/>
  <c r="V657" i="116" s="1"/>
  <c r="M657" i="116"/>
  <c r="I657" i="116"/>
  <c r="H657" i="116"/>
  <c r="H699" i="116"/>
  <c r="H667" i="116"/>
  <c r="L747" i="116"/>
  <c r="H747" i="116"/>
  <c r="O747" i="116"/>
  <c r="J747" i="116"/>
  <c r="N747" i="116"/>
  <c r="F747" i="116"/>
  <c r="I747" i="116"/>
  <c r="E747" i="116"/>
  <c r="D747" i="116"/>
  <c r="K747" i="116"/>
  <c r="E686" i="116"/>
  <c r="L686" i="116"/>
  <c r="D686" i="116"/>
  <c r="N686" i="116"/>
  <c r="J686" i="116"/>
  <c r="M686" i="116"/>
  <c r="S686" i="116"/>
  <c r="V686" i="116" s="1"/>
  <c r="F686" i="116"/>
  <c r="I686" i="116"/>
  <c r="H670" i="116"/>
  <c r="D670" i="116"/>
  <c r="S670" i="116"/>
  <c r="V670" i="116" s="1"/>
  <c r="K670" i="116"/>
  <c r="L670" i="116"/>
  <c r="O670" i="116"/>
  <c r="K700" i="116"/>
  <c r="G700" i="116"/>
  <c r="D700" i="116"/>
  <c r="O700" i="116"/>
  <c r="N700" i="116"/>
  <c r="J741" i="116"/>
  <c r="F741" i="116"/>
  <c r="I741" i="116"/>
  <c r="G741" i="116"/>
  <c r="S741" i="116"/>
  <c r="V741" i="116" s="1"/>
  <c r="N741" i="116"/>
  <c r="K741" i="116"/>
  <c r="L741" i="116"/>
  <c r="M741" i="116"/>
  <c r="E741" i="116"/>
  <c r="F681" i="116"/>
  <c r="M700" i="116"/>
  <c r="S687" i="116"/>
  <c r="V687" i="116" s="1"/>
  <c r="F685" i="116"/>
  <c r="M685" i="116"/>
  <c r="E685" i="116"/>
  <c r="H685" i="116"/>
  <c r="D685" i="116"/>
  <c r="O685" i="116"/>
  <c r="F652" i="116"/>
  <c r="M668" i="116"/>
  <c r="F700" i="116"/>
  <c r="E667" i="116"/>
  <c r="L685" i="116"/>
  <c r="J700" i="116"/>
  <c r="G670" i="116"/>
  <c r="E687" i="116"/>
  <c r="G743" i="116"/>
  <c r="S743" i="116"/>
  <c r="V743" i="116" s="1"/>
  <c r="N743" i="116"/>
  <c r="J743" i="116"/>
  <c r="F743" i="116"/>
  <c r="K714" i="116"/>
  <c r="S714" i="116"/>
  <c r="V714" i="116" s="1"/>
  <c r="J714" i="116"/>
  <c r="H714" i="116"/>
  <c r="D714" i="116"/>
  <c r="O714" i="116"/>
  <c r="J682" i="116"/>
  <c r="M682" i="116"/>
  <c r="S682" i="116"/>
  <c r="V682" i="116" s="1"/>
  <c r="F682" i="116"/>
  <c r="I682" i="116"/>
  <c r="J712" i="116"/>
  <c r="F712" i="116"/>
  <c r="L712" i="116"/>
  <c r="I712" i="116"/>
  <c r="S712" i="116"/>
  <c r="V712" i="116" s="1"/>
  <c r="N712" i="116"/>
  <c r="M712" i="116"/>
  <c r="K712" i="116"/>
  <c r="G712" i="116"/>
  <c r="E712" i="116"/>
  <c r="J692" i="116"/>
  <c r="K692" i="116"/>
  <c r="G692" i="116"/>
  <c r="M692" i="116"/>
  <c r="I692" i="116"/>
  <c r="E692" i="116"/>
  <c r="E670" i="116"/>
  <c r="G661" i="116"/>
  <c r="G652" i="116"/>
  <c r="J685" i="116"/>
  <c r="K719" i="116"/>
  <c r="F666" i="116"/>
  <c r="M716" i="116"/>
  <c r="O661" i="116"/>
  <c r="E720" i="116"/>
  <c r="F734" i="116"/>
  <c r="J654" i="116"/>
  <c r="K695" i="116"/>
  <c r="E750" i="116"/>
  <c r="H682" i="116"/>
  <c r="E714" i="116"/>
  <c r="I722" i="116"/>
  <c r="S692" i="116"/>
  <c r="V692" i="116" s="1"/>
  <c r="L737" i="116"/>
  <c r="N685" i="116"/>
  <c r="K698" i="116"/>
  <c r="J666" i="116"/>
  <c r="L700" i="116"/>
  <c r="F716" i="116"/>
  <c r="M670" i="116"/>
  <c r="L661" i="116"/>
  <c r="O711" i="116"/>
  <c r="F656" i="116"/>
  <c r="I720" i="116"/>
  <c r="O695" i="116"/>
  <c r="L682" i="116"/>
  <c r="I714" i="116"/>
  <c r="D751" i="116"/>
  <c r="O751" i="116"/>
  <c r="G751" i="116"/>
  <c r="E751" i="116"/>
  <c r="L751" i="116"/>
  <c r="K751" i="116"/>
  <c r="H751" i="116"/>
  <c r="M751" i="116"/>
  <c r="I751" i="116"/>
  <c r="L721" i="116"/>
  <c r="O721" i="116"/>
  <c r="H721" i="116"/>
  <c r="G721" i="116"/>
  <c r="N721" i="116"/>
  <c r="F721" i="116"/>
  <c r="I721" i="116"/>
  <c r="E721" i="116"/>
  <c r="D721" i="116"/>
  <c r="F722" i="116"/>
  <c r="M722" i="116"/>
  <c r="H722" i="116"/>
  <c r="K722" i="116"/>
  <c r="G722" i="116"/>
  <c r="S722" i="116"/>
  <c r="V722" i="116" s="1"/>
  <c r="N722" i="116"/>
  <c r="J674" i="116"/>
  <c r="F674" i="116"/>
  <c r="I674" i="116"/>
  <c r="N674" i="116"/>
  <c r="M674" i="116"/>
  <c r="H674" i="116"/>
  <c r="D674" i="116"/>
  <c r="G674" i="116"/>
  <c r="L654" i="116"/>
  <c r="O654" i="116"/>
  <c r="H654" i="116"/>
  <c r="G654" i="116"/>
  <c r="S654" i="116"/>
  <c r="V654" i="116" s="1"/>
  <c r="K654" i="116"/>
  <c r="F654" i="116"/>
  <c r="M654" i="116"/>
  <c r="I654" i="116"/>
  <c r="E654" i="116"/>
  <c r="I729" i="116"/>
  <c r="L729" i="116"/>
  <c r="M729" i="116"/>
  <c r="E729" i="116"/>
  <c r="K729" i="116"/>
  <c r="G729" i="116"/>
  <c r="S729" i="116"/>
  <c r="V729" i="116" s="1"/>
  <c r="O715" i="116"/>
  <c r="G715" i="116"/>
  <c r="S715" i="116"/>
  <c r="V715" i="116" s="1"/>
  <c r="E715" i="116"/>
  <c r="L715" i="116"/>
  <c r="D715" i="116"/>
  <c r="H715" i="116"/>
  <c r="L699" i="116"/>
  <c r="D699" i="116"/>
  <c r="N699" i="116"/>
  <c r="S699" i="116"/>
  <c r="V699" i="116" s="1"/>
  <c r="J699" i="116"/>
  <c r="F699" i="116"/>
  <c r="H684" i="116"/>
  <c r="E684" i="116"/>
  <c r="O684" i="116"/>
  <c r="L684" i="116"/>
  <c r="D684" i="116"/>
  <c r="J684" i="116"/>
  <c r="F684" i="116"/>
  <c r="I684" i="116"/>
  <c r="M684" i="116"/>
  <c r="J668" i="116"/>
  <c r="H668" i="116"/>
  <c r="D668" i="116"/>
  <c r="L668" i="116"/>
  <c r="O668" i="116"/>
  <c r="K668" i="116"/>
  <c r="G668" i="116"/>
  <c r="D652" i="116"/>
  <c r="N652" i="116"/>
  <c r="J652" i="116"/>
  <c r="M652" i="116"/>
  <c r="I652" i="116"/>
  <c r="E652" i="116"/>
  <c r="N729" i="116"/>
  <c r="I734" i="116"/>
  <c r="E734" i="116"/>
  <c r="H734" i="116"/>
  <c r="M734" i="116"/>
  <c r="D734" i="116"/>
  <c r="L734" i="116"/>
  <c r="O734" i="116"/>
  <c r="F689" i="116"/>
  <c r="M689" i="116"/>
  <c r="E689" i="116"/>
  <c r="L689" i="116"/>
  <c r="H689" i="116"/>
  <c r="D689" i="116"/>
  <c r="O689" i="116"/>
  <c r="K689" i="116"/>
  <c r="G689" i="116"/>
  <c r="S689" i="116"/>
  <c r="V689" i="116" s="1"/>
  <c r="N740" i="116"/>
  <c r="J740" i="116"/>
  <c r="M740" i="116"/>
  <c r="G740" i="116"/>
  <c r="S740" i="116"/>
  <c r="V740" i="116" s="1"/>
  <c r="F740" i="116"/>
  <c r="D740" i="116"/>
  <c r="O740" i="116"/>
  <c r="K740" i="116"/>
  <c r="G724" i="116"/>
  <c r="S724" i="116"/>
  <c r="V724" i="116" s="1"/>
  <c r="N724" i="116"/>
  <c r="I724" i="116"/>
  <c r="E724" i="116"/>
  <c r="L724" i="116"/>
  <c r="H724" i="116"/>
  <c r="D724" i="116"/>
  <c r="F669" i="116"/>
  <c r="M669" i="116"/>
  <c r="E669" i="116"/>
  <c r="D669" i="116"/>
  <c r="K669" i="116"/>
  <c r="I669" i="116"/>
  <c r="N669" i="116"/>
  <c r="J669" i="116"/>
  <c r="D667" i="116"/>
  <c r="O667" i="116"/>
  <c r="G667" i="116"/>
  <c r="K667" i="116"/>
  <c r="S667" i="116"/>
  <c r="V667" i="116" s="1"/>
  <c r="N667" i="116"/>
  <c r="F715" i="116"/>
  <c r="O729" i="116"/>
  <c r="F751" i="116"/>
  <c r="G669" i="116"/>
  <c r="J724" i="116"/>
  <c r="S719" i="116"/>
  <c r="V719" i="116" s="1"/>
  <c r="M719" i="116"/>
  <c r="J719" i="116"/>
  <c r="D719" i="116"/>
  <c r="O719" i="116"/>
  <c r="G719" i="116"/>
  <c r="I719" i="116"/>
  <c r="S735" i="116"/>
  <c r="V735" i="116" s="1"/>
  <c r="J735" i="116"/>
  <c r="N735" i="116"/>
  <c r="F735" i="116"/>
  <c r="N704" i="116"/>
  <c r="F704" i="116"/>
  <c r="M704" i="116"/>
  <c r="I704" i="116"/>
  <c r="E704" i="116"/>
  <c r="K704" i="116"/>
  <c r="S704" i="116"/>
  <c r="V704" i="116" s="1"/>
  <c r="J704" i="116"/>
  <c r="L687" i="116"/>
  <c r="H687" i="116"/>
  <c r="G687" i="116"/>
  <c r="F687" i="116"/>
  <c r="L671" i="116"/>
  <c r="H671" i="116"/>
  <c r="G671" i="116"/>
  <c r="J671" i="116"/>
  <c r="N671" i="116"/>
  <c r="F671" i="116"/>
  <c r="M671" i="116"/>
  <c r="I671" i="116"/>
  <c r="E671" i="116"/>
  <c r="J718" i="116"/>
  <c r="F718" i="116"/>
  <c r="I718" i="116"/>
  <c r="O718" i="116"/>
  <c r="K718" i="116"/>
  <c r="G718" i="116"/>
  <c r="M718" i="116"/>
  <c r="E718" i="116"/>
  <c r="L718" i="116"/>
  <c r="H718" i="116"/>
  <c r="K701" i="116"/>
  <c r="D701" i="116"/>
  <c r="G701" i="116"/>
  <c r="S701" i="116"/>
  <c r="V701" i="116" s="1"/>
  <c r="J701" i="116"/>
  <c r="N701" i="116"/>
  <c r="F701" i="116"/>
  <c r="E701" i="116"/>
  <c r="L701" i="116"/>
  <c r="H701" i="116"/>
  <c r="L681" i="116"/>
  <c r="K681" i="116"/>
  <c r="G681" i="116"/>
  <c r="E681" i="116"/>
  <c r="H681" i="116"/>
  <c r="D681" i="116"/>
  <c r="E668" i="116"/>
  <c r="K721" i="116"/>
  <c r="E735" i="116"/>
  <c r="K655" i="116"/>
  <c r="G655" i="116"/>
  <c r="L655" i="116"/>
  <c r="D655" i="116"/>
  <c r="O655" i="116"/>
  <c r="S655" i="116"/>
  <c r="V655" i="116" s="1"/>
  <c r="N655" i="116"/>
  <c r="K717" i="116"/>
  <c r="D717" i="116"/>
  <c r="G717" i="116"/>
  <c r="E717" i="116"/>
  <c r="L717" i="116"/>
  <c r="H717" i="116"/>
  <c r="O717" i="116"/>
  <c r="S717" i="116"/>
  <c r="V717" i="116" s="1"/>
  <c r="N717" i="116"/>
  <c r="J717" i="116"/>
  <c r="N736" i="116"/>
  <c r="F736" i="116"/>
  <c r="M736" i="116"/>
  <c r="I736" i="116"/>
  <c r="E736" i="116"/>
  <c r="L736" i="116"/>
  <c r="H736" i="116"/>
  <c r="D736" i="116"/>
  <c r="O736" i="116"/>
  <c r="F665" i="116"/>
  <c r="M665" i="116"/>
  <c r="E665" i="116"/>
  <c r="S665" i="116"/>
  <c r="V665" i="116" s="1"/>
  <c r="N665" i="116"/>
  <c r="J665" i="116"/>
  <c r="G665" i="116"/>
  <c r="I665" i="116"/>
  <c r="L665" i="116"/>
  <c r="H665" i="116"/>
  <c r="H694" i="116"/>
  <c r="O694" i="116"/>
  <c r="F694" i="116"/>
  <c r="M694" i="116"/>
  <c r="E694" i="116"/>
  <c r="L694" i="116"/>
  <c r="K694" i="116"/>
  <c r="D694" i="116"/>
  <c r="J681" i="116"/>
  <c r="N694" i="116"/>
  <c r="I699" i="116"/>
  <c r="D666" i="116"/>
  <c r="O665" i="116"/>
  <c r="N681" i="116"/>
  <c r="M699" i="116"/>
  <c r="I667" i="116"/>
  <c r="G734" i="116"/>
  <c r="N718" i="116"/>
  <c r="S707" i="116"/>
  <c r="V707" i="116" s="1"/>
  <c r="N707" i="116"/>
  <c r="M707" i="116"/>
  <c r="I707" i="116"/>
  <c r="F707" i="116"/>
  <c r="E707" i="116"/>
  <c r="M715" i="116"/>
  <c r="I685" i="116"/>
  <c r="N719" i="116"/>
  <c r="L719" i="116"/>
  <c r="F670" i="116"/>
  <c r="G686" i="116"/>
  <c r="M720" i="116"/>
  <c r="N734" i="116"/>
  <c r="S747" i="116"/>
  <c r="V747" i="116" s="1"/>
  <c r="O712" i="116"/>
  <c r="J736" i="116"/>
  <c r="E682" i="116"/>
  <c r="O704" i="116"/>
  <c r="M714" i="116"/>
  <c r="K699" i="116"/>
  <c r="J721" i="116"/>
  <c r="K684" i="116"/>
  <c r="J667" i="116"/>
  <c r="J715" i="116"/>
  <c r="J751" i="116"/>
  <c r="O669" i="116"/>
  <c r="L740" i="116"/>
  <c r="I689" i="116"/>
  <c r="O701" i="116"/>
  <c r="K674" i="116"/>
  <c r="E656" i="116"/>
  <c r="L656" i="116"/>
  <c r="D656" i="116"/>
  <c r="S656" i="116"/>
  <c r="V656" i="116" s="1"/>
  <c r="N656" i="116"/>
  <c r="J656" i="116"/>
  <c r="I656" i="116"/>
  <c r="H656" i="116"/>
  <c r="O656" i="116"/>
  <c r="K656" i="116"/>
  <c r="E653" i="116"/>
  <c r="L653" i="116"/>
  <c r="D653" i="116"/>
  <c r="K653" i="116"/>
  <c r="G653" i="116"/>
  <c r="S653" i="116"/>
  <c r="V653" i="116" s="1"/>
  <c r="N653" i="116"/>
  <c r="J653" i="116"/>
  <c r="F653" i="116"/>
  <c r="O716" i="116"/>
  <c r="K716" i="116"/>
  <c r="S716" i="116"/>
  <c r="V716" i="116" s="1"/>
  <c r="E716" i="116"/>
  <c r="H716" i="116"/>
  <c r="G716" i="116"/>
  <c r="N716" i="116"/>
  <c r="J716" i="116"/>
  <c r="G683" i="116"/>
  <c r="S683" i="116"/>
  <c r="V683" i="116" s="1"/>
  <c r="N683" i="116"/>
  <c r="M683" i="116"/>
  <c r="I683" i="116"/>
  <c r="L683" i="116"/>
  <c r="E683" i="116"/>
  <c r="H683" i="116"/>
  <c r="D683" i="116"/>
  <c r="O683" i="116"/>
  <c r="M666" i="116"/>
  <c r="I666" i="116"/>
  <c r="L666" i="116"/>
  <c r="S666" i="116"/>
  <c r="V666" i="116" s="1"/>
  <c r="N666" i="116"/>
  <c r="O666" i="116"/>
  <c r="K666" i="116"/>
  <c r="G666" i="116"/>
  <c r="K725" i="116"/>
  <c r="D725" i="116"/>
  <c r="G725" i="116"/>
  <c r="J725" i="116"/>
  <c r="M725" i="116"/>
  <c r="F725" i="116"/>
  <c r="I725" i="116"/>
  <c r="O725" i="116"/>
  <c r="M711" i="116"/>
  <c r="J711" i="116"/>
  <c r="I711" i="116"/>
  <c r="F711" i="116"/>
  <c r="L711" i="116"/>
  <c r="S711" i="116"/>
  <c r="V711" i="116" s="1"/>
  <c r="N711" i="116"/>
  <c r="K711" i="116"/>
  <c r="G711" i="116"/>
  <c r="O664" i="116"/>
  <c r="K664" i="116"/>
  <c r="S664" i="116"/>
  <c r="V664" i="116" s="1"/>
  <c r="J664" i="116"/>
  <c r="M664" i="116"/>
  <c r="F664" i="116"/>
  <c r="I664" i="116"/>
  <c r="L664" i="116"/>
  <c r="H664" i="116"/>
  <c r="D664" i="116"/>
  <c r="G664" i="116"/>
  <c r="I668" i="116"/>
  <c r="N715" i="116"/>
  <c r="N751" i="116"/>
  <c r="K724" i="116"/>
  <c r="I653" i="116"/>
  <c r="L667" i="116"/>
  <c r="O674" i="116"/>
  <c r="K715" i="116"/>
  <c r="N689" i="116"/>
  <c r="D718" i="116"/>
  <c r="K687" i="116"/>
  <c r="I735" i="116"/>
  <c r="G731" i="116"/>
  <c r="S731" i="116"/>
  <c r="V731" i="116" s="1"/>
  <c r="N731" i="116"/>
  <c r="J731" i="116"/>
  <c r="F731" i="116"/>
  <c r="M731" i="116"/>
  <c r="E731" i="116"/>
  <c r="L731" i="116"/>
  <c r="D731" i="116"/>
  <c r="H731" i="116"/>
  <c r="G697" i="116"/>
  <c r="S697" i="116"/>
  <c r="V697" i="116" s="1"/>
  <c r="N697" i="116"/>
  <c r="J697" i="116"/>
  <c r="F697" i="116"/>
  <c r="I697" i="116"/>
  <c r="O697" i="116"/>
  <c r="K697" i="116"/>
  <c r="M697" i="116"/>
  <c r="H661" i="116"/>
  <c r="E661" i="116"/>
  <c r="D661" i="116"/>
  <c r="K661" i="116"/>
  <c r="F661" i="116"/>
  <c r="I661" i="116"/>
  <c r="M661" i="116"/>
  <c r="N661" i="116"/>
  <c r="J661" i="116"/>
  <c r="F668" i="116"/>
  <c r="H655" i="116"/>
  <c r="F719" i="116"/>
  <c r="S751" i="116"/>
  <c r="V751" i="116" s="1"/>
  <c r="H666" i="116"/>
  <c r="K657" i="116"/>
  <c r="S674" i="116"/>
  <c r="V674" i="116" s="1"/>
  <c r="O722" i="116"/>
  <c r="M735" i="116"/>
  <c r="J698" i="116"/>
  <c r="F698" i="116"/>
  <c r="I698" i="116"/>
  <c r="N698" i="116"/>
  <c r="M698" i="116"/>
  <c r="L698" i="116"/>
  <c r="S698" i="116"/>
  <c r="V698" i="116" s="1"/>
  <c r="S750" i="116"/>
  <c r="V750" i="116" s="1"/>
  <c r="K750" i="116"/>
  <c r="G750" i="116"/>
  <c r="J750" i="116"/>
  <c r="O750" i="116"/>
  <c r="N750" i="116"/>
  <c r="F750" i="116"/>
  <c r="M750" i="116"/>
  <c r="S695" i="116"/>
  <c r="V695" i="116" s="1"/>
  <c r="M695" i="116"/>
  <c r="J695" i="116"/>
  <c r="E695" i="116"/>
  <c r="H695" i="116"/>
  <c r="L695" i="116"/>
  <c r="D695" i="116"/>
  <c r="S737" i="116"/>
  <c r="V737" i="116" s="1"/>
  <c r="N737" i="116"/>
  <c r="O737" i="116"/>
  <c r="K737" i="116"/>
  <c r="F737" i="116"/>
  <c r="M737" i="116"/>
  <c r="E737" i="116"/>
  <c r="I737" i="116"/>
  <c r="O676" i="116"/>
  <c r="N676" i="116"/>
  <c r="K676" i="116"/>
  <c r="G676" i="116"/>
  <c r="J676" i="116"/>
  <c r="S676" i="116"/>
  <c r="V676" i="116" s="1"/>
  <c r="S652" i="116"/>
  <c r="V652" i="116" s="1"/>
  <c r="N668" i="116"/>
  <c r="L676" i="116"/>
  <c r="F692" i="116"/>
  <c r="S700" i="116"/>
  <c r="V700" i="116" s="1"/>
  <c r="I716" i="116"/>
  <c r="O731" i="116"/>
  <c r="K734" i="116"/>
  <c r="D654" i="116"/>
  <c r="G695" i="116"/>
  <c r="L750" i="116"/>
  <c r="D682" i="116"/>
  <c r="I687" i="116"/>
  <c r="L714" i="116"/>
  <c r="D722" i="116"/>
  <c r="S681" i="116"/>
  <c r="V681" i="116" s="1"/>
  <c r="N692" i="116"/>
  <c r="H737" i="116"/>
  <c r="G698" i="116"/>
  <c r="H700" i="116"/>
  <c r="I670" i="116"/>
  <c r="I731" i="116"/>
  <c r="O652" i="116"/>
  <c r="N684" i="116"/>
  <c r="O692" i="116"/>
  <c r="H729" i="116"/>
  <c r="J737" i="116"/>
  <c r="H652" i="116"/>
  <c r="D692" i="116"/>
  <c r="J707" i="116"/>
  <c r="F729" i="116"/>
  <c r="S685" i="116"/>
  <c r="V685" i="116" s="1"/>
  <c r="D698" i="116"/>
  <c r="E719" i="116"/>
  <c r="K743" i="116"/>
  <c r="H669" i="116"/>
  <c r="H697" i="116"/>
  <c r="L716" i="116"/>
  <c r="J670" i="116"/>
  <c r="K686" i="116"/>
  <c r="N664" i="116"/>
  <c r="H711" i="116"/>
  <c r="M656" i="116"/>
  <c r="F720" i="116"/>
  <c r="G747" i="116"/>
  <c r="D712" i="116"/>
  <c r="S736" i="116"/>
  <c r="V736" i="116" s="1"/>
  <c r="D704" i="116"/>
  <c r="F714" i="116"/>
  <c r="O726" i="116"/>
  <c r="S726" i="116"/>
  <c r="V726" i="116" s="1"/>
  <c r="K726" i="116"/>
  <c r="N726" i="116"/>
  <c r="J726" i="116"/>
  <c r="M726" i="116"/>
  <c r="F726" i="116"/>
  <c r="I726" i="116"/>
  <c r="M745" i="116"/>
  <c r="I745" i="116"/>
  <c r="L745" i="116"/>
  <c r="J745" i="116"/>
  <c r="F745" i="116"/>
  <c r="H745" i="116"/>
  <c r="F713" i="116"/>
  <c r="M713" i="116"/>
  <c r="E713" i="116"/>
  <c r="O713" i="116"/>
  <c r="G713" i="116"/>
  <c r="H748" i="116"/>
  <c r="E748" i="116"/>
  <c r="D748" i="116"/>
  <c r="K748" i="116"/>
  <c r="J748" i="116"/>
  <c r="F748" i="116"/>
  <c r="I748" i="116"/>
  <c r="F732" i="116"/>
  <c r="M732" i="116"/>
  <c r="H732" i="116"/>
  <c r="E732" i="116"/>
  <c r="D732" i="116"/>
  <c r="G678" i="116"/>
  <c r="N678" i="116"/>
  <c r="F678" i="116"/>
  <c r="O678" i="116"/>
  <c r="K678" i="116"/>
  <c r="M706" i="116"/>
  <c r="I706" i="116"/>
  <c r="L706" i="116"/>
  <c r="F706" i="116"/>
  <c r="H706" i="116"/>
  <c r="E706" i="116"/>
  <c r="D706" i="116"/>
  <c r="M678" i="116"/>
  <c r="O732" i="116"/>
  <c r="S748" i="116"/>
  <c r="V748" i="116" s="1"/>
  <c r="J678" i="116"/>
  <c r="L732" i="116"/>
  <c r="G748" i="116"/>
  <c r="S678" i="116"/>
  <c r="V678" i="116" s="1"/>
  <c r="O748" i="116"/>
  <c r="D713" i="116"/>
  <c r="G706" i="116"/>
  <c r="O742" i="116"/>
  <c r="S742" i="116"/>
  <c r="V742" i="116" s="1"/>
  <c r="K742" i="116"/>
  <c r="N742" i="116"/>
  <c r="L742" i="116"/>
  <c r="D742" i="116"/>
  <c r="H742" i="116"/>
  <c r="G742" i="116"/>
  <c r="L748" i="116"/>
  <c r="H713" i="116"/>
  <c r="D745" i="116"/>
  <c r="K706" i="116"/>
  <c r="I742" i="116"/>
  <c r="H710" i="116"/>
  <c r="D710" i="116"/>
  <c r="S710" i="116"/>
  <c r="V710" i="116" s="1"/>
  <c r="K710" i="116"/>
  <c r="N733" i="116"/>
  <c r="J733" i="116"/>
  <c r="M733" i="116"/>
  <c r="L703" i="116"/>
  <c r="H703" i="116"/>
  <c r="O703" i="116"/>
  <c r="S688" i="116"/>
  <c r="V688" i="116" s="1"/>
  <c r="J688" i="116"/>
  <c r="J672" i="116"/>
  <c r="F672" i="116"/>
  <c r="L672" i="116"/>
  <c r="I672" i="116"/>
  <c r="L688" i="116"/>
  <c r="S703" i="116"/>
  <c r="V703" i="116" s="1"/>
  <c r="F733" i="116"/>
  <c r="L710" i="116"/>
  <c r="N675" i="116"/>
  <c r="M675" i="116"/>
  <c r="J675" i="116"/>
  <c r="E675" i="116"/>
  <c r="S672" i="116"/>
  <c r="V672" i="116" s="1"/>
  <c r="G703" i="116"/>
  <c r="E710" i="116"/>
  <c r="E514" i="116"/>
  <c r="K509" i="116"/>
  <c r="O509" i="116"/>
  <c r="I513" i="116"/>
  <c r="K516" i="116"/>
  <c r="G516" i="116"/>
  <c r="H516" i="116"/>
  <c r="S516" i="116"/>
  <c r="V516" i="116" s="1"/>
  <c r="D516" i="116"/>
  <c r="O516" i="116"/>
  <c r="L497" i="116"/>
  <c r="O513" i="116"/>
  <c r="K521" i="116"/>
  <c r="I517" i="116"/>
  <c r="J542" i="116"/>
  <c r="F542" i="116"/>
  <c r="I542" i="116"/>
  <c r="L542" i="116"/>
  <c r="H542" i="116"/>
  <c r="D542" i="116"/>
  <c r="K542" i="116"/>
  <c r="G542" i="116"/>
  <c r="S542" i="116"/>
  <c r="V542" i="116" s="1"/>
  <c r="N542" i="116"/>
  <c r="M538" i="116"/>
  <c r="I538" i="116"/>
  <c r="L538" i="116"/>
  <c r="N538" i="116"/>
  <c r="F538" i="116"/>
  <c r="J538" i="116"/>
  <c r="E538" i="116"/>
  <c r="H538" i="116"/>
  <c r="D538" i="116"/>
  <c r="N534" i="116"/>
  <c r="J534" i="116"/>
  <c r="M534" i="116"/>
  <c r="L534" i="116"/>
  <c r="H534" i="116"/>
  <c r="D534" i="116"/>
  <c r="G534" i="116"/>
  <c r="S534" i="116"/>
  <c r="V534" i="116" s="1"/>
  <c r="F534" i="116"/>
  <c r="I534" i="116"/>
  <c r="N530" i="116"/>
  <c r="J530" i="116"/>
  <c r="M530" i="116"/>
  <c r="S530" i="116"/>
  <c r="V530" i="116" s="1"/>
  <c r="I530" i="116"/>
  <c r="F530" i="116"/>
  <c r="L530" i="116"/>
  <c r="H530" i="116"/>
  <c r="D530" i="116"/>
  <c r="J526" i="116"/>
  <c r="F526" i="116"/>
  <c r="I526" i="116"/>
  <c r="G526" i="116"/>
  <c r="O526" i="116"/>
  <c r="K526" i="116"/>
  <c r="S526" i="116"/>
  <c r="V526" i="116" s="1"/>
  <c r="M522" i="116"/>
  <c r="I522" i="116"/>
  <c r="L522" i="116"/>
  <c r="F522" i="116"/>
  <c r="D522" i="116"/>
  <c r="E522" i="116"/>
  <c r="H522" i="116"/>
  <c r="O522" i="116"/>
  <c r="K522" i="116"/>
  <c r="G522" i="116"/>
  <c r="L518" i="116"/>
  <c r="O518" i="116"/>
  <c r="H518" i="116"/>
  <c r="G518" i="116"/>
  <c r="J518" i="116"/>
  <c r="I518" i="116"/>
  <c r="F518" i="116"/>
  <c r="M518" i="116"/>
  <c r="N518" i="116"/>
  <c r="E518" i="116"/>
  <c r="D518" i="116"/>
  <c r="K514" i="116"/>
  <c r="D514" i="116"/>
  <c r="G514" i="116"/>
  <c r="S514" i="116"/>
  <c r="V514" i="116" s="1"/>
  <c r="F514" i="116"/>
  <c r="N514" i="116"/>
  <c r="J514" i="116"/>
  <c r="O514" i="116"/>
  <c r="L510" i="116"/>
  <c r="O510" i="116"/>
  <c r="H510" i="116"/>
  <c r="G510" i="116"/>
  <c r="M510" i="116"/>
  <c r="D510" i="116"/>
  <c r="I510" i="116"/>
  <c r="E510" i="116"/>
  <c r="K510" i="116"/>
  <c r="E506" i="116"/>
  <c r="L506" i="116"/>
  <c r="K506" i="116"/>
  <c r="D506" i="116"/>
  <c r="O506" i="116"/>
  <c r="G506" i="116"/>
  <c r="S506" i="116"/>
  <c r="V506" i="116" s="1"/>
  <c r="N506" i="116"/>
  <c r="J506" i="116"/>
  <c r="F506" i="116"/>
  <c r="O502" i="116"/>
  <c r="H502" i="116"/>
  <c r="K502" i="116"/>
  <c r="D502" i="116"/>
  <c r="S502" i="116"/>
  <c r="V502" i="116" s="1"/>
  <c r="G502" i="116"/>
  <c r="F502" i="116"/>
  <c r="M502" i="116"/>
  <c r="I502" i="116"/>
  <c r="E502" i="116"/>
  <c r="H494" i="116"/>
  <c r="D494" i="116"/>
  <c r="S494" i="116"/>
  <c r="V494" i="116" s="1"/>
  <c r="K494" i="116"/>
  <c r="G494" i="116"/>
  <c r="I494" i="116"/>
  <c r="E494" i="116"/>
  <c r="L494" i="116"/>
  <c r="O494" i="116"/>
  <c r="D490" i="116"/>
  <c r="O490" i="116"/>
  <c r="G490" i="116"/>
  <c r="I490" i="116"/>
  <c r="H490" i="116"/>
  <c r="E490" i="116"/>
  <c r="L490" i="116"/>
  <c r="E486" i="116"/>
  <c r="L486" i="116"/>
  <c r="D486" i="116"/>
  <c r="G486" i="116"/>
  <c r="S486" i="116"/>
  <c r="V486" i="116" s="1"/>
  <c r="K486" i="116"/>
  <c r="E482" i="116"/>
  <c r="D482" i="116"/>
  <c r="F482" i="116"/>
  <c r="L482" i="116"/>
  <c r="M482" i="116"/>
  <c r="I482" i="116"/>
  <c r="M478" i="116"/>
  <c r="L478" i="116"/>
  <c r="H478" i="116"/>
  <c r="K478" i="116"/>
  <c r="D478" i="116"/>
  <c r="O478" i="116"/>
  <c r="E478" i="116"/>
  <c r="G478" i="116"/>
  <c r="D474" i="116"/>
  <c r="O474" i="116"/>
  <c r="S474" i="116"/>
  <c r="V474" i="116" s="1"/>
  <c r="K474" i="116"/>
  <c r="E474" i="116"/>
  <c r="L474" i="116"/>
  <c r="H474" i="116"/>
  <c r="G474" i="116"/>
  <c r="F474" i="116"/>
  <c r="E526" i="116"/>
  <c r="G538" i="116"/>
  <c r="E542" i="116"/>
  <c r="J474" i="116"/>
  <c r="G482" i="116"/>
  <c r="F490" i="116"/>
  <c r="M526" i="116"/>
  <c r="K538" i="116"/>
  <c r="H514" i="116"/>
  <c r="O538" i="116"/>
  <c r="O542" i="116"/>
  <c r="M545" i="116"/>
  <c r="L545" i="116"/>
  <c r="I545" i="116"/>
  <c r="D545" i="116"/>
  <c r="H545" i="116"/>
  <c r="G545" i="116"/>
  <c r="O545" i="116"/>
  <c r="K545" i="116"/>
  <c r="S545" i="116"/>
  <c r="V545" i="116" s="1"/>
  <c r="N545" i="116"/>
  <c r="J545" i="116"/>
  <c r="J541" i="116"/>
  <c r="F541" i="116"/>
  <c r="L541" i="116"/>
  <c r="I541" i="116"/>
  <c r="S541" i="116"/>
  <c r="V541" i="116" s="1"/>
  <c r="E541" i="116"/>
  <c r="N541" i="116"/>
  <c r="M541" i="116"/>
  <c r="H541" i="116"/>
  <c r="D541" i="116"/>
  <c r="S537" i="116"/>
  <c r="V537" i="116" s="1"/>
  <c r="J537" i="116"/>
  <c r="E537" i="116"/>
  <c r="L537" i="116"/>
  <c r="D537" i="116"/>
  <c r="H537" i="116"/>
  <c r="O537" i="116"/>
  <c r="S533" i="116"/>
  <c r="V533" i="116" s="1"/>
  <c r="J533" i="116"/>
  <c r="G533" i="116"/>
  <c r="N533" i="116"/>
  <c r="I533" i="116"/>
  <c r="F533" i="116"/>
  <c r="M533" i="116"/>
  <c r="G529" i="116"/>
  <c r="S529" i="116"/>
  <c r="V529" i="116" s="1"/>
  <c r="N529" i="116"/>
  <c r="L529" i="116"/>
  <c r="O529" i="116"/>
  <c r="H529" i="116"/>
  <c r="D529" i="116"/>
  <c r="E529" i="116"/>
  <c r="D525" i="116"/>
  <c r="O525" i="116"/>
  <c r="G525" i="116"/>
  <c r="K525" i="116"/>
  <c r="S525" i="116"/>
  <c r="V525" i="116" s="1"/>
  <c r="J525" i="116"/>
  <c r="N525" i="116"/>
  <c r="H525" i="116"/>
  <c r="F525" i="116"/>
  <c r="M525" i="116"/>
  <c r="I525" i="116"/>
  <c r="E525" i="116"/>
  <c r="F521" i="116"/>
  <c r="M521" i="116"/>
  <c r="H521" i="116"/>
  <c r="E521" i="116"/>
  <c r="G521" i="116"/>
  <c r="S521" i="116"/>
  <c r="V521" i="116" s="1"/>
  <c r="N521" i="116"/>
  <c r="J521" i="116"/>
  <c r="L521" i="116"/>
  <c r="N513" i="116"/>
  <c r="J513" i="116"/>
  <c r="M513" i="116"/>
  <c r="K513" i="116"/>
  <c r="G513" i="116"/>
  <c r="S513" i="116"/>
  <c r="V513" i="116" s="1"/>
  <c r="F513" i="116"/>
  <c r="G509" i="116"/>
  <c r="S509" i="116"/>
  <c r="V509" i="116" s="1"/>
  <c r="N509" i="116"/>
  <c r="M509" i="116"/>
  <c r="I509" i="116"/>
  <c r="E509" i="116"/>
  <c r="L509" i="116"/>
  <c r="J509" i="116"/>
  <c r="F509" i="116"/>
  <c r="D505" i="116"/>
  <c r="O505" i="116"/>
  <c r="G505" i="116"/>
  <c r="L505" i="116"/>
  <c r="S505" i="116"/>
  <c r="V505" i="116" s="1"/>
  <c r="H505" i="116"/>
  <c r="K505" i="116"/>
  <c r="N505" i="116"/>
  <c r="J505" i="116"/>
  <c r="F505" i="116"/>
  <c r="M505" i="116"/>
  <c r="D501" i="116"/>
  <c r="O501" i="116"/>
  <c r="G501" i="116"/>
  <c r="N501" i="116"/>
  <c r="J501" i="116"/>
  <c r="I501" i="116"/>
  <c r="F501" i="116"/>
  <c r="M501" i="116"/>
  <c r="L501" i="116"/>
  <c r="H501" i="116"/>
  <c r="K501" i="116"/>
  <c r="O497" i="116"/>
  <c r="H497" i="116"/>
  <c r="K497" i="116"/>
  <c r="D497" i="116"/>
  <c r="S497" i="116"/>
  <c r="V497" i="116" s="1"/>
  <c r="G497" i="116"/>
  <c r="N497" i="116"/>
  <c r="I493" i="116"/>
  <c r="E493" i="116"/>
  <c r="O493" i="116"/>
  <c r="H493" i="116"/>
  <c r="N493" i="116"/>
  <c r="J493" i="116"/>
  <c r="M493" i="116"/>
  <c r="F493" i="116"/>
  <c r="D493" i="116"/>
  <c r="F489" i="116"/>
  <c r="M489" i="116"/>
  <c r="E489" i="116"/>
  <c r="H489" i="116"/>
  <c r="D489" i="116"/>
  <c r="K489" i="116"/>
  <c r="O489" i="116"/>
  <c r="N489" i="116"/>
  <c r="J489" i="116"/>
  <c r="I489" i="116"/>
  <c r="L489" i="116"/>
  <c r="F485" i="116"/>
  <c r="M485" i="116"/>
  <c r="E485" i="116"/>
  <c r="N485" i="116"/>
  <c r="L485" i="116"/>
  <c r="J485" i="116"/>
  <c r="I485" i="116"/>
  <c r="G485" i="116"/>
  <c r="S485" i="116"/>
  <c r="V485" i="116" s="1"/>
  <c r="H485" i="116"/>
  <c r="D485" i="116"/>
  <c r="N481" i="116"/>
  <c r="J481" i="116"/>
  <c r="M481" i="116"/>
  <c r="H481" i="116"/>
  <c r="D481" i="116"/>
  <c r="O481" i="116"/>
  <c r="K481" i="116"/>
  <c r="G481" i="116"/>
  <c r="S481" i="116"/>
  <c r="V481" i="116" s="1"/>
  <c r="F481" i="116"/>
  <c r="I481" i="116"/>
  <c r="K477" i="116"/>
  <c r="D477" i="116"/>
  <c r="G477" i="116"/>
  <c r="O477" i="116"/>
  <c r="S477" i="116"/>
  <c r="V477" i="116" s="1"/>
  <c r="J477" i="116"/>
  <c r="N477" i="116"/>
  <c r="L473" i="116"/>
  <c r="O473" i="116"/>
  <c r="H473" i="116"/>
  <c r="G473" i="116"/>
  <c r="J473" i="116"/>
  <c r="F473" i="116"/>
  <c r="M473" i="116"/>
  <c r="E473" i="116"/>
  <c r="I473" i="116"/>
  <c r="N473" i="116"/>
  <c r="D473" i="116"/>
  <c r="L514" i="116"/>
  <c r="I478" i="116"/>
  <c r="F510" i="116"/>
  <c r="E530" i="116"/>
  <c r="E513" i="116"/>
  <c r="J482" i="116"/>
  <c r="J486" i="116"/>
  <c r="G530" i="116"/>
  <c r="L493" i="116"/>
  <c r="N544" i="116"/>
  <c r="M544" i="116"/>
  <c r="J544" i="116"/>
  <c r="E544" i="116"/>
  <c r="F544" i="116"/>
  <c r="I544" i="116"/>
  <c r="L544" i="116"/>
  <c r="H544" i="116"/>
  <c r="D544" i="116"/>
  <c r="O544" i="116"/>
  <c r="K544" i="116"/>
  <c r="E540" i="116"/>
  <c r="L540" i="116"/>
  <c r="D540" i="116"/>
  <c r="F540" i="116"/>
  <c r="N540" i="116"/>
  <c r="J540" i="116"/>
  <c r="O540" i="116"/>
  <c r="K540" i="116"/>
  <c r="G540" i="116"/>
  <c r="S540" i="116"/>
  <c r="V540" i="116" s="1"/>
  <c r="N532" i="116"/>
  <c r="M532" i="116"/>
  <c r="J532" i="116"/>
  <c r="E532" i="116"/>
  <c r="K532" i="116"/>
  <c r="G532" i="116"/>
  <c r="S532" i="116"/>
  <c r="V532" i="116" s="1"/>
  <c r="H532" i="116"/>
  <c r="D532" i="116"/>
  <c r="O532" i="116"/>
  <c r="F532" i="116"/>
  <c r="N528" i="116"/>
  <c r="M528" i="116"/>
  <c r="J528" i="116"/>
  <c r="E528" i="116"/>
  <c r="I528" i="116"/>
  <c r="L528" i="116"/>
  <c r="D528" i="116"/>
  <c r="H528" i="116"/>
  <c r="F528" i="116"/>
  <c r="E524" i="116"/>
  <c r="L524" i="116"/>
  <c r="D524" i="116"/>
  <c r="F524" i="116"/>
  <c r="I524" i="116"/>
  <c r="M524" i="116"/>
  <c r="H524" i="116"/>
  <c r="O524" i="116"/>
  <c r="K524" i="116"/>
  <c r="H520" i="116"/>
  <c r="D520" i="116"/>
  <c r="K520" i="116"/>
  <c r="S520" i="116"/>
  <c r="V520" i="116" s="1"/>
  <c r="J520" i="116"/>
  <c r="N520" i="116"/>
  <c r="I520" i="116"/>
  <c r="E520" i="116"/>
  <c r="L520" i="116"/>
  <c r="O520" i="116"/>
  <c r="G520" i="116"/>
  <c r="H512" i="116"/>
  <c r="D512" i="116"/>
  <c r="K512" i="116"/>
  <c r="N512" i="116"/>
  <c r="J512" i="116"/>
  <c r="F512" i="116"/>
  <c r="H508" i="116"/>
  <c r="D508" i="116"/>
  <c r="K508" i="116"/>
  <c r="L508" i="116"/>
  <c r="O508" i="116"/>
  <c r="S508" i="116"/>
  <c r="V508" i="116" s="1"/>
  <c r="G508" i="116"/>
  <c r="M508" i="116"/>
  <c r="I508" i="116"/>
  <c r="O504" i="116"/>
  <c r="K504" i="116"/>
  <c r="S504" i="116"/>
  <c r="V504" i="116" s="1"/>
  <c r="M504" i="116"/>
  <c r="I504" i="116"/>
  <c r="L504" i="116"/>
  <c r="E504" i="116"/>
  <c r="G504" i="116"/>
  <c r="N504" i="116"/>
  <c r="J504" i="116"/>
  <c r="F504" i="116"/>
  <c r="H500" i="116"/>
  <c r="D500" i="116"/>
  <c r="K500" i="116"/>
  <c r="S500" i="116"/>
  <c r="V500" i="116" s="1"/>
  <c r="J500" i="116"/>
  <c r="N500" i="116"/>
  <c r="I500" i="116"/>
  <c r="E500" i="116"/>
  <c r="L500" i="116"/>
  <c r="O500" i="116"/>
  <c r="O496" i="116"/>
  <c r="K496" i="116"/>
  <c r="S496" i="116"/>
  <c r="V496" i="116" s="1"/>
  <c r="L496" i="116"/>
  <c r="G496" i="116"/>
  <c r="H496" i="116"/>
  <c r="D496" i="116"/>
  <c r="F496" i="116"/>
  <c r="M496" i="116"/>
  <c r="I496" i="116"/>
  <c r="E496" i="116"/>
  <c r="O492" i="116"/>
  <c r="K492" i="116"/>
  <c r="S492" i="116"/>
  <c r="V492" i="116" s="1"/>
  <c r="F492" i="116"/>
  <c r="E492" i="116"/>
  <c r="M492" i="116"/>
  <c r="I492" i="116"/>
  <c r="N492" i="116"/>
  <c r="J492" i="116"/>
  <c r="H488" i="116"/>
  <c r="E488" i="116"/>
  <c r="D488" i="116"/>
  <c r="K488" i="116"/>
  <c r="L488" i="116"/>
  <c r="O488" i="116"/>
  <c r="S488" i="116"/>
  <c r="V488" i="116" s="1"/>
  <c r="G488" i="116"/>
  <c r="I488" i="116"/>
  <c r="H484" i="116"/>
  <c r="E484" i="116"/>
  <c r="K484" i="116"/>
  <c r="J484" i="116"/>
  <c r="F484" i="116"/>
  <c r="I484" i="116"/>
  <c r="M484" i="116"/>
  <c r="F480" i="116"/>
  <c r="H480" i="116"/>
  <c r="E480" i="116"/>
  <c r="M480" i="116"/>
  <c r="L480" i="116"/>
  <c r="I480" i="116"/>
  <c r="N480" i="116"/>
  <c r="J480" i="116"/>
  <c r="L476" i="116"/>
  <c r="I476" i="116"/>
  <c r="D476" i="116"/>
  <c r="G476" i="116"/>
  <c r="O476" i="116"/>
  <c r="K476" i="116"/>
  <c r="J476" i="116"/>
  <c r="F476" i="116"/>
  <c r="M476" i="116"/>
  <c r="E476" i="116"/>
  <c r="N476" i="116"/>
  <c r="J478" i="116"/>
  <c r="N482" i="116"/>
  <c r="D484" i="116"/>
  <c r="N486" i="116"/>
  <c r="J494" i="116"/>
  <c r="F508" i="116"/>
  <c r="N510" i="116"/>
  <c r="M512" i="116"/>
  <c r="M514" i="116"/>
  <c r="J522" i="116"/>
  <c r="G524" i="116"/>
  <c r="K530" i="116"/>
  <c r="E534" i="116"/>
  <c r="S493" i="116"/>
  <c r="V493" i="116" s="1"/>
  <c r="I505" i="116"/>
  <c r="D509" i="116"/>
  <c r="I529" i="116"/>
  <c r="S476" i="116"/>
  <c r="V476" i="116" s="1"/>
  <c r="S482" i="116"/>
  <c r="V482" i="116" s="1"/>
  <c r="G492" i="116"/>
  <c r="H504" i="116"/>
  <c r="N508" i="116"/>
  <c r="S510" i="116"/>
  <c r="V510" i="116" s="1"/>
  <c r="S528" i="116"/>
  <c r="V528" i="116" s="1"/>
  <c r="O534" i="116"/>
  <c r="I540" i="116"/>
  <c r="G544" i="116"/>
  <c r="S473" i="116"/>
  <c r="V473" i="116" s="1"/>
  <c r="L477" i="116"/>
  <c r="G489" i="116"/>
  <c r="K493" i="116"/>
  <c r="I497" i="116"/>
  <c r="E501" i="116"/>
  <c r="H513" i="116"/>
  <c r="D521" i="116"/>
  <c r="F529" i="116"/>
  <c r="K533" i="116"/>
  <c r="M537" i="116"/>
  <c r="E545" i="116"/>
  <c r="D498" i="116"/>
  <c r="O498" i="116"/>
  <c r="G498" i="116"/>
  <c r="F498" i="116"/>
  <c r="M498" i="116"/>
  <c r="E498" i="116"/>
  <c r="I498" i="116"/>
  <c r="J498" i="116"/>
  <c r="L498" i="116"/>
  <c r="H498" i="116"/>
  <c r="K498" i="116"/>
  <c r="O486" i="116"/>
  <c r="H486" i="116"/>
  <c r="M542" i="116"/>
  <c r="N474" i="116"/>
  <c r="K482" i="116"/>
  <c r="I486" i="116"/>
  <c r="J490" i="116"/>
  <c r="N526" i="116"/>
  <c r="F517" i="116"/>
  <c r="M517" i="116"/>
  <c r="H517" i="116"/>
  <c r="E517" i="116"/>
  <c r="L517" i="116"/>
  <c r="D517" i="116"/>
  <c r="O517" i="116"/>
  <c r="K517" i="116"/>
  <c r="G517" i="116"/>
  <c r="S517" i="116"/>
  <c r="V517" i="116" s="1"/>
  <c r="S490" i="116"/>
  <c r="V490" i="116" s="1"/>
  <c r="M494" i="116"/>
  <c r="F494" i="116"/>
  <c r="J510" i="116"/>
  <c r="H476" i="116"/>
  <c r="S478" i="116"/>
  <c r="V478" i="116" s="1"/>
  <c r="D492" i="116"/>
  <c r="S498" i="116"/>
  <c r="V498" i="116" s="1"/>
  <c r="S518" i="116"/>
  <c r="V518" i="116" s="1"/>
  <c r="S522" i="116"/>
  <c r="V522" i="116" s="1"/>
  <c r="D526" i="116"/>
  <c r="G528" i="116"/>
  <c r="M540" i="116"/>
  <c r="K473" i="116"/>
  <c r="E477" i="116"/>
  <c r="M497" i="116"/>
  <c r="L513" i="116"/>
  <c r="N517" i="116"/>
  <c r="J529" i="116"/>
  <c r="O533" i="116"/>
  <c r="F537" i="116"/>
  <c r="G541" i="116"/>
  <c r="F545" i="116"/>
  <c r="M490" i="116"/>
  <c r="J502" i="116"/>
  <c r="I506" i="116"/>
  <c r="N502" i="116"/>
  <c r="M506" i="116"/>
  <c r="H482" i="116"/>
  <c r="F486" i="116"/>
  <c r="F478" i="116"/>
  <c r="I521" i="116"/>
  <c r="N536" i="116"/>
  <c r="M536" i="116"/>
  <c r="J536" i="116"/>
  <c r="E536" i="116"/>
  <c r="L536" i="116"/>
  <c r="I536" i="116"/>
  <c r="O536" i="116"/>
  <c r="K536" i="116"/>
  <c r="G536" i="116"/>
  <c r="S536" i="116"/>
  <c r="V536" i="116" s="1"/>
  <c r="I474" i="116"/>
  <c r="H492" i="116"/>
  <c r="E508" i="116"/>
  <c r="K518" i="116"/>
  <c r="H526" i="116"/>
  <c r="K528" i="116"/>
  <c r="I477" i="116"/>
  <c r="K485" i="116"/>
  <c r="F497" i="116"/>
  <c r="S501" i="116"/>
  <c r="V501" i="116" s="1"/>
  <c r="D533" i="116"/>
  <c r="N537" i="116"/>
  <c r="K541" i="116"/>
  <c r="G543" i="116"/>
  <c r="N543" i="116"/>
  <c r="F543" i="116"/>
  <c r="O539" i="116"/>
  <c r="S539" i="116"/>
  <c r="V539" i="116" s="1"/>
  <c r="K539" i="116"/>
  <c r="N539" i="116"/>
  <c r="D535" i="116"/>
  <c r="O535" i="116"/>
  <c r="G535" i="116"/>
  <c r="D531" i="116"/>
  <c r="O531" i="116"/>
  <c r="G531" i="116"/>
  <c r="I527" i="116"/>
  <c r="E527" i="116"/>
  <c r="H527" i="116"/>
  <c r="F523" i="116"/>
  <c r="M523" i="116"/>
  <c r="E523" i="116"/>
  <c r="N519" i="116"/>
  <c r="J519" i="116"/>
  <c r="M519" i="116"/>
  <c r="N515" i="116"/>
  <c r="J515" i="116"/>
  <c r="M515" i="116"/>
  <c r="H511" i="116"/>
  <c r="D511" i="116"/>
  <c r="S511" i="116"/>
  <c r="V511" i="116" s="1"/>
  <c r="K511" i="116"/>
  <c r="E507" i="116"/>
  <c r="L507" i="116"/>
  <c r="D507" i="116"/>
  <c r="I503" i="116"/>
  <c r="E503" i="116"/>
  <c r="H503" i="116"/>
  <c r="I499" i="116"/>
  <c r="E499" i="116"/>
  <c r="H499" i="116"/>
  <c r="I495" i="116"/>
  <c r="F495" i="116"/>
  <c r="E495" i="116"/>
  <c r="H495" i="116"/>
  <c r="N491" i="116"/>
  <c r="M491" i="116"/>
  <c r="J491" i="116"/>
  <c r="E491" i="116"/>
  <c r="N487" i="116"/>
  <c r="M487" i="116"/>
  <c r="J487" i="116"/>
  <c r="E487" i="116"/>
  <c r="N483" i="116"/>
  <c r="M483" i="116"/>
  <c r="J483" i="116"/>
  <c r="E483" i="116"/>
  <c r="O479" i="116"/>
  <c r="K479" i="116"/>
  <c r="S479" i="116"/>
  <c r="V479" i="116" s="1"/>
  <c r="L475" i="116"/>
  <c r="H475" i="116"/>
  <c r="O475" i="116"/>
  <c r="G394" i="116"/>
  <c r="E394" i="116"/>
  <c r="I394" i="116"/>
  <c r="G414" i="116"/>
  <c r="L354" i="116"/>
  <c r="D370" i="116"/>
  <c r="K370" i="116"/>
  <c r="I401" i="116"/>
  <c r="E409" i="116"/>
  <c r="H419" i="116"/>
  <c r="E423" i="116"/>
  <c r="D427" i="116"/>
  <c r="H431" i="116"/>
  <c r="K435" i="116"/>
  <c r="S435" i="116"/>
  <c r="V435" i="116" s="1"/>
  <c r="G439" i="116"/>
  <c r="G443" i="116"/>
  <c r="I351" i="116"/>
  <c r="F358" i="116"/>
  <c r="I366" i="116"/>
  <c r="I374" i="116"/>
  <c r="L382" i="116"/>
  <c r="L390" i="116"/>
  <c r="E395" i="116"/>
  <c r="I399" i="116"/>
  <c r="N411" i="116"/>
  <c r="E419" i="116"/>
  <c r="J394" i="116"/>
  <c r="L414" i="116"/>
  <c r="M354" i="116"/>
  <c r="E370" i="116"/>
  <c r="I419" i="116"/>
  <c r="J351" i="116"/>
  <c r="J399" i="116"/>
  <c r="E414" i="116"/>
  <c r="F354" i="116"/>
  <c r="I370" i="116"/>
  <c r="M419" i="116"/>
  <c r="N351" i="116"/>
  <c r="S358" i="116"/>
  <c r="V358" i="116" s="1"/>
  <c r="N366" i="116"/>
  <c r="N374" i="116"/>
  <c r="F382" i="116"/>
  <c r="F390" i="116"/>
  <c r="N399" i="116"/>
  <c r="H406" i="116"/>
  <c r="O406" i="116"/>
  <c r="F351" i="116"/>
  <c r="I414" i="116"/>
  <c r="J354" i="116"/>
  <c r="M370" i="116"/>
  <c r="F419" i="116"/>
  <c r="G358" i="116"/>
  <c r="J382" i="116"/>
  <c r="J390" i="116"/>
  <c r="G399" i="116"/>
  <c r="L406" i="116"/>
  <c r="I354" i="116"/>
  <c r="F399" i="116"/>
  <c r="S394" i="116"/>
  <c r="V394" i="116" s="1"/>
  <c r="M414" i="116"/>
  <c r="N354" i="116"/>
  <c r="F370" i="116"/>
  <c r="J419" i="116"/>
  <c r="I435" i="116"/>
  <c r="E439" i="116"/>
  <c r="E443" i="116"/>
  <c r="S351" i="116"/>
  <c r="V351" i="116" s="1"/>
  <c r="D358" i="116"/>
  <c r="K358" i="116"/>
  <c r="S366" i="116"/>
  <c r="V366" i="116" s="1"/>
  <c r="S374" i="116"/>
  <c r="V374" i="116" s="1"/>
  <c r="N382" i="116"/>
  <c r="N390" i="116"/>
  <c r="K399" i="116"/>
  <c r="S399" i="116"/>
  <c r="V399" i="116" s="1"/>
  <c r="E406" i="116"/>
  <c r="F414" i="116"/>
  <c r="G354" i="116"/>
  <c r="J370" i="116"/>
  <c r="N419" i="116"/>
  <c r="M435" i="116"/>
  <c r="I439" i="116"/>
  <c r="I443" i="116"/>
  <c r="G351" i="116"/>
  <c r="H358" i="116"/>
  <c r="O358" i="116"/>
  <c r="G366" i="116"/>
  <c r="G374" i="116"/>
  <c r="O399" i="116"/>
  <c r="I406" i="116"/>
  <c r="D394" i="116"/>
  <c r="K394" i="116"/>
  <c r="J414" i="116"/>
  <c r="K354" i="116"/>
  <c r="S354" i="116"/>
  <c r="V354" i="116" s="1"/>
  <c r="N370" i="116"/>
  <c r="G419" i="116"/>
  <c r="O423" i="116"/>
  <c r="N427" i="116"/>
  <c r="G431" i="116"/>
  <c r="F435" i="116"/>
  <c r="M439" i="116"/>
  <c r="M443" i="116"/>
  <c r="D351" i="116"/>
  <c r="K351" i="116"/>
  <c r="L358" i="116"/>
  <c r="D366" i="116"/>
  <c r="K366" i="116"/>
  <c r="D374" i="116"/>
  <c r="K374" i="116"/>
  <c r="S382" i="116"/>
  <c r="V382" i="116" s="1"/>
  <c r="S390" i="116"/>
  <c r="V390" i="116" s="1"/>
  <c r="O395" i="116"/>
  <c r="D399" i="116"/>
  <c r="M406" i="116"/>
  <c r="I411" i="116"/>
  <c r="L370" i="116"/>
  <c r="H394" i="116"/>
  <c r="O394" i="116"/>
  <c r="N414" i="116"/>
  <c r="O354" i="116"/>
  <c r="K419" i="116"/>
  <c r="S419" i="116"/>
  <c r="V419" i="116" s="1"/>
  <c r="D423" i="116"/>
  <c r="G427" i="116"/>
  <c r="K431" i="116"/>
  <c r="S431" i="116"/>
  <c r="V431" i="116" s="1"/>
  <c r="J435" i="116"/>
  <c r="F439" i="116"/>
  <c r="F443" i="116"/>
  <c r="H351" i="116"/>
  <c r="O351" i="116"/>
  <c r="E358" i="116"/>
  <c r="H366" i="116"/>
  <c r="O366" i="116"/>
  <c r="H374" i="116"/>
  <c r="O374" i="116"/>
  <c r="G382" i="116"/>
  <c r="G390" i="116"/>
  <c r="H399" i="116"/>
  <c r="F406" i="116"/>
  <c r="M411" i="116"/>
  <c r="L394" i="116"/>
  <c r="D354" i="116"/>
  <c r="S370" i="116"/>
  <c r="V370" i="116" s="1"/>
  <c r="O419" i="116"/>
  <c r="H423" i="116"/>
  <c r="K427" i="116"/>
  <c r="S427" i="116"/>
  <c r="V427" i="116" s="1"/>
  <c r="O431" i="116"/>
  <c r="N435" i="116"/>
  <c r="J439" i="116"/>
  <c r="J443" i="116"/>
  <c r="L351" i="116"/>
  <c r="I358" i="116"/>
  <c r="L366" i="116"/>
  <c r="L374" i="116"/>
  <c r="D382" i="116"/>
  <c r="K382" i="116"/>
  <c r="D390" i="116"/>
  <c r="K390" i="116"/>
  <c r="L399" i="116"/>
  <c r="J406" i="116"/>
  <c r="F411" i="116"/>
  <c r="H382" i="116"/>
  <c r="H390" i="116"/>
  <c r="J276" i="116"/>
  <c r="F276" i="116"/>
  <c r="G276" i="116"/>
  <c r="E276" i="116"/>
  <c r="L276" i="116"/>
  <c r="H276" i="116"/>
  <c r="D276" i="116"/>
  <c r="K276" i="116"/>
  <c r="F335" i="116"/>
  <c r="M335" i="116"/>
  <c r="N335" i="116"/>
  <c r="O335" i="116"/>
  <c r="K335" i="116"/>
  <c r="G335" i="116"/>
  <c r="S335" i="116"/>
  <c r="V335" i="116" s="1"/>
  <c r="J335" i="116"/>
  <c r="I335" i="116"/>
  <c r="D335" i="116"/>
  <c r="E335" i="116"/>
  <c r="L335" i="116"/>
  <c r="H335" i="116"/>
  <c r="K263" i="116"/>
  <c r="D263" i="116"/>
  <c r="G263" i="116"/>
  <c r="L263" i="116"/>
  <c r="I263" i="116"/>
  <c r="H263" i="116"/>
  <c r="O263" i="116"/>
  <c r="J263" i="116"/>
  <c r="S263" i="116"/>
  <c r="V263" i="116" s="1"/>
  <c r="N263" i="116"/>
  <c r="L334" i="116"/>
  <c r="I334" i="116"/>
  <c r="H334" i="116"/>
  <c r="E334" i="116"/>
  <c r="F334" i="116"/>
  <c r="K334" i="116"/>
  <c r="G334" i="116"/>
  <c r="S334" i="116"/>
  <c r="V334" i="116" s="1"/>
  <c r="D334" i="116"/>
  <c r="D298" i="116"/>
  <c r="O298" i="116"/>
  <c r="L298" i="116"/>
  <c r="I298" i="116"/>
  <c r="H298" i="116"/>
  <c r="K298" i="116"/>
  <c r="G298" i="116"/>
  <c r="S298" i="116"/>
  <c r="V298" i="116" s="1"/>
  <c r="N298" i="116"/>
  <c r="J298" i="116"/>
  <c r="F298" i="116"/>
  <c r="M298" i="116"/>
  <c r="L286" i="116"/>
  <c r="I286" i="116"/>
  <c r="H286" i="116"/>
  <c r="E286" i="116"/>
  <c r="F286" i="116"/>
  <c r="K286" i="116"/>
  <c r="G286" i="116"/>
  <c r="S286" i="116"/>
  <c r="V286" i="116" s="1"/>
  <c r="M286" i="116"/>
  <c r="N250" i="116"/>
  <c r="G250" i="116"/>
  <c r="F250" i="116"/>
  <c r="M250" i="116"/>
  <c r="I250" i="116"/>
  <c r="E250" i="116"/>
  <c r="J250" i="116"/>
  <c r="L250" i="116"/>
  <c r="H250" i="116"/>
  <c r="D250" i="116"/>
  <c r="S322" i="116"/>
  <c r="V322" i="116" s="1"/>
  <c r="K309" i="116"/>
  <c r="G309" i="116"/>
  <c r="D309" i="116"/>
  <c r="N309" i="116"/>
  <c r="J309" i="116"/>
  <c r="F309" i="116"/>
  <c r="I309" i="116"/>
  <c r="M309" i="116"/>
  <c r="H249" i="116"/>
  <c r="D249" i="116"/>
  <c r="E249" i="116"/>
  <c r="G249" i="116"/>
  <c r="I249" i="116"/>
  <c r="L249" i="116"/>
  <c r="O249" i="116"/>
  <c r="K249" i="116"/>
  <c r="H297" i="116"/>
  <c r="K299" i="116"/>
  <c r="I274" i="116"/>
  <c r="S276" i="116"/>
  <c r="V276" i="116" s="1"/>
  <c r="J334" i="116"/>
  <c r="K242" i="116"/>
  <c r="G242" i="116"/>
  <c r="D242" i="116"/>
  <c r="H242" i="116"/>
  <c r="O242" i="116"/>
  <c r="S242" i="116"/>
  <c r="V242" i="116" s="1"/>
  <c r="I242" i="116"/>
  <c r="E242" i="116"/>
  <c r="F242" i="116"/>
  <c r="L242" i="116"/>
  <c r="N242" i="116"/>
  <c r="J242" i="116"/>
  <c r="G252" i="116"/>
  <c r="S252" i="116"/>
  <c r="V252" i="116" s="1"/>
  <c r="O252" i="116"/>
  <c r="D252" i="116"/>
  <c r="K252" i="116"/>
  <c r="N252" i="116"/>
  <c r="M252" i="116"/>
  <c r="I252" i="116"/>
  <c r="E252" i="116"/>
  <c r="L252" i="116"/>
  <c r="H252" i="116"/>
  <c r="F252" i="116"/>
  <c r="J252" i="116"/>
  <c r="N323" i="116"/>
  <c r="J323" i="116"/>
  <c r="S323" i="116"/>
  <c r="V323" i="116" s="1"/>
  <c r="O323" i="116"/>
  <c r="K323" i="116"/>
  <c r="G323" i="116"/>
  <c r="E323" i="116"/>
  <c r="F323" i="116"/>
  <c r="M323" i="116"/>
  <c r="I323" i="116"/>
  <c r="L323" i="116"/>
  <c r="N287" i="116"/>
  <c r="J287" i="116"/>
  <c r="S287" i="116"/>
  <c r="V287" i="116" s="1"/>
  <c r="E287" i="116"/>
  <c r="L287" i="116"/>
  <c r="D287" i="116"/>
  <c r="I287" i="116"/>
  <c r="H287" i="116"/>
  <c r="E299" i="116"/>
  <c r="O276" i="116"/>
  <c r="N310" i="116"/>
  <c r="J310" i="116"/>
  <c r="S310" i="116"/>
  <c r="V310" i="116" s="1"/>
  <c r="F310" i="116"/>
  <c r="M310" i="116"/>
  <c r="I310" i="116"/>
  <c r="D310" i="116"/>
  <c r="O310" i="116"/>
  <c r="K310" i="116"/>
  <c r="G310" i="116"/>
  <c r="E310" i="116"/>
  <c r="K297" i="116"/>
  <c r="G297" i="116"/>
  <c r="D297" i="116"/>
  <c r="F297" i="116"/>
  <c r="I297" i="116"/>
  <c r="S297" i="116"/>
  <c r="V297" i="116" s="1"/>
  <c r="N297" i="116"/>
  <c r="J297" i="116"/>
  <c r="L261" i="116"/>
  <c r="H261" i="116"/>
  <c r="I261" i="116"/>
  <c r="F261" i="116"/>
  <c r="E261" i="116"/>
  <c r="N261" i="116"/>
  <c r="J261" i="116"/>
  <c r="M261" i="116"/>
  <c r="O297" i="116"/>
  <c r="L310" i="116"/>
  <c r="M334" i="116"/>
  <c r="E297" i="116"/>
  <c r="S250" i="116"/>
  <c r="V250" i="116" s="1"/>
  <c r="M274" i="116"/>
  <c r="N334" i="116"/>
  <c r="H324" i="116"/>
  <c r="D324" i="116"/>
  <c r="E324" i="116"/>
  <c r="S324" i="116"/>
  <c r="V324" i="116" s="1"/>
  <c r="N324" i="116"/>
  <c r="J324" i="116"/>
  <c r="I324" i="116"/>
  <c r="L324" i="116"/>
  <c r="O324" i="116"/>
  <c r="K324" i="116"/>
  <c r="G324" i="116"/>
  <c r="F288" i="116"/>
  <c r="M288" i="116"/>
  <c r="N288" i="116"/>
  <c r="I288" i="116"/>
  <c r="E288" i="116"/>
  <c r="L288" i="116"/>
  <c r="H288" i="116"/>
  <c r="J288" i="116"/>
  <c r="D288" i="116"/>
  <c r="O288" i="116"/>
  <c r="K288" i="116"/>
  <c r="G288" i="116"/>
  <c r="N311" i="116"/>
  <c r="J311" i="116"/>
  <c r="S311" i="116"/>
  <c r="V311" i="116" s="1"/>
  <c r="F311" i="116"/>
  <c r="I311" i="116"/>
  <c r="O311" i="116"/>
  <c r="L311" i="116"/>
  <c r="K311" i="116"/>
  <c r="G311" i="116"/>
  <c r="M311" i="116"/>
  <c r="E311" i="116"/>
  <c r="S275" i="116"/>
  <c r="V275" i="116" s="1"/>
  <c r="K275" i="116"/>
  <c r="D275" i="116"/>
  <c r="I275" i="116"/>
  <c r="E275" i="116"/>
  <c r="H275" i="116"/>
  <c r="N275" i="116"/>
  <c r="J275" i="116"/>
  <c r="F275" i="116"/>
  <c r="M275" i="116"/>
  <c r="L275" i="116"/>
  <c r="K322" i="116"/>
  <c r="G322" i="116"/>
  <c r="D322" i="116"/>
  <c r="E322" i="116"/>
  <c r="L322" i="116"/>
  <c r="H322" i="116"/>
  <c r="J322" i="116"/>
  <c r="F322" i="116"/>
  <c r="M322" i="116"/>
  <c r="I322" i="116"/>
  <c r="K287" i="116"/>
  <c r="G321" i="116"/>
  <c r="S321" i="116"/>
  <c r="V321" i="116" s="1"/>
  <c r="O321" i="116"/>
  <c r="K321" i="116"/>
  <c r="J321" i="116"/>
  <c r="M321" i="116"/>
  <c r="E321" i="116"/>
  <c r="I321" i="116"/>
  <c r="K285" i="116"/>
  <c r="G285" i="116"/>
  <c r="D285" i="116"/>
  <c r="M285" i="116"/>
  <c r="I285" i="116"/>
  <c r="L285" i="116"/>
  <c r="O285" i="116"/>
  <c r="S285" i="116"/>
  <c r="V285" i="116" s="1"/>
  <c r="F285" i="116"/>
  <c r="N285" i="116"/>
  <c r="J285" i="116"/>
  <c r="G273" i="116"/>
  <c r="S273" i="116"/>
  <c r="V273" i="116" s="1"/>
  <c r="O273" i="116"/>
  <c r="L273" i="116"/>
  <c r="H273" i="116"/>
  <c r="K273" i="116"/>
  <c r="E273" i="116"/>
  <c r="D273" i="116"/>
  <c r="F273" i="116"/>
  <c r="N273" i="116"/>
  <c r="J273" i="116"/>
  <c r="M299" i="116"/>
  <c r="H310" i="116"/>
  <c r="M242" i="116"/>
  <c r="M249" i="116"/>
  <c r="S261" i="116"/>
  <c r="V261" i="116" s="1"/>
  <c r="M297" i="116"/>
  <c r="K250" i="116"/>
  <c r="M324" i="116"/>
  <c r="O334" i="116"/>
  <c r="F336" i="116"/>
  <c r="M336" i="116"/>
  <c r="N336" i="116"/>
  <c r="I336" i="116"/>
  <c r="E336" i="116"/>
  <c r="L336" i="116"/>
  <c r="H336" i="116"/>
  <c r="D336" i="116"/>
  <c r="O336" i="116"/>
  <c r="K336" i="116"/>
  <c r="G336" i="116"/>
  <c r="J312" i="116"/>
  <c r="F312" i="116"/>
  <c r="G312" i="116"/>
  <c r="K312" i="116"/>
  <c r="S312" i="116"/>
  <c r="V312" i="116" s="1"/>
  <c r="E312" i="116"/>
  <c r="L312" i="116"/>
  <c r="H312" i="116"/>
  <c r="D312" i="116"/>
  <c r="O312" i="116"/>
  <c r="H300" i="116"/>
  <c r="D300" i="116"/>
  <c r="E300" i="116"/>
  <c r="F300" i="116"/>
  <c r="M300" i="116"/>
  <c r="I300" i="116"/>
  <c r="L300" i="116"/>
  <c r="S300" i="116"/>
  <c r="V300" i="116" s="1"/>
  <c r="N300" i="116"/>
  <c r="O300" i="116"/>
  <c r="J300" i="116"/>
  <c r="N251" i="116"/>
  <c r="J251" i="116"/>
  <c r="S251" i="116"/>
  <c r="V251" i="116" s="1"/>
  <c r="H251" i="116"/>
  <c r="D251" i="116"/>
  <c r="O251" i="116"/>
  <c r="K251" i="116"/>
  <c r="G251" i="116"/>
  <c r="F251" i="116"/>
  <c r="L251" i="116"/>
  <c r="H323" i="116"/>
  <c r="J274" i="116"/>
  <c r="F274" i="116"/>
  <c r="D274" i="116"/>
  <c r="O274" i="116"/>
  <c r="K274" i="116"/>
  <c r="G274" i="116"/>
  <c r="H274" i="116"/>
  <c r="L274" i="116"/>
  <c r="I276" i="116"/>
  <c r="N333" i="116"/>
  <c r="G333" i="116"/>
  <c r="O333" i="116"/>
  <c r="K333" i="116"/>
  <c r="J333" i="116"/>
  <c r="M333" i="116"/>
  <c r="H333" i="116"/>
  <c r="I333" i="116"/>
  <c r="E333" i="116"/>
  <c r="L333" i="116"/>
  <c r="D333" i="116"/>
  <c r="I273" i="116"/>
  <c r="L321" i="116"/>
  <c r="E298" i="116"/>
  <c r="F249" i="116"/>
  <c r="G261" i="116"/>
  <c r="E263" i="116"/>
  <c r="O250" i="116"/>
  <c r="S274" i="116"/>
  <c r="V274" i="116" s="1"/>
  <c r="F324" i="116"/>
  <c r="S264" i="116"/>
  <c r="V264" i="116" s="1"/>
  <c r="K264" i="116"/>
  <c r="G264" i="116"/>
  <c r="D264" i="116"/>
  <c r="E264" i="116"/>
  <c r="L264" i="116"/>
  <c r="H264" i="116"/>
  <c r="O264" i="116"/>
  <c r="N264" i="116"/>
  <c r="J264" i="116"/>
  <c r="F264" i="116"/>
  <c r="M264" i="116"/>
  <c r="G299" i="116"/>
  <c r="S299" i="116"/>
  <c r="V299" i="116" s="1"/>
  <c r="O299" i="116"/>
  <c r="H299" i="116"/>
  <c r="N299" i="116"/>
  <c r="F299" i="116"/>
  <c r="L299" i="116"/>
  <c r="D299" i="116"/>
  <c r="N262" i="116"/>
  <c r="J262" i="116"/>
  <c r="S262" i="116"/>
  <c r="V262" i="116" s="1"/>
  <c r="F262" i="116"/>
  <c r="M262" i="116"/>
  <c r="I262" i="116"/>
  <c r="D262" i="116"/>
  <c r="O262" i="116"/>
  <c r="K262" i="116"/>
  <c r="G262" i="116"/>
  <c r="E262" i="116"/>
  <c r="O287" i="116"/>
  <c r="I264" i="116"/>
  <c r="M276" i="116"/>
  <c r="M273" i="116"/>
  <c r="J299" i="116"/>
  <c r="E274" i="116"/>
  <c r="N276" i="116"/>
  <c r="J249" i="116"/>
  <c r="K261" i="116"/>
  <c r="M263" i="116"/>
  <c r="J286" i="116"/>
  <c r="G332" i="116"/>
  <c r="N332" i="116"/>
  <c r="O332" i="116"/>
  <c r="D332" i="116"/>
  <c r="K332" i="116"/>
  <c r="M320" i="116"/>
  <c r="I320" i="116"/>
  <c r="J320" i="116"/>
  <c r="N320" i="116"/>
  <c r="F320" i="116"/>
  <c r="E320" i="116"/>
  <c r="L320" i="116"/>
  <c r="D308" i="116"/>
  <c r="O308" i="116"/>
  <c r="L308" i="116"/>
  <c r="S308" i="116"/>
  <c r="V308" i="116" s="1"/>
  <c r="N308" i="116"/>
  <c r="M296" i="116"/>
  <c r="I296" i="116"/>
  <c r="J296" i="116"/>
  <c r="D296" i="116"/>
  <c r="O296" i="116"/>
  <c r="K296" i="116"/>
  <c r="G296" i="116"/>
  <c r="F284" i="116"/>
  <c r="M284" i="116"/>
  <c r="N284" i="116"/>
  <c r="S284" i="116"/>
  <c r="V284" i="116" s="1"/>
  <c r="J284" i="116"/>
  <c r="O272" i="116"/>
  <c r="S272" i="116"/>
  <c r="V272" i="116" s="1"/>
  <c r="K272" i="116"/>
  <c r="H272" i="116"/>
  <c r="L272" i="116"/>
  <c r="D272" i="116"/>
  <c r="G272" i="116"/>
  <c r="O260" i="116"/>
  <c r="S260" i="116"/>
  <c r="V260" i="116" s="1"/>
  <c r="K260" i="116"/>
  <c r="H260" i="116"/>
  <c r="N260" i="116"/>
  <c r="J260" i="116"/>
  <c r="F260" i="116"/>
  <c r="K248" i="116"/>
  <c r="G248" i="116"/>
  <c r="D248" i="116"/>
  <c r="F248" i="116"/>
  <c r="M248" i="116"/>
  <c r="I248" i="116"/>
  <c r="N248" i="116"/>
  <c r="G260" i="116"/>
  <c r="O320" i="116"/>
  <c r="N331" i="116"/>
  <c r="J331" i="116"/>
  <c r="S331" i="116"/>
  <c r="V331" i="116" s="1"/>
  <c r="F331" i="116"/>
  <c r="M331" i="116"/>
  <c r="E331" i="116"/>
  <c r="S319" i="116"/>
  <c r="V319" i="116" s="1"/>
  <c r="K319" i="116"/>
  <c r="D319" i="116"/>
  <c r="F319" i="116"/>
  <c r="M319" i="116"/>
  <c r="E319" i="116"/>
  <c r="G307" i="116"/>
  <c r="S307" i="116"/>
  <c r="V307" i="116" s="1"/>
  <c r="O307" i="116"/>
  <c r="H307" i="116"/>
  <c r="I307" i="116"/>
  <c r="E307" i="116"/>
  <c r="D307" i="116"/>
  <c r="G295" i="116"/>
  <c r="S295" i="116"/>
  <c r="V295" i="116" s="1"/>
  <c r="O295" i="116"/>
  <c r="H295" i="116"/>
  <c r="L295" i="116"/>
  <c r="D295" i="116"/>
  <c r="G283" i="116"/>
  <c r="S283" i="116"/>
  <c r="V283" i="116" s="1"/>
  <c r="O283" i="116"/>
  <c r="H283" i="116"/>
  <c r="S271" i="116"/>
  <c r="V271" i="116" s="1"/>
  <c r="K271" i="116"/>
  <c r="D271" i="116"/>
  <c r="G271" i="116"/>
  <c r="N271" i="116"/>
  <c r="F271" i="116"/>
  <c r="I259" i="116"/>
  <c r="E259" i="116"/>
  <c r="F259" i="116"/>
  <c r="F247" i="116"/>
  <c r="M247" i="116"/>
  <c r="N247" i="116"/>
  <c r="O247" i="116"/>
  <c r="N296" i="116"/>
  <c r="E308" i="116"/>
  <c r="G247" i="116"/>
  <c r="D259" i="116"/>
  <c r="L283" i="116"/>
  <c r="G319" i="116"/>
  <c r="I331" i="116"/>
  <c r="D260" i="116"/>
  <c r="I308" i="116"/>
  <c r="D320" i="116"/>
  <c r="O319" i="116"/>
  <c r="S248" i="116"/>
  <c r="V248" i="116" s="1"/>
  <c r="L260" i="116"/>
  <c r="S296" i="116"/>
  <c r="V296" i="116" s="1"/>
  <c r="M308" i="116"/>
  <c r="H320" i="116"/>
  <c r="H332" i="116"/>
  <c r="K247" i="116"/>
  <c r="H259" i="116"/>
  <c r="H271" i="116"/>
  <c r="E283" i="116"/>
  <c r="D247" i="116"/>
  <c r="L259" i="116"/>
  <c r="L271" i="116"/>
  <c r="I283" i="116"/>
  <c r="E295" i="116"/>
  <c r="G331" i="116"/>
  <c r="O248" i="116"/>
  <c r="E260" i="116"/>
  <c r="E272" i="116"/>
  <c r="G284" i="116"/>
  <c r="F308" i="116"/>
  <c r="L332" i="116"/>
  <c r="I295" i="116"/>
  <c r="K331" i="116"/>
  <c r="H248" i="116"/>
  <c r="I260" i="116"/>
  <c r="I272" i="116"/>
  <c r="K284" i="116"/>
  <c r="J308" i="116"/>
  <c r="S320" i="116"/>
  <c r="V320" i="116" s="1"/>
  <c r="E332" i="116"/>
  <c r="L247" i="116"/>
  <c r="J259" i="116"/>
  <c r="I271" i="116"/>
  <c r="F283" i="116"/>
  <c r="M295" i="116"/>
  <c r="O331" i="116"/>
  <c r="L248" i="116"/>
  <c r="M260" i="116"/>
  <c r="M272" i="116"/>
  <c r="O284" i="116"/>
  <c r="I332" i="116"/>
  <c r="G330" i="116"/>
  <c r="S330" i="116"/>
  <c r="V330" i="116" s="1"/>
  <c r="O330" i="116"/>
  <c r="L318" i="116"/>
  <c r="I318" i="116"/>
  <c r="H318" i="116"/>
  <c r="E318" i="116"/>
  <c r="F318" i="116"/>
  <c r="G306" i="116"/>
  <c r="S306" i="116"/>
  <c r="V306" i="116" s="1"/>
  <c r="O306" i="116"/>
  <c r="L294" i="116"/>
  <c r="I294" i="116"/>
  <c r="H294" i="116"/>
  <c r="E294" i="116"/>
  <c r="F294" i="116"/>
  <c r="J282" i="116"/>
  <c r="F282" i="116"/>
  <c r="N270" i="116"/>
  <c r="G270" i="116"/>
  <c r="G258" i="116"/>
  <c r="S258" i="116"/>
  <c r="V258" i="116" s="1"/>
  <c r="O258" i="116"/>
  <c r="D246" i="116"/>
  <c r="O246" i="116"/>
  <c r="L246" i="116"/>
  <c r="E246" i="116"/>
  <c r="H258" i="116"/>
  <c r="E270" i="116"/>
  <c r="E282" i="116"/>
  <c r="M294" i="116"/>
  <c r="L306" i="116"/>
  <c r="G318" i="116"/>
  <c r="F330" i="116"/>
  <c r="I341" i="116"/>
  <c r="F341" i="116"/>
  <c r="E341" i="116"/>
  <c r="N341" i="116"/>
  <c r="I329" i="116"/>
  <c r="F329" i="116"/>
  <c r="E329" i="116"/>
  <c r="N329" i="116"/>
  <c r="N317" i="116"/>
  <c r="M317" i="116"/>
  <c r="J317" i="116"/>
  <c r="S317" i="116"/>
  <c r="V317" i="116" s="1"/>
  <c r="N305" i="116"/>
  <c r="G305" i="116"/>
  <c r="N293" i="116"/>
  <c r="G293" i="116"/>
  <c r="N281" i="116"/>
  <c r="G281" i="116"/>
  <c r="N269" i="116"/>
  <c r="G269" i="116"/>
  <c r="D257" i="116"/>
  <c r="O257" i="116"/>
  <c r="L257" i="116"/>
  <c r="S245" i="116"/>
  <c r="V245" i="116" s="1"/>
  <c r="K245" i="116"/>
  <c r="I246" i="116"/>
  <c r="L258" i="116"/>
  <c r="I270" i="116"/>
  <c r="I282" i="116"/>
  <c r="J294" i="116"/>
  <c r="K318" i="116"/>
  <c r="J330" i="116"/>
  <c r="M246" i="116"/>
  <c r="M270" i="116"/>
  <c r="M282" i="116"/>
  <c r="N294" i="116"/>
  <c r="E306" i="116"/>
  <c r="O318" i="116"/>
  <c r="N330" i="116"/>
  <c r="E258" i="116"/>
  <c r="F270" i="116"/>
  <c r="N282" i="116"/>
  <c r="I306" i="116"/>
  <c r="D318" i="116"/>
  <c r="O170" i="116"/>
  <c r="H170" i="116"/>
  <c r="K170" i="116"/>
  <c r="D170" i="116"/>
  <c r="G170" i="116"/>
  <c r="L170" i="116"/>
  <c r="S170" i="116"/>
  <c r="V170" i="116" s="1"/>
  <c r="N170" i="116"/>
  <c r="J170" i="116"/>
  <c r="L233" i="116"/>
  <c r="I233" i="116"/>
  <c r="H233" i="116"/>
  <c r="E233" i="116"/>
  <c r="D233" i="116"/>
  <c r="M233" i="116"/>
  <c r="J233" i="116"/>
  <c r="F233" i="116"/>
  <c r="O233" i="116"/>
  <c r="L217" i="116"/>
  <c r="I217" i="116"/>
  <c r="H217" i="116"/>
  <c r="E217" i="116"/>
  <c r="D217" i="116"/>
  <c r="M217" i="116"/>
  <c r="K217" i="116"/>
  <c r="G217" i="116"/>
  <c r="O217" i="116"/>
  <c r="S217" i="116"/>
  <c r="V217" i="116" s="1"/>
  <c r="M172" i="116"/>
  <c r="J172" i="116"/>
  <c r="I172" i="116"/>
  <c r="F172" i="116"/>
  <c r="E172" i="116"/>
  <c r="N172" i="116"/>
  <c r="D172" i="116"/>
  <c r="L172" i="116"/>
  <c r="H172" i="116"/>
  <c r="M156" i="116"/>
  <c r="J156" i="116"/>
  <c r="E156" i="116"/>
  <c r="N156" i="116"/>
  <c r="D156" i="116"/>
  <c r="S156" i="116"/>
  <c r="V156" i="116" s="1"/>
  <c r="F156" i="116"/>
  <c r="O156" i="116"/>
  <c r="K156" i="116"/>
  <c r="G156" i="116"/>
  <c r="S142" i="116"/>
  <c r="V142" i="116" s="1"/>
  <c r="K142" i="116"/>
  <c r="N142" i="116"/>
  <c r="O142" i="116"/>
  <c r="J142" i="116"/>
  <c r="F142" i="116"/>
  <c r="I142" i="116"/>
  <c r="M142" i="116"/>
  <c r="E142" i="116"/>
  <c r="L204" i="116"/>
  <c r="H204" i="116"/>
  <c r="K204" i="116"/>
  <c r="G204" i="116"/>
  <c r="E204" i="116"/>
  <c r="F204" i="116"/>
  <c r="M204" i="116"/>
  <c r="L139" i="116"/>
  <c r="H139" i="116"/>
  <c r="O139" i="116"/>
  <c r="E139" i="116"/>
  <c r="S139" i="116"/>
  <c r="V139" i="116" s="1"/>
  <c r="N139" i="116"/>
  <c r="J139" i="116"/>
  <c r="F139" i="116"/>
  <c r="M223" i="116"/>
  <c r="I223" i="116"/>
  <c r="E223" i="116"/>
  <c r="F223" i="116"/>
  <c r="K223" i="116"/>
  <c r="G223" i="116"/>
  <c r="N223" i="116"/>
  <c r="S223" i="116"/>
  <c r="V223" i="116" s="1"/>
  <c r="G169" i="116"/>
  <c r="S169" i="116"/>
  <c r="V169" i="116" s="1"/>
  <c r="K169" i="116"/>
  <c r="L169" i="116"/>
  <c r="N169" i="116"/>
  <c r="H169" i="116"/>
  <c r="D169" i="116"/>
  <c r="O169" i="116"/>
  <c r="D152" i="116"/>
  <c r="O152" i="116"/>
  <c r="K152" i="116"/>
  <c r="H152" i="116"/>
  <c r="N152" i="116"/>
  <c r="J152" i="116"/>
  <c r="F152" i="116"/>
  <c r="M152" i="116"/>
  <c r="N181" i="116"/>
  <c r="G181" i="116"/>
  <c r="K181" i="116"/>
  <c r="S181" i="116"/>
  <c r="V181" i="116" s="1"/>
  <c r="J181" i="116"/>
  <c r="M181" i="116"/>
  <c r="I181" i="116"/>
  <c r="F181" i="116"/>
  <c r="N150" i="116"/>
  <c r="M150" i="116"/>
  <c r="I150" i="116"/>
  <c r="E150" i="116"/>
  <c r="O150" i="116"/>
  <c r="D150" i="116"/>
  <c r="L150" i="116"/>
  <c r="H150" i="116"/>
  <c r="K150" i="116"/>
  <c r="K182" i="116"/>
  <c r="D182" i="116"/>
  <c r="G182" i="116"/>
  <c r="S182" i="116"/>
  <c r="V182" i="116" s="1"/>
  <c r="O182" i="116"/>
  <c r="H182" i="116"/>
  <c r="L182" i="116"/>
  <c r="N182" i="116"/>
  <c r="F170" i="116"/>
  <c r="M169" i="116"/>
  <c r="L223" i="116"/>
  <c r="M139" i="116"/>
  <c r="I204" i="116"/>
  <c r="H216" i="116"/>
  <c r="D216" i="116"/>
  <c r="O216" i="116"/>
  <c r="L216" i="116"/>
  <c r="M216" i="116"/>
  <c r="G216" i="116"/>
  <c r="I216" i="116"/>
  <c r="E216" i="116"/>
  <c r="K216" i="116"/>
  <c r="N202" i="116"/>
  <c r="J202" i="116"/>
  <c r="S202" i="116"/>
  <c r="V202" i="116" s="1"/>
  <c r="L202" i="116"/>
  <c r="K202" i="116"/>
  <c r="H202" i="116"/>
  <c r="D202" i="116"/>
  <c r="O202" i="116"/>
  <c r="N186" i="116"/>
  <c r="J186" i="116"/>
  <c r="S186" i="116"/>
  <c r="V186" i="116" s="1"/>
  <c r="G186" i="116"/>
  <c r="H186" i="116"/>
  <c r="F186" i="116"/>
  <c r="M186" i="116"/>
  <c r="I186" i="116"/>
  <c r="E186" i="116"/>
  <c r="L186" i="116"/>
  <c r="F155" i="116"/>
  <c r="M155" i="116"/>
  <c r="I155" i="116"/>
  <c r="J155" i="116"/>
  <c r="N155" i="116"/>
  <c r="E155" i="116"/>
  <c r="L155" i="116"/>
  <c r="O155" i="116"/>
  <c r="H155" i="116"/>
  <c r="D155" i="116"/>
  <c r="E218" i="116"/>
  <c r="L218" i="116"/>
  <c r="O218" i="116"/>
  <c r="H218" i="116"/>
  <c r="I218" i="116"/>
  <c r="K218" i="116"/>
  <c r="G218" i="116"/>
  <c r="N218" i="116"/>
  <c r="S218" i="116"/>
  <c r="V218" i="116" s="1"/>
  <c r="D187" i="116"/>
  <c r="O187" i="116"/>
  <c r="S187" i="116"/>
  <c r="V187" i="116" s="1"/>
  <c r="K187" i="116"/>
  <c r="H187" i="116"/>
  <c r="M187" i="116"/>
  <c r="N187" i="116"/>
  <c r="J187" i="116"/>
  <c r="F187" i="116"/>
  <c r="N164" i="116"/>
  <c r="M164" i="116"/>
  <c r="J164" i="116"/>
  <c r="I164" i="116"/>
  <c r="F164" i="116"/>
  <c r="L164" i="116"/>
  <c r="H164" i="116"/>
  <c r="D164" i="116"/>
  <c r="O164" i="116"/>
  <c r="S164" i="116"/>
  <c r="V164" i="116" s="1"/>
  <c r="K164" i="116"/>
  <c r="G164" i="116"/>
  <c r="O137" i="116"/>
  <c r="H137" i="116"/>
  <c r="K137" i="116"/>
  <c r="D137" i="116"/>
  <c r="G137" i="116"/>
  <c r="L137" i="116"/>
  <c r="S137" i="116"/>
  <c r="V137" i="116" s="1"/>
  <c r="M137" i="116"/>
  <c r="I137" i="116"/>
  <c r="N137" i="116"/>
  <c r="F137" i="116"/>
  <c r="J137" i="116"/>
  <c r="F157" i="116"/>
  <c r="J223" i="116"/>
  <c r="E230" i="116"/>
  <c r="L230" i="116"/>
  <c r="O230" i="116"/>
  <c r="H230" i="116"/>
  <c r="I230" i="116"/>
  <c r="K230" i="116"/>
  <c r="G230" i="116"/>
  <c r="N230" i="116"/>
  <c r="S230" i="116"/>
  <c r="V230" i="116" s="1"/>
  <c r="F201" i="116"/>
  <c r="M201" i="116"/>
  <c r="L201" i="116"/>
  <c r="I201" i="116"/>
  <c r="J201" i="116"/>
  <c r="S201" i="116"/>
  <c r="V201" i="116" s="1"/>
  <c r="N201" i="116"/>
  <c r="E201" i="116"/>
  <c r="O224" i="116"/>
  <c r="L224" i="116"/>
  <c r="N224" i="116"/>
  <c r="J224" i="116"/>
  <c r="F224" i="116"/>
  <c r="I224" i="116"/>
  <c r="E224" i="116"/>
  <c r="M224" i="116"/>
  <c r="G167" i="116"/>
  <c r="N167" i="116"/>
  <c r="J167" i="116"/>
  <c r="S167" i="116"/>
  <c r="V167" i="116" s="1"/>
  <c r="K167" i="116"/>
  <c r="E167" i="116"/>
  <c r="F167" i="116"/>
  <c r="M167" i="116"/>
  <c r="I167" i="116"/>
  <c r="J157" i="116"/>
  <c r="D167" i="116"/>
  <c r="E182" i="116"/>
  <c r="J169" i="116"/>
  <c r="L205" i="116"/>
  <c r="I205" i="116"/>
  <c r="H205" i="116"/>
  <c r="E205" i="116"/>
  <c r="D205" i="116"/>
  <c r="M205" i="116"/>
  <c r="J205" i="116"/>
  <c r="F205" i="116"/>
  <c r="O205" i="116"/>
  <c r="I212" i="116"/>
  <c r="F212" i="116"/>
  <c r="E212" i="116"/>
  <c r="L212" i="116"/>
  <c r="M212" i="116"/>
  <c r="J212" i="116"/>
  <c r="H212" i="116"/>
  <c r="D212" i="116"/>
  <c r="O212" i="116"/>
  <c r="S212" i="116"/>
  <c r="V212" i="116" s="1"/>
  <c r="K212" i="116"/>
  <c r="G212" i="116"/>
  <c r="H167" i="116"/>
  <c r="I182" i="116"/>
  <c r="S189" i="116"/>
  <c r="V189" i="116" s="1"/>
  <c r="N189" i="116"/>
  <c r="G189" i="116"/>
  <c r="L189" i="116"/>
  <c r="F189" i="116"/>
  <c r="H189" i="116"/>
  <c r="D189" i="116"/>
  <c r="O189" i="116"/>
  <c r="K189" i="116"/>
  <c r="J189" i="116"/>
  <c r="K198" i="116"/>
  <c r="D198" i="116"/>
  <c r="G198" i="116"/>
  <c r="S198" i="116"/>
  <c r="V198" i="116" s="1"/>
  <c r="O198" i="116"/>
  <c r="H198" i="116"/>
  <c r="F198" i="116"/>
  <c r="N198" i="116"/>
  <c r="J198" i="116"/>
  <c r="M170" i="116"/>
  <c r="L156" i="116"/>
  <c r="S172" i="116"/>
  <c r="V172" i="116" s="1"/>
  <c r="J217" i="116"/>
  <c r="L167" i="116"/>
  <c r="M182" i="116"/>
  <c r="I189" i="116"/>
  <c r="J216" i="116"/>
  <c r="L157" i="116"/>
  <c r="I157" i="116"/>
  <c r="H157" i="116"/>
  <c r="E157" i="116"/>
  <c r="D157" i="116"/>
  <c r="M157" i="116"/>
  <c r="S157" i="116"/>
  <c r="V157" i="116" s="1"/>
  <c r="O157" i="116"/>
  <c r="K157" i="116"/>
  <c r="G157" i="116"/>
  <c r="I156" i="116"/>
  <c r="G172" i="116"/>
  <c r="N217" i="116"/>
  <c r="S233" i="116"/>
  <c r="V233" i="116" s="1"/>
  <c r="F182" i="116"/>
  <c r="M189" i="116"/>
  <c r="N216" i="116"/>
  <c r="E137" i="116"/>
  <c r="J182" i="116"/>
  <c r="N205" i="116"/>
  <c r="H181" i="116"/>
  <c r="L198" i="116"/>
  <c r="L152" i="116"/>
  <c r="J204" i="116"/>
  <c r="D147" i="116"/>
  <c r="S185" i="116"/>
  <c r="V185" i="116" s="1"/>
  <c r="D213" i="116"/>
  <c r="O213" i="116"/>
  <c r="K213" i="116"/>
  <c r="H213" i="116"/>
  <c r="E213" i="116"/>
  <c r="L235" i="116"/>
  <c r="H235" i="116"/>
  <c r="D235" i="116"/>
  <c r="E235" i="116"/>
  <c r="J148" i="116"/>
  <c r="K235" i="116"/>
  <c r="F151" i="116"/>
  <c r="O184" i="116"/>
  <c r="F232" i="116"/>
  <c r="D177" i="116"/>
  <c r="K193" i="116"/>
  <c r="I207" i="116"/>
  <c r="I138" i="116"/>
  <c r="J213" i="116"/>
  <c r="I166" i="116"/>
  <c r="G199" i="116"/>
  <c r="D234" i="116"/>
  <c r="S214" i="116"/>
  <c r="V214" i="116" s="1"/>
  <c r="N214" i="116"/>
  <c r="J214" i="116"/>
  <c r="O214" i="116"/>
  <c r="J183" i="116"/>
  <c r="F183" i="116"/>
  <c r="S183" i="116"/>
  <c r="V183" i="116" s="1"/>
  <c r="O149" i="116"/>
  <c r="K149" i="116"/>
  <c r="G149" i="116"/>
  <c r="L149" i="116"/>
  <c r="E166" i="116"/>
  <c r="E200" i="116"/>
  <c r="L200" i="116"/>
  <c r="H200" i="116"/>
  <c r="I200" i="116"/>
  <c r="F200" i="116"/>
  <c r="N165" i="116"/>
  <c r="J165" i="116"/>
  <c r="F165" i="116"/>
  <c r="H147" i="116"/>
  <c r="N148" i="116"/>
  <c r="O165" i="116"/>
  <c r="O235" i="116"/>
  <c r="J151" i="116"/>
  <c r="J232" i="116"/>
  <c r="H177" i="116"/>
  <c r="M207" i="116"/>
  <c r="D200" i="116"/>
  <c r="N213" i="116"/>
  <c r="M166" i="116"/>
  <c r="K199" i="116"/>
  <c r="N149" i="116"/>
  <c r="O183" i="116"/>
  <c r="E214" i="116"/>
  <c r="L197" i="116"/>
  <c r="I197" i="116"/>
  <c r="H197" i="116"/>
  <c r="E197" i="116"/>
  <c r="D197" i="116"/>
  <c r="M197" i="116"/>
  <c r="J178" i="116"/>
  <c r="F178" i="116"/>
  <c r="M178" i="116"/>
  <c r="N178" i="116"/>
  <c r="K220" i="116"/>
  <c r="G220" i="116"/>
  <c r="S220" i="116"/>
  <c r="V220" i="116" s="1"/>
  <c r="O220" i="116"/>
  <c r="E175" i="116"/>
  <c r="L175" i="116"/>
  <c r="H175" i="116"/>
  <c r="I175" i="116"/>
  <c r="E154" i="116"/>
  <c r="O154" i="116"/>
  <c r="H154" i="116"/>
  <c r="I154" i="116"/>
  <c r="S234" i="116"/>
  <c r="V234" i="116" s="1"/>
  <c r="N234" i="116"/>
  <c r="J234" i="116"/>
  <c r="G234" i="116"/>
  <c r="H153" i="116"/>
  <c r="D153" i="116"/>
  <c r="G153" i="116"/>
  <c r="L153" i="116"/>
  <c r="O208" i="116"/>
  <c r="L208" i="116"/>
  <c r="D138" i="116"/>
  <c r="O138" i="116"/>
  <c r="K138" i="116"/>
  <c r="H138" i="116"/>
  <c r="E138" i="116"/>
  <c r="G184" i="116"/>
  <c r="S184" i="116"/>
  <c r="V184" i="116" s="1"/>
  <c r="K184" i="116"/>
  <c r="L219" i="116"/>
  <c r="H219" i="116"/>
  <c r="D219" i="116"/>
  <c r="E219" i="116"/>
  <c r="J193" i="116"/>
  <c r="F193" i="116"/>
  <c r="M193" i="116"/>
  <c r="N193" i="116"/>
  <c r="L147" i="116"/>
  <c r="E147" i="116"/>
  <c r="L163" i="116"/>
  <c r="O148" i="116"/>
  <c r="D165" i="116"/>
  <c r="I235" i="116"/>
  <c r="H184" i="116"/>
  <c r="N232" i="116"/>
  <c r="D193" i="116"/>
  <c r="F138" i="116"/>
  <c r="M200" i="116"/>
  <c r="D183" i="116"/>
  <c r="I214" i="116"/>
  <c r="L234" i="116"/>
  <c r="F185" i="116"/>
  <c r="M185" i="116"/>
  <c r="L185" i="116"/>
  <c r="I185" i="116"/>
  <c r="J185" i="116"/>
  <c r="N136" i="116"/>
  <c r="F136" i="116"/>
  <c r="M136" i="116"/>
  <c r="J199" i="116"/>
  <c r="F199" i="116"/>
  <c r="M199" i="116"/>
  <c r="N199" i="116"/>
  <c r="S166" i="116"/>
  <c r="V166" i="116" s="1"/>
  <c r="N166" i="116"/>
  <c r="G166" i="116"/>
  <c r="J194" i="116"/>
  <c r="S194" i="116"/>
  <c r="V194" i="116" s="1"/>
  <c r="M194" i="116"/>
  <c r="D208" i="116"/>
  <c r="E168" i="116"/>
  <c r="L168" i="116"/>
  <c r="H168" i="116"/>
  <c r="I168" i="116"/>
  <c r="F168" i="116"/>
  <c r="L151" i="116"/>
  <c r="H151" i="116"/>
  <c r="D151" i="116"/>
  <c r="E151" i="116"/>
  <c r="H207" i="116"/>
  <c r="D207" i="116"/>
  <c r="O207" i="116"/>
  <c r="L207" i="116"/>
  <c r="D163" i="116"/>
  <c r="F194" i="116"/>
  <c r="H208" i="116"/>
  <c r="H163" i="116"/>
  <c r="K185" i="116"/>
  <c r="I208" i="116"/>
  <c r="L154" i="116"/>
  <c r="O185" i="116"/>
  <c r="I147" i="116"/>
  <c r="E163" i="116"/>
  <c r="G194" i="116"/>
  <c r="M208" i="116"/>
  <c r="M154" i="116"/>
  <c r="D185" i="116"/>
  <c r="H165" i="116"/>
  <c r="M235" i="116"/>
  <c r="L184" i="116"/>
  <c r="O232" i="116"/>
  <c r="H193" i="116"/>
  <c r="J207" i="116"/>
  <c r="J138" i="116"/>
  <c r="N168" i="116"/>
  <c r="G197" i="116"/>
  <c r="S213" i="116"/>
  <c r="V213" i="116" s="1"/>
  <c r="J166" i="116"/>
  <c r="D199" i="116"/>
  <c r="S149" i="116"/>
  <c r="V149" i="116" s="1"/>
  <c r="H183" i="116"/>
  <c r="M214" i="116"/>
  <c r="E234" i="116"/>
  <c r="O147" i="116"/>
  <c r="O163" i="116"/>
  <c r="G148" i="116"/>
  <c r="S148" i="116"/>
  <c r="V148" i="116" s="1"/>
  <c r="K148" i="116"/>
  <c r="J177" i="116"/>
  <c r="F177" i="116"/>
  <c r="M177" i="116"/>
  <c r="N177" i="116"/>
  <c r="D154" i="116"/>
  <c r="M147" i="116"/>
  <c r="I163" i="116"/>
  <c r="K194" i="116"/>
  <c r="F208" i="116"/>
  <c r="F154" i="116"/>
  <c r="H185" i="116"/>
  <c r="H148" i="116"/>
  <c r="L165" i="116"/>
  <c r="G219" i="116"/>
  <c r="F235" i="116"/>
  <c r="S151" i="116"/>
  <c r="V151" i="116" s="1"/>
  <c r="E184" i="116"/>
  <c r="L193" i="116"/>
  <c r="N207" i="116"/>
  <c r="N138" i="116"/>
  <c r="G213" i="116"/>
  <c r="K166" i="116"/>
  <c r="H199" i="116"/>
  <c r="G136" i="116"/>
  <c r="E153" i="116"/>
  <c r="L183" i="116"/>
  <c r="F214" i="116"/>
  <c r="I234" i="116"/>
  <c r="I136" i="116"/>
  <c r="S153" i="116"/>
  <c r="V153" i="116" s="1"/>
  <c r="G232" i="116"/>
  <c r="S232" i="116"/>
  <c r="V232" i="116" s="1"/>
  <c r="K232" i="116"/>
  <c r="F147" i="116"/>
  <c r="M163" i="116"/>
  <c r="O194" i="116"/>
  <c r="J208" i="116"/>
  <c r="J154" i="116"/>
  <c r="L148" i="116"/>
  <c r="K219" i="116"/>
  <c r="J235" i="116"/>
  <c r="I184" i="116"/>
  <c r="H232" i="116"/>
  <c r="E177" i="116"/>
  <c r="S168" i="116"/>
  <c r="V168" i="116" s="1"/>
  <c r="L213" i="116"/>
  <c r="O166" i="116"/>
  <c r="L199" i="116"/>
  <c r="K136" i="116"/>
  <c r="I153" i="116"/>
  <c r="E183" i="116"/>
  <c r="M234" i="116"/>
  <c r="D180" i="116"/>
  <c r="G209" i="116"/>
  <c r="G225" i="116"/>
  <c r="D215" i="116"/>
  <c r="D231" i="116"/>
  <c r="I196" i="116"/>
  <c r="E228" i="116"/>
  <c r="N209" i="116"/>
  <c r="N225" i="116"/>
  <c r="G215" i="116"/>
  <c r="G231" i="116"/>
  <c r="H196" i="116"/>
  <c r="D228" i="116"/>
  <c r="K215" i="116"/>
  <c r="S215" i="116"/>
  <c r="V215" i="116" s="1"/>
  <c r="K231" i="116"/>
  <c r="S231" i="116"/>
  <c r="V231" i="116" s="1"/>
  <c r="L196" i="116"/>
  <c r="H228" i="116"/>
  <c r="F1151" i="116"/>
  <c r="M1151" i="116"/>
  <c r="I1151" i="116"/>
  <c r="J1151" i="116"/>
  <c r="E1151" i="116"/>
  <c r="L1151" i="116"/>
  <c r="H1151" i="116"/>
  <c r="D1151" i="116"/>
  <c r="O1151" i="116"/>
  <c r="N1151" i="116"/>
  <c r="F1123" i="116"/>
  <c r="M1123" i="116"/>
  <c r="I1123" i="116"/>
  <c r="J1123" i="116"/>
  <c r="D1123" i="116"/>
  <c r="O1123" i="116"/>
  <c r="K1123" i="116"/>
  <c r="G1123" i="116"/>
  <c r="H1123" i="116"/>
  <c r="F1099" i="116"/>
  <c r="M1099" i="116"/>
  <c r="I1099" i="116"/>
  <c r="J1099" i="116"/>
  <c r="S1099" i="116"/>
  <c r="V1099" i="116" s="1"/>
  <c r="N1099" i="116"/>
  <c r="E1099" i="116"/>
  <c r="L1099" i="116"/>
  <c r="F1067" i="116"/>
  <c r="M1067" i="116"/>
  <c r="I1067" i="116"/>
  <c r="J1067" i="116"/>
  <c r="S1067" i="116"/>
  <c r="V1067" i="116" s="1"/>
  <c r="L1067" i="116"/>
  <c r="N1067" i="116"/>
  <c r="E1067" i="116"/>
  <c r="L1095" i="116"/>
  <c r="G1119" i="116"/>
  <c r="H1131" i="116"/>
  <c r="O1138" i="116"/>
  <c r="H1138" i="116"/>
  <c r="K1138" i="116"/>
  <c r="D1138" i="116"/>
  <c r="G1138" i="116"/>
  <c r="L1138" i="116"/>
  <c r="S1138" i="116"/>
  <c r="V1138" i="116" s="1"/>
  <c r="J1082" i="116"/>
  <c r="F1082" i="116"/>
  <c r="M1082" i="116"/>
  <c r="N1082" i="116"/>
  <c r="I1082" i="116"/>
  <c r="H1082" i="116"/>
  <c r="L1102" i="116"/>
  <c r="E1110" i="116"/>
  <c r="N1118" i="116"/>
  <c r="E1138" i="116"/>
  <c r="M1162" i="116"/>
  <c r="L1075" i="116"/>
  <c r="S1087" i="116"/>
  <c r="V1087" i="116" s="1"/>
  <c r="E1095" i="116"/>
  <c r="L1111" i="116"/>
  <c r="K1119" i="116"/>
  <c r="G1135" i="116"/>
  <c r="D1143" i="116"/>
  <c r="H1147" i="116"/>
  <c r="O1159" i="116"/>
  <c r="F1127" i="116"/>
  <c r="M1127" i="116"/>
  <c r="I1127" i="116"/>
  <c r="J1127" i="116"/>
  <c r="G1127" i="116"/>
  <c r="S1127" i="116"/>
  <c r="V1127" i="116" s="1"/>
  <c r="K1127" i="116"/>
  <c r="F1079" i="116"/>
  <c r="M1079" i="116"/>
  <c r="I1079" i="116"/>
  <c r="J1079" i="116"/>
  <c r="G1079" i="116"/>
  <c r="S1079" i="116"/>
  <c r="V1079" i="116" s="1"/>
  <c r="K1079" i="116"/>
  <c r="O1131" i="116"/>
  <c r="O1127" i="116"/>
  <c r="O1147" i="116"/>
  <c r="O1158" i="116"/>
  <c r="H1158" i="116"/>
  <c r="K1158" i="116"/>
  <c r="D1158" i="116"/>
  <c r="G1158" i="116"/>
  <c r="L1158" i="116"/>
  <c r="J1158" i="116"/>
  <c r="F1158" i="116"/>
  <c r="E1158" i="116"/>
  <c r="M1158" i="116"/>
  <c r="I1158" i="116"/>
  <c r="N1158" i="116"/>
  <c r="O1146" i="116"/>
  <c r="H1146" i="116"/>
  <c r="K1146" i="116"/>
  <c r="D1146" i="116"/>
  <c r="G1146" i="116"/>
  <c r="L1146" i="116"/>
  <c r="S1146" i="116"/>
  <c r="V1146" i="116" s="1"/>
  <c r="O1122" i="116"/>
  <c r="H1122" i="116"/>
  <c r="L1122" i="116"/>
  <c r="M1122" i="116"/>
  <c r="I1122" i="116"/>
  <c r="E1122" i="116"/>
  <c r="D1122" i="116"/>
  <c r="F1122" i="116"/>
  <c r="L1106" i="116"/>
  <c r="N1106" i="116"/>
  <c r="J1106" i="116"/>
  <c r="F1106" i="116"/>
  <c r="M1106" i="116"/>
  <c r="J1098" i="116"/>
  <c r="F1098" i="116"/>
  <c r="I1098" i="116"/>
  <c r="M1098" i="116"/>
  <c r="N1098" i="116"/>
  <c r="F1090" i="116"/>
  <c r="M1090" i="116"/>
  <c r="I1090" i="116"/>
  <c r="N1090" i="116"/>
  <c r="J1090" i="116"/>
  <c r="F1074" i="116"/>
  <c r="M1074" i="116"/>
  <c r="I1074" i="116"/>
  <c r="N1074" i="116"/>
  <c r="J1074" i="116"/>
  <c r="E1066" i="116"/>
  <c r="J1122" i="116"/>
  <c r="I1138" i="116"/>
  <c r="F1162" i="116"/>
  <c r="E1075" i="116"/>
  <c r="N1095" i="116"/>
  <c r="S1103" i="116"/>
  <c r="V1103" i="116" s="1"/>
  <c r="E1111" i="116"/>
  <c r="L1127" i="116"/>
  <c r="G1151" i="116"/>
  <c r="D1159" i="116"/>
  <c r="F1143" i="116"/>
  <c r="M1143" i="116"/>
  <c r="I1143" i="116"/>
  <c r="J1143" i="116"/>
  <c r="G1143" i="116"/>
  <c r="S1143" i="116"/>
  <c r="V1143" i="116" s="1"/>
  <c r="K1143" i="116"/>
  <c r="F1115" i="116"/>
  <c r="M1115" i="116"/>
  <c r="I1115" i="116"/>
  <c r="J1115" i="116"/>
  <c r="S1115" i="116"/>
  <c r="V1115" i="116" s="1"/>
  <c r="L1115" i="116"/>
  <c r="N1115" i="116"/>
  <c r="E1115" i="116"/>
  <c r="F1091" i="116"/>
  <c r="M1091" i="116"/>
  <c r="I1091" i="116"/>
  <c r="J1091" i="116"/>
  <c r="D1091" i="116"/>
  <c r="O1091" i="116"/>
  <c r="K1091" i="116"/>
  <c r="G1091" i="116"/>
  <c r="H1091" i="116"/>
  <c r="K1071" i="116"/>
  <c r="G1071" i="116"/>
  <c r="S1071" i="116"/>
  <c r="V1071" i="116" s="1"/>
  <c r="O1071" i="116"/>
  <c r="N1071" i="116"/>
  <c r="J1071" i="116"/>
  <c r="F1071" i="116"/>
  <c r="D1071" i="116"/>
  <c r="M1071" i="116"/>
  <c r="I1071" i="116"/>
  <c r="H1079" i="116"/>
  <c r="H1099" i="116"/>
  <c r="O1111" i="116"/>
  <c r="G1103" i="116"/>
  <c r="D1111" i="116"/>
  <c r="H1115" i="116"/>
  <c r="H1111" i="116"/>
  <c r="D1127" i="116"/>
  <c r="O1134" i="116"/>
  <c r="H1134" i="116"/>
  <c r="K1134" i="116"/>
  <c r="D1134" i="116"/>
  <c r="G1134" i="116"/>
  <c r="L1134" i="116"/>
  <c r="J1134" i="116"/>
  <c r="F1134" i="116"/>
  <c r="I1134" i="116"/>
  <c r="M1134" i="116"/>
  <c r="N1134" i="116"/>
  <c r="F1086" i="116"/>
  <c r="I1086" i="116"/>
  <c r="M1086" i="116"/>
  <c r="N1086" i="116"/>
  <c r="J1086" i="116"/>
  <c r="D1090" i="116"/>
  <c r="S1094" i="116"/>
  <c r="V1094" i="116" s="1"/>
  <c r="E1102" i="116"/>
  <c r="I1066" i="116"/>
  <c r="E1082" i="116"/>
  <c r="O1086" i="116"/>
  <c r="H1090" i="116"/>
  <c r="G1094" i="116"/>
  <c r="M1110" i="116"/>
  <c r="N1122" i="116"/>
  <c r="S1134" i="116"/>
  <c r="V1134" i="116" s="1"/>
  <c r="M1138" i="116"/>
  <c r="J1162" i="116"/>
  <c r="E1091" i="116"/>
  <c r="L1107" i="116"/>
  <c r="E1127" i="116"/>
  <c r="L1143" i="116"/>
  <c r="K1151" i="116"/>
  <c r="H1159" i="116"/>
  <c r="F1135" i="116"/>
  <c r="M1135" i="116"/>
  <c r="I1135" i="116"/>
  <c r="J1135" i="116"/>
  <c r="E1135" i="116"/>
  <c r="L1135" i="116"/>
  <c r="H1135" i="116"/>
  <c r="D1135" i="116"/>
  <c r="N1135" i="116"/>
  <c r="O1135" i="116"/>
  <c r="F1063" i="116"/>
  <c r="M1063" i="116"/>
  <c r="I1063" i="116"/>
  <c r="J1063" i="116"/>
  <c r="G1063" i="116"/>
  <c r="S1063" i="116"/>
  <c r="V1063" i="116" s="1"/>
  <c r="K1063" i="116"/>
  <c r="O1143" i="116"/>
  <c r="O1154" i="116"/>
  <c r="H1154" i="116"/>
  <c r="K1154" i="116"/>
  <c r="D1154" i="116"/>
  <c r="G1154" i="116"/>
  <c r="L1154" i="116"/>
  <c r="S1154" i="116"/>
  <c r="V1154" i="116" s="1"/>
  <c r="O1114" i="116"/>
  <c r="H1114" i="116"/>
  <c r="L1114" i="116"/>
  <c r="G1114" i="116"/>
  <c r="S1114" i="116"/>
  <c r="V1114" i="116" s="1"/>
  <c r="K1114" i="116"/>
  <c r="N1114" i="116"/>
  <c r="M1070" i="116"/>
  <c r="I1070" i="116"/>
  <c r="N1070" i="116"/>
  <c r="J1070" i="116"/>
  <c r="F1070" i="116"/>
  <c r="S1074" i="116"/>
  <c r="V1074" i="116" s="1"/>
  <c r="M1066" i="116"/>
  <c r="H1070" i="116"/>
  <c r="G1074" i="116"/>
  <c r="L1090" i="116"/>
  <c r="D1098" i="116"/>
  <c r="F1138" i="116"/>
  <c r="E1146" i="116"/>
  <c r="G1067" i="116"/>
  <c r="N1091" i="116"/>
  <c r="L1123" i="116"/>
  <c r="N1127" i="116"/>
  <c r="S1135" i="116"/>
  <c r="V1135" i="116" s="1"/>
  <c r="E1143" i="116"/>
  <c r="F1159" i="116"/>
  <c r="M1159" i="116"/>
  <c r="I1159" i="116"/>
  <c r="J1159" i="116"/>
  <c r="G1159" i="116"/>
  <c r="S1159" i="116"/>
  <c r="V1159" i="116" s="1"/>
  <c r="K1159" i="116"/>
  <c r="F1155" i="116"/>
  <c r="M1155" i="116"/>
  <c r="I1155" i="116"/>
  <c r="J1155" i="116"/>
  <c r="D1155" i="116"/>
  <c r="O1155" i="116"/>
  <c r="K1155" i="116"/>
  <c r="G1155" i="116"/>
  <c r="H1155" i="116"/>
  <c r="F1147" i="116"/>
  <c r="M1147" i="116"/>
  <c r="I1147" i="116"/>
  <c r="J1147" i="116"/>
  <c r="S1147" i="116"/>
  <c r="V1147" i="116" s="1"/>
  <c r="N1147" i="116"/>
  <c r="E1147" i="116"/>
  <c r="L1147" i="116"/>
  <c r="F1139" i="116"/>
  <c r="M1139" i="116"/>
  <c r="I1139" i="116"/>
  <c r="J1139" i="116"/>
  <c r="D1139" i="116"/>
  <c r="O1139" i="116"/>
  <c r="K1139" i="116"/>
  <c r="G1139" i="116"/>
  <c r="H1139" i="116"/>
  <c r="F1131" i="116"/>
  <c r="M1131" i="116"/>
  <c r="I1131" i="116"/>
  <c r="J1131" i="116"/>
  <c r="S1131" i="116"/>
  <c r="V1131" i="116" s="1"/>
  <c r="N1131" i="116"/>
  <c r="E1131" i="116"/>
  <c r="L1131" i="116"/>
  <c r="F1119" i="116"/>
  <c r="M1119" i="116"/>
  <c r="I1119" i="116"/>
  <c r="J1119" i="116"/>
  <c r="E1119" i="116"/>
  <c r="L1119" i="116"/>
  <c r="O1119" i="116"/>
  <c r="H1119" i="116"/>
  <c r="D1119" i="116"/>
  <c r="N1119" i="116"/>
  <c r="F1111" i="116"/>
  <c r="M1111" i="116"/>
  <c r="I1111" i="116"/>
  <c r="J1111" i="116"/>
  <c r="G1111" i="116"/>
  <c r="S1111" i="116"/>
  <c r="V1111" i="116" s="1"/>
  <c r="K1111" i="116"/>
  <c r="F1107" i="116"/>
  <c r="M1107" i="116"/>
  <c r="I1107" i="116"/>
  <c r="J1107" i="116"/>
  <c r="D1107" i="116"/>
  <c r="O1107" i="116"/>
  <c r="K1107" i="116"/>
  <c r="G1107" i="116"/>
  <c r="H1107" i="116"/>
  <c r="F1103" i="116"/>
  <c r="M1103" i="116"/>
  <c r="I1103" i="116"/>
  <c r="J1103" i="116"/>
  <c r="E1103" i="116"/>
  <c r="L1103" i="116"/>
  <c r="H1103" i="116"/>
  <c r="D1103" i="116"/>
  <c r="O1103" i="116"/>
  <c r="N1103" i="116"/>
  <c r="F1095" i="116"/>
  <c r="M1095" i="116"/>
  <c r="I1095" i="116"/>
  <c r="J1095" i="116"/>
  <c r="G1095" i="116"/>
  <c r="S1095" i="116"/>
  <c r="V1095" i="116" s="1"/>
  <c r="K1095" i="116"/>
  <c r="F1087" i="116"/>
  <c r="M1087" i="116"/>
  <c r="I1087" i="116"/>
  <c r="J1087" i="116"/>
  <c r="E1087" i="116"/>
  <c r="L1087" i="116"/>
  <c r="H1087" i="116"/>
  <c r="O1087" i="116"/>
  <c r="D1087" i="116"/>
  <c r="N1087" i="116"/>
  <c r="F1083" i="116"/>
  <c r="M1083" i="116"/>
  <c r="I1083" i="116"/>
  <c r="J1083" i="116"/>
  <c r="S1083" i="116"/>
  <c r="V1083" i="116" s="1"/>
  <c r="L1083" i="116"/>
  <c r="N1083" i="116"/>
  <c r="E1083" i="116"/>
  <c r="F1075" i="116"/>
  <c r="M1075" i="116"/>
  <c r="I1075" i="116"/>
  <c r="J1075" i="116"/>
  <c r="D1075" i="116"/>
  <c r="O1075" i="116"/>
  <c r="K1075" i="116"/>
  <c r="G1075" i="116"/>
  <c r="H1075" i="116"/>
  <c r="K1147" i="116"/>
  <c r="S1155" i="116"/>
  <c r="V1155" i="116" s="1"/>
  <c r="L1079" i="116"/>
  <c r="H1095" i="116"/>
  <c r="O1162" i="116"/>
  <c r="H1162" i="116"/>
  <c r="K1162" i="116"/>
  <c r="D1162" i="116"/>
  <c r="G1162" i="116"/>
  <c r="L1162" i="116"/>
  <c r="S1162" i="116"/>
  <c r="V1162" i="116" s="1"/>
  <c r="O1150" i="116"/>
  <c r="H1150" i="116"/>
  <c r="K1150" i="116"/>
  <c r="D1150" i="116"/>
  <c r="G1150" i="116"/>
  <c r="L1150" i="116"/>
  <c r="J1150" i="116"/>
  <c r="F1150" i="116"/>
  <c r="M1150" i="116"/>
  <c r="N1150" i="116"/>
  <c r="I1150" i="116"/>
  <c r="E1150" i="116"/>
  <c r="O1142" i="116"/>
  <c r="H1142" i="116"/>
  <c r="K1142" i="116"/>
  <c r="D1142" i="116"/>
  <c r="G1142" i="116"/>
  <c r="L1142" i="116"/>
  <c r="J1142" i="116"/>
  <c r="F1142" i="116"/>
  <c r="I1142" i="116"/>
  <c r="M1142" i="116"/>
  <c r="N1142" i="116"/>
  <c r="E1142" i="116"/>
  <c r="O1126" i="116"/>
  <c r="H1126" i="116"/>
  <c r="G1126" i="116"/>
  <c r="L1126" i="116"/>
  <c r="N1126" i="116"/>
  <c r="J1126" i="116"/>
  <c r="M1126" i="116"/>
  <c r="F1126" i="116"/>
  <c r="O1118" i="116"/>
  <c r="H1118" i="116"/>
  <c r="L1118" i="116"/>
  <c r="D1118" i="116"/>
  <c r="K1118" i="116"/>
  <c r="E1118" i="116"/>
  <c r="G1118" i="116"/>
  <c r="L1110" i="116"/>
  <c r="N1110" i="116"/>
  <c r="F1110" i="116"/>
  <c r="J1110" i="116"/>
  <c r="S1110" i="116"/>
  <c r="V1110" i="116" s="1"/>
  <c r="J1102" i="116"/>
  <c r="F1102" i="116"/>
  <c r="M1102" i="116"/>
  <c r="I1102" i="116"/>
  <c r="N1102" i="116"/>
  <c r="J1094" i="116"/>
  <c r="F1094" i="116"/>
  <c r="M1094" i="116"/>
  <c r="I1094" i="116"/>
  <c r="N1094" i="116"/>
  <c r="F1078" i="116"/>
  <c r="M1078" i="116"/>
  <c r="I1078" i="116"/>
  <c r="N1078" i="116"/>
  <c r="J1078" i="116"/>
  <c r="L1082" i="116"/>
  <c r="K1086" i="116"/>
  <c r="I1110" i="116"/>
  <c r="D1078" i="116"/>
  <c r="S1082" i="116"/>
  <c r="V1082" i="116" s="1"/>
  <c r="H1098" i="116"/>
  <c r="G1102" i="116"/>
  <c r="D1114" i="116"/>
  <c r="K1067" i="116"/>
  <c r="S1075" i="116"/>
  <c r="V1075" i="116" s="1"/>
  <c r="G1083" i="116"/>
  <c r="N1107" i="116"/>
  <c r="E1123" i="116"/>
  <c r="L1139" i="116"/>
  <c r="E1159" i="116"/>
  <c r="E1070" i="116"/>
  <c r="O1074" i="116"/>
  <c r="H1078" i="116"/>
  <c r="G1082" i="116"/>
  <c r="L1098" i="116"/>
  <c r="K1102" i="116"/>
  <c r="D1106" i="116"/>
  <c r="O1110" i="116"/>
  <c r="E1114" i="116"/>
  <c r="G1122" i="116"/>
  <c r="D1126" i="116"/>
  <c r="N1138" i="116"/>
  <c r="S1142" i="116"/>
  <c r="V1142" i="116" s="1"/>
  <c r="M1146" i="116"/>
  <c r="O1067" i="116"/>
  <c r="K1083" i="116"/>
  <c r="S1091" i="116"/>
  <c r="V1091" i="116" s="1"/>
  <c r="G1099" i="116"/>
  <c r="N1123" i="116"/>
  <c r="E1139" i="116"/>
  <c r="L1155" i="116"/>
  <c r="N1159" i="116"/>
  <c r="L1063" i="116"/>
  <c r="K1087" i="116"/>
  <c r="N1063" i="116"/>
  <c r="L1071" i="116"/>
  <c r="E1079" i="116"/>
  <c r="O1130" i="116"/>
  <c r="H1130" i="116"/>
  <c r="K1130" i="116"/>
  <c r="D1130" i="116"/>
  <c r="G1130" i="116"/>
  <c r="L1130" i="116"/>
  <c r="S1130" i="116"/>
  <c r="V1130" i="116" s="1"/>
  <c r="O1066" i="116"/>
  <c r="G1066" i="116"/>
  <c r="S1066" i="116"/>
  <c r="V1066" i="116" s="1"/>
  <c r="D1066" i="116"/>
  <c r="K1066" i="116"/>
  <c r="L1070" i="116"/>
  <c r="K1074" i="116"/>
  <c r="E1090" i="116"/>
  <c r="O1094" i="116"/>
  <c r="K1110" i="116"/>
  <c r="S1122" i="116"/>
  <c r="V1122" i="116" s="1"/>
  <c r="J1138" i="116"/>
  <c r="I1146" i="116"/>
  <c r="N1143" i="116"/>
  <c r="S1151" i="116"/>
  <c r="V1151" i="116" s="1"/>
  <c r="L1078" i="116"/>
  <c r="K1082" i="116"/>
  <c r="D1086" i="116"/>
  <c r="S1090" i="116"/>
  <c r="V1090" i="116" s="1"/>
  <c r="E1098" i="116"/>
  <c r="O1102" i="116"/>
  <c r="H1106" i="116"/>
  <c r="I1114" i="116"/>
  <c r="K1122" i="116"/>
  <c r="E1126" i="116"/>
  <c r="F1146" i="116"/>
  <c r="O1063" i="116"/>
  <c r="D1067" i="116"/>
  <c r="O1083" i="116"/>
  <c r="K1099" i="116"/>
  <c r="S1107" i="116"/>
  <c r="V1107" i="116" s="1"/>
  <c r="G1115" i="116"/>
  <c r="N1139" i="116"/>
  <c r="E1155" i="116"/>
  <c r="F1161" i="116"/>
  <c r="M1161" i="116"/>
  <c r="L1161" i="116"/>
  <c r="I1161" i="116"/>
  <c r="J1161" i="116"/>
  <c r="F1149" i="116"/>
  <c r="M1149" i="116"/>
  <c r="L1149" i="116"/>
  <c r="I1149" i="116"/>
  <c r="J1149" i="116"/>
  <c r="F1141" i="116"/>
  <c r="M1141" i="116"/>
  <c r="L1141" i="116"/>
  <c r="I1141" i="116"/>
  <c r="J1141" i="116"/>
  <c r="F1129" i="116"/>
  <c r="M1129" i="116"/>
  <c r="L1129" i="116"/>
  <c r="I1129" i="116"/>
  <c r="J1129" i="116"/>
  <c r="F1113" i="116"/>
  <c r="M1113" i="116"/>
  <c r="L1113" i="116"/>
  <c r="I1113" i="116"/>
  <c r="J1113" i="116"/>
  <c r="F1101" i="116"/>
  <c r="M1101" i="116"/>
  <c r="L1101" i="116"/>
  <c r="I1101" i="116"/>
  <c r="J1101" i="116"/>
  <c r="F1089" i="116"/>
  <c r="M1089" i="116"/>
  <c r="L1089" i="116"/>
  <c r="I1089" i="116"/>
  <c r="J1089" i="116"/>
  <c r="D1069" i="116"/>
  <c r="O1069" i="116"/>
  <c r="S1069" i="116"/>
  <c r="V1069" i="116" s="1"/>
  <c r="K1069" i="116"/>
  <c r="H1069" i="116"/>
  <c r="K1089" i="116"/>
  <c r="H1101" i="116"/>
  <c r="K1105" i="116"/>
  <c r="H1117" i="116"/>
  <c r="H1133" i="116"/>
  <c r="H1149" i="116"/>
  <c r="F1153" i="116"/>
  <c r="M1153" i="116"/>
  <c r="L1153" i="116"/>
  <c r="I1153" i="116"/>
  <c r="J1153" i="116"/>
  <c r="F1137" i="116"/>
  <c r="M1137" i="116"/>
  <c r="L1137" i="116"/>
  <c r="I1137" i="116"/>
  <c r="J1137" i="116"/>
  <c r="F1121" i="116"/>
  <c r="M1121" i="116"/>
  <c r="L1121" i="116"/>
  <c r="I1121" i="116"/>
  <c r="J1121" i="116"/>
  <c r="F1109" i="116"/>
  <c r="M1109" i="116"/>
  <c r="L1109" i="116"/>
  <c r="I1109" i="116"/>
  <c r="J1109" i="116"/>
  <c r="F1093" i="116"/>
  <c r="M1093" i="116"/>
  <c r="L1093" i="116"/>
  <c r="I1093" i="116"/>
  <c r="J1093" i="116"/>
  <c r="F1085" i="116"/>
  <c r="M1085" i="116"/>
  <c r="L1085" i="116"/>
  <c r="I1085" i="116"/>
  <c r="J1085" i="116"/>
  <c r="D1073" i="116"/>
  <c r="O1073" i="116"/>
  <c r="S1073" i="116"/>
  <c r="V1073" i="116" s="1"/>
  <c r="K1073" i="116"/>
  <c r="H1073" i="116"/>
  <c r="F1065" i="116"/>
  <c r="M1065" i="116"/>
  <c r="L1065" i="116"/>
  <c r="I1065" i="116"/>
  <c r="J1065" i="116"/>
  <c r="D1065" i="116"/>
  <c r="M1069" i="116"/>
  <c r="L1073" i="116"/>
  <c r="G1085" i="116"/>
  <c r="N1089" i="116"/>
  <c r="D1097" i="116"/>
  <c r="G1101" i="116"/>
  <c r="D1113" i="116"/>
  <c r="G1117" i="116"/>
  <c r="N1121" i="116"/>
  <c r="D1129" i="116"/>
  <c r="G1133" i="116"/>
  <c r="N1137" i="116"/>
  <c r="D1145" i="116"/>
  <c r="G1149" i="116"/>
  <c r="N1153" i="116"/>
  <c r="D1161" i="116"/>
  <c r="F1081" i="116"/>
  <c r="M1081" i="116"/>
  <c r="L1081" i="116"/>
  <c r="I1081" i="116"/>
  <c r="J1081" i="116"/>
  <c r="H1065" i="116"/>
  <c r="F1069" i="116"/>
  <c r="E1073" i="116"/>
  <c r="H1081" i="116"/>
  <c r="K1085" i="116"/>
  <c r="K1101" i="116"/>
  <c r="H1113" i="116"/>
  <c r="H1129" i="116"/>
  <c r="K1149" i="116"/>
  <c r="H1161" i="116"/>
  <c r="F1157" i="116"/>
  <c r="M1157" i="116"/>
  <c r="L1157" i="116"/>
  <c r="I1157" i="116"/>
  <c r="J1157" i="116"/>
  <c r="F1145" i="116"/>
  <c r="M1145" i="116"/>
  <c r="L1145" i="116"/>
  <c r="I1145" i="116"/>
  <c r="J1145" i="116"/>
  <c r="F1133" i="116"/>
  <c r="M1133" i="116"/>
  <c r="L1133" i="116"/>
  <c r="I1133" i="116"/>
  <c r="J1133" i="116"/>
  <c r="F1125" i="116"/>
  <c r="M1125" i="116"/>
  <c r="L1125" i="116"/>
  <c r="I1125" i="116"/>
  <c r="J1125" i="116"/>
  <c r="F1117" i="116"/>
  <c r="M1117" i="116"/>
  <c r="L1117" i="116"/>
  <c r="I1117" i="116"/>
  <c r="J1117" i="116"/>
  <c r="F1105" i="116"/>
  <c r="M1105" i="116"/>
  <c r="L1105" i="116"/>
  <c r="I1105" i="116"/>
  <c r="J1105" i="116"/>
  <c r="F1097" i="116"/>
  <c r="M1097" i="116"/>
  <c r="L1097" i="116"/>
  <c r="I1097" i="116"/>
  <c r="J1097" i="116"/>
  <c r="F1077" i="116"/>
  <c r="M1077" i="116"/>
  <c r="L1077" i="116"/>
  <c r="I1077" i="116"/>
  <c r="J1077" i="116"/>
  <c r="J1069" i="116"/>
  <c r="I1073" i="116"/>
  <c r="E1077" i="116"/>
  <c r="O1085" i="116"/>
  <c r="S1089" i="116"/>
  <c r="V1089" i="116" s="1"/>
  <c r="E1093" i="116"/>
  <c r="O1101" i="116"/>
  <c r="S1105" i="116"/>
  <c r="V1105" i="116" s="1"/>
  <c r="E1109" i="116"/>
  <c r="O1117" i="116"/>
  <c r="S1121" i="116"/>
  <c r="V1121" i="116" s="1"/>
  <c r="E1125" i="116"/>
  <c r="O1133" i="116"/>
  <c r="S1137" i="116"/>
  <c r="V1137" i="116" s="1"/>
  <c r="E1141" i="116"/>
  <c r="O1149" i="116"/>
  <c r="S1153" i="116"/>
  <c r="V1153" i="116" s="1"/>
  <c r="E1157" i="116"/>
  <c r="N1069" i="116"/>
  <c r="M1073" i="116"/>
  <c r="N1077" i="116"/>
  <c r="D1085" i="116"/>
  <c r="G1089" i="116"/>
  <c r="N1093" i="116"/>
  <c r="D1101" i="116"/>
  <c r="G1105" i="116"/>
  <c r="N1109" i="116"/>
  <c r="D1117" i="116"/>
  <c r="G1121" i="116"/>
  <c r="N1125" i="116"/>
  <c r="D1133" i="116"/>
  <c r="G1137" i="116"/>
  <c r="N1141" i="116"/>
  <c r="D1149" i="116"/>
  <c r="G1153" i="116"/>
  <c r="N1157" i="116"/>
  <c r="J627" i="116"/>
  <c r="F627" i="116"/>
  <c r="M627" i="116"/>
  <c r="I627" i="116"/>
  <c r="N627" i="116"/>
  <c r="L627" i="116"/>
  <c r="F639" i="116"/>
  <c r="M639" i="116"/>
  <c r="I639" i="116"/>
  <c r="N639" i="116"/>
  <c r="J639" i="116"/>
  <c r="D600" i="116"/>
  <c r="O600" i="116"/>
  <c r="K600" i="116"/>
  <c r="G600" i="116"/>
  <c r="H600" i="116"/>
  <c r="H619" i="116"/>
  <c r="O631" i="116"/>
  <c r="G639" i="116"/>
  <c r="L643" i="116"/>
  <c r="E627" i="116"/>
  <c r="M577" i="116"/>
  <c r="L567" i="116"/>
  <c r="G595" i="116"/>
  <c r="I619" i="116"/>
  <c r="E626" i="116"/>
  <c r="L631" i="116"/>
  <c r="D639" i="116"/>
  <c r="N576" i="116"/>
  <c r="L578" i="116"/>
  <c r="G601" i="116"/>
  <c r="M634" i="116"/>
  <c r="I550" i="116"/>
  <c r="E567" i="116"/>
  <c r="H591" i="116"/>
  <c r="I600" i="116"/>
  <c r="M613" i="116"/>
  <c r="L613" i="116"/>
  <c r="I613" i="116"/>
  <c r="H613" i="116"/>
  <c r="E613" i="116"/>
  <c r="D613" i="116"/>
  <c r="F613" i="116"/>
  <c r="M597" i="116"/>
  <c r="L597" i="116"/>
  <c r="I597" i="116"/>
  <c r="H597" i="116"/>
  <c r="E597" i="116"/>
  <c r="D597" i="116"/>
  <c r="F597" i="116"/>
  <c r="M589" i="116"/>
  <c r="L589" i="116"/>
  <c r="I589" i="116"/>
  <c r="H589" i="116"/>
  <c r="E589" i="116"/>
  <c r="D589" i="116"/>
  <c r="F589" i="116"/>
  <c r="M581" i="116"/>
  <c r="L581" i="116"/>
  <c r="I581" i="116"/>
  <c r="H581" i="116"/>
  <c r="E581" i="116"/>
  <c r="D581" i="116"/>
  <c r="F581" i="116"/>
  <c r="M573" i="116"/>
  <c r="L573" i="116"/>
  <c r="I573" i="116"/>
  <c r="H573" i="116"/>
  <c r="E573" i="116"/>
  <c r="D573" i="116"/>
  <c r="F573" i="116"/>
  <c r="M565" i="116"/>
  <c r="L565" i="116"/>
  <c r="I565" i="116"/>
  <c r="H565" i="116"/>
  <c r="E565" i="116"/>
  <c r="D565" i="116"/>
  <c r="F565" i="116"/>
  <c r="N616" i="116"/>
  <c r="I616" i="116"/>
  <c r="F616" i="116"/>
  <c r="M616" i="116"/>
  <c r="J616" i="116"/>
  <c r="N608" i="116"/>
  <c r="M608" i="116"/>
  <c r="J608" i="116"/>
  <c r="I608" i="116"/>
  <c r="F608" i="116"/>
  <c r="I592" i="116"/>
  <c r="F592" i="116"/>
  <c r="N592" i="116"/>
  <c r="I584" i="116"/>
  <c r="F584" i="116"/>
  <c r="N584" i="116"/>
  <c r="I568" i="116"/>
  <c r="F568" i="116"/>
  <c r="N568" i="116"/>
  <c r="E553" i="116"/>
  <c r="L553" i="116"/>
  <c r="J623" i="116"/>
  <c r="F623" i="116"/>
  <c r="M623" i="116"/>
  <c r="I623" i="116"/>
  <c r="N623" i="116"/>
  <c r="O560" i="116"/>
  <c r="K560" i="116"/>
  <c r="G560" i="116"/>
  <c r="S560" i="116"/>
  <c r="V560" i="116" s="1"/>
  <c r="D560" i="116"/>
  <c r="J647" i="116"/>
  <c r="F647" i="116"/>
  <c r="M647" i="116"/>
  <c r="I647" i="116"/>
  <c r="N647" i="116"/>
  <c r="F635" i="116"/>
  <c r="M635" i="116"/>
  <c r="I635" i="116"/>
  <c r="N635" i="116"/>
  <c r="J635" i="116"/>
  <c r="M603" i="116"/>
  <c r="N603" i="116"/>
  <c r="J603" i="116"/>
  <c r="F603" i="116"/>
  <c r="J583" i="116"/>
  <c r="F583" i="116"/>
  <c r="M583" i="116"/>
  <c r="I583" i="116"/>
  <c r="N583" i="116"/>
  <c r="I555" i="116"/>
  <c r="F555" i="116"/>
  <c r="E555" i="116"/>
  <c r="L555" i="116"/>
  <c r="H555" i="116"/>
  <c r="M555" i="116"/>
  <c r="J555" i="116"/>
  <c r="S595" i="116"/>
  <c r="V595" i="116" s="1"/>
  <c r="D631" i="116"/>
  <c r="S635" i="116"/>
  <c r="V635" i="116" s="1"/>
  <c r="K639" i="116"/>
  <c r="S623" i="116"/>
  <c r="V623" i="116" s="1"/>
  <c r="G555" i="116"/>
  <c r="M561" i="116"/>
  <c r="J561" i="116"/>
  <c r="I561" i="116"/>
  <c r="F561" i="116"/>
  <c r="O639" i="116"/>
  <c r="G647" i="116"/>
  <c r="L642" i="116"/>
  <c r="O642" i="116"/>
  <c r="H642" i="116"/>
  <c r="K642" i="116"/>
  <c r="D642" i="116"/>
  <c r="G642" i="116"/>
  <c r="E642" i="116"/>
  <c r="L630" i="116"/>
  <c r="O630" i="116"/>
  <c r="H630" i="116"/>
  <c r="K630" i="116"/>
  <c r="D630" i="116"/>
  <c r="G630" i="116"/>
  <c r="E630" i="116"/>
  <c r="D561" i="116"/>
  <c r="H603" i="116"/>
  <c r="H639" i="116"/>
  <c r="O647" i="116"/>
  <c r="H560" i="116"/>
  <c r="D555" i="116"/>
  <c r="L570" i="116"/>
  <c r="E578" i="116"/>
  <c r="K601" i="116"/>
  <c r="N642" i="116"/>
  <c r="M550" i="116"/>
  <c r="G583" i="116"/>
  <c r="L591" i="116"/>
  <c r="M600" i="116"/>
  <c r="N620" i="116"/>
  <c r="M620" i="116"/>
  <c r="J620" i="116"/>
  <c r="I620" i="116"/>
  <c r="F620" i="116"/>
  <c r="E620" i="116"/>
  <c r="N604" i="116"/>
  <c r="M604" i="116"/>
  <c r="J604" i="116"/>
  <c r="I604" i="116"/>
  <c r="F604" i="116"/>
  <c r="E604" i="116"/>
  <c r="S624" i="116"/>
  <c r="V624" i="116" s="1"/>
  <c r="N624" i="116"/>
  <c r="M624" i="116"/>
  <c r="J624" i="116"/>
  <c r="G624" i="116"/>
  <c r="H575" i="116"/>
  <c r="D575" i="116"/>
  <c r="O575" i="116"/>
  <c r="S575" i="116"/>
  <c r="V575" i="116" s="1"/>
  <c r="K575" i="116"/>
  <c r="L575" i="116"/>
  <c r="I559" i="116"/>
  <c r="E559" i="116"/>
  <c r="L559" i="116"/>
  <c r="O559" i="116"/>
  <c r="H559" i="116"/>
  <c r="M559" i="116"/>
  <c r="J643" i="116"/>
  <c r="F643" i="116"/>
  <c r="M643" i="116"/>
  <c r="I643" i="116"/>
  <c r="N643" i="116"/>
  <c r="F560" i="116"/>
  <c r="S600" i="116"/>
  <c r="V600" i="116" s="1"/>
  <c r="J615" i="116"/>
  <c r="F615" i="116"/>
  <c r="M615" i="116"/>
  <c r="I615" i="116"/>
  <c r="N615" i="116"/>
  <c r="K586" i="116"/>
  <c r="D586" i="116"/>
  <c r="G586" i="116"/>
  <c r="S586" i="116"/>
  <c r="V586" i="116" s="1"/>
  <c r="O586" i="116"/>
  <c r="H586" i="116"/>
  <c r="K603" i="116"/>
  <c r="L619" i="116"/>
  <c r="H567" i="116"/>
  <c r="K606" i="116"/>
  <c r="D606" i="116"/>
  <c r="G606" i="116"/>
  <c r="S606" i="116"/>
  <c r="V606" i="116" s="1"/>
  <c r="O606" i="116"/>
  <c r="H606" i="116"/>
  <c r="E619" i="116"/>
  <c r="L626" i="116"/>
  <c r="N560" i="116"/>
  <c r="N586" i="116"/>
  <c r="H621" i="116"/>
  <c r="E621" i="116"/>
  <c r="D621" i="116"/>
  <c r="O621" i="116"/>
  <c r="K621" i="116"/>
  <c r="L621" i="116"/>
  <c r="I621" i="116"/>
  <c r="L634" i="116"/>
  <c r="O634" i="116"/>
  <c r="H634" i="116"/>
  <c r="K634" i="116"/>
  <c r="D634" i="116"/>
  <c r="G634" i="116"/>
  <c r="E634" i="116"/>
  <c r="F577" i="116"/>
  <c r="J577" i="116"/>
  <c r="K595" i="116"/>
  <c r="I626" i="116"/>
  <c r="H561" i="116"/>
  <c r="L603" i="116"/>
  <c r="G635" i="116"/>
  <c r="L639" i="116"/>
  <c r="D647" i="116"/>
  <c r="L560" i="116"/>
  <c r="G623" i="116"/>
  <c r="E556" i="116"/>
  <c r="E570" i="116"/>
  <c r="J634" i="116"/>
  <c r="K583" i="116"/>
  <c r="E591" i="116"/>
  <c r="F621" i="116"/>
  <c r="L576" i="116"/>
  <c r="H576" i="116"/>
  <c r="D576" i="116"/>
  <c r="O576" i="116"/>
  <c r="E576" i="116"/>
  <c r="J631" i="116"/>
  <c r="M631" i="116"/>
  <c r="I631" i="116"/>
  <c r="N631" i="116"/>
  <c r="F631" i="116"/>
  <c r="M595" i="116"/>
  <c r="N595" i="116"/>
  <c r="J595" i="116"/>
  <c r="G603" i="116"/>
  <c r="O550" i="116"/>
  <c r="K550" i="116"/>
  <c r="G550" i="116"/>
  <c r="S550" i="116"/>
  <c r="V550" i="116" s="1"/>
  <c r="D550" i="116"/>
  <c r="K610" i="116"/>
  <c r="D610" i="116"/>
  <c r="G610" i="116"/>
  <c r="S610" i="116"/>
  <c r="V610" i="116" s="1"/>
  <c r="O610" i="116"/>
  <c r="H610" i="116"/>
  <c r="K578" i="116"/>
  <c r="D578" i="116"/>
  <c r="G578" i="116"/>
  <c r="S578" i="116"/>
  <c r="V578" i="116" s="1"/>
  <c r="O578" i="116"/>
  <c r="H578" i="116"/>
  <c r="F576" i="116"/>
  <c r="G626" i="116"/>
  <c r="S626" i="116"/>
  <c r="V626" i="116" s="1"/>
  <c r="O626" i="116"/>
  <c r="H626" i="116"/>
  <c r="K626" i="116"/>
  <c r="D626" i="116"/>
  <c r="H577" i="116"/>
  <c r="E577" i="116"/>
  <c r="O577" i="116"/>
  <c r="L577" i="116"/>
  <c r="I577" i="116"/>
  <c r="E550" i="116"/>
  <c r="D591" i="116"/>
  <c r="E600" i="116"/>
  <c r="S615" i="116"/>
  <c r="V615" i="116" s="1"/>
  <c r="L646" i="116"/>
  <c r="O646" i="116"/>
  <c r="H646" i="116"/>
  <c r="K646" i="116"/>
  <c r="D646" i="116"/>
  <c r="G646" i="116"/>
  <c r="E646" i="116"/>
  <c r="M601" i="116"/>
  <c r="L601" i="116"/>
  <c r="I601" i="116"/>
  <c r="H601" i="116"/>
  <c r="E601" i="116"/>
  <c r="D601" i="116"/>
  <c r="F601" i="116"/>
  <c r="L561" i="116"/>
  <c r="D595" i="116"/>
  <c r="E603" i="116"/>
  <c r="F626" i="116"/>
  <c r="S631" i="116"/>
  <c r="V631" i="116" s="1"/>
  <c r="K635" i="116"/>
  <c r="E639" i="116"/>
  <c r="H647" i="116"/>
  <c r="G576" i="116"/>
  <c r="K623" i="116"/>
  <c r="I570" i="116"/>
  <c r="M578" i="116"/>
  <c r="E610" i="116"/>
  <c r="G627" i="116"/>
  <c r="N634" i="116"/>
  <c r="S642" i="116"/>
  <c r="V642" i="116" s="1"/>
  <c r="M646" i="116"/>
  <c r="J550" i="116"/>
  <c r="O583" i="116"/>
  <c r="G615" i="116"/>
  <c r="J621" i="116"/>
  <c r="O556" i="116"/>
  <c r="K556" i="116"/>
  <c r="G556" i="116"/>
  <c r="S556" i="116"/>
  <c r="V556" i="116" s="1"/>
  <c r="D556" i="116"/>
  <c r="O561" i="116"/>
  <c r="H595" i="116"/>
  <c r="I603" i="116"/>
  <c r="J626" i="116"/>
  <c r="O635" i="116"/>
  <c r="G643" i="116"/>
  <c r="L647" i="116"/>
  <c r="K576" i="116"/>
  <c r="L606" i="116"/>
  <c r="O623" i="116"/>
  <c r="M556" i="116"/>
  <c r="F578" i="116"/>
  <c r="I610" i="116"/>
  <c r="K627" i="116"/>
  <c r="F646" i="116"/>
  <c r="N550" i="116"/>
  <c r="D583" i="116"/>
  <c r="K615" i="116"/>
  <c r="N621" i="116"/>
  <c r="M619" i="116"/>
  <c r="N619" i="116"/>
  <c r="J619" i="116"/>
  <c r="F619" i="116"/>
  <c r="H556" i="116"/>
  <c r="J591" i="116"/>
  <c r="F591" i="116"/>
  <c r="M591" i="116"/>
  <c r="I591" i="116"/>
  <c r="N591" i="116"/>
  <c r="J567" i="116"/>
  <c r="F567" i="116"/>
  <c r="M567" i="116"/>
  <c r="I567" i="116"/>
  <c r="N567" i="116"/>
  <c r="K570" i="116"/>
  <c r="D570" i="116"/>
  <c r="G570" i="116"/>
  <c r="S570" i="116"/>
  <c r="V570" i="116" s="1"/>
  <c r="O570" i="116"/>
  <c r="H570" i="116"/>
  <c r="E643" i="116"/>
  <c r="J560" i="116"/>
  <c r="L556" i="116"/>
  <c r="J586" i="116"/>
  <c r="O591" i="116"/>
  <c r="L600" i="116"/>
  <c r="O603" i="116"/>
  <c r="H631" i="116"/>
  <c r="J576" i="116"/>
  <c r="K555" i="116"/>
  <c r="S627" i="116"/>
  <c r="V627" i="116" s="1"/>
  <c r="L638" i="116"/>
  <c r="O638" i="116"/>
  <c r="H638" i="116"/>
  <c r="K638" i="116"/>
  <c r="D638" i="116"/>
  <c r="G638" i="116"/>
  <c r="E638" i="116"/>
  <c r="E561" i="116"/>
  <c r="S577" i="116"/>
  <c r="V577" i="116" s="1"/>
  <c r="G577" i="116"/>
  <c r="L595" i="116"/>
  <c r="G619" i="116"/>
  <c r="N626" i="116"/>
  <c r="D635" i="116"/>
  <c r="S639" i="116"/>
  <c r="V639" i="116" s="1"/>
  <c r="K643" i="116"/>
  <c r="E647" i="116"/>
  <c r="I576" i="116"/>
  <c r="E606" i="116"/>
  <c r="D623" i="116"/>
  <c r="F556" i="116"/>
  <c r="F570" i="116"/>
  <c r="J578" i="116"/>
  <c r="L586" i="116"/>
  <c r="M610" i="116"/>
  <c r="O627" i="116"/>
  <c r="S634" i="116"/>
  <c r="V634" i="116" s="1"/>
  <c r="M638" i="116"/>
  <c r="J646" i="116"/>
  <c r="H583" i="116"/>
  <c r="F600" i="116"/>
  <c r="O615" i="116"/>
  <c r="S125" i="116"/>
  <c r="V125" i="116" s="1"/>
  <c r="L125" i="116"/>
  <c r="H125" i="116"/>
  <c r="O125" i="116"/>
  <c r="D125" i="116"/>
  <c r="F125" i="116"/>
  <c r="M125" i="116"/>
  <c r="I125" i="116"/>
  <c r="E125" i="116"/>
  <c r="S107" i="116"/>
  <c r="V107" i="116" s="1"/>
  <c r="I107" i="116"/>
  <c r="E107" i="116"/>
  <c r="L107" i="116"/>
  <c r="K107" i="116"/>
  <c r="N107" i="116"/>
  <c r="J107" i="116"/>
  <c r="G107" i="116"/>
  <c r="F107" i="116"/>
  <c r="S59" i="116"/>
  <c r="V59" i="116" s="1"/>
  <c r="I59" i="116"/>
  <c r="E59" i="116"/>
  <c r="L59" i="116"/>
  <c r="J59" i="116"/>
  <c r="F59" i="116"/>
  <c r="M59" i="116"/>
  <c r="H59" i="116"/>
  <c r="I41" i="116"/>
  <c r="BF9" i="8" a="1"/>
  <c r="BF9" i="8" s="1"/>
  <c r="BJ9" i="8" a="1"/>
  <c r="BJ9" i="8" s="1"/>
  <c r="BE9" i="8" a="1"/>
  <c r="BE9" i="8" s="1"/>
  <c r="BM9" i="8" a="1"/>
  <c r="BM9" i="8" s="1"/>
  <c r="BO9" i="8" a="1"/>
  <c r="BO9" i="8" s="1"/>
  <c r="BI9" i="8" a="1"/>
  <c r="BI9" i="8" s="1"/>
  <c r="H130" i="116"/>
  <c r="O130" i="116"/>
  <c r="G130" i="116"/>
  <c r="E130" i="116"/>
  <c r="N130" i="116"/>
  <c r="J130" i="116"/>
  <c r="S130" i="116"/>
  <c r="V130" i="116" s="1"/>
  <c r="H118" i="116"/>
  <c r="O118" i="116"/>
  <c r="G118" i="116"/>
  <c r="L118" i="116"/>
  <c r="D118" i="116"/>
  <c r="K118" i="116"/>
  <c r="N118" i="116"/>
  <c r="S118" i="116"/>
  <c r="V118" i="116" s="1"/>
  <c r="J118" i="116"/>
  <c r="O100" i="116"/>
  <c r="G100" i="116"/>
  <c r="I100" i="116"/>
  <c r="E100" i="116"/>
  <c r="K100" i="116"/>
  <c r="L100" i="116"/>
  <c r="H100" i="116"/>
  <c r="S100" i="116"/>
  <c r="V100" i="116" s="1"/>
  <c r="D100" i="116"/>
  <c r="H82" i="116"/>
  <c r="O82" i="116"/>
  <c r="G82" i="116"/>
  <c r="S82" i="116"/>
  <c r="V82" i="116" s="1"/>
  <c r="N82" i="116"/>
  <c r="I82" i="116"/>
  <c r="E82" i="116"/>
  <c r="J82" i="116"/>
  <c r="F82" i="116"/>
  <c r="M82" i="116"/>
  <c r="H46" i="116"/>
  <c r="O46" i="116"/>
  <c r="G46" i="116"/>
  <c r="N46" i="116"/>
  <c r="J46" i="116"/>
  <c r="F46" i="116"/>
  <c r="I46" i="116"/>
  <c r="E46" i="116"/>
  <c r="L46" i="116"/>
  <c r="D46" i="116"/>
  <c r="K46" i="116"/>
  <c r="M41" i="116"/>
  <c r="D82" i="116"/>
  <c r="L130" i="116"/>
  <c r="O33" i="116"/>
  <c r="J125" i="116"/>
  <c r="N125" i="116"/>
  <c r="M118" i="116"/>
  <c r="J77" i="116"/>
  <c r="H83" i="116"/>
  <c r="F124" i="116"/>
  <c r="H126" i="116"/>
  <c r="O126" i="116"/>
  <c r="G126" i="116"/>
  <c r="I126" i="116"/>
  <c r="E126" i="116"/>
  <c r="L126" i="116"/>
  <c r="N126" i="116"/>
  <c r="S126" i="116"/>
  <c r="V126" i="116" s="1"/>
  <c r="O120" i="116"/>
  <c r="G120" i="116"/>
  <c r="E120" i="116"/>
  <c r="L120" i="116"/>
  <c r="K120" i="116"/>
  <c r="H120" i="116"/>
  <c r="D120" i="116"/>
  <c r="S120" i="116"/>
  <c r="V120" i="116" s="1"/>
  <c r="H114" i="116"/>
  <c r="O114" i="116"/>
  <c r="G114" i="116"/>
  <c r="J114" i="116"/>
  <c r="F114" i="116"/>
  <c r="M114" i="116"/>
  <c r="I114" i="116"/>
  <c r="E114" i="116"/>
  <c r="S114" i="116"/>
  <c r="V114" i="116" s="1"/>
  <c r="N114" i="116"/>
  <c r="O108" i="116"/>
  <c r="G108" i="116"/>
  <c r="F108" i="116"/>
  <c r="M108" i="116"/>
  <c r="I108" i="116"/>
  <c r="K108" i="116"/>
  <c r="L108" i="116"/>
  <c r="H108" i="116"/>
  <c r="D108" i="116"/>
  <c r="H102" i="116"/>
  <c r="O102" i="116"/>
  <c r="G102" i="116"/>
  <c r="S102" i="116"/>
  <c r="V102" i="116" s="1"/>
  <c r="N102" i="116"/>
  <c r="I102" i="116"/>
  <c r="J102" i="116"/>
  <c r="F102" i="116"/>
  <c r="M102" i="116"/>
  <c r="E102" i="116"/>
  <c r="O96" i="116"/>
  <c r="G96" i="116"/>
  <c r="S96" i="116"/>
  <c r="V96" i="116" s="1"/>
  <c r="N96" i="116"/>
  <c r="J96" i="116"/>
  <c r="L96" i="116"/>
  <c r="K96" i="116"/>
  <c r="H96" i="116"/>
  <c r="D96" i="116"/>
  <c r="F96" i="116"/>
  <c r="H90" i="116"/>
  <c r="O90" i="116"/>
  <c r="G90" i="116"/>
  <c r="D90" i="116"/>
  <c r="K90" i="116"/>
  <c r="M90" i="116"/>
  <c r="S90" i="116"/>
  <c r="V90" i="116" s="1"/>
  <c r="N90" i="116"/>
  <c r="F90" i="116"/>
  <c r="J90" i="116"/>
  <c r="O84" i="116"/>
  <c r="G84" i="116"/>
  <c r="H84" i="116"/>
  <c r="D84" i="116"/>
  <c r="K84" i="116"/>
  <c r="L84" i="116"/>
  <c r="F84" i="116"/>
  <c r="M84" i="116"/>
  <c r="S84" i="116"/>
  <c r="V84" i="116" s="1"/>
  <c r="N84" i="116"/>
  <c r="J84" i="116"/>
  <c r="H78" i="116"/>
  <c r="O78" i="116"/>
  <c r="G78" i="116"/>
  <c r="I78" i="116"/>
  <c r="E78" i="116"/>
  <c r="L78" i="116"/>
  <c r="M78" i="116"/>
  <c r="S78" i="116"/>
  <c r="V78" i="116" s="1"/>
  <c r="N78" i="116"/>
  <c r="J78" i="116"/>
  <c r="F78" i="116"/>
  <c r="O72" i="116"/>
  <c r="G72" i="116"/>
  <c r="E72" i="116"/>
  <c r="L72" i="116"/>
  <c r="D72" i="116"/>
  <c r="K72" i="116"/>
  <c r="J72" i="116"/>
  <c r="S72" i="116"/>
  <c r="V72" i="116" s="1"/>
  <c r="F72" i="116"/>
  <c r="N72" i="116"/>
  <c r="H66" i="116"/>
  <c r="O66" i="116"/>
  <c r="G66" i="116"/>
  <c r="J66" i="116"/>
  <c r="F66" i="116"/>
  <c r="M66" i="116"/>
  <c r="N66" i="116"/>
  <c r="D66" i="116"/>
  <c r="I66" i="116"/>
  <c r="E66" i="116"/>
  <c r="K66" i="116"/>
  <c r="L66" i="116"/>
  <c r="O60" i="116"/>
  <c r="G60" i="116"/>
  <c r="F60" i="116"/>
  <c r="M60" i="116"/>
  <c r="I60" i="116"/>
  <c r="H60" i="116"/>
  <c r="D60" i="116"/>
  <c r="K60" i="116"/>
  <c r="N60" i="116"/>
  <c r="S60" i="116"/>
  <c r="V60" i="116" s="1"/>
  <c r="J60" i="116"/>
  <c r="H54" i="116"/>
  <c r="O54" i="116"/>
  <c r="G54" i="116"/>
  <c r="S54" i="116"/>
  <c r="V54" i="116" s="1"/>
  <c r="N54" i="116"/>
  <c r="M54" i="116"/>
  <c r="D54" i="116"/>
  <c r="K54" i="116"/>
  <c r="I54" i="116"/>
  <c r="E54" i="116"/>
  <c r="L54" i="116"/>
  <c r="O48" i="116"/>
  <c r="G48" i="116"/>
  <c r="S48" i="116"/>
  <c r="V48" i="116" s="1"/>
  <c r="N48" i="116"/>
  <c r="J48" i="116"/>
  <c r="D48" i="116"/>
  <c r="K48" i="116"/>
  <c r="F48" i="116"/>
  <c r="E48" i="116"/>
  <c r="M48" i="116"/>
  <c r="I48" i="116"/>
  <c r="I42" i="116"/>
  <c r="L42" i="116"/>
  <c r="K42" i="116"/>
  <c r="D42" i="116"/>
  <c r="E42" i="116"/>
  <c r="H42" i="116"/>
  <c r="S42" i="116"/>
  <c r="V42" i="116" s="1"/>
  <c r="M42" i="116"/>
  <c r="N42" i="116"/>
  <c r="F42" i="116"/>
  <c r="J42" i="116"/>
  <c r="D35" i="116"/>
  <c r="K35" i="116"/>
  <c r="F35" i="116"/>
  <c r="M35" i="116"/>
  <c r="N35" i="116"/>
  <c r="J35" i="116"/>
  <c r="I35" i="116"/>
  <c r="BK9" i="8" a="1"/>
  <c r="BK9" i="8" s="1"/>
  <c r="G59" i="116"/>
  <c r="D78" i="116"/>
  <c r="M100" i="116"/>
  <c r="L114" i="116"/>
  <c r="I120" i="116"/>
  <c r="S113" i="116"/>
  <c r="V113" i="116" s="1"/>
  <c r="N113" i="116"/>
  <c r="J113" i="116"/>
  <c r="F113" i="116"/>
  <c r="O113" i="116"/>
  <c r="I113" i="116"/>
  <c r="K113" i="116"/>
  <c r="G113" i="116"/>
  <c r="M113" i="116"/>
  <c r="S95" i="116"/>
  <c r="V95" i="116" s="1"/>
  <c r="K95" i="116"/>
  <c r="G95" i="116"/>
  <c r="H95" i="116"/>
  <c r="M95" i="116"/>
  <c r="L95" i="116"/>
  <c r="I95" i="116"/>
  <c r="E95" i="116"/>
  <c r="S83" i="116"/>
  <c r="V83" i="116" s="1"/>
  <c r="I83" i="116"/>
  <c r="E83" i="116"/>
  <c r="L83" i="116"/>
  <c r="N83" i="116"/>
  <c r="J83" i="116"/>
  <c r="F83" i="116"/>
  <c r="S71" i="116"/>
  <c r="V71" i="116" s="1"/>
  <c r="K71" i="116"/>
  <c r="G71" i="116"/>
  <c r="I71" i="116"/>
  <c r="E71" i="116"/>
  <c r="D71" i="116"/>
  <c r="H71" i="116"/>
  <c r="L71" i="116"/>
  <c r="O71" i="116"/>
  <c r="M53" i="116"/>
  <c r="I53" i="116"/>
  <c r="E53" i="116"/>
  <c r="H53" i="116"/>
  <c r="D53" i="116"/>
  <c r="O53" i="116"/>
  <c r="K53" i="116"/>
  <c r="G53" i="116"/>
  <c r="L41" i="116"/>
  <c r="D41" i="116"/>
  <c r="E41" i="116"/>
  <c r="G41" i="116"/>
  <c r="H41" i="116"/>
  <c r="O41" i="116"/>
  <c r="K41" i="116"/>
  <c r="S41" i="116"/>
  <c r="V41" i="116" s="1"/>
  <c r="O59" i="116"/>
  <c r="O112" i="116"/>
  <c r="G112" i="116"/>
  <c r="L112" i="116"/>
  <c r="H112" i="116"/>
  <c r="D112" i="116"/>
  <c r="J112" i="116"/>
  <c r="F112" i="116"/>
  <c r="K112" i="116"/>
  <c r="S112" i="116"/>
  <c r="V112" i="116" s="1"/>
  <c r="N112" i="116"/>
  <c r="O88" i="116"/>
  <c r="G88" i="116"/>
  <c r="J88" i="116"/>
  <c r="F88" i="116"/>
  <c r="M88" i="116"/>
  <c r="S88" i="116"/>
  <c r="V88" i="116" s="1"/>
  <c r="L88" i="116"/>
  <c r="H88" i="116"/>
  <c r="K88" i="116"/>
  <c r="D88" i="116"/>
  <c r="H70" i="116"/>
  <c r="O70" i="116"/>
  <c r="G70" i="116"/>
  <c r="L70" i="116"/>
  <c r="D70" i="116"/>
  <c r="K70" i="116"/>
  <c r="S70" i="116"/>
  <c r="V70" i="116" s="1"/>
  <c r="N70" i="116"/>
  <c r="M70" i="116"/>
  <c r="J70" i="116"/>
  <c r="I70" i="116"/>
  <c r="F70" i="116"/>
  <c r="H58" i="116"/>
  <c r="O58" i="116"/>
  <c r="G58" i="116"/>
  <c r="M58" i="116"/>
  <c r="I58" i="116"/>
  <c r="E58" i="116"/>
  <c r="N58" i="116"/>
  <c r="J58" i="116"/>
  <c r="F58" i="116"/>
  <c r="D58" i="116"/>
  <c r="L58" i="116"/>
  <c r="K58" i="116"/>
  <c r="L33" i="116"/>
  <c r="D33" i="116"/>
  <c r="F33" i="116"/>
  <c r="M33" i="116"/>
  <c r="N33" i="116"/>
  <c r="J33" i="116"/>
  <c r="I33" i="116"/>
  <c r="S58" i="116"/>
  <c r="V58" i="116" s="1"/>
  <c r="BG10" i="8" a="1"/>
  <c r="BG10" i="8" s="1"/>
  <c r="BF10" i="8" a="1"/>
  <c r="BF10" i="8" s="1"/>
  <c r="BI10" i="8" a="1"/>
  <c r="BI10" i="8" s="1"/>
  <c r="BE10" i="8" a="1"/>
  <c r="BE10" i="8" s="1"/>
  <c r="BM10" i="8" a="1"/>
  <c r="BM10" i="8" s="1"/>
  <c r="BJ10" i="8" a="1"/>
  <c r="BJ10" i="8" s="1"/>
  <c r="BO10" i="8" a="1"/>
  <c r="BO10" i="8" s="1"/>
  <c r="D59" i="116"/>
  <c r="K33" i="116"/>
  <c r="I112" i="116"/>
  <c r="E118" i="116"/>
  <c r="S119" i="116"/>
  <c r="V119" i="116" s="1"/>
  <c r="K119" i="116"/>
  <c r="G119" i="116"/>
  <c r="F119" i="116"/>
  <c r="I119" i="116"/>
  <c r="E119" i="116"/>
  <c r="M119" i="116"/>
  <c r="S101" i="116"/>
  <c r="V101" i="116" s="1"/>
  <c r="L101" i="116"/>
  <c r="H101" i="116"/>
  <c r="O101" i="116"/>
  <c r="D101" i="116"/>
  <c r="I101" i="116"/>
  <c r="E101" i="116"/>
  <c r="K101" i="116"/>
  <c r="S89" i="116"/>
  <c r="V89" i="116" s="1"/>
  <c r="N89" i="116"/>
  <c r="J89" i="116"/>
  <c r="F89" i="116"/>
  <c r="G89" i="116"/>
  <c r="L89" i="116"/>
  <c r="E89" i="116"/>
  <c r="M89" i="116"/>
  <c r="I89" i="116"/>
  <c r="S77" i="116"/>
  <c r="V77" i="116" s="1"/>
  <c r="L77" i="116"/>
  <c r="H77" i="116"/>
  <c r="O77" i="116"/>
  <c r="D77" i="116"/>
  <c r="G77" i="116"/>
  <c r="K77" i="116"/>
  <c r="S65" i="116"/>
  <c r="V65" i="116" s="1"/>
  <c r="N65" i="116"/>
  <c r="J65" i="116"/>
  <c r="F65" i="116"/>
  <c r="M65" i="116"/>
  <c r="I65" i="116"/>
  <c r="E65" i="116"/>
  <c r="L65" i="116"/>
  <c r="D65" i="116"/>
  <c r="H65" i="116"/>
  <c r="E47" i="116"/>
  <c r="H47" i="116"/>
  <c r="N47" i="116"/>
  <c r="J47" i="116"/>
  <c r="M47" i="116"/>
  <c r="I47" i="116"/>
  <c r="F47" i="116"/>
  <c r="L47" i="116"/>
  <c r="S34" i="116"/>
  <c r="V34" i="116" s="1"/>
  <c r="N34" i="116"/>
  <c r="I34" i="116"/>
  <c r="F34" i="116"/>
  <c r="M34" i="116"/>
  <c r="L34" i="116"/>
  <c r="K34" i="116"/>
  <c r="G34" i="116"/>
  <c r="H34" i="116"/>
  <c r="D34" i="116"/>
  <c r="O34" i="116"/>
  <c r="O124" i="116"/>
  <c r="G124" i="116"/>
  <c r="K124" i="116"/>
  <c r="S124" i="116"/>
  <c r="V124" i="116" s="1"/>
  <c r="N124" i="116"/>
  <c r="D124" i="116"/>
  <c r="L124" i="116"/>
  <c r="H124" i="116"/>
  <c r="H106" i="116"/>
  <c r="O106" i="116"/>
  <c r="G106" i="116"/>
  <c r="M106" i="116"/>
  <c r="I106" i="116"/>
  <c r="E106" i="116"/>
  <c r="F106" i="116"/>
  <c r="S106" i="116"/>
  <c r="V106" i="116" s="1"/>
  <c r="N106" i="116"/>
  <c r="J106" i="116"/>
  <c r="H94" i="116"/>
  <c r="O94" i="116"/>
  <c r="G94" i="116"/>
  <c r="N94" i="116"/>
  <c r="J94" i="116"/>
  <c r="F94" i="116"/>
  <c r="S94" i="116"/>
  <c r="V94" i="116" s="1"/>
  <c r="E94" i="116"/>
  <c r="M94" i="116"/>
  <c r="I94" i="116"/>
  <c r="L94" i="116"/>
  <c r="O76" i="116"/>
  <c r="G76" i="116"/>
  <c r="K76" i="116"/>
  <c r="S76" i="116"/>
  <c r="V76" i="116" s="1"/>
  <c r="N76" i="116"/>
  <c r="L76" i="116"/>
  <c r="M76" i="116"/>
  <c r="H76" i="116"/>
  <c r="D76" i="116"/>
  <c r="J76" i="116"/>
  <c r="F76" i="116"/>
  <c r="O64" i="116"/>
  <c r="G64" i="116"/>
  <c r="L64" i="116"/>
  <c r="H64" i="116"/>
  <c r="D64" i="116"/>
  <c r="N64" i="116"/>
  <c r="I64" i="116"/>
  <c r="J64" i="116"/>
  <c r="F64" i="116"/>
  <c r="E64" i="116"/>
  <c r="M64" i="116"/>
  <c r="O52" i="116"/>
  <c r="G52" i="116"/>
  <c r="I52" i="116"/>
  <c r="E52" i="116"/>
  <c r="D52" i="116"/>
  <c r="J52" i="116"/>
  <c r="F52" i="116"/>
  <c r="K52" i="116"/>
  <c r="S52" i="116"/>
  <c r="V52" i="116" s="1"/>
  <c r="N52" i="116"/>
  <c r="L40" i="116"/>
  <c r="D40" i="116"/>
  <c r="K40" i="116"/>
  <c r="S40" i="116"/>
  <c r="V40" i="116" s="1"/>
  <c r="N40" i="116"/>
  <c r="E40" i="116"/>
  <c r="H40" i="116"/>
  <c r="F40" i="116"/>
  <c r="O40" i="116"/>
  <c r="J40" i="116"/>
  <c r="G40" i="116"/>
  <c r="BN9" i="8" a="1"/>
  <c r="BN9" i="8" s="1"/>
  <c r="BG9" i="8" a="1"/>
  <c r="BG9" i="8" s="1"/>
  <c r="I130" i="116"/>
  <c r="BP9" i="8" a="1"/>
  <c r="BP9" i="8" s="1"/>
  <c r="J41" i="116"/>
  <c r="D89" i="116"/>
  <c r="F95" i="116"/>
  <c r="M101" i="116"/>
  <c r="E34" i="116"/>
  <c r="M52" i="116"/>
  <c r="I76" i="116"/>
  <c r="M130" i="116"/>
  <c r="N41" i="116"/>
  <c r="F71" i="116"/>
  <c r="E77" i="116"/>
  <c r="J95" i="116"/>
  <c r="F101" i="116"/>
  <c r="D107" i="116"/>
  <c r="F118" i="116"/>
  <c r="F130" i="116"/>
  <c r="S33" i="116"/>
  <c r="V33" i="116" s="1"/>
  <c r="G47" i="116"/>
  <c r="L53" i="116"/>
  <c r="J71" i="116"/>
  <c r="I77" i="116"/>
  <c r="K83" i="116"/>
  <c r="K89" i="116"/>
  <c r="N95" i="116"/>
  <c r="J101" i="116"/>
  <c r="H107" i="116"/>
  <c r="E113" i="116"/>
  <c r="D119" i="116"/>
  <c r="G125" i="116"/>
  <c r="L52" i="116"/>
  <c r="L90" i="116"/>
  <c r="I96" i="116"/>
  <c r="K102" i="116"/>
  <c r="E108" i="116"/>
  <c r="E124" i="116"/>
  <c r="F126" i="116"/>
  <c r="D113" i="116"/>
  <c r="J119" i="116"/>
  <c r="L82" i="116"/>
  <c r="I118" i="116"/>
  <c r="O107" i="116"/>
  <c r="H113" i="116"/>
  <c r="BP10" i="8" a="1"/>
  <c r="BP10" i="8" s="1"/>
  <c r="S47" i="116"/>
  <c r="V47" i="116" s="1"/>
  <c r="G83" i="116"/>
  <c r="L113" i="116"/>
  <c r="H52" i="116"/>
  <c r="BL9" i="8" a="1"/>
  <c r="BL9" i="8" s="1"/>
  <c r="K47" i="116"/>
  <c r="F53" i="116"/>
  <c r="G65" i="116"/>
  <c r="N71" i="116"/>
  <c r="M77" i="116"/>
  <c r="O83" i="116"/>
  <c r="O89" i="116"/>
  <c r="O95" i="116"/>
  <c r="N101" i="116"/>
  <c r="M107" i="116"/>
  <c r="H119" i="116"/>
  <c r="K125" i="116"/>
  <c r="M46" i="116"/>
  <c r="E60" i="116"/>
  <c r="E70" i="116"/>
  <c r="E90" i="116"/>
  <c r="M96" i="116"/>
  <c r="D102" i="116"/>
  <c r="J108" i="116"/>
  <c r="I124" i="116"/>
  <c r="J126" i="116"/>
  <c r="E76" i="116"/>
  <c r="E33" i="116"/>
  <c r="H89" i="116"/>
  <c r="O119" i="116"/>
  <c r="O47" i="116"/>
  <c r="J53" i="116"/>
  <c r="N59" i="116"/>
  <c r="K65" i="116"/>
  <c r="M71" i="116"/>
  <c r="F77" i="116"/>
  <c r="D83" i="116"/>
  <c r="D95" i="116"/>
  <c r="L119" i="116"/>
  <c r="I40" i="116"/>
  <c r="S46" i="116"/>
  <c r="V46" i="116" s="1"/>
  <c r="L60" i="116"/>
  <c r="E84" i="116"/>
  <c r="I90" i="116"/>
  <c r="L102" i="116"/>
  <c r="N108" i="116"/>
  <c r="K114" i="116"/>
  <c r="M124" i="116"/>
  <c r="S81" i="116"/>
  <c r="V81" i="116" s="1"/>
  <c r="I81" i="116"/>
  <c r="E81" i="116"/>
  <c r="L81" i="116"/>
  <c r="G63" i="116"/>
  <c r="J51" i="116"/>
  <c r="M81" i="116"/>
  <c r="O128" i="116"/>
  <c r="G128" i="116"/>
  <c r="M128" i="116"/>
  <c r="I128" i="116"/>
  <c r="E128" i="116"/>
  <c r="H122" i="116"/>
  <c r="O122" i="116"/>
  <c r="G122" i="116"/>
  <c r="S122" i="116"/>
  <c r="V122" i="116" s="1"/>
  <c r="N122" i="116"/>
  <c r="J122" i="116"/>
  <c r="O116" i="116"/>
  <c r="G116" i="116"/>
  <c r="N116" i="116"/>
  <c r="J116" i="116"/>
  <c r="F116" i="116"/>
  <c r="H110" i="116"/>
  <c r="O110" i="116"/>
  <c r="G110" i="116"/>
  <c r="K110" i="116"/>
  <c r="O104" i="116"/>
  <c r="G104" i="116"/>
  <c r="D104" i="116"/>
  <c r="K104" i="116"/>
  <c r="S104" i="116"/>
  <c r="V104" i="116" s="1"/>
  <c r="H98" i="116"/>
  <c r="O98" i="116"/>
  <c r="G98" i="116"/>
  <c r="E98" i="116"/>
  <c r="L98" i="116"/>
  <c r="D98" i="116"/>
  <c r="O92" i="116"/>
  <c r="G92" i="116"/>
  <c r="L92" i="116"/>
  <c r="H92" i="116"/>
  <c r="H86" i="116"/>
  <c r="O86" i="116"/>
  <c r="G86" i="116"/>
  <c r="F86" i="116"/>
  <c r="M86" i="116"/>
  <c r="I86" i="116"/>
  <c r="O80" i="116"/>
  <c r="G80" i="116"/>
  <c r="M80" i="116"/>
  <c r="I80" i="116"/>
  <c r="E80" i="116"/>
  <c r="H74" i="116"/>
  <c r="O74" i="116"/>
  <c r="G74" i="116"/>
  <c r="S74" i="116"/>
  <c r="V74" i="116" s="1"/>
  <c r="N74" i="116"/>
  <c r="J74" i="116"/>
  <c r="O68" i="116"/>
  <c r="G68" i="116"/>
  <c r="N68" i="116"/>
  <c r="J68" i="116"/>
  <c r="F68" i="116"/>
  <c r="H62" i="116"/>
  <c r="O62" i="116"/>
  <c r="G62" i="116"/>
  <c r="K62" i="116"/>
  <c r="O56" i="116"/>
  <c r="G56" i="116"/>
  <c r="D56" i="116"/>
  <c r="K56" i="116"/>
  <c r="S56" i="116"/>
  <c r="V56" i="116" s="1"/>
  <c r="H50" i="116"/>
  <c r="O50" i="116"/>
  <c r="G50" i="116"/>
  <c r="E50" i="116"/>
  <c r="L50" i="116"/>
  <c r="D50" i="116"/>
  <c r="O44" i="116"/>
  <c r="G44" i="116"/>
  <c r="L44" i="116"/>
  <c r="H44" i="116"/>
  <c r="I38" i="116"/>
  <c r="L38" i="116"/>
  <c r="K38" i="116"/>
  <c r="D38" i="116"/>
  <c r="N38" i="116"/>
  <c r="J38" i="116"/>
  <c r="M45" i="116"/>
  <c r="E45" i="116"/>
  <c r="F51" i="116"/>
  <c r="D57" i="116"/>
  <c r="J123" i="116"/>
  <c r="K63" i="116"/>
  <c r="F45" i="116"/>
  <c r="K69" i="116"/>
  <c r="F81" i="116"/>
  <c r="E111" i="116"/>
  <c r="G129" i="116"/>
  <c r="M38" i="116"/>
  <c r="F44" i="116"/>
  <c r="F50" i="116"/>
  <c r="F56" i="116"/>
  <c r="M62" i="116"/>
  <c r="K68" i="116"/>
  <c r="I74" i="116"/>
  <c r="H80" i="116"/>
  <c r="N86" i="116"/>
  <c r="S92" i="116"/>
  <c r="V92" i="116" s="1"/>
  <c r="S98" i="116"/>
  <c r="V98" i="116" s="1"/>
  <c r="H104" i="116"/>
  <c r="N110" i="116"/>
  <c r="L116" i="116"/>
  <c r="S123" i="116"/>
  <c r="V123" i="116" s="1"/>
  <c r="D123" i="116"/>
  <c r="O123" i="116"/>
  <c r="K123" i="116"/>
  <c r="S117" i="116"/>
  <c r="V117" i="116" s="1"/>
  <c r="G117" i="116"/>
  <c r="N117" i="116"/>
  <c r="S105" i="116"/>
  <c r="V105" i="116" s="1"/>
  <c r="I105" i="116"/>
  <c r="E105" i="116"/>
  <c r="L105" i="116"/>
  <c r="S99" i="116"/>
  <c r="V99" i="116" s="1"/>
  <c r="D99" i="116"/>
  <c r="O99" i="116"/>
  <c r="K99" i="116"/>
  <c r="S93" i="116"/>
  <c r="V93" i="116" s="1"/>
  <c r="G93" i="116"/>
  <c r="N93" i="116"/>
  <c r="S87" i="116"/>
  <c r="V87" i="116" s="1"/>
  <c r="J87" i="116"/>
  <c r="M87" i="116"/>
  <c r="F87" i="116"/>
  <c r="I87" i="116"/>
  <c r="S75" i="116"/>
  <c r="V75" i="116" s="1"/>
  <c r="D75" i="116"/>
  <c r="O75" i="116"/>
  <c r="K75" i="116"/>
  <c r="S63" i="116"/>
  <c r="V63" i="116" s="1"/>
  <c r="J63" i="116"/>
  <c r="M63" i="116"/>
  <c r="F63" i="116"/>
  <c r="I63" i="116"/>
  <c r="M57" i="116"/>
  <c r="I57" i="116"/>
  <c r="E57" i="116"/>
  <c r="E51" i="116"/>
  <c r="L51" i="116"/>
  <c r="H51" i="116"/>
  <c r="D39" i="116"/>
  <c r="K39" i="116"/>
  <c r="L45" i="116"/>
  <c r="H81" i="116"/>
  <c r="O87" i="116"/>
  <c r="K93" i="116"/>
  <c r="N39" i="116"/>
  <c r="I45" i="116"/>
  <c r="D87" i="116"/>
  <c r="S39" i="116"/>
  <c r="V39" i="116" s="1"/>
  <c r="J45" i="116"/>
  <c r="F57" i="116"/>
  <c r="H117" i="116"/>
  <c r="G123" i="116"/>
  <c r="J56" i="116"/>
  <c r="F62" i="116"/>
  <c r="D68" i="116"/>
  <c r="M74" i="116"/>
  <c r="L80" i="116"/>
  <c r="S86" i="116"/>
  <c r="V86" i="116" s="1"/>
  <c r="K92" i="116"/>
  <c r="L104" i="116"/>
  <c r="S110" i="116"/>
  <c r="V110" i="116" s="1"/>
  <c r="S129" i="116"/>
  <c r="V129" i="116" s="1"/>
  <c r="I129" i="116"/>
  <c r="E129" i="116"/>
  <c r="L129" i="116"/>
  <c r="S111" i="116"/>
  <c r="V111" i="116" s="1"/>
  <c r="J111" i="116"/>
  <c r="M111" i="116"/>
  <c r="F111" i="116"/>
  <c r="I111" i="116"/>
  <c r="S69" i="116"/>
  <c r="V69" i="116" s="1"/>
  <c r="G69" i="116"/>
  <c r="N69" i="116"/>
  <c r="J39" i="116"/>
  <c r="F69" i="116"/>
  <c r="F105" i="116"/>
  <c r="H111" i="116"/>
  <c r="N129" i="116"/>
  <c r="H57" i="116"/>
  <c r="F99" i="116"/>
  <c r="J105" i="116"/>
  <c r="D63" i="116"/>
  <c r="O69" i="116"/>
  <c r="F75" i="116"/>
  <c r="J81" i="116"/>
  <c r="L87" i="116"/>
  <c r="N99" i="116"/>
  <c r="G39" i="116"/>
  <c r="N45" i="116"/>
  <c r="S51" i="116"/>
  <c r="V51" i="116" s="1"/>
  <c r="J57" i="116"/>
  <c r="H63" i="116"/>
  <c r="J75" i="116"/>
  <c r="N81" i="116"/>
  <c r="E87" i="116"/>
  <c r="D93" i="116"/>
  <c r="G105" i="116"/>
  <c r="L117" i="116"/>
  <c r="H123" i="116"/>
  <c r="O129" i="116"/>
  <c r="S38" i="116"/>
  <c r="V38" i="116" s="1"/>
  <c r="N44" i="116"/>
  <c r="N50" i="116"/>
  <c r="N56" i="116"/>
  <c r="J62" i="116"/>
  <c r="H68" i="116"/>
  <c r="F74" i="116"/>
  <c r="D92" i="116"/>
  <c r="S36" i="116"/>
  <c r="V36" i="116" s="1"/>
  <c r="N36" i="116"/>
  <c r="F36" i="116"/>
  <c r="C10" i="64"/>
  <c r="D22" i="64"/>
  <c r="J23" i="64"/>
  <c r="F26" i="64"/>
  <c r="L17" i="64"/>
  <c r="N7" i="64"/>
  <c r="D11" i="64"/>
  <c r="G13" i="64"/>
  <c r="H14" i="64"/>
  <c r="D16" i="64"/>
  <c r="G7" i="64"/>
  <c r="M12" i="64"/>
  <c r="L24" i="64"/>
  <c r="G25" i="64"/>
  <c r="I15" i="64"/>
  <c r="G15" i="64"/>
  <c r="L18" i="64"/>
  <c r="M19" i="64"/>
  <c r="I17" i="64"/>
  <c r="G14" i="64"/>
  <c r="N16" i="64"/>
  <c r="C9" i="64"/>
  <c r="L12" i="64"/>
  <c r="F25" i="64"/>
  <c r="K7" i="64"/>
  <c r="M21" i="64"/>
  <c r="L19" i="64"/>
  <c r="C20" i="64"/>
  <c r="I18" i="64"/>
  <c r="J16" i="64"/>
  <c r="D14" i="64"/>
  <c r="E15" i="64"/>
  <c r="F10" i="64"/>
  <c r="I12" i="64"/>
  <c r="M22" i="64"/>
  <c r="N14" i="64"/>
  <c r="K17" i="64"/>
  <c r="C11" i="64"/>
  <c r="G8" i="64"/>
  <c r="J9" i="64"/>
  <c r="L21" i="64"/>
  <c r="E24" i="64"/>
  <c r="H18" i="64"/>
  <c r="F16" i="64"/>
  <c r="D15" i="64"/>
  <c r="F9" i="64"/>
  <c r="H12" i="64"/>
  <c r="G23" i="64"/>
  <c r="G18" i="64"/>
  <c r="E18" i="64"/>
  <c r="G12" i="64"/>
  <c r="C25" i="64"/>
  <c r="N8" i="64"/>
  <c r="G16" i="64"/>
  <c r="G20" i="64"/>
  <c r="K9" i="64"/>
  <c r="M14" i="64"/>
  <c r="K11" i="64"/>
  <c r="D12" i="64"/>
  <c r="I9" i="64"/>
  <c r="N25" i="64"/>
  <c r="I11" i="64"/>
  <c r="F8" i="64"/>
  <c r="J7" i="64"/>
  <c r="E25" i="64"/>
  <c r="C22" i="64"/>
  <c r="M8" i="64"/>
  <c r="G24" i="64"/>
  <c r="J19" i="64"/>
  <c r="I24" i="64"/>
  <c r="C16" i="64"/>
  <c r="H15" i="64"/>
  <c r="E14" i="64"/>
  <c r="N9" i="64"/>
  <c r="N11" i="64"/>
  <c r="K18" i="64"/>
  <c r="H17" i="64"/>
  <c r="C13" i="64"/>
  <c r="K12" i="64"/>
  <c r="J11" i="64"/>
  <c r="D7" i="64"/>
  <c r="K19" i="64"/>
  <c r="G17" i="64"/>
  <c r="I19" i="64"/>
  <c r="E17" i="64"/>
  <c r="C14" i="64"/>
  <c r="M16" i="64"/>
  <c r="F11" i="64"/>
  <c r="K21" i="64"/>
  <c r="D24" i="64"/>
  <c r="H19" i="64"/>
  <c r="D17" i="64"/>
  <c r="L16" i="64"/>
  <c r="F13" i="64"/>
  <c r="N15" i="64"/>
  <c r="K22" i="64"/>
  <c r="E8" i="64"/>
  <c r="H21" i="64"/>
  <c r="F24" i="64"/>
  <c r="D18" i="64"/>
  <c r="K16" i="64"/>
  <c r="F14" i="64"/>
  <c r="I16" i="64"/>
  <c r="N18" i="64"/>
  <c r="M11" i="64"/>
  <c r="E22" i="64"/>
  <c r="I7" i="64"/>
  <c r="J22" i="64"/>
  <c r="K13" i="64"/>
  <c r="L14" i="64"/>
  <c r="M15" i="64"/>
  <c r="C12" i="64"/>
  <c r="H9" i="64"/>
  <c r="G10" i="64"/>
  <c r="H11" i="64"/>
  <c r="N12" i="64"/>
  <c r="F7" i="64"/>
  <c r="K25" i="64"/>
  <c r="J26" i="64"/>
  <c r="L8" i="64"/>
  <c r="M7" i="64"/>
  <c r="F21" i="64"/>
  <c r="N22" i="64"/>
  <c r="F23" i="64"/>
  <c r="H24" i="64"/>
  <c r="L22" i="64"/>
  <c r="I21" i="64"/>
  <c r="F20" i="64"/>
  <c r="C15" i="64"/>
  <c r="J14" i="64"/>
  <c r="M9" i="64"/>
  <c r="M25" i="64"/>
  <c r="N24" i="64"/>
  <c r="G19" i="64"/>
  <c r="C17" i="64"/>
  <c r="E19" i="64"/>
  <c r="N17" i="64"/>
  <c r="J15" i="64"/>
  <c r="E7" i="64"/>
  <c r="J24" i="64"/>
  <c r="F18" i="64"/>
  <c r="M17" i="64"/>
  <c r="K14" i="64"/>
  <c r="L15" i="64"/>
  <c r="E16" i="64"/>
  <c r="G9" i="64"/>
  <c r="I14" i="64"/>
  <c r="G11" i="64"/>
  <c r="J12" i="64"/>
  <c r="E9" i="64"/>
  <c r="J25" i="64"/>
  <c r="E11" i="64"/>
  <c r="K8" i="64"/>
  <c r="L25" i="64"/>
  <c r="F22" i="64"/>
  <c r="I8" i="64"/>
  <c r="C24" i="64"/>
  <c r="I22" i="64"/>
  <c r="H25" i="64"/>
  <c r="C26" i="64"/>
  <c r="D8" i="64"/>
  <c r="H7" i="64"/>
  <c r="G21" i="64"/>
  <c r="H22" i="64"/>
  <c r="C23" i="64"/>
  <c r="K24" i="64"/>
  <c r="E21" i="64"/>
  <c r="C18" i="64"/>
  <c r="D19" i="64"/>
  <c r="K20" i="64"/>
  <c r="F17" i="64"/>
  <c r="F15" i="64"/>
  <c r="H16" i="64"/>
  <c r="C8" i="64"/>
  <c r="I25" i="64"/>
  <c r="G22" i="64"/>
  <c r="D21" i="64"/>
  <c r="C19" i="64"/>
  <c r="M24" i="64"/>
  <c r="J17" i="64"/>
  <c r="N19" i="64"/>
  <c r="L9" i="64"/>
  <c r="K10" i="64"/>
  <c r="L11" i="64"/>
  <c r="E12" i="64"/>
  <c r="L7" i="64"/>
  <c r="D25" i="64"/>
  <c r="N26" i="64"/>
  <c r="J8" i="64"/>
  <c r="C21" i="64"/>
  <c r="N21" i="64"/>
  <c r="J18" i="64"/>
  <c r="F19" i="64"/>
  <c r="J21" i="64"/>
  <c r="M18" i="64"/>
  <c r="K15" i="64"/>
  <c r="F12" i="64"/>
  <c r="D9" i="64"/>
  <c r="C7" i="64"/>
  <c r="H8" i="64"/>
  <c r="P572" i="116"/>
  <c r="P588" i="116"/>
  <c r="P464" i="116"/>
  <c r="P580" i="116"/>
  <c r="P596" i="116"/>
  <c r="P564" i="116"/>
  <c r="P1184" i="116"/>
  <c r="P349" i="116"/>
  <c r="P1260" i="116"/>
  <c r="P171" i="116"/>
  <c r="P144" i="116"/>
  <c r="P1202" i="116"/>
  <c r="P1217" i="116"/>
  <c r="P1232" i="116"/>
  <c r="P344" i="116"/>
  <c r="P359" i="116"/>
  <c r="P375" i="116"/>
  <c r="P865" i="116"/>
  <c r="P387" i="116"/>
  <c r="P403" i="116"/>
  <c r="P434" i="116"/>
  <c r="P749" i="116"/>
  <c r="P350" i="116"/>
  <c r="P881" i="116"/>
  <c r="AT8" i="8"/>
  <c r="AR8" i="8"/>
  <c r="H20" i="64"/>
  <c r="K23" i="64"/>
  <c r="G26" i="64"/>
  <c r="J10" i="64"/>
  <c r="J13" i="64"/>
  <c r="L20" i="64"/>
  <c r="N23" i="64"/>
  <c r="K26" i="64"/>
  <c r="D10" i="64"/>
  <c r="D13" i="64"/>
  <c r="J20" i="64"/>
  <c r="D23" i="64"/>
  <c r="D26" i="64"/>
  <c r="H10" i="64"/>
  <c r="H13" i="64"/>
  <c r="D20" i="64"/>
  <c r="H23" i="64"/>
  <c r="H26" i="64"/>
  <c r="L10" i="64"/>
  <c r="L13" i="64"/>
  <c r="I20" i="64"/>
  <c r="L23" i="64"/>
  <c r="L26" i="64"/>
  <c r="N10" i="64"/>
  <c r="N13" i="64"/>
  <c r="M20" i="64"/>
  <c r="E23" i="64"/>
  <c r="E26" i="64"/>
  <c r="E10" i="64"/>
  <c r="E13" i="64"/>
  <c r="N20" i="64"/>
  <c r="I23" i="64"/>
  <c r="I26" i="64"/>
  <c r="I10" i="64"/>
  <c r="I13" i="64"/>
  <c r="E20" i="64"/>
  <c r="M23" i="64"/>
  <c r="M26" i="64"/>
  <c r="M10" i="64"/>
  <c r="M13" i="64"/>
  <c r="L657" i="116"/>
  <c r="D659" i="116"/>
  <c r="J662" i="116"/>
  <c r="M662" i="116"/>
  <c r="D149" i="116"/>
  <c r="K153" i="116"/>
  <c r="O671" i="116"/>
  <c r="L674" i="116"/>
  <c r="F161" i="116"/>
  <c r="J679" i="116"/>
  <c r="M679" i="116"/>
  <c r="N682" i="116"/>
  <c r="O687" i="116"/>
  <c r="M174" i="116"/>
  <c r="E693" i="116"/>
  <c r="I696" i="116"/>
  <c r="L696" i="116"/>
  <c r="N183" i="116"/>
  <c r="F1214" i="116"/>
  <c r="L191" i="116"/>
  <c r="D1222" i="116"/>
  <c r="J196" i="116"/>
  <c r="M196" i="116"/>
  <c r="N714" i="116"/>
  <c r="O204" i="116"/>
  <c r="L722" i="116"/>
  <c r="E1237" i="116"/>
  <c r="J727" i="116"/>
  <c r="M727" i="116"/>
  <c r="G214" i="116"/>
  <c r="O735" i="116"/>
  <c r="M222" i="116"/>
  <c r="E1253" i="116"/>
  <c r="J228" i="116"/>
  <c r="M228" i="116"/>
  <c r="E1259" i="116"/>
  <c r="D9" i="9"/>
  <c r="J9" i="116"/>
  <c r="D9" i="116"/>
  <c r="N7" i="116"/>
  <c r="AF16" i="8"/>
  <c r="AI15" i="8"/>
  <c r="Y11" i="8"/>
  <c r="AE11" i="8"/>
  <c r="AG16" i="8"/>
  <c r="AB12" i="8"/>
  <c r="AH10" i="8"/>
  <c r="AE12" i="8"/>
  <c r="AG8" i="8"/>
  <c r="AE15" i="8"/>
  <c r="D19" i="13"/>
  <c r="Y15" i="8"/>
  <c r="D18" i="13"/>
  <c r="E18" i="13"/>
  <c r="C8" i="9"/>
  <c r="D11" i="13"/>
  <c r="F8" i="13"/>
  <c r="J11" i="13"/>
  <c r="J10" i="13" s="1"/>
  <c r="K9" i="13"/>
  <c r="J136" i="116"/>
  <c r="D139" i="116"/>
  <c r="E657" i="116"/>
  <c r="H659" i="116"/>
  <c r="N662" i="116"/>
  <c r="E149" i="116"/>
  <c r="H149" i="116"/>
  <c r="O153" i="116"/>
  <c r="D671" i="116"/>
  <c r="E674" i="116"/>
  <c r="J161" i="116"/>
  <c r="N679" i="116"/>
  <c r="G682" i="116"/>
  <c r="D687" i="116"/>
  <c r="F174" i="116"/>
  <c r="I693" i="116"/>
  <c r="M696" i="116"/>
  <c r="G183" i="116"/>
  <c r="J1214" i="116"/>
  <c r="G704" i="116"/>
  <c r="E191" i="116"/>
  <c r="H1222" i="116"/>
  <c r="N196" i="116"/>
  <c r="G714" i="116"/>
  <c r="D204" i="116"/>
  <c r="E722" i="116"/>
  <c r="I1237" i="116"/>
  <c r="N727" i="116"/>
  <c r="D214" i="116"/>
  <c r="K214" i="116"/>
  <c r="D735" i="116"/>
  <c r="F222" i="116"/>
  <c r="I1253" i="116"/>
  <c r="N228" i="116"/>
  <c r="F1259" i="116"/>
  <c r="I1259" i="116"/>
  <c r="M7" i="116"/>
  <c r="O7" i="116"/>
  <c r="Y14" i="8"/>
  <c r="AF7" i="8"/>
  <c r="AF8" i="8"/>
  <c r="AB10" i="8"/>
  <c r="AD6" i="8"/>
  <c r="AA6" i="8"/>
  <c r="Y5" i="8"/>
  <c r="AA15" i="8"/>
  <c r="AA16" i="8"/>
  <c r="AI12" i="8"/>
  <c r="M18" i="13"/>
  <c r="H10" i="13"/>
  <c r="M9" i="13"/>
  <c r="M8" i="13" s="1"/>
  <c r="P935" i="116" l="1"/>
  <c r="P868" i="116"/>
  <c r="P422" i="116"/>
  <c r="P1167" i="116"/>
  <c r="P599" i="116"/>
  <c r="R599" i="116" s="1"/>
  <c r="P876" i="116"/>
  <c r="E19" i="9"/>
  <c r="Q19" i="9" s="1"/>
  <c r="J20" i="13"/>
  <c r="E36" i="9"/>
  <c r="Q36" i="9" s="1"/>
  <c r="P941" i="116"/>
  <c r="P1247" i="116"/>
  <c r="P673" i="116"/>
  <c r="W673" i="116" s="1"/>
  <c r="P702" i="116"/>
  <c r="U702" i="116" s="1"/>
  <c r="P1230" i="116"/>
  <c r="P1244" i="116"/>
  <c r="P391" i="116"/>
  <c r="P368" i="116"/>
  <c r="U368" i="116" s="1"/>
  <c r="P348" i="116"/>
  <c r="R348" i="116" s="1"/>
  <c r="P379" i="116"/>
  <c r="T379" i="116" s="1"/>
  <c r="P641" i="116"/>
  <c r="P363" i="116"/>
  <c r="P932" i="116"/>
  <c r="P436" i="116"/>
  <c r="P229" i="116"/>
  <c r="T229" i="116" s="1"/>
  <c r="P916" i="116"/>
  <c r="W916" i="116" s="1"/>
  <c r="P141" i="116"/>
  <c r="P629" i="116"/>
  <c r="P943" i="116"/>
  <c r="P1100" i="116"/>
  <c r="T1100" i="116" s="1"/>
  <c r="P892" i="116"/>
  <c r="R892" i="116" s="1"/>
  <c r="P352" i="116"/>
  <c r="R352" i="116" s="1"/>
  <c r="P937" i="116"/>
  <c r="I20" i="13"/>
  <c r="E31" i="9"/>
  <c r="Q31" i="9" s="1"/>
  <c r="M20" i="13"/>
  <c r="P442" i="116"/>
  <c r="U442" i="116" s="1"/>
  <c r="P383" i="116"/>
  <c r="W383" i="116" s="1"/>
  <c r="P884" i="116"/>
  <c r="P939" i="116"/>
  <c r="L20" i="13"/>
  <c r="P454" i="116"/>
  <c r="W454" i="116" s="1"/>
  <c r="P367" i="116"/>
  <c r="T367" i="116" s="1"/>
  <c r="P407" i="116"/>
  <c r="W407" i="116" s="1"/>
  <c r="P649" i="116"/>
  <c r="W649" i="116" s="1"/>
  <c r="P612" i="116"/>
  <c r="P955" i="116"/>
  <c r="C12" i="13"/>
  <c r="P456" i="116"/>
  <c r="R456" i="116" s="1"/>
  <c r="P426" i="116"/>
  <c r="T426" i="116" s="1"/>
  <c r="P438" i="116"/>
  <c r="P1088" i="116"/>
  <c r="T1088" i="116" s="1"/>
  <c r="P1002" i="116"/>
  <c r="R1002" i="116" s="1"/>
  <c r="P926" i="116"/>
  <c r="W926" i="116" s="1"/>
  <c r="P633" i="116"/>
  <c r="T633" i="116" s="1"/>
  <c r="P622" i="116"/>
  <c r="P428" i="116"/>
  <c r="P1080" i="116"/>
  <c r="P448" i="116"/>
  <c r="P417" i="116"/>
  <c r="P930" i="116"/>
  <c r="R930" i="116" s="1"/>
  <c r="P460" i="116"/>
  <c r="T460" i="116" s="1"/>
  <c r="P421" i="116"/>
  <c r="U421" i="116" s="1"/>
  <c r="E25" i="9"/>
  <c r="Q25" i="9" s="1"/>
  <c r="P1084" i="116"/>
  <c r="P291" i="116"/>
  <c r="T291" i="116" s="1"/>
  <c r="P355" i="116"/>
  <c r="P1180" i="116"/>
  <c r="P945" i="116"/>
  <c r="P446" i="116"/>
  <c r="P468" i="116"/>
  <c r="P1152" i="116"/>
  <c r="P1108" i="116"/>
  <c r="U1108" i="116" s="1"/>
  <c r="P1128" i="116"/>
  <c r="U1128" i="116" s="1"/>
  <c r="P1144" i="116"/>
  <c r="U1144" i="116" s="1"/>
  <c r="P986" i="116"/>
  <c r="R986" i="116" s="1"/>
  <c r="P845" i="116"/>
  <c r="E19" i="38"/>
  <c r="P995" i="116"/>
  <c r="W995" i="116" s="1"/>
  <c r="E11" i="38"/>
  <c r="P159" i="116"/>
  <c r="P346" i="116"/>
  <c r="P755" i="116"/>
  <c r="P843" i="116"/>
  <c r="U843" i="116" s="1"/>
  <c r="P771" i="116"/>
  <c r="U771" i="116" s="1"/>
  <c r="P709" i="116"/>
  <c r="T709" i="116" s="1"/>
  <c r="P967" i="116"/>
  <c r="U967" i="116" s="1"/>
  <c r="E14" i="38"/>
  <c r="P1068" i="116"/>
  <c r="R1068" i="116" s="1"/>
  <c r="P1120" i="116"/>
  <c r="W1120" i="116" s="1"/>
  <c r="E13" i="38"/>
  <c r="P1064" i="116"/>
  <c r="U1064" i="116" s="1"/>
  <c r="P786" i="116"/>
  <c r="P1156" i="116"/>
  <c r="G12" i="13"/>
  <c r="P959" i="116"/>
  <c r="P458" i="116"/>
  <c r="T458" i="116" s="1"/>
  <c r="P470" i="116"/>
  <c r="U470" i="116" s="1"/>
  <c r="P371" i="116"/>
  <c r="R371" i="116" s="1"/>
  <c r="P393" i="116"/>
  <c r="T393" i="116" s="1"/>
  <c r="P594" i="116"/>
  <c r="T594" i="116" s="1"/>
  <c r="P949" i="116"/>
  <c r="T949" i="116" s="1"/>
  <c r="P975" i="116"/>
  <c r="P1054" i="116"/>
  <c r="U1054" i="116" s="1"/>
  <c r="P999" i="116"/>
  <c r="P327" i="116"/>
  <c r="P921" i="116"/>
  <c r="P658" i="116"/>
  <c r="U658" i="116" s="1"/>
  <c r="P162" i="116"/>
  <c r="W162" i="116" s="1"/>
  <c r="P253" i="116"/>
  <c r="R253" i="116" s="1"/>
  <c r="P1188" i="116"/>
  <c r="R1188" i="116" s="1"/>
  <c r="P723" i="116"/>
  <c r="W723" i="116" s="1"/>
  <c r="P1166" i="116"/>
  <c r="W1166" i="116" s="1"/>
  <c r="P1261" i="116"/>
  <c r="U1261" i="116" s="1"/>
  <c r="P1030" i="116"/>
  <c r="P759" i="116"/>
  <c r="U759" i="116" s="1"/>
  <c r="P813" i="116"/>
  <c r="R813" i="116" s="1"/>
  <c r="P451" i="116"/>
  <c r="P866" i="116"/>
  <c r="T866" i="116" s="1"/>
  <c r="AQ9" i="8"/>
  <c r="P450" i="116"/>
  <c r="U450" i="116" s="1"/>
  <c r="P37" i="116"/>
  <c r="T37" i="116" s="1"/>
  <c r="P1124" i="116"/>
  <c r="T1124" i="116" s="1"/>
  <c r="P392" i="116"/>
  <c r="U392" i="116" s="1"/>
  <c r="P269" i="116"/>
  <c r="T269" i="116" s="1"/>
  <c r="P73" i="116"/>
  <c r="T73" i="116" s="1"/>
  <c r="P325" i="116"/>
  <c r="W325" i="116" s="1"/>
  <c r="P1185" i="116"/>
  <c r="R1185" i="116" s="1"/>
  <c r="P889" i="116"/>
  <c r="T889" i="116" s="1"/>
  <c r="P206" i="116"/>
  <c r="P660" i="116"/>
  <c r="W660" i="116" s="1"/>
  <c r="P971" i="116"/>
  <c r="T971" i="116" s="1"/>
  <c r="H20" i="13"/>
  <c r="P1132" i="116"/>
  <c r="W1132" i="116" s="1"/>
  <c r="P951" i="116"/>
  <c r="W951" i="116" s="1"/>
  <c r="P1160" i="116"/>
  <c r="R1160" i="116" s="1"/>
  <c r="P49" i="116"/>
  <c r="W49" i="116" s="1"/>
  <c r="P746" i="116"/>
  <c r="W746" i="116" s="1"/>
  <c r="P405" i="116"/>
  <c r="W405" i="116" s="1"/>
  <c r="P1022" i="116"/>
  <c r="T1022" i="116" s="1"/>
  <c r="P1046" i="116"/>
  <c r="U1046" i="116" s="1"/>
  <c r="P815" i="116"/>
  <c r="P221" i="116"/>
  <c r="T221" i="116" s="1"/>
  <c r="P158" i="116"/>
  <c r="U158" i="116" s="1"/>
  <c r="E31" i="38"/>
  <c r="E27" i="9"/>
  <c r="Q27" i="9" s="1"/>
  <c r="P425" i="116"/>
  <c r="W425" i="116" s="1"/>
  <c r="P441" i="116"/>
  <c r="T441" i="116" s="1"/>
  <c r="P314" i="116"/>
  <c r="T314" i="116" s="1"/>
  <c r="AV9" i="8"/>
  <c r="E15" i="38"/>
  <c r="P278" i="116"/>
  <c r="T278" i="116" s="1"/>
  <c r="P705" i="116"/>
  <c r="U705" i="116" s="1"/>
  <c r="P289" i="116"/>
  <c r="P316" i="116"/>
  <c r="P779" i="116"/>
  <c r="U779" i="116" s="1"/>
  <c r="P780" i="116"/>
  <c r="U780" i="116" s="1"/>
  <c r="P440" i="116"/>
  <c r="W440" i="116" s="1"/>
  <c r="P1096" i="116"/>
  <c r="W1096" i="116" s="1"/>
  <c r="P1148" i="116"/>
  <c r="T1148" i="116" s="1"/>
  <c r="P774" i="116"/>
  <c r="T774" i="116" s="1"/>
  <c r="P277" i="116"/>
  <c r="U277" i="116" s="1"/>
  <c r="P840" i="116"/>
  <c r="U840" i="116" s="1"/>
  <c r="P1092" i="116"/>
  <c r="P255" i="116"/>
  <c r="W255" i="116" s="1"/>
  <c r="P61" i="116"/>
  <c r="P798" i="116"/>
  <c r="T798" i="116" s="1"/>
  <c r="P103" i="116"/>
  <c r="W103" i="116" s="1"/>
  <c r="P471" i="116"/>
  <c r="U471" i="116" s="1"/>
  <c r="P618" i="116"/>
  <c r="U618" i="116" s="1"/>
  <c r="P936" i="116"/>
  <c r="W936" i="116" s="1"/>
  <c r="P574" i="116"/>
  <c r="R574" i="116" s="1"/>
  <c r="P449" i="116"/>
  <c r="R449" i="116" s="1"/>
  <c r="P328" i="116"/>
  <c r="W328" i="116" s="1"/>
  <c r="P563" i="116"/>
  <c r="T563" i="116" s="1"/>
  <c r="P590" i="116"/>
  <c r="T590" i="116" s="1"/>
  <c r="P552" i="116"/>
  <c r="W552" i="116" s="1"/>
  <c r="P210" i="116"/>
  <c r="P994" i="116"/>
  <c r="W994" i="116" s="1"/>
  <c r="E34" i="38"/>
  <c r="E35" i="9"/>
  <c r="Q35" i="9" s="1"/>
  <c r="P431" i="116"/>
  <c r="R431" i="116" s="1"/>
  <c r="P430" i="116"/>
  <c r="W430" i="116" s="1"/>
  <c r="P452" i="116"/>
  <c r="U452" i="116" s="1"/>
  <c r="P466" i="116"/>
  <c r="U466" i="116" s="1"/>
  <c r="P1116" i="116"/>
  <c r="U1116" i="116" s="1"/>
  <c r="P376" i="116"/>
  <c r="W376" i="116" s="1"/>
  <c r="P765" i="116"/>
  <c r="P819" i="116"/>
  <c r="R819" i="116" s="1"/>
  <c r="P958" i="116"/>
  <c r="P290" i="116"/>
  <c r="T290" i="116" s="1"/>
  <c r="P1011" i="116"/>
  <c r="U1011" i="116" s="1"/>
  <c r="P1007" i="116"/>
  <c r="U1007" i="116" s="1"/>
  <c r="P1241" i="116"/>
  <c r="U1241" i="116" s="1"/>
  <c r="E9" i="38"/>
  <c r="E23" i="38"/>
  <c r="P846" i="116"/>
  <c r="U846" i="116" s="1"/>
  <c r="P1043" i="116"/>
  <c r="R1043" i="116" s="1"/>
  <c r="P602" i="116"/>
  <c r="W602" i="116" s="1"/>
  <c r="P677" i="116"/>
  <c r="P862" i="116"/>
  <c r="U862" i="116" s="1"/>
  <c r="P361" i="116"/>
  <c r="P1227" i="116"/>
  <c r="AJ7" i="8"/>
  <c r="BE19" i="8" s="1"/>
  <c r="P611" i="116"/>
  <c r="U611" i="116" s="1"/>
  <c r="P463" i="116"/>
  <c r="W463" i="116" s="1"/>
  <c r="P453" i="116"/>
  <c r="U453" i="116" s="1"/>
  <c r="P728" i="116"/>
  <c r="U728" i="116" s="1"/>
  <c r="P178" i="116"/>
  <c r="T178" i="116" s="1"/>
  <c r="P828" i="116"/>
  <c r="W828" i="116" s="1"/>
  <c r="E30" i="9"/>
  <c r="Q30" i="9" s="1"/>
  <c r="P991" i="116"/>
  <c r="P810" i="116"/>
  <c r="U810" i="116" s="1"/>
  <c r="P1136" i="116"/>
  <c r="U1136" i="116" s="1"/>
  <c r="P644" i="116"/>
  <c r="R644" i="116" s="1"/>
  <c r="P827" i="116"/>
  <c r="U827" i="116" s="1"/>
  <c r="P905" i="116"/>
  <c r="W905" i="116" s="1"/>
  <c r="P861" i="116"/>
  <c r="T861" i="116" s="1"/>
  <c r="P268" i="116"/>
  <c r="P837" i="116"/>
  <c r="T837" i="116" s="1"/>
  <c r="P378" i="116"/>
  <c r="U378" i="116" s="1"/>
  <c r="P672" i="116"/>
  <c r="W672" i="116" s="1"/>
  <c r="P490" i="116"/>
  <c r="P917" i="116"/>
  <c r="U917" i="116" s="1"/>
  <c r="P173" i="116"/>
  <c r="U173" i="116" s="1"/>
  <c r="P645" i="116"/>
  <c r="W645" i="116" s="1"/>
  <c r="P472" i="116"/>
  <c r="R472" i="116" s="1"/>
  <c r="P834" i="116"/>
  <c r="W834" i="116" s="1"/>
  <c r="P663" i="116"/>
  <c r="W663" i="116" s="1"/>
  <c r="P569" i="116"/>
  <c r="W569" i="116" s="1"/>
  <c r="P357" i="116"/>
  <c r="P304" i="116"/>
  <c r="W304" i="116" s="1"/>
  <c r="P225" i="116"/>
  <c r="P400" i="116"/>
  <c r="U400" i="116" s="1"/>
  <c r="P804" i="116"/>
  <c r="P315" i="116"/>
  <c r="T315" i="116" s="1"/>
  <c r="P1224" i="116"/>
  <c r="T1224" i="116" s="1"/>
  <c r="P356" i="116"/>
  <c r="T356" i="116" s="1"/>
  <c r="P1177" i="116"/>
  <c r="U1177" i="116" s="1"/>
  <c r="P691" i="116"/>
  <c r="U691" i="116" s="1"/>
  <c r="P822" i="116"/>
  <c r="W822" i="116" s="1"/>
  <c r="P408" i="116"/>
  <c r="U408" i="116" s="1"/>
  <c r="P948" i="116"/>
  <c r="P801" i="116"/>
  <c r="U801" i="116" s="1"/>
  <c r="P1258" i="116"/>
  <c r="P730" i="116"/>
  <c r="T730" i="116" s="1"/>
  <c r="P797" i="116"/>
  <c r="P1050" i="116"/>
  <c r="U1050" i="116" s="1"/>
  <c r="P287" i="116"/>
  <c r="U287" i="116" s="1"/>
  <c r="P97" i="116"/>
  <c r="W97" i="116" s="1"/>
  <c r="P420" i="116"/>
  <c r="W420" i="116" s="1"/>
  <c r="P455" i="116"/>
  <c r="W455" i="116" s="1"/>
  <c r="P115" i="116"/>
  <c r="R115" i="116" s="1"/>
  <c r="P557" i="116"/>
  <c r="T557" i="116" s="1"/>
  <c r="P990" i="116"/>
  <c r="P789" i="116"/>
  <c r="R789" i="116" s="1"/>
  <c r="P849" i="116"/>
  <c r="P912" i="116"/>
  <c r="U912" i="116" s="1"/>
  <c r="P1189" i="116"/>
  <c r="R1189" i="116" s="1"/>
  <c r="E36" i="38"/>
  <c r="P1113" i="116"/>
  <c r="W1113" i="116" s="1"/>
  <c r="P1221" i="116"/>
  <c r="W1221" i="116" s="1"/>
  <c r="P429" i="116"/>
  <c r="T429" i="116" s="1"/>
  <c r="P558" i="116"/>
  <c r="W558" i="116" s="1"/>
  <c r="P690" i="116"/>
  <c r="R690" i="116" s="1"/>
  <c r="E25" i="38"/>
  <c r="P51" i="116"/>
  <c r="P127" i="116"/>
  <c r="U127" i="116" s="1"/>
  <c r="P680" i="116"/>
  <c r="T680" i="116" s="1"/>
  <c r="P140" i="116"/>
  <c r="W140" i="116" s="1"/>
  <c r="P944" i="116"/>
  <c r="P807" i="116"/>
  <c r="W807" i="116" s="1"/>
  <c r="P443" i="116"/>
  <c r="U443" i="116" s="1"/>
  <c r="P462" i="116"/>
  <c r="U462" i="116" s="1"/>
  <c r="P623" i="116"/>
  <c r="W623" i="116" s="1"/>
  <c r="P816" i="116"/>
  <c r="U816" i="116" s="1"/>
  <c r="P777" i="116"/>
  <c r="W777" i="116" s="1"/>
  <c r="P1235" i="116"/>
  <c r="P628" i="116"/>
  <c r="P340" i="116"/>
  <c r="T340" i="116" s="1"/>
  <c r="P296" i="116"/>
  <c r="W296" i="116" s="1"/>
  <c r="E37" i="38"/>
  <c r="P1162" i="116"/>
  <c r="T1162" i="116" s="1"/>
  <c r="P201" i="116"/>
  <c r="W201" i="116" s="1"/>
  <c r="P181" i="116"/>
  <c r="W181" i="116" s="1"/>
  <c r="P337" i="116"/>
  <c r="W337" i="116" s="1"/>
  <c r="P364" i="116"/>
  <c r="T364" i="116" s="1"/>
  <c r="P1206" i="116"/>
  <c r="T1206" i="116" s="1"/>
  <c r="P211" i="116"/>
  <c r="T211" i="116" s="1"/>
  <c r="P1168" i="116"/>
  <c r="P1034" i="116"/>
  <c r="P925" i="116"/>
  <c r="R925" i="116" s="1"/>
  <c r="P410" i="116"/>
  <c r="W410" i="116" s="1"/>
  <c r="P571" i="116"/>
  <c r="W571" i="116" s="1"/>
  <c r="P402" i="116"/>
  <c r="W402" i="116" s="1"/>
  <c r="P338" i="116"/>
  <c r="T338" i="116" s="1"/>
  <c r="P174" i="116"/>
  <c r="W174" i="116" s="1"/>
  <c r="AJ6" i="8"/>
  <c r="BV6" i="8" s="1"/>
  <c r="I6" i="22" s="1"/>
  <c r="P568" i="116"/>
  <c r="R568" i="116" s="1"/>
  <c r="P979" i="116"/>
  <c r="T979" i="116" s="1"/>
  <c r="P947" i="116"/>
  <c r="W947" i="116" s="1"/>
  <c r="P388" i="116"/>
  <c r="P825" i="116"/>
  <c r="R825" i="116" s="1"/>
  <c r="P365" i="116"/>
  <c r="U365" i="116" s="1"/>
  <c r="P1250" i="116"/>
  <c r="U1250" i="116" s="1"/>
  <c r="P803" i="116"/>
  <c r="T803" i="116" s="1"/>
  <c r="P882" i="116"/>
  <c r="U882" i="116" s="1"/>
  <c r="P831" i="116"/>
  <c r="T831" i="116" s="1"/>
  <c r="P1205" i="116"/>
  <c r="W1205" i="116" s="1"/>
  <c r="P353" i="116"/>
  <c r="W353" i="116" s="1"/>
  <c r="E20" i="13"/>
  <c r="P279" i="116"/>
  <c r="W279" i="116" s="1"/>
  <c r="P1155" i="116"/>
  <c r="W1155" i="116" s="1"/>
  <c r="P199" i="116"/>
  <c r="W199" i="116" s="1"/>
  <c r="I135" i="116"/>
  <c r="I133" i="116" s="1"/>
  <c r="I10" i="116" s="1"/>
  <c r="I12" i="116" s="1"/>
  <c r="P592" i="116"/>
  <c r="U592" i="116" s="1"/>
  <c r="P616" i="116"/>
  <c r="T616" i="116" s="1"/>
  <c r="P688" i="116"/>
  <c r="U688" i="116" s="1"/>
  <c r="D38" i="38"/>
  <c r="P414" i="116"/>
  <c r="W414" i="116" s="1"/>
  <c r="P372" i="116"/>
  <c r="R372" i="116" s="1"/>
  <c r="P267" i="116"/>
  <c r="U267" i="116" s="1"/>
  <c r="P852" i="116"/>
  <c r="T852" i="116" s="1"/>
  <c r="P910" i="116"/>
  <c r="U910" i="116" s="1"/>
  <c r="P648" i="116"/>
  <c r="W648" i="116" s="1"/>
  <c r="P1047" i="116"/>
  <c r="T1047" i="116" s="1"/>
  <c r="P265" i="116"/>
  <c r="W265" i="116" s="1"/>
  <c r="P384" i="116"/>
  <c r="T384" i="116" s="1"/>
  <c r="P739" i="116"/>
  <c r="U739" i="116" s="1"/>
  <c r="P1019" i="116"/>
  <c r="W1019" i="116" s="1"/>
  <c r="P758" i="116"/>
  <c r="T758" i="116" s="1"/>
  <c r="P802" i="116"/>
  <c r="U802" i="116" s="1"/>
  <c r="P404" i="116"/>
  <c r="U404" i="116" s="1"/>
  <c r="P811" i="116"/>
  <c r="U811" i="116" s="1"/>
  <c r="P766" i="116"/>
  <c r="W766" i="116" s="1"/>
  <c r="P339" i="116"/>
  <c r="T339" i="116" s="1"/>
  <c r="P743" i="116"/>
  <c r="W743" i="116" s="1"/>
  <c r="P143" i="116"/>
  <c r="R143" i="116" s="1"/>
  <c r="P412" i="116"/>
  <c r="U412" i="116" s="1"/>
  <c r="P1140" i="116"/>
  <c r="P109" i="116"/>
  <c r="T109" i="116" s="1"/>
  <c r="P738" i="116"/>
  <c r="W738" i="116" s="1"/>
  <c r="P192" i="116"/>
  <c r="T192" i="116" s="1"/>
  <c r="P1204" i="116"/>
  <c r="W1204" i="116" s="1"/>
  <c r="P1207" i="116"/>
  <c r="T1207" i="116" s="1"/>
  <c r="P826" i="116"/>
  <c r="T826" i="116" s="1"/>
  <c r="P1181" i="116"/>
  <c r="U1181" i="116" s="1"/>
  <c r="P897" i="116"/>
  <c r="U897" i="116" s="1"/>
  <c r="P437" i="116"/>
  <c r="W437" i="116" s="1"/>
  <c r="P891" i="116"/>
  <c r="R891" i="116" s="1"/>
  <c r="P927" i="116"/>
  <c r="U927" i="116" s="1"/>
  <c r="P560" i="116"/>
  <c r="U560" i="116" s="1"/>
  <c r="P624" i="116"/>
  <c r="W624" i="116" s="1"/>
  <c r="AJ16" i="8"/>
  <c r="BV16" i="8" s="1"/>
  <c r="F14" i="24" s="1"/>
  <c r="P482" i="116"/>
  <c r="R482" i="116" s="1"/>
  <c r="P481" i="116"/>
  <c r="U481" i="116" s="1"/>
  <c r="P478" i="116"/>
  <c r="T478" i="116" s="1"/>
  <c r="P737" i="116"/>
  <c r="W737" i="116" s="1"/>
  <c r="P653" i="116"/>
  <c r="W653" i="116" s="1"/>
  <c r="P664" i="116"/>
  <c r="R664" i="116" s="1"/>
  <c r="P1151" i="116"/>
  <c r="W1151" i="116" s="1"/>
  <c r="P638" i="116"/>
  <c r="P295" i="116"/>
  <c r="W295" i="116" s="1"/>
  <c r="P284" i="116"/>
  <c r="T284" i="116" s="1"/>
  <c r="P1233" i="116"/>
  <c r="U1233" i="116" s="1"/>
  <c r="P886" i="116"/>
  <c r="U886" i="116" s="1"/>
  <c r="P863" i="116"/>
  <c r="R863" i="116" s="1"/>
  <c r="E22" i="9"/>
  <c r="Q22" i="9" s="1"/>
  <c r="P243" i="116"/>
  <c r="U243" i="116" s="1"/>
  <c r="P301" i="116"/>
  <c r="U301" i="116" s="1"/>
  <c r="P585" i="116"/>
  <c r="T585" i="116" s="1"/>
  <c r="P1182" i="116"/>
  <c r="T1182" i="116" s="1"/>
  <c r="P195" i="116"/>
  <c r="R195" i="116" s="1"/>
  <c r="P209" i="116"/>
  <c r="P617" i="116"/>
  <c r="T617" i="116" s="1"/>
  <c r="P890" i="116"/>
  <c r="W890" i="116" s="1"/>
  <c r="P708" i="116"/>
  <c r="U708" i="116" s="1"/>
  <c r="P605" i="116"/>
  <c r="T605" i="116" s="1"/>
  <c r="P244" i="116"/>
  <c r="W244" i="116" s="1"/>
  <c r="P562" i="116"/>
  <c r="R562" i="116" s="1"/>
  <c r="P795" i="116"/>
  <c r="U795" i="116" s="1"/>
  <c r="P998" i="116"/>
  <c r="T998" i="116" s="1"/>
  <c r="P362" i="116"/>
  <c r="W362" i="116" s="1"/>
  <c r="P833" i="116"/>
  <c r="U833" i="116" s="1"/>
  <c r="P1191" i="116"/>
  <c r="T1191" i="116" s="1"/>
  <c r="P978" i="116"/>
  <c r="U978" i="116" s="1"/>
  <c r="P783" i="116"/>
  <c r="R783" i="116" s="1"/>
  <c r="P369" i="116"/>
  <c r="R369" i="116" s="1"/>
  <c r="P176" i="116"/>
  <c r="U176" i="116" s="1"/>
  <c r="P1220" i="116"/>
  <c r="T1220" i="116" s="1"/>
  <c r="P386" i="116"/>
  <c r="W386" i="116" s="1"/>
  <c r="P1170" i="116"/>
  <c r="R1170" i="116" s="1"/>
  <c r="P411" i="116"/>
  <c r="W411" i="116" s="1"/>
  <c r="P395" i="116"/>
  <c r="W395" i="116" s="1"/>
  <c r="P188" i="116"/>
  <c r="U188" i="116" s="1"/>
  <c r="AJ13" i="8"/>
  <c r="P1229" i="116"/>
  <c r="W1229" i="116" s="1"/>
  <c r="P313" i="116"/>
  <c r="W313" i="116" s="1"/>
  <c r="P190" i="116"/>
  <c r="U190" i="116" s="1"/>
  <c r="P820" i="116"/>
  <c r="W820" i="116" s="1"/>
  <c r="P856" i="116"/>
  <c r="U856" i="116" s="1"/>
  <c r="P609" i="116"/>
  <c r="U609" i="116" s="1"/>
  <c r="P598" i="116"/>
  <c r="U598" i="116" s="1"/>
  <c r="P1178" i="116"/>
  <c r="U1178" i="116" s="1"/>
  <c r="P256" i="116"/>
  <c r="T256" i="116" s="1"/>
  <c r="P380" i="116"/>
  <c r="W380" i="116" s="1"/>
  <c r="P867" i="116"/>
  <c r="W867" i="116" s="1"/>
  <c r="P465" i="116"/>
  <c r="R465" i="116" s="1"/>
  <c r="P535" i="116"/>
  <c r="R535" i="116" s="1"/>
  <c r="P966" i="116"/>
  <c r="W966" i="116" s="1"/>
  <c r="P418" i="116"/>
  <c r="U418" i="116" s="1"/>
  <c r="P1198" i="116"/>
  <c r="W1198" i="116" s="1"/>
  <c r="P913" i="116"/>
  <c r="R913" i="116" s="1"/>
  <c r="P1174" i="116"/>
  <c r="T1174" i="116" s="1"/>
  <c r="P377" i="116"/>
  <c r="W377" i="116" s="1"/>
  <c r="P227" i="116"/>
  <c r="W227" i="116" s="1"/>
  <c r="O343" i="116"/>
  <c r="P203" i="116"/>
  <c r="U203" i="116" s="1"/>
  <c r="P397" i="116"/>
  <c r="U397" i="116" s="1"/>
  <c r="P1006" i="116"/>
  <c r="P791" i="116"/>
  <c r="U791" i="116" s="1"/>
  <c r="P582" i="116"/>
  <c r="U582" i="116" s="1"/>
  <c r="P952" i="116"/>
  <c r="W952" i="116" s="1"/>
  <c r="P459" i="116"/>
  <c r="W459" i="116" s="1"/>
  <c r="P1242" i="116"/>
  <c r="R1242" i="116" s="1"/>
  <c r="P1213" i="116"/>
  <c r="U1213" i="116" s="1"/>
  <c r="P551" i="116"/>
  <c r="W551" i="116" s="1"/>
  <c r="P435" i="116"/>
  <c r="U435" i="116" s="1"/>
  <c r="P1018" i="116"/>
  <c r="R1018" i="116" s="1"/>
  <c r="P1026" i="116"/>
  <c r="W1026" i="116" s="1"/>
  <c r="P785" i="116"/>
  <c r="T785" i="116" s="1"/>
  <c r="P1010" i="116"/>
  <c r="W1010" i="116" s="1"/>
  <c r="P1038" i="116"/>
  <c r="U1038" i="116" s="1"/>
  <c r="P531" i="116"/>
  <c r="W531" i="116" s="1"/>
  <c r="P292" i="116"/>
  <c r="W292" i="116" s="1"/>
  <c r="P302" i="116"/>
  <c r="R302" i="116" s="1"/>
  <c r="P447" i="116"/>
  <c r="W447" i="116" s="1"/>
  <c r="P326" i="116"/>
  <c r="W326" i="116" s="1"/>
  <c r="E1062" i="116"/>
  <c r="E23" i="116" s="1"/>
  <c r="P1042" i="116"/>
  <c r="W1042" i="116" s="1"/>
  <c r="P781" i="116"/>
  <c r="W781" i="116" s="1"/>
  <c r="P1236" i="116"/>
  <c r="R1236" i="116" s="1"/>
  <c r="P280" i="116"/>
  <c r="R280" i="116" s="1"/>
  <c r="P632" i="116"/>
  <c r="W632" i="116" s="1"/>
  <c r="P1014" i="116"/>
  <c r="U1014" i="116" s="1"/>
  <c r="P821" i="116"/>
  <c r="U821" i="116" s="1"/>
  <c r="P839" i="116"/>
  <c r="W839" i="116" s="1"/>
  <c r="P1090" i="116"/>
  <c r="W1090" i="116" s="1"/>
  <c r="L753" i="116"/>
  <c r="L17" i="116" s="1"/>
  <c r="P817" i="116"/>
  <c r="U817" i="116" s="1"/>
  <c r="E12" i="13"/>
  <c r="AQ14" i="8" s="1"/>
  <c r="E37" i="9"/>
  <c r="Q37" i="9" s="1"/>
  <c r="P1215" i="116"/>
  <c r="R1215" i="116" s="1"/>
  <c r="P963" i="116"/>
  <c r="T963" i="116" s="1"/>
  <c r="P762" i="116"/>
  <c r="T762" i="116" s="1"/>
  <c r="P792" i="116"/>
  <c r="T792" i="116" s="1"/>
  <c r="P385" i="116"/>
  <c r="U385" i="116" s="1"/>
  <c r="P461" i="116"/>
  <c r="U461" i="116" s="1"/>
  <c r="P901" i="116"/>
  <c r="U901" i="116" s="1"/>
  <c r="P396" i="116"/>
  <c r="T396" i="116" s="1"/>
  <c r="P636" i="116"/>
  <c r="W636" i="116" s="1"/>
  <c r="P254" i="116"/>
  <c r="T254" i="116" s="1"/>
  <c r="P579" i="116"/>
  <c r="T579" i="116" s="1"/>
  <c r="P1219" i="116"/>
  <c r="W1219" i="116" s="1"/>
  <c r="P554" i="116"/>
  <c r="P416" i="116"/>
  <c r="T416" i="116" s="1"/>
  <c r="P587" i="116"/>
  <c r="U587" i="116" s="1"/>
  <c r="P625" i="116"/>
  <c r="P829" i="116"/>
  <c r="T829" i="116" s="1"/>
  <c r="P847" i="116"/>
  <c r="P1200" i="116"/>
  <c r="U1200" i="116" s="1"/>
  <c r="P1201" i="116"/>
  <c r="R1201" i="116" s="1"/>
  <c r="P1195" i="116"/>
  <c r="W1195" i="116" s="1"/>
  <c r="P1228" i="116"/>
  <c r="U1228" i="116" s="1"/>
  <c r="E23" i="9"/>
  <c r="Q23" i="9" s="1"/>
  <c r="P457" i="116"/>
  <c r="R457" i="116" s="1"/>
  <c r="E16" i="9"/>
  <c r="Q16" i="9" s="1"/>
  <c r="P1023" i="116"/>
  <c r="R1023" i="116" s="1"/>
  <c r="E28" i="38"/>
  <c r="P953" i="116"/>
  <c r="R953" i="116" s="1"/>
  <c r="P982" i="116"/>
  <c r="U982" i="116" s="1"/>
  <c r="P487" i="116"/>
  <c r="R487" i="116" s="1"/>
  <c r="P488" i="116"/>
  <c r="U488" i="116" s="1"/>
  <c r="P513" i="116"/>
  <c r="U513" i="116" s="1"/>
  <c r="P486" i="116"/>
  <c r="W486" i="116" s="1"/>
  <c r="P733" i="116"/>
  <c r="W733" i="116" s="1"/>
  <c r="P745" i="116"/>
  <c r="U745" i="116" s="1"/>
  <c r="O19" i="13"/>
  <c r="P245" i="116"/>
  <c r="W245" i="116" s="1"/>
  <c r="P996" i="116"/>
  <c r="R996" i="116" s="1"/>
  <c r="P1024" i="116"/>
  <c r="T1024" i="116" s="1"/>
  <c r="P985" i="116"/>
  <c r="T985" i="116" s="1"/>
  <c r="P993" i="116"/>
  <c r="T993" i="116" s="1"/>
  <c r="P1001" i="116"/>
  <c r="P1017" i="116"/>
  <c r="U1017" i="116" s="1"/>
  <c r="P1053" i="116"/>
  <c r="U1053" i="116" s="1"/>
  <c r="E17" i="38"/>
  <c r="K20" i="13"/>
  <c r="P121" i="116"/>
  <c r="T121" i="116" s="1"/>
  <c r="P768" i="116"/>
  <c r="W768" i="116" s="1"/>
  <c r="P566" i="116"/>
  <c r="U566" i="116" s="1"/>
  <c r="P1027" i="116"/>
  <c r="U1027" i="116" s="1"/>
  <c r="P972" i="116"/>
  <c r="W972" i="116" s="1"/>
  <c r="P1192" i="116"/>
  <c r="U1192" i="116" s="1"/>
  <c r="P67" i="116"/>
  <c r="T67" i="116" s="1"/>
  <c r="P970" i="116"/>
  <c r="T970" i="116" s="1"/>
  <c r="P946" i="116"/>
  <c r="U946" i="116" s="1"/>
  <c r="P924" i="116"/>
  <c r="R924" i="116" s="1"/>
  <c r="T405" i="116"/>
  <c r="P522" i="116"/>
  <c r="R522" i="116" s="1"/>
  <c r="P142" i="116"/>
  <c r="T142" i="116" s="1"/>
  <c r="P559" i="116"/>
  <c r="R559" i="116" s="1"/>
  <c r="AJ10" i="8"/>
  <c r="BV10" i="8" s="1"/>
  <c r="L6" i="24" s="1"/>
  <c r="P92" i="116"/>
  <c r="W92" i="116" s="1"/>
  <c r="P93" i="116"/>
  <c r="W93" i="116" s="1"/>
  <c r="P41" i="116"/>
  <c r="U41" i="116" s="1"/>
  <c r="AJ14" i="8"/>
  <c r="BV14" i="8" s="1"/>
  <c r="L10" i="24" s="1"/>
  <c r="U607" i="116"/>
  <c r="P573" i="116"/>
  <c r="R573" i="116" s="1"/>
  <c r="P197" i="116"/>
  <c r="U197" i="116" s="1"/>
  <c r="P1004" i="116"/>
  <c r="U1004" i="116" s="1"/>
  <c r="P1032" i="116"/>
  <c r="T1032" i="116" s="1"/>
  <c r="P1051" i="116"/>
  <c r="U1051" i="116" s="1"/>
  <c r="P1234" i="116"/>
  <c r="U1234" i="116" s="1"/>
  <c r="P1246" i="116"/>
  <c r="K1164" i="116"/>
  <c r="K24" i="116" s="1"/>
  <c r="P1211" i="116"/>
  <c r="U1211" i="116" s="1"/>
  <c r="P657" i="116"/>
  <c r="T657" i="116" s="1"/>
  <c r="P756" i="116"/>
  <c r="R756" i="116" s="1"/>
  <c r="P538" i="116"/>
  <c r="P1055" i="116"/>
  <c r="R1055" i="116" s="1"/>
  <c r="P1226" i="116"/>
  <c r="W1226" i="116" s="1"/>
  <c r="P146" i="116"/>
  <c r="W146" i="116" s="1"/>
  <c r="P91" i="116"/>
  <c r="W91" i="116" s="1"/>
  <c r="P32" i="116"/>
  <c r="U32" i="116" s="1"/>
  <c r="P345" i="116"/>
  <c r="U345" i="116" s="1"/>
  <c r="P266" i="116"/>
  <c r="P415" i="116"/>
  <c r="P809" i="116"/>
  <c r="W809" i="116" s="1"/>
  <c r="P773" i="116"/>
  <c r="U773" i="116" s="1"/>
  <c r="P767" i="116"/>
  <c r="T767" i="116" s="1"/>
  <c r="P851" i="116"/>
  <c r="U851" i="116" s="1"/>
  <c r="P929" i="116"/>
  <c r="T929" i="116" s="1"/>
  <c r="P583" i="116"/>
  <c r="W583" i="116" s="1"/>
  <c r="P1264" i="116"/>
  <c r="R1264" i="116" s="1"/>
  <c r="C38" i="38"/>
  <c r="P160" i="116"/>
  <c r="W160" i="116" s="1"/>
  <c r="P687" i="116"/>
  <c r="W687" i="116" s="1"/>
  <c r="P136" i="116"/>
  <c r="R136" i="116" s="1"/>
  <c r="P508" i="116"/>
  <c r="R508" i="116" s="1"/>
  <c r="P520" i="116"/>
  <c r="W520" i="116" s="1"/>
  <c r="P1039" i="116"/>
  <c r="W1039" i="116" s="1"/>
  <c r="E14" i="9"/>
  <c r="Q14" i="9" s="1"/>
  <c r="P906" i="116"/>
  <c r="W906" i="116" s="1"/>
  <c r="P401" i="116"/>
  <c r="U401" i="116" s="1"/>
  <c r="P303" i="116"/>
  <c r="R303" i="116" s="1"/>
  <c r="P373" i="116"/>
  <c r="U373" i="116" s="1"/>
  <c r="P409" i="116"/>
  <c r="R409" i="116" s="1"/>
  <c r="P492" i="116"/>
  <c r="U492" i="116" s="1"/>
  <c r="P812" i="116"/>
  <c r="R812" i="116" s="1"/>
  <c r="P467" i="116"/>
  <c r="W467" i="116" s="1"/>
  <c r="AP8" i="8"/>
  <c r="P85" i="116"/>
  <c r="U85" i="116" s="1"/>
  <c r="P79" i="116"/>
  <c r="T79" i="116" s="1"/>
  <c r="P761" i="116"/>
  <c r="P962" i="116"/>
  <c r="P640" i="116"/>
  <c r="T640" i="116" s="1"/>
  <c r="P70" i="116"/>
  <c r="U70" i="116" s="1"/>
  <c r="P1123" i="116"/>
  <c r="T1123" i="116" s="1"/>
  <c r="P515" i="116"/>
  <c r="R515" i="116" s="1"/>
  <c r="P406" i="116"/>
  <c r="W406" i="116" s="1"/>
  <c r="P475" i="116"/>
  <c r="W475" i="116" s="1"/>
  <c r="P678" i="116"/>
  <c r="W678" i="116" s="1"/>
  <c r="P31" i="116"/>
  <c r="P873" i="116"/>
  <c r="W873" i="116" s="1"/>
  <c r="P523" i="116"/>
  <c r="W523" i="116" s="1"/>
  <c r="P381" i="116"/>
  <c r="W381" i="116" s="1"/>
  <c r="L241" i="116"/>
  <c r="P382" i="116"/>
  <c r="U382" i="116" s="1"/>
  <c r="P519" i="116"/>
  <c r="W519" i="116" s="1"/>
  <c r="P760" i="116"/>
  <c r="W760" i="116" s="1"/>
  <c r="AX8" i="8"/>
  <c r="P838" i="116"/>
  <c r="P433" i="116"/>
  <c r="R433" i="116" s="1"/>
  <c r="P317" i="116"/>
  <c r="U317" i="116" s="1"/>
  <c r="P593" i="116"/>
  <c r="U593" i="116" s="1"/>
  <c r="P145" i="116"/>
  <c r="U1088" i="116"/>
  <c r="P110" i="116"/>
  <c r="U110" i="116" s="1"/>
  <c r="P111" i="116"/>
  <c r="W111" i="116" s="1"/>
  <c r="E32" i="9"/>
  <c r="Q32" i="9" s="1"/>
  <c r="P360" i="116"/>
  <c r="T360" i="116" s="1"/>
  <c r="AQ8" i="8"/>
  <c r="P1031" i="116"/>
  <c r="T1031" i="116" s="1"/>
  <c r="P43" i="116"/>
  <c r="W43" i="116" s="1"/>
  <c r="P974" i="116"/>
  <c r="W974" i="116" s="1"/>
  <c r="P1112" i="116"/>
  <c r="R1112" i="116" s="1"/>
  <c r="P55" i="116"/>
  <c r="T55" i="116" s="1"/>
  <c r="P413" i="116"/>
  <c r="P226" i="116"/>
  <c r="T226" i="116" s="1"/>
  <c r="P347" i="116"/>
  <c r="P614" i="116"/>
  <c r="P1252" i="116"/>
  <c r="U1252" i="116" s="1"/>
  <c r="P1149" i="116"/>
  <c r="W1149" i="116" s="1"/>
  <c r="P634" i="116"/>
  <c r="T634" i="116" s="1"/>
  <c r="P330" i="116"/>
  <c r="R330" i="116" s="1"/>
  <c r="P479" i="116"/>
  <c r="W479" i="116" s="1"/>
  <c r="P507" i="116"/>
  <c r="U507" i="116" s="1"/>
  <c r="P477" i="116"/>
  <c r="U477" i="116" s="1"/>
  <c r="E20" i="9"/>
  <c r="Q20" i="9" s="1"/>
  <c r="E20" i="38"/>
  <c r="AV8" i="8"/>
  <c r="AS8" i="8"/>
  <c r="P432" i="116"/>
  <c r="U432" i="116" s="1"/>
  <c r="P1104" i="116"/>
  <c r="U1104" i="116" s="1"/>
  <c r="W278" i="116"/>
  <c r="K30" i="116"/>
  <c r="K28" i="116" s="1"/>
  <c r="P305" i="116"/>
  <c r="U305" i="116" s="1"/>
  <c r="J1164" i="116"/>
  <c r="J24" i="116" s="1"/>
  <c r="P122" i="116"/>
  <c r="W122" i="116" s="1"/>
  <c r="P1127" i="116"/>
  <c r="U1127" i="116" s="1"/>
  <c r="P419" i="116"/>
  <c r="W419" i="116" s="1"/>
  <c r="P1245" i="116"/>
  <c r="U1245" i="116" s="1"/>
  <c r="P293" i="116"/>
  <c r="U293" i="116" s="1"/>
  <c r="P389" i="116"/>
  <c r="U389" i="116" s="1"/>
  <c r="P1076" i="116"/>
  <c r="U1076" i="116" s="1"/>
  <c r="P331" i="116"/>
  <c r="U331" i="116" s="1"/>
  <c r="AJ11" i="8"/>
  <c r="AL11" i="8" s="1"/>
  <c r="P57" i="116"/>
  <c r="T57" i="116" s="1"/>
  <c r="R602" i="116"/>
  <c r="P1102" i="116"/>
  <c r="W1102" i="116" s="1"/>
  <c r="P965" i="116"/>
  <c r="T965" i="116" s="1"/>
  <c r="P1216" i="116"/>
  <c r="T1216" i="116" s="1"/>
  <c r="P1203" i="116"/>
  <c r="R1203" i="116" s="1"/>
  <c r="P1196" i="116"/>
  <c r="U1196" i="116" s="1"/>
  <c r="M343" i="116"/>
  <c r="P516" i="116"/>
  <c r="U516" i="116" s="1"/>
  <c r="P788" i="116"/>
  <c r="R788" i="116" s="1"/>
  <c r="P787" i="116"/>
  <c r="W787" i="116" s="1"/>
  <c r="T9" i="8"/>
  <c r="T16" i="8" s="1"/>
  <c r="P89" i="116"/>
  <c r="R89" i="116" s="1"/>
  <c r="P1065" i="116"/>
  <c r="U1065" i="116" s="1"/>
  <c r="P1121" i="116"/>
  <c r="U1121" i="116" s="1"/>
  <c r="P168" i="116"/>
  <c r="T168" i="116" s="1"/>
  <c r="P281" i="116"/>
  <c r="R281" i="116" s="1"/>
  <c r="P251" i="116"/>
  <c r="W251" i="116" s="1"/>
  <c r="P321" i="116"/>
  <c r="U321" i="116" s="1"/>
  <c r="P495" i="116"/>
  <c r="W495" i="116" s="1"/>
  <c r="P536" i="116"/>
  <c r="W536" i="116" s="1"/>
  <c r="E12" i="9"/>
  <c r="Q12" i="9" s="1"/>
  <c r="E27" i="38"/>
  <c r="E30" i="38"/>
  <c r="AU8" i="8"/>
  <c r="AZ8" i="8"/>
  <c r="P940" i="116"/>
  <c r="P8" i="116"/>
  <c r="P904" i="116"/>
  <c r="AJ9" i="8"/>
  <c r="P469" i="116"/>
  <c r="P744" i="116"/>
  <c r="O753" i="116"/>
  <c r="O17" i="116" s="1"/>
  <c r="P179" i="116"/>
  <c r="P844" i="116"/>
  <c r="R844" i="116" s="1"/>
  <c r="P87" i="116"/>
  <c r="W87" i="116" s="1"/>
  <c r="P95" i="116"/>
  <c r="W95" i="116" s="1"/>
  <c r="P83" i="116"/>
  <c r="U83" i="116" s="1"/>
  <c r="P35" i="116"/>
  <c r="U35" i="116" s="1"/>
  <c r="P96" i="116"/>
  <c r="W96" i="116" s="1"/>
  <c r="P619" i="116"/>
  <c r="U619" i="116" s="1"/>
  <c r="P586" i="116"/>
  <c r="R586" i="116" s="1"/>
  <c r="P639" i="116"/>
  <c r="W639" i="116" s="1"/>
  <c r="P1125" i="116"/>
  <c r="U1125" i="116" s="1"/>
  <c r="P1118" i="116"/>
  <c r="W1118" i="116" s="1"/>
  <c r="P180" i="116"/>
  <c r="W180" i="116" s="1"/>
  <c r="P235" i="116"/>
  <c r="R235" i="116" s="1"/>
  <c r="P184" i="116"/>
  <c r="T184" i="116" s="1"/>
  <c r="P154" i="116"/>
  <c r="W154" i="116" s="1"/>
  <c r="P329" i="116"/>
  <c r="U329" i="116" s="1"/>
  <c r="P1223" i="116"/>
  <c r="U1223" i="116" s="1"/>
  <c r="E7" i="38"/>
  <c r="P647" i="116"/>
  <c r="U647" i="116" s="1"/>
  <c r="P62" i="116"/>
  <c r="W62" i="116" s="1"/>
  <c r="P77" i="116"/>
  <c r="W77" i="116" s="1"/>
  <c r="P34" i="116"/>
  <c r="T34" i="116" s="1"/>
  <c r="P42" i="116"/>
  <c r="T42" i="116" s="1"/>
  <c r="G549" i="116"/>
  <c r="P576" i="116"/>
  <c r="W576" i="116" s="1"/>
  <c r="P1117" i="116"/>
  <c r="R1117" i="116" s="1"/>
  <c r="L1062" i="116"/>
  <c r="L23" i="116" s="1"/>
  <c r="P1153" i="116"/>
  <c r="W1153" i="116" s="1"/>
  <c r="J1062" i="116"/>
  <c r="J23" i="116" s="1"/>
  <c r="D1062" i="116"/>
  <c r="D23" i="116" s="1"/>
  <c r="P1074" i="116"/>
  <c r="W1074" i="116" s="1"/>
  <c r="P1110" i="116"/>
  <c r="W1110" i="116" s="1"/>
  <c r="P1142" i="116"/>
  <c r="U1142" i="116" s="1"/>
  <c r="P1150" i="116"/>
  <c r="W1150" i="116" s="1"/>
  <c r="P1083" i="116"/>
  <c r="U1083" i="116" s="1"/>
  <c r="P1107" i="116"/>
  <c r="P1119" i="116"/>
  <c r="T1119" i="116" s="1"/>
  <c r="P1146" i="116"/>
  <c r="T1146" i="116" s="1"/>
  <c r="P1134" i="116"/>
  <c r="R1134" i="116" s="1"/>
  <c r="P1071" i="116"/>
  <c r="R1071" i="116" s="1"/>
  <c r="M549" i="116"/>
  <c r="P81" i="116"/>
  <c r="T81" i="116" s="1"/>
  <c r="P40" i="116"/>
  <c r="T40" i="116" s="1"/>
  <c r="P58" i="116"/>
  <c r="T58" i="116" s="1"/>
  <c r="P53" i="116"/>
  <c r="R53" i="116" s="1"/>
  <c r="P128" i="116"/>
  <c r="T128" i="116" s="1"/>
  <c r="P47" i="116"/>
  <c r="W47" i="116" s="1"/>
  <c r="P52" i="116"/>
  <c r="R52" i="116" s="1"/>
  <c r="H30" i="116"/>
  <c r="H28" i="116" s="1"/>
  <c r="N30" i="116"/>
  <c r="N28" i="116" s="1"/>
  <c r="P642" i="116"/>
  <c r="W642" i="116" s="1"/>
  <c r="P1141" i="116"/>
  <c r="W1141" i="116" s="1"/>
  <c r="P1097" i="116"/>
  <c r="W1097" i="116" s="1"/>
  <c r="P1109" i="116"/>
  <c r="U1109" i="116" s="1"/>
  <c r="O1062" i="116"/>
  <c r="O23" i="116" s="1"/>
  <c r="P1063" i="116"/>
  <c r="R1063" i="116" s="1"/>
  <c r="P1070" i="116"/>
  <c r="U1070" i="116" s="1"/>
  <c r="P1094" i="116"/>
  <c r="W1094" i="116" s="1"/>
  <c r="P1139" i="116"/>
  <c r="W1139" i="116" s="1"/>
  <c r="P1147" i="116"/>
  <c r="W1147" i="116" s="1"/>
  <c r="P1138" i="116"/>
  <c r="W1138" i="116" s="1"/>
  <c r="P1114" i="116"/>
  <c r="T1114" i="116" s="1"/>
  <c r="P157" i="116"/>
  <c r="W157" i="116" s="1"/>
  <c r="P170" i="116"/>
  <c r="T170" i="116" s="1"/>
  <c r="P76" i="116"/>
  <c r="U76" i="116" s="1"/>
  <c r="I30" i="116"/>
  <c r="I28" i="116" s="1"/>
  <c r="P88" i="116"/>
  <c r="U88" i="116" s="1"/>
  <c r="P45" i="116"/>
  <c r="R45" i="116" s="1"/>
  <c r="P48" i="116"/>
  <c r="T48" i="116" s="1"/>
  <c r="P72" i="116"/>
  <c r="T72" i="116" s="1"/>
  <c r="P105" i="116"/>
  <c r="W105" i="116" s="1"/>
  <c r="P123" i="116"/>
  <c r="P565" i="116"/>
  <c r="T565" i="116" s="1"/>
  <c r="P124" i="116"/>
  <c r="W124" i="116" s="1"/>
  <c r="P106" i="116"/>
  <c r="R106" i="116" s="1"/>
  <c r="P33" i="116"/>
  <c r="R33" i="116" s="1"/>
  <c r="P112" i="116"/>
  <c r="W112" i="116" s="1"/>
  <c r="P56" i="116"/>
  <c r="U56" i="116" s="1"/>
  <c r="P102" i="116"/>
  <c r="U102" i="116" s="1"/>
  <c r="P101" i="116"/>
  <c r="U101" i="116" s="1"/>
  <c r="P71" i="116"/>
  <c r="W71" i="116" s="1"/>
  <c r="P54" i="116"/>
  <c r="U54" i="116" s="1"/>
  <c r="P575" i="116"/>
  <c r="P129" i="116"/>
  <c r="P68" i="116"/>
  <c r="W68" i="116" s="1"/>
  <c r="P86" i="116"/>
  <c r="R86" i="116" s="1"/>
  <c r="P125" i="116"/>
  <c r="W125" i="116" s="1"/>
  <c r="P94" i="116"/>
  <c r="U94" i="116" s="1"/>
  <c r="G30" i="116"/>
  <c r="G28" i="116" s="1"/>
  <c r="P59" i="116"/>
  <c r="U59" i="116" s="1"/>
  <c r="M30" i="116"/>
  <c r="M28" i="116" s="1"/>
  <c r="L30" i="116"/>
  <c r="L28" i="116" s="1"/>
  <c r="P643" i="116"/>
  <c r="T643" i="116" s="1"/>
  <c r="P1131" i="116"/>
  <c r="U1131" i="116" s="1"/>
  <c r="P185" i="116"/>
  <c r="T185" i="116" s="1"/>
  <c r="P608" i="116"/>
  <c r="T608" i="116" s="1"/>
  <c r="P589" i="116"/>
  <c r="U589" i="116" s="1"/>
  <c r="P147" i="116"/>
  <c r="R147" i="116" s="1"/>
  <c r="P626" i="116"/>
  <c r="W626" i="116" s="1"/>
  <c r="P155" i="116"/>
  <c r="W155" i="116" s="1"/>
  <c r="P294" i="116"/>
  <c r="T294" i="116" s="1"/>
  <c r="P581" i="116"/>
  <c r="T581" i="116" s="1"/>
  <c r="P113" i="116"/>
  <c r="R113" i="116" s="1"/>
  <c r="P578" i="116"/>
  <c r="R578" i="116" s="1"/>
  <c r="P553" i="116"/>
  <c r="T553" i="116" s="1"/>
  <c r="P606" i="116"/>
  <c r="U606" i="116" s="1"/>
  <c r="P1130" i="116"/>
  <c r="T1130" i="116" s="1"/>
  <c r="P1106" i="116"/>
  <c r="U1106" i="116" s="1"/>
  <c r="P194" i="116"/>
  <c r="W194" i="116" s="1"/>
  <c r="P220" i="116"/>
  <c r="U220" i="116" s="1"/>
  <c r="P44" i="116"/>
  <c r="W44" i="116" s="1"/>
  <c r="H549" i="116"/>
  <c r="P74" i="116"/>
  <c r="U74" i="116" s="1"/>
  <c r="F549" i="116"/>
  <c r="P630" i="116"/>
  <c r="W630" i="116" s="1"/>
  <c r="N549" i="116"/>
  <c r="P613" i="116"/>
  <c r="W613" i="116" s="1"/>
  <c r="P620" i="116"/>
  <c r="R620" i="116" s="1"/>
  <c r="P1085" i="116"/>
  <c r="U1085" i="116" s="1"/>
  <c r="L549" i="116"/>
  <c r="P584" i="116"/>
  <c r="T584" i="116" s="1"/>
  <c r="P308" i="116"/>
  <c r="U308" i="116" s="1"/>
  <c r="P631" i="116"/>
  <c r="T631" i="116" s="1"/>
  <c r="J549" i="116"/>
  <c r="E30" i="116"/>
  <c r="E28" i="116" s="1"/>
  <c r="O549" i="116"/>
  <c r="P556" i="116"/>
  <c r="T556" i="116" s="1"/>
  <c r="W607" i="116"/>
  <c r="P63" i="116"/>
  <c r="U63" i="116" s="1"/>
  <c r="P99" i="116"/>
  <c r="U99" i="116" s="1"/>
  <c r="P82" i="116"/>
  <c r="T82" i="116" s="1"/>
  <c r="P46" i="116"/>
  <c r="P118" i="116"/>
  <c r="W118" i="116" s="1"/>
  <c r="P1081" i="116"/>
  <c r="T1081" i="116" s="1"/>
  <c r="P1086" i="116"/>
  <c r="R1086" i="116" s="1"/>
  <c r="P1091" i="116"/>
  <c r="P1158" i="116"/>
  <c r="U1158" i="116" s="1"/>
  <c r="P138" i="116"/>
  <c r="T138" i="116" s="1"/>
  <c r="I241" i="116"/>
  <c r="P247" i="116"/>
  <c r="U247" i="116" s="1"/>
  <c r="P312" i="116"/>
  <c r="W312" i="116" s="1"/>
  <c r="P336" i="116"/>
  <c r="W336" i="116" s="1"/>
  <c r="P275" i="116"/>
  <c r="R275" i="116" s="1"/>
  <c r="P276" i="116"/>
  <c r="P540" i="116"/>
  <c r="W540" i="116" s="1"/>
  <c r="P485" i="116"/>
  <c r="R485" i="116" s="1"/>
  <c r="P529" i="116"/>
  <c r="W529" i="116" s="1"/>
  <c r="P710" i="116"/>
  <c r="W710" i="116" s="1"/>
  <c r="P784" i="116"/>
  <c r="U784" i="116" s="1"/>
  <c r="P808" i="116"/>
  <c r="U808" i="116" s="1"/>
  <c r="P754" i="116"/>
  <c r="U754" i="116" s="1"/>
  <c r="P794" i="116"/>
  <c r="U794" i="116" s="1"/>
  <c r="P842" i="116"/>
  <c r="W842" i="116" s="1"/>
  <c r="P836" i="116"/>
  <c r="U836" i="116" s="1"/>
  <c r="P793" i="116"/>
  <c r="R793" i="116" s="1"/>
  <c r="P823" i="116"/>
  <c r="P968" i="116"/>
  <c r="W968" i="116" s="1"/>
  <c r="P964" i="116"/>
  <c r="R964" i="116" s="1"/>
  <c r="P1020" i="116"/>
  <c r="W1020" i="116" s="1"/>
  <c r="P983" i="116"/>
  <c r="U983" i="116" s="1"/>
  <c r="P1003" i="116"/>
  <c r="W1003" i="116" s="1"/>
  <c r="P1028" i="116"/>
  <c r="R1028" i="116" s="1"/>
  <c r="O957" i="116"/>
  <c r="O19" i="116" s="1"/>
  <c r="K957" i="116"/>
  <c r="K19" i="116" s="1"/>
  <c r="P1037" i="116"/>
  <c r="W1037" i="116" s="1"/>
  <c r="P969" i="116"/>
  <c r="U969" i="116" s="1"/>
  <c r="P1029" i="116"/>
  <c r="T1029" i="116" s="1"/>
  <c r="AT9" i="8"/>
  <c r="AT10" i="8" s="1"/>
  <c r="P570" i="116"/>
  <c r="R570" i="116" s="1"/>
  <c r="P603" i="116"/>
  <c r="W603" i="116" s="1"/>
  <c r="O241" i="116"/>
  <c r="K549" i="116"/>
  <c r="P646" i="116"/>
  <c r="U646" i="116" s="1"/>
  <c r="P550" i="116"/>
  <c r="U550" i="116" s="1"/>
  <c r="R607" i="116"/>
  <c r="P627" i="116"/>
  <c r="U627" i="116" s="1"/>
  <c r="P595" i="116"/>
  <c r="R595" i="116" s="1"/>
  <c r="P577" i="116"/>
  <c r="W577" i="116" s="1"/>
  <c r="I549" i="116"/>
  <c r="P604" i="116"/>
  <c r="T604" i="116" s="1"/>
  <c r="P1161" i="116"/>
  <c r="W1161" i="116" s="1"/>
  <c r="N1062" i="116"/>
  <c r="N23" i="116" s="1"/>
  <c r="P1093" i="116"/>
  <c r="T1093" i="116" s="1"/>
  <c r="P1129" i="116"/>
  <c r="T1129" i="116" s="1"/>
  <c r="K1062" i="116"/>
  <c r="K23" i="116" s="1"/>
  <c r="H1062" i="116"/>
  <c r="H23" i="116" s="1"/>
  <c r="P1098" i="116"/>
  <c r="T1098" i="116" s="1"/>
  <c r="P1126" i="116"/>
  <c r="W1126" i="116" s="1"/>
  <c r="P1075" i="116"/>
  <c r="W1075" i="116" s="1"/>
  <c r="G1062" i="116"/>
  <c r="G23" i="116" s="1"/>
  <c r="I1062" i="116"/>
  <c r="I23" i="116" s="1"/>
  <c r="P1154" i="116"/>
  <c r="W1154" i="116" s="1"/>
  <c r="P1082" i="116"/>
  <c r="T1082" i="116" s="1"/>
  <c r="P1111" i="116"/>
  <c r="U1111" i="116" s="1"/>
  <c r="P1115" i="116"/>
  <c r="R1115" i="116" s="1"/>
  <c r="P1143" i="116"/>
  <c r="R1143" i="116" s="1"/>
  <c r="P1122" i="116"/>
  <c r="W1122" i="116" s="1"/>
  <c r="P1099" i="116"/>
  <c r="T1099" i="116" s="1"/>
  <c r="P207" i="116"/>
  <c r="T207" i="116" s="1"/>
  <c r="P341" i="116"/>
  <c r="T341" i="116" s="1"/>
  <c r="P283" i="116"/>
  <c r="T283" i="116" s="1"/>
  <c r="P252" i="116"/>
  <c r="U252" i="116" s="1"/>
  <c r="F241" i="116"/>
  <c r="P309" i="116"/>
  <c r="T309" i="116" s="1"/>
  <c r="P335" i="116"/>
  <c r="W335" i="116" s="1"/>
  <c r="P499" i="116"/>
  <c r="R499" i="116" s="1"/>
  <c r="P517" i="116"/>
  <c r="U517" i="116" s="1"/>
  <c r="P498" i="116"/>
  <c r="T498" i="116" s="1"/>
  <c r="P521" i="116"/>
  <c r="W521" i="116" s="1"/>
  <c r="P533" i="116"/>
  <c r="W533" i="116" s="1"/>
  <c r="P742" i="116"/>
  <c r="R742" i="116" s="1"/>
  <c r="P899" i="116"/>
  <c r="U899" i="116" s="1"/>
  <c r="M957" i="116"/>
  <c r="M19" i="116" s="1"/>
  <c r="P1035" i="116"/>
  <c r="W1035" i="116" s="1"/>
  <c r="P973" i="116"/>
  <c r="P1045" i="116"/>
  <c r="U1045" i="116" s="1"/>
  <c r="P1009" i="116"/>
  <c r="U1009" i="116" s="1"/>
  <c r="L1164" i="116"/>
  <c r="L24" i="116" s="1"/>
  <c r="P1251" i="116"/>
  <c r="R1251" i="116" s="1"/>
  <c r="P1262" i="116"/>
  <c r="W1262" i="116" s="1"/>
  <c r="N12" i="13"/>
  <c r="AZ9" i="8"/>
  <c r="E10" i="9"/>
  <c r="Q10" i="9" s="1"/>
  <c r="I957" i="116"/>
  <c r="I19" i="116" s="1"/>
  <c r="P1049" i="116"/>
  <c r="T1049" i="116" s="1"/>
  <c r="P997" i="116"/>
  <c r="W997" i="116" s="1"/>
  <c r="P1225" i="116"/>
  <c r="R1225" i="116" s="1"/>
  <c r="M1164" i="116"/>
  <c r="M24" i="116" s="1"/>
  <c r="P1248" i="116"/>
  <c r="U1248" i="116" s="1"/>
  <c r="AX9" i="8"/>
  <c r="L12" i="13"/>
  <c r="E24" i="38"/>
  <c r="P224" i="116"/>
  <c r="U224" i="116" s="1"/>
  <c r="P137" i="116"/>
  <c r="T137" i="116" s="1"/>
  <c r="P164" i="116"/>
  <c r="W164" i="116" s="1"/>
  <c r="P187" i="116"/>
  <c r="R187" i="116" s="1"/>
  <c r="P150" i="116"/>
  <c r="W150" i="116" s="1"/>
  <c r="P172" i="116"/>
  <c r="W172" i="116" s="1"/>
  <c r="P217" i="116"/>
  <c r="U217" i="116" s="1"/>
  <c r="P233" i="116"/>
  <c r="R233" i="116" s="1"/>
  <c r="P282" i="116"/>
  <c r="R282" i="116" s="1"/>
  <c r="P318" i="116"/>
  <c r="U318" i="116" s="1"/>
  <c r="P319" i="116"/>
  <c r="W319" i="116" s="1"/>
  <c r="P332" i="116"/>
  <c r="U332" i="116" s="1"/>
  <c r="P503" i="116"/>
  <c r="W503" i="116" s="1"/>
  <c r="P484" i="116"/>
  <c r="U484" i="116" s="1"/>
  <c r="D753" i="116"/>
  <c r="D17" i="116" s="1"/>
  <c r="P805" i="116"/>
  <c r="T805" i="116" s="1"/>
  <c r="P960" i="116"/>
  <c r="U960" i="116" s="1"/>
  <c r="P987" i="116"/>
  <c r="T987" i="116" s="1"/>
  <c r="P1056" i="116"/>
  <c r="R1056" i="116" s="1"/>
  <c r="P1012" i="116"/>
  <c r="R1012" i="116" s="1"/>
  <c r="P1013" i="116"/>
  <c r="U1013" i="116" s="1"/>
  <c r="P1033" i="116"/>
  <c r="W1033" i="116" s="1"/>
  <c r="P1057" i="116"/>
  <c r="U1057" i="116" s="1"/>
  <c r="P1186" i="116"/>
  <c r="U1186" i="116" s="1"/>
  <c r="P1239" i="116"/>
  <c r="T1239" i="116" s="1"/>
  <c r="P1175" i="116"/>
  <c r="U1175" i="116" s="1"/>
  <c r="O1164" i="116"/>
  <c r="O24" i="116" s="1"/>
  <c r="P1190" i="116"/>
  <c r="U1190" i="116" s="1"/>
  <c r="G20" i="13"/>
  <c r="AS9" i="8"/>
  <c r="E11" i="9"/>
  <c r="Q11" i="9" s="1"/>
  <c r="P1145" i="116"/>
  <c r="R1145" i="116" s="1"/>
  <c r="P1137" i="116"/>
  <c r="U1137" i="116" s="1"/>
  <c r="P1159" i="116"/>
  <c r="U1159" i="116" s="1"/>
  <c r="P198" i="116"/>
  <c r="U198" i="116" s="1"/>
  <c r="P169" i="116"/>
  <c r="U169" i="116" s="1"/>
  <c r="P491" i="116"/>
  <c r="T491" i="116" s="1"/>
  <c r="P896" i="116"/>
  <c r="W896" i="116" s="1"/>
  <c r="P923" i="116"/>
  <c r="W923" i="116" s="1"/>
  <c r="P880" i="116"/>
  <c r="T880" i="116" s="1"/>
  <c r="N957" i="116"/>
  <c r="N19" i="116" s="1"/>
  <c r="P992" i="116"/>
  <c r="U992" i="116" s="1"/>
  <c r="P961" i="116"/>
  <c r="U961" i="116" s="1"/>
  <c r="P981" i="116"/>
  <c r="W981" i="116" s="1"/>
  <c r="P1021" i="116"/>
  <c r="R1021" i="116" s="1"/>
  <c r="P1171" i="116"/>
  <c r="W1171" i="116" s="1"/>
  <c r="P1249" i="116"/>
  <c r="T1249" i="116" s="1"/>
  <c r="P1165" i="116"/>
  <c r="T1165" i="116" s="1"/>
  <c r="P1240" i="116"/>
  <c r="W1240" i="116" s="1"/>
  <c r="E29" i="9"/>
  <c r="Q29" i="9" s="1"/>
  <c r="E35" i="38"/>
  <c r="I12" i="13"/>
  <c r="AU9" i="8"/>
  <c r="E13" i="9"/>
  <c r="Q13" i="9" s="1"/>
  <c r="P114" i="116"/>
  <c r="W114" i="116" s="1"/>
  <c r="P1105" i="116"/>
  <c r="U1105" i="116" s="1"/>
  <c r="P232" i="116"/>
  <c r="R232" i="116" s="1"/>
  <c r="P151" i="116"/>
  <c r="W151" i="116" s="1"/>
  <c r="P166" i="116"/>
  <c r="U166" i="116" s="1"/>
  <c r="P165" i="116"/>
  <c r="W165" i="116" s="1"/>
  <c r="P219" i="116"/>
  <c r="W219" i="116" s="1"/>
  <c r="P175" i="116"/>
  <c r="U175" i="116" s="1"/>
  <c r="P218" i="116"/>
  <c r="R218" i="116" s="1"/>
  <c r="P152" i="116"/>
  <c r="U152" i="116" s="1"/>
  <c r="M241" i="116"/>
  <c r="P271" i="116"/>
  <c r="W271" i="116" s="1"/>
  <c r="F30" i="116"/>
  <c r="F28" i="116" s="1"/>
  <c r="P69" i="116"/>
  <c r="W69" i="116" s="1"/>
  <c r="P117" i="116"/>
  <c r="W117" i="116" s="1"/>
  <c r="P39" i="116"/>
  <c r="U39" i="116" s="1"/>
  <c r="P75" i="116"/>
  <c r="W75" i="116" s="1"/>
  <c r="P1101" i="116"/>
  <c r="U1101" i="116" s="1"/>
  <c r="P1157" i="116"/>
  <c r="W1157" i="116" s="1"/>
  <c r="P1103" i="116"/>
  <c r="W1103" i="116" s="1"/>
  <c r="P193" i="116"/>
  <c r="U193" i="116" s="1"/>
  <c r="P208" i="116"/>
  <c r="W208" i="116" s="1"/>
  <c r="P148" i="116"/>
  <c r="W148" i="116" s="1"/>
  <c r="P182" i="116"/>
  <c r="R182" i="116" s="1"/>
  <c r="P205" i="116"/>
  <c r="P167" i="116"/>
  <c r="W167" i="116" s="1"/>
  <c r="P230" i="116"/>
  <c r="W230" i="116" s="1"/>
  <c r="P202" i="116"/>
  <c r="U202" i="116" s="1"/>
  <c r="P257" i="116"/>
  <c r="T257" i="116" s="1"/>
  <c r="P259" i="116"/>
  <c r="U259" i="116" s="1"/>
  <c r="P299" i="116"/>
  <c r="R299" i="116" s="1"/>
  <c r="H343" i="116"/>
  <c r="P427" i="116"/>
  <c r="W427" i="116" s="1"/>
  <c r="G343" i="116"/>
  <c r="P832" i="116"/>
  <c r="W832" i="116" s="1"/>
  <c r="P883" i="116"/>
  <c r="R883" i="116" s="1"/>
  <c r="P894" i="116"/>
  <c r="U894" i="116" s="1"/>
  <c r="P919" i="116"/>
  <c r="R919" i="116" s="1"/>
  <c r="P858" i="116"/>
  <c r="T858" i="116" s="1"/>
  <c r="P859" i="116"/>
  <c r="T859" i="116" s="1"/>
  <c r="L855" i="116"/>
  <c r="L18" i="116" s="1"/>
  <c r="I855" i="116"/>
  <c r="I18" i="116" s="1"/>
  <c r="P920" i="116"/>
  <c r="U920" i="116" s="1"/>
  <c r="M855" i="116"/>
  <c r="M18" i="116" s="1"/>
  <c r="P909" i="116"/>
  <c r="W909" i="116" s="1"/>
  <c r="P928" i="116"/>
  <c r="U928" i="116" s="1"/>
  <c r="F855" i="116"/>
  <c r="F18" i="116" s="1"/>
  <c r="P860" i="116"/>
  <c r="U860" i="116" s="1"/>
  <c r="P864" i="116"/>
  <c r="P911" i="116"/>
  <c r="W911" i="116" s="1"/>
  <c r="P931" i="116"/>
  <c r="U931" i="116" s="1"/>
  <c r="P888" i="116"/>
  <c r="U888" i="116" s="1"/>
  <c r="P934" i="116"/>
  <c r="T934" i="116" s="1"/>
  <c r="P938" i="116"/>
  <c r="W938" i="116" s="1"/>
  <c r="P942" i="116"/>
  <c r="W942" i="116" s="1"/>
  <c r="P954" i="116"/>
  <c r="T954" i="116" s="1"/>
  <c r="P877" i="116"/>
  <c r="W877" i="116" s="1"/>
  <c r="P893" i="116"/>
  <c r="U893" i="116" s="1"/>
  <c r="P907" i="116"/>
  <c r="T907" i="116" s="1"/>
  <c r="P869" i="116"/>
  <c r="T869" i="116" s="1"/>
  <c r="P980" i="116"/>
  <c r="P976" i="116"/>
  <c r="U976" i="116" s="1"/>
  <c r="P1005" i="116"/>
  <c r="R1005" i="116" s="1"/>
  <c r="P989" i="116"/>
  <c r="U989" i="116" s="1"/>
  <c r="G957" i="116"/>
  <c r="G19" i="116" s="1"/>
  <c r="P1210" i="116"/>
  <c r="U1210" i="116" s="1"/>
  <c r="N1164" i="116"/>
  <c r="N24" i="116" s="1"/>
  <c r="P1243" i="116"/>
  <c r="W1243" i="116" s="1"/>
  <c r="P1238" i="116"/>
  <c r="W1238" i="116" s="1"/>
  <c r="E7" i="9"/>
  <c r="Q7" i="9" s="1"/>
  <c r="E34" i="9"/>
  <c r="Q34" i="9" s="1"/>
  <c r="F20" i="13"/>
  <c r="P248" i="116"/>
  <c r="W248" i="116" s="1"/>
  <c r="I343" i="116"/>
  <c r="E343" i="116"/>
  <c r="P354" i="116"/>
  <c r="U354" i="116" s="1"/>
  <c r="K343" i="116"/>
  <c r="P423" i="116"/>
  <c r="U423" i="116" s="1"/>
  <c r="P399" i="116"/>
  <c r="T399" i="116" s="1"/>
  <c r="F343" i="116"/>
  <c r="N343" i="116"/>
  <c r="P370" i="116"/>
  <c r="W370" i="116" s="1"/>
  <c r="L445" i="116"/>
  <c r="P494" i="116"/>
  <c r="W494" i="116" s="1"/>
  <c r="P716" i="116"/>
  <c r="W716" i="116" s="1"/>
  <c r="P770" i="116"/>
  <c r="U770" i="116" s="1"/>
  <c r="P879" i="116"/>
  <c r="W879" i="116" s="1"/>
  <c r="P895" i="116"/>
  <c r="W895" i="116" s="1"/>
  <c r="P914" i="116"/>
  <c r="R914" i="116" s="1"/>
  <c r="P915" i="116"/>
  <c r="W915" i="116" s="1"/>
  <c r="P887" i="116"/>
  <c r="W887" i="116" s="1"/>
  <c r="J855" i="116"/>
  <c r="J18" i="116" s="1"/>
  <c r="P900" i="116"/>
  <c r="T900" i="116" s="1"/>
  <c r="P872" i="116"/>
  <c r="T872" i="116" s="1"/>
  <c r="N855" i="116"/>
  <c r="N18" i="116" s="1"/>
  <c r="H855" i="116"/>
  <c r="H18" i="116" s="1"/>
  <c r="P1179" i="116"/>
  <c r="T1179" i="116" s="1"/>
  <c r="P1187" i="116"/>
  <c r="U1187" i="116" s="1"/>
  <c r="P1199" i="116"/>
  <c r="U1199" i="116" s="1"/>
  <c r="P1231" i="116"/>
  <c r="R1231" i="116" s="1"/>
  <c r="E33" i="38"/>
  <c r="E8" i="38"/>
  <c r="C20" i="13"/>
  <c r="E26" i="9"/>
  <c r="Q26" i="9" s="1"/>
  <c r="L343" i="116"/>
  <c r="D343" i="116"/>
  <c r="P374" i="116"/>
  <c r="T374" i="116" s="1"/>
  <c r="K445" i="116"/>
  <c r="P476" i="116"/>
  <c r="U476" i="116" s="1"/>
  <c r="H445" i="116"/>
  <c r="J445" i="116"/>
  <c r="P509" i="116"/>
  <c r="W509" i="116" s="1"/>
  <c r="P541" i="116"/>
  <c r="U541" i="116" s="1"/>
  <c r="D445" i="116"/>
  <c r="P514" i="116"/>
  <c r="U514" i="116" s="1"/>
  <c r="P706" i="116"/>
  <c r="U706" i="116" s="1"/>
  <c r="P732" i="116"/>
  <c r="R732" i="116" s="1"/>
  <c r="P726" i="116"/>
  <c r="R726" i="116" s="1"/>
  <c r="P676" i="116"/>
  <c r="W676" i="116" s="1"/>
  <c r="P695" i="116"/>
  <c r="U695" i="116" s="1"/>
  <c r="P661" i="116"/>
  <c r="P731" i="116"/>
  <c r="R731" i="116" s="1"/>
  <c r="P683" i="116"/>
  <c r="R683" i="116" s="1"/>
  <c r="K651" i="116"/>
  <c r="P707" i="116"/>
  <c r="W707" i="116" s="1"/>
  <c r="P665" i="116"/>
  <c r="U665" i="116" s="1"/>
  <c r="P734" i="116"/>
  <c r="T734" i="116" s="1"/>
  <c r="P712" i="116"/>
  <c r="R712" i="116" s="1"/>
  <c r="P685" i="116"/>
  <c r="R685" i="116" s="1"/>
  <c r="P670" i="116"/>
  <c r="T670" i="116" s="1"/>
  <c r="P747" i="116"/>
  <c r="U747" i="116" s="1"/>
  <c r="P850" i="116"/>
  <c r="U850" i="116" s="1"/>
  <c r="P902" i="116"/>
  <c r="P903" i="116"/>
  <c r="R903" i="116" s="1"/>
  <c r="P918" i="116"/>
  <c r="W918" i="116" s="1"/>
  <c r="E855" i="116"/>
  <c r="E18" i="116" s="1"/>
  <c r="K855" i="116"/>
  <c r="K18" i="116" s="1"/>
  <c r="P885" i="116"/>
  <c r="R885" i="116" s="1"/>
  <c r="D855" i="116"/>
  <c r="D18" i="116" s="1"/>
  <c r="P950" i="116"/>
  <c r="U950" i="116" s="1"/>
  <c r="P1015" i="116"/>
  <c r="T1015" i="116" s="1"/>
  <c r="P1193" i="116"/>
  <c r="R1193" i="116" s="1"/>
  <c r="P1218" i="116"/>
  <c r="W1218" i="116" s="1"/>
  <c r="P1169" i="116"/>
  <c r="T1169" i="116" s="1"/>
  <c r="AO9" i="8"/>
  <c r="AO11" i="8" s="1"/>
  <c r="E26" i="38"/>
  <c r="P307" i="116"/>
  <c r="W307" i="116" s="1"/>
  <c r="P272" i="116"/>
  <c r="W272" i="116" s="1"/>
  <c r="P324" i="116"/>
  <c r="U324" i="116" s="1"/>
  <c r="G241" i="116"/>
  <c r="E241" i="116"/>
  <c r="P250" i="116"/>
  <c r="R250" i="116" s="1"/>
  <c r="P298" i="116"/>
  <c r="U298" i="116" s="1"/>
  <c r="P263" i="116"/>
  <c r="U263" i="116" s="1"/>
  <c r="I445" i="116"/>
  <c r="P501" i="116"/>
  <c r="W501" i="116" s="1"/>
  <c r="M445" i="116"/>
  <c r="P496" i="116"/>
  <c r="W496" i="116" s="1"/>
  <c r="P524" i="116"/>
  <c r="W524" i="116" s="1"/>
  <c r="P532" i="116"/>
  <c r="T532" i="116" s="1"/>
  <c r="O445" i="116"/>
  <c r="P489" i="116"/>
  <c r="W489" i="116" s="1"/>
  <c r="P545" i="116"/>
  <c r="R545" i="116" s="1"/>
  <c r="G445" i="116"/>
  <c r="P675" i="116"/>
  <c r="R675" i="116" s="1"/>
  <c r="P729" i="116"/>
  <c r="R729" i="116" s="1"/>
  <c r="P698" i="116"/>
  <c r="U698" i="116" s="1"/>
  <c r="P711" i="116"/>
  <c r="U711" i="116" s="1"/>
  <c r="P666" i="116"/>
  <c r="R666" i="116" s="1"/>
  <c r="P715" i="116"/>
  <c r="U715" i="116" s="1"/>
  <c r="P721" i="116"/>
  <c r="W721" i="116" s="1"/>
  <c r="P741" i="116"/>
  <c r="W741" i="116" s="1"/>
  <c r="P875" i="116"/>
  <c r="U875" i="116" s="1"/>
  <c r="P898" i="116"/>
  <c r="W898" i="116" s="1"/>
  <c r="P1044" i="116"/>
  <c r="U1044" i="116" s="1"/>
  <c r="P988" i="116"/>
  <c r="U988" i="116" s="1"/>
  <c r="P1048" i="116"/>
  <c r="W1048" i="116" s="1"/>
  <c r="P1194" i="116"/>
  <c r="U1194" i="116" s="1"/>
  <c r="P1176" i="116"/>
  <c r="W1176" i="116" s="1"/>
  <c r="P1183" i="116"/>
  <c r="U1183" i="116" s="1"/>
  <c r="P1172" i="116"/>
  <c r="T1172" i="116" s="1"/>
  <c r="P1197" i="116"/>
  <c r="W1197" i="116" s="1"/>
  <c r="N20" i="13"/>
  <c r="P635" i="116"/>
  <c r="R635" i="116" s="1"/>
  <c r="P273" i="116"/>
  <c r="R273" i="116" s="1"/>
  <c r="J241" i="116"/>
  <c r="P288" i="116"/>
  <c r="W288" i="116" s="1"/>
  <c r="P297" i="116"/>
  <c r="T297" i="116" s="1"/>
  <c r="K241" i="116"/>
  <c r="P249" i="116"/>
  <c r="W249" i="116" s="1"/>
  <c r="P500" i="116"/>
  <c r="U500" i="116" s="1"/>
  <c r="P493" i="116"/>
  <c r="W493" i="116" s="1"/>
  <c r="P681" i="116"/>
  <c r="W681" i="116" s="1"/>
  <c r="P724" i="116"/>
  <c r="U724" i="116" s="1"/>
  <c r="P686" i="116"/>
  <c r="R686" i="116" s="1"/>
  <c r="P720" i="116"/>
  <c r="U720" i="116" s="1"/>
  <c r="P796" i="116"/>
  <c r="W796" i="116" s="1"/>
  <c r="P814" i="116"/>
  <c r="W814" i="116" s="1"/>
  <c r="P830" i="116"/>
  <c r="W830" i="116" s="1"/>
  <c r="P776" i="116"/>
  <c r="U776" i="116" s="1"/>
  <c r="P806" i="116"/>
  <c r="R806" i="116" s="1"/>
  <c r="M753" i="116"/>
  <c r="M17" i="116" s="1"/>
  <c r="P878" i="116"/>
  <c r="T878" i="116" s="1"/>
  <c r="E21" i="38"/>
  <c r="E16" i="38"/>
  <c r="E18" i="9"/>
  <c r="Q18" i="9" s="1"/>
  <c r="E24" i="9"/>
  <c r="Q24" i="9" s="1"/>
  <c r="P597" i="116"/>
  <c r="W597" i="116" s="1"/>
  <c r="P621" i="116"/>
  <c r="W621" i="116" s="1"/>
  <c r="P323" i="116"/>
  <c r="T323" i="116" s="1"/>
  <c r="H241" i="116"/>
  <c r="P480" i="116"/>
  <c r="W480" i="116" s="1"/>
  <c r="P544" i="116"/>
  <c r="W544" i="116" s="1"/>
  <c r="P537" i="116"/>
  <c r="W537" i="116" s="1"/>
  <c r="P713" i="116"/>
  <c r="T713" i="116" s="1"/>
  <c r="P692" i="116"/>
  <c r="U692" i="116" s="1"/>
  <c r="P655" i="116"/>
  <c r="U655" i="116" s="1"/>
  <c r="F651" i="116"/>
  <c r="P669" i="116"/>
  <c r="T669" i="116" s="1"/>
  <c r="P740" i="116"/>
  <c r="R740" i="116" s="1"/>
  <c r="P751" i="116"/>
  <c r="W751" i="116" s="1"/>
  <c r="P790" i="116"/>
  <c r="W790" i="116" s="1"/>
  <c r="P778" i="116"/>
  <c r="W778" i="116" s="1"/>
  <c r="P782" i="116"/>
  <c r="U782" i="116" s="1"/>
  <c r="E753" i="116"/>
  <c r="E17" i="116" s="1"/>
  <c r="P769" i="116"/>
  <c r="R769" i="116" s="1"/>
  <c r="P775" i="116"/>
  <c r="T775" i="116" s="1"/>
  <c r="P799" i="116"/>
  <c r="U799" i="116" s="1"/>
  <c r="P841" i="116"/>
  <c r="U841" i="116" s="1"/>
  <c r="P853" i="116"/>
  <c r="T853" i="116" s="1"/>
  <c r="P874" i="116"/>
  <c r="R874" i="116" s="1"/>
  <c r="P1036" i="116"/>
  <c r="U1036" i="116" s="1"/>
  <c r="J957" i="116"/>
  <c r="J19" i="116" s="1"/>
  <c r="H957" i="116"/>
  <c r="H19" i="116" s="1"/>
  <c r="P1263" i="116"/>
  <c r="R1263" i="116" s="1"/>
  <c r="E21" i="9"/>
  <c r="Q21" i="9" s="1"/>
  <c r="E18" i="38"/>
  <c r="AP9" i="8"/>
  <c r="E28" i="9"/>
  <c r="Q28" i="9" s="1"/>
  <c r="P610" i="116"/>
  <c r="R610" i="116" s="1"/>
  <c r="AJ8" i="8"/>
  <c r="AL8" i="8" s="1"/>
  <c r="P107" i="116"/>
  <c r="W107" i="116" s="1"/>
  <c r="P561" i="116"/>
  <c r="U561" i="116" s="1"/>
  <c r="P333" i="116"/>
  <c r="T333" i="116" s="1"/>
  <c r="P311" i="116"/>
  <c r="W311" i="116" s="1"/>
  <c r="J343" i="116"/>
  <c r="P439" i="116"/>
  <c r="W439" i="116" s="1"/>
  <c r="P394" i="116"/>
  <c r="U394" i="116" s="1"/>
  <c r="P483" i="116"/>
  <c r="T483" i="116" s="1"/>
  <c r="P539" i="116"/>
  <c r="R539" i="116" s="1"/>
  <c r="P526" i="116"/>
  <c r="U526" i="116" s="1"/>
  <c r="D549" i="116"/>
  <c r="P108" i="116"/>
  <c r="T108" i="116" s="1"/>
  <c r="P65" i="116"/>
  <c r="W65" i="116" s="1"/>
  <c r="P119" i="116"/>
  <c r="W119" i="116" s="1"/>
  <c r="O30" i="116"/>
  <c r="O28" i="116" s="1"/>
  <c r="P100" i="116"/>
  <c r="W100" i="116" s="1"/>
  <c r="P567" i="116"/>
  <c r="U567" i="116" s="1"/>
  <c r="P615" i="116"/>
  <c r="U615" i="116" s="1"/>
  <c r="P1133" i="116"/>
  <c r="W1133" i="116" s="1"/>
  <c r="P264" i="116"/>
  <c r="W264" i="116" s="1"/>
  <c r="P285" i="116"/>
  <c r="T285" i="116" s="1"/>
  <c r="P261" i="116"/>
  <c r="U261" i="116" s="1"/>
  <c r="N241" i="116"/>
  <c r="P286" i="116"/>
  <c r="W286" i="116" s="1"/>
  <c r="P511" i="116"/>
  <c r="W511" i="116" s="1"/>
  <c r="P527" i="116"/>
  <c r="R527" i="116" s="1"/>
  <c r="P543" i="116"/>
  <c r="U543" i="116" s="1"/>
  <c r="N445" i="116"/>
  <c r="P504" i="116"/>
  <c r="U504" i="116" s="1"/>
  <c r="P512" i="116"/>
  <c r="W512" i="116" s="1"/>
  <c r="P528" i="116"/>
  <c r="U528" i="116" s="1"/>
  <c r="P473" i="116"/>
  <c r="U473" i="116" s="1"/>
  <c r="F445" i="116"/>
  <c r="P703" i="116"/>
  <c r="W703" i="116" s="1"/>
  <c r="P748" i="116"/>
  <c r="U748" i="116" s="1"/>
  <c r="P652" i="116"/>
  <c r="W652" i="116" s="1"/>
  <c r="P701" i="116"/>
  <c r="U701" i="116" s="1"/>
  <c r="P699" i="116"/>
  <c r="T699" i="116" s="1"/>
  <c r="P772" i="116"/>
  <c r="R772" i="116" s="1"/>
  <c r="P800" i="116"/>
  <c r="T800" i="116" s="1"/>
  <c r="P764" i="116"/>
  <c r="W764" i="116" s="1"/>
  <c r="P818" i="116"/>
  <c r="R818" i="116" s="1"/>
  <c r="P848" i="116"/>
  <c r="U848" i="116" s="1"/>
  <c r="H753" i="116"/>
  <c r="H17" i="116" s="1"/>
  <c r="P835" i="116"/>
  <c r="U835" i="116" s="1"/>
  <c r="P922" i="116"/>
  <c r="W922" i="116" s="1"/>
  <c r="P870" i="116"/>
  <c r="T870" i="116" s="1"/>
  <c r="L957" i="116"/>
  <c r="L19" i="116" s="1"/>
  <c r="P984" i="116"/>
  <c r="U984" i="116" s="1"/>
  <c r="P1025" i="116"/>
  <c r="R1025" i="116" s="1"/>
  <c r="P1041" i="116"/>
  <c r="T1041" i="116" s="1"/>
  <c r="P1208" i="116"/>
  <c r="T1208" i="116" s="1"/>
  <c r="P1257" i="116"/>
  <c r="U1257" i="116" s="1"/>
  <c r="E33" i="9"/>
  <c r="Q33" i="9" s="1"/>
  <c r="E22" i="38"/>
  <c r="E29" i="38"/>
  <c r="E32" i="38"/>
  <c r="E10" i="38"/>
  <c r="R1191" i="116"/>
  <c r="P1209" i="116"/>
  <c r="R1209" i="116" s="1"/>
  <c r="P1256" i="116"/>
  <c r="I1164" i="116"/>
  <c r="I24" i="116" s="1"/>
  <c r="E1164" i="116"/>
  <c r="E24" i="116" s="1"/>
  <c r="P1255" i="116"/>
  <c r="G1164" i="116"/>
  <c r="G24" i="116" s="1"/>
  <c r="F1164" i="116"/>
  <c r="F24" i="116" s="1"/>
  <c r="P1254" i="116"/>
  <c r="P1173" i="116"/>
  <c r="P1212" i="116"/>
  <c r="H1164" i="116"/>
  <c r="H24" i="116" s="1"/>
  <c r="F957" i="116"/>
  <c r="F19" i="116" s="1"/>
  <c r="D957" i="116"/>
  <c r="D19" i="116" s="1"/>
  <c r="P1008" i="116"/>
  <c r="P1000" i="116"/>
  <c r="P1040" i="116"/>
  <c r="P1016" i="116"/>
  <c r="P1052" i="116"/>
  <c r="E957" i="116"/>
  <c r="E19" i="116" s="1"/>
  <c r="P977" i="116"/>
  <c r="G855" i="116"/>
  <c r="G18" i="116" s="1"/>
  <c r="P908" i="116"/>
  <c r="P857" i="116"/>
  <c r="U857" i="116" s="1"/>
  <c r="P933" i="116"/>
  <c r="O855" i="116"/>
  <c r="O18" i="116" s="1"/>
  <c r="P871" i="116"/>
  <c r="G753" i="116"/>
  <c r="G17" i="116" s="1"/>
  <c r="W767" i="116"/>
  <c r="I753" i="116"/>
  <c r="I17" i="116" s="1"/>
  <c r="K753" i="116"/>
  <c r="K17" i="116" s="1"/>
  <c r="P757" i="116"/>
  <c r="F753" i="116"/>
  <c r="F17" i="116" s="1"/>
  <c r="P763" i="116"/>
  <c r="W763" i="116" s="1"/>
  <c r="J753" i="116"/>
  <c r="J17" i="116" s="1"/>
  <c r="N753" i="116"/>
  <c r="N17" i="116" s="1"/>
  <c r="P824" i="116"/>
  <c r="U767" i="116"/>
  <c r="P717" i="116"/>
  <c r="P727" i="116"/>
  <c r="W727" i="116" s="1"/>
  <c r="P700" i="116"/>
  <c r="P714" i="116"/>
  <c r="W714" i="116" s="1"/>
  <c r="P668" i="116"/>
  <c r="P704" i="116"/>
  <c r="U704" i="116" s="1"/>
  <c r="P697" i="116"/>
  <c r="P656" i="116"/>
  <c r="P722" i="116"/>
  <c r="U722" i="116" s="1"/>
  <c r="P694" i="116"/>
  <c r="P719" i="116"/>
  <c r="M651" i="116"/>
  <c r="P662" i="116"/>
  <c r="T662" i="116" s="1"/>
  <c r="D651" i="116"/>
  <c r="P674" i="116"/>
  <c r="U674" i="116" s="1"/>
  <c r="P671" i="116"/>
  <c r="R671" i="116" s="1"/>
  <c r="P735" i="116"/>
  <c r="R735" i="116" s="1"/>
  <c r="P689" i="116"/>
  <c r="P725" i="116"/>
  <c r="P736" i="116"/>
  <c r="P667" i="116"/>
  <c r="P696" i="116"/>
  <c r="W696" i="116" s="1"/>
  <c r="P682" i="116"/>
  <c r="W682" i="116" s="1"/>
  <c r="P718" i="116"/>
  <c r="L651" i="116"/>
  <c r="N651" i="116"/>
  <c r="O651" i="116"/>
  <c r="I651" i="116"/>
  <c r="H651" i="116"/>
  <c r="P654" i="116"/>
  <c r="P750" i="116"/>
  <c r="P684" i="116"/>
  <c r="P510" i="116"/>
  <c r="P542" i="116"/>
  <c r="P506" i="116"/>
  <c r="P497" i="116"/>
  <c r="P530" i="116"/>
  <c r="P505" i="116"/>
  <c r="P502" i="116"/>
  <c r="P534" i="116"/>
  <c r="P474" i="116"/>
  <c r="W474" i="116" s="1"/>
  <c r="E445" i="116"/>
  <c r="P525" i="116"/>
  <c r="P518" i="116"/>
  <c r="P366" i="116"/>
  <c r="P358" i="116"/>
  <c r="P351" i="116"/>
  <c r="W351" i="116" s="1"/>
  <c r="P390" i="116"/>
  <c r="D241" i="116"/>
  <c r="P260" i="116"/>
  <c r="P274" i="116"/>
  <c r="W290" i="116"/>
  <c r="P246" i="116"/>
  <c r="P242" i="116"/>
  <c r="P306" i="116"/>
  <c r="P300" i="116"/>
  <c r="P310" i="116"/>
  <c r="R338" i="116"/>
  <c r="P262" i="116"/>
  <c r="P258" i="116"/>
  <c r="R290" i="116"/>
  <c r="P322" i="116"/>
  <c r="P334" i="116"/>
  <c r="P270" i="116"/>
  <c r="R279" i="116"/>
  <c r="P320" i="116"/>
  <c r="P234" i="116"/>
  <c r="P216" i="116"/>
  <c r="P156" i="116"/>
  <c r="P204" i="116"/>
  <c r="T204" i="116" s="1"/>
  <c r="P191" i="116"/>
  <c r="W191" i="116" s="1"/>
  <c r="P163" i="116"/>
  <c r="P212" i="116"/>
  <c r="P186" i="116"/>
  <c r="M135" i="116"/>
  <c r="M133" i="116" s="1"/>
  <c r="M10" i="116" s="1"/>
  <c r="M11" i="116" s="1"/>
  <c r="P222" i="116"/>
  <c r="U222" i="116" s="1"/>
  <c r="O135" i="116"/>
  <c r="O133" i="116" s="1"/>
  <c r="O10" i="116" s="1"/>
  <c r="O12" i="116" s="1"/>
  <c r="P196" i="116"/>
  <c r="T196" i="116" s="1"/>
  <c r="H135" i="116"/>
  <c r="H133" i="116" s="1"/>
  <c r="F135" i="116"/>
  <c r="F133" i="116" s="1"/>
  <c r="F10" i="116" s="1"/>
  <c r="F11" i="116" s="1"/>
  <c r="P223" i="116"/>
  <c r="P183" i="116"/>
  <c r="W183" i="116" s="1"/>
  <c r="L135" i="116"/>
  <c r="L133" i="116" s="1"/>
  <c r="L10" i="116" s="1"/>
  <c r="L11" i="116" s="1"/>
  <c r="E135" i="116"/>
  <c r="E133" i="116" s="1"/>
  <c r="E10" i="116" s="1"/>
  <c r="P231" i="116"/>
  <c r="P213" i="116"/>
  <c r="P189" i="116"/>
  <c r="N135" i="116"/>
  <c r="N133" i="116" s="1"/>
  <c r="N10" i="116" s="1"/>
  <c r="K135" i="116"/>
  <c r="K133" i="116" s="1"/>
  <c r="K10" i="116" s="1"/>
  <c r="P215" i="116"/>
  <c r="P177" i="116"/>
  <c r="P200" i="116"/>
  <c r="P1078" i="116"/>
  <c r="T1078" i="116" s="1"/>
  <c r="F1062" i="116"/>
  <c r="F23" i="116" s="1"/>
  <c r="P1135" i="116"/>
  <c r="P1089" i="116"/>
  <c r="P1087" i="116"/>
  <c r="P1066" i="116"/>
  <c r="T1066" i="116" s="1"/>
  <c r="P1069" i="116"/>
  <c r="P1067" i="116"/>
  <c r="P1077" i="116"/>
  <c r="P1095" i="116"/>
  <c r="P1073" i="116"/>
  <c r="M1062" i="116"/>
  <c r="M23" i="116" s="1"/>
  <c r="P1079" i="116"/>
  <c r="P555" i="116"/>
  <c r="U555" i="116" s="1"/>
  <c r="P600" i="116"/>
  <c r="W582" i="116"/>
  <c r="E549" i="116"/>
  <c r="U590" i="116"/>
  <c r="P601" i="116"/>
  <c r="P591" i="116"/>
  <c r="J30" i="116"/>
  <c r="J28" i="116" s="1"/>
  <c r="P116" i="116"/>
  <c r="D30" i="116"/>
  <c r="D28" i="116" s="1"/>
  <c r="P90" i="116"/>
  <c r="P120" i="116"/>
  <c r="P104" i="116"/>
  <c r="P64" i="116"/>
  <c r="P80" i="116"/>
  <c r="P36" i="116"/>
  <c r="T36" i="116" s="1"/>
  <c r="P50" i="116"/>
  <c r="P78" i="116"/>
  <c r="P84" i="116"/>
  <c r="P38" i="116"/>
  <c r="P98" i="116"/>
  <c r="P66" i="116"/>
  <c r="P130" i="116"/>
  <c r="P60" i="116"/>
  <c r="P126" i="116"/>
  <c r="O13" i="64"/>
  <c r="O17" i="64"/>
  <c r="O15" i="64"/>
  <c r="O12" i="64"/>
  <c r="O14" i="64"/>
  <c r="O18" i="64"/>
  <c r="O19" i="64"/>
  <c r="O11" i="64"/>
  <c r="O24" i="64"/>
  <c r="O21" i="64"/>
  <c r="O9" i="64"/>
  <c r="O20" i="64"/>
  <c r="O7" i="64"/>
  <c r="O16" i="64"/>
  <c r="O22" i="64"/>
  <c r="O8" i="64"/>
  <c r="O25" i="64"/>
  <c r="AY9" i="8"/>
  <c r="M12" i="13"/>
  <c r="P1253" i="116"/>
  <c r="P1222" i="116"/>
  <c r="O26" i="64"/>
  <c r="U221" i="116"/>
  <c r="T1170" i="116"/>
  <c r="R771" i="116"/>
  <c r="U105" i="116"/>
  <c r="R105" i="116"/>
  <c r="U45" i="116"/>
  <c r="P161" i="116"/>
  <c r="T459" i="116"/>
  <c r="W400" i="116"/>
  <c r="R966" i="116"/>
  <c r="U1002" i="116"/>
  <c r="W843" i="116"/>
  <c r="R843" i="116"/>
  <c r="R392" i="116"/>
  <c r="T1147" i="116"/>
  <c r="W432" i="116"/>
  <c r="U144" i="116"/>
  <c r="T144" i="116"/>
  <c r="W144" i="116"/>
  <c r="R144" i="116"/>
  <c r="R985" i="116"/>
  <c r="T1136" i="116"/>
  <c r="W1136" i="116"/>
  <c r="U664" i="116"/>
  <c r="R876" i="116"/>
  <c r="T876" i="116"/>
  <c r="U876" i="116"/>
  <c r="W876" i="116"/>
  <c r="W538" i="116"/>
  <c r="U538" i="116"/>
  <c r="T538" i="116"/>
  <c r="R538" i="116"/>
  <c r="P214" i="116"/>
  <c r="D20" i="13"/>
  <c r="O18" i="13"/>
  <c r="O23" i="64"/>
  <c r="G14" i="13"/>
  <c r="AS14" i="8"/>
  <c r="W1112" i="116"/>
  <c r="T1112" i="116"/>
  <c r="U1112" i="116"/>
  <c r="T576" i="116"/>
  <c r="U576" i="116"/>
  <c r="W202" i="116"/>
  <c r="U52" i="116"/>
  <c r="P153" i="116"/>
  <c r="T746" i="116"/>
  <c r="U451" i="116"/>
  <c r="T451" i="116"/>
  <c r="W451" i="116"/>
  <c r="R451" i="116"/>
  <c r="U649" i="116"/>
  <c r="R649" i="116"/>
  <c r="T649" i="116"/>
  <c r="W438" i="116"/>
  <c r="U438" i="116"/>
  <c r="T438" i="116"/>
  <c r="R438" i="116"/>
  <c r="W387" i="116"/>
  <c r="T387" i="116"/>
  <c r="U387" i="116"/>
  <c r="R387" i="116"/>
  <c r="W461" i="116"/>
  <c r="W831" i="116"/>
  <c r="U831" i="116"/>
  <c r="R831" i="116"/>
  <c r="U994" i="116"/>
  <c r="R994" i="116"/>
  <c r="T268" i="116"/>
  <c r="W268" i="116"/>
  <c r="U268" i="116"/>
  <c r="R268" i="116"/>
  <c r="R67" i="116"/>
  <c r="U637" i="116"/>
  <c r="R637" i="116"/>
  <c r="T637" i="116"/>
  <c r="W637" i="116"/>
  <c r="U1167" i="116"/>
  <c r="T1167" i="116"/>
  <c r="R1167" i="116"/>
  <c r="W1167" i="116"/>
  <c r="U868" i="116"/>
  <c r="W868" i="116"/>
  <c r="T868" i="116"/>
  <c r="R868" i="116"/>
  <c r="R1013" i="116"/>
  <c r="T658" i="116"/>
  <c r="T210" i="116"/>
  <c r="R210" i="116"/>
  <c r="U210" i="116"/>
  <c r="W210" i="116"/>
  <c r="U1180" i="116"/>
  <c r="T1180" i="116"/>
  <c r="R1180" i="116"/>
  <c r="W1180" i="116"/>
  <c r="T945" i="116"/>
  <c r="R945" i="116"/>
  <c r="U945" i="116"/>
  <c r="W945" i="116"/>
  <c r="H12" i="13"/>
  <c r="AJ15" i="8"/>
  <c r="P1214" i="116"/>
  <c r="W121" i="116"/>
  <c r="U121" i="116"/>
  <c r="R792" i="116"/>
  <c r="U381" i="116"/>
  <c r="T1168" i="116"/>
  <c r="U1168" i="116"/>
  <c r="R1168" i="116"/>
  <c r="W1168" i="116"/>
  <c r="U999" i="116"/>
  <c r="W999" i="116"/>
  <c r="R999" i="116"/>
  <c r="T999" i="116"/>
  <c r="U953" i="116"/>
  <c r="W398" i="116"/>
  <c r="U398" i="116"/>
  <c r="T398" i="116"/>
  <c r="R398" i="116"/>
  <c r="U490" i="116"/>
  <c r="W490" i="116"/>
  <c r="T490" i="116"/>
  <c r="R490" i="116"/>
  <c r="W592" i="116"/>
  <c r="T982" i="116"/>
  <c r="W819" i="116"/>
  <c r="T206" i="116"/>
  <c r="R206" i="116"/>
  <c r="W206" i="116"/>
  <c r="U206" i="116"/>
  <c r="R347" i="116"/>
  <c r="T347" i="116"/>
  <c r="W347" i="116"/>
  <c r="U347" i="116"/>
  <c r="W384" i="116"/>
  <c r="U1145" i="116"/>
  <c r="W1145" i="116"/>
  <c r="R55" i="116"/>
  <c r="J651" i="116"/>
  <c r="T981" i="116"/>
  <c r="T723" i="116"/>
  <c r="U932" i="116"/>
  <c r="R932" i="116"/>
  <c r="T932" i="116"/>
  <c r="W932" i="116"/>
  <c r="U1063" i="116"/>
  <c r="U564" i="116"/>
  <c r="T564" i="116"/>
  <c r="R564" i="116"/>
  <c r="W564" i="116"/>
  <c r="P7" i="116"/>
  <c r="P9" i="116"/>
  <c r="BV13" i="8"/>
  <c r="I10" i="24" s="1"/>
  <c r="AL13" i="8"/>
  <c r="T560" i="116"/>
  <c r="R755" i="116"/>
  <c r="W755" i="116"/>
  <c r="T755" i="116"/>
  <c r="U755" i="116"/>
  <c r="W958" i="116"/>
  <c r="U958" i="116"/>
  <c r="R958" i="116"/>
  <c r="T958" i="116"/>
  <c r="U325" i="116"/>
  <c r="T325" i="116"/>
  <c r="W1047" i="116"/>
  <c r="R1047" i="116"/>
  <c r="T995" i="116"/>
  <c r="R995" i="116"/>
  <c r="U995" i="116"/>
  <c r="W434" i="116"/>
  <c r="U434" i="116"/>
  <c r="R434" i="116"/>
  <c r="T434" i="116"/>
  <c r="U379" i="116"/>
  <c r="U559" i="116"/>
  <c r="W970" i="116"/>
  <c r="W811" i="116"/>
  <c r="W833" i="116"/>
  <c r="T833" i="116"/>
  <c r="R833" i="116"/>
  <c r="W391" i="116"/>
  <c r="R391" i="116"/>
  <c r="T391" i="116"/>
  <c r="U391" i="116"/>
  <c r="U407" i="116"/>
  <c r="T407" i="116"/>
  <c r="W508" i="116"/>
  <c r="U508" i="116"/>
  <c r="T32" i="116"/>
  <c r="R1074" i="116"/>
  <c r="D135" i="116"/>
  <c r="P139" i="116"/>
  <c r="P149" i="116"/>
  <c r="O10" i="64"/>
  <c r="U143" i="116"/>
  <c r="T143" i="116"/>
  <c r="R1092" i="116"/>
  <c r="U1092" i="116"/>
  <c r="T1092" i="116"/>
  <c r="W1092" i="116"/>
  <c r="W1192" i="116"/>
  <c r="R1192" i="116"/>
  <c r="U1229" i="116"/>
  <c r="R617" i="116"/>
  <c r="T313" i="116"/>
  <c r="U313" i="116"/>
  <c r="U991" i="116"/>
  <c r="W991" i="116"/>
  <c r="T991" i="116"/>
  <c r="R991" i="116"/>
  <c r="U949" i="116"/>
  <c r="R531" i="116"/>
  <c r="U531" i="116"/>
  <c r="U765" i="116"/>
  <c r="W765" i="116"/>
  <c r="T765" i="116"/>
  <c r="R765" i="116"/>
  <c r="T978" i="116"/>
  <c r="W978" i="116"/>
  <c r="W1179" i="116"/>
  <c r="U829" i="116"/>
  <c r="R829" i="116"/>
  <c r="W797" i="116"/>
  <c r="U797" i="116"/>
  <c r="T797" i="116"/>
  <c r="R797" i="116"/>
  <c r="W367" i="116"/>
  <c r="R367" i="116"/>
  <c r="W1068" i="116"/>
  <c r="U943" i="116"/>
  <c r="T943" i="116"/>
  <c r="W943" i="116"/>
  <c r="R943" i="116"/>
  <c r="U468" i="116"/>
  <c r="W468" i="116"/>
  <c r="T468" i="116"/>
  <c r="R468" i="116"/>
  <c r="W1244" i="116"/>
  <c r="R1244" i="116"/>
  <c r="U1244" i="116"/>
  <c r="T1244" i="116"/>
  <c r="W588" i="116"/>
  <c r="T588" i="116"/>
  <c r="U588" i="116"/>
  <c r="R588" i="116"/>
  <c r="T10" i="8"/>
  <c r="T18" i="8" s="1"/>
  <c r="J135" i="116"/>
  <c r="J133" i="116" s="1"/>
  <c r="J10" i="116" s="1"/>
  <c r="J12" i="116" s="1"/>
  <c r="E9" i="9"/>
  <c r="Q9" i="9" s="1"/>
  <c r="D38" i="9"/>
  <c r="U1246" i="116"/>
  <c r="T1246" i="116"/>
  <c r="R1246" i="116"/>
  <c r="W1246" i="116"/>
  <c r="J12" i="13"/>
  <c r="U632" i="116"/>
  <c r="R632" i="116"/>
  <c r="T632" i="116"/>
  <c r="W357" i="116"/>
  <c r="R357" i="116"/>
  <c r="T357" i="116"/>
  <c r="U357" i="116"/>
  <c r="R641" i="116"/>
  <c r="U641" i="116"/>
  <c r="T641" i="116"/>
  <c r="W641" i="116"/>
  <c r="T939" i="116"/>
  <c r="R939" i="116"/>
  <c r="U939" i="116"/>
  <c r="W939" i="116"/>
  <c r="W363" i="116"/>
  <c r="U363" i="116"/>
  <c r="R363" i="116"/>
  <c r="T363" i="116"/>
  <c r="U1034" i="116"/>
  <c r="T1034" i="116"/>
  <c r="W1034" i="116"/>
  <c r="R1034" i="116"/>
  <c r="T465" i="116"/>
  <c r="W465" i="116"/>
  <c r="W891" i="116"/>
  <c r="T891" i="116"/>
  <c r="U891" i="116"/>
  <c r="W316" i="116"/>
  <c r="U316" i="116"/>
  <c r="R316" i="116"/>
  <c r="T316" i="116"/>
  <c r="T244" i="116"/>
  <c r="T865" i="116"/>
  <c r="R865" i="116"/>
  <c r="U865" i="116"/>
  <c r="W865" i="116"/>
  <c r="R375" i="116"/>
  <c r="U375" i="116"/>
  <c r="W375" i="116"/>
  <c r="T375" i="116"/>
  <c r="U743" i="116"/>
  <c r="R846" i="116"/>
  <c r="T1026" i="116"/>
  <c r="R1026" i="116"/>
  <c r="U1107" i="116"/>
  <c r="W1107" i="116"/>
  <c r="R1107" i="116"/>
  <c r="T1107" i="116"/>
  <c r="R436" i="116"/>
  <c r="W436" i="116"/>
  <c r="T436" i="116"/>
  <c r="U436" i="116"/>
  <c r="W415" i="116"/>
  <c r="R415" i="116"/>
  <c r="U415" i="116"/>
  <c r="T415" i="116"/>
  <c r="R1100" i="116"/>
  <c r="U596" i="116"/>
  <c r="W596" i="116"/>
  <c r="R596" i="116"/>
  <c r="T596" i="116"/>
  <c r="K8" i="13"/>
  <c r="O8" i="13" s="1"/>
  <c r="T5" i="8" s="1"/>
  <c r="O9" i="13"/>
  <c r="AY8" i="8"/>
  <c r="P1237" i="116"/>
  <c r="P693" i="116"/>
  <c r="AQ10" i="8"/>
  <c r="AQ11" i="8"/>
  <c r="T61" i="116"/>
  <c r="U61" i="116"/>
  <c r="R61" i="116"/>
  <c r="W61" i="116"/>
  <c r="W1182" i="116"/>
  <c r="R1182" i="116"/>
  <c r="U1182" i="116"/>
  <c r="W941" i="116"/>
  <c r="R941" i="116"/>
  <c r="T941" i="116"/>
  <c r="U941" i="116"/>
  <c r="W350" i="116"/>
  <c r="R350" i="116"/>
  <c r="U350" i="116"/>
  <c r="T350" i="116"/>
  <c r="U568" i="116"/>
  <c r="W793" i="116"/>
  <c r="W359" i="116"/>
  <c r="R359" i="116"/>
  <c r="U359" i="116"/>
  <c r="T359" i="116"/>
  <c r="U971" i="116"/>
  <c r="W971" i="116"/>
  <c r="R971" i="116"/>
  <c r="W267" i="116"/>
  <c r="W1022" i="116"/>
  <c r="R521" i="116"/>
  <c r="T47" i="116"/>
  <c r="W424" i="116"/>
  <c r="R424" i="116"/>
  <c r="U424" i="116"/>
  <c r="T424" i="116"/>
  <c r="T1126" i="116"/>
  <c r="W253" i="116"/>
  <c r="G651" i="116"/>
  <c r="G547" i="116" s="1"/>
  <c r="G16" i="116" s="1"/>
  <c r="T361" i="116"/>
  <c r="U361" i="116"/>
  <c r="W361" i="116"/>
  <c r="R361" i="116"/>
  <c r="U201" i="116"/>
  <c r="W910" i="116"/>
  <c r="W446" i="116"/>
  <c r="U446" i="116"/>
  <c r="T446" i="116"/>
  <c r="R446" i="116"/>
  <c r="W580" i="116"/>
  <c r="U580" i="116"/>
  <c r="R580" i="116"/>
  <c r="T580" i="116"/>
  <c r="AW8" i="8"/>
  <c r="P659" i="116"/>
  <c r="T382" i="116"/>
  <c r="W382" i="116"/>
  <c r="R1133" i="116"/>
  <c r="U92" i="116"/>
  <c r="T92" i="116"/>
  <c r="R92" i="116"/>
  <c r="U255" i="116"/>
  <c r="R255" i="116"/>
  <c r="U487" i="116"/>
  <c r="T487" i="116"/>
  <c r="W487" i="116"/>
  <c r="W633" i="116"/>
  <c r="U633" i="116"/>
  <c r="R633" i="116"/>
  <c r="U935" i="116"/>
  <c r="W935" i="116"/>
  <c r="T935" i="116"/>
  <c r="R935" i="116"/>
  <c r="T348" i="116"/>
  <c r="W348" i="116"/>
  <c r="W948" i="116"/>
  <c r="U948" i="116"/>
  <c r="R948" i="116"/>
  <c r="T948" i="116"/>
  <c r="T575" i="116"/>
  <c r="U575" i="116"/>
  <c r="R575" i="116"/>
  <c r="W575" i="116"/>
  <c r="R1010" i="116"/>
  <c r="R1199" i="116"/>
  <c r="W821" i="116"/>
  <c r="T821" i="116"/>
  <c r="R821" i="116"/>
  <c r="R181" i="116"/>
  <c r="W344" i="116"/>
  <c r="T344" i="116"/>
  <c r="U344" i="116"/>
  <c r="R344" i="116"/>
  <c r="W921" i="116"/>
  <c r="U921" i="116"/>
  <c r="T921" i="116"/>
  <c r="R921" i="116"/>
  <c r="W1232" i="116"/>
  <c r="U1232" i="116"/>
  <c r="R1232" i="116"/>
  <c r="T1232" i="116"/>
  <c r="R458" i="116"/>
  <c r="W458" i="116"/>
  <c r="W388" i="116"/>
  <c r="R388" i="116"/>
  <c r="T388" i="116"/>
  <c r="U388" i="116"/>
  <c r="U661" i="116"/>
  <c r="W661" i="116"/>
  <c r="R661" i="116"/>
  <c r="T661" i="116"/>
  <c r="T897" i="116"/>
  <c r="R897" i="116"/>
  <c r="U51" i="116"/>
  <c r="T51" i="116"/>
  <c r="R51" i="116"/>
  <c r="W51" i="116"/>
  <c r="W428" i="116"/>
  <c r="U428" i="116"/>
  <c r="R428" i="116"/>
  <c r="T428" i="116"/>
  <c r="G135" i="116"/>
  <c r="G133" i="116" s="1"/>
  <c r="U346" i="116"/>
  <c r="W346" i="116"/>
  <c r="R346" i="116"/>
  <c r="T346" i="116"/>
  <c r="U448" i="116"/>
  <c r="R448" i="116"/>
  <c r="T448" i="116"/>
  <c r="W448" i="116"/>
  <c r="W892" i="116"/>
  <c r="T892" i="116"/>
  <c r="U892" i="116"/>
  <c r="E651" i="116"/>
  <c r="U574" i="116"/>
  <c r="AR9" i="8"/>
  <c r="F12" i="13"/>
  <c r="AJ12" i="8"/>
  <c r="W1156" i="116"/>
  <c r="R1156" i="116"/>
  <c r="U1156" i="116"/>
  <c r="T1156" i="116"/>
  <c r="U1235" i="116"/>
  <c r="W1235" i="116"/>
  <c r="R1235" i="116"/>
  <c r="T1235" i="116"/>
  <c r="U844" i="116"/>
  <c r="T844" i="116"/>
  <c r="W844" i="116"/>
  <c r="W924" i="116"/>
  <c r="R1051" i="116"/>
  <c r="W1051" i="116"/>
  <c r="T225" i="116"/>
  <c r="R225" i="116"/>
  <c r="U225" i="116"/>
  <c r="W225" i="116"/>
  <c r="R1027" i="116"/>
  <c r="W1027" i="116"/>
  <c r="U975" i="116"/>
  <c r="W975" i="116"/>
  <c r="T975" i="116"/>
  <c r="R975" i="116"/>
  <c r="U937" i="116"/>
  <c r="T937" i="116"/>
  <c r="R937" i="116"/>
  <c r="W937" i="116"/>
  <c r="T961" i="116"/>
  <c r="T422" i="116"/>
  <c r="R422" i="116"/>
  <c r="U422" i="116"/>
  <c r="W422" i="116"/>
  <c r="U998" i="116"/>
  <c r="W1030" i="116"/>
  <c r="R1030" i="116"/>
  <c r="T1030" i="116"/>
  <c r="U1030" i="116"/>
  <c r="W235" i="116"/>
  <c r="U235" i="116"/>
  <c r="T235" i="116"/>
  <c r="W535" i="116"/>
  <c r="T849" i="116"/>
  <c r="W849" i="116"/>
  <c r="U849" i="116"/>
  <c r="R849" i="116"/>
  <c r="W1217" i="116"/>
  <c r="U1217" i="116"/>
  <c r="T1217" i="116"/>
  <c r="R1217" i="116"/>
  <c r="U838" i="116"/>
  <c r="T838" i="116"/>
  <c r="R838" i="116"/>
  <c r="W838" i="116"/>
  <c r="T810" i="116"/>
  <c r="R810" i="116"/>
  <c r="U1155" i="116"/>
  <c r="R990" i="116"/>
  <c r="T990" i="116"/>
  <c r="W990" i="116"/>
  <c r="U990" i="116"/>
  <c r="U111" i="116"/>
  <c r="U1098" i="116"/>
  <c r="T772" i="116"/>
  <c r="W1230" i="116"/>
  <c r="U1230" i="116"/>
  <c r="T1230" i="116"/>
  <c r="R1230" i="116"/>
  <c r="R758" i="116"/>
  <c r="U758" i="116"/>
  <c r="W349" i="116"/>
  <c r="U349" i="116"/>
  <c r="T349" i="116"/>
  <c r="R349" i="116"/>
  <c r="T1001" i="116"/>
  <c r="W1001" i="116"/>
  <c r="R1001" i="116"/>
  <c r="U1001" i="116"/>
  <c r="W1184" i="116"/>
  <c r="U1184" i="116"/>
  <c r="T1184" i="116"/>
  <c r="R1184" i="116"/>
  <c r="T677" i="116"/>
  <c r="U677" i="116"/>
  <c r="W677" i="116"/>
  <c r="R677" i="116"/>
  <c r="U1247" i="116"/>
  <c r="R1247" i="116"/>
  <c r="W1247" i="116"/>
  <c r="T1247" i="116"/>
  <c r="U218" i="116"/>
  <c r="BF7" i="8"/>
  <c r="AJ5" i="8"/>
  <c r="P1259" i="116"/>
  <c r="U1216" i="116"/>
  <c r="W1216" i="116"/>
  <c r="R1084" i="116"/>
  <c r="T1084" i="116"/>
  <c r="U1084" i="116"/>
  <c r="W1084" i="116"/>
  <c r="W1072" i="116"/>
  <c r="U1072" i="116"/>
  <c r="R1072" i="116"/>
  <c r="T1072" i="116"/>
  <c r="U578" i="116"/>
  <c r="W209" i="116"/>
  <c r="U209" i="116"/>
  <c r="R209" i="116"/>
  <c r="T209" i="116"/>
  <c r="W963" i="116"/>
  <c r="U963" i="116"/>
  <c r="R963" i="116"/>
  <c r="W629" i="116"/>
  <c r="U629" i="116"/>
  <c r="R629" i="116"/>
  <c r="T629" i="116"/>
  <c r="R749" i="116"/>
  <c r="U749" i="116"/>
  <c r="T749" i="116"/>
  <c r="W749" i="116"/>
  <c r="T622" i="116"/>
  <c r="U622" i="116"/>
  <c r="W622" i="116"/>
  <c r="R622" i="116"/>
  <c r="T737" i="116"/>
  <c r="W847" i="116"/>
  <c r="U847" i="116"/>
  <c r="R847" i="116"/>
  <c r="T847" i="116"/>
  <c r="U276" i="116"/>
  <c r="W276" i="116"/>
  <c r="R276" i="116"/>
  <c r="T276" i="116"/>
  <c r="U545" i="116"/>
  <c r="C13" i="13"/>
  <c r="D7" i="13" s="1"/>
  <c r="C14" i="13"/>
  <c r="AO14" i="8"/>
  <c r="W1202" i="116"/>
  <c r="R1202" i="116"/>
  <c r="T1202" i="116"/>
  <c r="U1202" i="116"/>
  <c r="R452" i="116"/>
  <c r="W826" i="116"/>
  <c r="U826" i="116"/>
  <c r="W798" i="116"/>
  <c r="U798" i="116"/>
  <c r="R798" i="116"/>
  <c r="U356" i="116"/>
  <c r="W1152" i="116"/>
  <c r="T1152" i="116"/>
  <c r="R1152" i="116"/>
  <c r="U1152" i="116"/>
  <c r="W973" i="116"/>
  <c r="U973" i="116"/>
  <c r="R973" i="116"/>
  <c r="T973" i="116"/>
  <c r="W31" i="116"/>
  <c r="R31" i="116"/>
  <c r="T31" i="116"/>
  <c r="U31" i="116"/>
  <c r="R339" i="116"/>
  <c r="U339" i="116"/>
  <c r="W339" i="116"/>
  <c r="W572" i="116"/>
  <c r="T572" i="116"/>
  <c r="U572" i="116"/>
  <c r="R572" i="116"/>
  <c r="T195" i="116"/>
  <c r="D10" i="13"/>
  <c r="O11" i="13"/>
  <c r="W728" i="116"/>
  <c r="T1080" i="116"/>
  <c r="U1080" i="116"/>
  <c r="W1080" i="116"/>
  <c r="R1080" i="116"/>
  <c r="W965" i="116"/>
  <c r="W46" i="116"/>
  <c r="U46" i="116"/>
  <c r="T46" i="116"/>
  <c r="R46" i="116"/>
  <c r="W804" i="116"/>
  <c r="T804" i="116"/>
  <c r="R804" i="116"/>
  <c r="U804" i="116"/>
  <c r="W628" i="116"/>
  <c r="R628" i="116"/>
  <c r="T628" i="116"/>
  <c r="U628" i="116"/>
  <c r="W421" i="116"/>
  <c r="T421" i="116"/>
  <c r="R421" i="116"/>
  <c r="W224" i="116"/>
  <c r="R224" i="116"/>
  <c r="W955" i="116"/>
  <c r="R955" i="116"/>
  <c r="T955" i="116"/>
  <c r="U955" i="116"/>
  <c r="U944" i="116"/>
  <c r="R944" i="116"/>
  <c r="W944" i="116"/>
  <c r="T944" i="116"/>
  <c r="U815" i="116"/>
  <c r="W815" i="116"/>
  <c r="R815" i="116"/>
  <c r="T815" i="116"/>
  <c r="U205" i="116"/>
  <c r="W205" i="116"/>
  <c r="R205" i="116"/>
  <c r="T205" i="116"/>
  <c r="U845" i="116"/>
  <c r="W845" i="116"/>
  <c r="R845" i="116"/>
  <c r="T845" i="116"/>
  <c r="U159" i="116"/>
  <c r="R159" i="116"/>
  <c r="T159" i="116"/>
  <c r="W159" i="116"/>
  <c r="R380" i="116"/>
  <c r="T786" i="116"/>
  <c r="R786" i="116"/>
  <c r="W786" i="116"/>
  <c r="U786" i="116"/>
  <c r="R980" i="116"/>
  <c r="W980" i="116"/>
  <c r="U980" i="116"/>
  <c r="T980" i="116"/>
  <c r="R1138" i="116"/>
  <c r="U1227" i="116"/>
  <c r="W1227" i="116"/>
  <c r="R1227" i="116"/>
  <c r="T1227" i="116"/>
  <c r="W1021" i="116"/>
  <c r="R1029" i="116"/>
  <c r="W492" i="116"/>
  <c r="W902" i="116"/>
  <c r="R902" i="116"/>
  <c r="U902" i="116"/>
  <c r="T902" i="116"/>
  <c r="T119" i="116"/>
  <c r="W1258" i="116"/>
  <c r="U1258" i="116"/>
  <c r="R1258" i="116"/>
  <c r="T1258" i="116"/>
  <c r="E8" i="9"/>
  <c r="Q8" i="9" s="1"/>
  <c r="C38" i="9"/>
  <c r="BV11" i="8"/>
  <c r="O6" i="24" s="1"/>
  <c r="P228" i="116"/>
  <c r="P679" i="116"/>
  <c r="T666" i="116"/>
  <c r="T864" i="116"/>
  <c r="R864" i="116"/>
  <c r="U864" i="116"/>
  <c r="W864" i="116"/>
  <c r="R861" i="116"/>
  <c r="U129" i="116"/>
  <c r="T129" i="116"/>
  <c r="R129" i="116"/>
  <c r="W129" i="116"/>
  <c r="W327" i="116"/>
  <c r="U327" i="116"/>
  <c r="T327" i="116"/>
  <c r="R327" i="116"/>
  <c r="U291" i="116"/>
  <c r="U1055" i="116"/>
  <c r="W289" i="116"/>
  <c r="T289" i="116"/>
  <c r="R289" i="116"/>
  <c r="U289" i="116"/>
  <c r="T68" i="116"/>
  <c r="R68" i="116"/>
  <c r="U881" i="116"/>
  <c r="T881" i="116"/>
  <c r="W881" i="116"/>
  <c r="R881" i="116"/>
  <c r="R557" i="116"/>
  <c r="U557" i="116"/>
  <c r="R1011" i="116"/>
  <c r="U959" i="116"/>
  <c r="R959" i="116"/>
  <c r="W959" i="116"/>
  <c r="T959" i="116"/>
  <c r="U417" i="116"/>
  <c r="R417" i="116"/>
  <c r="W417" i="116"/>
  <c r="T417" i="116"/>
  <c r="U403" i="116"/>
  <c r="T403" i="116"/>
  <c r="W403" i="116"/>
  <c r="R403" i="116"/>
  <c r="W638" i="116"/>
  <c r="U638" i="116"/>
  <c r="T638" i="116"/>
  <c r="R638" i="116"/>
  <c r="W823" i="116"/>
  <c r="T823" i="116"/>
  <c r="U823" i="116"/>
  <c r="R823" i="116"/>
  <c r="R1006" i="116"/>
  <c r="W1006" i="116"/>
  <c r="U1006" i="116"/>
  <c r="T1006" i="116"/>
  <c r="U563" i="116"/>
  <c r="R507" i="116"/>
  <c r="R141" i="116"/>
  <c r="T141" i="116"/>
  <c r="U141" i="116"/>
  <c r="W141" i="116"/>
  <c r="W802" i="116"/>
  <c r="R909" i="116"/>
  <c r="T248" i="116"/>
  <c r="R248" i="116"/>
  <c r="W123" i="116"/>
  <c r="T123" i="116"/>
  <c r="U123" i="116"/>
  <c r="R123" i="116"/>
  <c r="W171" i="116"/>
  <c r="T171" i="116"/>
  <c r="U171" i="116"/>
  <c r="R171" i="116"/>
  <c r="W1025" i="116"/>
  <c r="T1260" i="116"/>
  <c r="R1260" i="116"/>
  <c r="U1260" i="116"/>
  <c r="W1260" i="116"/>
  <c r="T187" i="116"/>
  <c r="W1140" i="116"/>
  <c r="R1140" i="116"/>
  <c r="U1140" i="116"/>
  <c r="T1140" i="116"/>
  <c r="U884" i="116"/>
  <c r="W884" i="116"/>
  <c r="T884" i="116"/>
  <c r="R884" i="116"/>
  <c r="T890" i="116"/>
  <c r="D1164" i="116"/>
  <c r="W464" i="116"/>
  <c r="U464" i="116"/>
  <c r="R464" i="116"/>
  <c r="T464" i="116"/>
  <c r="W355" i="116"/>
  <c r="U355" i="116"/>
  <c r="T355" i="116"/>
  <c r="R355" i="116"/>
  <c r="U612" i="116"/>
  <c r="R612" i="116"/>
  <c r="T612" i="116"/>
  <c r="W612" i="116"/>
  <c r="U890" i="116" l="1"/>
  <c r="R890" i="116"/>
  <c r="W184" i="116"/>
  <c r="W1041" i="116"/>
  <c r="T369" i="116"/>
  <c r="T1053" i="116"/>
  <c r="T70" i="116"/>
  <c r="T1198" i="116"/>
  <c r="U820" i="116"/>
  <c r="T1090" i="116"/>
  <c r="U459" i="116"/>
  <c r="W369" i="116"/>
  <c r="W1053" i="116"/>
  <c r="R1198" i="116"/>
  <c r="T820" i="116"/>
  <c r="R1090" i="116"/>
  <c r="T1201" i="116"/>
  <c r="U396" i="116"/>
  <c r="W772" i="116"/>
  <c r="U1041" i="116"/>
  <c r="U369" i="116"/>
  <c r="R1053" i="116"/>
  <c r="U1198" i="116"/>
  <c r="W513" i="116"/>
  <c r="R284" i="116"/>
  <c r="R820" i="116"/>
  <c r="U1090" i="116"/>
  <c r="U1201" i="116"/>
  <c r="U147" i="116"/>
  <c r="R1041" i="116"/>
  <c r="T924" i="116"/>
  <c r="U284" i="116"/>
  <c r="R384" i="116"/>
  <c r="W1201" i="116"/>
  <c r="W396" i="116"/>
  <c r="T513" i="116"/>
  <c r="W284" i="116"/>
  <c r="U1115" i="116"/>
  <c r="W560" i="116"/>
  <c r="U384" i="116"/>
  <c r="T87" i="116"/>
  <c r="W302" i="116"/>
  <c r="R513" i="116"/>
  <c r="T789" i="116"/>
  <c r="U924" i="116"/>
  <c r="R373" i="116"/>
  <c r="R560" i="116"/>
  <c r="T592" i="116"/>
  <c r="U302" i="116"/>
  <c r="R592" i="116"/>
  <c r="R459" i="116"/>
  <c r="U830" i="116"/>
  <c r="U1251" i="116"/>
  <c r="W517" i="116"/>
  <c r="U1031" i="116"/>
  <c r="T609" i="116"/>
  <c r="R1065" i="116"/>
  <c r="R257" i="116"/>
  <c r="W739" i="116"/>
  <c r="T155" i="116"/>
  <c r="W170" i="116"/>
  <c r="R517" i="116"/>
  <c r="R1153" i="116"/>
  <c r="R155" i="116"/>
  <c r="T541" i="116"/>
  <c r="T817" i="116"/>
  <c r="R567" i="116"/>
  <c r="U155" i="116"/>
  <c r="T571" i="116"/>
  <c r="R571" i="116"/>
  <c r="U571" i="116"/>
  <c r="W1093" i="116"/>
  <c r="W1115" i="116"/>
  <c r="U326" i="116"/>
  <c r="U1093" i="116"/>
  <c r="T1213" i="116"/>
  <c r="T1115" i="116"/>
  <c r="T1251" i="116"/>
  <c r="R1031" i="116"/>
  <c r="T373" i="116"/>
  <c r="T1065" i="116"/>
  <c r="W1251" i="116"/>
  <c r="W1031" i="116"/>
  <c r="T760" i="116"/>
  <c r="W373" i="116"/>
  <c r="W1065" i="116"/>
  <c r="R817" i="116"/>
  <c r="U605" i="116"/>
  <c r="R790" i="116"/>
  <c r="W483" i="116"/>
  <c r="R317" i="116"/>
  <c r="T1013" i="116"/>
  <c r="T136" i="116"/>
  <c r="W683" i="116"/>
  <c r="U1123" i="116"/>
  <c r="T1145" i="116"/>
  <c r="U136" i="116"/>
  <c r="U981" i="116"/>
  <c r="R997" i="116"/>
  <c r="R1035" i="116"/>
  <c r="W829" i="116"/>
  <c r="R982" i="116"/>
  <c r="T695" i="116"/>
  <c r="T997" i="116"/>
  <c r="T1014" i="116"/>
  <c r="T673" i="116"/>
  <c r="U195" i="116"/>
  <c r="U535" i="116"/>
  <c r="T41" i="116"/>
  <c r="T648" i="116"/>
  <c r="T1192" i="116"/>
  <c r="W690" i="116"/>
  <c r="W982" i="116"/>
  <c r="R993" i="116"/>
  <c r="U67" i="116"/>
  <c r="W985" i="116"/>
  <c r="U997" i="116"/>
  <c r="U673" i="116"/>
  <c r="W195" i="116"/>
  <c r="W293" i="116"/>
  <c r="R648" i="116"/>
  <c r="W993" i="116"/>
  <c r="T930" i="116"/>
  <c r="R229" i="116"/>
  <c r="T843" i="116"/>
  <c r="R673" i="116"/>
  <c r="T523" i="116"/>
  <c r="U648" i="116"/>
  <c r="U993" i="116"/>
  <c r="U930" i="116"/>
  <c r="T1150" i="116"/>
  <c r="R442" i="116"/>
  <c r="T1151" i="116"/>
  <c r="U437" i="116"/>
  <c r="W897" i="116"/>
  <c r="R385" i="116"/>
  <c r="R1108" i="116"/>
  <c r="R162" i="116"/>
  <c r="T450" i="116"/>
  <c r="W211" i="116"/>
  <c r="T953" i="116"/>
  <c r="W792" i="116"/>
  <c r="W658" i="116"/>
  <c r="W930" i="116"/>
  <c r="W385" i="116"/>
  <c r="R1183" i="116"/>
  <c r="T1108" i="116"/>
  <c r="U162" i="116"/>
  <c r="T1038" i="116"/>
  <c r="U777" i="116"/>
  <c r="W953" i="116"/>
  <c r="U792" i="116"/>
  <c r="T791" i="116"/>
  <c r="W229" i="116"/>
  <c r="R1014" i="116"/>
  <c r="W79" i="116"/>
  <c r="W67" i="116"/>
  <c r="W1014" i="116"/>
  <c r="W128" i="116"/>
  <c r="T385" i="116"/>
  <c r="T437" i="116"/>
  <c r="T442" i="116"/>
  <c r="R1151" i="116"/>
  <c r="R437" i="116"/>
  <c r="W456" i="116"/>
  <c r="T1010" i="116"/>
  <c r="R910" i="116"/>
  <c r="W1108" i="116"/>
  <c r="T162" i="116"/>
  <c r="W1038" i="116"/>
  <c r="R450" i="116"/>
  <c r="R658" i="116"/>
  <c r="R791" i="116"/>
  <c r="T664" i="116"/>
  <c r="U456" i="116"/>
  <c r="W450" i="116"/>
  <c r="W442" i="116"/>
  <c r="U1151" i="116"/>
  <c r="R1155" i="116"/>
  <c r="T456" i="116"/>
  <c r="R850" i="116"/>
  <c r="U1010" i="116"/>
  <c r="T910" i="116"/>
  <c r="W878" i="116"/>
  <c r="R743" i="116"/>
  <c r="U465" i="116"/>
  <c r="R1038" i="116"/>
  <c r="R1229" i="116"/>
  <c r="W791" i="116"/>
  <c r="W664" i="116"/>
  <c r="T535" i="116"/>
  <c r="T1155" i="116"/>
  <c r="U458" i="116"/>
  <c r="T743" i="116"/>
  <c r="T1229" i="116"/>
  <c r="W894" i="116"/>
  <c r="AO10" i="8"/>
  <c r="BV7" i="8"/>
  <c r="L6" i="22" s="1"/>
  <c r="W1191" i="116"/>
  <c r="W869" i="116"/>
  <c r="T771" i="116"/>
  <c r="U229" i="116"/>
  <c r="U1191" i="116"/>
  <c r="W158" i="116"/>
  <c r="W136" i="116"/>
  <c r="U772" i="116"/>
  <c r="I547" i="116"/>
  <c r="I16" i="116" s="1"/>
  <c r="U483" i="116"/>
  <c r="T894" i="116"/>
  <c r="U501" i="116"/>
  <c r="W964" i="116"/>
  <c r="U985" i="116"/>
  <c r="R579" i="116"/>
  <c r="R767" i="116"/>
  <c r="U439" i="116"/>
  <c r="R1179" i="116"/>
  <c r="R894" i="116"/>
  <c r="U405" i="116"/>
  <c r="R646" i="116"/>
  <c r="U1179" i="116"/>
  <c r="U279" i="116"/>
  <c r="R396" i="116"/>
  <c r="R405" i="116"/>
  <c r="W711" i="116"/>
  <c r="T599" i="116"/>
  <c r="W1183" i="116"/>
  <c r="T1183" i="116"/>
  <c r="W599" i="116"/>
  <c r="U599" i="116"/>
  <c r="R1234" i="116"/>
  <c r="R706" i="116"/>
  <c r="T253" i="116"/>
  <c r="U37" i="116"/>
  <c r="T507" i="116"/>
  <c r="T1234" i="116"/>
  <c r="R426" i="116"/>
  <c r="R103" i="116"/>
  <c r="W37" i="116"/>
  <c r="W507" i="116"/>
  <c r="U965" i="116"/>
  <c r="T782" i="116"/>
  <c r="W1234" i="116"/>
  <c r="U426" i="116"/>
  <c r="T103" i="116"/>
  <c r="R37" i="116"/>
  <c r="U460" i="116"/>
  <c r="R965" i="116"/>
  <c r="W1011" i="116"/>
  <c r="W426" i="116"/>
  <c r="U103" i="116"/>
  <c r="W460" i="116"/>
  <c r="T1011" i="116"/>
  <c r="T1128" i="116"/>
  <c r="R916" i="116"/>
  <c r="R297" i="116"/>
  <c r="R779" i="116"/>
  <c r="T916" i="116"/>
  <c r="R702" i="116"/>
  <c r="U812" i="116"/>
  <c r="T470" i="116"/>
  <c r="R383" i="116"/>
  <c r="T687" i="116"/>
  <c r="U137" i="116"/>
  <c r="R1128" i="116"/>
  <c r="W1128" i="116"/>
  <c r="U916" i="116"/>
  <c r="T1132" i="116"/>
  <c r="T702" i="116"/>
  <c r="T812" i="116"/>
  <c r="W470" i="116"/>
  <c r="T383" i="116"/>
  <c r="U687" i="116"/>
  <c r="R1132" i="116"/>
  <c r="W702" i="116"/>
  <c r="W812" i="116"/>
  <c r="U383" i="116"/>
  <c r="R687" i="116"/>
  <c r="W1206" i="116"/>
  <c r="U1132" i="116"/>
  <c r="T122" i="116"/>
  <c r="U253" i="116"/>
  <c r="R291" i="116"/>
  <c r="R728" i="116"/>
  <c r="T452" i="116"/>
  <c r="W789" i="116"/>
  <c r="R839" i="116"/>
  <c r="U1100" i="116"/>
  <c r="R127" i="116"/>
  <c r="W949" i="116"/>
  <c r="T1120" i="116"/>
  <c r="T304" i="116"/>
  <c r="W452" i="116"/>
  <c r="U789" i="116"/>
  <c r="T127" i="116"/>
  <c r="R1120" i="116"/>
  <c r="T728" i="116"/>
  <c r="W127" i="116"/>
  <c r="U1120" i="116"/>
  <c r="I237" i="116"/>
  <c r="W291" i="116"/>
  <c r="W500" i="116"/>
  <c r="U73" i="116"/>
  <c r="U926" i="116"/>
  <c r="R304" i="116"/>
  <c r="T1261" i="116"/>
  <c r="R73" i="116"/>
  <c r="R926" i="116"/>
  <c r="W1261" i="116"/>
  <c r="R1148" i="116"/>
  <c r="W365" i="116"/>
  <c r="W73" i="116"/>
  <c r="T926" i="116"/>
  <c r="W713" i="116"/>
  <c r="R1261" i="116"/>
  <c r="U1148" i="116"/>
  <c r="R365" i="116"/>
  <c r="R1165" i="116"/>
  <c r="W504" i="116"/>
  <c r="T528" i="116"/>
  <c r="W340" i="116"/>
  <c r="W803" i="116"/>
  <c r="T500" i="116"/>
  <c r="R713" i="116"/>
  <c r="U713" i="116"/>
  <c r="T706" i="116"/>
  <c r="T100" i="116"/>
  <c r="T368" i="116"/>
  <c r="T365" i="116"/>
  <c r="T685" i="116"/>
  <c r="R528" i="116"/>
  <c r="U340" i="116"/>
  <c r="W1148" i="116"/>
  <c r="R1218" i="116"/>
  <c r="W927" i="116"/>
  <c r="R483" i="116"/>
  <c r="W574" i="116"/>
  <c r="R830" i="116"/>
  <c r="T848" i="116"/>
  <c r="R368" i="116"/>
  <c r="U775" i="116"/>
  <c r="R746" i="116"/>
  <c r="R190" i="116"/>
  <c r="U304" i="116"/>
  <c r="T574" i="116"/>
  <c r="W1100" i="116"/>
  <c r="R878" i="116"/>
  <c r="W368" i="116"/>
  <c r="U746" i="116"/>
  <c r="W1200" i="116"/>
  <c r="U53" i="116"/>
  <c r="W41" i="116"/>
  <c r="U878" i="116"/>
  <c r="R150" i="116"/>
  <c r="AV11" i="8"/>
  <c r="T222" i="116"/>
  <c r="T1133" i="116"/>
  <c r="R288" i="116"/>
  <c r="W55" i="116"/>
  <c r="T1248" i="116"/>
  <c r="W1013" i="116"/>
  <c r="T263" i="116"/>
  <c r="W528" i="116"/>
  <c r="W1241" i="116"/>
  <c r="W308" i="116"/>
  <c r="T147" i="116"/>
  <c r="U570" i="116"/>
  <c r="U726" i="116"/>
  <c r="R263" i="116"/>
  <c r="W1081" i="116"/>
  <c r="U115" i="116"/>
  <c r="R439" i="116"/>
  <c r="U1026" i="116"/>
  <c r="T352" i="116"/>
  <c r="U723" i="116"/>
  <c r="T964" i="116"/>
  <c r="W1119" i="116"/>
  <c r="R576" i="116"/>
  <c r="R1206" i="116"/>
  <c r="R544" i="116"/>
  <c r="T1002" i="116"/>
  <c r="U979" i="116"/>
  <c r="R663" i="116"/>
  <c r="W352" i="116"/>
  <c r="W379" i="116"/>
  <c r="T1027" i="116"/>
  <c r="T822" i="116"/>
  <c r="W979" i="116"/>
  <c r="U1218" i="116"/>
  <c r="T1194" i="116"/>
  <c r="U352" i="116"/>
  <c r="R100" i="116"/>
  <c r="R480" i="116"/>
  <c r="R379" i="116"/>
  <c r="T690" i="116"/>
  <c r="T663" i="116"/>
  <c r="U858" i="116"/>
  <c r="T392" i="116"/>
  <c r="W431" i="116"/>
  <c r="R565" i="116"/>
  <c r="W393" i="116"/>
  <c r="R822" i="116"/>
  <c r="W1194" i="116"/>
  <c r="R723" i="116"/>
  <c r="W147" i="116"/>
  <c r="U806" i="116"/>
  <c r="W1023" i="116"/>
  <c r="W263" i="116"/>
  <c r="R979" i="116"/>
  <c r="T776" i="116"/>
  <c r="R1194" i="116"/>
  <c r="W203" i="116"/>
  <c r="R301" i="116"/>
  <c r="U454" i="116"/>
  <c r="R747" i="116"/>
  <c r="U480" i="116"/>
  <c r="U1226" i="116"/>
  <c r="U690" i="116"/>
  <c r="U663" i="116"/>
  <c r="T778" i="116"/>
  <c r="W565" i="116"/>
  <c r="U393" i="116"/>
  <c r="T1218" i="116"/>
  <c r="W392" i="116"/>
  <c r="T806" i="116"/>
  <c r="U184" i="116"/>
  <c r="R1121" i="116"/>
  <c r="W806" i="116"/>
  <c r="W485" i="116"/>
  <c r="U1023" i="116"/>
  <c r="R1144" i="116"/>
  <c r="T729" i="116"/>
  <c r="R1045" i="116"/>
  <c r="U348" i="116"/>
  <c r="T440" i="116"/>
  <c r="R776" i="116"/>
  <c r="R203" i="116"/>
  <c r="T301" i="116"/>
  <c r="T401" i="116"/>
  <c r="T454" i="116"/>
  <c r="T480" i="116"/>
  <c r="T1226" i="116"/>
  <c r="R311" i="116"/>
  <c r="W1208" i="116"/>
  <c r="T427" i="116"/>
  <c r="U778" i="116"/>
  <c r="U565" i="116"/>
  <c r="R184" i="116"/>
  <c r="T676" i="116"/>
  <c r="T986" i="116"/>
  <c r="T1121" i="116"/>
  <c r="U485" i="116"/>
  <c r="T1144" i="116"/>
  <c r="W729" i="116"/>
  <c r="T830" i="116"/>
  <c r="T1160" i="116"/>
  <c r="U440" i="116"/>
  <c r="W776" i="116"/>
  <c r="T203" i="116"/>
  <c r="W301" i="116"/>
  <c r="R454" i="116"/>
  <c r="R1226" i="116"/>
  <c r="T311" i="116"/>
  <c r="U1208" i="116"/>
  <c r="U496" i="116"/>
  <c r="T381" i="116"/>
  <c r="W1106" i="116"/>
  <c r="AT11" i="8"/>
  <c r="U709" i="116"/>
  <c r="U964" i="116"/>
  <c r="T1023" i="116"/>
  <c r="U986" i="116"/>
  <c r="T1241" i="116"/>
  <c r="W1121" i="116"/>
  <c r="R737" i="116"/>
  <c r="W1144" i="116"/>
  <c r="U729" i="116"/>
  <c r="T308" i="116"/>
  <c r="R998" i="116"/>
  <c r="R351" i="116"/>
  <c r="U1160" i="116"/>
  <c r="R440" i="116"/>
  <c r="W584" i="116"/>
  <c r="W967" i="116"/>
  <c r="R811" i="116"/>
  <c r="U311" i="116"/>
  <c r="R381" i="116"/>
  <c r="T1106" i="116"/>
  <c r="R148" i="116"/>
  <c r="R393" i="116"/>
  <c r="U431" i="116"/>
  <c r="R640" i="116"/>
  <c r="U640" i="116"/>
  <c r="T918" i="116"/>
  <c r="U822" i="116"/>
  <c r="U676" i="116"/>
  <c r="U208" i="116"/>
  <c r="T463" i="116"/>
  <c r="T1055" i="116"/>
  <c r="R1124" i="116"/>
  <c r="R676" i="116"/>
  <c r="U463" i="116"/>
  <c r="W1055" i="116"/>
  <c r="T1117" i="116"/>
  <c r="U1138" i="116"/>
  <c r="R782" i="116"/>
  <c r="U380" i="116"/>
  <c r="W986" i="116"/>
  <c r="R1241" i="116"/>
  <c r="U737" i="116"/>
  <c r="R308" i="116"/>
  <c r="W998" i="116"/>
  <c r="W907" i="116"/>
  <c r="T351" i="116"/>
  <c r="W1160" i="116"/>
  <c r="R267" i="116"/>
  <c r="R905" i="116"/>
  <c r="T303" i="116"/>
  <c r="R987" i="116"/>
  <c r="R816" i="116"/>
  <c r="T764" i="116"/>
  <c r="T967" i="116"/>
  <c r="T811" i="116"/>
  <c r="T832" i="116"/>
  <c r="R618" i="116"/>
  <c r="U148" i="116"/>
  <c r="H237" i="116"/>
  <c r="R1081" i="116"/>
  <c r="T905" i="116"/>
  <c r="W303" i="116"/>
  <c r="T816" i="116"/>
  <c r="R826" i="116"/>
  <c r="U604" i="116"/>
  <c r="R1216" i="116"/>
  <c r="W441" i="116"/>
  <c r="R907" i="116"/>
  <c r="W297" i="116"/>
  <c r="U1081" i="116"/>
  <c r="R655" i="116"/>
  <c r="W115" i="116"/>
  <c r="T267" i="116"/>
  <c r="U905" i="116"/>
  <c r="U303" i="116"/>
  <c r="W816" i="116"/>
  <c r="R419" i="116"/>
  <c r="T288" i="116"/>
  <c r="W1263" i="116"/>
  <c r="R87" i="116"/>
  <c r="W110" i="116"/>
  <c r="T618" i="116"/>
  <c r="R1147" i="116"/>
  <c r="W1002" i="116"/>
  <c r="R463" i="116"/>
  <c r="R441" i="116"/>
  <c r="U907" i="116"/>
  <c r="U832" i="116"/>
  <c r="W618" i="116"/>
  <c r="U68" i="116"/>
  <c r="T1138" i="116"/>
  <c r="W782" i="116"/>
  <c r="T380" i="116"/>
  <c r="W570" i="116"/>
  <c r="R704" i="116"/>
  <c r="U441" i="116"/>
  <c r="U297" i="116"/>
  <c r="T115" i="116"/>
  <c r="T439" i="116"/>
  <c r="U1146" i="116"/>
  <c r="U288" i="116"/>
  <c r="U87" i="116"/>
  <c r="U1147" i="116"/>
  <c r="AV10" i="8"/>
  <c r="R476" i="116"/>
  <c r="R374" i="116"/>
  <c r="R636" i="116"/>
  <c r="R1088" i="116"/>
  <c r="U1133" i="116"/>
  <c r="R500" i="116"/>
  <c r="U248" i="116"/>
  <c r="R1127" i="116"/>
  <c r="W567" i="116"/>
  <c r="T570" i="116"/>
  <c r="T485" i="116"/>
  <c r="W640" i="116"/>
  <c r="U818" i="116"/>
  <c r="T1051" i="116"/>
  <c r="R1129" i="116"/>
  <c r="T517" i="116"/>
  <c r="R470" i="116"/>
  <c r="R41" i="116"/>
  <c r="R848" i="116"/>
  <c r="U100" i="116"/>
  <c r="R1093" i="116"/>
  <c r="R764" i="116"/>
  <c r="U367" i="116"/>
  <c r="R949" i="116"/>
  <c r="R313" i="116"/>
  <c r="R967" i="116"/>
  <c r="R407" i="116"/>
  <c r="W775" i="116"/>
  <c r="R325" i="116"/>
  <c r="R501" i="116"/>
  <c r="U1203" i="116"/>
  <c r="T779" i="116"/>
  <c r="U48" i="116"/>
  <c r="T994" i="116"/>
  <c r="U449" i="116"/>
  <c r="R460" i="116"/>
  <c r="U1206" i="116"/>
  <c r="T476" i="116"/>
  <c r="T431" i="116"/>
  <c r="W771" i="116"/>
  <c r="U579" i="116"/>
  <c r="U290" i="116"/>
  <c r="W1088" i="116"/>
  <c r="T567" i="116"/>
  <c r="W848" i="116"/>
  <c r="U764" i="116"/>
  <c r="R775" i="116"/>
  <c r="T473" i="116"/>
  <c r="W883" i="116"/>
  <c r="U351" i="116"/>
  <c r="R128" i="116"/>
  <c r="R244" i="116"/>
  <c r="R609" i="116"/>
  <c r="W747" i="116"/>
  <c r="U1114" i="116"/>
  <c r="R1208" i="116"/>
  <c r="R981" i="116"/>
  <c r="T501" i="116"/>
  <c r="U536" i="116"/>
  <c r="W779" i="116"/>
  <c r="U281" i="116"/>
  <c r="R1119" i="116"/>
  <c r="W476" i="116"/>
  <c r="W1123" i="116"/>
  <c r="T1245" i="116"/>
  <c r="U1189" i="116"/>
  <c r="W590" i="116"/>
  <c r="U731" i="116"/>
  <c r="W1137" i="116"/>
  <c r="T747" i="116"/>
  <c r="R1245" i="116"/>
  <c r="W1189" i="116"/>
  <c r="U1119" i="116"/>
  <c r="R1123" i="116"/>
  <c r="H547" i="116"/>
  <c r="H16" i="116" s="1"/>
  <c r="W1245" i="116"/>
  <c r="T1189" i="116"/>
  <c r="T698" i="116"/>
  <c r="W1146" i="116"/>
  <c r="R389" i="116"/>
  <c r="T559" i="116"/>
  <c r="U125" i="116"/>
  <c r="R611" i="116"/>
  <c r="R803" i="116"/>
  <c r="U1021" i="116"/>
  <c r="W473" i="116"/>
  <c r="T1021" i="116"/>
  <c r="W515" i="116"/>
  <c r="W1129" i="116"/>
  <c r="U760" i="116"/>
  <c r="U96" i="116"/>
  <c r="U1068" i="116"/>
  <c r="W389" i="116"/>
  <c r="R1105" i="116"/>
  <c r="U911" i="116"/>
  <c r="R114" i="116"/>
  <c r="W32" i="116"/>
  <c r="R411" i="116"/>
  <c r="R473" i="116"/>
  <c r="U666" i="116"/>
  <c r="T516" i="116"/>
  <c r="R692" i="116"/>
  <c r="T731" i="116"/>
  <c r="R32" i="116"/>
  <c r="T411" i="116"/>
  <c r="T781" i="116"/>
  <c r="W731" i="116"/>
  <c r="W666" i="116"/>
  <c r="R516" i="116"/>
  <c r="T692" i="116"/>
  <c r="T1033" i="116"/>
  <c r="R76" i="116"/>
  <c r="T74" i="116"/>
  <c r="R784" i="116"/>
  <c r="R1033" i="116"/>
  <c r="W76" i="116"/>
  <c r="R74" i="116"/>
  <c r="R711" i="116"/>
  <c r="R498" i="116"/>
  <c r="W976" i="116"/>
  <c r="W516" i="116"/>
  <c r="W692" i="116"/>
  <c r="T1262" i="116"/>
  <c r="R976" i="116"/>
  <c r="U1172" i="116"/>
  <c r="T492" i="116"/>
  <c r="R1262" i="116"/>
  <c r="U1033" i="116"/>
  <c r="T76" i="116"/>
  <c r="T1187" i="116"/>
  <c r="W74" i="116"/>
  <c r="U498" i="116"/>
  <c r="O237" i="116"/>
  <c r="R1172" i="116"/>
  <c r="T976" i="116"/>
  <c r="W1172" i="116"/>
  <c r="R492" i="116"/>
  <c r="U1262" i="116"/>
  <c r="W539" i="116"/>
  <c r="R69" i="116"/>
  <c r="T321" i="116"/>
  <c r="U936" i="116"/>
  <c r="T167" i="116"/>
  <c r="R167" i="116"/>
  <c r="T515" i="116"/>
  <c r="R96" i="116"/>
  <c r="R321" i="116"/>
  <c r="T1143" i="116"/>
  <c r="U1003" i="116"/>
  <c r="U515" i="116"/>
  <c r="T160" i="116"/>
  <c r="R760" i="116"/>
  <c r="T96" i="116"/>
  <c r="T1068" i="116"/>
  <c r="W1143" i="116"/>
  <c r="R1252" i="116"/>
  <c r="U1129" i="116"/>
  <c r="U167" i="116"/>
  <c r="R1158" i="116"/>
  <c r="W1105" i="116"/>
  <c r="W1252" i="116"/>
  <c r="R978" i="116"/>
  <c r="W143" i="116"/>
  <c r="R524" i="116"/>
  <c r="U970" i="116"/>
  <c r="U1047" i="116"/>
  <c r="W1063" i="116"/>
  <c r="T52" i="116"/>
  <c r="R36" i="116"/>
  <c r="W543" i="116"/>
  <c r="T1004" i="116"/>
  <c r="T302" i="116"/>
  <c r="R970" i="116"/>
  <c r="E38" i="38"/>
  <c r="U837" i="116"/>
  <c r="W526" i="116"/>
  <c r="T158" i="116"/>
  <c r="W137" i="116"/>
  <c r="R1022" i="116"/>
  <c r="T1070" i="116"/>
  <c r="T53" i="116"/>
  <c r="R77" i="116"/>
  <c r="R1125" i="116"/>
  <c r="W53" i="116"/>
  <c r="T312" i="116"/>
  <c r="R665" i="116"/>
  <c r="R341" i="116"/>
  <c r="U553" i="116"/>
  <c r="U77" i="116"/>
  <c r="W709" i="116"/>
  <c r="U1126" i="116"/>
  <c r="W1070" i="116"/>
  <c r="T1125" i="116"/>
  <c r="R312" i="116"/>
  <c r="T665" i="116"/>
  <c r="R1064" i="116"/>
  <c r="W341" i="116"/>
  <c r="U643" i="116"/>
  <c r="U1263" i="116"/>
  <c r="T1116" i="116"/>
  <c r="R553" i="116"/>
  <c r="R778" i="116"/>
  <c r="T77" i="116"/>
  <c r="R915" i="116"/>
  <c r="W1236" i="116"/>
  <c r="R709" i="116"/>
  <c r="R1070" i="116"/>
  <c r="T828" i="116"/>
  <c r="W1125" i="116"/>
  <c r="T1054" i="116"/>
  <c r="W1064" i="116"/>
  <c r="U1185" i="116"/>
  <c r="R643" i="116"/>
  <c r="R337" i="116"/>
  <c r="W553" i="116"/>
  <c r="R532" i="116"/>
  <c r="T801" i="116"/>
  <c r="W1054" i="116"/>
  <c r="T1064" i="116"/>
  <c r="W643" i="116"/>
  <c r="U165" i="116"/>
  <c r="T759" i="116"/>
  <c r="T1142" i="116"/>
  <c r="W259" i="116"/>
  <c r="W773" i="116"/>
  <c r="R165" i="116"/>
  <c r="R1142" i="116"/>
  <c r="U828" i="116"/>
  <c r="R1054" i="116"/>
  <c r="R773" i="116"/>
  <c r="R613" i="116"/>
  <c r="T71" i="116"/>
  <c r="W1101" i="116"/>
  <c r="R832" i="116"/>
  <c r="W1142" i="116"/>
  <c r="T148" i="116"/>
  <c r="R828" i="116"/>
  <c r="T773" i="116"/>
  <c r="T613" i="116"/>
  <c r="R71" i="116"/>
  <c r="T1101" i="116"/>
  <c r="W522" i="116"/>
  <c r="U613" i="116"/>
  <c r="U1037" i="116"/>
  <c r="U71" i="116"/>
  <c r="R277" i="116"/>
  <c r="W48" i="116"/>
  <c r="U522" i="116"/>
  <c r="U825" i="116"/>
  <c r="R1126" i="116"/>
  <c r="R137" i="116"/>
  <c r="R48" i="116"/>
  <c r="W190" i="116"/>
  <c r="W1124" i="116"/>
  <c r="R81" i="116"/>
  <c r="W1005" i="116"/>
  <c r="W232" i="116"/>
  <c r="T927" i="116"/>
  <c r="T839" i="116"/>
  <c r="R1200" i="116"/>
  <c r="W371" i="116"/>
  <c r="T1199" i="116"/>
  <c r="W655" i="116"/>
  <c r="U230" i="116"/>
  <c r="R401" i="116"/>
  <c r="W617" i="116"/>
  <c r="T1158" i="116"/>
  <c r="U1143" i="116"/>
  <c r="R496" i="116"/>
  <c r="U292" i="116"/>
  <c r="W858" i="116"/>
  <c r="W903" i="116"/>
  <c r="R1003" i="116"/>
  <c r="U683" i="116"/>
  <c r="W1188" i="116"/>
  <c r="U974" i="116"/>
  <c r="U951" i="116"/>
  <c r="T400" i="116"/>
  <c r="R340" i="116"/>
  <c r="T378" i="116"/>
  <c r="U925" i="116"/>
  <c r="W401" i="116"/>
  <c r="T496" i="116"/>
  <c r="R808" i="116"/>
  <c r="T946" i="116"/>
  <c r="R672" i="116"/>
  <c r="R526" i="116"/>
  <c r="R841" i="116"/>
  <c r="T611" i="116"/>
  <c r="T521" i="116"/>
  <c r="T190" i="116"/>
  <c r="R222" i="116"/>
  <c r="U295" i="116"/>
  <c r="R918" i="116"/>
  <c r="U839" i="116"/>
  <c r="U521" i="116"/>
  <c r="T539" i="116"/>
  <c r="W912" i="116"/>
  <c r="W646" i="116"/>
  <c r="T69" i="116"/>
  <c r="T879" i="116"/>
  <c r="U617" i="116"/>
  <c r="W784" i="116"/>
  <c r="W317" i="116"/>
  <c r="T808" i="116"/>
  <c r="R946" i="116"/>
  <c r="T1105" i="116"/>
  <c r="R461" i="116"/>
  <c r="T672" i="116"/>
  <c r="T526" i="116"/>
  <c r="T841" i="116"/>
  <c r="AL7" i="8"/>
  <c r="R259" i="116"/>
  <c r="U783" i="116"/>
  <c r="T925" i="116"/>
  <c r="R862" i="116"/>
  <c r="T646" i="116"/>
  <c r="R400" i="116"/>
  <c r="W222" i="116"/>
  <c r="R295" i="116"/>
  <c r="U918" i="116"/>
  <c r="U539" i="116"/>
  <c r="R1187" i="116"/>
  <c r="R1137" i="116"/>
  <c r="R912" i="116"/>
  <c r="T418" i="116"/>
  <c r="W488" i="116"/>
  <c r="U69" i="116"/>
  <c r="R879" i="116"/>
  <c r="W321" i="116"/>
  <c r="U140" i="116"/>
  <c r="T1097" i="116"/>
  <c r="T264" i="116"/>
  <c r="T784" i="116"/>
  <c r="W142" i="116"/>
  <c r="T317" i="116"/>
  <c r="R1122" i="116"/>
  <c r="W808" i="116"/>
  <c r="W946" i="116"/>
  <c r="T873" i="116"/>
  <c r="R296" i="116"/>
  <c r="T461" i="116"/>
  <c r="U672" i="116"/>
  <c r="W841" i="116"/>
  <c r="W581" i="116"/>
  <c r="U138" i="116"/>
  <c r="U294" i="116"/>
  <c r="R378" i="116"/>
  <c r="T783" i="116"/>
  <c r="T1257" i="116"/>
  <c r="R199" i="116"/>
  <c r="W471" i="116"/>
  <c r="R425" i="116"/>
  <c r="R619" i="116"/>
  <c r="T410" i="116"/>
  <c r="T295" i="116"/>
  <c r="R715" i="116"/>
  <c r="T265" i="116"/>
  <c r="T1250" i="116"/>
  <c r="T1159" i="116"/>
  <c r="W1187" i="116"/>
  <c r="T1137" i="116"/>
  <c r="T912" i="116"/>
  <c r="R418" i="116"/>
  <c r="R488" i="116"/>
  <c r="W412" i="116"/>
  <c r="W788" i="116"/>
  <c r="U879" i="116"/>
  <c r="T140" i="116"/>
  <c r="T117" i="116"/>
  <c r="U264" i="116"/>
  <c r="T1122" i="116"/>
  <c r="T522" i="116"/>
  <c r="U873" i="116"/>
  <c r="U296" i="116"/>
  <c r="T1109" i="116"/>
  <c r="R493" i="116"/>
  <c r="R799" i="116"/>
  <c r="U966" i="116"/>
  <c r="R138" i="116"/>
  <c r="W783" i="116"/>
  <c r="W1264" i="116"/>
  <c r="R471" i="116"/>
  <c r="R410" i="116"/>
  <c r="W715" i="116"/>
  <c r="W1057" i="116"/>
  <c r="T1171" i="116"/>
  <c r="R265" i="116"/>
  <c r="R1250" i="116"/>
  <c r="R1159" i="116"/>
  <c r="W418" i="116"/>
  <c r="T488" i="116"/>
  <c r="T412" i="116"/>
  <c r="R140" i="116"/>
  <c r="R117" i="116"/>
  <c r="R264" i="116"/>
  <c r="U730" i="116"/>
  <c r="U1122" i="116"/>
  <c r="R319" i="116"/>
  <c r="R873" i="116"/>
  <c r="T296" i="116"/>
  <c r="U493" i="116"/>
  <c r="T799" i="116"/>
  <c r="W138" i="116"/>
  <c r="T1264" i="116"/>
  <c r="T471" i="116"/>
  <c r="W378" i="116"/>
  <c r="U1124" i="116"/>
  <c r="U425" i="116"/>
  <c r="T425" i="116"/>
  <c r="U410" i="116"/>
  <c r="T715" i="116"/>
  <c r="R1057" i="116"/>
  <c r="U1171" i="116"/>
  <c r="U265" i="116"/>
  <c r="W1250" i="116"/>
  <c r="W1159" i="116"/>
  <c r="T931" i="116"/>
  <c r="R412" i="116"/>
  <c r="T780" i="116"/>
  <c r="U117" i="116"/>
  <c r="R730" i="116"/>
  <c r="T319" i="116"/>
  <c r="T1017" i="116"/>
  <c r="T493" i="116"/>
  <c r="W799" i="116"/>
  <c r="T966" i="116"/>
  <c r="R1007" i="116"/>
  <c r="U680" i="116"/>
  <c r="U1264" i="116"/>
  <c r="W925" i="116"/>
  <c r="T1057" i="116"/>
  <c r="R1171" i="116"/>
  <c r="T59" i="116"/>
  <c r="R780" i="116"/>
  <c r="W730" i="116"/>
  <c r="U319" i="116"/>
  <c r="R1017" i="116"/>
  <c r="T1007" i="116"/>
  <c r="W680" i="116"/>
  <c r="O547" i="116"/>
  <c r="O16" i="116" s="1"/>
  <c r="R1197" i="116"/>
  <c r="W611" i="116"/>
  <c r="T825" i="116"/>
  <c r="W825" i="116"/>
  <c r="W837" i="116"/>
  <c r="U1236" i="116"/>
  <c r="R931" i="116"/>
  <c r="T1005" i="116"/>
  <c r="T232" i="116"/>
  <c r="U371" i="116"/>
  <c r="W931" i="116"/>
  <c r="I11" i="116"/>
  <c r="T230" i="116"/>
  <c r="W780" i="116"/>
  <c r="T531" i="116"/>
  <c r="T770" i="116"/>
  <c r="T292" i="116"/>
  <c r="W1017" i="116"/>
  <c r="U1188" i="116"/>
  <c r="T974" i="116"/>
  <c r="T951" i="116"/>
  <c r="W1007" i="116"/>
  <c r="R680" i="116"/>
  <c r="R582" i="116"/>
  <c r="U199" i="116"/>
  <c r="T1028" i="116"/>
  <c r="T952" i="116"/>
  <c r="U416" i="116"/>
  <c r="U1005" i="116"/>
  <c r="U232" i="116"/>
  <c r="R927" i="116"/>
  <c r="T1200" i="116"/>
  <c r="T371" i="116"/>
  <c r="W1199" i="116"/>
  <c r="T610" i="116"/>
  <c r="R230" i="116"/>
  <c r="R285" i="116"/>
  <c r="W1158" i="116"/>
  <c r="R292" i="116"/>
  <c r="R858" i="116"/>
  <c r="T683" i="116"/>
  <c r="T1188" i="116"/>
  <c r="R974" i="116"/>
  <c r="R951" i="116"/>
  <c r="T582" i="116"/>
  <c r="T199" i="116"/>
  <c r="U919" i="116"/>
  <c r="R416" i="116"/>
  <c r="U903" i="116"/>
  <c r="U544" i="116"/>
  <c r="R294" i="116"/>
  <c r="T318" i="116"/>
  <c r="M547" i="116"/>
  <c r="M16" i="116" s="1"/>
  <c r="R837" i="116"/>
  <c r="U803" i="116"/>
  <c r="R603" i="116"/>
  <c r="W182" i="116"/>
  <c r="R49" i="116"/>
  <c r="R695" i="116"/>
  <c r="R1162" i="116"/>
  <c r="T182" i="116"/>
  <c r="T49" i="116"/>
  <c r="W695" i="116"/>
  <c r="U182" i="116"/>
  <c r="T818" i="116"/>
  <c r="W850" i="116"/>
  <c r="T883" i="116"/>
  <c r="U1086" i="116"/>
  <c r="W269" i="116"/>
  <c r="W1111" i="116"/>
  <c r="U512" i="116"/>
  <c r="R936" i="116"/>
  <c r="R142" i="116"/>
  <c r="U1096" i="116"/>
  <c r="T394" i="116"/>
  <c r="U906" i="116"/>
  <c r="R1248" i="116"/>
  <c r="T432" i="116"/>
  <c r="W314" i="116"/>
  <c r="R698" i="116"/>
  <c r="W818" i="116"/>
  <c r="R961" i="116"/>
  <c r="U883" i="116"/>
  <c r="R146" i="116"/>
  <c r="W860" i="116"/>
  <c r="U869" i="116"/>
  <c r="R430" i="116"/>
  <c r="W631" i="116"/>
  <c r="U142" i="116"/>
  <c r="W1248" i="116"/>
  <c r="T281" i="116"/>
  <c r="T494" i="116"/>
  <c r="R125" i="116"/>
  <c r="T615" i="116"/>
  <c r="U1020" i="116"/>
  <c r="R537" i="116"/>
  <c r="T293" i="116"/>
  <c r="W698" i="116"/>
  <c r="U537" i="116"/>
  <c r="R293" i="116"/>
  <c r="W961" i="116"/>
  <c r="R860" i="116"/>
  <c r="R869" i="116"/>
  <c r="T430" i="116"/>
  <c r="R631" i="116"/>
  <c r="R329" i="116"/>
  <c r="R494" i="116"/>
  <c r="U499" i="116"/>
  <c r="W919" i="116"/>
  <c r="T882" i="116"/>
  <c r="T860" i="116"/>
  <c r="U430" i="116"/>
  <c r="U631" i="116"/>
  <c r="W329" i="116"/>
  <c r="T529" i="116"/>
  <c r="U494" i="116"/>
  <c r="W499" i="116"/>
  <c r="R917" i="116"/>
  <c r="T537" i="116"/>
  <c r="U1166" i="116"/>
  <c r="T249" i="116"/>
  <c r="U271" i="116"/>
  <c r="T769" i="116"/>
  <c r="W594" i="116"/>
  <c r="U374" i="116"/>
  <c r="U1012" i="116"/>
  <c r="J239" i="116"/>
  <c r="J13" i="116" s="1"/>
  <c r="R453" i="116"/>
  <c r="W1233" i="116"/>
  <c r="R1166" i="116"/>
  <c r="U249" i="116"/>
  <c r="R271" i="116"/>
  <c r="W769" i="116"/>
  <c r="R1176" i="116"/>
  <c r="T543" i="116"/>
  <c r="T453" i="116"/>
  <c r="T603" i="116"/>
  <c r="T1166" i="116"/>
  <c r="W176" i="116"/>
  <c r="R249" i="116"/>
  <c r="T271" i="116"/>
  <c r="U769" i="116"/>
  <c r="U1176" i="116"/>
  <c r="R594" i="116"/>
  <c r="U603" i="116"/>
  <c r="U49" i="116"/>
  <c r="W233" i="116"/>
  <c r="T1176" i="116"/>
  <c r="U233" i="116"/>
  <c r="T1086" i="116"/>
  <c r="R269" i="116"/>
  <c r="R1111" i="116"/>
  <c r="T512" i="116"/>
  <c r="T1096" i="116"/>
  <c r="U1195" i="116"/>
  <c r="R1169" i="116"/>
  <c r="R314" i="116"/>
  <c r="K547" i="116"/>
  <c r="K16" i="116" s="1"/>
  <c r="I239" i="116"/>
  <c r="I13" i="116" s="1"/>
  <c r="T850" i="116"/>
  <c r="T233" i="116"/>
  <c r="W1086" i="116"/>
  <c r="U269" i="116"/>
  <c r="T1111" i="116"/>
  <c r="R512" i="116"/>
  <c r="T936" i="116"/>
  <c r="R1096" i="116"/>
  <c r="W394" i="116"/>
  <c r="R432" i="116"/>
  <c r="W1169" i="116"/>
  <c r="U314" i="116"/>
  <c r="R394" i="116"/>
  <c r="R906" i="116"/>
  <c r="U594" i="116"/>
  <c r="W453" i="116"/>
  <c r="R122" i="116"/>
  <c r="R166" i="116"/>
  <c r="R75" i="116"/>
  <c r="W559" i="116"/>
  <c r="T376" i="116"/>
  <c r="W532" i="116"/>
  <c r="R221" i="116"/>
  <c r="T862" i="116"/>
  <c r="U813" i="116"/>
  <c r="W735" i="116"/>
  <c r="W563" i="116"/>
  <c r="U889" i="116"/>
  <c r="R563" i="116"/>
  <c r="W557" i="116"/>
  <c r="U257" i="116"/>
  <c r="W861" i="116"/>
  <c r="T224" i="116"/>
  <c r="R1098" i="116"/>
  <c r="W247" i="116"/>
  <c r="R836" i="116"/>
  <c r="U128" i="116"/>
  <c r="U874" i="116"/>
  <c r="W568" i="116"/>
  <c r="T1185" i="116"/>
  <c r="U852" i="116"/>
  <c r="T1043" i="116"/>
  <c r="W1165" i="116"/>
  <c r="W207" i="116"/>
  <c r="T1063" i="116"/>
  <c r="T906" i="116"/>
  <c r="T777" i="116"/>
  <c r="U819" i="116"/>
  <c r="W759" i="116"/>
  <c r="U558" i="116"/>
  <c r="U411" i="116"/>
  <c r="R781" i="116"/>
  <c r="T45" i="116"/>
  <c r="N547" i="116"/>
  <c r="N16" i="116" s="1"/>
  <c r="U602" i="116"/>
  <c r="R1150" i="116"/>
  <c r="T509" i="116"/>
  <c r="U861" i="116"/>
  <c r="T1127" i="116"/>
  <c r="W578" i="116"/>
  <c r="W1098" i="116"/>
  <c r="U762" i="116"/>
  <c r="T255" i="116"/>
  <c r="W1185" i="116"/>
  <c r="U1165" i="116"/>
  <c r="U211" i="116"/>
  <c r="R759" i="116"/>
  <c r="T686" i="116"/>
  <c r="T602" i="116"/>
  <c r="W862" i="116"/>
  <c r="R952" i="116"/>
  <c r="U372" i="116"/>
  <c r="W1127" i="116"/>
  <c r="R1239" i="116"/>
  <c r="T827" i="116"/>
  <c r="T578" i="116"/>
  <c r="R552" i="116"/>
  <c r="R569" i="116"/>
  <c r="U1022" i="116"/>
  <c r="R794" i="116"/>
  <c r="W742" i="116"/>
  <c r="T1094" i="116"/>
  <c r="R256" i="116"/>
  <c r="W478" i="116"/>
  <c r="W166" i="116"/>
  <c r="R691" i="116"/>
  <c r="T503" i="116"/>
  <c r="W1046" i="116"/>
  <c r="R169" i="116"/>
  <c r="T277" i="116"/>
  <c r="R376" i="116"/>
  <c r="R211" i="116"/>
  <c r="R1116" i="116"/>
  <c r="U532" i="116"/>
  <c r="T795" i="116"/>
  <c r="T101" i="116"/>
  <c r="T372" i="116"/>
  <c r="T550" i="116"/>
  <c r="W221" i="116"/>
  <c r="W527" i="116"/>
  <c r="T279" i="116"/>
  <c r="R827" i="116"/>
  <c r="U1150" i="116"/>
  <c r="U1239" i="116"/>
  <c r="W827" i="116"/>
  <c r="U552" i="116"/>
  <c r="R639" i="116"/>
  <c r="T404" i="116"/>
  <c r="U644" i="116"/>
  <c r="U569" i="116"/>
  <c r="U929" i="116"/>
  <c r="T794" i="116"/>
  <c r="U742" i="116"/>
  <c r="R1094" i="116"/>
  <c r="W256" i="116"/>
  <c r="R478" i="116"/>
  <c r="T166" i="116"/>
  <c r="R1157" i="116"/>
  <c r="T691" i="116"/>
  <c r="U503" i="116"/>
  <c r="T1046" i="116"/>
  <c r="T169" i="116"/>
  <c r="W277" i="116"/>
  <c r="U376" i="116"/>
  <c r="U245" i="116"/>
  <c r="W1116" i="116"/>
  <c r="T1215" i="116"/>
  <c r="T455" i="116"/>
  <c r="T328" i="116"/>
  <c r="R795" i="116"/>
  <c r="R101" i="116"/>
  <c r="W372" i="116"/>
  <c r="U62" i="116"/>
  <c r="W566" i="116"/>
  <c r="R158" i="116"/>
  <c r="U272" i="116"/>
  <c r="R272" i="116"/>
  <c r="U122" i="116"/>
  <c r="U1118" i="116"/>
  <c r="W433" i="116"/>
  <c r="W1239" i="116"/>
  <c r="T840" i="116"/>
  <c r="U914" i="116"/>
  <c r="W243" i="116"/>
  <c r="T552" i="116"/>
  <c r="T639" i="116"/>
  <c r="W364" i="116"/>
  <c r="R404" i="116"/>
  <c r="T569" i="116"/>
  <c r="W929" i="116"/>
  <c r="T834" i="116"/>
  <c r="W794" i="116"/>
  <c r="T742" i="116"/>
  <c r="U1094" i="116"/>
  <c r="U256" i="116"/>
  <c r="U478" i="116"/>
  <c r="W691" i="116"/>
  <c r="R503" i="116"/>
  <c r="R1046" i="116"/>
  <c r="W169" i="116"/>
  <c r="T245" i="116"/>
  <c r="T947" i="116"/>
  <c r="U1215" i="116"/>
  <c r="R455" i="116"/>
  <c r="U328" i="116"/>
  <c r="W795" i="116"/>
  <c r="W101" i="116"/>
  <c r="R62" i="116"/>
  <c r="L12" i="116"/>
  <c r="R566" i="116"/>
  <c r="T188" i="116"/>
  <c r="T1118" i="116"/>
  <c r="T813" i="116"/>
  <c r="R1118" i="116"/>
  <c r="W813" i="116"/>
  <c r="T433" i="116"/>
  <c r="W1018" i="116"/>
  <c r="R429" i="116"/>
  <c r="R840" i="116"/>
  <c r="W914" i="116"/>
  <c r="R408" i="116"/>
  <c r="R606" i="116"/>
  <c r="T435" i="116"/>
  <c r="T243" i="116"/>
  <c r="U639" i="116"/>
  <c r="R364" i="116"/>
  <c r="W404" i="116"/>
  <c r="R399" i="116"/>
  <c r="U1110" i="116"/>
  <c r="T151" i="116"/>
  <c r="W620" i="116"/>
  <c r="U58" i="116"/>
  <c r="U834" i="116"/>
  <c r="W866" i="116"/>
  <c r="R39" i="116"/>
  <c r="T623" i="116"/>
  <c r="R705" i="116"/>
  <c r="R34" i="116"/>
  <c r="U108" i="116"/>
  <c r="R245" i="116"/>
  <c r="R947" i="116"/>
  <c r="W1215" i="116"/>
  <c r="U455" i="116"/>
  <c r="R328" i="116"/>
  <c r="U585" i="116"/>
  <c r="T62" i="116"/>
  <c r="W800" i="116"/>
  <c r="R660" i="116"/>
  <c r="W1207" i="116"/>
  <c r="T1252" i="116"/>
  <c r="T566" i="116"/>
  <c r="U433" i="116"/>
  <c r="T1018" i="116"/>
  <c r="W72" i="116"/>
  <c r="W840" i="116"/>
  <c r="T914" i="116"/>
  <c r="T408" i="116"/>
  <c r="T606" i="116"/>
  <c r="R243" i="116"/>
  <c r="U364" i="116"/>
  <c r="T247" i="116"/>
  <c r="R870" i="116"/>
  <c r="R1110" i="116"/>
  <c r="U620" i="116"/>
  <c r="R58" i="116"/>
  <c r="R834" i="116"/>
  <c r="R866" i="116"/>
  <c r="R406" i="116"/>
  <c r="U623" i="116"/>
  <c r="T705" i="116"/>
  <c r="W1043" i="116"/>
  <c r="W34" i="116"/>
  <c r="T721" i="116"/>
  <c r="R207" i="116"/>
  <c r="U947" i="116"/>
  <c r="R558" i="116"/>
  <c r="R283" i="116"/>
  <c r="W662" i="116"/>
  <c r="T660" i="116"/>
  <c r="W889" i="116"/>
  <c r="R889" i="116"/>
  <c r="U1018" i="116"/>
  <c r="W408" i="116"/>
  <c r="W606" i="116"/>
  <c r="R54" i="116"/>
  <c r="BE18" i="8"/>
  <c r="R247" i="116"/>
  <c r="T1110" i="116"/>
  <c r="T620" i="116"/>
  <c r="W58" i="116"/>
  <c r="T568" i="116"/>
  <c r="U866" i="116"/>
  <c r="U406" i="116"/>
  <c r="R623" i="116"/>
  <c r="W705" i="116"/>
  <c r="U1043" i="116"/>
  <c r="U34" i="116"/>
  <c r="U207" i="116"/>
  <c r="R777" i="116"/>
  <c r="T819" i="116"/>
  <c r="T558" i="116"/>
  <c r="U781" i="116"/>
  <c r="U660" i="116"/>
  <c r="U1207" i="116"/>
  <c r="T1075" i="116"/>
  <c r="T353" i="116"/>
  <c r="T280" i="116"/>
  <c r="W934" i="116"/>
  <c r="T406" i="116"/>
  <c r="R1207" i="116"/>
  <c r="T1233" i="116"/>
  <c r="R774" i="116"/>
  <c r="R402" i="116"/>
  <c r="W315" i="116"/>
  <c r="R1233" i="116"/>
  <c r="W774" i="116"/>
  <c r="U1249" i="116"/>
  <c r="W1231" i="116"/>
  <c r="R178" i="116"/>
  <c r="T176" i="116"/>
  <c r="W882" i="116"/>
  <c r="T1050" i="116"/>
  <c r="U57" i="116"/>
  <c r="U146" i="116"/>
  <c r="R79" i="116"/>
  <c r="U807" i="116"/>
  <c r="T113" i="116"/>
  <c r="U1242" i="116"/>
  <c r="R888" i="116"/>
  <c r="R536" i="116"/>
  <c r="W226" i="116"/>
  <c r="T449" i="116"/>
  <c r="T202" i="116"/>
  <c r="T1195" i="116"/>
  <c r="R550" i="116"/>
  <c r="R615" i="116"/>
  <c r="T636" i="116"/>
  <c r="U315" i="116"/>
  <c r="R509" i="116"/>
  <c r="U774" i="116"/>
  <c r="T739" i="116"/>
  <c r="W1249" i="116"/>
  <c r="U1231" i="116"/>
  <c r="U178" i="116"/>
  <c r="T756" i="116"/>
  <c r="R176" i="116"/>
  <c r="R882" i="116"/>
  <c r="U151" i="116"/>
  <c r="T39" i="116"/>
  <c r="T146" i="116"/>
  <c r="U79" i="116"/>
  <c r="W1242" i="116"/>
  <c r="T1074" i="116"/>
  <c r="R721" i="116"/>
  <c r="T536" i="116"/>
  <c r="U226" i="116"/>
  <c r="W449" i="116"/>
  <c r="R202" i="116"/>
  <c r="R1195" i="116"/>
  <c r="W550" i="116"/>
  <c r="T727" i="116"/>
  <c r="D547" i="116"/>
  <c r="D16" i="116" s="1"/>
  <c r="K239" i="116"/>
  <c r="K13" i="116" s="1"/>
  <c r="U636" i="116"/>
  <c r="U109" i="116"/>
  <c r="R739" i="116"/>
  <c r="W1162" i="116"/>
  <c r="W917" i="116"/>
  <c r="T198" i="116"/>
  <c r="U616" i="116"/>
  <c r="W853" i="116"/>
  <c r="R151" i="116"/>
  <c r="W39" i="116"/>
  <c r="T846" i="116"/>
  <c r="T856" i="116"/>
  <c r="U1074" i="116"/>
  <c r="T524" i="116"/>
  <c r="U721" i="116"/>
  <c r="U895" i="116"/>
  <c r="T102" i="116"/>
  <c r="U509" i="116"/>
  <c r="R708" i="116"/>
  <c r="W708" i="116"/>
  <c r="W109" i="116"/>
  <c r="U1162" i="116"/>
  <c r="T917" i="116"/>
  <c r="W198" i="116"/>
  <c r="R616" i="116"/>
  <c r="R1099" i="116"/>
  <c r="U853" i="116"/>
  <c r="W556" i="116"/>
  <c r="W846" i="116"/>
  <c r="R40" i="116"/>
  <c r="R856" i="116"/>
  <c r="U524" i="116"/>
  <c r="T895" i="116"/>
  <c r="R102" i="116"/>
  <c r="W1257" i="116"/>
  <c r="R533" i="116"/>
  <c r="T708" i="116"/>
  <c r="R109" i="116"/>
  <c r="W332" i="116"/>
  <c r="T1186" i="116"/>
  <c r="R198" i="116"/>
  <c r="W616" i="116"/>
  <c r="W88" i="116"/>
  <c r="U1099" i="116"/>
  <c r="W466" i="116"/>
  <c r="T989" i="116"/>
  <c r="U556" i="116"/>
  <c r="W40" i="116"/>
  <c r="W856" i="116"/>
  <c r="R307" i="116"/>
  <c r="T486" i="116"/>
  <c r="R895" i="116"/>
  <c r="W102" i="116"/>
  <c r="T533" i="116"/>
  <c r="R332" i="116"/>
  <c r="R88" i="116"/>
  <c r="W1099" i="116"/>
  <c r="T466" i="116"/>
  <c r="R989" i="116"/>
  <c r="R556" i="116"/>
  <c r="U40" i="116"/>
  <c r="T307" i="116"/>
  <c r="R447" i="116"/>
  <c r="W360" i="116"/>
  <c r="R486" i="116"/>
  <c r="W354" i="116"/>
  <c r="U859" i="116"/>
  <c r="U533" i="116"/>
  <c r="T332" i="116"/>
  <c r="T88" i="116"/>
  <c r="R466" i="116"/>
  <c r="W989" i="116"/>
  <c r="R624" i="116"/>
  <c r="U307" i="116"/>
  <c r="U447" i="116"/>
  <c r="U360" i="116"/>
  <c r="U486" i="116"/>
  <c r="R354" i="116"/>
  <c r="T754" i="116"/>
  <c r="W1186" i="116"/>
  <c r="T586" i="116"/>
  <c r="T402" i="116"/>
  <c r="T913" i="116"/>
  <c r="T647" i="116"/>
  <c r="T624" i="116"/>
  <c r="T447" i="116"/>
  <c r="R360" i="116"/>
  <c r="T787" i="116"/>
  <c r="T354" i="116"/>
  <c r="T711" i="116"/>
  <c r="T544" i="116"/>
  <c r="U662" i="116"/>
  <c r="H10" i="116"/>
  <c r="H12" i="116" s="1"/>
  <c r="T282" i="116"/>
  <c r="W374" i="116"/>
  <c r="R278" i="116"/>
  <c r="U278" i="116"/>
  <c r="R590" i="116"/>
  <c r="R1186" i="116"/>
  <c r="U586" i="116"/>
  <c r="W586" i="116"/>
  <c r="U402" i="116"/>
  <c r="U913" i="116"/>
  <c r="R1050" i="116"/>
  <c r="R922" i="116"/>
  <c r="R647" i="116"/>
  <c r="R57" i="116"/>
  <c r="U624" i="116"/>
  <c r="R807" i="116"/>
  <c r="T888" i="116"/>
  <c r="R787" i="116"/>
  <c r="BV8" i="8"/>
  <c r="F6" i="24" s="1"/>
  <c r="R315" i="116"/>
  <c r="W913" i="116"/>
  <c r="R1249" i="116"/>
  <c r="T1231" i="116"/>
  <c r="W178" i="116"/>
  <c r="W1050" i="116"/>
  <c r="W647" i="116"/>
  <c r="W57" i="116"/>
  <c r="T807" i="116"/>
  <c r="T1242" i="116"/>
  <c r="W888" i="116"/>
  <c r="U787" i="116"/>
  <c r="R226" i="116"/>
  <c r="U386" i="116"/>
  <c r="R1240" i="116"/>
  <c r="R748" i="116"/>
  <c r="T272" i="116"/>
  <c r="U1117" i="116"/>
  <c r="T969" i="116"/>
  <c r="W1076" i="116"/>
  <c r="R1228" i="116"/>
  <c r="U429" i="116"/>
  <c r="R336" i="116"/>
  <c r="U219" i="116"/>
  <c r="W758" i="116"/>
  <c r="W810" i="116"/>
  <c r="W299" i="116"/>
  <c r="AL10" i="8"/>
  <c r="R35" i="116"/>
  <c r="W1049" i="116"/>
  <c r="T181" i="116"/>
  <c r="W610" i="116"/>
  <c r="R175" i="116"/>
  <c r="T655" i="116"/>
  <c r="R201" i="116"/>
  <c r="U472" i="116"/>
  <c r="U312" i="116"/>
  <c r="U275" i="116"/>
  <c r="R1085" i="116"/>
  <c r="T482" i="116"/>
  <c r="U244" i="116"/>
  <c r="W609" i="116"/>
  <c r="T377" i="116"/>
  <c r="R1213" i="116"/>
  <c r="U1157" i="116"/>
  <c r="W1114" i="116"/>
  <c r="T75" i="116"/>
  <c r="U885" i="116"/>
  <c r="W94" i="116"/>
  <c r="R657" i="116"/>
  <c r="R898" i="116"/>
  <c r="W1071" i="116"/>
  <c r="R520" i="116"/>
  <c r="T1203" i="116"/>
  <c r="T724" i="116"/>
  <c r="U420" i="116"/>
  <c r="W281" i="116"/>
  <c r="T573" i="116"/>
  <c r="U896" i="116"/>
  <c r="W1134" i="116"/>
  <c r="U33" i="116"/>
  <c r="T489" i="116"/>
  <c r="W920" i="116"/>
  <c r="U283" i="116"/>
  <c r="R1136" i="116"/>
  <c r="W99" i="116"/>
  <c r="T227" i="116"/>
  <c r="W608" i="116"/>
  <c r="R1113" i="116"/>
  <c r="T125" i="116"/>
  <c r="U696" i="116"/>
  <c r="U168" i="116"/>
  <c r="W338" i="116"/>
  <c r="T251" i="116"/>
  <c r="T479" i="116"/>
  <c r="T1019" i="116"/>
  <c r="R1177" i="116"/>
  <c r="E14" i="13"/>
  <c r="R479" i="116"/>
  <c r="W562" i="116"/>
  <c r="R901" i="116"/>
  <c r="R969" i="116"/>
  <c r="U1029" i="116"/>
  <c r="W429" i="116"/>
  <c r="R170" i="116"/>
  <c r="T299" i="116"/>
  <c r="U181" i="116"/>
  <c r="T175" i="116"/>
  <c r="R377" i="116"/>
  <c r="R724" i="116"/>
  <c r="R420" i="116"/>
  <c r="U227" i="116"/>
  <c r="W1177" i="116"/>
  <c r="U1240" i="116"/>
  <c r="U1221" i="116"/>
  <c r="W748" i="116"/>
  <c r="W1117" i="116"/>
  <c r="W969" i="116"/>
  <c r="R1076" i="116"/>
  <c r="W1228" i="116"/>
  <c r="T835" i="116"/>
  <c r="R467" i="116"/>
  <c r="R1224" i="116"/>
  <c r="T336" i="116"/>
  <c r="T219" i="116"/>
  <c r="W261" i="116"/>
  <c r="U299" i="116"/>
  <c r="T35" i="116"/>
  <c r="U1049" i="116"/>
  <c r="U610" i="116"/>
  <c r="W175" i="116"/>
  <c r="T201" i="116"/>
  <c r="W472" i="116"/>
  <c r="W863" i="116"/>
  <c r="W275" i="116"/>
  <c r="T1085" i="116"/>
  <c r="U482" i="116"/>
  <c r="W287" i="116"/>
  <c r="R423" i="116"/>
  <c r="AL16" i="8"/>
  <c r="U377" i="116"/>
  <c r="W1213" i="116"/>
  <c r="U82" i="116"/>
  <c r="R1114" i="116"/>
  <c r="U75" i="116"/>
  <c r="W885" i="116"/>
  <c r="R1223" i="116"/>
  <c r="R94" i="116"/>
  <c r="W657" i="116"/>
  <c r="T898" i="116"/>
  <c r="U1078" i="116"/>
  <c r="U1071" i="116"/>
  <c r="U520" i="116"/>
  <c r="W1203" i="116"/>
  <c r="W724" i="116"/>
  <c r="T420" i="116"/>
  <c r="R97" i="116"/>
  <c r="W573" i="116"/>
  <c r="R896" i="116"/>
  <c r="T1134" i="116"/>
  <c r="T33" i="116"/>
  <c r="R489" i="116"/>
  <c r="R920" i="116"/>
  <c r="W283" i="116"/>
  <c r="T99" i="116"/>
  <c r="R227" i="116"/>
  <c r="U608" i="116"/>
  <c r="U1113" i="116"/>
  <c r="T589" i="116"/>
  <c r="W86" i="116"/>
  <c r="W598" i="116"/>
  <c r="U577" i="116"/>
  <c r="R491" i="116"/>
  <c r="R805" i="116"/>
  <c r="T915" i="116"/>
  <c r="T1177" i="116"/>
  <c r="T1210" i="116"/>
  <c r="U479" i="116"/>
  <c r="W1029" i="116"/>
  <c r="U584" i="116"/>
  <c r="T275" i="116"/>
  <c r="T94" i="116"/>
  <c r="U898" i="116"/>
  <c r="R99" i="116"/>
  <c r="U338" i="116"/>
  <c r="T1240" i="116"/>
  <c r="R1221" i="116"/>
  <c r="R157" i="116"/>
  <c r="T1076" i="116"/>
  <c r="T1228" i="116"/>
  <c r="R835" i="116"/>
  <c r="U467" i="116"/>
  <c r="W1224" i="116"/>
  <c r="W857" i="116"/>
  <c r="R194" i="116"/>
  <c r="U336" i="116"/>
  <c r="R219" i="116"/>
  <c r="T261" i="116"/>
  <c r="U923" i="116"/>
  <c r="R741" i="116"/>
  <c r="T642" i="116"/>
  <c r="T745" i="116"/>
  <c r="U164" i="116"/>
  <c r="W35" i="116"/>
  <c r="T768" i="116"/>
  <c r="R414" i="116"/>
  <c r="T472" i="116"/>
  <c r="U863" i="116"/>
  <c r="T519" i="116"/>
  <c r="R1175" i="116"/>
  <c r="W1085" i="116"/>
  <c r="W482" i="116"/>
  <c r="R287" i="116"/>
  <c r="W423" i="116"/>
  <c r="T1039" i="116"/>
  <c r="R1190" i="116"/>
  <c r="R82" i="116"/>
  <c r="R462" i="116"/>
  <c r="T885" i="116"/>
  <c r="T1223" i="116"/>
  <c r="U657" i="116"/>
  <c r="W1078" i="116"/>
  <c r="T1071" i="116"/>
  <c r="T520" i="116"/>
  <c r="T97" i="116"/>
  <c r="U573" i="116"/>
  <c r="T896" i="116"/>
  <c r="U1134" i="116"/>
  <c r="W33" i="116"/>
  <c r="U489" i="116"/>
  <c r="T920" i="116"/>
  <c r="R608" i="116"/>
  <c r="T1113" i="116"/>
  <c r="R589" i="116"/>
  <c r="U86" i="116"/>
  <c r="T598" i="116"/>
  <c r="T577" i="116"/>
  <c r="U491" i="116"/>
  <c r="W805" i="116"/>
  <c r="T1219" i="116"/>
  <c r="T748" i="116"/>
  <c r="U170" i="116"/>
  <c r="W874" i="116"/>
  <c r="T1157" i="116"/>
  <c r="U870" i="116"/>
  <c r="T1221" i="116"/>
  <c r="U157" i="116"/>
  <c r="U1174" i="116"/>
  <c r="R252" i="116"/>
  <c r="W835" i="116"/>
  <c r="T467" i="116"/>
  <c r="U1224" i="116"/>
  <c r="U194" i="116"/>
  <c r="T875" i="116"/>
  <c r="R261" i="116"/>
  <c r="T923" i="116"/>
  <c r="U741" i="116"/>
  <c r="R642" i="116"/>
  <c r="R745" i="116"/>
  <c r="T164" i="116"/>
  <c r="R768" i="116"/>
  <c r="U414" i="116"/>
  <c r="W555" i="116"/>
  <c r="R1042" i="116"/>
  <c r="T851" i="116"/>
  <c r="R551" i="116"/>
  <c r="T863" i="116"/>
  <c r="R519" i="116"/>
  <c r="W1175" i="116"/>
  <c r="T287" i="116"/>
  <c r="T423" i="116"/>
  <c r="R1039" i="116"/>
  <c r="T1190" i="116"/>
  <c r="T595" i="116"/>
  <c r="U1141" i="116"/>
  <c r="T899" i="116"/>
  <c r="R443" i="116"/>
  <c r="T938" i="116"/>
  <c r="W82" i="116"/>
  <c r="T462" i="116"/>
  <c r="W1223" i="116"/>
  <c r="T174" i="116"/>
  <c r="T514" i="116"/>
  <c r="T173" i="116"/>
  <c r="T324" i="116"/>
  <c r="R481" i="116"/>
  <c r="U97" i="116"/>
  <c r="U1220" i="116"/>
  <c r="T1104" i="116"/>
  <c r="R83" i="116"/>
  <c r="R1196" i="116"/>
  <c r="W589" i="116"/>
  <c r="T86" i="116"/>
  <c r="R577" i="116"/>
  <c r="W168" i="116"/>
  <c r="U251" i="116"/>
  <c r="W491" i="116"/>
  <c r="U805" i="116"/>
  <c r="R1219" i="116"/>
  <c r="R1049" i="116"/>
  <c r="U1170" i="116"/>
  <c r="R484" i="116"/>
  <c r="T157" i="116"/>
  <c r="T703" i="116"/>
  <c r="W1174" i="116"/>
  <c r="W252" i="116"/>
  <c r="R738" i="116"/>
  <c r="U185" i="116"/>
  <c r="U707" i="116"/>
  <c r="T194" i="116"/>
  <c r="W875" i="116"/>
  <c r="R923" i="116"/>
  <c r="T741" i="116"/>
  <c r="U642" i="116"/>
  <c r="W745" i="116"/>
  <c r="U124" i="116"/>
  <c r="R164" i="116"/>
  <c r="U768" i="116"/>
  <c r="T414" i="116"/>
  <c r="T555" i="116"/>
  <c r="T1042" i="116"/>
  <c r="R851" i="116"/>
  <c r="T551" i="116"/>
  <c r="T63" i="116"/>
  <c r="U519" i="116"/>
  <c r="T1175" i="116"/>
  <c r="T1178" i="116"/>
  <c r="U1130" i="116"/>
  <c r="U1039" i="116"/>
  <c r="W1190" i="116"/>
  <c r="W595" i="116"/>
  <c r="R1141" i="116"/>
  <c r="R899" i="116"/>
  <c r="W443" i="116"/>
  <c r="U938" i="116"/>
  <c r="T887" i="116"/>
  <c r="W462" i="116"/>
  <c r="R645" i="116"/>
  <c r="T942" i="116"/>
  <c r="R174" i="116"/>
  <c r="R514" i="116"/>
  <c r="R173" i="116"/>
  <c r="R324" i="116"/>
  <c r="T481" i="116"/>
  <c r="W1220" i="116"/>
  <c r="W1104" i="116"/>
  <c r="W634" i="116"/>
  <c r="T83" i="116"/>
  <c r="T1196" i="116"/>
  <c r="R168" i="116"/>
  <c r="T326" i="116"/>
  <c r="W330" i="116"/>
  <c r="L547" i="116"/>
  <c r="L16" i="116" s="1"/>
  <c r="R598" i="116"/>
  <c r="W457" i="116"/>
  <c r="U1219" i="116"/>
  <c r="R801" i="116"/>
  <c r="W801" i="116"/>
  <c r="W435" i="116"/>
  <c r="W665" i="116"/>
  <c r="R703" i="116"/>
  <c r="T484" i="116"/>
  <c r="T95" i="116"/>
  <c r="U703" i="116"/>
  <c r="R1174" i="116"/>
  <c r="T252" i="116"/>
  <c r="T738" i="116"/>
  <c r="R733" i="116"/>
  <c r="R669" i="116"/>
  <c r="W185" i="116"/>
  <c r="T707" i="116"/>
  <c r="R875" i="116"/>
  <c r="T331" i="116"/>
  <c r="T124" i="116"/>
  <c r="R555" i="116"/>
  <c r="U1042" i="116"/>
  <c r="W851" i="116"/>
  <c r="U551" i="116"/>
  <c r="R63" i="116"/>
  <c r="R842" i="116"/>
  <c r="R154" i="116"/>
  <c r="R1178" i="116"/>
  <c r="R1130" i="116"/>
  <c r="T627" i="116"/>
  <c r="U734" i="116"/>
  <c r="U595" i="116"/>
  <c r="T1141" i="116"/>
  <c r="W899" i="116"/>
  <c r="T443" i="116"/>
  <c r="R938" i="116"/>
  <c r="U887" i="116"/>
  <c r="U681" i="116"/>
  <c r="T1204" i="116"/>
  <c r="W197" i="116"/>
  <c r="T645" i="116"/>
  <c r="R942" i="116"/>
  <c r="U174" i="116"/>
  <c r="W514" i="116"/>
  <c r="W173" i="116"/>
  <c r="W324" i="116"/>
  <c r="W481" i="116"/>
  <c r="R1220" i="116"/>
  <c r="R1104" i="116"/>
  <c r="U634" i="116"/>
  <c r="T886" i="116"/>
  <c r="W83" i="116"/>
  <c r="W1196" i="116"/>
  <c r="W688" i="116"/>
  <c r="T106" i="116"/>
  <c r="R326" i="116"/>
  <c r="R1019" i="116"/>
  <c r="T457" i="116"/>
  <c r="U254" i="116"/>
  <c r="U187" i="116"/>
  <c r="W1170" i="116"/>
  <c r="T1205" i="116"/>
  <c r="W484" i="116"/>
  <c r="R95" i="116"/>
  <c r="T802" i="116"/>
  <c r="U738" i="116"/>
  <c r="T733" i="116"/>
  <c r="U669" i="116"/>
  <c r="R185" i="116"/>
  <c r="R707" i="116"/>
  <c r="R356" i="116"/>
  <c r="W331" i="116"/>
  <c r="R1037" i="116"/>
  <c r="T111" i="116"/>
  <c r="W644" i="116"/>
  <c r="R605" i="116"/>
  <c r="U399" i="116"/>
  <c r="U756" i="116"/>
  <c r="R124" i="116"/>
  <c r="T836" i="116"/>
  <c r="R541" i="116"/>
  <c r="T922" i="116"/>
  <c r="W63" i="116"/>
  <c r="T842" i="116"/>
  <c r="T154" i="116"/>
  <c r="T793" i="116"/>
  <c r="U1035" i="116"/>
  <c r="U934" i="116"/>
  <c r="W1178" i="116"/>
  <c r="W1130" i="116"/>
  <c r="W627" i="116"/>
  <c r="R734" i="116"/>
  <c r="U285" i="116"/>
  <c r="R887" i="116"/>
  <c r="R681" i="116"/>
  <c r="U1204" i="116"/>
  <c r="R197" i="116"/>
  <c r="U645" i="116"/>
  <c r="U942" i="116"/>
  <c r="T337" i="116"/>
  <c r="R634" i="116"/>
  <c r="T110" i="116"/>
  <c r="O20" i="13"/>
  <c r="R886" i="116"/>
  <c r="R688" i="116"/>
  <c r="U106" i="116"/>
  <c r="U330" i="116"/>
  <c r="U1019" i="116"/>
  <c r="U457" i="116"/>
  <c r="W254" i="116"/>
  <c r="U353" i="116"/>
  <c r="AL6" i="8"/>
  <c r="W187" i="116"/>
  <c r="U733" i="116"/>
  <c r="R353" i="116"/>
  <c r="W356" i="116"/>
  <c r="W817" i="116"/>
  <c r="R331" i="116"/>
  <c r="T1037" i="116"/>
  <c r="R111" i="116"/>
  <c r="T644" i="116"/>
  <c r="W605" i="116"/>
  <c r="W399" i="116"/>
  <c r="W756" i="116"/>
  <c r="W836" i="116"/>
  <c r="W541" i="116"/>
  <c r="R853" i="116"/>
  <c r="R929" i="116"/>
  <c r="R382" i="116"/>
  <c r="U922" i="116"/>
  <c r="T874" i="116"/>
  <c r="U842" i="116"/>
  <c r="U154" i="116"/>
  <c r="U793" i="116"/>
  <c r="T1035" i="116"/>
  <c r="R934" i="116"/>
  <c r="R627" i="116"/>
  <c r="W734" i="116"/>
  <c r="W285" i="116"/>
  <c r="R1146" i="116"/>
  <c r="R584" i="116"/>
  <c r="U341" i="116"/>
  <c r="T681" i="116"/>
  <c r="T389" i="116"/>
  <c r="T508" i="116"/>
  <c r="R1204" i="116"/>
  <c r="T197" i="116"/>
  <c r="R1101" i="116"/>
  <c r="T329" i="116"/>
  <c r="T165" i="116"/>
  <c r="U337" i="116"/>
  <c r="R121" i="116"/>
  <c r="T1153" i="116"/>
  <c r="R110" i="116"/>
  <c r="W886" i="116"/>
  <c r="R1106" i="116"/>
  <c r="T688" i="116"/>
  <c r="W579" i="116"/>
  <c r="R251" i="116"/>
  <c r="L239" i="116"/>
  <c r="L13" i="116" s="1"/>
  <c r="L14" i="116" s="1"/>
  <c r="T330" i="116"/>
  <c r="R254" i="116"/>
  <c r="R435" i="116"/>
  <c r="W870" i="116"/>
  <c r="U1153" i="116"/>
  <c r="U686" i="116"/>
  <c r="U95" i="116"/>
  <c r="R802" i="116"/>
  <c r="W257" i="116"/>
  <c r="W669" i="116"/>
  <c r="W686" i="116"/>
  <c r="W106" i="116"/>
  <c r="E239" i="116"/>
  <c r="E13" i="116" s="1"/>
  <c r="H239" i="116"/>
  <c r="H13" i="116" s="1"/>
  <c r="R1205" i="116"/>
  <c r="U1205" i="116"/>
  <c r="T619" i="116"/>
  <c r="W604" i="116"/>
  <c r="T1045" i="116"/>
  <c r="W762" i="116"/>
  <c r="U280" i="116"/>
  <c r="R852" i="116"/>
  <c r="W250" i="116"/>
  <c r="U55" i="116"/>
  <c r="R427" i="116"/>
  <c r="W585" i="116"/>
  <c r="W1109" i="116"/>
  <c r="W1004" i="116"/>
  <c r="U1032" i="116"/>
  <c r="D239" i="116"/>
  <c r="D13" i="116" s="1"/>
  <c r="G239" i="116"/>
  <c r="G13" i="116" s="1"/>
  <c r="M239" i="116"/>
  <c r="M13" i="116" s="1"/>
  <c r="M14" i="116" s="1"/>
  <c r="T1236" i="116"/>
  <c r="W188" i="116"/>
  <c r="W416" i="116"/>
  <c r="W625" i="116"/>
  <c r="U625" i="116"/>
  <c r="T625" i="116"/>
  <c r="R625" i="116"/>
  <c r="W280" i="116"/>
  <c r="W273" i="116"/>
  <c r="R397" i="116"/>
  <c r="R1109" i="116"/>
  <c r="U362" i="116"/>
  <c r="R988" i="116"/>
  <c r="F239" i="116"/>
  <c r="F13" i="116" s="1"/>
  <c r="F14" i="116" s="1"/>
  <c r="R188" i="116"/>
  <c r="U909" i="116"/>
  <c r="U788" i="116"/>
  <c r="R796" i="116"/>
  <c r="W685" i="116"/>
  <c r="T909" i="116"/>
  <c r="W81" i="116"/>
  <c r="R984" i="116"/>
  <c r="R475" i="116"/>
  <c r="T65" i="116"/>
  <c r="T583" i="116"/>
  <c r="W59" i="116"/>
  <c r="W987" i="116"/>
  <c r="T788" i="116"/>
  <c r="T150" i="116"/>
  <c r="U796" i="116"/>
  <c r="T273" i="116"/>
  <c r="R1097" i="116"/>
  <c r="R766" i="116"/>
  <c r="U685" i="116"/>
  <c r="R305" i="116"/>
  <c r="T397" i="116"/>
  <c r="R56" i="116"/>
  <c r="R362" i="116"/>
  <c r="W1044" i="116"/>
  <c r="N239" i="116"/>
  <c r="N13" i="116" s="1"/>
  <c r="U952" i="116"/>
  <c r="W554" i="116"/>
  <c r="T554" i="116"/>
  <c r="U554" i="116"/>
  <c r="R554" i="116"/>
  <c r="R59" i="116"/>
  <c r="W984" i="116"/>
  <c r="U65" i="116"/>
  <c r="R626" i="116"/>
  <c r="R583" i="116"/>
  <c r="U987" i="116"/>
  <c r="U150" i="116"/>
  <c r="T796" i="116"/>
  <c r="U273" i="116"/>
  <c r="U1097" i="116"/>
  <c r="U766" i="116"/>
  <c r="U880" i="116"/>
  <c r="T477" i="116"/>
  <c r="T305" i="116"/>
  <c r="T220" i="116"/>
  <c r="W397" i="116"/>
  <c r="T56" i="116"/>
  <c r="U36" i="116"/>
  <c r="T362" i="116"/>
  <c r="R1024" i="116"/>
  <c r="U996" i="116"/>
  <c r="W901" i="116"/>
  <c r="T562" i="116"/>
  <c r="U562" i="116"/>
  <c r="U81" i="116"/>
  <c r="R65" i="116"/>
  <c r="R785" i="116"/>
  <c r="R1015" i="116"/>
  <c r="T984" i="116"/>
  <c r="U475" i="116"/>
  <c r="T626" i="116"/>
  <c r="U583" i="116"/>
  <c r="R1238" i="116"/>
  <c r="T152" i="116"/>
  <c r="R204" i="116"/>
  <c r="T766" i="116"/>
  <c r="W880" i="116"/>
  <c r="W477" i="116"/>
  <c r="W305" i="116"/>
  <c r="R220" i="116"/>
  <c r="T395" i="116"/>
  <c r="R968" i="116"/>
  <c r="U972" i="116"/>
  <c r="W309" i="116"/>
  <c r="W56" i="116"/>
  <c r="R44" i="116"/>
  <c r="T996" i="116"/>
  <c r="W785" i="116"/>
  <c r="U626" i="116"/>
  <c r="R193" i="116"/>
  <c r="U1238" i="116"/>
  <c r="R152" i="116"/>
  <c r="T751" i="116"/>
  <c r="U93" i="116"/>
  <c r="R495" i="116"/>
  <c r="R880" i="116"/>
  <c r="R477" i="116"/>
  <c r="R653" i="116"/>
  <c r="W220" i="116"/>
  <c r="R395" i="116"/>
  <c r="U968" i="116"/>
  <c r="T540" i="116"/>
  <c r="R972" i="116"/>
  <c r="U118" i="116"/>
  <c r="T44" i="116"/>
  <c r="W1024" i="116"/>
  <c r="W996" i="116"/>
  <c r="R386" i="116"/>
  <c r="T901" i="116"/>
  <c r="T475" i="116"/>
  <c r="W1015" i="116"/>
  <c r="U785" i="116"/>
  <c r="U1015" i="116"/>
  <c r="U1154" i="116"/>
  <c r="W545" i="116"/>
  <c r="W85" i="116"/>
  <c r="W193" i="116"/>
  <c r="T1238" i="116"/>
  <c r="W152" i="116"/>
  <c r="R751" i="116"/>
  <c r="R93" i="116"/>
  <c r="U495" i="116"/>
  <c r="T722" i="116"/>
  <c r="R112" i="116"/>
  <c r="U1225" i="116"/>
  <c r="U653" i="116"/>
  <c r="U395" i="116"/>
  <c r="T968" i="116"/>
  <c r="R540" i="116"/>
  <c r="W732" i="116"/>
  <c r="T972" i="116"/>
  <c r="T118" i="116"/>
  <c r="U44" i="116"/>
  <c r="P19" i="116"/>
  <c r="T386" i="116"/>
  <c r="R511" i="116"/>
  <c r="R1154" i="116"/>
  <c r="R85" i="116"/>
  <c r="W1181" i="116"/>
  <c r="W701" i="116"/>
  <c r="T193" i="116"/>
  <c r="U751" i="116"/>
  <c r="T93" i="116"/>
  <c r="T495" i="116"/>
  <c r="R722" i="116"/>
  <c r="T91" i="116"/>
  <c r="T112" i="116"/>
  <c r="T1225" i="116"/>
  <c r="T653" i="116"/>
  <c r="U540" i="116"/>
  <c r="R867" i="116"/>
  <c r="R118" i="116"/>
  <c r="W192" i="116"/>
  <c r="R587" i="116"/>
  <c r="U511" i="116"/>
  <c r="T1154" i="116"/>
  <c r="T85" i="116"/>
  <c r="R1181" i="116"/>
  <c r="R701" i="116"/>
  <c r="W722" i="116"/>
  <c r="U91" i="116"/>
  <c r="U112" i="116"/>
  <c r="W1225" i="116"/>
  <c r="R960" i="116"/>
  <c r="T867" i="116"/>
  <c r="R172" i="116"/>
  <c r="R1032" i="116"/>
  <c r="R192" i="116"/>
  <c r="W587" i="116"/>
  <c r="W619" i="116"/>
  <c r="T511" i="116"/>
  <c r="R604" i="116"/>
  <c r="R762" i="116"/>
  <c r="T1181" i="116"/>
  <c r="T701" i="116"/>
  <c r="W852" i="116"/>
  <c r="T250" i="116"/>
  <c r="R91" i="116"/>
  <c r="W561" i="116"/>
  <c r="T960" i="116"/>
  <c r="U877" i="116"/>
  <c r="R585" i="116"/>
  <c r="U867" i="116"/>
  <c r="U1024" i="116"/>
  <c r="R1004" i="116"/>
  <c r="W1032" i="116"/>
  <c r="O239" i="116"/>
  <c r="O13" i="116" s="1"/>
  <c r="F547" i="116"/>
  <c r="F16" i="116" s="1"/>
  <c r="U192" i="116"/>
  <c r="T587" i="116"/>
  <c r="W1045" i="116"/>
  <c r="W635" i="116"/>
  <c r="U250" i="116"/>
  <c r="W960" i="116"/>
  <c r="T179" i="116"/>
  <c r="R179" i="116"/>
  <c r="W179" i="116"/>
  <c r="U179" i="116"/>
  <c r="E38" i="9"/>
  <c r="R119" i="116"/>
  <c r="U72" i="116"/>
  <c r="T545" i="116"/>
  <c r="R523" i="116"/>
  <c r="W726" i="116"/>
  <c r="R160" i="116"/>
  <c r="W218" i="116"/>
  <c r="W706" i="116"/>
  <c r="T1131" i="116"/>
  <c r="P343" i="116"/>
  <c r="T54" i="116"/>
  <c r="U409" i="116"/>
  <c r="T790" i="116"/>
  <c r="U47" i="116"/>
  <c r="W70" i="116"/>
  <c r="U113" i="116"/>
  <c r="U419" i="116"/>
  <c r="R727" i="116"/>
  <c r="T527" i="116"/>
  <c r="T1044" i="116"/>
  <c r="W1131" i="116"/>
  <c r="T992" i="116"/>
  <c r="U527" i="116"/>
  <c r="R744" i="116"/>
  <c r="W744" i="116"/>
  <c r="U744" i="116"/>
  <c r="T744" i="116"/>
  <c r="U614" i="116"/>
  <c r="W614" i="116"/>
  <c r="W962" i="116"/>
  <c r="U962" i="116"/>
  <c r="R962" i="116"/>
  <c r="T962" i="116"/>
  <c r="W266" i="116"/>
  <c r="T266" i="116"/>
  <c r="U119" i="116"/>
  <c r="R47" i="116"/>
  <c r="U1082" i="116"/>
  <c r="R1131" i="116"/>
  <c r="W54" i="116"/>
  <c r="T409" i="116"/>
  <c r="T635" i="116"/>
  <c r="R992" i="116"/>
  <c r="T950" i="116"/>
  <c r="T335" i="116"/>
  <c r="R1139" i="116"/>
  <c r="U630" i="116"/>
  <c r="R108" i="116"/>
  <c r="T1161" i="116"/>
  <c r="R893" i="116"/>
  <c r="U727" i="116"/>
  <c r="W42" i="116"/>
  <c r="W954" i="116"/>
  <c r="U469" i="116"/>
  <c r="T469" i="116"/>
  <c r="R469" i="116"/>
  <c r="W469" i="116"/>
  <c r="U761" i="116"/>
  <c r="W761" i="116"/>
  <c r="R761" i="116"/>
  <c r="T761" i="116"/>
  <c r="T345" i="116"/>
  <c r="W345" i="116"/>
  <c r="R345" i="116"/>
  <c r="T630" i="116"/>
  <c r="T191" i="116"/>
  <c r="W409" i="116"/>
  <c r="U635" i="116"/>
  <c r="W992" i="116"/>
  <c r="R950" i="116"/>
  <c r="U335" i="116"/>
  <c r="R370" i="116"/>
  <c r="U1139" i="116"/>
  <c r="U1149" i="116"/>
  <c r="W699" i="116"/>
  <c r="F237" i="116"/>
  <c r="R630" i="116"/>
  <c r="W108" i="116"/>
  <c r="R1161" i="116"/>
  <c r="T893" i="116"/>
  <c r="U800" i="116"/>
  <c r="R662" i="116"/>
  <c r="P549" i="116"/>
  <c r="U670" i="116"/>
  <c r="T1056" i="116"/>
  <c r="T1193" i="116"/>
  <c r="AL9" i="8"/>
  <c r="BV9" i="8"/>
  <c r="I6" i="24" s="1"/>
  <c r="T678" i="116"/>
  <c r="R678" i="116"/>
  <c r="U678" i="116"/>
  <c r="R1009" i="116"/>
  <c r="U814" i="116"/>
  <c r="R1082" i="116"/>
  <c r="R191" i="116"/>
  <c r="W950" i="116"/>
  <c r="R335" i="116"/>
  <c r="T370" i="116"/>
  <c r="T1139" i="116"/>
  <c r="T1149" i="116"/>
  <c r="R699" i="116"/>
  <c r="U1161" i="116"/>
  <c r="T712" i="116"/>
  <c r="W893" i="116"/>
  <c r="R621" i="116"/>
  <c r="AL14" i="8"/>
  <c r="R323" i="116"/>
  <c r="T172" i="116"/>
  <c r="R298" i="116"/>
  <c r="W670" i="116"/>
  <c r="U1056" i="116"/>
  <c r="U1193" i="116"/>
  <c r="T904" i="116"/>
  <c r="U904" i="116"/>
  <c r="R904" i="116"/>
  <c r="W904" i="116"/>
  <c r="T413" i="116"/>
  <c r="W413" i="116"/>
  <c r="U413" i="116"/>
  <c r="R413" i="116"/>
  <c r="W1082" i="116"/>
  <c r="T1009" i="116"/>
  <c r="T814" i="116"/>
  <c r="R720" i="116"/>
  <c r="R597" i="116"/>
  <c r="U191" i="116"/>
  <c r="P30" i="116"/>
  <c r="P28" i="116" s="1"/>
  <c r="U370" i="116"/>
  <c r="U89" i="116"/>
  <c r="R1149" i="116"/>
  <c r="U699" i="116"/>
  <c r="U712" i="116"/>
  <c r="T180" i="116"/>
  <c r="T621" i="116"/>
  <c r="W323" i="116"/>
  <c r="W298" i="116"/>
  <c r="R670" i="116"/>
  <c r="W1056" i="116"/>
  <c r="W1193" i="116"/>
  <c r="T614" i="116"/>
  <c r="R614" i="116"/>
  <c r="U160" i="116"/>
  <c r="R814" i="116"/>
  <c r="W720" i="116"/>
  <c r="T597" i="116"/>
  <c r="T43" i="116"/>
  <c r="T107" i="116"/>
  <c r="R217" i="116"/>
  <c r="R652" i="116"/>
  <c r="T1103" i="116"/>
  <c r="R928" i="116"/>
  <c r="T89" i="116"/>
  <c r="U872" i="116"/>
  <c r="J547" i="116"/>
  <c r="J16" i="116" s="1"/>
  <c r="R180" i="116"/>
  <c r="W740" i="116"/>
  <c r="U621" i="116"/>
  <c r="R1102" i="116"/>
  <c r="R809" i="116"/>
  <c r="U323" i="116"/>
  <c r="T298" i="116"/>
  <c r="U282" i="116"/>
  <c r="T675" i="116"/>
  <c r="W1036" i="116"/>
  <c r="U1028" i="116"/>
  <c r="W1211" i="116"/>
  <c r="R266" i="116"/>
  <c r="T940" i="116"/>
  <c r="U940" i="116"/>
  <c r="R940" i="116"/>
  <c r="W940" i="116"/>
  <c r="W1009" i="116"/>
  <c r="T720" i="116"/>
  <c r="U597" i="116"/>
  <c r="R43" i="116"/>
  <c r="U107" i="116"/>
  <c r="T217" i="116"/>
  <c r="U652" i="116"/>
  <c r="R1103" i="116"/>
  <c r="T928" i="116"/>
  <c r="R983" i="116"/>
  <c r="R593" i="116"/>
  <c r="W89" i="116"/>
  <c r="R1243" i="116"/>
  <c r="W872" i="116"/>
  <c r="R561" i="116"/>
  <c r="U180" i="116"/>
  <c r="P17" i="116"/>
  <c r="U740" i="116"/>
  <c r="T1102" i="116"/>
  <c r="T809" i="116"/>
  <c r="T286" i="116"/>
  <c r="U675" i="116"/>
  <c r="U900" i="116"/>
  <c r="R1036" i="116"/>
  <c r="W1028" i="116"/>
  <c r="Q6" i="9"/>
  <c r="L4" i="9" s="1"/>
  <c r="T726" i="116"/>
  <c r="U1025" i="116"/>
  <c r="T208" i="116"/>
  <c r="R857" i="116"/>
  <c r="U43" i="116"/>
  <c r="R107" i="116"/>
  <c r="W217" i="116"/>
  <c r="T652" i="116"/>
  <c r="U1103" i="116"/>
  <c r="W928" i="116"/>
  <c r="W983" i="116"/>
  <c r="T593" i="116"/>
  <c r="U1243" i="116"/>
  <c r="R872" i="116"/>
  <c r="T561" i="116"/>
  <c r="R529" i="116"/>
  <c r="U732" i="116"/>
  <c r="U333" i="116"/>
  <c r="U1102" i="116"/>
  <c r="U809" i="116"/>
  <c r="U286" i="116"/>
  <c r="W675" i="116"/>
  <c r="R900" i="116"/>
  <c r="T1048" i="116"/>
  <c r="N237" i="116"/>
  <c r="R208" i="116"/>
  <c r="J237" i="116"/>
  <c r="U790" i="116"/>
  <c r="T983" i="116"/>
  <c r="W593" i="116"/>
  <c r="R70" i="116"/>
  <c r="P241" i="116"/>
  <c r="T1243" i="116"/>
  <c r="W113" i="116"/>
  <c r="T419" i="116"/>
  <c r="F12" i="116"/>
  <c r="T1083" i="116"/>
  <c r="R286" i="116"/>
  <c r="U710" i="116"/>
  <c r="W900" i="116"/>
  <c r="W988" i="116"/>
  <c r="T1211" i="116"/>
  <c r="U523" i="116"/>
  <c r="U42" i="116"/>
  <c r="T1025" i="116"/>
  <c r="R72" i="116"/>
  <c r="T857" i="116"/>
  <c r="T218" i="116"/>
  <c r="R877" i="116"/>
  <c r="R309" i="116"/>
  <c r="R696" i="116"/>
  <c r="R1083" i="116"/>
  <c r="T988" i="116"/>
  <c r="R1211" i="116"/>
  <c r="U266" i="116"/>
  <c r="E237" i="116"/>
  <c r="W145" i="116"/>
  <c r="R145" i="116"/>
  <c r="T145" i="116"/>
  <c r="U145" i="116"/>
  <c r="W204" i="116"/>
  <c r="R504" i="116"/>
  <c r="R770" i="116"/>
  <c r="W712" i="116"/>
  <c r="T911" i="116"/>
  <c r="U529" i="116"/>
  <c r="T1003" i="116"/>
  <c r="W52" i="116"/>
  <c r="R333" i="116"/>
  <c r="W754" i="116"/>
  <c r="U309" i="116"/>
  <c r="U1169" i="116"/>
  <c r="T105" i="116"/>
  <c r="K237" i="116"/>
  <c r="W196" i="116"/>
  <c r="T114" i="116"/>
  <c r="R581" i="116"/>
  <c r="W1083" i="116"/>
  <c r="U172" i="116"/>
  <c r="T259" i="116"/>
  <c r="T716" i="116"/>
  <c r="R710" i="116"/>
  <c r="U915" i="116"/>
  <c r="R954" i="116"/>
  <c r="T1020" i="116"/>
  <c r="U1048" i="116"/>
  <c r="T1012" i="116"/>
  <c r="W1210" i="116"/>
  <c r="P651" i="116"/>
  <c r="U204" i="116"/>
  <c r="P23" i="116"/>
  <c r="T504" i="116"/>
  <c r="W770" i="116"/>
  <c r="R1078" i="116"/>
  <c r="U427" i="116"/>
  <c r="T1263" i="116"/>
  <c r="T903" i="116"/>
  <c r="R911" i="116"/>
  <c r="T877" i="116"/>
  <c r="T732" i="116"/>
  <c r="T740" i="116"/>
  <c r="W333" i="116"/>
  <c r="R754" i="116"/>
  <c r="T499" i="116"/>
  <c r="W498" i="116"/>
  <c r="W45" i="116"/>
  <c r="R800" i="116"/>
  <c r="U196" i="116"/>
  <c r="U114" i="116"/>
  <c r="U581" i="116"/>
  <c r="W282" i="116"/>
  <c r="R543" i="116"/>
  <c r="U716" i="116"/>
  <c r="T710" i="116"/>
  <c r="T919" i="116"/>
  <c r="R1020" i="116"/>
  <c r="R1048" i="116"/>
  <c r="W1012" i="116"/>
  <c r="R1210" i="116"/>
  <c r="R859" i="116"/>
  <c r="W859" i="116"/>
  <c r="AZ11" i="8"/>
  <c r="AZ10" i="8"/>
  <c r="BA8" i="8"/>
  <c r="P1062" i="116"/>
  <c r="R196" i="116"/>
  <c r="R42" i="116"/>
  <c r="W615" i="116"/>
  <c r="W318" i="116"/>
  <c r="R716" i="116"/>
  <c r="AP10" i="8"/>
  <c r="AP11" i="8"/>
  <c r="T1197" i="116"/>
  <c r="U1197" i="116"/>
  <c r="AZ14" i="8"/>
  <c r="N14" i="13"/>
  <c r="L14" i="13"/>
  <c r="AX14" i="8"/>
  <c r="R318" i="116"/>
  <c r="R1257" i="116"/>
  <c r="AX11" i="8"/>
  <c r="AX10" i="8"/>
  <c r="AU10" i="8"/>
  <c r="AU11" i="8"/>
  <c r="AS11" i="8"/>
  <c r="AS10" i="8"/>
  <c r="R1091" i="116"/>
  <c r="W1091" i="116"/>
  <c r="U1091" i="116"/>
  <c r="T1091" i="116"/>
  <c r="AU14" i="8"/>
  <c r="I14" i="13"/>
  <c r="W294" i="116"/>
  <c r="U954" i="116"/>
  <c r="P957" i="116"/>
  <c r="T1036" i="116"/>
  <c r="R1044" i="116"/>
  <c r="P445" i="116"/>
  <c r="U1075" i="116"/>
  <c r="R1075" i="116"/>
  <c r="U1209" i="116"/>
  <c r="W1212" i="116"/>
  <c r="T1212" i="116"/>
  <c r="U1212" i="116"/>
  <c r="R1212" i="116"/>
  <c r="W1209" i="116"/>
  <c r="R1173" i="116"/>
  <c r="W1173" i="116"/>
  <c r="T1173" i="116"/>
  <c r="U1173" i="116"/>
  <c r="T1209" i="116"/>
  <c r="W1254" i="116"/>
  <c r="R1254" i="116"/>
  <c r="T1254" i="116"/>
  <c r="U1254" i="116"/>
  <c r="W1255" i="116"/>
  <c r="T1255" i="116"/>
  <c r="U1255" i="116"/>
  <c r="R1255" i="116"/>
  <c r="T1256" i="116"/>
  <c r="W1256" i="116"/>
  <c r="U1256" i="116"/>
  <c r="R1256" i="116"/>
  <c r="R1016" i="116"/>
  <c r="W1016" i="116"/>
  <c r="U1016" i="116"/>
  <c r="T1016" i="116"/>
  <c r="T1040" i="116"/>
  <c r="W1040" i="116"/>
  <c r="R1040" i="116"/>
  <c r="U1040" i="116"/>
  <c r="T1008" i="116"/>
  <c r="R1008" i="116"/>
  <c r="U1008" i="116"/>
  <c r="W1008" i="116"/>
  <c r="U1052" i="116"/>
  <c r="T1052" i="116"/>
  <c r="W1052" i="116"/>
  <c r="R1052" i="116"/>
  <c r="R1000" i="116"/>
  <c r="T1000" i="116"/>
  <c r="W1000" i="116"/>
  <c r="U1000" i="116"/>
  <c r="R977" i="116"/>
  <c r="U977" i="116"/>
  <c r="W977" i="116"/>
  <c r="T977" i="116"/>
  <c r="T933" i="116"/>
  <c r="R933" i="116"/>
  <c r="U933" i="116"/>
  <c r="W933" i="116"/>
  <c r="T871" i="116"/>
  <c r="R871" i="116"/>
  <c r="W871" i="116"/>
  <c r="U871" i="116"/>
  <c r="R908" i="116"/>
  <c r="U908" i="116"/>
  <c r="T908" i="116"/>
  <c r="W908" i="116"/>
  <c r="P855" i="116"/>
  <c r="P18" i="116"/>
  <c r="T757" i="116"/>
  <c r="U757" i="116"/>
  <c r="R757" i="116"/>
  <c r="W757" i="116"/>
  <c r="T763" i="116"/>
  <c r="U763" i="116"/>
  <c r="U824" i="116"/>
  <c r="T824" i="116"/>
  <c r="R824" i="116"/>
  <c r="W824" i="116"/>
  <c r="R763" i="116"/>
  <c r="P753" i="116"/>
  <c r="W718" i="116"/>
  <c r="U718" i="116"/>
  <c r="T718" i="116"/>
  <c r="R718" i="116"/>
  <c r="U671" i="116"/>
  <c r="U714" i="116"/>
  <c r="U684" i="116"/>
  <c r="W684" i="116"/>
  <c r="T684" i="116"/>
  <c r="R684" i="116"/>
  <c r="U750" i="116"/>
  <c r="T750" i="116"/>
  <c r="W750" i="116"/>
  <c r="R750" i="116"/>
  <c r="R667" i="116"/>
  <c r="W667" i="116"/>
  <c r="U667" i="116"/>
  <c r="T667" i="116"/>
  <c r="W717" i="116"/>
  <c r="U717" i="116"/>
  <c r="R717" i="116"/>
  <c r="T717" i="116"/>
  <c r="W656" i="116"/>
  <c r="U656" i="116"/>
  <c r="T656" i="116"/>
  <c r="R656" i="116"/>
  <c r="W697" i="116"/>
  <c r="U697" i="116"/>
  <c r="R697" i="116"/>
  <c r="T697" i="116"/>
  <c r="T704" i="116"/>
  <c r="U668" i="116"/>
  <c r="W668" i="116"/>
  <c r="R668" i="116"/>
  <c r="T668" i="116"/>
  <c r="W704" i="116"/>
  <c r="R674" i="116"/>
  <c r="T714" i="116"/>
  <c r="W671" i="116"/>
  <c r="W674" i="116"/>
  <c r="R714" i="116"/>
  <c r="T682" i="116"/>
  <c r="T654" i="116"/>
  <c r="U654" i="116"/>
  <c r="R654" i="116"/>
  <c r="W654" i="116"/>
  <c r="R736" i="116"/>
  <c r="W736" i="116"/>
  <c r="U736" i="116"/>
  <c r="T736" i="116"/>
  <c r="U735" i="116"/>
  <c r="T674" i="116"/>
  <c r="U682" i="116"/>
  <c r="W725" i="116"/>
  <c r="T725" i="116"/>
  <c r="R725" i="116"/>
  <c r="U725" i="116"/>
  <c r="T719" i="116"/>
  <c r="U719" i="116"/>
  <c r="W719" i="116"/>
  <c r="R719" i="116"/>
  <c r="R682" i="116"/>
  <c r="T696" i="116"/>
  <c r="U694" i="116"/>
  <c r="T694" i="116"/>
  <c r="R694" i="116"/>
  <c r="W694" i="116"/>
  <c r="R689" i="116"/>
  <c r="T689" i="116"/>
  <c r="U689" i="116"/>
  <c r="W689" i="116"/>
  <c r="T671" i="116"/>
  <c r="R700" i="116"/>
  <c r="W700" i="116"/>
  <c r="U700" i="116"/>
  <c r="T700" i="116"/>
  <c r="T735" i="116"/>
  <c r="T525" i="116"/>
  <c r="R525" i="116"/>
  <c r="W525" i="116"/>
  <c r="U525" i="116"/>
  <c r="R534" i="116"/>
  <c r="W534" i="116"/>
  <c r="U534" i="116"/>
  <c r="T534" i="116"/>
  <c r="R502" i="116"/>
  <c r="W502" i="116"/>
  <c r="T502" i="116"/>
  <c r="U502" i="116"/>
  <c r="T474" i="116"/>
  <c r="R505" i="116"/>
  <c r="U505" i="116"/>
  <c r="W505" i="116"/>
  <c r="T505" i="116"/>
  <c r="R474" i="116"/>
  <c r="U530" i="116"/>
  <c r="W530" i="116"/>
  <c r="T530" i="116"/>
  <c r="R530" i="116"/>
  <c r="U474" i="116"/>
  <c r="W497" i="116"/>
  <c r="R497" i="116"/>
  <c r="U497" i="116"/>
  <c r="T497" i="116"/>
  <c r="R518" i="116"/>
  <c r="U518" i="116"/>
  <c r="W518" i="116"/>
  <c r="T518" i="116"/>
  <c r="U506" i="116"/>
  <c r="R506" i="116"/>
  <c r="W506" i="116"/>
  <c r="T506" i="116"/>
  <c r="R542" i="116"/>
  <c r="W542" i="116"/>
  <c r="U542" i="116"/>
  <c r="T542" i="116"/>
  <c r="U510" i="116"/>
  <c r="R510" i="116"/>
  <c r="W510" i="116"/>
  <c r="T510" i="116"/>
  <c r="U366" i="116"/>
  <c r="R366" i="116"/>
  <c r="W366" i="116"/>
  <c r="T366" i="116"/>
  <c r="U358" i="116"/>
  <c r="T358" i="116"/>
  <c r="R358" i="116"/>
  <c r="W358" i="116"/>
  <c r="T390" i="116"/>
  <c r="R390" i="116"/>
  <c r="W390" i="116"/>
  <c r="U390" i="116"/>
  <c r="W258" i="116"/>
  <c r="R258" i="116"/>
  <c r="T258" i="116"/>
  <c r="U258" i="116"/>
  <c r="R262" i="116"/>
  <c r="U262" i="116"/>
  <c r="T262" i="116"/>
  <c r="W262" i="116"/>
  <c r="W310" i="116"/>
  <c r="R310" i="116"/>
  <c r="U310" i="116"/>
  <c r="T310" i="116"/>
  <c r="W300" i="116"/>
  <c r="T300" i="116"/>
  <c r="R300" i="116"/>
  <c r="U300" i="116"/>
  <c r="R274" i="116"/>
  <c r="W274" i="116"/>
  <c r="U274" i="116"/>
  <c r="T274" i="116"/>
  <c r="T270" i="116"/>
  <c r="R270" i="116"/>
  <c r="U270" i="116"/>
  <c r="W270" i="116"/>
  <c r="U242" i="116"/>
  <c r="R242" i="116"/>
  <c r="W242" i="116"/>
  <c r="T242" i="116"/>
  <c r="T246" i="116"/>
  <c r="R246" i="116"/>
  <c r="U246" i="116"/>
  <c r="W246" i="116"/>
  <c r="U320" i="116"/>
  <c r="T320" i="116"/>
  <c r="R320" i="116"/>
  <c r="W320" i="116"/>
  <c r="R260" i="116"/>
  <c r="U260" i="116"/>
  <c r="W260" i="116"/>
  <c r="T260" i="116"/>
  <c r="W306" i="116"/>
  <c r="R306" i="116"/>
  <c r="U306" i="116"/>
  <c r="T306" i="116"/>
  <c r="W334" i="116"/>
  <c r="R334" i="116"/>
  <c r="U334" i="116"/>
  <c r="T334" i="116"/>
  <c r="R322" i="116"/>
  <c r="T322" i="116"/>
  <c r="U322" i="116"/>
  <c r="W322" i="116"/>
  <c r="U213" i="116"/>
  <c r="W213" i="116"/>
  <c r="T213" i="116"/>
  <c r="R213" i="116"/>
  <c r="M12" i="116"/>
  <c r="R186" i="116"/>
  <c r="W186" i="116"/>
  <c r="T186" i="116"/>
  <c r="U186" i="116"/>
  <c r="T189" i="116"/>
  <c r="R189" i="116"/>
  <c r="U189" i="116"/>
  <c r="W189" i="116"/>
  <c r="M237" i="116"/>
  <c r="W231" i="116"/>
  <c r="U231" i="116"/>
  <c r="T231" i="116"/>
  <c r="R231" i="116"/>
  <c r="T163" i="116"/>
  <c r="U163" i="116"/>
  <c r="R163" i="116"/>
  <c r="W163" i="116"/>
  <c r="W156" i="116"/>
  <c r="U156" i="116"/>
  <c r="R156" i="116"/>
  <c r="T156" i="116"/>
  <c r="W223" i="116"/>
  <c r="R223" i="116"/>
  <c r="U223" i="116"/>
  <c r="T223" i="116"/>
  <c r="T216" i="116"/>
  <c r="W216" i="116"/>
  <c r="U216" i="116"/>
  <c r="R216" i="116"/>
  <c r="T212" i="116"/>
  <c r="W212" i="116"/>
  <c r="R212" i="116"/>
  <c r="U212" i="116"/>
  <c r="O11" i="116"/>
  <c r="U200" i="116"/>
  <c r="R200" i="116"/>
  <c r="W200" i="116"/>
  <c r="T200" i="116"/>
  <c r="R234" i="116"/>
  <c r="U234" i="116"/>
  <c r="W234" i="116"/>
  <c r="T234" i="116"/>
  <c r="J11" i="116"/>
  <c r="R183" i="116"/>
  <c r="W177" i="116"/>
  <c r="T177" i="116"/>
  <c r="R177" i="116"/>
  <c r="U177" i="116"/>
  <c r="L237" i="116"/>
  <c r="U183" i="116"/>
  <c r="W215" i="116"/>
  <c r="T215" i="116"/>
  <c r="U215" i="116"/>
  <c r="R215" i="116"/>
  <c r="T183" i="116"/>
  <c r="R1087" i="116"/>
  <c r="T1087" i="116"/>
  <c r="U1087" i="116"/>
  <c r="W1087" i="116"/>
  <c r="W1066" i="116"/>
  <c r="R1067" i="116"/>
  <c r="U1067" i="116"/>
  <c r="T1067" i="116"/>
  <c r="W1067" i="116"/>
  <c r="R1089" i="116"/>
  <c r="W1089" i="116"/>
  <c r="U1089" i="116"/>
  <c r="T1089" i="116"/>
  <c r="U1079" i="116"/>
  <c r="W1079" i="116"/>
  <c r="R1079" i="116"/>
  <c r="T1079" i="116"/>
  <c r="R1135" i="116"/>
  <c r="T1135" i="116"/>
  <c r="U1135" i="116"/>
  <c r="W1135" i="116"/>
  <c r="R1066" i="116"/>
  <c r="T1073" i="116"/>
  <c r="U1073" i="116"/>
  <c r="W1073" i="116"/>
  <c r="R1073" i="116"/>
  <c r="T1069" i="116"/>
  <c r="W1069" i="116"/>
  <c r="R1069" i="116"/>
  <c r="U1069" i="116"/>
  <c r="U1066" i="116"/>
  <c r="T1095" i="116"/>
  <c r="R1095" i="116"/>
  <c r="U1095" i="116"/>
  <c r="W1095" i="116"/>
  <c r="U1077" i="116"/>
  <c r="T1077" i="116"/>
  <c r="R1077" i="116"/>
  <c r="W1077" i="116"/>
  <c r="R601" i="116"/>
  <c r="W601" i="116"/>
  <c r="U601" i="116"/>
  <c r="T601" i="116"/>
  <c r="W600" i="116"/>
  <c r="R600" i="116"/>
  <c r="U600" i="116"/>
  <c r="T600" i="116"/>
  <c r="W591" i="116"/>
  <c r="T591" i="116"/>
  <c r="U591" i="116"/>
  <c r="R591" i="116"/>
  <c r="R50" i="116"/>
  <c r="T50" i="116"/>
  <c r="W50" i="116"/>
  <c r="U50" i="116"/>
  <c r="W104" i="116"/>
  <c r="T104" i="116"/>
  <c r="R104" i="116"/>
  <c r="U104" i="116"/>
  <c r="U64" i="116"/>
  <c r="T64" i="116"/>
  <c r="W64" i="116"/>
  <c r="R64" i="116"/>
  <c r="W120" i="116"/>
  <c r="R120" i="116"/>
  <c r="U120" i="116"/>
  <c r="T120" i="116"/>
  <c r="U130" i="116"/>
  <c r="T130" i="116"/>
  <c r="R130" i="116"/>
  <c r="W130" i="116"/>
  <c r="T66" i="116"/>
  <c r="W66" i="116"/>
  <c r="U66" i="116"/>
  <c r="R66" i="116"/>
  <c r="R90" i="116"/>
  <c r="T90" i="116"/>
  <c r="U90" i="116"/>
  <c r="W90" i="116"/>
  <c r="R126" i="116"/>
  <c r="U126" i="116"/>
  <c r="T126" i="116"/>
  <c r="W126" i="116"/>
  <c r="T80" i="116"/>
  <c r="R80" i="116"/>
  <c r="U80" i="116"/>
  <c r="W80" i="116"/>
  <c r="U78" i="116"/>
  <c r="W78" i="116"/>
  <c r="T78" i="116"/>
  <c r="R78" i="116"/>
  <c r="W60" i="116"/>
  <c r="U60" i="116"/>
  <c r="T60" i="116"/>
  <c r="R60" i="116"/>
  <c r="U38" i="116"/>
  <c r="R38" i="116"/>
  <c r="W38" i="116"/>
  <c r="T38" i="116"/>
  <c r="W116" i="116"/>
  <c r="T116" i="116"/>
  <c r="R116" i="116"/>
  <c r="U116" i="116"/>
  <c r="W36" i="116"/>
  <c r="R98" i="116"/>
  <c r="U98" i="116"/>
  <c r="W98" i="116"/>
  <c r="T98" i="116"/>
  <c r="W84" i="116"/>
  <c r="R84" i="116"/>
  <c r="T84" i="116"/>
  <c r="U84" i="116"/>
  <c r="U659" i="116"/>
  <c r="R659" i="116"/>
  <c r="W659" i="116"/>
  <c r="T659" i="116"/>
  <c r="W1259" i="116"/>
  <c r="R1259" i="116"/>
  <c r="T1259" i="116"/>
  <c r="U1259" i="116"/>
  <c r="B7" i="20"/>
  <c r="B8" i="20"/>
  <c r="T15" i="8"/>
  <c r="G10" i="116"/>
  <c r="G237" i="116"/>
  <c r="AY14" i="8"/>
  <c r="M14" i="13"/>
  <c r="AR14" i="8"/>
  <c r="F14" i="13"/>
  <c r="E547" i="116"/>
  <c r="E16" i="116" s="1"/>
  <c r="N12" i="116"/>
  <c r="N11" i="116"/>
  <c r="AY10" i="8"/>
  <c r="AY11" i="8"/>
  <c r="U693" i="116"/>
  <c r="W693" i="116"/>
  <c r="R693" i="116"/>
  <c r="T693" i="116"/>
  <c r="AR11" i="8"/>
  <c r="AR10" i="8"/>
  <c r="K12" i="13"/>
  <c r="AW9" i="8"/>
  <c r="U1222" i="116"/>
  <c r="T1222" i="116"/>
  <c r="W1222" i="116"/>
  <c r="R1222" i="116"/>
  <c r="R679" i="116"/>
  <c r="T679" i="116"/>
  <c r="U679" i="116"/>
  <c r="W679" i="116"/>
  <c r="U1253" i="116"/>
  <c r="T1253" i="116"/>
  <c r="R1253" i="116"/>
  <c r="W1253" i="116"/>
  <c r="K12" i="116"/>
  <c r="K11" i="116"/>
  <c r="AL12" i="8"/>
  <c r="BV12" i="8"/>
  <c r="F10" i="24" s="1"/>
  <c r="W149" i="116"/>
  <c r="T149" i="116"/>
  <c r="U149" i="116"/>
  <c r="R149" i="116"/>
  <c r="U1237" i="116"/>
  <c r="T1237" i="116"/>
  <c r="R1237" i="116"/>
  <c r="W1237" i="116"/>
  <c r="T228" i="116"/>
  <c r="U228" i="116"/>
  <c r="R228" i="116"/>
  <c r="W228" i="116"/>
  <c r="W1214" i="116"/>
  <c r="U1214" i="116"/>
  <c r="T1214" i="116"/>
  <c r="R1214" i="116"/>
  <c r="U153" i="116"/>
  <c r="R153" i="116"/>
  <c r="W153" i="116"/>
  <c r="T153" i="116"/>
  <c r="E12" i="116"/>
  <c r="E11" i="116"/>
  <c r="D12" i="13"/>
  <c r="D13" i="13" s="1"/>
  <c r="E7" i="13" s="1"/>
  <c r="E13" i="13" s="1"/>
  <c r="F7" i="13" s="1"/>
  <c r="F13" i="13" s="1"/>
  <c r="G7" i="13" s="1"/>
  <c r="G13" i="13" s="1"/>
  <c r="H7" i="13" s="1"/>
  <c r="H13" i="13" s="1"/>
  <c r="I7" i="13" s="1"/>
  <c r="I13" i="13" s="1"/>
  <c r="J7" i="13" s="1"/>
  <c r="J13" i="13" s="1"/>
  <c r="K7" i="13" s="1"/>
  <c r="O10" i="13"/>
  <c r="T6" i="8" s="1"/>
  <c r="W139" i="116"/>
  <c r="U139" i="116"/>
  <c r="R139" i="116"/>
  <c r="T139" i="116"/>
  <c r="AL15" i="8"/>
  <c r="BV15" i="8"/>
  <c r="O10" i="24" s="1"/>
  <c r="P135" i="116"/>
  <c r="P133" i="116" s="1"/>
  <c r="D133" i="116"/>
  <c r="D10" i="116" s="1"/>
  <c r="AV14" i="8"/>
  <c r="J14" i="13"/>
  <c r="D24" i="116"/>
  <c r="P24" i="116" s="1"/>
  <c r="P1164" i="116"/>
  <c r="AL5" i="8"/>
  <c r="B7" i="21"/>
  <c r="BE17" i="8"/>
  <c r="BV5" i="8"/>
  <c r="Q7" i="38"/>
  <c r="J4" i="38" s="1"/>
  <c r="AT14" i="8"/>
  <c r="H14" i="13"/>
  <c r="W214" i="116"/>
  <c r="T214" i="116"/>
  <c r="U214" i="116"/>
  <c r="R214" i="116"/>
  <c r="U161" i="116"/>
  <c r="R161" i="116"/>
  <c r="T161" i="116"/>
  <c r="W161" i="116"/>
  <c r="I1059" i="116" l="1"/>
  <c r="M20" i="116"/>
  <c r="P547" i="116"/>
  <c r="I14" i="116"/>
  <c r="I20" i="116" s="1"/>
  <c r="H1059" i="116"/>
  <c r="P239" i="116"/>
  <c r="H11" i="116"/>
  <c r="H14" i="116" s="1"/>
  <c r="E14" i="116"/>
  <c r="E20" i="116" s="1"/>
  <c r="F20" i="116"/>
  <c r="F25" i="116" s="1"/>
  <c r="J1059" i="116"/>
  <c r="K1059" i="116"/>
  <c r="K14" i="116"/>
  <c r="K20" i="116" s="1"/>
  <c r="J14" i="116"/>
  <c r="J20" i="116" s="1"/>
  <c r="J21" i="116" s="1"/>
  <c r="O1059" i="116"/>
  <c r="L20" i="116"/>
  <c r="L21" i="116" s="1"/>
  <c r="L15" i="116"/>
  <c r="G1059" i="116"/>
  <c r="Z348" i="116"/>
  <c r="AA348" i="116" s="1"/>
  <c r="O14" i="116"/>
  <c r="O20" i="116" s="1"/>
  <c r="O21" i="116" s="1"/>
  <c r="N14" i="116"/>
  <c r="N15" i="116" s="1"/>
  <c r="N1059" i="116"/>
  <c r="L1059" i="116"/>
  <c r="M1059" i="116"/>
  <c r="P16" i="116"/>
  <c r="P13" i="116"/>
  <c r="Z552" i="116"/>
  <c r="AA552" i="116" s="1"/>
  <c r="Z864" i="116"/>
  <c r="AA864" i="116" s="1"/>
  <c r="Z856" i="116"/>
  <c r="AA856" i="116" s="1"/>
  <c r="Z859" i="116"/>
  <c r="AA859" i="116" s="1"/>
  <c r="Z754" i="116"/>
  <c r="AA754" i="116" s="1"/>
  <c r="Z550" i="116"/>
  <c r="AA550" i="116" s="1"/>
  <c r="F1059" i="116"/>
  <c r="M15" i="116"/>
  <c r="Z448" i="116"/>
  <c r="AA448" i="116" s="1"/>
  <c r="Z1172" i="116"/>
  <c r="AA1172" i="116" s="1"/>
  <c r="Z862" i="116"/>
  <c r="AA862" i="116" s="1"/>
  <c r="P237" i="116"/>
  <c r="Z761" i="116"/>
  <c r="AA761" i="116" s="1"/>
  <c r="Z857" i="116"/>
  <c r="AA857" i="116" s="1"/>
  <c r="Z551" i="116"/>
  <c r="AA551" i="116" s="1"/>
  <c r="Z346" i="116"/>
  <c r="AA346" i="116" s="1"/>
  <c r="Z558" i="116"/>
  <c r="AA558" i="116" s="1"/>
  <c r="D237" i="116"/>
  <c r="D1059" i="116" s="1"/>
  <c r="Z554" i="116"/>
  <c r="AA554" i="116" s="1"/>
  <c r="Z860" i="116"/>
  <c r="AA860" i="116" s="1"/>
  <c r="Z37" i="116"/>
  <c r="AA37" i="116" s="1"/>
  <c r="Z353" i="116"/>
  <c r="AA353" i="116" s="1"/>
  <c r="Z31" i="116"/>
  <c r="AA31" i="116" s="1"/>
  <c r="AD31" i="116" s="1"/>
  <c r="H10" i="21" s="1"/>
  <c r="Z242" i="116"/>
  <c r="AA242" i="116" s="1"/>
  <c r="Z250" i="116"/>
  <c r="AA250" i="116" s="1"/>
  <c r="Z32" i="116"/>
  <c r="AC32" i="116" s="1"/>
  <c r="G11" i="21" s="1"/>
  <c r="Z756" i="116"/>
  <c r="AA756" i="116" s="1"/>
  <c r="Z449" i="116"/>
  <c r="AA449" i="116" s="1"/>
  <c r="Z248" i="116"/>
  <c r="AA248" i="116" s="1"/>
  <c r="Z755" i="116"/>
  <c r="AA755" i="116" s="1"/>
  <c r="Z351" i="116"/>
  <c r="AA351" i="116" s="1"/>
  <c r="Z1070" i="116"/>
  <c r="AA1070" i="116" s="1"/>
  <c r="Z144" i="116"/>
  <c r="AA144" i="116" s="1"/>
  <c r="Z344" i="116"/>
  <c r="AA344" i="116" s="1"/>
  <c r="Z1175" i="116"/>
  <c r="AA1175" i="116" s="1"/>
  <c r="Z1174" i="116"/>
  <c r="AA1174" i="116" s="1"/>
  <c r="Z553" i="116"/>
  <c r="AA553" i="116" s="1"/>
  <c r="Z1067" i="116"/>
  <c r="AA1067" i="116" s="1"/>
  <c r="Z350" i="116"/>
  <c r="AA350" i="116" s="1"/>
  <c r="Z866" i="116"/>
  <c r="AA866" i="116" s="1"/>
  <c r="Z967" i="116"/>
  <c r="AA967" i="116" s="1"/>
  <c r="Z959" i="116"/>
  <c r="AA959" i="116" s="1"/>
  <c r="Z38" i="116"/>
  <c r="AA38" i="116" s="1"/>
  <c r="Z1167" i="116"/>
  <c r="AA1167" i="116" s="1"/>
  <c r="Z763" i="116"/>
  <c r="AA763" i="116" s="1"/>
  <c r="Z245" i="116"/>
  <c r="AA245" i="116" s="1"/>
  <c r="Z762" i="116"/>
  <c r="AA762" i="116" s="1"/>
  <c r="Z863" i="116"/>
  <c r="AA863" i="116" s="1"/>
  <c r="Z1165" i="116"/>
  <c r="AA1165" i="116" s="1"/>
  <c r="Z246" i="116"/>
  <c r="AA246" i="116" s="1"/>
  <c r="Z41" i="116"/>
  <c r="AA41" i="116" s="1"/>
  <c r="Z858" i="116"/>
  <c r="AA858" i="116" s="1"/>
  <c r="Z764" i="116"/>
  <c r="AA764" i="116" s="1"/>
  <c r="Z1072" i="116"/>
  <c r="AA1072" i="116" s="1"/>
  <c r="Z252" i="116"/>
  <c r="AA252" i="116" s="1"/>
  <c r="Z453" i="116"/>
  <c r="AA453" i="116" s="1"/>
  <c r="Z1169" i="116"/>
  <c r="AA1169" i="116" s="1"/>
  <c r="Z1171" i="116"/>
  <c r="AA1171" i="116" s="1"/>
  <c r="Z1173" i="116"/>
  <c r="AA1173" i="116" s="1"/>
  <c r="Z1166" i="116"/>
  <c r="AA1166" i="116" s="1"/>
  <c r="Z968" i="116"/>
  <c r="AA968" i="116" s="1"/>
  <c r="Z966" i="116"/>
  <c r="AA966" i="116" s="1"/>
  <c r="Z964" i="116"/>
  <c r="AA964" i="116" s="1"/>
  <c r="Z965" i="116"/>
  <c r="AA965" i="116" s="1"/>
  <c r="Z958" i="116"/>
  <c r="AA958" i="116" s="1"/>
  <c r="Z960" i="116"/>
  <c r="AA960" i="116" s="1"/>
  <c r="Z962" i="116"/>
  <c r="AA962" i="116" s="1"/>
  <c r="Z961" i="116"/>
  <c r="AA961" i="116" s="1"/>
  <c r="Z865" i="116"/>
  <c r="AA865" i="116" s="1"/>
  <c r="Z760" i="116"/>
  <c r="AA760" i="116" s="1"/>
  <c r="Z758" i="116"/>
  <c r="AA758" i="116" s="1"/>
  <c r="Z757" i="116"/>
  <c r="AA757" i="116" s="1"/>
  <c r="Z654" i="116"/>
  <c r="AA654" i="116" s="1"/>
  <c r="Z653" i="116"/>
  <c r="AA653" i="116" s="1"/>
  <c r="Z447" i="116"/>
  <c r="AA447" i="116" s="1"/>
  <c r="Z450" i="116"/>
  <c r="AA450" i="116" s="1"/>
  <c r="Z446" i="116"/>
  <c r="AA446" i="116" s="1"/>
  <c r="F15" i="116"/>
  <c r="Z452" i="116"/>
  <c r="AA452" i="116" s="1"/>
  <c r="Z455" i="116"/>
  <c r="AA455" i="116" s="1"/>
  <c r="Z456" i="116"/>
  <c r="AA456" i="116" s="1"/>
  <c r="Z454" i="116"/>
  <c r="AA454" i="116" s="1"/>
  <c r="Z352" i="116"/>
  <c r="AA352" i="116" s="1"/>
  <c r="Z354" i="116"/>
  <c r="AA354" i="116" s="1"/>
  <c r="Z345" i="116"/>
  <c r="AA345" i="116" s="1"/>
  <c r="Z347" i="116"/>
  <c r="AA347" i="116" s="1"/>
  <c r="Z244" i="116"/>
  <c r="AA244" i="116" s="1"/>
  <c r="Z249" i="116"/>
  <c r="AA249" i="116" s="1"/>
  <c r="Z243" i="116"/>
  <c r="AA243" i="116" s="1"/>
  <c r="Z251" i="116"/>
  <c r="AA251" i="116" s="1"/>
  <c r="Z145" i="116"/>
  <c r="AA145" i="116" s="1"/>
  <c r="Z146" i="116"/>
  <c r="AA146" i="116" s="1"/>
  <c r="Z140" i="116"/>
  <c r="AA140" i="116" s="1"/>
  <c r="Z139" i="116"/>
  <c r="AA139" i="116" s="1"/>
  <c r="Z1071" i="116"/>
  <c r="AA1071" i="116" s="1"/>
  <c r="Z1066" i="116"/>
  <c r="AA1066" i="116" s="1"/>
  <c r="Z1063" i="116"/>
  <c r="AA1063" i="116" s="1"/>
  <c r="Z1069" i="116"/>
  <c r="AA1069" i="116" s="1"/>
  <c r="Z1065" i="116"/>
  <c r="AA1065" i="116" s="1"/>
  <c r="Z1064" i="116"/>
  <c r="AA1064" i="116" s="1"/>
  <c r="Z1073" i="116"/>
  <c r="AA1073" i="116" s="1"/>
  <c r="Z556" i="116"/>
  <c r="AA556" i="116" s="1"/>
  <c r="Z557" i="116"/>
  <c r="AA557" i="116" s="1"/>
  <c r="Z560" i="116"/>
  <c r="AA560" i="116" s="1"/>
  <c r="Z559" i="116"/>
  <c r="AA559" i="116" s="1"/>
  <c r="Z39" i="116"/>
  <c r="AA39" i="116" s="1"/>
  <c r="Z40" i="116"/>
  <c r="AA40" i="116" s="1"/>
  <c r="Z33" i="116"/>
  <c r="AA33" i="116" s="1"/>
  <c r="AD33" i="116" s="1"/>
  <c r="H12" i="21" s="1"/>
  <c r="Z35" i="116"/>
  <c r="AA35" i="116" s="1"/>
  <c r="AD35" i="116" s="1"/>
  <c r="H14" i="21" s="1"/>
  <c r="Z34" i="116"/>
  <c r="AA34" i="116" s="1"/>
  <c r="AD34" i="116" s="1"/>
  <c r="H13" i="21" s="1"/>
  <c r="AW14" i="8"/>
  <c r="K14" i="13"/>
  <c r="T11" i="8"/>
  <c r="T12" i="8"/>
  <c r="Z142" i="116"/>
  <c r="AA142" i="116" s="1"/>
  <c r="L25" i="116"/>
  <c r="C6" i="22"/>
  <c r="F6" i="22"/>
  <c r="D12" i="116"/>
  <c r="P10" i="116"/>
  <c r="D11" i="116"/>
  <c r="D14" i="116" s="1"/>
  <c r="Z1168" i="116"/>
  <c r="AA1168" i="116" s="1"/>
  <c r="Z143" i="116"/>
  <c r="AA143" i="116" s="1"/>
  <c r="AW10" i="8"/>
  <c r="BA10" i="8" s="1"/>
  <c r="AW11" i="8"/>
  <c r="BA9" i="8"/>
  <c r="Z652" i="116"/>
  <c r="AA652" i="116" s="1"/>
  <c r="Z662" i="116"/>
  <c r="AA662" i="116" s="1"/>
  <c r="Z655" i="116"/>
  <c r="AA655" i="116" s="1"/>
  <c r="Z659" i="116"/>
  <c r="AA659" i="116" s="1"/>
  <c r="Z660" i="116"/>
  <c r="AA660" i="116" s="1"/>
  <c r="Z661" i="116"/>
  <c r="AA661" i="116" s="1"/>
  <c r="T17" i="8"/>
  <c r="D7" i="20"/>
  <c r="D8" i="20"/>
  <c r="Z656" i="116"/>
  <c r="AA656" i="116" s="1"/>
  <c r="Z137" i="116"/>
  <c r="AA137" i="116" s="1"/>
  <c r="D14" i="13"/>
  <c r="AP14" i="8"/>
  <c r="O12" i="13"/>
  <c r="Z658" i="116"/>
  <c r="AA658" i="116" s="1"/>
  <c r="Z138" i="116"/>
  <c r="AA138" i="116" s="1"/>
  <c r="BD14" i="8"/>
  <c r="C7" i="21" s="1"/>
  <c r="Z136" i="116"/>
  <c r="AA136" i="116" s="1"/>
  <c r="K13" i="13"/>
  <c r="L7" i="13" s="1"/>
  <c r="L13" i="13" s="1"/>
  <c r="M7" i="13" s="1"/>
  <c r="M13" i="13" s="1"/>
  <c r="N7" i="13" s="1"/>
  <c r="N13" i="13" s="1"/>
  <c r="M25" i="116"/>
  <c r="M21" i="116"/>
  <c r="G12" i="116"/>
  <c r="G11" i="116"/>
  <c r="G14" i="116" s="1"/>
  <c r="E1059" i="116"/>
  <c r="C6" i="24"/>
  <c r="AA32" i="116" l="1"/>
  <c r="AD32" i="116" s="1"/>
  <c r="H11" i="21" s="1"/>
  <c r="E15" i="116"/>
  <c r="I21" i="116"/>
  <c r="I25" i="116"/>
  <c r="H15" i="116"/>
  <c r="H20" i="116"/>
  <c r="H21" i="116" s="1"/>
  <c r="I15" i="116"/>
  <c r="P1059" i="116"/>
  <c r="F21" i="116"/>
  <c r="N20" i="116"/>
  <c r="N21" i="116" s="1"/>
  <c r="J15" i="116"/>
  <c r="J25" i="116"/>
  <c r="K15" i="116"/>
  <c r="AA457" i="116"/>
  <c r="O25" i="116"/>
  <c r="O15" i="116"/>
  <c r="AC31" i="116"/>
  <c r="G10" i="21" s="1"/>
  <c r="AC33" i="116"/>
  <c r="G12" i="21" s="1"/>
  <c r="AA867" i="116"/>
  <c r="AA253" i="116"/>
  <c r="AA147" i="116"/>
  <c r="AA42" i="116"/>
  <c r="AC35" i="116"/>
  <c r="G14" i="21" s="1"/>
  <c r="AC34" i="116"/>
  <c r="G13" i="21" s="1"/>
  <c r="AA355" i="116"/>
  <c r="AA765" i="116"/>
  <c r="AA561" i="116"/>
  <c r="AA1176" i="116"/>
  <c r="AA969" i="116"/>
  <c r="O14" i="13"/>
  <c r="T8" i="8" s="1"/>
  <c r="E25" i="116"/>
  <c r="E21" i="116"/>
  <c r="K21" i="116"/>
  <c r="K25" i="116"/>
  <c r="AA663" i="116"/>
  <c r="O13" i="13"/>
  <c r="O7" i="13"/>
  <c r="B7" i="19"/>
  <c r="B6" i="19"/>
  <c r="T7" i="8"/>
  <c r="D20" i="116"/>
  <c r="D15" i="116"/>
  <c r="P12" i="116"/>
  <c r="P11" i="116"/>
  <c r="C11" i="19"/>
  <c r="C10" i="19"/>
  <c r="G20" i="116"/>
  <c r="G15" i="116"/>
  <c r="N25" i="116" l="1"/>
  <c r="H25" i="116"/>
  <c r="P14" i="116"/>
  <c r="P15" i="116" s="1"/>
  <c r="P20" i="116"/>
  <c r="P21" i="116" s="1"/>
  <c r="P25" i="116" s="1"/>
  <c r="D21" i="116"/>
  <c r="D25" i="116"/>
  <c r="F7" i="20"/>
  <c r="F8" i="20"/>
  <c r="H8" i="20"/>
  <c r="H7" i="20"/>
  <c r="G21" i="116"/>
  <c r="G25" i="1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Hicaro Alves</author>
  </authors>
  <commentList>
    <comment ref="B4" authorId="0" shapeId="0" xr:uid="{00000000-0006-0000-1000-000002000000}">
      <text>
        <r>
          <rPr>
            <b/>
            <sz val="9"/>
            <color indexed="81"/>
            <rFont val="Segoe UI"/>
            <family val="2"/>
          </rPr>
          <t xml:space="preserve">Acer:
</t>
        </r>
        <r>
          <rPr>
            <sz val="9"/>
            <color indexed="81"/>
            <rFont val="Segoe UI"/>
            <family val="2"/>
          </rPr>
          <t>Marcar opção: Não Pago.</t>
        </r>
      </text>
    </comment>
    <comment ref="B5" authorId="0" shapeId="0" xr:uid="{00000000-0006-0000-1000-000003000000}">
      <text>
        <r>
          <rPr>
            <b/>
            <sz val="9"/>
            <color indexed="81"/>
            <rFont val="Segoe UI"/>
            <family val="2"/>
          </rPr>
          <t xml:space="preserve">Acer:
</t>
        </r>
        <r>
          <rPr>
            <sz val="9"/>
            <color indexed="81"/>
            <rFont val="Segoe UI"/>
            <family val="2"/>
          </rPr>
          <t>Marcar opção: Receita.</t>
        </r>
      </text>
    </comment>
    <comment ref="B6" authorId="0" shapeId="0" xr:uid="{00000000-0006-0000-1000-000004000000}">
      <text>
        <r>
          <rPr>
            <b/>
            <sz val="9"/>
            <color indexed="81"/>
            <rFont val="Segoe UI"/>
            <family val="2"/>
          </rPr>
          <t xml:space="preserve">Acer:
</t>
        </r>
        <r>
          <rPr>
            <sz val="9"/>
            <color indexed="81"/>
            <rFont val="Segoe UI"/>
            <family val="2"/>
          </rPr>
          <t>Selecionar o ano desejado.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Hicaro Alves</author>
  </authors>
  <commentList>
    <comment ref="B4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Acer:</t>
        </r>
        <r>
          <rPr>
            <sz val="9"/>
            <color indexed="81"/>
            <rFont val="Segoe UI"/>
            <family val="2"/>
          </rPr>
          <t xml:space="preserve">
Marcar opção: Não Pago.</t>
        </r>
      </text>
    </comment>
    <comment ref="B5" authorId="0" shapeId="0" xr:uid="{00000000-0006-0000-1200-000002000000}">
      <text>
        <r>
          <rPr>
            <b/>
            <sz val="9"/>
            <color indexed="81"/>
            <rFont val="Segoe UI"/>
            <family val="2"/>
          </rPr>
          <t xml:space="preserve">Acer:
</t>
        </r>
        <r>
          <rPr>
            <sz val="9"/>
            <color indexed="81"/>
            <rFont val="Segoe UI"/>
            <family val="2"/>
          </rPr>
          <t>Marcar opção: Despesa.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Hicaro Alves</author>
  </authors>
  <commentList>
    <comment ref="BS3" authorId="0" shapeId="0" xr:uid="{00000000-0006-0000-2700-000001000000}">
      <text>
        <r>
          <rPr>
            <b/>
            <sz val="9"/>
            <color indexed="81"/>
            <rFont val="Segoe UI"/>
            <family val="2"/>
          </rPr>
          <t>Hicaro Alves:</t>
        </r>
        <r>
          <rPr>
            <sz val="9"/>
            <color indexed="81"/>
            <rFont val="Segoe UI"/>
            <family val="2"/>
          </rPr>
          <t xml:space="preserve">
Posição DRE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2020-07-14- Fluxo de caixa.xlsm!CAD_Bancos" type="102" refreshedVersion="6" minRefreshableVersion="5">
    <extLst>
      <ext xmlns:x15="http://schemas.microsoft.com/office/spreadsheetml/2010/11/main" uri="{DE250136-89BD-433C-8126-D09CA5730AF9}">
        <x15:connection id="CAD_Bancos">
          <x15:rangePr sourceName="_xlcn.WorksheetConnection_20200714Fluxodecaixa.xlsmCAD_Bancos1"/>
        </x15:connection>
      </ext>
    </extLst>
  </connection>
  <connection id="3" xr16:uid="{00000000-0015-0000-FFFF-FFFF02000000}" name="WorksheetConnection_2020-07-14- Fluxo de caixa.xlsm!LANÇ_MOV" type="102" refreshedVersion="6" minRefreshableVersion="5">
    <extLst>
      <ext xmlns:x15="http://schemas.microsoft.com/office/spreadsheetml/2010/11/main" uri="{DE250136-89BD-433C-8126-D09CA5730AF9}">
        <x15:connection id="LANÇ_MOV" autoDelete="1">
          <x15:rangePr sourceName="_xlcn.WorksheetConnection_20200714Fluxodecaixa.xlsmLANÇ_MOV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<sst xmlns="http://schemas.openxmlformats.org/spreadsheetml/2006/main" count="9528" uniqueCount="2130">
  <si>
    <t>RELATÓRIOS</t>
  </si>
  <si>
    <t>DASHBOARD</t>
  </si>
  <si>
    <t>PLANO DE CONTAS</t>
  </si>
  <si>
    <t>LANÇAMENTOS</t>
  </si>
  <si>
    <t>Receitas</t>
  </si>
  <si>
    <t>Despesas</t>
  </si>
  <si>
    <t>Jan</t>
  </si>
  <si>
    <t>DRE</t>
  </si>
  <si>
    <t>Valores em Aberto</t>
  </si>
  <si>
    <t>Análise Mensal</t>
  </si>
  <si>
    <t>Análise Anual</t>
  </si>
  <si>
    <t>Análise de Contas</t>
  </si>
  <si>
    <t>Análise de Receitas</t>
  </si>
  <si>
    <t>Análise de Despesas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</si>
  <si>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</si>
  <si>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</si>
  <si>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</si>
  <si>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</si>
  <si>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</si>
  <si>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</si>
  <si>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</si>
  <si>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</si>
  <si>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</si>
  <si>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</si>
  <si>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</si>
  <si>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1.1</t>
  </si>
  <si>
    <t>1.1.1</t>
  </si>
  <si>
    <t>1.1.2</t>
  </si>
  <si>
    <t>1.1.3</t>
  </si>
  <si>
    <t>1.1.4</t>
  </si>
  <si>
    <t>1.1.5</t>
  </si>
  <si>
    <t>1.1.6</t>
  </si>
  <si>
    <t>1.1.7</t>
  </si>
  <si>
    <t>1.1.8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</si>
  <si>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</si>
  <si>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</si>
  <si>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</si>
  <si>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</si>
  <si>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</si>
  <si>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</si>
  <si>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</si>
  <si>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</si>
  <si>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1.1.17</t>
  </si>
  <si>
    <t>1.1.18</t>
  </si>
  <si>
    <t>1.1.19</t>
  </si>
  <si>
    <t>1.1.20</t>
  </si>
  <si>
    <t>1.1.21</t>
  </si>
  <si>
    <t>1.1.22</t>
  </si>
  <si>
    <t>1.1.23</t>
  </si>
  <si>
    <t>1.1.24</t>
  </si>
  <si>
    <t>1.1.25</t>
  </si>
  <si>
    <t>1.1.26</t>
  </si>
  <si>
    <t>1.1.27</t>
  </si>
  <si>
    <t>1.1.28</t>
  </si>
  <si>
    <t>1.1.29</t>
  </si>
  <si>
    <t>1.1.30</t>
  </si>
  <si>
    <t>1.1.31</t>
  </si>
  <si>
    <t>1.1.32</t>
  </si>
  <si>
    <t>1.1.33</t>
  </si>
  <si>
    <t>1.1.34</t>
  </si>
  <si>
    <t>1.1.35</t>
  </si>
  <si>
    <t>1.1.36</t>
  </si>
  <si>
    <t>1.1.37</t>
  </si>
  <si>
    <t>1.1.38</t>
  </si>
  <si>
    <t>1.1.39</t>
  </si>
  <si>
    <t>1.1.40</t>
  </si>
  <si>
    <t>1.1.41</t>
  </si>
  <si>
    <t>1.1.42</t>
  </si>
  <si>
    <t>1.1.43</t>
  </si>
  <si>
    <t>1.1.44</t>
  </si>
  <si>
    <t>1.1.45</t>
  </si>
  <si>
    <t>1.1.46</t>
  </si>
  <si>
    <t>1.1.47</t>
  </si>
  <si>
    <t>1.1.48</t>
  </si>
  <si>
    <t>1.1.49</t>
  </si>
  <si>
    <t>1.1.50</t>
  </si>
  <si>
    <t>1.1.51</t>
  </si>
  <si>
    <t>1.1.52</t>
  </si>
  <si>
    <t>1.1.53</t>
  </si>
  <si>
    <t>1.1.54</t>
  </si>
  <si>
    <t>1.1.55</t>
  </si>
  <si>
    <t>1.1.56</t>
  </si>
  <si>
    <t>1.1.57</t>
  </si>
  <si>
    <t>1.1.58</t>
  </si>
  <si>
    <t>1.1.59</t>
  </si>
  <si>
    <t>1.1.60</t>
  </si>
  <si>
    <t>1.1.61</t>
  </si>
  <si>
    <t>1.1.62</t>
  </si>
  <si>
    <t>1.1.63</t>
  </si>
  <si>
    <t>1.1.64</t>
  </si>
  <si>
    <t>1.1.65</t>
  </si>
  <si>
    <t>1.1.66</t>
  </si>
  <si>
    <t>1.1.67</t>
  </si>
  <si>
    <t>1.1.68</t>
  </si>
  <si>
    <t>1.1.69</t>
  </si>
  <si>
    <t>1.1.70</t>
  </si>
  <si>
    <t>1.1.71</t>
  </si>
  <si>
    <t>1.1.72</t>
  </si>
  <si>
    <t>1.1.73</t>
  </si>
  <si>
    <t>1.1.74</t>
  </si>
  <si>
    <t>1.1.75</t>
  </si>
  <si>
    <t>1.1.76</t>
  </si>
  <si>
    <t>1.1.77</t>
  </si>
  <si>
    <t>1.1.78</t>
  </si>
  <si>
    <t>1.1.79</t>
  </si>
  <si>
    <t>1.1.80</t>
  </si>
  <si>
    <t>1.1.81</t>
  </si>
  <si>
    <t>1.1.82</t>
  </si>
  <si>
    <t>1.1.83</t>
  </si>
  <si>
    <t>1.1.84</t>
  </si>
  <si>
    <t>1.1.85</t>
  </si>
  <si>
    <t>1.1.86</t>
  </si>
  <si>
    <t>1.1.87</t>
  </si>
  <si>
    <t>1.1.88</t>
  </si>
  <si>
    <t>1.1.89</t>
  </si>
  <si>
    <t>1.1.90</t>
  </si>
  <si>
    <t>1.1.91</t>
  </si>
  <si>
    <t>1.1.92</t>
  </si>
  <si>
    <t>1.1.93</t>
  </si>
  <si>
    <t>1.1.94</t>
  </si>
  <si>
    <t>1.1.95</t>
  </si>
  <si>
    <t>1.1.96</t>
  </si>
  <si>
    <t>1.1.97</t>
  </si>
  <si>
    <t>1.1.98</t>
  </si>
  <si>
    <t>1.1.99</t>
  </si>
  <si>
    <t>1.1.100</t>
  </si>
  <si>
    <t>1.2</t>
  </si>
  <si>
    <t>1.2.1</t>
  </si>
  <si>
    <t>1.2.2</t>
  </si>
  <si>
    <t>1.2.3</t>
  </si>
  <si>
    <t>1.2.4</t>
  </si>
  <si>
    <t>1.2.5</t>
  </si>
  <si>
    <t>1.2.6</t>
  </si>
  <si>
    <t>1.2.7</t>
  </si>
  <si>
    <t>1.2.8</t>
  </si>
  <si>
    <t>1.2.9</t>
  </si>
  <si>
    <t>1.2.10</t>
  </si>
  <si>
    <t>1.2.11</t>
  </si>
  <si>
    <t>1.2.12</t>
  </si>
  <si>
    <t>1.2.13</t>
  </si>
  <si>
    <t>1.2.14</t>
  </si>
  <si>
    <t>1.2.15</t>
  </si>
  <si>
    <t>1.2.16</t>
  </si>
  <si>
    <t>1.2.17</t>
  </si>
  <si>
    <t>1.2.18</t>
  </si>
  <si>
    <t>1.2.19</t>
  </si>
  <si>
    <t>1.2.20</t>
  </si>
  <si>
    <t>1.2.21</t>
  </si>
  <si>
    <t>1.2.22</t>
  </si>
  <si>
    <t>1.2.23</t>
  </si>
  <si>
    <t>1.2.24</t>
  </si>
  <si>
    <t>1.2.25</t>
  </si>
  <si>
    <t>1.2.26</t>
  </si>
  <si>
    <t>1.2.27</t>
  </si>
  <si>
    <t>1.2.28</t>
  </si>
  <si>
    <t>1.2.29</t>
  </si>
  <si>
    <t>1.2.30</t>
  </si>
  <si>
    <t>1.2.31</t>
  </si>
  <si>
    <t>1.2.32</t>
  </si>
  <si>
    <t>1.2.33</t>
  </si>
  <si>
    <t>1.2.34</t>
  </si>
  <si>
    <t>1.2.35</t>
  </si>
  <si>
    <t>1.2.36</t>
  </si>
  <si>
    <t>1.2.37</t>
  </si>
  <si>
    <t>1.2.38</t>
  </si>
  <si>
    <t>1.2.39</t>
  </si>
  <si>
    <t>1.2.40</t>
  </si>
  <si>
    <t>1.2.41</t>
  </si>
  <si>
    <t>1.2.42</t>
  </si>
  <si>
    <t>1.2.43</t>
  </si>
  <si>
    <t>1.2.44</t>
  </si>
  <si>
    <t>1.2.45</t>
  </si>
  <si>
    <t>1.2.46</t>
  </si>
  <si>
    <t>1.2.47</t>
  </si>
  <si>
    <t>1.2.48</t>
  </si>
  <si>
    <t>1.2.49</t>
  </si>
  <si>
    <t>1.2.50</t>
  </si>
  <si>
    <t>1.2.51</t>
  </si>
  <si>
    <t>1.2.52</t>
  </si>
  <si>
    <t>1.2.53</t>
  </si>
  <si>
    <t>1.2.54</t>
  </si>
  <si>
    <t>1.2.55</t>
  </si>
  <si>
    <t>1.2.56</t>
  </si>
  <si>
    <t>1.2.57</t>
  </si>
  <si>
    <t>1.2.58</t>
  </si>
  <si>
    <t>1.2.59</t>
  </si>
  <si>
    <t>1.2.60</t>
  </si>
  <si>
    <t>1.2.61</t>
  </si>
  <si>
    <t>1.2.62</t>
  </si>
  <si>
    <t>1.2.63</t>
  </si>
  <si>
    <t>1.2.64</t>
  </si>
  <si>
    <t>1.2.65</t>
  </si>
  <si>
    <t>1.2.66</t>
  </si>
  <si>
    <t>1.2.67</t>
  </si>
  <si>
    <t>1.2.68</t>
  </si>
  <si>
    <t>1.2.69</t>
  </si>
  <si>
    <t>1.2.70</t>
  </si>
  <si>
    <t>1.2.71</t>
  </si>
  <si>
    <t>1.2.72</t>
  </si>
  <si>
    <t>1.2.73</t>
  </si>
  <si>
    <t>1.2.74</t>
  </si>
  <si>
    <t>1.2.75</t>
  </si>
  <si>
    <t>1.2.76</t>
  </si>
  <si>
    <t>1.2.77</t>
  </si>
  <si>
    <t>1.2.78</t>
  </si>
  <si>
    <t>1.2.79</t>
  </si>
  <si>
    <t>1.2.80</t>
  </si>
  <si>
    <t>1.2.81</t>
  </si>
  <si>
    <t>1.2.82</t>
  </si>
  <si>
    <t>1.2.83</t>
  </si>
  <si>
    <t>1.2.84</t>
  </si>
  <si>
    <t>1.2.85</t>
  </si>
  <si>
    <t>1.2.86</t>
  </si>
  <si>
    <t>1.2.87</t>
  </si>
  <si>
    <t>1.2.88</t>
  </si>
  <si>
    <t>1.2.89</t>
  </si>
  <si>
    <t>1.2.90</t>
  </si>
  <si>
    <t>1.2.91</t>
  </si>
  <si>
    <t>1.2.92</t>
  </si>
  <si>
    <t>1.2.93</t>
  </si>
  <si>
    <t>1.2.94</t>
  </si>
  <si>
    <t>1.2.95</t>
  </si>
  <si>
    <t>1.2.96</t>
  </si>
  <si>
    <t>1.2.97</t>
  </si>
  <si>
    <t>1.2.98</t>
  </si>
  <si>
    <t>1.2.99</t>
  </si>
  <si>
    <t>1.2.100</t>
  </si>
  <si>
    <t>DESPESAS NÃO OPERACIONAIS</t>
  </si>
  <si>
    <t>DESPESAS COM RH</t>
  </si>
  <si>
    <t>IMPOSTOS</t>
  </si>
  <si>
    <t>INVESTIMENTOS</t>
  </si>
  <si>
    <t>2.1</t>
  </si>
  <si>
    <t>2.2</t>
  </si>
  <si>
    <t>2.3</t>
  </si>
  <si>
    <t>2.4</t>
  </si>
  <si>
    <t>2.5</t>
  </si>
  <si>
    <t>2.6</t>
  </si>
  <si>
    <t>2.7</t>
  </si>
  <si>
    <t>2.8</t>
  </si>
  <si>
    <t>2.1.1</t>
  </si>
  <si>
    <t>2.1.2</t>
  </si>
  <si>
    <t>2.1.3</t>
  </si>
  <si>
    <t>2.1.4</t>
  </si>
  <si>
    <t>2.1.5</t>
  </si>
  <si>
    <t>2.1.6</t>
  </si>
  <si>
    <t>2.1.7</t>
  </si>
  <si>
    <t>2.1.8</t>
  </si>
  <si>
    <t>2.1.9</t>
  </si>
  <si>
    <t>2.1.10</t>
  </si>
  <si>
    <t>2.1.11</t>
  </si>
  <si>
    <t>2.1.12</t>
  </si>
  <si>
    <t>2.1.13</t>
  </si>
  <si>
    <t>2.1.14</t>
  </si>
  <si>
    <t>2.1.15</t>
  </si>
  <si>
    <t>2.1.16</t>
  </si>
  <si>
    <t>2.1.17</t>
  </si>
  <si>
    <t>2.1.18</t>
  </si>
  <si>
    <t>2.1.19</t>
  </si>
  <si>
    <t>2.1.20</t>
  </si>
  <si>
    <t>2.1.21</t>
  </si>
  <si>
    <t>2.1.22</t>
  </si>
  <si>
    <t>2.1.23</t>
  </si>
  <si>
    <t>2.1.24</t>
  </si>
  <si>
    <t>2.1.25</t>
  </si>
  <si>
    <t>2.1.26</t>
  </si>
  <si>
    <t>2.1.27</t>
  </si>
  <si>
    <t>2.1.28</t>
  </si>
  <si>
    <t>2.1.29</t>
  </si>
  <si>
    <t>2.1.30</t>
  </si>
  <si>
    <t>2.1.31</t>
  </si>
  <si>
    <t>2.1.32</t>
  </si>
  <si>
    <t>2.1.33</t>
  </si>
  <si>
    <t>2.1.34</t>
  </si>
  <si>
    <t>2.1.35</t>
  </si>
  <si>
    <t>2.1.36</t>
  </si>
  <si>
    <t>2.1.37</t>
  </si>
  <si>
    <t>2.1.38</t>
  </si>
  <si>
    <t>2.1.39</t>
  </si>
  <si>
    <t>2.1.40</t>
  </si>
  <si>
    <t>2.1.41</t>
  </si>
  <si>
    <t>2.1.42</t>
  </si>
  <si>
    <t>2.1.43</t>
  </si>
  <si>
    <t>2.1.44</t>
  </si>
  <si>
    <t>2.1.45</t>
  </si>
  <si>
    <t>2.1.46</t>
  </si>
  <si>
    <t>2.1.47</t>
  </si>
  <si>
    <t>2.1.48</t>
  </si>
  <si>
    <t>2.1.49</t>
  </si>
  <si>
    <t>2.1.50</t>
  </si>
  <si>
    <t>2.1.51</t>
  </si>
  <si>
    <t>2.1.52</t>
  </si>
  <si>
    <t>2.1.53</t>
  </si>
  <si>
    <t>2.1.54</t>
  </si>
  <si>
    <t>2.1.55</t>
  </si>
  <si>
    <t>2.1.56</t>
  </si>
  <si>
    <t>2.1.57</t>
  </si>
  <si>
    <t>2.1.58</t>
  </si>
  <si>
    <t>2.1.59</t>
  </si>
  <si>
    <t>2.1.60</t>
  </si>
  <si>
    <t>2.1.61</t>
  </si>
  <si>
    <t>2.1.62</t>
  </si>
  <si>
    <t>2.1.63</t>
  </si>
  <si>
    <t>2.1.64</t>
  </si>
  <si>
    <t>2.1.65</t>
  </si>
  <si>
    <t>2.1.66</t>
  </si>
  <si>
    <t>2.1.67</t>
  </si>
  <si>
    <t>2.1.68</t>
  </si>
  <si>
    <t>2.1.69</t>
  </si>
  <si>
    <t>2.1.70</t>
  </si>
  <si>
    <t>2.1.71</t>
  </si>
  <si>
    <t>2.1.72</t>
  </si>
  <si>
    <t>2.1.73</t>
  </si>
  <si>
    <t>2.1.74</t>
  </si>
  <si>
    <t>2.1.75</t>
  </si>
  <si>
    <t>2.1.76</t>
  </si>
  <si>
    <t>2.1.77</t>
  </si>
  <si>
    <t>2.1.78</t>
  </si>
  <si>
    <t>2.1.79</t>
  </si>
  <si>
    <t>2.1.80</t>
  </si>
  <si>
    <t>2.1.81</t>
  </si>
  <si>
    <t>2.1.82</t>
  </si>
  <si>
    <t>2.1.83</t>
  </si>
  <si>
    <t>2.1.84</t>
  </si>
  <si>
    <t>2.1.85</t>
  </si>
  <si>
    <t>2.1.86</t>
  </si>
  <si>
    <t>2.1.87</t>
  </si>
  <si>
    <t>2.1.88</t>
  </si>
  <si>
    <t>2.1.89</t>
  </si>
  <si>
    <t>2.1.90</t>
  </si>
  <si>
    <t>2.1.91</t>
  </si>
  <si>
    <t>2.1.92</t>
  </si>
  <si>
    <t>2.1.93</t>
  </si>
  <si>
    <t>2.1.94</t>
  </si>
  <si>
    <t>2.1.95</t>
  </si>
  <si>
    <t>2.1.96</t>
  </si>
  <si>
    <t>2.1.97</t>
  </si>
  <si>
    <t>2.1.98</t>
  </si>
  <si>
    <t>2.1.99</t>
  </si>
  <si>
    <t>2.1.100</t>
  </si>
  <si>
    <t>2.2.1</t>
  </si>
  <si>
    <t>2.2.2</t>
  </si>
  <si>
    <t>2.2.3</t>
  </si>
  <si>
    <t>2.2.4</t>
  </si>
  <si>
    <t>2.2.5</t>
  </si>
  <si>
    <t>2.2.7</t>
  </si>
  <si>
    <t>2.2.8</t>
  </si>
  <si>
    <t>2.2.9</t>
  </si>
  <si>
    <t>2.2.10</t>
  </si>
  <si>
    <t>2.2.11</t>
  </si>
  <si>
    <t>2.2.12</t>
  </si>
  <si>
    <t>2.2.13</t>
  </si>
  <si>
    <t>2.2.14</t>
  </si>
  <si>
    <t>2.2.15</t>
  </si>
  <si>
    <t>2.2.16</t>
  </si>
  <si>
    <t>2.2.17</t>
  </si>
  <si>
    <t>2.2.18</t>
  </si>
  <si>
    <t>2.2.19</t>
  </si>
  <si>
    <t>2.2.20</t>
  </si>
  <si>
    <t>2.2.21</t>
  </si>
  <si>
    <t>2.2.22</t>
  </si>
  <si>
    <t>2.2.23</t>
  </si>
  <si>
    <t>2.2.24</t>
  </si>
  <si>
    <t>2.2.25</t>
  </si>
  <si>
    <t>2.2.26</t>
  </si>
  <si>
    <t>2.2.27</t>
  </si>
  <si>
    <t>2.2.28</t>
  </si>
  <si>
    <t>2.2.29</t>
  </si>
  <si>
    <t>2.2.30</t>
  </si>
  <si>
    <t>2.2.31</t>
  </si>
  <si>
    <t>2.2.32</t>
  </si>
  <si>
    <t>2.2.33</t>
  </si>
  <si>
    <t>2.2.34</t>
  </si>
  <si>
    <t>2.2.35</t>
  </si>
  <si>
    <t>2.2.36</t>
  </si>
  <si>
    <t>2.2.37</t>
  </si>
  <si>
    <t>2.2.38</t>
  </si>
  <si>
    <t>2.2.39</t>
  </si>
  <si>
    <t>2.2.40</t>
  </si>
  <si>
    <t>2.2.41</t>
  </si>
  <si>
    <t>2.2.42</t>
  </si>
  <si>
    <t>2.2.43</t>
  </si>
  <si>
    <t>2.2.44</t>
  </si>
  <si>
    <t>2.2.45</t>
  </si>
  <si>
    <t>2.2.46</t>
  </si>
  <si>
    <t>2.2.47</t>
  </si>
  <si>
    <t>2.2.48</t>
  </si>
  <si>
    <t>2.2.49</t>
  </si>
  <si>
    <t>2.2.50</t>
  </si>
  <si>
    <t>2.2.51</t>
  </si>
  <si>
    <t>2.2.52</t>
  </si>
  <si>
    <t>2.2.53</t>
  </si>
  <si>
    <t>2.2.54</t>
  </si>
  <si>
    <t>2.2.55</t>
  </si>
  <si>
    <t>2.2.56</t>
  </si>
  <si>
    <t>2.2.57</t>
  </si>
  <si>
    <t>2.2.58</t>
  </si>
  <si>
    <t>2.2.59</t>
  </si>
  <si>
    <t>2.2.60</t>
  </si>
  <si>
    <t>2.2.61</t>
  </si>
  <si>
    <t>2.2.62</t>
  </si>
  <si>
    <t>2.2.63</t>
  </si>
  <si>
    <t>2.2.64</t>
  </si>
  <si>
    <t>2.2.65</t>
  </si>
  <si>
    <t>2.2.66</t>
  </si>
  <si>
    <t>2.2.67</t>
  </si>
  <si>
    <t>2.2.68</t>
  </si>
  <si>
    <t>2.2.69</t>
  </si>
  <si>
    <t>2.2.70</t>
  </si>
  <si>
    <t>2.2.71</t>
  </si>
  <si>
    <t>2.2.72</t>
  </si>
  <si>
    <t>2.2.73</t>
  </si>
  <si>
    <t>2.2.74</t>
  </si>
  <si>
    <t>2.2.75</t>
  </si>
  <si>
    <t>2.2.76</t>
  </si>
  <si>
    <t>2.2.77</t>
  </si>
  <si>
    <t>2.2.78</t>
  </si>
  <si>
    <t>2.2.79</t>
  </si>
  <si>
    <t>2.2.80</t>
  </si>
  <si>
    <t>2.2.81</t>
  </si>
  <si>
    <t>2.2.82</t>
  </si>
  <si>
    <t>2.2.83</t>
  </si>
  <si>
    <t>2.2.84</t>
  </si>
  <si>
    <t>2.2.85</t>
  </si>
  <si>
    <t>2.2.86</t>
  </si>
  <si>
    <t>2.2.87</t>
  </si>
  <si>
    <t>2.2.88</t>
  </si>
  <si>
    <t>2.2.89</t>
  </si>
  <si>
    <t>2.2.90</t>
  </si>
  <si>
    <t>2.2.91</t>
  </si>
  <si>
    <t>2.2.92</t>
  </si>
  <si>
    <t>2.2.93</t>
  </si>
  <si>
    <t>2.2.94</t>
  </si>
  <si>
    <t>2.2.95</t>
  </si>
  <si>
    <t>2.2.96</t>
  </si>
  <si>
    <t>2.2.97</t>
  </si>
  <si>
    <t>2.2.98</t>
  </si>
  <si>
    <t>2.2.99</t>
  </si>
  <si>
    <t>2.2.100</t>
  </si>
  <si>
    <t>2.3.2</t>
  </si>
  <si>
    <t>2.3.1</t>
  </si>
  <si>
    <t>2.3.3</t>
  </si>
  <si>
    <t>2.3.4</t>
  </si>
  <si>
    <t>2.3.5</t>
  </si>
  <si>
    <t>2.3.6</t>
  </si>
  <si>
    <t>2.3.7</t>
  </si>
  <si>
    <t>2.3.8</t>
  </si>
  <si>
    <t>2.3.9</t>
  </si>
  <si>
    <t>2.3.10</t>
  </si>
  <si>
    <t>2.3.11</t>
  </si>
  <si>
    <t>2.3.12</t>
  </si>
  <si>
    <t>2.3.13</t>
  </si>
  <si>
    <t>2.3.14</t>
  </si>
  <si>
    <t>2.3.15</t>
  </si>
  <si>
    <t>2.3.16</t>
  </si>
  <si>
    <t>2.3.17</t>
  </si>
  <si>
    <t>2.3.18</t>
  </si>
  <si>
    <t>2.3.19</t>
  </si>
  <si>
    <t>2.3.20</t>
  </si>
  <si>
    <t>2.3.21</t>
  </si>
  <si>
    <t>2.3.22</t>
  </si>
  <si>
    <t>2.3.23</t>
  </si>
  <si>
    <t>2.3.24</t>
  </si>
  <si>
    <t>2.3.25</t>
  </si>
  <si>
    <t>2.3.26</t>
  </si>
  <si>
    <t>2.3.27</t>
  </si>
  <si>
    <t>2.3.28</t>
  </si>
  <si>
    <t>2.3.29</t>
  </si>
  <si>
    <t>2.3.30</t>
  </si>
  <si>
    <t>2.3.31</t>
  </si>
  <si>
    <t>2.3.32</t>
  </si>
  <si>
    <t>2.3.33</t>
  </si>
  <si>
    <t>2.3.34</t>
  </si>
  <si>
    <t>2.3.35</t>
  </si>
  <si>
    <t>2.3.36</t>
  </si>
  <si>
    <t>2.3.37</t>
  </si>
  <si>
    <t>2.3.38</t>
  </si>
  <si>
    <t>2.3.39</t>
  </si>
  <si>
    <t>2.3.40</t>
  </si>
  <si>
    <t>2.3.41</t>
  </si>
  <si>
    <t>2.3.42</t>
  </si>
  <si>
    <t>2.3.43</t>
  </si>
  <si>
    <t>2.3.44</t>
  </si>
  <si>
    <t>2.3.45</t>
  </si>
  <si>
    <t>2.3.46</t>
  </si>
  <si>
    <t>2.3.47</t>
  </si>
  <si>
    <t>2.3.48</t>
  </si>
  <si>
    <t>2.3.49</t>
  </si>
  <si>
    <t>2.3.50</t>
  </si>
  <si>
    <t>2.3.51</t>
  </si>
  <si>
    <t>2.3.52</t>
  </si>
  <si>
    <t>2.3.53</t>
  </si>
  <si>
    <t>2.3.54</t>
  </si>
  <si>
    <t>2.3.55</t>
  </si>
  <si>
    <t>2.3.56</t>
  </si>
  <si>
    <t>2.3.57</t>
  </si>
  <si>
    <t>2.3.58</t>
  </si>
  <si>
    <t>2.3.59</t>
  </si>
  <si>
    <t>2.3.60</t>
  </si>
  <si>
    <t>2.3.61</t>
  </si>
  <si>
    <t>2.3.62</t>
  </si>
  <si>
    <t>2.3.63</t>
  </si>
  <si>
    <t>2.3.64</t>
  </si>
  <si>
    <t>2.3.65</t>
  </si>
  <si>
    <t>2.3.66</t>
  </si>
  <si>
    <t>2.3.67</t>
  </si>
  <si>
    <t>2.3.68</t>
  </si>
  <si>
    <t>2.3.69</t>
  </si>
  <si>
    <t>2.3.70</t>
  </si>
  <si>
    <t>2.3.71</t>
  </si>
  <si>
    <t>2.3.72</t>
  </si>
  <si>
    <t>2.3.73</t>
  </si>
  <si>
    <t>2.3.74</t>
  </si>
  <si>
    <t>2.3.75</t>
  </si>
  <si>
    <t>2.3.76</t>
  </si>
  <si>
    <t>2.3.77</t>
  </si>
  <si>
    <t>2.3.78</t>
  </si>
  <si>
    <t>2.3.79</t>
  </si>
  <si>
    <t>2.3.80</t>
  </si>
  <si>
    <t>2.3.81</t>
  </si>
  <si>
    <t>2.3.82</t>
  </si>
  <si>
    <t>2.3.83</t>
  </si>
  <si>
    <t>2.3.84</t>
  </si>
  <si>
    <t>2.3.85</t>
  </si>
  <si>
    <t>2.3.86</t>
  </si>
  <si>
    <t>2.3.87</t>
  </si>
  <si>
    <t>2.3.88</t>
  </si>
  <si>
    <t>2.3.89</t>
  </si>
  <si>
    <t>2.3.90</t>
  </si>
  <si>
    <t>2.3.91</t>
  </si>
  <si>
    <t>2.3.92</t>
  </si>
  <si>
    <t>2.3.93</t>
  </si>
  <si>
    <t>2.3.94</t>
  </si>
  <si>
    <t>2.3.95</t>
  </si>
  <si>
    <t>2.3.96</t>
  </si>
  <si>
    <t>2.3.97</t>
  </si>
  <si>
    <t>2.3.98</t>
  </si>
  <si>
    <t>2.3.99</t>
  </si>
  <si>
    <t>2.3.100</t>
  </si>
  <si>
    <t>2.4.1</t>
  </si>
  <si>
    <t>2.4.2</t>
  </si>
  <si>
    <t>2.4.3</t>
  </si>
  <si>
    <t>2.4.4</t>
  </si>
  <si>
    <t>2.4.5</t>
  </si>
  <si>
    <t>2.4.6</t>
  </si>
  <si>
    <t>2.4.7</t>
  </si>
  <si>
    <t>2.4.8</t>
  </si>
  <si>
    <t>2.4.9</t>
  </si>
  <si>
    <t>2.4.10</t>
  </si>
  <si>
    <t>2.4.11</t>
  </si>
  <si>
    <t>2.4.12</t>
  </si>
  <si>
    <t>2.4.13</t>
  </si>
  <si>
    <t>2.4.14</t>
  </si>
  <si>
    <t>2.4.15</t>
  </si>
  <si>
    <t>2.4.16</t>
  </si>
  <si>
    <t>2.4.17</t>
  </si>
  <si>
    <t>2.4.18</t>
  </si>
  <si>
    <t>2.4.19</t>
  </si>
  <si>
    <t>2.4.20</t>
  </si>
  <si>
    <t>2.4.21</t>
  </si>
  <si>
    <t>2.4.22</t>
  </si>
  <si>
    <t>2.4.23</t>
  </si>
  <si>
    <t>2.4.24</t>
  </si>
  <si>
    <t>2.4.25</t>
  </si>
  <si>
    <t>2.4.26</t>
  </si>
  <si>
    <t>2.4.27</t>
  </si>
  <si>
    <t>2.4.28</t>
  </si>
  <si>
    <t>2.4.29</t>
  </si>
  <si>
    <t>2.4.30</t>
  </si>
  <si>
    <t>2.4.31</t>
  </si>
  <si>
    <t>2.4.32</t>
  </si>
  <si>
    <t>2.4.33</t>
  </si>
  <si>
    <t>2.4.34</t>
  </si>
  <si>
    <t>2.4.35</t>
  </si>
  <si>
    <t>2.4.36</t>
  </si>
  <si>
    <t>2.4.37</t>
  </si>
  <si>
    <t>2.4.38</t>
  </si>
  <si>
    <t>2.4.39</t>
  </si>
  <si>
    <t>2.4.40</t>
  </si>
  <si>
    <t>2.4.41</t>
  </si>
  <si>
    <t>2.4.42</t>
  </si>
  <si>
    <t>2.4.43</t>
  </si>
  <si>
    <t>2.4.44</t>
  </si>
  <si>
    <t>2.4.45</t>
  </si>
  <si>
    <t>2.4.46</t>
  </si>
  <si>
    <t>2.4.47</t>
  </si>
  <si>
    <t>2.4.48</t>
  </si>
  <si>
    <t>2.4.49</t>
  </si>
  <si>
    <t>2.4.50</t>
  </si>
  <si>
    <t>2.4.51</t>
  </si>
  <si>
    <t>2.4.52</t>
  </si>
  <si>
    <t>2.4.53</t>
  </si>
  <si>
    <t>2.4.54</t>
  </si>
  <si>
    <t>2.4.55</t>
  </si>
  <si>
    <t>2.4.56</t>
  </si>
  <si>
    <t>2.4.57</t>
  </si>
  <si>
    <t>2.4.58</t>
  </si>
  <si>
    <t>2.4.59</t>
  </si>
  <si>
    <t>2.4.60</t>
  </si>
  <si>
    <t>2.4.61</t>
  </si>
  <si>
    <t>2.4.62</t>
  </si>
  <si>
    <t>2.4.63</t>
  </si>
  <si>
    <t>2.4.64</t>
  </si>
  <si>
    <t>2.4.65</t>
  </si>
  <si>
    <t>2.4.66</t>
  </si>
  <si>
    <t>2.4.67</t>
  </si>
  <si>
    <t>2.4.68</t>
  </si>
  <si>
    <t>2.4.69</t>
  </si>
  <si>
    <t>2.4.70</t>
  </si>
  <si>
    <t>2.4.71</t>
  </si>
  <si>
    <t>2.4.72</t>
  </si>
  <si>
    <t>2.4.73</t>
  </si>
  <si>
    <t>2.4.74</t>
  </si>
  <si>
    <t>2.4.75</t>
  </si>
  <si>
    <t>2.4.76</t>
  </si>
  <si>
    <t>2.4.77</t>
  </si>
  <si>
    <t>2.4.78</t>
  </si>
  <si>
    <t>2.4.79</t>
  </si>
  <si>
    <t>2.4.80</t>
  </si>
  <si>
    <t>2.4.81</t>
  </si>
  <si>
    <t>2.4.82</t>
  </si>
  <si>
    <t>2.4.83</t>
  </si>
  <si>
    <t>2.4.84</t>
  </si>
  <si>
    <t>2.4.85</t>
  </si>
  <si>
    <t>2.4.86</t>
  </si>
  <si>
    <t>2.4.87</t>
  </si>
  <si>
    <t>2.4.88</t>
  </si>
  <si>
    <t>2.4.89</t>
  </si>
  <si>
    <t>2.4.90</t>
  </si>
  <si>
    <t>2.4.91</t>
  </si>
  <si>
    <t>2.4.92</t>
  </si>
  <si>
    <t>2.4.93</t>
  </si>
  <si>
    <t>2.4.94</t>
  </si>
  <si>
    <t>2.4.95</t>
  </si>
  <si>
    <t>2.4.96</t>
  </si>
  <si>
    <t>2.4.97</t>
  </si>
  <si>
    <t>2.4.98</t>
  </si>
  <si>
    <t>2.4.99</t>
  </si>
  <si>
    <t>2.4.100</t>
  </si>
  <si>
    <t>2.5.1</t>
  </si>
  <si>
    <t>2.5.2</t>
  </si>
  <si>
    <t>2.5.3</t>
  </si>
  <si>
    <t>2.5.4</t>
  </si>
  <si>
    <t>2.5.5</t>
  </si>
  <si>
    <t>2.5.6</t>
  </si>
  <si>
    <t>2.5.7</t>
  </si>
  <si>
    <t>2.5.8</t>
  </si>
  <si>
    <t>2.5.9</t>
  </si>
  <si>
    <t>2.5.10</t>
  </si>
  <si>
    <t>2.5.11</t>
  </si>
  <si>
    <t>2.5.12</t>
  </si>
  <si>
    <t>2.5.13</t>
  </si>
  <si>
    <t>2.5.14</t>
  </si>
  <si>
    <t>2.5.15</t>
  </si>
  <si>
    <t>2.5.16</t>
  </si>
  <si>
    <t>2.5.17</t>
  </si>
  <si>
    <t>2.5.18</t>
  </si>
  <si>
    <t>2.5.19</t>
  </si>
  <si>
    <t>2.5.20</t>
  </si>
  <si>
    <t>2.5.21</t>
  </si>
  <si>
    <t>2.5.22</t>
  </si>
  <si>
    <t>2.5.23</t>
  </si>
  <si>
    <t>2.5.24</t>
  </si>
  <si>
    <t>2.5.25</t>
  </si>
  <si>
    <t>2.5.26</t>
  </si>
  <si>
    <t>2.5.27</t>
  </si>
  <si>
    <t>2.5.28</t>
  </si>
  <si>
    <t>2.5.29</t>
  </si>
  <si>
    <t>2.5.30</t>
  </si>
  <si>
    <t>2.5.31</t>
  </si>
  <si>
    <t>2.5.32</t>
  </si>
  <si>
    <t>2.5.33</t>
  </si>
  <si>
    <t>2.5.34</t>
  </si>
  <si>
    <t>2.5.35</t>
  </si>
  <si>
    <t>2.5.36</t>
  </si>
  <si>
    <t>2.5.37</t>
  </si>
  <si>
    <t>2.5.38</t>
  </si>
  <si>
    <t>2.5.39</t>
  </si>
  <si>
    <t>2.5.40</t>
  </si>
  <si>
    <t>2.5.41</t>
  </si>
  <si>
    <t>2.5.42</t>
  </si>
  <si>
    <t>2.5.43</t>
  </si>
  <si>
    <t>2.5.44</t>
  </si>
  <si>
    <t>2.5.45</t>
  </si>
  <si>
    <t>2.5.46</t>
  </si>
  <si>
    <t>2.5.47</t>
  </si>
  <si>
    <t>2.5.48</t>
  </si>
  <si>
    <t>2.5.49</t>
  </si>
  <si>
    <t>2.5.50</t>
  </si>
  <si>
    <t>2.5.51</t>
  </si>
  <si>
    <t>2.5.52</t>
  </si>
  <si>
    <t>2.5.53</t>
  </si>
  <si>
    <t>2.5.54</t>
  </si>
  <si>
    <t>2.5.55</t>
  </si>
  <si>
    <t>2.5.56</t>
  </si>
  <si>
    <t>2.5.57</t>
  </si>
  <si>
    <t>2.5.58</t>
  </si>
  <si>
    <t>2.5.59</t>
  </si>
  <si>
    <t>2.5.60</t>
  </si>
  <si>
    <t>2.5.61</t>
  </si>
  <si>
    <t>2.5.62</t>
  </si>
  <si>
    <t>2.5.63</t>
  </si>
  <si>
    <t>2.5.64</t>
  </si>
  <si>
    <t>2.5.65</t>
  </si>
  <si>
    <t>2.5.66</t>
  </si>
  <si>
    <t>2.5.67</t>
  </si>
  <si>
    <t>2.5.68</t>
  </si>
  <si>
    <t>2.5.69</t>
  </si>
  <si>
    <t>2.5.70</t>
  </si>
  <si>
    <t>2.5.71</t>
  </si>
  <si>
    <t>2.5.72</t>
  </si>
  <si>
    <t>2.5.73</t>
  </si>
  <si>
    <t>2.5.74</t>
  </si>
  <si>
    <t>2.5.75</t>
  </si>
  <si>
    <t>2.5.76</t>
  </si>
  <si>
    <t>2.5.77</t>
  </si>
  <si>
    <t>2.5.78</t>
  </si>
  <si>
    <t>2.5.79</t>
  </si>
  <si>
    <t>2.5.80</t>
  </si>
  <si>
    <t>2.5.81</t>
  </si>
  <si>
    <t>2.5.82</t>
  </si>
  <si>
    <t>2.5.83</t>
  </si>
  <si>
    <t>2.5.84</t>
  </si>
  <si>
    <t>2.5.85</t>
  </si>
  <si>
    <t>2.5.86</t>
  </si>
  <si>
    <t>2.5.87</t>
  </si>
  <si>
    <t>2.5.88</t>
  </si>
  <si>
    <t>2.5.89</t>
  </si>
  <si>
    <t>2.5.90</t>
  </si>
  <si>
    <t>2.5.91</t>
  </si>
  <si>
    <t>2.5.92</t>
  </si>
  <si>
    <t>2.5.93</t>
  </si>
  <si>
    <t>2.5.94</t>
  </si>
  <si>
    <t>2.5.95</t>
  </si>
  <si>
    <t>2.5.96</t>
  </si>
  <si>
    <t>2.5.97</t>
  </si>
  <si>
    <t>2.5.98</t>
  </si>
  <si>
    <t>2.5.99</t>
  </si>
  <si>
    <t>2.5.100</t>
  </si>
  <si>
    <t>2.6.1</t>
  </si>
  <si>
    <t>2.6.2</t>
  </si>
  <si>
    <t>2.6.3</t>
  </si>
  <si>
    <t>2.6.4</t>
  </si>
  <si>
    <t>2.6.5</t>
  </si>
  <si>
    <t>2.6.6</t>
  </si>
  <si>
    <t>2.6.7</t>
  </si>
  <si>
    <t>2.6.8</t>
  </si>
  <si>
    <t>2.6.9</t>
  </si>
  <si>
    <t>2.6.10</t>
  </si>
  <si>
    <t>2.6.11</t>
  </si>
  <si>
    <t>2.6.12</t>
  </si>
  <si>
    <t>2.6.13</t>
  </si>
  <si>
    <t>2.6.14</t>
  </si>
  <si>
    <t>2.6.15</t>
  </si>
  <si>
    <t>2.6.16</t>
  </si>
  <si>
    <t>2.6.17</t>
  </si>
  <si>
    <t>2.6.18</t>
  </si>
  <si>
    <t>2.6.19</t>
  </si>
  <si>
    <t>2.6.20</t>
  </si>
  <si>
    <t>2.6.21</t>
  </si>
  <si>
    <t>2.6.22</t>
  </si>
  <si>
    <t>2.6.23</t>
  </si>
  <si>
    <t>2.6.24</t>
  </si>
  <si>
    <t>2.6.25</t>
  </si>
  <si>
    <t>2.6.26</t>
  </si>
  <si>
    <t>2.6.27</t>
  </si>
  <si>
    <t>2.6.28</t>
  </si>
  <si>
    <t>2.6.29</t>
  </si>
  <si>
    <t>2.6.30</t>
  </si>
  <si>
    <t>2.6.31</t>
  </si>
  <si>
    <t>2.6.32</t>
  </si>
  <si>
    <t>2.6.33</t>
  </si>
  <si>
    <t>2.6.34</t>
  </si>
  <si>
    <t>2.6.35</t>
  </si>
  <si>
    <t>2.6.36</t>
  </si>
  <si>
    <t>2.6.37</t>
  </si>
  <si>
    <t>2.6.38</t>
  </si>
  <si>
    <t>2.6.39</t>
  </si>
  <si>
    <t>2.6.40</t>
  </si>
  <si>
    <t>2.6.41</t>
  </si>
  <si>
    <t>2.6.42</t>
  </si>
  <si>
    <t>2.6.43</t>
  </si>
  <si>
    <t>2.6.44</t>
  </si>
  <si>
    <t>2.6.45</t>
  </si>
  <si>
    <t>2.6.46</t>
  </si>
  <si>
    <t>2.6.47</t>
  </si>
  <si>
    <t>2.6.48</t>
  </si>
  <si>
    <t>2.6.49</t>
  </si>
  <si>
    <t>2.6.50</t>
  </si>
  <si>
    <t>2.6.51</t>
  </si>
  <si>
    <t>2.6.52</t>
  </si>
  <si>
    <t>2.6.53</t>
  </si>
  <si>
    <t>2.6.54</t>
  </si>
  <si>
    <t>2.6.55</t>
  </si>
  <si>
    <t>2.6.56</t>
  </si>
  <si>
    <t>2.6.57</t>
  </si>
  <si>
    <t>2.6.58</t>
  </si>
  <si>
    <t>2.6.59</t>
  </si>
  <si>
    <t>2.6.60</t>
  </si>
  <si>
    <t>2.6.61</t>
  </si>
  <si>
    <t>2.6.62</t>
  </si>
  <si>
    <t>2.6.63</t>
  </si>
  <si>
    <t>2.6.64</t>
  </si>
  <si>
    <t>2.6.65</t>
  </si>
  <si>
    <t>2.6.66</t>
  </si>
  <si>
    <t>2.6.67</t>
  </si>
  <si>
    <t>2.6.68</t>
  </si>
  <si>
    <t>2.6.69</t>
  </si>
  <si>
    <t>2.6.70</t>
  </si>
  <si>
    <t>2.6.71</t>
  </si>
  <si>
    <t>2.6.72</t>
  </si>
  <si>
    <t>2.6.73</t>
  </si>
  <si>
    <t>2.6.74</t>
  </si>
  <si>
    <t>2.6.75</t>
  </si>
  <si>
    <t>2.6.76</t>
  </si>
  <si>
    <t>2.6.77</t>
  </si>
  <si>
    <t>2.6.78</t>
  </si>
  <si>
    <t>2.6.79</t>
  </si>
  <si>
    <t>2.6.80</t>
  </si>
  <si>
    <t>2.6.81</t>
  </si>
  <si>
    <t>2.6.82</t>
  </si>
  <si>
    <t>2.6.83</t>
  </si>
  <si>
    <t>2.6.84</t>
  </si>
  <si>
    <t>2.6.85</t>
  </si>
  <si>
    <t>2.6.86</t>
  </si>
  <si>
    <t>2.6.87</t>
  </si>
  <si>
    <t>2.6.88</t>
  </si>
  <si>
    <t>2.6.89</t>
  </si>
  <si>
    <t>2.6.90</t>
  </si>
  <si>
    <t>2.6.91</t>
  </si>
  <si>
    <t>2.6.92</t>
  </si>
  <si>
    <t>2.6.93</t>
  </si>
  <si>
    <t>2.6.94</t>
  </si>
  <si>
    <t>2.6.95</t>
  </si>
  <si>
    <t>2.6.96</t>
  </si>
  <si>
    <t>2.6.97</t>
  </si>
  <si>
    <t>2.6.98</t>
  </si>
  <si>
    <t>2.6.99</t>
  </si>
  <si>
    <t>2.6.100</t>
  </si>
  <si>
    <t>2.7.1</t>
  </si>
  <si>
    <t>2.7.2</t>
  </si>
  <si>
    <t>2.7.3</t>
  </si>
  <si>
    <t>2.7.4</t>
  </si>
  <si>
    <t>2.7.5</t>
  </si>
  <si>
    <t>2.7.6</t>
  </si>
  <si>
    <t>2.7.7</t>
  </si>
  <si>
    <t>2.7.8</t>
  </si>
  <si>
    <t>2.7.9</t>
  </si>
  <si>
    <t>2.7.10</t>
  </si>
  <si>
    <t>2.7.11</t>
  </si>
  <si>
    <t>2.7.12</t>
  </si>
  <si>
    <t>2.7.13</t>
  </si>
  <si>
    <t>2.7.14</t>
  </si>
  <si>
    <t>2.7.15</t>
  </si>
  <si>
    <t>2.7.16</t>
  </si>
  <si>
    <t>2.7.17</t>
  </si>
  <si>
    <t>2.7.18</t>
  </si>
  <si>
    <t>2.7.19</t>
  </si>
  <si>
    <t>2.7.20</t>
  </si>
  <si>
    <t>2.7.21</t>
  </si>
  <si>
    <t>2.7.22</t>
  </si>
  <si>
    <t>2.7.23</t>
  </si>
  <si>
    <t>2.7.24</t>
  </si>
  <si>
    <t>2.7.25</t>
  </si>
  <si>
    <t>2.7.26</t>
  </si>
  <si>
    <t>2.7.27</t>
  </si>
  <si>
    <t>2.7.28</t>
  </si>
  <si>
    <t>2.7.29</t>
  </si>
  <si>
    <t>2.7.30</t>
  </si>
  <si>
    <t>2.7.31</t>
  </si>
  <si>
    <t>2.7.32</t>
  </si>
  <si>
    <t>2.7.33</t>
  </si>
  <si>
    <t>2.7.34</t>
  </si>
  <si>
    <t>2.7.35</t>
  </si>
  <si>
    <t>2.7.36</t>
  </si>
  <si>
    <t>2.7.37</t>
  </si>
  <si>
    <t>2.7.38</t>
  </si>
  <si>
    <t>2.7.39</t>
  </si>
  <si>
    <t>2.7.40</t>
  </si>
  <si>
    <t>2.7.41</t>
  </si>
  <si>
    <t>2.7.42</t>
  </si>
  <si>
    <t>2.7.43</t>
  </si>
  <si>
    <t>2.7.44</t>
  </si>
  <si>
    <t>2.7.45</t>
  </si>
  <si>
    <t>2.7.46</t>
  </si>
  <si>
    <t>2.7.47</t>
  </si>
  <si>
    <t>2.7.48</t>
  </si>
  <si>
    <t>2.7.49</t>
  </si>
  <si>
    <t>2.7.50</t>
  </si>
  <si>
    <t>2.7.51</t>
  </si>
  <si>
    <t>2.7.52</t>
  </si>
  <si>
    <t>2.7.53</t>
  </si>
  <si>
    <t>2.7.54</t>
  </si>
  <si>
    <t>2.7.55</t>
  </si>
  <si>
    <t>2.7.56</t>
  </si>
  <si>
    <t>2.7.57</t>
  </si>
  <si>
    <t>2.7.58</t>
  </si>
  <si>
    <t>2.7.59</t>
  </si>
  <si>
    <t>2.7.60</t>
  </si>
  <si>
    <t>2.7.61</t>
  </si>
  <si>
    <t>2.7.62</t>
  </si>
  <si>
    <t>2.7.63</t>
  </si>
  <si>
    <t>2.7.64</t>
  </si>
  <si>
    <t>2.7.65</t>
  </si>
  <si>
    <t>2.7.66</t>
  </si>
  <si>
    <t>2.7.67</t>
  </si>
  <si>
    <t>2.7.68</t>
  </si>
  <si>
    <t>2.7.69</t>
  </si>
  <si>
    <t>2.7.70</t>
  </si>
  <si>
    <t>2.7.71</t>
  </si>
  <si>
    <t>2.7.72</t>
  </si>
  <si>
    <t>2.7.73</t>
  </si>
  <si>
    <t>2.7.74</t>
  </si>
  <si>
    <t>2.7.75</t>
  </si>
  <si>
    <t>2.7.76</t>
  </si>
  <si>
    <t>2.7.77</t>
  </si>
  <si>
    <t>2.7.78</t>
  </si>
  <si>
    <t>2.7.79</t>
  </si>
  <si>
    <t>2.7.80</t>
  </si>
  <si>
    <t>2.7.81</t>
  </si>
  <si>
    <t>2.7.82</t>
  </si>
  <si>
    <t>2.7.83</t>
  </si>
  <si>
    <t>2.7.84</t>
  </si>
  <si>
    <t>2.7.85</t>
  </si>
  <si>
    <t>2.7.86</t>
  </si>
  <si>
    <t>2.7.87</t>
  </si>
  <si>
    <t>2.7.88</t>
  </si>
  <si>
    <t>2.7.89</t>
  </si>
  <si>
    <t>2.7.90</t>
  </si>
  <si>
    <t>2.7.91</t>
  </si>
  <si>
    <t>2.7.92</t>
  </si>
  <si>
    <t>2.7.93</t>
  </si>
  <si>
    <t>2.7.94</t>
  </si>
  <si>
    <t>2.7.95</t>
  </si>
  <si>
    <t>2.7.96</t>
  </si>
  <si>
    <t>2.7.97</t>
  </si>
  <si>
    <t>2.7.98</t>
  </si>
  <si>
    <t>2.7.99</t>
  </si>
  <si>
    <t>2.7.100</t>
  </si>
  <si>
    <t>2.8.1</t>
  </si>
  <si>
    <t>2.8.2</t>
  </si>
  <si>
    <t>2.8.3</t>
  </si>
  <si>
    <t>2.8.4</t>
  </si>
  <si>
    <t>2.8.5</t>
  </si>
  <si>
    <t>2.8.6</t>
  </si>
  <si>
    <t>2.8.7</t>
  </si>
  <si>
    <t>2.8.8</t>
  </si>
  <si>
    <t>2.8.9</t>
  </si>
  <si>
    <t>2.8.10</t>
  </si>
  <si>
    <t>2.8.11</t>
  </si>
  <si>
    <t>2.8.12</t>
  </si>
  <si>
    <t>2.8.13</t>
  </si>
  <si>
    <t>2.8.14</t>
  </si>
  <si>
    <t>2.8.15</t>
  </si>
  <si>
    <t>2.8.16</t>
  </si>
  <si>
    <t>2.8.17</t>
  </si>
  <si>
    <t>2.8.18</t>
  </si>
  <si>
    <t>2.8.19</t>
  </si>
  <si>
    <t>2.8.20</t>
  </si>
  <si>
    <t>2.8.21</t>
  </si>
  <si>
    <t>2.8.22</t>
  </si>
  <si>
    <t>2.8.23</t>
  </si>
  <si>
    <t>2.8.24</t>
  </si>
  <si>
    <t>2.8.25</t>
  </si>
  <si>
    <t>2.8.26</t>
  </si>
  <si>
    <t>2.8.27</t>
  </si>
  <si>
    <t>2.8.28</t>
  </si>
  <si>
    <t>2.8.29</t>
  </si>
  <si>
    <t>2.8.30</t>
  </si>
  <si>
    <t>2.8.31</t>
  </si>
  <si>
    <t>2.8.32</t>
  </si>
  <si>
    <t>2.8.33</t>
  </si>
  <si>
    <t>2.8.34</t>
  </si>
  <si>
    <t>2.8.35</t>
  </si>
  <si>
    <t>2.8.36</t>
  </si>
  <si>
    <t>2.8.37</t>
  </si>
  <si>
    <t>2.8.38</t>
  </si>
  <si>
    <t>2.8.39</t>
  </si>
  <si>
    <t>2.8.40</t>
  </si>
  <si>
    <t>2.8.41</t>
  </si>
  <si>
    <t>2.8.42</t>
  </si>
  <si>
    <t>2.8.43</t>
  </si>
  <si>
    <t>2.8.44</t>
  </si>
  <si>
    <t>2.8.45</t>
  </si>
  <si>
    <t>2.8.46</t>
  </si>
  <si>
    <t>2.8.47</t>
  </si>
  <si>
    <t>2.8.48</t>
  </si>
  <si>
    <t>2.8.49</t>
  </si>
  <si>
    <t>2.8.50</t>
  </si>
  <si>
    <t>2.8.51</t>
  </si>
  <si>
    <t>2.8.52</t>
  </si>
  <si>
    <t>2.8.53</t>
  </si>
  <si>
    <t>2.8.54</t>
  </si>
  <si>
    <t>2.8.55</t>
  </si>
  <si>
    <t>2.8.56</t>
  </si>
  <si>
    <t>2.8.57</t>
  </si>
  <si>
    <t>2.8.58</t>
  </si>
  <si>
    <t>2.8.59</t>
  </si>
  <si>
    <t>2.8.60</t>
  </si>
  <si>
    <t>2.8.61</t>
  </si>
  <si>
    <t>2.8.62</t>
  </si>
  <si>
    <t>2.8.63</t>
  </si>
  <si>
    <t>2.8.64</t>
  </si>
  <si>
    <t>2.8.65</t>
  </si>
  <si>
    <t>2.8.66</t>
  </si>
  <si>
    <t>2.8.67</t>
  </si>
  <si>
    <t>2.8.68</t>
  </si>
  <si>
    <t>2.8.69</t>
  </si>
  <si>
    <t>2.8.70</t>
  </si>
  <si>
    <t>2.8.71</t>
  </si>
  <si>
    <t>2.8.72</t>
  </si>
  <si>
    <t>2.8.73</t>
  </si>
  <si>
    <t>2.8.74</t>
  </si>
  <si>
    <t>2.8.75</t>
  </si>
  <si>
    <t>2.8.76</t>
  </si>
  <si>
    <t>2.8.77</t>
  </si>
  <si>
    <t>2.8.78</t>
  </si>
  <si>
    <t>2.8.79</t>
  </si>
  <si>
    <t>2.8.80</t>
  </si>
  <si>
    <t>2.8.81</t>
  </si>
  <si>
    <t>2.8.82</t>
  </si>
  <si>
    <t>2.8.83</t>
  </si>
  <si>
    <t>2.8.84</t>
  </si>
  <si>
    <t>2.8.85</t>
  </si>
  <si>
    <t>2.8.86</t>
  </si>
  <si>
    <t>2.8.87</t>
  </si>
  <si>
    <t>2.8.88</t>
  </si>
  <si>
    <t>2.8.89</t>
  </si>
  <si>
    <t>2.8.90</t>
  </si>
  <si>
    <t>2.8.91</t>
  </si>
  <si>
    <t>2.8.92</t>
  </si>
  <si>
    <t>2.8.93</t>
  </si>
  <si>
    <t>2.8.94</t>
  </si>
  <si>
    <t>2.8.95</t>
  </si>
  <si>
    <t>2.8.96</t>
  </si>
  <si>
    <t>2.8.97</t>
  </si>
  <si>
    <t>2.8.98</t>
  </si>
  <si>
    <t>2.8.99</t>
  </si>
  <si>
    <t>2.8.100</t>
  </si>
  <si>
    <t>Acumulado</t>
  </si>
  <si>
    <t>Resultado</t>
  </si>
  <si>
    <t>Saldo Inicial</t>
  </si>
  <si>
    <t>Receita</t>
  </si>
  <si>
    <t>Despesa</t>
  </si>
  <si>
    <t>TOTAL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</si>
  <si>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</si>
  <si>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</si>
  <si>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</si>
  <si>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</si>
  <si>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</si>
  <si>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</si>
  <si>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</si>
  <si>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</si>
  <si>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</si>
  <si>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</si>
  <si>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</si>
  <si>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</si>
  <si>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Lucro / Prejuízo</t>
  </si>
  <si>
    <t>Lucratividade</t>
  </si>
  <si>
    <t>Contas a Receber</t>
  </si>
  <si>
    <t>Contas a Pagar</t>
  </si>
  <si>
    <t>Necessidade de Caixa</t>
  </si>
  <si>
    <t>VEJA OS GRUPOS DE CONTAS DE FORMA DETALHADA:</t>
  </si>
  <si>
    <t>FLUXO DE CAIXA</t>
  </si>
  <si>
    <t>Total</t>
  </si>
  <si>
    <t/>
  </si>
  <si>
    <t>Meta de Receitas</t>
  </si>
  <si>
    <t>Meta de Despesas</t>
  </si>
  <si>
    <t>Comparação do Fluxo de Caixa</t>
  </si>
  <si>
    <t>Saldo do Mês</t>
  </si>
  <si>
    <t>Divisão de Receitas</t>
  </si>
  <si>
    <t>Divisão de Despesas</t>
  </si>
  <si>
    <t>Receitas x Despesas</t>
  </si>
  <si>
    <t>Análises</t>
  </si>
  <si>
    <t>Meta x Realizado (escolha entre análise de receitas, despesas ou lucro / prejuízo gráfico)</t>
  </si>
  <si>
    <t>Conta:</t>
  </si>
  <si>
    <t>Top 5 sub-contas</t>
  </si>
  <si>
    <t>Comparação das sub-contas 1 e 2:</t>
  </si>
  <si>
    <t>Sub-Conta 1:</t>
  </si>
  <si>
    <t>Sub-Conta 2:</t>
  </si>
  <si>
    <t>RECEITAS</t>
  </si>
  <si>
    <t>RECEITAS NÃO OPERACIONAIS</t>
  </si>
  <si>
    <t>DESPESAS</t>
  </si>
  <si>
    <t>Mês</t>
  </si>
  <si>
    <t>Coluna1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</si>
  <si>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</si>
  <si>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</si>
  <si>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</si>
  <si>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</si>
  <si>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</si>
  <si>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</si>
  <si>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</si>
  <si>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</si>
  <si>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</si>
  <si>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</si>
  <si>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</si>
  <si>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</si>
  <si>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NOMES INTERVALOS</t>
  </si>
  <si>
    <t>R / D</t>
  </si>
  <si>
    <t>N. MESES</t>
  </si>
  <si>
    <t>NOME MÊS</t>
  </si>
  <si>
    <t>VÍNCULO CAIXA COMBINAÇÃO</t>
  </si>
  <si>
    <t>-</t>
  </si>
  <si>
    <t>Análise da Inadimplência</t>
  </si>
  <si>
    <t>RECEITAS OPERACIONAIS</t>
  </si>
  <si>
    <t>DESPESAS DIRETAS</t>
  </si>
  <si>
    <t>MARGEM DE CONTRIBUIÇÃO</t>
  </si>
  <si>
    <t>DESPESAS INDIRETAS</t>
  </si>
  <si>
    <t>RESULTADO FINANCEIRO</t>
  </si>
  <si>
    <t>LUCRO / PREJUÍZO</t>
  </si>
  <si>
    <t>DASH MENSAL</t>
  </si>
  <si>
    <t>Meta de Lucro / Prejuízo</t>
  </si>
  <si>
    <t>Meta de Lucratividade</t>
  </si>
  <si>
    <t>Meta</t>
  </si>
  <si>
    <t>DASH ANUAL</t>
  </si>
  <si>
    <t>Acima</t>
  </si>
  <si>
    <t>Abaixo</t>
  </si>
  <si>
    <t>DASH RECEITA E DESPESA</t>
  </si>
  <si>
    <t>acréscimo</t>
  </si>
  <si>
    <t>valor aumentado</t>
  </si>
  <si>
    <t>tabela para procv</t>
  </si>
  <si>
    <t>tabela para proch</t>
  </si>
  <si>
    <t>top 5</t>
  </si>
  <si>
    <t>valor real</t>
  </si>
  <si>
    <t>valor mês</t>
  </si>
  <si>
    <t>valor do corresp para baixo</t>
  </si>
  <si>
    <t>DASH CONTAS</t>
  </si>
  <si>
    <t>Contas a receber</t>
  </si>
  <si>
    <t>Contas a pagar</t>
  </si>
  <si>
    <t>Nº</t>
  </si>
  <si>
    <t>NOME FORNECEDOR</t>
  </si>
  <si>
    <t>CNPJ / CPF</t>
  </si>
  <si>
    <t>ENDEREÇO</t>
  </si>
  <si>
    <t>UF</t>
  </si>
  <si>
    <t>RAMO</t>
  </si>
  <si>
    <t>EMAIL</t>
  </si>
  <si>
    <t xml:space="preserve">TELEFONE </t>
  </si>
  <si>
    <t>NOME CONTATO</t>
  </si>
  <si>
    <t>Fornecedores</t>
  </si>
  <si>
    <t>DATA DE PAGAMENTO</t>
  </si>
  <si>
    <t>CONTAS A RECEBER E PAGAR</t>
  </si>
  <si>
    <t>DIA</t>
  </si>
  <si>
    <t>RECEITA</t>
  </si>
  <si>
    <t>DESPESA</t>
  </si>
  <si>
    <t>RESULTADO DO DIA</t>
  </si>
  <si>
    <t>DESPESAS ADMINISTRATIVAS</t>
  </si>
  <si>
    <t>DESPESAS COMERCIAIS</t>
  </si>
  <si>
    <t>Resultado por Dia</t>
  </si>
  <si>
    <t>Fluxo de Caixa</t>
  </si>
  <si>
    <t>RECEITA OU DESPESA</t>
  </si>
  <si>
    <t>DIA LANÇAMENTO</t>
  </si>
  <si>
    <t>MÊS LANÇAMENTO</t>
  </si>
  <si>
    <t>MÊS LANÇAMENTO CORRESPONDENTE</t>
  </si>
  <si>
    <t>DIA VENCIMENTO</t>
  </si>
  <si>
    <t>MÊS VENCIMENTO</t>
  </si>
  <si>
    <t>MÊS VENCIMENTO CORRESPONDENTE</t>
  </si>
  <si>
    <t>DIA PAGAMENTO</t>
  </si>
  <si>
    <t>MÊS PAGAMENTO</t>
  </si>
  <si>
    <t>MÊS PAGAMENTO CORRESPONDENTE</t>
  </si>
  <si>
    <t>PAGO OU NÃO</t>
  </si>
  <si>
    <t>MÊS PGTO</t>
  </si>
  <si>
    <t xml:space="preserve">GRÁFICO DIVISÃO PERCENTUAL </t>
  </si>
  <si>
    <t>GRÁFICO COMPARAÇÃO DAS SUB-CONTAS</t>
  </si>
  <si>
    <t>GRÁFICO DAS CONTAS</t>
  </si>
  <si>
    <t>GRÁFICO COMPARAÇÃO FLUXO DE CX</t>
  </si>
  <si>
    <t>DADOS ANÁLISE</t>
  </si>
  <si>
    <t>GRÁFICO DIVISÃO DE REC E DESP</t>
  </si>
  <si>
    <t>MÊS ABREVIADO</t>
  </si>
  <si>
    <t>Total Geral</t>
  </si>
  <si>
    <t xml:space="preserve">MÊS VENCIMENTO </t>
  </si>
  <si>
    <t>Rótulos de Linha</t>
  </si>
  <si>
    <t>INDIRETO</t>
  </si>
  <si>
    <t>AUXILIAR PARA TOP 5 SUB-CONTAS - N LINHA (DASH CONTAS)</t>
  </si>
  <si>
    <t>Resultado dia (Mês)</t>
  </si>
  <si>
    <t>Valores em Aberto (Mês)</t>
  </si>
  <si>
    <t>Contas a Pagar (Mês)</t>
  </si>
  <si>
    <t>Contas a Receber (Mês)</t>
  </si>
  <si>
    <t xml:space="preserve">BANCO </t>
  </si>
  <si>
    <t>FORMAS DE PAGAMENTO</t>
  </si>
  <si>
    <t>COD. BANCO</t>
  </si>
  <si>
    <t>FORMA DE PAGAMENTO</t>
  </si>
  <si>
    <t>BANCO</t>
  </si>
  <si>
    <t>BANCOS</t>
  </si>
  <si>
    <t xml:space="preserve">Fluxo de caixa (Banco) </t>
  </si>
  <si>
    <t>Bancos</t>
  </si>
  <si>
    <t>ANO</t>
  </si>
  <si>
    <t>ANO LANÇAMENTO</t>
  </si>
  <si>
    <t>ANO VENCIMENTO</t>
  </si>
  <si>
    <t>ANO PAGAMENTO</t>
  </si>
  <si>
    <t>MÊS</t>
  </si>
  <si>
    <t>Fluxo de caixa (Ano) / Resultado dia (Ano) / Valores em Aberto  (Ano) / DRE (Ano) / Metas (Ano) / Impressão (Ano) / Dash Mensal (Ano) / Dash Anual (Ano) / Dash Conta (Ano) / Dash Receita (Ano) / Dash Despesa (Ano)</t>
  </si>
  <si>
    <t>Selecione:</t>
  </si>
  <si>
    <t>Movimento Financeiro</t>
  </si>
  <si>
    <t>AGÊNCIA</t>
  </si>
  <si>
    <t>N. CONTA</t>
  </si>
  <si>
    <t>OBS</t>
  </si>
  <si>
    <t>Análise do resultado:</t>
  </si>
  <si>
    <t>TOTAL BANCOS</t>
  </si>
  <si>
    <t>TOTAL ANO</t>
  </si>
  <si>
    <t>TOTAL MESES</t>
  </si>
  <si>
    <t>Dash Contas</t>
  </si>
  <si>
    <t>top5 dinâmico de acordo com seleção do dashcontas</t>
  </si>
  <si>
    <t>Vínculo M x R</t>
  </si>
  <si>
    <t>Dash Mensal (Mês) / Dash Receita (Mês) / Dash Despesa (Mês)</t>
  </si>
  <si>
    <t>EMPRESA</t>
  </si>
  <si>
    <t>TIPO</t>
  </si>
  <si>
    <t>RAZÃO SOCIAL</t>
  </si>
  <si>
    <t>CNPJ</t>
  </si>
  <si>
    <t>NOME FANTASIA</t>
  </si>
  <si>
    <t>Empresa</t>
  </si>
  <si>
    <t>CIDADE</t>
  </si>
  <si>
    <t>DINHEIRO</t>
  </si>
  <si>
    <t>Fluxo de caixa (SERV) / Resultado dia (SERV) / Valores em Aberto  (SERV) / DRE (SERV) / Metas (SERV) / Impressão (SERV) / Dash Mensal (SERV) / Dash Anual (SERV) / Dash Conta (SERV) / Dash Receita (SERV) / Dash Despesa (SERV)</t>
  </si>
  <si>
    <t>Clientes</t>
  </si>
  <si>
    <t>DESPESAS OPERACIONAIS</t>
  </si>
  <si>
    <t>CONTAS</t>
  </si>
  <si>
    <t>CLIENTE / FORNECEDOR</t>
  </si>
  <si>
    <t>OP</t>
  </si>
  <si>
    <t>HISTÓRICO</t>
  </si>
  <si>
    <t>CLASSIFICAÇÃO (PLANO DE CONTAS)</t>
  </si>
  <si>
    <t>NÃO PAGO</t>
  </si>
  <si>
    <t>DATA SALDO INICIAL</t>
  </si>
  <si>
    <t>R$ SALDO INICIAL</t>
  </si>
  <si>
    <t>CLIENTE</t>
  </si>
  <si>
    <t>FORNECEDOR</t>
  </si>
  <si>
    <t>TOTAL EMPRESA</t>
  </si>
  <si>
    <t>Receitas_Operacionais</t>
  </si>
  <si>
    <t>Receitas_N_Operacionais</t>
  </si>
  <si>
    <t>Receitas_Outros_Creditos</t>
  </si>
  <si>
    <t>Despesas_Operacionais</t>
  </si>
  <si>
    <t>Despesas_Administrativas</t>
  </si>
  <si>
    <t>Despesas_Comerciais</t>
  </si>
  <si>
    <t>Despesas_Com_RH</t>
  </si>
  <si>
    <t>Despesas_N_Operacionais</t>
  </si>
  <si>
    <t>Despesas_Impostos</t>
  </si>
  <si>
    <t>Despesas_Investimentos</t>
  </si>
  <si>
    <t>Despesas_Endividamentos</t>
  </si>
  <si>
    <t>Despesas_Outros_Debitos</t>
  </si>
  <si>
    <t>1.3</t>
  </si>
  <si>
    <t>1.3.1</t>
  </si>
  <si>
    <t>1.3.2</t>
  </si>
  <si>
    <t>1.3.3</t>
  </si>
  <si>
    <t>1.3.4</t>
  </si>
  <si>
    <t>1.3.5</t>
  </si>
  <si>
    <t>1.3.6</t>
  </si>
  <si>
    <t>1.3.7</t>
  </si>
  <si>
    <t>1.3.8</t>
  </si>
  <si>
    <t>1.3.9</t>
  </si>
  <si>
    <t>1.3.10</t>
  </si>
  <si>
    <t>1.3.11</t>
  </si>
  <si>
    <t>1.3.12</t>
  </si>
  <si>
    <t>1.3.13</t>
  </si>
  <si>
    <t>1.3.14</t>
  </si>
  <si>
    <t>1.3.15</t>
  </si>
  <si>
    <t>1.3.16</t>
  </si>
  <si>
    <t>1.3.17</t>
  </si>
  <si>
    <t>1.3.18</t>
  </si>
  <si>
    <t>1.3.19</t>
  </si>
  <si>
    <t>1.3.20</t>
  </si>
  <si>
    <t>1.3.21</t>
  </si>
  <si>
    <t>1.3.22</t>
  </si>
  <si>
    <t>1.3.23</t>
  </si>
  <si>
    <t>1.3.24</t>
  </si>
  <si>
    <t>1.3.25</t>
  </si>
  <si>
    <t>1.3.26</t>
  </si>
  <si>
    <t>1.3.27</t>
  </si>
  <si>
    <t>1.3.28</t>
  </si>
  <si>
    <t>1.3.29</t>
  </si>
  <si>
    <t>1.3.30</t>
  </si>
  <si>
    <t>1.3.31</t>
  </si>
  <si>
    <t>1.3.32</t>
  </si>
  <si>
    <t>1.3.33</t>
  </si>
  <si>
    <t>1.3.34</t>
  </si>
  <si>
    <t>1.3.35</t>
  </si>
  <si>
    <t>1.3.36</t>
  </si>
  <si>
    <t>1.3.37</t>
  </si>
  <si>
    <t>1.3.38</t>
  </si>
  <si>
    <t>1.3.39</t>
  </si>
  <si>
    <t>1.3.40</t>
  </si>
  <si>
    <t>1.3.41</t>
  </si>
  <si>
    <t>1.3.42</t>
  </si>
  <si>
    <t>1.3.43</t>
  </si>
  <si>
    <t>1.3.44</t>
  </si>
  <si>
    <t>1.3.45</t>
  </si>
  <si>
    <t>1.3.46</t>
  </si>
  <si>
    <t>1.3.47</t>
  </si>
  <si>
    <t>1.3.48</t>
  </si>
  <si>
    <t>1.3.49</t>
  </si>
  <si>
    <t>1.3.50</t>
  </si>
  <si>
    <t>1.3.51</t>
  </si>
  <si>
    <t>1.3.52</t>
  </si>
  <si>
    <t>1.3.53</t>
  </si>
  <si>
    <t>1.3.54</t>
  </si>
  <si>
    <t>1.3.55</t>
  </si>
  <si>
    <t>1.3.56</t>
  </si>
  <si>
    <t>1.3.57</t>
  </si>
  <si>
    <t>1.3.58</t>
  </si>
  <si>
    <t>1.3.59</t>
  </si>
  <si>
    <t>1.3.60</t>
  </si>
  <si>
    <t>1.3.61</t>
  </si>
  <si>
    <t>1.3.62</t>
  </si>
  <si>
    <t>1.3.63</t>
  </si>
  <si>
    <t>1.3.64</t>
  </si>
  <si>
    <t>1.3.65</t>
  </si>
  <si>
    <t>1.3.66</t>
  </si>
  <si>
    <t>1.3.67</t>
  </si>
  <si>
    <t>1.3.68</t>
  </si>
  <si>
    <t>1.3.69</t>
  </si>
  <si>
    <t>1.3.70</t>
  </si>
  <si>
    <t>1.3.71</t>
  </si>
  <si>
    <t>1.3.72</t>
  </si>
  <si>
    <t>1.3.73</t>
  </si>
  <si>
    <t>1.3.74</t>
  </si>
  <si>
    <t>1.3.75</t>
  </si>
  <si>
    <t>1.3.76</t>
  </si>
  <si>
    <t>1.3.77</t>
  </si>
  <si>
    <t>1.3.78</t>
  </si>
  <si>
    <t>1.3.79</t>
  </si>
  <si>
    <t>1.3.80</t>
  </si>
  <si>
    <t>1.3.81</t>
  </si>
  <si>
    <t>1.3.82</t>
  </si>
  <si>
    <t>1.3.83</t>
  </si>
  <si>
    <t>1.3.84</t>
  </si>
  <si>
    <t>1.3.85</t>
  </si>
  <si>
    <t>1.3.86</t>
  </si>
  <si>
    <t>1.3.87</t>
  </si>
  <si>
    <t>1.3.88</t>
  </si>
  <si>
    <t>1.3.89</t>
  </si>
  <si>
    <t>1.3.90</t>
  </si>
  <si>
    <t>1.3.91</t>
  </si>
  <si>
    <t>1.3.92</t>
  </si>
  <si>
    <t>1.3.93</t>
  </si>
  <si>
    <t>1.3.94</t>
  </si>
  <si>
    <t>1.3.95</t>
  </si>
  <si>
    <t>1.3.96</t>
  </si>
  <si>
    <t>1.3.97</t>
  </si>
  <si>
    <t>1.3.98</t>
  </si>
  <si>
    <t>1.3.99</t>
  </si>
  <si>
    <t>1.3.100</t>
  </si>
  <si>
    <t>2.9</t>
  </si>
  <si>
    <t>2.9.1</t>
  </si>
  <si>
    <t>2.9.2</t>
  </si>
  <si>
    <t>2.9.3</t>
  </si>
  <si>
    <t>2.9.4</t>
  </si>
  <si>
    <t>2.9.5</t>
  </si>
  <si>
    <t>2.9.6</t>
  </si>
  <si>
    <t>2.9.7</t>
  </si>
  <si>
    <t>2.9.8</t>
  </si>
  <si>
    <t>2.9.9</t>
  </si>
  <si>
    <t>2.9.10</t>
  </si>
  <si>
    <t>2.9.11</t>
  </si>
  <si>
    <t>2.9.12</t>
  </si>
  <si>
    <t>2.9.13</t>
  </si>
  <si>
    <t>2.9.14</t>
  </si>
  <si>
    <t>2.9.15</t>
  </si>
  <si>
    <t>2.9.16</t>
  </si>
  <si>
    <t>2.9.17</t>
  </si>
  <si>
    <t>2.9.18</t>
  </si>
  <si>
    <t>2.9.19</t>
  </si>
  <si>
    <t>2.9.20</t>
  </si>
  <si>
    <t>2.9.21</t>
  </si>
  <si>
    <t>2.9.22</t>
  </si>
  <si>
    <t>2.9.23</t>
  </si>
  <si>
    <t>2.9.24</t>
  </si>
  <si>
    <t>2.9.25</t>
  </si>
  <si>
    <t>2.9.26</t>
  </si>
  <si>
    <t>2.9.27</t>
  </si>
  <si>
    <t>2.9.28</t>
  </si>
  <si>
    <t>2.9.29</t>
  </si>
  <si>
    <t>2.9.30</t>
  </si>
  <si>
    <t>2.9.31</t>
  </si>
  <si>
    <t>2.9.32</t>
  </si>
  <si>
    <t>2.9.33</t>
  </si>
  <si>
    <t>2.9.34</t>
  </si>
  <si>
    <t>2.9.35</t>
  </si>
  <si>
    <t>2.9.36</t>
  </si>
  <si>
    <t>2.9.37</t>
  </si>
  <si>
    <t>2.9.38</t>
  </si>
  <si>
    <t>2.9.39</t>
  </si>
  <si>
    <t>2.9.40</t>
  </si>
  <si>
    <t>2.9.41</t>
  </si>
  <si>
    <t>2.9.42</t>
  </si>
  <si>
    <t>2.9.43</t>
  </si>
  <si>
    <t>2.9.44</t>
  </si>
  <si>
    <t>2.9.45</t>
  </si>
  <si>
    <t>2.9.46</t>
  </si>
  <si>
    <t>2.9.47</t>
  </si>
  <si>
    <t>2.9.48</t>
  </si>
  <si>
    <t>2.9.49</t>
  </si>
  <si>
    <t>2.9.50</t>
  </si>
  <si>
    <t>2.9.51</t>
  </si>
  <si>
    <t>2.9.52</t>
  </si>
  <si>
    <t>2.9.53</t>
  </si>
  <si>
    <t>2.9.54</t>
  </si>
  <si>
    <t>2.9.55</t>
  </si>
  <si>
    <t>2.9.56</t>
  </si>
  <si>
    <t>2.9.57</t>
  </si>
  <si>
    <t>2.9.58</t>
  </si>
  <si>
    <t>2.9.59</t>
  </si>
  <si>
    <t>2.9.60</t>
  </si>
  <si>
    <t>2.9.61</t>
  </si>
  <si>
    <t>2.9.62</t>
  </si>
  <si>
    <t>2.9.63</t>
  </si>
  <si>
    <t>2.9.64</t>
  </si>
  <si>
    <t>2.9.65</t>
  </si>
  <si>
    <t>2.9.66</t>
  </si>
  <si>
    <t>2.9.67</t>
  </si>
  <si>
    <t>2.9.68</t>
  </si>
  <si>
    <t>2.9.69</t>
  </si>
  <si>
    <t>2.9.70</t>
  </si>
  <si>
    <t>2.9.71</t>
  </si>
  <si>
    <t>2.9.72</t>
  </si>
  <si>
    <t>2.9.73</t>
  </si>
  <si>
    <t>2.9.74</t>
  </si>
  <si>
    <t>2.9.75</t>
  </si>
  <si>
    <t>2.9.76</t>
  </si>
  <si>
    <t>2.9.77</t>
  </si>
  <si>
    <t>2.9.78</t>
  </si>
  <si>
    <t>2.9.79</t>
  </si>
  <si>
    <t>2.9.80</t>
  </si>
  <si>
    <t>2.9.81</t>
  </si>
  <si>
    <t>2.9.82</t>
  </si>
  <si>
    <t>2.9.83</t>
  </si>
  <si>
    <t>2.9.84</t>
  </si>
  <si>
    <t>2.9.85</t>
  </si>
  <si>
    <t>2.9.86</t>
  </si>
  <si>
    <t>2.9.87</t>
  </si>
  <si>
    <t>2.9.88</t>
  </si>
  <si>
    <t>2.9.89</t>
  </si>
  <si>
    <t>2.9.90</t>
  </si>
  <si>
    <t>2.9.91</t>
  </si>
  <si>
    <t>2.9.92</t>
  </si>
  <si>
    <t>2.9.93</t>
  </si>
  <si>
    <t>2.9.94</t>
  </si>
  <si>
    <t>2.9.95</t>
  </si>
  <si>
    <t>2.9.96</t>
  </si>
  <si>
    <t>2.9.97</t>
  </si>
  <si>
    <t>2.9.98</t>
  </si>
  <si>
    <t>2.9.99</t>
  </si>
  <si>
    <t>2.9.100</t>
  </si>
  <si>
    <t>Fluxo de caixa (EMP) / Resultado dia (EMP) / Valores em Aberto  (EMP) / DRE (EMP) / Metas (EMP) / Impressão (EMP) / Dash Mensal (EMP) / Dash Anual (EMP) / Dash Conta (EMP) / Dash Receita (EMP) / Dash Despesa (EMP)</t>
  </si>
  <si>
    <t>ENDIVIDAMENTOS</t>
  </si>
  <si>
    <t>OUTROS CRÉDITOS (NÃO ENTRA NA DRE)</t>
  </si>
  <si>
    <t>OUTROS DÉBITOS (NÃO ENTRA NA DRE)</t>
  </si>
  <si>
    <t>Demonstração Plano de Contas - (Receitas e Despesas)</t>
  </si>
  <si>
    <t>(-) DESPESAS DIRETAS (CMV)</t>
  </si>
  <si>
    <t>(=) LUCRO BRUTO</t>
  </si>
  <si>
    <t>% CUSTO</t>
  </si>
  <si>
    <t>(-) DESPESAS INDIRETAS</t>
  </si>
  <si>
    <t>(=) LUCRO OPERACIONAL</t>
  </si>
  <si>
    <t>% MARGEM OPERACIONAL</t>
  </si>
  <si>
    <t>(+) RESULTADO NÃO OPERACIONAL</t>
  </si>
  <si>
    <t>(-) IMPOSTOS</t>
  </si>
  <si>
    <t>(-) INVESTIMENTOS</t>
  </si>
  <si>
    <t>(-) ENDIVIDAMENTO</t>
  </si>
  <si>
    <t>(=) LUCRO / PREJUÍZO</t>
  </si>
  <si>
    <t>% MARGEM LÍQUIDA</t>
  </si>
  <si>
    <t>IFOOD</t>
  </si>
  <si>
    <t>HORT FRUT</t>
  </si>
  <si>
    <t xml:space="preserve">EMBALAGENS </t>
  </si>
  <si>
    <t xml:space="preserve">TAXA CARTÃO </t>
  </si>
  <si>
    <t>BEBIDAS</t>
  </si>
  <si>
    <t xml:space="preserve">MATERIAL ESCRITORIO </t>
  </si>
  <si>
    <t>MATERIAL DIVULGAÇÃO</t>
  </si>
  <si>
    <t>ALUGUEL</t>
  </si>
  <si>
    <t>CONDOMINIO</t>
  </si>
  <si>
    <t>ENERGIA</t>
  </si>
  <si>
    <t>EPI'S</t>
  </si>
  <si>
    <t>ELO</t>
  </si>
  <si>
    <t>ARROZ</t>
  </si>
  <si>
    <t>MOLHOS</t>
  </si>
  <si>
    <t>CONGELADOS</t>
  </si>
  <si>
    <t>APORTE SOCIO</t>
  </si>
  <si>
    <t>BALCÃO</t>
  </si>
  <si>
    <t>Centro de Custos</t>
  </si>
  <si>
    <t>CENTRO DE CUSTOS</t>
  </si>
  <si>
    <t>TOTAL CENTRO DE CUSTOS</t>
  </si>
  <si>
    <t>DESCARTAVEIS</t>
  </si>
  <si>
    <t>MANUTENÇÃO</t>
  </si>
  <si>
    <t>MATERIAL MANUTENÇÃO</t>
  </si>
  <si>
    <t xml:space="preserve">RETIRADA SOCIOS </t>
  </si>
  <si>
    <t>ESTOQUE SECO</t>
  </si>
  <si>
    <t>TAXA CARTÃO</t>
  </si>
  <si>
    <t>OUTRAS RECEITAS OPERACIONAIS</t>
  </si>
  <si>
    <t>RECEITAS FINANCEIRAS</t>
  </si>
  <si>
    <t>OUTRAS RECEITAS NÃO OPERACIONAIS</t>
  </si>
  <si>
    <t>OUTRAS DESPESAS OPERACIONAIS</t>
  </si>
  <si>
    <t>ÁGUA</t>
  </si>
  <si>
    <t>CONTADOR</t>
  </si>
  <si>
    <t>TELEFONE</t>
  </si>
  <si>
    <t>OUTRAS DESPESAS ADMINISTRATIVAS</t>
  </si>
  <si>
    <t>PROPAGANDA</t>
  </si>
  <si>
    <t>OUTRAS DESPESAS COMERCIAIS</t>
  </si>
  <si>
    <t>SALÁRIOS</t>
  </si>
  <si>
    <t>PRO-LABORE</t>
  </si>
  <si>
    <t>OUTRAS DESPESAS COM RH</t>
  </si>
  <si>
    <t>FRETES</t>
  </si>
  <si>
    <t>OUTRAS DESPESAS NÃO OPERACIONAIS</t>
  </si>
  <si>
    <t>SIMPLES NACIONAL</t>
  </si>
  <si>
    <t>OUTROS IMPOSTOS</t>
  </si>
  <si>
    <t>OUTROS INVESTIMENTOS</t>
  </si>
  <si>
    <t>EMPRESTIMOS BANCÁRIOS</t>
  </si>
  <si>
    <t>OUTROS ENDIVIDAMENTOS</t>
  </si>
  <si>
    <t>OUTROS CRÉDITOS</t>
  </si>
  <si>
    <t>OUTROS DÉBITOS</t>
  </si>
  <si>
    <t>INSS- GPS</t>
  </si>
  <si>
    <t xml:space="preserve">AMEX </t>
  </si>
  <si>
    <t>BOLETO</t>
  </si>
  <si>
    <t>CONSORCIO GAMP</t>
  </si>
  <si>
    <t>IPTU</t>
  </si>
  <si>
    <t>ESTACIONAMENTO</t>
  </si>
  <si>
    <t>VALE TRANSPORTE</t>
  </si>
  <si>
    <t>FGTS</t>
  </si>
  <si>
    <t xml:space="preserve"> </t>
  </si>
  <si>
    <t>CENTRO DE CUSTO</t>
  </si>
  <si>
    <t>ALELO</t>
  </si>
  <si>
    <t>STONE</t>
  </si>
  <si>
    <t>VISA</t>
  </si>
  <si>
    <t>MASTER</t>
  </si>
  <si>
    <t>AR COND/FUNDO PROMO</t>
  </si>
  <si>
    <t>INFORMATICA</t>
  </si>
  <si>
    <t>DESCONTO</t>
  </si>
  <si>
    <t>VALE REFEIÇÃO</t>
  </si>
  <si>
    <t>PESCADOS</t>
  </si>
  <si>
    <t>LUCRO</t>
  </si>
  <si>
    <t>DES ADM + COM + RH</t>
  </si>
  <si>
    <t>LO</t>
  </si>
  <si>
    <t>REC E DES N OPERACIONAL</t>
  </si>
  <si>
    <t>INVESTIMENTO</t>
  </si>
  <si>
    <t>ENDIVIDAMENTO</t>
  </si>
  <si>
    <t>RESULTADO FINAL</t>
  </si>
  <si>
    <t>SISTEMA</t>
  </si>
  <si>
    <t>STATUS</t>
  </si>
  <si>
    <t>(+) RECEITA BRUTA</t>
  </si>
  <si>
    <t>(=) RECEITA LÍQUIDA</t>
  </si>
  <si>
    <t>(-) TAXAS</t>
  </si>
  <si>
    <t>MATERIAL DE LIMPEZA</t>
  </si>
  <si>
    <t>RESFRIADOS</t>
  </si>
  <si>
    <t>RECEITAS COM PRATOS</t>
  </si>
  <si>
    <t xml:space="preserve">MÊS </t>
  </si>
  <si>
    <t>CARTÓRIO</t>
  </si>
  <si>
    <t xml:space="preserve">ASSESSORIA / CONSULTORIA </t>
  </si>
  <si>
    <t>LANCHE</t>
  </si>
  <si>
    <t>REUNIÃO</t>
  </si>
  <si>
    <t>RESCISÃO</t>
  </si>
  <si>
    <t>UNIFORME</t>
  </si>
  <si>
    <t>JUROS</t>
  </si>
  <si>
    <t>EXAMES CLINICO / ADMISSIONAL / DEMISSIONAL</t>
  </si>
  <si>
    <t>SOBREMESA</t>
  </si>
  <si>
    <t>HIPERCARD</t>
  </si>
  <si>
    <t>CABAL</t>
  </si>
  <si>
    <t>SODEXO</t>
  </si>
  <si>
    <t>QR CODE</t>
  </si>
  <si>
    <t>TARIFA BANCÁRIA</t>
  </si>
  <si>
    <t>APLICAÇÕES</t>
  </si>
  <si>
    <t>RESGATE DE APLICAÇÕES</t>
  </si>
  <si>
    <t>Rótulos de Coluna</t>
  </si>
  <si>
    <t>CAPITAL DE GIRO</t>
  </si>
  <si>
    <t xml:space="preserve"> VALOR LÍQUIDO</t>
  </si>
  <si>
    <t>ROYALTIES</t>
  </si>
  <si>
    <t>DIÁRIA</t>
  </si>
  <si>
    <t>FÉRIAS</t>
  </si>
  <si>
    <t>EMPRESTIMOS SÓCIOS</t>
  </si>
  <si>
    <t>TRANSFERÊNCIA ENTRE CONTAS</t>
  </si>
  <si>
    <t>VENDA BALCÃO</t>
  </si>
  <si>
    <t>PIX</t>
  </si>
  <si>
    <t>DATA DE VENCIMENTO</t>
  </si>
  <si>
    <t>DEVOLUÇÃO SÓCIOS</t>
  </si>
  <si>
    <t>TRANSPORTE PARA FUNCIONÁRIOS</t>
  </si>
  <si>
    <t>LANCHES</t>
  </si>
  <si>
    <t>TIPO OPERAÇÃO</t>
  </si>
  <si>
    <t>TIPOS OPERAÇÕES</t>
  </si>
  <si>
    <t>ICMS</t>
  </si>
  <si>
    <t>IMOBILIZADO - AQUISIÇÃO DE IMÓVEIS</t>
  </si>
  <si>
    <t>IMOBILIZADO - MOVEIS E UTENSILIOS</t>
  </si>
  <si>
    <t>IMOBILIZADO - AQUISIÇÃO DE SOFTAWARE</t>
  </si>
  <si>
    <t>IMOBILIZADO - BENFEITORIAS</t>
  </si>
  <si>
    <t>IMOBILIZADO - COMPUTADORES E PERIFERICOS</t>
  </si>
  <si>
    <t>IMOBILIZADO - MÁQUINAS E EQUIPAMENTOS</t>
  </si>
  <si>
    <t>IMOBILIZADO - MARCAS E PATENTES</t>
  </si>
  <si>
    <t>IMOBILIZADO - VEÍCULOS</t>
  </si>
  <si>
    <t>BENS DURÁVEIS DE PEQUENO VALOR</t>
  </si>
  <si>
    <t>DATA DE LANÇAMENTO</t>
  </si>
  <si>
    <t>ASSIDUIDADE</t>
  </si>
  <si>
    <t>TIPO RECEBIMENTO</t>
  </si>
  <si>
    <t>TIPO DE RECEBIMENTO</t>
  </si>
  <si>
    <t>BENEFICIOS</t>
  </si>
  <si>
    <t>%</t>
  </si>
  <si>
    <t>TRANSPORTE</t>
  </si>
  <si>
    <t>MEDICAMENTOS</t>
  </si>
  <si>
    <t>EMPRESTIMOS</t>
  </si>
  <si>
    <t>Meses</t>
  </si>
  <si>
    <t>RECEBIMENTO LÍQUIDO</t>
  </si>
  <si>
    <t>REFORMAS</t>
  </si>
  <si>
    <t>CURSOS</t>
  </si>
  <si>
    <t>Faturamento Bruto</t>
  </si>
  <si>
    <t>Faturamento Líquido</t>
  </si>
  <si>
    <t>Contas à Receber</t>
  </si>
  <si>
    <t>Contas à Pagar</t>
  </si>
  <si>
    <t>CADASTROS</t>
  </si>
  <si>
    <t>PAGAMENTO EMPRESTIMOS SÓCIOS</t>
  </si>
  <si>
    <t>13 SALARIO</t>
  </si>
  <si>
    <t>BOLSA ESTAGIÁRIOS</t>
  </si>
  <si>
    <t>TAXA DE LICENÇA PARA FUNCIONAMENTO</t>
  </si>
  <si>
    <t>ALVARÁ DE INSPENÇÃO SANITÁRIA</t>
  </si>
  <si>
    <t>CERTIFICADO DIGITAL</t>
  </si>
  <si>
    <t>COMODITIES</t>
  </si>
  <si>
    <t>FRIOS</t>
  </si>
  <si>
    <t>(=) LUCRO / PREJUÍZO LÍQUIDO</t>
  </si>
  <si>
    <t>(-) OUTROS DÉBITOS</t>
  </si>
  <si>
    <t>(+) OUTROS CRÉDITOS</t>
  </si>
  <si>
    <t>GELO</t>
  </si>
  <si>
    <t>HORA EXTRA</t>
  </si>
  <si>
    <t>TAXA BOMBEIROS</t>
  </si>
  <si>
    <t>ALIMENTAÇÃO</t>
  </si>
  <si>
    <t xml:space="preserve">PRESTAÇÃO DE SERVIÇOS </t>
  </si>
  <si>
    <t>VALOR LÍQUIDO</t>
  </si>
  <si>
    <t>REEMBOLSO</t>
  </si>
  <si>
    <t>BONIFICAÇÃO</t>
  </si>
  <si>
    <t>Despesas Financeiras</t>
  </si>
  <si>
    <t>F/V</t>
  </si>
  <si>
    <t>VALOR BRUTO</t>
  </si>
  <si>
    <t xml:space="preserve"> VALOR BRUTO</t>
  </si>
  <si>
    <t>CONVÊNIO FARMÁCIA</t>
  </si>
  <si>
    <t>COMPRA DE MERCADORIA</t>
  </si>
  <si>
    <t>OBRA 1</t>
  </si>
  <si>
    <t>DRE Financeira</t>
  </si>
  <si>
    <t>AGENDAMENTO</t>
  </si>
  <si>
    <t>CARTÃO DE CRÉDITO</t>
  </si>
  <si>
    <t>CARTÃO DE DÉBITO</t>
  </si>
  <si>
    <t>DEPÓSITO EM CONTA</t>
  </si>
  <si>
    <t>TEV</t>
  </si>
  <si>
    <t>PARCELADO</t>
  </si>
  <si>
    <t>COMBUSTÍVEL</t>
  </si>
  <si>
    <t>2.2.6</t>
  </si>
  <si>
    <t>IMOBILIZADO - AQUISIÇÃO DE SOFTWARE</t>
  </si>
  <si>
    <t>IMOBILIZADO - MÁQUINAS, EQUIPAMENTOS E FERRAMENTAS</t>
  </si>
  <si>
    <t>SEGURO DE VIDA</t>
  </si>
  <si>
    <t>IPVA</t>
  </si>
  <si>
    <t>PONTO ELETRÔNICO</t>
  </si>
  <si>
    <t>AGENDADO</t>
  </si>
  <si>
    <t>TED</t>
  </si>
  <si>
    <t>13º 1ª PARCELA</t>
  </si>
  <si>
    <t>13º 2ª PARCELA</t>
  </si>
  <si>
    <t>BRINDES</t>
  </si>
  <si>
    <t>APLICAÇÃO</t>
  </si>
  <si>
    <t>DEVOLUÇÃO DE EMPRÉSTIMO</t>
  </si>
  <si>
    <t>DÉBITO EM CONTA</t>
  </si>
  <si>
    <t>EMPRÉSTIMOS</t>
  </si>
  <si>
    <t>EMPRÉSTIMOS A CLIENTES</t>
  </si>
  <si>
    <t>EMPRÉSTIMOS SÓCIOS</t>
  </si>
  <si>
    <t>PAGAMENTO EMPRÉSTIMOS SÓCIOS</t>
  </si>
  <si>
    <t>CRÉDITO EM CONTA</t>
  </si>
  <si>
    <t>EMPRÉSTIMOS BANCÁRIOS</t>
  </si>
  <si>
    <t>EMPRÉSTIMO</t>
  </si>
  <si>
    <t>(vazio)</t>
  </si>
  <si>
    <t>INTERNET</t>
  </si>
  <si>
    <t>ESTORNO</t>
  </si>
  <si>
    <t>DOCUMENTOS PCMSO / PGR / LTCAT</t>
  </si>
  <si>
    <t>MULTA</t>
  </si>
  <si>
    <t>MATRIZ</t>
  </si>
  <si>
    <t xml:space="preserve">ALIANÇA FRANCESA - CCFB - AF DE GOIAS </t>
  </si>
  <si>
    <t>CENTRO CULTURAL FRANCO-BRASILEIRO ALIANCA FRANCESA DE GOIAS</t>
  </si>
  <si>
    <t>00.098.251/0001-50</t>
  </si>
  <si>
    <t>RUA 38, Nº 541, SETOR MARISTA - 74.150-250</t>
  </si>
  <si>
    <t>GOIÂNIA</t>
  </si>
  <si>
    <t>GO</t>
  </si>
  <si>
    <t>FILIAL</t>
  </si>
  <si>
    <t>CLIMA LAURINDA FREITAS</t>
  </si>
  <si>
    <t xml:space="preserve">RUA 14, QD. 28 LT. 09 E Nº 88 - CENTRO </t>
  </si>
  <si>
    <t>ALESSANDRA GOIAZ MENDONCA</t>
  </si>
  <si>
    <t>ALEXANDRE RODRIGUES</t>
  </si>
  <si>
    <t>ALICIA FIGUEIRA DIAS</t>
  </si>
  <si>
    <t>ALINE BRETTAS FERREIRA</t>
  </si>
  <si>
    <t>ANA DIAS CAMPOS RODRIGUES</t>
  </si>
  <si>
    <t>ANA FLÁVIA BRAZ DONÁ</t>
  </si>
  <si>
    <t>ANA LUISA BORGES OLIVEIRA</t>
  </si>
  <si>
    <t>ANTÔNIO BENTO DA SILVEIRA NETO</t>
  </si>
  <si>
    <t>ANTONIO R VASCONCELOS</t>
  </si>
  <si>
    <t>AUGUSTA FINOTTI BRAZAO</t>
  </si>
  <si>
    <t>BRENO AUGUSTO DE OLIVEIRA PRADO</t>
  </si>
  <si>
    <t>CAIO A GUSMAN GARCIA</t>
  </si>
  <si>
    <t>CAROLINA BRETTAS LASMAR</t>
  </si>
  <si>
    <t>CAROLINA MENDES LOUZA</t>
  </si>
  <si>
    <t>CRISTIANA MARIA TOSCANO</t>
  </si>
  <si>
    <t>DANIEL SEBBA RADY ALBERICI</t>
  </si>
  <si>
    <t>DEBORAH HELENA DE OLIVEIRA ABREU</t>
  </si>
  <si>
    <t>EGRIVAINE GOULART OLIVEIRA</t>
  </si>
  <si>
    <t>ELAINE FRANCO LEÃO</t>
  </si>
  <si>
    <t>FERNANDA OLIVEIRA ARAUJO</t>
  </si>
  <si>
    <t>FERNANDO MALTEZ BEZERRA</t>
  </si>
  <si>
    <t>GABRIEL NETO</t>
  </si>
  <si>
    <t>GABRIEL PEDROZA CORTES MARQUES</t>
  </si>
  <si>
    <t>GABRIEL QUEIROZ FERNANDES</t>
  </si>
  <si>
    <t>GIOVANNA FÉRES NALIN</t>
  </si>
  <si>
    <t>GLAUCO HENRIQUE MATWIJKOW DE FREITAS</t>
  </si>
  <si>
    <t>GUILHERME FELICIANO RODRIGUES</t>
  </si>
  <si>
    <t>HEITOR REZENDE DE FREITAS</t>
  </si>
  <si>
    <t>HELENA TOSCANO SOARES</t>
  </si>
  <si>
    <t>IZIS TAVARES ALFAIA</t>
  </si>
  <si>
    <t>JESSICA PINHEIRO DE VASCONCELOS</t>
  </si>
  <si>
    <t>JONATHAN CHRISTIAN FERREIRA ROCHA</t>
  </si>
  <si>
    <t>JULIA CARNEIRO GODOY DE SOUSA</t>
  </si>
  <si>
    <t>JULIA CRISTINA ROCHA</t>
  </si>
  <si>
    <t>JUSSARA OLIVEIRA DE MORAES PRADO</t>
  </si>
  <si>
    <t>LAÍS MOULIN LIMA REZENDE DE CASTRO</t>
  </si>
  <si>
    <t>LAURA FABIAN DE CARVALHO RAMOS</t>
  </si>
  <si>
    <t>LÍDIA BARROS NERCESSIAN</t>
  </si>
  <si>
    <t>LIGIA C ROCHA BEZERRA</t>
  </si>
  <si>
    <t>LINDOMAR MENDES LOUZA MARTINS</t>
  </si>
  <si>
    <t>LUCAS GONÇALVES</t>
  </si>
  <si>
    <t>LUDMILA PEDROZA CORTES MARQUES</t>
  </si>
  <si>
    <t>LUDMYLLA SANTANA VIEIRA</t>
  </si>
  <si>
    <t>MARIA ELISA CATANI BATISTA REIS</t>
  </si>
  <si>
    <t>MARIA FERNANDA BRAZÃO ARAÚJO</t>
  </si>
  <si>
    <t>MARIA LUÍZA BARROS CAVALCANTE</t>
  </si>
  <si>
    <t>MARIVALDO MONTEIRO ROCHA</t>
  </si>
  <si>
    <t>MATHEUS C DEL DUQUI</t>
  </si>
  <si>
    <t>MATHEUS FERREIRA GONCALVES</t>
  </si>
  <si>
    <t>MATHEUS HENRIQUE GOMIDES</t>
  </si>
  <si>
    <t>MATHEUS VAZ TEIXEIRA</t>
  </si>
  <si>
    <t>MIRNA COSTA DE CARVALHO CAMAROTA</t>
  </si>
  <si>
    <t>MOISÉS RODRIGUES DA SILVA</t>
  </si>
  <si>
    <t>NAJLA LOPES CINTRA</t>
  </si>
  <si>
    <t>PAGAR.ME PAGAMENTOS S.A.</t>
  </si>
  <si>
    <t>PAULA RENATA C BRAGA</t>
  </si>
  <si>
    <t>RAFAEL ALVES FOLHA</t>
  </si>
  <si>
    <t>RENDIMENTO DA CONTA - RENDIMENTO LÍQUIDO SOBRE DINHEIRO EM CONTA</t>
  </si>
  <si>
    <t>ROBERTA RASSI ALMEIDA</t>
  </si>
  <si>
    <t>SIMONE CERCHI RIBEIRO</t>
  </si>
  <si>
    <t>SOFIA CORTEZ DE SOUZA</t>
  </si>
  <si>
    <t>TIAGO RODRIGUES MIRANDA DE AGUIAR</t>
  </si>
  <si>
    <t>URYA BLASZKIEWICZ LIMA</t>
  </si>
  <si>
    <t>VENDAS - DISPONÍVEL CREDITO MASTERCARD</t>
  </si>
  <si>
    <t>VENDAS - DISPONÍVEL CREDITO VISA</t>
  </si>
  <si>
    <t>VENDAS - DISPONÍVEL PIX</t>
  </si>
  <si>
    <t>VIVIANE BARROS MACIEL</t>
  </si>
  <si>
    <t>EMBAIXADA FRANCESA</t>
  </si>
  <si>
    <t>FERNANDO DE OLIVEIRA PRADO</t>
  </si>
  <si>
    <t>ALEX DE ANDRADE MEDEIROS</t>
  </si>
  <si>
    <t>PROFESSOR DE LINGUA FRANCESA</t>
  </si>
  <si>
    <t>ALVORADA FERRAGENS</t>
  </si>
  <si>
    <t>FERRAGISTA</t>
  </si>
  <si>
    <t>ANA PAULA GOMES REBOUCAS</t>
  </si>
  <si>
    <t>COORDENADORA PEDAGÓGICA</t>
  </si>
  <si>
    <t>APOIO ASSESSORIA E GESTÃO DE NEGÓCIOS LTDA</t>
  </si>
  <si>
    <t>CEDRIC RAMOS DA COSTA</t>
  </si>
  <si>
    <t>CLARO S/A</t>
  </si>
  <si>
    <t>EDINILDE PÊSSEGO LIRA</t>
  </si>
  <si>
    <t>GRAZIELA CANDIDO GONCALVES</t>
  </si>
  <si>
    <t>JACYARA STHEFANNE CARVALHO FREITAS
BRUNEAU</t>
  </si>
  <si>
    <t>ADVOGADA</t>
  </si>
  <si>
    <t>MARCOS VINICIUS CHAVIER COSTA</t>
  </si>
  <si>
    <t>MARIA PEREIRA DA SILVA</t>
  </si>
  <si>
    <t>MAXIME EMMANUEL ANTHONY BRUNEAU</t>
  </si>
  <si>
    <t>MENSAN BENOIT LAWSON HELLU</t>
  </si>
  <si>
    <t>PAGAMENTO DE CONTA - APOIO ASSESSORIA E GESTAO DE NEGOCIOS LTDA</t>
  </si>
  <si>
    <t>PAPELARIA TRIBUTARIA</t>
  </si>
  <si>
    <t>PATRICK LUCIEN HARDY</t>
  </si>
  <si>
    <t>RITA SIMHA HAIAT DE SOUSA</t>
  </si>
  <si>
    <t>CAIXA ECONOMICA FEDERAL</t>
  </si>
  <si>
    <t xml:space="preserve">RECEITA FEDERAL </t>
  </si>
  <si>
    <t>GUARDE TOP SELF STORAGE</t>
  </si>
  <si>
    <t>ATLANTICA EMPREENDIMENTOS</t>
  </si>
  <si>
    <t>11.246.805/0001 -36</t>
  </si>
  <si>
    <t>PRIMASOFT (SOPHIA)</t>
  </si>
  <si>
    <t>PRIMASOFT INFORMATICA LTDA.</t>
  </si>
  <si>
    <t>69.112.514/0001-35</t>
  </si>
  <si>
    <t>SICOOB</t>
  </si>
  <si>
    <t>LOCAWEB</t>
  </si>
  <si>
    <t>FEDERAL IMÓVEIS</t>
  </si>
  <si>
    <t>COOPERATIVA DE ECONOMIA E CREDITO MUTUO DOS COMERCIANTES DE CONFECC</t>
  </si>
  <si>
    <t>CAMILA NOGUEIRA SILVA</t>
  </si>
  <si>
    <t>LUCIVALDO LUIZ DA SILVA</t>
  </si>
  <si>
    <t>SECRETÁRIO</t>
  </si>
  <si>
    <t>PREFEITURA DE GOIÂNIA - SECRETARIA DE FINANÇAS</t>
  </si>
  <si>
    <t>THAIRINY KARLA BATISTA CRUVINEL DE ALMEIDA</t>
  </si>
  <si>
    <t>PAGBANK</t>
  </si>
  <si>
    <t>55669294-5</t>
  </si>
  <si>
    <t>3300-6</t>
  </si>
  <si>
    <t>2.982-3</t>
  </si>
  <si>
    <t>RENDIMENTO DE APLICAÇÃO</t>
  </si>
  <si>
    <t>RESGATE APLICAÇÃO</t>
  </si>
  <si>
    <t>SAQUE</t>
  </si>
  <si>
    <t>CARTÃO DE CRÉDITO PORTO SEGURO</t>
  </si>
  <si>
    <t>MATRICULA</t>
  </si>
  <si>
    <t>MENSALIDADE</t>
  </si>
  <si>
    <t>DINHEIRO SAQUE</t>
  </si>
  <si>
    <t>RESGATE DE APLICAÇÃO</t>
  </si>
  <si>
    <t>DINHEIRO (SAQUE)</t>
  </si>
  <si>
    <t>RENDIMENTO</t>
  </si>
  <si>
    <t>ALUGUEL DE EQUIPAMENTOS</t>
  </si>
  <si>
    <t>ART</t>
  </si>
  <si>
    <t>BORRACHARIA</t>
  </si>
  <si>
    <t>EXTRAS HOSPEDAGEM</t>
  </si>
  <si>
    <t>FARMACIA</t>
  </si>
  <si>
    <t>FRETE</t>
  </si>
  <si>
    <t>HOSPEDAGEM</t>
  </si>
  <si>
    <t>IMPRESSÃO DE PROJETO</t>
  </si>
  <si>
    <t>LAVANDERIA</t>
  </si>
  <si>
    <t>LIMPEZA CASA</t>
  </si>
  <si>
    <t>MATERIAL E MÃO DE OBRA</t>
  </si>
  <si>
    <t>MOTO BOY</t>
  </si>
  <si>
    <t>PAGAMENTO DE MÃO DE OBRA</t>
  </si>
  <si>
    <t>PEÇAS</t>
  </si>
  <si>
    <t>REEMBOLSO CLIENTE</t>
  </si>
  <si>
    <t>REEMBOLSO FUNCIONÁRIO</t>
  </si>
  <si>
    <t>REEMBOLSO SÓCIO</t>
  </si>
  <si>
    <t>SEM PARAR - PEDÁGIO</t>
  </si>
  <si>
    <t>SERVIÇO DE TORNEIRO</t>
  </si>
  <si>
    <t>TARIFA DE PIX</t>
  </si>
  <si>
    <t xml:space="preserve">TRANSPORTADORA </t>
  </si>
  <si>
    <t>CERTIDÃO SIMPLIFICADA</t>
  </si>
  <si>
    <t>DOMÍNIO DE EMAIL</t>
  </si>
  <si>
    <t>GUARDA DE BENS IDENTIFICADA POR BOX N° 18</t>
  </si>
  <si>
    <t>HONORÁRIOS ADVOCATÍCIOS</t>
  </si>
  <si>
    <t>MANUTENÇÃO ESCRITÓRIO</t>
  </si>
  <si>
    <t>MOTOBOY</t>
  </si>
  <si>
    <t xml:space="preserve">REEMBOLSO </t>
  </si>
  <si>
    <t>ACORDO TRABALHISTA</t>
  </si>
  <si>
    <t>DESCONTO EM FOLHA EMPRÉSTIMO</t>
  </si>
  <si>
    <t>FGTS / RESCISÓRIO</t>
  </si>
  <si>
    <t>GRATIFICAÇÃO</t>
  </si>
  <si>
    <t>GUIA INSS FUNCIONÁRIO</t>
  </si>
  <si>
    <t>PARTICIPAÇÃO DE LUCROS</t>
  </si>
  <si>
    <t>PLANO DE SAÚDE</t>
  </si>
  <si>
    <t>PROFESSOR PESSOA JURÍDICA</t>
  </si>
  <si>
    <t>MATERIAIS DE USO E CONSUMO</t>
  </si>
  <si>
    <t>RESGATE APLICAÇÕES</t>
  </si>
  <si>
    <t>TARIFA PIX</t>
  </si>
  <si>
    <t>PNEUS</t>
  </si>
  <si>
    <t>CLT</t>
  </si>
  <si>
    <t>COFINS</t>
  </si>
  <si>
    <t>CONTRIBUIÇÃO EMPREGADOR</t>
  </si>
  <si>
    <t>CONTRIBUIÇÃO INCRA</t>
  </si>
  <si>
    <t>CONTRIBUIÇÃO SALÁRIO EDUCAÇÃO</t>
  </si>
  <si>
    <t>CONTRIBUIÇÃO SEBRAE</t>
  </si>
  <si>
    <t>CONTRIBUIÇÃO SEGURADOS</t>
  </si>
  <si>
    <t>CONTRIBUIÇÃO SESC</t>
  </si>
  <si>
    <t>CP - PATRONAL</t>
  </si>
  <si>
    <t>CP - SEGUROS</t>
  </si>
  <si>
    <t>CP - TERCEIROS</t>
  </si>
  <si>
    <t>DARF</t>
  </si>
  <si>
    <t>DCTF - WEB</t>
  </si>
  <si>
    <t>IRFF - DARF</t>
  </si>
  <si>
    <t>IRPF</t>
  </si>
  <si>
    <t>IRPJ - FONTE</t>
  </si>
  <si>
    <t>ISS - RETIDO NA FONTE</t>
  </si>
  <si>
    <t>PIS</t>
  </si>
  <si>
    <t>PROTESTO</t>
  </si>
  <si>
    <t>RISCOS AMBIENTAIS - APOSENTADORIA ESPECIAL</t>
  </si>
  <si>
    <t>SPC / SERASA</t>
  </si>
  <si>
    <t>TAXA DE LICENÇA PARA EXPL. DE MEIOS PUBLICITÁRIOS</t>
  </si>
  <si>
    <t>TAXA DE EXPEDIENTE DE SERVIÇOS DIVERSOS</t>
  </si>
  <si>
    <t>MULTA FORMAL</t>
  </si>
  <si>
    <t>ADM</t>
  </si>
  <si>
    <t>PARCELA 3 DE 6</t>
  </si>
  <si>
    <t>PARCELA 4 DE 6</t>
  </si>
  <si>
    <t>PARCELA 5 DE 6</t>
  </si>
  <si>
    <t>PARCELA 6 DE 6</t>
  </si>
  <si>
    <t>FAZER REEMBOLSO SALOMÃO</t>
  </si>
  <si>
    <t>PARCELA 17/21</t>
  </si>
  <si>
    <t>PARCELA 18/21</t>
  </si>
  <si>
    <t>PARCELA 19/21</t>
  </si>
  <si>
    <t>PARCELA 20/21</t>
  </si>
  <si>
    <t>PARCELA 21/21</t>
  </si>
  <si>
    <t>PARCELA 09/54</t>
  </si>
  <si>
    <t>PARCELA 10/54</t>
  </si>
  <si>
    <t>PARCELA 11/54</t>
  </si>
  <si>
    <t>PARCELA 12/54</t>
  </si>
  <si>
    <t>PARCELA 13/54</t>
  </si>
  <si>
    <t>PARCELA 14/54</t>
  </si>
  <si>
    <t>PARCELA 15/54</t>
  </si>
  <si>
    <t>PARCELA 16/54</t>
  </si>
  <si>
    <t>PARCELA 17/54</t>
  </si>
  <si>
    <t>PARCELA 18/54</t>
  </si>
  <si>
    <t>PARCELA 19/54</t>
  </si>
  <si>
    <t>PARCELA 20/54</t>
  </si>
  <si>
    <t>PARCELA 21/54</t>
  </si>
  <si>
    <t>PARCELA 22/54</t>
  </si>
  <si>
    <t>PARCELA 23/54</t>
  </si>
  <si>
    <t>PARCELA 24/54</t>
  </si>
  <si>
    <t>PARCELA 25/54</t>
  </si>
  <si>
    <t>PARCELA 26/54</t>
  </si>
  <si>
    <t>PARCELA 27/54</t>
  </si>
  <si>
    <t>PARCELA 28/54</t>
  </si>
  <si>
    <t>PARCELA 29/54</t>
  </si>
  <si>
    <t>PARCELA 30/54</t>
  </si>
  <si>
    <t>PARCELA 31/54</t>
  </si>
  <si>
    <t>PARCELA 32/54</t>
  </si>
  <si>
    <t>PARCELA 33/54</t>
  </si>
  <si>
    <t>PARCELA 34/54</t>
  </si>
  <si>
    <t>PARCELA 35/54</t>
  </si>
  <si>
    <t>PARCELA 36/54</t>
  </si>
  <si>
    <t>PARCELA 37/54</t>
  </si>
  <si>
    <t>PARCELA 38/54</t>
  </si>
  <si>
    <t>PARCELA 39/54</t>
  </si>
  <si>
    <t>PARCELA 40/54</t>
  </si>
  <si>
    <t>PARCELA 41/54</t>
  </si>
  <si>
    <t>PARCELA 42/54</t>
  </si>
  <si>
    <t>PARCELA 43/54</t>
  </si>
  <si>
    <t>PARCELA 44/54</t>
  </si>
  <si>
    <t>PARCELA 45/54</t>
  </si>
  <si>
    <t>PARCELA 46/54</t>
  </si>
  <si>
    <t>PARCELA 47/54</t>
  </si>
  <si>
    <t>PARCELA 48/54</t>
  </si>
  <si>
    <t>PARCELA 49/54</t>
  </si>
  <si>
    <t>PARCELA 50/54</t>
  </si>
  <si>
    <t>PARCELA 51/54</t>
  </si>
  <si>
    <t>PARCELA 52/54</t>
  </si>
  <si>
    <t>PARCELA 53/54</t>
  </si>
  <si>
    <t>PARCELA 54/54</t>
  </si>
  <si>
    <t>10/2022</t>
  </si>
  <si>
    <t>06/2024</t>
  </si>
  <si>
    <t>07/2024</t>
  </si>
  <si>
    <t>08/2024</t>
  </si>
  <si>
    <t>09/2024</t>
  </si>
  <si>
    <t>10/2024</t>
  </si>
  <si>
    <t>11/2024</t>
  </si>
  <si>
    <t>12/2024</t>
  </si>
  <si>
    <t>02/2025</t>
  </si>
  <si>
    <t>03/2025</t>
  </si>
  <si>
    <t>01/2025</t>
  </si>
  <si>
    <t>PERÍODO AGOS 25</t>
  </si>
  <si>
    <t>PERÍODO DIVERSOS</t>
  </si>
  <si>
    <t>ANO 2022</t>
  </si>
  <si>
    <t>ANO 2023</t>
  </si>
  <si>
    <t>04/2025</t>
  </si>
  <si>
    <t>DÉBITO COM EXIGIBILIDADE SUSPENSA (SIEF)</t>
  </si>
  <si>
    <t>ATIVA EM COBRANÇA / ENCAMINHADO PARA PROTESTO</t>
  </si>
  <si>
    <t>11.7.24.005645-12</t>
  </si>
  <si>
    <t>11.2.24.014997-18</t>
  </si>
  <si>
    <t>11.6.24.024838-73</t>
  </si>
  <si>
    <t>11.7.24.005647-84</t>
  </si>
  <si>
    <t>11.2.24.015003-17</t>
  </si>
  <si>
    <t>11.2.24.001259-38</t>
  </si>
  <si>
    <t>ATIVA EM COBRANÇA</t>
  </si>
  <si>
    <t>11.7.24.000713-20</t>
  </si>
  <si>
    <t>11.2.23.006276-80</t>
  </si>
  <si>
    <t>EXTINTA POR PAGAMENTO
COM AJUIZAMENTO A SER
CANCELADO</t>
  </si>
  <si>
    <t>11.4.02.005055-73</t>
  </si>
  <si>
    <t>11.5.23.004178-15</t>
  </si>
  <si>
    <t>11.5.23.004179-04</t>
  </si>
  <si>
    <t>11.4.24.160524-17</t>
  </si>
  <si>
    <t>ATIVA EM COBRANÇA / NÃO ESTÁ EM PROTESTO</t>
  </si>
  <si>
    <t>11.4.24.160525-06</t>
  </si>
  <si>
    <t>11.4.24.160571-33</t>
  </si>
  <si>
    <t>11.4.24.160572-14</t>
  </si>
  <si>
    <t>11.4.24.160573-03</t>
  </si>
  <si>
    <t>11.4.24.160574-86</t>
  </si>
  <si>
    <t>11.4.24.160575-67</t>
  </si>
  <si>
    <t>11.4.24.160576-48</t>
  </si>
  <si>
    <t>11.4.24.028471-96</t>
  </si>
  <si>
    <t>11.4.24.028472-77</t>
  </si>
  <si>
    <t>11.4.24.028473-58</t>
  </si>
  <si>
    <t>ATIVA EM COBRANÇA /ENCAMINHADO PARA PROTESTO</t>
  </si>
  <si>
    <t>11.4.24.028474-39</t>
  </si>
  <si>
    <t>11.4.24.028475-10</t>
  </si>
  <si>
    <t>ATIVA EM COBRANÇA / PROTESTO</t>
  </si>
  <si>
    <t>11.4.24.028476-09</t>
  </si>
  <si>
    <t>11.4.23.028477-81</t>
  </si>
  <si>
    <t>11.4.23.077926-06</t>
  </si>
  <si>
    <t>11.4.23.077927-89</t>
  </si>
  <si>
    <t>11.4.23.077928-60</t>
  </si>
  <si>
    <t>11.4.23.077929-40</t>
  </si>
  <si>
    <t>11.4.23.077930-84</t>
  </si>
  <si>
    <t>11.4.23.077931-65</t>
  </si>
  <si>
    <t>11.4.23.077932-46</t>
  </si>
  <si>
    <t>INSCRIÇÃO DE CRÉDITO - DÍVIDA ATIVA / NÃO ESTA EM PROTESTO</t>
  </si>
  <si>
    <t>16.971.096-3</t>
  </si>
  <si>
    <t>18.698.029-9</t>
  </si>
  <si>
    <t>18.698.030-2</t>
  </si>
  <si>
    <t>11.4.23.025564-32</t>
  </si>
  <si>
    <t>11.4.23.025565-13</t>
  </si>
  <si>
    <t>11.4.23.025566-02</t>
  </si>
  <si>
    <t>11.4.23.025567-85</t>
  </si>
  <si>
    <t>EXTINTA POR PAGAMENTO</t>
  </si>
  <si>
    <t>11.4.23.025568-66</t>
  </si>
  <si>
    <t>SERIS - BAIXA POR
LIQUIDACAO NO SISPAR</t>
  </si>
  <si>
    <t>15.297.870-4</t>
  </si>
  <si>
    <t>DATA DA INCLUSÃO 05/02/2024</t>
  </si>
  <si>
    <t>FINANCIAMENTO / EMP225155</t>
  </si>
  <si>
    <t>PARCELA 1 DE 3</t>
  </si>
  <si>
    <t>PARCELA 2 DE 3</t>
  </si>
  <si>
    <t>PARCELA 3 DE 3</t>
  </si>
  <si>
    <t>PARCELA 3 DE 6 (ALUNA CAROLINA MENDES LOUZA)</t>
  </si>
  <si>
    <t>PARCELA 4 DE 6 (ALUNA CAROLINA MENDES LOUZA)</t>
  </si>
  <si>
    <t>PARCELA 5 DE 6 (ALUNA CAROLINA MENDES LOUZA)</t>
  </si>
  <si>
    <t>PARCELA 6 DE 6 (ALUNA CAROLINA MENDES LOUZA)</t>
  </si>
  <si>
    <t>PARCELA 3 DE 6 (ALUNA CAROLINA BRETTAS LASMAR)</t>
  </si>
  <si>
    <t>TRANSFERENCIA RECEBIDA</t>
  </si>
  <si>
    <t>ANA FLAVIA BRAZ DONA</t>
  </si>
  <si>
    <t>PARCELA 2 DE 6</t>
  </si>
  <si>
    <t>PARCEL 2 DE 6</t>
  </si>
  <si>
    <t>PARCEL 3 DE 6</t>
  </si>
  <si>
    <t>PARCEL 4 DE 6</t>
  </si>
  <si>
    <t>PARCEL 5 DE 6</t>
  </si>
  <si>
    <t>PARCEL 6 DE 6</t>
  </si>
  <si>
    <t>PARCEL 1 DE 6</t>
  </si>
  <si>
    <t>PARCELA 3 DE 5</t>
  </si>
  <si>
    <t>PARCELA 4 DE 5</t>
  </si>
  <si>
    <t>PARCELA 5 DE 5</t>
  </si>
  <si>
    <t>REFERENTE AO MÊS DE FEVEREIRO - 2023</t>
  </si>
  <si>
    <t>REFERENTE AO MÊS DE SETEMBRO - 2023</t>
  </si>
  <si>
    <t>REFERENTE AO MÊS DE AGOSTO - 2023</t>
  </si>
  <si>
    <t>PARCELA 1 DE 2</t>
  </si>
  <si>
    <t>PARCEL 1 DE 1</t>
  </si>
  <si>
    <t>PARCELA 2 DE 2</t>
  </si>
  <si>
    <t>VARIÁVEL</t>
  </si>
  <si>
    <t>FIXO</t>
  </si>
  <si>
    <t>2025</t>
  </si>
  <si>
    <t>(Tudo)</t>
  </si>
  <si>
    <t>2025 Total</t>
  </si>
  <si>
    <t>2026</t>
  </si>
  <si>
    <t>2026 Total</t>
  </si>
  <si>
    <t>2027</t>
  </si>
  <si>
    <t>2027 Total</t>
  </si>
  <si>
    <t>2028</t>
  </si>
  <si>
    <t>2028 Total</t>
  </si>
  <si>
    <t>2029</t>
  </si>
  <si>
    <t>2029 Total</t>
  </si>
  <si>
    <t>2022</t>
  </si>
  <si>
    <t>2022 Total</t>
  </si>
  <si>
    <t>2024</t>
  </si>
  <si>
    <t>2024 Total</t>
  </si>
  <si>
    <t>2023</t>
  </si>
  <si>
    <t>2023 Total</t>
  </si>
  <si>
    <t>2020</t>
  </si>
  <si>
    <t>2020 Total</t>
  </si>
  <si>
    <t>2019</t>
  </si>
  <si>
    <t>2019 Total</t>
  </si>
  <si>
    <t>* Selecionar Receitas Operacionais</t>
  </si>
  <si>
    <t>* Selecionar Ano Desejado</t>
  </si>
  <si>
    <t>Ano</t>
  </si>
  <si>
    <t>* Selecionar Despesa</t>
  </si>
  <si>
    <t>TIPO DE DESPESA</t>
  </si>
  <si>
    <t>* Selecionar Não Pago</t>
  </si>
  <si>
    <t>Não Pago</t>
  </si>
  <si>
    <t>* Selecionar Receita</t>
  </si>
  <si>
    <t>Tipo</t>
  </si>
  <si>
    <t>Nome Fornecedor</t>
  </si>
  <si>
    <t>Contrato</t>
  </si>
  <si>
    <t>Data de captação</t>
  </si>
  <si>
    <t>Valor Parcelas</t>
  </si>
  <si>
    <t>Qtde parcelas do contrato</t>
  </si>
  <si>
    <t>Qtde Parcelas Pagas</t>
  </si>
  <si>
    <t>Qtde Parcelas restantes</t>
  </si>
  <si>
    <t>Qtde Parcelas em atraso</t>
  </si>
  <si>
    <t>Taxa de Juros efetiva Ponderada</t>
  </si>
  <si>
    <t>%  Pago</t>
  </si>
  <si>
    <t>%             A Pagar</t>
  </si>
  <si>
    <t>Obs.: última atualização dessa planilha: 02/09/2025</t>
  </si>
  <si>
    <t>Soma de %</t>
  </si>
  <si>
    <t>Soma de Taxa de Juros efetiva Ponderada</t>
  </si>
  <si>
    <t>Endividamento</t>
  </si>
  <si>
    <t>ALUNO</t>
  </si>
  <si>
    <t>RESPONSÁVEL FINANCEIRO</t>
  </si>
  <si>
    <t>PERÍODO</t>
  </si>
  <si>
    <t>ALUNO2</t>
  </si>
  <si>
    <t>RESPONSÁVEL FINANCEIRO2</t>
  </si>
  <si>
    <t>RECEITA FEDERAL</t>
  </si>
  <si>
    <t>Nº de processo</t>
  </si>
  <si>
    <t>Período</t>
  </si>
  <si>
    <t>Histórico</t>
  </si>
  <si>
    <t>Valor principal do contrato</t>
  </si>
  <si>
    <t>Desconto</t>
  </si>
  <si>
    <t>Juros</t>
  </si>
  <si>
    <t>Multa</t>
  </si>
  <si>
    <t>Valor Total do contrato</t>
  </si>
  <si>
    <t>Data de vencimento</t>
  </si>
  <si>
    <t>8301 - PIS</t>
  </si>
  <si>
    <t>ANO 2024</t>
  </si>
  <si>
    <t>5440-01 - MAED - DCTFWEB</t>
  </si>
  <si>
    <t>3560 - IRPJ FONTE</t>
  </si>
  <si>
    <t>10136.489.511/2023-81</t>
  </si>
  <si>
    <t>Inscrição</t>
  </si>
  <si>
    <t>PENDÊNCIA - INSCRIÇÃO</t>
  </si>
  <si>
    <t>10136.099.726/2024-95</t>
  </si>
  <si>
    <t>4201 - CONTRIB. SAL. EDUCAC</t>
  </si>
  <si>
    <t>4321 - CONTRIBUIÇÃO SESC</t>
  </si>
  <si>
    <t>4162 - RI. AMB. AP. ESPECIAL</t>
  </si>
  <si>
    <t>4156 - CONTR. EMPREGADOR</t>
  </si>
  <si>
    <t>4338 - CONTRIBUIÇÃO SEBRAE</t>
  </si>
  <si>
    <t>10136.698.553/2024-92</t>
  </si>
  <si>
    <t>14966.743.407/2024-15</t>
  </si>
  <si>
    <t>14966.069.739/2023-37</t>
  </si>
  <si>
    <t>14966.485.232/2023-27</t>
  </si>
  <si>
    <t>4133 - CONTR. SEGURADOS</t>
  </si>
  <si>
    <t>4224 - CONTRIBUIÇÃO INCRA</t>
  </si>
  <si>
    <t>0561-07 - IRPF</t>
  </si>
  <si>
    <t>1082-01 - CP-SEGUROS</t>
  </si>
  <si>
    <t>1138-01 - CP-PATRONAL</t>
  </si>
  <si>
    <t>1170-01 - CP-TERCEIROS</t>
  </si>
  <si>
    <t>1176-01 - CP-TERCEIROS</t>
  </si>
  <si>
    <t>1170-21 - CP-TERCEIROS</t>
  </si>
  <si>
    <t>1196-01 - CP-TERCEIROS</t>
  </si>
  <si>
    <t>1176-21 - CP-TERCEIROS</t>
  </si>
  <si>
    <t>1200-02 - CP-TERCEIROS</t>
  </si>
  <si>
    <t>1200-22 - CP-TERCEIROS</t>
  </si>
  <si>
    <t>1646-01 - CP-PATRONAL</t>
  </si>
  <si>
    <t>11.4.24.028477-81</t>
  </si>
  <si>
    <t>14966.087.902/2024-24</t>
  </si>
  <si>
    <t>14966.743.403/2024-62</t>
  </si>
  <si>
    <t>14966.743.407/2024-62</t>
  </si>
  <si>
    <t>0810-PIS</t>
  </si>
  <si>
    <t>3623-CLT</t>
  </si>
  <si>
    <t>4493-COFINS</t>
  </si>
  <si>
    <t>14152.046.418/2023-39</t>
  </si>
  <si>
    <t>10136.698.551/2024-01</t>
  </si>
  <si>
    <t>10136.099.725/2024-41</t>
  </si>
  <si>
    <t>10136.698.552/2024-48</t>
  </si>
  <si>
    <t>14966.743.406/2024-62</t>
  </si>
  <si>
    <t>1759 - ISS RETIDO NA FONTE (ESPONTÂNEO)</t>
  </si>
  <si>
    <t>PARCELA 3</t>
  </si>
  <si>
    <t>PARCELA 4</t>
  </si>
  <si>
    <t>PARCELA 6</t>
  </si>
  <si>
    <t>2160 - TAXA LICENÇA PARA EXPL. DE MEIOS PUBLICIDADE</t>
  </si>
  <si>
    <t>PARCELA 0</t>
  </si>
  <si>
    <t>2119 - TAXA DE LICENÇA PARA FUNCIONAMENTO</t>
  </si>
  <si>
    <t>00/2022</t>
  </si>
  <si>
    <t>3573 - TAXA DE EXPEDIENTE DE SERVIÇOS DIVERSOS</t>
  </si>
  <si>
    <t>PARCELA 1</t>
  </si>
  <si>
    <t>5215 - MULTA FORMAL (ESPONTÂNE)</t>
  </si>
  <si>
    <t>PARCELA 2</t>
  </si>
  <si>
    <t>1023 - IMPOSTO PREDIAL URBANO IPTU</t>
  </si>
  <si>
    <t>PARCELA 7</t>
  </si>
  <si>
    <t>PARCELA 8</t>
  </si>
  <si>
    <t>PARCELA 9</t>
  </si>
  <si>
    <t>PAARCELA 5</t>
  </si>
  <si>
    <t>PARCELA 10</t>
  </si>
  <si>
    <t>PARCELA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</si>
</sst>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_(&quot;R$&quot;* #,##0.00_);_(&quot;R$&quot;* \(#,##0.00\);_(&quot;R$&quot;* &quot;-&quot;??_);_(@_)"/>
    <numFmt numFmtId="165" formatCode="&quot;R$&quot;\ #,##0.0"/>
    <numFmt numFmtId="166" formatCode="0.0%"/>
    <numFmt numFmtId="167" formatCode="&quot;R$&quot;#,##0.00"/>
    <numFmt numFmtId="168" formatCode="&quot;R$&quot;\ #,##0.00"/>
    <numFmt numFmtId="169" formatCode="0.0000000"/>
    <numFmt numFmtId="170" formatCode="0.0"/>
    <numFmt numFmtId="171" formatCode="_-[$R$-416]\ * #,##0.00_-;\-[$R$-416]\ * #,##0.00_-;_-[$R$-416]\ * &quot;-&quot;??_-;_-@_-"/>
    <numFmt numFmtId="172" formatCode="m/d/yyyy"/>
    <numFmt numFmtId="173" formatCode="&quot; &quot;00&quot;.&quot;000&quot;.&quot;000&quot;/&quot;0000\-00"/>
    <numFmt numFmtId="174" formatCode="#,##0_ ;\-#,##0\ "/>
    <numFmt numFmtId="175" formatCode="mm/yyyy"/>
  </numFmts>
  <fonts count="7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 tint="0.249977111117893"/>
      <name val="Calibri"/>
      <family val="2"/>
      <scheme val="minor"/>
    </font>
    <font>
      <b/>
      <sz val="26"/>
      <color theme="1" tint="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 tint="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36"/>
      <color theme="1" tint="0.249977111117893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.5"/>
      <name val="Calibri"/>
      <family val="2"/>
      <scheme val="minor"/>
    </font>
    <font>
      <sz val="11"/>
      <name val="Calibri"/>
      <family val="2"/>
    </font>
    <font>
      <sz val="8"/>
      <color rgb="FF000000"/>
      <name val="Segoe UI"/>
      <family val="2"/>
    </font>
    <font>
      <sz val="12"/>
      <color theme="6"/>
      <name val="Calibri"/>
      <family val="2"/>
      <scheme val="minor"/>
    </font>
    <font>
      <b/>
      <sz val="16"/>
      <color theme="6"/>
      <name val="Calibri"/>
      <family val="2"/>
      <scheme val="minor"/>
    </font>
    <font>
      <sz val="11"/>
      <color theme="6"/>
      <name val="Calibri"/>
      <family val="2"/>
      <scheme val="minor"/>
    </font>
    <font>
      <sz val="12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9"/>
      <color theme="2" tint="-0.74999237037263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i/>
      <sz val="8"/>
      <color theme="8" tint="-0.499984740745262"/>
      <name val="Calibri"/>
      <family val="2"/>
      <scheme val="minor"/>
    </font>
    <font>
      <b/>
      <i/>
      <sz val="8"/>
      <color theme="0"/>
      <name val="Calibri"/>
      <family val="2"/>
      <scheme val="minor"/>
    </font>
    <font>
      <sz val="11"/>
      <color theme="4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i/>
      <sz val="9"/>
      <color theme="8" tint="-0.499984740745262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color rgb="FF333333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ptos"/>
      <family val="2"/>
    </font>
    <font>
      <i/>
      <sz val="8"/>
      <color theme="2" tint="-0.499984740745262"/>
      <name val="Calibri"/>
      <family val="2"/>
      <scheme val="minor"/>
    </font>
    <font>
      <b/>
      <i/>
      <sz val="8"/>
      <color theme="2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Aptos Narrow"/>
      <family val="2"/>
    </font>
  </fonts>
  <fills count="2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FDDDD"/>
        <bgColor indexed="64"/>
      </patternFill>
    </fill>
    <fill>
      <patternFill patternType="solid">
        <fgColor rgb="FFEBE9E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55B03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0462E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theme="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</fills>
  <borders count="9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double">
        <color theme="0"/>
      </left>
      <right style="thin">
        <color theme="0"/>
      </right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 style="thin">
        <color theme="0"/>
      </right>
      <top style="double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1499984740745262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double">
        <color theme="0"/>
      </left>
      <right/>
      <top style="thin">
        <color rgb="FFFFFFFF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9847407452621"/>
      </left>
      <right/>
      <top/>
      <bottom style="thin">
        <color theme="0" tint="-0.14996795556505021"/>
      </bottom>
      <diagonal/>
    </border>
    <border>
      <left/>
      <right style="thin">
        <color theme="0" tint="-0.14999847407452621"/>
      </right>
      <top/>
      <bottom style="thin">
        <color theme="0" tint="-0.14996795556505021"/>
      </bottom>
      <diagonal/>
    </border>
    <border>
      <left style="double">
        <color theme="0"/>
      </left>
      <right style="thin">
        <color theme="0" tint="-0.14996795556505021"/>
      </right>
      <top style="double">
        <color theme="0"/>
      </top>
      <bottom style="thin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 style="thin">
        <color theme="0"/>
      </right>
      <top/>
      <bottom style="double">
        <color theme="0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/>
      </left>
      <right style="thin">
        <color theme="0"/>
      </right>
      <top/>
      <bottom style="double">
        <color rgb="FFFFFFF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double">
        <color theme="0"/>
      </left>
      <right style="thin">
        <color theme="0"/>
      </right>
      <top style="thin">
        <color rgb="FFFFFFFF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/>
      <top style="thin">
        <color theme="0" tint="-0.14993743705557422"/>
      </top>
      <bottom style="thin">
        <color theme="0" tint="-0.14999847407452621"/>
      </bottom>
      <diagonal/>
    </border>
    <border>
      <left/>
      <right/>
      <top style="thin">
        <color theme="0" tint="-0.14993743705557422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67955565050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9847407452621"/>
      </left>
      <right/>
      <top style="thin">
        <color theme="0" tint="-0.14996795556505021"/>
      </top>
      <bottom/>
      <diagonal/>
    </border>
    <border>
      <left style="double">
        <color theme="0"/>
      </left>
      <right/>
      <top style="thin">
        <color rgb="FFFFFFFF"/>
      </top>
      <bottom style="thick">
        <color theme="0"/>
      </bottom>
      <diagonal/>
    </border>
    <border>
      <left/>
      <right style="double">
        <color theme="0"/>
      </right>
      <top style="thin">
        <color rgb="FFFFFFFF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thin">
        <color theme="0"/>
      </left>
      <right style="thin">
        <color theme="0"/>
      </right>
      <top/>
      <bottom style="double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/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double">
        <color rgb="FFFFFFFF"/>
      </bottom>
      <diagonal/>
    </border>
    <border>
      <left style="thin">
        <color theme="0"/>
      </left>
      <right/>
      <top/>
      <bottom style="double">
        <color rgb="FFFFFFFF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theme="0"/>
      </left>
      <right style="thin">
        <color theme="0" tint="-0.14990691854609822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/>
    <xf numFmtId="0" fontId="4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659">
    <xf numFmtId="0" fontId="0" fillId="0" borderId="0" xfId="0"/>
    <xf numFmtId="0" fontId="0" fillId="0" borderId="0" xfId="0" applyAlignment="1">
      <alignment vertical="center"/>
    </xf>
    <xf numFmtId="0" fontId="4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5" fillId="4" borderId="0" xfId="0" applyFont="1" applyFill="1" applyAlignment="1">
      <alignment vertical="center"/>
    </xf>
    <xf numFmtId="0" fontId="1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64" fontId="0" fillId="0" borderId="0" xfId="1" applyFont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6" borderId="0" xfId="0" applyFill="1" applyAlignment="1">
      <alignment vertical="center" wrapText="1"/>
    </xf>
    <xf numFmtId="0" fontId="2" fillId="6" borderId="0" xfId="0" applyFont="1" applyFill="1" applyAlignment="1">
      <alignment vertical="center" wrapText="1"/>
    </xf>
    <xf numFmtId="166" fontId="18" fillId="0" borderId="34" xfId="2" applyNumberFormat="1" applyFont="1" applyFill="1" applyBorder="1" applyAlignment="1" applyProtection="1">
      <alignment vertical="center" wrapText="1"/>
    </xf>
    <xf numFmtId="0" fontId="0" fillId="0" borderId="34" xfId="0" applyBorder="1"/>
    <xf numFmtId="0" fontId="0" fillId="0" borderId="0" xfId="0" applyAlignment="1">
      <alignment horizontal="left" vertical="center" wrapText="1"/>
    </xf>
    <xf numFmtId="166" fontId="24" fillId="0" borderId="18" xfId="2" applyNumberFormat="1" applyFont="1" applyFill="1" applyBorder="1" applyAlignment="1" applyProtection="1">
      <alignment horizontal="right" vertical="center" indent="2"/>
    </xf>
    <xf numFmtId="0" fontId="0" fillId="0" borderId="0" xfId="0" applyAlignment="1">
      <alignment horizontal="right" indent="2"/>
    </xf>
    <xf numFmtId="0" fontId="21" fillId="0" borderId="68" xfId="0" applyFont="1" applyBorder="1" applyAlignment="1">
      <alignment vertical="center" wrapText="1"/>
    </xf>
    <xf numFmtId="0" fontId="27" fillId="0" borderId="0" xfId="0" applyFont="1"/>
    <xf numFmtId="0" fontId="28" fillId="0" borderId="0" xfId="0" applyFont="1"/>
    <xf numFmtId="0" fontId="0" fillId="4" borderId="0" xfId="0" applyFill="1" applyAlignment="1">
      <alignment horizontal="center" vertical="center" wrapText="1"/>
    </xf>
    <xf numFmtId="0" fontId="8" fillId="0" borderId="0" xfId="0" applyFont="1" applyAlignment="1" applyProtection="1">
      <alignment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8" fillId="2" borderId="0" xfId="0" applyFont="1" applyFill="1" applyAlignment="1">
      <alignment vertical="center" wrapText="1"/>
    </xf>
    <xf numFmtId="0" fontId="0" fillId="2" borderId="0" xfId="0" applyFill="1" applyAlignment="1">
      <alignment horizontal="center" vertical="center" wrapText="1"/>
    </xf>
    <xf numFmtId="0" fontId="1" fillId="2" borderId="0" xfId="0" applyFont="1" applyFill="1" applyAlignment="1">
      <alignment vertical="center" wrapText="1"/>
    </xf>
    <xf numFmtId="0" fontId="0" fillId="6" borderId="0" xfId="0" applyFill="1" applyAlignment="1">
      <alignment horizontal="center" vertical="center" wrapText="1"/>
    </xf>
    <xf numFmtId="0" fontId="1" fillId="6" borderId="0" xfId="0" applyFont="1" applyFill="1" applyAlignment="1">
      <alignment vertical="center" wrapText="1"/>
    </xf>
    <xf numFmtId="164" fontId="0" fillId="0" borderId="0" xfId="1" applyFont="1" applyAlignment="1" applyProtection="1">
      <alignment vertical="center" wrapText="1"/>
      <protection locked="0"/>
    </xf>
    <xf numFmtId="164" fontId="0" fillId="2" borderId="0" xfId="1" applyFont="1" applyFill="1" applyAlignment="1" applyProtection="1">
      <alignment vertical="center" wrapText="1"/>
    </xf>
    <xf numFmtId="164" fontId="0" fillId="6" borderId="0" xfId="1" applyFont="1" applyFill="1" applyAlignment="1" applyProtection="1">
      <alignment vertical="center" wrapText="1"/>
    </xf>
    <xf numFmtId="164" fontId="0" fillId="4" borderId="0" xfId="1" applyFont="1" applyFill="1" applyAlignment="1" applyProtection="1">
      <alignment vertical="center" wrapText="1"/>
    </xf>
    <xf numFmtId="164" fontId="2" fillId="6" borderId="1" xfId="1" applyFont="1" applyFill="1" applyBorder="1" applyAlignment="1" applyProtection="1">
      <alignment vertical="center" wrapText="1"/>
    </xf>
    <xf numFmtId="164" fontId="7" fillId="5" borderId="11" xfId="1" applyFont="1" applyFill="1" applyBorder="1" applyAlignment="1" applyProtection="1">
      <alignment horizontal="center" vertical="center" wrapText="1"/>
    </xf>
    <xf numFmtId="164" fontId="0" fillId="0" borderId="0" xfId="1" applyFont="1" applyAlignment="1" applyProtection="1">
      <alignment vertical="center" wrapText="1"/>
    </xf>
    <xf numFmtId="164" fontId="2" fillId="6" borderId="12" xfId="1" applyFont="1" applyFill="1" applyBorder="1" applyAlignment="1" applyProtection="1">
      <alignment horizontal="left" vertical="center" wrapText="1"/>
    </xf>
    <xf numFmtId="164" fontId="10" fillId="6" borderId="1" xfId="1" applyFont="1" applyFill="1" applyBorder="1" applyAlignment="1" applyProtection="1">
      <alignment vertical="center" wrapText="1"/>
    </xf>
    <xf numFmtId="164" fontId="2" fillId="6" borderId="13" xfId="1" applyFont="1" applyFill="1" applyBorder="1" applyAlignment="1" applyProtection="1">
      <alignment horizontal="left" vertical="center" wrapText="1"/>
    </xf>
    <xf numFmtId="9" fontId="0" fillId="0" borderId="0" xfId="2" applyFont="1" applyAlignment="1" applyProtection="1">
      <alignment horizontal="center" vertical="center" wrapText="1"/>
    </xf>
    <xf numFmtId="9" fontId="2" fillId="6" borderId="1" xfId="2" applyFont="1" applyFill="1" applyBorder="1" applyAlignment="1" applyProtection="1">
      <alignment horizontal="center" vertical="center" wrapText="1"/>
    </xf>
    <xf numFmtId="0" fontId="18" fillId="0" borderId="0" xfId="0" applyFont="1"/>
    <xf numFmtId="0" fontId="2" fillId="0" borderId="0" xfId="0" applyFont="1" applyAlignment="1">
      <alignment vertical="center"/>
    </xf>
    <xf numFmtId="164" fontId="11" fillId="12" borderId="15" xfId="1" applyFont="1" applyFill="1" applyBorder="1" applyAlignment="1" applyProtection="1">
      <alignment horizontal="left" vertical="center" wrapText="1"/>
    </xf>
    <xf numFmtId="164" fontId="2" fillId="6" borderId="15" xfId="1" applyFont="1" applyFill="1" applyBorder="1" applyAlignment="1" applyProtection="1">
      <alignment horizontal="left" vertical="center" wrapText="1"/>
    </xf>
    <xf numFmtId="0" fontId="2" fillId="2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0" fillId="2" borderId="0" xfId="1" applyFont="1" applyFill="1" applyAlignment="1" applyProtection="1">
      <alignment horizontal="left" vertical="center" wrapText="1"/>
    </xf>
    <xf numFmtId="0" fontId="0" fillId="2" borderId="0" xfId="0" applyFill="1" applyAlignment="1">
      <alignment horizontal="left" vertical="center" wrapText="1"/>
    </xf>
    <xf numFmtId="164" fontId="0" fillId="6" borderId="0" xfId="1" applyFont="1" applyFill="1" applyAlignment="1" applyProtection="1">
      <alignment horizontal="left" vertical="center" wrapText="1"/>
    </xf>
    <xf numFmtId="164" fontId="0" fillId="4" borderId="0" xfId="1" applyFont="1" applyFill="1" applyAlignment="1" applyProtection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164" fontId="0" fillId="2" borderId="0" xfId="1" applyFont="1" applyFill="1" applyAlignment="1" applyProtection="1">
      <alignment vertical="center"/>
    </xf>
    <xf numFmtId="164" fontId="4" fillId="2" borderId="0" xfId="1" applyFont="1" applyFill="1" applyAlignment="1" applyProtection="1">
      <alignment horizontal="left" vertical="center"/>
    </xf>
    <xf numFmtId="0" fontId="2" fillId="2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Alignment="1">
      <alignment horizontal="center" vertical="center"/>
    </xf>
    <xf numFmtId="164" fontId="0" fillId="6" borderId="0" xfId="1" applyFont="1" applyFill="1" applyAlignment="1" applyProtection="1">
      <alignment vertical="center"/>
    </xf>
    <xf numFmtId="164" fontId="4" fillId="6" borderId="0" xfId="1" applyFont="1" applyFill="1" applyAlignment="1" applyProtection="1">
      <alignment horizontal="left" vertical="center"/>
    </xf>
    <xf numFmtId="0" fontId="2" fillId="6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164" fontId="0" fillId="4" borderId="0" xfId="1" applyFont="1" applyFill="1" applyAlignment="1" applyProtection="1">
      <alignment vertical="center"/>
    </xf>
    <xf numFmtId="164" fontId="4" fillId="4" borderId="0" xfId="1" applyFont="1" applyFill="1" applyAlignment="1" applyProtection="1">
      <alignment horizontal="left" vertical="center"/>
    </xf>
    <xf numFmtId="0" fontId="15" fillId="0" borderId="0" xfId="0" applyFont="1" applyAlignment="1">
      <alignment horizontal="left" vertical="center"/>
    </xf>
    <xf numFmtId="164" fontId="15" fillId="0" borderId="0" xfId="1" applyFont="1" applyAlignment="1" applyProtection="1">
      <alignment horizontal="left" vertical="center"/>
    </xf>
    <xf numFmtId="164" fontId="2" fillId="0" borderId="0" xfId="1" applyFont="1" applyAlignment="1" applyProtection="1">
      <alignment vertical="center"/>
    </xf>
    <xf numFmtId="164" fontId="17" fillId="0" borderId="20" xfId="1" applyFont="1" applyBorder="1" applyAlignment="1" applyProtection="1">
      <alignment horizontal="center" vertical="center"/>
    </xf>
    <xf numFmtId="9" fontId="17" fillId="0" borderId="20" xfId="2" applyFont="1" applyBorder="1" applyAlignment="1" applyProtection="1">
      <alignment horizontal="center" vertical="center"/>
    </xf>
    <xf numFmtId="10" fontId="3" fillId="0" borderId="0" xfId="2" applyNumberFormat="1" applyFont="1" applyAlignment="1" applyProtection="1">
      <alignment horizontal="right" vertical="center"/>
    </xf>
    <xf numFmtId="164" fontId="0" fillId="0" borderId="0" xfId="1" applyFont="1" applyAlignment="1" applyProtection="1">
      <alignment vertical="center"/>
    </xf>
    <xf numFmtId="164" fontId="4" fillId="0" borderId="0" xfId="1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164" fontId="0" fillId="0" borderId="19" xfId="1" applyFont="1" applyBorder="1" applyAlignment="1" applyProtection="1">
      <alignment vertical="center"/>
    </xf>
    <xf numFmtId="0" fontId="2" fillId="4" borderId="0" xfId="0" applyFont="1" applyFill="1" applyAlignment="1">
      <alignment vertical="center"/>
    </xf>
    <xf numFmtId="164" fontId="14" fillId="0" borderId="20" xfId="1" applyFont="1" applyBorder="1" applyAlignment="1" applyProtection="1">
      <alignment horizontal="center" vertical="center"/>
    </xf>
    <xf numFmtId="10" fontId="3" fillId="0" borderId="24" xfId="2" applyNumberFormat="1" applyFont="1" applyBorder="1" applyAlignment="1" applyProtection="1">
      <alignment horizontal="right" vertical="center"/>
    </xf>
    <xf numFmtId="0" fontId="7" fillId="5" borderId="21" xfId="0" applyFont="1" applyFill="1" applyBorder="1" applyAlignment="1">
      <alignment horizontal="center" vertical="center"/>
    </xf>
    <xf numFmtId="164" fontId="14" fillId="0" borderId="25" xfId="1" applyFont="1" applyBorder="1" applyAlignment="1" applyProtection="1">
      <alignment horizontal="center" vertical="center"/>
    </xf>
    <xf numFmtId="164" fontId="0" fillId="0" borderId="26" xfId="1" applyFont="1" applyBorder="1" applyAlignment="1" applyProtection="1">
      <alignment vertical="center"/>
    </xf>
    <xf numFmtId="164" fontId="0" fillId="0" borderId="2" xfId="1" applyFont="1" applyBorder="1" applyAlignment="1" applyProtection="1">
      <alignment vertical="center"/>
    </xf>
    <xf numFmtId="164" fontId="4" fillId="4" borderId="0" xfId="1" applyFont="1" applyFill="1" applyAlignment="1" applyProtection="1">
      <alignment vertical="center"/>
    </xf>
    <xf numFmtId="164" fontId="0" fillId="4" borderId="34" xfId="1" applyFont="1" applyFill="1" applyBorder="1" applyAlignment="1" applyProtection="1">
      <alignment vertical="center" wrapText="1"/>
    </xf>
    <xf numFmtId="164" fontId="0" fillId="4" borderId="34" xfId="1" applyFont="1" applyFill="1" applyBorder="1" applyAlignment="1" applyProtection="1">
      <alignment vertical="center"/>
    </xf>
    <xf numFmtId="0" fontId="15" fillId="0" borderId="0" xfId="0" applyFont="1" applyAlignment="1">
      <alignment horizontal="left" vertical="center" wrapText="1"/>
    </xf>
    <xf numFmtId="0" fontId="0" fillId="0" borderId="27" xfId="0" applyBorder="1" applyAlignment="1">
      <alignment horizontal="center" vertical="center" wrapText="1"/>
    </xf>
    <xf numFmtId="164" fontId="0" fillId="0" borderId="28" xfId="1" applyFont="1" applyBorder="1" applyAlignment="1" applyProtection="1">
      <alignment vertical="center" wrapText="1"/>
    </xf>
    <xf numFmtId="164" fontId="0" fillId="0" borderId="27" xfId="1" quotePrefix="1" applyFont="1" applyBorder="1" applyAlignment="1" applyProtection="1">
      <alignment vertical="center" wrapText="1"/>
    </xf>
    <xf numFmtId="164" fontId="0" fillId="0" borderId="27" xfId="1" applyFont="1" applyBorder="1" applyAlignment="1" applyProtection="1">
      <alignment vertical="center" wrapText="1"/>
    </xf>
    <xf numFmtId="0" fontId="0" fillId="0" borderId="29" xfId="0" applyBorder="1" applyAlignment="1">
      <alignment horizontal="center" vertical="center" wrapText="1"/>
    </xf>
    <xf numFmtId="164" fontId="0" fillId="0" borderId="30" xfId="1" applyFont="1" applyBorder="1" applyAlignment="1" applyProtection="1">
      <alignment vertical="center" wrapText="1"/>
    </xf>
    <xf numFmtId="164" fontId="0" fillId="0" borderId="29" xfId="1" applyFont="1" applyBorder="1" applyAlignment="1" applyProtection="1">
      <alignment vertical="center" wrapText="1"/>
    </xf>
    <xf numFmtId="0" fontId="0" fillId="0" borderId="31" xfId="0" applyBorder="1" applyAlignment="1">
      <alignment horizontal="center" vertical="center" wrapText="1"/>
    </xf>
    <xf numFmtId="164" fontId="0" fillId="0" borderId="32" xfId="1" applyFont="1" applyBorder="1" applyAlignment="1" applyProtection="1">
      <alignment vertical="center" wrapText="1"/>
    </xf>
    <xf numFmtId="164" fontId="0" fillId="0" borderId="31" xfId="1" applyFont="1" applyBorder="1" applyAlignment="1" applyProtection="1">
      <alignment vertical="center" wrapText="1"/>
    </xf>
    <xf numFmtId="164" fontId="0" fillId="0" borderId="35" xfId="1" applyFont="1" applyBorder="1" applyAlignment="1" applyProtection="1">
      <alignment vertical="center" wrapText="1"/>
    </xf>
    <xf numFmtId="164" fontId="0" fillId="0" borderId="36" xfId="1" applyFont="1" applyBorder="1" applyAlignment="1" applyProtection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 applyProtection="1">
      <alignment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2" borderId="0" xfId="0" applyFont="1" applyFill="1" applyAlignment="1">
      <alignment vertical="center" wrapText="1"/>
    </xf>
    <xf numFmtId="0" fontId="12" fillId="2" borderId="0" xfId="0" applyFont="1" applyFill="1" applyAlignment="1">
      <alignment horizontal="center" vertical="center" wrapText="1"/>
    </xf>
    <xf numFmtId="0" fontId="12" fillId="6" borderId="0" xfId="0" applyFont="1" applyFill="1" applyAlignment="1">
      <alignment vertical="center" wrapText="1"/>
    </xf>
    <xf numFmtId="0" fontId="12" fillId="6" borderId="0" xfId="0" applyFont="1" applyFill="1" applyAlignment="1">
      <alignment horizontal="center" vertical="center" wrapText="1"/>
    </xf>
    <xf numFmtId="164" fontId="9" fillId="3" borderId="4" xfId="1" applyFont="1" applyFill="1" applyBorder="1" applyAlignment="1" applyProtection="1">
      <alignment vertical="center" wrapText="1"/>
    </xf>
    <xf numFmtId="164" fontId="9" fillId="3" borderId="60" xfId="1" applyFont="1" applyFill="1" applyBorder="1" applyAlignment="1" applyProtection="1">
      <alignment vertical="center" wrapText="1"/>
    </xf>
    <xf numFmtId="164" fontId="9" fillId="3" borderId="7" xfId="1" applyFont="1" applyFill="1" applyBorder="1" applyAlignment="1" applyProtection="1">
      <alignment vertical="center" wrapText="1"/>
    </xf>
    <xf numFmtId="0" fontId="29" fillId="0" borderId="0" xfId="0" applyFont="1"/>
    <xf numFmtId="164" fontId="0" fillId="3" borderId="5" xfId="1" applyFont="1" applyFill="1" applyBorder="1" applyAlignment="1" applyProtection="1">
      <alignment vertical="center" wrapText="1"/>
    </xf>
    <xf numFmtId="164" fontId="0" fillId="3" borderId="4" xfId="1" applyFont="1" applyFill="1" applyBorder="1" applyAlignment="1" applyProtection="1">
      <alignment vertical="center" wrapText="1"/>
    </xf>
    <xf numFmtId="0" fontId="12" fillId="4" borderId="0" xfId="0" applyFont="1" applyFill="1" applyAlignment="1">
      <alignment vertical="center" wrapText="1"/>
    </xf>
    <xf numFmtId="0" fontId="12" fillId="4" borderId="0" xfId="0" applyFont="1" applyFill="1" applyAlignment="1">
      <alignment horizontal="center" vertical="center" wrapText="1"/>
    </xf>
    <xf numFmtId="164" fontId="2" fillId="2" borderId="0" xfId="1" applyFont="1" applyFill="1" applyAlignment="1" applyProtection="1">
      <alignment vertical="center" wrapText="1"/>
    </xf>
    <xf numFmtId="164" fontId="2" fillId="6" borderId="0" xfId="1" applyFont="1" applyFill="1" applyAlignment="1" applyProtection="1">
      <alignment vertical="center" wrapText="1"/>
    </xf>
    <xf numFmtId="164" fontId="2" fillId="4" borderId="0" xfId="1" applyFont="1" applyFill="1" applyAlignment="1" applyProtection="1">
      <alignment vertical="center" wrapText="1"/>
    </xf>
    <xf numFmtId="0" fontId="0" fillId="2" borderId="0" xfId="1" applyNumberFormat="1" applyFont="1" applyFill="1" applyAlignment="1" applyProtection="1">
      <alignment horizontal="center" vertical="center"/>
    </xf>
    <xf numFmtId="0" fontId="0" fillId="6" borderId="0" xfId="1" applyNumberFormat="1" applyFont="1" applyFill="1" applyAlignment="1" applyProtection="1">
      <alignment horizontal="center" vertical="center"/>
    </xf>
    <xf numFmtId="0" fontId="0" fillId="4" borderId="0" xfId="1" applyNumberFormat="1" applyFont="1" applyFill="1" applyAlignment="1" applyProtection="1">
      <alignment horizontal="center" vertical="center"/>
    </xf>
    <xf numFmtId="164" fontId="30" fillId="9" borderId="15" xfId="0" applyNumberFormat="1" applyFont="1" applyFill="1" applyBorder="1" applyAlignment="1">
      <alignment horizontal="left" vertical="center" indent="1"/>
    </xf>
    <xf numFmtId="0" fontId="31" fillId="0" borderId="0" xfId="0" applyFont="1"/>
    <xf numFmtId="0" fontId="35" fillId="0" borderId="0" xfId="0" applyFont="1"/>
    <xf numFmtId="0" fontId="30" fillId="0" borderId="0" xfId="0" applyFont="1"/>
    <xf numFmtId="0" fontId="22" fillId="0" borderId="0" xfId="0" applyFont="1"/>
    <xf numFmtId="0" fontId="15" fillId="0" borderId="0" xfId="0" applyFont="1" applyAlignment="1">
      <alignment vertical="center"/>
    </xf>
    <xf numFmtId="164" fontId="15" fillId="0" borderId="0" xfId="1" applyFont="1" applyAlignment="1" applyProtection="1">
      <alignment vertical="center"/>
    </xf>
    <xf numFmtId="0" fontId="15" fillId="0" borderId="27" xfId="1" applyNumberFormat="1" applyFont="1" applyBorder="1" applyAlignment="1" applyProtection="1">
      <alignment horizontal="center" vertical="center"/>
    </xf>
    <xf numFmtId="164" fontId="15" fillId="0" borderId="33" xfId="1" applyFont="1" applyBorder="1" applyAlignment="1" applyProtection="1">
      <alignment horizontal="left" vertical="center"/>
    </xf>
    <xf numFmtId="164" fontId="2" fillId="0" borderId="33" xfId="1" applyFont="1" applyBorder="1" applyAlignment="1" applyProtection="1">
      <alignment vertical="center"/>
    </xf>
    <xf numFmtId="164" fontId="15" fillId="0" borderId="28" xfId="1" applyFont="1" applyBorder="1" applyAlignment="1" applyProtection="1">
      <alignment horizontal="left" vertical="center"/>
    </xf>
    <xf numFmtId="164" fontId="16" fillId="0" borderId="19" xfId="1" applyFont="1" applyBorder="1" applyAlignment="1" applyProtection="1">
      <alignment horizontal="center" vertical="center"/>
    </xf>
    <xf numFmtId="0" fontId="0" fillId="0" borderId="31" xfId="1" applyNumberFormat="1" applyFont="1" applyBorder="1" applyAlignment="1" applyProtection="1">
      <alignment horizontal="center" vertical="center"/>
    </xf>
    <xf numFmtId="164" fontId="0" fillId="0" borderId="14" xfId="1" applyFont="1" applyBorder="1" applyAlignment="1" applyProtection="1">
      <alignment vertical="center"/>
    </xf>
    <xf numFmtId="164" fontId="0" fillId="4" borderId="14" xfId="1" applyFont="1" applyFill="1" applyBorder="1" applyAlignment="1" applyProtection="1">
      <alignment vertical="center"/>
    </xf>
    <xf numFmtId="164" fontId="0" fillId="0" borderId="32" xfId="1" applyFont="1" applyBorder="1" applyAlignment="1" applyProtection="1">
      <alignment vertical="center"/>
    </xf>
    <xf numFmtId="0" fontId="0" fillId="0" borderId="27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64" fontId="0" fillId="0" borderId="28" xfId="1" applyFont="1" applyBorder="1" applyAlignment="1" applyProtection="1">
      <alignment vertical="center"/>
    </xf>
    <xf numFmtId="0" fontId="0" fillId="0" borderId="19" xfId="1" applyNumberFormat="1" applyFont="1" applyBorder="1" applyAlignment="1" applyProtection="1">
      <alignment horizontal="center" vertical="center"/>
    </xf>
    <xf numFmtId="164" fontId="0" fillId="11" borderId="19" xfId="1" applyFont="1" applyFill="1" applyBorder="1" applyAlignment="1" applyProtection="1">
      <alignment vertical="center" wrapText="1"/>
    </xf>
    <xf numFmtId="164" fontId="0" fillId="0" borderId="70" xfId="1" applyFont="1" applyBorder="1" applyAlignment="1" applyProtection="1">
      <alignment vertical="center"/>
    </xf>
    <xf numFmtId="164" fontId="0" fillId="0" borderId="43" xfId="1" applyFont="1" applyBorder="1" applyAlignment="1" applyProtection="1">
      <alignment vertical="center"/>
    </xf>
    <xf numFmtId="0" fontId="0" fillId="0" borderId="29" xfId="0" applyBorder="1" applyAlignment="1">
      <alignment horizontal="center" vertical="center"/>
    </xf>
    <xf numFmtId="164" fontId="0" fillId="0" borderId="30" xfId="1" applyFont="1" applyBorder="1" applyAlignment="1" applyProtection="1">
      <alignment vertical="center"/>
    </xf>
    <xf numFmtId="164" fontId="0" fillId="0" borderId="29" xfId="1" applyFont="1" applyBorder="1" applyAlignment="1" applyProtection="1">
      <alignment vertical="center"/>
    </xf>
    <xf numFmtId="164" fontId="0" fillId="0" borderId="69" xfId="1" applyFont="1" applyBorder="1" applyAlignment="1" applyProtection="1">
      <alignment vertical="center"/>
    </xf>
    <xf numFmtId="0" fontId="0" fillId="0" borderId="3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35" xfId="1" applyFont="1" applyBorder="1" applyAlignment="1" applyProtection="1">
      <alignment vertical="center"/>
    </xf>
    <xf numFmtId="164" fontId="0" fillId="0" borderId="40" xfId="1" applyFont="1" applyBorder="1" applyAlignment="1" applyProtection="1">
      <alignment vertical="center"/>
    </xf>
    <xf numFmtId="0" fontId="0" fillId="0" borderId="0" xfId="1" applyNumberFormat="1" applyFont="1" applyAlignment="1" applyProtection="1">
      <alignment horizontal="center" vertical="center"/>
    </xf>
    <xf numFmtId="0" fontId="1" fillId="0" borderId="0" xfId="0" applyFont="1" applyAlignment="1">
      <alignment vertical="center" wrapText="1"/>
    </xf>
    <xf numFmtId="0" fontId="1" fillId="2" borderId="0" xfId="0" applyFont="1" applyFill="1"/>
    <xf numFmtId="164" fontId="2" fillId="6" borderId="73" xfId="1" applyFont="1" applyFill="1" applyBorder="1" applyAlignment="1" applyProtection="1">
      <alignment vertical="center" wrapText="1"/>
    </xf>
    <xf numFmtId="0" fontId="0" fillId="0" borderId="0" xfId="1" applyNumberFormat="1" applyFont="1" applyAlignment="1" applyProtection="1">
      <alignment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2" borderId="0" xfId="1" applyNumberFormat="1" applyFont="1" applyFill="1" applyAlignment="1" applyProtection="1">
      <alignment vertical="center" wrapText="1"/>
    </xf>
    <xf numFmtId="3" fontId="2" fillId="6" borderId="0" xfId="0" applyNumberFormat="1" applyFont="1" applyFill="1" applyAlignment="1">
      <alignment vertical="center" wrapText="1"/>
    </xf>
    <xf numFmtId="0" fontId="2" fillId="6" borderId="0" xfId="1" applyNumberFormat="1" applyFont="1" applyFill="1" applyAlignment="1" applyProtection="1">
      <alignment vertical="center" wrapText="1"/>
    </xf>
    <xf numFmtId="0" fontId="2" fillId="6" borderId="0" xfId="0" applyFont="1" applyFill="1" applyAlignment="1">
      <alignment horizontal="left" vertical="center" wrapText="1"/>
    </xf>
    <xf numFmtId="0" fontId="0" fillId="4" borderId="0" xfId="1" applyNumberFormat="1" applyFont="1" applyFill="1" applyAlignment="1" applyProtection="1">
      <alignment vertical="center" wrapText="1"/>
    </xf>
    <xf numFmtId="9" fontId="37" fillId="6" borderId="4" xfId="2" applyFont="1" applyFill="1" applyBorder="1" applyAlignment="1" applyProtection="1">
      <alignment horizontal="center" vertical="center" wrapText="1"/>
    </xf>
    <xf numFmtId="9" fontId="37" fillId="6" borderId="60" xfId="2" applyFont="1" applyFill="1" applyBorder="1" applyAlignment="1" applyProtection="1">
      <alignment horizontal="center" vertical="center" wrapText="1"/>
    </xf>
    <xf numFmtId="164" fontId="9" fillId="6" borderId="1" xfId="1" applyFont="1" applyFill="1" applyBorder="1" applyAlignment="1" applyProtection="1">
      <alignment vertical="center" wrapText="1"/>
    </xf>
    <xf numFmtId="164" fontId="42" fillId="10" borderId="15" xfId="1" applyFont="1" applyFill="1" applyBorder="1" applyAlignment="1" applyProtection="1">
      <alignment horizontal="left" vertical="center" wrapText="1"/>
    </xf>
    <xf numFmtId="164" fontId="41" fillId="6" borderId="13" xfId="1" applyFont="1" applyFill="1" applyBorder="1" applyAlignment="1" applyProtection="1">
      <alignment horizontal="left" vertical="center" wrapText="1"/>
    </xf>
    <xf numFmtId="164" fontId="33" fillId="2" borderId="0" xfId="1" applyFont="1" applyFill="1" applyAlignment="1" applyProtection="1">
      <alignment vertical="center" wrapText="1"/>
    </xf>
    <xf numFmtId="164" fontId="32" fillId="2" borderId="0" xfId="0" applyNumberFormat="1" applyFont="1" applyFill="1" applyAlignment="1">
      <alignment vertical="center" wrapText="1"/>
    </xf>
    <xf numFmtId="164" fontId="6" fillId="2" borderId="0" xfId="1" applyFont="1" applyFill="1" applyAlignment="1" applyProtection="1">
      <alignment vertical="center" wrapText="1"/>
    </xf>
    <xf numFmtId="164" fontId="33" fillId="6" borderId="0" xfId="1" applyFont="1" applyFill="1" applyAlignment="1" applyProtection="1">
      <alignment vertical="center" wrapText="1"/>
    </xf>
    <xf numFmtId="164" fontId="32" fillId="6" borderId="0" xfId="0" applyNumberFormat="1" applyFont="1" applyFill="1" applyAlignment="1">
      <alignment vertical="center" wrapText="1"/>
    </xf>
    <xf numFmtId="164" fontId="6" fillId="6" borderId="0" xfId="1" applyFont="1" applyFill="1" applyAlignment="1" applyProtection="1">
      <alignment vertical="center" wrapText="1"/>
    </xf>
    <xf numFmtId="164" fontId="33" fillId="4" borderId="0" xfId="1" applyFont="1" applyFill="1" applyAlignment="1" applyProtection="1">
      <alignment vertical="center" wrapText="1"/>
    </xf>
    <xf numFmtId="164" fontId="32" fillId="4" borderId="0" xfId="0" applyNumberFormat="1" applyFont="1" applyFill="1" applyAlignment="1">
      <alignment vertical="center" wrapText="1"/>
    </xf>
    <xf numFmtId="164" fontId="7" fillId="5" borderId="51" xfId="1" applyFont="1" applyFill="1" applyBorder="1" applyAlignment="1" applyProtection="1">
      <alignment horizontal="center" vertical="center" wrapText="1"/>
    </xf>
    <xf numFmtId="164" fontId="33" fillId="3" borderId="7" xfId="1" applyFont="1" applyFill="1" applyBorder="1" applyAlignment="1" applyProtection="1">
      <alignment vertical="center" wrapText="1"/>
    </xf>
    <xf numFmtId="164" fontId="33" fillId="3" borderId="4" xfId="1" applyFont="1" applyFill="1" applyBorder="1" applyAlignment="1" applyProtection="1">
      <alignment vertical="center" wrapText="1"/>
    </xf>
    <xf numFmtId="164" fontId="33" fillId="3" borderId="45" xfId="1" applyFont="1" applyFill="1" applyBorder="1" applyAlignment="1" applyProtection="1">
      <alignment vertical="center" wrapText="1"/>
    </xf>
    <xf numFmtId="164" fontId="33" fillId="3" borderId="6" xfId="1" applyFont="1" applyFill="1" applyBorder="1" applyAlignment="1" applyProtection="1">
      <alignment vertical="center" wrapText="1"/>
    </xf>
    <xf numFmtId="164" fontId="2" fillId="0" borderId="0" xfId="1" applyFont="1" applyAlignment="1" applyProtection="1">
      <alignment vertical="center" wrapText="1"/>
    </xf>
    <xf numFmtId="164" fontId="32" fillId="13" borderId="15" xfId="1" applyFont="1" applyFill="1" applyBorder="1" applyAlignment="1" applyProtection="1">
      <alignment vertical="center" wrapText="1"/>
    </xf>
    <xf numFmtId="164" fontId="33" fillId="3" borderId="8" xfId="1" applyFont="1" applyFill="1" applyBorder="1" applyAlignment="1" applyProtection="1">
      <alignment vertical="center" wrapText="1"/>
    </xf>
    <xf numFmtId="164" fontId="33" fillId="3" borderId="5" xfId="1" applyFont="1" applyFill="1" applyBorder="1" applyAlignment="1" applyProtection="1">
      <alignment vertical="center" wrapText="1"/>
    </xf>
    <xf numFmtId="9" fontId="0" fillId="0" borderId="0" xfId="2" applyFont="1" applyAlignment="1" applyProtection="1">
      <alignment vertical="center" wrapText="1"/>
    </xf>
    <xf numFmtId="164" fontId="33" fillId="3" borderId="7" xfId="2" applyNumberFormat="1" applyFont="1" applyFill="1" applyBorder="1" applyAlignment="1" applyProtection="1">
      <alignment vertical="center" wrapText="1"/>
    </xf>
    <xf numFmtId="0" fontId="0" fillId="0" borderId="0" xfId="0" quotePrefix="1" applyAlignment="1">
      <alignment vertical="center" wrapText="1"/>
    </xf>
    <xf numFmtId="0" fontId="2" fillId="0" borderId="0" xfId="0" applyFont="1" applyAlignment="1">
      <alignment horizontal="left" vertical="center"/>
    </xf>
    <xf numFmtId="164" fontId="33" fillId="0" borderId="0" xfId="1" applyFont="1" applyAlignment="1" applyProtection="1">
      <alignment vertical="center" wrapText="1"/>
    </xf>
    <xf numFmtId="164" fontId="32" fillId="0" borderId="0" xfId="0" applyNumberFormat="1" applyFont="1" applyAlignment="1">
      <alignment vertical="center" wrapText="1"/>
    </xf>
    <xf numFmtId="164" fontId="30" fillId="9" borderId="19" xfId="1" applyFont="1" applyFill="1" applyBorder="1" applyAlignment="1" applyProtection="1">
      <alignment vertical="center" wrapText="1"/>
    </xf>
    <xf numFmtId="164" fontId="34" fillId="5" borderId="11" xfId="1" applyFont="1" applyFill="1" applyBorder="1" applyAlignment="1" applyProtection="1">
      <alignment horizontal="center" vertical="center" wrapText="1"/>
    </xf>
    <xf numFmtId="0" fontId="2" fillId="6" borderId="1" xfId="1" applyNumberFormat="1" applyFont="1" applyFill="1" applyBorder="1" applyAlignment="1" applyProtection="1">
      <alignment horizontal="left" vertical="center" wrapText="1"/>
    </xf>
    <xf numFmtId="0" fontId="2" fillId="6" borderId="65" xfId="1" applyNumberFormat="1" applyFont="1" applyFill="1" applyBorder="1" applyAlignment="1" applyProtection="1">
      <alignment horizontal="left" vertical="center" wrapText="1"/>
    </xf>
    <xf numFmtId="164" fontId="33" fillId="3" borderId="19" xfId="1" applyFont="1" applyFill="1" applyBorder="1" applyAlignment="1" applyProtection="1">
      <alignment vertical="center" wrapText="1"/>
    </xf>
    <xf numFmtId="164" fontId="34" fillId="5" borderId="1" xfId="1" applyFont="1" applyFill="1" applyBorder="1" applyAlignment="1" applyProtection="1">
      <alignment horizontal="center" vertical="center" wrapText="1"/>
    </xf>
    <xf numFmtId="0" fontId="32" fillId="0" borderId="0" xfId="0" applyFont="1" applyAlignment="1">
      <alignment vertical="center" wrapText="1"/>
    </xf>
    <xf numFmtId="0" fontId="7" fillId="5" borderId="46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>
      <alignment vertical="center" wrapText="1"/>
    </xf>
    <xf numFmtId="164" fontId="0" fillId="0" borderId="0" xfId="1" applyFont="1" applyAlignment="1" applyProtection="1">
      <alignment horizontal="left" vertical="center" wrapText="1"/>
    </xf>
    <xf numFmtId="0" fontId="8" fillId="0" borderId="45" xfId="0" applyFont="1" applyBorder="1" applyAlignment="1" applyProtection="1">
      <alignment vertical="center" wrapText="1"/>
      <protection locked="0"/>
    </xf>
    <xf numFmtId="164" fontId="0" fillId="0" borderId="0" xfId="1" applyFont="1" applyAlignment="1">
      <alignment horizontal="center" vertical="center" wrapText="1"/>
    </xf>
    <xf numFmtId="0" fontId="2" fillId="0" borderId="53" xfId="0" applyFont="1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48" xfId="0" applyBorder="1" applyAlignment="1">
      <alignment vertical="center" wrapText="1"/>
    </xf>
    <xf numFmtId="0" fontId="0" fillId="0" borderId="52" xfId="0" applyBorder="1" applyAlignment="1">
      <alignment vertical="center" wrapText="1"/>
    </xf>
    <xf numFmtId="164" fontId="6" fillId="0" borderId="0" xfId="1" applyFont="1" applyAlignment="1">
      <alignment vertical="center" wrapText="1"/>
    </xf>
    <xf numFmtId="10" fontId="0" fillId="0" borderId="0" xfId="2" applyNumberFormat="1" applyFont="1" applyAlignment="1">
      <alignment horizontal="center" vertical="center" wrapText="1"/>
    </xf>
    <xf numFmtId="0" fontId="0" fillId="0" borderId="55" xfId="0" applyBorder="1" applyAlignment="1">
      <alignment vertical="center" wrapText="1"/>
    </xf>
    <xf numFmtId="0" fontId="8" fillId="0" borderId="57" xfId="0" applyFont="1" applyBorder="1" applyAlignment="1">
      <alignment horizontal="left" vertical="center" wrapText="1"/>
    </xf>
    <xf numFmtId="0" fontId="8" fillId="0" borderId="57" xfId="0" applyFont="1" applyBorder="1" applyAlignment="1">
      <alignment horizontal="center" vertical="center" wrapText="1"/>
    </xf>
    <xf numFmtId="0" fontId="23" fillId="0" borderId="0" xfId="0" applyFont="1" applyAlignment="1">
      <alignment vertical="center" wrapText="1"/>
    </xf>
    <xf numFmtId="0" fontId="23" fillId="0" borderId="0" xfId="0" applyFont="1" applyAlignment="1">
      <alignment horizontal="center" vertical="center" wrapText="1"/>
    </xf>
    <xf numFmtId="170" fontId="23" fillId="0" borderId="0" xfId="0" applyNumberFormat="1" applyFont="1" applyAlignment="1">
      <alignment horizontal="center" vertical="center" wrapText="1"/>
    </xf>
    <xf numFmtId="164" fontId="23" fillId="4" borderId="0" xfId="1" applyFont="1" applyFill="1" applyBorder="1" applyAlignment="1" applyProtection="1">
      <alignment vertical="center" wrapText="1"/>
    </xf>
    <xf numFmtId="0" fontId="8" fillId="0" borderId="47" xfId="0" applyFont="1" applyBorder="1" applyAlignment="1">
      <alignment horizontal="left" vertical="center" wrapText="1"/>
    </xf>
    <xf numFmtId="0" fontId="8" fillId="0" borderId="47" xfId="0" applyFont="1" applyBorder="1" applyAlignment="1">
      <alignment horizontal="center" vertical="center" wrapText="1"/>
    </xf>
    <xf numFmtId="0" fontId="23" fillId="0" borderId="0" xfId="1" applyNumberFormat="1" applyFont="1" applyAlignment="1" applyProtection="1">
      <alignment horizontal="center" vertical="center" wrapText="1"/>
    </xf>
    <xf numFmtId="0" fontId="8" fillId="0" borderId="56" xfId="0" applyFont="1" applyBorder="1" applyAlignment="1">
      <alignment horizontal="left" vertical="center" wrapText="1"/>
    </xf>
    <xf numFmtId="0" fontId="8" fillId="0" borderId="56" xfId="0" applyFont="1" applyBorder="1" applyAlignment="1">
      <alignment horizontal="center" vertical="center" wrapText="1"/>
    </xf>
    <xf numFmtId="164" fontId="23" fillId="0" borderId="0" xfId="1" applyFont="1" applyAlignment="1" applyProtection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164" fontId="8" fillId="0" borderId="0" xfId="1" applyFont="1" applyAlignment="1" applyProtection="1">
      <alignment vertical="center" wrapText="1"/>
    </xf>
    <xf numFmtId="168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22" fillId="2" borderId="0" xfId="0" applyFont="1" applyFill="1" applyAlignment="1">
      <alignment vertical="center" wrapText="1"/>
    </xf>
    <xf numFmtId="0" fontId="22" fillId="6" borderId="0" xfId="0" applyFont="1" applyFill="1" applyAlignment="1">
      <alignment vertical="center" wrapText="1"/>
    </xf>
    <xf numFmtId="0" fontId="22" fillId="4" borderId="0" xfId="0" applyFont="1" applyFill="1" applyAlignment="1">
      <alignment vertical="center" wrapText="1"/>
    </xf>
    <xf numFmtId="0" fontId="22" fillId="0" borderId="0" xfId="0" applyFont="1" applyAlignment="1">
      <alignment vertical="center" wrapText="1"/>
    </xf>
    <xf numFmtId="0" fontId="2" fillId="15" borderId="0" xfId="0" applyFont="1" applyFill="1" applyAlignment="1">
      <alignment horizontal="center" vertical="center" wrapText="1"/>
    </xf>
    <xf numFmtId="164" fontId="4" fillId="0" borderId="0" xfId="1" applyFont="1" applyAlignment="1" applyProtection="1">
      <alignment horizontal="left" vertical="center" wrapText="1"/>
    </xf>
    <xf numFmtId="164" fontId="23" fillId="0" borderId="0" xfId="1" applyFont="1" applyAlignment="1" applyProtection="1">
      <alignment horizontal="right" vertical="center" wrapText="1"/>
    </xf>
    <xf numFmtId="164" fontId="23" fillId="0" borderId="0" xfId="1" applyFont="1" applyAlignment="1" applyProtection="1">
      <alignment vertical="center" wrapText="1"/>
    </xf>
    <xf numFmtId="0" fontId="2" fillId="14" borderId="0" xfId="0" applyFont="1" applyFill="1" applyAlignment="1">
      <alignment vertical="center" wrapText="1"/>
    </xf>
    <xf numFmtId="164" fontId="2" fillId="14" borderId="0" xfId="1" applyFont="1" applyFill="1" applyAlignment="1">
      <alignment vertical="center" wrapText="1"/>
    </xf>
    <xf numFmtId="0" fontId="2" fillId="14" borderId="0" xfId="0" applyFont="1" applyFill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vertical="center" wrapText="1"/>
    </xf>
    <xf numFmtId="0" fontId="7" fillId="0" borderId="58" xfId="0" applyFont="1" applyBorder="1" applyAlignment="1">
      <alignment horizontal="center" vertical="center" wrapText="1"/>
    </xf>
    <xf numFmtId="168" fontId="8" fillId="0" borderId="47" xfId="0" applyNumberFormat="1" applyFont="1" applyBorder="1" applyAlignment="1">
      <alignment vertical="center" wrapText="1"/>
    </xf>
    <xf numFmtId="168" fontId="2" fillId="16" borderId="47" xfId="0" applyNumberFormat="1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pivotButton="1" applyAlignment="1">
      <alignment vertical="center"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vertical="center" wrapText="1"/>
    </xf>
    <xf numFmtId="0" fontId="43" fillId="0" borderId="0" xfId="0" applyFont="1" applyAlignment="1" applyProtection="1">
      <alignment vertical="center"/>
      <protection locked="0"/>
    </xf>
    <xf numFmtId="0" fontId="35" fillId="0" borderId="0" xfId="0" applyFont="1" applyAlignment="1">
      <alignment horizontal="left" vertical="center"/>
    </xf>
    <xf numFmtId="0" fontId="8" fillId="2" borderId="0" xfId="0" applyFont="1" applyFill="1" applyAlignment="1">
      <alignment horizontal="left" vertical="center" wrapText="1" indent="1"/>
    </xf>
    <xf numFmtId="0" fontId="0" fillId="6" borderId="0" xfId="0" applyFill="1" applyAlignment="1">
      <alignment horizontal="left" vertical="center" wrapText="1" indent="1"/>
    </xf>
    <xf numFmtId="0" fontId="0" fillId="0" borderId="0" xfId="0" applyAlignment="1" applyProtection="1">
      <alignment horizontal="left" vertical="center" wrapText="1" indent="1"/>
      <protection locked="0"/>
    </xf>
    <xf numFmtId="164" fontId="12" fillId="2" borderId="0" xfId="1" applyFont="1" applyFill="1" applyAlignment="1" applyProtection="1">
      <alignment vertical="center" wrapText="1"/>
    </xf>
    <xf numFmtId="164" fontId="12" fillId="6" borderId="0" xfId="1" applyFont="1" applyFill="1" applyAlignment="1" applyProtection="1">
      <alignment vertical="center" wrapText="1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164" fontId="0" fillId="11" borderId="76" xfId="1" applyFont="1" applyFill="1" applyBorder="1" applyAlignment="1" applyProtection="1">
      <alignment vertical="center" wrapText="1"/>
      <protection locked="0"/>
    </xf>
    <xf numFmtId="0" fontId="45" fillId="5" borderId="11" xfId="0" applyFont="1" applyFill="1" applyBorder="1" applyAlignment="1">
      <alignment horizontal="left" vertical="center" wrapText="1"/>
    </xf>
    <xf numFmtId="0" fontId="12" fillId="4" borderId="0" xfId="0" applyFont="1" applyFill="1" applyAlignment="1">
      <alignment horizontal="center" vertical="center"/>
    </xf>
    <xf numFmtId="0" fontId="0" fillId="4" borderId="0" xfId="0" applyFill="1" applyAlignment="1" applyProtection="1">
      <alignment vertical="center" wrapText="1"/>
      <protection locked="0"/>
    </xf>
    <xf numFmtId="0" fontId="8" fillId="4" borderId="8" xfId="0" applyFont="1" applyFill="1" applyBorder="1" applyAlignment="1" applyProtection="1">
      <alignment vertical="center" wrapText="1"/>
      <protection locked="0"/>
    </xf>
    <xf numFmtId="0" fontId="8" fillId="0" borderId="7" xfId="0" applyFont="1" applyBorder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horizontal="center" vertical="center" wrapText="1"/>
      <protection locked="0"/>
    </xf>
    <xf numFmtId="0" fontId="7" fillId="0" borderId="0" xfId="0" applyFont="1" applyAlignment="1">
      <alignment vertical="center" wrapText="1"/>
    </xf>
    <xf numFmtId="0" fontId="0" fillId="0" borderId="0" xfId="0" pivotButton="1" applyAlignment="1">
      <alignment horizontal="left" vertical="center" wrapText="1"/>
    </xf>
    <xf numFmtId="164" fontId="0" fillId="2" borderId="0" xfId="1" applyFont="1" applyFill="1" applyAlignment="1" applyProtection="1">
      <alignment horizontal="center" vertical="center" wrapText="1"/>
    </xf>
    <xf numFmtId="164" fontId="0" fillId="6" borderId="0" xfId="1" applyFont="1" applyFill="1" applyAlignment="1" applyProtection="1">
      <alignment horizontal="center" vertical="center" wrapText="1"/>
    </xf>
    <xf numFmtId="164" fontId="0" fillId="4" borderId="0" xfId="1" applyFont="1" applyFill="1" applyAlignment="1" applyProtection="1">
      <alignment horizontal="center" vertical="center" wrapText="1"/>
    </xf>
    <xf numFmtId="0" fontId="15" fillId="0" borderId="0" xfId="0" applyFont="1" applyAlignment="1">
      <alignment horizontal="right" vertical="center"/>
    </xf>
    <xf numFmtId="0" fontId="2" fillId="14" borderId="0" xfId="0" applyFont="1" applyFill="1" applyAlignment="1">
      <alignment horizontal="center" vertical="center" wrapText="1"/>
    </xf>
    <xf numFmtId="14" fontId="0" fillId="0" borderId="2" xfId="0" applyNumberFormat="1" applyBorder="1" applyAlignment="1" applyProtection="1">
      <alignment horizontal="center" vertical="center" wrapText="1"/>
      <protection locked="0"/>
    </xf>
    <xf numFmtId="0" fontId="21" fillId="8" borderId="0" xfId="0" applyFont="1" applyFill="1" applyAlignment="1">
      <alignment vertical="center" wrapText="1"/>
    </xf>
    <xf numFmtId="164" fontId="12" fillId="0" borderId="0" xfId="1" applyFont="1" applyAlignment="1" applyProtection="1">
      <alignment vertical="center" wrapText="1"/>
    </xf>
    <xf numFmtId="0" fontId="0" fillId="0" borderId="54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164" fontId="8" fillId="4" borderId="0" xfId="1" applyFont="1" applyFill="1" applyAlignment="1" applyProtection="1">
      <alignment vertical="center"/>
    </xf>
    <xf numFmtId="9" fontId="0" fillId="0" borderId="0" xfId="2" applyFont="1" applyAlignment="1">
      <alignment vertical="center" wrapText="1"/>
    </xf>
    <xf numFmtId="0" fontId="12" fillId="0" borderId="0" xfId="0" applyFont="1" applyAlignment="1">
      <alignment vertical="center"/>
    </xf>
    <xf numFmtId="0" fontId="44" fillId="0" borderId="0" xfId="0" applyFont="1" applyAlignment="1">
      <alignment horizontal="left" vertical="center"/>
    </xf>
    <xf numFmtId="0" fontId="12" fillId="4" borderId="0" xfId="0" applyFont="1" applyFill="1" applyAlignment="1" applyProtection="1">
      <alignment horizontal="left" vertical="center"/>
      <protection locked="0"/>
    </xf>
    <xf numFmtId="0" fontId="46" fillId="0" borderId="78" xfId="0" applyFont="1" applyBorder="1" applyAlignment="1" applyProtection="1">
      <alignment vertical="center" wrapText="1"/>
      <protection locked="0"/>
    </xf>
    <xf numFmtId="0" fontId="46" fillId="0" borderId="7" xfId="0" applyFont="1" applyBorder="1" applyAlignment="1" applyProtection="1">
      <alignment vertical="center" wrapText="1"/>
      <protection locked="0"/>
    </xf>
    <xf numFmtId="0" fontId="46" fillId="4" borderId="79" xfId="0" applyFont="1" applyFill="1" applyBorder="1" applyAlignment="1" applyProtection="1">
      <alignment vertical="center" wrapText="1"/>
      <protection locked="0"/>
    </xf>
    <xf numFmtId="0" fontId="46" fillId="4" borderId="8" xfId="0" applyFont="1" applyFill="1" applyBorder="1" applyAlignment="1" applyProtection="1">
      <alignment vertical="center" wrapText="1"/>
      <protection locked="0"/>
    </xf>
    <xf numFmtId="0" fontId="46" fillId="0" borderId="74" xfId="0" applyFont="1" applyBorder="1" applyAlignment="1" applyProtection="1">
      <alignment vertical="center" wrapText="1"/>
      <protection locked="0"/>
    </xf>
    <xf numFmtId="0" fontId="46" fillId="0" borderId="45" xfId="0" applyFont="1" applyBorder="1" applyAlignment="1" applyProtection="1">
      <alignment vertical="center" wrapText="1"/>
      <protection locked="0"/>
    </xf>
    <xf numFmtId="0" fontId="7" fillId="5" borderId="82" xfId="0" applyFont="1" applyFill="1" applyBorder="1" applyAlignment="1" applyProtection="1">
      <alignment horizontal="center" vertical="center" wrapText="1"/>
      <protection locked="0"/>
    </xf>
    <xf numFmtId="0" fontId="0" fillId="0" borderId="0" xfId="2" applyNumberFormat="1" applyFont="1" applyAlignment="1" applyProtection="1">
      <alignment horizontal="left" vertical="center" wrapText="1"/>
      <protection locked="0"/>
    </xf>
    <xf numFmtId="0" fontId="46" fillId="4" borderId="79" xfId="0" applyFont="1" applyFill="1" applyBorder="1" applyAlignment="1" applyProtection="1">
      <alignment horizontal="left" vertical="center" wrapText="1"/>
      <protection locked="0"/>
    </xf>
    <xf numFmtId="0" fontId="46" fillId="0" borderId="78" xfId="0" applyFont="1" applyBorder="1" applyAlignment="1" applyProtection="1">
      <alignment horizontal="left" vertical="center" wrapText="1"/>
      <protection locked="0"/>
    </xf>
    <xf numFmtId="0" fontId="46" fillId="0" borderId="74" xfId="0" applyFont="1" applyBorder="1" applyAlignment="1" applyProtection="1">
      <alignment horizontal="left" vertical="center" wrapText="1"/>
      <protection locked="0"/>
    </xf>
    <xf numFmtId="14" fontId="0" fillId="2" borderId="0" xfId="1" applyNumberFormat="1" applyFont="1" applyFill="1" applyAlignment="1" applyProtection="1">
      <alignment horizontal="center" vertical="center" wrapText="1"/>
    </xf>
    <xf numFmtId="14" fontId="2" fillId="6" borderId="0" xfId="1" applyNumberFormat="1" applyFont="1" applyFill="1" applyAlignment="1" applyProtection="1">
      <alignment horizontal="center" vertical="center" wrapText="1"/>
    </xf>
    <xf numFmtId="14" fontId="0" fillId="4" borderId="0" xfId="1" applyNumberFormat="1" applyFont="1" applyFill="1" applyAlignment="1" applyProtection="1">
      <alignment horizontal="center" vertical="center" wrapText="1"/>
    </xf>
    <xf numFmtId="14" fontId="0" fillId="0" borderId="0" xfId="1" applyNumberFormat="1" applyFont="1" applyAlignment="1" applyProtection="1">
      <alignment horizontal="center" vertical="center" wrapText="1"/>
      <protection locked="0"/>
    </xf>
    <xf numFmtId="0" fontId="8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48" fillId="4" borderId="0" xfId="0" applyFont="1" applyFill="1" applyAlignment="1">
      <alignment vertical="center"/>
    </xf>
    <xf numFmtId="0" fontId="49" fillId="4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51" fillId="4" borderId="0" xfId="0" applyFont="1" applyFill="1" applyAlignment="1">
      <alignment vertical="center"/>
    </xf>
    <xf numFmtId="0" fontId="52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38" fillId="7" borderId="59" xfId="0" applyFont="1" applyFill="1" applyBorder="1" applyAlignment="1">
      <alignment vertical="center" wrapText="1"/>
    </xf>
    <xf numFmtId="164" fontId="2" fillId="7" borderId="59" xfId="1" applyFont="1" applyFill="1" applyBorder="1" applyAlignment="1" applyProtection="1">
      <alignment vertical="center" wrapText="1"/>
    </xf>
    <xf numFmtId="164" fontId="2" fillId="6" borderId="59" xfId="1" applyFont="1" applyFill="1" applyBorder="1" applyAlignment="1" applyProtection="1">
      <alignment vertical="center" wrapText="1"/>
    </xf>
    <xf numFmtId="164" fontId="2" fillId="7" borderId="59" xfId="0" applyNumberFormat="1" applyFont="1" applyFill="1" applyBorder="1" applyAlignment="1">
      <alignment vertical="center" wrapText="1"/>
    </xf>
    <xf numFmtId="0" fontId="8" fillId="0" borderId="8" xfId="0" applyFont="1" applyBorder="1" applyAlignment="1" applyProtection="1">
      <alignment horizontal="left" vertical="center" wrapText="1"/>
      <protection locked="0"/>
    </xf>
    <xf numFmtId="0" fontId="8" fillId="0" borderId="7" xfId="0" applyFont="1" applyBorder="1" applyAlignment="1" applyProtection="1">
      <alignment horizontal="left" vertical="center" wrapText="1"/>
      <protection locked="0"/>
    </xf>
    <xf numFmtId="164" fontId="53" fillId="0" borderId="0" xfId="1" applyFont="1" applyAlignment="1" applyProtection="1">
      <alignment vertical="center" wrapText="1"/>
    </xf>
    <xf numFmtId="164" fontId="54" fillId="15" borderId="15" xfId="1" applyFont="1" applyFill="1" applyBorder="1" applyAlignment="1" applyProtection="1">
      <alignment vertical="center" wrapText="1"/>
    </xf>
    <xf numFmtId="0" fontId="55" fillId="0" borderId="0" xfId="0" applyFont="1"/>
    <xf numFmtId="164" fontId="56" fillId="0" borderId="0" xfId="1" applyFont="1" applyAlignment="1" applyProtection="1">
      <alignment vertical="center" wrapText="1"/>
    </xf>
    <xf numFmtId="9" fontId="56" fillId="15" borderId="15" xfId="2" applyFont="1" applyFill="1" applyBorder="1" applyAlignment="1" applyProtection="1">
      <alignment horizontal="center" vertical="center" wrapText="1"/>
    </xf>
    <xf numFmtId="0" fontId="56" fillId="0" borderId="0" xfId="0" applyFont="1"/>
    <xf numFmtId="0" fontId="2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28" fillId="0" borderId="0" xfId="0" applyFont="1" applyAlignment="1">
      <alignment vertical="center" wrapText="1"/>
    </xf>
    <xf numFmtId="169" fontId="28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7" fillId="0" borderId="46" xfId="0" applyFont="1" applyBorder="1" applyAlignment="1" applyProtection="1">
      <alignment horizontal="center" vertical="center" wrapText="1"/>
      <protection locked="0"/>
    </xf>
    <xf numFmtId="164" fontId="12" fillId="2" borderId="0" xfId="1" applyFont="1" applyFill="1" applyAlignment="1" applyProtection="1">
      <alignment horizontal="center" vertical="center" wrapText="1"/>
    </xf>
    <xf numFmtId="164" fontId="12" fillId="6" borderId="0" xfId="1" applyFont="1" applyFill="1" applyAlignment="1" applyProtection="1">
      <alignment horizontal="center" vertical="center" wrapText="1"/>
    </xf>
    <xf numFmtId="0" fontId="28" fillId="0" borderId="0" xfId="0" applyFont="1" applyAlignment="1">
      <alignment vertical="center"/>
    </xf>
    <xf numFmtId="0" fontId="12" fillId="0" borderId="0" xfId="0" applyFont="1"/>
    <xf numFmtId="0" fontId="44" fillId="0" borderId="0" xfId="0" applyFont="1" applyAlignment="1">
      <alignment vertical="center"/>
    </xf>
    <xf numFmtId="0" fontId="44" fillId="0" borderId="0" xfId="0" applyFont="1"/>
    <xf numFmtId="0" fontId="57" fillId="0" borderId="0" xfId="0" applyFont="1" applyAlignment="1">
      <alignment vertical="center"/>
    </xf>
    <xf numFmtId="0" fontId="57" fillId="0" borderId="0" xfId="0" applyFont="1"/>
    <xf numFmtId="165" fontId="28" fillId="0" borderId="0" xfId="0" applyNumberFormat="1" applyFont="1" applyAlignment="1">
      <alignment horizontal="center" vertical="center"/>
    </xf>
    <xf numFmtId="165" fontId="28" fillId="0" borderId="0" xfId="0" applyNumberFormat="1" applyFont="1" applyAlignment="1">
      <alignment vertical="center"/>
    </xf>
    <xf numFmtId="164" fontId="28" fillId="0" borderId="0" xfId="1" applyFont="1" applyFill="1" applyBorder="1" applyAlignment="1" applyProtection="1">
      <alignment vertical="center"/>
    </xf>
    <xf numFmtId="165" fontId="44" fillId="0" borderId="0" xfId="0" applyNumberFormat="1" applyFont="1" applyAlignment="1">
      <alignment horizontal="center" vertical="center"/>
    </xf>
    <xf numFmtId="165" fontId="44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0" fontId="7" fillId="5" borderId="39" xfId="0" applyFont="1" applyFill="1" applyBorder="1" applyAlignment="1">
      <alignment horizontal="center" vertical="center" wrapText="1"/>
    </xf>
    <xf numFmtId="0" fontId="7" fillId="5" borderId="38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center" vertical="center" wrapText="1"/>
    </xf>
    <xf numFmtId="0" fontId="7" fillId="5" borderId="75" xfId="0" applyFont="1" applyFill="1" applyBorder="1" applyAlignment="1">
      <alignment horizontal="center" vertical="center" wrapText="1"/>
    </xf>
    <xf numFmtId="164" fontId="2" fillId="0" borderId="0" xfId="1" applyFont="1" applyAlignment="1" applyProtection="1">
      <alignment horizontal="left" vertical="center" wrapText="1"/>
    </xf>
    <xf numFmtId="164" fontId="18" fillId="0" borderId="0" xfId="1" applyFont="1" applyAlignment="1" applyProtection="1">
      <alignment horizontal="left" vertical="center" wrapText="1"/>
    </xf>
    <xf numFmtId="164" fontId="10" fillId="6" borderId="12" xfId="1" applyFont="1" applyFill="1" applyBorder="1" applyAlignment="1" applyProtection="1">
      <alignment horizontal="left" vertical="center" wrapText="1"/>
    </xf>
    <xf numFmtId="0" fontId="8" fillId="0" borderId="45" xfId="0" applyFont="1" applyBorder="1" applyAlignment="1" applyProtection="1">
      <alignment horizontal="left" vertical="center" wrapText="1"/>
      <protection locked="0"/>
    </xf>
    <xf numFmtId="0" fontId="59" fillId="0" borderId="0" xfId="0" applyFont="1" applyAlignment="1">
      <alignment horizontal="center" vertical="center"/>
    </xf>
    <xf numFmtId="164" fontId="33" fillId="11" borderId="19" xfId="1" applyFont="1" applyFill="1" applyBorder="1" applyAlignment="1" applyProtection="1">
      <alignment vertical="center"/>
    </xf>
    <xf numFmtId="0" fontId="7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172" fontId="0" fillId="0" borderId="0" xfId="0" applyNumberFormat="1" applyAlignment="1" applyProtection="1">
      <alignment horizontal="left" vertical="center" wrapText="1"/>
      <protection locked="0"/>
    </xf>
    <xf numFmtId="164" fontId="0" fillId="0" borderId="0" xfId="0" applyNumberFormat="1" applyAlignment="1">
      <alignment vertical="center" wrapText="1"/>
    </xf>
    <xf numFmtId="164" fontId="2" fillId="0" borderId="0" xfId="0" applyNumberFormat="1" applyFont="1" applyAlignment="1">
      <alignment vertical="center" wrapText="1"/>
    </xf>
    <xf numFmtId="14" fontId="0" fillId="0" borderId="0" xfId="0" applyNumberFormat="1" applyAlignment="1" applyProtection="1">
      <alignment vertical="center" wrapText="1"/>
      <protection locked="0"/>
    </xf>
    <xf numFmtId="14" fontId="12" fillId="0" borderId="0" xfId="0" applyNumberFormat="1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7" fillId="0" borderId="39" xfId="0" applyFont="1" applyBorder="1" applyAlignment="1" applyProtection="1">
      <alignment horizontal="center" vertical="center" wrapText="1"/>
      <protection locked="0"/>
    </xf>
    <xf numFmtId="14" fontId="7" fillId="0" borderId="39" xfId="0" applyNumberFormat="1" applyFont="1" applyBorder="1" applyAlignment="1" applyProtection="1">
      <alignment horizontal="center" vertical="center" wrapText="1"/>
      <protection locked="0"/>
    </xf>
    <xf numFmtId="0" fontId="7" fillId="0" borderId="80" xfId="0" applyFont="1" applyBorder="1" applyAlignment="1" applyProtection="1">
      <alignment horizontal="center" vertical="center" wrapText="1"/>
      <protection locked="0"/>
    </xf>
    <xf numFmtId="0" fontId="0" fillId="0" borderId="0" xfId="0" pivotButton="1" applyAlignment="1">
      <alignment vertical="center"/>
    </xf>
    <xf numFmtId="0" fontId="7" fillId="0" borderId="83" xfId="0" applyFont="1" applyBorder="1" applyAlignment="1" applyProtection="1">
      <alignment horizontal="center" vertical="center" wrapText="1"/>
      <protection locked="0"/>
    </xf>
    <xf numFmtId="164" fontId="8" fillId="0" borderId="0" xfId="1" applyFont="1" applyFill="1" applyAlignment="1" applyProtection="1">
      <alignment horizontal="center" vertical="center" wrapText="1"/>
      <protection locked="0"/>
    </xf>
    <xf numFmtId="164" fontId="8" fillId="0" borderId="0" xfId="0" applyNumberFormat="1" applyFont="1" applyAlignment="1" applyProtection="1">
      <alignment horizontal="center" vertical="center" wrapText="1"/>
      <protection locked="0"/>
    </xf>
    <xf numFmtId="14" fontId="60" fillId="0" borderId="37" xfId="0" applyNumberFormat="1" applyFont="1" applyBorder="1" applyAlignment="1" applyProtection="1">
      <alignment horizontal="center" vertical="center" wrapText="1"/>
      <protection locked="0"/>
    </xf>
    <xf numFmtId="14" fontId="2" fillId="0" borderId="4" xfId="1" applyNumberFormat="1" applyFont="1" applyFill="1" applyBorder="1" applyAlignment="1" applyProtection="1">
      <alignment horizontal="center" vertical="center" wrapText="1"/>
      <protection locked="0"/>
    </xf>
    <xf numFmtId="9" fontId="0" fillId="2" borderId="0" xfId="2" applyFont="1" applyFill="1" applyAlignment="1" applyProtection="1">
      <alignment horizontal="center" vertical="center" wrapText="1"/>
    </xf>
    <xf numFmtId="9" fontId="0" fillId="6" borderId="0" xfId="2" applyFont="1" applyFill="1" applyAlignment="1" applyProtection="1">
      <alignment horizontal="center" vertical="center" wrapText="1"/>
    </xf>
    <xf numFmtId="9" fontId="0" fillId="4" borderId="0" xfId="2" applyFont="1" applyFill="1" applyAlignment="1" applyProtection="1">
      <alignment horizontal="center" vertical="center" wrapText="1"/>
    </xf>
    <xf numFmtId="164" fontId="0" fillId="4" borderId="0" xfId="6" applyFont="1" applyFill="1" applyAlignment="1" applyProtection="1">
      <alignment vertical="center" wrapText="1"/>
    </xf>
    <xf numFmtId="164" fontId="0" fillId="0" borderId="0" xfId="0" applyNumberFormat="1" applyAlignment="1">
      <alignment vertical="center"/>
    </xf>
    <xf numFmtId="164" fontId="9" fillId="0" borderId="0" xfId="1" applyFont="1" applyAlignment="1" applyProtection="1">
      <alignment horizontal="center" vertical="center" wrapText="1"/>
    </xf>
    <xf numFmtId="14" fontId="0" fillId="0" borderId="85" xfId="0" applyNumberFormat="1" applyBorder="1" applyAlignment="1">
      <alignment horizontal="center" vertical="center" wrapText="1"/>
    </xf>
    <xf numFmtId="164" fontId="0" fillId="0" borderId="0" xfId="0" applyNumberFormat="1"/>
    <xf numFmtId="0" fontId="0" fillId="0" borderId="0" xfId="0" pivotButton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pivotButton="1" applyAlignment="1">
      <alignment horizontal="left"/>
    </xf>
    <xf numFmtId="164" fontId="10" fillId="0" borderId="0" xfId="1" applyFont="1" applyAlignment="1" applyProtection="1">
      <alignment horizontal="center" vertical="center" wrapText="1"/>
    </xf>
    <xf numFmtId="164" fontId="0" fillId="6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Continuous" vertical="center" wrapText="1"/>
    </xf>
    <xf numFmtId="164" fontId="2" fillId="17" borderId="0" xfId="0" applyNumberFormat="1" applyFont="1" applyFill="1" applyAlignment="1">
      <alignment vertical="center" wrapText="1"/>
    </xf>
    <xf numFmtId="0" fontId="0" fillId="0" borderId="0" xfId="0" applyAlignment="1">
      <alignment horizontal="left" indent="2"/>
    </xf>
    <xf numFmtId="164" fontId="9" fillId="6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left" indent="1"/>
    </xf>
    <xf numFmtId="164" fontId="0" fillId="2" borderId="0" xfId="0" applyNumberFormat="1" applyFill="1" applyAlignment="1">
      <alignment horizontal="center" vertical="center" wrapText="1"/>
    </xf>
    <xf numFmtId="0" fontId="63" fillId="0" borderId="7" xfId="0" applyFont="1" applyBorder="1" applyAlignment="1" applyProtection="1">
      <alignment vertical="center" wrapText="1"/>
      <protection locked="0"/>
    </xf>
    <xf numFmtId="0" fontId="64" fillId="0" borderId="7" xfId="0" applyFont="1" applyBorder="1" applyAlignment="1" applyProtection="1">
      <alignment vertical="center" wrapText="1"/>
      <protection locked="0"/>
    </xf>
    <xf numFmtId="0" fontId="64" fillId="0" borderId="78" xfId="0" applyFont="1" applyBorder="1" applyAlignment="1" applyProtection="1">
      <alignment vertical="center" wrapText="1"/>
      <protection locked="0"/>
    </xf>
    <xf numFmtId="0" fontId="64" fillId="0" borderId="78" xfId="0" applyFont="1" applyBorder="1" applyAlignment="1" applyProtection="1">
      <alignment horizontal="left" vertical="center" wrapText="1"/>
      <protection locked="0"/>
    </xf>
    <xf numFmtId="0" fontId="63" fillId="0" borderId="45" xfId="0" applyFont="1" applyBorder="1" applyAlignment="1" applyProtection="1">
      <alignment vertical="center" wrapText="1"/>
      <protection locked="0"/>
    </xf>
    <xf numFmtId="0" fontId="64" fillId="0" borderId="45" xfId="0" applyFont="1" applyBorder="1" applyAlignment="1" applyProtection="1">
      <alignment vertical="center" wrapText="1"/>
      <protection locked="0"/>
    </xf>
    <xf numFmtId="0" fontId="64" fillId="0" borderId="74" xfId="0" applyFont="1" applyBorder="1" applyAlignment="1" applyProtection="1">
      <alignment vertical="center" wrapText="1"/>
      <protection locked="0"/>
    </xf>
    <xf numFmtId="0" fontId="64" fillId="0" borderId="74" xfId="0" applyFont="1" applyBorder="1" applyAlignment="1" applyProtection="1">
      <alignment horizontal="left" vertical="center" wrapText="1"/>
      <protection locked="0"/>
    </xf>
    <xf numFmtId="164" fontId="0" fillId="0" borderId="0" xfId="1" applyFont="1" applyAlignment="1" applyProtection="1">
      <alignment horizontal="center" vertical="center" wrapText="1"/>
    </xf>
    <xf numFmtId="164" fontId="0" fillId="0" borderId="0" xfId="0" applyNumberFormat="1" applyAlignment="1">
      <alignment horizontal="center"/>
    </xf>
    <xf numFmtId="14" fontId="0" fillId="2" borderId="0" xfId="2" applyNumberFormat="1" applyFont="1" applyFill="1" applyAlignment="1" applyProtection="1">
      <alignment horizontal="center" vertical="center" wrapText="1"/>
    </xf>
    <xf numFmtId="14" fontId="33" fillId="6" borderId="0" xfId="1" applyNumberFormat="1" applyFont="1" applyFill="1" applyAlignment="1" applyProtection="1">
      <alignment horizontal="center" vertical="center" wrapText="1"/>
    </xf>
    <xf numFmtId="14" fontId="0" fillId="4" borderId="0" xfId="2" applyNumberFormat="1" applyFont="1" applyFill="1" applyAlignment="1" applyProtection="1">
      <alignment horizontal="center" vertical="center" wrapText="1"/>
    </xf>
    <xf numFmtId="14" fontId="0" fillId="2" borderId="0" xfId="0" applyNumberFormat="1" applyFill="1" applyAlignment="1">
      <alignment horizontal="center" vertical="center" wrapText="1"/>
    </xf>
    <xf numFmtId="14" fontId="0" fillId="6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center" vertical="center" wrapText="1"/>
    </xf>
    <xf numFmtId="14" fontId="12" fillId="0" borderId="0" xfId="0" applyNumberFormat="1" applyFont="1" applyAlignment="1">
      <alignment vertical="center" wrapText="1"/>
    </xf>
    <xf numFmtId="164" fontId="2" fillId="2" borderId="0" xfId="1" applyFont="1" applyFill="1" applyAlignment="1" applyProtection="1">
      <alignment horizontal="center" vertical="center" wrapText="1"/>
    </xf>
    <xf numFmtId="164" fontId="2" fillId="6" borderId="0" xfId="1" applyFont="1" applyFill="1" applyAlignment="1" applyProtection="1">
      <alignment horizontal="center" vertical="center" wrapText="1"/>
    </xf>
    <xf numFmtId="164" fontId="2" fillId="4" borderId="0" xfId="1" applyFont="1" applyFill="1" applyAlignment="1" applyProtection="1">
      <alignment horizontal="center" vertical="center" wrapText="1"/>
    </xf>
    <xf numFmtId="164" fontId="2" fillId="0" borderId="0" xfId="1" applyFont="1" applyAlignment="1" applyProtection="1">
      <alignment horizontal="center" vertical="center" wrapText="1"/>
    </xf>
    <xf numFmtId="14" fontId="0" fillId="2" borderId="0" xfId="0" applyNumberFormat="1" applyFill="1" applyAlignment="1">
      <alignment horizontal="left" vertical="center" wrapText="1"/>
    </xf>
    <xf numFmtId="14" fontId="0" fillId="6" borderId="0" xfId="0" applyNumberFormat="1" applyFill="1" applyAlignment="1">
      <alignment horizontal="left" vertical="center" wrapText="1"/>
    </xf>
    <xf numFmtId="14" fontId="0" fillId="4" borderId="0" xfId="0" applyNumberFormat="1" applyFill="1" applyAlignment="1">
      <alignment horizontal="left" vertical="center" wrapText="1"/>
    </xf>
    <xf numFmtId="164" fontId="0" fillId="6" borderId="0" xfId="1" applyFont="1" applyFill="1" applyAlignment="1">
      <alignment horizontal="center" vertical="center" wrapText="1"/>
    </xf>
    <xf numFmtId="9" fontId="33" fillId="0" borderId="0" xfId="2" applyFont="1" applyAlignment="1" applyProtection="1">
      <alignment vertical="center" wrapText="1"/>
    </xf>
    <xf numFmtId="0" fontId="39" fillId="0" borderId="0" xfId="2" applyNumberFormat="1" applyFont="1" applyAlignment="1" applyProtection="1">
      <alignment horizontal="left" vertical="center" wrapText="1"/>
      <protection locked="0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44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2" fillId="18" borderId="0" xfId="0" applyFont="1" applyFill="1" applyAlignment="1">
      <alignment horizontal="center" vertical="center" wrapText="1"/>
    </xf>
    <xf numFmtId="164" fontId="0" fillId="18" borderId="0" xfId="1" applyFont="1" applyFill="1" applyAlignment="1">
      <alignment vertical="center" wrapText="1"/>
    </xf>
    <xf numFmtId="164" fontId="9" fillId="0" borderId="4" xfId="1" applyFont="1" applyFill="1" applyBorder="1" applyAlignment="1" applyProtection="1">
      <alignment vertical="center" wrapText="1"/>
    </xf>
    <xf numFmtId="0" fontId="0" fillId="0" borderId="0" xfId="0" applyAlignment="1">
      <alignment vertical="center" indent="1"/>
    </xf>
    <xf numFmtId="164" fontId="1" fillId="2" borderId="0" xfId="1" applyFont="1" applyFill="1" applyAlignment="1" applyProtection="1">
      <alignment vertical="center" wrapText="1"/>
    </xf>
    <xf numFmtId="164" fontId="1" fillId="6" borderId="0" xfId="1" applyFont="1" applyFill="1" applyAlignment="1" applyProtection="1">
      <alignment vertical="center" wrapText="1"/>
    </xf>
    <xf numFmtId="0" fontId="6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62" fillId="0" borderId="0" xfId="0" applyFont="1" applyAlignment="1">
      <alignment horizontal="center" vertical="center"/>
    </xf>
    <xf numFmtId="0" fontId="66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2" fillId="0" borderId="0" xfId="0" applyFont="1" applyAlignment="1">
      <alignment vertical="center" wrapText="1"/>
    </xf>
    <xf numFmtId="0" fontId="62" fillId="0" borderId="0" xfId="0" applyFont="1" applyAlignment="1">
      <alignment horizontal="center" vertical="center" wrapText="1"/>
    </xf>
    <xf numFmtId="165" fontId="62" fillId="0" borderId="0" xfId="0" applyNumberFormat="1" applyFont="1" applyAlignment="1">
      <alignment vertical="center"/>
    </xf>
    <xf numFmtId="165" fontId="62" fillId="0" borderId="0" xfId="0" applyNumberFormat="1" applyFont="1" applyAlignment="1">
      <alignment horizontal="center" vertical="center"/>
    </xf>
    <xf numFmtId="165" fontId="65" fillId="0" borderId="0" xfId="0" applyNumberFormat="1" applyFont="1" applyAlignment="1">
      <alignment vertical="center"/>
    </xf>
    <xf numFmtId="165" fontId="65" fillId="0" borderId="0" xfId="0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0" borderId="86" xfId="0" applyFont="1" applyBorder="1" applyAlignment="1">
      <alignment vertical="center" wrapText="1"/>
    </xf>
    <xf numFmtId="0" fontId="0" fillId="0" borderId="84" xfId="0" applyBorder="1" applyAlignment="1">
      <alignment vertical="center" wrapText="1"/>
    </xf>
    <xf numFmtId="3" fontId="0" fillId="2" borderId="0" xfId="0" applyNumberFormat="1" applyFill="1" applyAlignment="1">
      <alignment vertical="center" wrapText="1"/>
    </xf>
    <xf numFmtId="3" fontId="0" fillId="4" borderId="0" xfId="0" applyNumberFormat="1" applyFill="1" applyAlignment="1">
      <alignment vertical="center" wrapText="1"/>
    </xf>
    <xf numFmtId="0" fontId="39" fillId="0" borderId="0" xfId="3" applyNumberFormat="1" applyAlignment="1" applyProtection="1">
      <alignment horizontal="left" vertical="center" wrapText="1"/>
      <protection locked="0"/>
    </xf>
    <xf numFmtId="0" fontId="39" fillId="0" borderId="0" xfId="3" applyAlignment="1" applyProtection="1">
      <alignment horizontal="left" vertical="center" wrapText="1"/>
      <protection locked="0"/>
    </xf>
    <xf numFmtId="3" fontId="0" fillId="0" borderId="0" xfId="0" applyNumberFormat="1" applyAlignment="1" applyProtection="1">
      <alignment vertical="center" wrapText="1"/>
      <protection locked="0"/>
    </xf>
    <xf numFmtId="3" fontId="7" fillId="0" borderId="0" xfId="4" applyNumberFormat="1" applyFont="1" applyAlignment="1" applyProtection="1">
      <alignment horizontal="center" vertical="center" wrapText="1"/>
      <protection locked="0"/>
    </xf>
    <xf numFmtId="0" fontId="7" fillId="0" borderId="0" xfId="4" applyFont="1" applyAlignment="1" applyProtection="1">
      <alignment horizontal="center" vertical="center" wrapText="1"/>
      <protection locked="0"/>
    </xf>
    <xf numFmtId="0" fontId="7" fillId="0" borderId="0" xfId="1" applyNumberFormat="1" applyFont="1" applyAlignment="1" applyProtection="1">
      <alignment horizontal="center" vertical="center" wrapText="1"/>
      <protection locked="0"/>
    </xf>
    <xf numFmtId="0" fontId="7" fillId="0" borderId="0" xfId="4" quotePrefix="1" applyFont="1" applyAlignment="1" applyProtection="1">
      <alignment horizontal="center" vertical="center" wrapText="1"/>
      <protection locked="0"/>
    </xf>
    <xf numFmtId="0" fontId="7" fillId="0" borderId="0" xfId="2" applyNumberFormat="1" applyFont="1" applyAlignment="1" applyProtection="1">
      <alignment horizontal="center" vertical="center" wrapText="1"/>
      <protection locked="0"/>
    </xf>
    <xf numFmtId="3" fontId="8" fillId="0" borderId="0" xfId="4" applyNumberFormat="1" applyFont="1" applyAlignment="1" applyProtection="1">
      <alignment horizontal="center" vertical="center" wrapText="1"/>
      <protection locked="0"/>
    </xf>
    <xf numFmtId="0" fontId="8" fillId="0" borderId="0" xfId="4" applyFont="1" applyAlignment="1" applyProtection="1">
      <alignment vertical="center" wrapText="1"/>
      <protection locked="0"/>
    </xf>
    <xf numFmtId="0" fontId="8" fillId="0" borderId="0" xfId="4" applyFont="1" applyAlignment="1" applyProtection="1">
      <alignment horizontal="center" vertical="center" wrapText="1"/>
      <protection locked="0"/>
    </xf>
    <xf numFmtId="0" fontId="8" fillId="0" borderId="0" xfId="4" applyFont="1" applyAlignment="1" applyProtection="1">
      <alignment horizontal="left" vertical="center" wrapText="1"/>
      <protection locked="0"/>
    </xf>
    <xf numFmtId="0" fontId="8" fillId="0" borderId="0" xfId="1" applyNumberFormat="1" applyFont="1" applyAlignment="1" applyProtection="1">
      <alignment vertical="center" wrapText="1"/>
      <protection locked="0"/>
    </xf>
    <xf numFmtId="0" fontId="8" fillId="0" borderId="0" xfId="2" applyNumberFormat="1" applyFont="1" applyAlignment="1" applyProtection="1">
      <alignment horizontal="left" vertical="center" wrapText="1"/>
      <protection locked="0"/>
    </xf>
    <xf numFmtId="0" fontId="0" fillId="2" borderId="0" xfId="2" applyNumberFormat="1" applyFont="1" applyFill="1" applyAlignment="1" applyProtection="1">
      <alignment vertical="center" wrapText="1"/>
    </xf>
    <xf numFmtId="0" fontId="2" fillId="6" borderId="0" xfId="2" applyNumberFormat="1" applyFont="1" applyFill="1" applyAlignment="1" applyProtection="1">
      <alignment vertical="center" wrapText="1"/>
    </xf>
    <xf numFmtId="0" fontId="0" fillId="4" borderId="0" xfId="2" applyNumberFormat="1" applyFont="1" applyFill="1" applyAlignment="1" applyProtection="1">
      <alignment vertical="center" wrapText="1"/>
    </xf>
    <xf numFmtId="0" fontId="8" fillId="0" borderId="0" xfId="1" applyNumberFormat="1" applyFont="1" applyAlignment="1" applyProtection="1">
      <alignment horizontal="left" vertical="center" wrapText="1"/>
      <protection locked="0"/>
    </xf>
    <xf numFmtId="0" fontId="68" fillId="0" borderId="0" xfId="0" applyFont="1" applyAlignment="1">
      <alignment vertical="center"/>
    </xf>
    <xf numFmtId="2" fontId="8" fillId="0" borderId="0" xfId="4" applyNumberFormat="1" applyFont="1" applyAlignment="1" applyProtection="1">
      <alignment vertical="center" wrapText="1"/>
      <protection locked="0"/>
    </xf>
    <xf numFmtId="0" fontId="8" fillId="0" borderId="77" xfId="4" applyFont="1" applyBorder="1" applyAlignment="1" applyProtection="1">
      <alignment vertical="center" wrapText="1"/>
      <protection locked="0"/>
    </xf>
    <xf numFmtId="173" fontId="8" fillId="0" borderId="0" xfId="4" applyNumberFormat="1" applyFont="1" applyAlignment="1" applyProtection="1">
      <alignment vertical="center" wrapText="1"/>
      <protection locked="0"/>
    </xf>
    <xf numFmtId="0" fontId="0" fillId="0" borderId="0" xfId="2" applyNumberFormat="1" applyFont="1" applyAlignment="1" applyProtection="1">
      <alignment vertical="center" wrapText="1"/>
      <protection locked="0"/>
    </xf>
    <xf numFmtId="14" fontId="7" fillId="0" borderId="0" xfId="1" applyNumberFormat="1" applyFont="1" applyFill="1" applyAlignment="1" applyProtection="1">
      <alignment horizontal="center" vertical="center" wrapText="1"/>
      <protection locked="0"/>
    </xf>
    <xf numFmtId="164" fontId="7" fillId="0" borderId="0" xfId="1" applyFont="1" applyFill="1" applyAlignment="1" applyProtection="1">
      <alignment horizontal="center" vertical="center" wrapText="1"/>
      <protection locked="0"/>
    </xf>
    <xf numFmtId="0" fontId="8" fillId="14" borderId="0" xfId="4" applyFont="1" applyFill="1" applyAlignment="1" applyProtection="1">
      <alignment horizontal="center" vertical="center" wrapText="1"/>
      <protection locked="0"/>
    </xf>
    <xf numFmtId="0" fontId="8" fillId="14" borderId="0" xfId="4" applyFont="1" applyFill="1" applyAlignment="1" applyProtection="1">
      <alignment vertical="center" wrapText="1"/>
      <protection locked="0"/>
    </xf>
    <xf numFmtId="14" fontId="8" fillId="0" borderId="0" xfId="4" applyNumberFormat="1" applyFont="1" applyAlignment="1" applyProtection="1">
      <alignment horizontal="center" vertical="center" wrapText="1"/>
      <protection locked="0"/>
    </xf>
    <xf numFmtId="171" fontId="8" fillId="0" borderId="0" xfId="1" applyNumberFormat="1" applyFont="1" applyFill="1" applyAlignment="1" applyProtection="1">
      <alignment vertical="center" wrapText="1"/>
      <protection locked="0"/>
    </xf>
    <xf numFmtId="0" fontId="0" fillId="0" borderId="0" xfId="0" applyAlignment="1">
      <alignment wrapText="1"/>
    </xf>
    <xf numFmtId="0" fontId="0" fillId="0" borderId="87" xfId="0" applyBorder="1" applyAlignment="1">
      <alignment vertical="center" wrapText="1"/>
    </xf>
    <xf numFmtId="0" fontId="70" fillId="0" borderId="0" xfId="0" applyFont="1" applyAlignment="1">
      <alignment vertical="center"/>
    </xf>
    <xf numFmtId="3" fontId="8" fillId="0" borderId="0" xfId="4" applyNumberFormat="1" applyFont="1" applyAlignment="1" applyProtection="1">
      <alignment vertical="center" wrapText="1"/>
      <protection locked="0"/>
    </xf>
    <xf numFmtId="0" fontId="6" fillId="0" borderId="0" xfId="1" applyNumberFormat="1" applyFont="1" applyAlignment="1" applyProtection="1">
      <alignment vertical="center" wrapText="1"/>
      <protection locked="0"/>
    </xf>
    <xf numFmtId="164" fontId="71" fillId="0" borderId="0" xfId="1" applyFont="1" applyAlignment="1" applyProtection="1">
      <alignment vertical="center" wrapText="1"/>
    </xf>
    <xf numFmtId="164" fontId="72" fillId="6" borderId="13" xfId="1" applyFont="1" applyFill="1" applyBorder="1" applyAlignment="1" applyProtection="1">
      <alignment horizontal="left" vertical="center" wrapText="1"/>
    </xf>
    <xf numFmtId="164" fontId="71" fillId="3" borderId="4" xfId="1" applyFont="1" applyFill="1" applyBorder="1" applyAlignment="1" applyProtection="1">
      <alignment vertical="center" wrapText="1"/>
    </xf>
    <xf numFmtId="164" fontId="72" fillId="6" borderId="1" xfId="1" applyFont="1" applyFill="1" applyBorder="1" applyAlignment="1" applyProtection="1">
      <alignment vertical="center" wrapText="1"/>
    </xf>
    <xf numFmtId="0" fontId="1" fillId="4" borderId="0" xfId="0" applyFont="1" applyFill="1" applyAlignment="1">
      <alignment horizontal="center"/>
    </xf>
    <xf numFmtId="0" fontId="73" fillId="0" borderId="0" xfId="0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3" fillId="0" borderId="0" xfId="0" quotePrefix="1" applyFont="1" applyAlignment="1">
      <alignment horizontal="center" vertical="center"/>
    </xf>
    <xf numFmtId="0" fontId="40" fillId="0" borderId="0" xfId="4" applyAlignment="1" applyProtection="1">
      <alignment vertical="center" wrapText="1"/>
      <protection locked="0"/>
    </xf>
    <xf numFmtId="0" fontId="46" fillId="4" borderId="79" xfId="0" applyFont="1" applyFill="1" applyBorder="1" applyAlignment="1" applyProtection="1">
      <alignment horizontal="center" vertical="center" wrapText="1"/>
      <protection locked="0"/>
    </xf>
    <xf numFmtId="0" fontId="46" fillId="0" borderId="78" xfId="0" applyFont="1" applyBorder="1" applyAlignment="1" applyProtection="1">
      <alignment horizontal="center" vertical="center" wrapText="1"/>
      <protection locked="0"/>
    </xf>
    <xf numFmtId="0" fontId="46" fillId="0" borderId="7" xfId="0" applyFont="1" applyBorder="1" applyAlignment="1" applyProtection="1">
      <alignment horizontal="center" vertical="center" wrapText="1"/>
      <protection locked="0"/>
    </xf>
    <xf numFmtId="0" fontId="46" fillId="0" borderId="74" xfId="0" applyFont="1" applyBorder="1" applyAlignment="1" applyProtection="1">
      <alignment horizontal="center" vertical="center" wrapText="1"/>
      <protection locked="0"/>
    </xf>
    <xf numFmtId="0" fontId="64" fillId="0" borderId="7" xfId="0" applyFont="1" applyBorder="1" applyAlignment="1" applyProtection="1">
      <alignment horizontal="center" vertical="center" wrapText="1"/>
      <protection locked="0"/>
    </xf>
    <xf numFmtId="0" fontId="64" fillId="0" borderId="45" xfId="0" applyFont="1" applyBorder="1" applyAlignment="1" applyProtection="1">
      <alignment horizontal="center" vertical="center" wrapText="1"/>
      <protection locked="0"/>
    </xf>
    <xf numFmtId="172" fontId="8" fillId="0" borderId="0" xfId="4" applyNumberFormat="1" applyFont="1" applyAlignment="1" applyProtection="1">
      <alignment horizontal="center" vertical="center" wrapText="1"/>
      <protection locked="0"/>
    </xf>
    <xf numFmtId="14" fontId="9" fillId="0" borderId="2" xfId="0" applyNumberFormat="1" applyFont="1" applyBorder="1" applyAlignment="1" applyProtection="1">
      <alignment horizontal="center" vertical="center" wrapText="1"/>
      <protection locked="0"/>
    </xf>
    <xf numFmtId="172" fontId="9" fillId="0" borderId="0" xfId="0" applyNumberFormat="1" applyFont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horizontal="left" vertical="center" wrapText="1"/>
      <protection locked="0"/>
    </xf>
    <xf numFmtId="0" fontId="9" fillId="0" borderId="4" xfId="0" applyFont="1" applyBorder="1" applyAlignment="1" applyProtection="1">
      <alignment horizontal="left" vertical="center" wrapText="1"/>
      <protection locked="0"/>
    </xf>
    <xf numFmtId="164" fontId="9" fillId="0" borderId="4" xfId="1" applyFont="1" applyBorder="1" applyAlignment="1" applyProtection="1">
      <alignment vertical="center" wrapText="1"/>
      <protection locked="0"/>
    </xf>
    <xf numFmtId="3" fontId="9" fillId="0" borderId="0" xfId="0" applyNumberFormat="1" applyFont="1" applyAlignment="1" applyProtection="1">
      <alignment horizontal="center" vertical="center" wrapText="1"/>
      <protection locked="0"/>
    </xf>
    <xf numFmtId="172" fontId="9" fillId="0" borderId="77" xfId="0" applyNumberFormat="1" applyFont="1" applyBorder="1" applyAlignment="1" applyProtection="1">
      <alignment horizontal="left" vertical="center" wrapText="1"/>
      <protection locked="0"/>
    </xf>
    <xf numFmtId="164" fontId="9" fillId="0" borderId="6" xfId="1" applyFont="1" applyBorder="1" applyAlignment="1" applyProtection="1">
      <alignment vertical="center" wrapText="1"/>
      <protection locked="0"/>
    </xf>
    <xf numFmtId="164" fontId="9" fillId="14" borderId="4" xfId="1" applyFont="1" applyFill="1" applyBorder="1" applyAlignment="1" applyProtection="1">
      <alignment vertical="center" wrapText="1"/>
    </xf>
    <xf numFmtId="14" fontId="9" fillId="0" borderId="2" xfId="1" applyNumberFormat="1" applyFont="1" applyFill="1" applyBorder="1" applyAlignment="1" applyProtection="1">
      <alignment horizontal="center" vertical="center" wrapText="1"/>
      <protection locked="0"/>
    </xf>
    <xf numFmtId="172" fontId="9" fillId="14" borderId="5" xfId="1" applyNumberFormat="1" applyFont="1" applyFill="1" applyBorder="1" applyAlignment="1" applyProtection="1">
      <alignment horizontal="center" vertical="center" wrapText="1"/>
    </xf>
    <xf numFmtId="14" fontId="9" fillId="0" borderId="2" xfId="1" applyNumberFormat="1" applyFont="1" applyBorder="1" applyAlignment="1" applyProtection="1">
      <alignment horizontal="center" vertical="center" wrapText="1"/>
      <protection locked="0"/>
    </xf>
    <xf numFmtId="164" fontId="9" fillId="0" borderId="4" xfId="1" applyFont="1" applyFill="1" applyBorder="1" applyAlignment="1" applyProtection="1">
      <alignment vertical="center" wrapText="1"/>
      <protection locked="0"/>
    </xf>
    <xf numFmtId="164" fontId="9" fillId="0" borderId="0" xfId="1" applyFont="1" applyFill="1" applyBorder="1" applyAlignment="1" applyProtection="1">
      <alignment vertical="center" wrapText="1"/>
      <protection locked="0"/>
    </xf>
    <xf numFmtId="164" fontId="10" fillId="8" borderId="0" xfId="0" applyNumberFormat="1" applyFont="1" applyFill="1" applyAlignment="1">
      <alignment horizontal="center" vertical="center" wrapText="1"/>
    </xf>
    <xf numFmtId="164" fontId="60" fillId="8" borderId="0" xfId="0" applyNumberFormat="1" applyFont="1" applyFill="1" applyAlignment="1">
      <alignment horizontal="center" vertical="center" wrapText="1"/>
    </xf>
    <xf numFmtId="164" fontId="75" fillId="14" borderId="0" xfId="0" applyNumberFormat="1" applyFont="1" applyFill="1" applyAlignment="1">
      <alignment horizontal="center" vertical="center" wrapText="1"/>
    </xf>
    <xf numFmtId="0" fontId="75" fillId="14" borderId="0" xfId="0" applyFont="1" applyFill="1" applyAlignment="1">
      <alignment horizontal="left" vertical="center" wrapText="1"/>
    </xf>
    <xf numFmtId="0" fontId="75" fillId="8" borderId="0" xfId="0" applyFont="1" applyFill="1" applyAlignment="1" applyProtection="1">
      <alignment horizontal="center" vertical="center" wrapText="1"/>
      <protection locked="0"/>
    </xf>
    <xf numFmtId="164" fontId="75" fillId="8" borderId="0" xfId="0" applyNumberFormat="1" applyFont="1" applyFill="1" applyAlignment="1" applyProtection="1">
      <alignment horizontal="center" vertical="center" wrapText="1"/>
      <protection locked="0"/>
    </xf>
    <xf numFmtId="0" fontId="75" fillId="14" borderId="0" xfId="0" applyFont="1" applyFill="1" applyAlignment="1">
      <alignment horizontal="center" vertical="center" wrapText="1"/>
    </xf>
    <xf numFmtId="0" fontId="75" fillId="14" borderId="0" xfId="1" applyNumberFormat="1" applyFont="1" applyFill="1" applyBorder="1" applyAlignment="1" applyProtection="1">
      <alignment horizontal="center" vertical="center" wrapText="1"/>
    </xf>
    <xf numFmtId="14" fontId="9" fillId="0" borderId="4" xfId="1" applyNumberFormat="1" applyFont="1" applyFill="1" applyBorder="1" applyAlignment="1" applyProtection="1">
      <alignment horizontal="center" vertical="center" wrapText="1"/>
      <protection locked="0"/>
    </xf>
    <xf numFmtId="172" fontId="9" fillId="0" borderId="4" xfId="1" applyNumberFormat="1" applyFont="1" applyFill="1" applyBorder="1" applyAlignment="1" applyProtection="1">
      <alignment vertical="center" wrapText="1"/>
      <protection locked="0"/>
    </xf>
    <xf numFmtId="14" fontId="9" fillId="0" borderId="4" xfId="1" applyNumberFormat="1" applyFont="1" applyBorder="1" applyAlignment="1" applyProtection="1">
      <alignment horizontal="center" vertical="center" wrapText="1"/>
      <protection locked="0"/>
    </xf>
    <xf numFmtId="49" fontId="9" fillId="0" borderId="4" xfId="1" applyNumberFormat="1" applyFont="1" applyFill="1" applyBorder="1" applyAlignment="1" applyProtection="1">
      <alignment vertical="center" wrapText="1"/>
      <protection locked="0"/>
    </xf>
    <xf numFmtId="14" fontId="9" fillId="0" borderId="0" xfId="1" applyNumberFormat="1" applyFont="1" applyFill="1" applyBorder="1" applyAlignment="1" applyProtection="1">
      <alignment horizontal="center" vertical="center" wrapText="1"/>
      <protection locked="0"/>
    </xf>
    <xf numFmtId="14" fontId="9" fillId="0" borderId="0" xfId="1" applyNumberFormat="1" applyFont="1" applyBorder="1" applyAlignment="1" applyProtection="1">
      <alignment horizontal="center" vertical="center" wrapText="1"/>
      <protection locked="0"/>
    </xf>
    <xf numFmtId="14" fontId="9" fillId="0" borderId="4" xfId="0" applyNumberFormat="1" applyFont="1" applyBorder="1" applyAlignment="1" applyProtection="1">
      <alignment horizontal="center" vertical="center" wrapText="1"/>
      <protection locked="0"/>
    </xf>
    <xf numFmtId="172" fontId="9" fillId="0" borderId="2" xfId="0" applyNumberFormat="1" applyFont="1" applyBorder="1" applyAlignment="1" applyProtection="1">
      <alignment horizontal="left" vertical="center" wrapText="1"/>
      <protection locked="0"/>
    </xf>
    <xf numFmtId="49" fontId="9" fillId="0" borderId="0" xfId="0" applyNumberFormat="1" applyFont="1" applyAlignment="1" applyProtection="1">
      <alignment horizontal="left" vertical="center" wrapText="1"/>
      <protection locked="0"/>
    </xf>
    <xf numFmtId="174" fontId="9" fillId="0" borderId="0" xfId="0" applyNumberFormat="1" applyFont="1" applyAlignment="1" applyProtection="1">
      <alignment horizontal="center" vertical="center" wrapText="1"/>
      <protection locked="0"/>
    </xf>
    <xf numFmtId="14" fontId="9" fillId="0" borderId="26" xfId="0" applyNumberFormat="1" applyFont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left" vertical="center" wrapText="1"/>
      <protection locked="0"/>
    </xf>
    <xf numFmtId="14" fontId="9" fillId="0" borderId="6" xfId="1" applyNumberFormat="1" applyFont="1" applyFill="1" applyBorder="1" applyAlignment="1" applyProtection="1">
      <alignment horizontal="center" vertical="center" wrapText="1"/>
      <protection locked="0"/>
    </xf>
    <xf numFmtId="172" fontId="9" fillId="0" borderId="6" xfId="1" applyNumberFormat="1" applyFont="1" applyFill="1" applyBorder="1" applyAlignment="1" applyProtection="1">
      <alignment vertical="center" wrapText="1"/>
      <protection locked="0"/>
    </xf>
    <xf numFmtId="164" fontId="9" fillId="0" borderId="6" xfId="1" applyFont="1" applyFill="1" applyBorder="1" applyAlignment="1" applyProtection="1">
      <alignment vertical="center" wrapText="1"/>
      <protection locked="0"/>
    </xf>
    <xf numFmtId="3" fontId="9" fillId="0" borderId="0" xfId="0" applyNumberFormat="1" applyFont="1" applyAlignment="1">
      <alignment horizontal="center" vertical="center"/>
    </xf>
    <xf numFmtId="3" fontId="9" fillId="0" borderId="0" xfId="0" applyNumberFormat="1" applyFont="1" applyAlignment="1" applyProtection="1">
      <alignment horizontal="center" wrapText="1"/>
      <protection locked="0"/>
    </xf>
    <xf numFmtId="164" fontId="9" fillId="19" borderId="4" xfId="1" applyFont="1" applyFill="1" applyBorder="1" applyAlignment="1" applyProtection="1">
      <alignment vertical="center" wrapText="1"/>
      <protection locked="0"/>
    </xf>
    <xf numFmtId="172" fontId="9" fillId="0" borderId="4" xfId="1" applyNumberFormat="1" applyFont="1" applyFill="1" applyBorder="1" applyAlignment="1" applyProtection="1">
      <alignment horizontal="center" vertical="center" wrapText="1"/>
      <protection locked="0"/>
    </xf>
    <xf numFmtId="172" fontId="9" fillId="14" borderId="84" xfId="1" applyNumberFormat="1" applyFont="1" applyFill="1" applyBorder="1" applyAlignment="1" applyProtection="1">
      <alignment horizontal="center" vertical="center" wrapText="1"/>
    </xf>
    <xf numFmtId="164" fontId="9" fillId="0" borderId="84" xfId="1" applyFont="1" applyBorder="1" applyAlignment="1" applyProtection="1">
      <alignment vertical="center" wrapText="1"/>
      <protection locked="0"/>
    </xf>
    <xf numFmtId="0" fontId="0" fillId="4" borderId="0" xfId="0" applyFill="1" applyAlignment="1">
      <alignment horizontal="centerContinuous" vertical="justify" wrapText="1"/>
    </xf>
    <xf numFmtId="0" fontId="76" fillId="4" borderId="0" xfId="0" applyFont="1" applyFill="1" applyAlignment="1">
      <alignment horizontal="centerContinuous" vertical="center" wrapText="1"/>
    </xf>
    <xf numFmtId="0" fontId="0" fillId="0" borderId="0" xfId="0" pivotButton="1" applyAlignment="1">
      <alignment horizontal="left" vertical="center"/>
    </xf>
    <xf numFmtId="0" fontId="77" fillId="0" borderId="88" xfId="0" applyFont="1" applyBorder="1"/>
    <xf numFmtId="0" fontId="2" fillId="0" borderId="0" xfId="0" applyFont="1"/>
    <xf numFmtId="9" fontId="0" fillId="0" borderId="0" xfId="0" applyNumberFormat="1"/>
    <xf numFmtId="0" fontId="77" fillId="0" borderId="0" xfId="0" applyFont="1"/>
    <xf numFmtId="10" fontId="0" fillId="0" borderId="0" xfId="0" applyNumberFormat="1"/>
    <xf numFmtId="14" fontId="0" fillId="0" borderId="0" xfId="0" applyNumberFormat="1" applyAlignment="1">
      <alignment horizontal="center" vertical="center"/>
    </xf>
    <xf numFmtId="0" fontId="2" fillId="20" borderId="0" xfId="0" applyFont="1" applyFill="1"/>
    <xf numFmtId="0" fontId="2" fillId="20" borderId="0" xfId="0" applyFont="1" applyFill="1" applyAlignment="1">
      <alignment horizontal="center" vertical="center"/>
    </xf>
    <xf numFmtId="9" fontId="2" fillId="20" borderId="0" xfId="0" applyNumberFormat="1" applyFont="1" applyFill="1" applyAlignment="1">
      <alignment horizontal="center" vertical="center"/>
    </xf>
    <xf numFmtId="1" fontId="2" fillId="20" borderId="0" xfId="0" applyNumberFormat="1" applyFont="1" applyFill="1" applyAlignment="1">
      <alignment horizontal="center" vertical="center"/>
    </xf>
    <xf numFmtId="1" fontId="38" fillId="20" borderId="0" xfId="0" applyNumberFormat="1" applyFont="1" applyFill="1" applyAlignment="1">
      <alignment horizontal="center" vertical="center"/>
    </xf>
    <xf numFmtId="10" fontId="2" fillId="20" borderId="0" xfId="0" applyNumberFormat="1" applyFont="1" applyFill="1" applyAlignment="1">
      <alignment horizontal="center" vertical="center"/>
    </xf>
    <xf numFmtId="164" fontId="2" fillId="20" borderId="0" xfId="0" applyNumberFormat="1" applyFont="1" applyFill="1" applyAlignment="1">
      <alignment horizontal="center" vertical="center"/>
    </xf>
    <xf numFmtId="0" fontId="0" fillId="2" borderId="0" xfId="0" quotePrefix="1" applyFill="1" applyAlignment="1">
      <alignment vertical="center" wrapText="1"/>
    </xf>
    <xf numFmtId="172" fontId="0" fillId="0" borderId="77" xfId="0" applyNumberFormat="1" applyBorder="1" applyAlignment="1" applyProtection="1">
      <alignment horizontal="left" vertical="center" wrapText="1"/>
      <protection locked="0"/>
    </xf>
    <xf numFmtId="172" fontId="9" fillId="0" borderId="89" xfId="0" applyNumberFormat="1" applyFont="1" applyBorder="1" applyAlignment="1">
      <alignment horizontal="left" vertical="center" wrapText="1"/>
    </xf>
    <xf numFmtId="3" fontId="9" fillId="0" borderId="89" xfId="0" applyNumberFormat="1" applyFont="1" applyBorder="1" applyAlignment="1">
      <alignment horizontal="center" vertical="center" wrapText="1"/>
    </xf>
    <xf numFmtId="164" fontId="9" fillId="0" borderId="89" xfId="1" applyFont="1" applyBorder="1" applyAlignment="1">
      <alignment vertical="center" wrapText="1"/>
    </xf>
    <xf numFmtId="0" fontId="9" fillId="0" borderId="89" xfId="0" applyFont="1" applyBorder="1" applyAlignment="1">
      <alignment horizontal="center" vertical="center"/>
    </xf>
    <xf numFmtId="0" fontId="9" fillId="0" borderId="89" xfId="0" applyFont="1" applyBorder="1" applyAlignment="1">
      <alignment horizontal="center" vertical="center" wrapText="1"/>
    </xf>
    <xf numFmtId="0" fontId="0" fillId="0" borderId="89" xfId="0" applyBorder="1"/>
    <xf numFmtId="9" fontId="0" fillId="8" borderId="89" xfId="2" applyFont="1" applyFill="1" applyBorder="1" applyAlignment="1">
      <alignment horizontal="center" vertical="center"/>
    </xf>
    <xf numFmtId="0" fontId="0" fillId="0" borderId="89" xfId="0" applyBorder="1" applyAlignment="1">
      <alignment horizontal="center" vertical="center"/>
    </xf>
    <xf numFmtId="0" fontId="0" fillId="8" borderId="89" xfId="0" applyFill="1" applyBorder="1" applyAlignment="1">
      <alignment horizontal="center" vertical="center"/>
    </xf>
    <xf numFmtId="10" fontId="0" fillId="0" borderId="89" xfId="2" applyNumberFormat="1" applyFont="1" applyBorder="1" applyAlignment="1">
      <alignment horizontal="center" vertical="center"/>
    </xf>
    <xf numFmtId="9" fontId="0" fillId="0" borderId="89" xfId="2" applyFont="1" applyFill="1" applyBorder="1" applyAlignment="1">
      <alignment horizontal="center" vertical="center"/>
    </xf>
    <xf numFmtId="0" fontId="2" fillId="0" borderId="89" xfId="0" applyFont="1" applyBorder="1"/>
    <xf numFmtId="3" fontId="9" fillId="0" borderId="89" xfId="0" applyNumberFormat="1" applyFont="1" applyBorder="1" applyAlignment="1">
      <alignment horizontal="center" vertical="center"/>
    </xf>
    <xf numFmtId="14" fontId="9" fillId="0" borderId="89" xfId="1" applyNumberFormat="1" applyFont="1" applyBorder="1" applyAlignment="1">
      <alignment horizontal="center" vertical="center" wrapText="1"/>
    </xf>
    <xf numFmtId="14" fontId="9" fillId="0" borderId="89" xfId="0" applyNumberFormat="1" applyFont="1" applyBorder="1" applyAlignment="1">
      <alignment horizontal="center" vertical="center" wrapText="1"/>
    </xf>
    <xf numFmtId="175" fontId="9" fillId="0" borderId="89" xfId="0" applyNumberFormat="1" applyFont="1" applyBorder="1" applyAlignment="1">
      <alignment horizontal="center" vertical="center"/>
    </xf>
    <xf numFmtId="172" fontId="10" fillId="0" borderId="89" xfId="0" applyNumberFormat="1" applyFont="1" applyBorder="1" applyAlignment="1">
      <alignment horizontal="left" vertical="center" wrapText="1"/>
    </xf>
    <xf numFmtId="164" fontId="10" fillId="0" borderId="89" xfId="1" applyFont="1" applyBorder="1" applyAlignment="1">
      <alignment vertical="center" wrapText="1"/>
    </xf>
    <xf numFmtId="3" fontId="10" fillId="0" borderId="89" xfId="0" applyNumberFormat="1" applyFont="1" applyBorder="1" applyAlignment="1">
      <alignment horizontal="center" vertical="center" wrapText="1"/>
    </xf>
    <xf numFmtId="14" fontId="10" fillId="0" borderId="89" xfId="1" applyNumberFormat="1" applyFont="1" applyBorder="1" applyAlignment="1">
      <alignment horizontal="center" vertical="center" wrapText="1"/>
    </xf>
    <xf numFmtId="9" fontId="2" fillId="8" borderId="89" xfId="2" applyFont="1" applyFill="1" applyBorder="1" applyAlignment="1">
      <alignment horizontal="center" vertical="center"/>
    </xf>
    <xf numFmtId="9" fontId="2" fillId="0" borderId="89" xfId="2" applyFont="1" applyFill="1" applyBorder="1" applyAlignment="1">
      <alignment horizontal="center" vertical="center"/>
    </xf>
    <xf numFmtId="0" fontId="2" fillId="0" borderId="89" xfId="0" applyFont="1" applyBorder="1" applyAlignment="1">
      <alignment horizontal="center" vertical="center"/>
    </xf>
    <xf numFmtId="0" fontId="2" fillId="8" borderId="89" xfId="0" applyFont="1" applyFill="1" applyBorder="1" applyAlignment="1">
      <alignment horizontal="center" vertical="center"/>
    </xf>
    <xf numFmtId="10" fontId="2" fillId="0" borderId="89" xfId="2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4" borderId="0" xfId="0" applyFont="1" applyFill="1" applyAlignment="1" applyProtection="1">
      <alignment horizontal="left" vertical="center" wrapText="1"/>
      <protection locked="0"/>
    </xf>
    <xf numFmtId="0" fontId="13" fillId="7" borderId="0" xfId="0" applyFont="1" applyFill="1" applyAlignment="1">
      <alignment horizontal="center" vertical="center"/>
    </xf>
    <xf numFmtId="0" fontId="21" fillId="8" borderId="16" xfId="0" applyFont="1" applyFill="1" applyBorder="1" applyAlignment="1">
      <alignment horizontal="left" vertical="center" wrapText="1"/>
    </xf>
    <xf numFmtId="0" fontId="21" fillId="8" borderId="50" xfId="0" applyFont="1" applyFill="1" applyBorder="1" applyAlignment="1">
      <alignment horizontal="left" vertical="center" wrapText="1"/>
    </xf>
    <xf numFmtId="0" fontId="0" fillId="4" borderId="0" xfId="0" applyFill="1" applyAlignment="1" applyProtection="1">
      <alignment horizontal="left" vertical="center" wrapText="1"/>
      <protection locked="0"/>
    </xf>
    <xf numFmtId="0" fontId="21" fillId="8" borderId="62" xfId="0" applyFont="1" applyFill="1" applyBorder="1" applyAlignment="1">
      <alignment horizontal="center" vertical="center" wrapText="1"/>
    </xf>
    <xf numFmtId="0" fontId="21" fillId="8" borderId="0" xfId="0" applyFont="1" applyFill="1" applyAlignment="1">
      <alignment horizontal="center" vertical="center" wrapText="1"/>
    </xf>
    <xf numFmtId="0" fontId="13" fillId="7" borderId="61" xfId="0" applyFont="1" applyFill="1" applyBorder="1" applyAlignment="1">
      <alignment horizontal="center" vertical="center"/>
    </xf>
    <xf numFmtId="0" fontId="7" fillId="5" borderId="63" xfId="0" applyFont="1" applyFill="1" applyBorder="1" applyAlignment="1">
      <alignment horizontal="left" vertical="center" wrapText="1"/>
    </xf>
    <xf numFmtId="0" fontId="7" fillId="5" borderId="64" xfId="0" applyFont="1" applyFill="1" applyBorder="1" applyAlignment="1">
      <alignment horizontal="left" vertical="center" wrapText="1"/>
    </xf>
    <xf numFmtId="0" fontId="30" fillId="9" borderId="42" xfId="0" applyFont="1" applyFill="1" applyBorder="1" applyAlignment="1">
      <alignment horizontal="center" vertical="center"/>
    </xf>
    <xf numFmtId="0" fontId="30" fillId="9" borderId="41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11" fillId="9" borderId="42" xfId="0" applyFont="1" applyFill="1" applyBorder="1" applyAlignment="1">
      <alignment horizontal="center" vertical="center"/>
    </xf>
    <xf numFmtId="0" fontId="11" fillId="9" borderId="41" xfId="0" applyFont="1" applyFill="1" applyBorder="1" applyAlignment="1">
      <alignment horizontal="center" vertical="center"/>
    </xf>
    <xf numFmtId="9" fontId="32" fillId="6" borderId="16" xfId="2" applyFont="1" applyFill="1" applyBorder="1" applyAlignment="1" applyProtection="1">
      <alignment horizontal="left" vertical="center" wrapText="1"/>
    </xf>
    <xf numFmtId="9" fontId="32" fillId="6" borderId="17" xfId="2" applyFont="1" applyFill="1" applyBorder="1" applyAlignment="1" applyProtection="1">
      <alignment horizontal="left" vertical="center" wrapText="1"/>
    </xf>
    <xf numFmtId="0" fontId="54" fillId="6" borderId="16" xfId="1" applyNumberFormat="1" applyFont="1" applyFill="1" applyBorder="1" applyAlignment="1" applyProtection="1">
      <alignment horizontal="left" vertical="center" wrapText="1"/>
    </xf>
    <xf numFmtId="0" fontId="54" fillId="6" borderId="17" xfId="1" applyNumberFormat="1" applyFont="1" applyFill="1" applyBorder="1" applyAlignment="1" applyProtection="1">
      <alignment horizontal="left" vertical="center" wrapText="1"/>
    </xf>
    <xf numFmtId="164" fontId="61" fillId="6" borderId="16" xfId="1" applyFont="1" applyFill="1" applyBorder="1" applyAlignment="1" applyProtection="1">
      <alignment horizontal="left" vertical="center" wrapText="1"/>
    </xf>
    <xf numFmtId="164" fontId="61" fillId="6" borderId="17" xfId="1" applyFont="1" applyFill="1" applyBorder="1" applyAlignment="1" applyProtection="1">
      <alignment horizontal="left" vertical="center" wrapText="1"/>
    </xf>
    <xf numFmtId="0" fontId="7" fillId="5" borderId="71" xfId="0" applyFont="1" applyFill="1" applyBorder="1" applyAlignment="1">
      <alignment horizontal="center" vertical="center" wrapText="1"/>
    </xf>
    <xf numFmtId="0" fontId="7" fillId="5" borderId="72" xfId="0" applyFont="1" applyFill="1" applyBorder="1" applyAlignment="1">
      <alignment horizontal="center" vertical="center" wrapText="1"/>
    </xf>
    <xf numFmtId="164" fontId="10" fillId="6" borderId="16" xfId="1" applyFont="1" applyFill="1" applyBorder="1" applyAlignment="1" applyProtection="1">
      <alignment horizontal="left" vertical="center" wrapText="1"/>
    </xf>
    <xf numFmtId="164" fontId="10" fillId="6" borderId="17" xfId="1" applyFont="1" applyFill="1" applyBorder="1" applyAlignment="1" applyProtection="1">
      <alignment horizontal="left" vertical="center" wrapText="1"/>
    </xf>
    <xf numFmtId="164" fontId="32" fillId="6" borderId="16" xfId="1" applyFont="1" applyFill="1" applyBorder="1" applyAlignment="1" applyProtection="1">
      <alignment horizontal="left" vertical="center" wrapText="1"/>
    </xf>
    <xf numFmtId="164" fontId="32" fillId="6" borderId="17" xfId="1" applyFont="1" applyFill="1" applyBorder="1" applyAlignment="1" applyProtection="1">
      <alignment horizontal="left" vertical="center" wrapText="1"/>
    </xf>
    <xf numFmtId="164" fontId="54" fillId="6" borderId="16" xfId="1" applyFont="1" applyFill="1" applyBorder="1" applyAlignment="1" applyProtection="1">
      <alignment horizontal="left" vertical="center" wrapText="1"/>
    </xf>
    <xf numFmtId="164" fontId="54" fillId="6" borderId="17" xfId="1" applyFont="1" applyFill="1" applyBorder="1" applyAlignment="1" applyProtection="1">
      <alignment horizontal="left" vertical="center" wrapText="1"/>
    </xf>
    <xf numFmtId="167" fontId="25" fillId="0" borderId="22" xfId="1" applyNumberFormat="1" applyFont="1" applyBorder="1" applyAlignment="1" applyProtection="1">
      <alignment horizontal="center" vertical="center"/>
    </xf>
    <xf numFmtId="167" fontId="25" fillId="0" borderId="23" xfId="1" applyNumberFormat="1" applyFont="1" applyBorder="1" applyAlignment="1" applyProtection="1">
      <alignment horizontal="center" vertical="center"/>
    </xf>
    <xf numFmtId="166" fontId="26" fillId="0" borderId="66" xfId="2" applyNumberFormat="1" applyFont="1" applyFill="1" applyBorder="1" applyAlignment="1" applyProtection="1">
      <alignment horizontal="center" vertical="center" wrapText="1"/>
    </xf>
    <xf numFmtId="166" fontId="26" fillId="0" borderId="67" xfId="2" applyNumberFormat="1" applyFont="1" applyFill="1" applyBorder="1" applyAlignment="1" applyProtection="1">
      <alignment horizontal="center" vertical="center" wrapText="1"/>
    </xf>
    <xf numFmtId="0" fontId="6" fillId="11" borderId="18" xfId="0" applyFont="1" applyFill="1" applyBorder="1" applyAlignment="1">
      <alignment horizontal="left" vertical="center" wrapText="1" indent="1"/>
    </xf>
    <xf numFmtId="0" fontId="15" fillId="0" borderId="0" xfId="0" applyFont="1" applyAlignment="1">
      <alignment horizontal="right" vertical="center"/>
    </xf>
    <xf numFmtId="164" fontId="0" fillId="11" borderId="22" xfId="1" applyFont="1" applyFill="1" applyBorder="1" applyAlignment="1" applyProtection="1">
      <alignment horizontal="left" vertical="center" wrapText="1"/>
      <protection locked="0"/>
    </xf>
    <xf numFmtId="164" fontId="0" fillId="11" borderId="23" xfId="1" applyFont="1" applyFill="1" applyBorder="1" applyAlignment="1" applyProtection="1">
      <alignment horizontal="left" vertical="center" wrapText="1"/>
      <protection locked="0"/>
    </xf>
    <xf numFmtId="0" fontId="2" fillId="15" borderId="0" xfId="0" applyFont="1" applyFill="1" applyAlignment="1">
      <alignment horizontal="center" vertical="center" wrapText="1"/>
    </xf>
    <xf numFmtId="164" fontId="2" fillId="14" borderId="0" xfId="1" applyFont="1" applyFill="1" applyAlignment="1">
      <alignment horizontal="left" vertical="center" wrapText="1"/>
    </xf>
    <xf numFmtId="164" fontId="9" fillId="0" borderId="89" xfId="1" applyFont="1" applyBorder="1" applyAlignment="1">
      <alignment horizontal="center" vertical="center" wrapText="1"/>
    </xf>
    <xf numFmtId="9" fontId="0" fillId="8" borderId="89" xfId="2" applyNumberFormat="1" applyFont="1" applyFill="1" applyBorder="1" applyAlignment="1">
      <alignment horizontal="center" vertical="center"/>
    </xf>
    <xf numFmtId="0" fontId="0" fillId="8" borderId="89" xfId="0" applyNumberFormat="1" applyFill="1" applyBorder="1" applyAlignment="1">
      <alignment horizontal="center" vertical="center"/>
    </xf>
    <xf numFmtId="14" fontId="0" fillId="0" borderId="89" xfId="0" applyNumberFormat="1" applyBorder="1"/>
    <xf numFmtId="0" fontId="9" fillId="0" borderId="89" xfId="0" applyNumberFormat="1" applyFont="1" applyBorder="1" applyAlignment="1">
      <alignment horizontal="left" vertical="center" wrapText="1"/>
    </xf>
    <xf numFmtId="14" fontId="0" fillId="2" borderId="0" xfId="0" applyNumberFormat="1" applyFill="1" applyAlignment="1">
      <alignment vertical="center" wrapText="1"/>
    </xf>
    <xf numFmtId="14" fontId="0" fillId="6" borderId="0" xfId="0" applyNumberFormat="1" applyFill="1" applyAlignment="1">
      <alignment vertical="center" wrapText="1"/>
    </xf>
    <xf numFmtId="14" fontId="0" fillId="4" borderId="0" xfId="0" applyNumberFormat="1" applyFill="1" applyAlignment="1">
      <alignment vertical="center" wrapText="1"/>
    </xf>
    <xf numFmtId="14" fontId="2" fillId="20" borderId="0" xfId="0" applyNumberFormat="1" applyFont="1" applyFill="1" applyAlignment="1">
      <alignment horizontal="center" vertical="center"/>
    </xf>
    <xf numFmtId="171" fontId="9" fillId="0" borderId="89" xfId="1" applyNumberFormat="1" applyFont="1" applyBorder="1" applyAlignment="1">
      <alignment vertical="center" wrapText="1"/>
    </xf>
    <xf numFmtId="175" fontId="0" fillId="2" borderId="0" xfId="0" applyNumberFormat="1" applyFill="1" applyAlignment="1">
      <alignment horizontal="center" vertical="center" wrapText="1"/>
    </xf>
    <xf numFmtId="175" fontId="0" fillId="6" borderId="0" xfId="0" applyNumberFormat="1" applyFill="1" applyAlignment="1">
      <alignment horizontal="center" vertical="center" wrapText="1"/>
    </xf>
    <xf numFmtId="175" fontId="0" fillId="4" borderId="0" xfId="0" applyNumberFormat="1" applyFill="1" applyAlignment="1">
      <alignment horizontal="center" vertical="center" wrapText="1"/>
    </xf>
    <xf numFmtId="175" fontId="9" fillId="0" borderId="89" xfId="0" applyNumberFormat="1" applyFont="1" applyBorder="1" applyAlignment="1">
      <alignment horizontal="center" vertical="center" wrapText="1"/>
    </xf>
    <xf numFmtId="175" fontId="10" fillId="0" borderId="89" xfId="0" applyNumberFormat="1" applyFont="1" applyBorder="1" applyAlignment="1">
      <alignment horizontal="center" vertical="center" wrapText="1"/>
    </xf>
    <xf numFmtId="14" fontId="10" fillId="0" borderId="89" xfId="0" applyNumberFormat="1" applyFont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5" fontId="2" fillId="20" borderId="0" xfId="0" applyNumberFormat="1" applyFont="1" applyFill="1" applyAlignment="1">
      <alignment horizontal="center" vertical="center"/>
    </xf>
    <xf numFmtId="0" fontId="0" fillId="0" borderId="90" xfId="0" applyBorder="1"/>
    <xf numFmtId="171" fontId="9" fillId="0" borderId="89" xfId="1" applyNumberFormat="1" applyFont="1" applyBorder="1" applyAlignment="1">
      <alignment horizontal="center" vertical="center"/>
    </xf>
    <xf numFmtId="168" fontId="9" fillId="0" borderId="89" xfId="1" applyNumberFormat="1" applyFont="1" applyBorder="1" applyAlignment="1">
      <alignment horizontal="center" vertical="center" wrapText="1"/>
    </xf>
    <xf numFmtId="175" fontId="0" fillId="0" borderId="89" xfId="0" applyNumberFormat="1" applyBorder="1" applyAlignment="1">
      <alignment horizontal="center" vertical="center"/>
    </xf>
    <xf numFmtId="171" fontId="0" fillId="0" borderId="89" xfId="0" applyNumberFormat="1" applyBorder="1" applyAlignment="1">
      <alignment horizontal="center" vertical="center"/>
    </xf>
    <xf numFmtId="168" fontId="0" fillId="0" borderId="89" xfId="1" applyNumberFormat="1" applyFont="1" applyBorder="1" applyAlignment="1">
      <alignment horizontal="center" vertical="center"/>
    </xf>
    <xf numFmtId="175" fontId="0" fillId="0" borderId="89" xfId="0" quotePrefix="1" applyNumberFormat="1" applyBorder="1" applyAlignment="1">
      <alignment horizontal="center" vertical="center"/>
    </xf>
    <xf numFmtId="0" fontId="0" fillId="0" borderId="89" xfId="0" quotePrefix="1" applyBorder="1" applyAlignment="1">
      <alignment horizontal="center" vertical="center"/>
    </xf>
    <xf numFmtId="0" fontId="0" fillId="0" borderId="89" xfId="0" quotePrefix="1" applyBorder="1"/>
  </cellXfs>
  <cellStyles count="10">
    <cellStyle name="Hiperlink" xfId="3" builtinId="8"/>
    <cellStyle name="Moeda" xfId="1" builtinId="4"/>
    <cellStyle name="Moeda 2" xfId="6" xr:uid="{00000000-0005-0000-0000-000002000000}"/>
    <cellStyle name="Moeda 2 2" xfId="8" xr:uid="{00000000-0005-0000-0000-000003000000}"/>
    <cellStyle name="Moeda 3" xfId="7" xr:uid="{00000000-0005-0000-0000-000004000000}"/>
    <cellStyle name="Moeda 4" xfId="9" xr:uid="{B57E717D-FE01-49A9-953D-D134D6C7F01A}"/>
    <cellStyle name="Normal" xfId="0" builtinId="0"/>
    <cellStyle name="Normal 2" xfId="5" xr:uid="{00000000-0005-0000-0000-000006000000}"/>
    <cellStyle name="Normal 4" xfId="4" xr:uid="{00000000-0005-0000-0000-000007000000}"/>
    <cellStyle name="Porcentagem" xfId="2" builtinId="5"/>
  </cellStyles>
  <dxfs count="183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mm/yyyy"/>
      <fill>
        <patternFill patternType="solid">
          <fgColor indexed="64"/>
          <bgColor theme="2"/>
        </patternFill>
      </fill>
      <alignment horizontal="center" vertical="center" textRotation="0" indent="0" justifyLastLine="0" shrinkToFit="0" readingOrder="0"/>
    </dxf>
    <dxf>
      <numFmt numFmtId="175" formatCode="mm/yyyy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72" formatCode="m/d/yyyy"/>
      <alignment horizontal="center" vertical="center" textRotation="0" wrapText="0" indent="0" justifyLastLine="0" shrinkToFit="0" readingOrder="0"/>
    </dxf>
    <dxf>
      <numFmt numFmtId="172" formatCode="m/d/yyyy"/>
      <alignment horizontal="center" vertical="center" textRotation="0" wrapText="0" indent="0" justifyLastLine="0" shrinkToFit="0" readingOrder="0"/>
    </dxf>
    <dxf>
      <numFmt numFmtId="172" formatCode="m/d/yyyy"/>
      <alignment horizontal="center" vertical="center" textRotation="0" wrapText="0" indent="0" justifyLastLine="0" shrinkToFit="0" readingOrder="0"/>
    </dxf>
    <dxf>
      <numFmt numFmtId="172" formatCode="m/d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55B03E"/>
        </patternFill>
      </fill>
    </dxf>
    <dxf>
      <font>
        <color theme="0"/>
      </font>
      <fill>
        <patternFill>
          <bgColor rgb="FF55B03E"/>
        </patternFill>
      </fill>
    </dxf>
    <dxf>
      <font>
        <color theme="0"/>
      </font>
      <fill>
        <patternFill>
          <bgColor rgb="FFF0462E"/>
        </patternFill>
      </fill>
    </dxf>
    <dxf>
      <font>
        <b/>
        <i val="0"/>
        <color theme="0"/>
      </font>
      <fill>
        <patternFill>
          <bgColor rgb="FFF0462E"/>
        </patternFill>
      </fill>
    </dxf>
    <dxf>
      <font>
        <b/>
        <i val="0"/>
        <color theme="0"/>
      </font>
      <fill>
        <patternFill>
          <bgColor rgb="FF55B03E"/>
        </patternFill>
      </fill>
    </dxf>
    <dxf>
      <font>
        <b/>
        <i val="0"/>
        <color theme="0"/>
      </font>
      <fill>
        <patternFill>
          <bgColor rgb="FFF0462E"/>
        </patternFill>
      </fill>
    </dxf>
    <dxf>
      <font>
        <b/>
        <i val="0"/>
        <color theme="0"/>
      </font>
      <fill>
        <patternFill>
          <bgColor rgb="FF55B03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55B03E"/>
        </patternFill>
      </fill>
    </dxf>
    <dxf>
      <font>
        <b/>
        <i/>
        <color rgb="FF55B03E"/>
      </font>
    </dxf>
    <dxf>
      <font>
        <b/>
        <i/>
        <color rgb="FFC00000"/>
      </font>
    </dxf>
    <dxf>
      <font>
        <b/>
        <i val="0"/>
        <color theme="0"/>
      </font>
      <fill>
        <patternFill>
          <bgColor rgb="FFF0462E"/>
        </patternFill>
      </fill>
    </dxf>
    <dxf>
      <font>
        <b/>
        <i val="0"/>
        <color theme="0"/>
      </font>
      <fill>
        <patternFill>
          <bgColor rgb="FF55B03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55B03E"/>
        </patternFill>
      </fill>
    </dxf>
    <dxf>
      <font>
        <b/>
        <i val="0"/>
        <color theme="0"/>
      </font>
      <fill>
        <patternFill>
          <bgColor rgb="FFF0462E"/>
        </patternFill>
      </fill>
    </dxf>
    <dxf>
      <font>
        <b/>
        <i val="0"/>
        <color theme="0"/>
      </font>
      <fill>
        <patternFill>
          <bgColor rgb="FF55B03E"/>
        </patternFill>
      </fill>
    </dxf>
    <dxf>
      <font>
        <b/>
        <i val="0"/>
        <color theme="0"/>
      </font>
      <fill>
        <patternFill>
          <bgColor rgb="FFF0462E"/>
        </patternFill>
      </fill>
    </dxf>
    <dxf>
      <font>
        <b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/>
        <i val="0"/>
        <color theme="0"/>
      </font>
      <fill>
        <patternFill>
          <bgColor rgb="FFF0462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b val="0"/>
        <i val="0"/>
        <color theme="0"/>
      </font>
      <fill>
        <patternFill>
          <bgColor rgb="FF55B03E"/>
        </patternFill>
      </fill>
    </dxf>
    <dxf>
      <font>
        <b val="0"/>
        <i val="0"/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0"/>
      </font>
      <fill>
        <patternFill>
          <bgColor rgb="FFF0462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  <protection locked="1" hidden="0"/>
    </dxf>
    <dxf>
      <border outline="0">
        <top style="thin">
          <color theme="0" tint="-0.249977111117893"/>
        </top>
        <bottom style="thin">
          <color theme="0" tint="-0.24994659260841701"/>
        </bottom>
      </border>
    </dxf>
    <dxf>
      <alignment vertical="center" textRotation="0" wrapText="1" indent="0" justifyLastLine="0" shrinkToFit="0" readingOrder="0"/>
    </dxf>
    <dxf>
      <border outline="0"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  <protection locked="1" hidden="0"/>
    </dxf>
    <dxf>
      <numFmt numFmtId="168" formatCode="&quot;R$&quot;\ #,##0.00"/>
      <alignment horizontal="general" vertical="center" textRotation="0" wrapText="1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color auto="1"/>
      </font>
      <numFmt numFmtId="168" formatCode="&quot;R$&quot;\ #,##0.00"/>
      <alignment horizontal="general" vertical="center" textRotation="0" wrapText="1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theme="0" tint="-0.24994659260841701"/>
        </top>
      </border>
    </dxf>
    <dxf>
      <border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general" vertical="center" textRotation="0" wrapText="1" indent="0" justifyLastLine="0" shrinkToFit="0" readingOrder="0"/>
    </dxf>
    <dxf>
      <border outline="0"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theme="0" tint="-0.24994659260841701"/>
        </top>
      </border>
    </dxf>
    <dxf>
      <border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vertical="center" textRotation="0" wrapText="1" indent="0" justifyLastLine="0" shrinkToFit="0" readingOrder="0"/>
    </dxf>
    <dxf>
      <border outline="0"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/>
    </dxf>
    <dxf>
      <numFmt numFmtId="164" formatCode="_(&quot;R$&quot;* #,##0.00_);_(&quot;R$&quot;* \(#,##0.00\);_(&quot;R$&quot;* &quot;-&quot;??_);_(@_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font>
        <b/>
      </font>
    </dxf>
    <dxf>
      <font>
        <b/>
      </font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numFmt numFmtId="164" formatCode="_(&quot;R$&quot;* #,##0.00_);_(&quot;R$&quot;* \(#,##0.00\);_(&quot;R$&quot;* &quot;-&quot;??_);_(@_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font>
        <b/>
      </font>
    </dxf>
    <dxf>
      <font>
        <b/>
      </font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font>
        <b/>
      </font>
      <numFmt numFmtId="164" formatCode="_(&quot;R$&quot;* #,##0.00_);_(&quot;R$&quot;* \(#,##0.00\);_(&quot;R$&quot;* &quot;-&quot;??_);_(@_)"/>
      <fill>
        <patternFill patternType="solid">
          <fgColor indexed="64"/>
          <bgColor rgb="FFEBE9E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 style="thin">
          <color theme="0"/>
        </horizontal>
      </border>
      <protection locked="1" hidden="0"/>
    </dxf>
    <dxf>
      <font>
        <sz val="10"/>
      </font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  <vertical/>
        <horizontal/>
      </border>
      <protection locked="1" hidden="0"/>
    </dxf>
    <dxf>
      <font>
        <sz val="10"/>
      </font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  <vertical/>
        <horizontal/>
      </border>
      <protection locked="1" hidden="0"/>
    </dxf>
    <dxf>
      <font>
        <sz val="10"/>
      </font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  <vertical/>
        <horizontal/>
      </border>
      <protection locked="1" hidden="0"/>
    </dxf>
    <dxf>
      <font>
        <sz val="10"/>
      </font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  <vertical/>
        <horizontal/>
      </border>
      <protection locked="1" hidden="0"/>
    </dxf>
    <dxf>
      <font>
        <sz val="10"/>
      </font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  <vertical/>
        <horizontal/>
      </border>
      <protection locked="1" hidden="0"/>
    </dxf>
    <dxf>
      <font>
        <sz val="10"/>
      </font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  <vertical/>
        <horizontal/>
      </border>
      <protection locked="1" hidden="0"/>
    </dxf>
    <dxf>
      <font>
        <sz val="10"/>
      </font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  <vertical/>
        <horizontal/>
      </border>
      <protection locked="1" hidden="0"/>
    </dxf>
    <dxf>
      <font>
        <sz val="10"/>
      </font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  <vertical/>
        <horizontal/>
      </border>
      <protection locked="1" hidden="0"/>
    </dxf>
    <dxf>
      <font>
        <sz val="10"/>
      </font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  <vertical/>
        <horizontal/>
      </border>
      <protection locked="1" hidden="0"/>
    </dxf>
    <dxf>
      <font>
        <sz val="10"/>
      </font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  <vertical/>
        <horizontal/>
      </border>
      <protection locked="1" hidden="0"/>
    </dxf>
    <dxf>
      <font>
        <sz val="10"/>
      </font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rgb="FFEBE9E9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/>
        </top>
        <bottom style="thin">
          <color theme="0"/>
        </bottom>
      </border>
      <protection locked="1" hidden="0"/>
    </dxf>
    <dxf>
      <border outline="0">
        <top style="thin">
          <color rgb="FFFFFFFF"/>
        </top>
      </border>
    </dxf>
    <dxf>
      <alignment vertical="center" textRotation="0" wrapText="1" indent="0" justifyLastLine="0" shrinkToFit="0" readingOrder="0"/>
      <protection locked="1" hidden="0"/>
    </dxf>
    <dxf>
      <border outline="0">
        <bottom style="thin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/>
        <bottom style="thin">
          <color theme="0" tint="-0.14990691854609822"/>
        </bottom>
        <vertical/>
        <horizontal/>
      </border>
      <protection locked="1" hidden="0"/>
    </dxf>
    <dxf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/>
        <bottom style="thin">
          <color theme="0" tint="-0.14990691854609822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72" formatCode="m/d/yyyy"/>
      <fill>
        <patternFill patternType="solid">
          <fgColor indexed="64"/>
          <bgColor rgb="FF00448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0691854609822"/>
        </right>
        <top/>
        <bottom style="thin">
          <color theme="0" tint="-0.14993743705557422"/>
        </bottom>
      </border>
      <protection locked="1" hidden="0"/>
    </dxf>
    <dxf>
      <border outline="0">
        <top style="thin">
          <color rgb="FFFFFFFF"/>
        </top>
      </border>
    </dxf>
    <dxf>
      <alignment vertical="center" textRotation="0" wrapText="1" indent="0" justifyLastLine="0" shrinkToFit="0" readingOrder="0"/>
      <protection locked="1" hidden="0"/>
    </dxf>
    <dxf>
      <border outline="0">
        <bottom style="thin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bottom" indent="0"/>
    </dxf>
    <dxf>
      <alignment vertical="bottom" indent="0"/>
    </dxf>
    <dxf>
      <alignment vertical="bottom" indent="0"/>
    </dxf>
    <dxf>
      <alignment vertical="bottom" indent="0"/>
    </dxf>
    <dxf>
      <alignment vertical="bottom" indent="0"/>
    </dxf>
    <dxf>
      <alignment vertical="bottom" indent="0"/>
    </dxf>
    <dxf>
      <alignment vertical="bottom" indent="0"/>
    </dxf>
    <dxf>
      <alignment vertical="bottom" indent="0"/>
    </dxf>
    <dxf>
      <alignment vertical="bottom" indent="0"/>
    </dxf>
    <dxf>
      <alignment horizontal="center" indent="0"/>
    </dxf>
    <dxf>
      <alignment horizontal="center" indent="0"/>
    </dxf>
    <dxf>
      <fill>
        <patternFill patternType="solid">
          <bgColor theme="6" tint="0.59999389629810485"/>
        </patternFill>
      </fill>
    </dxf>
    <dxf>
      <numFmt numFmtId="164" formatCode="_(&quot;R$&quot;* #,##0.00_);_(&quot;R$&quot;* \(#,##0.00\);_(&quot;R$&quot;* &quot;-&quot;??_);_(@_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font>
        <b/>
      </font>
    </dxf>
    <dxf>
      <font>
        <b/>
      </font>
    </dxf>
    <dxf>
      <font>
        <b val="0"/>
      </font>
    </dxf>
    <dxf>
      <alignment horizontal="left" relativeIndent="1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64" formatCode="_(&quot;R$&quot;* #,##0.00_);_(&quot;R$&quot;* \(#,##0.00\);_(&quot;R$&quot;* &quot;-&quot;??_);_(@_)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</font>
    </dxf>
    <dxf>
      <font>
        <b/>
      </font>
    </dxf>
    <dxf>
      <font>
        <b/>
      </font>
    </dxf>
    <dxf>
      <alignment horizontal="left" relativeIndent="1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font>
        <b/>
      </font>
      <numFmt numFmtId="164" formatCode="_(&quot;R$&quot;* #,##0.00_);_(&quot;R$&quot;* \(#,##0.00\);_(&quot;R$&quot;* &quot;-&quot;??_);_(@_)"/>
      <fill>
        <patternFill patternType="solid">
          <fgColor indexed="64"/>
          <bgColor rgb="FFEBE9E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 style="thin">
          <color theme="0"/>
        </horizontal>
      </border>
      <protection locked="1" hidden="0"/>
    </dxf>
    <dxf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numFmt numFmtId="172" formatCode="m/d/yyyy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</font>
      <numFmt numFmtId="0" formatCode="General"/>
      <fill>
        <patternFill patternType="solid">
          <fgColor indexed="64"/>
          <bgColor rgb="FFEBE9E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/>
        </top>
        <bottom style="thin">
          <color theme="0"/>
        </bottom>
      </border>
      <protection locked="1" hidden="0"/>
    </dxf>
    <dxf>
      <border outline="0">
        <top style="thin">
          <color rgb="FFFFFFFF"/>
        </top>
      </border>
    </dxf>
    <dxf>
      <alignment vertical="center" textRotation="0" wrapText="1" indent="0" justifyLastLine="0" shrinkToFit="0" readingOrder="0"/>
      <protection locked="1" hidden="0"/>
    </dxf>
    <dxf>
      <border outline="0">
        <bottom style="thin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alignment horizontal="center"/>
    </dxf>
    <dxf>
      <alignment horizontal="center"/>
    </dxf>
    <dxf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/>
        <bottom style="thin">
          <color theme="0" tint="-0.14990691854609822"/>
        </bottom>
        <vertical/>
        <horizontal/>
      </border>
      <protection locked="1" hidden="0"/>
    </dxf>
    <dxf>
      <numFmt numFmtId="164" formatCode="_(&quot;R$&quot;* #,##0.00_);_(&quot;R$&quot;* \(#,##0.00\);_(&quot;R$&quot;* &quot;-&quot;??_);_(@_)"/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/>
        <bottom style="thin">
          <color theme="0" tint="-0.14990691854609822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72" formatCode="m/d/yyyy"/>
      <fill>
        <patternFill patternType="solid">
          <fgColor indexed="64"/>
          <bgColor rgb="FF00448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0691854609822"/>
        </right>
        <top/>
        <bottom style="thin">
          <color theme="0" tint="-0.14993743705557422"/>
        </bottom>
      </border>
      <protection locked="1" hidden="0"/>
    </dxf>
    <dxf>
      <border outline="0">
        <top style="thin">
          <color rgb="FFFFFFFF"/>
        </top>
      </border>
    </dxf>
    <dxf>
      <alignment vertical="center" textRotation="0" wrapText="1" indent="0" justifyLastLine="0" shrinkToFit="0" readingOrder="0"/>
      <protection locked="1" hidden="0"/>
    </dxf>
    <dxf>
      <border outline="0">
        <bottom style="thin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alignment horizontal="left"/>
    </dxf>
    <dxf>
      <alignment horizontal="center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numFmt numFmtId="164" formatCode="_(&quot;R$&quot;* #,##0.00_);_(&quot;R$&quot;* \(#,##0.00\);_(&quot;R$&quot;* &quot;-&quot;??_);_(@_)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numFmt numFmtId="164" formatCode="_(&quot;R$&quot;* #,##0.00_);_(&quot;R$&quot;* \(#,##0.00\);_(&quot;R$&quot;* &quot;-&quot;??_);_(@_)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font>
        <b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R$&quot;* #,##0.00_);_(&quot;R$&quot;* \(#,##0.00\);_(&quot;R$&quot;* &quot;-&quot;??_);_(@_)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left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left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R$&quot;* #,##0.00_);_(&quot;R$&quot;* \(#,##0.00\);_(&quot;R$&quot;* &quot;-&quot;??_);_(@_)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R$&quot;* #,##0.00_);_(&quot;R$&quot;* \(#,##0.00\);_(&quot;R$&quot;* &quot;-&quot;??_);_(@_)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4" formatCode="_(&quot;R$&quot;* #,##0.00_);_(&quot;R$&quot;* \(#,##0.00\);_(&quot;R$&quot;* &quot;-&quot;??_);_(@_)"/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R$&quot;* #,##0.00_);_(&quot;R$&quot;* \(#,##0.00\);_(&quot;R$&quot;* &quot;-&quot;??_);_(@_)"/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R$&quot;* #,##0.00_);_(&quot;R$&quot;* \(#,##0.00\);_(&quot;R$&quot;* &quot;-&quot;??_);_(@_)"/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2" formatCode="m/d/yyyy"/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m/d/yyyy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2" formatCode="m/d/yyyy"/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m/d/yyyy"/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m/d/yyyy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/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R$&quot;* #,##0.00_);_(&quot;R$&quot;* \(#,##0.00\);_(&quot;R$&quot;* &quot;-&quot;??_);_(@_)"/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m/d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  <fill>
        <patternFill patternType="solid">
          <fgColor indexed="64"/>
          <bgColor theme="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R$&quot;* #,##0.00_);_(&quot;R$&quot;* \(#,##0.00\);_(&quot;R$&quot;* &quot;-&quot;??_);_(@_)"/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/>
        <bottom style="thin">
          <color theme="0" tint="-0.14990691854609822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72" formatCode="m/d/yyyy"/>
      <alignment horizontal="left" vertical="center" textRotation="0" wrapText="1" indent="0" justifyLastLine="0" shrinkToFit="0" readingOrder="0"/>
      <border outline="0">
        <right style="thin">
          <color theme="0" tint="-0.14990691854609822"/>
        </right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/>
        <bottom style="thin">
          <color theme="0" tint="-0.14990691854609822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3" formatCode="#,##0"/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/>
        <bottom style="thin">
          <color theme="0" tint="-0.14990691854609822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72" formatCode="m/d/yyyy"/>
      <alignment horizontal="left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/>
        <bottom style="thin">
          <color theme="0" tint="-0.14990691854609822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left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/>
        <bottom style="thin">
          <color theme="0" tint="-0.14990691854609822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72" formatCode="m/d/yyyy"/>
      <alignment horizontal="left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/>
        <bottom style="thin">
          <color theme="0" tint="-0.14990691854609822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72" formatCode="m/d/yyyy"/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/>
        <bottom style="thin">
          <color theme="0" tint="-0.14993743705557422"/>
        </bottom>
      </border>
      <protection locked="0" hidden="0"/>
    </dxf>
    <dxf>
      <font>
        <b/>
      </font>
      <alignment vertical="center" textRotation="0" indent="0" justifyLastLine="0" shrinkToFit="0" readingOrder="0"/>
    </dxf>
    <dxf>
      <border outline="0">
        <top style="thin">
          <color rgb="FFFFFFFF"/>
        </top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vertical="center" textRotation="0" wrapText="1" indent="0" justifyLastLine="0" shrinkToFit="0" readingOrder="0"/>
      <protection locked="0" hidden="0"/>
    </dxf>
    <dxf>
      <border>
        <bottom style="double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/>
      </font>
      <fill>
        <patternFill patternType="solid">
          <fgColor indexed="64"/>
          <bgColor theme="2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rgb="FFEBE9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0691854609822"/>
        </right>
        <top/>
        <bottom style="thin">
          <color theme="0" tint="-0.14993743705557422"/>
        </bottom>
      </border>
      <protection locked="1" hidden="0"/>
    </dxf>
    <dxf>
      <border outline="0">
        <top style="thin">
          <color rgb="FFFFFFFF"/>
        </top>
      </border>
    </dxf>
    <dxf>
      <alignment vertical="center" textRotation="0" wrapText="1" indent="0" justifyLastLine="0" shrinkToFit="0" readingOrder="0"/>
      <protection locked="1" hidden="0"/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FDDDD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rgb="FFEBE9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0691854609822"/>
        </right>
        <top/>
        <bottom style="thin">
          <color theme="0" tint="-0.14993743705557422"/>
        </bottom>
      </border>
      <protection locked="1" hidden="0"/>
    </dxf>
    <dxf>
      <border outline="0">
        <top style="thin">
          <color rgb="FFFFFFFF"/>
        </top>
      </border>
    </dxf>
    <dxf>
      <alignment vertical="center" textRotation="0" wrapText="1" indent="0" justifyLastLine="0" shrinkToFit="0" readingOrder="0"/>
      <protection locked="1" hidden="0"/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FDDDD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rgb="FFEBE9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0691854609822"/>
        </right>
        <top/>
        <bottom style="thin">
          <color theme="0" tint="-0.14993743705557422"/>
        </bottom>
      </border>
      <protection locked="1" hidden="0"/>
    </dxf>
    <dxf>
      <border outline="0">
        <top style="thin">
          <color rgb="FFFFFFFF"/>
        </top>
      </border>
    </dxf>
    <dxf>
      <alignment vertical="center" textRotation="0" wrapText="1" indent="0" justifyLastLine="0" shrinkToFit="0" readingOrder="0"/>
      <protection locked="1" hidden="0"/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FDDDD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rgb="FFEBE9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0691854609822"/>
        </right>
        <top/>
        <bottom style="thin">
          <color theme="0" tint="-0.14993743705557422"/>
        </bottom>
      </border>
      <protection locked="1" hidden="0"/>
    </dxf>
    <dxf>
      <border outline="0">
        <top style="thin">
          <color rgb="FFFFFFFF"/>
        </top>
      </border>
    </dxf>
    <dxf>
      <alignment vertical="center" textRotation="0" wrapText="1" indent="0" justifyLastLine="0" shrinkToFit="0" readingOrder="0"/>
      <protection locked="1" hidden="0"/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FDDDD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rgb="FFEBE9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0691854609822"/>
        </right>
        <top/>
        <bottom style="thin">
          <color theme="0" tint="-0.14993743705557422"/>
        </bottom>
      </border>
      <protection locked="1" hidden="0"/>
    </dxf>
    <dxf>
      <border outline="0">
        <top style="thin">
          <color rgb="FFFFFFFF"/>
        </top>
      </border>
    </dxf>
    <dxf>
      <alignment vertical="center" textRotation="0" wrapText="1" indent="0" justifyLastLine="0" shrinkToFit="0" readingOrder="0"/>
      <protection locked="1" hidden="0"/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FDDDD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>
          <fgColor indexed="64"/>
          <bgColor rgb="FFEBE9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0691854609822"/>
        </right>
        <top/>
        <bottom style="thin">
          <color theme="0" tint="-0.14993743705557422"/>
        </bottom>
      </border>
      <protection locked="1" hidden="0"/>
    </dxf>
    <dxf>
      <border outline="0">
        <top style="thin">
          <color rgb="FFFFFFFF"/>
        </top>
      </border>
    </dxf>
    <dxf>
      <alignment vertical="center" textRotation="0" wrapText="1" indent="0" justifyLastLine="0" shrinkToFit="0" readingOrder="0"/>
      <protection locked="1" hidden="0"/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FDDDD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rgb="FFEBE9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0691854609822"/>
        </right>
        <top/>
        <bottom style="thin">
          <color theme="0" tint="-0.14993743705557422"/>
        </bottom>
      </border>
      <protection locked="1" hidden="0"/>
    </dxf>
    <dxf>
      <border outline="0">
        <top style="thin">
          <color rgb="FFFFFFFF"/>
        </top>
      </border>
    </dxf>
    <dxf>
      <alignment vertical="center" textRotation="0" wrapText="1" indent="0" justifyLastLine="0" shrinkToFit="0" readingOrder="0"/>
      <protection locked="1" hidden="0"/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FDDDD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rgb="FFEBE9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0691854609822"/>
        </right>
        <top/>
        <bottom style="thin">
          <color theme="0" tint="-0.14993743705557422"/>
        </bottom>
      </border>
      <protection locked="1" hidden="0"/>
    </dxf>
    <dxf>
      <border outline="0">
        <top style="thin">
          <color rgb="FFFFFFFF"/>
        </top>
      </border>
    </dxf>
    <dxf>
      <alignment vertical="center" textRotation="0" wrapText="1" indent="0" justifyLastLine="0" shrinkToFit="0" readingOrder="0"/>
      <protection locked="1" hidden="0"/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FDDDD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ill>
        <patternFill patternType="solid">
          <fgColor indexed="64"/>
          <bgColor rgb="FFEBE9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/>
        </right>
        <top/>
        <bottom style="thin">
          <color theme="0" tint="-0.14993743705557422"/>
        </bottom>
      </border>
      <protection locked="1" hidden="0"/>
    </dxf>
    <dxf>
      <border outline="0">
        <top style="thin">
          <color rgb="FFFFFFFF"/>
        </top>
      </border>
    </dxf>
    <dxf>
      <alignment vertical="center" textRotation="0" wrapText="1" indent="0" justifyLastLine="0" shrinkToFit="0" readingOrder="0"/>
      <protection locked="1" hidden="0"/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FDDDD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</font>
      <fill>
        <patternFill patternType="solid">
          <fgColor indexed="64"/>
          <bgColor rgb="FFEBE9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  <protection locked="1" hidden="0"/>
    </dxf>
    <dxf>
      <border outline="0">
        <top style="thin">
          <color theme="0"/>
        </top>
      </border>
    </dxf>
    <dxf>
      <alignment vertical="center" textRotation="0" wrapText="1" indent="0" justifyLastLine="0" shrinkToFit="0" readingOrder="0"/>
      <protection locked="1" hidden="0"/>
    </dxf>
    <dxf>
      <border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FDDDD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EBE9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  <protection locked="1" hidden="0"/>
    </dxf>
    <dxf>
      <border outline="0">
        <top style="thin">
          <color theme="0"/>
        </top>
      </border>
    </dxf>
    <dxf>
      <protection locked="1" hidden="0"/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FDDDD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</font>
      <fill>
        <patternFill patternType="solid">
          <fgColor indexed="64"/>
          <bgColor rgb="FFEBE9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  <protection locked="1" hidden="0"/>
    </dxf>
    <dxf>
      <border outline="0">
        <top style="thin">
          <color theme="0"/>
        </top>
      </border>
    </dxf>
    <dxf>
      <alignment vertical="center" textRotation="0" wrapText="1" indent="0" justifyLastLine="0" shrinkToFit="0" readingOrder="0"/>
      <protection locked="1" hidden="0"/>
    </dxf>
    <dxf>
      <border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FDDDD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/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border outline="0">
        <top style="thin">
          <color rgb="FFFFFFFF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1" indent="0" justifyLastLine="0" shrinkToFit="0" readingOrder="0"/>
      <protection locked="0" hidden="0"/>
    </dxf>
    <dxf>
      <border outline="0">
        <bottom style="double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FDDDD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72" formatCode="m/d/yyyy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" formatCode="#,##0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" formatCode="#,##0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9"/>
        </patternFill>
      </fill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" formatCode="#,##0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" formatCode="#,##0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  <protection locked="0" hidden="0"/>
    </dxf>
    <dxf>
      <border outline="0">
        <top style="thin">
          <color rgb="FFFFFFFF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protection locked="0" hidden="0"/>
    </dxf>
    <dxf>
      <border outline="0">
        <bottom style="double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FDDDD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rgb="FFDFDDDD"/>
        </patternFill>
      </fill>
    </dxf>
    <dxf>
      <font>
        <b/>
        <i val="0"/>
      </font>
      <fill>
        <patternFill>
          <bgColor theme="9" tint="-9.9948118533890809E-2"/>
        </patternFill>
      </fill>
    </dxf>
    <dxf>
      <font>
        <b/>
        <i val="0"/>
      </font>
      <fill>
        <patternFill>
          <bgColor theme="9"/>
        </patternFill>
      </fill>
    </dxf>
    <dxf>
      <font>
        <b/>
        <i val="0"/>
      </font>
      <fill>
        <patternFill>
          <bgColor rgb="FFDFDDDD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rgb="FFDFDDDD"/>
        </patternFill>
      </fill>
    </dxf>
    <dxf>
      <font>
        <b/>
        <i val="0"/>
      </font>
      <fill>
        <patternFill>
          <bgColor theme="9"/>
        </patternFill>
      </fill>
    </dxf>
    <dxf>
      <font>
        <b/>
        <i val="0"/>
      </font>
      <fill>
        <patternFill>
          <bgColor theme="9" tint="-9.9948118533890809E-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</font>
      <fill>
        <patternFill>
          <bgColor theme="9"/>
        </patternFill>
      </fill>
    </dxf>
    <dxf>
      <font>
        <b/>
        <i val="0"/>
      </font>
      <fill>
        <patternFill>
          <bgColor rgb="FFDFDDDD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i val="0"/>
      </font>
      <fill>
        <patternFill>
          <bgColor theme="2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i val="0"/>
      </font>
      <fill>
        <patternFill>
          <bgColor theme="2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i val="0"/>
      </font>
      <fill>
        <patternFill>
          <bgColor theme="8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>
          <bgColor theme="8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6" defaultTableStyle="TableStyleMedium2" defaultPivotStyle="PivotStyleLight16">
    <tableStyle name="Estilo de Tabela 1" pivot="0" count="2" xr9:uid="{00000000-0011-0000-FFFF-FFFF00000000}">
      <tableStyleElement type="wholeTable" dxfId="1830"/>
      <tableStyleElement type="headerRow" dxfId="1829"/>
    </tableStyle>
    <tableStyle name="Estilo de Tabela 1 2" pivot="0" count="2" xr9:uid="{00000000-0011-0000-FFFF-FFFF01000000}">
      <tableStyleElement type="wholeTable" dxfId="1828"/>
      <tableStyleElement type="headerRow" dxfId="1827"/>
    </tableStyle>
    <tableStyle name="Estilo de Tabela 1 3" pivot="0" count="2" xr9:uid="{24356F5C-C4E7-4D10-BF96-5C98798457E1}">
      <tableStyleElement type="wholeTable" dxfId="1826"/>
      <tableStyleElement type="headerRow" dxfId="1825"/>
    </tableStyle>
    <tableStyle name="Estilo de Tabela 1 4" pivot="0" count="2" xr9:uid="{4A9F25D3-4F0A-436D-AD13-5F50C4AA064B}">
      <tableStyleElement type="wholeTable" dxfId="1824"/>
      <tableStyleElement type="headerRow" dxfId="1823"/>
    </tableStyle>
    <tableStyle name="Estilo de Tabela Dinâmica 1" table="0" count="9" xr9:uid="{00000000-0011-0000-FFFF-FFFF02000000}">
      <tableStyleElement type="wholeTable" dxfId="1822"/>
      <tableStyleElement type="headerRow" dxfId="1821"/>
      <tableStyleElement type="totalRow" dxfId="1820"/>
      <tableStyleElement type="lastColumn" dxfId="1819"/>
      <tableStyleElement type="firstSubtotalColumn" dxfId="1818"/>
      <tableStyleElement type="firstRowSubheading" dxfId="1817"/>
      <tableStyleElement type="secondRowSubheading" dxfId="1816"/>
      <tableStyleElement type="pageFieldLabels" dxfId="1815"/>
      <tableStyleElement type="pageFieldValues" dxfId="1814"/>
    </tableStyle>
    <tableStyle name="Estilo de Tabela Dinâmica 1 2" table="0" count="6" xr9:uid="{00000000-0011-0000-FFFF-FFFF03000000}">
      <tableStyleElement type="wholeTable" dxfId="1813"/>
      <tableStyleElement type="headerRow" dxfId="1812"/>
      <tableStyleElement type="totalRow" dxfId="1811"/>
      <tableStyleElement type="firstRowSubheading" dxfId="1810"/>
      <tableStyleElement type="pageFieldLabels" dxfId="1809"/>
      <tableStyleElement type="pageFieldValues" dxfId="1808"/>
    </tableStyle>
  </tableStyles>
  <colors>
    <mruColors>
      <color rgb="FFFFFFFF"/>
      <color rgb="FF797979"/>
      <color rgb="FFEBEBEB"/>
      <color rgb="FFF0462E"/>
      <color rgb="FF001C54"/>
      <color rgb="FF55B03E"/>
      <color rgb="FFF36653"/>
      <color rgb="FFEBE9E9"/>
      <color rgb="FFDFDDDD"/>
      <color rgb="FF644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theme" Target="theme/theme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Fluxo de caixa - AF 26 11 2025.xlsm]CAD_ORÇ!Tabela dinâmica4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Participação no Montante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solidFill>
              <a:srgbClr val="FFFFFF">
                <a:alpha val="8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3.2664479440069991E-2"/>
              <c:y val="0.2048840769903762"/>
            </c:manualLayout>
          </c:layout>
          <c:spPr>
            <a:solidFill>
              <a:srgbClr val="FFFFFF">
                <a:alpha val="8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CAD_ORÇ!$C$183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5AE-4474-8BC6-53F7804AC6E2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1299-4E15-90F3-0C76115D1EBD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1299-4E15-90F3-0C76115D1EB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02EB-45DD-A672-3C6B58451B61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02EB-45DD-A672-3C6B58451B6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02EB-45DD-A672-3C6B58451B61}"/>
              </c:ext>
            </c:extLst>
          </c:dPt>
          <c:dLbls>
            <c:dLbl>
              <c:idx val="1"/>
              <c:layout>
                <c:manualLayout>
                  <c:x val="3.2664479440069991E-2"/>
                  <c:y val="0.204884076990376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299-4E15-90F3-0C76115D1EBD}"/>
                </c:ext>
              </c:extLst>
            </c:dLbl>
            <c:spPr>
              <a:solidFill>
                <a:srgbClr val="FFFFFF">
                  <a:alpha val="8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CAD_ORÇ!$B$184:$B$190</c:f>
              <c:strCache>
                <c:ptCount val="6"/>
                <c:pt idx="0">
                  <c:v>(vazio)</c:v>
                </c:pt>
                <c:pt idx="1">
                  <c:v>FEDERAL IMÓVEIS</c:v>
                </c:pt>
                <c:pt idx="2">
                  <c:v>COOPERATIVA DE ECONOMIA E CREDITO MUTUO DOS COMERCIANTES DE CONFECC</c:v>
                </c:pt>
                <c:pt idx="3">
                  <c:v>RECEITA FEDERAL</c:v>
                </c:pt>
                <c:pt idx="4">
                  <c:v>PREFEITURA DE GOIÂNIA - SECRETARIA DE FINANÇAS</c:v>
                </c:pt>
                <c:pt idx="5">
                  <c:v>RECEITA FEDERAL </c:v>
                </c:pt>
              </c:strCache>
            </c:strRef>
          </c:cat>
          <c:val>
            <c:numRef>
              <c:f>CAD_ORÇ!$C$184:$C$190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99-4E15-90F3-0C76115D1E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Fluxo de caixa - AF 26 11 2025.xlsm]CAD_ORÇ!Tabela dinâmica3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none" spc="0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en-US" sz="1600" b="1" i="0" u="none" strike="noStrike" kern="1200" cap="none" spc="0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Taxa Efetiva de Juros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none" spc="0" normalizeH="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CAD_ORÇ!$G$183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CAD_ORÇ!$F$184:$F$190</c:f>
              <c:strCache>
                <c:ptCount val="6"/>
                <c:pt idx="0">
                  <c:v>(vazio)</c:v>
                </c:pt>
                <c:pt idx="1">
                  <c:v>FEDERAL IMÓVEIS</c:v>
                </c:pt>
                <c:pt idx="2">
                  <c:v>COOPERATIVA DE ECONOMIA E CREDITO MUTUO DOS COMERCIANTES DE CONFECC</c:v>
                </c:pt>
                <c:pt idx="3">
                  <c:v>RECEITA FEDERAL</c:v>
                </c:pt>
                <c:pt idx="4">
                  <c:v>PREFEITURA DE GOIÂNIA - SECRETARIA DE FINANÇAS</c:v>
                </c:pt>
                <c:pt idx="5">
                  <c:v>RECEITA FEDERAL </c:v>
                </c:pt>
              </c:strCache>
            </c:strRef>
          </c:cat>
          <c:val>
            <c:numRef>
              <c:f>CAD_ORÇ!$G$184:$G$190</c:f>
              <c:numCache>
                <c:formatCode>0.00%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42C6-4276-A358-FBED817B2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177911536"/>
        <c:axId val="1298069024"/>
      </c:barChart>
      <c:catAx>
        <c:axId val="117791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8069024"/>
        <c:crosses val="autoZero"/>
        <c:auto val="1"/>
        <c:lblAlgn val="ctr"/>
        <c:lblOffset val="100"/>
        <c:noMultiLvlLbl val="0"/>
      </c:catAx>
      <c:valAx>
        <c:axId val="129806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791153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Apoio!$S$15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rgbClr val="55B03E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A98-4BD8-A51D-2B4C34AA4564}"/>
              </c:ext>
            </c:extLst>
          </c:dPt>
          <c:dLbls>
            <c:numFmt formatCode="_(&quot;R$&quot;* #,##0_);_(&quot;R$&quot;* \(#,##0\);_(&quot;R$&quot;* &quot;-&quot;_);_(@_)" sourceLinked="0"/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pt-BR"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Apoio!$T$15</c:f>
              <c:numCache>
                <c:formatCode>_("R$"* #,##0.00_);_("R$"* \(#,##0.00\);_("R$"* "-"??_);_(@_)</c:formatCode>
                <c:ptCount val="1"/>
                <c:pt idx="0">
                  <c:v>32737.730000000003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4-4F8D-944A-8310E75AE914}"/>
            </c:ext>
          </c:extLst>
        </c:ser>
        <c:ser>
          <c:idx val="0"/>
          <c:order val="1"/>
          <c:tx>
            <c:strRef>
              <c:f>Apoio!$S$16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(&quot;R$&quot;* #,##0_);_(&quot;R$&quot;* \(#,##0\);_(&quot;R$&quot;* &quot;-&quot;_);_(@_)" sourceLinked="0"/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pt-BR"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Apoio!$T$16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4-4F8D-944A-8310E75AE914}"/>
            </c:ext>
          </c:extLst>
        </c:ser>
        <c:ser>
          <c:idx val="2"/>
          <c:order val="2"/>
          <c:tx>
            <c:strRef>
              <c:f>Apoio!$S$17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numFmt formatCode="_(&quot;R$&quot;* #,##0_);_(&quot;R$&quot;* \(#,##0\);_(&quot;R$&quot;* &quot;-&quot;_);_(@_)" sourceLinked="0"/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Apoio!$T$17</c:f>
              <c:numCache>
                <c:formatCode>_("R$"* #,##0.00_);_("R$"* \(#,##0.00\);_("R$"* "-"??_);_(@_)</c:formatCode>
                <c:ptCount val="1"/>
                <c:pt idx="0">
                  <c:v>28741.18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44-4F8D-944A-8310E75AE914}"/>
            </c:ext>
          </c:extLst>
        </c:ser>
        <c:ser>
          <c:idx val="3"/>
          <c:order val="3"/>
          <c:tx>
            <c:strRef>
              <c:f>Apoio!$S$18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R$&quot;* #,##0_);_(&quot;R$&quot;* \(#,##0\);_(&quot;R$&quot;* &quot;-&quot;_);_(@_)" sourceLinked="0"/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Apoio!$T$18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44-4F8D-944A-8310E75AE91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10"/>
        <c:axId val="562522960"/>
        <c:axId val="562523520"/>
      </c:barChart>
      <c:catAx>
        <c:axId val="562522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2523520"/>
        <c:crosses val="autoZero"/>
        <c:auto val="1"/>
        <c:lblAlgn val="ctr"/>
        <c:lblOffset val="100"/>
        <c:noMultiLvlLbl val="0"/>
      </c:catAx>
      <c:valAx>
        <c:axId val="562523520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56252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Apoio!$S$7</c:f>
              <c:strCache>
                <c:ptCount val="1"/>
                <c:pt idx="0">
                  <c:v>Lucro / Prejuízo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(&quot;R$&quot;* #,##0_);_(&quot;R$&quot;* \(#,##0\);_(&quot;R$&quot;* &quot;-&quot;_);_(@_)" sourceLinked="0"/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pt-BR"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Apoio!$T$7</c:f>
              <c:numCache>
                <c:formatCode>_("R$"* #,##0.00_);_("R$"* \(#,##0.00\);_("R$"* "-"??_);_(@_)</c:formatCode>
                <c:ptCount val="1"/>
                <c:pt idx="0">
                  <c:v>3996.5500000000011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4-4F8D-944A-8310E75AE914}"/>
            </c:ext>
          </c:extLst>
        </c:ser>
        <c:ser>
          <c:idx val="0"/>
          <c:order val="1"/>
          <c:tx>
            <c:strRef>
              <c:f>Apoio!$S$11</c:f>
              <c:strCache>
                <c:ptCount val="1"/>
                <c:pt idx="0">
                  <c:v>Meta de Lucro / Prejuízo</c:v>
                </c:pt>
              </c:strCache>
            </c:strRef>
          </c:tx>
          <c:spPr>
            <a:solidFill>
              <a:srgbClr val="B4C7E7"/>
            </a:solidFill>
            <a:ln>
              <a:noFill/>
            </a:ln>
            <a:effectLst/>
          </c:spPr>
          <c:invertIfNegative val="0"/>
          <c:dLbls>
            <c:numFmt formatCode="_(&quot;R$&quot;* #,##0_);_(&quot;R$&quot;* \(#,##0\);_(&quot;R$&quot;* &quot;-&quot;_);_(@_)" sourceLinked="0"/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pt-BR"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Apoio!$T$11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4-4F8D-944A-8310E75AE91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10"/>
        <c:axId val="446555200"/>
        <c:axId val="446555760"/>
      </c:barChart>
      <c:catAx>
        <c:axId val="4465552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6555760"/>
        <c:crosses val="autoZero"/>
        <c:auto val="1"/>
        <c:lblAlgn val="ctr"/>
        <c:lblOffset val="100"/>
        <c:noMultiLvlLbl val="0"/>
      </c:catAx>
      <c:valAx>
        <c:axId val="446555760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655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790589267824171E-2"/>
          <c:y val="8.5175038051750376E-2"/>
          <c:w val="0.56895865934739231"/>
          <c:h val="0.8235611644434857"/>
        </c:manualLayout>
      </c:layout>
      <c:doughnut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469523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C84-4830-B07B-B96E734B9A53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C84-4830-B07B-B96E734B9A5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E92-4D8D-82BF-571C1517131B}"/>
              </c:ext>
            </c:extLst>
          </c:dPt>
          <c:dLbls>
            <c:numFmt formatCode="General" sourceLinked="0"/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Apoio!$W$5:$W$7</c:f>
              <c:strCache>
                <c:ptCount val="3"/>
                <c:pt idx="0">
                  <c:v>RECEITAS OPERACIONAIS</c:v>
                </c:pt>
                <c:pt idx="1">
                  <c:v>RECEITAS NÃO OPERACIONAIS</c:v>
                </c:pt>
                <c:pt idx="2">
                  <c:v>OUTROS CRÉDITOS (NÃO ENTRA NA DRE)</c:v>
                </c:pt>
              </c:strCache>
            </c:strRef>
          </c:cat>
          <c:val>
            <c:numRef>
              <c:f>Apoio!$AL$5:$AL$7</c:f>
              <c:numCache>
                <c:formatCode>_("R$"* #,##0.00_);_("R$"* \(#,##0.00\);_("R$"* "-"??_);_(@_)</c:formatCode>
                <c:ptCount val="3"/>
                <c:pt idx="0">
                  <c:v>29488.57</c:v>
                </c:pt>
                <c:pt idx="1">
                  <c:v>0</c:v>
                </c:pt>
                <c:pt idx="2">
                  <c:v>3249.16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84-4830-B07B-B96E734B9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991066179819E-2"/>
          <c:y val="8.5175038051750376E-2"/>
          <c:w val="0.54792816513077824"/>
          <c:h val="0.79311976413907181"/>
        </c:manualLayout>
      </c:layout>
      <c:doughnut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C84-4830-B07B-B96E734B9A53}"/>
              </c:ext>
            </c:extLst>
          </c:dPt>
          <c:dPt>
            <c:idx val="1"/>
            <c:bubble3D val="0"/>
            <c:spPr>
              <a:solidFill>
                <a:srgbClr val="B4C7E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C84-4830-B07B-B96E734B9A53}"/>
              </c:ext>
            </c:extLst>
          </c:dPt>
          <c:dPt>
            <c:idx val="2"/>
            <c:bubble3D val="0"/>
            <c:spPr>
              <a:solidFill>
                <a:srgbClr val="566DCE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C84-4830-B07B-B96E734B9A5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3B53-44B3-BDB1-2B8C42A7C9DA}"/>
              </c:ext>
            </c:extLst>
          </c:dPt>
          <c:dPt>
            <c:idx val="4"/>
            <c:bubble3D val="0"/>
            <c:spPr>
              <a:solidFill>
                <a:srgbClr val="986872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DA-46B8-9943-AA649525001D}"/>
              </c:ext>
            </c:extLst>
          </c:dPt>
          <c:dPt>
            <c:idx val="5"/>
            <c:bubble3D val="0"/>
            <c:spPr>
              <a:solidFill>
                <a:srgbClr val="F36653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4DA-46B8-9943-AA649525001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4DA-46B8-9943-AA649525001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4DA-46B8-9943-AA649525001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496-4629-B958-B50C68BED006}"/>
              </c:ext>
            </c:extLst>
          </c:dPt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Apoio!$W$8:$W$16</c:f>
              <c:strCache>
                <c:ptCount val="9"/>
                <c:pt idx="0">
                  <c:v>DESPESAS OPERACIONAIS</c:v>
                </c:pt>
                <c:pt idx="1">
                  <c:v>DESPESAS ADMINISTRATIVAS</c:v>
                </c:pt>
                <c:pt idx="2">
                  <c:v>DESPESAS COMERCIAIS</c:v>
                </c:pt>
                <c:pt idx="3">
                  <c:v>DESPESAS COM RH</c:v>
                </c:pt>
                <c:pt idx="4">
                  <c:v>DESPESAS NÃO OPERACIONAIS</c:v>
                </c:pt>
                <c:pt idx="5">
                  <c:v>IMPOSTOS</c:v>
                </c:pt>
                <c:pt idx="6">
                  <c:v>INVESTIMENTOS</c:v>
                </c:pt>
                <c:pt idx="7">
                  <c:v>ENDIVIDAMENTOS</c:v>
                </c:pt>
                <c:pt idx="8">
                  <c:v>OUTROS DÉBITOS (NÃO ENTRA NA DRE)</c:v>
                </c:pt>
              </c:strCache>
            </c:strRef>
          </c:cat>
          <c:val>
            <c:numRef>
              <c:f>Apoio!$AL$8:$AL$16</c:f>
              <c:numCache>
                <c:formatCode>_("R$"* #,##0.00_);_("R$"* \(#,##0.00\);_("R$"* "-"??_);_(@_)</c:formatCode>
                <c:ptCount val="9"/>
                <c:pt idx="0">
                  <c:v>0</c:v>
                </c:pt>
                <c:pt idx="1">
                  <c:v>15124.569999999998</c:v>
                </c:pt>
                <c:pt idx="2">
                  <c:v>0</c:v>
                </c:pt>
                <c:pt idx="3">
                  <c:v>13616.61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84-4830-B07B-B96E734B9A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988706459011228"/>
          <c:y val="0"/>
          <c:w val="0.41487634234995074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116370808678499E-3"/>
          <c:y val="9.713024282560706E-2"/>
          <c:w val="0.84640556616813445"/>
          <c:h val="0.80573951434878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'REL_FC'!$B$8</c:f>
              <c:strCache>
                <c:ptCount val="1"/>
                <c:pt idx="0">
                  <c:v> Receitas </c:v>
                </c:pt>
              </c:strCache>
            </c:strRef>
          </c:tx>
          <c:spPr>
            <a:solidFill>
              <a:srgbClr val="55B02A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'REL_FC'!$C$6:$N$6</c:f>
              <c:strCache>
                <c:ptCount val="12"/>
                <c:pt idx="0">
                  <c:v> JANEIRO </c:v>
                </c:pt>
                <c:pt idx="1">
                  <c:v> FEVEREIRO </c:v>
                </c:pt>
                <c:pt idx="2">
                  <c:v> MARÇO </c:v>
                </c:pt>
                <c:pt idx="3">
                  <c:v> ABRIL </c:v>
                </c:pt>
                <c:pt idx="4">
                  <c:v> MAIO </c:v>
                </c:pt>
                <c:pt idx="5">
                  <c:v> JUNHO </c:v>
                </c:pt>
                <c:pt idx="6">
                  <c:v> JULHO </c:v>
                </c:pt>
                <c:pt idx="7">
                  <c:v> AGOSTO </c:v>
                </c:pt>
                <c:pt idx="8">
                  <c:v> SETEMBRO </c:v>
                </c:pt>
                <c:pt idx="9">
                  <c:v> OUTUBRO </c:v>
                </c:pt>
                <c:pt idx="10">
                  <c:v> NOVEMBRO </c:v>
                </c:pt>
                <c:pt idx="11">
                  <c:v> DEZEMBRO </c:v>
                </c:pt>
              </c:strCache>
            </c:strRef>
          </c:cat>
          <c:val>
            <c:numRef>
              <c:f>'REL_FC'!$C$8:$N$8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24765.300000000003</c:v>
                </c:pt>
                <c:pt idx="10">
                  <c:v>7972.4299999999994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B5-4007-86C8-C17D67611338}"/>
            </c:ext>
          </c:extLst>
        </c:ser>
        <c:ser>
          <c:idx val="1"/>
          <c:order val="1"/>
          <c:tx>
            <c:strRef>
              <c:f>'REL_FC'!$B$10</c:f>
              <c:strCache>
                <c:ptCount val="1"/>
                <c:pt idx="0">
                  <c:v> Despesas </c:v>
                </c:pt>
              </c:strCache>
            </c:strRef>
          </c:tx>
          <c:spPr>
            <a:solidFill>
              <a:srgbClr val="F0462E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'REL_FC'!$C$6:$N$6</c:f>
              <c:strCache>
                <c:ptCount val="12"/>
                <c:pt idx="0">
                  <c:v> JANEIRO </c:v>
                </c:pt>
                <c:pt idx="1">
                  <c:v> FEVEREIRO </c:v>
                </c:pt>
                <c:pt idx="2">
                  <c:v> MARÇO </c:v>
                </c:pt>
                <c:pt idx="3">
                  <c:v> ABRIL </c:v>
                </c:pt>
                <c:pt idx="4">
                  <c:v> MAIO </c:v>
                </c:pt>
                <c:pt idx="5">
                  <c:v> JUNHO </c:v>
                </c:pt>
                <c:pt idx="6">
                  <c:v> JULHO </c:v>
                </c:pt>
                <c:pt idx="7">
                  <c:v> AGOSTO </c:v>
                </c:pt>
                <c:pt idx="8">
                  <c:v> SETEMBRO </c:v>
                </c:pt>
                <c:pt idx="9">
                  <c:v> OUTUBRO </c:v>
                </c:pt>
                <c:pt idx="10">
                  <c:v> NOVEMBRO </c:v>
                </c:pt>
                <c:pt idx="11">
                  <c:v> DEZEMBRO </c:v>
                </c:pt>
              </c:strCache>
            </c:strRef>
          </c:cat>
          <c:val>
            <c:numRef>
              <c:f>'REL_FC'!$C$10:$N$10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23373.65</c:v>
                </c:pt>
                <c:pt idx="10">
                  <c:v>5367.53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B5-4007-86C8-C17D676113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74861600"/>
        <c:axId val="274862160"/>
      </c:barChart>
      <c:lineChart>
        <c:grouping val="standard"/>
        <c:varyColors val="0"/>
        <c:ser>
          <c:idx val="2"/>
          <c:order val="2"/>
          <c:tx>
            <c:strRef>
              <c:f>'REL_FC'!$B$12</c:f>
              <c:strCache>
                <c:ptCount val="1"/>
                <c:pt idx="0">
                  <c:v> Lucro / Prejuízo </c:v>
                </c:pt>
              </c:strCache>
            </c:strRef>
          </c:tx>
          <c:spPr>
            <a:ln w="12700" cap="rnd">
              <a:solidFill>
                <a:srgbClr val="404040"/>
              </a:solidFill>
              <a:round/>
            </a:ln>
            <a:effectLst/>
          </c:spPr>
          <c:marker>
            <c:symbol val="none"/>
          </c:marker>
          <c:dLbls>
            <c:numFmt formatCode="_(&quot;R$&quot;* #,##0.00_);_(&quot;R$&quot;* \(#,##0.00\);_(&quot;R$&quot;* &quot;-&quot;??_);_(@_)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040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'REL_FC'!$C$6:$N$6</c:f>
              <c:strCache>
                <c:ptCount val="12"/>
                <c:pt idx="0">
                  <c:v> JANEIRO </c:v>
                </c:pt>
                <c:pt idx="1">
                  <c:v> FEVEREIRO </c:v>
                </c:pt>
                <c:pt idx="2">
                  <c:v> MARÇO </c:v>
                </c:pt>
                <c:pt idx="3">
                  <c:v> ABRIL </c:v>
                </c:pt>
                <c:pt idx="4">
                  <c:v> MAIO </c:v>
                </c:pt>
                <c:pt idx="5">
                  <c:v> JUNHO </c:v>
                </c:pt>
                <c:pt idx="6">
                  <c:v> JULHO </c:v>
                </c:pt>
                <c:pt idx="7">
                  <c:v> AGOSTO </c:v>
                </c:pt>
                <c:pt idx="8">
                  <c:v> SETEMBRO </c:v>
                </c:pt>
                <c:pt idx="9">
                  <c:v> OUTUBRO </c:v>
                </c:pt>
                <c:pt idx="10">
                  <c:v> NOVEMBRO </c:v>
                </c:pt>
                <c:pt idx="11">
                  <c:v> DEZEMBRO </c:v>
                </c:pt>
              </c:strCache>
            </c:strRef>
          </c:cat>
          <c:val>
            <c:numRef>
              <c:f>'REL_FC'!$C$12:$N$12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1391.6500000000015</c:v>
                </c:pt>
                <c:pt idx="10">
                  <c:v>2604.8999999999996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EB5-4007-86C8-C17D676113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4861600"/>
        <c:axId val="274862160"/>
      </c:lineChart>
      <c:catAx>
        <c:axId val="27486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4862160"/>
        <c:crosses val="autoZero"/>
        <c:auto val="1"/>
        <c:lblAlgn val="ctr"/>
        <c:lblOffset val="100"/>
        <c:noMultiLvlLbl val="0"/>
      </c:catAx>
      <c:valAx>
        <c:axId val="274862160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7486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09844336550584"/>
          <c:y val="3.3542976939203356E-2"/>
          <c:w val="0.84528210331536036"/>
          <c:h val="0.815513626834381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Apoio!$AN$10</c:f>
              <c:strCache>
                <c:ptCount val="1"/>
                <c:pt idx="0">
                  <c:v>Acima</c:v>
                </c:pt>
              </c:strCache>
            </c:strRef>
          </c:tx>
          <c:spPr>
            <a:solidFill>
              <a:srgbClr val="55B03E"/>
            </a:solidFill>
            <a:ln>
              <a:noFill/>
            </a:ln>
            <a:effectLst/>
          </c:spPr>
          <c:invertIfNegative val="0"/>
          <c:dLbls>
            <c:numFmt formatCode="_(&quot;R$&quot;* #,##0.00_);_(&quot;R$&quot;* \(#,##0.00\);_(&quot;R$&quot;* &quot;-&quot;??_);_(@_)" sourceLinked="0"/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040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Apoio!$AO$7:$AZ$7</c:f>
              <c:strCache>
                <c:ptCount val="12"/>
                <c:pt idx="0">
                  <c:v> JANEIRO </c:v>
                </c:pt>
                <c:pt idx="1">
                  <c:v> FEVEREIRO </c:v>
                </c:pt>
                <c:pt idx="2">
                  <c:v> MARÇO </c:v>
                </c:pt>
                <c:pt idx="3">
                  <c:v> ABRIL </c:v>
                </c:pt>
                <c:pt idx="4">
                  <c:v> MAIO </c:v>
                </c:pt>
                <c:pt idx="5">
                  <c:v> JUNHO </c:v>
                </c:pt>
                <c:pt idx="6">
                  <c:v> JULHO </c:v>
                </c:pt>
                <c:pt idx="7">
                  <c:v> AGOSTO </c:v>
                </c:pt>
                <c:pt idx="8">
                  <c:v> SETEMBRO </c:v>
                </c:pt>
                <c:pt idx="9">
                  <c:v> OUTUBRO </c:v>
                </c:pt>
                <c:pt idx="10">
                  <c:v> NOVEMBRO </c:v>
                </c:pt>
                <c:pt idx="11">
                  <c:v> DEZEMBRO </c:v>
                </c:pt>
              </c:strCache>
              <c:extLst xmlns:c15="http://schemas.microsoft.com/office/drawing/2012/chart"/>
            </c:strRef>
          </c:cat>
          <c:val>
            <c:numRef>
              <c:f>Apoio!$AO$10:$AZ$10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34-4E23-9D0D-2C782B3F7834}"/>
            </c:ext>
          </c:extLst>
        </c:ser>
        <c:ser>
          <c:idx val="1"/>
          <c:order val="1"/>
          <c:tx>
            <c:strRef>
              <c:f>Apoio!$AN$11</c:f>
              <c:strCache>
                <c:ptCount val="1"/>
                <c:pt idx="0">
                  <c:v>Abaixo</c:v>
                </c:pt>
              </c:strCache>
            </c:strRef>
          </c:tx>
          <c:spPr>
            <a:solidFill>
              <a:srgbClr val="F0462E"/>
            </a:solidFill>
            <a:ln>
              <a:noFill/>
            </a:ln>
            <a:effectLst/>
          </c:spPr>
          <c:invertIfNegative val="0"/>
          <c:dLbls>
            <c:numFmt formatCode="_(&quot;R$&quot;* #,##0.00_);_(&quot;R$&quot;* \(#,##0.00\);_(&quot;R$&quot;* &quot;-&quot;??_);_(@_)" sourceLinked="0"/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040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Apoio!$AO$7:$AZ$7</c:f>
              <c:strCache>
                <c:ptCount val="12"/>
                <c:pt idx="0">
                  <c:v> JANEIRO </c:v>
                </c:pt>
                <c:pt idx="1">
                  <c:v> FEVEREIRO </c:v>
                </c:pt>
                <c:pt idx="2">
                  <c:v> MARÇO </c:v>
                </c:pt>
                <c:pt idx="3">
                  <c:v> ABRIL </c:v>
                </c:pt>
                <c:pt idx="4">
                  <c:v> MAIO </c:v>
                </c:pt>
                <c:pt idx="5">
                  <c:v> JUNHO </c:v>
                </c:pt>
                <c:pt idx="6">
                  <c:v> JULHO </c:v>
                </c:pt>
                <c:pt idx="7">
                  <c:v> AGOSTO </c:v>
                </c:pt>
                <c:pt idx="8">
                  <c:v> SETEMBRO </c:v>
                </c:pt>
                <c:pt idx="9">
                  <c:v> OUTUBRO </c:v>
                </c:pt>
                <c:pt idx="10">
                  <c:v> NOVEMBRO </c:v>
                </c:pt>
                <c:pt idx="11">
                  <c:v> DEZEMBRO </c:v>
                </c:pt>
              </c:strCache>
              <c:extLst xmlns:c15="http://schemas.microsoft.com/office/drawing/2012/chart"/>
            </c:strRef>
          </c:cat>
          <c:val>
            <c:numRef>
              <c:f>Apoio!$AO$11:$AZ$11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34-4E23-9D0D-2C782B3F7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74866080"/>
        <c:axId val="381041744"/>
      </c:barChart>
      <c:lineChart>
        <c:grouping val="standard"/>
        <c:varyColors val="0"/>
        <c:ser>
          <c:idx val="2"/>
          <c:order val="2"/>
          <c:tx>
            <c:strRef>
              <c:f>Apoio!$AN$8</c:f>
              <c:strCache>
                <c:ptCount val="1"/>
                <c:pt idx="0">
                  <c:v>Meta</c:v>
                </c:pt>
              </c:strCache>
            </c:strRef>
          </c:tx>
          <c:spPr>
            <a:ln w="12700" cap="rnd">
              <a:solidFill>
                <a:srgbClr val="404040"/>
              </a:solidFill>
              <a:round/>
            </a:ln>
            <a:effectLst/>
          </c:spPr>
          <c:marker>
            <c:symbol val="none"/>
          </c:marker>
          <c:cat>
            <c:strRef>
              <c:f>Apoio!$AO$7:$AZ$7</c:f>
              <c:strCache>
                <c:ptCount val="12"/>
                <c:pt idx="0">
                  <c:v> JANEIRO </c:v>
                </c:pt>
                <c:pt idx="1">
                  <c:v> FEVEREIRO </c:v>
                </c:pt>
                <c:pt idx="2">
                  <c:v> MARÇO </c:v>
                </c:pt>
                <c:pt idx="3">
                  <c:v> ABRIL </c:v>
                </c:pt>
                <c:pt idx="4">
                  <c:v> MAIO </c:v>
                </c:pt>
                <c:pt idx="5">
                  <c:v> JUNHO </c:v>
                </c:pt>
                <c:pt idx="6">
                  <c:v> JULHO </c:v>
                </c:pt>
                <c:pt idx="7">
                  <c:v> AGOSTO </c:v>
                </c:pt>
                <c:pt idx="8">
                  <c:v> SETEMBRO </c:v>
                </c:pt>
                <c:pt idx="9">
                  <c:v> OUTUBRO </c:v>
                </c:pt>
                <c:pt idx="10">
                  <c:v> NOVEMBRO </c:v>
                </c:pt>
                <c:pt idx="11">
                  <c:v> DEZEMBRO </c:v>
                </c:pt>
              </c:strCache>
            </c:strRef>
          </c:cat>
          <c:val>
            <c:numRef>
              <c:f>Apoio!$AO$8:$AZ$8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A34-4E23-9D0D-2C782B3F7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866080"/>
        <c:axId val="381041744"/>
      </c:lineChart>
      <c:catAx>
        <c:axId val="27486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1041744"/>
        <c:crosses val="autoZero"/>
        <c:auto val="1"/>
        <c:lblAlgn val="ctr"/>
        <c:lblOffset val="100"/>
        <c:noMultiLvlLbl val="0"/>
      </c:catAx>
      <c:valAx>
        <c:axId val="381041744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7486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7.099751508697196E-3"/>
          <c:y val="0.55607784875947119"/>
          <c:w val="7.8040580390709949E-2"/>
          <c:h val="0.424531273213489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777131340207242E-2"/>
          <c:y val="0.11963051828821826"/>
          <c:w val="0.35338582677165353"/>
          <c:h val="0.7841221993173600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1AA-406C-987A-5B81A223B823}"/>
              </c:ext>
            </c:extLst>
          </c:dPt>
          <c:dPt>
            <c:idx val="1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1AA-406C-987A-5B81A223B82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1AA-406C-987A-5B81A223B82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1AA-406C-987A-5B81A223B82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1AA-406C-987A-5B81A223B82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1AA-406C-987A-5B81A223B82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1AA-406C-987A-5B81A223B82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BF9-4841-AA83-7E6728F78926}"/>
              </c:ext>
            </c:extLst>
          </c:dPt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Apoio!$BC$17:$BC$24</c:f>
              <c:strCache>
                <c:ptCount val="8"/>
                <c:pt idx="0">
                  <c:v> RECEITAS OPERACIONAIS </c:v>
                </c:pt>
                <c:pt idx="1">
                  <c:v> RECEITAS NÃO OPERACIONAIS </c:v>
                </c:pt>
                <c:pt idx="2">
                  <c:v>  </c:v>
                </c:pt>
                <c:pt idx="3">
                  <c:v>  </c:v>
                </c:pt>
                <c:pt idx="4">
                  <c:v>  </c:v>
                </c:pt>
                <c:pt idx="5">
                  <c:v>  </c:v>
                </c:pt>
                <c:pt idx="6">
                  <c:v>  </c:v>
                </c:pt>
                <c:pt idx="7">
                  <c:v>  </c:v>
                </c:pt>
              </c:strCache>
            </c:strRef>
          </c:cat>
          <c:val>
            <c:numRef>
              <c:f>Apoio!$BE$17:$BE$24</c:f>
              <c:numCache>
                <c:formatCode>_("R$"* #,##0.00_);_("R$"* \(#,##0.00\);_("R$"* "-"??_);_(@_)</c:formatCode>
                <c:ptCount val="8"/>
                <c:pt idx="0">
                  <c:v>29488.57</c:v>
                </c:pt>
                <c:pt idx="1">
                  <c:v>0</c:v>
                </c:pt>
                <c:pt idx="2">
                  <c:v>3249.16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8-407D-84CC-BF06B5AFEF2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545454545454541"/>
          <c:y val="1.3945231095040159E-2"/>
          <c:w val="0.43907156673114117"/>
          <c:h val="0.983554008538632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764014894925E-2"/>
          <c:y val="0.12974358974358974"/>
          <c:w val="0.96021755048181401"/>
          <c:h val="0.56407672117908336"/>
        </c:manualLayout>
      </c:layout>
      <c:lineChart>
        <c:grouping val="standard"/>
        <c:varyColors val="0"/>
        <c:ser>
          <c:idx val="0"/>
          <c:order val="0"/>
          <c:tx>
            <c:strRef>
              <c:f>Apoio!$BC$9</c:f>
              <c:strCache>
                <c:ptCount val="1"/>
                <c:pt idx="0">
                  <c:v>OBRA 1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_(&quot;R$&quot;* #,##0.00_);_(&quot;R$&quot;* \(#,##0.00\);_(&quot;R$&quot;* &quot;-&quot;??_);_(@_)" sourceLinked="0"/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Apoio!$BE$6:$BP$6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Apoio!$BE$9:$BP$9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0B9-4C32-B094-5F0ED596AEFF}"/>
            </c:ext>
          </c:extLst>
        </c:ser>
        <c:ser>
          <c:idx val="1"/>
          <c:order val="1"/>
          <c:tx>
            <c:strRef>
              <c:f>Apoio!$BC$10</c:f>
              <c:strCache>
                <c:ptCount val="1"/>
                <c:pt idx="0">
                  <c:v>OBRA 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&quot;R$&quot;* #,##0.00_);_(&quot;R$&quot;* \(#,##0.00\);_(&quot;R$&quot;* &quot;-&quot;??_);_(@_)" sourceLinked="0"/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Apoio!$BE$6:$BP$6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Apoio!$BE$10:$BP$10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0B9-4C32-B094-5F0ED596AEF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381047904"/>
        <c:axId val="381048464"/>
      </c:lineChart>
      <c:catAx>
        <c:axId val="38104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1048464"/>
        <c:crosses val="autoZero"/>
        <c:auto val="1"/>
        <c:lblAlgn val="ctr"/>
        <c:lblOffset val="100"/>
        <c:noMultiLvlLbl val="0"/>
      </c:catAx>
      <c:valAx>
        <c:axId val="381048464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38104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038575225415435"/>
          <c:y val="0.12664341008006913"/>
          <c:w val="0.55634036281742394"/>
          <c:h val="0.55810093358583346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46952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3B-456D-853B-960A4DF4AA5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3B-456D-853B-960A4DF4AA5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C0A-44DC-A51B-F8EA4390BC36}"/>
              </c:ext>
            </c:extLst>
          </c:dPt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Apoio!$BU$5:$BU$7</c:f>
              <c:strCache>
                <c:ptCount val="3"/>
                <c:pt idx="0">
                  <c:v>RECEITAS OPERACIONAIS</c:v>
                </c:pt>
                <c:pt idx="1">
                  <c:v>RECEITAS NÃO OPERACIONAIS</c:v>
                </c:pt>
                <c:pt idx="2">
                  <c:v>OUTROS CRÉDITOS (NÃO ENTRA NA DRE)</c:v>
                </c:pt>
              </c:strCache>
            </c:strRef>
          </c:cat>
          <c:val>
            <c:numRef>
              <c:f>Apoio!$BV$5:$BV$7</c:f>
              <c:numCache>
                <c:formatCode>_("R$"* #,##0.00_);_("R$"* \(#,##0.00\);_("R$"* "-"??_);_(@_)</c:formatCode>
                <c:ptCount val="3"/>
                <c:pt idx="0">
                  <c:v>29488.57</c:v>
                </c:pt>
                <c:pt idx="1">
                  <c:v>0</c:v>
                </c:pt>
                <c:pt idx="2">
                  <c:v>3249.16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3B-456D-853B-960A4DF4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564439060502051E-2"/>
          <c:y val="0.15304591876510484"/>
          <c:w val="0.35848554187136866"/>
          <c:h val="0.55370044091023274"/>
        </c:manualLayout>
      </c:layout>
      <c:doughnutChart>
        <c:varyColors val="1"/>
        <c:ser>
          <c:idx val="0"/>
          <c:order val="0"/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REL_DRE_FINANCEIRO!$V$31:$V$130</c:f>
              <c:strCache>
                <c:ptCount val="100"/>
                <c:pt idx="0">
                  <c:v>MATRICULA</c:v>
                </c:pt>
                <c:pt idx="1">
                  <c:v>MENSALIDADE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</c:strCache>
            </c:strRef>
          </c:cat>
          <c:val>
            <c:numRef>
              <c:f>REL_DRE_FINANCEIRO!$W$31:$W$130</c:f>
              <c:numCache>
                <c:formatCode>"R$"\ #,##0.0</c:formatCode>
                <c:ptCount val="100"/>
                <c:pt idx="0">
                  <c:v>0</c:v>
                </c:pt>
                <c:pt idx="1">
                  <c:v>29488.57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3B-456D-853B-960A4DF4AA5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7031002534939548"/>
          <c:y val="1.5397728749252873E-2"/>
          <c:w val="0.51091078358794895"/>
          <c:h val="0.98240551614216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832806155640801E-2"/>
          <c:y val="0.19264987916114445"/>
          <c:w val="0.32999551338134014"/>
          <c:h val="0.50969604047018879"/>
        </c:manualLayout>
      </c:layout>
      <c:doughnutChart>
        <c:varyColors val="1"/>
        <c:ser>
          <c:idx val="0"/>
          <c:order val="0"/>
          <c:cat>
            <c:strRef>
              <c:f>REL_DRE_FINANCEIRO!$V$550:$V$649</c:f>
              <c:strCache>
                <c:ptCount val="100"/>
                <c:pt idx="0">
                  <c:v>APORTE SOCIO</c:v>
                </c:pt>
                <c:pt idx="1">
                  <c:v>DINHEIRO SAQUE</c:v>
                </c:pt>
                <c:pt idx="2">
                  <c:v>EMPRÉSTIMOS</c:v>
                </c:pt>
                <c:pt idx="3">
                  <c:v>EMPRÉSTIMOS A CLIENTES</c:v>
                </c:pt>
                <c:pt idx="4">
                  <c:v>ESTORNO</c:v>
                </c:pt>
                <c:pt idx="5">
                  <c:v>OUTRAS RECEITAS NÃO OPERACIONAIS</c:v>
                </c:pt>
                <c:pt idx="6">
                  <c:v>RECEITAS FINANCEIRAS</c:v>
                </c:pt>
                <c:pt idx="7">
                  <c:v>RENDIMENTO DE APLICAÇÃO</c:v>
                </c:pt>
                <c:pt idx="8">
                  <c:v>RESGATE DE APLICAÇÃO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</c:strCache>
            </c:strRef>
          </c:cat>
          <c:val>
            <c:numRef>
              <c:f>REL_DRE_FINANCEIRO!$W$550:$W$649</c:f>
              <c:numCache>
                <c:formatCode>"R$"\ #,##0.0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3B-456D-853B-960A4DF4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514749758844239"/>
          <c:y val="1.0997288705248472E-2"/>
          <c:w val="0.55589496825717311"/>
          <c:h val="0.978005076098161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832806155640801E-2"/>
          <c:y val="0.19264987916114445"/>
          <c:w val="0.32999551338134014"/>
          <c:h val="0.50969604047018879"/>
        </c:manualLayout>
      </c:layout>
      <c:doughnutChart>
        <c:varyColors val="1"/>
        <c:ser>
          <c:idx val="0"/>
          <c:order val="0"/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REL_DRE_FINANCEIRO!$V$1063:$V$1162</c:f>
              <c:strCache>
                <c:ptCount val="100"/>
                <c:pt idx="0">
                  <c:v>APLICAÇÃO</c:v>
                </c:pt>
                <c:pt idx="1">
                  <c:v>CAPITAL DE GIRO</c:v>
                </c:pt>
                <c:pt idx="2">
                  <c:v>DEVOLUÇÃO SÓCIOS</c:v>
                </c:pt>
                <c:pt idx="3">
                  <c:v>DINHEIRO (SAQUE)</c:v>
                </c:pt>
                <c:pt idx="4">
                  <c:v>EMPRÉSTIMOS</c:v>
                </c:pt>
                <c:pt idx="5">
                  <c:v>EMPRÉSTIMOS SÓCIOS</c:v>
                </c:pt>
                <c:pt idx="6">
                  <c:v>OUTROS CRÉDITOS</c:v>
                </c:pt>
                <c:pt idx="7">
                  <c:v>PAGAMENTO EMPRÉSTIMOS SÓCIOS</c:v>
                </c:pt>
                <c:pt idx="8">
                  <c:v>RENDIMENTO</c:v>
                </c:pt>
                <c:pt idx="9">
                  <c:v>RESGATE DE APLICAÇÃO</c:v>
                </c:pt>
                <c:pt idx="10">
                  <c:v>TRANSFERÊNCIA ENTRE CONTAS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</c:strCache>
            </c:strRef>
          </c:cat>
          <c:val>
            <c:numRef>
              <c:f>REL_DRE_FINANCEIRO!$W$1063:$W$1162</c:f>
              <c:numCache>
                <c:formatCode>"R$"\ #,##0.0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978.37999999999988</c:v>
                </c:pt>
                <c:pt idx="7">
                  <c:v>0</c:v>
                </c:pt>
                <c:pt idx="8">
                  <c:v>0.06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8-3D76-4805-A8A8-AF13874C06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514749758844239"/>
          <c:y val="1.0997288705248472E-2"/>
          <c:w val="0.55589496825717311"/>
          <c:h val="0.978005076098161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678661544118585E-2"/>
          <c:y val="1.6723811422306382E-2"/>
          <c:w val="0.83975401625521451"/>
          <c:h val="0.55009202963553605"/>
        </c:manualLayout>
      </c:layout>
      <c:doughnut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23-406F-942E-27E33BD418A9}"/>
              </c:ext>
            </c:extLst>
          </c:dPt>
          <c:dPt>
            <c:idx val="1"/>
            <c:bubble3D val="0"/>
            <c:spPr>
              <a:solidFill>
                <a:srgbClr val="566DCE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23-406F-942E-27E33BD418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923-406F-942E-27E33BD418A9}"/>
              </c:ext>
            </c:extLst>
          </c:dPt>
          <c:dPt>
            <c:idx val="3"/>
            <c:bubble3D val="0"/>
            <c:spPr>
              <a:solidFill>
                <a:srgbClr val="986872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923-406F-942E-27E33BD418A9}"/>
              </c:ext>
            </c:extLst>
          </c:dPt>
          <c:dPt>
            <c:idx val="4"/>
            <c:bubble3D val="0"/>
            <c:spPr>
              <a:solidFill>
                <a:srgbClr val="F36653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A3D-4F5C-9D64-0C69670CECC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A3D-4F5C-9D64-0C69670CECC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A3D-4F5C-9D64-0C69670CECC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5C8-489C-A6BD-C24F22EC42C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5C8-489C-A6BD-C24F22EC42C8}"/>
              </c:ext>
            </c:extLst>
          </c:dPt>
          <c:dLbls>
            <c:spPr>
              <a:solidFill>
                <a:srgbClr val="FFFFFF">
                  <a:alpha val="69804"/>
                </a:srgbClr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Apoio!$BU$8:$BU$16</c:f>
              <c:strCache>
                <c:ptCount val="9"/>
                <c:pt idx="0">
                  <c:v>DESPESAS OPERACIONAIS</c:v>
                </c:pt>
                <c:pt idx="1">
                  <c:v>DESPESAS ADMINISTRATIVAS</c:v>
                </c:pt>
                <c:pt idx="2">
                  <c:v>DESPESAS COMERCIAIS</c:v>
                </c:pt>
                <c:pt idx="3">
                  <c:v>DESPESAS COM RH</c:v>
                </c:pt>
                <c:pt idx="4">
                  <c:v>DESPESAS NÃO OPERACIONAIS</c:v>
                </c:pt>
                <c:pt idx="5">
                  <c:v>IMPOSTOS</c:v>
                </c:pt>
                <c:pt idx="6">
                  <c:v>INVESTIMENTOS</c:v>
                </c:pt>
                <c:pt idx="7">
                  <c:v>ENDIVIDAMENTOS</c:v>
                </c:pt>
                <c:pt idx="8">
                  <c:v>OUTROS DÉBITOS (NÃO ENTRA NA DRE)</c:v>
                </c:pt>
              </c:strCache>
            </c:strRef>
          </c:cat>
          <c:val>
            <c:numRef>
              <c:f>Apoio!$BV$8:$BV$16</c:f>
              <c:numCache>
                <c:formatCode>_("R$"* #,##0.00_);_("R$"* \(#,##0.00\);_("R$"* "-"??_);_(@_)</c:formatCode>
                <c:ptCount val="9"/>
                <c:pt idx="0">
                  <c:v>0</c:v>
                </c:pt>
                <c:pt idx="1">
                  <c:v>15124.569999999998</c:v>
                </c:pt>
                <c:pt idx="2">
                  <c:v>0</c:v>
                </c:pt>
                <c:pt idx="3">
                  <c:v>13616.61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23-406F-942E-27E33BD41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 w="6350">
          <a:noFill/>
        </a:ln>
        <a:effectLst/>
      </c:spPr>
    </c:plotArea>
    <c:legend>
      <c:legendPos val="b"/>
      <c:layout>
        <c:manualLayout>
          <c:xMode val="edge"/>
          <c:yMode val="edge"/>
          <c:x val="0.10360074555897904"/>
          <c:y val="0.59282301737599252"/>
          <c:w val="0.79279850888204195"/>
          <c:h val="0.381860526927804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1589119541875448E-2"/>
          <c:y val="4.9019607843137254E-2"/>
          <c:w val="0.47757575757575765"/>
          <c:h val="0.9270588235294119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23-406F-942E-27E33BD418A9}"/>
              </c:ext>
            </c:extLst>
          </c:dPt>
          <c:dPt>
            <c:idx val="1"/>
            <c:bubble3D val="0"/>
            <c:spPr>
              <a:solidFill>
                <a:srgbClr val="566DC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23-406F-942E-27E33BD418A9}"/>
              </c:ext>
            </c:extLst>
          </c:dPt>
          <c:dPt>
            <c:idx val="2"/>
            <c:bubble3D val="0"/>
            <c:spPr>
              <a:solidFill>
                <a:srgbClr val="644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923-406F-942E-27E33BD418A9}"/>
              </c:ext>
            </c:extLst>
          </c:dPt>
          <c:dPt>
            <c:idx val="3"/>
            <c:bubble3D val="0"/>
            <c:spPr>
              <a:solidFill>
                <a:srgbClr val="98687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923-406F-942E-27E33BD418A9}"/>
              </c:ext>
            </c:extLst>
          </c:dPt>
          <c:dPt>
            <c:idx val="4"/>
            <c:bubble3D val="0"/>
            <c:spPr>
              <a:solidFill>
                <a:srgbClr val="F3665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6B5-4F0A-95BA-B9289E7A8ED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17D-498C-A5DF-FBF9182FD6E2}"/>
              </c:ext>
            </c:extLst>
          </c:dPt>
          <c:dPt>
            <c:idx val="6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09D0-4F3C-A5D3-ABBA84505DE8}"/>
              </c:ext>
            </c:extLst>
          </c:dPt>
          <c:dPt>
            <c:idx val="7"/>
            <c:bubble3D val="0"/>
            <c:spPr>
              <a:solidFill>
                <a:schemeClr val="accent5">
                  <a:lumMod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9D0-4F3C-A5D3-ABBA84505DE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17D-498C-A5DF-FBF9182FD6E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17D-498C-A5DF-FBF9182FD6E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0FC-4FA3-99A2-8D0E1D282E8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0FC-4FA3-99A2-8D0E1D282E8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0FC-4FA3-99A2-8D0E1D282E80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0FC-4FA3-99A2-8D0E1D282E80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0FC-4FA3-99A2-8D0E1D282E80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D0FC-4FA3-99A2-8D0E1D282E80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D0FC-4FA3-99A2-8D0E1D282E80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D0FC-4FA3-99A2-8D0E1D282E80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D0FC-4FA3-99A2-8D0E1D282E80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D0FC-4FA3-99A2-8D0E1D282E80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D0FC-4FA3-99A2-8D0E1D282E80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D0FC-4FA3-99A2-8D0E1D282E80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D0FC-4FA3-99A2-8D0E1D282E80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D0FC-4FA3-99A2-8D0E1D282E80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D0FC-4FA3-99A2-8D0E1D282E80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D0FC-4FA3-99A2-8D0E1D282E80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D0FC-4FA3-99A2-8D0E1D282E80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D0FC-4FA3-99A2-8D0E1D282E80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D0FC-4FA3-99A2-8D0E1D282E80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D0FC-4FA3-99A2-8D0E1D282E80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D0FC-4FA3-99A2-8D0E1D282E80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D0FC-4FA3-99A2-8D0E1D282E80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D0FC-4FA3-99A2-8D0E1D282E80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D0FC-4FA3-99A2-8D0E1D282E80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D0FC-4FA3-99A2-8D0E1D282E80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D0FC-4FA3-99A2-8D0E1D282E80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D0FC-4FA3-99A2-8D0E1D282E80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D0FC-4FA3-99A2-8D0E1D282E80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D0FC-4FA3-99A2-8D0E1D282E80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D0FC-4FA3-99A2-8D0E1D282E80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D0FC-4FA3-99A2-8D0E1D282E80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D0FC-4FA3-99A2-8D0E1D282E80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D0FC-4FA3-99A2-8D0E1D282E80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D0FC-4FA3-99A2-8D0E1D282E80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D0FC-4FA3-99A2-8D0E1D282E80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D0FC-4FA3-99A2-8D0E1D282E80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D0FC-4FA3-99A2-8D0E1D282E80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D0FC-4FA3-99A2-8D0E1D282E80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D0FC-4FA3-99A2-8D0E1D282E80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D0FC-4FA3-99A2-8D0E1D282E80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D0FC-4FA3-99A2-8D0E1D282E80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D0FC-4FA3-99A2-8D0E1D282E80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D0FC-4FA3-99A2-8D0E1D282E80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D0FC-4FA3-99A2-8D0E1D282E80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D0FC-4FA3-99A2-8D0E1D282E80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D0FC-4FA3-99A2-8D0E1D282E80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D0FC-4FA3-99A2-8D0E1D282E80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D0FC-4FA3-99A2-8D0E1D282E80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D0FC-4FA3-99A2-8D0E1D282E80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D0FC-4FA3-99A2-8D0E1D282E80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D0FC-4FA3-99A2-8D0E1D282E80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D0FC-4FA3-99A2-8D0E1D282E80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D0FC-4FA3-99A2-8D0E1D282E80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D0FC-4FA3-99A2-8D0E1D282E80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D0FC-4FA3-99A2-8D0E1D282E80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D0FC-4FA3-99A2-8D0E1D282E80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D0FC-4FA3-99A2-8D0E1D282E80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D0FC-4FA3-99A2-8D0E1D282E80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D0FC-4FA3-99A2-8D0E1D282E80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D0FC-4FA3-99A2-8D0E1D282E80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D0FC-4FA3-99A2-8D0E1D282E80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D0FC-4FA3-99A2-8D0E1D282E80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D0FC-4FA3-99A2-8D0E1D282E80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D0FC-4FA3-99A2-8D0E1D282E80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D0FC-4FA3-99A2-8D0E1D282E80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D0FC-4FA3-99A2-8D0E1D282E80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D0FC-4FA3-99A2-8D0E1D282E80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D0FC-4FA3-99A2-8D0E1D282E80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D0FC-4FA3-99A2-8D0E1D282E80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D0FC-4FA3-99A2-8D0E1D282E80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D0FC-4FA3-99A2-8D0E1D282E80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D0FC-4FA3-99A2-8D0E1D282E80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D0FC-4FA3-99A2-8D0E1D282E80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D0FC-4FA3-99A2-8D0E1D282E80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D0FC-4FA3-99A2-8D0E1D282E80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D0FC-4FA3-99A2-8D0E1D282E80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D0FC-4FA3-99A2-8D0E1D282E80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D0FC-4FA3-99A2-8D0E1D282E80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D0FC-4FA3-99A2-8D0E1D282E80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D0FC-4FA3-99A2-8D0E1D282E80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D0FC-4FA3-99A2-8D0E1D282E80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D0FC-4FA3-99A2-8D0E1D282E80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D0FC-4FA3-99A2-8D0E1D282E80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D0FC-4FA3-99A2-8D0E1D282E80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D0FC-4FA3-99A2-8D0E1D282E80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D0FC-4FA3-99A2-8D0E1D282E80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D0FC-4FA3-99A2-8D0E1D282E80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D0FC-4FA3-99A2-8D0E1D282E80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D0FC-4FA3-99A2-8D0E1D282E80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D0FC-4FA3-99A2-8D0E1D282E80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D0FC-4FA3-99A2-8D0E1D282E80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D0FC-4FA3-99A2-8D0E1D282E80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D0FC-4FA3-99A2-8D0E1D282E80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D0FC-4FA3-99A2-8D0E1D282E80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D0FC-4FA3-99A2-8D0E1D282E80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D0FC-4FA3-99A2-8D0E1D282E80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D0FC-4FA3-99A2-8D0E1D282E80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D0FC-4FA3-99A2-8D0E1D282E80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D0FC-4FA3-99A2-8D0E1D282E80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D0FC-4FA3-99A2-8D0E1D282E80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D0FC-4FA3-99A2-8D0E1D282E80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D0FC-4FA3-99A2-8D0E1D282E80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D0FC-4FA3-99A2-8D0E1D282E80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D0FC-4FA3-99A2-8D0E1D282E80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D0FC-4FA3-99A2-8D0E1D282E80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D0FC-4FA3-99A2-8D0E1D282E80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D0FC-4FA3-99A2-8D0E1D282E80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D0FC-4FA3-99A2-8D0E1D282E80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D0FC-4FA3-99A2-8D0E1D282E80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D0FC-4FA3-99A2-8D0E1D282E80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D0FC-4FA3-99A2-8D0E1D282E80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D0FC-4FA3-99A2-8D0E1D282E80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D0FC-4FA3-99A2-8D0E1D282E80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D0FC-4FA3-99A2-8D0E1D282E80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D0FC-4FA3-99A2-8D0E1D282E80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D0FC-4FA3-99A2-8D0E1D282E80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D0FC-4FA3-99A2-8D0E1D282E80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D0FC-4FA3-99A2-8D0E1D282E80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D0FC-4FA3-99A2-8D0E1D282E80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D0FC-4FA3-99A2-8D0E1D282E80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D0FC-4FA3-99A2-8D0E1D282E80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D0FC-4FA3-99A2-8D0E1D282E80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D0FC-4FA3-99A2-8D0E1D282E80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D0FC-4FA3-99A2-8D0E1D282E80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D0FC-4FA3-99A2-8D0E1D282E80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D0FC-4FA3-99A2-8D0E1D282E80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D0FC-4FA3-99A2-8D0E1D282E80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D0FC-4FA3-99A2-8D0E1D282E80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D0FC-4FA3-99A2-8D0E1D282E80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D0FC-4FA3-99A2-8D0E1D282E80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D0FC-4FA3-99A2-8D0E1D282E80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D0FC-4FA3-99A2-8D0E1D282E80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D0FC-4FA3-99A2-8D0E1D282E80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D0FC-4FA3-99A2-8D0E1D282E80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D0FC-4FA3-99A2-8D0E1D282E80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D0FC-4FA3-99A2-8D0E1D282E80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D0FC-4FA3-99A2-8D0E1D282E80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D0FC-4FA3-99A2-8D0E1D282E80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D0FC-4FA3-99A2-8D0E1D282E80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D0FC-4FA3-99A2-8D0E1D282E80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D0FC-4FA3-99A2-8D0E1D282E80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D0FC-4FA3-99A2-8D0E1D282E80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D0FC-4FA3-99A2-8D0E1D282E80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D0FC-4FA3-99A2-8D0E1D282E80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D0FC-4FA3-99A2-8D0E1D282E80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D0FC-4FA3-99A2-8D0E1D282E80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D0FC-4FA3-99A2-8D0E1D282E80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D0FC-4FA3-99A2-8D0E1D282E80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D0FC-4FA3-99A2-8D0E1D282E80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D0FC-4FA3-99A2-8D0E1D282E80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D0FC-4FA3-99A2-8D0E1D282E80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D0FC-4FA3-99A2-8D0E1D282E80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D0FC-4FA3-99A2-8D0E1D282E80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D0FC-4FA3-99A2-8D0E1D282E80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D0FC-4FA3-99A2-8D0E1D282E80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D0FC-4FA3-99A2-8D0E1D282E80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D0FC-4FA3-99A2-8D0E1D282E80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D0FC-4FA3-99A2-8D0E1D282E80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D0FC-4FA3-99A2-8D0E1D282E80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D0FC-4FA3-99A2-8D0E1D282E80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D0FC-4FA3-99A2-8D0E1D282E80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D0FC-4FA3-99A2-8D0E1D282E80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D0FC-4FA3-99A2-8D0E1D282E80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D0FC-4FA3-99A2-8D0E1D282E80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D0FC-4FA3-99A2-8D0E1D282E80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D0FC-4FA3-99A2-8D0E1D282E80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D0FC-4FA3-99A2-8D0E1D282E80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D0FC-4FA3-99A2-8D0E1D282E80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D0FC-4FA3-99A2-8D0E1D282E80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D0FC-4FA3-99A2-8D0E1D282E80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D0FC-4FA3-99A2-8D0E1D282E80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D0FC-4FA3-99A2-8D0E1D282E80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D0FC-4FA3-99A2-8D0E1D282E80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D0FC-4FA3-99A2-8D0E1D282E80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D0FC-4FA3-99A2-8D0E1D282E80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D0FC-4FA3-99A2-8D0E1D282E80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D0FC-4FA3-99A2-8D0E1D282E80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D0FC-4FA3-99A2-8D0E1D282E80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D0FC-4FA3-99A2-8D0E1D282E80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D0FC-4FA3-99A2-8D0E1D282E80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D0FC-4FA3-99A2-8D0E1D282E80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D0FC-4FA3-99A2-8D0E1D282E80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D0FC-4FA3-99A2-8D0E1D282E80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D0FC-4FA3-99A2-8D0E1D282E80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D0FC-4FA3-99A2-8D0E1D282E80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D0FC-4FA3-99A2-8D0E1D282E80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D0FC-4FA3-99A2-8D0E1D282E80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D0FC-4FA3-99A2-8D0E1D282E80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D0FC-4FA3-99A2-8D0E1D282E80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D0FC-4FA3-99A2-8D0E1D282E80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D0FC-4FA3-99A2-8D0E1D282E80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D0FC-4FA3-99A2-8D0E1D282E80}"/>
              </c:ext>
            </c:extLst>
          </c:dPt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pt-BR"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REL_DRE_FINANCEIRO!$V$242:$V$341</c:f>
              <c:strCache>
                <c:ptCount val="100"/>
                <c:pt idx="0">
                  <c:v>ÁGUA</c:v>
                </c:pt>
                <c:pt idx="1">
                  <c:v>ALIMENTAÇÃO</c:v>
                </c:pt>
                <c:pt idx="2">
                  <c:v>ALUGUEL</c:v>
                </c:pt>
                <c:pt idx="3">
                  <c:v>ASSESSORIA / CONSULTORIA </c:v>
                </c:pt>
                <c:pt idx="4">
                  <c:v>BENS DURÁVEIS DE PEQUENO VALOR</c:v>
                </c:pt>
                <c:pt idx="5">
                  <c:v>CARTÓRIO</c:v>
                </c:pt>
                <c:pt idx="6">
                  <c:v>CERTIDÃO SIMPLIFICADA</c:v>
                </c:pt>
                <c:pt idx="7">
                  <c:v>CERTIFICADO DIGITAL</c:v>
                </c:pt>
                <c:pt idx="8">
                  <c:v>COMBUSTÍVEL</c:v>
                </c:pt>
                <c:pt idx="9">
                  <c:v>CONTADOR</c:v>
                </c:pt>
                <c:pt idx="10">
                  <c:v>DOMÍNIO DE EMAIL</c:v>
                </c:pt>
                <c:pt idx="11">
                  <c:v>ENERGIA</c:v>
                </c:pt>
                <c:pt idx="12">
                  <c:v>ESTACIONAMENTO</c:v>
                </c:pt>
                <c:pt idx="13">
                  <c:v>FRETES</c:v>
                </c:pt>
                <c:pt idx="14">
                  <c:v>GUARDA DE BENS IDENTIFICADA POR BOX N° 18</c:v>
                </c:pt>
                <c:pt idx="15">
                  <c:v>HONORÁRIOS ADVOCATÍCIOS</c:v>
                </c:pt>
                <c:pt idx="16">
                  <c:v>INFORMATICA</c:v>
                </c:pt>
                <c:pt idx="17">
                  <c:v>INTERNET</c:v>
                </c:pt>
                <c:pt idx="18">
                  <c:v>LANCHE</c:v>
                </c:pt>
                <c:pt idx="19">
                  <c:v>MANUTENÇÃO ESCRITÓRIO</c:v>
                </c:pt>
                <c:pt idx="20">
                  <c:v>MATERIAL DE LIMPEZA</c:v>
                </c:pt>
                <c:pt idx="21">
                  <c:v>MATERIAL ESCRITORIO </c:v>
                </c:pt>
                <c:pt idx="22">
                  <c:v>MATERIAL MANUTENÇÃO</c:v>
                </c:pt>
                <c:pt idx="23">
                  <c:v>MOTOBOY</c:v>
                </c:pt>
                <c:pt idx="24">
                  <c:v>OUTRAS DESPESAS ADMINISTRATIVAS</c:v>
                </c:pt>
                <c:pt idx="25">
                  <c:v>REEMBOLSO </c:v>
                </c:pt>
                <c:pt idx="26">
                  <c:v>REFORMAS</c:v>
                </c:pt>
                <c:pt idx="27">
                  <c:v>REUNIÃO</c:v>
                </c:pt>
                <c:pt idx="28">
                  <c:v>SISTEMA</c:v>
                </c:pt>
                <c:pt idx="29">
                  <c:v>TARIFA BANCÁRIA</c:v>
                </c:pt>
                <c:pt idx="30">
                  <c:v>TAXA CARTÃO </c:v>
                </c:pt>
                <c:pt idx="31">
                  <c:v>TELEFONE</c:v>
                </c:pt>
                <c:pt idx="32">
                  <c:v>TRANSPORTE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</c:strCache>
            </c:strRef>
          </c:cat>
          <c:val>
            <c:numRef>
              <c:f>REL_DRE_FINANCEIRO!$W$242:$W$341</c:f>
              <c:numCache>
                <c:formatCode>"R$"\ #,##0.0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1200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22</c:v>
                </c:pt>
                <c:pt idx="22">
                  <c:v>0</c:v>
                </c:pt>
                <c:pt idx="23">
                  <c:v>0</c:v>
                </c:pt>
                <c:pt idx="24">
                  <c:v>11158.75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143.82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23-406F-942E-27E33BD418A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57099180784220149"/>
          <c:y val="1.7957387679481233E-2"/>
          <c:w val="0.39870516185476812"/>
          <c:h val="0.98204261232051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678661544118585E-2"/>
          <c:y val="6.3137313532011033E-2"/>
          <c:w val="0.83975401625521451"/>
          <c:h val="0.55009202963553605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360074555897904"/>
          <c:y val="0.66033356589919934"/>
          <c:w val="0.79279850888204195"/>
          <c:h val="0.31434997840459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538614491370396E-2"/>
          <c:y val="2.9411764705882353E-2"/>
          <c:w val="0.47757575757575765"/>
          <c:h val="0.92705882352941194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24D-4B24-95DC-CD7ABFDBD13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24D-4B24-95DC-CD7ABFDBD13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24D-4B24-95DC-CD7ABFDBD13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24D-4B24-95DC-CD7ABFDBD13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CDC-4D3B-B436-1D8D7E3E248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F28-4A77-BF77-2E4CF8E9B64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F28-4A77-BF77-2E4CF8E9B64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CDC-4D3B-B436-1D8D7E3E248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CDC-4D3B-B436-1D8D7E3E248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A18-4DC9-9BD8-37EAF7DA038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A18-4DC9-9BD8-37EAF7DA038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A18-4DC9-9BD8-37EAF7DA038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A18-4DC9-9BD8-37EAF7DA0384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A18-4DC9-9BD8-37EAF7DA0384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CA18-4DC9-9BD8-37EAF7DA0384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CA18-4DC9-9BD8-37EAF7DA0384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CA18-4DC9-9BD8-37EAF7DA0384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CA18-4DC9-9BD8-37EAF7DA0384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CA18-4DC9-9BD8-37EAF7DA0384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CA18-4DC9-9BD8-37EAF7DA0384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CA18-4DC9-9BD8-37EAF7DA0384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CA18-4DC9-9BD8-37EAF7DA0384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CA18-4DC9-9BD8-37EAF7DA0384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CA18-4DC9-9BD8-37EAF7DA0384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CA18-4DC9-9BD8-37EAF7DA0384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CA18-4DC9-9BD8-37EAF7DA0384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CA18-4DC9-9BD8-37EAF7DA0384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CA18-4DC9-9BD8-37EAF7DA0384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CA18-4DC9-9BD8-37EAF7DA0384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CA18-4DC9-9BD8-37EAF7DA0384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CA18-4DC9-9BD8-37EAF7DA0384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CA18-4DC9-9BD8-37EAF7DA0384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CA18-4DC9-9BD8-37EAF7DA0384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CA18-4DC9-9BD8-37EAF7DA0384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CA18-4DC9-9BD8-37EAF7DA0384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CA18-4DC9-9BD8-37EAF7DA0384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CA18-4DC9-9BD8-37EAF7DA0384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CA18-4DC9-9BD8-37EAF7DA0384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CA18-4DC9-9BD8-37EAF7DA0384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CA18-4DC9-9BD8-37EAF7DA0384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CA18-4DC9-9BD8-37EAF7DA0384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CA18-4DC9-9BD8-37EAF7DA0384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CA18-4DC9-9BD8-37EAF7DA0384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CA18-4DC9-9BD8-37EAF7DA0384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CA18-4DC9-9BD8-37EAF7DA0384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CA18-4DC9-9BD8-37EAF7DA0384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CA18-4DC9-9BD8-37EAF7DA0384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CA18-4DC9-9BD8-37EAF7DA0384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CA18-4DC9-9BD8-37EAF7DA0384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CA18-4DC9-9BD8-37EAF7DA0384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CA18-4DC9-9BD8-37EAF7DA0384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CA18-4DC9-9BD8-37EAF7DA0384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CA18-4DC9-9BD8-37EAF7DA0384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CA18-4DC9-9BD8-37EAF7DA0384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CA18-4DC9-9BD8-37EAF7DA0384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CA18-4DC9-9BD8-37EAF7DA0384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CA18-4DC9-9BD8-37EAF7DA0384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CA18-4DC9-9BD8-37EAF7DA0384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CA18-4DC9-9BD8-37EAF7DA0384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CA18-4DC9-9BD8-37EAF7DA0384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CA18-4DC9-9BD8-37EAF7DA0384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CA18-4DC9-9BD8-37EAF7DA0384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CA18-4DC9-9BD8-37EAF7DA0384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CA18-4DC9-9BD8-37EAF7DA0384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CA18-4DC9-9BD8-37EAF7DA0384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CA18-4DC9-9BD8-37EAF7DA0384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CA18-4DC9-9BD8-37EAF7DA0384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CA18-4DC9-9BD8-37EAF7DA0384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CA18-4DC9-9BD8-37EAF7DA0384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CA18-4DC9-9BD8-37EAF7DA0384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CA18-4DC9-9BD8-37EAF7DA0384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CA18-4DC9-9BD8-37EAF7DA0384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CA18-4DC9-9BD8-37EAF7DA0384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CA18-4DC9-9BD8-37EAF7DA0384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CA18-4DC9-9BD8-37EAF7DA0384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CA18-4DC9-9BD8-37EAF7DA0384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CA18-4DC9-9BD8-37EAF7DA0384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CA18-4DC9-9BD8-37EAF7DA0384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CA18-4DC9-9BD8-37EAF7DA0384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CA18-4DC9-9BD8-37EAF7DA0384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CA18-4DC9-9BD8-37EAF7DA0384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CA18-4DC9-9BD8-37EAF7DA0384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CA18-4DC9-9BD8-37EAF7DA0384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CA18-4DC9-9BD8-37EAF7DA0384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CA18-4DC9-9BD8-37EAF7DA0384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CA18-4DC9-9BD8-37EAF7DA0384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CA18-4DC9-9BD8-37EAF7DA0384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CA18-4DC9-9BD8-37EAF7DA0384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CA18-4DC9-9BD8-37EAF7DA0384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CA18-4DC9-9BD8-37EAF7DA0384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CA18-4DC9-9BD8-37EAF7DA0384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CA18-4DC9-9BD8-37EAF7DA0384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CA18-4DC9-9BD8-37EAF7DA0384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CA18-4DC9-9BD8-37EAF7DA0384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CA18-4DC9-9BD8-37EAF7DA0384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CA18-4DC9-9BD8-37EAF7DA0384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CA18-4DC9-9BD8-37EAF7DA0384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CA18-4DC9-9BD8-37EAF7DA0384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CA18-4DC9-9BD8-37EAF7DA0384}"/>
              </c:ext>
            </c:extLst>
          </c:dPt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pt-BR"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REL_DRE_FINANCEIRO!$V$652:$V$751</c:f>
              <c:strCache>
                <c:ptCount val="100"/>
                <c:pt idx="0">
                  <c:v>DEVOLUÇÃO DE EMPRÉSTIMO</c:v>
                </c:pt>
                <c:pt idx="1">
                  <c:v>MATERIAIS DE USO E CONSUMO</c:v>
                </c:pt>
                <c:pt idx="2">
                  <c:v>OUTRAS DESPESAS NÃO OPERACIONAIS</c:v>
                </c:pt>
                <c:pt idx="3">
                  <c:v>RESGATE APLICAÇÕES</c:v>
                </c:pt>
                <c:pt idx="4">
                  <c:v>TARIFA BANCÁRIA</c:v>
                </c:pt>
                <c:pt idx="5">
                  <c:v>TARIFA PIX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</c:strCache>
            </c:strRef>
          </c:cat>
          <c:val>
            <c:numRef>
              <c:f>REL_DRE_FINANCEIRO!$W$652:$W$751</c:f>
              <c:numCache>
                <c:formatCode>"R$"\ #,##0.0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24D-4B24-95DC-CD7ABFDBD13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solidFill>
            <a:schemeClr val="bg1"/>
          </a:solidFill>
        </a:ln>
        <a:effectLst/>
      </c:spPr>
    </c:plotArea>
    <c:legend>
      <c:legendPos val="r"/>
      <c:layout>
        <c:manualLayout>
          <c:xMode val="edge"/>
          <c:yMode val="edge"/>
          <c:x val="0.51094130279169647"/>
          <c:y val="2.9392465647676395E-2"/>
          <c:w val="0.4587556669052732"/>
          <c:h val="0.951018990273274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538614491370396E-2"/>
          <c:y val="4.9019607843137254E-2"/>
          <c:w val="0.47757575757575765"/>
          <c:h val="0.9270588235294119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EC-4F36-A0AE-D35B6C32FFE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EC-4F36-A0AE-D35B6C32FFE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1EC-4F36-A0AE-D35B6C32FFE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1EC-4F36-A0AE-D35B6C32FFE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1EC-4F36-A0AE-D35B6C32FFE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F60-417E-AA0D-67FAAB40AC0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03F-491E-85CC-739D98774D1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03F-491E-85CC-739D98774D1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F60-417E-AA0D-67FAAB40AC0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F60-417E-AA0D-67FAAB40AC0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283-43E1-859C-A386011F412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283-43E1-859C-A386011F412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283-43E1-859C-A386011F412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283-43E1-859C-A386011F4124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283-43E1-859C-A386011F4124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D283-43E1-859C-A386011F4124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D283-43E1-859C-A386011F4124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D283-43E1-859C-A386011F4124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D283-43E1-859C-A386011F4124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D283-43E1-859C-A386011F4124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D283-43E1-859C-A386011F4124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D283-43E1-859C-A386011F4124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D283-43E1-859C-A386011F4124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D283-43E1-859C-A386011F4124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D283-43E1-859C-A386011F4124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D283-43E1-859C-A386011F4124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D283-43E1-859C-A386011F4124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D283-43E1-859C-A386011F4124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D283-43E1-859C-A386011F4124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D283-43E1-859C-A386011F4124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D283-43E1-859C-A386011F4124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D283-43E1-859C-A386011F4124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D283-43E1-859C-A386011F4124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D283-43E1-859C-A386011F4124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D283-43E1-859C-A386011F4124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D283-43E1-859C-A386011F4124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D283-43E1-859C-A386011F4124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D283-43E1-859C-A386011F4124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D283-43E1-859C-A386011F4124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D283-43E1-859C-A386011F4124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D283-43E1-859C-A386011F4124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D283-43E1-859C-A386011F4124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D283-43E1-859C-A386011F4124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D283-43E1-859C-A386011F4124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D283-43E1-859C-A386011F4124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D283-43E1-859C-A386011F4124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D283-43E1-859C-A386011F4124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D283-43E1-859C-A386011F4124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D283-43E1-859C-A386011F4124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D283-43E1-859C-A386011F4124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D283-43E1-859C-A386011F4124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D283-43E1-859C-A386011F4124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D283-43E1-859C-A386011F4124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D283-43E1-859C-A386011F4124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D283-43E1-859C-A386011F4124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D283-43E1-859C-A386011F4124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D283-43E1-859C-A386011F4124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D283-43E1-859C-A386011F4124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D283-43E1-859C-A386011F4124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D283-43E1-859C-A386011F4124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D283-43E1-859C-A386011F4124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D283-43E1-859C-A386011F4124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D283-43E1-859C-A386011F4124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D283-43E1-859C-A386011F4124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D283-43E1-859C-A386011F4124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D283-43E1-859C-A386011F4124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D283-43E1-859C-A386011F4124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D283-43E1-859C-A386011F4124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D283-43E1-859C-A386011F4124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D283-43E1-859C-A386011F4124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D283-43E1-859C-A386011F4124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D283-43E1-859C-A386011F4124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D283-43E1-859C-A386011F4124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D283-43E1-859C-A386011F4124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D283-43E1-859C-A386011F4124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D283-43E1-859C-A386011F4124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D283-43E1-859C-A386011F4124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D283-43E1-859C-A386011F4124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D283-43E1-859C-A386011F4124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D283-43E1-859C-A386011F4124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D283-43E1-859C-A386011F4124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D283-43E1-859C-A386011F4124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D283-43E1-859C-A386011F4124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D283-43E1-859C-A386011F4124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D283-43E1-859C-A386011F4124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D283-43E1-859C-A386011F4124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D283-43E1-859C-A386011F4124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D283-43E1-859C-A386011F4124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D283-43E1-859C-A386011F4124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D283-43E1-859C-A386011F4124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D283-43E1-859C-A386011F4124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D283-43E1-859C-A386011F4124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D283-43E1-859C-A386011F4124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D283-43E1-859C-A386011F4124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D283-43E1-859C-A386011F4124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D283-43E1-859C-A386011F4124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D283-43E1-859C-A386011F4124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D283-43E1-859C-A386011F4124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D283-43E1-859C-A386011F4124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D283-43E1-859C-A386011F4124}"/>
              </c:ext>
            </c:extLst>
          </c:dPt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pt-BR"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REL_DRE_FINANCEIRO!$V$754:$V$853</c:f>
              <c:strCache>
                <c:ptCount val="100"/>
                <c:pt idx="0">
                  <c:v>ALVARÁ DE INSPENÇÃO SANITÁRIA</c:v>
                </c:pt>
                <c:pt idx="1">
                  <c:v>FGTS</c:v>
                </c:pt>
                <c:pt idx="2">
                  <c:v>ICMS</c:v>
                </c:pt>
                <c:pt idx="3">
                  <c:v>INSS- GPS</c:v>
                </c:pt>
                <c:pt idx="4">
                  <c:v>IPTU</c:v>
                </c:pt>
                <c:pt idx="5">
                  <c:v>IPVA</c:v>
                </c:pt>
                <c:pt idx="6">
                  <c:v>OUTROS IMPOSTOS</c:v>
                </c:pt>
                <c:pt idx="7">
                  <c:v>SIMPLES NACIONAL</c:v>
                </c:pt>
                <c:pt idx="8">
                  <c:v>TAXA BOMBEIROS</c:v>
                </c:pt>
                <c:pt idx="9">
                  <c:v>TAXA DE LICENÇA PARA FUNCIONAMENTO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</c:strCache>
            </c:strRef>
          </c:cat>
          <c:val>
            <c:numRef>
              <c:f>REL_DRE_FINANCEIRO!$W$754:$W$853</c:f>
              <c:numCache>
                <c:formatCode>"R$"\ #,##0.0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1EC-4F36-A0AE-D35B6C32FF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455221506402604"/>
          <c:y val="4.90003087849313E-2"/>
          <c:w val="0.45514475463294363"/>
          <c:h val="0.92160722556739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538614491370396E-2"/>
          <c:y val="3.9215686274509803E-2"/>
          <c:w val="0.45737373737373738"/>
          <c:h val="0.8878431372549019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24-447B-AC6A-17503C5B8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24-447B-AC6A-17503C5B828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24-447B-AC6A-17503C5B828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24-447B-AC6A-17503C5B828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24-447B-AC6A-17503C5B828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DDB-4279-B8A5-3DC8B2DF525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038D-4320-BC6A-00CBA07F2DB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38D-4320-BC6A-00CBA07F2DB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DDB-4279-B8A5-3DC8B2DF525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DDB-4279-B8A5-3DC8B2DF525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D85-4124-B825-45D18B96FC6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D85-4124-B825-45D18B96FC6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D85-4124-B825-45D18B96FC6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D85-4124-B825-45D18B96FC6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FD85-4124-B825-45D18B96FC6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FD85-4124-B825-45D18B96FC6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FD85-4124-B825-45D18B96FC66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FD85-4124-B825-45D18B96FC66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FD85-4124-B825-45D18B96FC66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FD85-4124-B825-45D18B96FC66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FD85-4124-B825-45D18B96FC6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FD85-4124-B825-45D18B96FC66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FD85-4124-B825-45D18B96FC66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FD85-4124-B825-45D18B96FC66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FD85-4124-B825-45D18B96FC66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FD85-4124-B825-45D18B96FC66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FD85-4124-B825-45D18B96FC66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FD85-4124-B825-45D18B96FC66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FD85-4124-B825-45D18B96FC66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FD85-4124-B825-45D18B96FC66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FD85-4124-B825-45D18B96FC66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FD85-4124-B825-45D18B96FC66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FD85-4124-B825-45D18B96FC66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FD85-4124-B825-45D18B96FC66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FD85-4124-B825-45D18B96FC66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FD85-4124-B825-45D18B96FC66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FD85-4124-B825-45D18B96FC66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FD85-4124-B825-45D18B96FC66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FD85-4124-B825-45D18B96FC66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FD85-4124-B825-45D18B96FC66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FD85-4124-B825-45D18B96FC66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FD85-4124-B825-45D18B96FC66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FD85-4124-B825-45D18B96FC66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FD85-4124-B825-45D18B96FC66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FD85-4124-B825-45D18B96FC66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FD85-4124-B825-45D18B96FC66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FD85-4124-B825-45D18B96FC66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FD85-4124-B825-45D18B96FC66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FD85-4124-B825-45D18B96FC66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FD85-4124-B825-45D18B96FC66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FD85-4124-B825-45D18B96FC66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FD85-4124-B825-45D18B96FC66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FD85-4124-B825-45D18B96FC66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FD85-4124-B825-45D18B96FC66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FD85-4124-B825-45D18B96FC66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FD85-4124-B825-45D18B96FC66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FD85-4124-B825-45D18B96FC66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FD85-4124-B825-45D18B96FC66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FD85-4124-B825-45D18B96FC66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FD85-4124-B825-45D18B96FC66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FD85-4124-B825-45D18B96FC66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FD85-4124-B825-45D18B96FC66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FD85-4124-B825-45D18B96FC66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FD85-4124-B825-45D18B96FC66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FD85-4124-B825-45D18B96FC66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FD85-4124-B825-45D18B96FC66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FD85-4124-B825-45D18B96FC66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FD85-4124-B825-45D18B96FC66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FD85-4124-B825-45D18B96FC66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FD85-4124-B825-45D18B96FC66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FD85-4124-B825-45D18B96FC66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FD85-4124-B825-45D18B96FC66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FD85-4124-B825-45D18B96FC66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FD85-4124-B825-45D18B96FC66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FD85-4124-B825-45D18B96FC66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FD85-4124-B825-45D18B96FC66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FD85-4124-B825-45D18B96FC66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FD85-4124-B825-45D18B96FC66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FD85-4124-B825-45D18B96FC66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FD85-4124-B825-45D18B96FC66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FD85-4124-B825-45D18B96FC66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FD85-4124-B825-45D18B96FC66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FD85-4124-B825-45D18B96FC66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FD85-4124-B825-45D18B96FC66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FD85-4124-B825-45D18B96FC66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FD85-4124-B825-45D18B96FC66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FD85-4124-B825-45D18B96FC66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FD85-4124-B825-45D18B96FC66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FD85-4124-B825-45D18B96FC66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FD85-4124-B825-45D18B96FC66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FD85-4124-B825-45D18B96FC66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FD85-4124-B825-45D18B96FC66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FD85-4124-B825-45D18B96FC66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FD85-4124-B825-45D18B96FC66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FD85-4124-B825-45D18B96FC66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FD85-4124-B825-45D18B96FC66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FD85-4124-B825-45D18B96FC66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FD85-4124-B825-45D18B96FC66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FD85-4124-B825-45D18B96FC66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FD85-4124-B825-45D18B96FC66}"/>
              </c:ext>
            </c:extLst>
          </c:dPt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pt-BR"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REL_DRE_FINANCEIRO!$V$446:$V$545</c:f>
              <c:strCache>
                <c:ptCount val="10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  <c:pt idx="10">
                  <c:v>#REF!</c:v>
                </c:pt>
                <c:pt idx="11">
                  <c:v>#REF!</c:v>
                </c:pt>
                <c:pt idx="12">
                  <c:v>#REF!</c:v>
                </c:pt>
                <c:pt idx="13">
                  <c:v>#REF!</c:v>
                </c:pt>
                <c:pt idx="14">
                  <c:v>#REF!</c:v>
                </c:pt>
                <c:pt idx="15">
                  <c:v>#REF!</c:v>
                </c:pt>
                <c:pt idx="16">
                  <c:v>#REF!</c:v>
                </c:pt>
                <c:pt idx="17">
                  <c:v>#REF!</c:v>
                </c:pt>
                <c:pt idx="18">
                  <c:v>#REF!</c:v>
                </c:pt>
                <c:pt idx="19">
                  <c:v>#REF!</c:v>
                </c:pt>
                <c:pt idx="20">
                  <c:v>#REF!</c:v>
                </c:pt>
                <c:pt idx="21">
                  <c:v>#REF!</c:v>
                </c:pt>
                <c:pt idx="22">
                  <c:v>#REF!</c:v>
                </c:pt>
                <c:pt idx="23">
                  <c:v>#REF!</c:v>
                </c:pt>
                <c:pt idx="24">
                  <c:v>#REF!</c:v>
                </c:pt>
                <c:pt idx="25">
                  <c:v>#REF!</c:v>
                </c:pt>
                <c:pt idx="26">
                  <c:v>#REF!</c:v>
                </c:pt>
                <c:pt idx="27">
                  <c:v>RESCISÃO</c:v>
                </c:pt>
                <c:pt idx="28">
                  <c:v>SALÁRIOS</c:v>
                </c:pt>
                <c:pt idx="29">
                  <c:v>SEGURO DE VIDA</c:v>
                </c:pt>
                <c:pt idx="30">
                  <c:v>UNIFORME</c:v>
                </c:pt>
                <c:pt idx="31">
                  <c:v>VALE TRANSPORTE</c:v>
                </c:pt>
                <c:pt idx="32">
                  <c:v>PROFESSOR PESSOA JURÍDICA</c:v>
                </c:pt>
                <c:pt idx="33">
                  <c:v>UNIFORME</c:v>
                </c:pt>
                <c:pt idx="34">
                  <c:v>VALE TRANSPORTE</c:v>
                </c:pt>
                <c:pt idx="35">
                  <c:v>13º 1ª PARCELA</c:v>
                </c:pt>
                <c:pt idx="36">
                  <c:v>13º 2ª PARCELA</c:v>
                </c:pt>
                <c:pt idx="37">
                  <c:v>ACORDO TRABALHISTA</c:v>
                </c:pt>
                <c:pt idx="38">
                  <c:v>ALIMENTAÇÃO</c:v>
                </c:pt>
                <c:pt idx="39">
                  <c:v>ASSIDUIDADE</c:v>
                </c:pt>
                <c:pt idx="40">
                  <c:v>BENEFICIOS</c:v>
                </c:pt>
                <c:pt idx="41">
                  <c:v>BOLSA ESTAGIÁRIOS</c:v>
                </c:pt>
                <c:pt idx="42">
                  <c:v>CURSOS</c:v>
                </c:pt>
                <c:pt idx="43">
                  <c:v>DESCONTO EM FOLHA EMPRÉSTIMO</c:v>
                </c:pt>
                <c:pt idx="44">
                  <c:v>DIÁRIA</c:v>
                </c:pt>
                <c:pt idx="45">
                  <c:v>DOCUMENTOS PCMSO / PGR / LTCAT</c:v>
                </c:pt>
                <c:pt idx="46">
                  <c:v>EPI'S</c:v>
                </c:pt>
                <c:pt idx="47">
                  <c:v>EXAMES CLINICO / ADMISSIONAL / DEMISSIONAL</c:v>
                </c:pt>
                <c:pt idx="48">
                  <c:v>FÉRIAS</c:v>
                </c:pt>
                <c:pt idx="49">
                  <c:v>FGTS</c:v>
                </c:pt>
                <c:pt idx="50">
                  <c:v>FGTS / RESCISÓRIO</c:v>
                </c:pt>
                <c:pt idx="51">
                  <c:v>GRATIFICAÇÃO</c:v>
                </c:pt>
                <c:pt idx="52">
                  <c:v>GUIA INSS FUNCIONÁRIO</c:v>
                </c:pt>
                <c:pt idx="53">
                  <c:v>HORA EXTRA</c:v>
                </c:pt>
                <c:pt idx="54">
                  <c:v>LANCHES</c:v>
                </c:pt>
                <c:pt idx="55">
                  <c:v>MEDICAMENTOS</c:v>
                </c:pt>
                <c:pt idx="56">
                  <c:v>OUTRAS DESPESAS COM RH</c:v>
                </c:pt>
                <c:pt idx="57">
                  <c:v>PAGAMENTO DE MÃO DE OBRA</c:v>
                </c:pt>
                <c:pt idx="58">
                  <c:v>PARTICIPAÇÃO DE LUCROS</c:v>
                </c:pt>
                <c:pt idx="59">
                  <c:v>PLANO DE SAÚDE</c:v>
                </c:pt>
                <c:pt idx="60">
                  <c:v>PONTO ELETRÔNICO</c:v>
                </c:pt>
                <c:pt idx="61">
                  <c:v>PRO-LABORE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</c:strCache>
            </c:strRef>
          </c:cat>
          <c:val>
            <c:numRef>
              <c:f>REL_DRE_FINANCEIRO!$W$446:$W$545</c:f>
              <c:numCache>
                <c:formatCode>"R$"\ #,##0.0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5273.6399999999994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1318.45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4875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2149.52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A24-447B-AC6A-17503C5B828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solidFill>
            <a:schemeClr val="bg1"/>
          </a:solidFill>
        </a:ln>
        <a:effectLst/>
      </c:spPr>
    </c:plotArea>
    <c:legend>
      <c:legendPos val="r"/>
      <c:layout>
        <c:manualLayout>
          <c:xMode val="edge"/>
          <c:yMode val="edge"/>
          <c:x val="0.47684999602322448"/>
          <c:y val="1.9588544079048944E-2"/>
          <c:w val="0.4928469736737453"/>
          <c:h val="0.96082291184190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488109440865346E-2"/>
          <c:y val="4.9019607843137254E-2"/>
          <c:w val="0.46731920048455483"/>
          <c:h val="0.89340435386753125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DAE-4E49-80A9-DE96400725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C60C-4FEC-81B1-AB3AE778B66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DAE-4E49-80A9-DE96400725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60C-4FEC-81B1-AB3AE778B66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DAE-4E49-80A9-DE96400725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5DB-49D0-9AD8-585F4AF5163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117-4BEA-B68A-FDF74D908A7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1117-4BEA-B68A-FDF74D908A7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5DB-49D0-9AD8-585F4AF5163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5DB-49D0-9AD8-585F4AF5163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BF1-46D9-ACFE-FE521A4EAAF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BF1-46D9-ACFE-FE521A4EAAF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BF1-46D9-ACFE-FE521A4EAAF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BF1-46D9-ACFE-FE521A4EAAF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BF1-46D9-ACFE-FE521A4EAAF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BF1-46D9-ACFE-FE521A4EAAF5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BF1-46D9-ACFE-FE521A4EAAF5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BF1-46D9-ACFE-FE521A4EAAF5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BF1-46D9-ACFE-FE521A4EAAF5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BF1-46D9-ACFE-FE521A4EAAF5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7BF1-46D9-ACFE-FE521A4EAAF5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7BF1-46D9-ACFE-FE521A4EAAF5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7BF1-46D9-ACFE-FE521A4EAAF5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7BF1-46D9-ACFE-FE521A4EAAF5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7BF1-46D9-ACFE-FE521A4EAAF5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7BF1-46D9-ACFE-FE521A4EAAF5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7BF1-46D9-ACFE-FE521A4EAAF5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7BF1-46D9-ACFE-FE521A4EAAF5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7BF1-46D9-ACFE-FE521A4EAAF5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7BF1-46D9-ACFE-FE521A4EAAF5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7BF1-46D9-ACFE-FE521A4EAAF5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7BF1-46D9-ACFE-FE521A4EAAF5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7BF1-46D9-ACFE-FE521A4EAAF5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7BF1-46D9-ACFE-FE521A4EAAF5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7BF1-46D9-ACFE-FE521A4EAAF5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7BF1-46D9-ACFE-FE521A4EAAF5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7BF1-46D9-ACFE-FE521A4EAAF5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7BF1-46D9-ACFE-FE521A4EAAF5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7BF1-46D9-ACFE-FE521A4EAAF5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7BF1-46D9-ACFE-FE521A4EAAF5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7BF1-46D9-ACFE-FE521A4EAAF5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7BF1-46D9-ACFE-FE521A4EAAF5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7BF1-46D9-ACFE-FE521A4EAAF5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7BF1-46D9-ACFE-FE521A4EAAF5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7BF1-46D9-ACFE-FE521A4EAAF5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7BF1-46D9-ACFE-FE521A4EAAF5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7BF1-46D9-ACFE-FE521A4EAAF5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7BF1-46D9-ACFE-FE521A4EAAF5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7BF1-46D9-ACFE-FE521A4EAAF5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7BF1-46D9-ACFE-FE521A4EAAF5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7BF1-46D9-ACFE-FE521A4EAAF5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7BF1-46D9-ACFE-FE521A4EAAF5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7BF1-46D9-ACFE-FE521A4EAAF5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7BF1-46D9-ACFE-FE521A4EAAF5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7BF1-46D9-ACFE-FE521A4EAAF5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7BF1-46D9-ACFE-FE521A4EAAF5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7BF1-46D9-ACFE-FE521A4EAAF5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7BF1-46D9-ACFE-FE521A4EAAF5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7BF1-46D9-ACFE-FE521A4EAAF5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7BF1-46D9-ACFE-FE521A4EAAF5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7BF1-46D9-ACFE-FE521A4EAAF5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7BF1-46D9-ACFE-FE521A4EAAF5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7BF1-46D9-ACFE-FE521A4EAAF5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7BF1-46D9-ACFE-FE521A4EAAF5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7BF1-46D9-ACFE-FE521A4EAAF5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7BF1-46D9-ACFE-FE521A4EAAF5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7BF1-46D9-ACFE-FE521A4EAAF5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7BF1-46D9-ACFE-FE521A4EAAF5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7BF1-46D9-ACFE-FE521A4EAAF5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7BF1-46D9-ACFE-FE521A4EAAF5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7BF1-46D9-ACFE-FE521A4EAAF5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7BF1-46D9-ACFE-FE521A4EAAF5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7BF1-46D9-ACFE-FE521A4EAAF5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7BF1-46D9-ACFE-FE521A4EAAF5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7BF1-46D9-ACFE-FE521A4EAAF5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7BF1-46D9-ACFE-FE521A4EAAF5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7BF1-46D9-ACFE-FE521A4EAAF5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7BF1-46D9-ACFE-FE521A4EAAF5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7BF1-46D9-ACFE-FE521A4EAAF5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7BF1-46D9-ACFE-FE521A4EAAF5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7BF1-46D9-ACFE-FE521A4EAAF5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7BF1-46D9-ACFE-FE521A4EAAF5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7BF1-46D9-ACFE-FE521A4EAAF5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7BF1-46D9-ACFE-FE521A4EAAF5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7BF1-46D9-ACFE-FE521A4EAAF5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7BF1-46D9-ACFE-FE521A4EAAF5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7BF1-46D9-ACFE-FE521A4EAAF5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7BF1-46D9-ACFE-FE521A4EAAF5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7BF1-46D9-ACFE-FE521A4EAAF5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7BF1-46D9-ACFE-FE521A4EAAF5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7BF1-46D9-ACFE-FE521A4EAAF5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7BF1-46D9-ACFE-FE521A4EAAF5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7BF1-46D9-ACFE-FE521A4EAAF5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7BF1-46D9-ACFE-FE521A4EAAF5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7BF1-46D9-ACFE-FE521A4EAAF5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7BF1-46D9-ACFE-FE521A4EAAF5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7BF1-46D9-ACFE-FE521A4EAAF5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7BF1-46D9-ACFE-FE521A4EAAF5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7BF1-46D9-ACFE-FE521A4EAAF5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7BF1-46D9-ACFE-FE521A4EAAF5}"/>
              </c:ext>
            </c:extLst>
          </c:dPt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REL_DRE_FINANCEIRO!$V$958:$V$1057</c:f>
              <c:strCache>
                <c:ptCount val="100"/>
                <c:pt idx="0">
                  <c:v>CLT</c:v>
                </c:pt>
                <c:pt idx="1">
                  <c:v>COFINS</c:v>
                </c:pt>
                <c:pt idx="2">
                  <c:v>CONTRIBUIÇÃO EMPREGADOR</c:v>
                </c:pt>
                <c:pt idx="3">
                  <c:v>CONTRIBUIÇÃO INCRA</c:v>
                </c:pt>
                <c:pt idx="4">
                  <c:v>CONTRIBUIÇÃO SALÁRIO EDUCAÇÃO</c:v>
                </c:pt>
                <c:pt idx="5">
                  <c:v>CONTRIBUIÇÃO SEBRAE</c:v>
                </c:pt>
                <c:pt idx="6">
                  <c:v>CONTRIBUIÇÃO SEBRAE</c:v>
                </c:pt>
                <c:pt idx="7">
                  <c:v>CONTRIBUIÇÃO SEGURADOS</c:v>
                </c:pt>
                <c:pt idx="8">
                  <c:v>CONTRIBUIÇÃO SESC</c:v>
                </c:pt>
                <c:pt idx="9">
                  <c:v>CP - PATRONAL</c:v>
                </c:pt>
                <c:pt idx="10">
                  <c:v>CP - SEGUROS</c:v>
                </c:pt>
                <c:pt idx="11">
                  <c:v>CP - TERCEIROS</c:v>
                </c:pt>
                <c:pt idx="12">
                  <c:v>DARF</c:v>
                </c:pt>
                <c:pt idx="13">
                  <c:v>DCTF - WEB</c:v>
                </c:pt>
                <c:pt idx="14">
                  <c:v>EMPRÉSTIMOS</c:v>
                </c:pt>
                <c:pt idx="15">
                  <c:v>EMPRÉSTIMOS BANCÁRIOS</c:v>
                </c:pt>
                <c:pt idx="16">
                  <c:v>IPTU</c:v>
                </c:pt>
                <c:pt idx="17">
                  <c:v>IRFF - DARF</c:v>
                </c:pt>
                <c:pt idx="18">
                  <c:v>IRPF</c:v>
                </c:pt>
                <c:pt idx="19">
                  <c:v>IRPJ - FONTE</c:v>
                </c:pt>
                <c:pt idx="20">
                  <c:v>ISS - RETIDO NA FONTE</c:v>
                </c:pt>
                <c:pt idx="21">
                  <c:v>OUTROS ENDIVIDAMENTOS</c:v>
                </c:pt>
                <c:pt idx="22">
                  <c:v>PIS</c:v>
                </c:pt>
                <c:pt idx="23">
                  <c:v>PROTESTO</c:v>
                </c:pt>
                <c:pt idx="24">
                  <c:v>RISCOS AMBIENTAIS - APOSENTADORIA ESPECIAL</c:v>
                </c:pt>
                <c:pt idx="25">
                  <c:v>SPC / SERASA</c:v>
                </c:pt>
                <c:pt idx="26">
                  <c:v>TAXA DE LICENÇA PARA FUNCIONAMENTO</c:v>
                </c:pt>
                <c:pt idx="27">
                  <c:v>TAXA DE LICENÇA PARA EXPL. DE MEIOS PUBLICITÁRIOS</c:v>
                </c:pt>
                <c:pt idx="28">
                  <c:v>TAXA DE EXPEDIENTE DE SERVIÇOS DIVERSOS</c:v>
                </c:pt>
                <c:pt idx="29">
                  <c:v>MULTA FORMAL</c:v>
                </c:pt>
                <c:pt idx="30">
                  <c:v>IPTU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</c:strCache>
            </c:strRef>
          </c:cat>
          <c:val>
            <c:numRef>
              <c:f>REL_DRE_FINANCEIRO!$W$958:$W$1057</c:f>
              <c:numCache>
                <c:formatCode>"R$"\ #,##0.0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60C-4FEC-81B1-AB3AE778B66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solidFill>
            <a:schemeClr val="bg1"/>
          </a:solidFill>
        </a:ln>
        <a:effectLst/>
      </c:spPr>
    </c:plotArea>
    <c:legend>
      <c:legendPos val="r"/>
      <c:layout>
        <c:manualLayout>
          <c:xMode val="edge"/>
          <c:yMode val="edge"/>
          <c:x val="0.45461821118514034"/>
          <c:y val="0"/>
          <c:w val="0.51507853825964067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488109440865346E-2"/>
          <c:y val="5.8823529411764705E-2"/>
          <c:w val="0.47757575757575765"/>
          <c:h val="0.92705882352941194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966-412F-ACCD-A515E422CC60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6966-412F-ACCD-A515E422CC60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BB6-424A-A3F0-0788DA2FF829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966-412F-ACCD-A515E422CC60}"/>
              </c:ext>
            </c:extLst>
          </c:dPt>
          <c:dPt>
            <c:idx val="4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6966-412F-ACCD-A515E422CC6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125-484B-B514-3FA12A223EEE}"/>
              </c:ext>
            </c:extLst>
          </c:dPt>
          <c:dPt>
            <c:idx val="6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E38B-4254-A8D4-7BEF8388695E}"/>
              </c:ext>
            </c:extLst>
          </c:dPt>
          <c:dPt>
            <c:idx val="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38B-4254-A8D4-7BEF8388695E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125-484B-B514-3FA12A223EEE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125-484B-B514-3FA12A223EEE}"/>
              </c:ext>
            </c:extLst>
          </c:dPt>
          <c:dPt>
            <c:idx val="1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8D6-4973-B695-74464E47D089}"/>
              </c:ext>
            </c:extLst>
          </c:dPt>
          <c:dPt>
            <c:idx val="1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8D6-4973-B695-74464E47D089}"/>
              </c:ext>
            </c:extLst>
          </c:dPt>
          <c:dPt>
            <c:idx val="12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8D6-4973-B695-74464E47D089}"/>
              </c:ext>
            </c:extLst>
          </c:dPt>
          <c:dPt>
            <c:idx val="1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8D6-4973-B695-74464E47D089}"/>
              </c:ext>
            </c:extLst>
          </c:dPt>
          <c:dPt>
            <c:idx val="14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68D6-4973-B695-74464E47D089}"/>
              </c:ext>
            </c:extLst>
          </c:dPt>
          <c:dPt>
            <c:idx val="1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68D6-4973-B695-74464E47D089}"/>
              </c:ext>
            </c:extLst>
          </c:dPt>
          <c:dPt>
            <c:idx val="16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68D6-4973-B695-74464E47D089}"/>
              </c:ext>
            </c:extLst>
          </c:dPt>
          <c:dPt>
            <c:idx val="1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68D6-4973-B695-74464E47D089}"/>
              </c:ext>
            </c:extLst>
          </c:dPt>
          <c:dPt>
            <c:idx val="18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68D6-4973-B695-74464E47D089}"/>
              </c:ext>
            </c:extLst>
          </c:dPt>
          <c:dPt>
            <c:idx val="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68D6-4973-B695-74464E47D089}"/>
              </c:ext>
            </c:extLst>
          </c:dPt>
          <c:dPt>
            <c:idx val="20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68D6-4973-B695-74464E47D089}"/>
              </c:ext>
            </c:extLst>
          </c:dPt>
          <c:dPt>
            <c:idx val="2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68D6-4973-B695-74464E47D089}"/>
              </c:ext>
            </c:extLst>
          </c:dPt>
          <c:dPt>
            <c:idx val="22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68D6-4973-B695-74464E47D089}"/>
              </c:ext>
            </c:extLst>
          </c:dPt>
          <c:dPt>
            <c:idx val="2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68D6-4973-B695-74464E47D089}"/>
              </c:ext>
            </c:extLst>
          </c:dPt>
          <c:dPt>
            <c:idx val="2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68D6-4973-B695-74464E47D089}"/>
              </c:ext>
            </c:extLst>
          </c:dPt>
          <c:dPt>
            <c:idx val="2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68D6-4973-B695-74464E47D089}"/>
              </c:ext>
            </c:extLst>
          </c:dPt>
          <c:dPt>
            <c:idx val="2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68D6-4973-B695-74464E47D089}"/>
              </c:ext>
            </c:extLst>
          </c:dPt>
          <c:dPt>
            <c:idx val="2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68D6-4973-B695-74464E47D089}"/>
              </c:ext>
            </c:extLst>
          </c:dPt>
          <c:dPt>
            <c:idx val="28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68D6-4973-B695-74464E47D089}"/>
              </c:ext>
            </c:extLst>
          </c:dPt>
          <c:dPt>
            <c:idx val="2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68D6-4973-B695-74464E47D089}"/>
              </c:ext>
            </c:extLst>
          </c:dPt>
          <c:dPt>
            <c:idx val="30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68D6-4973-B695-74464E47D089}"/>
              </c:ext>
            </c:extLst>
          </c:dPt>
          <c:dPt>
            <c:idx val="3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68D6-4973-B695-74464E47D089}"/>
              </c:ext>
            </c:extLst>
          </c:dPt>
          <c:dPt>
            <c:idx val="32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68D6-4973-B695-74464E47D089}"/>
              </c:ext>
            </c:extLst>
          </c:dPt>
          <c:dPt>
            <c:idx val="3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68D6-4973-B695-74464E47D089}"/>
              </c:ext>
            </c:extLst>
          </c:dPt>
          <c:dPt>
            <c:idx val="34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68D6-4973-B695-74464E47D089}"/>
              </c:ext>
            </c:extLst>
          </c:dPt>
          <c:dPt>
            <c:idx val="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68D6-4973-B695-74464E47D089}"/>
              </c:ext>
            </c:extLst>
          </c:dPt>
          <c:dPt>
            <c:idx val="36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68D6-4973-B695-74464E47D089}"/>
              </c:ext>
            </c:extLst>
          </c:dPt>
          <c:dPt>
            <c:idx val="3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68D6-4973-B695-74464E47D089}"/>
              </c:ext>
            </c:extLst>
          </c:dPt>
          <c:dPt>
            <c:idx val="38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68D6-4973-B695-74464E47D089}"/>
              </c:ext>
            </c:extLst>
          </c:dPt>
          <c:dPt>
            <c:idx val="3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68D6-4973-B695-74464E47D089}"/>
              </c:ext>
            </c:extLst>
          </c:dPt>
          <c:dPt>
            <c:idx val="40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68D6-4973-B695-74464E47D089}"/>
              </c:ext>
            </c:extLst>
          </c:dPt>
          <c:dPt>
            <c:idx val="4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68D6-4973-B695-74464E47D089}"/>
              </c:ext>
            </c:extLst>
          </c:dPt>
          <c:dPt>
            <c:idx val="42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68D6-4973-B695-74464E47D089}"/>
              </c:ext>
            </c:extLst>
          </c:dPt>
          <c:dPt>
            <c:idx val="4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68D6-4973-B695-74464E47D089}"/>
              </c:ext>
            </c:extLst>
          </c:dPt>
          <c:dPt>
            <c:idx val="44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68D6-4973-B695-74464E47D089}"/>
              </c:ext>
            </c:extLst>
          </c:dPt>
          <c:dPt>
            <c:idx val="4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68D6-4973-B695-74464E47D089}"/>
              </c:ext>
            </c:extLst>
          </c:dPt>
          <c:dPt>
            <c:idx val="46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68D6-4973-B695-74464E47D089}"/>
              </c:ext>
            </c:extLst>
          </c:dPt>
          <c:dPt>
            <c:idx val="4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68D6-4973-B695-74464E47D089}"/>
              </c:ext>
            </c:extLst>
          </c:dPt>
          <c:dPt>
            <c:idx val="48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68D6-4973-B695-74464E47D089}"/>
              </c:ext>
            </c:extLst>
          </c:dPt>
          <c:dPt>
            <c:idx val="49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68D6-4973-B695-74464E47D089}"/>
              </c:ext>
            </c:extLst>
          </c:dPt>
          <c:dPt>
            <c:idx val="50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68D6-4973-B695-74464E47D089}"/>
              </c:ext>
            </c:extLst>
          </c:dPt>
          <c:dPt>
            <c:idx val="5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68D6-4973-B695-74464E47D089}"/>
              </c:ext>
            </c:extLst>
          </c:dPt>
          <c:dPt>
            <c:idx val="5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68D6-4973-B695-74464E47D089}"/>
              </c:ext>
            </c:extLst>
          </c:dPt>
          <c:dPt>
            <c:idx val="5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68D6-4973-B695-74464E47D089}"/>
              </c:ext>
            </c:extLst>
          </c:dPt>
          <c:dPt>
            <c:idx val="54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68D6-4973-B695-74464E47D089}"/>
              </c:ext>
            </c:extLst>
          </c:dPt>
          <c:dPt>
            <c:idx val="5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68D6-4973-B695-74464E47D089}"/>
              </c:ext>
            </c:extLst>
          </c:dPt>
          <c:dPt>
            <c:idx val="56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68D6-4973-B695-74464E47D089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68D6-4973-B695-74464E47D089}"/>
              </c:ext>
            </c:extLst>
          </c:dPt>
          <c:dPt>
            <c:idx val="58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68D6-4973-B695-74464E47D089}"/>
              </c:ext>
            </c:extLst>
          </c:dPt>
          <c:dPt>
            <c:idx val="5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68D6-4973-B695-74464E47D089}"/>
              </c:ext>
            </c:extLst>
          </c:dPt>
          <c:dPt>
            <c:idx val="60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68D6-4973-B695-74464E47D089}"/>
              </c:ext>
            </c:extLst>
          </c:dPt>
          <c:dPt>
            <c:idx val="6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68D6-4973-B695-74464E47D089}"/>
              </c:ext>
            </c:extLst>
          </c:dPt>
          <c:dPt>
            <c:idx val="62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68D6-4973-B695-74464E47D089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68D6-4973-B695-74464E47D089}"/>
              </c:ext>
            </c:extLst>
          </c:dPt>
          <c:dPt>
            <c:idx val="64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68D6-4973-B695-74464E47D089}"/>
              </c:ext>
            </c:extLst>
          </c:dPt>
          <c:dPt>
            <c:idx val="6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68D6-4973-B695-74464E47D089}"/>
              </c:ext>
            </c:extLst>
          </c:dPt>
          <c:dPt>
            <c:idx val="66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68D6-4973-B695-74464E47D089}"/>
              </c:ext>
            </c:extLst>
          </c:dPt>
          <c:dPt>
            <c:idx val="6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68D6-4973-B695-74464E47D089}"/>
              </c:ext>
            </c:extLst>
          </c:dPt>
          <c:dPt>
            <c:idx val="68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68D6-4973-B695-74464E47D089}"/>
              </c:ext>
            </c:extLst>
          </c:dPt>
          <c:dPt>
            <c:idx val="6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68D6-4973-B695-74464E47D089}"/>
              </c:ext>
            </c:extLst>
          </c:dPt>
          <c:dPt>
            <c:idx val="70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68D6-4973-B695-74464E47D089}"/>
              </c:ext>
            </c:extLst>
          </c:dPt>
          <c:dPt>
            <c:idx val="7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68D6-4973-B695-74464E47D089}"/>
              </c:ext>
            </c:extLst>
          </c:dPt>
          <c:dPt>
            <c:idx val="72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68D6-4973-B695-74464E47D089}"/>
              </c:ext>
            </c:extLst>
          </c:dPt>
          <c:dPt>
            <c:idx val="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68D6-4973-B695-74464E47D089}"/>
              </c:ext>
            </c:extLst>
          </c:dPt>
          <c:dPt>
            <c:idx val="74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68D6-4973-B695-74464E47D089}"/>
              </c:ext>
            </c:extLst>
          </c:dPt>
          <c:dPt>
            <c:idx val="7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68D6-4973-B695-74464E47D089}"/>
              </c:ext>
            </c:extLst>
          </c:dPt>
          <c:dPt>
            <c:idx val="76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68D6-4973-B695-74464E47D089}"/>
              </c:ext>
            </c:extLst>
          </c:dPt>
          <c:dPt>
            <c:idx val="7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68D6-4973-B695-74464E47D089}"/>
              </c:ext>
            </c:extLst>
          </c:dPt>
          <c:dPt>
            <c:idx val="78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68D6-4973-B695-74464E47D089}"/>
              </c:ext>
            </c:extLst>
          </c:dPt>
          <c:dPt>
            <c:idx val="7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68D6-4973-B695-74464E47D089}"/>
              </c:ext>
            </c:extLst>
          </c:dPt>
          <c:dPt>
            <c:idx val="8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68D6-4973-B695-74464E47D089}"/>
              </c:ext>
            </c:extLst>
          </c:dPt>
          <c:dPt>
            <c:idx val="8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68D6-4973-B695-74464E47D089}"/>
              </c:ext>
            </c:extLst>
          </c:dPt>
          <c:dPt>
            <c:idx val="82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68D6-4973-B695-74464E47D089}"/>
              </c:ext>
            </c:extLst>
          </c:dPt>
          <c:dPt>
            <c:idx val="8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68D6-4973-B695-74464E47D089}"/>
              </c:ext>
            </c:extLst>
          </c:dPt>
          <c:dPt>
            <c:idx val="84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68D6-4973-B695-74464E47D089}"/>
              </c:ext>
            </c:extLst>
          </c:dPt>
          <c:dPt>
            <c:idx val="8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68D6-4973-B695-74464E47D089}"/>
              </c:ext>
            </c:extLst>
          </c:dPt>
          <c:dPt>
            <c:idx val="86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68D6-4973-B695-74464E47D089}"/>
              </c:ext>
            </c:extLst>
          </c:dPt>
          <c:dPt>
            <c:idx val="8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68D6-4973-B695-74464E47D089}"/>
              </c:ext>
            </c:extLst>
          </c:dPt>
          <c:dPt>
            <c:idx val="88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68D6-4973-B695-74464E47D089}"/>
              </c:ext>
            </c:extLst>
          </c:dPt>
          <c:dPt>
            <c:idx val="8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68D6-4973-B695-74464E47D089}"/>
              </c:ext>
            </c:extLst>
          </c:dPt>
          <c:dPt>
            <c:idx val="90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68D6-4973-B695-74464E47D089}"/>
              </c:ext>
            </c:extLst>
          </c:dPt>
          <c:dPt>
            <c:idx val="9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68D6-4973-B695-74464E47D089}"/>
              </c:ext>
            </c:extLst>
          </c:dPt>
          <c:dPt>
            <c:idx val="92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68D6-4973-B695-74464E47D089}"/>
              </c:ext>
            </c:extLst>
          </c:dPt>
          <c:dPt>
            <c:idx val="9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68D6-4973-B695-74464E47D089}"/>
              </c:ext>
            </c:extLst>
          </c:dPt>
          <c:dPt>
            <c:idx val="94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68D6-4973-B695-74464E47D089}"/>
              </c:ext>
            </c:extLst>
          </c:dPt>
          <c:dPt>
            <c:idx val="95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68D6-4973-B695-74464E47D089}"/>
              </c:ext>
            </c:extLst>
          </c:dPt>
          <c:dPt>
            <c:idx val="96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68D6-4973-B695-74464E47D089}"/>
              </c:ext>
            </c:extLst>
          </c:dPt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REL_DRE_FINANCEIRO!$V$856:$V$955</c:f>
              <c:strCache>
                <c:ptCount val="100"/>
                <c:pt idx="0">
                  <c:v>IMOBILIZADO - AQUISIÇÃO DE IMÓVEIS</c:v>
                </c:pt>
                <c:pt idx="1">
                  <c:v>IMOBILIZADO - AQUISIÇÃO DE SOFTWARE</c:v>
                </c:pt>
                <c:pt idx="2">
                  <c:v>IMOBILIZADO - BENFEITORIAS</c:v>
                </c:pt>
                <c:pt idx="3">
                  <c:v>IMOBILIZADO - COMPUTADORES E PERIFERICOS</c:v>
                </c:pt>
                <c:pt idx="4">
                  <c:v>IMOBILIZADO - MÁQUINAS, EQUIPAMENTOS E FERRAMENTAS</c:v>
                </c:pt>
                <c:pt idx="5">
                  <c:v>IMOBILIZADO - MARCAS E PATENTES</c:v>
                </c:pt>
                <c:pt idx="6">
                  <c:v>IMOBILIZADO - MOVEIS E UTENSILIOS</c:v>
                </c:pt>
                <c:pt idx="7">
                  <c:v>IMOBILIZADO - VEÍCULOS</c:v>
                </c:pt>
                <c:pt idx="8">
                  <c:v>OUTROS INVESTIMENTOS</c:v>
                </c:pt>
                <c:pt idx="9">
                  <c:v>PNEUS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</c:strCache>
            </c:strRef>
          </c:cat>
          <c:val>
            <c:numRef>
              <c:f>REL_DRE_FINANCEIRO!$W$856:$W$955</c:f>
              <c:numCache>
                <c:formatCode>"R$"\ #,##0.0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66-412F-ACCD-A515E422CC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solidFill>
            <a:schemeClr val="bg1"/>
          </a:solidFill>
        </a:ln>
        <a:effectLst/>
      </c:spPr>
    </c:plotArea>
    <c:legend>
      <c:legendPos val="r"/>
      <c:layout>
        <c:manualLayout>
          <c:xMode val="edge"/>
          <c:yMode val="edge"/>
          <c:x val="0.51010101010101006"/>
          <c:y val="0"/>
          <c:w val="0.45959595959595961"/>
          <c:h val="0.96736529257372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538614491370396E-2"/>
          <c:y val="1.9607843137254902E-2"/>
          <c:w val="0.47757575757575765"/>
          <c:h val="0.9270588235294119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03-4E5A-A00E-9C08550961F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03-4E5A-A00E-9C08550961F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F03-4E5A-A00E-9C08550961F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F03-4E5A-A00E-9C08550961F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F03-4E5A-A00E-9C08550961F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BFF-4913-8A77-17C897634B8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624-4DC6-BB4F-4EDF140609D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624-4DC6-BB4F-4EDF140609D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BFF-4913-8A77-17C897634B8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BFF-4913-8A77-17C897634B8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12B-460E-9068-C324F0D5D44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12B-460E-9068-C324F0D5D44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12B-460E-9068-C324F0D5D44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12B-460E-9068-C324F0D5D44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612B-460E-9068-C324F0D5D44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612B-460E-9068-C324F0D5D44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612B-460E-9068-C324F0D5D44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612B-460E-9068-C324F0D5D44F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612B-460E-9068-C324F0D5D44F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612B-460E-9068-C324F0D5D44F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612B-460E-9068-C324F0D5D44F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612B-460E-9068-C324F0D5D44F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612B-460E-9068-C324F0D5D44F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612B-460E-9068-C324F0D5D44F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612B-460E-9068-C324F0D5D44F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612B-460E-9068-C324F0D5D44F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612B-460E-9068-C324F0D5D44F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612B-460E-9068-C324F0D5D44F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612B-460E-9068-C324F0D5D44F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612B-460E-9068-C324F0D5D44F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612B-460E-9068-C324F0D5D44F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612B-460E-9068-C324F0D5D44F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612B-460E-9068-C324F0D5D44F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612B-460E-9068-C324F0D5D44F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612B-460E-9068-C324F0D5D44F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612B-460E-9068-C324F0D5D44F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612B-460E-9068-C324F0D5D44F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612B-460E-9068-C324F0D5D44F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612B-460E-9068-C324F0D5D44F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612B-460E-9068-C324F0D5D44F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612B-460E-9068-C324F0D5D44F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612B-460E-9068-C324F0D5D44F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612B-460E-9068-C324F0D5D44F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612B-460E-9068-C324F0D5D44F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612B-460E-9068-C324F0D5D44F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612B-460E-9068-C324F0D5D44F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612B-460E-9068-C324F0D5D44F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612B-460E-9068-C324F0D5D44F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612B-460E-9068-C324F0D5D44F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612B-460E-9068-C324F0D5D44F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612B-460E-9068-C324F0D5D44F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612B-460E-9068-C324F0D5D44F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612B-460E-9068-C324F0D5D44F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612B-460E-9068-C324F0D5D44F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612B-460E-9068-C324F0D5D44F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612B-460E-9068-C324F0D5D44F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612B-460E-9068-C324F0D5D44F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612B-460E-9068-C324F0D5D44F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612B-460E-9068-C324F0D5D44F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612B-460E-9068-C324F0D5D44F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612B-460E-9068-C324F0D5D44F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612B-460E-9068-C324F0D5D44F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612B-460E-9068-C324F0D5D44F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612B-460E-9068-C324F0D5D44F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612B-460E-9068-C324F0D5D44F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612B-460E-9068-C324F0D5D44F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612B-460E-9068-C324F0D5D44F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612B-460E-9068-C324F0D5D44F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612B-460E-9068-C324F0D5D44F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612B-460E-9068-C324F0D5D44F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612B-460E-9068-C324F0D5D44F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612B-460E-9068-C324F0D5D44F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612B-460E-9068-C324F0D5D44F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612B-460E-9068-C324F0D5D44F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612B-460E-9068-C324F0D5D44F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612B-460E-9068-C324F0D5D44F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612B-460E-9068-C324F0D5D44F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612B-460E-9068-C324F0D5D44F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612B-460E-9068-C324F0D5D44F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612B-460E-9068-C324F0D5D44F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612B-460E-9068-C324F0D5D44F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612B-460E-9068-C324F0D5D44F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612B-460E-9068-C324F0D5D44F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612B-460E-9068-C324F0D5D44F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612B-460E-9068-C324F0D5D44F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612B-460E-9068-C324F0D5D44F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612B-460E-9068-C324F0D5D44F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612B-460E-9068-C324F0D5D44F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612B-460E-9068-C324F0D5D44F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612B-460E-9068-C324F0D5D44F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612B-460E-9068-C324F0D5D44F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612B-460E-9068-C324F0D5D44F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612B-460E-9068-C324F0D5D44F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612B-460E-9068-C324F0D5D44F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612B-460E-9068-C324F0D5D44F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612B-460E-9068-C324F0D5D44F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612B-460E-9068-C324F0D5D44F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612B-460E-9068-C324F0D5D44F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612B-460E-9068-C324F0D5D44F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612B-460E-9068-C324F0D5D44F}"/>
              </c:ext>
            </c:extLst>
          </c:dPt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pt-BR"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REL_DRE_FINANCEIRO!$V$344:$V$443</c:f>
              <c:strCache>
                <c:ptCount val="100"/>
                <c:pt idx="0">
                  <c:v>BRINDES</c:v>
                </c:pt>
                <c:pt idx="1">
                  <c:v>MATERIAL DIVULGAÇÃO</c:v>
                </c:pt>
                <c:pt idx="2">
                  <c:v>OUTRAS DESPESAS COMERCIAIS</c:v>
                </c:pt>
                <c:pt idx="3">
                  <c:v>PROPAGANDA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</c:strCache>
            </c:strRef>
          </c:cat>
          <c:val>
            <c:numRef>
              <c:f>REL_DRE_FINANCEIRO!$W$344:$W$443</c:f>
              <c:numCache>
                <c:formatCode>"R$"\ #,##0.0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F03-4E5A-A00E-9C08550961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solidFill>
            <a:schemeClr val="bg1"/>
          </a:solidFill>
        </a:ln>
        <a:effectLst/>
      </c:spPr>
    </c:plotArea>
    <c:legend>
      <c:legendPos val="r"/>
      <c:layout>
        <c:manualLayout>
          <c:xMode val="edge"/>
          <c:yMode val="edge"/>
          <c:x val="0.5"/>
          <c:y val="0"/>
          <c:w val="0.46969696969696972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1589119541875448E-2"/>
          <c:y val="4.9019607843137254E-2"/>
          <c:w val="0.47757575757575765"/>
          <c:h val="0.9270588235294119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5C-4807-B1FE-3358871060D2}"/>
              </c:ext>
            </c:extLst>
          </c:dPt>
          <c:dPt>
            <c:idx val="1"/>
            <c:bubble3D val="0"/>
            <c:spPr>
              <a:solidFill>
                <a:srgbClr val="566DC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5C-4807-B1FE-3358871060D2}"/>
              </c:ext>
            </c:extLst>
          </c:dPt>
          <c:dPt>
            <c:idx val="2"/>
            <c:bubble3D val="0"/>
            <c:spPr>
              <a:solidFill>
                <a:srgbClr val="644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5C-4807-B1FE-3358871060D2}"/>
              </c:ext>
            </c:extLst>
          </c:dPt>
          <c:dPt>
            <c:idx val="3"/>
            <c:bubble3D val="0"/>
            <c:spPr>
              <a:solidFill>
                <a:srgbClr val="98687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A5C-4807-B1FE-3358871060D2}"/>
              </c:ext>
            </c:extLst>
          </c:dPt>
          <c:dPt>
            <c:idx val="4"/>
            <c:bubble3D val="0"/>
            <c:spPr>
              <a:solidFill>
                <a:srgbClr val="F3665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A5C-4807-B1FE-3358871060D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A5C-4807-B1FE-3358871060D2}"/>
              </c:ext>
            </c:extLst>
          </c:dPt>
          <c:dPt>
            <c:idx val="6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A5C-4807-B1FE-3358871060D2}"/>
              </c:ext>
            </c:extLst>
          </c:dPt>
          <c:dPt>
            <c:idx val="7"/>
            <c:bubble3D val="0"/>
            <c:spPr>
              <a:solidFill>
                <a:schemeClr val="accent5">
                  <a:lumMod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A5C-4807-B1FE-3358871060D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A5C-4807-B1FE-3358871060D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A5C-4807-B1FE-3358871060D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1E1-4DF4-B9FA-1BC5AA32B82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1E1-4DF4-B9FA-1BC5AA32B82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1E1-4DF4-B9FA-1BC5AA32B82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1E1-4DF4-B9FA-1BC5AA32B827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1E1-4DF4-B9FA-1BC5AA32B82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1E1-4DF4-B9FA-1BC5AA32B827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41E1-4DF4-B9FA-1BC5AA32B827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41E1-4DF4-B9FA-1BC5AA32B82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41E1-4DF4-B9FA-1BC5AA32B82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41E1-4DF4-B9FA-1BC5AA32B82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41E1-4DF4-B9FA-1BC5AA32B827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41E1-4DF4-B9FA-1BC5AA32B827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41E1-4DF4-B9FA-1BC5AA32B827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41E1-4DF4-B9FA-1BC5AA32B827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41E1-4DF4-B9FA-1BC5AA32B827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41E1-4DF4-B9FA-1BC5AA32B827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41E1-4DF4-B9FA-1BC5AA32B827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41E1-4DF4-B9FA-1BC5AA32B827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41E1-4DF4-B9FA-1BC5AA32B827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41E1-4DF4-B9FA-1BC5AA32B827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41E1-4DF4-B9FA-1BC5AA32B827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41E1-4DF4-B9FA-1BC5AA32B827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41E1-4DF4-B9FA-1BC5AA32B827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41E1-4DF4-B9FA-1BC5AA32B827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41E1-4DF4-B9FA-1BC5AA32B827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41E1-4DF4-B9FA-1BC5AA32B827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41E1-4DF4-B9FA-1BC5AA32B827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41E1-4DF4-B9FA-1BC5AA32B827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41E1-4DF4-B9FA-1BC5AA32B827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41E1-4DF4-B9FA-1BC5AA32B827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41E1-4DF4-B9FA-1BC5AA32B827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41E1-4DF4-B9FA-1BC5AA32B827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41E1-4DF4-B9FA-1BC5AA32B827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41E1-4DF4-B9FA-1BC5AA32B827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41E1-4DF4-B9FA-1BC5AA32B827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41E1-4DF4-B9FA-1BC5AA32B827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41E1-4DF4-B9FA-1BC5AA32B827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41E1-4DF4-B9FA-1BC5AA32B827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41E1-4DF4-B9FA-1BC5AA32B827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41E1-4DF4-B9FA-1BC5AA32B827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41E1-4DF4-B9FA-1BC5AA32B827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41E1-4DF4-B9FA-1BC5AA32B827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41E1-4DF4-B9FA-1BC5AA32B827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41E1-4DF4-B9FA-1BC5AA32B827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41E1-4DF4-B9FA-1BC5AA32B827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41E1-4DF4-B9FA-1BC5AA32B827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41E1-4DF4-B9FA-1BC5AA32B827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41E1-4DF4-B9FA-1BC5AA32B827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41E1-4DF4-B9FA-1BC5AA32B827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41E1-4DF4-B9FA-1BC5AA32B827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41E1-4DF4-B9FA-1BC5AA32B827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41E1-4DF4-B9FA-1BC5AA32B827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41E1-4DF4-B9FA-1BC5AA32B827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41E1-4DF4-B9FA-1BC5AA32B827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41E1-4DF4-B9FA-1BC5AA32B827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41E1-4DF4-B9FA-1BC5AA32B827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41E1-4DF4-B9FA-1BC5AA32B827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41E1-4DF4-B9FA-1BC5AA32B827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41E1-4DF4-B9FA-1BC5AA32B827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41E1-4DF4-B9FA-1BC5AA32B827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41E1-4DF4-B9FA-1BC5AA32B827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41E1-4DF4-B9FA-1BC5AA32B827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41E1-4DF4-B9FA-1BC5AA32B827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41E1-4DF4-B9FA-1BC5AA32B827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41E1-4DF4-B9FA-1BC5AA32B827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41E1-4DF4-B9FA-1BC5AA32B827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41E1-4DF4-B9FA-1BC5AA32B827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41E1-4DF4-B9FA-1BC5AA32B827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41E1-4DF4-B9FA-1BC5AA32B827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41E1-4DF4-B9FA-1BC5AA32B827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41E1-4DF4-B9FA-1BC5AA32B827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41E1-4DF4-B9FA-1BC5AA32B827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41E1-4DF4-B9FA-1BC5AA32B827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41E1-4DF4-B9FA-1BC5AA32B827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41E1-4DF4-B9FA-1BC5AA32B827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41E1-4DF4-B9FA-1BC5AA32B827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41E1-4DF4-B9FA-1BC5AA32B827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41E1-4DF4-B9FA-1BC5AA32B827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41E1-4DF4-B9FA-1BC5AA32B827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41E1-4DF4-B9FA-1BC5AA32B827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41E1-4DF4-B9FA-1BC5AA32B827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41E1-4DF4-B9FA-1BC5AA32B827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41E1-4DF4-B9FA-1BC5AA32B827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41E1-4DF4-B9FA-1BC5AA32B827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41E1-4DF4-B9FA-1BC5AA32B827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41E1-4DF4-B9FA-1BC5AA32B827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41E1-4DF4-B9FA-1BC5AA32B827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41E1-4DF4-B9FA-1BC5AA32B827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41E1-4DF4-B9FA-1BC5AA32B827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41E1-4DF4-B9FA-1BC5AA32B827}"/>
              </c:ext>
            </c:extLst>
          </c:dPt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pt-BR"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REL_DRE_FINANCEIRO!$V$136:$V$235</c:f>
              <c:strCache>
                <c:ptCount val="100"/>
                <c:pt idx="0">
                  <c:v>ÁGUA</c:v>
                </c:pt>
                <c:pt idx="1">
                  <c:v>ALIMENTAÇÃO</c:v>
                </c:pt>
                <c:pt idx="2">
                  <c:v>ALUGUEL DE EQUIPAMENTOS</c:v>
                </c:pt>
                <c:pt idx="3">
                  <c:v>ART</c:v>
                </c:pt>
                <c:pt idx="4">
                  <c:v>BORRACHARIA</c:v>
                </c:pt>
                <c:pt idx="5">
                  <c:v>COMBUSTÍVEL</c:v>
                </c:pt>
                <c:pt idx="6">
                  <c:v>COMPRA DE MERCADORIA</c:v>
                </c:pt>
                <c:pt idx="7">
                  <c:v>EMPRÉSTIMOS A CLIENTES</c:v>
                </c:pt>
                <c:pt idx="8">
                  <c:v>ESTACIONAMENTO</c:v>
                </c:pt>
                <c:pt idx="9">
                  <c:v>EXTRAS HOSPEDAGEM</c:v>
                </c:pt>
                <c:pt idx="10">
                  <c:v>FARMACIA</c:v>
                </c:pt>
                <c:pt idx="11">
                  <c:v>FRETE</c:v>
                </c:pt>
                <c:pt idx="12">
                  <c:v>HOSPEDAGEM</c:v>
                </c:pt>
                <c:pt idx="13">
                  <c:v>IMPRESSÃO DE PROJETO</c:v>
                </c:pt>
                <c:pt idx="14">
                  <c:v>LAVANDERIA</c:v>
                </c:pt>
                <c:pt idx="15">
                  <c:v>LIMPEZA CASA</c:v>
                </c:pt>
                <c:pt idx="16">
                  <c:v>MATERIAL E MÃO DE OBRA</c:v>
                </c:pt>
                <c:pt idx="17">
                  <c:v>MOTO BOY</c:v>
                </c:pt>
                <c:pt idx="18">
                  <c:v>PAGAMENTO DE MÃO DE OBRA</c:v>
                </c:pt>
                <c:pt idx="19">
                  <c:v>PEÇAS</c:v>
                </c:pt>
                <c:pt idx="20">
                  <c:v>REEMBOLSO CLIENTE</c:v>
                </c:pt>
                <c:pt idx="21">
                  <c:v>REEMBOLSO FUNCIONÁRIO</c:v>
                </c:pt>
                <c:pt idx="22">
                  <c:v>REEMBOLSO SÓCIO</c:v>
                </c:pt>
                <c:pt idx="23">
                  <c:v>SEM PARAR - PEDÁGIO</c:v>
                </c:pt>
                <c:pt idx="24">
                  <c:v>SERVIÇO DE TORNEIRO</c:v>
                </c:pt>
                <c:pt idx="25">
                  <c:v>TARIFA DE PIX</c:v>
                </c:pt>
                <c:pt idx="26">
                  <c:v>TRANSPORTADORA </c:v>
                </c:pt>
                <c:pt idx="27">
                  <c:v>TRANSPORTE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</c:strCache>
            </c:strRef>
          </c:cat>
          <c:val>
            <c:numRef>
              <c:f>REL_DRE_FINANCEIRO!$W$136:$W$235</c:f>
              <c:numCache>
                <c:formatCode>"R$"\ #,##0.0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A5C-4807-B1FE-3358871060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57099180784220149"/>
          <c:y val="1.7957387679481233E-2"/>
          <c:w val="0.39870516185476812"/>
          <c:h val="0.98204261232051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376043903602949E-3"/>
          <c:y val="4.6292415949960919E-2"/>
          <c:w val="0.46731920048455483"/>
          <c:h val="0.89340435386753125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1A7-4B1C-93FB-0CC47B340E2F}"/>
              </c:ext>
            </c:extLst>
          </c:dPt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REL_DRE_FINANCEIRO!$V$1165:$V$1264</c:f>
              <c:strCache>
                <c:ptCount val="100"/>
                <c:pt idx="0">
                  <c:v>APLICAÇÃO</c:v>
                </c:pt>
                <c:pt idx="1">
                  <c:v>CAPITAL DE GIRO</c:v>
                </c:pt>
                <c:pt idx="2">
                  <c:v>#REF!</c:v>
                </c:pt>
                <c:pt idx="3">
                  <c:v>EMPRÉSTIMO</c:v>
                </c:pt>
                <c:pt idx="4">
                  <c:v>OUTROS DÉBITOS</c:v>
                </c:pt>
                <c:pt idx="5">
                  <c:v>RESGATE DE APLICAÇÃO</c:v>
                </c:pt>
                <c:pt idx="6">
                  <c:v>RETIRADA SOCIOS </c:v>
                </c:pt>
                <c:pt idx="7">
                  <c:v>SAQUE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</c:strCache>
            </c:strRef>
          </c:cat>
          <c:val>
            <c:numRef>
              <c:f>REL_DRE_FINANCEIRO!$W$1165:$W$1264</c:f>
              <c:numCache>
                <c:formatCode>"R$"\ #,##0.0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8-B1A7-4B1C-93FB-0CC47B340E2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solidFill>
            <a:schemeClr val="bg1"/>
          </a:solidFill>
        </a:ln>
        <a:effectLst/>
      </c:spPr>
    </c:plotArea>
    <c:legend>
      <c:legendPos val="r"/>
      <c:layout>
        <c:manualLayout>
          <c:xMode val="edge"/>
          <c:yMode val="edge"/>
          <c:x val="0.45461821118514034"/>
          <c:y val="0"/>
          <c:w val="0.51507853825964067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12" dropStyle="combo" dx="22" fmlaLink="Apoio!$O$13" fmlaRange="Apoio!$G$5:$G$17" sel="1" val="0"/>
</file>

<file path=xl/ctrlProps/ctrlProp6.xml><?xml version="1.0" encoding="utf-8"?>
<formControlPr xmlns="http://schemas.microsoft.com/office/spreadsheetml/2009/9/main" objectType="Drop" dropLines="13" dropStyle="combo" dx="22" fmlaLink="Apoio!$O$5" fmlaRange="Apoio!$C$5:$C$17" sel="1" val="0"/>
</file>

<file path=xl/ctrlProps/ctrlProp7.xml><?xml version="1.0" encoding="utf-8"?>
<formControlPr xmlns="http://schemas.microsoft.com/office/spreadsheetml/2009/9/main" objectType="Drop" dropLines="12" dropStyle="combo" dx="22" fmlaLink="Apoio!$O$7" fmlaRange="Apoio!$G$21:$G$127" sel="2" val="0"/>
</file>

<file path=xl/ctrlProps/ctrlProp8.xml><?xml version="1.0" encoding="utf-8"?>
<formControlPr xmlns="http://schemas.microsoft.com/office/spreadsheetml/2009/9/main" objectType="Drop" dropLines="12" dropStyle="combo" dx="22" fmlaLink="Apoio!$O$8" fmlaRange="Apoio!$C$21:$C$40" sel="1" val="0"/>
</file>

<file path=xl/ctrlProps/ctrlProp9.xml><?xml version="1.0" encoding="utf-8"?>
<formControlPr xmlns="http://schemas.microsoft.com/office/spreadsheetml/2009/9/main" objectType="Drop" dropLines="12" dropStyle="combo" dx="22" fmlaLink="Apoio!$O$13" fmlaRange="Apoio!$G$5:$G$17" sel="1" val="0"/>
</file>

<file path=xl/ctrlProps/ctrlProp10.xml><?xml version="1.0" encoding="utf-8"?>
<formControlPr xmlns="http://schemas.microsoft.com/office/spreadsheetml/2009/9/main" objectType="Drop" dropLines="12" dropStyle="combo" dx="22" fmlaLink="Apoio!$O$8" fmlaRange="Apoio!$C$21:$C$40" sel="1" val="0"/>
</file>

<file path=xl/ctrlProps/ctrlProp11.xml><?xml version="1.0" encoding="utf-8"?>
<formControlPr xmlns="http://schemas.microsoft.com/office/spreadsheetml/2009/9/main" objectType="Drop" dropLines="12" dropStyle="combo" dx="22" fmlaLink="Apoio!$O$7" fmlaRange="Apoio!$G$21:$G$127" sel="2" val="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13" dropStyle="combo" dx="22" fmlaLink="Apoio!$O$6" fmlaRange="Apoio!$C$5:$C$17" sel="1" val="0"/>
</file>

<file path=xl/ctrlProps/ctrlProp16.xml><?xml version="1.0" encoding="utf-8"?>
<formControlPr xmlns="http://schemas.microsoft.com/office/spreadsheetml/2009/9/main" objectType="Drop" dropLines="12" dropStyle="combo" dx="22" fmlaLink="Apoio!$O$13" fmlaRange="Apoio!$G$5:$G$17" sel="1" val="0"/>
</file>

<file path=xl/ctrlProps/ctrlProp17.xml><?xml version="1.0" encoding="utf-8"?>
<formControlPr xmlns="http://schemas.microsoft.com/office/spreadsheetml/2009/9/main" objectType="Drop" dropLines="12" dropStyle="combo" dx="22" fmlaLink="Apoio!$O$8" fmlaRange="Apoio!$C$21:$C$40" sel="1" val="2"/>
</file>

<file path=xl/ctrlProps/ctrlProp18.xml><?xml version="1.0" encoding="utf-8"?>
<formControlPr xmlns="http://schemas.microsoft.com/office/spreadsheetml/2009/9/main" objectType="Drop" dropLines="12" dropStyle="combo" dx="22" fmlaLink="Apoio!$O$7" fmlaRange="Apoio!$G$21:$G$127" sel="2" val="0"/>
</file>

<file path=xl/ctrlProps/ctrlProp19.xml><?xml version="1.0" encoding="utf-8"?>
<formControlPr xmlns="http://schemas.microsoft.com/office/spreadsheetml/2009/9/main" objectType="Drop" dropLines="12" dropStyle="combo" dx="22" fmlaLink="Apoio!$O$13" fmlaRange="Apoio!$G$5:$G$17" sel="1" val="0"/>
</file>

<file path=xl/ctrlProps/ctrlProp20.xml><?xml version="1.0" encoding="utf-8"?>
<formControlPr xmlns="http://schemas.microsoft.com/office/spreadsheetml/2009/9/main" objectType="Drop" dropLines="12" dropStyle="combo" dx="22" fmlaLink="Apoio!$O$8" fmlaRange="Apoio!$C$21:$C$40" sel="1" val="0"/>
</file>

<file path=xl/ctrlProps/ctrlProp21.xml><?xml version="1.0" encoding="utf-8"?>
<formControlPr xmlns="http://schemas.microsoft.com/office/spreadsheetml/2009/9/main" objectType="Drop" dropLines="12" dropStyle="combo" dx="22" fmlaLink="Apoio!$O$7" fmlaRange="Apoio!$G$21:$G$127" sel="2" val="0"/>
</file>

<file path=xl/ctrlProps/ctrlProp22.xml><?xml version="1.0" encoding="utf-8"?>
<formControlPr xmlns="http://schemas.microsoft.com/office/spreadsheetml/2009/9/main" objectType="Drop" dropLines="12" dropStyle="combo" dx="22" fmlaLink="Apoio!$O$13" fmlaRange="Apoio!$G$5:$G$17" sel="1" val="0"/>
</file>

<file path=xl/ctrlProps/ctrlProp23.xml><?xml version="1.0" encoding="utf-8"?>
<formControlPr xmlns="http://schemas.microsoft.com/office/spreadsheetml/2009/9/main" objectType="Drop" dropLines="12" dropStyle="combo" dx="22" fmlaLink="Apoio!$O$8" fmlaRange="Apoio!$C$21:$C$40" sel="1" val="0"/>
</file>

<file path=xl/ctrlProps/ctrlProp24.xml><?xml version="1.0" encoding="utf-8"?>
<formControlPr xmlns="http://schemas.microsoft.com/office/spreadsheetml/2009/9/main" objectType="Drop" dropLines="12" dropStyle="combo" dx="22" fmlaLink="Apoio!$O$7" fmlaRange="Apoio!$G$21:$G$127" sel="2" val="0"/>
</file>

<file path=xl/ctrlProps/ctrlProp25.xml><?xml version="1.0" encoding="utf-8"?>
<formControlPr xmlns="http://schemas.microsoft.com/office/spreadsheetml/2009/9/main" objectType="Drop" dropLines="13" dropStyle="combo" dx="22" fmlaLink="Apoio!$O$12" fmlaRange="Apoio!$C$5:$C$17" sel="1" val="0"/>
</file>

<file path=xl/ctrlProps/ctrlProp26.xml><?xml version="1.0" encoding="utf-8"?>
<formControlPr xmlns="http://schemas.microsoft.com/office/spreadsheetml/2009/9/main" objectType="Drop" dropLines="12" dropStyle="combo" dx="22" fmlaLink="Apoio!$O$13" fmlaRange="Apoio!$G$5:$G$17" sel="1" val="0"/>
</file>

<file path=xl/ctrlProps/ctrlProp27.xml><?xml version="1.0" encoding="utf-8"?>
<formControlPr xmlns="http://schemas.microsoft.com/office/spreadsheetml/2009/9/main" objectType="Drop" dropLines="12" dropStyle="combo" dx="22" fmlaLink="Apoio!$O$8" fmlaRange="Apoio!$C$21:$C$40" sel="1" val="0"/>
</file>

<file path=xl/ctrlProps/ctrlProp28.xml><?xml version="1.0" encoding="utf-8"?>
<formControlPr xmlns="http://schemas.microsoft.com/office/spreadsheetml/2009/9/main" objectType="Drop" dropLines="12" dropStyle="combo" dx="22" fmlaLink="Apoio!$O$7" fmlaRange="Apoio!$G$21:$G$127" sel="2" val="0"/>
</file>

<file path=xl/ctrlProps/ctrlProp29.xml><?xml version="1.0" encoding="utf-8"?>
<formControlPr xmlns="http://schemas.microsoft.com/office/spreadsheetml/2009/9/main" objectType="Radio" checked="Checked" firstButton="1" fmlaLink="Apoio!$AP$5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Drop" dropLines="12" dropStyle="combo" dx="22" fmlaLink="Apoio!$O$13" fmlaRange="Apoio!$G$5:$G$17" sel="1" val="0"/>
</file>

<file path=xl/ctrlProps/ctrlProp33.xml><?xml version="1.0" encoding="utf-8"?>
<formControlPr xmlns="http://schemas.microsoft.com/office/spreadsheetml/2009/9/main" objectType="Drop" dropLines="12" dropStyle="combo" dx="22" fmlaLink="Apoio!$O$8" fmlaRange="Apoio!$C$21:$C$40" sel="1" val="0"/>
</file>

<file path=xl/ctrlProps/ctrlProp34.xml><?xml version="1.0" encoding="utf-8"?>
<formControlPr xmlns="http://schemas.microsoft.com/office/spreadsheetml/2009/9/main" objectType="Drop" dropLines="12" dropStyle="combo" dx="22" fmlaLink="Apoio!$O$7" fmlaRange="Apoio!$G$21:$G$127" sel="2" val="0"/>
</file>

<file path=xl/ctrlProps/ctrlProp35.xml><?xml version="1.0" encoding="utf-8"?>
<formControlPr xmlns="http://schemas.microsoft.com/office/spreadsheetml/2009/9/main" objectType="Drop" dropLines="11" dropStyle="combo" dx="22" fmlaLink="Apoio!$O$14" fmlaRange="Apoio!$J$5:$J$16" sel="1" val="0"/>
</file>

<file path=xl/ctrlProps/ctrlProp36.xml><?xml version="1.0" encoding="utf-8"?>
<formControlPr xmlns="http://schemas.microsoft.com/office/spreadsheetml/2009/9/main" objectType="Drop" dropLines="12" dropStyle="combo" dx="22" fmlaLink="Apoio!$O$13" fmlaRange="Apoio!$G$5:$G$17" sel="1" val="0"/>
</file>

<file path=xl/ctrlProps/ctrlProp37.xml><?xml version="1.0" encoding="utf-8"?>
<formControlPr xmlns="http://schemas.microsoft.com/office/spreadsheetml/2009/9/main" objectType="Drop" dropLines="12" dropStyle="combo" dx="22" fmlaLink="Apoio!$O$8" fmlaRange="Apoio!$C$21:$C$40" sel="1" val="0"/>
</file>

<file path=xl/ctrlProps/ctrlProp38.xml><?xml version="1.0" encoding="utf-8"?>
<formControlPr xmlns="http://schemas.microsoft.com/office/spreadsheetml/2009/9/main" objectType="Drop" dropLines="12" dropStyle="combo" dx="22" fmlaLink="Apoio!$O$7" fmlaRange="Apoio!$G$21:$G$127" sel="2" val="0"/>
</file>

<file path=xl/ctrlProps/ctrlProp39.xml><?xml version="1.0" encoding="utf-8"?>
<formControlPr xmlns="http://schemas.microsoft.com/office/spreadsheetml/2009/9/main" objectType="Drop" dropLines="13" dropStyle="combo" dx="22" fmlaLink="Apoio!$O$12" fmlaRange="Apoio!$C$5:$C$17" sel="1" val="0"/>
</file>

<file path=xl/ctrlProps/ctrlProp40.xml><?xml version="1.0" encoding="utf-8"?>
<formControlPr xmlns="http://schemas.microsoft.com/office/spreadsheetml/2009/9/main" objectType="Drop" dropLines="12" dropStyle="combo" dx="22" fmlaLink="Apoio!$O$13" fmlaRange="Apoio!$G$5:$G$17" sel="1" val="0"/>
</file>

<file path=xl/ctrlProps/ctrlProp41.xml><?xml version="1.0" encoding="utf-8"?>
<formControlPr xmlns="http://schemas.microsoft.com/office/spreadsheetml/2009/9/main" objectType="Drop" dropLines="12" dropStyle="combo" dx="22" fmlaLink="Apoio!$O$8" fmlaRange="Apoio!$C$21:$C$40" sel="1" val="0"/>
</file>

<file path=xl/ctrlProps/ctrlProp42.xml><?xml version="1.0" encoding="utf-8"?>
<formControlPr xmlns="http://schemas.microsoft.com/office/spreadsheetml/2009/9/main" objectType="Drop" dropLines="12" dropStyle="combo" dx="22" fmlaLink="Apoio!$O$7" fmlaRange="Apoio!$G$21:$G$127" sel="2" val="0"/>
</file>

<file path=xl/ctrlProps/ctrlProp43.xml><?xml version="1.0" encoding="utf-8"?>
<formControlPr xmlns="http://schemas.microsoft.com/office/spreadsheetml/2009/9/main" objectType="Drop" dropLines="13" dropStyle="combo" dx="22" fmlaLink="Apoio!$O$12" fmlaRange="Apoio!$C$5:$C$17" sel="1" val="0"/>
</file>

<file path=xl/ctrlProps/ctrlProp44.xml><?xml version="1.0" encoding="utf-8"?>
<formControlPr xmlns="http://schemas.microsoft.com/office/spreadsheetml/2009/9/main" objectType="Drop" dropLines="12" dropStyle="combo" dx="22" fmlaLink="Apoio!$O$13" fmlaRange="Apoio!$G$5:$G$17" sel="1" val="0"/>
</file>

<file path=xl/ctrlProps/ctrlProp45.xml><?xml version="1.0" encoding="utf-8"?>
<formControlPr xmlns="http://schemas.microsoft.com/office/spreadsheetml/2009/9/main" objectType="Drop" dropLines="12" dropStyle="combo" dx="22" fmlaLink="Apoio!$O$8" fmlaRange="Apoio!$C$21:$C$40" sel="1" val="0"/>
</file>

<file path=xl/ctrlProps/ctrlProp46.xml><?xml version="1.0" encoding="utf-8"?>
<formControlPr xmlns="http://schemas.microsoft.com/office/spreadsheetml/2009/9/main" objectType="Drop" dropLines="12" dropStyle="combo" dx="22" fmlaLink="Apoio!$O$7" fmlaRange="Apoio!$G$21:$G$127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LAN&#199;_MOV!A1"/><Relationship Id="rId13" Type="http://schemas.openxmlformats.org/officeDocument/2006/relationships/image" Target="../media/image3.png"/><Relationship Id="rId3" Type="http://schemas.openxmlformats.org/officeDocument/2006/relationships/hyperlink" Target="#CAD_CLIENTES!A1"/><Relationship Id="rId7" Type="http://schemas.openxmlformats.org/officeDocument/2006/relationships/hyperlink" Target="#CAD_CC!A1"/><Relationship Id="rId12" Type="http://schemas.openxmlformats.org/officeDocument/2006/relationships/image" Target="../media/image4.emf"/><Relationship Id="rId2" Type="http://schemas.openxmlformats.org/officeDocument/2006/relationships/hyperlink" Target="#'CAD_PL_REC-DESP'!A1"/><Relationship Id="rId1" Type="http://schemas.openxmlformats.org/officeDocument/2006/relationships/hyperlink" Target="#MENU!A1"/><Relationship Id="rId6" Type="http://schemas.openxmlformats.org/officeDocument/2006/relationships/hyperlink" Target="#CAD_BANCOS!A1"/><Relationship Id="rId11" Type="http://schemas.openxmlformats.org/officeDocument/2006/relationships/hyperlink" Target="#CAD_OR&#199;!A1"/><Relationship Id="rId5" Type="http://schemas.openxmlformats.org/officeDocument/2006/relationships/hyperlink" Target="#CAD_EMP!A1"/><Relationship Id="rId10" Type="http://schemas.openxmlformats.org/officeDocument/2006/relationships/hyperlink" Target="#DASH_MENSAL!A1"/><Relationship Id="rId4" Type="http://schemas.openxmlformats.org/officeDocument/2006/relationships/hyperlink" Target="#CAD_FORN!A1"/><Relationship Id="rId9" Type="http://schemas.openxmlformats.org/officeDocument/2006/relationships/hyperlink" Target="#REL_FATURAMENTO_BRUTO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LAN&#199;_MOV!A1"/><Relationship Id="rId13" Type="http://schemas.openxmlformats.org/officeDocument/2006/relationships/image" Target="../media/image3.png"/><Relationship Id="rId3" Type="http://schemas.openxmlformats.org/officeDocument/2006/relationships/hyperlink" Target="#CAD_CLIENTES!A1"/><Relationship Id="rId7" Type="http://schemas.openxmlformats.org/officeDocument/2006/relationships/hyperlink" Target="#CAD_CC!A1"/><Relationship Id="rId12" Type="http://schemas.openxmlformats.org/officeDocument/2006/relationships/image" Target="../media/image4.emf"/><Relationship Id="rId2" Type="http://schemas.openxmlformats.org/officeDocument/2006/relationships/hyperlink" Target="#'CAD_PL_REC-DESP'!A1"/><Relationship Id="rId1" Type="http://schemas.openxmlformats.org/officeDocument/2006/relationships/hyperlink" Target="#MENU!A1"/><Relationship Id="rId6" Type="http://schemas.openxmlformats.org/officeDocument/2006/relationships/hyperlink" Target="#CAD_BANCOS!A1"/><Relationship Id="rId11" Type="http://schemas.openxmlformats.org/officeDocument/2006/relationships/hyperlink" Target="#CAD_OR&#199;!A1"/><Relationship Id="rId5" Type="http://schemas.openxmlformats.org/officeDocument/2006/relationships/hyperlink" Target="#CAD_EMP!A1"/><Relationship Id="rId10" Type="http://schemas.openxmlformats.org/officeDocument/2006/relationships/hyperlink" Target="#DASH_MENSAL!A1"/><Relationship Id="rId4" Type="http://schemas.openxmlformats.org/officeDocument/2006/relationships/hyperlink" Target="#CAD_FORN!A1"/><Relationship Id="rId9" Type="http://schemas.openxmlformats.org/officeDocument/2006/relationships/hyperlink" Target="#REL_FATURAMENTO_BRUT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LAN&#199;_MOV!A1"/><Relationship Id="rId13" Type="http://schemas.openxmlformats.org/officeDocument/2006/relationships/image" Target="../media/image3.png"/><Relationship Id="rId3" Type="http://schemas.openxmlformats.org/officeDocument/2006/relationships/hyperlink" Target="#CAD_CLIENTES!A1"/><Relationship Id="rId7" Type="http://schemas.openxmlformats.org/officeDocument/2006/relationships/hyperlink" Target="#CAD_CC!A1"/><Relationship Id="rId12" Type="http://schemas.openxmlformats.org/officeDocument/2006/relationships/image" Target="../media/image6.emf"/><Relationship Id="rId2" Type="http://schemas.openxmlformats.org/officeDocument/2006/relationships/hyperlink" Target="#'CAD_PL_REC-DESP'!A1"/><Relationship Id="rId1" Type="http://schemas.openxmlformats.org/officeDocument/2006/relationships/hyperlink" Target="#MENU!A1"/><Relationship Id="rId6" Type="http://schemas.openxmlformats.org/officeDocument/2006/relationships/hyperlink" Target="#CAD_BANCOS!A1"/><Relationship Id="rId11" Type="http://schemas.openxmlformats.org/officeDocument/2006/relationships/hyperlink" Target="#CAD_OR&#199;!A1"/><Relationship Id="rId5" Type="http://schemas.openxmlformats.org/officeDocument/2006/relationships/hyperlink" Target="#CAD_EMP!A1"/><Relationship Id="rId10" Type="http://schemas.openxmlformats.org/officeDocument/2006/relationships/hyperlink" Target="#DASH_MENSAL!A1"/><Relationship Id="rId4" Type="http://schemas.openxmlformats.org/officeDocument/2006/relationships/hyperlink" Target="#CAD_FORN!A1"/><Relationship Id="rId9" Type="http://schemas.openxmlformats.org/officeDocument/2006/relationships/hyperlink" Target="#REL_FATURAMENTO_BRUT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LAN&#199;_MOV!A1"/><Relationship Id="rId13" Type="http://schemas.openxmlformats.org/officeDocument/2006/relationships/image" Target="../media/image3.png"/><Relationship Id="rId3" Type="http://schemas.openxmlformats.org/officeDocument/2006/relationships/hyperlink" Target="#CAD_CLIENTES!A1"/><Relationship Id="rId7" Type="http://schemas.openxmlformats.org/officeDocument/2006/relationships/hyperlink" Target="#CAD_CC!A1"/><Relationship Id="rId12" Type="http://schemas.openxmlformats.org/officeDocument/2006/relationships/image" Target="../media/image8.emf"/><Relationship Id="rId2" Type="http://schemas.openxmlformats.org/officeDocument/2006/relationships/hyperlink" Target="#'CAD_PL_REC-DESP'!A1"/><Relationship Id="rId1" Type="http://schemas.openxmlformats.org/officeDocument/2006/relationships/hyperlink" Target="#MENU!A1"/><Relationship Id="rId6" Type="http://schemas.openxmlformats.org/officeDocument/2006/relationships/hyperlink" Target="#CAD_BANCOS!A1"/><Relationship Id="rId11" Type="http://schemas.openxmlformats.org/officeDocument/2006/relationships/hyperlink" Target="#CAD_OR&#199;!A1"/><Relationship Id="rId5" Type="http://schemas.openxmlformats.org/officeDocument/2006/relationships/hyperlink" Target="#CAD_EMP!A1"/><Relationship Id="rId10" Type="http://schemas.openxmlformats.org/officeDocument/2006/relationships/hyperlink" Target="#DASH_MENSAL!A1"/><Relationship Id="rId4" Type="http://schemas.openxmlformats.org/officeDocument/2006/relationships/hyperlink" Target="#CAD_FORN!A1"/><Relationship Id="rId9" Type="http://schemas.openxmlformats.org/officeDocument/2006/relationships/hyperlink" Target="#REL_FATURAMENTO_BRUT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LAN&#199;_MOV!A1"/><Relationship Id="rId13" Type="http://schemas.openxmlformats.org/officeDocument/2006/relationships/image" Target="../media/image3.png"/><Relationship Id="rId3" Type="http://schemas.openxmlformats.org/officeDocument/2006/relationships/hyperlink" Target="#CAD_CLIENTES!A1"/><Relationship Id="rId7" Type="http://schemas.openxmlformats.org/officeDocument/2006/relationships/hyperlink" Target="#CAD_CC!A1"/><Relationship Id="rId12" Type="http://schemas.openxmlformats.org/officeDocument/2006/relationships/image" Target="../media/image10.emf"/><Relationship Id="rId2" Type="http://schemas.openxmlformats.org/officeDocument/2006/relationships/hyperlink" Target="#'CAD_PL_REC-DESP'!A1"/><Relationship Id="rId1" Type="http://schemas.openxmlformats.org/officeDocument/2006/relationships/hyperlink" Target="#MENU!A1"/><Relationship Id="rId6" Type="http://schemas.openxmlformats.org/officeDocument/2006/relationships/hyperlink" Target="#CAD_BANCOS!A1"/><Relationship Id="rId11" Type="http://schemas.openxmlformats.org/officeDocument/2006/relationships/hyperlink" Target="#CAD_OR&#199;!A1"/><Relationship Id="rId5" Type="http://schemas.openxmlformats.org/officeDocument/2006/relationships/hyperlink" Target="#CAD_EMP!A1"/><Relationship Id="rId10" Type="http://schemas.openxmlformats.org/officeDocument/2006/relationships/hyperlink" Target="#DASH_MENSAL!A1"/><Relationship Id="rId4" Type="http://schemas.openxmlformats.org/officeDocument/2006/relationships/hyperlink" Target="#CAD_FORN!A1"/><Relationship Id="rId9" Type="http://schemas.openxmlformats.org/officeDocument/2006/relationships/hyperlink" Target="#REL_FATURAMENTO_BRUT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LAN&#199;_MOV!A1"/><Relationship Id="rId13" Type="http://schemas.openxmlformats.org/officeDocument/2006/relationships/image" Target="../media/image3.png"/><Relationship Id="rId3" Type="http://schemas.openxmlformats.org/officeDocument/2006/relationships/hyperlink" Target="#CAD_CLIENTES!A1"/><Relationship Id="rId7" Type="http://schemas.openxmlformats.org/officeDocument/2006/relationships/hyperlink" Target="#CAD_CC!A1"/><Relationship Id="rId12" Type="http://schemas.openxmlformats.org/officeDocument/2006/relationships/image" Target="../media/image12.emf"/><Relationship Id="rId2" Type="http://schemas.openxmlformats.org/officeDocument/2006/relationships/hyperlink" Target="#'CAD_PL_REC-DESP'!A1"/><Relationship Id="rId1" Type="http://schemas.openxmlformats.org/officeDocument/2006/relationships/hyperlink" Target="#MENU!A1"/><Relationship Id="rId6" Type="http://schemas.openxmlformats.org/officeDocument/2006/relationships/hyperlink" Target="#CAD_BANCOS!A1"/><Relationship Id="rId11" Type="http://schemas.openxmlformats.org/officeDocument/2006/relationships/hyperlink" Target="#CAD_OR&#199;!A1"/><Relationship Id="rId5" Type="http://schemas.openxmlformats.org/officeDocument/2006/relationships/hyperlink" Target="#CAD_EMP!A1"/><Relationship Id="rId10" Type="http://schemas.openxmlformats.org/officeDocument/2006/relationships/hyperlink" Target="#DASH_MENSAL!A1"/><Relationship Id="rId4" Type="http://schemas.openxmlformats.org/officeDocument/2006/relationships/hyperlink" Target="#CAD_FORN!A1"/><Relationship Id="rId9" Type="http://schemas.openxmlformats.org/officeDocument/2006/relationships/hyperlink" Target="#REL_FATURAMENTO_BRUT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LAN&#199;_MOV!A1"/><Relationship Id="rId13" Type="http://schemas.openxmlformats.org/officeDocument/2006/relationships/image" Target="../media/image3.png"/><Relationship Id="rId3" Type="http://schemas.openxmlformats.org/officeDocument/2006/relationships/hyperlink" Target="#CAD_CLIENTES!A1"/><Relationship Id="rId7" Type="http://schemas.openxmlformats.org/officeDocument/2006/relationships/hyperlink" Target="#CAD_CC!A1"/><Relationship Id="rId12" Type="http://schemas.openxmlformats.org/officeDocument/2006/relationships/image" Target="../media/image14.emf"/><Relationship Id="rId2" Type="http://schemas.openxmlformats.org/officeDocument/2006/relationships/hyperlink" Target="#'CAD_PL_REC-DESP'!A1"/><Relationship Id="rId1" Type="http://schemas.openxmlformats.org/officeDocument/2006/relationships/hyperlink" Target="#MENU!A1"/><Relationship Id="rId6" Type="http://schemas.openxmlformats.org/officeDocument/2006/relationships/hyperlink" Target="#CAD_BANCOS!A1"/><Relationship Id="rId11" Type="http://schemas.openxmlformats.org/officeDocument/2006/relationships/hyperlink" Target="#CAD_OR&#199;!A1"/><Relationship Id="rId5" Type="http://schemas.openxmlformats.org/officeDocument/2006/relationships/hyperlink" Target="#CAD_EMP!A1"/><Relationship Id="rId15" Type="http://schemas.openxmlformats.org/officeDocument/2006/relationships/chart" Target="../charts/chart2.xml"/><Relationship Id="rId10" Type="http://schemas.openxmlformats.org/officeDocument/2006/relationships/hyperlink" Target="#DASH_MENSAL!A1"/><Relationship Id="rId4" Type="http://schemas.openxmlformats.org/officeDocument/2006/relationships/hyperlink" Target="#CAD_FORN!A1"/><Relationship Id="rId9" Type="http://schemas.openxmlformats.org/officeDocument/2006/relationships/hyperlink" Target="#REL_FATURAMENTO_BRUTO!A1"/><Relationship Id="rId14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CAD_EMP!A1"/><Relationship Id="rId7" Type="http://schemas.openxmlformats.org/officeDocument/2006/relationships/image" Target="../media/image16.emf"/><Relationship Id="rId2" Type="http://schemas.openxmlformats.org/officeDocument/2006/relationships/hyperlink" Target="#'LAN&#199;_MOV'!A1"/><Relationship Id="rId1" Type="http://schemas.openxmlformats.org/officeDocument/2006/relationships/hyperlink" Target="#MENU!A1"/><Relationship Id="rId6" Type="http://schemas.openxmlformats.org/officeDocument/2006/relationships/hyperlink" Target="#DASH_MENSAL!A1"/><Relationship Id="rId5" Type="http://schemas.openxmlformats.org/officeDocument/2006/relationships/hyperlink" Target="#REL_FATURAMENTO_BRUTO!A1"/><Relationship Id="rId4" Type="http://schemas.openxmlformats.org/officeDocument/2006/relationships/hyperlink" Target="#LAN&#199;_MOV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REL_RECEBIMENTO _L&#205;QUIDO'!A1"/><Relationship Id="rId13" Type="http://schemas.openxmlformats.org/officeDocument/2006/relationships/hyperlink" Target="#REL_RES_DIA!A1"/><Relationship Id="rId3" Type="http://schemas.openxmlformats.org/officeDocument/2006/relationships/hyperlink" Target="#LAN&#199;_MOV!A1"/><Relationship Id="rId7" Type="http://schemas.openxmlformats.org/officeDocument/2006/relationships/hyperlink" Target="#REL_CP!A1"/><Relationship Id="rId12" Type="http://schemas.openxmlformats.org/officeDocument/2006/relationships/hyperlink" Target="#REL_BC!A1"/><Relationship Id="rId2" Type="http://schemas.openxmlformats.org/officeDocument/2006/relationships/hyperlink" Target="#CAD_EMP!A1"/><Relationship Id="rId16" Type="http://schemas.openxmlformats.org/officeDocument/2006/relationships/image" Target="../media/image3.png"/><Relationship Id="rId1" Type="http://schemas.openxmlformats.org/officeDocument/2006/relationships/hyperlink" Target="#MENU!A1"/><Relationship Id="rId6" Type="http://schemas.openxmlformats.org/officeDocument/2006/relationships/image" Target="../media/image18.emf"/><Relationship Id="rId11" Type="http://schemas.openxmlformats.org/officeDocument/2006/relationships/hyperlink" Target="#REL_DRE_FINANCEIRO!A1"/><Relationship Id="rId5" Type="http://schemas.openxmlformats.org/officeDocument/2006/relationships/hyperlink" Target="#DASH_MENSAL!A1"/><Relationship Id="rId15" Type="http://schemas.openxmlformats.org/officeDocument/2006/relationships/hyperlink" Target="#REL_VA!A1"/><Relationship Id="rId10" Type="http://schemas.openxmlformats.org/officeDocument/2006/relationships/hyperlink" Target="#'REL_CR  '!A1"/><Relationship Id="rId4" Type="http://schemas.openxmlformats.org/officeDocument/2006/relationships/hyperlink" Target="#REL_FATURAMENTO_BRUTO!A1"/><Relationship Id="rId9" Type="http://schemas.openxmlformats.org/officeDocument/2006/relationships/hyperlink" Target="#'REL_FC'!A1"/><Relationship Id="rId14" Type="http://schemas.openxmlformats.org/officeDocument/2006/relationships/hyperlink" Target="#REL_DESPESAS__FIN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REL_RECEBIMENTO _L&#205;QUIDO'!A1"/><Relationship Id="rId13" Type="http://schemas.openxmlformats.org/officeDocument/2006/relationships/hyperlink" Target="#REL_RES_DIA!A1"/><Relationship Id="rId3" Type="http://schemas.openxmlformats.org/officeDocument/2006/relationships/hyperlink" Target="#LAN&#199;_MOV!A1"/><Relationship Id="rId7" Type="http://schemas.openxmlformats.org/officeDocument/2006/relationships/hyperlink" Target="#REL_CP!A1"/><Relationship Id="rId12" Type="http://schemas.openxmlformats.org/officeDocument/2006/relationships/hyperlink" Target="#REL_BC!A1"/><Relationship Id="rId2" Type="http://schemas.openxmlformats.org/officeDocument/2006/relationships/hyperlink" Target="#CAD_EMP!A1"/><Relationship Id="rId16" Type="http://schemas.openxmlformats.org/officeDocument/2006/relationships/image" Target="../media/image3.png"/><Relationship Id="rId1" Type="http://schemas.openxmlformats.org/officeDocument/2006/relationships/hyperlink" Target="#MENU!A1"/><Relationship Id="rId6" Type="http://schemas.openxmlformats.org/officeDocument/2006/relationships/image" Target="../media/image20.emf"/><Relationship Id="rId11" Type="http://schemas.openxmlformats.org/officeDocument/2006/relationships/hyperlink" Target="#REL_DRE_FINANCEIRO!A1"/><Relationship Id="rId5" Type="http://schemas.openxmlformats.org/officeDocument/2006/relationships/hyperlink" Target="#DASH_MENSAL!A1"/><Relationship Id="rId15" Type="http://schemas.openxmlformats.org/officeDocument/2006/relationships/hyperlink" Target="#REL_VA!A1"/><Relationship Id="rId10" Type="http://schemas.openxmlformats.org/officeDocument/2006/relationships/hyperlink" Target="#'REL_CR  '!A1"/><Relationship Id="rId4" Type="http://schemas.openxmlformats.org/officeDocument/2006/relationships/hyperlink" Target="#REL_FATURAMENTO_BRUTO!A1"/><Relationship Id="rId9" Type="http://schemas.openxmlformats.org/officeDocument/2006/relationships/hyperlink" Target="#'REL_FC'!A1"/><Relationship Id="rId14" Type="http://schemas.openxmlformats.org/officeDocument/2006/relationships/hyperlink" Target="#REL_DESPESAS__FIN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REL_RECEBIMENTO _L&#205;QUIDO'!A1"/><Relationship Id="rId13" Type="http://schemas.openxmlformats.org/officeDocument/2006/relationships/hyperlink" Target="#REL_RES_DIA!A1"/><Relationship Id="rId3" Type="http://schemas.openxmlformats.org/officeDocument/2006/relationships/hyperlink" Target="#LAN&#199;_MOV!A1"/><Relationship Id="rId7" Type="http://schemas.openxmlformats.org/officeDocument/2006/relationships/hyperlink" Target="#REL_CP!A1"/><Relationship Id="rId12" Type="http://schemas.openxmlformats.org/officeDocument/2006/relationships/hyperlink" Target="#REL_BC!A1"/><Relationship Id="rId2" Type="http://schemas.openxmlformats.org/officeDocument/2006/relationships/hyperlink" Target="#CAD_EMP!A1"/><Relationship Id="rId16" Type="http://schemas.openxmlformats.org/officeDocument/2006/relationships/image" Target="../media/image3.png"/><Relationship Id="rId1" Type="http://schemas.openxmlformats.org/officeDocument/2006/relationships/hyperlink" Target="#MENU!A1"/><Relationship Id="rId6" Type="http://schemas.openxmlformats.org/officeDocument/2006/relationships/image" Target="../media/image22.emf"/><Relationship Id="rId11" Type="http://schemas.openxmlformats.org/officeDocument/2006/relationships/hyperlink" Target="#REL_DRE_FINANCEIRO!A1"/><Relationship Id="rId5" Type="http://schemas.openxmlformats.org/officeDocument/2006/relationships/hyperlink" Target="#DASH_MENSAL!A1"/><Relationship Id="rId15" Type="http://schemas.openxmlformats.org/officeDocument/2006/relationships/hyperlink" Target="#REL_VA!A1"/><Relationship Id="rId10" Type="http://schemas.openxmlformats.org/officeDocument/2006/relationships/hyperlink" Target="#'REL_CR  '!A1"/><Relationship Id="rId4" Type="http://schemas.openxmlformats.org/officeDocument/2006/relationships/hyperlink" Target="#REL_FATURAMENTO_BRUTO!A1"/><Relationship Id="rId9" Type="http://schemas.openxmlformats.org/officeDocument/2006/relationships/hyperlink" Target="#'REL_FC'!A1"/><Relationship Id="rId14" Type="http://schemas.openxmlformats.org/officeDocument/2006/relationships/hyperlink" Target="#REL_DESPESAS__FIN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REL_RECEBIMENTO _L&#205;QUIDO'!A1"/><Relationship Id="rId13" Type="http://schemas.openxmlformats.org/officeDocument/2006/relationships/hyperlink" Target="#REL_RES_DIA!A1"/><Relationship Id="rId3" Type="http://schemas.openxmlformats.org/officeDocument/2006/relationships/hyperlink" Target="#LAN&#199;_MOV!A1"/><Relationship Id="rId7" Type="http://schemas.openxmlformats.org/officeDocument/2006/relationships/hyperlink" Target="#REL_CP!A1"/><Relationship Id="rId12" Type="http://schemas.openxmlformats.org/officeDocument/2006/relationships/hyperlink" Target="#REL_BC!A1"/><Relationship Id="rId2" Type="http://schemas.openxmlformats.org/officeDocument/2006/relationships/hyperlink" Target="#CAD_EMP!A1"/><Relationship Id="rId16" Type="http://schemas.openxmlformats.org/officeDocument/2006/relationships/image" Target="../media/image3.png"/><Relationship Id="rId1" Type="http://schemas.openxmlformats.org/officeDocument/2006/relationships/hyperlink" Target="#MENU!A1"/><Relationship Id="rId6" Type="http://schemas.openxmlformats.org/officeDocument/2006/relationships/image" Target="../media/image18.emf"/><Relationship Id="rId11" Type="http://schemas.openxmlformats.org/officeDocument/2006/relationships/hyperlink" Target="#REL_DRE_FINANCEIRO!A1"/><Relationship Id="rId5" Type="http://schemas.openxmlformats.org/officeDocument/2006/relationships/hyperlink" Target="#DASH_MENSAL!A1"/><Relationship Id="rId15" Type="http://schemas.openxmlformats.org/officeDocument/2006/relationships/hyperlink" Target="#REL_VA!A1"/><Relationship Id="rId10" Type="http://schemas.openxmlformats.org/officeDocument/2006/relationships/hyperlink" Target="#'REL_CR  '!A1"/><Relationship Id="rId4" Type="http://schemas.openxmlformats.org/officeDocument/2006/relationships/hyperlink" Target="#REL_FATURAMENTO_BRUTO!A1"/><Relationship Id="rId9" Type="http://schemas.openxmlformats.org/officeDocument/2006/relationships/hyperlink" Target="#'REL_FC'!A1"/><Relationship Id="rId14" Type="http://schemas.openxmlformats.org/officeDocument/2006/relationships/hyperlink" Target="#REL_DESPESAS__FIN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REL_RECEBIMENTO _L&#205;QUIDO'!A1"/><Relationship Id="rId13" Type="http://schemas.openxmlformats.org/officeDocument/2006/relationships/hyperlink" Target="#REL_RES_DIA!A1"/><Relationship Id="rId3" Type="http://schemas.openxmlformats.org/officeDocument/2006/relationships/hyperlink" Target="#LAN&#199;_MOV!A1"/><Relationship Id="rId7" Type="http://schemas.openxmlformats.org/officeDocument/2006/relationships/hyperlink" Target="#REL_CP!A1"/><Relationship Id="rId12" Type="http://schemas.openxmlformats.org/officeDocument/2006/relationships/hyperlink" Target="#REL_BC!A1"/><Relationship Id="rId2" Type="http://schemas.openxmlformats.org/officeDocument/2006/relationships/hyperlink" Target="#CAD_EMP!A1"/><Relationship Id="rId16" Type="http://schemas.openxmlformats.org/officeDocument/2006/relationships/image" Target="../media/image3.png"/><Relationship Id="rId1" Type="http://schemas.openxmlformats.org/officeDocument/2006/relationships/hyperlink" Target="#MENU!A1"/><Relationship Id="rId6" Type="http://schemas.openxmlformats.org/officeDocument/2006/relationships/image" Target="../media/image24.emf"/><Relationship Id="rId11" Type="http://schemas.openxmlformats.org/officeDocument/2006/relationships/hyperlink" Target="#REL_DRE_FINANCEIRO!A1"/><Relationship Id="rId5" Type="http://schemas.openxmlformats.org/officeDocument/2006/relationships/hyperlink" Target="#DASH_MENSAL!A1"/><Relationship Id="rId15" Type="http://schemas.openxmlformats.org/officeDocument/2006/relationships/hyperlink" Target="#REL_VA!A1"/><Relationship Id="rId10" Type="http://schemas.openxmlformats.org/officeDocument/2006/relationships/hyperlink" Target="#'REL_CR  '!A1"/><Relationship Id="rId4" Type="http://schemas.openxmlformats.org/officeDocument/2006/relationships/hyperlink" Target="#REL_FATURAMENTO_BRUTO!A1"/><Relationship Id="rId9" Type="http://schemas.openxmlformats.org/officeDocument/2006/relationships/hyperlink" Target="#'REL_FC'!A1"/><Relationship Id="rId14" Type="http://schemas.openxmlformats.org/officeDocument/2006/relationships/hyperlink" Target="#REL_DESPESAS__FIN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REL_RECEBIMENTO _L&#205;QUIDO'!A1"/><Relationship Id="rId13" Type="http://schemas.openxmlformats.org/officeDocument/2006/relationships/hyperlink" Target="#REL_RES_DIA!A1"/><Relationship Id="rId3" Type="http://schemas.openxmlformats.org/officeDocument/2006/relationships/hyperlink" Target="#LAN&#199;_MOV!A1"/><Relationship Id="rId7" Type="http://schemas.openxmlformats.org/officeDocument/2006/relationships/hyperlink" Target="#REL_CP!A1"/><Relationship Id="rId12" Type="http://schemas.openxmlformats.org/officeDocument/2006/relationships/hyperlink" Target="#REL_BC!A1"/><Relationship Id="rId2" Type="http://schemas.openxmlformats.org/officeDocument/2006/relationships/hyperlink" Target="#CAD_EMP!A1"/><Relationship Id="rId16" Type="http://schemas.openxmlformats.org/officeDocument/2006/relationships/image" Target="../media/image3.png"/><Relationship Id="rId1" Type="http://schemas.openxmlformats.org/officeDocument/2006/relationships/hyperlink" Target="#MENU!A1"/><Relationship Id="rId6" Type="http://schemas.openxmlformats.org/officeDocument/2006/relationships/image" Target="../media/image26.emf"/><Relationship Id="rId11" Type="http://schemas.openxmlformats.org/officeDocument/2006/relationships/hyperlink" Target="#REL_DRE_FINANCEIRO!A1"/><Relationship Id="rId5" Type="http://schemas.openxmlformats.org/officeDocument/2006/relationships/hyperlink" Target="#DASH_MENSAL!A1"/><Relationship Id="rId15" Type="http://schemas.openxmlformats.org/officeDocument/2006/relationships/hyperlink" Target="#REL_VA!A1"/><Relationship Id="rId10" Type="http://schemas.openxmlformats.org/officeDocument/2006/relationships/hyperlink" Target="#'REL_CR  '!A1"/><Relationship Id="rId4" Type="http://schemas.openxmlformats.org/officeDocument/2006/relationships/hyperlink" Target="#REL_FATURAMENTO_BRUTO!A1"/><Relationship Id="rId9" Type="http://schemas.openxmlformats.org/officeDocument/2006/relationships/hyperlink" Target="#'REL_FC'!A1"/><Relationship Id="rId14" Type="http://schemas.openxmlformats.org/officeDocument/2006/relationships/hyperlink" Target="#REL_DESPESAS__FIN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REL_RECEBIMENTO _L&#205;QUIDO'!A1"/><Relationship Id="rId13" Type="http://schemas.openxmlformats.org/officeDocument/2006/relationships/hyperlink" Target="#REL_RES_DIA!A1"/><Relationship Id="rId3" Type="http://schemas.openxmlformats.org/officeDocument/2006/relationships/hyperlink" Target="#LAN&#199;_MOV!A1"/><Relationship Id="rId7" Type="http://schemas.openxmlformats.org/officeDocument/2006/relationships/hyperlink" Target="#REL_CP!A1"/><Relationship Id="rId12" Type="http://schemas.openxmlformats.org/officeDocument/2006/relationships/hyperlink" Target="#REL_BC!A1"/><Relationship Id="rId2" Type="http://schemas.openxmlformats.org/officeDocument/2006/relationships/hyperlink" Target="#CAD_EMP!A1"/><Relationship Id="rId16" Type="http://schemas.openxmlformats.org/officeDocument/2006/relationships/image" Target="../media/image3.png"/><Relationship Id="rId1" Type="http://schemas.openxmlformats.org/officeDocument/2006/relationships/hyperlink" Target="#MENU!A1"/><Relationship Id="rId6" Type="http://schemas.openxmlformats.org/officeDocument/2006/relationships/image" Target="../media/image28.emf"/><Relationship Id="rId11" Type="http://schemas.openxmlformats.org/officeDocument/2006/relationships/hyperlink" Target="#REL_DRE_FINANCEIRO!A1"/><Relationship Id="rId5" Type="http://schemas.openxmlformats.org/officeDocument/2006/relationships/hyperlink" Target="#DASH_MENSAL!A1"/><Relationship Id="rId15" Type="http://schemas.openxmlformats.org/officeDocument/2006/relationships/hyperlink" Target="#REL_VA!A1"/><Relationship Id="rId10" Type="http://schemas.openxmlformats.org/officeDocument/2006/relationships/hyperlink" Target="#'REL_CR  '!A1"/><Relationship Id="rId4" Type="http://schemas.openxmlformats.org/officeDocument/2006/relationships/hyperlink" Target="#REL_FATURAMENTO_BRUTO!A1"/><Relationship Id="rId9" Type="http://schemas.openxmlformats.org/officeDocument/2006/relationships/hyperlink" Target="#'REL_FC'!A1"/><Relationship Id="rId14" Type="http://schemas.openxmlformats.org/officeDocument/2006/relationships/hyperlink" Target="#REL_DESPESAS__FIN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REL_RECEBIMENTO _L&#205;QUIDO'!A1"/><Relationship Id="rId13" Type="http://schemas.openxmlformats.org/officeDocument/2006/relationships/hyperlink" Target="#REL_RES_DIA!A1"/><Relationship Id="rId3" Type="http://schemas.openxmlformats.org/officeDocument/2006/relationships/hyperlink" Target="#LAN&#199;_MOV!A1"/><Relationship Id="rId7" Type="http://schemas.openxmlformats.org/officeDocument/2006/relationships/hyperlink" Target="#REL_CP!A1"/><Relationship Id="rId12" Type="http://schemas.openxmlformats.org/officeDocument/2006/relationships/hyperlink" Target="#REL_BC!A1"/><Relationship Id="rId2" Type="http://schemas.openxmlformats.org/officeDocument/2006/relationships/hyperlink" Target="#CAD_EMP!A1"/><Relationship Id="rId16" Type="http://schemas.openxmlformats.org/officeDocument/2006/relationships/image" Target="../media/image3.png"/><Relationship Id="rId1" Type="http://schemas.openxmlformats.org/officeDocument/2006/relationships/hyperlink" Target="#MENU!A1"/><Relationship Id="rId6" Type="http://schemas.openxmlformats.org/officeDocument/2006/relationships/image" Target="../media/image14.emf"/><Relationship Id="rId11" Type="http://schemas.openxmlformats.org/officeDocument/2006/relationships/hyperlink" Target="#REL_DRE_FINANCEIRO!A1"/><Relationship Id="rId5" Type="http://schemas.openxmlformats.org/officeDocument/2006/relationships/hyperlink" Target="#DASH_MENSAL!A1"/><Relationship Id="rId15" Type="http://schemas.openxmlformats.org/officeDocument/2006/relationships/hyperlink" Target="#REL_VA!A1"/><Relationship Id="rId10" Type="http://schemas.openxmlformats.org/officeDocument/2006/relationships/hyperlink" Target="#'REL_CR  '!A1"/><Relationship Id="rId4" Type="http://schemas.openxmlformats.org/officeDocument/2006/relationships/hyperlink" Target="#REL_FATURAMENTO_BRUTO!A1"/><Relationship Id="rId9" Type="http://schemas.openxmlformats.org/officeDocument/2006/relationships/hyperlink" Target="#'REL_FC'!A1"/><Relationship Id="rId14" Type="http://schemas.openxmlformats.org/officeDocument/2006/relationships/hyperlink" Target="#REL_DESPESAS__FIN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REL_RECEBIMENTO _L&#205;QUIDO'!A1"/><Relationship Id="rId13" Type="http://schemas.openxmlformats.org/officeDocument/2006/relationships/hyperlink" Target="#REL_RES_DIA!A1"/><Relationship Id="rId3" Type="http://schemas.openxmlformats.org/officeDocument/2006/relationships/hyperlink" Target="#LAN&#199;_MOV!A1"/><Relationship Id="rId7" Type="http://schemas.openxmlformats.org/officeDocument/2006/relationships/hyperlink" Target="#REL_CP!A1"/><Relationship Id="rId12" Type="http://schemas.openxmlformats.org/officeDocument/2006/relationships/hyperlink" Target="#REL_BC!A1"/><Relationship Id="rId2" Type="http://schemas.openxmlformats.org/officeDocument/2006/relationships/hyperlink" Target="#CAD_EMP!A1"/><Relationship Id="rId16" Type="http://schemas.openxmlformats.org/officeDocument/2006/relationships/image" Target="../media/image3.png"/><Relationship Id="rId1" Type="http://schemas.openxmlformats.org/officeDocument/2006/relationships/hyperlink" Target="#MENU!A1"/><Relationship Id="rId6" Type="http://schemas.openxmlformats.org/officeDocument/2006/relationships/image" Target="../media/image30.emf"/><Relationship Id="rId11" Type="http://schemas.openxmlformats.org/officeDocument/2006/relationships/hyperlink" Target="#REL_DRE_FINANCEIRO!A1"/><Relationship Id="rId5" Type="http://schemas.openxmlformats.org/officeDocument/2006/relationships/hyperlink" Target="#DASH_MENSAL!A1"/><Relationship Id="rId15" Type="http://schemas.openxmlformats.org/officeDocument/2006/relationships/hyperlink" Target="#REL_VA!A1"/><Relationship Id="rId10" Type="http://schemas.openxmlformats.org/officeDocument/2006/relationships/hyperlink" Target="#'REL_CR  '!A1"/><Relationship Id="rId4" Type="http://schemas.openxmlformats.org/officeDocument/2006/relationships/hyperlink" Target="#REL_FATURAMENTO_BRUTO!A1"/><Relationship Id="rId9" Type="http://schemas.openxmlformats.org/officeDocument/2006/relationships/hyperlink" Target="#'REL_FC'!A1"/><Relationship Id="rId14" Type="http://schemas.openxmlformats.org/officeDocument/2006/relationships/hyperlink" Target="#REL_DESPESAS__FIN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REL_RECEBIMENTO _L&#205;QUIDO'!A1"/><Relationship Id="rId13" Type="http://schemas.openxmlformats.org/officeDocument/2006/relationships/hyperlink" Target="#REL_RES_DIA!A1"/><Relationship Id="rId3" Type="http://schemas.openxmlformats.org/officeDocument/2006/relationships/hyperlink" Target="#LAN&#199;_MOV!A1"/><Relationship Id="rId7" Type="http://schemas.openxmlformats.org/officeDocument/2006/relationships/hyperlink" Target="#REL_CP!A1"/><Relationship Id="rId12" Type="http://schemas.openxmlformats.org/officeDocument/2006/relationships/hyperlink" Target="#REL_BC!A1"/><Relationship Id="rId2" Type="http://schemas.openxmlformats.org/officeDocument/2006/relationships/hyperlink" Target="#CAD_EMP!A1"/><Relationship Id="rId16" Type="http://schemas.openxmlformats.org/officeDocument/2006/relationships/image" Target="../media/image3.png"/><Relationship Id="rId1" Type="http://schemas.openxmlformats.org/officeDocument/2006/relationships/hyperlink" Target="#MENU!A1"/><Relationship Id="rId6" Type="http://schemas.openxmlformats.org/officeDocument/2006/relationships/image" Target="../media/image16.emf"/><Relationship Id="rId11" Type="http://schemas.openxmlformats.org/officeDocument/2006/relationships/hyperlink" Target="#REL_DRE_FINANCEIRO!A1"/><Relationship Id="rId5" Type="http://schemas.openxmlformats.org/officeDocument/2006/relationships/hyperlink" Target="#DASH_MENSAL!A1"/><Relationship Id="rId15" Type="http://schemas.openxmlformats.org/officeDocument/2006/relationships/hyperlink" Target="#REL_VA!A1"/><Relationship Id="rId10" Type="http://schemas.openxmlformats.org/officeDocument/2006/relationships/hyperlink" Target="#'REL_CR  '!A1"/><Relationship Id="rId4" Type="http://schemas.openxmlformats.org/officeDocument/2006/relationships/hyperlink" Target="#REL_FATURAMENTO_BRUTO!A1"/><Relationship Id="rId9" Type="http://schemas.openxmlformats.org/officeDocument/2006/relationships/hyperlink" Target="#'REL_FC'!A1"/><Relationship Id="rId14" Type="http://schemas.openxmlformats.org/officeDocument/2006/relationships/hyperlink" Target="#REL_DESPESAS__FIN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REL_FATURAMENTO_BRUTO!A1"/><Relationship Id="rId13" Type="http://schemas.openxmlformats.org/officeDocument/2006/relationships/hyperlink" Target="#DASH_RECEITAS!A1"/><Relationship Id="rId3" Type="http://schemas.openxmlformats.org/officeDocument/2006/relationships/chart" Target="../charts/chart5.xml"/><Relationship Id="rId7" Type="http://schemas.openxmlformats.org/officeDocument/2006/relationships/hyperlink" Target="#LAN&#199;_MOV!A1"/><Relationship Id="rId12" Type="http://schemas.openxmlformats.org/officeDocument/2006/relationships/hyperlink" Target="#DASH_CONTAS!A1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hyperlink" Target="#CAD_EMP!A1"/><Relationship Id="rId11" Type="http://schemas.openxmlformats.org/officeDocument/2006/relationships/hyperlink" Target="#DASH_ANUAL!A1"/><Relationship Id="rId5" Type="http://schemas.openxmlformats.org/officeDocument/2006/relationships/hyperlink" Target="#MENU!A1"/><Relationship Id="rId15" Type="http://schemas.openxmlformats.org/officeDocument/2006/relationships/image" Target="../media/image3.png"/><Relationship Id="rId10" Type="http://schemas.openxmlformats.org/officeDocument/2006/relationships/image" Target="../media/image32.emf"/><Relationship Id="rId4" Type="http://schemas.openxmlformats.org/officeDocument/2006/relationships/chart" Target="../charts/chart6.xml"/><Relationship Id="rId9" Type="http://schemas.openxmlformats.org/officeDocument/2006/relationships/hyperlink" Target="#DASH_MENSAL!A1"/><Relationship Id="rId14" Type="http://schemas.openxmlformats.org/officeDocument/2006/relationships/hyperlink" Target="#DASH_DESPESAS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image" Target="../media/image3.png"/><Relationship Id="rId3" Type="http://schemas.openxmlformats.org/officeDocument/2006/relationships/hyperlink" Target="#MENU!A1"/><Relationship Id="rId7" Type="http://schemas.openxmlformats.org/officeDocument/2006/relationships/hyperlink" Target="#DASH_MENSAL!A1"/><Relationship Id="rId12" Type="http://schemas.openxmlformats.org/officeDocument/2006/relationships/hyperlink" Target="#DASH_DESPESAS!A1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hyperlink" Target="#REL_FATURAMENTO_BRUTO!A1"/><Relationship Id="rId11" Type="http://schemas.openxmlformats.org/officeDocument/2006/relationships/hyperlink" Target="#DASH_RECEITAS!A1"/><Relationship Id="rId5" Type="http://schemas.openxmlformats.org/officeDocument/2006/relationships/hyperlink" Target="#LAN&#199;_MOV!A1"/><Relationship Id="rId10" Type="http://schemas.openxmlformats.org/officeDocument/2006/relationships/hyperlink" Target="#DASH_CONTAS!A1"/><Relationship Id="rId4" Type="http://schemas.openxmlformats.org/officeDocument/2006/relationships/hyperlink" Target="#CAD_EMP!A1"/><Relationship Id="rId9" Type="http://schemas.openxmlformats.org/officeDocument/2006/relationships/hyperlink" Target="#DASH_ANUAL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3.png"/><Relationship Id="rId3" Type="http://schemas.openxmlformats.org/officeDocument/2006/relationships/hyperlink" Target="#MENU!A1"/><Relationship Id="rId7" Type="http://schemas.openxmlformats.org/officeDocument/2006/relationships/hyperlink" Target="#DASH_MENSAL!A1"/><Relationship Id="rId12" Type="http://schemas.openxmlformats.org/officeDocument/2006/relationships/hyperlink" Target="#DASH_DESPESAS!A1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hyperlink" Target="#REL_FATURAMENTO_BRUTO!A1"/><Relationship Id="rId11" Type="http://schemas.openxmlformats.org/officeDocument/2006/relationships/hyperlink" Target="#DASH_RECEITAS!A1"/><Relationship Id="rId5" Type="http://schemas.openxmlformats.org/officeDocument/2006/relationships/hyperlink" Target="#LAN&#199;_MOV!A1"/><Relationship Id="rId10" Type="http://schemas.openxmlformats.org/officeDocument/2006/relationships/hyperlink" Target="#DASH_CONTAS!A1"/><Relationship Id="rId4" Type="http://schemas.openxmlformats.org/officeDocument/2006/relationships/hyperlink" Target="#CAD_EMP!A1"/><Relationship Id="rId9" Type="http://schemas.openxmlformats.org/officeDocument/2006/relationships/hyperlink" Target="#DASH_ANUAL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REL_FATURAMENTO_BRUTO!A1"/><Relationship Id="rId13" Type="http://schemas.openxmlformats.org/officeDocument/2006/relationships/hyperlink" Target="#DASH_RECEITAS!A1"/><Relationship Id="rId3" Type="http://schemas.openxmlformats.org/officeDocument/2006/relationships/chart" Target="../charts/chart13.xml"/><Relationship Id="rId7" Type="http://schemas.openxmlformats.org/officeDocument/2006/relationships/hyperlink" Target="#LAN&#199;_MOV!A1"/><Relationship Id="rId12" Type="http://schemas.openxmlformats.org/officeDocument/2006/relationships/hyperlink" Target="#DASH_CONTAS!A1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hyperlink" Target="#CAD_EMP!A1"/><Relationship Id="rId11" Type="http://schemas.openxmlformats.org/officeDocument/2006/relationships/hyperlink" Target="#DASH_ANUAL!A1"/><Relationship Id="rId5" Type="http://schemas.openxmlformats.org/officeDocument/2006/relationships/hyperlink" Target="#MENU!A1"/><Relationship Id="rId15" Type="http://schemas.openxmlformats.org/officeDocument/2006/relationships/image" Target="../media/image3.png"/><Relationship Id="rId10" Type="http://schemas.openxmlformats.org/officeDocument/2006/relationships/image" Target="../media/image36.emf"/><Relationship Id="rId4" Type="http://schemas.openxmlformats.org/officeDocument/2006/relationships/chart" Target="../charts/chart14.xml"/><Relationship Id="rId9" Type="http://schemas.openxmlformats.org/officeDocument/2006/relationships/hyperlink" Target="#DASH_MENSAL!A1"/><Relationship Id="rId14" Type="http://schemas.openxmlformats.org/officeDocument/2006/relationships/hyperlink" Target="#DASH_DESPESAS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hyperlink" Target="#CAD_EMP!A1"/><Relationship Id="rId18" Type="http://schemas.openxmlformats.org/officeDocument/2006/relationships/hyperlink" Target="#DASH_ANUAL!A1"/><Relationship Id="rId3" Type="http://schemas.openxmlformats.org/officeDocument/2006/relationships/chart" Target="../charts/chart17.xml"/><Relationship Id="rId21" Type="http://schemas.openxmlformats.org/officeDocument/2006/relationships/hyperlink" Target="#DASH_DESPESAS!A1"/><Relationship Id="rId7" Type="http://schemas.openxmlformats.org/officeDocument/2006/relationships/chart" Target="../charts/chart21.xml"/><Relationship Id="rId12" Type="http://schemas.openxmlformats.org/officeDocument/2006/relationships/hyperlink" Target="#MENU!A1"/><Relationship Id="rId17" Type="http://schemas.openxmlformats.org/officeDocument/2006/relationships/image" Target="../media/image38.emf"/><Relationship Id="rId2" Type="http://schemas.openxmlformats.org/officeDocument/2006/relationships/chart" Target="../charts/chart16.xml"/><Relationship Id="rId16" Type="http://schemas.openxmlformats.org/officeDocument/2006/relationships/hyperlink" Target="#DASH_MENSAL!A1"/><Relationship Id="rId20" Type="http://schemas.openxmlformats.org/officeDocument/2006/relationships/hyperlink" Target="#DASH_RECEITAS!A1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5" Type="http://schemas.openxmlformats.org/officeDocument/2006/relationships/hyperlink" Target="#REL_FATURAMENTO_BRUTO!A1"/><Relationship Id="rId10" Type="http://schemas.openxmlformats.org/officeDocument/2006/relationships/chart" Target="../charts/chart24.xml"/><Relationship Id="rId19" Type="http://schemas.openxmlformats.org/officeDocument/2006/relationships/hyperlink" Target="#DASH_CONTAS!A1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hyperlink" Target="#LAN&#199;_MOV!A1"/><Relationship Id="rId22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28574</xdr:colOff>
      <xdr:row>4</xdr:row>
      <xdr:rowOff>228600</xdr:rowOff>
    </xdr:from>
    <xdr:to>
      <xdr:col>4</xdr:col>
      <xdr:colOff>341774</xdr:colOff>
      <xdr:row>6</xdr:row>
      <xdr:rowOff>36975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49" y="1562100"/>
          <a:ext cx="313200" cy="303675"/>
        </a:xfrm>
        <a:prstGeom prst="rect">
          <a:avLst/>
        </a:prstGeom>
      </xdr:spPr>
    </xdr:pic>
    <xdr:clientData/>
  </xdr:twoCellAnchor>
  <xdr:oneCellAnchor>
    <xdr:from>
      <xdr:col>1</xdr:col>
      <xdr:colOff>28574</xdr:colOff>
      <xdr:row>9</xdr:row>
      <xdr:rowOff>228600</xdr:rowOff>
    </xdr:from>
    <xdr:ext cx="313200" cy="303675"/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49" y="1562100"/>
          <a:ext cx="313200" cy="303675"/>
        </a:xfrm>
        <a:prstGeom prst="rect">
          <a:avLst/>
        </a:prstGeom>
      </xdr:spPr>
    </xdr:pic>
    <xdr:clientData/>
  </xdr:oneCellAnchor>
  <xdr:oneCellAnchor>
    <xdr:from>
      <xdr:col>1</xdr:col>
      <xdr:colOff>28574</xdr:colOff>
      <xdr:row>10</xdr:row>
      <xdr:rowOff>200025</xdr:rowOff>
    </xdr:from>
    <xdr:ext cx="313200" cy="303675"/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4524" y="1800225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7</xdr:row>
      <xdr:rowOff>228600</xdr:rowOff>
    </xdr:from>
    <xdr:ext cx="313200" cy="303675"/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49" y="1562100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8</xdr:row>
      <xdr:rowOff>228600</xdr:rowOff>
    </xdr:from>
    <xdr:ext cx="313200" cy="303675"/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49" y="1562100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9</xdr:row>
      <xdr:rowOff>228600</xdr:rowOff>
    </xdr:from>
    <xdr:ext cx="313200" cy="303675"/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49" y="1562100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10</xdr:row>
      <xdr:rowOff>228600</xdr:rowOff>
    </xdr:from>
    <xdr:ext cx="313200" cy="303675"/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49" y="1562100"/>
          <a:ext cx="313200" cy="303675"/>
        </a:xfrm>
        <a:prstGeom prst="rect">
          <a:avLst/>
        </a:prstGeom>
      </xdr:spPr>
    </xdr:pic>
    <xdr:clientData/>
  </xdr:oneCellAnchor>
  <xdr:oneCellAnchor>
    <xdr:from>
      <xdr:col>10</xdr:col>
      <xdr:colOff>28574</xdr:colOff>
      <xdr:row>4</xdr:row>
      <xdr:rowOff>228600</xdr:rowOff>
    </xdr:from>
    <xdr:ext cx="313200" cy="303675"/>
    <xdr:pic>
      <xdr:nvPicPr>
        <xdr:cNvPr id="61" name="Imagem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49" y="1562100"/>
          <a:ext cx="313200" cy="303675"/>
        </a:xfrm>
        <a:prstGeom prst="rect">
          <a:avLst/>
        </a:prstGeom>
      </xdr:spPr>
    </xdr:pic>
    <xdr:clientData/>
  </xdr:oneCellAnchor>
  <xdr:oneCellAnchor>
    <xdr:from>
      <xdr:col>10</xdr:col>
      <xdr:colOff>28574</xdr:colOff>
      <xdr:row>6</xdr:row>
      <xdr:rowOff>228600</xdr:rowOff>
    </xdr:from>
    <xdr:ext cx="313200" cy="303675"/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49" y="1562100"/>
          <a:ext cx="313200" cy="303675"/>
        </a:xfrm>
        <a:prstGeom prst="rect">
          <a:avLst/>
        </a:prstGeom>
      </xdr:spPr>
    </xdr:pic>
    <xdr:clientData/>
  </xdr:oneCellAnchor>
  <xdr:oneCellAnchor>
    <xdr:from>
      <xdr:col>10</xdr:col>
      <xdr:colOff>28574</xdr:colOff>
      <xdr:row>7</xdr:row>
      <xdr:rowOff>228600</xdr:rowOff>
    </xdr:from>
    <xdr:ext cx="313200" cy="303675"/>
    <xdr:pic>
      <xdr:nvPicPr>
        <xdr:cNvPr id="64" name="Imagem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49" y="1562100"/>
          <a:ext cx="313200" cy="303675"/>
        </a:xfrm>
        <a:prstGeom prst="rect">
          <a:avLst/>
        </a:prstGeom>
      </xdr:spPr>
    </xdr:pic>
    <xdr:clientData/>
  </xdr:oneCellAnchor>
  <xdr:oneCellAnchor>
    <xdr:from>
      <xdr:col>10</xdr:col>
      <xdr:colOff>28574</xdr:colOff>
      <xdr:row>8</xdr:row>
      <xdr:rowOff>228600</xdr:rowOff>
    </xdr:from>
    <xdr:ext cx="313200" cy="303675"/>
    <xdr:pic>
      <xdr:nvPicPr>
        <xdr:cNvPr id="65" name="Imagem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49" y="1562100"/>
          <a:ext cx="313200" cy="303675"/>
        </a:xfrm>
        <a:prstGeom prst="rect">
          <a:avLst/>
        </a:prstGeom>
      </xdr:spPr>
    </xdr:pic>
    <xdr:clientData/>
  </xdr:oneCellAnchor>
  <xdr:oneCellAnchor>
    <xdr:from>
      <xdr:col>10</xdr:col>
      <xdr:colOff>28574</xdr:colOff>
      <xdr:row>5</xdr:row>
      <xdr:rowOff>200025</xdr:rowOff>
    </xdr:from>
    <xdr:ext cx="313200" cy="303675"/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4524" y="1800225"/>
          <a:ext cx="313200" cy="303675"/>
        </a:xfrm>
        <a:prstGeom prst="rect">
          <a:avLst/>
        </a:prstGeom>
      </xdr:spPr>
    </xdr:pic>
    <xdr:clientData/>
  </xdr:oneCellAnchor>
  <xdr:oneCellAnchor>
    <xdr:from>
      <xdr:col>1</xdr:col>
      <xdr:colOff>28574</xdr:colOff>
      <xdr:row>6</xdr:row>
      <xdr:rowOff>200025</xdr:rowOff>
    </xdr:from>
    <xdr:ext cx="313200" cy="303675"/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4524" y="1800225"/>
          <a:ext cx="313200" cy="303675"/>
        </a:xfrm>
        <a:prstGeom prst="rect">
          <a:avLst/>
        </a:prstGeom>
      </xdr:spPr>
    </xdr:pic>
    <xdr:clientData/>
  </xdr:oneCellAnchor>
  <xdr:twoCellAnchor editAs="absolute">
    <xdr:from>
      <xdr:col>11</xdr:col>
      <xdr:colOff>1034415</xdr:colOff>
      <xdr:row>1</xdr:row>
      <xdr:rowOff>377190</xdr:rowOff>
    </xdr:from>
    <xdr:to>
      <xdr:col>13</xdr:col>
      <xdr:colOff>161925</xdr:colOff>
      <xdr:row>1</xdr:row>
      <xdr:rowOff>605790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872BD49-9D27-5B9A-1128-7A55BEC60141}"/>
            </a:ext>
          </a:extLst>
        </xdr:cNvPr>
        <xdr:cNvGrpSpPr/>
      </xdr:nvGrpSpPr>
      <xdr:grpSpPr>
        <a:xfrm>
          <a:off x="11053344" y="403504"/>
          <a:ext cx="1581260" cy="228600"/>
          <a:chOff x="10264140" y="405765"/>
          <a:chExt cx="1384935" cy="228600"/>
        </a:xfrm>
      </xdr:grpSpPr>
      <xdr:sp macro="[0]!Salvar" textlink="">
        <xdr:nvSpPr>
          <xdr:cNvPr id="40" name="Retângulo Arredondado 11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10264140" y="422910"/>
            <a:ext cx="828675" cy="200025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SALVAR</a:t>
            </a:r>
          </a:p>
        </xdr:txBody>
      </xdr:sp>
      <xdr:sp macro="[0]!workbook_close" textlink="">
        <xdr:nvSpPr>
          <xdr:cNvPr id="56" name="Seta: para Baixo 13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11426190" y="434340"/>
            <a:ext cx="222885" cy="20002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accent1"/>
              </a:solidFill>
            </a:endParaRPr>
          </a:p>
        </xdr:txBody>
      </xdr:sp>
      <xdr:sp macro="[0]!workbook_open" textlink="">
        <xdr:nvSpPr>
          <xdr:cNvPr id="62" name="Seta: para Baixo 14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 rot="10800000">
            <a:off x="11207115" y="405765"/>
            <a:ext cx="238125" cy="21907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accent1"/>
              </a:solidFill>
            </a:endParaRPr>
          </a:p>
        </xdr:txBody>
      </xdr:sp>
    </xdr:grpSp>
    <xdr:clientData/>
  </xdr:twoCellAnchor>
  <xdr:oneCellAnchor>
    <xdr:from>
      <xdr:col>1</xdr:col>
      <xdr:colOff>28574</xdr:colOff>
      <xdr:row>5</xdr:row>
      <xdr:rowOff>200025</xdr:rowOff>
    </xdr:from>
    <xdr:ext cx="313200" cy="303675"/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299" y="1905000"/>
          <a:ext cx="313200" cy="303675"/>
        </a:xfrm>
        <a:prstGeom prst="rect">
          <a:avLst/>
        </a:prstGeom>
      </xdr:spPr>
    </xdr:pic>
    <xdr:clientData/>
  </xdr:oneCellAnchor>
  <xdr:oneCellAnchor>
    <xdr:from>
      <xdr:col>1</xdr:col>
      <xdr:colOff>28574</xdr:colOff>
      <xdr:row>4</xdr:row>
      <xdr:rowOff>228600</xdr:rowOff>
    </xdr:from>
    <xdr:ext cx="313200" cy="303675"/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199" y="1438275"/>
          <a:ext cx="313200" cy="303675"/>
        </a:xfrm>
        <a:prstGeom prst="rect">
          <a:avLst/>
        </a:prstGeom>
      </xdr:spPr>
    </xdr:pic>
    <xdr:clientData/>
  </xdr:oneCellAnchor>
  <xdr:oneCellAnchor>
    <xdr:from>
      <xdr:col>1</xdr:col>
      <xdr:colOff>28574</xdr:colOff>
      <xdr:row>8</xdr:row>
      <xdr:rowOff>200025</xdr:rowOff>
    </xdr:from>
    <xdr:ext cx="313200" cy="303675"/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299" y="2362200"/>
          <a:ext cx="313200" cy="303675"/>
        </a:xfrm>
        <a:prstGeom prst="rect">
          <a:avLst/>
        </a:prstGeom>
      </xdr:spPr>
    </xdr:pic>
    <xdr:clientData/>
  </xdr:oneCellAnchor>
  <xdr:oneCellAnchor>
    <xdr:from>
      <xdr:col>10</xdr:col>
      <xdr:colOff>28574</xdr:colOff>
      <xdr:row>8</xdr:row>
      <xdr:rowOff>228600</xdr:rowOff>
    </xdr:from>
    <xdr:ext cx="313200" cy="303675"/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899" y="2162175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10</xdr:row>
      <xdr:rowOff>228600</xdr:rowOff>
    </xdr:from>
    <xdr:ext cx="313200" cy="303675"/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5949" y="2390775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11</xdr:row>
      <xdr:rowOff>228600</xdr:rowOff>
    </xdr:from>
    <xdr:ext cx="313200" cy="303675"/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5949" y="2619375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11</xdr:row>
      <xdr:rowOff>228600</xdr:rowOff>
    </xdr:from>
    <xdr:ext cx="313200" cy="303675"/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5949" y="2390775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12</xdr:row>
      <xdr:rowOff>228600</xdr:rowOff>
    </xdr:from>
    <xdr:ext cx="313200" cy="303675"/>
    <xdr:pic>
      <xdr:nvPicPr>
        <xdr:cNvPr id="73" name="Imagem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5949" y="2619375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12</xdr:row>
      <xdr:rowOff>228600</xdr:rowOff>
    </xdr:from>
    <xdr:ext cx="313200" cy="303675"/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5949" y="2619375"/>
          <a:ext cx="313200" cy="303675"/>
        </a:xfrm>
        <a:prstGeom prst="rect">
          <a:avLst/>
        </a:prstGeom>
      </xdr:spPr>
    </xdr:pic>
    <xdr:clientData/>
  </xdr:oneCellAnchor>
  <xdr:oneCellAnchor>
    <xdr:from>
      <xdr:col>1</xdr:col>
      <xdr:colOff>28574</xdr:colOff>
      <xdr:row>7</xdr:row>
      <xdr:rowOff>200025</xdr:rowOff>
    </xdr:from>
    <xdr:ext cx="313200" cy="303675"/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" y="1905000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5</xdr:row>
      <xdr:rowOff>200025</xdr:rowOff>
    </xdr:from>
    <xdr:ext cx="313200" cy="303675"/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5949" y="1676400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6</xdr:row>
      <xdr:rowOff>200025</xdr:rowOff>
    </xdr:from>
    <xdr:ext cx="313200" cy="303675"/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5949" y="1676400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12</xdr:row>
      <xdr:rowOff>228600</xdr:rowOff>
    </xdr:from>
    <xdr:ext cx="313200" cy="303675"/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1674" y="3305175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12</xdr:row>
      <xdr:rowOff>228600</xdr:rowOff>
    </xdr:from>
    <xdr:ext cx="313200" cy="303675"/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1674" y="3305175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13</xdr:row>
      <xdr:rowOff>228600</xdr:rowOff>
    </xdr:from>
    <xdr:ext cx="313200" cy="303675"/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1674" y="3533775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13</xdr:row>
      <xdr:rowOff>228600</xdr:rowOff>
    </xdr:from>
    <xdr:ext cx="313200" cy="303675"/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1674" y="3533775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4</xdr:row>
      <xdr:rowOff>228600</xdr:rowOff>
    </xdr:from>
    <xdr:ext cx="313200" cy="303675"/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1674" y="1438275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13</xdr:row>
      <xdr:rowOff>228600</xdr:rowOff>
    </xdr:from>
    <xdr:ext cx="313200" cy="303675"/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399" y="3305175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13</xdr:row>
      <xdr:rowOff>228600</xdr:rowOff>
    </xdr:from>
    <xdr:ext cx="313200" cy="303675"/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399" y="3305175"/>
          <a:ext cx="313200" cy="303675"/>
        </a:xfrm>
        <a:prstGeom prst="rect">
          <a:avLst/>
        </a:prstGeom>
      </xdr:spPr>
    </xdr:pic>
    <xdr:clientData/>
  </xdr:oneCellAnchor>
  <xdr:oneCellAnchor>
    <xdr:from>
      <xdr:col>7</xdr:col>
      <xdr:colOff>28574</xdr:colOff>
      <xdr:row>13</xdr:row>
      <xdr:rowOff>228600</xdr:rowOff>
    </xdr:from>
    <xdr:ext cx="313200" cy="303675"/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399" y="3305175"/>
          <a:ext cx="313200" cy="303675"/>
        </a:xfrm>
        <a:prstGeom prst="rect">
          <a:avLst/>
        </a:prstGeom>
      </xdr:spPr>
    </xdr:pic>
    <xdr:clientData/>
  </xdr:oneCellAnchor>
  <xdr:oneCellAnchor>
    <xdr:from>
      <xdr:col>10</xdr:col>
      <xdr:colOff>28574</xdr:colOff>
      <xdr:row>8</xdr:row>
      <xdr:rowOff>228600</xdr:rowOff>
    </xdr:from>
    <xdr:ext cx="313200" cy="303675"/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18667" y1="49333" x2="41333" y2="43111"/>
                      <a14:foregroundMark x1="65778" y1="46222" x2="76889" y2="46222"/>
                      <a14:foregroundMark x1="35556" y1="55111" x2="59111" y2="57778"/>
                      <a14:foregroundMark x1="50222" y1="68889" x2="55111" y2="47556"/>
                      <a14:foregroundMark x1="67111" y1="53333" x2="67111" y2="53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6349" y="2162175"/>
          <a:ext cx="313200" cy="303675"/>
        </a:xfrm>
        <a:prstGeom prst="rect">
          <a:avLst/>
        </a:prstGeom>
      </xdr:spPr>
    </xdr:pic>
    <xdr:clientData/>
  </xdr:oneCellAnchor>
  <xdr:twoCellAnchor editAs="oneCell">
    <xdr:from>
      <xdr:col>5</xdr:col>
      <xdr:colOff>404782</xdr:colOff>
      <xdr:row>1</xdr:row>
      <xdr:rowOff>14319</xdr:rowOff>
    </xdr:from>
    <xdr:to>
      <xdr:col>5</xdr:col>
      <xdr:colOff>851296</xdr:colOff>
      <xdr:row>1</xdr:row>
      <xdr:rowOff>542925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329E0C9-7AF3-48E8-88C1-A03D344E5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5400000" flipH="1" flipV="1">
          <a:off x="5345311" y="83940"/>
          <a:ext cx="528606" cy="446514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276224</xdr:colOff>
      <xdr:row>1</xdr:row>
      <xdr:rowOff>0</xdr:rowOff>
    </xdr:from>
    <xdr:to>
      <xdr:col>5</xdr:col>
      <xdr:colOff>1085849</xdr:colOff>
      <xdr:row>1</xdr:row>
      <xdr:rowOff>690780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C829D8D-D922-D1F7-B5AD-E7966FE46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57799" y="28575"/>
          <a:ext cx="809625" cy="6907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</xdr:col>
      <xdr:colOff>576524</xdr:colOff>
      <xdr:row>2</xdr:row>
      <xdr:rowOff>12861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315418EB-CAE1-52F3-D1E4-0239036ADC54}"/>
            </a:ext>
          </a:extLst>
        </xdr:cNvPr>
        <xdr:cNvGrpSpPr/>
      </xdr:nvGrpSpPr>
      <xdr:grpSpPr>
        <a:xfrm>
          <a:off x="0" y="0"/>
          <a:ext cx="13476800" cy="578605"/>
          <a:chOff x="0" y="0"/>
          <a:chExt cx="12482774" cy="573778"/>
        </a:xfrm>
      </xdr:grpSpPr>
      <xdr:sp macro="[0]!Salvar" textlink="">
        <xdr:nvSpPr>
          <xdr:cNvPr id="58" name="Retângulo Arredondado 1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0722383" y="66578"/>
            <a:ext cx="885827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SALVAR</a:t>
            </a:r>
          </a:p>
        </xdr:txBody>
      </xdr:sp>
      <xdr:sp macro="" textlink="">
        <xdr:nvSpPr>
          <xdr:cNvPr id="59" name="Retângulo Arredondado 2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>
            <a:off x="9852183" y="66578"/>
            <a:ext cx="842402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MENU</a:t>
            </a:r>
          </a:p>
        </xdr:txBody>
      </xdr:sp>
      <xdr:sp macro="[0]!workbook_close" textlink="">
        <xdr:nvSpPr>
          <xdr:cNvPr id="60" name="Seta: para Baixo 28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1913183" y="66578"/>
            <a:ext cx="236283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workbook_open" textlink="">
        <xdr:nvSpPr>
          <xdr:cNvPr id="61" name="Seta: para Baixo 29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 rot="10800000">
            <a:off x="11691604" y="38044"/>
            <a:ext cx="240111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5646945" y="373482"/>
            <a:ext cx="240623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DEM. PLANO DE CONTAS (REC E</a:t>
            </a:r>
            <a:r>
              <a:rPr lang="pt-BR" sz="1100" b="1" i="0" baseline="0">
                <a:solidFill>
                  <a:srgbClr val="797979"/>
                </a:solidFill>
              </a:rPr>
              <a:t> DESP)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23" name="Retângulo 2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1616796" y="373482"/>
            <a:ext cx="719291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CLIENTES</a:t>
            </a:r>
          </a:p>
        </xdr:txBody>
      </xdr:sp>
      <xdr:sp macro="" textlink="">
        <xdr:nvSpPr>
          <xdr:cNvPr id="25" name="Retângulo 2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2349309" y="373482"/>
            <a:ext cx="120777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FORNECEDORES</a:t>
            </a:r>
          </a:p>
        </xdr:txBody>
      </xdr:sp>
      <xdr:sp macro="" textlink="">
        <xdr:nvSpPr>
          <xdr:cNvPr id="26" name="Retângulo 2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/>
        </xdr:nvSpPr>
        <xdr:spPr>
          <a:xfrm>
            <a:off x="768950" y="373482"/>
            <a:ext cx="827184" cy="19051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chemeClr val="accent2"/>
                </a:solidFill>
              </a:rPr>
              <a:t>EMPRESAS</a:t>
            </a:r>
          </a:p>
        </xdr:txBody>
      </xdr:sp>
      <xdr:sp macro="" textlink="">
        <xdr:nvSpPr>
          <xdr:cNvPr id="27" name="Retângulo 2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566856" y="373482"/>
            <a:ext cx="685443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BANCOS</a:t>
            </a:r>
          </a:p>
        </xdr:txBody>
      </xdr:sp>
      <xdr:sp macro="" textlink="">
        <xdr:nvSpPr>
          <xdr:cNvPr id="28" name="Retângulo 2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4266525" y="373482"/>
            <a:ext cx="136665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CENTRO</a:t>
            </a:r>
            <a:r>
              <a:rPr lang="pt-BR" sz="1100" b="1" i="0" baseline="0">
                <a:solidFill>
                  <a:srgbClr val="797979"/>
                </a:solidFill>
              </a:rPr>
              <a:t> DE CUSTOS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29" name="Retângulo 2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>
            <a:off x="768950" y="0"/>
            <a:ext cx="935078" cy="312742"/>
          </a:xfrm>
          <a:prstGeom prst="rect">
            <a:avLst/>
          </a:prstGeom>
          <a:solidFill>
            <a:srgbClr val="EBEBE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accent1"/>
                </a:solidFill>
              </a:rPr>
              <a:t>CADASTROS</a:t>
            </a:r>
          </a:p>
        </xdr:txBody>
      </xdr:sp>
      <xdr:sp macro="" textlink="">
        <xdr:nvSpPr>
          <xdr:cNvPr id="30" name="Retângulo 2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1712050" y="0"/>
            <a:ext cx="1150865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LANÇAMENTOS</a:t>
            </a:r>
          </a:p>
        </xdr:txBody>
      </xdr:sp>
      <xdr:sp macro="" textlink="">
        <xdr:nvSpPr>
          <xdr:cNvPr id="31" name="Retângulo 30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2875769" y="0"/>
            <a:ext cx="973159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RELATÓRIOSS</a:t>
            </a:r>
          </a:p>
        </xdr:txBody>
      </xdr:sp>
      <xdr:sp macro="" textlink="">
        <xdr:nvSpPr>
          <xdr:cNvPr id="32" name="Retângulo 31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/>
        </xdr:nvSpPr>
        <xdr:spPr>
          <a:xfrm>
            <a:off x="3851425" y="0"/>
            <a:ext cx="971043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DASHBOARD</a:t>
            </a:r>
          </a:p>
        </xdr:txBody>
      </xdr:sp>
      <xdr:sp macro="[0]!Adicionar_linha" textlink="">
        <xdr:nvSpPr>
          <xdr:cNvPr id="37" name="Retângulo Arredondado 20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7071820" y="73756"/>
            <a:ext cx="146819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00B050"/>
                </a:solidFill>
              </a:rPr>
              <a:t>+</a:t>
            </a:r>
            <a:r>
              <a:rPr lang="pt-BR" sz="1100" b="1">
                <a:solidFill>
                  <a:schemeClr val="accent1"/>
                </a:solidFill>
              </a:rPr>
              <a:t>) ADICIONAR</a:t>
            </a:r>
            <a:r>
              <a:rPr lang="pt-BR" sz="1100" b="1" baseline="0">
                <a:solidFill>
                  <a:schemeClr val="accent1"/>
                </a:solidFill>
              </a:rPr>
              <a:t>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sp macro="[0]!Excluir_Linha" textlink="">
        <xdr:nvSpPr>
          <xdr:cNvPr id="38" name="Retângulo Arredondado 20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/>
        </xdr:nvSpPr>
        <xdr:spPr>
          <a:xfrm>
            <a:off x="8558622" y="73756"/>
            <a:ext cx="125875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FF0000"/>
                </a:solidFill>
              </a:rPr>
              <a:t>-</a:t>
            </a:r>
            <a:r>
              <a:rPr lang="pt-BR" sz="1100" b="1">
                <a:solidFill>
                  <a:schemeClr val="accent1"/>
                </a:solidFill>
              </a:rPr>
              <a:t>) EXCLUI</a:t>
            </a:r>
            <a:r>
              <a:rPr lang="pt-BR" sz="1100" b="1" baseline="0">
                <a:solidFill>
                  <a:schemeClr val="accent1"/>
                </a:solidFill>
              </a:rPr>
              <a:t>R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grpSp>
        <xdr:nvGrpSpPr>
          <xdr:cNvPr id="40" name="Gráfico 2" descr="Impressora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GrpSpPr/>
        </xdr:nvGrpSpPr>
        <xdr:grpSpPr>
          <a:xfrm>
            <a:off x="12201802" y="0"/>
            <a:ext cx="280972" cy="288471"/>
            <a:chOff x="0" y="0"/>
            <a:chExt cx="914400" cy="914400"/>
          </a:xfrm>
          <a:solidFill>
            <a:schemeClr val="bg1"/>
          </a:solidFill>
        </xdr:grpSpPr>
        <xdr:sp macro="[0]!Imprimir" textlink="">
          <xdr:nvSpPr>
            <xdr:cNvPr id="41" name="Forma Livre: Forma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/>
          </xdr:nvSpPr>
          <xdr:spPr>
            <a:xfrm>
              <a:off x="228600" y="538163"/>
              <a:ext cx="447675" cy="304800"/>
            </a:xfrm>
            <a:custGeom>
              <a:avLst/>
              <a:gdLst>
                <a:gd name="connsiteX0" fmla="*/ 400050 w 447675"/>
                <a:gd name="connsiteY0" fmla="*/ 57150 h 304800"/>
                <a:gd name="connsiteX1" fmla="*/ 399098 w 447675"/>
                <a:gd name="connsiteY1" fmla="*/ 247650 h 304800"/>
                <a:gd name="connsiteX2" fmla="*/ 59055 w 447675"/>
                <a:gd name="connsiteY2" fmla="*/ 247650 h 304800"/>
                <a:gd name="connsiteX3" fmla="*/ 57150 w 447675"/>
                <a:gd name="connsiteY3" fmla="*/ 57150 h 304800"/>
                <a:gd name="connsiteX4" fmla="*/ 400050 w 447675"/>
                <a:gd name="connsiteY4" fmla="*/ 57150 h 304800"/>
                <a:gd name="connsiteX5" fmla="*/ 1905 w 447675"/>
                <a:gd name="connsiteY5" fmla="*/ 304800 h 304800"/>
                <a:gd name="connsiteX6" fmla="*/ 455295 w 447675"/>
                <a:gd name="connsiteY6" fmla="*/ 304800 h 304800"/>
                <a:gd name="connsiteX7" fmla="*/ 456248 w 447675"/>
                <a:gd name="connsiteY7" fmla="*/ 0 h 304800"/>
                <a:gd name="connsiteX8" fmla="*/ 0 w 447675"/>
                <a:gd name="connsiteY8" fmla="*/ 0 h 304800"/>
                <a:gd name="connsiteX9" fmla="*/ 1905 w 447675"/>
                <a:gd name="connsiteY9" fmla="*/ 304800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47675" h="304800">
                  <a:moveTo>
                    <a:pt x="400050" y="57150"/>
                  </a:moveTo>
                  <a:lnTo>
                    <a:pt x="399098" y="247650"/>
                  </a:lnTo>
                  <a:lnTo>
                    <a:pt x="59055" y="247650"/>
                  </a:lnTo>
                  <a:lnTo>
                    <a:pt x="57150" y="57150"/>
                  </a:lnTo>
                  <a:lnTo>
                    <a:pt x="400050" y="57150"/>
                  </a:lnTo>
                  <a:close/>
                  <a:moveTo>
                    <a:pt x="1905" y="304800"/>
                  </a:moveTo>
                  <a:lnTo>
                    <a:pt x="455295" y="304800"/>
                  </a:lnTo>
                  <a:lnTo>
                    <a:pt x="456248" y="0"/>
                  </a:lnTo>
                  <a:lnTo>
                    <a:pt x="0" y="0"/>
                  </a:lnTo>
                  <a:lnTo>
                    <a:pt x="1905" y="3048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42" name="Forma Livre: Forma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/>
          </xdr:nvSpPr>
          <xdr:spPr>
            <a:xfrm>
              <a:off x="361950" y="6334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43" name="Forma Livre: Forma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361950" y="7096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44" name="Forma Livre: Forma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38100" y="76200"/>
              <a:ext cx="838200" cy="647700"/>
            </a:xfrm>
            <a:custGeom>
              <a:avLst/>
              <a:gdLst>
                <a:gd name="connsiteX0" fmla="*/ 590550 w 838200"/>
                <a:gd name="connsiteY0" fmla="*/ 276225 h 647700"/>
                <a:gd name="connsiteX1" fmla="*/ 247650 w 838200"/>
                <a:gd name="connsiteY1" fmla="*/ 276225 h 647700"/>
                <a:gd name="connsiteX2" fmla="*/ 247650 w 838200"/>
                <a:gd name="connsiteY2" fmla="*/ 57150 h 647700"/>
                <a:gd name="connsiteX3" fmla="*/ 457200 w 838200"/>
                <a:gd name="connsiteY3" fmla="*/ 57150 h 647700"/>
                <a:gd name="connsiteX4" fmla="*/ 457200 w 838200"/>
                <a:gd name="connsiteY4" fmla="*/ 190500 h 647700"/>
                <a:gd name="connsiteX5" fmla="*/ 590550 w 838200"/>
                <a:gd name="connsiteY5" fmla="*/ 190500 h 647700"/>
                <a:gd name="connsiteX6" fmla="*/ 590550 w 838200"/>
                <a:gd name="connsiteY6" fmla="*/ 276225 h 647700"/>
                <a:gd name="connsiteX7" fmla="*/ 514350 w 838200"/>
                <a:gd name="connsiteY7" fmla="*/ 60960 h 647700"/>
                <a:gd name="connsiteX8" fmla="*/ 580073 w 838200"/>
                <a:gd name="connsiteY8" fmla="*/ 133350 h 647700"/>
                <a:gd name="connsiteX9" fmla="*/ 514350 w 838200"/>
                <a:gd name="connsiteY9" fmla="*/ 133350 h 647700"/>
                <a:gd name="connsiteX10" fmla="*/ 514350 w 838200"/>
                <a:gd name="connsiteY10" fmla="*/ 60960 h 647700"/>
                <a:gd name="connsiteX11" fmla="*/ 95250 w 838200"/>
                <a:gd name="connsiteY11" fmla="*/ 323850 h 647700"/>
                <a:gd name="connsiteX12" fmla="*/ 57150 w 838200"/>
                <a:gd name="connsiteY12" fmla="*/ 285750 h 647700"/>
                <a:gd name="connsiteX13" fmla="*/ 95250 w 838200"/>
                <a:gd name="connsiteY13" fmla="*/ 247650 h 647700"/>
                <a:gd name="connsiteX14" fmla="*/ 133350 w 838200"/>
                <a:gd name="connsiteY14" fmla="*/ 285750 h 647700"/>
                <a:gd name="connsiteX15" fmla="*/ 95250 w 838200"/>
                <a:gd name="connsiteY15" fmla="*/ 323850 h 647700"/>
                <a:gd name="connsiteX16" fmla="*/ 800100 w 838200"/>
                <a:gd name="connsiteY16" fmla="*/ 190500 h 647700"/>
                <a:gd name="connsiteX17" fmla="*/ 647700 w 838200"/>
                <a:gd name="connsiteY17" fmla="*/ 190500 h 647700"/>
                <a:gd name="connsiteX18" fmla="*/ 647700 w 838200"/>
                <a:gd name="connsiteY18" fmla="*/ 121920 h 647700"/>
                <a:gd name="connsiteX19" fmla="*/ 536258 w 838200"/>
                <a:gd name="connsiteY19" fmla="*/ 0 h 647700"/>
                <a:gd name="connsiteX20" fmla="*/ 190500 w 838200"/>
                <a:gd name="connsiteY20" fmla="*/ 0 h 647700"/>
                <a:gd name="connsiteX21" fmla="*/ 190500 w 838200"/>
                <a:gd name="connsiteY21" fmla="*/ 190500 h 647700"/>
                <a:gd name="connsiteX22" fmla="*/ 38100 w 838200"/>
                <a:gd name="connsiteY22" fmla="*/ 190500 h 647700"/>
                <a:gd name="connsiteX23" fmla="*/ 0 w 838200"/>
                <a:gd name="connsiteY23" fmla="*/ 228600 h 647700"/>
                <a:gd name="connsiteX24" fmla="*/ 0 w 838200"/>
                <a:gd name="connsiteY24" fmla="*/ 609600 h 647700"/>
                <a:gd name="connsiteX25" fmla="*/ 38100 w 838200"/>
                <a:gd name="connsiteY25" fmla="*/ 647700 h 647700"/>
                <a:gd name="connsiteX26" fmla="*/ 152400 w 838200"/>
                <a:gd name="connsiteY26" fmla="*/ 647700 h 647700"/>
                <a:gd name="connsiteX27" fmla="*/ 152400 w 838200"/>
                <a:gd name="connsiteY27" fmla="*/ 428625 h 647700"/>
                <a:gd name="connsiteX28" fmla="*/ 685800 w 838200"/>
                <a:gd name="connsiteY28" fmla="*/ 428625 h 647700"/>
                <a:gd name="connsiteX29" fmla="*/ 685800 w 838200"/>
                <a:gd name="connsiteY29" fmla="*/ 647700 h 647700"/>
                <a:gd name="connsiteX30" fmla="*/ 800100 w 838200"/>
                <a:gd name="connsiteY30" fmla="*/ 647700 h 647700"/>
                <a:gd name="connsiteX31" fmla="*/ 838200 w 838200"/>
                <a:gd name="connsiteY31" fmla="*/ 609600 h 647700"/>
                <a:gd name="connsiteX32" fmla="*/ 838200 w 838200"/>
                <a:gd name="connsiteY32" fmla="*/ 228600 h 647700"/>
                <a:gd name="connsiteX33" fmla="*/ 800100 w 838200"/>
                <a:gd name="connsiteY33" fmla="*/ 190500 h 6477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</a:cxnLst>
              <a:rect l="l" t="t" r="r" b="b"/>
              <a:pathLst>
                <a:path w="838200" h="647700">
                  <a:moveTo>
                    <a:pt x="590550" y="276225"/>
                  </a:moveTo>
                  <a:lnTo>
                    <a:pt x="247650" y="276225"/>
                  </a:lnTo>
                  <a:lnTo>
                    <a:pt x="247650" y="57150"/>
                  </a:lnTo>
                  <a:lnTo>
                    <a:pt x="457200" y="57150"/>
                  </a:lnTo>
                  <a:lnTo>
                    <a:pt x="457200" y="190500"/>
                  </a:lnTo>
                  <a:lnTo>
                    <a:pt x="590550" y="190500"/>
                  </a:lnTo>
                  <a:lnTo>
                    <a:pt x="590550" y="276225"/>
                  </a:lnTo>
                  <a:close/>
                  <a:moveTo>
                    <a:pt x="514350" y="60960"/>
                  </a:moveTo>
                  <a:lnTo>
                    <a:pt x="580073" y="133350"/>
                  </a:lnTo>
                  <a:lnTo>
                    <a:pt x="514350" y="133350"/>
                  </a:lnTo>
                  <a:lnTo>
                    <a:pt x="514350" y="60960"/>
                  </a:lnTo>
                  <a:close/>
                  <a:moveTo>
                    <a:pt x="95250" y="323850"/>
                  </a:moveTo>
                  <a:cubicBezTo>
                    <a:pt x="74295" y="323850"/>
                    <a:pt x="57150" y="306705"/>
                    <a:pt x="57150" y="285750"/>
                  </a:cubicBezTo>
                  <a:cubicBezTo>
                    <a:pt x="57150" y="264795"/>
                    <a:pt x="74295" y="247650"/>
                    <a:pt x="95250" y="247650"/>
                  </a:cubicBezTo>
                  <a:cubicBezTo>
                    <a:pt x="116205" y="247650"/>
                    <a:pt x="133350" y="264795"/>
                    <a:pt x="133350" y="285750"/>
                  </a:cubicBezTo>
                  <a:cubicBezTo>
                    <a:pt x="133350" y="306705"/>
                    <a:pt x="116205" y="323850"/>
                    <a:pt x="95250" y="323850"/>
                  </a:cubicBezTo>
                  <a:close/>
                  <a:moveTo>
                    <a:pt x="800100" y="190500"/>
                  </a:moveTo>
                  <a:lnTo>
                    <a:pt x="647700" y="190500"/>
                  </a:lnTo>
                  <a:lnTo>
                    <a:pt x="647700" y="121920"/>
                  </a:lnTo>
                  <a:lnTo>
                    <a:pt x="536258" y="0"/>
                  </a:lnTo>
                  <a:lnTo>
                    <a:pt x="190500" y="0"/>
                  </a:lnTo>
                  <a:lnTo>
                    <a:pt x="190500" y="190500"/>
                  </a:lnTo>
                  <a:lnTo>
                    <a:pt x="38100" y="190500"/>
                  </a:lnTo>
                  <a:cubicBezTo>
                    <a:pt x="17145" y="190500"/>
                    <a:pt x="0" y="207645"/>
                    <a:pt x="0" y="228600"/>
                  </a:cubicBezTo>
                  <a:lnTo>
                    <a:pt x="0" y="609600"/>
                  </a:lnTo>
                  <a:cubicBezTo>
                    <a:pt x="0" y="630555"/>
                    <a:pt x="17145" y="647700"/>
                    <a:pt x="38100" y="647700"/>
                  </a:cubicBezTo>
                  <a:lnTo>
                    <a:pt x="152400" y="647700"/>
                  </a:lnTo>
                  <a:lnTo>
                    <a:pt x="152400" y="428625"/>
                  </a:lnTo>
                  <a:lnTo>
                    <a:pt x="685800" y="428625"/>
                  </a:lnTo>
                  <a:lnTo>
                    <a:pt x="685800" y="647700"/>
                  </a:lnTo>
                  <a:lnTo>
                    <a:pt x="800100" y="647700"/>
                  </a:lnTo>
                  <a:cubicBezTo>
                    <a:pt x="821055" y="647700"/>
                    <a:pt x="838200" y="630555"/>
                    <a:pt x="838200" y="609600"/>
                  </a:cubicBezTo>
                  <a:lnTo>
                    <a:pt x="838200" y="228600"/>
                  </a:lnTo>
                  <a:cubicBezTo>
                    <a:pt x="838200" y="207645"/>
                    <a:pt x="821055" y="190500"/>
                    <a:pt x="800100" y="190500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</xdr:grpSp>
      <xdr:sp macro="" textlink="">
        <xdr:nvSpPr>
          <xdr:cNvPr id="34" name="Retângulo 1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8064717" y="368985"/>
            <a:ext cx="1726298" cy="1947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ENDIVIDAMENTO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1" name="Imagem 10">
                <a:extLst>
                  <a:ext uri="{FF2B5EF4-FFF2-40B4-BE49-F238E27FC236}">
                    <a16:creationId xmlns:a16="http://schemas.microsoft.com/office/drawing/2014/main" id="{BE552C6D-0FEC-4292-B081-854495366E1C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MENU!$F$2" spid="_x0000_s2206"/>
                  </a:ext>
                </a:extLst>
              </xdr:cNvPicPr>
            </xdr:nvPicPr>
            <xdr:blipFill rotWithShape="1">
              <a:blip xmlns:r="http://schemas.openxmlformats.org/officeDocument/2006/relationships" r:embed="rId12"/>
              <a:srcRect b="4887"/>
              <a:stretch>
                <a:fillRect/>
              </a:stretch>
            </xdr:blipFill>
            <xdr:spPr>
              <a:xfrm rot="5400000">
                <a:off x="102577" y="-102577"/>
                <a:ext cx="573778" cy="778932"/>
              </a:xfrm>
              <a:prstGeom prst="rect">
                <a:avLst/>
              </a:prstGeom>
              <a:ln>
                <a:noFill/>
              </a:ln>
            </xdr:spPr>
          </xdr:pic>
        </mc:Choice>
        <mc:Fallback xmlns=""/>
      </mc:AlternateContent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104775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572B576-9F72-4957-82C7-5DFDB9738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0"/>
          <a:ext cx="742950" cy="6191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738449</xdr:colOff>
      <xdr:row>2</xdr:row>
      <xdr:rowOff>12861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F91E45B-AA78-424E-89F1-57C51649B1B2}"/>
            </a:ext>
          </a:extLst>
        </xdr:cNvPr>
        <xdr:cNvGrpSpPr/>
      </xdr:nvGrpSpPr>
      <xdr:grpSpPr>
        <a:xfrm>
          <a:off x="0" y="0"/>
          <a:ext cx="13461108" cy="578605"/>
          <a:chOff x="0" y="0"/>
          <a:chExt cx="12482774" cy="573778"/>
        </a:xfrm>
      </xdr:grpSpPr>
      <xdr:sp macro="[0]!Salvar" textlink="">
        <xdr:nvSpPr>
          <xdr:cNvPr id="3" name="Retângulo Arredondado 1">
            <a:extLst>
              <a:ext uri="{FF2B5EF4-FFF2-40B4-BE49-F238E27FC236}">
                <a16:creationId xmlns:a16="http://schemas.microsoft.com/office/drawing/2014/main" id="{2C6AB9D7-30F3-BF05-EA5D-BD37C2DE8982}"/>
              </a:ext>
            </a:extLst>
          </xdr:cNvPr>
          <xdr:cNvSpPr/>
        </xdr:nvSpPr>
        <xdr:spPr>
          <a:xfrm>
            <a:off x="10722383" y="66578"/>
            <a:ext cx="885827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SALVAR</a:t>
            </a:r>
          </a:p>
        </xdr:txBody>
      </xdr:sp>
      <xdr:sp macro="" textlink="">
        <xdr:nvSpPr>
          <xdr:cNvPr id="4" name="Retângulo Arredondado 2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7D490F-F776-9130-105F-01A617D5489E}"/>
              </a:ext>
            </a:extLst>
          </xdr:cNvPr>
          <xdr:cNvSpPr/>
        </xdr:nvSpPr>
        <xdr:spPr>
          <a:xfrm>
            <a:off x="9852183" y="66578"/>
            <a:ext cx="842402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MENU</a:t>
            </a:r>
          </a:p>
        </xdr:txBody>
      </xdr:sp>
      <xdr:sp macro="[0]!workbook_close" textlink="">
        <xdr:nvSpPr>
          <xdr:cNvPr id="5" name="Seta: para Baixo 28">
            <a:extLst>
              <a:ext uri="{FF2B5EF4-FFF2-40B4-BE49-F238E27FC236}">
                <a16:creationId xmlns:a16="http://schemas.microsoft.com/office/drawing/2014/main" id="{991A9278-3D80-83EF-026B-EA907AA7D5C0}"/>
              </a:ext>
            </a:extLst>
          </xdr:cNvPr>
          <xdr:cNvSpPr/>
        </xdr:nvSpPr>
        <xdr:spPr>
          <a:xfrm>
            <a:off x="11913183" y="66578"/>
            <a:ext cx="236283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workbook_open" textlink="">
        <xdr:nvSpPr>
          <xdr:cNvPr id="6" name="Seta: para Baixo 29">
            <a:extLst>
              <a:ext uri="{FF2B5EF4-FFF2-40B4-BE49-F238E27FC236}">
                <a16:creationId xmlns:a16="http://schemas.microsoft.com/office/drawing/2014/main" id="{5A1D42E4-EEBD-19CD-A32F-A08DE82C14E5}"/>
              </a:ext>
            </a:extLst>
          </xdr:cNvPr>
          <xdr:cNvSpPr/>
        </xdr:nvSpPr>
        <xdr:spPr>
          <a:xfrm rot="10800000">
            <a:off x="11691604" y="38044"/>
            <a:ext cx="240111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1DB3B86-5D38-63B6-F422-5C37DFA34573}"/>
              </a:ext>
            </a:extLst>
          </xdr:cNvPr>
          <xdr:cNvSpPr/>
        </xdr:nvSpPr>
        <xdr:spPr>
          <a:xfrm>
            <a:off x="5646945" y="373482"/>
            <a:ext cx="240623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DEM. PLANO DE CONTAS (REC E</a:t>
            </a:r>
            <a:r>
              <a:rPr lang="pt-BR" sz="1100" b="1" i="0" baseline="0">
                <a:solidFill>
                  <a:srgbClr val="797979"/>
                </a:solidFill>
              </a:rPr>
              <a:t> DESP)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8" name="Retângulo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FC5DEC3-426E-968F-1194-929C5E5961AA}"/>
              </a:ext>
            </a:extLst>
          </xdr:cNvPr>
          <xdr:cNvSpPr/>
        </xdr:nvSpPr>
        <xdr:spPr>
          <a:xfrm>
            <a:off x="1616796" y="373482"/>
            <a:ext cx="719291" cy="19051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chemeClr val="accent2"/>
                </a:solidFill>
              </a:rPr>
              <a:t>CLIENTES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0467AB4-6B4B-8506-D29E-452177EAAA7F}"/>
              </a:ext>
            </a:extLst>
          </xdr:cNvPr>
          <xdr:cNvSpPr/>
        </xdr:nvSpPr>
        <xdr:spPr>
          <a:xfrm>
            <a:off x="2349309" y="373482"/>
            <a:ext cx="120777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FORNECEDORES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64589C3-D8EC-6012-BF3A-56BEE211E108}"/>
              </a:ext>
            </a:extLst>
          </xdr:cNvPr>
          <xdr:cNvSpPr/>
        </xdr:nvSpPr>
        <xdr:spPr>
          <a:xfrm>
            <a:off x="768950" y="373482"/>
            <a:ext cx="827184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EMPRESAS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8BD23FF-5B2E-BF28-B79F-94314B7CCD8B}"/>
              </a:ext>
            </a:extLst>
          </xdr:cNvPr>
          <xdr:cNvSpPr/>
        </xdr:nvSpPr>
        <xdr:spPr>
          <a:xfrm>
            <a:off x="3566856" y="373482"/>
            <a:ext cx="685443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BANCOS</a:t>
            </a:r>
          </a:p>
        </xdr:txBody>
      </xdr:sp>
      <xdr:sp macro="" textlink="">
        <xdr:nvSpPr>
          <xdr:cNvPr id="12" name="Retângulo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9B832570-7F10-A773-33C7-99DA0506ED1C}"/>
              </a:ext>
            </a:extLst>
          </xdr:cNvPr>
          <xdr:cNvSpPr/>
        </xdr:nvSpPr>
        <xdr:spPr>
          <a:xfrm>
            <a:off x="4266525" y="373482"/>
            <a:ext cx="136665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CENTRO</a:t>
            </a:r>
            <a:r>
              <a:rPr lang="pt-BR" sz="1100" b="1" i="0" baseline="0">
                <a:solidFill>
                  <a:srgbClr val="797979"/>
                </a:solidFill>
              </a:rPr>
              <a:t> DE CUSTOS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13" name="Retângulo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AAA7C2A-718B-062F-B0CE-2C87BD4F4871}"/>
              </a:ext>
            </a:extLst>
          </xdr:cNvPr>
          <xdr:cNvSpPr/>
        </xdr:nvSpPr>
        <xdr:spPr>
          <a:xfrm>
            <a:off x="768950" y="0"/>
            <a:ext cx="935078" cy="312742"/>
          </a:xfrm>
          <a:prstGeom prst="rect">
            <a:avLst/>
          </a:prstGeom>
          <a:solidFill>
            <a:srgbClr val="EBEBE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accent1"/>
                </a:solidFill>
              </a:rPr>
              <a:t>CADASTROS</a:t>
            </a:r>
          </a:p>
        </xdr:txBody>
      </xdr:sp>
      <xdr:sp macro="" textlink="">
        <xdr:nvSpPr>
          <xdr:cNvPr id="14" name="Retângulo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9F8F916-E777-D8D6-BCF0-573B85AC0982}"/>
              </a:ext>
            </a:extLst>
          </xdr:cNvPr>
          <xdr:cNvSpPr/>
        </xdr:nvSpPr>
        <xdr:spPr>
          <a:xfrm>
            <a:off x="1712050" y="0"/>
            <a:ext cx="1150865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LANÇAMENTOS</a:t>
            </a:r>
          </a:p>
        </xdr:txBody>
      </xdr:sp>
      <xdr:sp macro="" textlink="">
        <xdr:nvSpPr>
          <xdr:cNvPr id="15" name="Retângulo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AB81CF8-4560-8BC7-46CE-F67CFAFB93CC}"/>
              </a:ext>
            </a:extLst>
          </xdr:cNvPr>
          <xdr:cNvSpPr/>
        </xdr:nvSpPr>
        <xdr:spPr>
          <a:xfrm>
            <a:off x="2875769" y="0"/>
            <a:ext cx="973159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RELATÓRIOSS</a:t>
            </a:r>
          </a:p>
        </xdr:txBody>
      </xdr:sp>
      <xdr:sp macro="" textlink="">
        <xdr:nvSpPr>
          <xdr:cNvPr id="16" name="Retângulo 1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F689961E-71D3-9A4B-86A3-7B1F4E0D2D73}"/>
              </a:ext>
            </a:extLst>
          </xdr:cNvPr>
          <xdr:cNvSpPr/>
        </xdr:nvSpPr>
        <xdr:spPr>
          <a:xfrm>
            <a:off x="3851425" y="0"/>
            <a:ext cx="971043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DASHBOARD</a:t>
            </a:r>
          </a:p>
        </xdr:txBody>
      </xdr:sp>
      <xdr:sp macro="[0]!Adicionar_linha" textlink="">
        <xdr:nvSpPr>
          <xdr:cNvPr id="17" name="Retângulo Arredondado 20">
            <a:extLst>
              <a:ext uri="{FF2B5EF4-FFF2-40B4-BE49-F238E27FC236}">
                <a16:creationId xmlns:a16="http://schemas.microsoft.com/office/drawing/2014/main" id="{809603AD-D9C9-0157-038F-F91A9B0618E8}"/>
              </a:ext>
            </a:extLst>
          </xdr:cNvPr>
          <xdr:cNvSpPr/>
        </xdr:nvSpPr>
        <xdr:spPr>
          <a:xfrm>
            <a:off x="7071820" y="73756"/>
            <a:ext cx="146819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00B050"/>
                </a:solidFill>
              </a:rPr>
              <a:t>+</a:t>
            </a:r>
            <a:r>
              <a:rPr lang="pt-BR" sz="1100" b="1">
                <a:solidFill>
                  <a:schemeClr val="accent1"/>
                </a:solidFill>
              </a:rPr>
              <a:t>) ADICIONAR</a:t>
            </a:r>
            <a:r>
              <a:rPr lang="pt-BR" sz="1100" b="1" baseline="0">
                <a:solidFill>
                  <a:schemeClr val="accent1"/>
                </a:solidFill>
              </a:rPr>
              <a:t>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sp macro="[0]!Excluir_Linha" textlink="">
        <xdr:nvSpPr>
          <xdr:cNvPr id="18" name="Retângulo Arredondado 20">
            <a:extLst>
              <a:ext uri="{FF2B5EF4-FFF2-40B4-BE49-F238E27FC236}">
                <a16:creationId xmlns:a16="http://schemas.microsoft.com/office/drawing/2014/main" id="{496CAEBF-917A-E33E-A1C3-EE97BC093259}"/>
              </a:ext>
            </a:extLst>
          </xdr:cNvPr>
          <xdr:cNvSpPr/>
        </xdr:nvSpPr>
        <xdr:spPr>
          <a:xfrm>
            <a:off x="8558622" y="73756"/>
            <a:ext cx="125875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FF0000"/>
                </a:solidFill>
              </a:rPr>
              <a:t>-</a:t>
            </a:r>
            <a:r>
              <a:rPr lang="pt-BR" sz="1100" b="1">
                <a:solidFill>
                  <a:schemeClr val="accent1"/>
                </a:solidFill>
              </a:rPr>
              <a:t>) EXCLUI</a:t>
            </a:r>
            <a:r>
              <a:rPr lang="pt-BR" sz="1100" b="1" baseline="0">
                <a:solidFill>
                  <a:schemeClr val="accent1"/>
                </a:solidFill>
              </a:rPr>
              <a:t>R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grpSp>
        <xdr:nvGrpSpPr>
          <xdr:cNvPr id="19" name="Gráfico 2" descr="Impressora">
            <a:extLst>
              <a:ext uri="{FF2B5EF4-FFF2-40B4-BE49-F238E27FC236}">
                <a16:creationId xmlns:a16="http://schemas.microsoft.com/office/drawing/2014/main" id="{96334082-C13C-7E9C-71D8-75608DE2E95C}"/>
              </a:ext>
            </a:extLst>
          </xdr:cNvPr>
          <xdr:cNvGrpSpPr/>
        </xdr:nvGrpSpPr>
        <xdr:grpSpPr>
          <a:xfrm>
            <a:off x="12201802" y="0"/>
            <a:ext cx="280972" cy="288471"/>
            <a:chOff x="0" y="0"/>
            <a:chExt cx="914400" cy="914400"/>
          </a:xfrm>
          <a:solidFill>
            <a:schemeClr val="bg1"/>
          </a:solidFill>
        </xdr:grpSpPr>
        <xdr:sp macro="[0]!Imprimir" textlink="">
          <xdr:nvSpPr>
            <xdr:cNvPr id="23" name="Forma Livre: Forma 22">
              <a:extLst>
                <a:ext uri="{FF2B5EF4-FFF2-40B4-BE49-F238E27FC236}">
                  <a16:creationId xmlns:a16="http://schemas.microsoft.com/office/drawing/2014/main" id="{BE8184DE-AEC0-93A1-0598-27273A3C4A0B}"/>
                </a:ext>
              </a:extLst>
            </xdr:cNvPr>
            <xdr:cNvSpPr/>
          </xdr:nvSpPr>
          <xdr:spPr>
            <a:xfrm>
              <a:off x="228600" y="538163"/>
              <a:ext cx="447675" cy="304800"/>
            </a:xfrm>
            <a:custGeom>
              <a:avLst/>
              <a:gdLst>
                <a:gd name="connsiteX0" fmla="*/ 400050 w 447675"/>
                <a:gd name="connsiteY0" fmla="*/ 57150 h 304800"/>
                <a:gd name="connsiteX1" fmla="*/ 399098 w 447675"/>
                <a:gd name="connsiteY1" fmla="*/ 247650 h 304800"/>
                <a:gd name="connsiteX2" fmla="*/ 59055 w 447675"/>
                <a:gd name="connsiteY2" fmla="*/ 247650 h 304800"/>
                <a:gd name="connsiteX3" fmla="*/ 57150 w 447675"/>
                <a:gd name="connsiteY3" fmla="*/ 57150 h 304800"/>
                <a:gd name="connsiteX4" fmla="*/ 400050 w 447675"/>
                <a:gd name="connsiteY4" fmla="*/ 57150 h 304800"/>
                <a:gd name="connsiteX5" fmla="*/ 1905 w 447675"/>
                <a:gd name="connsiteY5" fmla="*/ 304800 h 304800"/>
                <a:gd name="connsiteX6" fmla="*/ 455295 w 447675"/>
                <a:gd name="connsiteY6" fmla="*/ 304800 h 304800"/>
                <a:gd name="connsiteX7" fmla="*/ 456248 w 447675"/>
                <a:gd name="connsiteY7" fmla="*/ 0 h 304800"/>
                <a:gd name="connsiteX8" fmla="*/ 0 w 447675"/>
                <a:gd name="connsiteY8" fmla="*/ 0 h 304800"/>
                <a:gd name="connsiteX9" fmla="*/ 1905 w 447675"/>
                <a:gd name="connsiteY9" fmla="*/ 304800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47675" h="304800">
                  <a:moveTo>
                    <a:pt x="400050" y="57150"/>
                  </a:moveTo>
                  <a:lnTo>
                    <a:pt x="399098" y="247650"/>
                  </a:lnTo>
                  <a:lnTo>
                    <a:pt x="59055" y="247650"/>
                  </a:lnTo>
                  <a:lnTo>
                    <a:pt x="57150" y="57150"/>
                  </a:lnTo>
                  <a:lnTo>
                    <a:pt x="400050" y="57150"/>
                  </a:lnTo>
                  <a:close/>
                  <a:moveTo>
                    <a:pt x="1905" y="304800"/>
                  </a:moveTo>
                  <a:lnTo>
                    <a:pt x="455295" y="304800"/>
                  </a:lnTo>
                  <a:lnTo>
                    <a:pt x="456248" y="0"/>
                  </a:lnTo>
                  <a:lnTo>
                    <a:pt x="0" y="0"/>
                  </a:lnTo>
                  <a:lnTo>
                    <a:pt x="1905" y="3048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4" name="Forma Livre: Forma 23">
              <a:extLst>
                <a:ext uri="{FF2B5EF4-FFF2-40B4-BE49-F238E27FC236}">
                  <a16:creationId xmlns:a16="http://schemas.microsoft.com/office/drawing/2014/main" id="{60F9DC25-E139-5D3B-346F-DC25677F2AB5}"/>
                </a:ext>
              </a:extLst>
            </xdr:cNvPr>
            <xdr:cNvSpPr/>
          </xdr:nvSpPr>
          <xdr:spPr>
            <a:xfrm>
              <a:off x="361950" y="6334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5" name="Forma Livre: Forma 24">
              <a:extLst>
                <a:ext uri="{FF2B5EF4-FFF2-40B4-BE49-F238E27FC236}">
                  <a16:creationId xmlns:a16="http://schemas.microsoft.com/office/drawing/2014/main" id="{42A24750-B8A4-DD05-C9FC-50C043279584}"/>
                </a:ext>
              </a:extLst>
            </xdr:cNvPr>
            <xdr:cNvSpPr/>
          </xdr:nvSpPr>
          <xdr:spPr>
            <a:xfrm>
              <a:off x="361950" y="7096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6" name="Forma Livre: Forma 25">
              <a:extLst>
                <a:ext uri="{FF2B5EF4-FFF2-40B4-BE49-F238E27FC236}">
                  <a16:creationId xmlns:a16="http://schemas.microsoft.com/office/drawing/2014/main" id="{E13D6459-7AEC-7EDC-1561-E995DBE4048E}"/>
                </a:ext>
              </a:extLst>
            </xdr:cNvPr>
            <xdr:cNvSpPr/>
          </xdr:nvSpPr>
          <xdr:spPr>
            <a:xfrm>
              <a:off x="38100" y="76200"/>
              <a:ext cx="838200" cy="647700"/>
            </a:xfrm>
            <a:custGeom>
              <a:avLst/>
              <a:gdLst>
                <a:gd name="connsiteX0" fmla="*/ 590550 w 838200"/>
                <a:gd name="connsiteY0" fmla="*/ 276225 h 647700"/>
                <a:gd name="connsiteX1" fmla="*/ 247650 w 838200"/>
                <a:gd name="connsiteY1" fmla="*/ 276225 h 647700"/>
                <a:gd name="connsiteX2" fmla="*/ 247650 w 838200"/>
                <a:gd name="connsiteY2" fmla="*/ 57150 h 647700"/>
                <a:gd name="connsiteX3" fmla="*/ 457200 w 838200"/>
                <a:gd name="connsiteY3" fmla="*/ 57150 h 647700"/>
                <a:gd name="connsiteX4" fmla="*/ 457200 w 838200"/>
                <a:gd name="connsiteY4" fmla="*/ 190500 h 647700"/>
                <a:gd name="connsiteX5" fmla="*/ 590550 w 838200"/>
                <a:gd name="connsiteY5" fmla="*/ 190500 h 647700"/>
                <a:gd name="connsiteX6" fmla="*/ 590550 w 838200"/>
                <a:gd name="connsiteY6" fmla="*/ 276225 h 647700"/>
                <a:gd name="connsiteX7" fmla="*/ 514350 w 838200"/>
                <a:gd name="connsiteY7" fmla="*/ 60960 h 647700"/>
                <a:gd name="connsiteX8" fmla="*/ 580073 w 838200"/>
                <a:gd name="connsiteY8" fmla="*/ 133350 h 647700"/>
                <a:gd name="connsiteX9" fmla="*/ 514350 w 838200"/>
                <a:gd name="connsiteY9" fmla="*/ 133350 h 647700"/>
                <a:gd name="connsiteX10" fmla="*/ 514350 w 838200"/>
                <a:gd name="connsiteY10" fmla="*/ 60960 h 647700"/>
                <a:gd name="connsiteX11" fmla="*/ 95250 w 838200"/>
                <a:gd name="connsiteY11" fmla="*/ 323850 h 647700"/>
                <a:gd name="connsiteX12" fmla="*/ 57150 w 838200"/>
                <a:gd name="connsiteY12" fmla="*/ 285750 h 647700"/>
                <a:gd name="connsiteX13" fmla="*/ 95250 w 838200"/>
                <a:gd name="connsiteY13" fmla="*/ 247650 h 647700"/>
                <a:gd name="connsiteX14" fmla="*/ 133350 w 838200"/>
                <a:gd name="connsiteY14" fmla="*/ 285750 h 647700"/>
                <a:gd name="connsiteX15" fmla="*/ 95250 w 838200"/>
                <a:gd name="connsiteY15" fmla="*/ 323850 h 647700"/>
                <a:gd name="connsiteX16" fmla="*/ 800100 w 838200"/>
                <a:gd name="connsiteY16" fmla="*/ 190500 h 647700"/>
                <a:gd name="connsiteX17" fmla="*/ 647700 w 838200"/>
                <a:gd name="connsiteY17" fmla="*/ 190500 h 647700"/>
                <a:gd name="connsiteX18" fmla="*/ 647700 w 838200"/>
                <a:gd name="connsiteY18" fmla="*/ 121920 h 647700"/>
                <a:gd name="connsiteX19" fmla="*/ 536258 w 838200"/>
                <a:gd name="connsiteY19" fmla="*/ 0 h 647700"/>
                <a:gd name="connsiteX20" fmla="*/ 190500 w 838200"/>
                <a:gd name="connsiteY20" fmla="*/ 0 h 647700"/>
                <a:gd name="connsiteX21" fmla="*/ 190500 w 838200"/>
                <a:gd name="connsiteY21" fmla="*/ 190500 h 647700"/>
                <a:gd name="connsiteX22" fmla="*/ 38100 w 838200"/>
                <a:gd name="connsiteY22" fmla="*/ 190500 h 647700"/>
                <a:gd name="connsiteX23" fmla="*/ 0 w 838200"/>
                <a:gd name="connsiteY23" fmla="*/ 228600 h 647700"/>
                <a:gd name="connsiteX24" fmla="*/ 0 w 838200"/>
                <a:gd name="connsiteY24" fmla="*/ 609600 h 647700"/>
                <a:gd name="connsiteX25" fmla="*/ 38100 w 838200"/>
                <a:gd name="connsiteY25" fmla="*/ 647700 h 647700"/>
                <a:gd name="connsiteX26" fmla="*/ 152400 w 838200"/>
                <a:gd name="connsiteY26" fmla="*/ 647700 h 647700"/>
                <a:gd name="connsiteX27" fmla="*/ 152400 w 838200"/>
                <a:gd name="connsiteY27" fmla="*/ 428625 h 647700"/>
                <a:gd name="connsiteX28" fmla="*/ 685800 w 838200"/>
                <a:gd name="connsiteY28" fmla="*/ 428625 h 647700"/>
                <a:gd name="connsiteX29" fmla="*/ 685800 w 838200"/>
                <a:gd name="connsiteY29" fmla="*/ 647700 h 647700"/>
                <a:gd name="connsiteX30" fmla="*/ 800100 w 838200"/>
                <a:gd name="connsiteY30" fmla="*/ 647700 h 647700"/>
                <a:gd name="connsiteX31" fmla="*/ 838200 w 838200"/>
                <a:gd name="connsiteY31" fmla="*/ 609600 h 647700"/>
                <a:gd name="connsiteX32" fmla="*/ 838200 w 838200"/>
                <a:gd name="connsiteY32" fmla="*/ 228600 h 647700"/>
                <a:gd name="connsiteX33" fmla="*/ 800100 w 838200"/>
                <a:gd name="connsiteY33" fmla="*/ 190500 h 6477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</a:cxnLst>
              <a:rect l="l" t="t" r="r" b="b"/>
              <a:pathLst>
                <a:path w="838200" h="647700">
                  <a:moveTo>
                    <a:pt x="590550" y="276225"/>
                  </a:moveTo>
                  <a:lnTo>
                    <a:pt x="247650" y="276225"/>
                  </a:lnTo>
                  <a:lnTo>
                    <a:pt x="247650" y="57150"/>
                  </a:lnTo>
                  <a:lnTo>
                    <a:pt x="457200" y="57150"/>
                  </a:lnTo>
                  <a:lnTo>
                    <a:pt x="457200" y="190500"/>
                  </a:lnTo>
                  <a:lnTo>
                    <a:pt x="590550" y="190500"/>
                  </a:lnTo>
                  <a:lnTo>
                    <a:pt x="590550" y="276225"/>
                  </a:lnTo>
                  <a:close/>
                  <a:moveTo>
                    <a:pt x="514350" y="60960"/>
                  </a:moveTo>
                  <a:lnTo>
                    <a:pt x="580073" y="133350"/>
                  </a:lnTo>
                  <a:lnTo>
                    <a:pt x="514350" y="133350"/>
                  </a:lnTo>
                  <a:lnTo>
                    <a:pt x="514350" y="60960"/>
                  </a:lnTo>
                  <a:close/>
                  <a:moveTo>
                    <a:pt x="95250" y="323850"/>
                  </a:moveTo>
                  <a:cubicBezTo>
                    <a:pt x="74295" y="323850"/>
                    <a:pt x="57150" y="306705"/>
                    <a:pt x="57150" y="285750"/>
                  </a:cubicBezTo>
                  <a:cubicBezTo>
                    <a:pt x="57150" y="264795"/>
                    <a:pt x="74295" y="247650"/>
                    <a:pt x="95250" y="247650"/>
                  </a:cubicBezTo>
                  <a:cubicBezTo>
                    <a:pt x="116205" y="247650"/>
                    <a:pt x="133350" y="264795"/>
                    <a:pt x="133350" y="285750"/>
                  </a:cubicBezTo>
                  <a:cubicBezTo>
                    <a:pt x="133350" y="306705"/>
                    <a:pt x="116205" y="323850"/>
                    <a:pt x="95250" y="323850"/>
                  </a:cubicBezTo>
                  <a:close/>
                  <a:moveTo>
                    <a:pt x="800100" y="190500"/>
                  </a:moveTo>
                  <a:lnTo>
                    <a:pt x="647700" y="190500"/>
                  </a:lnTo>
                  <a:lnTo>
                    <a:pt x="647700" y="121920"/>
                  </a:lnTo>
                  <a:lnTo>
                    <a:pt x="536258" y="0"/>
                  </a:lnTo>
                  <a:lnTo>
                    <a:pt x="190500" y="0"/>
                  </a:lnTo>
                  <a:lnTo>
                    <a:pt x="190500" y="190500"/>
                  </a:lnTo>
                  <a:lnTo>
                    <a:pt x="38100" y="190500"/>
                  </a:lnTo>
                  <a:cubicBezTo>
                    <a:pt x="17145" y="190500"/>
                    <a:pt x="0" y="207645"/>
                    <a:pt x="0" y="228600"/>
                  </a:cubicBezTo>
                  <a:lnTo>
                    <a:pt x="0" y="609600"/>
                  </a:lnTo>
                  <a:cubicBezTo>
                    <a:pt x="0" y="630555"/>
                    <a:pt x="17145" y="647700"/>
                    <a:pt x="38100" y="647700"/>
                  </a:cubicBezTo>
                  <a:lnTo>
                    <a:pt x="152400" y="647700"/>
                  </a:lnTo>
                  <a:lnTo>
                    <a:pt x="152400" y="428625"/>
                  </a:lnTo>
                  <a:lnTo>
                    <a:pt x="685800" y="428625"/>
                  </a:lnTo>
                  <a:lnTo>
                    <a:pt x="685800" y="647700"/>
                  </a:lnTo>
                  <a:lnTo>
                    <a:pt x="800100" y="647700"/>
                  </a:lnTo>
                  <a:cubicBezTo>
                    <a:pt x="821055" y="647700"/>
                    <a:pt x="838200" y="630555"/>
                    <a:pt x="838200" y="609600"/>
                  </a:cubicBezTo>
                  <a:lnTo>
                    <a:pt x="838200" y="228600"/>
                  </a:lnTo>
                  <a:cubicBezTo>
                    <a:pt x="838200" y="207645"/>
                    <a:pt x="821055" y="190500"/>
                    <a:pt x="800100" y="190500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</xdr:grpSp>
      <xdr:sp macro="" textlink="">
        <xdr:nvSpPr>
          <xdr:cNvPr id="20" name="Retângulo 1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9D786514-4313-CA70-DA8D-1D0DF98BFE36}"/>
              </a:ext>
            </a:extLst>
          </xdr:cNvPr>
          <xdr:cNvSpPr/>
        </xdr:nvSpPr>
        <xdr:spPr>
          <a:xfrm>
            <a:off x="8064717" y="368985"/>
            <a:ext cx="1726298" cy="1947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 baseline="0">
                <a:solidFill>
                  <a:srgbClr val="797979"/>
                </a:solidFill>
              </a:rPr>
              <a:t> ENDIVIDAMENTO</a:t>
            </a:r>
            <a:endParaRPr lang="pt-BR" sz="1100" b="1" i="0">
              <a:solidFill>
                <a:srgbClr val="797979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2" name="Imagem 21">
                <a:extLst>
                  <a:ext uri="{FF2B5EF4-FFF2-40B4-BE49-F238E27FC236}">
                    <a16:creationId xmlns:a16="http://schemas.microsoft.com/office/drawing/2014/main" id="{27ACF46C-CF21-B747-3479-D9F3C37C776D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MENU!$F$2" spid="_x0000_s4240"/>
                  </a:ext>
                </a:extLst>
              </xdr:cNvPicPr>
            </xdr:nvPicPr>
            <xdr:blipFill rotWithShape="1">
              <a:blip xmlns:r="http://schemas.openxmlformats.org/officeDocument/2006/relationships" r:embed="rId12"/>
              <a:srcRect b="4887"/>
              <a:stretch>
                <a:fillRect/>
              </a:stretch>
            </xdr:blipFill>
            <xdr:spPr>
              <a:xfrm rot="5400000">
                <a:off x="102577" y="-102577"/>
                <a:ext cx="573778" cy="778932"/>
              </a:xfrm>
              <a:prstGeom prst="rect">
                <a:avLst/>
              </a:prstGeom>
              <a:ln>
                <a:noFill/>
              </a:ln>
            </xdr:spPr>
          </xdr:pic>
        </mc:Choice>
        <mc:Fallback xmlns=""/>
      </mc:AlternateContent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333375</xdr:colOff>
      <xdr:row>3</xdr:row>
      <xdr:rowOff>9525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81065A12-B379-409F-A59C-5E154B38C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0"/>
          <a:ext cx="742950" cy="6191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776549</xdr:colOff>
      <xdr:row>2</xdr:row>
      <xdr:rowOff>12861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977F1DF-2DC2-441C-9710-47CF853F583A}"/>
            </a:ext>
          </a:extLst>
        </xdr:cNvPr>
        <xdr:cNvGrpSpPr/>
      </xdr:nvGrpSpPr>
      <xdr:grpSpPr>
        <a:xfrm>
          <a:off x="0" y="0"/>
          <a:ext cx="13453159" cy="578605"/>
          <a:chOff x="0" y="0"/>
          <a:chExt cx="12482774" cy="573778"/>
        </a:xfrm>
      </xdr:grpSpPr>
      <xdr:sp macro="[0]!Salvar" textlink="">
        <xdr:nvSpPr>
          <xdr:cNvPr id="3" name="Retângulo Arredondado 1">
            <a:extLst>
              <a:ext uri="{FF2B5EF4-FFF2-40B4-BE49-F238E27FC236}">
                <a16:creationId xmlns:a16="http://schemas.microsoft.com/office/drawing/2014/main" id="{FEC81529-F3F4-6D7B-DAD2-22AC8860BFF7}"/>
              </a:ext>
            </a:extLst>
          </xdr:cNvPr>
          <xdr:cNvSpPr/>
        </xdr:nvSpPr>
        <xdr:spPr>
          <a:xfrm>
            <a:off x="10722383" y="66578"/>
            <a:ext cx="885827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SALVAR</a:t>
            </a:r>
          </a:p>
        </xdr:txBody>
      </xdr:sp>
      <xdr:sp macro="" textlink="">
        <xdr:nvSpPr>
          <xdr:cNvPr id="4" name="Retângulo Arredondado 2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ED9506-A150-5FD2-FDDF-091548E14B54}"/>
              </a:ext>
            </a:extLst>
          </xdr:cNvPr>
          <xdr:cNvSpPr/>
        </xdr:nvSpPr>
        <xdr:spPr>
          <a:xfrm>
            <a:off x="9852183" y="66578"/>
            <a:ext cx="842402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MENU</a:t>
            </a:r>
          </a:p>
        </xdr:txBody>
      </xdr:sp>
      <xdr:sp macro="[0]!workbook_close" textlink="">
        <xdr:nvSpPr>
          <xdr:cNvPr id="5" name="Seta: para Baixo 28">
            <a:extLst>
              <a:ext uri="{FF2B5EF4-FFF2-40B4-BE49-F238E27FC236}">
                <a16:creationId xmlns:a16="http://schemas.microsoft.com/office/drawing/2014/main" id="{2E64B571-718F-A3A2-84F0-1F262DF254ED}"/>
              </a:ext>
            </a:extLst>
          </xdr:cNvPr>
          <xdr:cNvSpPr/>
        </xdr:nvSpPr>
        <xdr:spPr>
          <a:xfrm>
            <a:off x="11913183" y="66578"/>
            <a:ext cx="236283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workbook_open" textlink="">
        <xdr:nvSpPr>
          <xdr:cNvPr id="6" name="Seta: para Baixo 29">
            <a:extLst>
              <a:ext uri="{FF2B5EF4-FFF2-40B4-BE49-F238E27FC236}">
                <a16:creationId xmlns:a16="http://schemas.microsoft.com/office/drawing/2014/main" id="{0EF55935-C930-1BAE-B1ED-638A9393C6D4}"/>
              </a:ext>
            </a:extLst>
          </xdr:cNvPr>
          <xdr:cNvSpPr/>
        </xdr:nvSpPr>
        <xdr:spPr>
          <a:xfrm rot="10800000">
            <a:off x="11691604" y="38044"/>
            <a:ext cx="240111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09E9F3D-5826-28A6-952A-11106A868D34}"/>
              </a:ext>
            </a:extLst>
          </xdr:cNvPr>
          <xdr:cNvSpPr/>
        </xdr:nvSpPr>
        <xdr:spPr>
          <a:xfrm>
            <a:off x="5646945" y="373482"/>
            <a:ext cx="240623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DEM. PLANO DE CONTAS (REC E</a:t>
            </a:r>
            <a:r>
              <a:rPr lang="pt-BR" sz="1100" b="1" i="0" baseline="0">
                <a:solidFill>
                  <a:srgbClr val="797979"/>
                </a:solidFill>
              </a:rPr>
              <a:t> DESP)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8" name="Retângulo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3A90CBC-C199-330B-5F65-065BA75C5668}"/>
              </a:ext>
            </a:extLst>
          </xdr:cNvPr>
          <xdr:cNvSpPr/>
        </xdr:nvSpPr>
        <xdr:spPr>
          <a:xfrm>
            <a:off x="1616796" y="373482"/>
            <a:ext cx="719291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CLIENTES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DC4104B-C2BE-E0D2-839B-3D4425932D73}"/>
              </a:ext>
            </a:extLst>
          </xdr:cNvPr>
          <xdr:cNvSpPr/>
        </xdr:nvSpPr>
        <xdr:spPr>
          <a:xfrm>
            <a:off x="2349309" y="373482"/>
            <a:ext cx="1207772" cy="19051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chemeClr val="accent2"/>
                </a:solidFill>
              </a:rPr>
              <a:t>FORNECEDORES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8818145-F446-A2B4-F91E-9D46716C0199}"/>
              </a:ext>
            </a:extLst>
          </xdr:cNvPr>
          <xdr:cNvSpPr/>
        </xdr:nvSpPr>
        <xdr:spPr>
          <a:xfrm>
            <a:off x="768950" y="373482"/>
            <a:ext cx="827184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EMPRESAS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EAEE65B-FEDB-C014-D5F0-593975B3D5B1}"/>
              </a:ext>
            </a:extLst>
          </xdr:cNvPr>
          <xdr:cNvSpPr/>
        </xdr:nvSpPr>
        <xdr:spPr>
          <a:xfrm>
            <a:off x="3566856" y="373482"/>
            <a:ext cx="685443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BANCOS</a:t>
            </a:r>
          </a:p>
        </xdr:txBody>
      </xdr:sp>
      <xdr:sp macro="" textlink="">
        <xdr:nvSpPr>
          <xdr:cNvPr id="12" name="Retângulo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EF9DD4F-CB64-F7C9-0FD3-B84DDA1F57E4}"/>
              </a:ext>
            </a:extLst>
          </xdr:cNvPr>
          <xdr:cNvSpPr/>
        </xdr:nvSpPr>
        <xdr:spPr>
          <a:xfrm>
            <a:off x="4266525" y="373482"/>
            <a:ext cx="136665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CENTRO</a:t>
            </a:r>
            <a:r>
              <a:rPr lang="pt-BR" sz="1100" b="1" i="0" baseline="0">
                <a:solidFill>
                  <a:srgbClr val="797979"/>
                </a:solidFill>
              </a:rPr>
              <a:t> DE CUSTOS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13" name="Retângulo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AF8E3F6-4BCC-B478-A815-F701D9CCB204}"/>
              </a:ext>
            </a:extLst>
          </xdr:cNvPr>
          <xdr:cNvSpPr/>
        </xdr:nvSpPr>
        <xdr:spPr>
          <a:xfrm>
            <a:off x="768950" y="0"/>
            <a:ext cx="935078" cy="312742"/>
          </a:xfrm>
          <a:prstGeom prst="rect">
            <a:avLst/>
          </a:prstGeom>
          <a:solidFill>
            <a:srgbClr val="EBEBE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accent1"/>
                </a:solidFill>
              </a:rPr>
              <a:t>CADASTROS</a:t>
            </a:r>
          </a:p>
        </xdr:txBody>
      </xdr:sp>
      <xdr:sp macro="" textlink="">
        <xdr:nvSpPr>
          <xdr:cNvPr id="14" name="Retângulo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9B32CB4-F753-3FC8-807D-28AD64819AF9}"/>
              </a:ext>
            </a:extLst>
          </xdr:cNvPr>
          <xdr:cNvSpPr/>
        </xdr:nvSpPr>
        <xdr:spPr>
          <a:xfrm>
            <a:off x="1712050" y="0"/>
            <a:ext cx="1150865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LANÇAMENTOS</a:t>
            </a:r>
          </a:p>
        </xdr:txBody>
      </xdr:sp>
      <xdr:sp macro="" textlink="">
        <xdr:nvSpPr>
          <xdr:cNvPr id="15" name="Retângulo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CBAC516-32E9-BD09-F8BC-BFE721E832A4}"/>
              </a:ext>
            </a:extLst>
          </xdr:cNvPr>
          <xdr:cNvSpPr/>
        </xdr:nvSpPr>
        <xdr:spPr>
          <a:xfrm>
            <a:off x="2875769" y="0"/>
            <a:ext cx="973159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RELATÓRIOSS</a:t>
            </a:r>
          </a:p>
        </xdr:txBody>
      </xdr:sp>
      <xdr:sp macro="" textlink="">
        <xdr:nvSpPr>
          <xdr:cNvPr id="16" name="Retângulo 1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E2DCA243-7C5E-00F9-D536-B3EEE8C3D3C0}"/>
              </a:ext>
            </a:extLst>
          </xdr:cNvPr>
          <xdr:cNvSpPr/>
        </xdr:nvSpPr>
        <xdr:spPr>
          <a:xfrm>
            <a:off x="3851425" y="0"/>
            <a:ext cx="971043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DASHBOARD</a:t>
            </a:r>
          </a:p>
        </xdr:txBody>
      </xdr:sp>
      <xdr:sp macro="[0]!Adicionar_linha" textlink="">
        <xdr:nvSpPr>
          <xdr:cNvPr id="17" name="Retângulo Arredondado 20">
            <a:extLst>
              <a:ext uri="{FF2B5EF4-FFF2-40B4-BE49-F238E27FC236}">
                <a16:creationId xmlns:a16="http://schemas.microsoft.com/office/drawing/2014/main" id="{0A39F6B5-6254-1698-BA2C-20D42C3B1871}"/>
              </a:ext>
            </a:extLst>
          </xdr:cNvPr>
          <xdr:cNvSpPr/>
        </xdr:nvSpPr>
        <xdr:spPr>
          <a:xfrm>
            <a:off x="7071820" y="73756"/>
            <a:ext cx="146819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00B050"/>
                </a:solidFill>
              </a:rPr>
              <a:t>+</a:t>
            </a:r>
            <a:r>
              <a:rPr lang="pt-BR" sz="1100" b="1">
                <a:solidFill>
                  <a:schemeClr val="accent1"/>
                </a:solidFill>
              </a:rPr>
              <a:t>) ADICIONAR</a:t>
            </a:r>
            <a:r>
              <a:rPr lang="pt-BR" sz="1100" b="1" baseline="0">
                <a:solidFill>
                  <a:schemeClr val="accent1"/>
                </a:solidFill>
              </a:rPr>
              <a:t>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sp macro="[0]!Excluir_Linha" textlink="">
        <xdr:nvSpPr>
          <xdr:cNvPr id="18" name="Retângulo Arredondado 20">
            <a:extLst>
              <a:ext uri="{FF2B5EF4-FFF2-40B4-BE49-F238E27FC236}">
                <a16:creationId xmlns:a16="http://schemas.microsoft.com/office/drawing/2014/main" id="{2B7599EF-3CC9-D9BE-27B7-571057035353}"/>
              </a:ext>
            </a:extLst>
          </xdr:cNvPr>
          <xdr:cNvSpPr/>
        </xdr:nvSpPr>
        <xdr:spPr>
          <a:xfrm>
            <a:off x="8558622" y="73756"/>
            <a:ext cx="125875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FF0000"/>
                </a:solidFill>
              </a:rPr>
              <a:t>-</a:t>
            </a:r>
            <a:r>
              <a:rPr lang="pt-BR" sz="1100" b="1">
                <a:solidFill>
                  <a:schemeClr val="accent1"/>
                </a:solidFill>
              </a:rPr>
              <a:t>) EXCLUI</a:t>
            </a:r>
            <a:r>
              <a:rPr lang="pt-BR" sz="1100" b="1" baseline="0">
                <a:solidFill>
                  <a:schemeClr val="accent1"/>
                </a:solidFill>
              </a:rPr>
              <a:t>R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grpSp>
        <xdr:nvGrpSpPr>
          <xdr:cNvPr id="19" name="Gráfico 2" descr="Impressora">
            <a:extLst>
              <a:ext uri="{FF2B5EF4-FFF2-40B4-BE49-F238E27FC236}">
                <a16:creationId xmlns:a16="http://schemas.microsoft.com/office/drawing/2014/main" id="{8C08E784-B331-398C-6672-4D5615F3D3E2}"/>
              </a:ext>
            </a:extLst>
          </xdr:cNvPr>
          <xdr:cNvGrpSpPr/>
        </xdr:nvGrpSpPr>
        <xdr:grpSpPr>
          <a:xfrm>
            <a:off x="12201802" y="0"/>
            <a:ext cx="280972" cy="288471"/>
            <a:chOff x="0" y="0"/>
            <a:chExt cx="914400" cy="914400"/>
          </a:xfrm>
          <a:solidFill>
            <a:schemeClr val="bg1"/>
          </a:solidFill>
        </xdr:grpSpPr>
        <xdr:sp macro="[0]!Imprimir" textlink="">
          <xdr:nvSpPr>
            <xdr:cNvPr id="23" name="Forma Livre: Forma 22">
              <a:extLst>
                <a:ext uri="{FF2B5EF4-FFF2-40B4-BE49-F238E27FC236}">
                  <a16:creationId xmlns:a16="http://schemas.microsoft.com/office/drawing/2014/main" id="{07ADBD93-4718-1113-6362-87DABA5DB395}"/>
                </a:ext>
              </a:extLst>
            </xdr:cNvPr>
            <xdr:cNvSpPr/>
          </xdr:nvSpPr>
          <xdr:spPr>
            <a:xfrm>
              <a:off x="228600" y="538163"/>
              <a:ext cx="447675" cy="304800"/>
            </a:xfrm>
            <a:custGeom>
              <a:avLst/>
              <a:gdLst>
                <a:gd name="connsiteX0" fmla="*/ 400050 w 447675"/>
                <a:gd name="connsiteY0" fmla="*/ 57150 h 304800"/>
                <a:gd name="connsiteX1" fmla="*/ 399098 w 447675"/>
                <a:gd name="connsiteY1" fmla="*/ 247650 h 304800"/>
                <a:gd name="connsiteX2" fmla="*/ 59055 w 447675"/>
                <a:gd name="connsiteY2" fmla="*/ 247650 h 304800"/>
                <a:gd name="connsiteX3" fmla="*/ 57150 w 447675"/>
                <a:gd name="connsiteY3" fmla="*/ 57150 h 304800"/>
                <a:gd name="connsiteX4" fmla="*/ 400050 w 447675"/>
                <a:gd name="connsiteY4" fmla="*/ 57150 h 304800"/>
                <a:gd name="connsiteX5" fmla="*/ 1905 w 447675"/>
                <a:gd name="connsiteY5" fmla="*/ 304800 h 304800"/>
                <a:gd name="connsiteX6" fmla="*/ 455295 w 447675"/>
                <a:gd name="connsiteY6" fmla="*/ 304800 h 304800"/>
                <a:gd name="connsiteX7" fmla="*/ 456248 w 447675"/>
                <a:gd name="connsiteY7" fmla="*/ 0 h 304800"/>
                <a:gd name="connsiteX8" fmla="*/ 0 w 447675"/>
                <a:gd name="connsiteY8" fmla="*/ 0 h 304800"/>
                <a:gd name="connsiteX9" fmla="*/ 1905 w 447675"/>
                <a:gd name="connsiteY9" fmla="*/ 304800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47675" h="304800">
                  <a:moveTo>
                    <a:pt x="400050" y="57150"/>
                  </a:moveTo>
                  <a:lnTo>
                    <a:pt x="399098" y="247650"/>
                  </a:lnTo>
                  <a:lnTo>
                    <a:pt x="59055" y="247650"/>
                  </a:lnTo>
                  <a:lnTo>
                    <a:pt x="57150" y="57150"/>
                  </a:lnTo>
                  <a:lnTo>
                    <a:pt x="400050" y="57150"/>
                  </a:lnTo>
                  <a:close/>
                  <a:moveTo>
                    <a:pt x="1905" y="304800"/>
                  </a:moveTo>
                  <a:lnTo>
                    <a:pt x="455295" y="304800"/>
                  </a:lnTo>
                  <a:lnTo>
                    <a:pt x="456248" y="0"/>
                  </a:lnTo>
                  <a:lnTo>
                    <a:pt x="0" y="0"/>
                  </a:lnTo>
                  <a:lnTo>
                    <a:pt x="1905" y="3048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4" name="Forma Livre: Forma 23">
              <a:extLst>
                <a:ext uri="{FF2B5EF4-FFF2-40B4-BE49-F238E27FC236}">
                  <a16:creationId xmlns:a16="http://schemas.microsoft.com/office/drawing/2014/main" id="{FD680F0E-404E-8659-D113-0EFF7060CB95}"/>
                </a:ext>
              </a:extLst>
            </xdr:cNvPr>
            <xdr:cNvSpPr/>
          </xdr:nvSpPr>
          <xdr:spPr>
            <a:xfrm>
              <a:off x="361950" y="6334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5" name="Forma Livre: Forma 24">
              <a:extLst>
                <a:ext uri="{FF2B5EF4-FFF2-40B4-BE49-F238E27FC236}">
                  <a16:creationId xmlns:a16="http://schemas.microsoft.com/office/drawing/2014/main" id="{EE740B44-CE15-336C-E8F0-F7A29498CA7B}"/>
                </a:ext>
              </a:extLst>
            </xdr:cNvPr>
            <xdr:cNvSpPr/>
          </xdr:nvSpPr>
          <xdr:spPr>
            <a:xfrm>
              <a:off x="361950" y="7096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6" name="Forma Livre: Forma 25">
              <a:extLst>
                <a:ext uri="{FF2B5EF4-FFF2-40B4-BE49-F238E27FC236}">
                  <a16:creationId xmlns:a16="http://schemas.microsoft.com/office/drawing/2014/main" id="{C444605E-33A5-C3DB-2A1F-743520E20290}"/>
                </a:ext>
              </a:extLst>
            </xdr:cNvPr>
            <xdr:cNvSpPr/>
          </xdr:nvSpPr>
          <xdr:spPr>
            <a:xfrm>
              <a:off x="38100" y="76200"/>
              <a:ext cx="838200" cy="647700"/>
            </a:xfrm>
            <a:custGeom>
              <a:avLst/>
              <a:gdLst>
                <a:gd name="connsiteX0" fmla="*/ 590550 w 838200"/>
                <a:gd name="connsiteY0" fmla="*/ 276225 h 647700"/>
                <a:gd name="connsiteX1" fmla="*/ 247650 w 838200"/>
                <a:gd name="connsiteY1" fmla="*/ 276225 h 647700"/>
                <a:gd name="connsiteX2" fmla="*/ 247650 w 838200"/>
                <a:gd name="connsiteY2" fmla="*/ 57150 h 647700"/>
                <a:gd name="connsiteX3" fmla="*/ 457200 w 838200"/>
                <a:gd name="connsiteY3" fmla="*/ 57150 h 647700"/>
                <a:gd name="connsiteX4" fmla="*/ 457200 w 838200"/>
                <a:gd name="connsiteY4" fmla="*/ 190500 h 647700"/>
                <a:gd name="connsiteX5" fmla="*/ 590550 w 838200"/>
                <a:gd name="connsiteY5" fmla="*/ 190500 h 647700"/>
                <a:gd name="connsiteX6" fmla="*/ 590550 w 838200"/>
                <a:gd name="connsiteY6" fmla="*/ 276225 h 647700"/>
                <a:gd name="connsiteX7" fmla="*/ 514350 w 838200"/>
                <a:gd name="connsiteY7" fmla="*/ 60960 h 647700"/>
                <a:gd name="connsiteX8" fmla="*/ 580073 w 838200"/>
                <a:gd name="connsiteY8" fmla="*/ 133350 h 647700"/>
                <a:gd name="connsiteX9" fmla="*/ 514350 w 838200"/>
                <a:gd name="connsiteY9" fmla="*/ 133350 h 647700"/>
                <a:gd name="connsiteX10" fmla="*/ 514350 w 838200"/>
                <a:gd name="connsiteY10" fmla="*/ 60960 h 647700"/>
                <a:gd name="connsiteX11" fmla="*/ 95250 w 838200"/>
                <a:gd name="connsiteY11" fmla="*/ 323850 h 647700"/>
                <a:gd name="connsiteX12" fmla="*/ 57150 w 838200"/>
                <a:gd name="connsiteY12" fmla="*/ 285750 h 647700"/>
                <a:gd name="connsiteX13" fmla="*/ 95250 w 838200"/>
                <a:gd name="connsiteY13" fmla="*/ 247650 h 647700"/>
                <a:gd name="connsiteX14" fmla="*/ 133350 w 838200"/>
                <a:gd name="connsiteY14" fmla="*/ 285750 h 647700"/>
                <a:gd name="connsiteX15" fmla="*/ 95250 w 838200"/>
                <a:gd name="connsiteY15" fmla="*/ 323850 h 647700"/>
                <a:gd name="connsiteX16" fmla="*/ 800100 w 838200"/>
                <a:gd name="connsiteY16" fmla="*/ 190500 h 647700"/>
                <a:gd name="connsiteX17" fmla="*/ 647700 w 838200"/>
                <a:gd name="connsiteY17" fmla="*/ 190500 h 647700"/>
                <a:gd name="connsiteX18" fmla="*/ 647700 w 838200"/>
                <a:gd name="connsiteY18" fmla="*/ 121920 h 647700"/>
                <a:gd name="connsiteX19" fmla="*/ 536258 w 838200"/>
                <a:gd name="connsiteY19" fmla="*/ 0 h 647700"/>
                <a:gd name="connsiteX20" fmla="*/ 190500 w 838200"/>
                <a:gd name="connsiteY20" fmla="*/ 0 h 647700"/>
                <a:gd name="connsiteX21" fmla="*/ 190500 w 838200"/>
                <a:gd name="connsiteY21" fmla="*/ 190500 h 647700"/>
                <a:gd name="connsiteX22" fmla="*/ 38100 w 838200"/>
                <a:gd name="connsiteY22" fmla="*/ 190500 h 647700"/>
                <a:gd name="connsiteX23" fmla="*/ 0 w 838200"/>
                <a:gd name="connsiteY23" fmla="*/ 228600 h 647700"/>
                <a:gd name="connsiteX24" fmla="*/ 0 w 838200"/>
                <a:gd name="connsiteY24" fmla="*/ 609600 h 647700"/>
                <a:gd name="connsiteX25" fmla="*/ 38100 w 838200"/>
                <a:gd name="connsiteY25" fmla="*/ 647700 h 647700"/>
                <a:gd name="connsiteX26" fmla="*/ 152400 w 838200"/>
                <a:gd name="connsiteY26" fmla="*/ 647700 h 647700"/>
                <a:gd name="connsiteX27" fmla="*/ 152400 w 838200"/>
                <a:gd name="connsiteY27" fmla="*/ 428625 h 647700"/>
                <a:gd name="connsiteX28" fmla="*/ 685800 w 838200"/>
                <a:gd name="connsiteY28" fmla="*/ 428625 h 647700"/>
                <a:gd name="connsiteX29" fmla="*/ 685800 w 838200"/>
                <a:gd name="connsiteY29" fmla="*/ 647700 h 647700"/>
                <a:gd name="connsiteX30" fmla="*/ 800100 w 838200"/>
                <a:gd name="connsiteY30" fmla="*/ 647700 h 647700"/>
                <a:gd name="connsiteX31" fmla="*/ 838200 w 838200"/>
                <a:gd name="connsiteY31" fmla="*/ 609600 h 647700"/>
                <a:gd name="connsiteX32" fmla="*/ 838200 w 838200"/>
                <a:gd name="connsiteY32" fmla="*/ 228600 h 647700"/>
                <a:gd name="connsiteX33" fmla="*/ 800100 w 838200"/>
                <a:gd name="connsiteY33" fmla="*/ 190500 h 6477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</a:cxnLst>
              <a:rect l="l" t="t" r="r" b="b"/>
              <a:pathLst>
                <a:path w="838200" h="647700">
                  <a:moveTo>
                    <a:pt x="590550" y="276225"/>
                  </a:moveTo>
                  <a:lnTo>
                    <a:pt x="247650" y="276225"/>
                  </a:lnTo>
                  <a:lnTo>
                    <a:pt x="247650" y="57150"/>
                  </a:lnTo>
                  <a:lnTo>
                    <a:pt x="457200" y="57150"/>
                  </a:lnTo>
                  <a:lnTo>
                    <a:pt x="457200" y="190500"/>
                  </a:lnTo>
                  <a:lnTo>
                    <a:pt x="590550" y="190500"/>
                  </a:lnTo>
                  <a:lnTo>
                    <a:pt x="590550" y="276225"/>
                  </a:lnTo>
                  <a:close/>
                  <a:moveTo>
                    <a:pt x="514350" y="60960"/>
                  </a:moveTo>
                  <a:lnTo>
                    <a:pt x="580073" y="133350"/>
                  </a:lnTo>
                  <a:lnTo>
                    <a:pt x="514350" y="133350"/>
                  </a:lnTo>
                  <a:lnTo>
                    <a:pt x="514350" y="60960"/>
                  </a:lnTo>
                  <a:close/>
                  <a:moveTo>
                    <a:pt x="95250" y="323850"/>
                  </a:moveTo>
                  <a:cubicBezTo>
                    <a:pt x="74295" y="323850"/>
                    <a:pt x="57150" y="306705"/>
                    <a:pt x="57150" y="285750"/>
                  </a:cubicBezTo>
                  <a:cubicBezTo>
                    <a:pt x="57150" y="264795"/>
                    <a:pt x="74295" y="247650"/>
                    <a:pt x="95250" y="247650"/>
                  </a:cubicBezTo>
                  <a:cubicBezTo>
                    <a:pt x="116205" y="247650"/>
                    <a:pt x="133350" y="264795"/>
                    <a:pt x="133350" y="285750"/>
                  </a:cubicBezTo>
                  <a:cubicBezTo>
                    <a:pt x="133350" y="306705"/>
                    <a:pt x="116205" y="323850"/>
                    <a:pt x="95250" y="323850"/>
                  </a:cubicBezTo>
                  <a:close/>
                  <a:moveTo>
                    <a:pt x="800100" y="190500"/>
                  </a:moveTo>
                  <a:lnTo>
                    <a:pt x="647700" y="190500"/>
                  </a:lnTo>
                  <a:lnTo>
                    <a:pt x="647700" y="121920"/>
                  </a:lnTo>
                  <a:lnTo>
                    <a:pt x="536258" y="0"/>
                  </a:lnTo>
                  <a:lnTo>
                    <a:pt x="190500" y="0"/>
                  </a:lnTo>
                  <a:lnTo>
                    <a:pt x="190500" y="190500"/>
                  </a:lnTo>
                  <a:lnTo>
                    <a:pt x="38100" y="190500"/>
                  </a:lnTo>
                  <a:cubicBezTo>
                    <a:pt x="17145" y="190500"/>
                    <a:pt x="0" y="207645"/>
                    <a:pt x="0" y="228600"/>
                  </a:cubicBezTo>
                  <a:lnTo>
                    <a:pt x="0" y="609600"/>
                  </a:lnTo>
                  <a:cubicBezTo>
                    <a:pt x="0" y="630555"/>
                    <a:pt x="17145" y="647700"/>
                    <a:pt x="38100" y="647700"/>
                  </a:cubicBezTo>
                  <a:lnTo>
                    <a:pt x="152400" y="647700"/>
                  </a:lnTo>
                  <a:lnTo>
                    <a:pt x="152400" y="428625"/>
                  </a:lnTo>
                  <a:lnTo>
                    <a:pt x="685800" y="428625"/>
                  </a:lnTo>
                  <a:lnTo>
                    <a:pt x="685800" y="647700"/>
                  </a:lnTo>
                  <a:lnTo>
                    <a:pt x="800100" y="647700"/>
                  </a:lnTo>
                  <a:cubicBezTo>
                    <a:pt x="821055" y="647700"/>
                    <a:pt x="838200" y="630555"/>
                    <a:pt x="838200" y="609600"/>
                  </a:cubicBezTo>
                  <a:lnTo>
                    <a:pt x="838200" y="228600"/>
                  </a:lnTo>
                  <a:cubicBezTo>
                    <a:pt x="838200" y="207645"/>
                    <a:pt x="821055" y="190500"/>
                    <a:pt x="800100" y="190500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</xdr:grpSp>
      <xdr:sp macro="" textlink="">
        <xdr:nvSpPr>
          <xdr:cNvPr id="20" name="Retângulo 1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C6B40F3-219B-7BDF-4849-C309F259B8D7}"/>
              </a:ext>
            </a:extLst>
          </xdr:cNvPr>
          <xdr:cNvSpPr/>
        </xdr:nvSpPr>
        <xdr:spPr>
          <a:xfrm>
            <a:off x="8064717" y="368985"/>
            <a:ext cx="1726298" cy="1947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ENDIVIDAMDENTO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2" name="Imagem 21">
                <a:extLst>
                  <a:ext uri="{FF2B5EF4-FFF2-40B4-BE49-F238E27FC236}">
                    <a16:creationId xmlns:a16="http://schemas.microsoft.com/office/drawing/2014/main" id="{A826C382-EE6A-5CC9-FB4E-72ED77B33195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MENU!$F$2" spid="_x0000_s5264"/>
                  </a:ext>
                </a:extLst>
              </xdr:cNvPicPr>
            </xdr:nvPicPr>
            <xdr:blipFill rotWithShape="1">
              <a:blip xmlns:r="http://schemas.openxmlformats.org/officeDocument/2006/relationships" r:embed="rId12"/>
              <a:srcRect b="4887"/>
              <a:stretch>
                <a:fillRect/>
              </a:stretch>
            </xdr:blipFill>
            <xdr:spPr>
              <a:xfrm rot="5400000">
                <a:off x="102577" y="-102577"/>
                <a:ext cx="573778" cy="778932"/>
              </a:xfrm>
              <a:prstGeom prst="rect">
                <a:avLst/>
              </a:prstGeom>
              <a:ln>
                <a:noFill/>
              </a:ln>
            </xdr:spPr>
          </xdr:pic>
        </mc:Choice>
        <mc:Fallback xmlns=""/>
      </mc:AlternateContent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333375</xdr:colOff>
      <xdr:row>3</xdr:row>
      <xdr:rowOff>9525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252E2414-1BE6-4F04-8E80-18E92FF0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0"/>
          <a:ext cx="742950" cy="619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</xdr:col>
      <xdr:colOff>1205174</xdr:colOff>
      <xdr:row>2</xdr:row>
      <xdr:rowOff>12861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F18EFDC-BEC1-4626-B672-29E7B3840790}"/>
            </a:ext>
          </a:extLst>
        </xdr:cNvPr>
        <xdr:cNvGrpSpPr/>
      </xdr:nvGrpSpPr>
      <xdr:grpSpPr>
        <a:xfrm>
          <a:off x="0" y="0"/>
          <a:ext cx="13414716" cy="578605"/>
          <a:chOff x="0" y="0"/>
          <a:chExt cx="12482774" cy="573778"/>
        </a:xfrm>
      </xdr:grpSpPr>
      <xdr:sp macro="[0]!Salvar" textlink="">
        <xdr:nvSpPr>
          <xdr:cNvPr id="3" name="Retângulo Arredondado 1">
            <a:extLst>
              <a:ext uri="{FF2B5EF4-FFF2-40B4-BE49-F238E27FC236}">
                <a16:creationId xmlns:a16="http://schemas.microsoft.com/office/drawing/2014/main" id="{AE8640E8-F08B-56C1-9639-AFF254EF8BE0}"/>
              </a:ext>
            </a:extLst>
          </xdr:cNvPr>
          <xdr:cNvSpPr/>
        </xdr:nvSpPr>
        <xdr:spPr>
          <a:xfrm>
            <a:off x="10722383" y="66578"/>
            <a:ext cx="885827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SALVAR</a:t>
            </a:r>
          </a:p>
        </xdr:txBody>
      </xdr:sp>
      <xdr:sp macro="" textlink="">
        <xdr:nvSpPr>
          <xdr:cNvPr id="4" name="Retângulo Arredondado 2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2D6EF7-06F2-05F5-D39E-17D6CDFBF27D}"/>
              </a:ext>
            </a:extLst>
          </xdr:cNvPr>
          <xdr:cNvSpPr/>
        </xdr:nvSpPr>
        <xdr:spPr>
          <a:xfrm>
            <a:off x="9852183" y="66578"/>
            <a:ext cx="842402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MENU</a:t>
            </a:r>
          </a:p>
        </xdr:txBody>
      </xdr:sp>
      <xdr:sp macro="[0]!workbook_close" textlink="">
        <xdr:nvSpPr>
          <xdr:cNvPr id="5" name="Seta: para Baixo 28">
            <a:extLst>
              <a:ext uri="{FF2B5EF4-FFF2-40B4-BE49-F238E27FC236}">
                <a16:creationId xmlns:a16="http://schemas.microsoft.com/office/drawing/2014/main" id="{4FACA72B-5C67-56CB-EC38-E4469F4E95B0}"/>
              </a:ext>
            </a:extLst>
          </xdr:cNvPr>
          <xdr:cNvSpPr/>
        </xdr:nvSpPr>
        <xdr:spPr>
          <a:xfrm>
            <a:off x="11913183" y="66578"/>
            <a:ext cx="236283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workbook_open" textlink="">
        <xdr:nvSpPr>
          <xdr:cNvPr id="6" name="Seta: para Baixo 29">
            <a:extLst>
              <a:ext uri="{FF2B5EF4-FFF2-40B4-BE49-F238E27FC236}">
                <a16:creationId xmlns:a16="http://schemas.microsoft.com/office/drawing/2014/main" id="{7579615C-8C24-6DEE-F594-FCF693092E06}"/>
              </a:ext>
            </a:extLst>
          </xdr:cNvPr>
          <xdr:cNvSpPr/>
        </xdr:nvSpPr>
        <xdr:spPr>
          <a:xfrm rot="10800000">
            <a:off x="11691604" y="38044"/>
            <a:ext cx="240111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7AFFBBE-05FE-8B16-5FA5-5D50424B1A01}"/>
              </a:ext>
            </a:extLst>
          </xdr:cNvPr>
          <xdr:cNvSpPr/>
        </xdr:nvSpPr>
        <xdr:spPr>
          <a:xfrm>
            <a:off x="5646945" y="373482"/>
            <a:ext cx="240623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DEM. PLANO DE CONTAS (REC E</a:t>
            </a:r>
            <a:r>
              <a:rPr lang="pt-BR" sz="1100" b="1" i="0" baseline="0">
                <a:solidFill>
                  <a:srgbClr val="797979"/>
                </a:solidFill>
              </a:rPr>
              <a:t> DESP)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8" name="Retângulo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3B5302B-7E9E-2425-C037-D7278BF07F43}"/>
              </a:ext>
            </a:extLst>
          </xdr:cNvPr>
          <xdr:cNvSpPr/>
        </xdr:nvSpPr>
        <xdr:spPr>
          <a:xfrm>
            <a:off x="1616796" y="373482"/>
            <a:ext cx="719291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CLIENTES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69471C7-E330-1FC9-EA65-98266E6A3A0D}"/>
              </a:ext>
            </a:extLst>
          </xdr:cNvPr>
          <xdr:cNvSpPr/>
        </xdr:nvSpPr>
        <xdr:spPr>
          <a:xfrm>
            <a:off x="2349309" y="373482"/>
            <a:ext cx="120777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FORNECEDORES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8FB729E-54E3-7B37-B2CE-4449C64A230E}"/>
              </a:ext>
            </a:extLst>
          </xdr:cNvPr>
          <xdr:cNvSpPr/>
        </xdr:nvSpPr>
        <xdr:spPr>
          <a:xfrm>
            <a:off x="768950" y="373482"/>
            <a:ext cx="827184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EMPRESAS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738354B-6DAA-8C81-E571-6D3139306EB9}"/>
              </a:ext>
            </a:extLst>
          </xdr:cNvPr>
          <xdr:cNvSpPr/>
        </xdr:nvSpPr>
        <xdr:spPr>
          <a:xfrm>
            <a:off x="3566856" y="373482"/>
            <a:ext cx="685443" cy="19051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chemeClr val="accent2"/>
                </a:solidFill>
              </a:rPr>
              <a:t>BANCOS</a:t>
            </a:r>
          </a:p>
        </xdr:txBody>
      </xdr:sp>
      <xdr:sp macro="" textlink="">
        <xdr:nvSpPr>
          <xdr:cNvPr id="12" name="Retângulo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FA837588-E031-22A4-923A-72CB11808BBE}"/>
              </a:ext>
            </a:extLst>
          </xdr:cNvPr>
          <xdr:cNvSpPr/>
        </xdr:nvSpPr>
        <xdr:spPr>
          <a:xfrm>
            <a:off x="4266525" y="373482"/>
            <a:ext cx="136665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CENTRO</a:t>
            </a:r>
            <a:r>
              <a:rPr lang="pt-BR" sz="1100" b="1" i="0" baseline="0">
                <a:solidFill>
                  <a:srgbClr val="797979"/>
                </a:solidFill>
              </a:rPr>
              <a:t> DE CUSTOS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13" name="Retângulo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89F0341-DACD-D7A1-02B8-0B3A757F772F}"/>
              </a:ext>
            </a:extLst>
          </xdr:cNvPr>
          <xdr:cNvSpPr/>
        </xdr:nvSpPr>
        <xdr:spPr>
          <a:xfrm>
            <a:off x="768950" y="0"/>
            <a:ext cx="935078" cy="312742"/>
          </a:xfrm>
          <a:prstGeom prst="rect">
            <a:avLst/>
          </a:prstGeom>
          <a:solidFill>
            <a:srgbClr val="EBEBE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accent1"/>
                </a:solidFill>
              </a:rPr>
              <a:t>CADASTROS</a:t>
            </a:r>
          </a:p>
        </xdr:txBody>
      </xdr:sp>
      <xdr:sp macro="" textlink="">
        <xdr:nvSpPr>
          <xdr:cNvPr id="14" name="Retângulo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5E425C0-6181-7463-71DA-6C62B8F568B9}"/>
              </a:ext>
            </a:extLst>
          </xdr:cNvPr>
          <xdr:cNvSpPr/>
        </xdr:nvSpPr>
        <xdr:spPr>
          <a:xfrm>
            <a:off x="1712050" y="0"/>
            <a:ext cx="1150865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LANÇAMENTOS</a:t>
            </a:r>
          </a:p>
        </xdr:txBody>
      </xdr:sp>
      <xdr:sp macro="" textlink="">
        <xdr:nvSpPr>
          <xdr:cNvPr id="15" name="Retângulo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2D7B875-45CE-EB88-0177-025EE1F6E5BF}"/>
              </a:ext>
            </a:extLst>
          </xdr:cNvPr>
          <xdr:cNvSpPr/>
        </xdr:nvSpPr>
        <xdr:spPr>
          <a:xfrm>
            <a:off x="2875769" y="0"/>
            <a:ext cx="973159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RELATÓRIOSS</a:t>
            </a:r>
          </a:p>
        </xdr:txBody>
      </xdr:sp>
      <xdr:sp macro="" textlink="">
        <xdr:nvSpPr>
          <xdr:cNvPr id="16" name="Retângulo 1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34584A34-40F3-CE3B-CE2C-A4D9E8B5E9DB}"/>
              </a:ext>
            </a:extLst>
          </xdr:cNvPr>
          <xdr:cNvSpPr/>
        </xdr:nvSpPr>
        <xdr:spPr>
          <a:xfrm>
            <a:off x="3851425" y="0"/>
            <a:ext cx="971043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DASHBOARD</a:t>
            </a:r>
          </a:p>
        </xdr:txBody>
      </xdr:sp>
      <xdr:sp macro="[0]!Adicionar_linha" textlink="">
        <xdr:nvSpPr>
          <xdr:cNvPr id="17" name="Retângulo Arredondado 20">
            <a:extLst>
              <a:ext uri="{FF2B5EF4-FFF2-40B4-BE49-F238E27FC236}">
                <a16:creationId xmlns:a16="http://schemas.microsoft.com/office/drawing/2014/main" id="{CD9E56FC-7E77-30B0-9014-518496A82998}"/>
              </a:ext>
            </a:extLst>
          </xdr:cNvPr>
          <xdr:cNvSpPr/>
        </xdr:nvSpPr>
        <xdr:spPr>
          <a:xfrm>
            <a:off x="7071820" y="73756"/>
            <a:ext cx="146819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00B050"/>
                </a:solidFill>
              </a:rPr>
              <a:t>+</a:t>
            </a:r>
            <a:r>
              <a:rPr lang="pt-BR" sz="1100" b="1">
                <a:solidFill>
                  <a:schemeClr val="accent1"/>
                </a:solidFill>
              </a:rPr>
              <a:t>) ADICIONAR</a:t>
            </a:r>
            <a:r>
              <a:rPr lang="pt-BR" sz="1100" b="1" baseline="0">
                <a:solidFill>
                  <a:schemeClr val="accent1"/>
                </a:solidFill>
              </a:rPr>
              <a:t>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sp macro="[0]!Excluir_Linha" textlink="">
        <xdr:nvSpPr>
          <xdr:cNvPr id="18" name="Retângulo Arredondado 20">
            <a:extLst>
              <a:ext uri="{FF2B5EF4-FFF2-40B4-BE49-F238E27FC236}">
                <a16:creationId xmlns:a16="http://schemas.microsoft.com/office/drawing/2014/main" id="{BBFA8EA8-F76E-76EF-6957-6CB01DC715D2}"/>
              </a:ext>
            </a:extLst>
          </xdr:cNvPr>
          <xdr:cNvSpPr/>
        </xdr:nvSpPr>
        <xdr:spPr>
          <a:xfrm>
            <a:off x="8558622" y="73756"/>
            <a:ext cx="125875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FF0000"/>
                </a:solidFill>
              </a:rPr>
              <a:t>-</a:t>
            </a:r>
            <a:r>
              <a:rPr lang="pt-BR" sz="1100" b="1">
                <a:solidFill>
                  <a:schemeClr val="accent1"/>
                </a:solidFill>
              </a:rPr>
              <a:t>) EXCLUI</a:t>
            </a:r>
            <a:r>
              <a:rPr lang="pt-BR" sz="1100" b="1" baseline="0">
                <a:solidFill>
                  <a:schemeClr val="accent1"/>
                </a:solidFill>
              </a:rPr>
              <a:t>R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grpSp>
        <xdr:nvGrpSpPr>
          <xdr:cNvPr id="19" name="Gráfico 2" descr="Impressora">
            <a:extLst>
              <a:ext uri="{FF2B5EF4-FFF2-40B4-BE49-F238E27FC236}">
                <a16:creationId xmlns:a16="http://schemas.microsoft.com/office/drawing/2014/main" id="{13E445B4-7454-CE06-C565-E7B9056C85F2}"/>
              </a:ext>
            </a:extLst>
          </xdr:cNvPr>
          <xdr:cNvGrpSpPr/>
        </xdr:nvGrpSpPr>
        <xdr:grpSpPr>
          <a:xfrm>
            <a:off x="12201802" y="0"/>
            <a:ext cx="280972" cy="288471"/>
            <a:chOff x="0" y="0"/>
            <a:chExt cx="914400" cy="914400"/>
          </a:xfrm>
          <a:solidFill>
            <a:schemeClr val="bg1"/>
          </a:solidFill>
        </xdr:grpSpPr>
        <xdr:sp macro="[0]!Imprimir" textlink="">
          <xdr:nvSpPr>
            <xdr:cNvPr id="23" name="Forma Livre: Forma 22">
              <a:extLst>
                <a:ext uri="{FF2B5EF4-FFF2-40B4-BE49-F238E27FC236}">
                  <a16:creationId xmlns:a16="http://schemas.microsoft.com/office/drawing/2014/main" id="{A83A4306-95D4-F73C-DDC4-FAEBEB932A65}"/>
                </a:ext>
              </a:extLst>
            </xdr:cNvPr>
            <xdr:cNvSpPr/>
          </xdr:nvSpPr>
          <xdr:spPr>
            <a:xfrm>
              <a:off x="228600" y="538163"/>
              <a:ext cx="447675" cy="304800"/>
            </a:xfrm>
            <a:custGeom>
              <a:avLst/>
              <a:gdLst>
                <a:gd name="connsiteX0" fmla="*/ 400050 w 447675"/>
                <a:gd name="connsiteY0" fmla="*/ 57150 h 304800"/>
                <a:gd name="connsiteX1" fmla="*/ 399098 w 447675"/>
                <a:gd name="connsiteY1" fmla="*/ 247650 h 304800"/>
                <a:gd name="connsiteX2" fmla="*/ 59055 w 447675"/>
                <a:gd name="connsiteY2" fmla="*/ 247650 h 304800"/>
                <a:gd name="connsiteX3" fmla="*/ 57150 w 447675"/>
                <a:gd name="connsiteY3" fmla="*/ 57150 h 304800"/>
                <a:gd name="connsiteX4" fmla="*/ 400050 w 447675"/>
                <a:gd name="connsiteY4" fmla="*/ 57150 h 304800"/>
                <a:gd name="connsiteX5" fmla="*/ 1905 w 447675"/>
                <a:gd name="connsiteY5" fmla="*/ 304800 h 304800"/>
                <a:gd name="connsiteX6" fmla="*/ 455295 w 447675"/>
                <a:gd name="connsiteY6" fmla="*/ 304800 h 304800"/>
                <a:gd name="connsiteX7" fmla="*/ 456248 w 447675"/>
                <a:gd name="connsiteY7" fmla="*/ 0 h 304800"/>
                <a:gd name="connsiteX8" fmla="*/ 0 w 447675"/>
                <a:gd name="connsiteY8" fmla="*/ 0 h 304800"/>
                <a:gd name="connsiteX9" fmla="*/ 1905 w 447675"/>
                <a:gd name="connsiteY9" fmla="*/ 304800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47675" h="304800">
                  <a:moveTo>
                    <a:pt x="400050" y="57150"/>
                  </a:moveTo>
                  <a:lnTo>
                    <a:pt x="399098" y="247650"/>
                  </a:lnTo>
                  <a:lnTo>
                    <a:pt x="59055" y="247650"/>
                  </a:lnTo>
                  <a:lnTo>
                    <a:pt x="57150" y="57150"/>
                  </a:lnTo>
                  <a:lnTo>
                    <a:pt x="400050" y="57150"/>
                  </a:lnTo>
                  <a:close/>
                  <a:moveTo>
                    <a:pt x="1905" y="304800"/>
                  </a:moveTo>
                  <a:lnTo>
                    <a:pt x="455295" y="304800"/>
                  </a:lnTo>
                  <a:lnTo>
                    <a:pt x="456248" y="0"/>
                  </a:lnTo>
                  <a:lnTo>
                    <a:pt x="0" y="0"/>
                  </a:lnTo>
                  <a:lnTo>
                    <a:pt x="1905" y="3048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4" name="Forma Livre: Forma 23">
              <a:extLst>
                <a:ext uri="{FF2B5EF4-FFF2-40B4-BE49-F238E27FC236}">
                  <a16:creationId xmlns:a16="http://schemas.microsoft.com/office/drawing/2014/main" id="{99E9953F-9F75-FB67-EB6F-F3659394BE45}"/>
                </a:ext>
              </a:extLst>
            </xdr:cNvPr>
            <xdr:cNvSpPr/>
          </xdr:nvSpPr>
          <xdr:spPr>
            <a:xfrm>
              <a:off x="361950" y="6334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5" name="Forma Livre: Forma 24">
              <a:extLst>
                <a:ext uri="{FF2B5EF4-FFF2-40B4-BE49-F238E27FC236}">
                  <a16:creationId xmlns:a16="http://schemas.microsoft.com/office/drawing/2014/main" id="{1B051DF7-5CC9-169A-BFFB-C60895A29F7B}"/>
                </a:ext>
              </a:extLst>
            </xdr:cNvPr>
            <xdr:cNvSpPr/>
          </xdr:nvSpPr>
          <xdr:spPr>
            <a:xfrm>
              <a:off x="361950" y="7096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6" name="Forma Livre: Forma 25">
              <a:extLst>
                <a:ext uri="{FF2B5EF4-FFF2-40B4-BE49-F238E27FC236}">
                  <a16:creationId xmlns:a16="http://schemas.microsoft.com/office/drawing/2014/main" id="{096E7E5C-C3A2-CAB8-7B18-902E1CFBA9EC}"/>
                </a:ext>
              </a:extLst>
            </xdr:cNvPr>
            <xdr:cNvSpPr/>
          </xdr:nvSpPr>
          <xdr:spPr>
            <a:xfrm>
              <a:off x="38100" y="76200"/>
              <a:ext cx="838200" cy="647700"/>
            </a:xfrm>
            <a:custGeom>
              <a:avLst/>
              <a:gdLst>
                <a:gd name="connsiteX0" fmla="*/ 590550 w 838200"/>
                <a:gd name="connsiteY0" fmla="*/ 276225 h 647700"/>
                <a:gd name="connsiteX1" fmla="*/ 247650 w 838200"/>
                <a:gd name="connsiteY1" fmla="*/ 276225 h 647700"/>
                <a:gd name="connsiteX2" fmla="*/ 247650 w 838200"/>
                <a:gd name="connsiteY2" fmla="*/ 57150 h 647700"/>
                <a:gd name="connsiteX3" fmla="*/ 457200 w 838200"/>
                <a:gd name="connsiteY3" fmla="*/ 57150 h 647700"/>
                <a:gd name="connsiteX4" fmla="*/ 457200 w 838200"/>
                <a:gd name="connsiteY4" fmla="*/ 190500 h 647700"/>
                <a:gd name="connsiteX5" fmla="*/ 590550 w 838200"/>
                <a:gd name="connsiteY5" fmla="*/ 190500 h 647700"/>
                <a:gd name="connsiteX6" fmla="*/ 590550 w 838200"/>
                <a:gd name="connsiteY6" fmla="*/ 276225 h 647700"/>
                <a:gd name="connsiteX7" fmla="*/ 514350 w 838200"/>
                <a:gd name="connsiteY7" fmla="*/ 60960 h 647700"/>
                <a:gd name="connsiteX8" fmla="*/ 580073 w 838200"/>
                <a:gd name="connsiteY8" fmla="*/ 133350 h 647700"/>
                <a:gd name="connsiteX9" fmla="*/ 514350 w 838200"/>
                <a:gd name="connsiteY9" fmla="*/ 133350 h 647700"/>
                <a:gd name="connsiteX10" fmla="*/ 514350 w 838200"/>
                <a:gd name="connsiteY10" fmla="*/ 60960 h 647700"/>
                <a:gd name="connsiteX11" fmla="*/ 95250 w 838200"/>
                <a:gd name="connsiteY11" fmla="*/ 323850 h 647700"/>
                <a:gd name="connsiteX12" fmla="*/ 57150 w 838200"/>
                <a:gd name="connsiteY12" fmla="*/ 285750 h 647700"/>
                <a:gd name="connsiteX13" fmla="*/ 95250 w 838200"/>
                <a:gd name="connsiteY13" fmla="*/ 247650 h 647700"/>
                <a:gd name="connsiteX14" fmla="*/ 133350 w 838200"/>
                <a:gd name="connsiteY14" fmla="*/ 285750 h 647700"/>
                <a:gd name="connsiteX15" fmla="*/ 95250 w 838200"/>
                <a:gd name="connsiteY15" fmla="*/ 323850 h 647700"/>
                <a:gd name="connsiteX16" fmla="*/ 800100 w 838200"/>
                <a:gd name="connsiteY16" fmla="*/ 190500 h 647700"/>
                <a:gd name="connsiteX17" fmla="*/ 647700 w 838200"/>
                <a:gd name="connsiteY17" fmla="*/ 190500 h 647700"/>
                <a:gd name="connsiteX18" fmla="*/ 647700 w 838200"/>
                <a:gd name="connsiteY18" fmla="*/ 121920 h 647700"/>
                <a:gd name="connsiteX19" fmla="*/ 536258 w 838200"/>
                <a:gd name="connsiteY19" fmla="*/ 0 h 647700"/>
                <a:gd name="connsiteX20" fmla="*/ 190500 w 838200"/>
                <a:gd name="connsiteY20" fmla="*/ 0 h 647700"/>
                <a:gd name="connsiteX21" fmla="*/ 190500 w 838200"/>
                <a:gd name="connsiteY21" fmla="*/ 190500 h 647700"/>
                <a:gd name="connsiteX22" fmla="*/ 38100 w 838200"/>
                <a:gd name="connsiteY22" fmla="*/ 190500 h 647700"/>
                <a:gd name="connsiteX23" fmla="*/ 0 w 838200"/>
                <a:gd name="connsiteY23" fmla="*/ 228600 h 647700"/>
                <a:gd name="connsiteX24" fmla="*/ 0 w 838200"/>
                <a:gd name="connsiteY24" fmla="*/ 609600 h 647700"/>
                <a:gd name="connsiteX25" fmla="*/ 38100 w 838200"/>
                <a:gd name="connsiteY25" fmla="*/ 647700 h 647700"/>
                <a:gd name="connsiteX26" fmla="*/ 152400 w 838200"/>
                <a:gd name="connsiteY26" fmla="*/ 647700 h 647700"/>
                <a:gd name="connsiteX27" fmla="*/ 152400 w 838200"/>
                <a:gd name="connsiteY27" fmla="*/ 428625 h 647700"/>
                <a:gd name="connsiteX28" fmla="*/ 685800 w 838200"/>
                <a:gd name="connsiteY28" fmla="*/ 428625 h 647700"/>
                <a:gd name="connsiteX29" fmla="*/ 685800 w 838200"/>
                <a:gd name="connsiteY29" fmla="*/ 647700 h 647700"/>
                <a:gd name="connsiteX30" fmla="*/ 800100 w 838200"/>
                <a:gd name="connsiteY30" fmla="*/ 647700 h 647700"/>
                <a:gd name="connsiteX31" fmla="*/ 838200 w 838200"/>
                <a:gd name="connsiteY31" fmla="*/ 609600 h 647700"/>
                <a:gd name="connsiteX32" fmla="*/ 838200 w 838200"/>
                <a:gd name="connsiteY32" fmla="*/ 228600 h 647700"/>
                <a:gd name="connsiteX33" fmla="*/ 800100 w 838200"/>
                <a:gd name="connsiteY33" fmla="*/ 190500 h 6477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</a:cxnLst>
              <a:rect l="l" t="t" r="r" b="b"/>
              <a:pathLst>
                <a:path w="838200" h="647700">
                  <a:moveTo>
                    <a:pt x="590550" y="276225"/>
                  </a:moveTo>
                  <a:lnTo>
                    <a:pt x="247650" y="276225"/>
                  </a:lnTo>
                  <a:lnTo>
                    <a:pt x="247650" y="57150"/>
                  </a:lnTo>
                  <a:lnTo>
                    <a:pt x="457200" y="57150"/>
                  </a:lnTo>
                  <a:lnTo>
                    <a:pt x="457200" y="190500"/>
                  </a:lnTo>
                  <a:lnTo>
                    <a:pt x="590550" y="190500"/>
                  </a:lnTo>
                  <a:lnTo>
                    <a:pt x="590550" y="276225"/>
                  </a:lnTo>
                  <a:close/>
                  <a:moveTo>
                    <a:pt x="514350" y="60960"/>
                  </a:moveTo>
                  <a:lnTo>
                    <a:pt x="580073" y="133350"/>
                  </a:lnTo>
                  <a:lnTo>
                    <a:pt x="514350" y="133350"/>
                  </a:lnTo>
                  <a:lnTo>
                    <a:pt x="514350" y="60960"/>
                  </a:lnTo>
                  <a:close/>
                  <a:moveTo>
                    <a:pt x="95250" y="323850"/>
                  </a:moveTo>
                  <a:cubicBezTo>
                    <a:pt x="74295" y="323850"/>
                    <a:pt x="57150" y="306705"/>
                    <a:pt x="57150" y="285750"/>
                  </a:cubicBezTo>
                  <a:cubicBezTo>
                    <a:pt x="57150" y="264795"/>
                    <a:pt x="74295" y="247650"/>
                    <a:pt x="95250" y="247650"/>
                  </a:cubicBezTo>
                  <a:cubicBezTo>
                    <a:pt x="116205" y="247650"/>
                    <a:pt x="133350" y="264795"/>
                    <a:pt x="133350" y="285750"/>
                  </a:cubicBezTo>
                  <a:cubicBezTo>
                    <a:pt x="133350" y="306705"/>
                    <a:pt x="116205" y="323850"/>
                    <a:pt x="95250" y="323850"/>
                  </a:cubicBezTo>
                  <a:close/>
                  <a:moveTo>
                    <a:pt x="800100" y="190500"/>
                  </a:moveTo>
                  <a:lnTo>
                    <a:pt x="647700" y="190500"/>
                  </a:lnTo>
                  <a:lnTo>
                    <a:pt x="647700" y="121920"/>
                  </a:lnTo>
                  <a:lnTo>
                    <a:pt x="536258" y="0"/>
                  </a:lnTo>
                  <a:lnTo>
                    <a:pt x="190500" y="0"/>
                  </a:lnTo>
                  <a:lnTo>
                    <a:pt x="190500" y="190500"/>
                  </a:lnTo>
                  <a:lnTo>
                    <a:pt x="38100" y="190500"/>
                  </a:lnTo>
                  <a:cubicBezTo>
                    <a:pt x="17145" y="190500"/>
                    <a:pt x="0" y="207645"/>
                    <a:pt x="0" y="228600"/>
                  </a:cubicBezTo>
                  <a:lnTo>
                    <a:pt x="0" y="609600"/>
                  </a:lnTo>
                  <a:cubicBezTo>
                    <a:pt x="0" y="630555"/>
                    <a:pt x="17145" y="647700"/>
                    <a:pt x="38100" y="647700"/>
                  </a:cubicBezTo>
                  <a:lnTo>
                    <a:pt x="152400" y="647700"/>
                  </a:lnTo>
                  <a:lnTo>
                    <a:pt x="152400" y="428625"/>
                  </a:lnTo>
                  <a:lnTo>
                    <a:pt x="685800" y="428625"/>
                  </a:lnTo>
                  <a:lnTo>
                    <a:pt x="685800" y="647700"/>
                  </a:lnTo>
                  <a:lnTo>
                    <a:pt x="800100" y="647700"/>
                  </a:lnTo>
                  <a:cubicBezTo>
                    <a:pt x="821055" y="647700"/>
                    <a:pt x="838200" y="630555"/>
                    <a:pt x="838200" y="609600"/>
                  </a:cubicBezTo>
                  <a:lnTo>
                    <a:pt x="838200" y="228600"/>
                  </a:lnTo>
                  <a:cubicBezTo>
                    <a:pt x="838200" y="207645"/>
                    <a:pt x="821055" y="190500"/>
                    <a:pt x="800100" y="190500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</xdr:grpSp>
      <xdr:sp macro="" textlink="">
        <xdr:nvSpPr>
          <xdr:cNvPr id="20" name="Retângulo 1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3905E61-E609-784D-8D49-5EF7C4728393}"/>
              </a:ext>
            </a:extLst>
          </xdr:cNvPr>
          <xdr:cNvSpPr/>
        </xdr:nvSpPr>
        <xdr:spPr>
          <a:xfrm>
            <a:off x="8064717" y="368985"/>
            <a:ext cx="1726298" cy="1947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ENDIVIDAMENTO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2" name="Imagem 21">
                <a:extLst>
                  <a:ext uri="{FF2B5EF4-FFF2-40B4-BE49-F238E27FC236}">
                    <a16:creationId xmlns:a16="http://schemas.microsoft.com/office/drawing/2014/main" id="{259FC7CA-7141-BCA9-6136-06F244093F6B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MENU!$F$2" spid="_x0000_s6288"/>
                  </a:ext>
                </a:extLst>
              </xdr:cNvPicPr>
            </xdr:nvPicPr>
            <xdr:blipFill rotWithShape="1">
              <a:blip xmlns:r="http://schemas.openxmlformats.org/officeDocument/2006/relationships" r:embed="rId12"/>
              <a:srcRect b="4887"/>
              <a:stretch>
                <a:fillRect/>
              </a:stretch>
            </xdr:blipFill>
            <xdr:spPr>
              <a:xfrm rot="5400000">
                <a:off x="102577" y="-102577"/>
                <a:ext cx="573778" cy="778932"/>
              </a:xfrm>
              <a:prstGeom prst="rect">
                <a:avLst/>
              </a:prstGeom>
              <a:ln>
                <a:noFill/>
              </a:ln>
            </xdr:spPr>
          </xdr:pic>
        </mc:Choice>
        <mc:Fallback xmlns=""/>
      </mc:AlternateContent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333375</xdr:colOff>
      <xdr:row>3</xdr:row>
      <xdr:rowOff>9525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BCF8C7EF-E497-43B4-BC67-515573E51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0"/>
          <a:ext cx="742950" cy="6191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576524</xdr:colOff>
      <xdr:row>2</xdr:row>
      <xdr:rowOff>12861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DB9F86B-3DC2-45BF-81FC-1B10ED1C26B4}"/>
            </a:ext>
          </a:extLst>
        </xdr:cNvPr>
        <xdr:cNvGrpSpPr/>
      </xdr:nvGrpSpPr>
      <xdr:grpSpPr>
        <a:xfrm>
          <a:off x="0" y="0"/>
          <a:ext cx="13522849" cy="578605"/>
          <a:chOff x="0" y="0"/>
          <a:chExt cx="12482774" cy="573778"/>
        </a:xfrm>
      </xdr:grpSpPr>
      <xdr:sp macro="[0]!Salvar" textlink="">
        <xdr:nvSpPr>
          <xdr:cNvPr id="3" name="Retângulo Arredondado 1">
            <a:extLst>
              <a:ext uri="{FF2B5EF4-FFF2-40B4-BE49-F238E27FC236}">
                <a16:creationId xmlns:a16="http://schemas.microsoft.com/office/drawing/2014/main" id="{5FE3725B-822C-2EC1-3AEB-F62DC009BCA5}"/>
              </a:ext>
            </a:extLst>
          </xdr:cNvPr>
          <xdr:cNvSpPr/>
        </xdr:nvSpPr>
        <xdr:spPr>
          <a:xfrm>
            <a:off x="10722383" y="66578"/>
            <a:ext cx="885827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SALVAR</a:t>
            </a:r>
          </a:p>
        </xdr:txBody>
      </xdr:sp>
      <xdr:sp macro="" textlink="">
        <xdr:nvSpPr>
          <xdr:cNvPr id="4" name="Retângulo Arredondado 2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BA50925-7A65-0C4C-E04A-E61B21FDABDE}"/>
              </a:ext>
            </a:extLst>
          </xdr:cNvPr>
          <xdr:cNvSpPr/>
        </xdr:nvSpPr>
        <xdr:spPr>
          <a:xfrm>
            <a:off x="9852183" y="66578"/>
            <a:ext cx="842402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MENU</a:t>
            </a:r>
          </a:p>
        </xdr:txBody>
      </xdr:sp>
      <xdr:sp macro="[0]!workbook_close" textlink="">
        <xdr:nvSpPr>
          <xdr:cNvPr id="5" name="Seta: para Baixo 28">
            <a:extLst>
              <a:ext uri="{FF2B5EF4-FFF2-40B4-BE49-F238E27FC236}">
                <a16:creationId xmlns:a16="http://schemas.microsoft.com/office/drawing/2014/main" id="{442C2680-8DA6-0DAD-5CE7-8CC040C58E55}"/>
              </a:ext>
            </a:extLst>
          </xdr:cNvPr>
          <xdr:cNvSpPr/>
        </xdr:nvSpPr>
        <xdr:spPr>
          <a:xfrm>
            <a:off x="11913183" y="66578"/>
            <a:ext cx="236283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workbook_open" textlink="">
        <xdr:nvSpPr>
          <xdr:cNvPr id="6" name="Seta: para Baixo 29">
            <a:extLst>
              <a:ext uri="{FF2B5EF4-FFF2-40B4-BE49-F238E27FC236}">
                <a16:creationId xmlns:a16="http://schemas.microsoft.com/office/drawing/2014/main" id="{5AC2B983-909A-AE96-2CCC-3E0242949599}"/>
              </a:ext>
            </a:extLst>
          </xdr:cNvPr>
          <xdr:cNvSpPr/>
        </xdr:nvSpPr>
        <xdr:spPr>
          <a:xfrm rot="10800000">
            <a:off x="11691604" y="38044"/>
            <a:ext cx="240111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C513DA5-16F9-02E1-6D42-D041186DB026}"/>
              </a:ext>
            </a:extLst>
          </xdr:cNvPr>
          <xdr:cNvSpPr/>
        </xdr:nvSpPr>
        <xdr:spPr>
          <a:xfrm>
            <a:off x="5646945" y="373482"/>
            <a:ext cx="240623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DEM. PLANO DE CONTAS (REC E</a:t>
            </a:r>
            <a:r>
              <a:rPr lang="pt-BR" sz="1100" b="1" i="0" baseline="0">
                <a:solidFill>
                  <a:srgbClr val="797979"/>
                </a:solidFill>
              </a:rPr>
              <a:t> DESP)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8" name="Retângulo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C4B4257-DBD8-A367-1518-4B2CF1067374}"/>
              </a:ext>
            </a:extLst>
          </xdr:cNvPr>
          <xdr:cNvSpPr/>
        </xdr:nvSpPr>
        <xdr:spPr>
          <a:xfrm>
            <a:off x="1616796" y="373482"/>
            <a:ext cx="719291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CLIENTES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27C90C5-C9A5-C583-D593-E04DFD4A02DD}"/>
              </a:ext>
            </a:extLst>
          </xdr:cNvPr>
          <xdr:cNvSpPr/>
        </xdr:nvSpPr>
        <xdr:spPr>
          <a:xfrm>
            <a:off x="2349309" y="373482"/>
            <a:ext cx="120777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FORNECEDORES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44DF303-3E88-F2F1-27ED-601BB74FCBEC}"/>
              </a:ext>
            </a:extLst>
          </xdr:cNvPr>
          <xdr:cNvSpPr/>
        </xdr:nvSpPr>
        <xdr:spPr>
          <a:xfrm>
            <a:off x="768950" y="373482"/>
            <a:ext cx="827184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EMPRESAS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1950DEC-EC64-4E0E-2C31-4C404388DE4D}"/>
              </a:ext>
            </a:extLst>
          </xdr:cNvPr>
          <xdr:cNvSpPr/>
        </xdr:nvSpPr>
        <xdr:spPr>
          <a:xfrm>
            <a:off x="3566856" y="373482"/>
            <a:ext cx="685443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BANCOS</a:t>
            </a:r>
          </a:p>
        </xdr:txBody>
      </xdr:sp>
      <xdr:sp macro="" textlink="">
        <xdr:nvSpPr>
          <xdr:cNvPr id="12" name="Retângulo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95B71F3-50DD-86C9-2B85-3C50B0EECFA5}"/>
              </a:ext>
            </a:extLst>
          </xdr:cNvPr>
          <xdr:cNvSpPr/>
        </xdr:nvSpPr>
        <xdr:spPr>
          <a:xfrm>
            <a:off x="4266525" y="373482"/>
            <a:ext cx="1366652" cy="19051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chemeClr val="accent2"/>
                </a:solidFill>
              </a:rPr>
              <a:t>CENTRO</a:t>
            </a:r>
            <a:r>
              <a:rPr lang="pt-BR" sz="1100" b="1" i="0" baseline="0">
                <a:solidFill>
                  <a:schemeClr val="accent2"/>
                </a:solidFill>
              </a:rPr>
              <a:t> DE CUSTOS</a:t>
            </a:r>
            <a:endParaRPr lang="pt-BR" sz="1100" b="1" i="0">
              <a:solidFill>
                <a:schemeClr val="accent2"/>
              </a:solidFill>
            </a:endParaRPr>
          </a:p>
        </xdr:txBody>
      </xdr:sp>
      <xdr:sp macro="" textlink="">
        <xdr:nvSpPr>
          <xdr:cNvPr id="13" name="Retângulo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1D9F1D1-7C66-C5C8-8F91-7E51780187E9}"/>
              </a:ext>
            </a:extLst>
          </xdr:cNvPr>
          <xdr:cNvSpPr/>
        </xdr:nvSpPr>
        <xdr:spPr>
          <a:xfrm>
            <a:off x="768950" y="0"/>
            <a:ext cx="935078" cy="312742"/>
          </a:xfrm>
          <a:prstGeom prst="rect">
            <a:avLst/>
          </a:prstGeom>
          <a:solidFill>
            <a:srgbClr val="EBEBE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accent1"/>
                </a:solidFill>
              </a:rPr>
              <a:t>CADASTROS</a:t>
            </a:r>
          </a:p>
        </xdr:txBody>
      </xdr:sp>
      <xdr:sp macro="" textlink="">
        <xdr:nvSpPr>
          <xdr:cNvPr id="14" name="Retângulo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CBA1CAB-DC76-D212-1C98-C12798AC6CA9}"/>
              </a:ext>
            </a:extLst>
          </xdr:cNvPr>
          <xdr:cNvSpPr/>
        </xdr:nvSpPr>
        <xdr:spPr>
          <a:xfrm>
            <a:off x="1712050" y="0"/>
            <a:ext cx="1150865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LANÇAMENTOS</a:t>
            </a:r>
          </a:p>
        </xdr:txBody>
      </xdr:sp>
      <xdr:sp macro="" textlink="">
        <xdr:nvSpPr>
          <xdr:cNvPr id="15" name="Retângulo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29F16BA-2F12-61D4-DE3D-45B403231BB8}"/>
              </a:ext>
            </a:extLst>
          </xdr:cNvPr>
          <xdr:cNvSpPr/>
        </xdr:nvSpPr>
        <xdr:spPr>
          <a:xfrm>
            <a:off x="2875769" y="0"/>
            <a:ext cx="973159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RELATÓRIOSS</a:t>
            </a:r>
          </a:p>
        </xdr:txBody>
      </xdr:sp>
      <xdr:sp macro="" textlink="">
        <xdr:nvSpPr>
          <xdr:cNvPr id="16" name="Retângulo 1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A414C60F-C629-615B-F9C3-2B7E9FD3D3DB}"/>
              </a:ext>
            </a:extLst>
          </xdr:cNvPr>
          <xdr:cNvSpPr/>
        </xdr:nvSpPr>
        <xdr:spPr>
          <a:xfrm>
            <a:off x="3851425" y="0"/>
            <a:ext cx="971043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DASHBOARD</a:t>
            </a:r>
          </a:p>
        </xdr:txBody>
      </xdr:sp>
      <xdr:sp macro="[0]!Adicionar_linha" textlink="">
        <xdr:nvSpPr>
          <xdr:cNvPr id="17" name="Retângulo Arredondado 20">
            <a:extLst>
              <a:ext uri="{FF2B5EF4-FFF2-40B4-BE49-F238E27FC236}">
                <a16:creationId xmlns:a16="http://schemas.microsoft.com/office/drawing/2014/main" id="{B606FB4B-6D48-7D0E-AADB-883B6F51EFE4}"/>
              </a:ext>
            </a:extLst>
          </xdr:cNvPr>
          <xdr:cNvSpPr/>
        </xdr:nvSpPr>
        <xdr:spPr>
          <a:xfrm>
            <a:off x="7071820" y="73756"/>
            <a:ext cx="146819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00B050"/>
                </a:solidFill>
              </a:rPr>
              <a:t>+</a:t>
            </a:r>
            <a:r>
              <a:rPr lang="pt-BR" sz="1100" b="1">
                <a:solidFill>
                  <a:schemeClr val="accent1"/>
                </a:solidFill>
              </a:rPr>
              <a:t>) ADICIONAR</a:t>
            </a:r>
            <a:r>
              <a:rPr lang="pt-BR" sz="1100" b="1" baseline="0">
                <a:solidFill>
                  <a:schemeClr val="accent1"/>
                </a:solidFill>
              </a:rPr>
              <a:t>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sp macro="[0]!Excluir_Linha" textlink="">
        <xdr:nvSpPr>
          <xdr:cNvPr id="18" name="Retângulo Arredondado 20">
            <a:extLst>
              <a:ext uri="{FF2B5EF4-FFF2-40B4-BE49-F238E27FC236}">
                <a16:creationId xmlns:a16="http://schemas.microsoft.com/office/drawing/2014/main" id="{F95AA214-5D83-1932-3AC8-B6CD2AF5893A}"/>
              </a:ext>
            </a:extLst>
          </xdr:cNvPr>
          <xdr:cNvSpPr/>
        </xdr:nvSpPr>
        <xdr:spPr>
          <a:xfrm>
            <a:off x="8558622" y="73756"/>
            <a:ext cx="125875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FF0000"/>
                </a:solidFill>
              </a:rPr>
              <a:t>-</a:t>
            </a:r>
            <a:r>
              <a:rPr lang="pt-BR" sz="1100" b="1">
                <a:solidFill>
                  <a:schemeClr val="accent1"/>
                </a:solidFill>
              </a:rPr>
              <a:t>) EXCLUI</a:t>
            </a:r>
            <a:r>
              <a:rPr lang="pt-BR" sz="1100" b="1" baseline="0">
                <a:solidFill>
                  <a:schemeClr val="accent1"/>
                </a:solidFill>
              </a:rPr>
              <a:t>R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grpSp>
        <xdr:nvGrpSpPr>
          <xdr:cNvPr id="19" name="Gráfico 2" descr="Impressora">
            <a:extLst>
              <a:ext uri="{FF2B5EF4-FFF2-40B4-BE49-F238E27FC236}">
                <a16:creationId xmlns:a16="http://schemas.microsoft.com/office/drawing/2014/main" id="{D549C717-4100-45DC-1D52-A17E16952B54}"/>
              </a:ext>
            </a:extLst>
          </xdr:cNvPr>
          <xdr:cNvGrpSpPr/>
        </xdr:nvGrpSpPr>
        <xdr:grpSpPr>
          <a:xfrm>
            <a:off x="12201802" y="0"/>
            <a:ext cx="280972" cy="288471"/>
            <a:chOff x="0" y="0"/>
            <a:chExt cx="914400" cy="914400"/>
          </a:xfrm>
          <a:solidFill>
            <a:schemeClr val="bg1"/>
          </a:solidFill>
        </xdr:grpSpPr>
        <xdr:sp macro="[0]!Imprimir" textlink="">
          <xdr:nvSpPr>
            <xdr:cNvPr id="23" name="Forma Livre: Forma 22">
              <a:extLst>
                <a:ext uri="{FF2B5EF4-FFF2-40B4-BE49-F238E27FC236}">
                  <a16:creationId xmlns:a16="http://schemas.microsoft.com/office/drawing/2014/main" id="{188CB3FB-C7FD-C0AA-3AB1-DC22697A2C0C}"/>
                </a:ext>
              </a:extLst>
            </xdr:cNvPr>
            <xdr:cNvSpPr/>
          </xdr:nvSpPr>
          <xdr:spPr>
            <a:xfrm>
              <a:off x="228600" y="538163"/>
              <a:ext cx="447675" cy="304800"/>
            </a:xfrm>
            <a:custGeom>
              <a:avLst/>
              <a:gdLst>
                <a:gd name="connsiteX0" fmla="*/ 400050 w 447675"/>
                <a:gd name="connsiteY0" fmla="*/ 57150 h 304800"/>
                <a:gd name="connsiteX1" fmla="*/ 399098 w 447675"/>
                <a:gd name="connsiteY1" fmla="*/ 247650 h 304800"/>
                <a:gd name="connsiteX2" fmla="*/ 59055 w 447675"/>
                <a:gd name="connsiteY2" fmla="*/ 247650 h 304800"/>
                <a:gd name="connsiteX3" fmla="*/ 57150 w 447675"/>
                <a:gd name="connsiteY3" fmla="*/ 57150 h 304800"/>
                <a:gd name="connsiteX4" fmla="*/ 400050 w 447675"/>
                <a:gd name="connsiteY4" fmla="*/ 57150 h 304800"/>
                <a:gd name="connsiteX5" fmla="*/ 1905 w 447675"/>
                <a:gd name="connsiteY5" fmla="*/ 304800 h 304800"/>
                <a:gd name="connsiteX6" fmla="*/ 455295 w 447675"/>
                <a:gd name="connsiteY6" fmla="*/ 304800 h 304800"/>
                <a:gd name="connsiteX7" fmla="*/ 456248 w 447675"/>
                <a:gd name="connsiteY7" fmla="*/ 0 h 304800"/>
                <a:gd name="connsiteX8" fmla="*/ 0 w 447675"/>
                <a:gd name="connsiteY8" fmla="*/ 0 h 304800"/>
                <a:gd name="connsiteX9" fmla="*/ 1905 w 447675"/>
                <a:gd name="connsiteY9" fmla="*/ 304800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47675" h="304800">
                  <a:moveTo>
                    <a:pt x="400050" y="57150"/>
                  </a:moveTo>
                  <a:lnTo>
                    <a:pt x="399098" y="247650"/>
                  </a:lnTo>
                  <a:lnTo>
                    <a:pt x="59055" y="247650"/>
                  </a:lnTo>
                  <a:lnTo>
                    <a:pt x="57150" y="57150"/>
                  </a:lnTo>
                  <a:lnTo>
                    <a:pt x="400050" y="57150"/>
                  </a:lnTo>
                  <a:close/>
                  <a:moveTo>
                    <a:pt x="1905" y="304800"/>
                  </a:moveTo>
                  <a:lnTo>
                    <a:pt x="455295" y="304800"/>
                  </a:lnTo>
                  <a:lnTo>
                    <a:pt x="456248" y="0"/>
                  </a:lnTo>
                  <a:lnTo>
                    <a:pt x="0" y="0"/>
                  </a:lnTo>
                  <a:lnTo>
                    <a:pt x="1905" y="3048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4" name="Forma Livre: Forma 23">
              <a:extLst>
                <a:ext uri="{FF2B5EF4-FFF2-40B4-BE49-F238E27FC236}">
                  <a16:creationId xmlns:a16="http://schemas.microsoft.com/office/drawing/2014/main" id="{4742F7D5-9A09-7147-15A8-C1021A06E862}"/>
                </a:ext>
              </a:extLst>
            </xdr:cNvPr>
            <xdr:cNvSpPr/>
          </xdr:nvSpPr>
          <xdr:spPr>
            <a:xfrm>
              <a:off x="361950" y="6334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5" name="Forma Livre: Forma 24">
              <a:extLst>
                <a:ext uri="{FF2B5EF4-FFF2-40B4-BE49-F238E27FC236}">
                  <a16:creationId xmlns:a16="http://schemas.microsoft.com/office/drawing/2014/main" id="{B0117380-1675-AECD-1C71-B6103D001ED3}"/>
                </a:ext>
              </a:extLst>
            </xdr:cNvPr>
            <xdr:cNvSpPr/>
          </xdr:nvSpPr>
          <xdr:spPr>
            <a:xfrm>
              <a:off x="361950" y="7096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6" name="Forma Livre: Forma 25">
              <a:extLst>
                <a:ext uri="{FF2B5EF4-FFF2-40B4-BE49-F238E27FC236}">
                  <a16:creationId xmlns:a16="http://schemas.microsoft.com/office/drawing/2014/main" id="{D68463EB-32C7-86E4-B8B8-C3BBD51BB4D0}"/>
                </a:ext>
              </a:extLst>
            </xdr:cNvPr>
            <xdr:cNvSpPr/>
          </xdr:nvSpPr>
          <xdr:spPr>
            <a:xfrm>
              <a:off x="38100" y="76200"/>
              <a:ext cx="838200" cy="647700"/>
            </a:xfrm>
            <a:custGeom>
              <a:avLst/>
              <a:gdLst>
                <a:gd name="connsiteX0" fmla="*/ 590550 w 838200"/>
                <a:gd name="connsiteY0" fmla="*/ 276225 h 647700"/>
                <a:gd name="connsiteX1" fmla="*/ 247650 w 838200"/>
                <a:gd name="connsiteY1" fmla="*/ 276225 h 647700"/>
                <a:gd name="connsiteX2" fmla="*/ 247650 w 838200"/>
                <a:gd name="connsiteY2" fmla="*/ 57150 h 647700"/>
                <a:gd name="connsiteX3" fmla="*/ 457200 w 838200"/>
                <a:gd name="connsiteY3" fmla="*/ 57150 h 647700"/>
                <a:gd name="connsiteX4" fmla="*/ 457200 w 838200"/>
                <a:gd name="connsiteY4" fmla="*/ 190500 h 647700"/>
                <a:gd name="connsiteX5" fmla="*/ 590550 w 838200"/>
                <a:gd name="connsiteY5" fmla="*/ 190500 h 647700"/>
                <a:gd name="connsiteX6" fmla="*/ 590550 w 838200"/>
                <a:gd name="connsiteY6" fmla="*/ 276225 h 647700"/>
                <a:gd name="connsiteX7" fmla="*/ 514350 w 838200"/>
                <a:gd name="connsiteY7" fmla="*/ 60960 h 647700"/>
                <a:gd name="connsiteX8" fmla="*/ 580073 w 838200"/>
                <a:gd name="connsiteY8" fmla="*/ 133350 h 647700"/>
                <a:gd name="connsiteX9" fmla="*/ 514350 w 838200"/>
                <a:gd name="connsiteY9" fmla="*/ 133350 h 647700"/>
                <a:gd name="connsiteX10" fmla="*/ 514350 w 838200"/>
                <a:gd name="connsiteY10" fmla="*/ 60960 h 647700"/>
                <a:gd name="connsiteX11" fmla="*/ 95250 w 838200"/>
                <a:gd name="connsiteY11" fmla="*/ 323850 h 647700"/>
                <a:gd name="connsiteX12" fmla="*/ 57150 w 838200"/>
                <a:gd name="connsiteY12" fmla="*/ 285750 h 647700"/>
                <a:gd name="connsiteX13" fmla="*/ 95250 w 838200"/>
                <a:gd name="connsiteY13" fmla="*/ 247650 h 647700"/>
                <a:gd name="connsiteX14" fmla="*/ 133350 w 838200"/>
                <a:gd name="connsiteY14" fmla="*/ 285750 h 647700"/>
                <a:gd name="connsiteX15" fmla="*/ 95250 w 838200"/>
                <a:gd name="connsiteY15" fmla="*/ 323850 h 647700"/>
                <a:gd name="connsiteX16" fmla="*/ 800100 w 838200"/>
                <a:gd name="connsiteY16" fmla="*/ 190500 h 647700"/>
                <a:gd name="connsiteX17" fmla="*/ 647700 w 838200"/>
                <a:gd name="connsiteY17" fmla="*/ 190500 h 647700"/>
                <a:gd name="connsiteX18" fmla="*/ 647700 w 838200"/>
                <a:gd name="connsiteY18" fmla="*/ 121920 h 647700"/>
                <a:gd name="connsiteX19" fmla="*/ 536258 w 838200"/>
                <a:gd name="connsiteY19" fmla="*/ 0 h 647700"/>
                <a:gd name="connsiteX20" fmla="*/ 190500 w 838200"/>
                <a:gd name="connsiteY20" fmla="*/ 0 h 647700"/>
                <a:gd name="connsiteX21" fmla="*/ 190500 w 838200"/>
                <a:gd name="connsiteY21" fmla="*/ 190500 h 647700"/>
                <a:gd name="connsiteX22" fmla="*/ 38100 w 838200"/>
                <a:gd name="connsiteY22" fmla="*/ 190500 h 647700"/>
                <a:gd name="connsiteX23" fmla="*/ 0 w 838200"/>
                <a:gd name="connsiteY23" fmla="*/ 228600 h 647700"/>
                <a:gd name="connsiteX24" fmla="*/ 0 w 838200"/>
                <a:gd name="connsiteY24" fmla="*/ 609600 h 647700"/>
                <a:gd name="connsiteX25" fmla="*/ 38100 w 838200"/>
                <a:gd name="connsiteY25" fmla="*/ 647700 h 647700"/>
                <a:gd name="connsiteX26" fmla="*/ 152400 w 838200"/>
                <a:gd name="connsiteY26" fmla="*/ 647700 h 647700"/>
                <a:gd name="connsiteX27" fmla="*/ 152400 w 838200"/>
                <a:gd name="connsiteY27" fmla="*/ 428625 h 647700"/>
                <a:gd name="connsiteX28" fmla="*/ 685800 w 838200"/>
                <a:gd name="connsiteY28" fmla="*/ 428625 h 647700"/>
                <a:gd name="connsiteX29" fmla="*/ 685800 w 838200"/>
                <a:gd name="connsiteY29" fmla="*/ 647700 h 647700"/>
                <a:gd name="connsiteX30" fmla="*/ 800100 w 838200"/>
                <a:gd name="connsiteY30" fmla="*/ 647700 h 647700"/>
                <a:gd name="connsiteX31" fmla="*/ 838200 w 838200"/>
                <a:gd name="connsiteY31" fmla="*/ 609600 h 647700"/>
                <a:gd name="connsiteX32" fmla="*/ 838200 w 838200"/>
                <a:gd name="connsiteY32" fmla="*/ 228600 h 647700"/>
                <a:gd name="connsiteX33" fmla="*/ 800100 w 838200"/>
                <a:gd name="connsiteY33" fmla="*/ 190500 h 6477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</a:cxnLst>
              <a:rect l="l" t="t" r="r" b="b"/>
              <a:pathLst>
                <a:path w="838200" h="647700">
                  <a:moveTo>
                    <a:pt x="590550" y="276225"/>
                  </a:moveTo>
                  <a:lnTo>
                    <a:pt x="247650" y="276225"/>
                  </a:lnTo>
                  <a:lnTo>
                    <a:pt x="247650" y="57150"/>
                  </a:lnTo>
                  <a:lnTo>
                    <a:pt x="457200" y="57150"/>
                  </a:lnTo>
                  <a:lnTo>
                    <a:pt x="457200" y="190500"/>
                  </a:lnTo>
                  <a:lnTo>
                    <a:pt x="590550" y="190500"/>
                  </a:lnTo>
                  <a:lnTo>
                    <a:pt x="590550" y="276225"/>
                  </a:lnTo>
                  <a:close/>
                  <a:moveTo>
                    <a:pt x="514350" y="60960"/>
                  </a:moveTo>
                  <a:lnTo>
                    <a:pt x="580073" y="133350"/>
                  </a:lnTo>
                  <a:lnTo>
                    <a:pt x="514350" y="133350"/>
                  </a:lnTo>
                  <a:lnTo>
                    <a:pt x="514350" y="60960"/>
                  </a:lnTo>
                  <a:close/>
                  <a:moveTo>
                    <a:pt x="95250" y="323850"/>
                  </a:moveTo>
                  <a:cubicBezTo>
                    <a:pt x="74295" y="323850"/>
                    <a:pt x="57150" y="306705"/>
                    <a:pt x="57150" y="285750"/>
                  </a:cubicBezTo>
                  <a:cubicBezTo>
                    <a:pt x="57150" y="264795"/>
                    <a:pt x="74295" y="247650"/>
                    <a:pt x="95250" y="247650"/>
                  </a:cubicBezTo>
                  <a:cubicBezTo>
                    <a:pt x="116205" y="247650"/>
                    <a:pt x="133350" y="264795"/>
                    <a:pt x="133350" y="285750"/>
                  </a:cubicBezTo>
                  <a:cubicBezTo>
                    <a:pt x="133350" y="306705"/>
                    <a:pt x="116205" y="323850"/>
                    <a:pt x="95250" y="323850"/>
                  </a:cubicBezTo>
                  <a:close/>
                  <a:moveTo>
                    <a:pt x="800100" y="190500"/>
                  </a:moveTo>
                  <a:lnTo>
                    <a:pt x="647700" y="190500"/>
                  </a:lnTo>
                  <a:lnTo>
                    <a:pt x="647700" y="121920"/>
                  </a:lnTo>
                  <a:lnTo>
                    <a:pt x="536258" y="0"/>
                  </a:lnTo>
                  <a:lnTo>
                    <a:pt x="190500" y="0"/>
                  </a:lnTo>
                  <a:lnTo>
                    <a:pt x="190500" y="190500"/>
                  </a:lnTo>
                  <a:lnTo>
                    <a:pt x="38100" y="190500"/>
                  </a:lnTo>
                  <a:cubicBezTo>
                    <a:pt x="17145" y="190500"/>
                    <a:pt x="0" y="207645"/>
                    <a:pt x="0" y="228600"/>
                  </a:cubicBezTo>
                  <a:lnTo>
                    <a:pt x="0" y="609600"/>
                  </a:lnTo>
                  <a:cubicBezTo>
                    <a:pt x="0" y="630555"/>
                    <a:pt x="17145" y="647700"/>
                    <a:pt x="38100" y="647700"/>
                  </a:cubicBezTo>
                  <a:lnTo>
                    <a:pt x="152400" y="647700"/>
                  </a:lnTo>
                  <a:lnTo>
                    <a:pt x="152400" y="428625"/>
                  </a:lnTo>
                  <a:lnTo>
                    <a:pt x="685800" y="428625"/>
                  </a:lnTo>
                  <a:lnTo>
                    <a:pt x="685800" y="647700"/>
                  </a:lnTo>
                  <a:lnTo>
                    <a:pt x="800100" y="647700"/>
                  </a:lnTo>
                  <a:cubicBezTo>
                    <a:pt x="821055" y="647700"/>
                    <a:pt x="838200" y="630555"/>
                    <a:pt x="838200" y="609600"/>
                  </a:cubicBezTo>
                  <a:lnTo>
                    <a:pt x="838200" y="228600"/>
                  </a:lnTo>
                  <a:cubicBezTo>
                    <a:pt x="838200" y="207645"/>
                    <a:pt x="821055" y="190500"/>
                    <a:pt x="800100" y="190500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</xdr:grpSp>
      <xdr:sp macro="" textlink="">
        <xdr:nvSpPr>
          <xdr:cNvPr id="20" name="Retângulo 1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9F0C575F-9D5B-3B6C-8D58-E9B59E08C266}"/>
              </a:ext>
            </a:extLst>
          </xdr:cNvPr>
          <xdr:cNvSpPr/>
        </xdr:nvSpPr>
        <xdr:spPr>
          <a:xfrm>
            <a:off x="8064717" y="368985"/>
            <a:ext cx="1726298" cy="1947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ENDIVIDAMENTO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2" name="Imagem 21">
                <a:extLst>
                  <a:ext uri="{FF2B5EF4-FFF2-40B4-BE49-F238E27FC236}">
                    <a16:creationId xmlns:a16="http://schemas.microsoft.com/office/drawing/2014/main" id="{5B7900D5-4EF6-1AA1-50A2-78F75E39F979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MENU!$F$2" spid="_x0000_s7312"/>
                  </a:ext>
                </a:extLst>
              </xdr:cNvPicPr>
            </xdr:nvPicPr>
            <xdr:blipFill rotWithShape="1">
              <a:blip xmlns:r="http://schemas.openxmlformats.org/officeDocument/2006/relationships" r:embed="rId12"/>
              <a:srcRect b="4887"/>
              <a:stretch>
                <a:fillRect/>
              </a:stretch>
            </xdr:blipFill>
            <xdr:spPr>
              <a:xfrm rot="5400000">
                <a:off x="102577" y="-102577"/>
                <a:ext cx="573778" cy="778932"/>
              </a:xfrm>
              <a:prstGeom prst="rect">
                <a:avLst/>
              </a:prstGeom>
              <a:ln>
                <a:noFill/>
              </a:ln>
            </xdr:spPr>
          </xdr:pic>
        </mc:Choice>
        <mc:Fallback xmlns=""/>
      </mc:AlternateContent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695325</xdr:colOff>
      <xdr:row>3</xdr:row>
      <xdr:rowOff>9525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BEA8A0A6-3DE6-4D43-9789-0DAB63A89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0"/>
          <a:ext cx="742950" cy="6191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</xdr:col>
      <xdr:colOff>452699</xdr:colOff>
      <xdr:row>2</xdr:row>
      <xdr:rowOff>12861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A77486C1-7658-42C3-981E-55A4EBBCA17C}"/>
            </a:ext>
          </a:extLst>
        </xdr:cNvPr>
        <xdr:cNvGrpSpPr/>
      </xdr:nvGrpSpPr>
      <xdr:grpSpPr>
        <a:xfrm>
          <a:off x="0" y="0"/>
          <a:ext cx="13477965" cy="578605"/>
          <a:chOff x="0" y="0"/>
          <a:chExt cx="12482774" cy="573778"/>
        </a:xfrm>
      </xdr:grpSpPr>
      <xdr:sp macro="[0]!Salvar" textlink="">
        <xdr:nvSpPr>
          <xdr:cNvPr id="3" name="Retângulo Arredondado 1">
            <a:extLst>
              <a:ext uri="{FF2B5EF4-FFF2-40B4-BE49-F238E27FC236}">
                <a16:creationId xmlns:a16="http://schemas.microsoft.com/office/drawing/2014/main" id="{BB23E0F8-728F-7560-DFD8-1C5416130DDB}"/>
              </a:ext>
            </a:extLst>
          </xdr:cNvPr>
          <xdr:cNvSpPr/>
        </xdr:nvSpPr>
        <xdr:spPr>
          <a:xfrm>
            <a:off x="10722383" y="66578"/>
            <a:ext cx="885827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SALVAR</a:t>
            </a:r>
          </a:p>
        </xdr:txBody>
      </xdr:sp>
      <xdr:sp macro="" textlink="">
        <xdr:nvSpPr>
          <xdr:cNvPr id="4" name="Retângulo Arredondado 2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C98BE04-E9B2-37C3-1A1E-3ECC66CAA0F4}"/>
              </a:ext>
            </a:extLst>
          </xdr:cNvPr>
          <xdr:cNvSpPr/>
        </xdr:nvSpPr>
        <xdr:spPr>
          <a:xfrm>
            <a:off x="9852183" y="66578"/>
            <a:ext cx="842402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MENU</a:t>
            </a:r>
          </a:p>
        </xdr:txBody>
      </xdr:sp>
      <xdr:sp macro="[0]!workbook_close" textlink="">
        <xdr:nvSpPr>
          <xdr:cNvPr id="5" name="Seta: para Baixo 28">
            <a:extLst>
              <a:ext uri="{FF2B5EF4-FFF2-40B4-BE49-F238E27FC236}">
                <a16:creationId xmlns:a16="http://schemas.microsoft.com/office/drawing/2014/main" id="{8C04B9EC-F2EB-8185-BF38-B5DA31022558}"/>
              </a:ext>
            </a:extLst>
          </xdr:cNvPr>
          <xdr:cNvSpPr/>
        </xdr:nvSpPr>
        <xdr:spPr>
          <a:xfrm>
            <a:off x="11913183" y="66578"/>
            <a:ext cx="236283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workbook_open" textlink="">
        <xdr:nvSpPr>
          <xdr:cNvPr id="6" name="Seta: para Baixo 29">
            <a:extLst>
              <a:ext uri="{FF2B5EF4-FFF2-40B4-BE49-F238E27FC236}">
                <a16:creationId xmlns:a16="http://schemas.microsoft.com/office/drawing/2014/main" id="{510B49BC-FE61-F161-870A-834FC4F72142}"/>
              </a:ext>
            </a:extLst>
          </xdr:cNvPr>
          <xdr:cNvSpPr/>
        </xdr:nvSpPr>
        <xdr:spPr>
          <a:xfrm rot="10800000">
            <a:off x="11691604" y="38044"/>
            <a:ext cx="240111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68BA48A-D9CC-1D24-E517-5231609C3D65}"/>
              </a:ext>
            </a:extLst>
          </xdr:cNvPr>
          <xdr:cNvSpPr/>
        </xdr:nvSpPr>
        <xdr:spPr>
          <a:xfrm>
            <a:off x="5646945" y="373482"/>
            <a:ext cx="2406232" cy="19051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chemeClr val="accent2"/>
                </a:solidFill>
              </a:rPr>
              <a:t>DEM. PLANO DE CONTAS (REC E</a:t>
            </a:r>
            <a:r>
              <a:rPr lang="pt-BR" sz="1100" b="1" i="0" baseline="0">
                <a:solidFill>
                  <a:schemeClr val="accent2"/>
                </a:solidFill>
              </a:rPr>
              <a:t> DESP)</a:t>
            </a:r>
            <a:endParaRPr lang="pt-BR" sz="1100" b="1" i="0">
              <a:solidFill>
                <a:schemeClr val="accent2"/>
              </a:solidFill>
            </a:endParaRPr>
          </a:p>
        </xdr:txBody>
      </xdr:sp>
      <xdr:sp macro="" textlink="">
        <xdr:nvSpPr>
          <xdr:cNvPr id="8" name="Retângulo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03DACD5-E521-3CE0-8832-60905C328A52}"/>
              </a:ext>
            </a:extLst>
          </xdr:cNvPr>
          <xdr:cNvSpPr/>
        </xdr:nvSpPr>
        <xdr:spPr>
          <a:xfrm>
            <a:off x="1616796" y="373482"/>
            <a:ext cx="719291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CLIENTES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188A83B-EA87-4A41-F491-D40248A3C05F}"/>
              </a:ext>
            </a:extLst>
          </xdr:cNvPr>
          <xdr:cNvSpPr/>
        </xdr:nvSpPr>
        <xdr:spPr>
          <a:xfrm>
            <a:off x="2349309" y="373482"/>
            <a:ext cx="120777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FORNECEDORES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2B81AA4-EAC5-502C-09D5-DF3156F82C81}"/>
              </a:ext>
            </a:extLst>
          </xdr:cNvPr>
          <xdr:cNvSpPr/>
        </xdr:nvSpPr>
        <xdr:spPr>
          <a:xfrm>
            <a:off x="768950" y="373482"/>
            <a:ext cx="827184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EMPRESAS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AD3C739-D9AF-F47D-C8DA-F8788D49B7E9}"/>
              </a:ext>
            </a:extLst>
          </xdr:cNvPr>
          <xdr:cNvSpPr/>
        </xdr:nvSpPr>
        <xdr:spPr>
          <a:xfrm>
            <a:off x="3566856" y="373482"/>
            <a:ext cx="685443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BANCOS</a:t>
            </a:r>
          </a:p>
        </xdr:txBody>
      </xdr:sp>
      <xdr:sp macro="" textlink="">
        <xdr:nvSpPr>
          <xdr:cNvPr id="12" name="Retângulo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FCD1B25-DCF7-39F3-AA79-FD1162209A8B}"/>
              </a:ext>
            </a:extLst>
          </xdr:cNvPr>
          <xdr:cNvSpPr/>
        </xdr:nvSpPr>
        <xdr:spPr>
          <a:xfrm>
            <a:off x="4266525" y="373482"/>
            <a:ext cx="136665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CENTRO</a:t>
            </a:r>
            <a:r>
              <a:rPr lang="pt-BR" sz="1100" b="1" i="0" baseline="0">
                <a:solidFill>
                  <a:srgbClr val="797979"/>
                </a:solidFill>
              </a:rPr>
              <a:t> DE CUSTOS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13" name="Retângulo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47C32AC-2723-7571-9AB7-AABD0C5C295D}"/>
              </a:ext>
            </a:extLst>
          </xdr:cNvPr>
          <xdr:cNvSpPr/>
        </xdr:nvSpPr>
        <xdr:spPr>
          <a:xfrm>
            <a:off x="768950" y="0"/>
            <a:ext cx="935078" cy="312742"/>
          </a:xfrm>
          <a:prstGeom prst="rect">
            <a:avLst/>
          </a:prstGeom>
          <a:solidFill>
            <a:srgbClr val="EBEBE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accent1"/>
                </a:solidFill>
              </a:rPr>
              <a:t>CADASTROS</a:t>
            </a:r>
          </a:p>
        </xdr:txBody>
      </xdr:sp>
      <xdr:sp macro="" textlink="">
        <xdr:nvSpPr>
          <xdr:cNvPr id="14" name="Retângulo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EE367CE-099B-FE84-AB67-C1270CB8C74F}"/>
              </a:ext>
            </a:extLst>
          </xdr:cNvPr>
          <xdr:cNvSpPr/>
        </xdr:nvSpPr>
        <xdr:spPr>
          <a:xfrm>
            <a:off x="1712050" y="0"/>
            <a:ext cx="1150865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LANÇAMENTOS</a:t>
            </a:r>
          </a:p>
        </xdr:txBody>
      </xdr:sp>
      <xdr:sp macro="" textlink="">
        <xdr:nvSpPr>
          <xdr:cNvPr id="15" name="Retângulo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AB7ED48-E863-A138-8E6E-87FE4E504B9A}"/>
              </a:ext>
            </a:extLst>
          </xdr:cNvPr>
          <xdr:cNvSpPr/>
        </xdr:nvSpPr>
        <xdr:spPr>
          <a:xfrm>
            <a:off x="2875769" y="0"/>
            <a:ext cx="973159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RELATÓRIOSS</a:t>
            </a:r>
          </a:p>
        </xdr:txBody>
      </xdr:sp>
      <xdr:sp macro="" textlink="">
        <xdr:nvSpPr>
          <xdr:cNvPr id="16" name="Retângulo 1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778755C5-9692-3749-27B9-E49442E50D20}"/>
              </a:ext>
            </a:extLst>
          </xdr:cNvPr>
          <xdr:cNvSpPr/>
        </xdr:nvSpPr>
        <xdr:spPr>
          <a:xfrm>
            <a:off x="3851425" y="0"/>
            <a:ext cx="971043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DASHBOARD</a:t>
            </a:r>
          </a:p>
        </xdr:txBody>
      </xdr:sp>
      <xdr:sp macro="[0]!Adicionar_linha" textlink="">
        <xdr:nvSpPr>
          <xdr:cNvPr id="17" name="Retângulo Arredondado 20">
            <a:extLst>
              <a:ext uri="{FF2B5EF4-FFF2-40B4-BE49-F238E27FC236}">
                <a16:creationId xmlns:a16="http://schemas.microsoft.com/office/drawing/2014/main" id="{E6ABDAEF-9627-6E11-20AD-35B1ADB877E8}"/>
              </a:ext>
            </a:extLst>
          </xdr:cNvPr>
          <xdr:cNvSpPr/>
        </xdr:nvSpPr>
        <xdr:spPr>
          <a:xfrm>
            <a:off x="7071820" y="73756"/>
            <a:ext cx="146819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00B050"/>
                </a:solidFill>
              </a:rPr>
              <a:t>+</a:t>
            </a:r>
            <a:r>
              <a:rPr lang="pt-BR" sz="1100" b="1">
                <a:solidFill>
                  <a:schemeClr val="accent1"/>
                </a:solidFill>
              </a:rPr>
              <a:t>) ADICIONAR</a:t>
            </a:r>
            <a:r>
              <a:rPr lang="pt-BR" sz="1100" b="1" baseline="0">
                <a:solidFill>
                  <a:schemeClr val="accent1"/>
                </a:solidFill>
              </a:rPr>
              <a:t>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sp macro="[0]!Excluir_Linha" textlink="">
        <xdr:nvSpPr>
          <xdr:cNvPr id="18" name="Retângulo Arredondado 20">
            <a:extLst>
              <a:ext uri="{FF2B5EF4-FFF2-40B4-BE49-F238E27FC236}">
                <a16:creationId xmlns:a16="http://schemas.microsoft.com/office/drawing/2014/main" id="{93687185-B802-1CE0-314D-E91C49BDE038}"/>
              </a:ext>
            </a:extLst>
          </xdr:cNvPr>
          <xdr:cNvSpPr/>
        </xdr:nvSpPr>
        <xdr:spPr>
          <a:xfrm>
            <a:off x="8558622" y="73756"/>
            <a:ext cx="125875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FF0000"/>
                </a:solidFill>
              </a:rPr>
              <a:t>-</a:t>
            </a:r>
            <a:r>
              <a:rPr lang="pt-BR" sz="1100" b="1">
                <a:solidFill>
                  <a:schemeClr val="accent1"/>
                </a:solidFill>
              </a:rPr>
              <a:t>) EXCLUI</a:t>
            </a:r>
            <a:r>
              <a:rPr lang="pt-BR" sz="1100" b="1" baseline="0">
                <a:solidFill>
                  <a:schemeClr val="accent1"/>
                </a:solidFill>
              </a:rPr>
              <a:t>R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grpSp>
        <xdr:nvGrpSpPr>
          <xdr:cNvPr id="19" name="Gráfico 2" descr="Impressora">
            <a:extLst>
              <a:ext uri="{FF2B5EF4-FFF2-40B4-BE49-F238E27FC236}">
                <a16:creationId xmlns:a16="http://schemas.microsoft.com/office/drawing/2014/main" id="{22BC0931-556A-7630-DA44-06F3E3B88396}"/>
              </a:ext>
            </a:extLst>
          </xdr:cNvPr>
          <xdr:cNvGrpSpPr/>
        </xdr:nvGrpSpPr>
        <xdr:grpSpPr>
          <a:xfrm>
            <a:off x="12201802" y="0"/>
            <a:ext cx="280972" cy="288471"/>
            <a:chOff x="0" y="0"/>
            <a:chExt cx="914400" cy="914400"/>
          </a:xfrm>
          <a:solidFill>
            <a:schemeClr val="bg1"/>
          </a:solidFill>
        </xdr:grpSpPr>
        <xdr:sp macro="[0]!Imprimir" textlink="">
          <xdr:nvSpPr>
            <xdr:cNvPr id="23" name="Forma Livre: Forma 22">
              <a:extLst>
                <a:ext uri="{FF2B5EF4-FFF2-40B4-BE49-F238E27FC236}">
                  <a16:creationId xmlns:a16="http://schemas.microsoft.com/office/drawing/2014/main" id="{B4DAD340-C000-3DA1-B32A-46BBCF8F3F7F}"/>
                </a:ext>
              </a:extLst>
            </xdr:cNvPr>
            <xdr:cNvSpPr/>
          </xdr:nvSpPr>
          <xdr:spPr>
            <a:xfrm>
              <a:off x="228600" y="538163"/>
              <a:ext cx="447675" cy="304800"/>
            </a:xfrm>
            <a:custGeom>
              <a:avLst/>
              <a:gdLst>
                <a:gd name="connsiteX0" fmla="*/ 400050 w 447675"/>
                <a:gd name="connsiteY0" fmla="*/ 57150 h 304800"/>
                <a:gd name="connsiteX1" fmla="*/ 399098 w 447675"/>
                <a:gd name="connsiteY1" fmla="*/ 247650 h 304800"/>
                <a:gd name="connsiteX2" fmla="*/ 59055 w 447675"/>
                <a:gd name="connsiteY2" fmla="*/ 247650 h 304800"/>
                <a:gd name="connsiteX3" fmla="*/ 57150 w 447675"/>
                <a:gd name="connsiteY3" fmla="*/ 57150 h 304800"/>
                <a:gd name="connsiteX4" fmla="*/ 400050 w 447675"/>
                <a:gd name="connsiteY4" fmla="*/ 57150 h 304800"/>
                <a:gd name="connsiteX5" fmla="*/ 1905 w 447675"/>
                <a:gd name="connsiteY5" fmla="*/ 304800 h 304800"/>
                <a:gd name="connsiteX6" fmla="*/ 455295 w 447675"/>
                <a:gd name="connsiteY6" fmla="*/ 304800 h 304800"/>
                <a:gd name="connsiteX7" fmla="*/ 456248 w 447675"/>
                <a:gd name="connsiteY7" fmla="*/ 0 h 304800"/>
                <a:gd name="connsiteX8" fmla="*/ 0 w 447675"/>
                <a:gd name="connsiteY8" fmla="*/ 0 h 304800"/>
                <a:gd name="connsiteX9" fmla="*/ 1905 w 447675"/>
                <a:gd name="connsiteY9" fmla="*/ 304800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47675" h="304800">
                  <a:moveTo>
                    <a:pt x="400050" y="57150"/>
                  </a:moveTo>
                  <a:lnTo>
                    <a:pt x="399098" y="247650"/>
                  </a:lnTo>
                  <a:lnTo>
                    <a:pt x="59055" y="247650"/>
                  </a:lnTo>
                  <a:lnTo>
                    <a:pt x="57150" y="57150"/>
                  </a:lnTo>
                  <a:lnTo>
                    <a:pt x="400050" y="57150"/>
                  </a:lnTo>
                  <a:close/>
                  <a:moveTo>
                    <a:pt x="1905" y="304800"/>
                  </a:moveTo>
                  <a:lnTo>
                    <a:pt x="455295" y="304800"/>
                  </a:lnTo>
                  <a:lnTo>
                    <a:pt x="456248" y="0"/>
                  </a:lnTo>
                  <a:lnTo>
                    <a:pt x="0" y="0"/>
                  </a:lnTo>
                  <a:lnTo>
                    <a:pt x="1905" y="3048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4" name="Forma Livre: Forma 23">
              <a:extLst>
                <a:ext uri="{FF2B5EF4-FFF2-40B4-BE49-F238E27FC236}">
                  <a16:creationId xmlns:a16="http://schemas.microsoft.com/office/drawing/2014/main" id="{483DA919-6E35-8454-4493-9168892E9909}"/>
                </a:ext>
              </a:extLst>
            </xdr:cNvPr>
            <xdr:cNvSpPr/>
          </xdr:nvSpPr>
          <xdr:spPr>
            <a:xfrm>
              <a:off x="361950" y="6334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5" name="Forma Livre: Forma 24">
              <a:extLst>
                <a:ext uri="{FF2B5EF4-FFF2-40B4-BE49-F238E27FC236}">
                  <a16:creationId xmlns:a16="http://schemas.microsoft.com/office/drawing/2014/main" id="{89781BDC-0041-89BA-7625-DD8AA493EAA1}"/>
                </a:ext>
              </a:extLst>
            </xdr:cNvPr>
            <xdr:cNvSpPr/>
          </xdr:nvSpPr>
          <xdr:spPr>
            <a:xfrm>
              <a:off x="361950" y="7096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6" name="Forma Livre: Forma 25">
              <a:extLst>
                <a:ext uri="{FF2B5EF4-FFF2-40B4-BE49-F238E27FC236}">
                  <a16:creationId xmlns:a16="http://schemas.microsoft.com/office/drawing/2014/main" id="{FC2ECBDF-C1D0-DF38-F313-462E936A2317}"/>
                </a:ext>
              </a:extLst>
            </xdr:cNvPr>
            <xdr:cNvSpPr/>
          </xdr:nvSpPr>
          <xdr:spPr>
            <a:xfrm>
              <a:off x="38100" y="76200"/>
              <a:ext cx="838200" cy="647700"/>
            </a:xfrm>
            <a:custGeom>
              <a:avLst/>
              <a:gdLst>
                <a:gd name="connsiteX0" fmla="*/ 590550 w 838200"/>
                <a:gd name="connsiteY0" fmla="*/ 276225 h 647700"/>
                <a:gd name="connsiteX1" fmla="*/ 247650 w 838200"/>
                <a:gd name="connsiteY1" fmla="*/ 276225 h 647700"/>
                <a:gd name="connsiteX2" fmla="*/ 247650 w 838200"/>
                <a:gd name="connsiteY2" fmla="*/ 57150 h 647700"/>
                <a:gd name="connsiteX3" fmla="*/ 457200 w 838200"/>
                <a:gd name="connsiteY3" fmla="*/ 57150 h 647700"/>
                <a:gd name="connsiteX4" fmla="*/ 457200 w 838200"/>
                <a:gd name="connsiteY4" fmla="*/ 190500 h 647700"/>
                <a:gd name="connsiteX5" fmla="*/ 590550 w 838200"/>
                <a:gd name="connsiteY5" fmla="*/ 190500 h 647700"/>
                <a:gd name="connsiteX6" fmla="*/ 590550 w 838200"/>
                <a:gd name="connsiteY6" fmla="*/ 276225 h 647700"/>
                <a:gd name="connsiteX7" fmla="*/ 514350 w 838200"/>
                <a:gd name="connsiteY7" fmla="*/ 60960 h 647700"/>
                <a:gd name="connsiteX8" fmla="*/ 580073 w 838200"/>
                <a:gd name="connsiteY8" fmla="*/ 133350 h 647700"/>
                <a:gd name="connsiteX9" fmla="*/ 514350 w 838200"/>
                <a:gd name="connsiteY9" fmla="*/ 133350 h 647700"/>
                <a:gd name="connsiteX10" fmla="*/ 514350 w 838200"/>
                <a:gd name="connsiteY10" fmla="*/ 60960 h 647700"/>
                <a:gd name="connsiteX11" fmla="*/ 95250 w 838200"/>
                <a:gd name="connsiteY11" fmla="*/ 323850 h 647700"/>
                <a:gd name="connsiteX12" fmla="*/ 57150 w 838200"/>
                <a:gd name="connsiteY12" fmla="*/ 285750 h 647700"/>
                <a:gd name="connsiteX13" fmla="*/ 95250 w 838200"/>
                <a:gd name="connsiteY13" fmla="*/ 247650 h 647700"/>
                <a:gd name="connsiteX14" fmla="*/ 133350 w 838200"/>
                <a:gd name="connsiteY14" fmla="*/ 285750 h 647700"/>
                <a:gd name="connsiteX15" fmla="*/ 95250 w 838200"/>
                <a:gd name="connsiteY15" fmla="*/ 323850 h 647700"/>
                <a:gd name="connsiteX16" fmla="*/ 800100 w 838200"/>
                <a:gd name="connsiteY16" fmla="*/ 190500 h 647700"/>
                <a:gd name="connsiteX17" fmla="*/ 647700 w 838200"/>
                <a:gd name="connsiteY17" fmla="*/ 190500 h 647700"/>
                <a:gd name="connsiteX18" fmla="*/ 647700 w 838200"/>
                <a:gd name="connsiteY18" fmla="*/ 121920 h 647700"/>
                <a:gd name="connsiteX19" fmla="*/ 536258 w 838200"/>
                <a:gd name="connsiteY19" fmla="*/ 0 h 647700"/>
                <a:gd name="connsiteX20" fmla="*/ 190500 w 838200"/>
                <a:gd name="connsiteY20" fmla="*/ 0 h 647700"/>
                <a:gd name="connsiteX21" fmla="*/ 190500 w 838200"/>
                <a:gd name="connsiteY21" fmla="*/ 190500 h 647700"/>
                <a:gd name="connsiteX22" fmla="*/ 38100 w 838200"/>
                <a:gd name="connsiteY22" fmla="*/ 190500 h 647700"/>
                <a:gd name="connsiteX23" fmla="*/ 0 w 838200"/>
                <a:gd name="connsiteY23" fmla="*/ 228600 h 647700"/>
                <a:gd name="connsiteX24" fmla="*/ 0 w 838200"/>
                <a:gd name="connsiteY24" fmla="*/ 609600 h 647700"/>
                <a:gd name="connsiteX25" fmla="*/ 38100 w 838200"/>
                <a:gd name="connsiteY25" fmla="*/ 647700 h 647700"/>
                <a:gd name="connsiteX26" fmla="*/ 152400 w 838200"/>
                <a:gd name="connsiteY26" fmla="*/ 647700 h 647700"/>
                <a:gd name="connsiteX27" fmla="*/ 152400 w 838200"/>
                <a:gd name="connsiteY27" fmla="*/ 428625 h 647700"/>
                <a:gd name="connsiteX28" fmla="*/ 685800 w 838200"/>
                <a:gd name="connsiteY28" fmla="*/ 428625 h 647700"/>
                <a:gd name="connsiteX29" fmla="*/ 685800 w 838200"/>
                <a:gd name="connsiteY29" fmla="*/ 647700 h 647700"/>
                <a:gd name="connsiteX30" fmla="*/ 800100 w 838200"/>
                <a:gd name="connsiteY30" fmla="*/ 647700 h 647700"/>
                <a:gd name="connsiteX31" fmla="*/ 838200 w 838200"/>
                <a:gd name="connsiteY31" fmla="*/ 609600 h 647700"/>
                <a:gd name="connsiteX32" fmla="*/ 838200 w 838200"/>
                <a:gd name="connsiteY32" fmla="*/ 228600 h 647700"/>
                <a:gd name="connsiteX33" fmla="*/ 800100 w 838200"/>
                <a:gd name="connsiteY33" fmla="*/ 190500 h 6477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</a:cxnLst>
              <a:rect l="l" t="t" r="r" b="b"/>
              <a:pathLst>
                <a:path w="838200" h="647700">
                  <a:moveTo>
                    <a:pt x="590550" y="276225"/>
                  </a:moveTo>
                  <a:lnTo>
                    <a:pt x="247650" y="276225"/>
                  </a:lnTo>
                  <a:lnTo>
                    <a:pt x="247650" y="57150"/>
                  </a:lnTo>
                  <a:lnTo>
                    <a:pt x="457200" y="57150"/>
                  </a:lnTo>
                  <a:lnTo>
                    <a:pt x="457200" y="190500"/>
                  </a:lnTo>
                  <a:lnTo>
                    <a:pt x="590550" y="190500"/>
                  </a:lnTo>
                  <a:lnTo>
                    <a:pt x="590550" y="276225"/>
                  </a:lnTo>
                  <a:close/>
                  <a:moveTo>
                    <a:pt x="514350" y="60960"/>
                  </a:moveTo>
                  <a:lnTo>
                    <a:pt x="580073" y="133350"/>
                  </a:lnTo>
                  <a:lnTo>
                    <a:pt x="514350" y="133350"/>
                  </a:lnTo>
                  <a:lnTo>
                    <a:pt x="514350" y="60960"/>
                  </a:lnTo>
                  <a:close/>
                  <a:moveTo>
                    <a:pt x="95250" y="323850"/>
                  </a:moveTo>
                  <a:cubicBezTo>
                    <a:pt x="74295" y="323850"/>
                    <a:pt x="57150" y="306705"/>
                    <a:pt x="57150" y="285750"/>
                  </a:cubicBezTo>
                  <a:cubicBezTo>
                    <a:pt x="57150" y="264795"/>
                    <a:pt x="74295" y="247650"/>
                    <a:pt x="95250" y="247650"/>
                  </a:cubicBezTo>
                  <a:cubicBezTo>
                    <a:pt x="116205" y="247650"/>
                    <a:pt x="133350" y="264795"/>
                    <a:pt x="133350" y="285750"/>
                  </a:cubicBezTo>
                  <a:cubicBezTo>
                    <a:pt x="133350" y="306705"/>
                    <a:pt x="116205" y="323850"/>
                    <a:pt x="95250" y="323850"/>
                  </a:cubicBezTo>
                  <a:close/>
                  <a:moveTo>
                    <a:pt x="800100" y="190500"/>
                  </a:moveTo>
                  <a:lnTo>
                    <a:pt x="647700" y="190500"/>
                  </a:lnTo>
                  <a:lnTo>
                    <a:pt x="647700" y="121920"/>
                  </a:lnTo>
                  <a:lnTo>
                    <a:pt x="536258" y="0"/>
                  </a:lnTo>
                  <a:lnTo>
                    <a:pt x="190500" y="0"/>
                  </a:lnTo>
                  <a:lnTo>
                    <a:pt x="190500" y="190500"/>
                  </a:lnTo>
                  <a:lnTo>
                    <a:pt x="38100" y="190500"/>
                  </a:lnTo>
                  <a:cubicBezTo>
                    <a:pt x="17145" y="190500"/>
                    <a:pt x="0" y="207645"/>
                    <a:pt x="0" y="228600"/>
                  </a:cubicBezTo>
                  <a:lnTo>
                    <a:pt x="0" y="609600"/>
                  </a:lnTo>
                  <a:cubicBezTo>
                    <a:pt x="0" y="630555"/>
                    <a:pt x="17145" y="647700"/>
                    <a:pt x="38100" y="647700"/>
                  </a:cubicBezTo>
                  <a:lnTo>
                    <a:pt x="152400" y="647700"/>
                  </a:lnTo>
                  <a:lnTo>
                    <a:pt x="152400" y="428625"/>
                  </a:lnTo>
                  <a:lnTo>
                    <a:pt x="685800" y="428625"/>
                  </a:lnTo>
                  <a:lnTo>
                    <a:pt x="685800" y="647700"/>
                  </a:lnTo>
                  <a:lnTo>
                    <a:pt x="800100" y="647700"/>
                  </a:lnTo>
                  <a:cubicBezTo>
                    <a:pt x="821055" y="647700"/>
                    <a:pt x="838200" y="630555"/>
                    <a:pt x="838200" y="609600"/>
                  </a:cubicBezTo>
                  <a:lnTo>
                    <a:pt x="838200" y="228600"/>
                  </a:lnTo>
                  <a:cubicBezTo>
                    <a:pt x="838200" y="207645"/>
                    <a:pt x="821055" y="190500"/>
                    <a:pt x="800100" y="190500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</xdr:grpSp>
      <xdr:sp macro="" textlink="">
        <xdr:nvSpPr>
          <xdr:cNvPr id="20" name="Retângulo 1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E4CFC85-D2A7-F063-4193-74C129A68DFB}"/>
              </a:ext>
            </a:extLst>
          </xdr:cNvPr>
          <xdr:cNvSpPr/>
        </xdr:nvSpPr>
        <xdr:spPr>
          <a:xfrm>
            <a:off x="8064717" y="368985"/>
            <a:ext cx="1726298" cy="1947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ENDIVIDAMENTO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2" name="Imagem 21">
                <a:extLst>
                  <a:ext uri="{FF2B5EF4-FFF2-40B4-BE49-F238E27FC236}">
                    <a16:creationId xmlns:a16="http://schemas.microsoft.com/office/drawing/2014/main" id="{637D63AA-818E-A0A5-B365-8374F5EAD57B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MENU!$F$2" spid="_x0000_s192656"/>
                  </a:ext>
                </a:extLst>
              </xdr:cNvPicPr>
            </xdr:nvPicPr>
            <xdr:blipFill rotWithShape="1">
              <a:blip xmlns:r="http://schemas.openxmlformats.org/officeDocument/2006/relationships" r:embed="rId12"/>
              <a:srcRect b="4887"/>
              <a:stretch>
                <a:fillRect/>
              </a:stretch>
            </xdr:blipFill>
            <xdr:spPr>
              <a:xfrm rot="5400000">
                <a:off x="102577" y="-102577"/>
                <a:ext cx="573778" cy="778932"/>
              </a:xfrm>
              <a:prstGeom prst="rect">
                <a:avLst/>
              </a:prstGeom>
              <a:ln>
                <a:noFill/>
              </a:ln>
            </xdr:spPr>
          </xdr:pic>
        </mc:Choice>
        <mc:Fallback xmlns=""/>
      </mc:AlternateContent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152400</xdr:colOff>
      <xdr:row>3</xdr:row>
      <xdr:rowOff>9525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A3882E3C-5269-418F-B352-DE9B1032B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0"/>
          <a:ext cx="742950" cy="6191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974270</xdr:colOff>
          <xdr:row>1</xdr:row>
          <xdr:rowOff>26314</xdr:rowOff>
        </xdr:from>
        <xdr:to>
          <xdr:col>8</xdr:col>
          <xdr:colOff>613008</xdr:colOff>
          <xdr:row>1</xdr:row>
          <xdr:rowOff>210509</xdr:rowOff>
        </xdr:to>
        <xdr:sp macro="" textlink="">
          <xdr:nvSpPr>
            <xdr:cNvPr id="221185" name="Button 1" hidden="1">
              <a:extLst>
                <a:ext uri="{63B3BB69-23CF-44E3-9099-C40C66FF867C}">
                  <a14:compatExt spid="_x0000_s221185"/>
                </a:ext>
                <a:ext uri="{FF2B5EF4-FFF2-40B4-BE49-F238E27FC236}">
                  <a16:creationId xmlns:a16="http://schemas.microsoft.com/office/drawing/2014/main" id="{00000000-0008-0000-0700-000001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9</xdr:col>
      <xdr:colOff>44767</xdr:colOff>
      <xdr:row>2</xdr:row>
      <xdr:rowOff>12861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5198C0E1-AF03-4CC9-A692-0A885659AB3A}"/>
            </a:ext>
          </a:extLst>
        </xdr:cNvPr>
        <xdr:cNvGrpSpPr/>
      </xdr:nvGrpSpPr>
      <xdr:grpSpPr>
        <a:xfrm>
          <a:off x="0" y="0"/>
          <a:ext cx="13502330" cy="586122"/>
          <a:chOff x="0" y="0"/>
          <a:chExt cx="12482774" cy="573778"/>
        </a:xfrm>
      </xdr:grpSpPr>
      <xdr:sp macro="[0]!Salvar" textlink="">
        <xdr:nvSpPr>
          <xdr:cNvPr id="32" name="Retângulo Arredondado 1">
            <a:extLst>
              <a:ext uri="{FF2B5EF4-FFF2-40B4-BE49-F238E27FC236}">
                <a16:creationId xmlns:a16="http://schemas.microsoft.com/office/drawing/2014/main" id="{34A1F23A-BC95-94A9-F6CC-38039F8BFFF4}"/>
              </a:ext>
            </a:extLst>
          </xdr:cNvPr>
          <xdr:cNvSpPr/>
        </xdr:nvSpPr>
        <xdr:spPr>
          <a:xfrm>
            <a:off x="10722383" y="66578"/>
            <a:ext cx="885827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SALVAR</a:t>
            </a:r>
          </a:p>
        </xdr:txBody>
      </xdr:sp>
      <xdr:sp macro="" textlink="">
        <xdr:nvSpPr>
          <xdr:cNvPr id="33" name="Retângulo Arredondado 2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FAC7D29-CE44-64F6-015B-6DFC39342364}"/>
              </a:ext>
            </a:extLst>
          </xdr:cNvPr>
          <xdr:cNvSpPr/>
        </xdr:nvSpPr>
        <xdr:spPr>
          <a:xfrm>
            <a:off x="9852183" y="66578"/>
            <a:ext cx="842402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MENU</a:t>
            </a:r>
          </a:p>
        </xdr:txBody>
      </xdr:sp>
      <xdr:sp macro="[0]!workbook_close" textlink="">
        <xdr:nvSpPr>
          <xdr:cNvPr id="34" name="Seta: para Baixo 28">
            <a:extLst>
              <a:ext uri="{FF2B5EF4-FFF2-40B4-BE49-F238E27FC236}">
                <a16:creationId xmlns:a16="http://schemas.microsoft.com/office/drawing/2014/main" id="{6ACDFB43-6ED1-12F8-4B92-D26A42BC14B1}"/>
              </a:ext>
            </a:extLst>
          </xdr:cNvPr>
          <xdr:cNvSpPr/>
        </xdr:nvSpPr>
        <xdr:spPr>
          <a:xfrm>
            <a:off x="11913183" y="66578"/>
            <a:ext cx="236283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workbook_open" textlink="">
        <xdr:nvSpPr>
          <xdr:cNvPr id="35" name="Seta: para Baixo 29">
            <a:extLst>
              <a:ext uri="{FF2B5EF4-FFF2-40B4-BE49-F238E27FC236}">
                <a16:creationId xmlns:a16="http://schemas.microsoft.com/office/drawing/2014/main" id="{6F36E120-AF7F-31BB-CADA-F319C21F4084}"/>
              </a:ext>
            </a:extLst>
          </xdr:cNvPr>
          <xdr:cNvSpPr/>
        </xdr:nvSpPr>
        <xdr:spPr>
          <a:xfrm rot="10800000">
            <a:off x="11691604" y="38044"/>
            <a:ext cx="240111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64363B5-6A70-A0FB-E9E3-EDB59BB4FAEF}"/>
              </a:ext>
            </a:extLst>
          </xdr:cNvPr>
          <xdr:cNvSpPr/>
        </xdr:nvSpPr>
        <xdr:spPr>
          <a:xfrm>
            <a:off x="5646945" y="373482"/>
            <a:ext cx="240623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DEM. PLANO DE CONTAS (REC E</a:t>
            </a:r>
            <a:r>
              <a:rPr lang="pt-BR" sz="1100" b="1" i="0" baseline="0">
                <a:solidFill>
                  <a:srgbClr val="797979"/>
                </a:solidFill>
              </a:rPr>
              <a:t> DESP)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37" name="Retângulo 3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1392966-CF4A-D18F-998E-A12A6BA0356A}"/>
              </a:ext>
            </a:extLst>
          </xdr:cNvPr>
          <xdr:cNvSpPr/>
        </xdr:nvSpPr>
        <xdr:spPr>
          <a:xfrm>
            <a:off x="1616796" y="373482"/>
            <a:ext cx="719291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CLIENTES</a:t>
            </a:r>
          </a:p>
        </xdr:txBody>
      </xdr:sp>
      <xdr:sp macro="" textlink="">
        <xdr:nvSpPr>
          <xdr:cNvPr id="38" name="Retângulo 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FA696D-930B-33F2-7388-59EC261514AB}"/>
              </a:ext>
            </a:extLst>
          </xdr:cNvPr>
          <xdr:cNvSpPr/>
        </xdr:nvSpPr>
        <xdr:spPr>
          <a:xfrm>
            <a:off x="2349309" y="373482"/>
            <a:ext cx="120777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FORNECEDORES</a:t>
            </a:r>
          </a:p>
        </xdr:txBody>
      </xdr:sp>
      <xdr:sp macro="" textlink="">
        <xdr:nvSpPr>
          <xdr:cNvPr id="39" name="Retângulo 3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C013C0C-46A0-1213-B127-6BD3BED42FA4}"/>
              </a:ext>
            </a:extLst>
          </xdr:cNvPr>
          <xdr:cNvSpPr/>
        </xdr:nvSpPr>
        <xdr:spPr>
          <a:xfrm>
            <a:off x="768950" y="373482"/>
            <a:ext cx="827184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EMPRESAS</a:t>
            </a:r>
          </a:p>
        </xdr:txBody>
      </xdr:sp>
      <xdr:sp macro="" textlink="">
        <xdr:nvSpPr>
          <xdr:cNvPr id="40" name="Retângulo 3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CB6519D-B0B7-D43A-AED2-0B6737F0A360}"/>
              </a:ext>
            </a:extLst>
          </xdr:cNvPr>
          <xdr:cNvSpPr/>
        </xdr:nvSpPr>
        <xdr:spPr>
          <a:xfrm>
            <a:off x="3566856" y="373482"/>
            <a:ext cx="685443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BANCOS</a:t>
            </a:r>
          </a:p>
        </xdr:txBody>
      </xdr:sp>
      <xdr:sp macro="" textlink="">
        <xdr:nvSpPr>
          <xdr:cNvPr id="41" name="Retângulo 40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D8C5409-CC42-197E-CF94-157CFD19B707}"/>
              </a:ext>
            </a:extLst>
          </xdr:cNvPr>
          <xdr:cNvSpPr/>
        </xdr:nvSpPr>
        <xdr:spPr>
          <a:xfrm>
            <a:off x="4266525" y="373482"/>
            <a:ext cx="1366652" cy="1905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CENTRO</a:t>
            </a:r>
            <a:r>
              <a:rPr lang="pt-BR" sz="1100" b="1" i="0" baseline="0">
                <a:solidFill>
                  <a:srgbClr val="797979"/>
                </a:solidFill>
              </a:rPr>
              <a:t> DE CUSTOS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42" name="Retângulo 4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83AA69F-7271-3007-8AAB-31342E7790D8}"/>
              </a:ext>
            </a:extLst>
          </xdr:cNvPr>
          <xdr:cNvSpPr/>
        </xdr:nvSpPr>
        <xdr:spPr>
          <a:xfrm>
            <a:off x="768950" y="0"/>
            <a:ext cx="935078" cy="312742"/>
          </a:xfrm>
          <a:prstGeom prst="rect">
            <a:avLst/>
          </a:prstGeom>
          <a:solidFill>
            <a:srgbClr val="EBEBE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accent1"/>
                </a:solidFill>
              </a:rPr>
              <a:t>CADASTROS</a:t>
            </a:r>
          </a:p>
        </xdr:txBody>
      </xdr:sp>
      <xdr:sp macro="" textlink="">
        <xdr:nvSpPr>
          <xdr:cNvPr id="43" name="Retângulo 4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C94529F-F91F-0F42-A95A-53095FDAF4C5}"/>
              </a:ext>
            </a:extLst>
          </xdr:cNvPr>
          <xdr:cNvSpPr/>
        </xdr:nvSpPr>
        <xdr:spPr>
          <a:xfrm>
            <a:off x="1712050" y="0"/>
            <a:ext cx="1150865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LANÇAMENTOS</a:t>
            </a:r>
          </a:p>
        </xdr:txBody>
      </xdr:sp>
      <xdr:sp macro="" textlink="">
        <xdr:nvSpPr>
          <xdr:cNvPr id="44" name="Retângulo 4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6FCA08D-C53E-5CEE-39D2-2D9AC665B237}"/>
              </a:ext>
            </a:extLst>
          </xdr:cNvPr>
          <xdr:cNvSpPr/>
        </xdr:nvSpPr>
        <xdr:spPr>
          <a:xfrm>
            <a:off x="2875769" y="0"/>
            <a:ext cx="973159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RELATÓRIOSS</a:t>
            </a:r>
          </a:p>
        </xdr:txBody>
      </xdr:sp>
      <xdr:sp macro="" textlink="">
        <xdr:nvSpPr>
          <xdr:cNvPr id="45" name="Retângulo 4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2D82D2E8-605B-224E-76F6-09D030C3523B}"/>
              </a:ext>
            </a:extLst>
          </xdr:cNvPr>
          <xdr:cNvSpPr/>
        </xdr:nvSpPr>
        <xdr:spPr>
          <a:xfrm>
            <a:off x="3851425" y="0"/>
            <a:ext cx="971043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DASHBOARD</a:t>
            </a:r>
          </a:p>
        </xdr:txBody>
      </xdr:sp>
      <xdr:sp macro="[0]!Adicionar_linha" textlink="">
        <xdr:nvSpPr>
          <xdr:cNvPr id="46" name="Retângulo Arredondado 20">
            <a:extLst>
              <a:ext uri="{FF2B5EF4-FFF2-40B4-BE49-F238E27FC236}">
                <a16:creationId xmlns:a16="http://schemas.microsoft.com/office/drawing/2014/main" id="{58936616-EFDB-224B-44AC-EECB019629AB}"/>
              </a:ext>
            </a:extLst>
          </xdr:cNvPr>
          <xdr:cNvSpPr/>
        </xdr:nvSpPr>
        <xdr:spPr>
          <a:xfrm>
            <a:off x="7071820" y="73756"/>
            <a:ext cx="146819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00B050"/>
                </a:solidFill>
              </a:rPr>
              <a:t>+</a:t>
            </a:r>
            <a:r>
              <a:rPr lang="pt-BR" sz="1100" b="1">
                <a:solidFill>
                  <a:schemeClr val="accent1"/>
                </a:solidFill>
              </a:rPr>
              <a:t>) ADICIONAR</a:t>
            </a:r>
            <a:r>
              <a:rPr lang="pt-BR" sz="1100" b="1" baseline="0">
                <a:solidFill>
                  <a:schemeClr val="accent1"/>
                </a:solidFill>
              </a:rPr>
              <a:t>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sp macro="[0]!Excluir_Linha" textlink="">
        <xdr:nvSpPr>
          <xdr:cNvPr id="47" name="Retângulo Arredondado 20">
            <a:extLst>
              <a:ext uri="{FF2B5EF4-FFF2-40B4-BE49-F238E27FC236}">
                <a16:creationId xmlns:a16="http://schemas.microsoft.com/office/drawing/2014/main" id="{C157016A-477A-0680-E3C4-743A72D3051D}"/>
              </a:ext>
            </a:extLst>
          </xdr:cNvPr>
          <xdr:cNvSpPr/>
        </xdr:nvSpPr>
        <xdr:spPr>
          <a:xfrm>
            <a:off x="8558622" y="73756"/>
            <a:ext cx="125875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FF0000"/>
                </a:solidFill>
              </a:rPr>
              <a:t>-</a:t>
            </a:r>
            <a:r>
              <a:rPr lang="pt-BR" sz="1100" b="1">
                <a:solidFill>
                  <a:schemeClr val="accent1"/>
                </a:solidFill>
              </a:rPr>
              <a:t>) EXCLUI</a:t>
            </a:r>
            <a:r>
              <a:rPr lang="pt-BR" sz="1100" b="1" baseline="0">
                <a:solidFill>
                  <a:schemeClr val="accent1"/>
                </a:solidFill>
              </a:rPr>
              <a:t>R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grpSp>
        <xdr:nvGrpSpPr>
          <xdr:cNvPr id="48" name="Gráfico 2" descr="Impressora">
            <a:extLst>
              <a:ext uri="{FF2B5EF4-FFF2-40B4-BE49-F238E27FC236}">
                <a16:creationId xmlns:a16="http://schemas.microsoft.com/office/drawing/2014/main" id="{B5F03981-4CCE-D52D-0EDC-07F4F5CEA533}"/>
              </a:ext>
            </a:extLst>
          </xdr:cNvPr>
          <xdr:cNvGrpSpPr/>
        </xdr:nvGrpSpPr>
        <xdr:grpSpPr>
          <a:xfrm>
            <a:off x="12201802" y="0"/>
            <a:ext cx="280972" cy="288471"/>
            <a:chOff x="0" y="0"/>
            <a:chExt cx="914400" cy="914400"/>
          </a:xfrm>
          <a:solidFill>
            <a:schemeClr val="bg1"/>
          </a:solidFill>
        </xdr:grpSpPr>
        <xdr:sp macro="[0]!Imprimir" textlink="">
          <xdr:nvSpPr>
            <xdr:cNvPr id="51" name="Forma Livre: Forma 50">
              <a:extLst>
                <a:ext uri="{FF2B5EF4-FFF2-40B4-BE49-F238E27FC236}">
                  <a16:creationId xmlns:a16="http://schemas.microsoft.com/office/drawing/2014/main" id="{3AADBAA0-8864-A4E1-B19D-AD72D3770457}"/>
                </a:ext>
              </a:extLst>
            </xdr:cNvPr>
            <xdr:cNvSpPr/>
          </xdr:nvSpPr>
          <xdr:spPr>
            <a:xfrm>
              <a:off x="228600" y="538163"/>
              <a:ext cx="447675" cy="304800"/>
            </a:xfrm>
            <a:custGeom>
              <a:avLst/>
              <a:gdLst>
                <a:gd name="connsiteX0" fmla="*/ 400050 w 447675"/>
                <a:gd name="connsiteY0" fmla="*/ 57150 h 304800"/>
                <a:gd name="connsiteX1" fmla="*/ 399098 w 447675"/>
                <a:gd name="connsiteY1" fmla="*/ 247650 h 304800"/>
                <a:gd name="connsiteX2" fmla="*/ 59055 w 447675"/>
                <a:gd name="connsiteY2" fmla="*/ 247650 h 304800"/>
                <a:gd name="connsiteX3" fmla="*/ 57150 w 447675"/>
                <a:gd name="connsiteY3" fmla="*/ 57150 h 304800"/>
                <a:gd name="connsiteX4" fmla="*/ 400050 w 447675"/>
                <a:gd name="connsiteY4" fmla="*/ 57150 h 304800"/>
                <a:gd name="connsiteX5" fmla="*/ 1905 w 447675"/>
                <a:gd name="connsiteY5" fmla="*/ 304800 h 304800"/>
                <a:gd name="connsiteX6" fmla="*/ 455295 w 447675"/>
                <a:gd name="connsiteY6" fmla="*/ 304800 h 304800"/>
                <a:gd name="connsiteX7" fmla="*/ 456248 w 447675"/>
                <a:gd name="connsiteY7" fmla="*/ 0 h 304800"/>
                <a:gd name="connsiteX8" fmla="*/ 0 w 447675"/>
                <a:gd name="connsiteY8" fmla="*/ 0 h 304800"/>
                <a:gd name="connsiteX9" fmla="*/ 1905 w 447675"/>
                <a:gd name="connsiteY9" fmla="*/ 304800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47675" h="304800">
                  <a:moveTo>
                    <a:pt x="400050" y="57150"/>
                  </a:moveTo>
                  <a:lnTo>
                    <a:pt x="399098" y="247650"/>
                  </a:lnTo>
                  <a:lnTo>
                    <a:pt x="59055" y="247650"/>
                  </a:lnTo>
                  <a:lnTo>
                    <a:pt x="57150" y="57150"/>
                  </a:lnTo>
                  <a:lnTo>
                    <a:pt x="400050" y="57150"/>
                  </a:lnTo>
                  <a:close/>
                  <a:moveTo>
                    <a:pt x="1905" y="304800"/>
                  </a:moveTo>
                  <a:lnTo>
                    <a:pt x="455295" y="304800"/>
                  </a:lnTo>
                  <a:lnTo>
                    <a:pt x="456248" y="0"/>
                  </a:lnTo>
                  <a:lnTo>
                    <a:pt x="0" y="0"/>
                  </a:lnTo>
                  <a:lnTo>
                    <a:pt x="1905" y="3048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52" name="Forma Livre: Forma 51">
              <a:extLst>
                <a:ext uri="{FF2B5EF4-FFF2-40B4-BE49-F238E27FC236}">
                  <a16:creationId xmlns:a16="http://schemas.microsoft.com/office/drawing/2014/main" id="{0DAA30ED-1B8A-558E-2E13-85BB9A2D126F}"/>
                </a:ext>
              </a:extLst>
            </xdr:cNvPr>
            <xdr:cNvSpPr/>
          </xdr:nvSpPr>
          <xdr:spPr>
            <a:xfrm>
              <a:off x="361950" y="6334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53" name="Forma Livre: Forma 52">
              <a:extLst>
                <a:ext uri="{FF2B5EF4-FFF2-40B4-BE49-F238E27FC236}">
                  <a16:creationId xmlns:a16="http://schemas.microsoft.com/office/drawing/2014/main" id="{DF50B863-D7BC-D710-1BEC-16A6892E5C59}"/>
                </a:ext>
              </a:extLst>
            </xdr:cNvPr>
            <xdr:cNvSpPr/>
          </xdr:nvSpPr>
          <xdr:spPr>
            <a:xfrm>
              <a:off x="361950" y="7096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54" name="Forma Livre: Forma 53">
              <a:extLst>
                <a:ext uri="{FF2B5EF4-FFF2-40B4-BE49-F238E27FC236}">
                  <a16:creationId xmlns:a16="http://schemas.microsoft.com/office/drawing/2014/main" id="{89DFEEAE-2BDB-DC71-6E8B-C96D3DD810B0}"/>
                </a:ext>
              </a:extLst>
            </xdr:cNvPr>
            <xdr:cNvSpPr/>
          </xdr:nvSpPr>
          <xdr:spPr>
            <a:xfrm>
              <a:off x="38100" y="76200"/>
              <a:ext cx="838200" cy="647700"/>
            </a:xfrm>
            <a:custGeom>
              <a:avLst/>
              <a:gdLst>
                <a:gd name="connsiteX0" fmla="*/ 590550 w 838200"/>
                <a:gd name="connsiteY0" fmla="*/ 276225 h 647700"/>
                <a:gd name="connsiteX1" fmla="*/ 247650 w 838200"/>
                <a:gd name="connsiteY1" fmla="*/ 276225 h 647700"/>
                <a:gd name="connsiteX2" fmla="*/ 247650 w 838200"/>
                <a:gd name="connsiteY2" fmla="*/ 57150 h 647700"/>
                <a:gd name="connsiteX3" fmla="*/ 457200 w 838200"/>
                <a:gd name="connsiteY3" fmla="*/ 57150 h 647700"/>
                <a:gd name="connsiteX4" fmla="*/ 457200 w 838200"/>
                <a:gd name="connsiteY4" fmla="*/ 190500 h 647700"/>
                <a:gd name="connsiteX5" fmla="*/ 590550 w 838200"/>
                <a:gd name="connsiteY5" fmla="*/ 190500 h 647700"/>
                <a:gd name="connsiteX6" fmla="*/ 590550 w 838200"/>
                <a:gd name="connsiteY6" fmla="*/ 276225 h 647700"/>
                <a:gd name="connsiteX7" fmla="*/ 514350 w 838200"/>
                <a:gd name="connsiteY7" fmla="*/ 60960 h 647700"/>
                <a:gd name="connsiteX8" fmla="*/ 580073 w 838200"/>
                <a:gd name="connsiteY8" fmla="*/ 133350 h 647700"/>
                <a:gd name="connsiteX9" fmla="*/ 514350 w 838200"/>
                <a:gd name="connsiteY9" fmla="*/ 133350 h 647700"/>
                <a:gd name="connsiteX10" fmla="*/ 514350 w 838200"/>
                <a:gd name="connsiteY10" fmla="*/ 60960 h 647700"/>
                <a:gd name="connsiteX11" fmla="*/ 95250 w 838200"/>
                <a:gd name="connsiteY11" fmla="*/ 323850 h 647700"/>
                <a:gd name="connsiteX12" fmla="*/ 57150 w 838200"/>
                <a:gd name="connsiteY12" fmla="*/ 285750 h 647700"/>
                <a:gd name="connsiteX13" fmla="*/ 95250 w 838200"/>
                <a:gd name="connsiteY13" fmla="*/ 247650 h 647700"/>
                <a:gd name="connsiteX14" fmla="*/ 133350 w 838200"/>
                <a:gd name="connsiteY14" fmla="*/ 285750 h 647700"/>
                <a:gd name="connsiteX15" fmla="*/ 95250 w 838200"/>
                <a:gd name="connsiteY15" fmla="*/ 323850 h 647700"/>
                <a:gd name="connsiteX16" fmla="*/ 800100 w 838200"/>
                <a:gd name="connsiteY16" fmla="*/ 190500 h 647700"/>
                <a:gd name="connsiteX17" fmla="*/ 647700 w 838200"/>
                <a:gd name="connsiteY17" fmla="*/ 190500 h 647700"/>
                <a:gd name="connsiteX18" fmla="*/ 647700 w 838200"/>
                <a:gd name="connsiteY18" fmla="*/ 121920 h 647700"/>
                <a:gd name="connsiteX19" fmla="*/ 536258 w 838200"/>
                <a:gd name="connsiteY19" fmla="*/ 0 h 647700"/>
                <a:gd name="connsiteX20" fmla="*/ 190500 w 838200"/>
                <a:gd name="connsiteY20" fmla="*/ 0 h 647700"/>
                <a:gd name="connsiteX21" fmla="*/ 190500 w 838200"/>
                <a:gd name="connsiteY21" fmla="*/ 190500 h 647700"/>
                <a:gd name="connsiteX22" fmla="*/ 38100 w 838200"/>
                <a:gd name="connsiteY22" fmla="*/ 190500 h 647700"/>
                <a:gd name="connsiteX23" fmla="*/ 0 w 838200"/>
                <a:gd name="connsiteY23" fmla="*/ 228600 h 647700"/>
                <a:gd name="connsiteX24" fmla="*/ 0 w 838200"/>
                <a:gd name="connsiteY24" fmla="*/ 609600 h 647700"/>
                <a:gd name="connsiteX25" fmla="*/ 38100 w 838200"/>
                <a:gd name="connsiteY25" fmla="*/ 647700 h 647700"/>
                <a:gd name="connsiteX26" fmla="*/ 152400 w 838200"/>
                <a:gd name="connsiteY26" fmla="*/ 647700 h 647700"/>
                <a:gd name="connsiteX27" fmla="*/ 152400 w 838200"/>
                <a:gd name="connsiteY27" fmla="*/ 428625 h 647700"/>
                <a:gd name="connsiteX28" fmla="*/ 685800 w 838200"/>
                <a:gd name="connsiteY28" fmla="*/ 428625 h 647700"/>
                <a:gd name="connsiteX29" fmla="*/ 685800 w 838200"/>
                <a:gd name="connsiteY29" fmla="*/ 647700 h 647700"/>
                <a:gd name="connsiteX30" fmla="*/ 800100 w 838200"/>
                <a:gd name="connsiteY30" fmla="*/ 647700 h 647700"/>
                <a:gd name="connsiteX31" fmla="*/ 838200 w 838200"/>
                <a:gd name="connsiteY31" fmla="*/ 609600 h 647700"/>
                <a:gd name="connsiteX32" fmla="*/ 838200 w 838200"/>
                <a:gd name="connsiteY32" fmla="*/ 228600 h 647700"/>
                <a:gd name="connsiteX33" fmla="*/ 800100 w 838200"/>
                <a:gd name="connsiteY33" fmla="*/ 190500 h 6477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</a:cxnLst>
              <a:rect l="l" t="t" r="r" b="b"/>
              <a:pathLst>
                <a:path w="838200" h="647700">
                  <a:moveTo>
                    <a:pt x="590550" y="276225"/>
                  </a:moveTo>
                  <a:lnTo>
                    <a:pt x="247650" y="276225"/>
                  </a:lnTo>
                  <a:lnTo>
                    <a:pt x="247650" y="57150"/>
                  </a:lnTo>
                  <a:lnTo>
                    <a:pt x="457200" y="57150"/>
                  </a:lnTo>
                  <a:lnTo>
                    <a:pt x="457200" y="190500"/>
                  </a:lnTo>
                  <a:lnTo>
                    <a:pt x="590550" y="190500"/>
                  </a:lnTo>
                  <a:lnTo>
                    <a:pt x="590550" y="276225"/>
                  </a:lnTo>
                  <a:close/>
                  <a:moveTo>
                    <a:pt x="514350" y="60960"/>
                  </a:moveTo>
                  <a:lnTo>
                    <a:pt x="580073" y="133350"/>
                  </a:lnTo>
                  <a:lnTo>
                    <a:pt x="514350" y="133350"/>
                  </a:lnTo>
                  <a:lnTo>
                    <a:pt x="514350" y="60960"/>
                  </a:lnTo>
                  <a:close/>
                  <a:moveTo>
                    <a:pt x="95250" y="323850"/>
                  </a:moveTo>
                  <a:cubicBezTo>
                    <a:pt x="74295" y="323850"/>
                    <a:pt x="57150" y="306705"/>
                    <a:pt x="57150" y="285750"/>
                  </a:cubicBezTo>
                  <a:cubicBezTo>
                    <a:pt x="57150" y="264795"/>
                    <a:pt x="74295" y="247650"/>
                    <a:pt x="95250" y="247650"/>
                  </a:cubicBezTo>
                  <a:cubicBezTo>
                    <a:pt x="116205" y="247650"/>
                    <a:pt x="133350" y="264795"/>
                    <a:pt x="133350" y="285750"/>
                  </a:cubicBezTo>
                  <a:cubicBezTo>
                    <a:pt x="133350" y="306705"/>
                    <a:pt x="116205" y="323850"/>
                    <a:pt x="95250" y="323850"/>
                  </a:cubicBezTo>
                  <a:close/>
                  <a:moveTo>
                    <a:pt x="800100" y="190500"/>
                  </a:moveTo>
                  <a:lnTo>
                    <a:pt x="647700" y="190500"/>
                  </a:lnTo>
                  <a:lnTo>
                    <a:pt x="647700" y="121920"/>
                  </a:lnTo>
                  <a:lnTo>
                    <a:pt x="536258" y="0"/>
                  </a:lnTo>
                  <a:lnTo>
                    <a:pt x="190500" y="0"/>
                  </a:lnTo>
                  <a:lnTo>
                    <a:pt x="190500" y="190500"/>
                  </a:lnTo>
                  <a:lnTo>
                    <a:pt x="38100" y="190500"/>
                  </a:lnTo>
                  <a:cubicBezTo>
                    <a:pt x="17145" y="190500"/>
                    <a:pt x="0" y="207645"/>
                    <a:pt x="0" y="228600"/>
                  </a:cubicBezTo>
                  <a:lnTo>
                    <a:pt x="0" y="609600"/>
                  </a:lnTo>
                  <a:cubicBezTo>
                    <a:pt x="0" y="630555"/>
                    <a:pt x="17145" y="647700"/>
                    <a:pt x="38100" y="647700"/>
                  </a:cubicBezTo>
                  <a:lnTo>
                    <a:pt x="152400" y="647700"/>
                  </a:lnTo>
                  <a:lnTo>
                    <a:pt x="152400" y="428625"/>
                  </a:lnTo>
                  <a:lnTo>
                    <a:pt x="685800" y="428625"/>
                  </a:lnTo>
                  <a:lnTo>
                    <a:pt x="685800" y="647700"/>
                  </a:lnTo>
                  <a:lnTo>
                    <a:pt x="800100" y="647700"/>
                  </a:lnTo>
                  <a:cubicBezTo>
                    <a:pt x="821055" y="647700"/>
                    <a:pt x="838200" y="630555"/>
                    <a:pt x="838200" y="609600"/>
                  </a:cubicBezTo>
                  <a:lnTo>
                    <a:pt x="838200" y="228600"/>
                  </a:lnTo>
                  <a:cubicBezTo>
                    <a:pt x="838200" y="207645"/>
                    <a:pt x="821055" y="190500"/>
                    <a:pt x="800100" y="190500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</xdr:grpSp>
      <xdr:sp macro="" textlink="">
        <xdr:nvSpPr>
          <xdr:cNvPr id="49" name="Retângulo 1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EB34D86-076E-9943-4119-E207ED859968}"/>
              </a:ext>
            </a:extLst>
          </xdr:cNvPr>
          <xdr:cNvSpPr/>
        </xdr:nvSpPr>
        <xdr:spPr>
          <a:xfrm>
            <a:off x="8064717" y="368985"/>
            <a:ext cx="1726298" cy="194751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chemeClr val="accent2"/>
                </a:solidFill>
              </a:rPr>
              <a:t>ENDIVIDAMENTO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50" name="Imagem 49">
                <a:extLst>
                  <a:ext uri="{FF2B5EF4-FFF2-40B4-BE49-F238E27FC236}">
                    <a16:creationId xmlns:a16="http://schemas.microsoft.com/office/drawing/2014/main" id="{023B6418-43BC-B7C3-8FE8-ED1512F6D772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MENU!$F$2" spid="_x0000_s221272"/>
                  </a:ext>
                </a:extLst>
              </xdr:cNvPicPr>
            </xdr:nvPicPr>
            <xdr:blipFill rotWithShape="1">
              <a:blip xmlns:r="http://schemas.openxmlformats.org/officeDocument/2006/relationships" r:embed="rId12"/>
              <a:srcRect b="4887"/>
              <a:stretch>
                <a:fillRect/>
              </a:stretch>
            </xdr:blipFill>
            <xdr:spPr>
              <a:xfrm rot="5400000">
                <a:off x="102577" y="-102577"/>
                <a:ext cx="573778" cy="778932"/>
              </a:xfrm>
              <a:prstGeom prst="rect">
                <a:avLst/>
              </a:prstGeom>
              <a:ln>
                <a:noFill/>
              </a:ln>
            </xdr:spPr>
          </xdr:pic>
        </mc:Choice>
        <mc:Fallback xmlns=""/>
      </mc:AlternateContent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695325</xdr:colOff>
      <xdr:row>3</xdr:row>
      <xdr:rowOff>9525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2AAD8FA4-BF46-4E5E-B049-AF6132D96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0"/>
          <a:ext cx="742950" cy="619125"/>
        </a:xfrm>
        <a:prstGeom prst="rect">
          <a:avLst/>
        </a:prstGeom>
      </xdr:spPr>
    </xdr:pic>
    <xdr:clientData/>
  </xdr:twoCellAnchor>
  <xdr:twoCellAnchor>
    <xdr:from>
      <xdr:col>1</xdr:col>
      <xdr:colOff>194838</xdr:colOff>
      <xdr:row>211</xdr:row>
      <xdr:rowOff>172260</xdr:rowOff>
    </xdr:from>
    <xdr:to>
      <xdr:col>5</xdr:col>
      <xdr:colOff>309571</xdr:colOff>
      <xdr:row>235</xdr:row>
      <xdr:rowOff>23217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7E342F-ED51-9818-DE1A-519F2F6237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42261</xdr:colOff>
      <xdr:row>190</xdr:row>
      <xdr:rowOff>123229</xdr:rowOff>
    </xdr:from>
    <xdr:to>
      <xdr:col>3</xdr:col>
      <xdr:colOff>2653977</xdr:colOff>
      <xdr:row>205</xdr:row>
      <xdr:rowOff>5947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AB058EA-8438-83E4-F5EC-80A27B860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843224</xdr:colOff>
      <xdr:row>2</xdr:row>
      <xdr:rowOff>12861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6722526-17F4-4DE6-AE1D-B1E9FF945EBA}"/>
            </a:ext>
          </a:extLst>
        </xdr:cNvPr>
        <xdr:cNvGrpSpPr/>
      </xdr:nvGrpSpPr>
      <xdr:grpSpPr>
        <a:xfrm>
          <a:off x="0" y="0"/>
          <a:ext cx="13447471" cy="572026"/>
          <a:chOff x="0" y="0"/>
          <a:chExt cx="12482774" cy="573778"/>
        </a:xfrm>
      </xdr:grpSpPr>
      <xdr:sp macro="[0]!Salvar" textlink="">
        <xdr:nvSpPr>
          <xdr:cNvPr id="3" name="Retângulo Arredondado 1">
            <a:extLst>
              <a:ext uri="{FF2B5EF4-FFF2-40B4-BE49-F238E27FC236}">
                <a16:creationId xmlns:a16="http://schemas.microsoft.com/office/drawing/2014/main" id="{A54BC965-6B97-DF7C-647A-A2C368B4CB68}"/>
              </a:ext>
            </a:extLst>
          </xdr:cNvPr>
          <xdr:cNvSpPr/>
        </xdr:nvSpPr>
        <xdr:spPr>
          <a:xfrm>
            <a:off x="10722383" y="66578"/>
            <a:ext cx="885827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SALVAR</a:t>
            </a:r>
          </a:p>
        </xdr:txBody>
      </xdr:sp>
      <xdr:sp macro="" textlink="">
        <xdr:nvSpPr>
          <xdr:cNvPr id="4" name="Retângulo Arredondado 2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AAE59-88DD-96FC-20CF-2B6614AA74C3}"/>
              </a:ext>
            </a:extLst>
          </xdr:cNvPr>
          <xdr:cNvSpPr/>
        </xdr:nvSpPr>
        <xdr:spPr>
          <a:xfrm>
            <a:off x="9852183" y="66578"/>
            <a:ext cx="842402" cy="199732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MENU</a:t>
            </a:r>
          </a:p>
        </xdr:txBody>
      </xdr:sp>
      <xdr:sp macro="[0]!workbook_close" textlink="">
        <xdr:nvSpPr>
          <xdr:cNvPr id="5" name="Seta: para Baixo 28">
            <a:extLst>
              <a:ext uri="{FF2B5EF4-FFF2-40B4-BE49-F238E27FC236}">
                <a16:creationId xmlns:a16="http://schemas.microsoft.com/office/drawing/2014/main" id="{3395A0F0-573C-987F-AD09-D8575C949B05}"/>
              </a:ext>
            </a:extLst>
          </xdr:cNvPr>
          <xdr:cNvSpPr/>
        </xdr:nvSpPr>
        <xdr:spPr>
          <a:xfrm>
            <a:off x="11913183" y="66578"/>
            <a:ext cx="236283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workbook_open" textlink="">
        <xdr:nvSpPr>
          <xdr:cNvPr id="6" name="Seta: para Baixo 29">
            <a:extLst>
              <a:ext uri="{FF2B5EF4-FFF2-40B4-BE49-F238E27FC236}">
                <a16:creationId xmlns:a16="http://schemas.microsoft.com/office/drawing/2014/main" id="{CB62D63F-472B-E686-8F22-9E9B83D88961}"/>
              </a:ext>
            </a:extLst>
          </xdr:cNvPr>
          <xdr:cNvSpPr/>
        </xdr:nvSpPr>
        <xdr:spPr>
          <a:xfrm rot="10800000">
            <a:off x="11691604" y="38044"/>
            <a:ext cx="240111" cy="218755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498CDAA-36F6-C3CC-7BA2-E9DD708764A1}"/>
              </a:ext>
            </a:extLst>
          </xdr:cNvPr>
          <xdr:cNvSpPr/>
        </xdr:nvSpPr>
        <xdr:spPr>
          <a:xfrm>
            <a:off x="768950" y="373482"/>
            <a:ext cx="1983026" cy="19051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100" b="1" i="0">
                <a:solidFill>
                  <a:schemeClr val="accent2"/>
                </a:solidFill>
                <a:effectLst/>
                <a:latin typeface="+mn-lt"/>
                <a:ea typeface="+mn-ea"/>
                <a:cs typeface="+mn-cs"/>
              </a:rPr>
              <a:t>MOVIMENTAÇÃO</a:t>
            </a:r>
            <a:r>
              <a:rPr lang="pt-BR" sz="1100" b="1" i="0" baseline="0">
                <a:solidFill>
                  <a:schemeClr val="accent2"/>
                </a:solidFill>
                <a:effectLst/>
                <a:latin typeface="+mn-lt"/>
                <a:ea typeface="+mn-ea"/>
                <a:cs typeface="+mn-cs"/>
              </a:rPr>
              <a:t> FINANCEIRA</a:t>
            </a:r>
            <a:endParaRPr lang="pt-BR">
              <a:solidFill>
                <a:schemeClr val="accent2"/>
              </a:solidFill>
              <a:effectLst/>
            </a:endParaRPr>
          </a:p>
          <a:p>
            <a:pPr algn="l"/>
            <a:endParaRPr lang="pt-BR" sz="1100" b="1" i="0">
              <a:solidFill>
                <a:schemeClr val="accent2"/>
              </a:solidFill>
            </a:endParaRPr>
          </a:p>
        </xdr:txBody>
      </xdr:sp>
      <xdr:sp macro="" textlink="">
        <xdr:nvSpPr>
          <xdr:cNvPr id="13" name="Retângulo 1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A9AF5B3-AD02-8EA4-19C0-57061C8A2E28}"/>
              </a:ext>
            </a:extLst>
          </xdr:cNvPr>
          <xdr:cNvSpPr/>
        </xdr:nvSpPr>
        <xdr:spPr>
          <a:xfrm>
            <a:off x="768950" y="0"/>
            <a:ext cx="935078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14" name="Retângulo 13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4626BE2-265A-3CE3-8545-D4B8303FADF3}"/>
              </a:ext>
            </a:extLst>
          </xdr:cNvPr>
          <xdr:cNvSpPr/>
        </xdr:nvSpPr>
        <xdr:spPr>
          <a:xfrm>
            <a:off x="1712050" y="0"/>
            <a:ext cx="1150865" cy="312742"/>
          </a:xfrm>
          <a:prstGeom prst="rect">
            <a:avLst/>
          </a:prstGeom>
          <a:solidFill>
            <a:srgbClr val="EBEBE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accent1"/>
                </a:solidFill>
              </a:rPr>
              <a:t>LANÇAMENTOS</a:t>
            </a:r>
          </a:p>
        </xdr:txBody>
      </xdr:sp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0E7A67D-6DE4-7673-32E6-361A1F231F71}"/>
              </a:ext>
            </a:extLst>
          </xdr:cNvPr>
          <xdr:cNvSpPr/>
        </xdr:nvSpPr>
        <xdr:spPr>
          <a:xfrm>
            <a:off x="2875769" y="0"/>
            <a:ext cx="973159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RELATÓRIOSS</a:t>
            </a:r>
          </a:p>
        </xdr:txBody>
      </xdr:sp>
      <xdr:sp macro="" textlink="">
        <xdr:nvSpPr>
          <xdr:cNvPr id="16" name="Retângulo 1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590598E-FF57-D98D-47D0-4F37CBD57222}"/>
              </a:ext>
            </a:extLst>
          </xdr:cNvPr>
          <xdr:cNvSpPr/>
        </xdr:nvSpPr>
        <xdr:spPr>
          <a:xfrm>
            <a:off x="3851425" y="0"/>
            <a:ext cx="971043" cy="312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DASHBOARD</a:t>
            </a:r>
          </a:p>
        </xdr:txBody>
      </xdr:sp>
      <xdr:sp macro="[0]!Adicionar_linha" textlink="">
        <xdr:nvSpPr>
          <xdr:cNvPr id="17" name="Retângulo Arredondado 20">
            <a:extLst>
              <a:ext uri="{FF2B5EF4-FFF2-40B4-BE49-F238E27FC236}">
                <a16:creationId xmlns:a16="http://schemas.microsoft.com/office/drawing/2014/main" id="{79364207-2ABC-8BF7-BF6B-4669B2C781F0}"/>
              </a:ext>
            </a:extLst>
          </xdr:cNvPr>
          <xdr:cNvSpPr/>
        </xdr:nvSpPr>
        <xdr:spPr>
          <a:xfrm>
            <a:off x="7071820" y="73756"/>
            <a:ext cx="146819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00B050"/>
                </a:solidFill>
              </a:rPr>
              <a:t>+</a:t>
            </a:r>
            <a:r>
              <a:rPr lang="pt-BR" sz="1100" b="1">
                <a:solidFill>
                  <a:schemeClr val="accent1"/>
                </a:solidFill>
              </a:rPr>
              <a:t>) ADICIONAR</a:t>
            </a:r>
            <a:r>
              <a:rPr lang="pt-BR" sz="1100" b="1" baseline="0">
                <a:solidFill>
                  <a:schemeClr val="accent1"/>
                </a:solidFill>
              </a:rPr>
              <a:t>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sp macro="[0]!Excluir_Linha" textlink="">
        <xdr:nvSpPr>
          <xdr:cNvPr id="18" name="Retângulo Arredondado 20">
            <a:extLst>
              <a:ext uri="{FF2B5EF4-FFF2-40B4-BE49-F238E27FC236}">
                <a16:creationId xmlns:a16="http://schemas.microsoft.com/office/drawing/2014/main" id="{D21A0538-53A6-8DBF-CEBC-A4A448628AE2}"/>
              </a:ext>
            </a:extLst>
          </xdr:cNvPr>
          <xdr:cNvSpPr/>
        </xdr:nvSpPr>
        <xdr:spPr>
          <a:xfrm>
            <a:off x="8558622" y="73756"/>
            <a:ext cx="1258759" cy="201736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(</a:t>
            </a:r>
            <a:r>
              <a:rPr lang="pt-BR" sz="1100" b="1">
                <a:solidFill>
                  <a:srgbClr val="FF0000"/>
                </a:solidFill>
              </a:rPr>
              <a:t>-</a:t>
            </a:r>
            <a:r>
              <a:rPr lang="pt-BR" sz="1100" b="1">
                <a:solidFill>
                  <a:schemeClr val="accent1"/>
                </a:solidFill>
              </a:rPr>
              <a:t>) EXCLUI</a:t>
            </a:r>
            <a:r>
              <a:rPr lang="pt-BR" sz="1100" b="1" baseline="0">
                <a:solidFill>
                  <a:schemeClr val="accent1"/>
                </a:solidFill>
              </a:rPr>
              <a:t>R LINHA</a:t>
            </a:r>
            <a:endParaRPr lang="pt-BR" sz="1100" b="1">
              <a:solidFill>
                <a:schemeClr val="accent1"/>
              </a:solidFill>
            </a:endParaRPr>
          </a:p>
        </xdr:txBody>
      </xdr:sp>
      <xdr:grpSp>
        <xdr:nvGrpSpPr>
          <xdr:cNvPr id="19" name="Gráfico 2" descr="Impressora">
            <a:extLst>
              <a:ext uri="{FF2B5EF4-FFF2-40B4-BE49-F238E27FC236}">
                <a16:creationId xmlns:a16="http://schemas.microsoft.com/office/drawing/2014/main" id="{C2BD2B6A-3940-D857-F11C-2C70A771233F}"/>
              </a:ext>
            </a:extLst>
          </xdr:cNvPr>
          <xdr:cNvGrpSpPr/>
        </xdr:nvGrpSpPr>
        <xdr:grpSpPr>
          <a:xfrm>
            <a:off x="12201802" y="0"/>
            <a:ext cx="280972" cy="288471"/>
            <a:chOff x="0" y="0"/>
            <a:chExt cx="914400" cy="914400"/>
          </a:xfrm>
          <a:solidFill>
            <a:schemeClr val="bg1"/>
          </a:solidFill>
        </xdr:grpSpPr>
        <xdr:sp macro="[0]!Imprimir" textlink="">
          <xdr:nvSpPr>
            <xdr:cNvPr id="22" name="Forma Livre: Forma 21">
              <a:extLst>
                <a:ext uri="{FF2B5EF4-FFF2-40B4-BE49-F238E27FC236}">
                  <a16:creationId xmlns:a16="http://schemas.microsoft.com/office/drawing/2014/main" id="{9B179B2D-BDC2-970E-339D-4D08C5D87654}"/>
                </a:ext>
              </a:extLst>
            </xdr:cNvPr>
            <xdr:cNvSpPr/>
          </xdr:nvSpPr>
          <xdr:spPr>
            <a:xfrm>
              <a:off x="228600" y="538163"/>
              <a:ext cx="447675" cy="304800"/>
            </a:xfrm>
            <a:custGeom>
              <a:avLst/>
              <a:gdLst>
                <a:gd name="connsiteX0" fmla="*/ 400050 w 447675"/>
                <a:gd name="connsiteY0" fmla="*/ 57150 h 304800"/>
                <a:gd name="connsiteX1" fmla="*/ 399098 w 447675"/>
                <a:gd name="connsiteY1" fmla="*/ 247650 h 304800"/>
                <a:gd name="connsiteX2" fmla="*/ 59055 w 447675"/>
                <a:gd name="connsiteY2" fmla="*/ 247650 h 304800"/>
                <a:gd name="connsiteX3" fmla="*/ 57150 w 447675"/>
                <a:gd name="connsiteY3" fmla="*/ 57150 h 304800"/>
                <a:gd name="connsiteX4" fmla="*/ 400050 w 447675"/>
                <a:gd name="connsiteY4" fmla="*/ 57150 h 304800"/>
                <a:gd name="connsiteX5" fmla="*/ 1905 w 447675"/>
                <a:gd name="connsiteY5" fmla="*/ 304800 h 304800"/>
                <a:gd name="connsiteX6" fmla="*/ 455295 w 447675"/>
                <a:gd name="connsiteY6" fmla="*/ 304800 h 304800"/>
                <a:gd name="connsiteX7" fmla="*/ 456248 w 447675"/>
                <a:gd name="connsiteY7" fmla="*/ 0 h 304800"/>
                <a:gd name="connsiteX8" fmla="*/ 0 w 447675"/>
                <a:gd name="connsiteY8" fmla="*/ 0 h 304800"/>
                <a:gd name="connsiteX9" fmla="*/ 1905 w 447675"/>
                <a:gd name="connsiteY9" fmla="*/ 304800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47675" h="304800">
                  <a:moveTo>
                    <a:pt x="400050" y="57150"/>
                  </a:moveTo>
                  <a:lnTo>
                    <a:pt x="399098" y="247650"/>
                  </a:lnTo>
                  <a:lnTo>
                    <a:pt x="59055" y="247650"/>
                  </a:lnTo>
                  <a:lnTo>
                    <a:pt x="57150" y="57150"/>
                  </a:lnTo>
                  <a:lnTo>
                    <a:pt x="400050" y="57150"/>
                  </a:lnTo>
                  <a:close/>
                  <a:moveTo>
                    <a:pt x="1905" y="304800"/>
                  </a:moveTo>
                  <a:lnTo>
                    <a:pt x="455295" y="304800"/>
                  </a:lnTo>
                  <a:lnTo>
                    <a:pt x="456248" y="0"/>
                  </a:lnTo>
                  <a:lnTo>
                    <a:pt x="0" y="0"/>
                  </a:lnTo>
                  <a:lnTo>
                    <a:pt x="1905" y="3048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3" name="Forma Livre: Forma 22">
              <a:extLst>
                <a:ext uri="{FF2B5EF4-FFF2-40B4-BE49-F238E27FC236}">
                  <a16:creationId xmlns:a16="http://schemas.microsoft.com/office/drawing/2014/main" id="{5900B395-9FEE-3FFF-730D-9BDAC672FAD9}"/>
                </a:ext>
              </a:extLst>
            </xdr:cNvPr>
            <xdr:cNvSpPr/>
          </xdr:nvSpPr>
          <xdr:spPr>
            <a:xfrm>
              <a:off x="361950" y="6334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4" name="Forma Livre: Forma 23">
              <a:extLst>
                <a:ext uri="{FF2B5EF4-FFF2-40B4-BE49-F238E27FC236}">
                  <a16:creationId xmlns:a16="http://schemas.microsoft.com/office/drawing/2014/main" id="{C28E492F-D054-2D2E-C1B2-4295A951A1AD}"/>
                </a:ext>
              </a:extLst>
            </xdr:cNvPr>
            <xdr:cNvSpPr/>
          </xdr:nvSpPr>
          <xdr:spPr>
            <a:xfrm>
              <a:off x="361950" y="7096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25" name="Forma Livre: Forma 24">
              <a:extLst>
                <a:ext uri="{FF2B5EF4-FFF2-40B4-BE49-F238E27FC236}">
                  <a16:creationId xmlns:a16="http://schemas.microsoft.com/office/drawing/2014/main" id="{99DDF594-EBEE-200D-03A5-80AE2ABC5027}"/>
                </a:ext>
              </a:extLst>
            </xdr:cNvPr>
            <xdr:cNvSpPr/>
          </xdr:nvSpPr>
          <xdr:spPr>
            <a:xfrm>
              <a:off x="38100" y="76200"/>
              <a:ext cx="838200" cy="647700"/>
            </a:xfrm>
            <a:custGeom>
              <a:avLst/>
              <a:gdLst>
                <a:gd name="connsiteX0" fmla="*/ 590550 w 838200"/>
                <a:gd name="connsiteY0" fmla="*/ 276225 h 647700"/>
                <a:gd name="connsiteX1" fmla="*/ 247650 w 838200"/>
                <a:gd name="connsiteY1" fmla="*/ 276225 h 647700"/>
                <a:gd name="connsiteX2" fmla="*/ 247650 w 838200"/>
                <a:gd name="connsiteY2" fmla="*/ 57150 h 647700"/>
                <a:gd name="connsiteX3" fmla="*/ 457200 w 838200"/>
                <a:gd name="connsiteY3" fmla="*/ 57150 h 647700"/>
                <a:gd name="connsiteX4" fmla="*/ 457200 w 838200"/>
                <a:gd name="connsiteY4" fmla="*/ 190500 h 647700"/>
                <a:gd name="connsiteX5" fmla="*/ 590550 w 838200"/>
                <a:gd name="connsiteY5" fmla="*/ 190500 h 647700"/>
                <a:gd name="connsiteX6" fmla="*/ 590550 w 838200"/>
                <a:gd name="connsiteY6" fmla="*/ 276225 h 647700"/>
                <a:gd name="connsiteX7" fmla="*/ 514350 w 838200"/>
                <a:gd name="connsiteY7" fmla="*/ 60960 h 647700"/>
                <a:gd name="connsiteX8" fmla="*/ 580073 w 838200"/>
                <a:gd name="connsiteY8" fmla="*/ 133350 h 647700"/>
                <a:gd name="connsiteX9" fmla="*/ 514350 w 838200"/>
                <a:gd name="connsiteY9" fmla="*/ 133350 h 647700"/>
                <a:gd name="connsiteX10" fmla="*/ 514350 w 838200"/>
                <a:gd name="connsiteY10" fmla="*/ 60960 h 647700"/>
                <a:gd name="connsiteX11" fmla="*/ 95250 w 838200"/>
                <a:gd name="connsiteY11" fmla="*/ 323850 h 647700"/>
                <a:gd name="connsiteX12" fmla="*/ 57150 w 838200"/>
                <a:gd name="connsiteY12" fmla="*/ 285750 h 647700"/>
                <a:gd name="connsiteX13" fmla="*/ 95250 w 838200"/>
                <a:gd name="connsiteY13" fmla="*/ 247650 h 647700"/>
                <a:gd name="connsiteX14" fmla="*/ 133350 w 838200"/>
                <a:gd name="connsiteY14" fmla="*/ 285750 h 647700"/>
                <a:gd name="connsiteX15" fmla="*/ 95250 w 838200"/>
                <a:gd name="connsiteY15" fmla="*/ 323850 h 647700"/>
                <a:gd name="connsiteX16" fmla="*/ 800100 w 838200"/>
                <a:gd name="connsiteY16" fmla="*/ 190500 h 647700"/>
                <a:gd name="connsiteX17" fmla="*/ 647700 w 838200"/>
                <a:gd name="connsiteY17" fmla="*/ 190500 h 647700"/>
                <a:gd name="connsiteX18" fmla="*/ 647700 w 838200"/>
                <a:gd name="connsiteY18" fmla="*/ 121920 h 647700"/>
                <a:gd name="connsiteX19" fmla="*/ 536258 w 838200"/>
                <a:gd name="connsiteY19" fmla="*/ 0 h 647700"/>
                <a:gd name="connsiteX20" fmla="*/ 190500 w 838200"/>
                <a:gd name="connsiteY20" fmla="*/ 0 h 647700"/>
                <a:gd name="connsiteX21" fmla="*/ 190500 w 838200"/>
                <a:gd name="connsiteY21" fmla="*/ 190500 h 647700"/>
                <a:gd name="connsiteX22" fmla="*/ 38100 w 838200"/>
                <a:gd name="connsiteY22" fmla="*/ 190500 h 647700"/>
                <a:gd name="connsiteX23" fmla="*/ 0 w 838200"/>
                <a:gd name="connsiteY23" fmla="*/ 228600 h 647700"/>
                <a:gd name="connsiteX24" fmla="*/ 0 w 838200"/>
                <a:gd name="connsiteY24" fmla="*/ 609600 h 647700"/>
                <a:gd name="connsiteX25" fmla="*/ 38100 w 838200"/>
                <a:gd name="connsiteY25" fmla="*/ 647700 h 647700"/>
                <a:gd name="connsiteX26" fmla="*/ 152400 w 838200"/>
                <a:gd name="connsiteY26" fmla="*/ 647700 h 647700"/>
                <a:gd name="connsiteX27" fmla="*/ 152400 w 838200"/>
                <a:gd name="connsiteY27" fmla="*/ 428625 h 647700"/>
                <a:gd name="connsiteX28" fmla="*/ 685800 w 838200"/>
                <a:gd name="connsiteY28" fmla="*/ 428625 h 647700"/>
                <a:gd name="connsiteX29" fmla="*/ 685800 w 838200"/>
                <a:gd name="connsiteY29" fmla="*/ 647700 h 647700"/>
                <a:gd name="connsiteX30" fmla="*/ 800100 w 838200"/>
                <a:gd name="connsiteY30" fmla="*/ 647700 h 647700"/>
                <a:gd name="connsiteX31" fmla="*/ 838200 w 838200"/>
                <a:gd name="connsiteY31" fmla="*/ 609600 h 647700"/>
                <a:gd name="connsiteX32" fmla="*/ 838200 w 838200"/>
                <a:gd name="connsiteY32" fmla="*/ 228600 h 647700"/>
                <a:gd name="connsiteX33" fmla="*/ 800100 w 838200"/>
                <a:gd name="connsiteY33" fmla="*/ 190500 h 6477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</a:cxnLst>
              <a:rect l="l" t="t" r="r" b="b"/>
              <a:pathLst>
                <a:path w="838200" h="647700">
                  <a:moveTo>
                    <a:pt x="590550" y="276225"/>
                  </a:moveTo>
                  <a:lnTo>
                    <a:pt x="247650" y="276225"/>
                  </a:lnTo>
                  <a:lnTo>
                    <a:pt x="247650" y="57150"/>
                  </a:lnTo>
                  <a:lnTo>
                    <a:pt x="457200" y="57150"/>
                  </a:lnTo>
                  <a:lnTo>
                    <a:pt x="457200" y="190500"/>
                  </a:lnTo>
                  <a:lnTo>
                    <a:pt x="590550" y="190500"/>
                  </a:lnTo>
                  <a:lnTo>
                    <a:pt x="590550" y="276225"/>
                  </a:lnTo>
                  <a:close/>
                  <a:moveTo>
                    <a:pt x="514350" y="60960"/>
                  </a:moveTo>
                  <a:lnTo>
                    <a:pt x="580073" y="133350"/>
                  </a:lnTo>
                  <a:lnTo>
                    <a:pt x="514350" y="133350"/>
                  </a:lnTo>
                  <a:lnTo>
                    <a:pt x="514350" y="60960"/>
                  </a:lnTo>
                  <a:close/>
                  <a:moveTo>
                    <a:pt x="95250" y="323850"/>
                  </a:moveTo>
                  <a:cubicBezTo>
                    <a:pt x="74295" y="323850"/>
                    <a:pt x="57150" y="306705"/>
                    <a:pt x="57150" y="285750"/>
                  </a:cubicBezTo>
                  <a:cubicBezTo>
                    <a:pt x="57150" y="264795"/>
                    <a:pt x="74295" y="247650"/>
                    <a:pt x="95250" y="247650"/>
                  </a:cubicBezTo>
                  <a:cubicBezTo>
                    <a:pt x="116205" y="247650"/>
                    <a:pt x="133350" y="264795"/>
                    <a:pt x="133350" y="285750"/>
                  </a:cubicBezTo>
                  <a:cubicBezTo>
                    <a:pt x="133350" y="306705"/>
                    <a:pt x="116205" y="323850"/>
                    <a:pt x="95250" y="323850"/>
                  </a:cubicBezTo>
                  <a:close/>
                  <a:moveTo>
                    <a:pt x="800100" y="190500"/>
                  </a:moveTo>
                  <a:lnTo>
                    <a:pt x="647700" y="190500"/>
                  </a:lnTo>
                  <a:lnTo>
                    <a:pt x="647700" y="121920"/>
                  </a:lnTo>
                  <a:lnTo>
                    <a:pt x="536258" y="0"/>
                  </a:lnTo>
                  <a:lnTo>
                    <a:pt x="190500" y="0"/>
                  </a:lnTo>
                  <a:lnTo>
                    <a:pt x="190500" y="190500"/>
                  </a:lnTo>
                  <a:lnTo>
                    <a:pt x="38100" y="190500"/>
                  </a:lnTo>
                  <a:cubicBezTo>
                    <a:pt x="17145" y="190500"/>
                    <a:pt x="0" y="207645"/>
                    <a:pt x="0" y="228600"/>
                  </a:cubicBezTo>
                  <a:lnTo>
                    <a:pt x="0" y="609600"/>
                  </a:lnTo>
                  <a:cubicBezTo>
                    <a:pt x="0" y="630555"/>
                    <a:pt x="17145" y="647700"/>
                    <a:pt x="38100" y="647700"/>
                  </a:cubicBezTo>
                  <a:lnTo>
                    <a:pt x="152400" y="647700"/>
                  </a:lnTo>
                  <a:lnTo>
                    <a:pt x="152400" y="428625"/>
                  </a:lnTo>
                  <a:lnTo>
                    <a:pt x="685800" y="428625"/>
                  </a:lnTo>
                  <a:lnTo>
                    <a:pt x="685800" y="647700"/>
                  </a:lnTo>
                  <a:lnTo>
                    <a:pt x="800100" y="647700"/>
                  </a:lnTo>
                  <a:cubicBezTo>
                    <a:pt x="821055" y="647700"/>
                    <a:pt x="838200" y="630555"/>
                    <a:pt x="838200" y="609600"/>
                  </a:cubicBezTo>
                  <a:lnTo>
                    <a:pt x="838200" y="228600"/>
                  </a:lnTo>
                  <a:cubicBezTo>
                    <a:pt x="838200" y="207645"/>
                    <a:pt x="821055" y="190500"/>
                    <a:pt x="800100" y="190500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1" name="Imagem 20">
                <a:extLst>
                  <a:ext uri="{FF2B5EF4-FFF2-40B4-BE49-F238E27FC236}">
                    <a16:creationId xmlns:a16="http://schemas.microsoft.com/office/drawing/2014/main" id="{49EC27A5-D980-81E3-754B-38298845F123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MENU!$F$2" spid="_x0000_s11427"/>
                  </a:ext>
                </a:extLst>
              </xdr:cNvPicPr>
            </xdr:nvPicPr>
            <xdr:blipFill rotWithShape="1">
              <a:blip xmlns:r="http://schemas.openxmlformats.org/officeDocument/2006/relationships" r:embed="rId7"/>
              <a:srcRect b="4887"/>
              <a:stretch>
                <a:fillRect/>
              </a:stretch>
            </xdr:blipFill>
            <xdr:spPr>
              <a:xfrm rot="5400000">
                <a:off x="102577" y="-102577"/>
                <a:ext cx="573778" cy="778932"/>
              </a:xfrm>
              <a:prstGeom prst="rect">
                <a:avLst/>
              </a:prstGeom>
              <a:ln>
                <a:noFill/>
              </a:ln>
            </xdr:spPr>
          </xdr:pic>
        </mc:Choice>
        <mc:Fallback xmlns=""/>
      </mc:AlternateContent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695325</xdr:colOff>
      <xdr:row>3</xdr:row>
      <xdr:rowOff>9525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0EF17C1-4868-4188-826E-8EBBA452B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0"/>
          <a:ext cx="742950" cy="6191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65784</xdr:colOff>
          <xdr:row>3</xdr:row>
          <xdr:rowOff>26314</xdr:rowOff>
        </xdr:from>
        <xdr:to>
          <xdr:col>8</xdr:col>
          <xdr:colOff>315764</xdr:colOff>
          <xdr:row>5</xdr:row>
          <xdr:rowOff>92098</xdr:rowOff>
        </xdr:to>
        <xdr:sp macro="" textlink="">
          <xdr:nvSpPr>
            <xdr:cNvPr id="167937" name="Button 1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09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PLANILHA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14</xdr:col>
      <xdr:colOff>474162</xdr:colOff>
      <xdr:row>3</xdr:row>
      <xdr:rowOff>9525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81C5F62F-27EC-CA65-3099-B93E8807CE7F}"/>
            </a:ext>
          </a:extLst>
        </xdr:cNvPr>
        <xdr:cNvGrpSpPr/>
      </xdr:nvGrpSpPr>
      <xdr:grpSpPr>
        <a:xfrm>
          <a:off x="0" y="0"/>
          <a:ext cx="15525581" cy="614739"/>
          <a:chOff x="0" y="0"/>
          <a:chExt cx="14333037" cy="619125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A9E7549F-FFDD-480B-A406-35514E44FDB5}"/>
              </a:ext>
            </a:extLst>
          </xdr:cNvPr>
          <xdr:cNvGrpSpPr/>
        </xdr:nvGrpSpPr>
        <xdr:grpSpPr>
          <a:xfrm>
            <a:off x="0" y="0"/>
            <a:ext cx="14333037" cy="574836"/>
            <a:chOff x="0" y="0"/>
            <a:chExt cx="14333037" cy="574836"/>
          </a:xfrm>
        </xdr:grpSpPr>
        <xdr:sp macro="[0]!Salvar" textlink="">
          <xdr:nvSpPr>
            <xdr:cNvPr id="5" name="Retângulo Arredondado 1">
              <a:extLst>
                <a:ext uri="{FF2B5EF4-FFF2-40B4-BE49-F238E27FC236}">
                  <a16:creationId xmlns:a16="http://schemas.microsoft.com/office/drawing/2014/main" id="{CA8FC4DA-AEC7-151B-B08D-77A5FB0001B8}"/>
                </a:ext>
              </a:extLst>
            </xdr:cNvPr>
            <xdr:cNvSpPr/>
          </xdr:nvSpPr>
          <xdr:spPr>
            <a:xfrm>
              <a:off x="10707213" y="66824"/>
              <a:ext cx="88387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SALVAR</a:t>
              </a:r>
            </a:p>
          </xdr:txBody>
        </xdr:sp>
        <xdr:sp macro="" textlink="">
          <xdr:nvSpPr>
            <xdr:cNvPr id="6" name="Retângulo Arredondado 20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CCE7BC7-9691-E930-B651-646B87E3EA03}"/>
                </a:ext>
              </a:extLst>
            </xdr:cNvPr>
            <xdr:cNvSpPr/>
          </xdr:nvSpPr>
          <xdr:spPr>
            <a:xfrm>
              <a:off x="9838931" y="66824"/>
              <a:ext cx="84054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MENU</a:t>
              </a:r>
            </a:p>
          </xdr:txBody>
        </xdr:sp>
        <xdr:sp macro="[0]!workbook_close" textlink="">
          <xdr:nvSpPr>
            <xdr:cNvPr id="7" name="Seta: para Baixo 28">
              <a:extLst>
                <a:ext uri="{FF2B5EF4-FFF2-40B4-BE49-F238E27FC236}">
                  <a16:creationId xmlns:a16="http://schemas.microsoft.com/office/drawing/2014/main" id="{59C79B0B-D0C2-3D95-C446-A3D91E1D0BEF}"/>
                </a:ext>
              </a:extLst>
            </xdr:cNvPr>
            <xdr:cNvSpPr/>
          </xdr:nvSpPr>
          <xdr:spPr>
            <a:xfrm>
              <a:off x="11895388" y="66824"/>
              <a:ext cx="23576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[0]!workbook_open" textlink="">
          <xdr:nvSpPr>
            <xdr:cNvPr id="8" name="Seta: para Baixo 7">
              <a:extLst>
                <a:ext uri="{FF2B5EF4-FFF2-40B4-BE49-F238E27FC236}">
                  <a16:creationId xmlns:a16="http://schemas.microsoft.com/office/drawing/2014/main" id="{3B4F424E-3765-6F40-252B-DD45528C6ACF}"/>
                </a:ext>
              </a:extLst>
            </xdr:cNvPr>
            <xdr:cNvSpPr/>
          </xdr:nvSpPr>
          <xdr:spPr>
            <a:xfrm rot="10800000">
              <a:off x="11674297" y="38184"/>
              <a:ext cx="23958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Retângulo 8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3BA7D6B6-71F6-7E84-3CA3-D4298D6E731B}"/>
                </a:ext>
              </a:extLst>
            </xdr:cNvPr>
            <xdr:cNvSpPr/>
          </xdr:nvSpPr>
          <xdr:spPr>
            <a:xfrm>
              <a:off x="772544" y="0"/>
              <a:ext cx="933017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CADASTROS</a:t>
              </a:r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6CEF342-3DAC-2F95-E8FE-E8FD5DAFE18A}"/>
                </a:ext>
              </a:extLst>
            </xdr:cNvPr>
            <xdr:cNvSpPr/>
          </xdr:nvSpPr>
          <xdr:spPr>
            <a:xfrm>
              <a:off x="1713565" y="0"/>
              <a:ext cx="1148329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LANÇAMENTOS</a:t>
              </a:r>
            </a:p>
          </xdr:txBody>
        </xdr:sp>
        <xdr:sp macro="" textlink="">
          <xdr:nvSpPr>
            <xdr:cNvPr id="11" name="Retângulo 1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22CE9E4D-5BC4-4377-49B9-1D2918D48862}"/>
                </a:ext>
              </a:extLst>
            </xdr:cNvPr>
            <xdr:cNvSpPr/>
          </xdr:nvSpPr>
          <xdr:spPr>
            <a:xfrm>
              <a:off x="2874719" y="0"/>
              <a:ext cx="972072" cy="313897"/>
            </a:xfrm>
            <a:prstGeom prst="rect">
              <a:avLst/>
            </a:prstGeom>
            <a:solidFill>
              <a:srgbClr val="EBEBEB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RELATÓRIOSS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9FB0812-5D2D-ADED-0370-AD9F8D916A2E}"/>
                </a:ext>
              </a:extLst>
            </xdr:cNvPr>
            <xdr:cNvSpPr/>
          </xdr:nvSpPr>
          <xdr:spPr>
            <a:xfrm>
              <a:off x="3849282" y="0"/>
              <a:ext cx="968903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DASHBOARD</a:t>
              </a:r>
            </a:p>
          </xdr:txBody>
        </xdr:sp>
        <xdr:grpSp>
          <xdr:nvGrpSpPr>
            <xdr:cNvPr id="18" name="Gráfico 2" descr="Impressora">
              <a:extLst>
                <a:ext uri="{FF2B5EF4-FFF2-40B4-BE49-F238E27FC236}">
                  <a16:creationId xmlns:a16="http://schemas.microsoft.com/office/drawing/2014/main" id="{B9A2A51D-C78B-02FE-9338-15EEDA8020E5}"/>
                </a:ext>
              </a:extLst>
            </xdr:cNvPr>
            <xdr:cNvGrpSpPr/>
          </xdr:nvGrpSpPr>
          <xdr:grpSpPr>
            <a:xfrm>
              <a:off x="12183371" y="0"/>
              <a:ext cx="280353" cy="289536"/>
              <a:chOff x="0" y="0"/>
              <a:chExt cx="914400" cy="914400"/>
            </a:xfrm>
            <a:solidFill>
              <a:schemeClr val="bg1"/>
            </a:solidFill>
          </xdr:grpSpPr>
          <xdr:sp macro="[0]!Imprimir" textlink="">
            <xdr:nvSpPr>
              <xdr:cNvPr id="48" name="Forma Livre: Forma 47">
                <a:extLst>
                  <a:ext uri="{FF2B5EF4-FFF2-40B4-BE49-F238E27FC236}">
                    <a16:creationId xmlns:a16="http://schemas.microsoft.com/office/drawing/2014/main" id="{4C856810-70C0-8E18-A336-3CD8BB686FEF}"/>
                  </a:ext>
                </a:extLst>
              </xdr:cNvPr>
              <xdr:cNvSpPr/>
            </xdr:nvSpPr>
            <xdr:spPr>
              <a:xfrm>
                <a:off x="228600" y="538163"/>
                <a:ext cx="447675" cy="304800"/>
              </a:xfrm>
              <a:custGeom>
                <a:avLst/>
                <a:gdLst>
                  <a:gd name="connsiteX0" fmla="*/ 400050 w 447675"/>
                  <a:gd name="connsiteY0" fmla="*/ 57150 h 304800"/>
                  <a:gd name="connsiteX1" fmla="*/ 399098 w 447675"/>
                  <a:gd name="connsiteY1" fmla="*/ 247650 h 304800"/>
                  <a:gd name="connsiteX2" fmla="*/ 59055 w 447675"/>
                  <a:gd name="connsiteY2" fmla="*/ 247650 h 304800"/>
                  <a:gd name="connsiteX3" fmla="*/ 57150 w 447675"/>
                  <a:gd name="connsiteY3" fmla="*/ 57150 h 304800"/>
                  <a:gd name="connsiteX4" fmla="*/ 400050 w 447675"/>
                  <a:gd name="connsiteY4" fmla="*/ 57150 h 304800"/>
                  <a:gd name="connsiteX5" fmla="*/ 1905 w 447675"/>
                  <a:gd name="connsiteY5" fmla="*/ 304800 h 304800"/>
                  <a:gd name="connsiteX6" fmla="*/ 455295 w 447675"/>
                  <a:gd name="connsiteY6" fmla="*/ 304800 h 304800"/>
                  <a:gd name="connsiteX7" fmla="*/ 456248 w 447675"/>
                  <a:gd name="connsiteY7" fmla="*/ 0 h 304800"/>
                  <a:gd name="connsiteX8" fmla="*/ 0 w 447675"/>
                  <a:gd name="connsiteY8" fmla="*/ 0 h 304800"/>
                  <a:gd name="connsiteX9" fmla="*/ 1905 w 447675"/>
                  <a:gd name="connsiteY9" fmla="*/ 304800 h 3048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447675" h="304800">
                    <a:moveTo>
                      <a:pt x="400050" y="57150"/>
                    </a:moveTo>
                    <a:lnTo>
                      <a:pt x="399098" y="247650"/>
                    </a:lnTo>
                    <a:lnTo>
                      <a:pt x="59055" y="247650"/>
                    </a:lnTo>
                    <a:lnTo>
                      <a:pt x="57150" y="57150"/>
                    </a:lnTo>
                    <a:lnTo>
                      <a:pt x="400050" y="57150"/>
                    </a:lnTo>
                    <a:close/>
                    <a:moveTo>
                      <a:pt x="1905" y="304800"/>
                    </a:moveTo>
                    <a:lnTo>
                      <a:pt x="455295" y="304800"/>
                    </a:lnTo>
                    <a:lnTo>
                      <a:pt x="456248" y="0"/>
                    </a:lnTo>
                    <a:lnTo>
                      <a:pt x="0" y="0"/>
                    </a:lnTo>
                    <a:lnTo>
                      <a:pt x="1905" y="3048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53" name="Forma Livre: Forma 52">
                <a:extLst>
                  <a:ext uri="{FF2B5EF4-FFF2-40B4-BE49-F238E27FC236}">
                    <a16:creationId xmlns:a16="http://schemas.microsoft.com/office/drawing/2014/main" id="{33378183-2F0C-E4BB-738C-C53A99E64C63}"/>
                  </a:ext>
                </a:extLst>
              </xdr:cNvPr>
              <xdr:cNvSpPr/>
            </xdr:nvSpPr>
            <xdr:spPr>
              <a:xfrm>
                <a:off x="361950" y="6334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54" name="Forma Livre: Forma 53">
                <a:extLst>
                  <a:ext uri="{FF2B5EF4-FFF2-40B4-BE49-F238E27FC236}">
                    <a16:creationId xmlns:a16="http://schemas.microsoft.com/office/drawing/2014/main" id="{391590B7-67C2-5545-4E1C-143CD0AFD416}"/>
                  </a:ext>
                </a:extLst>
              </xdr:cNvPr>
              <xdr:cNvSpPr/>
            </xdr:nvSpPr>
            <xdr:spPr>
              <a:xfrm>
                <a:off x="361950" y="7096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55" name="Forma Livre: Forma 54">
                <a:extLst>
                  <a:ext uri="{FF2B5EF4-FFF2-40B4-BE49-F238E27FC236}">
                    <a16:creationId xmlns:a16="http://schemas.microsoft.com/office/drawing/2014/main" id="{2DDF0291-E81F-2E04-D10C-B32C7C47817E}"/>
                  </a:ext>
                </a:extLst>
              </xdr:cNvPr>
              <xdr:cNvSpPr/>
            </xdr:nvSpPr>
            <xdr:spPr>
              <a:xfrm>
                <a:off x="38100" y="76200"/>
                <a:ext cx="838200" cy="647700"/>
              </a:xfrm>
              <a:custGeom>
                <a:avLst/>
                <a:gdLst>
                  <a:gd name="connsiteX0" fmla="*/ 590550 w 838200"/>
                  <a:gd name="connsiteY0" fmla="*/ 276225 h 647700"/>
                  <a:gd name="connsiteX1" fmla="*/ 247650 w 838200"/>
                  <a:gd name="connsiteY1" fmla="*/ 276225 h 647700"/>
                  <a:gd name="connsiteX2" fmla="*/ 247650 w 838200"/>
                  <a:gd name="connsiteY2" fmla="*/ 57150 h 647700"/>
                  <a:gd name="connsiteX3" fmla="*/ 457200 w 838200"/>
                  <a:gd name="connsiteY3" fmla="*/ 57150 h 647700"/>
                  <a:gd name="connsiteX4" fmla="*/ 457200 w 838200"/>
                  <a:gd name="connsiteY4" fmla="*/ 190500 h 647700"/>
                  <a:gd name="connsiteX5" fmla="*/ 590550 w 838200"/>
                  <a:gd name="connsiteY5" fmla="*/ 190500 h 647700"/>
                  <a:gd name="connsiteX6" fmla="*/ 590550 w 838200"/>
                  <a:gd name="connsiteY6" fmla="*/ 276225 h 647700"/>
                  <a:gd name="connsiteX7" fmla="*/ 514350 w 838200"/>
                  <a:gd name="connsiteY7" fmla="*/ 60960 h 647700"/>
                  <a:gd name="connsiteX8" fmla="*/ 580073 w 838200"/>
                  <a:gd name="connsiteY8" fmla="*/ 133350 h 647700"/>
                  <a:gd name="connsiteX9" fmla="*/ 514350 w 838200"/>
                  <a:gd name="connsiteY9" fmla="*/ 133350 h 647700"/>
                  <a:gd name="connsiteX10" fmla="*/ 514350 w 838200"/>
                  <a:gd name="connsiteY10" fmla="*/ 60960 h 647700"/>
                  <a:gd name="connsiteX11" fmla="*/ 95250 w 838200"/>
                  <a:gd name="connsiteY11" fmla="*/ 323850 h 647700"/>
                  <a:gd name="connsiteX12" fmla="*/ 57150 w 838200"/>
                  <a:gd name="connsiteY12" fmla="*/ 285750 h 647700"/>
                  <a:gd name="connsiteX13" fmla="*/ 95250 w 838200"/>
                  <a:gd name="connsiteY13" fmla="*/ 247650 h 647700"/>
                  <a:gd name="connsiteX14" fmla="*/ 133350 w 838200"/>
                  <a:gd name="connsiteY14" fmla="*/ 285750 h 647700"/>
                  <a:gd name="connsiteX15" fmla="*/ 95250 w 838200"/>
                  <a:gd name="connsiteY15" fmla="*/ 323850 h 647700"/>
                  <a:gd name="connsiteX16" fmla="*/ 800100 w 838200"/>
                  <a:gd name="connsiteY16" fmla="*/ 190500 h 647700"/>
                  <a:gd name="connsiteX17" fmla="*/ 647700 w 838200"/>
                  <a:gd name="connsiteY17" fmla="*/ 190500 h 647700"/>
                  <a:gd name="connsiteX18" fmla="*/ 647700 w 838200"/>
                  <a:gd name="connsiteY18" fmla="*/ 121920 h 647700"/>
                  <a:gd name="connsiteX19" fmla="*/ 536258 w 838200"/>
                  <a:gd name="connsiteY19" fmla="*/ 0 h 647700"/>
                  <a:gd name="connsiteX20" fmla="*/ 190500 w 838200"/>
                  <a:gd name="connsiteY20" fmla="*/ 0 h 647700"/>
                  <a:gd name="connsiteX21" fmla="*/ 190500 w 838200"/>
                  <a:gd name="connsiteY21" fmla="*/ 190500 h 647700"/>
                  <a:gd name="connsiteX22" fmla="*/ 38100 w 838200"/>
                  <a:gd name="connsiteY22" fmla="*/ 190500 h 647700"/>
                  <a:gd name="connsiteX23" fmla="*/ 0 w 838200"/>
                  <a:gd name="connsiteY23" fmla="*/ 228600 h 647700"/>
                  <a:gd name="connsiteX24" fmla="*/ 0 w 838200"/>
                  <a:gd name="connsiteY24" fmla="*/ 609600 h 647700"/>
                  <a:gd name="connsiteX25" fmla="*/ 38100 w 838200"/>
                  <a:gd name="connsiteY25" fmla="*/ 647700 h 647700"/>
                  <a:gd name="connsiteX26" fmla="*/ 152400 w 838200"/>
                  <a:gd name="connsiteY26" fmla="*/ 647700 h 647700"/>
                  <a:gd name="connsiteX27" fmla="*/ 152400 w 838200"/>
                  <a:gd name="connsiteY27" fmla="*/ 428625 h 647700"/>
                  <a:gd name="connsiteX28" fmla="*/ 685800 w 838200"/>
                  <a:gd name="connsiteY28" fmla="*/ 428625 h 647700"/>
                  <a:gd name="connsiteX29" fmla="*/ 685800 w 838200"/>
                  <a:gd name="connsiteY29" fmla="*/ 647700 h 647700"/>
                  <a:gd name="connsiteX30" fmla="*/ 800100 w 838200"/>
                  <a:gd name="connsiteY30" fmla="*/ 647700 h 647700"/>
                  <a:gd name="connsiteX31" fmla="*/ 838200 w 838200"/>
                  <a:gd name="connsiteY31" fmla="*/ 609600 h 647700"/>
                  <a:gd name="connsiteX32" fmla="*/ 838200 w 838200"/>
                  <a:gd name="connsiteY32" fmla="*/ 228600 h 647700"/>
                  <a:gd name="connsiteX33" fmla="*/ 800100 w 838200"/>
                  <a:gd name="connsiteY33" fmla="*/ 190500 h 6477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</a:cxnLst>
                <a:rect l="l" t="t" r="r" b="b"/>
                <a:pathLst>
                  <a:path w="838200" h="647700">
                    <a:moveTo>
                      <a:pt x="590550" y="276225"/>
                    </a:moveTo>
                    <a:lnTo>
                      <a:pt x="247650" y="276225"/>
                    </a:lnTo>
                    <a:lnTo>
                      <a:pt x="247650" y="57150"/>
                    </a:lnTo>
                    <a:lnTo>
                      <a:pt x="457200" y="57150"/>
                    </a:lnTo>
                    <a:lnTo>
                      <a:pt x="457200" y="190500"/>
                    </a:lnTo>
                    <a:lnTo>
                      <a:pt x="590550" y="190500"/>
                    </a:lnTo>
                    <a:lnTo>
                      <a:pt x="590550" y="276225"/>
                    </a:lnTo>
                    <a:close/>
                    <a:moveTo>
                      <a:pt x="514350" y="60960"/>
                    </a:moveTo>
                    <a:lnTo>
                      <a:pt x="580073" y="133350"/>
                    </a:lnTo>
                    <a:lnTo>
                      <a:pt x="514350" y="133350"/>
                    </a:lnTo>
                    <a:lnTo>
                      <a:pt x="514350" y="60960"/>
                    </a:lnTo>
                    <a:close/>
                    <a:moveTo>
                      <a:pt x="95250" y="323850"/>
                    </a:moveTo>
                    <a:cubicBezTo>
                      <a:pt x="74295" y="323850"/>
                      <a:pt x="57150" y="306705"/>
                      <a:pt x="57150" y="285750"/>
                    </a:cubicBezTo>
                    <a:cubicBezTo>
                      <a:pt x="57150" y="264795"/>
                      <a:pt x="74295" y="247650"/>
                      <a:pt x="95250" y="247650"/>
                    </a:cubicBezTo>
                    <a:cubicBezTo>
                      <a:pt x="116205" y="247650"/>
                      <a:pt x="133350" y="264795"/>
                      <a:pt x="133350" y="285750"/>
                    </a:cubicBezTo>
                    <a:cubicBezTo>
                      <a:pt x="133350" y="306705"/>
                      <a:pt x="116205" y="323850"/>
                      <a:pt x="95250" y="323850"/>
                    </a:cubicBezTo>
                    <a:close/>
                    <a:moveTo>
                      <a:pt x="800100" y="190500"/>
                    </a:moveTo>
                    <a:lnTo>
                      <a:pt x="647700" y="190500"/>
                    </a:lnTo>
                    <a:lnTo>
                      <a:pt x="647700" y="121920"/>
                    </a:lnTo>
                    <a:lnTo>
                      <a:pt x="536258" y="0"/>
                    </a:lnTo>
                    <a:lnTo>
                      <a:pt x="190500" y="0"/>
                    </a:lnTo>
                    <a:lnTo>
                      <a:pt x="190500" y="190500"/>
                    </a:lnTo>
                    <a:lnTo>
                      <a:pt x="38100" y="190500"/>
                    </a:lnTo>
                    <a:cubicBezTo>
                      <a:pt x="17145" y="190500"/>
                      <a:pt x="0" y="207645"/>
                      <a:pt x="0" y="228600"/>
                    </a:cubicBezTo>
                    <a:lnTo>
                      <a:pt x="0" y="609600"/>
                    </a:lnTo>
                    <a:cubicBezTo>
                      <a:pt x="0" y="630555"/>
                      <a:pt x="17145" y="647700"/>
                      <a:pt x="38100" y="647700"/>
                    </a:cubicBezTo>
                    <a:lnTo>
                      <a:pt x="152400" y="647700"/>
                    </a:lnTo>
                    <a:lnTo>
                      <a:pt x="152400" y="428625"/>
                    </a:lnTo>
                    <a:lnTo>
                      <a:pt x="685800" y="428625"/>
                    </a:lnTo>
                    <a:lnTo>
                      <a:pt x="685800" y="647700"/>
                    </a:lnTo>
                    <a:lnTo>
                      <a:pt x="800100" y="647700"/>
                    </a:lnTo>
                    <a:cubicBezTo>
                      <a:pt x="821055" y="647700"/>
                      <a:pt x="838200" y="630555"/>
                      <a:pt x="838200" y="609600"/>
                    </a:cubicBezTo>
                    <a:lnTo>
                      <a:pt x="838200" y="228600"/>
                    </a:lnTo>
                    <a:cubicBezTo>
                      <a:pt x="838200" y="207645"/>
                      <a:pt x="821055" y="190500"/>
                      <a:pt x="800100" y="190500"/>
                    </a:cubicBez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</xdr:grp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0" name="Imagem 19">
                  <a:extLst>
                    <a:ext uri="{FF2B5EF4-FFF2-40B4-BE49-F238E27FC236}">
                      <a16:creationId xmlns:a16="http://schemas.microsoft.com/office/drawing/2014/main" id="{73E9CC45-87B4-C8D7-DC4A-7080B9B961F1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MENU!$F$2" spid="_x0000_s168067"/>
                    </a:ext>
                  </a:extLst>
                </xdr:cNvPicPr>
              </xdr:nvPicPr>
              <xdr:blipFill rotWithShape="1">
                <a:blip xmlns:r="http://schemas.openxmlformats.org/officeDocument/2006/relationships" r:embed="rId6"/>
                <a:srcRect b="4887"/>
                <a:stretch>
                  <a:fillRect/>
                </a:stretch>
              </xdr:blipFill>
              <xdr:spPr>
                <a:xfrm rot="5400000">
                  <a:off x="103834" y="-103834"/>
                  <a:ext cx="574836" cy="782503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  <xdr:sp macro="" textlink="">
          <xdr:nvSpPr>
            <xdr:cNvPr id="22" name="Retângulo 2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3FD7439C-8821-9955-A7A0-1CE0B89B6F9F}"/>
                </a:ext>
              </a:extLst>
            </xdr:cNvPr>
            <xdr:cNvSpPr/>
          </xdr:nvSpPr>
          <xdr:spPr>
            <a:xfrm>
              <a:off x="9618853" y="361950"/>
              <a:ext cx="1250894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PAGAR</a:t>
              </a:r>
            </a:p>
          </xdr:txBody>
        </xdr:sp>
        <xdr:sp macro="" textlink="">
          <xdr:nvSpPr>
            <xdr:cNvPr id="26" name="Retângulo 2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4DE7EF02-B475-04C4-0B15-2EF499589A93}"/>
                </a:ext>
              </a:extLst>
            </xdr:cNvPr>
            <xdr:cNvSpPr/>
          </xdr:nvSpPr>
          <xdr:spPr>
            <a:xfrm>
              <a:off x="771525" y="362132"/>
              <a:ext cx="1550561" cy="198039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FATURAMENTO</a:t>
              </a:r>
              <a:r>
                <a:rPr lang="pt-BR" sz="1100" b="1" i="0" baseline="0">
                  <a:solidFill>
                    <a:schemeClr val="accent1"/>
                  </a:solidFill>
                </a:rPr>
                <a:t> BRUTO</a:t>
              </a:r>
              <a:endParaRPr lang="pt-BR" sz="1100" b="1" i="0">
                <a:solidFill>
                  <a:schemeClr val="accent1"/>
                </a:solidFill>
              </a:endParaRPr>
            </a:p>
          </xdr:txBody>
        </xdr:sp>
        <xdr:sp macro="" textlink="">
          <xdr:nvSpPr>
            <xdr:cNvPr id="30" name="Retângulo 29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67B3BED7-8F31-E7D1-34FC-49961EF0C0A5}"/>
                </a:ext>
              </a:extLst>
            </xdr:cNvPr>
            <xdr:cNvSpPr/>
          </xdr:nvSpPr>
          <xdr:spPr>
            <a:xfrm>
              <a:off x="2337105" y="362132"/>
              <a:ext cx="1660138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LÍQUIDO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32" name="Retângulo 3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AE50995A-9A93-2FE2-8023-038CADB7E828}"/>
                </a:ext>
              </a:extLst>
            </xdr:cNvPr>
            <xdr:cNvSpPr/>
          </xdr:nvSpPr>
          <xdr:spPr>
            <a:xfrm>
              <a:off x="7084042" y="361950"/>
              <a:ext cx="1186806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FLUXO DE CAIXA</a:t>
              </a:r>
            </a:p>
          </xdr:txBody>
        </xdr:sp>
        <xdr:sp macro="" textlink="">
          <xdr:nvSpPr>
            <xdr:cNvPr id="33" name="Retângulo 3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8FBF350D-DE87-4A6A-42AA-9DE70ADDE398}"/>
                </a:ext>
              </a:extLst>
            </xdr:cNvPr>
            <xdr:cNvSpPr/>
          </xdr:nvSpPr>
          <xdr:spPr>
            <a:xfrm>
              <a:off x="8273481" y="361950"/>
              <a:ext cx="1333475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RECEBER</a:t>
              </a:r>
            </a:p>
          </xdr:txBody>
        </xdr:sp>
        <xdr:sp macro="" textlink="">
          <xdr:nvSpPr>
            <xdr:cNvPr id="38" name="Retângulo 3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45C17800-E6A6-3EA2-4BB5-84F7D97091F0}"/>
                </a:ext>
              </a:extLst>
            </xdr:cNvPr>
            <xdr:cNvSpPr/>
          </xdr:nvSpPr>
          <xdr:spPr>
            <a:xfrm>
              <a:off x="12385551" y="361950"/>
              <a:ext cx="1224000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DRE FINANCEIRA</a:t>
              </a:r>
            </a:p>
          </xdr:txBody>
        </xdr:sp>
        <xdr:sp macro="" textlink="">
          <xdr:nvSpPr>
            <xdr:cNvPr id="41" name="Retângulo 4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6B6ECB58-4586-1386-1E09-904FCEE4C6A5}"/>
                </a:ext>
              </a:extLst>
            </xdr:cNvPr>
            <xdr:cNvSpPr/>
          </xdr:nvSpPr>
          <xdr:spPr>
            <a:xfrm>
              <a:off x="13630231" y="361950"/>
              <a:ext cx="702806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BANCOS</a:t>
              </a:r>
            </a:p>
          </xdr:txBody>
        </xdr:sp>
        <xdr:sp macro="" textlink="">
          <xdr:nvSpPr>
            <xdr:cNvPr id="43" name="Retângulo 42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A2CD70C7-BF2F-1DDE-A492-CB92E6704C5C}"/>
                </a:ext>
              </a:extLst>
            </xdr:cNvPr>
            <xdr:cNvSpPr/>
          </xdr:nvSpPr>
          <xdr:spPr>
            <a:xfrm>
              <a:off x="5637032" y="361950"/>
              <a:ext cx="143697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RESULTADO</a:t>
              </a:r>
              <a:r>
                <a:rPr lang="pt-BR" sz="1100" b="1" i="0" baseline="0">
                  <a:solidFill>
                    <a:srgbClr val="797979"/>
                  </a:solidFill>
                </a:rPr>
                <a:t> POR DIA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45" name="Retângulo 4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B871E999-7AD9-933F-04B7-7356F0006FA9}"/>
                </a:ext>
              </a:extLst>
            </xdr:cNvPr>
            <xdr:cNvSpPr/>
          </xdr:nvSpPr>
          <xdr:spPr>
            <a:xfrm>
              <a:off x="4008775" y="361950"/>
              <a:ext cx="162100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DESPESAS FINANCEIRAS</a:t>
              </a:r>
            </a:p>
          </xdr:txBody>
        </xdr:sp>
        <xdr:sp macro="" textlink="">
          <xdr:nvSpPr>
            <xdr:cNvPr id="46" name="Retângulo 4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567D16F7-54B5-21ED-F6D2-6853BEA70D30}"/>
                </a:ext>
              </a:extLst>
            </xdr:cNvPr>
            <xdr:cNvSpPr/>
          </xdr:nvSpPr>
          <xdr:spPr>
            <a:xfrm>
              <a:off x="10878008" y="361950"/>
              <a:ext cx="1481075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VALORES EM ABERTO</a:t>
              </a:r>
            </a:p>
          </xdr:txBody>
        </xdr:sp>
      </xdr:grpSp>
      <xdr:pic>
        <xdr:nvPicPr>
          <xdr:cNvPr id="2" name="Imagem 1">
            <a:extLst>
              <a:ext uri="{FF2B5EF4-FFF2-40B4-BE49-F238E27FC236}">
                <a16:creationId xmlns:a16="http://schemas.microsoft.com/office/drawing/2014/main" id="{6F464562-30F0-44D4-BD82-36E50A7683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0" y="0"/>
            <a:ext cx="742950" cy="619125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46049</xdr:colOff>
          <xdr:row>3</xdr:row>
          <xdr:rowOff>26314</xdr:rowOff>
        </xdr:from>
        <xdr:to>
          <xdr:col>10</xdr:col>
          <xdr:colOff>506538</xdr:colOff>
          <xdr:row>4</xdr:row>
          <xdr:rowOff>144725</xdr:rowOff>
        </xdr:to>
        <xdr:sp macro="" textlink="">
          <xdr:nvSpPr>
            <xdr:cNvPr id="168963" name="Button 3" hidden="1">
              <a:extLst>
                <a:ext uri="{63B3BB69-23CF-44E3-9099-C40C66FF867C}">
                  <a14:compatExt spid="_x0000_s168963"/>
                </a:ext>
                <a:ext uri="{FF2B5EF4-FFF2-40B4-BE49-F238E27FC236}">
                  <a16:creationId xmlns:a16="http://schemas.microsoft.com/office/drawing/2014/main" id="{00000000-0008-0000-0A00-000003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PLANILHA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16</xdr:col>
      <xdr:colOff>436062</xdr:colOff>
      <xdr:row>3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2FA32DC-1220-4297-8DE7-960324B79F78}"/>
            </a:ext>
          </a:extLst>
        </xdr:cNvPr>
        <xdr:cNvGrpSpPr/>
      </xdr:nvGrpSpPr>
      <xdr:grpSpPr>
        <a:xfrm>
          <a:off x="0" y="0"/>
          <a:ext cx="15533530" cy="614739"/>
          <a:chOff x="0" y="0"/>
          <a:chExt cx="14333037" cy="619125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A19F4844-BB60-2EEE-4861-85671CAABE91}"/>
              </a:ext>
            </a:extLst>
          </xdr:cNvPr>
          <xdr:cNvGrpSpPr/>
        </xdr:nvGrpSpPr>
        <xdr:grpSpPr>
          <a:xfrm>
            <a:off x="0" y="0"/>
            <a:ext cx="14333037" cy="574836"/>
            <a:chOff x="0" y="0"/>
            <a:chExt cx="14333037" cy="574836"/>
          </a:xfrm>
        </xdr:grpSpPr>
        <xdr:sp macro="[0]!Salvar" textlink="">
          <xdr:nvSpPr>
            <xdr:cNvPr id="6" name="Retângulo Arredondado 1">
              <a:extLst>
                <a:ext uri="{FF2B5EF4-FFF2-40B4-BE49-F238E27FC236}">
                  <a16:creationId xmlns:a16="http://schemas.microsoft.com/office/drawing/2014/main" id="{3E807C2E-0892-F584-AFA3-F0EA1EF24730}"/>
                </a:ext>
              </a:extLst>
            </xdr:cNvPr>
            <xdr:cNvSpPr/>
          </xdr:nvSpPr>
          <xdr:spPr>
            <a:xfrm>
              <a:off x="10707213" y="66824"/>
              <a:ext cx="88387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SALVAR</a:t>
              </a:r>
            </a:p>
          </xdr:txBody>
        </xdr:sp>
        <xdr:sp macro="" textlink="">
          <xdr:nvSpPr>
            <xdr:cNvPr id="7" name="Retângulo Arredondado 20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CE7A571-391F-8CC6-933A-E1F8B37D305B}"/>
                </a:ext>
              </a:extLst>
            </xdr:cNvPr>
            <xdr:cNvSpPr/>
          </xdr:nvSpPr>
          <xdr:spPr>
            <a:xfrm>
              <a:off x="9838931" y="66824"/>
              <a:ext cx="84054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MENU</a:t>
              </a:r>
            </a:p>
          </xdr:txBody>
        </xdr:sp>
        <xdr:sp macro="[0]!workbook_close" textlink="">
          <xdr:nvSpPr>
            <xdr:cNvPr id="8" name="Seta: para Baixo 28">
              <a:extLst>
                <a:ext uri="{FF2B5EF4-FFF2-40B4-BE49-F238E27FC236}">
                  <a16:creationId xmlns:a16="http://schemas.microsoft.com/office/drawing/2014/main" id="{98CC7237-5E34-8B48-C148-76C2C0228177}"/>
                </a:ext>
              </a:extLst>
            </xdr:cNvPr>
            <xdr:cNvSpPr/>
          </xdr:nvSpPr>
          <xdr:spPr>
            <a:xfrm>
              <a:off x="11895388" y="66824"/>
              <a:ext cx="23576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[0]!workbook_open" textlink="">
          <xdr:nvSpPr>
            <xdr:cNvPr id="9" name="Seta: para Baixo 8">
              <a:extLst>
                <a:ext uri="{FF2B5EF4-FFF2-40B4-BE49-F238E27FC236}">
                  <a16:creationId xmlns:a16="http://schemas.microsoft.com/office/drawing/2014/main" id="{FDCBEC67-3C39-819E-9FE5-8603C4F3A2B2}"/>
                </a:ext>
              </a:extLst>
            </xdr:cNvPr>
            <xdr:cNvSpPr/>
          </xdr:nvSpPr>
          <xdr:spPr>
            <a:xfrm rot="10800000">
              <a:off x="11674297" y="38184"/>
              <a:ext cx="23958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D6E01F1B-6063-56AC-F856-B5E65086D0E6}"/>
                </a:ext>
              </a:extLst>
            </xdr:cNvPr>
            <xdr:cNvSpPr/>
          </xdr:nvSpPr>
          <xdr:spPr>
            <a:xfrm>
              <a:off x="772544" y="0"/>
              <a:ext cx="933017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CADASTROS</a:t>
              </a:r>
            </a:p>
          </xdr:txBody>
        </xdr:sp>
        <xdr:sp macro="" textlink="">
          <xdr:nvSpPr>
            <xdr:cNvPr id="11" name="Retângulo 1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617916C2-4FA9-2AB6-A495-CE244E8F51D7}"/>
                </a:ext>
              </a:extLst>
            </xdr:cNvPr>
            <xdr:cNvSpPr/>
          </xdr:nvSpPr>
          <xdr:spPr>
            <a:xfrm>
              <a:off x="1713565" y="0"/>
              <a:ext cx="1148329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LANÇAMENTOS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B6243634-A56F-2177-846F-E110916BDF41}"/>
                </a:ext>
              </a:extLst>
            </xdr:cNvPr>
            <xdr:cNvSpPr/>
          </xdr:nvSpPr>
          <xdr:spPr>
            <a:xfrm>
              <a:off x="2874719" y="0"/>
              <a:ext cx="972072" cy="313897"/>
            </a:xfrm>
            <a:prstGeom prst="rect">
              <a:avLst/>
            </a:prstGeom>
            <a:solidFill>
              <a:srgbClr val="EBEBEB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RELATÓRIOSS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85757B1-9AD3-A7F3-D1C8-7F8C9DCD189B}"/>
                </a:ext>
              </a:extLst>
            </xdr:cNvPr>
            <xdr:cNvSpPr/>
          </xdr:nvSpPr>
          <xdr:spPr>
            <a:xfrm>
              <a:off x="3849282" y="0"/>
              <a:ext cx="968903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DASHBOARD</a:t>
              </a:r>
            </a:p>
          </xdr:txBody>
        </xdr:sp>
        <xdr:grpSp>
          <xdr:nvGrpSpPr>
            <xdr:cNvPr id="14" name="Gráfico 2" descr="Impressora">
              <a:extLst>
                <a:ext uri="{FF2B5EF4-FFF2-40B4-BE49-F238E27FC236}">
                  <a16:creationId xmlns:a16="http://schemas.microsoft.com/office/drawing/2014/main" id="{9FBED8F8-C566-2B65-645E-B056529A11E5}"/>
                </a:ext>
              </a:extLst>
            </xdr:cNvPr>
            <xdr:cNvGrpSpPr/>
          </xdr:nvGrpSpPr>
          <xdr:grpSpPr>
            <a:xfrm>
              <a:off x="12183371" y="0"/>
              <a:ext cx="280353" cy="289536"/>
              <a:chOff x="0" y="0"/>
              <a:chExt cx="914400" cy="914400"/>
            </a:xfrm>
            <a:solidFill>
              <a:schemeClr val="bg1"/>
            </a:solidFill>
          </xdr:grpSpPr>
          <xdr:sp macro="[0]!Imprimir" textlink="">
            <xdr:nvSpPr>
              <xdr:cNvPr id="27" name="Forma Livre: Forma 26">
                <a:extLst>
                  <a:ext uri="{FF2B5EF4-FFF2-40B4-BE49-F238E27FC236}">
                    <a16:creationId xmlns:a16="http://schemas.microsoft.com/office/drawing/2014/main" id="{F6ABCC58-B275-B47C-948B-BAC1A7361B80}"/>
                  </a:ext>
                </a:extLst>
              </xdr:cNvPr>
              <xdr:cNvSpPr/>
            </xdr:nvSpPr>
            <xdr:spPr>
              <a:xfrm>
                <a:off x="228600" y="538163"/>
                <a:ext cx="447675" cy="304800"/>
              </a:xfrm>
              <a:custGeom>
                <a:avLst/>
                <a:gdLst>
                  <a:gd name="connsiteX0" fmla="*/ 400050 w 447675"/>
                  <a:gd name="connsiteY0" fmla="*/ 57150 h 304800"/>
                  <a:gd name="connsiteX1" fmla="*/ 399098 w 447675"/>
                  <a:gd name="connsiteY1" fmla="*/ 247650 h 304800"/>
                  <a:gd name="connsiteX2" fmla="*/ 59055 w 447675"/>
                  <a:gd name="connsiteY2" fmla="*/ 247650 h 304800"/>
                  <a:gd name="connsiteX3" fmla="*/ 57150 w 447675"/>
                  <a:gd name="connsiteY3" fmla="*/ 57150 h 304800"/>
                  <a:gd name="connsiteX4" fmla="*/ 400050 w 447675"/>
                  <a:gd name="connsiteY4" fmla="*/ 57150 h 304800"/>
                  <a:gd name="connsiteX5" fmla="*/ 1905 w 447675"/>
                  <a:gd name="connsiteY5" fmla="*/ 304800 h 304800"/>
                  <a:gd name="connsiteX6" fmla="*/ 455295 w 447675"/>
                  <a:gd name="connsiteY6" fmla="*/ 304800 h 304800"/>
                  <a:gd name="connsiteX7" fmla="*/ 456248 w 447675"/>
                  <a:gd name="connsiteY7" fmla="*/ 0 h 304800"/>
                  <a:gd name="connsiteX8" fmla="*/ 0 w 447675"/>
                  <a:gd name="connsiteY8" fmla="*/ 0 h 304800"/>
                  <a:gd name="connsiteX9" fmla="*/ 1905 w 447675"/>
                  <a:gd name="connsiteY9" fmla="*/ 304800 h 3048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447675" h="304800">
                    <a:moveTo>
                      <a:pt x="400050" y="57150"/>
                    </a:moveTo>
                    <a:lnTo>
                      <a:pt x="399098" y="247650"/>
                    </a:lnTo>
                    <a:lnTo>
                      <a:pt x="59055" y="247650"/>
                    </a:lnTo>
                    <a:lnTo>
                      <a:pt x="57150" y="57150"/>
                    </a:lnTo>
                    <a:lnTo>
                      <a:pt x="400050" y="57150"/>
                    </a:lnTo>
                    <a:close/>
                    <a:moveTo>
                      <a:pt x="1905" y="304800"/>
                    </a:moveTo>
                    <a:lnTo>
                      <a:pt x="455295" y="304800"/>
                    </a:lnTo>
                    <a:lnTo>
                      <a:pt x="456248" y="0"/>
                    </a:lnTo>
                    <a:lnTo>
                      <a:pt x="0" y="0"/>
                    </a:lnTo>
                    <a:lnTo>
                      <a:pt x="1905" y="3048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28" name="Forma Livre: Forma 27">
                <a:extLst>
                  <a:ext uri="{FF2B5EF4-FFF2-40B4-BE49-F238E27FC236}">
                    <a16:creationId xmlns:a16="http://schemas.microsoft.com/office/drawing/2014/main" id="{56D1FE15-3EA8-7846-FCEE-246B69C2D051}"/>
                  </a:ext>
                </a:extLst>
              </xdr:cNvPr>
              <xdr:cNvSpPr/>
            </xdr:nvSpPr>
            <xdr:spPr>
              <a:xfrm>
                <a:off x="361950" y="6334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29" name="Forma Livre: Forma 28">
                <a:extLst>
                  <a:ext uri="{FF2B5EF4-FFF2-40B4-BE49-F238E27FC236}">
                    <a16:creationId xmlns:a16="http://schemas.microsoft.com/office/drawing/2014/main" id="{62AEFDD0-63B0-8142-C00C-F535065C36CC}"/>
                  </a:ext>
                </a:extLst>
              </xdr:cNvPr>
              <xdr:cNvSpPr/>
            </xdr:nvSpPr>
            <xdr:spPr>
              <a:xfrm>
                <a:off x="361950" y="7096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30" name="Forma Livre: Forma 29">
                <a:extLst>
                  <a:ext uri="{FF2B5EF4-FFF2-40B4-BE49-F238E27FC236}">
                    <a16:creationId xmlns:a16="http://schemas.microsoft.com/office/drawing/2014/main" id="{FAE4D9B4-B7A6-55F3-2E3C-03D95BA639A6}"/>
                  </a:ext>
                </a:extLst>
              </xdr:cNvPr>
              <xdr:cNvSpPr/>
            </xdr:nvSpPr>
            <xdr:spPr>
              <a:xfrm>
                <a:off x="38100" y="76200"/>
                <a:ext cx="838200" cy="647700"/>
              </a:xfrm>
              <a:custGeom>
                <a:avLst/>
                <a:gdLst>
                  <a:gd name="connsiteX0" fmla="*/ 590550 w 838200"/>
                  <a:gd name="connsiteY0" fmla="*/ 276225 h 647700"/>
                  <a:gd name="connsiteX1" fmla="*/ 247650 w 838200"/>
                  <a:gd name="connsiteY1" fmla="*/ 276225 h 647700"/>
                  <a:gd name="connsiteX2" fmla="*/ 247650 w 838200"/>
                  <a:gd name="connsiteY2" fmla="*/ 57150 h 647700"/>
                  <a:gd name="connsiteX3" fmla="*/ 457200 w 838200"/>
                  <a:gd name="connsiteY3" fmla="*/ 57150 h 647700"/>
                  <a:gd name="connsiteX4" fmla="*/ 457200 w 838200"/>
                  <a:gd name="connsiteY4" fmla="*/ 190500 h 647700"/>
                  <a:gd name="connsiteX5" fmla="*/ 590550 w 838200"/>
                  <a:gd name="connsiteY5" fmla="*/ 190500 h 647700"/>
                  <a:gd name="connsiteX6" fmla="*/ 590550 w 838200"/>
                  <a:gd name="connsiteY6" fmla="*/ 276225 h 647700"/>
                  <a:gd name="connsiteX7" fmla="*/ 514350 w 838200"/>
                  <a:gd name="connsiteY7" fmla="*/ 60960 h 647700"/>
                  <a:gd name="connsiteX8" fmla="*/ 580073 w 838200"/>
                  <a:gd name="connsiteY8" fmla="*/ 133350 h 647700"/>
                  <a:gd name="connsiteX9" fmla="*/ 514350 w 838200"/>
                  <a:gd name="connsiteY9" fmla="*/ 133350 h 647700"/>
                  <a:gd name="connsiteX10" fmla="*/ 514350 w 838200"/>
                  <a:gd name="connsiteY10" fmla="*/ 60960 h 647700"/>
                  <a:gd name="connsiteX11" fmla="*/ 95250 w 838200"/>
                  <a:gd name="connsiteY11" fmla="*/ 323850 h 647700"/>
                  <a:gd name="connsiteX12" fmla="*/ 57150 w 838200"/>
                  <a:gd name="connsiteY12" fmla="*/ 285750 h 647700"/>
                  <a:gd name="connsiteX13" fmla="*/ 95250 w 838200"/>
                  <a:gd name="connsiteY13" fmla="*/ 247650 h 647700"/>
                  <a:gd name="connsiteX14" fmla="*/ 133350 w 838200"/>
                  <a:gd name="connsiteY14" fmla="*/ 285750 h 647700"/>
                  <a:gd name="connsiteX15" fmla="*/ 95250 w 838200"/>
                  <a:gd name="connsiteY15" fmla="*/ 323850 h 647700"/>
                  <a:gd name="connsiteX16" fmla="*/ 800100 w 838200"/>
                  <a:gd name="connsiteY16" fmla="*/ 190500 h 647700"/>
                  <a:gd name="connsiteX17" fmla="*/ 647700 w 838200"/>
                  <a:gd name="connsiteY17" fmla="*/ 190500 h 647700"/>
                  <a:gd name="connsiteX18" fmla="*/ 647700 w 838200"/>
                  <a:gd name="connsiteY18" fmla="*/ 121920 h 647700"/>
                  <a:gd name="connsiteX19" fmla="*/ 536258 w 838200"/>
                  <a:gd name="connsiteY19" fmla="*/ 0 h 647700"/>
                  <a:gd name="connsiteX20" fmla="*/ 190500 w 838200"/>
                  <a:gd name="connsiteY20" fmla="*/ 0 h 647700"/>
                  <a:gd name="connsiteX21" fmla="*/ 190500 w 838200"/>
                  <a:gd name="connsiteY21" fmla="*/ 190500 h 647700"/>
                  <a:gd name="connsiteX22" fmla="*/ 38100 w 838200"/>
                  <a:gd name="connsiteY22" fmla="*/ 190500 h 647700"/>
                  <a:gd name="connsiteX23" fmla="*/ 0 w 838200"/>
                  <a:gd name="connsiteY23" fmla="*/ 228600 h 647700"/>
                  <a:gd name="connsiteX24" fmla="*/ 0 w 838200"/>
                  <a:gd name="connsiteY24" fmla="*/ 609600 h 647700"/>
                  <a:gd name="connsiteX25" fmla="*/ 38100 w 838200"/>
                  <a:gd name="connsiteY25" fmla="*/ 647700 h 647700"/>
                  <a:gd name="connsiteX26" fmla="*/ 152400 w 838200"/>
                  <a:gd name="connsiteY26" fmla="*/ 647700 h 647700"/>
                  <a:gd name="connsiteX27" fmla="*/ 152400 w 838200"/>
                  <a:gd name="connsiteY27" fmla="*/ 428625 h 647700"/>
                  <a:gd name="connsiteX28" fmla="*/ 685800 w 838200"/>
                  <a:gd name="connsiteY28" fmla="*/ 428625 h 647700"/>
                  <a:gd name="connsiteX29" fmla="*/ 685800 w 838200"/>
                  <a:gd name="connsiteY29" fmla="*/ 647700 h 647700"/>
                  <a:gd name="connsiteX30" fmla="*/ 800100 w 838200"/>
                  <a:gd name="connsiteY30" fmla="*/ 647700 h 647700"/>
                  <a:gd name="connsiteX31" fmla="*/ 838200 w 838200"/>
                  <a:gd name="connsiteY31" fmla="*/ 609600 h 647700"/>
                  <a:gd name="connsiteX32" fmla="*/ 838200 w 838200"/>
                  <a:gd name="connsiteY32" fmla="*/ 228600 h 647700"/>
                  <a:gd name="connsiteX33" fmla="*/ 800100 w 838200"/>
                  <a:gd name="connsiteY33" fmla="*/ 190500 h 6477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</a:cxnLst>
                <a:rect l="l" t="t" r="r" b="b"/>
                <a:pathLst>
                  <a:path w="838200" h="647700">
                    <a:moveTo>
                      <a:pt x="590550" y="276225"/>
                    </a:moveTo>
                    <a:lnTo>
                      <a:pt x="247650" y="276225"/>
                    </a:lnTo>
                    <a:lnTo>
                      <a:pt x="247650" y="57150"/>
                    </a:lnTo>
                    <a:lnTo>
                      <a:pt x="457200" y="57150"/>
                    </a:lnTo>
                    <a:lnTo>
                      <a:pt x="457200" y="190500"/>
                    </a:lnTo>
                    <a:lnTo>
                      <a:pt x="590550" y="190500"/>
                    </a:lnTo>
                    <a:lnTo>
                      <a:pt x="590550" y="276225"/>
                    </a:lnTo>
                    <a:close/>
                    <a:moveTo>
                      <a:pt x="514350" y="60960"/>
                    </a:moveTo>
                    <a:lnTo>
                      <a:pt x="580073" y="133350"/>
                    </a:lnTo>
                    <a:lnTo>
                      <a:pt x="514350" y="133350"/>
                    </a:lnTo>
                    <a:lnTo>
                      <a:pt x="514350" y="60960"/>
                    </a:lnTo>
                    <a:close/>
                    <a:moveTo>
                      <a:pt x="95250" y="323850"/>
                    </a:moveTo>
                    <a:cubicBezTo>
                      <a:pt x="74295" y="323850"/>
                      <a:pt x="57150" y="306705"/>
                      <a:pt x="57150" y="285750"/>
                    </a:cubicBezTo>
                    <a:cubicBezTo>
                      <a:pt x="57150" y="264795"/>
                      <a:pt x="74295" y="247650"/>
                      <a:pt x="95250" y="247650"/>
                    </a:cubicBezTo>
                    <a:cubicBezTo>
                      <a:pt x="116205" y="247650"/>
                      <a:pt x="133350" y="264795"/>
                      <a:pt x="133350" y="285750"/>
                    </a:cubicBezTo>
                    <a:cubicBezTo>
                      <a:pt x="133350" y="306705"/>
                      <a:pt x="116205" y="323850"/>
                      <a:pt x="95250" y="323850"/>
                    </a:cubicBezTo>
                    <a:close/>
                    <a:moveTo>
                      <a:pt x="800100" y="190500"/>
                    </a:moveTo>
                    <a:lnTo>
                      <a:pt x="647700" y="190500"/>
                    </a:lnTo>
                    <a:lnTo>
                      <a:pt x="647700" y="121920"/>
                    </a:lnTo>
                    <a:lnTo>
                      <a:pt x="536258" y="0"/>
                    </a:lnTo>
                    <a:lnTo>
                      <a:pt x="190500" y="0"/>
                    </a:lnTo>
                    <a:lnTo>
                      <a:pt x="190500" y="190500"/>
                    </a:lnTo>
                    <a:lnTo>
                      <a:pt x="38100" y="190500"/>
                    </a:lnTo>
                    <a:cubicBezTo>
                      <a:pt x="17145" y="190500"/>
                      <a:pt x="0" y="207645"/>
                      <a:pt x="0" y="228600"/>
                    </a:cubicBezTo>
                    <a:lnTo>
                      <a:pt x="0" y="609600"/>
                    </a:lnTo>
                    <a:cubicBezTo>
                      <a:pt x="0" y="630555"/>
                      <a:pt x="17145" y="647700"/>
                      <a:pt x="38100" y="647700"/>
                    </a:cubicBezTo>
                    <a:lnTo>
                      <a:pt x="152400" y="647700"/>
                    </a:lnTo>
                    <a:lnTo>
                      <a:pt x="152400" y="428625"/>
                    </a:lnTo>
                    <a:lnTo>
                      <a:pt x="685800" y="428625"/>
                    </a:lnTo>
                    <a:lnTo>
                      <a:pt x="685800" y="647700"/>
                    </a:lnTo>
                    <a:lnTo>
                      <a:pt x="800100" y="647700"/>
                    </a:lnTo>
                    <a:cubicBezTo>
                      <a:pt x="821055" y="647700"/>
                      <a:pt x="838200" y="630555"/>
                      <a:pt x="838200" y="609600"/>
                    </a:cubicBezTo>
                    <a:lnTo>
                      <a:pt x="838200" y="228600"/>
                    </a:lnTo>
                    <a:cubicBezTo>
                      <a:pt x="838200" y="207645"/>
                      <a:pt x="821055" y="190500"/>
                      <a:pt x="800100" y="190500"/>
                    </a:cubicBez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</xdr:grp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15" name="Imagem 14">
                  <a:extLst>
                    <a:ext uri="{FF2B5EF4-FFF2-40B4-BE49-F238E27FC236}">
                      <a16:creationId xmlns:a16="http://schemas.microsoft.com/office/drawing/2014/main" id="{400DB59B-CE78-E6CC-84A2-85CF1CEB61E2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MENU!$F$2" spid="_x0000_s169100"/>
                    </a:ext>
                  </a:extLst>
                </xdr:cNvPicPr>
              </xdr:nvPicPr>
              <xdr:blipFill rotWithShape="1">
                <a:blip xmlns:r="http://schemas.openxmlformats.org/officeDocument/2006/relationships" r:embed="rId6"/>
                <a:srcRect b="4887"/>
                <a:stretch>
                  <a:fillRect/>
                </a:stretch>
              </xdr:blipFill>
              <xdr:spPr>
                <a:xfrm rot="5400000">
                  <a:off x="103834" y="-103834"/>
                  <a:ext cx="574836" cy="782503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  <xdr:sp macro="" textlink="">
          <xdr:nvSpPr>
            <xdr:cNvPr id="16" name="Retâ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ED0895A0-F56A-C8FB-5C5D-8731A3846EBD}"/>
                </a:ext>
              </a:extLst>
            </xdr:cNvPr>
            <xdr:cNvSpPr/>
          </xdr:nvSpPr>
          <xdr:spPr>
            <a:xfrm>
              <a:off x="9618853" y="361950"/>
              <a:ext cx="1250894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PAGAR</a:t>
              </a:r>
            </a:p>
          </xdr:txBody>
        </xdr:sp>
        <xdr:sp macro="" textlink="">
          <xdr:nvSpPr>
            <xdr:cNvPr id="17" name="Retângulo 1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B9F6EC09-16DB-409F-7464-A614B42F971E}"/>
                </a:ext>
              </a:extLst>
            </xdr:cNvPr>
            <xdr:cNvSpPr/>
          </xdr:nvSpPr>
          <xdr:spPr>
            <a:xfrm>
              <a:off x="771525" y="362132"/>
              <a:ext cx="1550561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BRUTO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18" name="Retângulo 17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CE110EA2-D0AB-1E04-34F1-68A33C40FD70}"/>
                </a:ext>
              </a:extLst>
            </xdr:cNvPr>
            <xdr:cNvSpPr/>
          </xdr:nvSpPr>
          <xdr:spPr>
            <a:xfrm>
              <a:off x="2337105" y="362132"/>
              <a:ext cx="1660138" cy="198039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FATURAMENTO</a:t>
              </a:r>
              <a:r>
                <a:rPr lang="pt-BR" sz="1100" b="1" i="0" baseline="0">
                  <a:solidFill>
                    <a:schemeClr val="accent1"/>
                  </a:solidFill>
                </a:rPr>
                <a:t> LÍQUIDO</a:t>
              </a:r>
              <a:endParaRPr lang="pt-BR" sz="1100" b="1" i="0">
                <a:solidFill>
                  <a:schemeClr val="accent1"/>
                </a:solidFill>
              </a:endParaRPr>
            </a:p>
          </xdr:txBody>
        </xdr:sp>
        <xdr:sp macro="" textlink="">
          <xdr:nvSpPr>
            <xdr:cNvPr id="19" name="Retângulo 18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2FE143FA-540D-2A5A-431D-752BE71439E5}"/>
                </a:ext>
              </a:extLst>
            </xdr:cNvPr>
            <xdr:cNvSpPr/>
          </xdr:nvSpPr>
          <xdr:spPr>
            <a:xfrm>
              <a:off x="7084042" y="361950"/>
              <a:ext cx="1186806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FLUXO DE CAIXA</a:t>
              </a:r>
            </a:p>
          </xdr:txBody>
        </xdr:sp>
        <xdr:sp macro="" textlink="">
          <xdr:nvSpPr>
            <xdr:cNvPr id="20" name="Retângulo 19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90331A0-F4D1-2F3E-2AC6-752E3C546078}"/>
                </a:ext>
              </a:extLst>
            </xdr:cNvPr>
            <xdr:cNvSpPr/>
          </xdr:nvSpPr>
          <xdr:spPr>
            <a:xfrm>
              <a:off x="8273481" y="361950"/>
              <a:ext cx="1333475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RECEBER</a:t>
              </a:r>
            </a:p>
          </xdr:txBody>
        </xdr:sp>
        <xdr:sp macro="" textlink="">
          <xdr:nvSpPr>
            <xdr:cNvPr id="21" name="Retângulo 2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4469B7A2-99BE-C37F-6F63-C2667611AF46}"/>
                </a:ext>
              </a:extLst>
            </xdr:cNvPr>
            <xdr:cNvSpPr/>
          </xdr:nvSpPr>
          <xdr:spPr>
            <a:xfrm>
              <a:off x="12385551" y="361950"/>
              <a:ext cx="1224000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DRE FINANCEIRA</a:t>
              </a:r>
            </a:p>
          </xdr:txBody>
        </xdr:sp>
        <xdr:sp macro="" textlink="">
          <xdr:nvSpPr>
            <xdr:cNvPr id="23" name="Retângulo 2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1F9B00CF-256E-A735-AF5A-A9C48BF7FE24}"/>
                </a:ext>
              </a:extLst>
            </xdr:cNvPr>
            <xdr:cNvSpPr/>
          </xdr:nvSpPr>
          <xdr:spPr>
            <a:xfrm>
              <a:off x="13630231" y="361950"/>
              <a:ext cx="702806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BANCOS</a:t>
              </a:r>
            </a:p>
          </xdr:txBody>
        </xdr:sp>
        <xdr:sp macro="" textlink="">
          <xdr:nvSpPr>
            <xdr:cNvPr id="24" name="Retângulo 2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F51F9079-EF72-46E5-FEBE-A65FFE25449A}"/>
                </a:ext>
              </a:extLst>
            </xdr:cNvPr>
            <xdr:cNvSpPr/>
          </xdr:nvSpPr>
          <xdr:spPr>
            <a:xfrm>
              <a:off x="5637032" y="361950"/>
              <a:ext cx="143697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RESULTADO</a:t>
              </a:r>
              <a:r>
                <a:rPr lang="pt-BR" sz="1100" b="1" i="0" baseline="0">
                  <a:solidFill>
                    <a:srgbClr val="797979"/>
                  </a:solidFill>
                </a:rPr>
                <a:t> POR DIA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25" name="Retângulo 2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62DD0502-E92B-DB24-840C-B1D3CDED889E}"/>
                </a:ext>
              </a:extLst>
            </xdr:cNvPr>
            <xdr:cNvSpPr/>
          </xdr:nvSpPr>
          <xdr:spPr>
            <a:xfrm>
              <a:off x="4008775" y="361950"/>
              <a:ext cx="162100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DESPESAS FINANCEIRAS</a:t>
              </a:r>
            </a:p>
          </xdr:txBody>
        </xdr:sp>
        <xdr:sp macro="" textlink="">
          <xdr:nvSpPr>
            <xdr:cNvPr id="26" name="Retângulo 2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FC21AA3B-2357-AC2B-73AB-E005A26B714D}"/>
                </a:ext>
              </a:extLst>
            </xdr:cNvPr>
            <xdr:cNvSpPr/>
          </xdr:nvSpPr>
          <xdr:spPr>
            <a:xfrm>
              <a:off x="10878008" y="361950"/>
              <a:ext cx="1481075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VALORES EM ABERTO</a:t>
              </a:r>
            </a:p>
          </xdr:txBody>
        </xdr:sp>
      </xdr:grp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AC7F7A4C-7EF9-E440-1E82-0F08278D9A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0" y="0"/>
            <a:ext cx="742950" cy="619125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940714</xdr:colOff>
          <xdr:row>3</xdr:row>
          <xdr:rowOff>26314</xdr:rowOff>
        </xdr:from>
        <xdr:to>
          <xdr:col>8</xdr:col>
          <xdr:colOff>315764</xdr:colOff>
          <xdr:row>4</xdr:row>
          <xdr:rowOff>144725</xdr:rowOff>
        </xdr:to>
        <xdr:sp macro="" textlink="">
          <xdr:nvSpPr>
            <xdr:cNvPr id="190466" name="Button 2" hidden="1">
              <a:extLst>
                <a:ext uri="{63B3BB69-23CF-44E3-9099-C40C66FF867C}">
                  <a14:compatExt spid="_x0000_s190466"/>
                </a:ext>
                <a:ext uri="{FF2B5EF4-FFF2-40B4-BE49-F238E27FC236}">
                  <a16:creationId xmlns:a16="http://schemas.microsoft.com/office/drawing/2014/main" id="{00000000-0008-0000-0B00-000002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PLANILHA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13</xdr:col>
      <xdr:colOff>302712</xdr:colOff>
      <xdr:row>3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AA4E9974-EDFF-4944-AD1A-F61212CF72B4}"/>
            </a:ext>
          </a:extLst>
        </xdr:cNvPr>
        <xdr:cNvGrpSpPr/>
      </xdr:nvGrpSpPr>
      <xdr:grpSpPr>
        <a:xfrm>
          <a:off x="0" y="0"/>
          <a:ext cx="15531748" cy="614739"/>
          <a:chOff x="0" y="0"/>
          <a:chExt cx="14333037" cy="619125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0C1FF310-7410-2086-1885-9EBFB4DD7DD5}"/>
              </a:ext>
            </a:extLst>
          </xdr:cNvPr>
          <xdr:cNvGrpSpPr/>
        </xdr:nvGrpSpPr>
        <xdr:grpSpPr>
          <a:xfrm>
            <a:off x="0" y="0"/>
            <a:ext cx="14333037" cy="574836"/>
            <a:chOff x="0" y="0"/>
            <a:chExt cx="14333037" cy="574836"/>
          </a:xfrm>
        </xdr:grpSpPr>
        <xdr:sp macro="[0]!Salvar" textlink="">
          <xdr:nvSpPr>
            <xdr:cNvPr id="6" name="Retângulo Arredondado 1">
              <a:extLst>
                <a:ext uri="{FF2B5EF4-FFF2-40B4-BE49-F238E27FC236}">
                  <a16:creationId xmlns:a16="http://schemas.microsoft.com/office/drawing/2014/main" id="{286D7172-C913-412B-8815-C5044F9E9C97}"/>
                </a:ext>
              </a:extLst>
            </xdr:cNvPr>
            <xdr:cNvSpPr/>
          </xdr:nvSpPr>
          <xdr:spPr>
            <a:xfrm>
              <a:off x="10707213" y="66824"/>
              <a:ext cx="88387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SALVAR</a:t>
              </a:r>
            </a:p>
          </xdr:txBody>
        </xdr:sp>
        <xdr:sp macro="" textlink="">
          <xdr:nvSpPr>
            <xdr:cNvPr id="7" name="Retângulo Arredondado 20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8E10F3B-CD9A-9AEA-CA07-EC07739CBC68}"/>
                </a:ext>
              </a:extLst>
            </xdr:cNvPr>
            <xdr:cNvSpPr/>
          </xdr:nvSpPr>
          <xdr:spPr>
            <a:xfrm>
              <a:off x="9838931" y="66824"/>
              <a:ext cx="84054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MENU</a:t>
              </a:r>
            </a:p>
          </xdr:txBody>
        </xdr:sp>
        <xdr:sp macro="[0]!workbook_close" textlink="">
          <xdr:nvSpPr>
            <xdr:cNvPr id="8" name="Seta: para Baixo 28">
              <a:extLst>
                <a:ext uri="{FF2B5EF4-FFF2-40B4-BE49-F238E27FC236}">
                  <a16:creationId xmlns:a16="http://schemas.microsoft.com/office/drawing/2014/main" id="{BA3070A8-01C7-C4A1-8016-EF81E8CA38F2}"/>
                </a:ext>
              </a:extLst>
            </xdr:cNvPr>
            <xdr:cNvSpPr/>
          </xdr:nvSpPr>
          <xdr:spPr>
            <a:xfrm>
              <a:off x="11895388" y="66824"/>
              <a:ext cx="23576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[0]!workbook_open" textlink="">
          <xdr:nvSpPr>
            <xdr:cNvPr id="9" name="Seta: para Baixo 8">
              <a:extLst>
                <a:ext uri="{FF2B5EF4-FFF2-40B4-BE49-F238E27FC236}">
                  <a16:creationId xmlns:a16="http://schemas.microsoft.com/office/drawing/2014/main" id="{AFB054FB-157F-E61C-DAF9-9ACC0CF658E3}"/>
                </a:ext>
              </a:extLst>
            </xdr:cNvPr>
            <xdr:cNvSpPr/>
          </xdr:nvSpPr>
          <xdr:spPr>
            <a:xfrm rot="10800000">
              <a:off x="11674297" y="38184"/>
              <a:ext cx="23958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6009D13-A1C4-BF7C-32E6-8D48EFD54F4B}"/>
                </a:ext>
              </a:extLst>
            </xdr:cNvPr>
            <xdr:cNvSpPr/>
          </xdr:nvSpPr>
          <xdr:spPr>
            <a:xfrm>
              <a:off x="772544" y="0"/>
              <a:ext cx="933017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CADASTROS</a:t>
              </a:r>
            </a:p>
          </xdr:txBody>
        </xdr:sp>
        <xdr:sp macro="" textlink="">
          <xdr:nvSpPr>
            <xdr:cNvPr id="11" name="Retângulo 1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2E520D4C-BE2F-8E4A-774B-2ACF79DACB48}"/>
                </a:ext>
              </a:extLst>
            </xdr:cNvPr>
            <xdr:cNvSpPr/>
          </xdr:nvSpPr>
          <xdr:spPr>
            <a:xfrm>
              <a:off x="1713565" y="0"/>
              <a:ext cx="1148329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LANÇAMENTOS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A26FEC99-5403-396B-F123-F8B72F1E4394}"/>
                </a:ext>
              </a:extLst>
            </xdr:cNvPr>
            <xdr:cNvSpPr/>
          </xdr:nvSpPr>
          <xdr:spPr>
            <a:xfrm>
              <a:off x="2874719" y="0"/>
              <a:ext cx="972072" cy="313897"/>
            </a:xfrm>
            <a:prstGeom prst="rect">
              <a:avLst/>
            </a:prstGeom>
            <a:solidFill>
              <a:srgbClr val="EBEBEB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RELATÓRIOSS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A0E0B8A-C365-79E7-0CDC-073BA125C6ED}"/>
                </a:ext>
              </a:extLst>
            </xdr:cNvPr>
            <xdr:cNvSpPr/>
          </xdr:nvSpPr>
          <xdr:spPr>
            <a:xfrm>
              <a:off x="3849282" y="0"/>
              <a:ext cx="968903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DASHBOARD</a:t>
              </a:r>
            </a:p>
          </xdr:txBody>
        </xdr:sp>
        <xdr:grpSp>
          <xdr:nvGrpSpPr>
            <xdr:cNvPr id="14" name="Gráfico 2" descr="Impressora">
              <a:extLst>
                <a:ext uri="{FF2B5EF4-FFF2-40B4-BE49-F238E27FC236}">
                  <a16:creationId xmlns:a16="http://schemas.microsoft.com/office/drawing/2014/main" id="{A726E214-7774-BE68-C281-62DDF028B64B}"/>
                </a:ext>
              </a:extLst>
            </xdr:cNvPr>
            <xdr:cNvGrpSpPr/>
          </xdr:nvGrpSpPr>
          <xdr:grpSpPr>
            <a:xfrm>
              <a:off x="12183371" y="0"/>
              <a:ext cx="280353" cy="289536"/>
              <a:chOff x="0" y="0"/>
              <a:chExt cx="914400" cy="914400"/>
            </a:xfrm>
            <a:solidFill>
              <a:schemeClr val="bg1"/>
            </a:solidFill>
          </xdr:grpSpPr>
          <xdr:sp macro="[0]!Imprimir" textlink="">
            <xdr:nvSpPr>
              <xdr:cNvPr id="28" name="Forma Livre: Forma 27">
                <a:extLst>
                  <a:ext uri="{FF2B5EF4-FFF2-40B4-BE49-F238E27FC236}">
                    <a16:creationId xmlns:a16="http://schemas.microsoft.com/office/drawing/2014/main" id="{82335A1B-FA03-BEDF-02A4-D620859068B6}"/>
                  </a:ext>
                </a:extLst>
              </xdr:cNvPr>
              <xdr:cNvSpPr/>
            </xdr:nvSpPr>
            <xdr:spPr>
              <a:xfrm>
                <a:off x="228600" y="538163"/>
                <a:ext cx="447675" cy="304800"/>
              </a:xfrm>
              <a:custGeom>
                <a:avLst/>
                <a:gdLst>
                  <a:gd name="connsiteX0" fmla="*/ 400050 w 447675"/>
                  <a:gd name="connsiteY0" fmla="*/ 57150 h 304800"/>
                  <a:gd name="connsiteX1" fmla="*/ 399098 w 447675"/>
                  <a:gd name="connsiteY1" fmla="*/ 247650 h 304800"/>
                  <a:gd name="connsiteX2" fmla="*/ 59055 w 447675"/>
                  <a:gd name="connsiteY2" fmla="*/ 247650 h 304800"/>
                  <a:gd name="connsiteX3" fmla="*/ 57150 w 447675"/>
                  <a:gd name="connsiteY3" fmla="*/ 57150 h 304800"/>
                  <a:gd name="connsiteX4" fmla="*/ 400050 w 447675"/>
                  <a:gd name="connsiteY4" fmla="*/ 57150 h 304800"/>
                  <a:gd name="connsiteX5" fmla="*/ 1905 w 447675"/>
                  <a:gd name="connsiteY5" fmla="*/ 304800 h 304800"/>
                  <a:gd name="connsiteX6" fmla="*/ 455295 w 447675"/>
                  <a:gd name="connsiteY6" fmla="*/ 304800 h 304800"/>
                  <a:gd name="connsiteX7" fmla="*/ 456248 w 447675"/>
                  <a:gd name="connsiteY7" fmla="*/ 0 h 304800"/>
                  <a:gd name="connsiteX8" fmla="*/ 0 w 447675"/>
                  <a:gd name="connsiteY8" fmla="*/ 0 h 304800"/>
                  <a:gd name="connsiteX9" fmla="*/ 1905 w 447675"/>
                  <a:gd name="connsiteY9" fmla="*/ 304800 h 3048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447675" h="304800">
                    <a:moveTo>
                      <a:pt x="400050" y="57150"/>
                    </a:moveTo>
                    <a:lnTo>
                      <a:pt x="399098" y="247650"/>
                    </a:lnTo>
                    <a:lnTo>
                      <a:pt x="59055" y="247650"/>
                    </a:lnTo>
                    <a:lnTo>
                      <a:pt x="57150" y="57150"/>
                    </a:lnTo>
                    <a:lnTo>
                      <a:pt x="400050" y="57150"/>
                    </a:lnTo>
                    <a:close/>
                    <a:moveTo>
                      <a:pt x="1905" y="304800"/>
                    </a:moveTo>
                    <a:lnTo>
                      <a:pt x="455295" y="304800"/>
                    </a:lnTo>
                    <a:lnTo>
                      <a:pt x="456248" y="0"/>
                    </a:lnTo>
                    <a:lnTo>
                      <a:pt x="0" y="0"/>
                    </a:lnTo>
                    <a:lnTo>
                      <a:pt x="1905" y="3048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29" name="Forma Livre: Forma 28">
                <a:extLst>
                  <a:ext uri="{FF2B5EF4-FFF2-40B4-BE49-F238E27FC236}">
                    <a16:creationId xmlns:a16="http://schemas.microsoft.com/office/drawing/2014/main" id="{3F9381FA-488F-39D3-53E7-99B4508A33F9}"/>
                  </a:ext>
                </a:extLst>
              </xdr:cNvPr>
              <xdr:cNvSpPr/>
            </xdr:nvSpPr>
            <xdr:spPr>
              <a:xfrm>
                <a:off x="361950" y="6334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30" name="Forma Livre: Forma 29">
                <a:extLst>
                  <a:ext uri="{FF2B5EF4-FFF2-40B4-BE49-F238E27FC236}">
                    <a16:creationId xmlns:a16="http://schemas.microsoft.com/office/drawing/2014/main" id="{A9347B80-71D9-77D3-9DB3-D43BCC4D7A76}"/>
                  </a:ext>
                </a:extLst>
              </xdr:cNvPr>
              <xdr:cNvSpPr/>
            </xdr:nvSpPr>
            <xdr:spPr>
              <a:xfrm>
                <a:off x="361950" y="7096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57" name="Forma Livre: Forma 56">
                <a:extLst>
                  <a:ext uri="{FF2B5EF4-FFF2-40B4-BE49-F238E27FC236}">
                    <a16:creationId xmlns:a16="http://schemas.microsoft.com/office/drawing/2014/main" id="{CD1BEC98-EAC7-B276-E574-F45B82D5AA18}"/>
                  </a:ext>
                </a:extLst>
              </xdr:cNvPr>
              <xdr:cNvSpPr/>
            </xdr:nvSpPr>
            <xdr:spPr>
              <a:xfrm>
                <a:off x="38100" y="76200"/>
                <a:ext cx="838200" cy="647700"/>
              </a:xfrm>
              <a:custGeom>
                <a:avLst/>
                <a:gdLst>
                  <a:gd name="connsiteX0" fmla="*/ 590550 w 838200"/>
                  <a:gd name="connsiteY0" fmla="*/ 276225 h 647700"/>
                  <a:gd name="connsiteX1" fmla="*/ 247650 w 838200"/>
                  <a:gd name="connsiteY1" fmla="*/ 276225 h 647700"/>
                  <a:gd name="connsiteX2" fmla="*/ 247650 w 838200"/>
                  <a:gd name="connsiteY2" fmla="*/ 57150 h 647700"/>
                  <a:gd name="connsiteX3" fmla="*/ 457200 w 838200"/>
                  <a:gd name="connsiteY3" fmla="*/ 57150 h 647700"/>
                  <a:gd name="connsiteX4" fmla="*/ 457200 w 838200"/>
                  <a:gd name="connsiteY4" fmla="*/ 190500 h 647700"/>
                  <a:gd name="connsiteX5" fmla="*/ 590550 w 838200"/>
                  <a:gd name="connsiteY5" fmla="*/ 190500 h 647700"/>
                  <a:gd name="connsiteX6" fmla="*/ 590550 w 838200"/>
                  <a:gd name="connsiteY6" fmla="*/ 276225 h 647700"/>
                  <a:gd name="connsiteX7" fmla="*/ 514350 w 838200"/>
                  <a:gd name="connsiteY7" fmla="*/ 60960 h 647700"/>
                  <a:gd name="connsiteX8" fmla="*/ 580073 w 838200"/>
                  <a:gd name="connsiteY8" fmla="*/ 133350 h 647700"/>
                  <a:gd name="connsiteX9" fmla="*/ 514350 w 838200"/>
                  <a:gd name="connsiteY9" fmla="*/ 133350 h 647700"/>
                  <a:gd name="connsiteX10" fmla="*/ 514350 w 838200"/>
                  <a:gd name="connsiteY10" fmla="*/ 60960 h 647700"/>
                  <a:gd name="connsiteX11" fmla="*/ 95250 w 838200"/>
                  <a:gd name="connsiteY11" fmla="*/ 323850 h 647700"/>
                  <a:gd name="connsiteX12" fmla="*/ 57150 w 838200"/>
                  <a:gd name="connsiteY12" fmla="*/ 285750 h 647700"/>
                  <a:gd name="connsiteX13" fmla="*/ 95250 w 838200"/>
                  <a:gd name="connsiteY13" fmla="*/ 247650 h 647700"/>
                  <a:gd name="connsiteX14" fmla="*/ 133350 w 838200"/>
                  <a:gd name="connsiteY14" fmla="*/ 285750 h 647700"/>
                  <a:gd name="connsiteX15" fmla="*/ 95250 w 838200"/>
                  <a:gd name="connsiteY15" fmla="*/ 323850 h 647700"/>
                  <a:gd name="connsiteX16" fmla="*/ 800100 w 838200"/>
                  <a:gd name="connsiteY16" fmla="*/ 190500 h 647700"/>
                  <a:gd name="connsiteX17" fmla="*/ 647700 w 838200"/>
                  <a:gd name="connsiteY17" fmla="*/ 190500 h 647700"/>
                  <a:gd name="connsiteX18" fmla="*/ 647700 w 838200"/>
                  <a:gd name="connsiteY18" fmla="*/ 121920 h 647700"/>
                  <a:gd name="connsiteX19" fmla="*/ 536258 w 838200"/>
                  <a:gd name="connsiteY19" fmla="*/ 0 h 647700"/>
                  <a:gd name="connsiteX20" fmla="*/ 190500 w 838200"/>
                  <a:gd name="connsiteY20" fmla="*/ 0 h 647700"/>
                  <a:gd name="connsiteX21" fmla="*/ 190500 w 838200"/>
                  <a:gd name="connsiteY21" fmla="*/ 190500 h 647700"/>
                  <a:gd name="connsiteX22" fmla="*/ 38100 w 838200"/>
                  <a:gd name="connsiteY22" fmla="*/ 190500 h 647700"/>
                  <a:gd name="connsiteX23" fmla="*/ 0 w 838200"/>
                  <a:gd name="connsiteY23" fmla="*/ 228600 h 647700"/>
                  <a:gd name="connsiteX24" fmla="*/ 0 w 838200"/>
                  <a:gd name="connsiteY24" fmla="*/ 609600 h 647700"/>
                  <a:gd name="connsiteX25" fmla="*/ 38100 w 838200"/>
                  <a:gd name="connsiteY25" fmla="*/ 647700 h 647700"/>
                  <a:gd name="connsiteX26" fmla="*/ 152400 w 838200"/>
                  <a:gd name="connsiteY26" fmla="*/ 647700 h 647700"/>
                  <a:gd name="connsiteX27" fmla="*/ 152400 w 838200"/>
                  <a:gd name="connsiteY27" fmla="*/ 428625 h 647700"/>
                  <a:gd name="connsiteX28" fmla="*/ 685800 w 838200"/>
                  <a:gd name="connsiteY28" fmla="*/ 428625 h 647700"/>
                  <a:gd name="connsiteX29" fmla="*/ 685800 w 838200"/>
                  <a:gd name="connsiteY29" fmla="*/ 647700 h 647700"/>
                  <a:gd name="connsiteX30" fmla="*/ 800100 w 838200"/>
                  <a:gd name="connsiteY30" fmla="*/ 647700 h 647700"/>
                  <a:gd name="connsiteX31" fmla="*/ 838200 w 838200"/>
                  <a:gd name="connsiteY31" fmla="*/ 609600 h 647700"/>
                  <a:gd name="connsiteX32" fmla="*/ 838200 w 838200"/>
                  <a:gd name="connsiteY32" fmla="*/ 228600 h 647700"/>
                  <a:gd name="connsiteX33" fmla="*/ 800100 w 838200"/>
                  <a:gd name="connsiteY33" fmla="*/ 190500 h 6477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</a:cxnLst>
                <a:rect l="l" t="t" r="r" b="b"/>
                <a:pathLst>
                  <a:path w="838200" h="647700">
                    <a:moveTo>
                      <a:pt x="590550" y="276225"/>
                    </a:moveTo>
                    <a:lnTo>
                      <a:pt x="247650" y="276225"/>
                    </a:lnTo>
                    <a:lnTo>
                      <a:pt x="247650" y="57150"/>
                    </a:lnTo>
                    <a:lnTo>
                      <a:pt x="457200" y="57150"/>
                    </a:lnTo>
                    <a:lnTo>
                      <a:pt x="457200" y="190500"/>
                    </a:lnTo>
                    <a:lnTo>
                      <a:pt x="590550" y="190500"/>
                    </a:lnTo>
                    <a:lnTo>
                      <a:pt x="590550" y="276225"/>
                    </a:lnTo>
                    <a:close/>
                    <a:moveTo>
                      <a:pt x="514350" y="60960"/>
                    </a:moveTo>
                    <a:lnTo>
                      <a:pt x="580073" y="133350"/>
                    </a:lnTo>
                    <a:lnTo>
                      <a:pt x="514350" y="133350"/>
                    </a:lnTo>
                    <a:lnTo>
                      <a:pt x="514350" y="60960"/>
                    </a:lnTo>
                    <a:close/>
                    <a:moveTo>
                      <a:pt x="95250" y="323850"/>
                    </a:moveTo>
                    <a:cubicBezTo>
                      <a:pt x="74295" y="323850"/>
                      <a:pt x="57150" y="306705"/>
                      <a:pt x="57150" y="285750"/>
                    </a:cubicBezTo>
                    <a:cubicBezTo>
                      <a:pt x="57150" y="264795"/>
                      <a:pt x="74295" y="247650"/>
                      <a:pt x="95250" y="247650"/>
                    </a:cubicBezTo>
                    <a:cubicBezTo>
                      <a:pt x="116205" y="247650"/>
                      <a:pt x="133350" y="264795"/>
                      <a:pt x="133350" y="285750"/>
                    </a:cubicBezTo>
                    <a:cubicBezTo>
                      <a:pt x="133350" y="306705"/>
                      <a:pt x="116205" y="323850"/>
                      <a:pt x="95250" y="323850"/>
                    </a:cubicBezTo>
                    <a:close/>
                    <a:moveTo>
                      <a:pt x="800100" y="190500"/>
                    </a:moveTo>
                    <a:lnTo>
                      <a:pt x="647700" y="190500"/>
                    </a:lnTo>
                    <a:lnTo>
                      <a:pt x="647700" y="121920"/>
                    </a:lnTo>
                    <a:lnTo>
                      <a:pt x="536258" y="0"/>
                    </a:lnTo>
                    <a:lnTo>
                      <a:pt x="190500" y="0"/>
                    </a:lnTo>
                    <a:lnTo>
                      <a:pt x="190500" y="190500"/>
                    </a:lnTo>
                    <a:lnTo>
                      <a:pt x="38100" y="190500"/>
                    </a:lnTo>
                    <a:cubicBezTo>
                      <a:pt x="17145" y="190500"/>
                      <a:pt x="0" y="207645"/>
                      <a:pt x="0" y="228600"/>
                    </a:cubicBezTo>
                    <a:lnTo>
                      <a:pt x="0" y="609600"/>
                    </a:lnTo>
                    <a:cubicBezTo>
                      <a:pt x="0" y="630555"/>
                      <a:pt x="17145" y="647700"/>
                      <a:pt x="38100" y="647700"/>
                    </a:cubicBezTo>
                    <a:lnTo>
                      <a:pt x="152400" y="647700"/>
                    </a:lnTo>
                    <a:lnTo>
                      <a:pt x="152400" y="428625"/>
                    </a:lnTo>
                    <a:lnTo>
                      <a:pt x="685800" y="428625"/>
                    </a:lnTo>
                    <a:lnTo>
                      <a:pt x="685800" y="647700"/>
                    </a:lnTo>
                    <a:lnTo>
                      <a:pt x="800100" y="647700"/>
                    </a:lnTo>
                    <a:cubicBezTo>
                      <a:pt x="821055" y="647700"/>
                      <a:pt x="838200" y="630555"/>
                      <a:pt x="838200" y="609600"/>
                    </a:cubicBezTo>
                    <a:lnTo>
                      <a:pt x="838200" y="228600"/>
                    </a:lnTo>
                    <a:cubicBezTo>
                      <a:pt x="838200" y="207645"/>
                      <a:pt x="821055" y="190500"/>
                      <a:pt x="800100" y="190500"/>
                    </a:cubicBez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</xdr:grp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15" name="Imagem 14">
                  <a:extLst>
                    <a:ext uri="{FF2B5EF4-FFF2-40B4-BE49-F238E27FC236}">
                      <a16:creationId xmlns:a16="http://schemas.microsoft.com/office/drawing/2014/main" id="{F6209EA3-E21C-0344-574B-63DF7DE855AF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MENU!$F$2" spid="_x0000_s190595"/>
                    </a:ext>
                  </a:extLst>
                </xdr:cNvPicPr>
              </xdr:nvPicPr>
              <xdr:blipFill rotWithShape="1">
                <a:blip xmlns:r="http://schemas.openxmlformats.org/officeDocument/2006/relationships" r:embed="rId6"/>
                <a:srcRect b="4887"/>
                <a:stretch>
                  <a:fillRect/>
                </a:stretch>
              </xdr:blipFill>
              <xdr:spPr>
                <a:xfrm rot="5400000">
                  <a:off x="103834" y="-103834"/>
                  <a:ext cx="574836" cy="782503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  <xdr:sp macro="" textlink="">
          <xdr:nvSpPr>
            <xdr:cNvPr id="16" name="Retâ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3D0FA5EE-9866-CD5A-FDAA-0641A08D5858}"/>
                </a:ext>
              </a:extLst>
            </xdr:cNvPr>
            <xdr:cNvSpPr/>
          </xdr:nvSpPr>
          <xdr:spPr>
            <a:xfrm>
              <a:off x="9618853" y="361950"/>
              <a:ext cx="1250894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PAGAR</a:t>
              </a:r>
            </a:p>
          </xdr:txBody>
        </xdr:sp>
        <xdr:sp macro="" textlink="">
          <xdr:nvSpPr>
            <xdr:cNvPr id="17" name="Retângulo 1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3DD5ABFD-ECB3-AE4D-2696-6460DD4CCC2A}"/>
                </a:ext>
              </a:extLst>
            </xdr:cNvPr>
            <xdr:cNvSpPr/>
          </xdr:nvSpPr>
          <xdr:spPr>
            <a:xfrm>
              <a:off x="771525" y="362132"/>
              <a:ext cx="1550561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BRUTO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18" name="Retângulo 17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5EA7B23-F69C-4590-04B9-D339D72E6547}"/>
                </a:ext>
              </a:extLst>
            </xdr:cNvPr>
            <xdr:cNvSpPr/>
          </xdr:nvSpPr>
          <xdr:spPr>
            <a:xfrm>
              <a:off x="2337105" y="362132"/>
              <a:ext cx="1660138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LÍQUIDO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19" name="Retângulo 18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509A32F5-C2A8-2D35-3A19-C08B46E7331F}"/>
                </a:ext>
              </a:extLst>
            </xdr:cNvPr>
            <xdr:cNvSpPr/>
          </xdr:nvSpPr>
          <xdr:spPr>
            <a:xfrm>
              <a:off x="7084042" y="361950"/>
              <a:ext cx="1186806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FLUXO DE CAIXA</a:t>
              </a:r>
            </a:p>
          </xdr:txBody>
        </xdr:sp>
        <xdr:sp macro="" textlink="">
          <xdr:nvSpPr>
            <xdr:cNvPr id="20" name="Retângulo 19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66CD06FD-ABB5-CD93-BDB0-C2694A545EAD}"/>
                </a:ext>
              </a:extLst>
            </xdr:cNvPr>
            <xdr:cNvSpPr/>
          </xdr:nvSpPr>
          <xdr:spPr>
            <a:xfrm>
              <a:off x="8273481" y="361950"/>
              <a:ext cx="1333475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RECEBER</a:t>
              </a:r>
            </a:p>
          </xdr:txBody>
        </xdr:sp>
        <xdr:sp macro="" textlink="">
          <xdr:nvSpPr>
            <xdr:cNvPr id="21" name="Retângulo 2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F92A4EFC-335E-6F83-7B45-F3FDC94D80F3}"/>
                </a:ext>
              </a:extLst>
            </xdr:cNvPr>
            <xdr:cNvSpPr/>
          </xdr:nvSpPr>
          <xdr:spPr>
            <a:xfrm>
              <a:off x="12385551" y="361950"/>
              <a:ext cx="1224000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DRE FINANCEIRA</a:t>
              </a:r>
            </a:p>
          </xdr:txBody>
        </xdr:sp>
        <xdr:sp macro="" textlink="">
          <xdr:nvSpPr>
            <xdr:cNvPr id="23" name="Retângulo 2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3E8A14C9-BAE9-838B-0E34-C6EC679D137A}"/>
                </a:ext>
              </a:extLst>
            </xdr:cNvPr>
            <xdr:cNvSpPr/>
          </xdr:nvSpPr>
          <xdr:spPr>
            <a:xfrm>
              <a:off x="13630231" y="361950"/>
              <a:ext cx="702806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BANCOS</a:t>
              </a:r>
            </a:p>
          </xdr:txBody>
        </xdr:sp>
        <xdr:sp macro="" textlink="">
          <xdr:nvSpPr>
            <xdr:cNvPr id="25" name="Retângulo 24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71B7D160-175F-D5D2-2F7D-E5B24E576F45}"/>
                </a:ext>
              </a:extLst>
            </xdr:cNvPr>
            <xdr:cNvSpPr/>
          </xdr:nvSpPr>
          <xdr:spPr>
            <a:xfrm>
              <a:off x="5637032" y="361950"/>
              <a:ext cx="143697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RESULTADO</a:t>
              </a:r>
              <a:r>
                <a:rPr lang="pt-BR" sz="1100" b="1" i="0" baseline="0">
                  <a:solidFill>
                    <a:srgbClr val="797979"/>
                  </a:solidFill>
                </a:rPr>
                <a:t> POR DIA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26" name="Retângulo 25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3A413D99-4CD0-AF43-4CE1-88ECAD307C15}"/>
                </a:ext>
              </a:extLst>
            </xdr:cNvPr>
            <xdr:cNvSpPr/>
          </xdr:nvSpPr>
          <xdr:spPr>
            <a:xfrm>
              <a:off x="4008775" y="361950"/>
              <a:ext cx="1621003" cy="19542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DESPESAS FINANCEIRAS</a:t>
              </a:r>
            </a:p>
          </xdr:txBody>
        </xdr:sp>
        <xdr:sp macro="" textlink="">
          <xdr:nvSpPr>
            <xdr:cNvPr id="27" name="Retângulo 26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180234D7-0511-E276-B028-CC04F550129B}"/>
                </a:ext>
              </a:extLst>
            </xdr:cNvPr>
            <xdr:cNvSpPr/>
          </xdr:nvSpPr>
          <xdr:spPr>
            <a:xfrm>
              <a:off x="10878008" y="361950"/>
              <a:ext cx="1481075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VALORES EM ABERTO</a:t>
              </a:r>
            </a:p>
          </xdr:txBody>
        </xdr:sp>
      </xdr:grp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6D480654-8D36-2AFD-3C08-9025921190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0" y="0"/>
            <a:ext cx="742950" cy="619125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388620</xdr:colOff>
          <xdr:row>3</xdr:row>
          <xdr:rowOff>0</xdr:rowOff>
        </xdr:from>
        <xdr:to>
          <xdr:col>7</xdr:col>
          <xdr:colOff>990600</xdr:colOff>
          <xdr:row>3</xdr:row>
          <xdr:rowOff>228600</xdr:rowOff>
        </xdr:to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00000000-0008-0000-0E00-000003000000}"/>
                </a:ext>
              </a:extLst>
            </xdr:cNvPr>
            <xdr:cNvGrpSpPr/>
          </xdr:nvGrpSpPr>
          <xdr:grpSpPr>
            <a:xfrm>
              <a:off x="803060" y="611793"/>
              <a:ext cx="4877952" cy="228600"/>
              <a:chOff x="777240" y="609600"/>
              <a:chExt cx="4663440" cy="228600"/>
            </a:xfrm>
          </xdr:grpSpPr>
          <xdr:sp macro="" textlink="">
            <xdr:nvSpPr>
              <xdr:cNvPr id="8199" name="Drop Down 7" hidden="1">
                <a:extLst>
                  <a:ext uri="{63B3BB69-23CF-44E3-9099-C40C66FF867C}">
                    <a14:compatExt spid="_x0000_s8199"/>
                  </a:ext>
                  <a:ext uri="{FF2B5EF4-FFF2-40B4-BE49-F238E27FC236}">
                    <a16:creationId xmlns:a16="http://schemas.microsoft.com/office/drawing/2014/main" id="{00000000-0008-0000-0C00-000007200000}"/>
                  </a:ext>
                </a:extLst>
              </xdr:cNvPr>
              <xdr:cNvSpPr/>
            </xdr:nvSpPr>
            <xdr:spPr bwMode="auto">
              <a:xfrm>
                <a:off x="777240" y="609600"/>
                <a:ext cx="90678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200" name="Drop Down 8" hidden="1">
                <a:extLst>
                  <a:ext uri="{63B3BB69-23CF-44E3-9099-C40C66FF867C}">
                    <a14:compatExt spid="_x0000_s8200"/>
                  </a:ext>
                  <a:ext uri="{FF2B5EF4-FFF2-40B4-BE49-F238E27FC236}">
                    <a16:creationId xmlns:a16="http://schemas.microsoft.com/office/drawing/2014/main" id="{00000000-0008-0000-0C00-000008200000}"/>
                  </a:ext>
                </a:extLst>
              </xdr:cNvPr>
              <xdr:cNvSpPr/>
            </xdr:nvSpPr>
            <xdr:spPr bwMode="auto">
              <a:xfrm>
                <a:off x="1699260" y="609600"/>
                <a:ext cx="9296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201" name="Drop Down 9" hidden="1">
                <a:extLst>
                  <a:ext uri="{63B3BB69-23CF-44E3-9099-C40C66FF867C}">
                    <a14:compatExt spid="_x0000_s8201"/>
                  </a:ext>
                  <a:ext uri="{FF2B5EF4-FFF2-40B4-BE49-F238E27FC236}">
                    <a16:creationId xmlns:a16="http://schemas.microsoft.com/office/drawing/2014/main" id="{00000000-0008-0000-0C00-000009200000}"/>
                  </a:ext>
                </a:extLst>
              </xdr:cNvPr>
              <xdr:cNvSpPr/>
            </xdr:nvSpPr>
            <xdr:spPr bwMode="auto">
              <a:xfrm>
                <a:off x="2651760" y="609600"/>
                <a:ext cx="14097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202" name="Drop Down 10" hidden="1">
                <a:extLst>
                  <a:ext uri="{63B3BB69-23CF-44E3-9099-C40C66FF867C}">
                    <a14:compatExt spid="_x0000_s8202"/>
                  </a:ext>
                  <a:ext uri="{FF2B5EF4-FFF2-40B4-BE49-F238E27FC236}">
                    <a16:creationId xmlns:a16="http://schemas.microsoft.com/office/drawing/2014/main" id="{00000000-0008-0000-0C00-00000A200000}"/>
                  </a:ext>
                </a:extLst>
              </xdr:cNvPr>
              <xdr:cNvSpPr/>
            </xdr:nvSpPr>
            <xdr:spPr bwMode="auto">
              <a:xfrm>
                <a:off x="4061460" y="609600"/>
                <a:ext cx="137922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21</xdr:col>
      <xdr:colOff>16962</xdr:colOff>
      <xdr:row>3</xdr:row>
      <xdr:rowOff>9525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B2858A9B-D12F-405E-BFD0-E5C5A3DFF874}"/>
            </a:ext>
          </a:extLst>
        </xdr:cNvPr>
        <xdr:cNvGrpSpPr/>
      </xdr:nvGrpSpPr>
      <xdr:grpSpPr>
        <a:xfrm>
          <a:off x="0" y="0"/>
          <a:ext cx="15555184" cy="621318"/>
          <a:chOff x="0" y="0"/>
          <a:chExt cx="14333037" cy="619125"/>
        </a:xfrm>
      </xdr:grpSpPr>
      <xdr:grpSp>
        <xdr:nvGrpSpPr>
          <xdr:cNvPr id="60" name="Agrupar 59">
            <a:extLst>
              <a:ext uri="{FF2B5EF4-FFF2-40B4-BE49-F238E27FC236}">
                <a16:creationId xmlns:a16="http://schemas.microsoft.com/office/drawing/2014/main" id="{ED00E9CA-2E2E-B775-98F7-FABD79BA0283}"/>
              </a:ext>
            </a:extLst>
          </xdr:cNvPr>
          <xdr:cNvGrpSpPr/>
        </xdr:nvGrpSpPr>
        <xdr:grpSpPr>
          <a:xfrm>
            <a:off x="0" y="0"/>
            <a:ext cx="14333037" cy="574836"/>
            <a:chOff x="0" y="0"/>
            <a:chExt cx="14333037" cy="574836"/>
          </a:xfrm>
        </xdr:grpSpPr>
        <xdr:sp macro="[0]!Salvar" textlink="">
          <xdr:nvSpPr>
            <xdr:cNvPr id="62" name="Retângulo Arredondado 1">
              <a:extLst>
                <a:ext uri="{FF2B5EF4-FFF2-40B4-BE49-F238E27FC236}">
                  <a16:creationId xmlns:a16="http://schemas.microsoft.com/office/drawing/2014/main" id="{54EFC628-D4FD-FBBC-4949-0A1331202AD6}"/>
                </a:ext>
              </a:extLst>
            </xdr:cNvPr>
            <xdr:cNvSpPr/>
          </xdr:nvSpPr>
          <xdr:spPr>
            <a:xfrm>
              <a:off x="10707213" y="66824"/>
              <a:ext cx="88387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SALVAR</a:t>
              </a:r>
            </a:p>
          </xdr:txBody>
        </xdr:sp>
        <xdr:sp macro="" textlink="">
          <xdr:nvSpPr>
            <xdr:cNvPr id="63" name="Retângulo Arredondado 20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6CEFF25-7FD7-D2A9-90DA-A6B0A02FF63D}"/>
                </a:ext>
              </a:extLst>
            </xdr:cNvPr>
            <xdr:cNvSpPr/>
          </xdr:nvSpPr>
          <xdr:spPr>
            <a:xfrm>
              <a:off x="9838931" y="66824"/>
              <a:ext cx="84054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MENU</a:t>
              </a:r>
            </a:p>
          </xdr:txBody>
        </xdr:sp>
        <xdr:sp macro="[0]!workbook_close" textlink="">
          <xdr:nvSpPr>
            <xdr:cNvPr id="8192" name="Seta: para Baixo 28">
              <a:extLst>
                <a:ext uri="{FF2B5EF4-FFF2-40B4-BE49-F238E27FC236}">
                  <a16:creationId xmlns:a16="http://schemas.microsoft.com/office/drawing/2014/main" id="{F396881C-2E26-7F4A-067A-D9353B1837FA}"/>
                </a:ext>
              </a:extLst>
            </xdr:cNvPr>
            <xdr:cNvSpPr/>
          </xdr:nvSpPr>
          <xdr:spPr>
            <a:xfrm>
              <a:off x="11895388" y="66824"/>
              <a:ext cx="23576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[0]!workbook_open" textlink="">
          <xdr:nvSpPr>
            <xdr:cNvPr id="8193" name="Seta: para Baixo 8192">
              <a:extLst>
                <a:ext uri="{FF2B5EF4-FFF2-40B4-BE49-F238E27FC236}">
                  <a16:creationId xmlns:a16="http://schemas.microsoft.com/office/drawing/2014/main" id="{A0AFC4A2-4887-DB67-36D0-966318C31296}"/>
                </a:ext>
              </a:extLst>
            </xdr:cNvPr>
            <xdr:cNvSpPr/>
          </xdr:nvSpPr>
          <xdr:spPr>
            <a:xfrm rot="10800000">
              <a:off x="11674297" y="38184"/>
              <a:ext cx="23958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194" name="Retângulo 8193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762906A0-3170-B275-FB8E-84F70F88B2AA}"/>
                </a:ext>
              </a:extLst>
            </xdr:cNvPr>
            <xdr:cNvSpPr/>
          </xdr:nvSpPr>
          <xdr:spPr>
            <a:xfrm>
              <a:off x="772544" y="0"/>
              <a:ext cx="933017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CADASTROS</a:t>
              </a:r>
            </a:p>
          </xdr:txBody>
        </xdr:sp>
        <xdr:sp macro="" textlink="">
          <xdr:nvSpPr>
            <xdr:cNvPr id="8195" name="Retângulo 8194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15BD4999-6450-9AF5-7CF8-CFB03CBF931A}"/>
                </a:ext>
              </a:extLst>
            </xdr:cNvPr>
            <xdr:cNvSpPr/>
          </xdr:nvSpPr>
          <xdr:spPr>
            <a:xfrm>
              <a:off x="1713565" y="0"/>
              <a:ext cx="1148329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LANÇAMENTOS</a:t>
              </a:r>
            </a:p>
          </xdr:txBody>
        </xdr:sp>
        <xdr:sp macro="" textlink="">
          <xdr:nvSpPr>
            <xdr:cNvPr id="8196" name="Retângulo 819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567769BC-6737-0232-B318-7513990BF496}"/>
                </a:ext>
              </a:extLst>
            </xdr:cNvPr>
            <xdr:cNvSpPr/>
          </xdr:nvSpPr>
          <xdr:spPr>
            <a:xfrm>
              <a:off x="2874719" y="0"/>
              <a:ext cx="972072" cy="313897"/>
            </a:xfrm>
            <a:prstGeom prst="rect">
              <a:avLst/>
            </a:prstGeom>
            <a:solidFill>
              <a:srgbClr val="EBEBEB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RELATÓRIOSS</a:t>
              </a:r>
            </a:p>
          </xdr:txBody>
        </xdr:sp>
        <xdr:sp macro="" textlink="">
          <xdr:nvSpPr>
            <xdr:cNvPr id="8197" name="Retângulo 8196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350F864F-8944-5A69-5E25-56AB30079FBF}"/>
                </a:ext>
              </a:extLst>
            </xdr:cNvPr>
            <xdr:cNvSpPr/>
          </xdr:nvSpPr>
          <xdr:spPr>
            <a:xfrm>
              <a:off x="3849282" y="0"/>
              <a:ext cx="968903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DASHBOARD</a:t>
              </a:r>
            </a:p>
          </xdr:txBody>
        </xdr:sp>
        <xdr:grpSp>
          <xdr:nvGrpSpPr>
            <xdr:cNvPr id="8198" name="Gráfico 2" descr="Impressora">
              <a:extLst>
                <a:ext uri="{FF2B5EF4-FFF2-40B4-BE49-F238E27FC236}">
                  <a16:creationId xmlns:a16="http://schemas.microsoft.com/office/drawing/2014/main" id="{22255718-1A6E-922F-0F80-D280A193D1DB}"/>
                </a:ext>
              </a:extLst>
            </xdr:cNvPr>
            <xdr:cNvGrpSpPr/>
          </xdr:nvGrpSpPr>
          <xdr:grpSpPr>
            <a:xfrm>
              <a:off x="12183371" y="0"/>
              <a:ext cx="280353" cy="289536"/>
              <a:chOff x="0" y="0"/>
              <a:chExt cx="914400" cy="914400"/>
            </a:xfrm>
            <a:solidFill>
              <a:schemeClr val="bg1"/>
            </a:solidFill>
          </xdr:grpSpPr>
          <xdr:sp macro="[0]!Imprimir" textlink="">
            <xdr:nvSpPr>
              <xdr:cNvPr id="8215" name="Forma Livre: Forma 8214">
                <a:extLst>
                  <a:ext uri="{FF2B5EF4-FFF2-40B4-BE49-F238E27FC236}">
                    <a16:creationId xmlns:a16="http://schemas.microsoft.com/office/drawing/2014/main" id="{17392B7A-ACDB-A102-0A2D-42824B6B31DC}"/>
                  </a:ext>
                </a:extLst>
              </xdr:cNvPr>
              <xdr:cNvSpPr/>
            </xdr:nvSpPr>
            <xdr:spPr>
              <a:xfrm>
                <a:off x="228600" y="538163"/>
                <a:ext cx="447675" cy="304800"/>
              </a:xfrm>
              <a:custGeom>
                <a:avLst/>
                <a:gdLst>
                  <a:gd name="connsiteX0" fmla="*/ 400050 w 447675"/>
                  <a:gd name="connsiteY0" fmla="*/ 57150 h 304800"/>
                  <a:gd name="connsiteX1" fmla="*/ 399098 w 447675"/>
                  <a:gd name="connsiteY1" fmla="*/ 247650 h 304800"/>
                  <a:gd name="connsiteX2" fmla="*/ 59055 w 447675"/>
                  <a:gd name="connsiteY2" fmla="*/ 247650 h 304800"/>
                  <a:gd name="connsiteX3" fmla="*/ 57150 w 447675"/>
                  <a:gd name="connsiteY3" fmla="*/ 57150 h 304800"/>
                  <a:gd name="connsiteX4" fmla="*/ 400050 w 447675"/>
                  <a:gd name="connsiteY4" fmla="*/ 57150 h 304800"/>
                  <a:gd name="connsiteX5" fmla="*/ 1905 w 447675"/>
                  <a:gd name="connsiteY5" fmla="*/ 304800 h 304800"/>
                  <a:gd name="connsiteX6" fmla="*/ 455295 w 447675"/>
                  <a:gd name="connsiteY6" fmla="*/ 304800 h 304800"/>
                  <a:gd name="connsiteX7" fmla="*/ 456248 w 447675"/>
                  <a:gd name="connsiteY7" fmla="*/ 0 h 304800"/>
                  <a:gd name="connsiteX8" fmla="*/ 0 w 447675"/>
                  <a:gd name="connsiteY8" fmla="*/ 0 h 304800"/>
                  <a:gd name="connsiteX9" fmla="*/ 1905 w 447675"/>
                  <a:gd name="connsiteY9" fmla="*/ 304800 h 3048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447675" h="304800">
                    <a:moveTo>
                      <a:pt x="400050" y="57150"/>
                    </a:moveTo>
                    <a:lnTo>
                      <a:pt x="399098" y="247650"/>
                    </a:lnTo>
                    <a:lnTo>
                      <a:pt x="59055" y="247650"/>
                    </a:lnTo>
                    <a:lnTo>
                      <a:pt x="57150" y="57150"/>
                    </a:lnTo>
                    <a:lnTo>
                      <a:pt x="400050" y="57150"/>
                    </a:lnTo>
                    <a:close/>
                    <a:moveTo>
                      <a:pt x="1905" y="304800"/>
                    </a:moveTo>
                    <a:lnTo>
                      <a:pt x="455295" y="304800"/>
                    </a:lnTo>
                    <a:lnTo>
                      <a:pt x="456248" y="0"/>
                    </a:lnTo>
                    <a:lnTo>
                      <a:pt x="0" y="0"/>
                    </a:lnTo>
                    <a:lnTo>
                      <a:pt x="1905" y="3048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8216" name="Forma Livre: Forma 8215">
                <a:extLst>
                  <a:ext uri="{FF2B5EF4-FFF2-40B4-BE49-F238E27FC236}">
                    <a16:creationId xmlns:a16="http://schemas.microsoft.com/office/drawing/2014/main" id="{B56D9A36-5F3B-3240-D29B-1F40F6199497}"/>
                  </a:ext>
                </a:extLst>
              </xdr:cNvPr>
              <xdr:cNvSpPr/>
            </xdr:nvSpPr>
            <xdr:spPr>
              <a:xfrm>
                <a:off x="361950" y="6334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8217" name="Forma Livre: Forma 8216">
                <a:extLst>
                  <a:ext uri="{FF2B5EF4-FFF2-40B4-BE49-F238E27FC236}">
                    <a16:creationId xmlns:a16="http://schemas.microsoft.com/office/drawing/2014/main" id="{1DCB4904-6A33-1ABB-3E8B-32A605FEA012}"/>
                  </a:ext>
                </a:extLst>
              </xdr:cNvPr>
              <xdr:cNvSpPr/>
            </xdr:nvSpPr>
            <xdr:spPr>
              <a:xfrm>
                <a:off x="361950" y="7096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8218" name="Forma Livre: Forma 8217">
                <a:extLst>
                  <a:ext uri="{FF2B5EF4-FFF2-40B4-BE49-F238E27FC236}">
                    <a16:creationId xmlns:a16="http://schemas.microsoft.com/office/drawing/2014/main" id="{30F21E19-6CF5-294E-CA7A-60586735490C}"/>
                  </a:ext>
                </a:extLst>
              </xdr:cNvPr>
              <xdr:cNvSpPr/>
            </xdr:nvSpPr>
            <xdr:spPr>
              <a:xfrm>
                <a:off x="38100" y="76200"/>
                <a:ext cx="838200" cy="647700"/>
              </a:xfrm>
              <a:custGeom>
                <a:avLst/>
                <a:gdLst>
                  <a:gd name="connsiteX0" fmla="*/ 590550 w 838200"/>
                  <a:gd name="connsiteY0" fmla="*/ 276225 h 647700"/>
                  <a:gd name="connsiteX1" fmla="*/ 247650 w 838200"/>
                  <a:gd name="connsiteY1" fmla="*/ 276225 h 647700"/>
                  <a:gd name="connsiteX2" fmla="*/ 247650 w 838200"/>
                  <a:gd name="connsiteY2" fmla="*/ 57150 h 647700"/>
                  <a:gd name="connsiteX3" fmla="*/ 457200 w 838200"/>
                  <a:gd name="connsiteY3" fmla="*/ 57150 h 647700"/>
                  <a:gd name="connsiteX4" fmla="*/ 457200 w 838200"/>
                  <a:gd name="connsiteY4" fmla="*/ 190500 h 647700"/>
                  <a:gd name="connsiteX5" fmla="*/ 590550 w 838200"/>
                  <a:gd name="connsiteY5" fmla="*/ 190500 h 647700"/>
                  <a:gd name="connsiteX6" fmla="*/ 590550 w 838200"/>
                  <a:gd name="connsiteY6" fmla="*/ 276225 h 647700"/>
                  <a:gd name="connsiteX7" fmla="*/ 514350 w 838200"/>
                  <a:gd name="connsiteY7" fmla="*/ 60960 h 647700"/>
                  <a:gd name="connsiteX8" fmla="*/ 580073 w 838200"/>
                  <a:gd name="connsiteY8" fmla="*/ 133350 h 647700"/>
                  <a:gd name="connsiteX9" fmla="*/ 514350 w 838200"/>
                  <a:gd name="connsiteY9" fmla="*/ 133350 h 647700"/>
                  <a:gd name="connsiteX10" fmla="*/ 514350 w 838200"/>
                  <a:gd name="connsiteY10" fmla="*/ 60960 h 647700"/>
                  <a:gd name="connsiteX11" fmla="*/ 95250 w 838200"/>
                  <a:gd name="connsiteY11" fmla="*/ 323850 h 647700"/>
                  <a:gd name="connsiteX12" fmla="*/ 57150 w 838200"/>
                  <a:gd name="connsiteY12" fmla="*/ 285750 h 647700"/>
                  <a:gd name="connsiteX13" fmla="*/ 95250 w 838200"/>
                  <a:gd name="connsiteY13" fmla="*/ 247650 h 647700"/>
                  <a:gd name="connsiteX14" fmla="*/ 133350 w 838200"/>
                  <a:gd name="connsiteY14" fmla="*/ 285750 h 647700"/>
                  <a:gd name="connsiteX15" fmla="*/ 95250 w 838200"/>
                  <a:gd name="connsiteY15" fmla="*/ 323850 h 647700"/>
                  <a:gd name="connsiteX16" fmla="*/ 800100 w 838200"/>
                  <a:gd name="connsiteY16" fmla="*/ 190500 h 647700"/>
                  <a:gd name="connsiteX17" fmla="*/ 647700 w 838200"/>
                  <a:gd name="connsiteY17" fmla="*/ 190500 h 647700"/>
                  <a:gd name="connsiteX18" fmla="*/ 647700 w 838200"/>
                  <a:gd name="connsiteY18" fmla="*/ 121920 h 647700"/>
                  <a:gd name="connsiteX19" fmla="*/ 536258 w 838200"/>
                  <a:gd name="connsiteY19" fmla="*/ 0 h 647700"/>
                  <a:gd name="connsiteX20" fmla="*/ 190500 w 838200"/>
                  <a:gd name="connsiteY20" fmla="*/ 0 h 647700"/>
                  <a:gd name="connsiteX21" fmla="*/ 190500 w 838200"/>
                  <a:gd name="connsiteY21" fmla="*/ 190500 h 647700"/>
                  <a:gd name="connsiteX22" fmla="*/ 38100 w 838200"/>
                  <a:gd name="connsiteY22" fmla="*/ 190500 h 647700"/>
                  <a:gd name="connsiteX23" fmla="*/ 0 w 838200"/>
                  <a:gd name="connsiteY23" fmla="*/ 228600 h 647700"/>
                  <a:gd name="connsiteX24" fmla="*/ 0 w 838200"/>
                  <a:gd name="connsiteY24" fmla="*/ 609600 h 647700"/>
                  <a:gd name="connsiteX25" fmla="*/ 38100 w 838200"/>
                  <a:gd name="connsiteY25" fmla="*/ 647700 h 647700"/>
                  <a:gd name="connsiteX26" fmla="*/ 152400 w 838200"/>
                  <a:gd name="connsiteY26" fmla="*/ 647700 h 647700"/>
                  <a:gd name="connsiteX27" fmla="*/ 152400 w 838200"/>
                  <a:gd name="connsiteY27" fmla="*/ 428625 h 647700"/>
                  <a:gd name="connsiteX28" fmla="*/ 685800 w 838200"/>
                  <a:gd name="connsiteY28" fmla="*/ 428625 h 647700"/>
                  <a:gd name="connsiteX29" fmla="*/ 685800 w 838200"/>
                  <a:gd name="connsiteY29" fmla="*/ 647700 h 647700"/>
                  <a:gd name="connsiteX30" fmla="*/ 800100 w 838200"/>
                  <a:gd name="connsiteY30" fmla="*/ 647700 h 647700"/>
                  <a:gd name="connsiteX31" fmla="*/ 838200 w 838200"/>
                  <a:gd name="connsiteY31" fmla="*/ 609600 h 647700"/>
                  <a:gd name="connsiteX32" fmla="*/ 838200 w 838200"/>
                  <a:gd name="connsiteY32" fmla="*/ 228600 h 647700"/>
                  <a:gd name="connsiteX33" fmla="*/ 800100 w 838200"/>
                  <a:gd name="connsiteY33" fmla="*/ 190500 h 6477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</a:cxnLst>
                <a:rect l="l" t="t" r="r" b="b"/>
                <a:pathLst>
                  <a:path w="838200" h="647700">
                    <a:moveTo>
                      <a:pt x="590550" y="276225"/>
                    </a:moveTo>
                    <a:lnTo>
                      <a:pt x="247650" y="276225"/>
                    </a:lnTo>
                    <a:lnTo>
                      <a:pt x="247650" y="57150"/>
                    </a:lnTo>
                    <a:lnTo>
                      <a:pt x="457200" y="57150"/>
                    </a:lnTo>
                    <a:lnTo>
                      <a:pt x="457200" y="190500"/>
                    </a:lnTo>
                    <a:lnTo>
                      <a:pt x="590550" y="190500"/>
                    </a:lnTo>
                    <a:lnTo>
                      <a:pt x="590550" y="276225"/>
                    </a:lnTo>
                    <a:close/>
                    <a:moveTo>
                      <a:pt x="514350" y="60960"/>
                    </a:moveTo>
                    <a:lnTo>
                      <a:pt x="580073" y="133350"/>
                    </a:lnTo>
                    <a:lnTo>
                      <a:pt x="514350" y="133350"/>
                    </a:lnTo>
                    <a:lnTo>
                      <a:pt x="514350" y="60960"/>
                    </a:lnTo>
                    <a:close/>
                    <a:moveTo>
                      <a:pt x="95250" y="323850"/>
                    </a:moveTo>
                    <a:cubicBezTo>
                      <a:pt x="74295" y="323850"/>
                      <a:pt x="57150" y="306705"/>
                      <a:pt x="57150" y="285750"/>
                    </a:cubicBezTo>
                    <a:cubicBezTo>
                      <a:pt x="57150" y="264795"/>
                      <a:pt x="74295" y="247650"/>
                      <a:pt x="95250" y="247650"/>
                    </a:cubicBezTo>
                    <a:cubicBezTo>
                      <a:pt x="116205" y="247650"/>
                      <a:pt x="133350" y="264795"/>
                      <a:pt x="133350" y="285750"/>
                    </a:cubicBezTo>
                    <a:cubicBezTo>
                      <a:pt x="133350" y="306705"/>
                      <a:pt x="116205" y="323850"/>
                      <a:pt x="95250" y="323850"/>
                    </a:cubicBezTo>
                    <a:close/>
                    <a:moveTo>
                      <a:pt x="800100" y="190500"/>
                    </a:moveTo>
                    <a:lnTo>
                      <a:pt x="647700" y="190500"/>
                    </a:lnTo>
                    <a:lnTo>
                      <a:pt x="647700" y="121920"/>
                    </a:lnTo>
                    <a:lnTo>
                      <a:pt x="536258" y="0"/>
                    </a:lnTo>
                    <a:lnTo>
                      <a:pt x="190500" y="0"/>
                    </a:lnTo>
                    <a:lnTo>
                      <a:pt x="190500" y="190500"/>
                    </a:lnTo>
                    <a:lnTo>
                      <a:pt x="38100" y="190500"/>
                    </a:lnTo>
                    <a:cubicBezTo>
                      <a:pt x="17145" y="190500"/>
                      <a:pt x="0" y="207645"/>
                      <a:pt x="0" y="228600"/>
                    </a:cubicBezTo>
                    <a:lnTo>
                      <a:pt x="0" y="609600"/>
                    </a:lnTo>
                    <a:cubicBezTo>
                      <a:pt x="0" y="630555"/>
                      <a:pt x="17145" y="647700"/>
                      <a:pt x="38100" y="647700"/>
                    </a:cubicBezTo>
                    <a:lnTo>
                      <a:pt x="152400" y="647700"/>
                    </a:lnTo>
                    <a:lnTo>
                      <a:pt x="152400" y="428625"/>
                    </a:lnTo>
                    <a:lnTo>
                      <a:pt x="685800" y="428625"/>
                    </a:lnTo>
                    <a:lnTo>
                      <a:pt x="685800" y="647700"/>
                    </a:lnTo>
                    <a:lnTo>
                      <a:pt x="800100" y="647700"/>
                    </a:lnTo>
                    <a:cubicBezTo>
                      <a:pt x="821055" y="647700"/>
                      <a:pt x="838200" y="630555"/>
                      <a:pt x="838200" y="609600"/>
                    </a:cubicBezTo>
                    <a:lnTo>
                      <a:pt x="838200" y="228600"/>
                    </a:lnTo>
                    <a:cubicBezTo>
                      <a:pt x="838200" y="207645"/>
                      <a:pt x="821055" y="190500"/>
                      <a:pt x="800100" y="190500"/>
                    </a:cubicBez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</xdr:grp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8203" name="Imagem 8202">
                  <a:extLst>
                    <a:ext uri="{FF2B5EF4-FFF2-40B4-BE49-F238E27FC236}">
                      <a16:creationId xmlns:a16="http://schemas.microsoft.com/office/drawing/2014/main" id="{3C1327DF-35AA-5134-2D7B-B7AF7A5CA3E4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MENU!$F$2" spid="_x0000_s8330"/>
                    </a:ext>
                  </a:extLst>
                </xdr:cNvPicPr>
              </xdr:nvPicPr>
              <xdr:blipFill rotWithShape="1">
                <a:blip xmlns:r="http://schemas.openxmlformats.org/officeDocument/2006/relationships" r:embed="rId6"/>
                <a:srcRect b="4887"/>
                <a:stretch>
                  <a:fillRect/>
                </a:stretch>
              </xdr:blipFill>
              <xdr:spPr>
                <a:xfrm rot="5400000">
                  <a:off x="103834" y="-103834"/>
                  <a:ext cx="574836" cy="782503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  <xdr:sp macro="" textlink="">
          <xdr:nvSpPr>
            <xdr:cNvPr id="8204" name="Retângulo 8203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750A9C85-FD8C-568F-131D-596E2D4C33B5}"/>
                </a:ext>
              </a:extLst>
            </xdr:cNvPr>
            <xdr:cNvSpPr/>
          </xdr:nvSpPr>
          <xdr:spPr>
            <a:xfrm>
              <a:off x="9618853" y="361950"/>
              <a:ext cx="1250894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PAGAR</a:t>
              </a:r>
            </a:p>
          </xdr:txBody>
        </xdr:sp>
        <xdr:sp macro="" textlink="">
          <xdr:nvSpPr>
            <xdr:cNvPr id="8205" name="Retângulo 8204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30A656C-5482-0583-C0BB-9CCC7DC862EA}"/>
                </a:ext>
              </a:extLst>
            </xdr:cNvPr>
            <xdr:cNvSpPr/>
          </xdr:nvSpPr>
          <xdr:spPr>
            <a:xfrm>
              <a:off x="771525" y="362132"/>
              <a:ext cx="1550561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BRUTO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8206" name="Retângulo 820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2A409865-2DEF-19CF-2C7C-5CFD2217359C}"/>
                </a:ext>
              </a:extLst>
            </xdr:cNvPr>
            <xdr:cNvSpPr/>
          </xdr:nvSpPr>
          <xdr:spPr>
            <a:xfrm>
              <a:off x="2337105" y="362132"/>
              <a:ext cx="1660138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LÍQUIDO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8207" name="Retângulo 820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3D927AF1-976B-6152-2B7D-B9DD805806D6}"/>
                </a:ext>
              </a:extLst>
            </xdr:cNvPr>
            <xdr:cNvSpPr/>
          </xdr:nvSpPr>
          <xdr:spPr>
            <a:xfrm>
              <a:off x="7084042" y="361950"/>
              <a:ext cx="1186806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FLUXO DE CAIXA</a:t>
              </a:r>
            </a:p>
          </xdr:txBody>
        </xdr:sp>
        <xdr:sp macro="" textlink="">
          <xdr:nvSpPr>
            <xdr:cNvPr id="8208" name="Retângulo 820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DA577042-7324-220D-6A52-C3F0E441D13C}"/>
                </a:ext>
              </a:extLst>
            </xdr:cNvPr>
            <xdr:cNvSpPr/>
          </xdr:nvSpPr>
          <xdr:spPr>
            <a:xfrm>
              <a:off x="8273481" y="361950"/>
              <a:ext cx="1333475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RECEBER</a:t>
              </a:r>
            </a:p>
          </xdr:txBody>
        </xdr:sp>
        <xdr:sp macro="" textlink="">
          <xdr:nvSpPr>
            <xdr:cNvPr id="8209" name="Retângulo 820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F2E00C2F-8DE5-D146-F6C0-9C950D800B72}"/>
                </a:ext>
              </a:extLst>
            </xdr:cNvPr>
            <xdr:cNvSpPr/>
          </xdr:nvSpPr>
          <xdr:spPr>
            <a:xfrm>
              <a:off x="12385551" y="361950"/>
              <a:ext cx="1224000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DRE FINANCEIRA</a:t>
              </a:r>
            </a:p>
          </xdr:txBody>
        </xdr:sp>
        <xdr:sp macro="" textlink="">
          <xdr:nvSpPr>
            <xdr:cNvPr id="8211" name="Retângulo 821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71AA6DAC-894F-EF07-7A44-60CC0FD3A8C1}"/>
                </a:ext>
              </a:extLst>
            </xdr:cNvPr>
            <xdr:cNvSpPr/>
          </xdr:nvSpPr>
          <xdr:spPr>
            <a:xfrm>
              <a:off x="13630231" y="361950"/>
              <a:ext cx="702806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BANCOS</a:t>
              </a:r>
            </a:p>
          </xdr:txBody>
        </xdr:sp>
        <xdr:sp macro="" textlink="">
          <xdr:nvSpPr>
            <xdr:cNvPr id="8212" name="Retângulo 821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23048422-E9FB-DE8E-8237-8767128CF8D2}"/>
                </a:ext>
              </a:extLst>
            </xdr:cNvPr>
            <xdr:cNvSpPr/>
          </xdr:nvSpPr>
          <xdr:spPr>
            <a:xfrm>
              <a:off x="5637032" y="361950"/>
              <a:ext cx="1436973" cy="19542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RESULTADO</a:t>
              </a:r>
              <a:r>
                <a:rPr lang="pt-BR" sz="1100" b="1" i="0" baseline="0">
                  <a:solidFill>
                    <a:schemeClr val="accent1"/>
                  </a:solidFill>
                </a:rPr>
                <a:t> POR DIA</a:t>
              </a:r>
              <a:endParaRPr lang="pt-BR" sz="1100" b="1" i="0">
                <a:solidFill>
                  <a:schemeClr val="accent1"/>
                </a:solidFill>
              </a:endParaRPr>
            </a:p>
          </xdr:txBody>
        </xdr:sp>
        <xdr:sp macro="" textlink="">
          <xdr:nvSpPr>
            <xdr:cNvPr id="8213" name="Retângulo 8212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8C7D24D6-E9B0-B82D-20EA-276457DB75F4}"/>
                </a:ext>
              </a:extLst>
            </xdr:cNvPr>
            <xdr:cNvSpPr/>
          </xdr:nvSpPr>
          <xdr:spPr>
            <a:xfrm>
              <a:off x="4008775" y="361950"/>
              <a:ext cx="162100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DESPESAS FINANCEIRAS</a:t>
              </a:r>
            </a:p>
          </xdr:txBody>
        </xdr:sp>
        <xdr:sp macro="" textlink="">
          <xdr:nvSpPr>
            <xdr:cNvPr id="8214" name="Retângulo 821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9EDA664-52D4-4FFB-373F-6FD006B3366F}"/>
                </a:ext>
              </a:extLst>
            </xdr:cNvPr>
            <xdr:cNvSpPr/>
          </xdr:nvSpPr>
          <xdr:spPr>
            <a:xfrm>
              <a:off x="10878008" y="361950"/>
              <a:ext cx="1481075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VALORES EM ABERTO</a:t>
              </a:r>
            </a:p>
          </xdr:txBody>
        </xdr:sp>
      </xdr:grpSp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E41AE785-2967-A225-0756-46A3232C9D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0" y="0"/>
            <a:ext cx="742950" cy="619125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38100</xdr:rowOff>
        </xdr:from>
        <xdr:to>
          <xdr:col>3</xdr:col>
          <xdr:colOff>622935</xdr:colOff>
          <xdr:row>3</xdr:row>
          <xdr:rowOff>220980</xdr:rowOff>
        </xdr:to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00000000-0008-0000-0F00-000003000000}"/>
                </a:ext>
              </a:extLst>
            </xdr:cNvPr>
            <xdr:cNvGrpSpPr/>
          </xdr:nvGrpSpPr>
          <xdr:grpSpPr>
            <a:xfrm>
              <a:off x="38100" y="603844"/>
              <a:ext cx="3887200" cy="228929"/>
              <a:chOff x="38100" y="601980"/>
              <a:chExt cx="3695700" cy="228600"/>
            </a:xfrm>
          </xdr:grpSpPr>
          <xdr:sp macro="" textlink="">
            <xdr:nvSpPr>
              <xdr:cNvPr id="24582" name="Drop Down 6" hidden="1">
                <a:extLst>
                  <a:ext uri="{63B3BB69-23CF-44E3-9099-C40C66FF867C}">
                    <a14:compatExt spid="_x0000_s24582"/>
                  </a:ext>
                  <a:ext uri="{FF2B5EF4-FFF2-40B4-BE49-F238E27FC236}">
                    <a16:creationId xmlns:a16="http://schemas.microsoft.com/office/drawing/2014/main" id="{00000000-0008-0000-0D00-000006600000}"/>
                  </a:ext>
                </a:extLst>
              </xdr:cNvPr>
              <xdr:cNvSpPr/>
            </xdr:nvSpPr>
            <xdr:spPr bwMode="auto">
              <a:xfrm>
                <a:off x="38100" y="601980"/>
                <a:ext cx="86868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4583" name="Drop Down 7" hidden="1">
                <a:extLst>
                  <a:ext uri="{63B3BB69-23CF-44E3-9099-C40C66FF867C}">
                    <a14:compatExt spid="_x0000_s24583"/>
                  </a:ext>
                  <a:ext uri="{FF2B5EF4-FFF2-40B4-BE49-F238E27FC236}">
                    <a16:creationId xmlns:a16="http://schemas.microsoft.com/office/drawing/2014/main" id="{00000000-0008-0000-0D00-000007600000}"/>
                  </a:ext>
                </a:extLst>
              </xdr:cNvPr>
              <xdr:cNvSpPr/>
            </xdr:nvSpPr>
            <xdr:spPr bwMode="auto">
              <a:xfrm>
                <a:off x="2339340" y="601980"/>
                <a:ext cx="139446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4584" name="Drop Down 8" hidden="1">
                <a:extLst>
                  <a:ext uri="{63B3BB69-23CF-44E3-9099-C40C66FF867C}">
                    <a14:compatExt spid="_x0000_s24584"/>
                  </a:ext>
                  <a:ext uri="{FF2B5EF4-FFF2-40B4-BE49-F238E27FC236}">
                    <a16:creationId xmlns:a16="http://schemas.microsoft.com/office/drawing/2014/main" id="{00000000-0008-0000-0D00-000008600000}"/>
                  </a:ext>
                </a:extLst>
              </xdr:cNvPr>
              <xdr:cNvSpPr/>
            </xdr:nvSpPr>
            <xdr:spPr bwMode="auto">
              <a:xfrm>
                <a:off x="914400" y="601980"/>
                <a:ext cx="14249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355235</xdr:colOff>
          <xdr:row>21</xdr:row>
          <xdr:rowOff>315764</xdr:rowOff>
        </xdr:from>
        <xdr:to>
          <xdr:col>5</xdr:col>
          <xdr:colOff>6578</xdr:colOff>
          <xdr:row>22</xdr:row>
          <xdr:rowOff>236823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D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PLANILHA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15</xdr:col>
      <xdr:colOff>188412</xdr:colOff>
      <xdr:row>3</xdr:row>
      <xdr:rowOff>9525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5C63CA80-2F84-4E44-9F70-514CC427C8C5}"/>
            </a:ext>
          </a:extLst>
        </xdr:cNvPr>
        <xdr:cNvGrpSpPr/>
      </xdr:nvGrpSpPr>
      <xdr:grpSpPr>
        <a:xfrm>
          <a:off x="0" y="0"/>
          <a:ext cx="15575330" cy="621318"/>
          <a:chOff x="0" y="0"/>
          <a:chExt cx="14333037" cy="619125"/>
        </a:xfrm>
      </xdr:grpSpPr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735B8D87-6131-A58B-F5E2-E6F2980EABE3}"/>
              </a:ext>
            </a:extLst>
          </xdr:cNvPr>
          <xdr:cNvGrpSpPr/>
        </xdr:nvGrpSpPr>
        <xdr:grpSpPr>
          <a:xfrm>
            <a:off x="0" y="0"/>
            <a:ext cx="14333037" cy="574836"/>
            <a:chOff x="0" y="0"/>
            <a:chExt cx="14333037" cy="574836"/>
          </a:xfrm>
        </xdr:grpSpPr>
        <xdr:sp macro="[0]!Salvar" textlink="">
          <xdr:nvSpPr>
            <xdr:cNvPr id="7" name="Retângulo Arredondado 1">
              <a:extLst>
                <a:ext uri="{FF2B5EF4-FFF2-40B4-BE49-F238E27FC236}">
                  <a16:creationId xmlns:a16="http://schemas.microsoft.com/office/drawing/2014/main" id="{38BF34FB-B0F3-0683-2A0C-8253CE99E803}"/>
                </a:ext>
              </a:extLst>
            </xdr:cNvPr>
            <xdr:cNvSpPr/>
          </xdr:nvSpPr>
          <xdr:spPr>
            <a:xfrm>
              <a:off x="10707213" y="66824"/>
              <a:ext cx="88387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SALVAR</a:t>
              </a:r>
            </a:p>
          </xdr:txBody>
        </xdr:sp>
        <xdr:sp macro="" textlink="">
          <xdr:nvSpPr>
            <xdr:cNvPr id="8" name="Retângulo Arredondado 20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D366305-3D60-1442-5A19-0BA61F6DA2A9}"/>
                </a:ext>
              </a:extLst>
            </xdr:cNvPr>
            <xdr:cNvSpPr/>
          </xdr:nvSpPr>
          <xdr:spPr>
            <a:xfrm>
              <a:off x="9838931" y="66824"/>
              <a:ext cx="84054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MENU</a:t>
              </a:r>
            </a:p>
          </xdr:txBody>
        </xdr:sp>
        <xdr:sp macro="[0]!workbook_close" textlink="">
          <xdr:nvSpPr>
            <xdr:cNvPr id="9" name="Seta: para Baixo 28">
              <a:extLst>
                <a:ext uri="{FF2B5EF4-FFF2-40B4-BE49-F238E27FC236}">
                  <a16:creationId xmlns:a16="http://schemas.microsoft.com/office/drawing/2014/main" id="{E2183D9C-6542-5365-A5D9-FBD78CBD8E07}"/>
                </a:ext>
              </a:extLst>
            </xdr:cNvPr>
            <xdr:cNvSpPr/>
          </xdr:nvSpPr>
          <xdr:spPr>
            <a:xfrm>
              <a:off x="11895388" y="66824"/>
              <a:ext cx="23576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[0]!workbook_open" textlink="">
          <xdr:nvSpPr>
            <xdr:cNvPr id="10" name="Seta: para Baixo 9">
              <a:extLst>
                <a:ext uri="{FF2B5EF4-FFF2-40B4-BE49-F238E27FC236}">
                  <a16:creationId xmlns:a16="http://schemas.microsoft.com/office/drawing/2014/main" id="{0B347D0C-9454-702F-258F-3E92F598D3B1}"/>
                </a:ext>
              </a:extLst>
            </xdr:cNvPr>
            <xdr:cNvSpPr/>
          </xdr:nvSpPr>
          <xdr:spPr>
            <a:xfrm rot="10800000">
              <a:off x="11674297" y="38184"/>
              <a:ext cx="23958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" name="Retângulo 1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54C81F08-12F1-6FC7-45B4-FAC4A45F3674}"/>
                </a:ext>
              </a:extLst>
            </xdr:cNvPr>
            <xdr:cNvSpPr/>
          </xdr:nvSpPr>
          <xdr:spPr>
            <a:xfrm>
              <a:off x="772544" y="0"/>
              <a:ext cx="933017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CADASTROS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DA73D391-4BE7-C968-B718-5DD5CDA18D58}"/>
                </a:ext>
              </a:extLst>
            </xdr:cNvPr>
            <xdr:cNvSpPr/>
          </xdr:nvSpPr>
          <xdr:spPr>
            <a:xfrm>
              <a:off x="1713565" y="0"/>
              <a:ext cx="1148329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LANÇAMENTOS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2ACADD01-3C5D-894B-9864-9416F0B5A4FD}"/>
                </a:ext>
              </a:extLst>
            </xdr:cNvPr>
            <xdr:cNvSpPr/>
          </xdr:nvSpPr>
          <xdr:spPr>
            <a:xfrm>
              <a:off x="2874719" y="0"/>
              <a:ext cx="972072" cy="313897"/>
            </a:xfrm>
            <a:prstGeom prst="rect">
              <a:avLst/>
            </a:prstGeom>
            <a:solidFill>
              <a:srgbClr val="EBEBEB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RELATÓRIOSS</a:t>
              </a:r>
            </a:p>
          </xdr:txBody>
        </xdr:sp>
        <xdr:sp macro="" textlink="">
          <xdr:nvSpPr>
            <xdr:cNvPr id="14" name="Retângulo 1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66BD5A4A-B01E-A1BA-4664-CB41259CD307}"/>
                </a:ext>
              </a:extLst>
            </xdr:cNvPr>
            <xdr:cNvSpPr/>
          </xdr:nvSpPr>
          <xdr:spPr>
            <a:xfrm>
              <a:off x="3849282" y="0"/>
              <a:ext cx="968903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DASHBOARD</a:t>
              </a:r>
            </a:p>
          </xdr:txBody>
        </xdr:sp>
        <xdr:grpSp>
          <xdr:nvGrpSpPr>
            <xdr:cNvPr id="15" name="Gráfico 2" descr="Impressora">
              <a:extLst>
                <a:ext uri="{FF2B5EF4-FFF2-40B4-BE49-F238E27FC236}">
                  <a16:creationId xmlns:a16="http://schemas.microsoft.com/office/drawing/2014/main" id="{8CFBB3B0-C2F3-AE54-43DB-EB8E2F7004F6}"/>
                </a:ext>
              </a:extLst>
            </xdr:cNvPr>
            <xdr:cNvGrpSpPr/>
          </xdr:nvGrpSpPr>
          <xdr:grpSpPr>
            <a:xfrm>
              <a:off x="12183371" y="0"/>
              <a:ext cx="280353" cy="289536"/>
              <a:chOff x="0" y="0"/>
              <a:chExt cx="914400" cy="914400"/>
            </a:xfrm>
            <a:solidFill>
              <a:schemeClr val="bg1"/>
            </a:solidFill>
          </xdr:grpSpPr>
          <xdr:sp macro="[0]!Imprimir" textlink="">
            <xdr:nvSpPr>
              <xdr:cNvPr id="29" name="Forma Livre: Forma 28">
                <a:extLst>
                  <a:ext uri="{FF2B5EF4-FFF2-40B4-BE49-F238E27FC236}">
                    <a16:creationId xmlns:a16="http://schemas.microsoft.com/office/drawing/2014/main" id="{1E03442A-2A2F-07B7-9219-4674ABF98B2D}"/>
                  </a:ext>
                </a:extLst>
              </xdr:cNvPr>
              <xdr:cNvSpPr/>
            </xdr:nvSpPr>
            <xdr:spPr>
              <a:xfrm>
                <a:off x="228600" y="538163"/>
                <a:ext cx="447675" cy="304800"/>
              </a:xfrm>
              <a:custGeom>
                <a:avLst/>
                <a:gdLst>
                  <a:gd name="connsiteX0" fmla="*/ 400050 w 447675"/>
                  <a:gd name="connsiteY0" fmla="*/ 57150 h 304800"/>
                  <a:gd name="connsiteX1" fmla="*/ 399098 w 447675"/>
                  <a:gd name="connsiteY1" fmla="*/ 247650 h 304800"/>
                  <a:gd name="connsiteX2" fmla="*/ 59055 w 447675"/>
                  <a:gd name="connsiteY2" fmla="*/ 247650 h 304800"/>
                  <a:gd name="connsiteX3" fmla="*/ 57150 w 447675"/>
                  <a:gd name="connsiteY3" fmla="*/ 57150 h 304800"/>
                  <a:gd name="connsiteX4" fmla="*/ 400050 w 447675"/>
                  <a:gd name="connsiteY4" fmla="*/ 57150 h 304800"/>
                  <a:gd name="connsiteX5" fmla="*/ 1905 w 447675"/>
                  <a:gd name="connsiteY5" fmla="*/ 304800 h 304800"/>
                  <a:gd name="connsiteX6" fmla="*/ 455295 w 447675"/>
                  <a:gd name="connsiteY6" fmla="*/ 304800 h 304800"/>
                  <a:gd name="connsiteX7" fmla="*/ 456248 w 447675"/>
                  <a:gd name="connsiteY7" fmla="*/ 0 h 304800"/>
                  <a:gd name="connsiteX8" fmla="*/ 0 w 447675"/>
                  <a:gd name="connsiteY8" fmla="*/ 0 h 304800"/>
                  <a:gd name="connsiteX9" fmla="*/ 1905 w 447675"/>
                  <a:gd name="connsiteY9" fmla="*/ 304800 h 3048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447675" h="304800">
                    <a:moveTo>
                      <a:pt x="400050" y="57150"/>
                    </a:moveTo>
                    <a:lnTo>
                      <a:pt x="399098" y="247650"/>
                    </a:lnTo>
                    <a:lnTo>
                      <a:pt x="59055" y="247650"/>
                    </a:lnTo>
                    <a:lnTo>
                      <a:pt x="57150" y="57150"/>
                    </a:lnTo>
                    <a:lnTo>
                      <a:pt x="400050" y="57150"/>
                    </a:lnTo>
                    <a:close/>
                    <a:moveTo>
                      <a:pt x="1905" y="304800"/>
                    </a:moveTo>
                    <a:lnTo>
                      <a:pt x="455295" y="304800"/>
                    </a:lnTo>
                    <a:lnTo>
                      <a:pt x="456248" y="0"/>
                    </a:lnTo>
                    <a:lnTo>
                      <a:pt x="0" y="0"/>
                    </a:lnTo>
                    <a:lnTo>
                      <a:pt x="1905" y="3048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30" name="Forma Livre: Forma 29">
                <a:extLst>
                  <a:ext uri="{FF2B5EF4-FFF2-40B4-BE49-F238E27FC236}">
                    <a16:creationId xmlns:a16="http://schemas.microsoft.com/office/drawing/2014/main" id="{1E35FFD8-8238-A497-730F-811BDBD8A373}"/>
                  </a:ext>
                </a:extLst>
              </xdr:cNvPr>
              <xdr:cNvSpPr/>
            </xdr:nvSpPr>
            <xdr:spPr>
              <a:xfrm>
                <a:off x="361950" y="6334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31" name="Forma Livre: Forma 30">
                <a:extLst>
                  <a:ext uri="{FF2B5EF4-FFF2-40B4-BE49-F238E27FC236}">
                    <a16:creationId xmlns:a16="http://schemas.microsoft.com/office/drawing/2014/main" id="{CEAC430F-F143-8775-A894-716AFC1B7AEC}"/>
                  </a:ext>
                </a:extLst>
              </xdr:cNvPr>
              <xdr:cNvSpPr/>
            </xdr:nvSpPr>
            <xdr:spPr>
              <a:xfrm>
                <a:off x="361950" y="7096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58" name="Forma Livre: Forma 57">
                <a:extLst>
                  <a:ext uri="{FF2B5EF4-FFF2-40B4-BE49-F238E27FC236}">
                    <a16:creationId xmlns:a16="http://schemas.microsoft.com/office/drawing/2014/main" id="{36CB2436-22D6-2970-51C5-206B7C36E843}"/>
                  </a:ext>
                </a:extLst>
              </xdr:cNvPr>
              <xdr:cNvSpPr/>
            </xdr:nvSpPr>
            <xdr:spPr>
              <a:xfrm>
                <a:off x="38100" y="76200"/>
                <a:ext cx="838200" cy="647700"/>
              </a:xfrm>
              <a:custGeom>
                <a:avLst/>
                <a:gdLst>
                  <a:gd name="connsiteX0" fmla="*/ 590550 w 838200"/>
                  <a:gd name="connsiteY0" fmla="*/ 276225 h 647700"/>
                  <a:gd name="connsiteX1" fmla="*/ 247650 w 838200"/>
                  <a:gd name="connsiteY1" fmla="*/ 276225 h 647700"/>
                  <a:gd name="connsiteX2" fmla="*/ 247650 w 838200"/>
                  <a:gd name="connsiteY2" fmla="*/ 57150 h 647700"/>
                  <a:gd name="connsiteX3" fmla="*/ 457200 w 838200"/>
                  <a:gd name="connsiteY3" fmla="*/ 57150 h 647700"/>
                  <a:gd name="connsiteX4" fmla="*/ 457200 w 838200"/>
                  <a:gd name="connsiteY4" fmla="*/ 190500 h 647700"/>
                  <a:gd name="connsiteX5" fmla="*/ 590550 w 838200"/>
                  <a:gd name="connsiteY5" fmla="*/ 190500 h 647700"/>
                  <a:gd name="connsiteX6" fmla="*/ 590550 w 838200"/>
                  <a:gd name="connsiteY6" fmla="*/ 276225 h 647700"/>
                  <a:gd name="connsiteX7" fmla="*/ 514350 w 838200"/>
                  <a:gd name="connsiteY7" fmla="*/ 60960 h 647700"/>
                  <a:gd name="connsiteX8" fmla="*/ 580073 w 838200"/>
                  <a:gd name="connsiteY8" fmla="*/ 133350 h 647700"/>
                  <a:gd name="connsiteX9" fmla="*/ 514350 w 838200"/>
                  <a:gd name="connsiteY9" fmla="*/ 133350 h 647700"/>
                  <a:gd name="connsiteX10" fmla="*/ 514350 w 838200"/>
                  <a:gd name="connsiteY10" fmla="*/ 60960 h 647700"/>
                  <a:gd name="connsiteX11" fmla="*/ 95250 w 838200"/>
                  <a:gd name="connsiteY11" fmla="*/ 323850 h 647700"/>
                  <a:gd name="connsiteX12" fmla="*/ 57150 w 838200"/>
                  <a:gd name="connsiteY12" fmla="*/ 285750 h 647700"/>
                  <a:gd name="connsiteX13" fmla="*/ 95250 w 838200"/>
                  <a:gd name="connsiteY13" fmla="*/ 247650 h 647700"/>
                  <a:gd name="connsiteX14" fmla="*/ 133350 w 838200"/>
                  <a:gd name="connsiteY14" fmla="*/ 285750 h 647700"/>
                  <a:gd name="connsiteX15" fmla="*/ 95250 w 838200"/>
                  <a:gd name="connsiteY15" fmla="*/ 323850 h 647700"/>
                  <a:gd name="connsiteX16" fmla="*/ 800100 w 838200"/>
                  <a:gd name="connsiteY16" fmla="*/ 190500 h 647700"/>
                  <a:gd name="connsiteX17" fmla="*/ 647700 w 838200"/>
                  <a:gd name="connsiteY17" fmla="*/ 190500 h 647700"/>
                  <a:gd name="connsiteX18" fmla="*/ 647700 w 838200"/>
                  <a:gd name="connsiteY18" fmla="*/ 121920 h 647700"/>
                  <a:gd name="connsiteX19" fmla="*/ 536258 w 838200"/>
                  <a:gd name="connsiteY19" fmla="*/ 0 h 647700"/>
                  <a:gd name="connsiteX20" fmla="*/ 190500 w 838200"/>
                  <a:gd name="connsiteY20" fmla="*/ 0 h 647700"/>
                  <a:gd name="connsiteX21" fmla="*/ 190500 w 838200"/>
                  <a:gd name="connsiteY21" fmla="*/ 190500 h 647700"/>
                  <a:gd name="connsiteX22" fmla="*/ 38100 w 838200"/>
                  <a:gd name="connsiteY22" fmla="*/ 190500 h 647700"/>
                  <a:gd name="connsiteX23" fmla="*/ 0 w 838200"/>
                  <a:gd name="connsiteY23" fmla="*/ 228600 h 647700"/>
                  <a:gd name="connsiteX24" fmla="*/ 0 w 838200"/>
                  <a:gd name="connsiteY24" fmla="*/ 609600 h 647700"/>
                  <a:gd name="connsiteX25" fmla="*/ 38100 w 838200"/>
                  <a:gd name="connsiteY25" fmla="*/ 647700 h 647700"/>
                  <a:gd name="connsiteX26" fmla="*/ 152400 w 838200"/>
                  <a:gd name="connsiteY26" fmla="*/ 647700 h 647700"/>
                  <a:gd name="connsiteX27" fmla="*/ 152400 w 838200"/>
                  <a:gd name="connsiteY27" fmla="*/ 428625 h 647700"/>
                  <a:gd name="connsiteX28" fmla="*/ 685800 w 838200"/>
                  <a:gd name="connsiteY28" fmla="*/ 428625 h 647700"/>
                  <a:gd name="connsiteX29" fmla="*/ 685800 w 838200"/>
                  <a:gd name="connsiteY29" fmla="*/ 647700 h 647700"/>
                  <a:gd name="connsiteX30" fmla="*/ 800100 w 838200"/>
                  <a:gd name="connsiteY30" fmla="*/ 647700 h 647700"/>
                  <a:gd name="connsiteX31" fmla="*/ 838200 w 838200"/>
                  <a:gd name="connsiteY31" fmla="*/ 609600 h 647700"/>
                  <a:gd name="connsiteX32" fmla="*/ 838200 w 838200"/>
                  <a:gd name="connsiteY32" fmla="*/ 228600 h 647700"/>
                  <a:gd name="connsiteX33" fmla="*/ 800100 w 838200"/>
                  <a:gd name="connsiteY33" fmla="*/ 190500 h 6477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</a:cxnLst>
                <a:rect l="l" t="t" r="r" b="b"/>
                <a:pathLst>
                  <a:path w="838200" h="647700">
                    <a:moveTo>
                      <a:pt x="590550" y="276225"/>
                    </a:moveTo>
                    <a:lnTo>
                      <a:pt x="247650" y="276225"/>
                    </a:lnTo>
                    <a:lnTo>
                      <a:pt x="247650" y="57150"/>
                    </a:lnTo>
                    <a:lnTo>
                      <a:pt x="457200" y="57150"/>
                    </a:lnTo>
                    <a:lnTo>
                      <a:pt x="457200" y="190500"/>
                    </a:lnTo>
                    <a:lnTo>
                      <a:pt x="590550" y="190500"/>
                    </a:lnTo>
                    <a:lnTo>
                      <a:pt x="590550" y="276225"/>
                    </a:lnTo>
                    <a:close/>
                    <a:moveTo>
                      <a:pt x="514350" y="60960"/>
                    </a:moveTo>
                    <a:lnTo>
                      <a:pt x="580073" y="133350"/>
                    </a:lnTo>
                    <a:lnTo>
                      <a:pt x="514350" y="133350"/>
                    </a:lnTo>
                    <a:lnTo>
                      <a:pt x="514350" y="60960"/>
                    </a:lnTo>
                    <a:close/>
                    <a:moveTo>
                      <a:pt x="95250" y="323850"/>
                    </a:moveTo>
                    <a:cubicBezTo>
                      <a:pt x="74295" y="323850"/>
                      <a:pt x="57150" y="306705"/>
                      <a:pt x="57150" y="285750"/>
                    </a:cubicBezTo>
                    <a:cubicBezTo>
                      <a:pt x="57150" y="264795"/>
                      <a:pt x="74295" y="247650"/>
                      <a:pt x="95250" y="247650"/>
                    </a:cubicBezTo>
                    <a:cubicBezTo>
                      <a:pt x="116205" y="247650"/>
                      <a:pt x="133350" y="264795"/>
                      <a:pt x="133350" y="285750"/>
                    </a:cubicBezTo>
                    <a:cubicBezTo>
                      <a:pt x="133350" y="306705"/>
                      <a:pt x="116205" y="323850"/>
                      <a:pt x="95250" y="323850"/>
                    </a:cubicBezTo>
                    <a:close/>
                    <a:moveTo>
                      <a:pt x="800100" y="190500"/>
                    </a:moveTo>
                    <a:lnTo>
                      <a:pt x="647700" y="190500"/>
                    </a:lnTo>
                    <a:lnTo>
                      <a:pt x="647700" y="121920"/>
                    </a:lnTo>
                    <a:lnTo>
                      <a:pt x="536258" y="0"/>
                    </a:lnTo>
                    <a:lnTo>
                      <a:pt x="190500" y="0"/>
                    </a:lnTo>
                    <a:lnTo>
                      <a:pt x="190500" y="190500"/>
                    </a:lnTo>
                    <a:lnTo>
                      <a:pt x="38100" y="190500"/>
                    </a:lnTo>
                    <a:cubicBezTo>
                      <a:pt x="17145" y="190500"/>
                      <a:pt x="0" y="207645"/>
                      <a:pt x="0" y="228600"/>
                    </a:cubicBezTo>
                    <a:lnTo>
                      <a:pt x="0" y="609600"/>
                    </a:lnTo>
                    <a:cubicBezTo>
                      <a:pt x="0" y="630555"/>
                      <a:pt x="17145" y="647700"/>
                      <a:pt x="38100" y="647700"/>
                    </a:cubicBezTo>
                    <a:lnTo>
                      <a:pt x="152400" y="647700"/>
                    </a:lnTo>
                    <a:lnTo>
                      <a:pt x="152400" y="428625"/>
                    </a:lnTo>
                    <a:lnTo>
                      <a:pt x="685800" y="428625"/>
                    </a:lnTo>
                    <a:lnTo>
                      <a:pt x="685800" y="647700"/>
                    </a:lnTo>
                    <a:lnTo>
                      <a:pt x="800100" y="647700"/>
                    </a:lnTo>
                    <a:cubicBezTo>
                      <a:pt x="821055" y="647700"/>
                      <a:pt x="838200" y="630555"/>
                      <a:pt x="838200" y="609600"/>
                    </a:cubicBezTo>
                    <a:lnTo>
                      <a:pt x="838200" y="228600"/>
                    </a:lnTo>
                    <a:cubicBezTo>
                      <a:pt x="838200" y="207645"/>
                      <a:pt x="821055" y="190500"/>
                      <a:pt x="800100" y="190500"/>
                    </a:cubicBez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</xdr:grp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16" name="Imagem 15">
                  <a:extLst>
                    <a:ext uri="{FF2B5EF4-FFF2-40B4-BE49-F238E27FC236}">
                      <a16:creationId xmlns:a16="http://schemas.microsoft.com/office/drawing/2014/main" id="{989F6AB1-7415-12BF-3D0E-A581326E5856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MENU!$F$2" spid="_x0000_s24713"/>
                    </a:ext>
                  </a:extLst>
                </xdr:cNvPicPr>
              </xdr:nvPicPr>
              <xdr:blipFill rotWithShape="1">
                <a:blip xmlns:r="http://schemas.openxmlformats.org/officeDocument/2006/relationships" r:embed="rId6"/>
                <a:srcRect b="4887"/>
                <a:stretch>
                  <a:fillRect/>
                </a:stretch>
              </xdr:blipFill>
              <xdr:spPr>
                <a:xfrm rot="5400000">
                  <a:off x="103834" y="-103834"/>
                  <a:ext cx="574836" cy="782503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  <xdr:sp macro="" textlink="">
          <xdr:nvSpPr>
            <xdr:cNvPr id="17" name="Retângulo 16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FADC10A7-D134-95AC-C59D-179755372631}"/>
                </a:ext>
              </a:extLst>
            </xdr:cNvPr>
            <xdr:cNvSpPr/>
          </xdr:nvSpPr>
          <xdr:spPr>
            <a:xfrm>
              <a:off x="9618853" y="361950"/>
              <a:ext cx="1250894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PAGAR</a:t>
              </a:r>
            </a:p>
          </xdr:txBody>
        </xdr:sp>
        <xdr:sp macro="" textlink="">
          <xdr:nvSpPr>
            <xdr:cNvPr id="18" name="Retângulo 1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87F1A44F-9B50-088F-3B83-BAE911BB1B02}"/>
                </a:ext>
              </a:extLst>
            </xdr:cNvPr>
            <xdr:cNvSpPr/>
          </xdr:nvSpPr>
          <xdr:spPr>
            <a:xfrm>
              <a:off x="771525" y="362132"/>
              <a:ext cx="1550561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BRUTO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19" name="Retângulo 18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943A39C9-B4CF-E1AE-01ED-0D70850089DC}"/>
                </a:ext>
              </a:extLst>
            </xdr:cNvPr>
            <xdr:cNvSpPr/>
          </xdr:nvSpPr>
          <xdr:spPr>
            <a:xfrm>
              <a:off x="2337105" y="362132"/>
              <a:ext cx="1660138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LÍQUIDO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20" name="Retângulo 19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FFEDB221-3EB0-AC33-C28D-C73B40833F76}"/>
                </a:ext>
              </a:extLst>
            </xdr:cNvPr>
            <xdr:cNvSpPr/>
          </xdr:nvSpPr>
          <xdr:spPr>
            <a:xfrm>
              <a:off x="7084042" y="361950"/>
              <a:ext cx="1186806" cy="198039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FLUXO DE CAIXA</a:t>
              </a:r>
            </a:p>
          </xdr:txBody>
        </xdr:sp>
        <xdr:sp macro="" textlink="">
          <xdr:nvSpPr>
            <xdr:cNvPr id="21" name="Retângulo 2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824F5B67-EBA1-1193-459A-18707D92F740}"/>
                </a:ext>
              </a:extLst>
            </xdr:cNvPr>
            <xdr:cNvSpPr/>
          </xdr:nvSpPr>
          <xdr:spPr>
            <a:xfrm>
              <a:off x="8273481" y="361950"/>
              <a:ext cx="1333475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RECEBER</a:t>
              </a:r>
            </a:p>
          </xdr:txBody>
        </xdr:sp>
        <xdr:sp macro="" textlink="">
          <xdr:nvSpPr>
            <xdr:cNvPr id="22" name="Retângulo 21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2F7AF77-0DD0-9DEB-DB2C-845EA192BA49}"/>
                </a:ext>
              </a:extLst>
            </xdr:cNvPr>
            <xdr:cNvSpPr/>
          </xdr:nvSpPr>
          <xdr:spPr>
            <a:xfrm>
              <a:off x="12385551" y="361950"/>
              <a:ext cx="1224000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DRE FINANCEIRA</a:t>
              </a:r>
            </a:p>
          </xdr:txBody>
        </xdr:sp>
        <xdr:sp macro="" textlink="">
          <xdr:nvSpPr>
            <xdr:cNvPr id="24" name="Retângulo 23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4DEF39EC-3656-15EE-4BDB-21A88D42247C}"/>
                </a:ext>
              </a:extLst>
            </xdr:cNvPr>
            <xdr:cNvSpPr/>
          </xdr:nvSpPr>
          <xdr:spPr>
            <a:xfrm>
              <a:off x="13630231" y="361950"/>
              <a:ext cx="702806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BANCOS</a:t>
              </a:r>
            </a:p>
          </xdr:txBody>
        </xdr:sp>
        <xdr:sp macro="" textlink="">
          <xdr:nvSpPr>
            <xdr:cNvPr id="26" name="Retângulo 2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58B128A1-7497-8A50-A44A-DF922B2CF8F6}"/>
                </a:ext>
              </a:extLst>
            </xdr:cNvPr>
            <xdr:cNvSpPr/>
          </xdr:nvSpPr>
          <xdr:spPr>
            <a:xfrm>
              <a:off x="5637032" y="361950"/>
              <a:ext cx="143697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RESULTADO</a:t>
              </a:r>
              <a:r>
                <a:rPr lang="pt-BR" sz="1100" b="1" i="0" baseline="0">
                  <a:solidFill>
                    <a:srgbClr val="797979"/>
                  </a:solidFill>
                </a:rPr>
                <a:t> POR DIA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27" name="Retângulo 2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7C4874B7-1E10-3FDF-7CDC-F5428AFCA673}"/>
                </a:ext>
              </a:extLst>
            </xdr:cNvPr>
            <xdr:cNvSpPr/>
          </xdr:nvSpPr>
          <xdr:spPr>
            <a:xfrm>
              <a:off x="4008775" y="361950"/>
              <a:ext cx="162100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DESPESAS FINANCEIRAS</a:t>
              </a:r>
            </a:p>
          </xdr:txBody>
        </xdr:sp>
        <xdr:sp macro="" textlink="">
          <xdr:nvSpPr>
            <xdr:cNvPr id="28" name="Retângulo 2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7347FF1-ACE8-F014-6A92-DA58880084A9}"/>
                </a:ext>
              </a:extLst>
            </xdr:cNvPr>
            <xdr:cNvSpPr/>
          </xdr:nvSpPr>
          <xdr:spPr>
            <a:xfrm>
              <a:off x="10878008" y="361950"/>
              <a:ext cx="1481075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VALORES EM ABERTO</a:t>
              </a:r>
            </a:p>
          </xdr:txBody>
        </xdr:sp>
      </xdr:grp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780ED18D-7A69-F897-58CE-6E6D7F1803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0" y="0"/>
            <a:ext cx="742950" cy="619125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1006498</xdr:colOff>
          <xdr:row>3</xdr:row>
          <xdr:rowOff>26314</xdr:rowOff>
        </xdr:from>
        <xdr:to>
          <xdr:col>9</xdr:col>
          <xdr:colOff>559165</xdr:colOff>
          <xdr:row>4</xdr:row>
          <xdr:rowOff>144725</xdr:rowOff>
        </xdr:to>
        <xdr:sp macro="" textlink="">
          <xdr:nvSpPr>
            <xdr:cNvPr id="158726" name="Button 6" hidden="1">
              <a:extLst>
                <a:ext uri="{63B3BB69-23CF-44E3-9099-C40C66FF867C}">
                  <a14:compatExt spid="_x0000_s158726"/>
                </a:ext>
                <a:ext uri="{FF2B5EF4-FFF2-40B4-BE49-F238E27FC236}">
                  <a16:creationId xmlns:a16="http://schemas.microsoft.com/office/drawing/2014/main" id="{00000000-0008-0000-0E00-000006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PLANILHA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17</xdr:col>
      <xdr:colOff>112212</xdr:colOff>
      <xdr:row>3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FE527F8-BA90-4F3A-AF5B-2F8902965E7F}"/>
            </a:ext>
          </a:extLst>
        </xdr:cNvPr>
        <xdr:cNvGrpSpPr/>
      </xdr:nvGrpSpPr>
      <xdr:grpSpPr>
        <a:xfrm>
          <a:off x="0" y="0"/>
          <a:ext cx="15564914" cy="614739"/>
          <a:chOff x="0" y="0"/>
          <a:chExt cx="14333037" cy="619125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04F8EFF5-D951-58A8-08F1-6F888AC48984}"/>
              </a:ext>
            </a:extLst>
          </xdr:cNvPr>
          <xdr:cNvGrpSpPr/>
        </xdr:nvGrpSpPr>
        <xdr:grpSpPr>
          <a:xfrm>
            <a:off x="0" y="0"/>
            <a:ext cx="14333037" cy="574836"/>
            <a:chOff x="0" y="0"/>
            <a:chExt cx="14333037" cy="574836"/>
          </a:xfrm>
        </xdr:grpSpPr>
        <xdr:sp macro="[0]!Salvar" textlink="">
          <xdr:nvSpPr>
            <xdr:cNvPr id="6" name="Retângulo Arredondado 1">
              <a:extLst>
                <a:ext uri="{FF2B5EF4-FFF2-40B4-BE49-F238E27FC236}">
                  <a16:creationId xmlns:a16="http://schemas.microsoft.com/office/drawing/2014/main" id="{9A59B18E-FE69-BCF1-CBED-8A71DF840B17}"/>
                </a:ext>
              </a:extLst>
            </xdr:cNvPr>
            <xdr:cNvSpPr/>
          </xdr:nvSpPr>
          <xdr:spPr>
            <a:xfrm>
              <a:off x="10707213" y="66824"/>
              <a:ext cx="88387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SALVAR</a:t>
              </a:r>
            </a:p>
          </xdr:txBody>
        </xdr:sp>
        <xdr:sp macro="" textlink="">
          <xdr:nvSpPr>
            <xdr:cNvPr id="7" name="Retângulo Arredondado 20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2C4E1A7-256E-C831-6FCD-6A1D72750168}"/>
                </a:ext>
              </a:extLst>
            </xdr:cNvPr>
            <xdr:cNvSpPr/>
          </xdr:nvSpPr>
          <xdr:spPr>
            <a:xfrm>
              <a:off x="9838931" y="66824"/>
              <a:ext cx="84054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MENU</a:t>
              </a:r>
            </a:p>
          </xdr:txBody>
        </xdr:sp>
        <xdr:sp macro="[0]!workbook_close" textlink="">
          <xdr:nvSpPr>
            <xdr:cNvPr id="8" name="Seta: para Baixo 28">
              <a:extLst>
                <a:ext uri="{FF2B5EF4-FFF2-40B4-BE49-F238E27FC236}">
                  <a16:creationId xmlns:a16="http://schemas.microsoft.com/office/drawing/2014/main" id="{1B5C869B-4435-4327-C681-184694D736C8}"/>
                </a:ext>
              </a:extLst>
            </xdr:cNvPr>
            <xdr:cNvSpPr/>
          </xdr:nvSpPr>
          <xdr:spPr>
            <a:xfrm>
              <a:off x="11895388" y="66824"/>
              <a:ext cx="23576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[0]!workbook_open" textlink="">
          <xdr:nvSpPr>
            <xdr:cNvPr id="9" name="Seta: para Baixo 8">
              <a:extLst>
                <a:ext uri="{FF2B5EF4-FFF2-40B4-BE49-F238E27FC236}">
                  <a16:creationId xmlns:a16="http://schemas.microsoft.com/office/drawing/2014/main" id="{24508CEC-118F-2332-9FF1-A1239E7BFAA7}"/>
                </a:ext>
              </a:extLst>
            </xdr:cNvPr>
            <xdr:cNvSpPr/>
          </xdr:nvSpPr>
          <xdr:spPr>
            <a:xfrm rot="10800000">
              <a:off x="11674297" y="38184"/>
              <a:ext cx="23958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A27E9FDA-2464-46D4-9782-3A239823AD21}"/>
                </a:ext>
              </a:extLst>
            </xdr:cNvPr>
            <xdr:cNvSpPr/>
          </xdr:nvSpPr>
          <xdr:spPr>
            <a:xfrm>
              <a:off x="772544" y="0"/>
              <a:ext cx="933017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CADASTROS</a:t>
              </a:r>
            </a:p>
          </xdr:txBody>
        </xdr:sp>
        <xdr:sp macro="" textlink="">
          <xdr:nvSpPr>
            <xdr:cNvPr id="11" name="Retângulo 1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31C517F9-2E0F-0C0A-70FF-BCA0AADEFC4C}"/>
                </a:ext>
              </a:extLst>
            </xdr:cNvPr>
            <xdr:cNvSpPr/>
          </xdr:nvSpPr>
          <xdr:spPr>
            <a:xfrm>
              <a:off x="1713565" y="0"/>
              <a:ext cx="1148329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LANÇAMENTOS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4CD1FAD-11EF-0BF4-D549-7A1CB7FF9F9E}"/>
                </a:ext>
              </a:extLst>
            </xdr:cNvPr>
            <xdr:cNvSpPr/>
          </xdr:nvSpPr>
          <xdr:spPr>
            <a:xfrm>
              <a:off x="2874719" y="0"/>
              <a:ext cx="972072" cy="313897"/>
            </a:xfrm>
            <a:prstGeom prst="rect">
              <a:avLst/>
            </a:prstGeom>
            <a:solidFill>
              <a:srgbClr val="EBEBEB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RELATÓRIOSS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33957D89-F7DA-F742-33D9-7209003D0C0C}"/>
                </a:ext>
              </a:extLst>
            </xdr:cNvPr>
            <xdr:cNvSpPr/>
          </xdr:nvSpPr>
          <xdr:spPr>
            <a:xfrm>
              <a:off x="3849282" y="0"/>
              <a:ext cx="968903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DASHBOARD</a:t>
              </a:r>
            </a:p>
          </xdr:txBody>
        </xdr:sp>
        <xdr:grpSp>
          <xdr:nvGrpSpPr>
            <xdr:cNvPr id="14" name="Gráfico 2" descr="Impressora">
              <a:extLst>
                <a:ext uri="{FF2B5EF4-FFF2-40B4-BE49-F238E27FC236}">
                  <a16:creationId xmlns:a16="http://schemas.microsoft.com/office/drawing/2014/main" id="{BE3BE70D-1F40-C0BB-264C-09C372906E01}"/>
                </a:ext>
              </a:extLst>
            </xdr:cNvPr>
            <xdr:cNvGrpSpPr/>
          </xdr:nvGrpSpPr>
          <xdr:grpSpPr>
            <a:xfrm>
              <a:off x="12183371" y="0"/>
              <a:ext cx="280353" cy="289536"/>
              <a:chOff x="0" y="0"/>
              <a:chExt cx="914400" cy="914400"/>
            </a:xfrm>
            <a:solidFill>
              <a:schemeClr val="bg1"/>
            </a:solidFill>
          </xdr:grpSpPr>
          <xdr:sp macro="[0]!Imprimir" textlink="">
            <xdr:nvSpPr>
              <xdr:cNvPr id="28" name="Forma Livre: Forma 27">
                <a:extLst>
                  <a:ext uri="{FF2B5EF4-FFF2-40B4-BE49-F238E27FC236}">
                    <a16:creationId xmlns:a16="http://schemas.microsoft.com/office/drawing/2014/main" id="{6A62BC54-A8D5-0AB2-4761-FD3E63B46008}"/>
                  </a:ext>
                </a:extLst>
              </xdr:cNvPr>
              <xdr:cNvSpPr/>
            </xdr:nvSpPr>
            <xdr:spPr>
              <a:xfrm>
                <a:off x="228600" y="538163"/>
                <a:ext cx="447675" cy="304800"/>
              </a:xfrm>
              <a:custGeom>
                <a:avLst/>
                <a:gdLst>
                  <a:gd name="connsiteX0" fmla="*/ 400050 w 447675"/>
                  <a:gd name="connsiteY0" fmla="*/ 57150 h 304800"/>
                  <a:gd name="connsiteX1" fmla="*/ 399098 w 447675"/>
                  <a:gd name="connsiteY1" fmla="*/ 247650 h 304800"/>
                  <a:gd name="connsiteX2" fmla="*/ 59055 w 447675"/>
                  <a:gd name="connsiteY2" fmla="*/ 247650 h 304800"/>
                  <a:gd name="connsiteX3" fmla="*/ 57150 w 447675"/>
                  <a:gd name="connsiteY3" fmla="*/ 57150 h 304800"/>
                  <a:gd name="connsiteX4" fmla="*/ 400050 w 447675"/>
                  <a:gd name="connsiteY4" fmla="*/ 57150 h 304800"/>
                  <a:gd name="connsiteX5" fmla="*/ 1905 w 447675"/>
                  <a:gd name="connsiteY5" fmla="*/ 304800 h 304800"/>
                  <a:gd name="connsiteX6" fmla="*/ 455295 w 447675"/>
                  <a:gd name="connsiteY6" fmla="*/ 304800 h 304800"/>
                  <a:gd name="connsiteX7" fmla="*/ 456248 w 447675"/>
                  <a:gd name="connsiteY7" fmla="*/ 0 h 304800"/>
                  <a:gd name="connsiteX8" fmla="*/ 0 w 447675"/>
                  <a:gd name="connsiteY8" fmla="*/ 0 h 304800"/>
                  <a:gd name="connsiteX9" fmla="*/ 1905 w 447675"/>
                  <a:gd name="connsiteY9" fmla="*/ 304800 h 3048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447675" h="304800">
                    <a:moveTo>
                      <a:pt x="400050" y="57150"/>
                    </a:moveTo>
                    <a:lnTo>
                      <a:pt x="399098" y="247650"/>
                    </a:lnTo>
                    <a:lnTo>
                      <a:pt x="59055" y="247650"/>
                    </a:lnTo>
                    <a:lnTo>
                      <a:pt x="57150" y="57150"/>
                    </a:lnTo>
                    <a:lnTo>
                      <a:pt x="400050" y="57150"/>
                    </a:lnTo>
                    <a:close/>
                    <a:moveTo>
                      <a:pt x="1905" y="304800"/>
                    </a:moveTo>
                    <a:lnTo>
                      <a:pt x="455295" y="304800"/>
                    </a:lnTo>
                    <a:lnTo>
                      <a:pt x="456248" y="0"/>
                    </a:lnTo>
                    <a:lnTo>
                      <a:pt x="0" y="0"/>
                    </a:lnTo>
                    <a:lnTo>
                      <a:pt x="1905" y="3048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29" name="Forma Livre: Forma 28">
                <a:extLst>
                  <a:ext uri="{FF2B5EF4-FFF2-40B4-BE49-F238E27FC236}">
                    <a16:creationId xmlns:a16="http://schemas.microsoft.com/office/drawing/2014/main" id="{21F9BDFD-D5D0-EB32-871A-96FC6CB20749}"/>
                  </a:ext>
                </a:extLst>
              </xdr:cNvPr>
              <xdr:cNvSpPr/>
            </xdr:nvSpPr>
            <xdr:spPr>
              <a:xfrm>
                <a:off x="361950" y="6334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30" name="Forma Livre: Forma 29">
                <a:extLst>
                  <a:ext uri="{FF2B5EF4-FFF2-40B4-BE49-F238E27FC236}">
                    <a16:creationId xmlns:a16="http://schemas.microsoft.com/office/drawing/2014/main" id="{85D12AE2-FF6B-23DD-F7B9-BCC610169DED}"/>
                  </a:ext>
                </a:extLst>
              </xdr:cNvPr>
              <xdr:cNvSpPr/>
            </xdr:nvSpPr>
            <xdr:spPr>
              <a:xfrm>
                <a:off x="361950" y="7096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57" name="Forma Livre: Forma 56">
                <a:extLst>
                  <a:ext uri="{FF2B5EF4-FFF2-40B4-BE49-F238E27FC236}">
                    <a16:creationId xmlns:a16="http://schemas.microsoft.com/office/drawing/2014/main" id="{DA91CD13-7EDB-7F6D-2B1E-9652677227B5}"/>
                  </a:ext>
                </a:extLst>
              </xdr:cNvPr>
              <xdr:cNvSpPr/>
            </xdr:nvSpPr>
            <xdr:spPr>
              <a:xfrm>
                <a:off x="38100" y="76200"/>
                <a:ext cx="838200" cy="647700"/>
              </a:xfrm>
              <a:custGeom>
                <a:avLst/>
                <a:gdLst>
                  <a:gd name="connsiteX0" fmla="*/ 590550 w 838200"/>
                  <a:gd name="connsiteY0" fmla="*/ 276225 h 647700"/>
                  <a:gd name="connsiteX1" fmla="*/ 247650 w 838200"/>
                  <a:gd name="connsiteY1" fmla="*/ 276225 h 647700"/>
                  <a:gd name="connsiteX2" fmla="*/ 247650 w 838200"/>
                  <a:gd name="connsiteY2" fmla="*/ 57150 h 647700"/>
                  <a:gd name="connsiteX3" fmla="*/ 457200 w 838200"/>
                  <a:gd name="connsiteY3" fmla="*/ 57150 h 647700"/>
                  <a:gd name="connsiteX4" fmla="*/ 457200 w 838200"/>
                  <a:gd name="connsiteY4" fmla="*/ 190500 h 647700"/>
                  <a:gd name="connsiteX5" fmla="*/ 590550 w 838200"/>
                  <a:gd name="connsiteY5" fmla="*/ 190500 h 647700"/>
                  <a:gd name="connsiteX6" fmla="*/ 590550 w 838200"/>
                  <a:gd name="connsiteY6" fmla="*/ 276225 h 647700"/>
                  <a:gd name="connsiteX7" fmla="*/ 514350 w 838200"/>
                  <a:gd name="connsiteY7" fmla="*/ 60960 h 647700"/>
                  <a:gd name="connsiteX8" fmla="*/ 580073 w 838200"/>
                  <a:gd name="connsiteY8" fmla="*/ 133350 h 647700"/>
                  <a:gd name="connsiteX9" fmla="*/ 514350 w 838200"/>
                  <a:gd name="connsiteY9" fmla="*/ 133350 h 647700"/>
                  <a:gd name="connsiteX10" fmla="*/ 514350 w 838200"/>
                  <a:gd name="connsiteY10" fmla="*/ 60960 h 647700"/>
                  <a:gd name="connsiteX11" fmla="*/ 95250 w 838200"/>
                  <a:gd name="connsiteY11" fmla="*/ 323850 h 647700"/>
                  <a:gd name="connsiteX12" fmla="*/ 57150 w 838200"/>
                  <a:gd name="connsiteY12" fmla="*/ 285750 h 647700"/>
                  <a:gd name="connsiteX13" fmla="*/ 95250 w 838200"/>
                  <a:gd name="connsiteY13" fmla="*/ 247650 h 647700"/>
                  <a:gd name="connsiteX14" fmla="*/ 133350 w 838200"/>
                  <a:gd name="connsiteY14" fmla="*/ 285750 h 647700"/>
                  <a:gd name="connsiteX15" fmla="*/ 95250 w 838200"/>
                  <a:gd name="connsiteY15" fmla="*/ 323850 h 647700"/>
                  <a:gd name="connsiteX16" fmla="*/ 800100 w 838200"/>
                  <a:gd name="connsiteY16" fmla="*/ 190500 h 647700"/>
                  <a:gd name="connsiteX17" fmla="*/ 647700 w 838200"/>
                  <a:gd name="connsiteY17" fmla="*/ 190500 h 647700"/>
                  <a:gd name="connsiteX18" fmla="*/ 647700 w 838200"/>
                  <a:gd name="connsiteY18" fmla="*/ 121920 h 647700"/>
                  <a:gd name="connsiteX19" fmla="*/ 536258 w 838200"/>
                  <a:gd name="connsiteY19" fmla="*/ 0 h 647700"/>
                  <a:gd name="connsiteX20" fmla="*/ 190500 w 838200"/>
                  <a:gd name="connsiteY20" fmla="*/ 0 h 647700"/>
                  <a:gd name="connsiteX21" fmla="*/ 190500 w 838200"/>
                  <a:gd name="connsiteY21" fmla="*/ 190500 h 647700"/>
                  <a:gd name="connsiteX22" fmla="*/ 38100 w 838200"/>
                  <a:gd name="connsiteY22" fmla="*/ 190500 h 647700"/>
                  <a:gd name="connsiteX23" fmla="*/ 0 w 838200"/>
                  <a:gd name="connsiteY23" fmla="*/ 228600 h 647700"/>
                  <a:gd name="connsiteX24" fmla="*/ 0 w 838200"/>
                  <a:gd name="connsiteY24" fmla="*/ 609600 h 647700"/>
                  <a:gd name="connsiteX25" fmla="*/ 38100 w 838200"/>
                  <a:gd name="connsiteY25" fmla="*/ 647700 h 647700"/>
                  <a:gd name="connsiteX26" fmla="*/ 152400 w 838200"/>
                  <a:gd name="connsiteY26" fmla="*/ 647700 h 647700"/>
                  <a:gd name="connsiteX27" fmla="*/ 152400 w 838200"/>
                  <a:gd name="connsiteY27" fmla="*/ 428625 h 647700"/>
                  <a:gd name="connsiteX28" fmla="*/ 685800 w 838200"/>
                  <a:gd name="connsiteY28" fmla="*/ 428625 h 647700"/>
                  <a:gd name="connsiteX29" fmla="*/ 685800 w 838200"/>
                  <a:gd name="connsiteY29" fmla="*/ 647700 h 647700"/>
                  <a:gd name="connsiteX30" fmla="*/ 800100 w 838200"/>
                  <a:gd name="connsiteY30" fmla="*/ 647700 h 647700"/>
                  <a:gd name="connsiteX31" fmla="*/ 838200 w 838200"/>
                  <a:gd name="connsiteY31" fmla="*/ 609600 h 647700"/>
                  <a:gd name="connsiteX32" fmla="*/ 838200 w 838200"/>
                  <a:gd name="connsiteY32" fmla="*/ 228600 h 647700"/>
                  <a:gd name="connsiteX33" fmla="*/ 800100 w 838200"/>
                  <a:gd name="connsiteY33" fmla="*/ 190500 h 6477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</a:cxnLst>
                <a:rect l="l" t="t" r="r" b="b"/>
                <a:pathLst>
                  <a:path w="838200" h="647700">
                    <a:moveTo>
                      <a:pt x="590550" y="276225"/>
                    </a:moveTo>
                    <a:lnTo>
                      <a:pt x="247650" y="276225"/>
                    </a:lnTo>
                    <a:lnTo>
                      <a:pt x="247650" y="57150"/>
                    </a:lnTo>
                    <a:lnTo>
                      <a:pt x="457200" y="57150"/>
                    </a:lnTo>
                    <a:lnTo>
                      <a:pt x="457200" y="190500"/>
                    </a:lnTo>
                    <a:lnTo>
                      <a:pt x="590550" y="190500"/>
                    </a:lnTo>
                    <a:lnTo>
                      <a:pt x="590550" y="276225"/>
                    </a:lnTo>
                    <a:close/>
                    <a:moveTo>
                      <a:pt x="514350" y="60960"/>
                    </a:moveTo>
                    <a:lnTo>
                      <a:pt x="580073" y="133350"/>
                    </a:lnTo>
                    <a:lnTo>
                      <a:pt x="514350" y="133350"/>
                    </a:lnTo>
                    <a:lnTo>
                      <a:pt x="514350" y="60960"/>
                    </a:lnTo>
                    <a:close/>
                    <a:moveTo>
                      <a:pt x="95250" y="323850"/>
                    </a:moveTo>
                    <a:cubicBezTo>
                      <a:pt x="74295" y="323850"/>
                      <a:pt x="57150" y="306705"/>
                      <a:pt x="57150" y="285750"/>
                    </a:cubicBezTo>
                    <a:cubicBezTo>
                      <a:pt x="57150" y="264795"/>
                      <a:pt x="74295" y="247650"/>
                      <a:pt x="95250" y="247650"/>
                    </a:cubicBezTo>
                    <a:cubicBezTo>
                      <a:pt x="116205" y="247650"/>
                      <a:pt x="133350" y="264795"/>
                      <a:pt x="133350" y="285750"/>
                    </a:cubicBezTo>
                    <a:cubicBezTo>
                      <a:pt x="133350" y="306705"/>
                      <a:pt x="116205" y="323850"/>
                      <a:pt x="95250" y="323850"/>
                    </a:cubicBezTo>
                    <a:close/>
                    <a:moveTo>
                      <a:pt x="800100" y="190500"/>
                    </a:moveTo>
                    <a:lnTo>
                      <a:pt x="647700" y="190500"/>
                    </a:lnTo>
                    <a:lnTo>
                      <a:pt x="647700" y="121920"/>
                    </a:lnTo>
                    <a:lnTo>
                      <a:pt x="536258" y="0"/>
                    </a:lnTo>
                    <a:lnTo>
                      <a:pt x="190500" y="0"/>
                    </a:lnTo>
                    <a:lnTo>
                      <a:pt x="190500" y="190500"/>
                    </a:lnTo>
                    <a:lnTo>
                      <a:pt x="38100" y="190500"/>
                    </a:lnTo>
                    <a:cubicBezTo>
                      <a:pt x="17145" y="190500"/>
                      <a:pt x="0" y="207645"/>
                      <a:pt x="0" y="228600"/>
                    </a:cubicBezTo>
                    <a:lnTo>
                      <a:pt x="0" y="609600"/>
                    </a:lnTo>
                    <a:cubicBezTo>
                      <a:pt x="0" y="630555"/>
                      <a:pt x="17145" y="647700"/>
                      <a:pt x="38100" y="647700"/>
                    </a:cubicBezTo>
                    <a:lnTo>
                      <a:pt x="152400" y="647700"/>
                    </a:lnTo>
                    <a:lnTo>
                      <a:pt x="152400" y="428625"/>
                    </a:lnTo>
                    <a:lnTo>
                      <a:pt x="685800" y="428625"/>
                    </a:lnTo>
                    <a:lnTo>
                      <a:pt x="685800" y="647700"/>
                    </a:lnTo>
                    <a:lnTo>
                      <a:pt x="800100" y="647700"/>
                    </a:lnTo>
                    <a:cubicBezTo>
                      <a:pt x="821055" y="647700"/>
                      <a:pt x="838200" y="630555"/>
                      <a:pt x="838200" y="609600"/>
                    </a:cubicBezTo>
                    <a:lnTo>
                      <a:pt x="838200" y="228600"/>
                    </a:lnTo>
                    <a:cubicBezTo>
                      <a:pt x="838200" y="207645"/>
                      <a:pt x="821055" y="190500"/>
                      <a:pt x="800100" y="190500"/>
                    </a:cubicBez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</xdr:grp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15" name="Imagem 14">
                  <a:extLst>
                    <a:ext uri="{FF2B5EF4-FFF2-40B4-BE49-F238E27FC236}">
                      <a16:creationId xmlns:a16="http://schemas.microsoft.com/office/drawing/2014/main" id="{09008697-AB74-A22A-7E76-2C1EB43A2D65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MENU!$F$2" spid="_x0000_s158854"/>
                    </a:ext>
                  </a:extLst>
                </xdr:cNvPicPr>
              </xdr:nvPicPr>
              <xdr:blipFill rotWithShape="1">
                <a:blip xmlns:r="http://schemas.openxmlformats.org/officeDocument/2006/relationships" r:embed="rId6"/>
                <a:srcRect b="4887"/>
                <a:stretch>
                  <a:fillRect/>
                </a:stretch>
              </xdr:blipFill>
              <xdr:spPr>
                <a:xfrm rot="5400000">
                  <a:off x="103834" y="-103834"/>
                  <a:ext cx="574836" cy="782503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  <xdr:sp macro="" textlink="">
          <xdr:nvSpPr>
            <xdr:cNvPr id="16" name="Retâ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FD99992E-9501-82BE-D1C3-699607FE65E2}"/>
                </a:ext>
              </a:extLst>
            </xdr:cNvPr>
            <xdr:cNvSpPr/>
          </xdr:nvSpPr>
          <xdr:spPr>
            <a:xfrm>
              <a:off x="9618853" y="361950"/>
              <a:ext cx="1250894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PAGAR</a:t>
              </a:r>
            </a:p>
          </xdr:txBody>
        </xdr:sp>
        <xdr:sp macro="" textlink="">
          <xdr:nvSpPr>
            <xdr:cNvPr id="17" name="Retângulo 1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B12B1AE0-572B-88EF-DD8C-753F0227C0C5}"/>
                </a:ext>
              </a:extLst>
            </xdr:cNvPr>
            <xdr:cNvSpPr/>
          </xdr:nvSpPr>
          <xdr:spPr>
            <a:xfrm>
              <a:off x="771525" y="362132"/>
              <a:ext cx="1550561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BRUTO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18" name="Retângulo 17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F434B24C-0195-FC5B-8707-88F7EFD9FE5E}"/>
                </a:ext>
              </a:extLst>
            </xdr:cNvPr>
            <xdr:cNvSpPr/>
          </xdr:nvSpPr>
          <xdr:spPr>
            <a:xfrm>
              <a:off x="2337105" y="362132"/>
              <a:ext cx="1660138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LÍQUIDO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19" name="Retângulo 18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A74B0534-3859-D2B2-5935-70295D35A045}"/>
                </a:ext>
              </a:extLst>
            </xdr:cNvPr>
            <xdr:cNvSpPr/>
          </xdr:nvSpPr>
          <xdr:spPr>
            <a:xfrm>
              <a:off x="7084042" y="361950"/>
              <a:ext cx="1186806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FLUXO DE CAIXA</a:t>
              </a:r>
            </a:p>
          </xdr:txBody>
        </xdr:sp>
        <xdr:sp macro="" textlink="">
          <xdr:nvSpPr>
            <xdr:cNvPr id="20" name="Retângulo 19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5B944CF4-CED8-ACFC-12A1-5C50375E58E5}"/>
                </a:ext>
              </a:extLst>
            </xdr:cNvPr>
            <xdr:cNvSpPr/>
          </xdr:nvSpPr>
          <xdr:spPr>
            <a:xfrm>
              <a:off x="8273481" y="361950"/>
              <a:ext cx="1333475" cy="198039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CONTAS A RECEBER</a:t>
              </a:r>
            </a:p>
          </xdr:txBody>
        </xdr:sp>
        <xdr:sp macro="" textlink="">
          <xdr:nvSpPr>
            <xdr:cNvPr id="21" name="Retângulo 2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B77C039E-2F81-4A7A-6306-5BE0640524F5}"/>
                </a:ext>
              </a:extLst>
            </xdr:cNvPr>
            <xdr:cNvSpPr/>
          </xdr:nvSpPr>
          <xdr:spPr>
            <a:xfrm>
              <a:off x="12385551" y="361950"/>
              <a:ext cx="1224000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DRE FINANCEIRA</a:t>
              </a:r>
            </a:p>
          </xdr:txBody>
        </xdr:sp>
        <xdr:sp macro="" textlink="">
          <xdr:nvSpPr>
            <xdr:cNvPr id="23" name="Retângulo 2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82CC0CBF-F1BD-1099-4126-BFC98C8073B2}"/>
                </a:ext>
              </a:extLst>
            </xdr:cNvPr>
            <xdr:cNvSpPr/>
          </xdr:nvSpPr>
          <xdr:spPr>
            <a:xfrm>
              <a:off x="13630231" y="361950"/>
              <a:ext cx="702806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BANCOS</a:t>
              </a:r>
            </a:p>
          </xdr:txBody>
        </xdr:sp>
        <xdr:sp macro="" textlink="">
          <xdr:nvSpPr>
            <xdr:cNvPr id="25" name="Retângulo 24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51923503-7609-51AE-5248-0C9FE1008AE7}"/>
                </a:ext>
              </a:extLst>
            </xdr:cNvPr>
            <xdr:cNvSpPr/>
          </xdr:nvSpPr>
          <xdr:spPr>
            <a:xfrm>
              <a:off x="5637032" y="361950"/>
              <a:ext cx="143697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RESULTADO</a:t>
              </a:r>
              <a:r>
                <a:rPr lang="pt-BR" sz="1100" b="1" i="0" baseline="0">
                  <a:solidFill>
                    <a:srgbClr val="797979"/>
                  </a:solidFill>
                </a:rPr>
                <a:t> POR DIA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26" name="Retângulo 25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DEB26D1E-4EEE-F94A-FC7B-4CA60C9629C7}"/>
                </a:ext>
              </a:extLst>
            </xdr:cNvPr>
            <xdr:cNvSpPr/>
          </xdr:nvSpPr>
          <xdr:spPr>
            <a:xfrm>
              <a:off x="4008775" y="361950"/>
              <a:ext cx="162100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DESPESAS FINANCEIRAS</a:t>
              </a:r>
            </a:p>
          </xdr:txBody>
        </xdr:sp>
        <xdr:sp macro="" textlink="">
          <xdr:nvSpPr>
            <xdr:cNvPr id="27" name="Retângulo 26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9D206B41-8109-8F32-2304-F50CDDEA2184}"/>
                </a:ext>
              </a:extLst>
            </xdr:cNvPr>
            <xdr:cNvSpPr/>
          </xdr:nvSpPr>
          <xdr:spPr>
            <a:xfrm>
              <a:off x="10878008" y="361950"/>
              <a:ext cx="1481075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VALORES EM ABERTO</a:t>
              </a:r>
            </a:p>
          </xdr:txBody>
        </xdr:sp>
      </xdr:grp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284FD219-F2ED-99F7-A3E8-7965076E18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0" y="0"/>
            <a:ext cx="742950" cy="619125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39471</xdr:colOff>
          <xdr:row>3</xdr:row>
          <xdr:rowOff>26314</xdr:rowOff>
        </xdr:from>
        <xdr:to>
          <xdr:col>8</xdr:col>
          <xdr:colOff>532852</xdr:colOff>
          <xdr:row>4</xdr:row>
          <xdr:rowOff>151304</xdr:rowOff>
        </xdr:to>
        <xdr:sp macro="" textlink="">
          <xdr:nvSpPr>
            <xdr:cNvPr id="110599" name="Button 7" hidden="1">
              <a:extLst>
                <a:ext uri="{63B3BB69-23CF-44E3-9099-C40C66FF867C}">
                  <a14:compatExt spid="_x0000_s110599"/>
                </a:ext>
                <a:ext uri="{FF2B5EF4-FFF2-40B4-BE49-F238E27FC236}">
                  <a16:creationId xmlns:a16="http://schemas.microsoft.com/office/drawing/2014/main" id="{00000000-0008-0000-0F00-000007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PLANILHA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14</xdr:col>
      <xdr:colOff>188412</xdr:colOff>
      <xdr:row>3</xdr:row>
      <xdr:rowOff>9525</xdr:rowOff>
    </xdr:to>
    <xdr:grpSp>
      <xdr:nvGrpSpPr>
        <xdr:cNvPr id="110616" name="Agrupar 110615">
          <a:extLst>
            <a:ext uri="{FF2B5EF4-FFF2-40B4-BE49-F238E27FC236}">
              <a16:creationId xmlns:a16="http://schemas.microsoft.com/office/drawing/2014/main" id="{9A0B2302-F369-4B69-842B-CCCE1CE71831}"/>
            </a:ext>
          </a:extLst>
        </xdr:cNvPr>
        <xdr:cNvGrpSpPr/>
      </xdr:nvGrpSpPr>
      <xdr:grpSpPr>
        <a:xfrm>
          <a:off x="0" y="0"/>
          <a:ext cx="15549016" cy="614739"/>
          <a:chOff x="0" y="0"/>
          <a:chExt cx="14333037" cy="619125"/>
        </a:xfrm>
      </xdr:grpSpPr>
      <xdr:grpSp>
        <xdr:nvGrpSpPr>
          <xdr:cNvPr id="110617" name="Agrupar 110616">
            <a:extLst>
              <a:ext uri="{FF2B5EF4-FFF2-40B4-BE49-F238E27FC236}">
                <a16:creationId xmlns:a16="http://schemas.microsoft.com/office/drawing/2014/main" id="{134F871C-DE81-326F-6710-3968C9A2F8EA}"/>
              </a:ext>
            </a:extLst>
          </xdr:cNvPr>
          <xdr:cNvGrpSpPr/>
        </xdr:nvGrpSpPr>
        <xdr:grpSpPr>
          <a:xfrm>
            <a:off x="0" y="0"/>
            <a:ext cx="14333037" cy="574836"/>
            <a:chOff x="0" y="0"/>
            <a:chExt cx="14333037" cy="574836"/>
          </a:xfrm>
        </xdr:grpSpPr>
        <xdr:sp macro="[0]!Salvar" textlink="">
          <xdr:nvSpPr>
            <xdr:cNvPr id="110619" name="Retângulo Arredondado 1">
              <a:extLst>
                <a:ext uri="{FF2B5EF4-FFF2-40B4-BE49-F238E27FC236}">
                  <a16:creationId xmlns:a16="http://schemas.microsoft.com/office/drawing/2014/main" id="{5E4978E3-D8B8-6F75-E389-588DF536276B}"/>
                </a:ext>
              </a:extLst>
            </xdr:cNvPr>
            <xdr:cNvSpPr/>
          </xdr:nvSpPr>
          <xdr:spPr>
            <a:xfrm>
              <a:off x="10707213" y="66824"/>
              <a:ext cx="88387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SALVAR</a:t>
              </a:r>
            </a:p>
          </xdr:txBody>
        </xdr:sp>
        <xdr:sp macro="" textlink="">
          <xdr:nvSpPr>
            <xdr:cNvPr id="110620" name="Retângulo Arredondado 20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0A7022-D0D4-6C13-8C8C-73BA0A0320CC}"/>
                </a:ext>
              </a:extLst>
            </xdr:cNvPr>
            <xdr:cNvSpPr/>
          </xdr:nvSpPr>
          <xdr:spPr>
            <a:xfrm>
              <a:off x="9838931" y="66824"/>
              <a:ext cx="84054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MENU</a:t>
              </a:r>
            </a:p>
          </xdr:txBody>
        </xdr:sp>
        <xdr:sp macro="[0]!workbook_close" textlink="">
          <xdr:nvSpPr>
            <xdr:cNvPr id="110621" name="Seta: para Baixo 28">
              <a:extLst>
                <a:ext uri="{FF2B5EF4-FFF2-40B4-BE49-F238E27FC236}">
                  <a16:creationId xmlns:a16="http://schemas.microsoft.com/office/drawing/2014/main" id="{34E948D5-767A-ABA5-A3A7-BD4C886FDE33}"/>
                </a:ext>
              </a:extLst>
            </xdr:cNvPr>
            <xdr:cNvSpPr/>
          </xdr:nvSpPr>
          <xdr:spPr>
            <a:xfrm>
              <a:off x="11895388" y="66824"/>
              <a:ext cx="23576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[0]!workbook_open" textlink="">
          <xdr:nvSpPr>
            <xdr:cNvPr id="110622" name="Seta: para Baixo 110621">
              <a:extLst>
                <a:ext uri="{FF2B5EF4-FFF2-40B4-BE49-F238E27FC236}">
                  <a16:creationId xmlns:a16="http://schemas.microsoft.com/office/drawing/2014/main" id="{CA70E62E-8E34-F303-A2CC-48984A212336}"/>
                </a:ext>
              </a:extLst>
            </xdr:cNvPr>
            <xdr:cNvSpPr/>
          </xdr:nvSpPr>
          <xdr:spPr>
            <a:xfrm rot="10800000">
              <a:off x="11674297" y="38184"/>
              <a:ext cx="23958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623" name="Retângulo 110622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7A5F7A40-F98F-F54A-5CC9-99F576515EAF}"/>
                </a:ext>
              </a:extLst>
            </xdr:cNvPr>
            <xdr:cNvSpPr/>
          </xdr:nvSpPr>
          <xdr:spPr>
            <a:xfrm>
              <a:off x="772544" y="0"/>
              <a:ext cx="933017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CADASTROS</a:t>
              </a:r>
            </a:p>
          </xdr:txBody>
        </xdr:sp>
        <xdr:sp macro="" textlink="">
          <xdr:nvSpPr>
            <xdr:cNvPr id="110624" name="Retângulo 110623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FC93F589-E2E1-13B0-3E2B-B3B3950390DE}"/>
                </a:ext>
              </a:extLst>
            </xdr:cNvPr>
            <xdr:cNvSpPr/>
          </xdr:nvSpPr>
          <xdr:spPr>
            <a:xfrm>
              <a:off x="1713565" y="0"/>
              <a:ext cx="1148329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LANÇAMENTOS</a:t>
              </a:r>
            </a:p>
          </xdr:txBody>
        </xdr:sp>
        <xdr:sp macro="" textlink="">
          <xdr:nvSpPr>
            <xdr:cNvPr id="110625" name="Retângulo 110624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4E00E0B7-9145-CF4C-8904-4F70280468CC}"/>
                </a:ext>
              </a:extLst>
            </xdr:cNvPr>
            <xdr:cNvSpPr/>
          </xdr:nvSpPr>
          <xdr:spPr>
            <a:xfrm>
              <a:off x="2874719" y="0"/>
              <a:ext cx="972072" cy="313897"/>
            </a:xfrm>
            <a:prstGeom prst="rect">
              <a:avLst/>
            </a:prstGeom>
            <a:solidFill>
              <a:srgbClr val="EBEBEB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RELATÓRIOSS</a:t>
              </a:r>
            </a:p>
          </xdr:txBody>
        </xdr:sp>
        <xdr:sp macro="" textlink="">
          <xdr:nvSpPr>
            <xdr:cNvPr id="110626" name="Retângulo 11062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101D0008-FA99-D893-30CC-323931D2F895}"/>
                </a:ext>
              </a:extLst>
            </xdr:cNvPr>
            <xdr:cNvSpPr/>
          </xdr:nvSpPr>
          <xdr:spPr>
            <a:xfrm>
              <a:off x="3849282" y="0"/>
              <a:ext cx="968903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DASHBOARD</a:t>
              </a:r>
            </a:p>
          </xdr:txBody>
        </xdr:sp>
        <xdr:grpSp>
          <xdr:nvGrpSpPr>
            <xdr:cNvPr id="110627" name="Gráfico 2" descr="Impressora">
              <a:extLst>
                <a:ext uri="{FF2B5EF4-FFF2-40B4-BE49-F238E27FC236}">
                  <a16:creationId xmlns:a16="http://schemas.microsoft.com/office/drawing/2014/main" id="{B8240B22-0210-F665-40C8-3E10D663DAB2}"/>
                </a:ext>
              </a:extLst>
            </xdr:cNvPr>
            <xdr:cNvGrpSpPr/>
          </xdr:nvGrpSpPr>
          <xdr:grpSpPr>
            <a:xfrm>
              <a:off x="12183371" y="0"/>
              <a:ext cx="280353" cy="289536"/>
              <a:chOff x="0" y="0"/>
              <a:chExt cx="914400" cy="914400"/>
            </a:xfrm>
            <a:solidFill>
              <a:schemeClr val="bg1"/>
            </a:solidFill>
          </xdr:grpSpPr>
          <xdr:sp macro="[0]!Imprimir" textlink="">
            <xdr:nvSpPr>
              <xdr:cNvPr id="110640" name="Forma Livre: Forma 110639">
                <a:extLst>
                  <a:ext uri="{FF2B5EF4-FFF2-40B4-BE49-F238E27FC236}">
                    <a16:creationId xmlns:a16="http://schemas.microsoft.com/office/drawing/2014/main" id="{C7588B23-8631-691C-A27D-EA7D05D69B39}"/>
                  </a:ext>
                </a:extLst>
              </xdr:cNvPr>
              <xdr:cNvSpPr/>
            </xdr:nvSpPr>
            <xdr:spPr>
              <a:xfrm>
                <a:off x="228600" y="538163"/>
                <a:ext cx="447675" cy="304800"/>
              </a:xfrm>
              <a:custGeom>
                <a:avLst/>
                <a:gdLst>
                  <a:gd name="connsiteX0" fmla="*/ 400050 w 447675"/>
                  <a:gd name="connsiteY0" fmla="*/ 57150 h 304800"/>
                  <a:gd name="connsiteX1" fmla="*/ 399098 w 447675"/>
                  <a:gd name="connsiteY1" fmla="*/ 247650 h 304800"/>
                  <a:gd name="connsiteX2" fmla="*/ 59055 w 447675"/>
                  <a:gd name="connsiteY2" fmla="*/ 247650 h 304800"/>
                  <a:gd name="connsiteX3" fmla="*/ 57150 w 447675"/>
                  <a:gd name="connsiteY3" fmla="*/ 57150 h 304800"/>
                  <a:gd name="connsiteX4" fmla="*/ 400050 w 447675"/>
                  <a:gd name="connsiteY4" fmla="*/ 57150 h 304800"/>
                  <a:gd name="connsiteX5" fmla="*/ 1905 w 447675"/>
                  <a:gd name="connsiteY5" fmla="*/ 304800 h 304800"/>
                  <a:gd name="connsiteX6" fmla="*/ 455295 w 447675"/>
                  <a:gd name="connsiteY6" fmla="*/ 304800 h 304800"/>
                  <a:gd name="connsiteX7" fmla="*/ 456248 w 447675"/>
                  <a:gd name="connsiteY7" fmla="*/ 0 h 304800"/>
                  <a:gd name="connsiteX8" fmla="*/ 0 w 447675"/>
                  <a:gd name="connsiteY8" fmla="*/ 0 h 304800"/>
                  <a:gd name="connsiteX9" fmla="*/ 1905 w 447675"/>
                  <a:gd name="connsiteY9" fmla="*/ 304800 h 3048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447675" h="304800">
                    <a:moveTo>
                      <a:pt x="400050" y="57150"/>
                    </a:moveTo>
                    <a:lnTo>
                      <a:pt x="399098" y="247650"/>
                    </a:lnTo>
                    <a:lnTo>
                      <a:pt x="59055" y="247650"/>
                    </a:lnTo>
                    <a:lnTo>
                      <a:pt x="57150" y="57150"/>
                    </a:lnTo>
                    <a:lnTo>
                      <a:pt x="400050" y="57150"/>
                    </a:lnTo>
                    <a:close/>
                    <a:moveTo>
                      <a:pt x="1905" y="304800"/>
                    </a:moveTo>
                    <a:lnTo>
                      <a:pt x="455295" y="304800"/>
                    </a:lnTo>
                    <a:lnTo>
                      <a:pt x="456248" y="0"/>
                    </a:lnTo>
                    <a:lnTo>
                      <a:pt x="0" y="0"/>
                    </a:lnTo>
                    <a:lnTo>
                      <a:pt x="1905" y="3048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110641" name="Forma Livre: Forma 110640">
                <a:extLst>
                  <a:ext uri="{FF2B5EF4-FFF2-40B4-BE49-F238E27FC236}">
                    <a16:creationId xmlns:a16="http://schemas.microsoft.com/office/drawing/2014/main" id="{5F8B9675-6B86-6A54-B647-4E504109A2EB}"/>
                  </a:ext>
                </a:extLst>
              </xdr:cNvPr>
              <xdr:cNvSpPr/>
            </xdr:nvSpPr>
            <xdr:spPr>
              <a:xfrm>
                <a:off x="361950" y="6334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110642" name="Forma Livre: Forma 110641">
                <a:extLst>
                  <a:ext uri="{FF2B5EF4-FFF2-40B4-BE49-F238E27FC236}">
                    <a16:creationId xmlns:a16="http://schemas.microsoft.com/office/drawing/2014/main" id="{A5B7F0B9-92D5-261A-9046-E538C95892D0}"/>
                  </a:ext>
                </a:extLst>
              </xdr:cNvPr>
              <xdr:cNvSpPr/>
            </xdr:nvSpPr>
            <xdr:spPr>
              <a:xfrm>
                <a:off x="361950" y="7096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110643" name="Forma Livre: Forma 110642">
                <a:extLst>
                  <a:ext uri="{FF2B5EF4-FFF2-40B4-BE49-F238E27FC236}">
                    <a16:creationId xmlns:a16="http://schemas.microsoft.com/office/drawing/2014/main" id="{4AE5A314-CBD9-95D2-3377-797D0DB5DAEF}"/>
                  </a:ext>
                </a:extLst>
              </xdr:cNvPr>
              <xdr:cNvSpPr/>
            </xdr:nvSpPr>
            <xdr:spPr>
              <a:xfrm>
                <a:off x="38100" y="76200"/>
                <a:ext cx="838200" cy="647700"/>
              </a:xfrm>
              <a:custGeom>
                <a:avLst/>
                <a:gdLst>
                  <a:gd name="connsiteX0" fmla="*/ 590550 w 838200"/>
                  <a:gd name="connsiteY0" fmla="*/ 276225 h 647700"/>
                  <a:gd name="connsiteX1" fmla="*/ 247650 w 838200"/>
                  <a:gd name="connsiteY1" fmla="*/ 276225 h 647700"/>
                  <a:gd name="connsiteX2" fmla="*/ 247650 w 838200"/>
                  <a:gd name="connsiteY2" fmla="*/ 57150 h 647700"/>
                  <a:gd name="connsiteX3" fmla="*/ 457200 w 838200"/>
                  <a:gd name="connsiteY3" fmla="*/ 57150 h 647700"/>
                  <a:gd name="connsiteX4" fmla="*/ 457200 w 838200"/>
                  <a:gd name="connsiteY4" fmla="*/ 190500 h 647700"/>
                  <a:gd name="connsiteX5" fmla="*/ 590550 w 838200"/>
                  <a:gd name="connsiteY5" fmla="*/ 190500 h 647700"/>
                  <a:gd name="connsiteX6" fmla="*/ 590550 w 838200"/>
                  <a:gd name="connsiteY6" fmla="*/ 276225 h 647700"/>
                  <a:gd name="connsiteX7" fmla="*/ 514350 w 838200"/>
                  <a:gd name="connsiteY7" fmla="*/ 60960 h 647700"/>
                  <a:gd name="connsiteX8" fmla="*/ 580073 w 838200"/>
                  <a:gd name="connsiteY8" fmla="*/ 133350 h 647700"/>
                  <a:gd name="connsiteX9" fmla="*/ 514350 w 838200"/>
                  <a:gd name="connsiteY9" fmla="*/ 133350 h 647700"/>
                  <a:gd name="connsiteX10" fmla="*/ 514350 w 838200"/>
                  <a:gd name="connsiteY10" fmla="*/ 60960 h 647700"/>
                  <a:gd name="connsiteX11" fmla="*/ 95250 w 838200"/>
                  <a:gd name="connsiteY11" fmla="*/ 323850 h 647700"/>
                  <a:gd name="connsiteX12" fmla="*/ 57150 w 838200"/>
                  <a:gd name="connsiteY12" fmla="*/ 285750 h 647700"/>
                  <a:gd name="connsiteX13" fmla="*/ 95250 w 838200"/>
                  <a:gd name="connsiteY13" fmla="*/ 247650 h 647700"/>
                  <a:gd name="connsiteX14" fmla="*/ 133350 w 838200"/>
                  <a:gd name="connsiteY14" fmla="*/ 285750 h 647700"/>
                  <a:gd name="connsiteX15" fmla="*/ 95250 w 838200"/>
                  <a:gd name="connsiteY15" fmla="*/ 323850 h 647700"/>
                  <a:gd name="connsiteX16" fmla="*/ 800100 w 838200"/>
                  <a:gd name="connsiteY16" fmla="*/ 190500 h 647700"/>
                  <a:gd name="connsiteX17" fmla="*/ 647700 w 838200"/>
                  <a:gd name="connsiteY17" fmla="*/ 190500 h 647700"/>
                  <a:gd name="connsiteX18" fmla="*/ 647700 w 838200"/>
                  <a:gd name="connsiteY18" fmla="*/ 121920 h 647700"/>
                  <a:gd name="connsiteX19" fmla="*/ 536258 w 838200"/>
                  <a:gd name="connsiteY19" fmla="*/ 0 h 647700"/>
                  <a:gd name="connsiteX20" fmla="*/ 190500 w 838200"/>
                  <a:gd name="connsiteY20" fmla="*/ 0 h 647700"/>
                  <a:gd name="connsiteX21" fmla="*/ 190500 w 838200"/>
                  <a:gd name="connsiteY21" fmla="*/ 190500 h 647700"/>
                  <a:gd name="connsiteX22" fmla="*/ 38100 w 838200"/>
                  <a:gd name="connsiteY22" fmla="*/ 190500 h 647700"/>
                  <a:gd name="connsiteX23" fmla="*/ 0 w 838200"/>
                  <a:gd name="connsiteY23" fmla="*/ 228600 h 647700"/>
                  <a:gd name="connsiteX24" fmla="*/ 0 w 838200"/>
                  <a:gd name="connsiteY24" fmla="*/ 609600 h 647700"/>
                  <a:gd name="connsiteX25" fmla="*/ 38100 w 838200"/>
                  <a:gd name="connsiteY25" fmla="*/ 647700 h 647700"/>
                  <a:gd name="connsiteX26" fmla="*/ 152400 w 838200"/>
                  <a:gd name="connsiteY26" fmla="*/ 647700 h 647700"/>
                  <a:gd name="connsiteX27" fmla="*/ 152400 w 838200"/>
                  <a:gd name="connsiteY27" fmla="*/ 428625 h 647700"/>
                  <a:gd name="connsiteX28" fmla="*/ 685800 w 838200"/>
                  <a:gd name="connsiteY28" fmla="*/ 428625 h 647700"/>
                  <a:gd name="connsiteX29" fmla="*/ 685800 w 838200"/>
                  <a:gd name="connsiteY29" fmla="*/ 647700 h 647700"/>
                  <a:gd name="connsiteX30" fmla="*/ 800100 w 838200"/>
                  <a:gd name="connsiteY30" fmla="*/ 647700 h 647700"/>
                  <a:gd name="connsiteX31" fmla="*/ 838200 w 838200"/>
                  <a:gd name="connsiteY31" fmla="*/ 609600 h 647700"/>
                  <a:gd name="connsiteX32" fmla="*/ 838200 w 838200"/>
                  <a:gd name="connsiteY32" fmla="*/ 228600 h 647700"/>
                  <a:gd name="connsiteX33" fmla="*/ 800100 w 838200"/>
                  <a:gd name="connsiteY33" fmla="*/ 190500 h 6477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</a:cxnLst>
                <a:rect l="l" t="t" r="r" b="b"/>
                <a:pathLst>
                  <a:path w="838200" h="647700">
                    <a:moveTo>
                      <a:pt x="590550" y="276225"/>
                    </a:moveTo>
                    <a:lnTo>
                      <a:pt x="247650" y="276225"/>
                    </a:lnTo>
                    <a:lnTo>
                      <a:pt x="247650" y="57150"/>
                    </a:lnTo>
                    <a:lnTo>
                      <a:pt x="457200" y="57150"/>
                    </a:lnTo>
                    <a:lnTo>
                      <a:pt x="457200" y="190500"/>
                    </a:lnTo>
                    <a:lnTo>
                      <a:pt x="590550" y="190500"/>
                    </a:lnTo>
                    <a:lnTo>
                      <a:pt x="590550" y="276225"/>
                    </a:lnTo>
                    <a:close/>
                    <a:moveTo>
                      <a:pt x="514350" y="60960"/>
                    </a:moveTo>
                    <a:lnTo>
                      <a:pt x="580073" y="133350"/>
                    </a:lnTo>
                    <a:lnTo>
                      <a:pt x="514350" y="133350"/>
                    </a:lnTo>
                    <a:lnTo>
                      <a:pt x="514350" y="60960"/>
                    </a:lnTo>
                    <a:close/>
                    <a:moveTo>
                      <a:pt x="95250" y="323850"/>
                    </a:moveTo>
                    <a:cubicBezTo>
                      <a:pt x="74295" y="323850"/>
                      <a:pt x="57150" y="306705"/>
                      <a:pt x="57150" y="285750"/>
                    </a:cubicBezTo>
                    <a:cubicBezTo>
                      <a:pt x="57150" y="264795"/>
                      <a:pt x="74295" y="247650"/>
                      <a:pt x="95250" y="247650"/>
                    </a:cubicBezTo>
                    <a:cubicBezTo>
                      <a:pt x="116205" y="247650"/>
                      <a:pt x="133350" y="264795"/>
                      <a:pt x="133350" y="285750"/>
                    </a:cubicBezTo>
                    <a:cubicBezTo>
                      <a:pt x="133350" y="306705"/>
                      <a:pt x="116205" y="323850"/>
                      <a:pt x="95250" y="323850"/>
                    </a:cubicBezTo>
                    <a:close/>
                    <a:moveTo>
                      <a:pt x="800100" y="190500"/>
                    </a:moveTo>
                    <a:lnTo>
                      <a:pt x="647700" y="190500"/>
                    </a:lnTo>
                    <a:lnTo>
                      <a:pt x="647700" y="121920"/>
                    </a:lnTo>
                    <a:lnTo>
                      <a:pt x="536258" y="0"/>
                    </a:lnTo>
                    <a:lnTo>
                      <a:pt x="190500" y="0"/>
                    </a:lnTo>
                    <a:lnTo>
                      <a:pt x="190500" y="190500"/>
                    </a:lnTo>
                    <a:lnTo>
                      <a:pt x="38100" y="190500"/>
                    </a:lnTo>
                    <a:cubicBezTo>
                      <a:pt x="17145" y="190500"/>
                      <a:pt x="0" y="207645"/>
                      <a:pt x="0" y="228600"/>
                    </a:cubicBezTo>
                    <a:lnTo>
                      <a:pt x="0" y="609600"/>
                    </a:lnTo>
                    <a:cubicBezTo>
                      <a:pt x="0" y="630555"/>
                      <a:pt x="17145" y="647700"/>
                      <a:pt x="38100" y="647700"/>
                    </a:cubicBezTo>
                    <a:lnTo>
                      <a:pt x="152400" y="647700"/>
                    </a:lnTo>
                    <a:lnTo>
                      <a:pt x="152400" y="428625"/>
                    </a:lnTo>
                    <a:lnTo>
                      <a:pt x="685800" y="428625"/>
                    </a:lnTo>
                    <a:lnTo>
                      <a:pt x="685800" y="647700"/>
                    </a:lnTo>
                    <a:lnTo>
                      <a:pt x="800100" y="647700"/>
                    </a:lnTo>
                    <a:cubicBezTo>
                      <a:pt x="821055" y="647700"/>
                      <a:pt x="838200" y="630555"/>
                      <a:pt x="838200" y="609600"/>
                    </a:cubicBezTo>
                    <a:lnTo>
                      <a:pt x="838200" y="228600"/>
                    </a:lnTo>
                    <a:cubicBezTo>
                      <a:pt x="838200" y="207645"/>
                      <a:pt x="821055" y="190500"/>
                      <a:pt x="800100" y="190500"/>
                    </a:cubicBez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</xdr:grp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110628" name="Imagem 110627">
                  <a:extLst>
                    <a:ext uri="{FF2B5EF4-FFF2-40B4-BE49-F238E27FC236}">
                      <a16:creationId xmlns:a16="http://schemas.microsoft.com/office/drawing/2014/main" id="{E7CF9DC3-F40E-4107-FD2B-730ABEEC9EF9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MENU!$F$2" spid="_x0000_s110727"/>
                    </a:ext>
                  </a:extLst>
                </xdr:cNvPicPr>
              </xdr:nvPicPr>
              <xdr:blipFill rotWithShape="1">
                <a:blip xmlns:r="http://schemas.openxmlformats.org/officeDocument/2006/relationships" r:embed="rId6"/>
                <a:srcRect b="4887"/>
                <a:stretch>
                  <a:fillRect/>
                </a:stretch>
              </xdr:blipFill>
              <xdr:spPr>
                <a:xfrm rot="5400000">
                  <a:off x="103834" y="-103834"/>
                  <a:ext cx="574836" cy="782503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  <xdr:sp macro="" textlink="">
          <xdr:nvSpPr>
            <xdr:cNvPr id="110629" name="Retângulo 110628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2BF3FCD4-4CEE-C51D-2CD6-75BAE16558F5}"/>
                </a:ext>
              </a:extLst>
            </xdr:cNvPr>
            <xdr:cNvSpPr/>
          </xdr:nvSpPr>
          <xdr:spPr>
            <a:xfrm>
              <a:off x="9618853" y="361950"/>
              <a:ext cx="1250894" cy="19542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CONTAS A PAGAR</a:t>
              </a:r>
            </a:p>
          </xdr:txBody>
        </xdr:sp>
        <xdr:sp macro="" textlink="">
          <xdr:nvSpPr>
            <xdr:cNvPr id="110630" name="Retângulo 11062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008082E-5753-AE49-D371-56063092CF66}"/>
                </a:ext>
              </a:extLst>
            </xdr:cNvPr>
            <xdr:cNvSpPr/>
          </xdr:nvSpPr>
          <xdr:spPr>
            <a:xfrm>
              <a:off x="771525" y="362132"/>
              <a:ext cx="1550561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BRUTO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110631" name="Retângulo 11063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BE7EAFF4-FBED-7A08-7797-0E60E06A030C}"/>
                </a:ext>
              </a:extLst>
            </xdr:cNvPr>
            <xdr:cNvSpPr/>
          </xdr:nvSpPr>
          <xdr:spPr>
            <a:xfrm>
              <a:off x="2337105" y="362132"/>
              <a:ext cx="1660138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LÍQUIDO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110632" name="Retângulo 11063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C94B9A80-832A-3622-EC4D-6294EA73C117}"/>
                </a:ext>
              </a:extLst>
            </xdr:cNvPr>
            <xdr:cNvSpPr/>
          </xdr:nvSpPr>
          <xdr:spPr>
            <a:xfrm>
              <a:off x="7084042" y="361950"/>
              <a:ext cx="1186806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FLUXO DE CAIXA</a:t>
              </a:r>
            </a:p>
          </xdr:txBody>
        </xdr:sp>
        <xdr:sp macro="" textlink="">
          <xdr:nvSpPr>
            <xdr:cNvPr id="110633" name="Retângulo 11063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CB588DEF-9297-F091-721D-080E754BEFFA}"/>
                </a:ext>
              </a:extLst>
            </xdr:cNvPr>
            <xdr:cNvSpPr/>
          </xdr:nvSpPr>
          <xdr:spPr>
            <a:xfrm>
              <a:off x="8273481" y="361950"/>
              <a:ext cx="1333475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RECEBER</a:t>
              </a:r>
            </a:p>
          </xdr:txBody>
        </xdr:sp>
        <xdr:sp macro="" textlink="">
          <xdr:nvSpPr>
            <xdr:cNvPr id="110634" name="Retângulo 11063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94FF302A-E4CA-11AA-61BC-A801F7F48727}"/>
                </a:ext>
              </a:extLst>
            </xdr:cNvPr>
            <xdr:cNvSpPr/>
          </xdr:nvSpPr>
          <xdr:spPr>
            <a:xfrm>
              <a:off x="12385551" y="361950"/>
              <a:ext cx="1224000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DRE FINANCEIRA</a:t>
              </a:r>
            </a:p>
          </xdr:txBody>
        </xdr:sp>
        <xdr:sp macro="" textlink="">
          <xdr:nvSpPr>
            <xdr:cNvPr id="110636" name="Retângulo 11063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36DEAD56-5B51-781E-8D71-0683D4D35843}"/>
                </a:ext>
              </a:extLst>
            </xdr:cNvPr>
            <xdr:cNvSpPr/>
          </xdr:nvSpPr>
          <xdr:spPr>
            <a:xfrm>
              <a:off x="13630231" y="361950"/>
              <a:ext cx="702806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BANCOS</a:t>
              </a:r>
            </a:p>
          </xdr:txBody>
        </xdr:sp>
        <xdr:sp macro="" textlink="">
          <xdr:nvSpPr>
            <xdr:cNvPr id="110637" name="Retângulo 11063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1303FB72-7D6A-56DE-4BCD-98F119B1EC37}"/>
                </a:ext>
              </a:extLst>
            </xdr:cNvPr>
            <xdr:cNvSpPr/>
          </xdr:nvSpPr>
          <xdr:spPr>
            <a:xfrm>
              <a:off x="5637032" y="361950"/>
              <a:ext cx="143697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RESULTADO</a:t>
              </a:r>
              <a:r>
                <a:rPr lang="pt-BR" sz="1100" b="1" i="0" baseline="0">
                  <a:solidFill>
                    <a:srgbClr val="797979"/>
                  </a:solidFill>
                </a:rPr>
                <a:t> POR DIA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110638" name="Retângulo 11063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75403680-47ED-FA76-4943-0DF423865C8F}"/>
                </a:ext>
              </a:extLst>
            </xdr:cNvPr>
            <xdr:cNvSpPr/>
          </xdr:nvSpPr>
          <xdr:spPr>
            <a:xfrm>
              <a:off x="4008775" y="361950"/>
              <a:ext cx="162100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DESPESAS FINANCEIRAS</a:t>
              </a:r>
            </a:p>
          </xdr:txBody>
        </xdr:sp>
        <xdr:sp macro="" textlink="">
          <xdr:nvSpPr>
            <xdr:cNvPr id="110639" name="Retângulo 11063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A0225B12-09BD-698C-CF83-BCCC727B57B3}"/>
                </a:ext>
              </a:extLst>
            </xdr:cNvPr>
            <xdr:cNvSpPr/>
          </xdr:nvSpPr>
          <xdr:spPr>
            <a:xfrm>
              <a:off x="10878008" y="361950"/>
              <a:ext cx="1481075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VALORES EM ABERTO</a:t>
              </a:r>
            </a:p>
          </xdr:txBody>
        </xdr:sp>
      </xdr:grpSp>
      <xdr:pic>
        <xdr:nvPicPr>
          <xdr:cNvPr id="110618" name="Imagem 110617">
            <a:extLst>
              <a:ext uri="{FF2B5EF4-FFF2-40B4-BE49-F238E27FC236}">
                <a16:creationId xmlns:a16="http://schemas.microsoft.com/office/drawing/2014/main" id="{6C174058-0470-7730-1A10-4C57C43BC7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0" y="0"/>
            <a:ext cx="742950" cy="619125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259080</xdr:colOff>
          <xdr:row>3</xdr:row>
          <xdr:rowOff>0</xdr:rowOff>
        </xdr:from>
        <xdr:to>
          <xdr:col>7</xdr:col>
          <xdr:colOff>30480</xdr:colOff>
          <xdr:row>3</xdr:row>
          <xdr:rowOff>228600</xdr:rowOff>
        </xdr:to>
        <xdr:grpSp>
          <xdr:nvGrpSpPr>
            <xdr:cNvPr id="5" name="Agrupar 4">
              <a:extLst>
                <a:ext uri="{FF2B5EF4-FFF2-40B4-BE49-F238E27FC236}">
                  <a16:creationId xmlns:a16="http://schemas.microsoft.com/office/drawing/2014/main" id="{00000000-0008-0000-1200-000005000000}"/>
                </a:ext>
              </a:extLst>
            </xdr:cNvPr>
            <xdr:cNvGrpSpPr/>
          </xdr:nvGrpSpPr>
          <xdr:grpSpPr>
            <a:xfrm>
              <a:off x="785353" y="611793"/>
              <a:ext cx="4323665" cy="228600"/>
              <a:chOff x="754383" y="609600"/>
              <a:chExt cx="4099558" cy="228600"/>
            </a:xfrm>
          </xdr:grpSpPr>
          <xdr:sp macro="" textlink="">
            <xdr:nvSpPr>
              <xdr:cNvPr id="35845" name="Drop Down 5" hidden="1">
                <a:extLst>
                  <a:ext uri="{63B3BB69-23CF-44E3-9099-C40C66FF867C}">
                    <a14:compatExt spid="_x0000_s35845"/>
                  </a:ext>
                  <a:ext uri="{FF2B5EF4-FFF2-40B4-BE49-F238E27FC236}">
                    <a16:creationId xmlns:a16="http://schemas.microsoft.com/office/drawing/2014/main" id="{00000000-0008-0000-1000-0000058C0000}"/>
                  </a:ext>
                </a:extLst>
              </xdr:cNvPr>
              <xdr:cNvSpPr/>
            </xdr:nvSpPr>
            <xdr:spPr bwMode="auto">
              <a:xfrm>
                <a:off x="754383" y="609600"/>
                <a:ext cx="6096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5846" name="Drop Down 6" hidden="1">
                <a:extLst>
                  <a:ext uri="{63B3BB69-23CF-44E3-9099-C40C66FF867C}">
                    <a14:compatExt spid="_x0000_s35846"/>
                  </a:ext>
                  <a:ext uri="{FF2B5EF4-FFF2-40B4-BE49-F238E27FC236}">
                    <a16:creationId xmlns:a16="http://schemas.microsoft.com/office/drawing/2014/main" id="{00000000-0008-0000-1000-0000068C0000}"/>
                  </a:ext>
                </a:extLst>
              </xdr:cNvPr>
              <xdr:cNvSpPr/>
            </xdr:nvSpPr>
            <xdr:spPr bwMode="auto">
              <a:xfrm>
                <a:off x="3718560" y="609600"/>
                <a:ext cx="113538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5847" name="Drop Down 7" hidden="1">
                <a:extLst>
                  <a:ext uri="{63B3BB69-23CF-44E3-9099-C40C66FF867C}">
                    <a14:compatExt spid="_x0000_s35847"/>
                  </a:ext>
                  <a:ext uri="{FF2B5EF4-FFF2-40B4-BE49-F238E27FC236}">
                    <a16:creationId xmlns:a16="http://schemas.microsoft.com/office/drawing/2014/main" id="{00000000-0008-0000-1000-0000078C0000}"/>
                  </a:ext>
                </a:extLst>
              </xdr:cNvPr>
              <xdr:cNvSpPr/>
            </xdr:nvSpPr>
            <xdr:spPr bwMode="auto">
              <a:xfrm>
                <a:off x="2308860" y="609600"/>
                <a:ext cx="14097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5843" name="Drop Dow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1000-0000038C0000}"/>
                  </a:ext>
                </a:extLst>
              </xdr:cNvPr>
              <xdr:cNvSpPr/>
            </xdr:nvSpPr>
            <xdr:spPr bwMode="auto">
              <a:xfrm>
                <a:off x="1371600" y="609600"/>
                <a:ext cx="92964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19</xdr:col>
      <xdr:colOff>64587</xdr:colOff>
      <xdr:row>3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0422C6F-E06A-4814-82A8-9C318A431042}"/>
            </a:ext>
          </a:extLst>
        </xdr:cNvPr>
        <xdr:cNvGrpSpPr/>
      </xdr:nvGrpSpPr>
      <xdr:grpSpPr>
        <a:xfrm>
          <a:off x="0" y="0"/>
          <a:ext cx="15543603" cy="621318"/>
          <a:chOff x="0" y="0"/>
          <a:chExt cx="14333037" cy="619125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641EB15B-7CEF-2105-B013-64046B50345E}"/>
              </a:ext>
            </a:extLst>
          </xdr:cNvPr>
          <xdr:cNvGrpSpPr/>
        </xdr:nvGrpSpPr>
        <xdr:grpSpPr>
          <a:xfrm>
            <a:off x="0" y="0"/>
            <a:ext cx="14333037" cy="574836"/>
            <a:chOff x="0" y="0"/>
            <a:chExt cx="14333037" cy="574836"/>
          </a:xfrm>
        </xdr:grpSpPr>
        <xdr:sp macro="[0]!Salvar" textlink="">
          <xdr:nvSpPr>
            <xdr:cNvPr id="7" name="Retângulo Arredondado 1">
              <a:extLst>
                <a:ext uri="{FF2B5EF4-FFF2-40B4-BE49-F238E27FC236}">
                  <a16:creationId xmlns:a16="http://schemas.microsoft.com/office/drawing/2014/main" id="{8232A0C9-CF1F-2416-2204-35D774AD6530}"/>
                </a:ext>
              </a:extLst>
            </xdr:cNvPr>
            <xdr:cNvSpPr/>
          </xdr:nvSpPr>
          <xdr:spPr>
            <a:xfrm>
              <a:off x="10707213" y="66824"/>
              <a:ext cx="88387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SALVAR</a:t>
              </a:r>
            </a:p>
          </xdr:txBody>
        </xdr:sp>
        <xdr:sp macro="" textlink="">
          <xdr:nvSpPr>
            <xdr:cNvPr id="8" name="Retângulo Arredondado 20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17DA5D0-7CC8-F36E-85B3-A1A2D6047D4D}"/>
                </a:ext>
              </a:extLst>
            </xdr:cNvPr>
            <xdr:cNvSpPr/>
          </xdr:nvSpPr>
          <xdr:spPr>
            <a:xfrm>
              <a:off x="9838931" y="66824"/>
              <a:ext cx="84054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MENU</a:t>
              </a:r>
            </a:p>
          </xdr:txBody>
        </xdr:sp>
        <xdr:sp macro="[0]!workbook_close" textlink="">
          <xdr:nvSpPr>
            <xdr:cNvPr id="9" name="Seta: para Baixo 28">
              <a:extLst>
                <a:ext uri="{FF2B5EF4-FFF2-40B4-BE49-F238E27FC236}">
                  <a16:creationId xmlns:a16="http://schemas.microsoft.com/office/drawing/2014/main" id="{6F20F7CF-A040-7F97-04C8-B1F5C0F671CD}"/>
                </a:ext>
              </a:extLst>
            </xdr:cNvPr>
            <xdr:cNvSpPr/>
          </xdr:nvSpPr>
          <xdr:spPr>
            <a:xfrm>
              <a:off x="11895388" y="66824"/>
              <a:ext cx="23576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[0]!workbook_open" textlink="">
          <xdr:nvSpPr>
            <xdr:cNvPr id="10" name="Seta: para Baixo 9">
              <a:extLst>
                <a:ext uri="{FF2B5EF4-FFF2-40B4-BE49-F238E27FC236}">
                  <a16:creationId xmlns:a16="http://schemas.microsoft.com/office/drawing/2014/main" id="{AA260F2F-E175-49FE-761E-34820632346F}"/>
                </a:ext>
              </a:extLst>
            </xdr:cNvPr>
            <xdr:cNvSpPr/>
          </xdr:nvSpPr>
          <xdr:spPr>
            <a:xfrm rot="10800000">
              <a:off x="11674297" y="38184"/>
              <a:ext cx="23958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" name="Retângulo 1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6201FF4D-61CA-FC49-5E55-1204F0321CC1}"/>
                </a:ext>
              </a:extLst>
            </xdr:cNvPr>
            <xdr:cNvSpPr/>
          </xdr:nvSpPr>
          <xdr:spPr>
            <a:xfrm>
              <a:off x="772544" y="0"/>
              <a:ext cx="933017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CADASTROS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44495C90-1FA9-5645-DF52-D1A2641B74A5}"/>
                </a:ext>
              </a:extLst>
            </xdr:cNvPr>
            <xdr:cNvSpPr/>
          </xdr:nvSpPr>
          <xdr:spPr>
            <a:xfrm>
              <a:off x="1713565" y="0"/>
              <a:ext cx="1148329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LANÇAMENTOS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42FFAA35-F691-566A-2266-A2BF91F2DA7D}"/>
                </a:ext>
              </a:extLst>
            </xdr:cNvPr>
            <xdr:cNvSpPr/>
          </xdr:nvSpPr>
          <xdr:spPr>
            <a:xfrm>
              <a:off x="2874719" y="0"/>
              <a:ext cx="972072" cy="313897"/>
            </a:xfrm>
            <a:prstGeom prst="rect">
              <a:avLst/>
            </a:prstGeom>
            <a:solidFill>
              <a:srgbClr val="EBEBEB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RELATÓRIOSS</a:t>
              </a:r>
            </a:p>
          </xdr:txBody>
        </xdr:sp>
        <xdr:sp macro="" textlink="">
          <xdr:nvSpPr>
            <xdr:cNvPr id="14" name="Retângulo 1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3F6630D-8627-19FC-1DBC-E8C8D2499914}"/>
                </a:ext>
              </a:extLst>
            </xdr:cNvPr>
            <xdr:cNvSpPr/>
          </xdr:nvSpPr>
          <xdr:spPr>
            <a:xfrm>
              <a:off x="3849282" y="0"/>
              <a:ext cx="968903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DASHBOARD</a:t>
              </a:r>
            </a:p>
          </xdr:txBody>
        </xdr:sp>
        <xdr:grpSp>
          <xdr:nvGrpSpPr>
            <xdr:cNvPr id="15" name="Gráfico 2" descr="Impressora">
              <a:extLst>
                <a:ext uri="{FF2B5EF4-FFF2-40B4-BE49-F238E27FC236}">
                  <a16:creationId xmlns:a16="http://schemas.microsoft.com/office/drawing/2014/main" id="{51515BA5-10EE-8616-84BA-5F6C765D6DAC}"/>
                </a:ext>
              </a:extLst>
            </xdr:cNvPr>
            <xdr:cNvGrpSpPr/>
          </xdr:nvGrpSpPr>
          <xdr:grpSpPr>
            <a:xfrm>
              <a:off x="12183371" y="0"/>
              <a:ext cx="280353" cy="289536"/>
              <a:chOff x="0" y="0"/>
              <a:chExt cx="914400" cy="914400"/>
            </a:xfrm>
            <a:solidFill>
              <a:schemeClr val="bg1"/>
            </a:solidFill>
          </xdr:grpSpPr>
          <xdr:sp macro="[0]!Imprimir" textlink="">
            <xdr:nvSpPr>
              <xdr:cNvPr id="29" name="Forma Livre: Forma 28">
                <a:extLst>
                  <a:ext uri="{FF2B5EF4-FFF2-40B4-BE49-F238E27FC236}">
                    <a16:creationId xmlns:a16="http://schemas.microsoft.com/office/drawing/2014/main" id="{C0134C91-C3F6-FFEB-D0EF-1F7DFA8D36DB}"/>
                  </a:ext>
                </a:extLst>
              </xdr:cNvPr>
              <xdr:cNvSpPr/>
            </xdr:nvSpPr>
            <xdr:spPr>
              <a:xfrm>
                <a:off x="228600" y="538163"/>
                <a:ext cx="447675" cy="304800"/>
              </a:xfrm>
              <a:custGeom>
                <a:avLst/>
                <a:gdLst>
                  <a:gd name="connsiteX0" fmla="*/ 400050 w 447675"/>
                  <a:gd name="connsiteY0" fmla="*/ 57150 h 304800"/>
                  <a:gd name="connsiteX1" fmla="*/ 399098 w 447675"/>
                  <a:gd name="connsiteY1" fmla="*/ 247650 h 304800"/>
                  <a:gd name="connsiteX2" fmla="*/ 59055 w 447675"/>
                  <a:gd name="connsiteY2" fmla="*/ 247650 h 304800"/>
                  <a:gd name="connsiteX3" fmla="*/ 57150 w 447675"/>
                  <a:gd name="connsiteY3" fmla="*/ 57150 h 304800"/>
                  <a:gd name="connsiteX4" fmla="*/ 400050 w 447675"/>
                  <a:gd name="connsiteY4" fmla="*/ 57150 h 304800"/>
                  <a:gd name="connsiteX5" fmla="*/ 1905 w 447675"/>
                  <a:gd name="connsiteY5" fmla="*/ 304800 h 304800"/>
                  <a:gd name="connsiteX6" fmla="*/ 455295 w 447675"/>
                  <a:gd name="connsiteY6" fmla="*/ 304800 h 304800"/>
                  <a:gd name="connsiteX7" fmla="*/ 456248 w 447675"/>
                  <a:gd name="connsiteY7" fmla="*/ 0 h 304800"/>
                  <a:gd name="connsiteX8" fmla="*/ 0 w 447675"/>
                  <a:gd name="connsiteY8" fmla="*/ 0 h 304800"/>
                  <a:gd name="connsiteX9" fmla="*/ 1905 w 447675"/>
                  <a:gd name="connsiteY9" fmla="*/ 304800 h 3048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447675" h="304800">
                    <a:moveTo>
                      <a:pt x="400050" y="57150"/>
                    </a:moveTo>
                    <a:lnTo>
                      <a:pt x="399098" y="247650"/>
                    </a:lnTo>
                    <a:lnTo>
                      <a:pt x="59055" y="247650"/>
                    </a:lnTo>
                    <a:lnTo>
                      <a:pt x="57150" y="57150"/>
                    </a:lnTo>
                    <a:lnTo>
                      <a:pt x="400050" y="57150"/>
                    </a:lnTo>
                    <a:close/>
                    <a:moveTo>
                      <a:pt x="1905" y="304800"/>
                    </a:moveTo>
                    <a:lnTo>
                      <a:pt x="455295" y="304800"/>
                    </a:lnTo>
                    <a:lnTo>
                      <a:pt x="456248" y="0"/>
                    </a:lnTo>
                    <a:lnTo>
                      <a:pt x="0" y="0"/>
                    </a:lnTo>
                    <a:lnTo>
                      <a:pt x="1905" y="3048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30" name="Forma Livre: Forma 29">
                <a:extLst>
                  <a:ext uri="{FF2B5EF4-FFF2-40B4-BE49-F238E27FC236}">
                    <a16:creationId xmlns:a16="http://schemas.microsoft.com/office/drawing/2014/main" id="{39F3AB66-C746-B7E3-9A10-6F46EE3DCED3}"/>
                  </a:ext>
                </a:extLst>
              </xdr:cNvPr>
              <xdr:cNvSpPr/>
            </xdr:nvSpPr>
            <xdr:spPr>
              <a:xfrm>
                <a:off x="361950" y="6334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31" name="Forma Livre: Forma 30">
                <a:extLst>
                  <a:ext uri="{FF2B5EF4-FFF2-40B4-BE49-F238E27FC236}">
                    <a16:creationId xmlns:a16="http://schemas.microsoft.com/office/drawing/2014/main" id="{6857DAA6-9EE1-F0D9-D310-228353B2DB5F}"/>
                  </a:ext>
                </a:extLst>
              </xdr:cNvPr>
              <xdr:cNvSpPr/>
            </xdr:nvSpPr>
            <xdr:spPr>
              <a:xfrm>
                <a:off x="361950" y="7096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58" name="Forma Livre: Forma 57">
                <a:extLst>
                  <a:ext uri="{FF2B5EF4-FFF2-40B4-BE49-F238E27FC236}">
                    <a16:creationId xmlns:a16="http://schemas.microsoft.com/office/drawing/2014/main" id="{81E8579A-0205-F0EE-CF11-728459DC1ED6}"/>
                  </a:ext>
                </a:extLst>
              </xdr:cNvPr>
              <xdr:cNvSpPr/>
            </xdr:nvSpPr>
            <xdr:spPr>
              <a:xfrm>
                <a:off x="38100" y="76200"/>
                <a:ext cx="838200" cy="647700"/>
              </a:xfrm>
              <a:custGeom>
                <a:avLst/>
                <a:gdLst>
                  <a:gd name="connsiteX0" fmla="*/ 590550 w 838200"/>
                  <a:gd name="connsiteY0" fmla="*/ 276225 h 647700"/>
                  <a:gd name="connsiteX1" fmla="*/ 247650 w 838200"/>
                  <a:gd name="connsiteY1" fmla="*/ 276225 h 647700"/>
                  <a:gd name="connsiteX2" fmla="*/ 247650 w 838200"/>
                  <a:gd name="connsiteY2" fmla="*/ 57150 h 647700"/>
                  <a:gd name="connsiteX3" fmla="*/ 457200 w 838200"/>
                  <a:gd name="connsiteY3" fmla="*/ 57150 h 647700"/>
                  <a:gd name="connsiteX4" fmla="*/ 457200 w 838200"/>
                  <a:gd name="connsiteY4" fmla="*/ 190500 h 647700"/>
                  <a:gd name="connsiteX5" fmla="*/ 590550 w 838200"/>
                  <a:gd name="connsiteY5" fmla="*/ 190500 h 647700"/>
                  <a:gd name="connsiteX6" fmla="*/ 590550 w 838200"/>
                  <a:gd name="connsiteY6" fmla="*/ 276225 h 647700"/>
                  <a:gd name="connsiteX7" fmla="*/ 514350 w 838200"/>
                  <a:gd name="connsiteY7" fmla="*/ 60960 h 647700"/>
                  <a:gd name="connsiteX8" fmla="*/ 580073 w 838200"/>
                  <a:gd name="connsiteY8" fmla="*/ 133350 h 647700"/>
                  <a:gd name="connsiteX9" fmla="*/ 514350 w 838200"/>
                  <a:gd name="connsiteY9" fmla="*/ 133350 h 647700"/>
                  <a:gd name="connsiteX10" fmla="*/ 514350 w 838200"/>
                  <a:gd name="connsiteY10" fmla="*/ 60960 h 647700"/>
                  <a:gd name="connsiteX11" fmla="*/ 95250 w 838200"/>
                  <a:gd name="connsiteY11" fmla="*/ 323850 h 647700"/>
                  <a:gd name="connsiteX12" fmla="*/ 57150 w 838200"/>
                  <a:gd name="connsiteY12" fmla="*/ 285750 h 647700"/>
                  <a:gd name="connsiteX13" fmla="*/ 95250 w 838200"/>
                  <a:gd name="connsiteY13" fmla="*/ 247650 h 647700"/>
                  <a:gd name="connsiteX14" fmla="*/ 133350 w 838200"/>
                  <a:gd name="connsiteY14" fmla="*/ 285750 h 647700"/>
                  <a:gd name="connsiteX15" fmla="*/ 95250 w 838200"/>
                  <a:gd name="connsiteY15" fmla="*/ 323850 h 647700"/>
                  <a:gd name="connsiteX16" fmla="*/ 800100 w 838200"/>
                  <a:gd name="connsiteY16" fmla="*/ 190500 h 647700"/>
                  <a:gd name="connsiteX17" fmla="*/ 647700 w 838200"/>
                  <a:gd name="connsiteY17" fmla="*/ 190500 h 647700"/>
                  <a:gd name="connsiteX18" fmla="*/ 647700 w 838200"/>
                  <a:gd name="connsiteY18" fmla="*/ 121920 h 647700"/>
                  <a:gd name="connsiteX19" fmla="*/ 536258 w 838200"/>
                  <a:gd name="connsiteY19" fmla="*/ 0 h 647700"/>
                  <a:gd name="connsiteX20" fmla="*/ 190500 w 838200"/>
                  <a:gd name="connsiteY20" fmla="*/ 0 h 647700"/>
                  <a:gd name="connsiteX21" fmla="*/ 190500 w 838200"/>
                  <a:gd name="connsiteY21" fmla="*/ 190500 h 647700"/>
                  <a:gd name="connsiteX22" fmla="*/ 38100 w 838200"/>
                  <a:gd name="connsiteY22" fmla="*/ 190500 h 647700"/>
                  <a:gd name="connsiteX23" fmla="*/ 0 w 838200"/>
                  <a:gd name="connsiteY23" fmla="*/ 228600 h 647700"/>
                  <a:gd name="connsiteX24" fmla="*/ 0 w 838200"/>
                  <a:gd name="connsiteY24" fmla="*/ 609600 h 647700"/>
                  <a:gd name="connsiteX25" fmla="*/ 38100 w 838200"/>
                  <a:gd name="connsiteY25" fmla="*/ 647700 h 647700"/>
                  <a:gd name="connsiteX26" fmla="*/ 152400 w 838200"/>
                  <a:gd name="connsiteY26" fmla="*/ 647700 h 647700"/>
                  <a:gd name="connsiteX27" fmla="*/ 152400 w 838200"/>
                  <a:gd name="connsiteY27" fmla="*/ 428625 h 647700"/>
                  <a:gd name="connsiteX28" fmla="*/ 685800 w 838200"/>
                  <a:gd name="connsiteY28" fmla="*/ 428625 h 647700"/>
                  <a:gd name="connsiteX29" fmla="*/ 685800 w 838200"/>
                  <a:gd name="connsiteY29" fmla="*/ 647700 h 647700"/>
                  <a:gd name="connsiteX30" fmla="*/ 800100 w 838200"/>
                  <a:gd name="connsiteY30" fmla="*/ 647700 h 647700"/>
                  <a:gd name="connsiteX31" fmla="*/ 838200 w 838200"/>
                  <a:gd name="connsiteY31" fmla="*/ 609600 h 647700"/>
                  <a:gd name="connsiteX32" fmla="*/ 838200 w 838200"/>
                  <a:gd name="connsiteY32" fmla="*/ 228600 h 647700"/>
                  <a:gd name="connsiteX33" fmla="*/ 800100 w 838200"/>
                  <a:gd name="connsiteY33" fmla="*/ 190500 h 6477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</a:cxnLst>
                <a:rect l="l" t="t" r="r" b="b"/>
                <a:pathLst>
                  <a:path w="838200" h="647700">
                    <a:moveTo>
                      <a:pt x="590550" y="276225"/>
                    </a:moveTo>
                    <a:lnTo>
                      <a:pt x="247650" y="276225"/>
                    </a:lnTo>
                    <a:lnTo>
                      <a:pt x="247650" y="57150"/>
                    </a:lnTo>
                    <a:lnTo>
                      <a:pt x="457200" y="57150"/>
                    </a:lnTo>
                    <a:lnTo>
                      <a:pt x="457200" y="190500"/>
                    </a:lnTo>
                    <a:lnTo>
                      <a:pt x="590550" y="190500"/>
                    </a:lnTo>
                    <a:lnTo>
                      <a:pt x="590550" y="276225"/>
                    </a:lnTo>
                    <a:close/>
                    <a:moveTo>
                      <a:pt x="514350" y="60960"/>
                    </a:moveTo>
                    <a:lnTo>
                      <a:pt x="580073" y="133350"/>
                    </a:lnTo>
                    <a:lnTo>
                      <a:pt x="514350" y="133350"/>
                    </a:lnTo>
                    <a:lnTo>
                      <a:pt x="514350" y="60960"/>
                    </a:lnTo>
                    <a:close/>
                    <a:moveTo>
                      <a:pt x="95250" y="323850"/>
                    </a:moveTo>
                    <a:cubicBezTo>
                      <a:pt x="74295" y="323850"/>
                      <a:pt x="57150" y="306705"/>
                      <a:pt x="57150" y="285750"/>
                    </a:cubicBezTo>
                    <a:cubicBezTo>
                      <a:pt x="57150" y="264795"/>
                      <a:pt x="74295" y="247650"/>
                      <a:pt x="95250" y="247650"/>
                    </a:cubicBezTo>
                    <a:cubicBezTo>
                      <a:pt x="116205" y="247650"/>
                      <a:pt x="133350" y="264795"/>
                      <a:pt x="133350" y="285750"/>
                    </a:cubicBezTo>
                    <a:cubicBezTo>
                      <a:pt x="133350" y="306705"/>
                      <a:pt x="116205" y="323850"/>
                      <a:pt x="95250" y="323850"/>
                    </a:cubicBezTo>
                    <a:close/>
                    <a:moveTo>
                      <a:pt x="800100" y="190500"/>
                    </a:moveTo>
                    <a:lnTo>
                      <a:pt x="647700" y="190500"/>
                    </a:lnTo>
                    <a:lnTo>
                      <a:pt x="647700" y="121920"/>
                    </a:lnTo>
                    <a:lnTo>
                      <a:pt x="536258" y="0"/>
                    </a:lnTo>
                    <a:lnTo>
                      <a:pt x="190500" y="0"/>
                    </a:lnTo>
                    <a:lnTo>
                      <a:pt x="190500" y="190500"/>
                    </a:lnTo>
                    <a:lnTo>
                      <a:pt x="38100" y="190500"/>
                    </a:lnTo>
                    <a:cubicBezTo>
                      <a:pt x="17145" y="190500"/>
                      <a:pt x="0" y="207645"/>
                      <a:pt x="0" y="228600"/>
                    </a:cubicBezTo>
                    <a:lnTo>
                      <a:pt x="0" y="609600"/>
                    </a:lnTo>
                    <a:cubicBezTo>
                      <a:pt x="0" y="630555"/>
                      <a:pt x="17145" y="647700"/>
                      <a:pt x="38100" y="647700"/>
                    </a:cubicBezTo>
                    <a:lnTo>
                      <a:pt x="152400" y="647700"/>
                    </a:lnTo>
                    <a:lnTo>
                      <a:pt x="152400" y="428625"/>
                    </a:lnTo>
                    <a:lnTo>
                      <a:pt x="685800" y="428625"/>
                    </a:lnTo>
                    <a:lnTo>
                      <a:pt x="685800" y="647700"/>
                    </a:lnTo>
                    <a:lnTo>
                      <a:pt x="800100" y="647700"/>
                    </a:lnTo>
                    <a:cubicBezTo>
                      <a:pt x="821055" y="647700"/>
                      <a:pt x="838200" y="630555"/>
                      <a:pt x="838200" y="609600"/>
                    </a:cubicBezTo>
                    <a:lnTo>
                      <a:pt x="838200" y="228600"/>
                    </a:lnTo>
                    <a:cubicBezTo>
                      <a:pt x="838200" y="207645"/>
                      <a:pt x="821055" y="190500"/>
                      <a:pt x="800100" y="190500"/>
                    </a:cubicBez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</xdr:grp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16" name="Imagem 15">
                  <a:extLst>
                    <a:ext uri="{FF2B5EF4-FFF2-40B4-BE49-F238E27FC236}">
                      <a16:creationId xmlns:a16="http://schemas.microsoft.com/office/drawing/2014/main" id="{9A23779E-7BC9-6766-26E2-2CB6147E62FC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MENU!$F$2" spid="_x0000_s35975"/>
                    </a:ext>
                  </a:extLst>
                </xdr:cNvPicPr>
              </xdr:nvPicPr>
              <xdr:blipFill rotWithShape="1">
                <a:blip xmlns:r="http://schemas.openxmlformats.org/officeDocument/2006/relationships" r:embed="rId6"/>
                <a:srcRect b="4887"/>
                <a:stretch>
                  <a:fillRect/>
                </a:stretch>
              </xdr:blipFill>
              <xdr:spPr>
                <a:xfrm rot="5400000">
                  <a:off x="103834" y="-103834"/>
                  <a:ext cx="574836" cy="782503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  <xdr:sp macro="" textlink="">
          <xdr:nvSpPr>
            <xdr:cNvPr id="17" name="Retângulo 16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DD521EF6-E22E-F323-A37B-168F3342ADBD}"/>
                </a:ext>
              </a:extLst>
            </xdr:cNvPr>
            <xdr:cNvSpPr/>
          </xdr:nvSpPr>
          <xdr:spPr>
            <a:xfrm>
              <a:off x="9618853" y="361950"/>
              <a:ext cx="1250894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PAGAR</a:t>
              </a:r>
            </a:p>
          </xdr:txBody>
        </xdr:sp>
        <xdr:sp macro="" textlink="">
          <xdr:nvSpPr>
            <xdr:cNvPr id="18" name="Retângulo 1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AAFBE501-CCFA-C315-B0AC-948069E00331}"/>
                </a:ext>
              </a:extLst>
            </xdr:cNvPr>
            <xdr:cNvSpPr/>
          </xdr:nvSpPr>
          <xdr:spPr>
            <a:xfrm>
              <a:off x="771525" y="362132"/>
              <a:ext cx="1550561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BRUTO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19" name="Retângulo 18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ED095882-367D-2253-85DC-420CA4CF85BD}"/>
                </a:ext>
              </a:extLst>
            </xdr:cNvPr>
            <xdr:cNvSpPr/>
          </xdr:nvSpPr>
          <xdr:spPr>
            <a:xfrm>
              <a:off x="2337105" y="362132"/>
              <a:ext cx="1660138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LÍQUIDO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20" name="Retângulo 19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11F7A54C-7393-BB3D-A028-959889623F24}"/>
                </a:ext>
              </a:extLst>
            </xdr:cNvPr>
            <xdr:cNvSpPr/>
          </xdr:nvSpPr>
          <xdr:spPr>
            <a:xfrm>
              <a:off x="7084042" y="361950"/>
              <a:ext cx="1186806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FLUXO DE CAIXA</a:t>
              </a:r>
            </a:p>
          </xdr:txBody>
        </xdr:sp>
        <xdr:sp macro="" textlink="">
          <xdr:nvSpPr>
            <xdr:cNvPr id="21" name="Retângulo 2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E43BB5F-0BE7-1268-DBD7-8B6FB84A4A27}"/>
                </a:ext>
              </a:extLst>
            </xdr:cNvPr>
            <xdr:cNvSpPr/>
          </xdr:nvSpPr>
          <xdr:spPr>
            <a:xfrm>
              <a:off x="8273481" y="361950"/>
              <a:ext cx="1333475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RECEBER</a:t>
              </a:r>
            </a:p>
          </xdr:txBody>
        </xdr:sp>
        <xdr:sp macro="" textlink="">
          <xdr:nvSpPr>
            <xdr:cNvPr id="22" name="Retângulo 21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CD89802A-8441-0530-E77A-EB70341F0B1C}"/>
                </a:ext>
              </a:extLst>
            </xdr:cNvPr>
            <xdr:cNvSpPr/>
          </xdr:nvSpPr>
          <xdr:spPr>
            <a:xfrm>
              <a:off x="12385551" y="361950"/>
              <a:ext cx="1224000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DRE FINANCEIRA</a:t>
              </a:r>
            </a:p>
          </xdr:txBody>
        </xdr:sp>
        <xdr:sp macro="" textlink="">
          <xdr:nvSpPr>
            <xdr:cNvPr id="24" name="Retângulo 23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D74C15BB-992C-EDDA-3BD4-1CA0F6CD4282}"/>
                </a:ext>
              </a:extLst>
            </xdr:cNvPr>
            <xdr:cNvSpPr/>
          </xdr:nvSpPr>
          <xdr:spPr>
            <a:xfrm>
              <a:off x="13630231" y="361950"/>
              <a:ext cx="702806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BANCOS</a:t>
              </a:r>
            </a:p>
          </xdr:txBody>
        </xdr:sp>
        <xdr:sp macro="" textlink="">
          <xdr:nvSpPr>
            <xdr:cNvPr id="26" name="Retângulo 2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1ED46D36-BFF8-2B0D-4B26-666B5B224EFD}"/>
                </a:ext>
              </a:extLst>
            </xdr:cNvPr>
            <xdr:cNvSpPr/>
          </xdr:nvSpPr>
          <xdr:spPr>
            <a:xfrm>
              <a:off x="5637032" y="361950"/>
              <a:ext cx="143697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RESULTADO</a:t>
              </a:r>
              <a:r>
                <a:rPr lang="pt-BR" sz="1100" b="1" i="0" baseline="0">
                  <a:solidFill>
                    <a:srgbClr val="797979"/>
                  </a:solidFill>
                </a:rPr>
                <a:t> POR DIA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27" name="Retângulo 2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E023D91-5A38-0051-2B79-8CF64A6027E9}"/>
                </a:ext>
              </a:extLst>
            </xdr:cNvPr>
            <xdr:cNvSpPr/>
          </xdr:nvSpPr>
          <xdr:spPr>
            <a:xfrm>
              <a:off x="4008775" y="361950"/>
              <a:ext cx="162100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DESPESAS FINANCEIRAS</a:t>
              </a:r>
            </a:p>
          </xdr:txBody>
        </xdr:sp>
        <xdr:sp macro="" textlink="">
          <xdr:nvSpPr>
            <xdr:cNvPr id="28" name="Retângulo 2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DA459A7B-C828-3FF0-2050-696A8D3282EA}"/>
                </a:ext>
              </a:extLst>
            </xdr:cNvPr>
            <xdr:cNvSpPr/>
          </xdr:nvSpPr>
          <xdr:spPr>
            <a:xfrm>
              <a:off x="10878008" y="361950"/>
              <a:ext cx="1481075" cy="19542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VALORES EM ABERTO</a:t>
              </a:r>
            </a:p>
          </xdr:txBody>
        </xdr:sp>
      </xdr:grp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08A7CCF8-C520-7306-F0C3-3285CB4496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0" y="0"/>
            <a:ext cx="742950" cy="619125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38100</xdr:rowOff>
        </xdr:from>
        <xdr:to>
          <xdr:col>5</xdr:col>
          <xdr:colOff>502920</xdr:colOff>
          <xdr:row>3</xdr:row>
          <xdr:rowOff>220980</xdr:rowOff>
        </xdr:to>
        <xdr:grpSp>
          <xdr:nvGrpSpPr>
            <xdr:cNvPr id="2" name="Agrupar 1">
              <a:extLst>
                <a:ext uri="{FF2B5EF4-FFF2-40B4-BE49-F238E27FC236}">
                  <a16:creationId xmlns:a16="http://schemas.microsoft.com/office/drawing/2014/main" id="{00000000-0008-0000-1400-000002000000}"/>
                </a:ext>
              </a:extLst>
            </xdr:cNvPr>
            <xdr:cNvGrpSpPr/>
          </xdr:nvGrpSpPr>
          <xdr:grpSpPr>
            <a:xfrm>
              <a:off x="38100" y="603844"/>
              <a:ext cx="3885597" cy="228929"/>
              <a:chOff x="38100" y="601980"/>
              <a:chExt cx="3703318" cy="228600"/>
            </a:xfrm>
          </xdr:grpSpPr>
          <xdr:sp macro="" textlink="">
            <xdr:nvSpPr>
              <xdr:cNvPr id="211969" name="Drop Down 1" hidden="1">
                <a:extLst>
                  <a:ext uri="{63B3BB69-23CF-44E3-9099-C40C66FF867C}">
                    <a14:compatExt spid="_x0000_s211969"/>
                  </a:ext>
                  <a:ext uri="{FF2B5EF4-FFF2-40B4-BE49-F238E27FC236}">
                    <a16:creationId xmlns:a16="http://schemas.microsoft.com/office/drawing/2014/main" id="{00000000-0008-0000-1100-0000013C0300}"/>
                  </a:ext>
                </a:extLst>
              </xdr:cNvPr>
              <xdr:cNvSpPr/>
            </xdr:nvSpPr>
            <xdr:spPr bwMode="auto">
              <a:xfrm>
                <a:off x="38100" y="601980"/>
                <a:ext cx="88389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1970" name="Drop Down 2" hidden="1">
                <a:extLst>
                  <a:ext uri="{63B3BB69-23CF-44E3-9099-C40C66FF867C}">
                    <a14:compatExt spid="_x0000_s211970"/>
                  </a:ext>
                  <a:ext uri="{FF2B5EF4-FFF2-40B4-BE49-F238E27FC236}">
                    <a16:creationId xmlns:a16="http://schemas.microsoft.com/office/drawing/2014/main" id="{00000000-0008-0000-1100-0000023C0300}"/>
                  </a:ext>
                </a:extLst>
              </xdr:cNvPr>
              <xdr:cNvSpPr/>
            </xdr:nvSpPr>
            <xdr:spPr bwMode="auto">
              <a:xfrm>
                <a:off x="2331720" y="601980"/>
                <a:ext cx="1409698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1971" name="Drop Down 3" hidden="1">
                <a:extLst>
                  <a:ext uri="{63B3BB69-23CF-44E3-9099-C40C66FF867C}">
                    <a14:compatExt spid="_x0000_s211971"/>
                  </a:ext>
                  <a:ext uri="{FF2B5EF4-FFF2-40B4-BE49-F238E27FC236}">
                    <a16:creationId xmlns:a16="http://schemas.microsoft.com/office/drawing/2014/main" id="{00000000-0008-0000-1100-0000033C0300}"/>
                  </a:ext>
                </a:extLst>
              </xdr:cNvPr>
              <xdr:cNvSpPr/>
            </xdr:nvSpPr>
            <xdr:spPr bwMode="auto">
              <a:xfrm>
                <a:off x="929640" y="601980"/>
                <a:ext cx="140208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17</xdr:col>
      <xdr:colOff>417012</xdr:colOff>
      <xdr:row>3</xdr:row>
      <xdr:rowOff>9525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AD618FE0-9722-47E5-9074-C525FBCC0CD8}"/>
            </a:ext>
          </a:extLst>
        </xdr:cNvPr>
        <xdr:cNvGrpSpPr/>
      </xdr:nvGrpSpPr>
      <xdr:grpSpPr>
        <a:xfrm>
          <a:off x="0" y="0"/>
          <a:ext cx="15527636" cy="621318"/>
          <a:chOff x="0" y="0"/>
          <a:chExt cx="14333037" cy="619125"/>
        </a:xfrm>
      </xdr:grpSpPr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52C0EAD9-6C85-2DDA-FD36-5F7A5055DDF5}"/>
              </a:ext>
            </a:extLst>
          </xdr:cNvPr>
          <xdr:cNvGrpSpPr/>
        </xdr:nvGrpSpPr>
        <xdr:grpSpPr>
          <a:xfrm>
            <a:off x="0" y="0"/>
            <a:ext cx="14333037" cy="574836"/>
            <a:chOff x="0" y="0"/>
            <a:chExt cx="14333037" cy="574836"/>
          </a:xfrm>
        </xdr:grpSpPr>
        <xdr:sp macro="[0]!Salvar" textlink="">
          <xdr:nvSpPr>
            <xdr:cNvPr id="7" name="Retângulo Arredondado 1">
              <a:extLst>
                <a:ext uri="{FF2B5EF4-FFF2-40B4-BE49-F238E27FC236}">
                  <a16:creationId xmlns:a16="http://schemas.microsoft.com/office/drawing/2014/main" id="{F3E94289-E6EC-61E1-AB7B-4A2E165B3AB7}"/>
                </a:ext>
              </a:extLst>
            </xdr:cNvPr>
            <xdr:cNvSpPr/>
          </xdr:nvSpPr>
          <xdr:spPr>
            <a:xfrm>
              <a:off x="10707213" y="66824"/>
              <a:ext cx="88387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SALVAR</a:t>
              </a:r>
            </a:p>
          </xdr:txBody>
        </xdr:sp>
        <xdr:sp macro="" textlink="">
          <xdr:nvSpPr>
            <xdr:cNvPr id="8" name="Retângulo Arredondado 20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2AFFDF5-4C57-7815-107A-5E187899C421}"/>
                </a:ext>
              </a:extLst>
            </xdr:cNvPr>
            <xdr:cNvSpPr/>
          </xdr:nvSpPr>
          <xdr:spPr>
            <a:xfrm>
              <a:off x="9838931" y="66824"/>
              <a:ext cx="84054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MENU</a:t>
              </a:r>
            </a:p>
          </xdr:txBody>
        </xdr:sp>
        <xdr:sp macro="[0]!workbook_close" textlink="">
          <xdr:nvSpPr>
            <xdr:cNvPr id="9" name="Seta: para Baixo 28">
              <a:extLst>
                <a:ext uri="{FF2B5EF4-FFF2-40B4-BE49-F238E27FC236}">
                  <a16:creationId xmlns:a16="http://schemas.microsoft.com/office/drawing/2014/main" id="{337269D4-CA71-D621-A105-719322AB6112}"/>
                </a:ext>
              </a:extLst>
            </xdr:cNvPr>
            <xdr:cNvSpPr/>
          </xdr:nvSpPr>
          <xdr:spPr>
            <a:xfrm>
              <a:off x="11895388" y="66824"/>
              <a:ext cx="23576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[0]!workbook_open" textlink="">
          <xdr:nvSpPr>
            <xdr:cNvPr id="10" name="Seta: para Baixo 9">
              <a:extLst>
                <a:ext uri="{FF2B5EF4-FFF2-40B4-BE49-F238E27FC236}">
                  <a16:creationId xmlns:a16="http://schemas.microsoft.com/office/drawing/2014/main" id="{24188CEF-7E69-FFA3-8E37-70F1D50AF935}"/>
                </a:ext>
              </a:extLst>
            </xdr:cNvPr>
            <xdr:cNvSpPr/>
          </xdr:nvSpPr>
          <xdr:spPr>
            <a:xfrm rot="10800000">
              <a:off x="11674297" y="38184"/>
              <a:ext cx="23958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" name="Retângulo 1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DF60EBCF-4307-5FD9-B2D3-866201998059}"/>
                </a:ext>
              </a:extLst>
            </xdr:cNvPr>
            <xdr:cNvSpPr/>
          </xdr:nvSpPr>
          <xdr:spPr>
            <a:xfrm>
              <a:off x="772544" y="0"/>
              <a:ext cx="933017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CADASTROS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ABE06DF8-7A9A-AFF5-3507-9C96CE6454B4}"/>
                </a:ext>
              </a:extLst>
            </xdr:cNvPr>
            <xdr:cNvSpPr/>
          </xdr:nvSpPr>
          <xdr:spPr>
            <a:xfrm>
              <a:off x="1713565" y="0"/>
              <a:ext cx="1148329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LANÇAMENTOS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F6E31987-EE99-E141-CC68-D391F864160C}"/>
                </a:ext>
              </a:extLst>
            </xdr:cNvPr>
            <xdr:cNvSpPr/>
          </xdr:nvSpPr>
          <xdr:spPr>
            <a:xfrm>
              <a:off x="2874719" y="0"/>
              <a:ext cx="972072" cy="313897"/>
            </a:xfrm>
            <a:prstGeom prst="rect">
              <a:avLst/>
            </a:prstGeom>
            <a:solidFill>
              <a:srgbClr val="EBEBEB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RELATÓRIOSS</a:t>
              </a:r>
            </a:p>
          </xdr:txBody>
        </xdr:sp>
        <xdr:sp macro="" textlink="">
          <xdr:nvSpPr>
            <xdr:cNvPr id="14" name="Retângulo 1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5D9207C3-8B31-DEC9-F91E-B418CE7D9D9F}"/>
                </a:ext>
              </a:extLst>
            </xdr:cNvPr>
            <xdr:cNvSpPr/>
          </xdr:nvSpPr>
          <xdr:spPr>
            <a:xfrm>
              <a:off x="3849282" y="0"/>
              <a:ext cx="968903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DASHBOARD</a:t>
              </a:r>
            </a:p>
          </xdr:txBody>
        </xdr:sp>
        <xdr:grpSp>
          <xdr:nvGrpSpPr>
            <xdr:cNvPr id="15" name="Gráfico 2" descr="Impressora">
              <a:extLst>
                <a:ext uri="{FF2B5EF4-FFF2-40B4-BE49-F238E27FC236}">
                  <a16:creationId xmlns:a16="http://schemas.microsoft.com/office/drawing/2014/main" id="{906DC0EB-2544-9D26-E472-852129670FA8}"/>
                </a:ext>
              </a:extLst>
            </xdr:cNvPr>
            <xdr:cNvGrpSpPr/>
          </xdr:nvGrpSpPr>
          <xdr:grpSpPr>
            <a:xfrm>
              <a:off x="12183371" y="0"/>
              <a:ext cx="280353" cy="289536"/>
              <a:chOff x="0" y="0"/>
              <a:chExt cx="914400" cy="914400"/>
            </a:xfrm>
            <a:solidFill>
              <a:schemeClr val="bg1"/>
            </a:solidFill>
          </xdr:grpSpPr>
          <xdr:sp macro="[0]!Imprimir" textlink="">
            <xdr:nvSpPr>
              <xdr:cNvPr id="29" name="Forma Livre: Forma 28">
                <a:extLst>
                  <a:ext uri="{FF2B5EF4-FFF2-40B4-BE49-F238E27FC236}">
                    <a16:creationId xmlns:a16="http://schemas.microsoft.com/office/drawing/2014/main" id="{C1CC51E3-49DE-B8B5-C910-9F31ED39E229}"/>
                  </a:ext>
                </a:extLst>
              </xdr:cNvPr>
              <xdr:cNvSpPr/>
            </xdr:nvSpPr>
            <xdr:spPr>
              <a:xfrm>
                <a:off x="228600" y="538163"/>
                <a:ext cx="447675" cy="304800"/>
              </a:xfrm>
              <a:custGeom>
                <a:avLst/>
                <a:gdLst>
                  <a:gd name="connsiteX0" fmla="*/ 400050 w 447675"/>
                  <a:gd name="connsiteY0" fmla="*/ 57150 h 304800"/>
                  <a:gd name="connsiteX1" fmla="*/ 399098 w 447675"/>
                  <a:gd name="connsiteY1" fmla="*/ 247650 h 304800"/>
                  <a:gd name="connsiteX2" fmla="*/ 59055 w 447675"/>
                  <a:gd name="connsiteY2" fmla="*/ 247650 h 304800"/>
                  <a:gd name="connsiteX3" fmla="*/ 57150 w 447675"/>
                  <a:gd name="connsiteY3" fmla="*/ 57150 h 304800"/>
                  <a:gd name="connsiteX4" fmla="*/ 400050 w 447675"/>
                  <a:gd name="connsiteY4" fmla="*/ 57150 h 304800"/>
                  <a:gd name="connsiteX5" fmla="*/ 1905 w 447675"/>
                  <a:gd name="connsiteY5" fmla="*/ 304800 h 304800"/>
                  <a:gd name="connsiteX6" fmla="*/ 455295 w 447675"/>
                  <a:gd name="connsiteY6" fmla="*/ 304800 h 304800"/>
                  <a:gd name="connsiteX7" fmla="*/ 456248 w 447675"/>
                  <a:gd name="connsiteY7" fmla="*/ 0 h 304800"/>
                  <a:gd name="connsiteX8" fmla="*/ 0 w 447675"/>
                  <a:gd name="connsiteY8" fmla="*/ 0 h 304800"/>
                  <a:gd name="connsiteX9" fmla="*/ 1905 w 447675"/>
                  <a:gd name="connsiteY9" fmla="*/ 304800 h 3048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447675" h="304800">
                    <a:moveTo>
                      <a:pt x="400050" y="57150"/>
                    </a:moveTo>
                    <a:lnTo>
                      <a:pt x="399098" y="247650"/>
                    </a:lnTo>
                    <a:lnTo>
                      <a:pt x="59055" y="247650"/>
                    </a:lnTo>
                    <a:lnTo>
                      <a:pt x="57150" y="57150"/>
                    </a:lnTo>
                    <a:lnTo>
                      <a:pt x="400050" y="57150"/>
                    </a:lnTo>
                    <a:close/>
                    <a:moveTo>
                      <a:pt x="1905" y="304800"/>
                    </a:moveTo>
                    <a:lnTo>
                      <a:pt x="455295" y="304800"/>
                    </a:lnTo>
                    <a:lnTo>
                      <a:pt x="456248" y="0"/>
                    </a:lnTo>
                    <a:lnTo>
                      <a:pt x="0" y="0"/>
                    </a:lnTo>
                    <a:lnTo>
                      <a:pt x="1905" y="3048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30" name="Forma Livre: Forma 29">
                <a:extLst>
                  <a:ext uri="{FF2B5EF4-FFF2-40B4-BE49-F238E27FC236}">
                    <a16:creationId xmlns:a16="http://schemas.microsoft.com/office/drawing/2014/main" id="{DC0AF457-33BF-05A5-418B-D4C839C83811}"/>
                  </a:ext>
                </a:extLst>
              </xdr:cNvPr>
              <xdr:cNvSpPr/>
            </xdr:nvSpPr>
            <xdr:spPr>
              <a:xfrm>
                <a:off x="361950" y="6334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31" name="Forma Livre: Forma 30">
                <a:extLst>
                  <a:ext uri="{FF2B5EF4-FFF2-40B4-BE49-F238E27FC236}">
                    <a16:creationId xmlns:a16="http://schemas.microsoft.com/office/drawing/2014/main" id="{8AC9CAC2-DD7A-F93D-B19C-35B337DE4663}"/>
                  </a:ext>
                </a:extLst>
              </xdr:cNvPr>
              <xdr:cNvSpPr/>
            </xdr:nvSpPr>
            <xdr:spPr>
              <a:xfrm>
                <a:off x="361950" y="7096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58" name="Forma Livre: Forma 57">
                <a:extLst>
                  <a:ext uri="{FF2B5EF4-FFF2-40B4-BE49-F238E27FC236}">
                    <a16:creationId xmlns:a16="http://schemas.microsoft.com/office/drawing/2014/main" id="{2314A829-A46E-2199-1544-BD6D39127AC8}"/>
                  </a:ext>
                </a:extLst>
              </xdr:cNvPr>
              <xdr:cNvSpPr/>
            </xdr:nvSpPr>
            <xdr:spPr>
              <a:xfrm>
                <a:off x="38100" y="76200"/>
                <a:ext cx="838200" cy="647700"/>
              </a:xfrm>
              <a:custGeom>
                <a:avLst/>
                <a:gdLst>
                  <a:gd name="connsiteX0" fmla="*/ 590550 w 838200"/>
                  <a:gd name="connsiteY0" fmla="*/ 276225 h 647700"/>
                  <a:gd name="connsiteX1" fmla="*/ 247650 w 838200"/>
                  <a:gd name="connsiteY1" fmla="*/ 276225 h 647700"/>
                  <a:gd name="connsiteX2" fmla="*/ 247650 w 838200"/>
                  <a:gd name="connsiteY2" fmla="*/ 57150 h 647700"/>
                  <a:gd name="connsiteX3" fmla="*/ 457200 w 838200"/>
                  <a:gd name="connsiteY3" fmla="*/ 57150 h 647700"/>
                  <a:gd name="connsiteX4" fmla="*/ 457200 w 838200"/>
                  <a:gd name="connsiteY4" fmla="*/ 190500 h 647700"/>
                  <a:gd name="connsiteX5" fmla="*/ 590550 w 838200"/>
                  <a:gd name="connsiteY5" fmla="*/ 190500 h 647700"/>
                  <a:gd name="connsiteX6" fmla="*/ 590550 w 838200"/>
                  <a:gd name="connsiteY6" fmla="*/ 276225 h 647700"/>
                  <a:gd name="connsiteX7" fmla="*/ 514350 w 838200"/>
                  <a:gd name="connsiteY7" fmla="*/ 60960 h 647700"/>
                  <a:gd name="connsiteX8" fmla="*/ 580073 w 838200"/>
                  <a:gd name="connsiteY8" fmla="*/ 133350 h 647700"/>
                  <a:gd name="connsiteX9" fmla="*/ 514350 w 838200"/>
                  <a:gd name="connsiteY9" fmla="*/ 133350 h 647700"/>
                  <a:gd name="connsiteX10" fmla="*/ 514350 w 838200"/>
                  <a:gd name="connsiteY10" fmla="*/ 60960 h 647700"/>
                  <a:gd name="connsiteX11" fmla="*/ 95250 w 838200"/>
                  <a:gd name="connsiteY11" fmla="*/ 323850 h 647700"/>
                  <a:gd name="connsiteX12" fmla="*/ 57150 w 838200"/>
                  <a:gd name="connsiteY12" fmla="*/ 285750 h 647700"/>
                  <a:gd name="connsiteX13" fmla="*/ 95250 w 838200"/>
                  <a:gd name="connsiteY13" fmla="*/ 247650 h 647700"/>
                  <a:gd name="connsiteX14" fmla="*/ 133350 w 838200"/>
                  <a:gd name="connsiteY14" fmla="*/ 285750 h 647700"/>
                  <a:gd name="connsiteX15" fmla="*/ 95250 w 838200"/>
                  <a:gd name="connsiteY15" fmla="*/ 323850 h 647700"/>
                  <a:gd name="connsiteX16" fmla="*/ 800100 w 838200"/>
                  <a:gd name="connsiteY16" fmla="*/ 190500 h 647700"/>
                  <a:gd name="connsiteX17" fmla="*/ 647700 w 838200"/>
                  <a:gd name="connsiteY17" fmla="*/ 190500 h 647700"/>
                  <a:gd name="connsiteX18" fmla="*/ 647700 w 838200"/>
                  <a:gd name="connsiteY18" fmla="*/ 121920 h 647700"/>
                  <a:gd name="connsiteX19" fmla="*/ 536258 w 838200"/>
                  <a:gd name="connsiteY19" fmla="*/ 0 h 647700"/>
                  <a:gd name="connsiteX20" fmla="*/ 190500 w 838200"/>
                  <a:gd name="connsiteY20" fmla="*/ 0 h 647700"/>
                  <a:gd name="connsiteX21" fmla="*/ 190500 w 838200"/>
                  <a:gd name="connsiteY21" fmla="*/ 190500 h 647700"/>
                  <a:gd name="connsiteX22" fmla="*/ 38100 w 838200"/>
                  <a:gd name="connsiteY22" fmla="*/ 190500 h 647700"/>
                  <a:gd name="connsiteX23" fmla="*/ 0 w 838200"/>
                  <a:gd name="connsiteY23" fmla="*/ 228600 h 647700"/>
                  <a:gd name="connsiteX24" fmla="*/ 0 w 838200"/>
                  <a:gd name="connsiteY24" fmla="*/ 609600 h 647700"/>
                  <a:gd name="connsiteX25" fmla="*/ 38100 w 838200"/>
                  <a:gd name="connsiteY25" fmla="*/ 647700 h 647700"/>
                  <a:gd name="connsiteX26" fmla="*/ 152400 w 838200"/>
                  <a:gd name="connsiteY26" fmla="*/ 647700 h 647700"/>
                  <a:gd name="connsiteX27" fmla="*/ 152400 w 838200"/>
                  <a:gd name="connsiteY27" fmla="*/ 428625 h 647700"/>
                  <a:gd name="connsiteX28" fmla="*/ 685800 w 838200"/>
                  <a:gd name="connsiteY28" fmla="*/ 428625 h 647700"/>
                  <a:gd name="connsiteX29" fmla="*/ 685800 w 838200"/>
                  <a:gd name="connsiteY29" fmla="*/ 647700 h 647700"/>
                  <a:gd name="connsiteX30" fmla="*/ 800100 w 838200"/>
                  <a:gd name="connsiteY30" fmla="*/ 647700 h 647700"/>
                  <a:gd name="connsiteX31" fmla="*/ 838200 w 838200"/>
                  <a:gd name="connsiteY31" fmla="*/ 609600 h 647700"/>
                  <a:gd name="connsiteX32" fmla="*/ 838200 w 838200"/>
                  <a:gd name="connsiteY32" fmla="*/ 228600 h 647700"/>
                  <a:gd name="connsiteX33" fmla="*/ 800100 w 838200"/>
                  <a:gd name="connsiteY33" fmla="*/ 190500 h 6477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</a:cxnLst>
                <a:rect l="l" t="t" r="r" b="b"/>
                <a:pathLst>
                  <a:path w="838200" h="647700">
                    <a:moveTo>
                      <a:pt x="590550" y="276225"/>
                    </a:moveTo>
                    <a:lnTo>
                      <a:pt x="247650" y="276225"/>
                    </a:lnTo>
                    <a:lnTo>
                      <a:pt x="247650" y="57150"/>
                    </a:lnTo>
                    <a:lnTo>
                      <a:pt x="457200" y="57150"/>
                    </a:lnTo>
                    <a:lnTo>
                      <a:pt x="457200" y="190500"/>
                    </a:lnTo>
                    <a:lnTo>
                      <a:pt x="590550" y="190500"/>
                    </a:lnTo>
                    <a:lnTo>
                      <a:pt x="590550" y="276225"/>
                    </a:lnTo>
                    <a:close/>
                    <a:moveTo>
                      <a:pt x="514350" y="60960"/>
                    </a:moveTo>
                    <a:lnTo>
                      <a:pt x="580073" y="133350"/>
                    </a:lnTo>
                    <a:lnTo>
                      <a:pt x="514350" y="133350"/>
                    </a:lnTo>
                    <a:lnTo>
                      <a:pt x="514350" y="60960"/>
                    </a:lnTo>
                    <a:close/>
                    <a:moveTo>
                      <a:pt x="95250" y="323850"/>
                    </a:moveTo>
                    <a:cubicBezTo>
                      <a:pt x="74295" y="323850"/>
                      <a:pt x="57150" y="306705"/>
                      <a:pt x="57150" y="285750"/>
                    </a:cubicBezTo>
                    <a:cubicBezTo>
                      <a:pt x="57150" y="264795"/>
                      <a:pt x="74295" y="247650"/>
                      <a:pt x="95250" y="247650"/>
                    </a:cubicBezTo>
                    <a:cubicBezTo>
                      <a:pt x="116205" y="247650"/>
                      <a:pt x="133350" y="264795"/>
                      <a:pt x="133350" y="285750"/>
                    </a:cubicBezTo>
                    <a:cubicBezTo>
                      <a:pt x="133350" y="306705"/>
                      <a:pt x="116205" y="323850"/>
                      <a:pt x="95250" y="323850"/>
                    </a:cubicBezTo>
                    <a:close/>
                    <a:moveTo>
                      <a:pt x="800100" y="190500"/>
                    </a:moveTo>
                    <a:lnTo>
                      <a:pt x="647700" y="190500"/>
                    </a:lnTo>
                    <a:lnTo>
                      <a:pt x="647700" y="121920"/>
                    </a:lnTo>
                    <a:lnTo>
                      <a:pt x="536258" y="0"/>
                    </a:lnTo>
                    <a:lnTo>
                      <a:pt x="190500" y="0"/>
                    </a:lnTo>
                    <a:lnTo>
                      <a:pt x="190500" y="190500"/>
                    </a:lnTo>
                    <a:lnTo>
                      <a:pt x="38100" y="190500"/>
                    </a:lnTo>
                    <a:cubicBezTo>
                      <a:pt x="17145" y="190500"/>
                      <a:pt x="0" y="207645"/>
                      <a:pt x="0" y="228600"/>
                    </a:cubicBezTo>
                    <a:lnTo>
                      <a:pt x="0" y="609600"/>
                    </a:lnTo>
                    <a:cubicBezTo>
                      <a:pt x="0" y="630555"/>
                      <a:pt x="17145" y="647700"/>
                      <a:pt x="38100" y="647700"/>
                    </a:cubicBezTo>
                    <a:lnTo>
                      <a:pt x="152400" y="647700"/>
                    </a:lnTo>
                    <a:lnTo>
                      <a:pt x="152400" y="428625"/>
                    </a:lnTo>
                    <a:lnTo>
                      <a:pt x="685800" y="428625"/>
                    </a:lnTo>
                    <a:lnTo>
                      <a:pt x="685800" y="647700"/>
                    </a:lnTo>
                    <a:lnTo>
                      <a:pt x="800100" y="647700"/>
                    </a:lnTo>
                    <a:cubicBezTo>
                      <a:pt x="821055" y="647700"/>
                      <a:pt x="838200" y="630555"/>
                      <a:pt x="838200" y="609600"/>
                    </a:cubicBezTo>
                    <a:lnTo>
                      <a:pt x="838200" y="228600"/>
                    </a:lnTo>
                    <a:cubicBezTo>
                      <a:pt x="838200" y="207645"/>
                      <a:pt x="821055" y="190500"/>
                      <a:pt x="800100" y="190500"/>
                    </a:cubicBez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</xdr:grp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16" name="Imagem 15">
                  <a:extLst>
                    <a:ext uri="{FF2B5EF4-FFF2-40B4-BE49-F238E27FC236}">
                      <a16:creationId xmlns:a16="http://schemas.microsoft.com/office/drawing/2014/main" id="{0227ABF3-DF75-BAE4-018C-F385882DB56A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MENU!$F$2" spid="_x0000_s212099"/>
                    </a:ext>
                  </a:extLst>
                </xdr:cNvPicPr>
              </xdr:nvPicPr>
              <xdr:blipFill rotWithShape="1">
                <a:blip xmlns:r="http://schemas.openxmlformats.org/officeDocument/2006/relationships" r:embed="rId6"/>
                <a:srcRect b="4887"/>
                <a:stretch>
                  <a:fillRect/>
                </a:stretch>
              </xdr:blipFill>
              <xdr:spPr>
                <a:xfrm rot="5400000">
                  <a:off x="103834" y="-103834"/>
                  <a:ext cx="574836" cy="782503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  <xdr:sp macro="" textlink="">
          <xdr:nvSpPr>
            <xdr:cNvPr id="17" name="Retângulo 16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A6C724F9-29F3-E337-0BDB-47D912BD907F}"/>
                </a:ext>
              </a:extLst>
            </xdr:cNvPr>
            <xdr:cNvSpPr/>
          </xdr:nvSpPr>
          <xdr:spPr>
            <a:xfrm>
              <a:off x="9618853" y="361950"/>
              <a:ext cx="1250894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PAGAR</a:t>
              </a:r>
            </a:p>
          </xdr:txBody>
        </xdr:sp>
        <xdr:sp macro="" textlink="">
          <xdr:nvSpPr>
            <xdr:cNvPr id="18" name="Retângulo 1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46E70FD8-FED3-153F-46C3-E0E858B17318}"/>
                </a:ext>
              </a:extLst>
            </xdr:cNvPr>
            <xdr:cNvSpPr/>
          </xdr:nvSpPr>
          <xdr:spPr>
            <a:xfrm>
              <a:off x="771525" y="362132"/>
              <a:ext cx="1550561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BRUTO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19" name="Retângulo 18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7ADDA555-1F26-8201-F200-E60A9E474A04}"/>
                </a:ext>
              </a:extLst>
            </xdr:cNvPr>
            <xdr:cNvSpPr/>
          </xdr:nvSpPr>
          <xdr:spPr>
            <a:xfrm>
              <a:off x="2337105" y="362132"/>
              <a:ext cx="1660138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LÍQUIDO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20" name="Retângulo 19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F8D8BF84-C70A-FC16-0717-FFCBC48EFC2C}"/>
                </a:ext>
              </a:extLst>
            </xdr:cNvPr>
            <xdr:cNvSpPr/>
          </xdr:nvSpPr>
          <xdr:spPr>
            <a:xfrm>
              <a:off x="7084042" y="361950"/>
              <a:ext cx="1186806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FLUXO DE CAIXA</a:t>
              </a:r>
            </a:p>
          </xdr:txBody>
        </xdr:sp>
        <xdr:sp macro="" textlink="">
          <xdr:nvSpPr>
            <xdr:cNvPr id="21" name="Retângulo 2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6EE9DD39-DE5F-E5D8-8AA7-C27458508DFD}"/>
                </a:ext>
              </a:extLst>
            </xdr:cNvPr>
            <xdr:cNvSpPr/>
          </xdr:nvSpPr>
          <xdr:spPr>
            <a:xfrm>
              <a:off x="8273481" y="361950"/>
              <a:ext cx="1333475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RECEBER</a:t>
              </a:r>
            </a:p>
          </xdr:txBody>
        </xdr:sp>
        <xdr:sp macro="" textlink="">
          <xdr:nvSpPr>
            <xdr:cNvPr id="22" name="Retângulo 21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6F8DB134-7DFE-12CF-4F0C-48F5E31C9093}"/>
                </a:ext>
              </a:extLst>
            </xdr:cNvPr>
            <xdr:cNvSpPr/>
          </xdr:nvSpPr>
          <xdr:spPr>
            <a:xfrm>
              <a:off x="12385551" y="361950"/>
              <a:ext cx="1224000" cy="19542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DRE FINANCEIRA</a:t>
              </a:r>
            </a:p>
          </xdr:txBody>
        </xdr:sp>
        <xdr:sp macro="" textlink="">
          <xdr:nvSpPr>
            <xdr:cNvPr id="24" name="Retângulo 23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7F757667-F6D2-650E-2458-8CF515942608}"/>
                </a:ext>
              </a:extLst>
            </xdr:cNvPr>
            <xdr:cNvSpPr/>
          </xdr:nvSpPr>
          <xdr:spPr>
            <a:xfrm>
              <a:off x="13630231" y="361950"/>
              <a:ext cx="702806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BANCOS</a:t>
              </a:r>
            </a:p>
          </xdr:txBody>
        </xdr:sp>
        <xdr:sp macro="" textlink="">
          <xdr:nvSpPr>
            <xdr:cNvPr id="26" name="Retângulo 2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BB4E88A2-6B15-B42E-DFAC-EAE79331A8A8}"/>
                </a:ext>
              </a:extLst>
            </xdr:cNvPr>
            <xdr:cNvSpPr/>
          </xdr:nvSpPr>
          <xdr:spPr>
            <a:xfrm>
              <a:off x="5637032" y="361950"/>
              <a:ext cx="143697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RESULTADO</a:t>
              </a:r>
              <a:r>
                <a:rPr lang="pt-BR" sz="1100" b="1" i="0" baseline="0">
                  <a:solidFill>
                    <a:srgbClr val="797979"/>
                  </a:solidFill>
                </a:rPr>
                <a:t> POR DIA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27" name="Retângulo 2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C8B28B05-6D8E-D7E6-F2CC-387CF0AEA1D5}"/>
                </a:ext>
              </a:extLst>
            </xdr:cNvPr>
            <xdr:cNvSpPr/>
          </xdr:nvSpPr>
          <xdr:spPr>
            <a:xfrm>
              <a:off x="4008775" y="361950"/>
              <a:ext cx="162100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DESPESAS FINANCEIRAS</a:t>
              </a:r>
            </a:p>
          </xdr:txBody>
        </xdr:sp>
        <xdr:sp macro="" textlink="">
          <xdr:nvSpPr>
            <xdr:cNvPr id="28" name="Retângulo 2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EA3D5614-D203-5F99-4FD3-BB991552BEEB}"/>
                </a:ext>
              </a:extLst>
            </xdr:cNvPr>
            <xdr:cNvSpPr/>
          </xdr:nvSpPr>
          <xdr:spPr>
            <a:xfrm>
              <a:off x="10878008" y="361950"/>
              <a:ext cx="1481075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VALORES EM ABERTO</a:t>
              </a:r>
            </a:p>
          </xdr:txBody>
        </xdr:sp>
      </xdr:grp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B1DDE2D1-FE41-61A3-B0E0-1340175ADE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0" y="0"/>
            <a:ext cx="742950" cy="619125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</xdr:colOff>
          <xdr:row>3</xdr:row>
          <xdr:rowOff>22860</xdr:rowOff>
        </xdr:from>
        <xdr:to>
          <xdr:col>5</xdr:col>
          <xdr:colOff>0</xdr:colOff>
          <xdr:row>4</xdr:row>
          <xdr:rowOff>0</xdr:rowOff>
        </xdr:to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00000000-0008-0000-1600-000003000000}"/>
                </a:ext>
              </a:extLst>
            </xdr:cNvPr>
            <xdr:cNvGrpSpPr/>
          </xdr:nvGrpSpPr>
          <xdr:grpSpPr>
            <a:xfrm>
              <a:off x="60247" y="634653"/>
              <a:ext cx="3939431" cy="220541"/>
              <a:chOff x="53340" y="632460"/>
              <a:chExt cx="3718562" cy="220980"/>
            </a:xfrm>
          </xdr:grpSpPr>
          <xdr:sp macro="" textlink="">
            <xdr:nvSpPr>
              <xdr:cNvPr id="59394" name="Drop Down 2" hidden="1">
                <a:extLst>
                  <a:ext uri="{63B3BB69-23CF-44E3-9099-C40C66FF867C}">
                    <a14:compatExt spid="_x0000_s59394"/>
                  </a:ext>
                  <a:ext uri="{FF2B5EF4-FFF2-40B4-BE49-F238E27FC236}">
                    <a16:creationId xmlns:a16="http://schemas.microsoft.com/office/drawing/2014/main" id="{00000000-0008-0000-1200-000002E80000}"/>
                  </a:ext>
                </a:extLst>
              </xdr:cNvPr>
              <xdr:cNvSpPr/>
            </xdr:nvSpPr>
            <xdr:spPr bwMode="auto">
              <a:xfrm>
                <a:off x="53340" y="632460"/>
                <a:ext cx="868705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9395" name="Drop Down 3" hidden="1">
                <a:extLst>
                  <a:ext uri="{63B3BB69-23CF-44E3-9099-C40C66FF867C}">
                    <a14:compatExt spid="_x0000_s59395"/>
                  </a:ext>
                  <a:ext uri="{FF2B5EF4-FFF2-40B4-BE49-F238E27FC236}">
                    <a16:creationId xmlns:a16="http://schemas.microsoft.com/office/drawing/2014/main" id="{00000000-0008-0000-1200-000003E80000}"/>
                  </a:ext>
                </a:extLst>
              </xdr:cNvPr>
              <xdr:cNvSpPr/>
            </xdr:nvSpPr>
            <xdr:spPr bwMode="auto">
              <a:xfrm>
                <a:off x="2354580" y="632460"/>
                <a:ext cx="1417322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9396" name="Drop Down 4" hidden="1">
                <a:extLst>
                  <a:ext uri="{63B3BB69-23CF-44E3-9099-C40C66FF867C}">
                    <a14:compatExt spid="_x0000_s59396"/>
                  </a:ext>
                  <a:ext uri="{FF2B5EF4-FFF2-40B4-BE49-F238E27FC236}">
                    <a16:creationId xmlns:a16="http://schemas.microsoft.com/office/drawing/2014/main" id="{00000000-0008-0000-1200-000004E80000}"/>
                  </a:ext>
                </a:extLst>
              </xdr:cNvPr>
              <xdr:cNvSpPr/>
            </xdr:nvSpPr>
            <xdr:spPr bwMode="auto">
              <a:xfrm>
                <a:off x="929640" y="632460"/>
                <a:ext cx="142494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18</xdr:col>
      <xdr:colOff>16962</xdr:colOff>
      <xdr:row>3</xdr:row>
      <xdr:rowOff>9525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5D0BA247-015C-42C2-8B8F-D56CE06180DC}"/>
            </a:ext>
          </a:extLst>
        </xdr:cNvPr>
        <xdr:cNvGrpSpPr/>
      </xdr:nvGrpSpPr>
      <xdr:grpSpPr>
        <a:xfrm>
          <a:off x="0" y="0"/>
          <a:ext cx="15594654" cy="621318"/>
          <a:chOff x="0" y="0"/>
          <a:chExt cx="14333037" cy="619125"/>
        </a:xfrm>
      </xdr:grpSpPr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0D62CF23-F9EC-5E59-E45A-5DFBF32AA777}"/>
              </a:ext>
            </a:extLst>
          </xdr:cNvPr>
          <xdr:cNvGrpSpPr/>
        </xdr:nvGrpSpPr>
        <xdr:grpSpPr>
          <a:xfrm>
            <a:off x="0" y="0"/>
            <a:ext cx="14333037" cy="574836"/>
            <a:chOff x="0" y="0"/>
            <a:chExt cx="14333037" cy="574836"/>
          </a:xfrm>
        </xdr:grpSpPr>
        <xdr:sp macro="[0]!Salvar" textlink="">
          <xdr:nvSpPr>
            <xdr:cNvPr id="7" name="Retângulo Arredondado 1">
              <a:extLst>
                <a:ext uri="{FF2B5EF4-FFF2-40B4-BE49-F238E27FC236}">
                  <a16:creationId xmlns:a16="http://schemas.microsoft.com/office/drawing/2014/main" id="{DBD1893C-553A-09B0-53DE-4EBE9BED933C}"/>
                </a:ext>
              </a:extLst>
            </xdr:cNvPr>
            <xdr:cNvSpPr/>
          </xdr:nvSpPr>
          <xdr:spPr>
            <a:xfrm>
              <a:off x="10707213" y="66824"/>
              <a:ext cx="88387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SALVAR</a:t>
              </a:r>
            </a:p>
          </xdr:txBody>
        </xdr:sp>
        <xdr:sp macro="" textlink="">
          <xdr:nvSpPr>
            <xdr:cNvPr id="8" name="Retângulo Arredondado 20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2213761-A2D6-B530-854F-2B870D948CB3}"/>
                </a:ext>
              </a:extLst>
            </xdr:cNvPr>
            <xdr:cNvSpPr/>
          </xdr:nvSpPr>
          <xdr:spPr>
            <a:xfrm>
              <a:off x="9838931" y="66824"/>
              <a:ext cx="840545" cy="200469"/>
            </a:xfrm>
            <a:prstGeom prst="round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accent1"/>
                  </a:solidFill>
                </a:rPr>
                <a:t>MENU</a:t>
              </a:r>
            </a:p>
          </xdr:txBody>
        </xdr:sp>
        <xdr:sp macro="[0]!workbook_close" textlink="">
          <xdr:nvSpPr>
            <xdr:cNvPr id="9" name="Seta: para Baixo 28">
              <a:extLst>
                <a:ext uri="{FF2B5EF4-FFF2-40B4-BE49-F238E27FC236}">
                  <a16:creationId xmlns:a16="http://schemas.microsoft.com/office/drawing/2014/main" id="{20014890-B6C4-90EF-3186-F91BB2577C38}"/>
                </a:ext>
              </a:extLst>
            </xdr:cNvPr>
            <xdr:cNvSpPr/>
          </xdr:nvSpPr>
          <xdr:spPr>
            <a:xfrm>
              <a:off x="11895388" y="66824"/>
              <a:ext cx="23576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[0]!workbook_open" textlink="">
          <xdr:nvSpPr>
            <xdr:cNvPr id="10" name="Seta: para Baixo 9">
              <a:extLst>
                <a:ext uri="{FF2B5EF4-FFF2-40B4-BE49-F238E27FC236}">
                  <a16:creationId xmlns:a16="http://schemas.microsoft.com/office/drawing/2014/main" id="{5ADC9256-0273-DA21-5A7E-57F38C5EC815}"/>
                </a:ext>
              </a:extLst>
            </xdr:cNvPr>
            <xdr:cNvSpPr/>
          </xdr:nvSpPr>
          <xdr:spPr>
            <a:xfrm rot="10800000">
              <a:off x="11674297" y="38184"/>
              <a:ext cx="239582" cy="219562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" name="Retângulo 1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9FC90590-18FE-D0F3-5065-3F2ED2099857}"/>
                </a:ext>
              </a:extLst>
            </xdr:cNvPr>
            <xdr:cNvSpPr/>
          </xdr:nvSpPr>
          <xdr:spPr>
            <a:xfrm>
              <a:off x="772544" y="0"/>
              <a:ext cx="933017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CADASTROS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51DCA2AE-4D53-9C7B-B4F1-EB0FFF53BF9E}"/>
                </a:ext>
              </a:extLst>
            </xdr:cNvPr>
            <xdr:cNvSpPr/>
          </xdr:nvSpPr>
          <xdr:spPr>
            <a:xfrm>
              <a:off x="1713565" y="0"/>
              <a:ext cx="1148329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LANÇAMENTOS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2F20D90D-4829-32A7-701A-74357996762A}"/>
                </a:ext>
              </a:extLst>
            </xdr:cNvPr>
            <xdr:cNvSpPr/>
          </xdr:nvSpPr>
          <xdr:spPr>
            <a:xfrm>
              <a:off x="2874719" y="0"/>
              <a:ext cx="972072" cy="313897"/>
            </a:xfrm>
            <a:prstGeom prst="rect">
              <a:avLst/>
            </a:prstGeom>
            <a:solidFill>
              <a:srgbClr val="EBEBEB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RELATÓRIOSS</a:t>
              </a:r>
            </a:p>
          </xdr:txBody>
        </xdr:sp>
        <xdr:sp macro="" textlink="">
          <xdr:nvSpPr>
            <xdr:cNvPr id="14" name="Retângulo 1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EEFFA2AF-199D-3735-7FE2-3A935D161E25}"/>
                </a:ext>
              </a:extLst>
            </xdr:cNvPr>
            <xdr:cNvSpPr/>
          </xdr:nvSpPr>
          <xdr:spPr>
            <a:xfrm>
              <a:off x="3849282" y="0"/>
              <a:ext cx="968903" cy="3138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100" b="1" i="0">
                  <a:solidFill>
                    <a:schemeClr val="bg1"/>
                  </a:solidFill>
                </a:rPr>
                <a:t>DASHBOARD</a:t>
              </a:r>
            </a:p>
          </xdr:txBody>
        </xdr:sp>
        <xdr:grpSp>
          <xdr:nvGrpSpPr>
            <xdr:cNvPr id="15" name="Gráfico 2" descr="Impressora">
              <a:extLst>
                <a:ext uri="{FF2B5EF4-FFF2-40B4-BE49-F238E27FC236}">
                  <a16:creationId xmlns:a16="http://schemas.microsoft.com/office/drawing/2014/main" id="{42C49F9D-4F19-941F-71E0-93E6E36D5B17}"/>
                </a:ext>
              </a:extLst>
            </xdr:cNvPr>
            <xdr:cNvGrpSpPr/>
          </xdr:nvGrpSpPr>
          <xdr:grpSpPr>
            <a:xfrm>
              <a:off x="12183371" y="0"/>
              <a:ext cx="280353" cy="289536"/>
              <a:chOff x="0" y="0"/>
              <a:chExt cx="914400" cy="914400"/>
            </a:xfrm>
            <a:solidFill>
              <a:schemeClr val="bg1"/>
            </a:solidFill>
          </xdr:grpSpPr>
          <xdr:sp macro="[0]!Imprimir" textlink="">
            <xdr:nvSpPr>
              <xdr:cNvPr id="29" name="Forma Livre: Forma 28">
                <a:extLst>
                  <a:ext uri="{FF2B5EF4-FFF2-40B4-BE49-F238E27FC236}">
                    <a16:creationId xmlns:a16="http://schemas.microsoft.com/office/drawing/2014/main" id="{00882BF9-917E-2AC9-E110-0B56C8CF295C}"/>
                  </a:ext>
                </a:extLst>
              </xdr:cNvPr>
              <xdr:cNvSpPr/>
            </xdr:nvSpPr>
            <xdr:spPr>
              <a:xfrm>
                <a:off x="228600" y="538163"/>
                <a:ext cx="447675" cy="304800"/>
              </a:xfrm>
              <a:custGeom>
                <a:avLst/>
                <a:gdLst>
                  <a:gd name="connsiteX0" fmla="*/ 400050 w 447675"/>
                  <a:gd name="connsiteY0" fmla="*/ 57150 h 304800"/>
                  <a:gd name="connsiteX1" fmla="*/ 399098 w 447675"/>
                  <a:gd name="connsiteY1" fmla="*/ 247650 h 304800"/>
                  <a:gd name="connsiteX2" fmla="*/ 59055 w 447675"/>
                  <a:gd name="connsiteY2" fmla="*/ 247650 h 304800"/>
                  <a:gd name="connsiteX3" fmla="*/ 57150 w 447675"/>
                  <a:gd name="connsiteY3" fmla="*/ 57150 h 304800"/>
                  <a:gd name="connsiteX4" fmla="*/ 400050 w 447675"/>
                  <a:gd name="connsiteY4" fmla="*/ 57150 h 304800"/>
                  <a:gd name="connsiteX5" fmla="*/ 1905 w 447675"/>
                  <a:gd name="connsiteY5" fmla="*/ 304800 h 304800"/>
                  <a:gd name="connsiteX6" fmla="*/ 455295 w 447675"/>
                  <a:gd name="connsiteY6" fmla="*/ 304800 h 304800"/>
                  <a:gd name="connsiteX7" fmla="*/ 456248 w 447675"/>
                  <a:gd name="connsiteY7" fmla="*/ 0 h 304800"/>
                  <a:gd name="connsiteX8" fmla="*/ 0 w 447675"/>
                  <a:gd name="connsiteY8" fmla="*/ 0 h 304800"/>
                  <a:gd name="connsiteX9" fmla="*/ 1905 w 447675"/>
                  <a:gd name="connsiteY9" fmla="*/ 304800 h 3048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447675" h="304800">
                    <a:moveTo>
                      <a:pt x="400050" y="57150"/>
                    </a:moveTo>
                    <a:lnTo>
                      <a:pt x="399098" y="247650"/>
                    </a:lnTo>
                    <a:lnTo>
                      <a:pt x="59055" y="247650"/>
                    </a:lnTo>
                    <a:lnTo>
                      <a:pt x="57150" y="57150"/>
                    </a:lnTo>
                    <a:lnTo>
                      <a:pt x="400050" y="57150"/>
                    </a:lnTo>
                    <a:close/>
                    <a:moveTo>
                      <a:pt x="1905" y="304800"/>
                    </a:moveTo>
                    <a:lnTo>
                      <a:pt x="455295" y="304800"/>
                    </a:lnTo>
                    <a:lnTo>
                      <a:pt x="456248" y="0"/>
                    </a:lnTo>
                    <a:lnTo>
                      <a:pt x="0" y="0"/>
                    </a:lnTo>
                    <a:lnTo>
                      <a:pt x="1905" y="3048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30" name="Forma Livre: Forma 29">
                <a:extLst>
                  <a:ext uri="{FF2B5EF4-FFF2-40B4-BE49-F238E27FC236}">
                    <a16:creationId xmlns:a16="http://schemas.microsoft.com/office/drawing/2014/main" id="{C84C3531-D312-C6B7-8909-3A05D7F19495}"/>
                  </a:ext>
                </a:extLst>
              </xdr:cNvPr>
              <xdr:cNvSpPr/>
            </xdr:nvSpPr>
            <xdr:spPr>
              <a:xfrm>
                <a:off x="361950" y="6334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31" name="Forma Livre: Forma 30">
                <a:extLst>
                  <a:ext uri="{FF2B5EF4-FFF2-40B4-BE49-F238E27FC236}">
                    <a16:creationId xmlns:a16="http://schemas.microsoft.com/office/drawing/2014/main" id="{37D8EBAD-B4E1-B8F9-CF3D-2C061DF4D5C6}"/>
                  </a:ext>
                </a:extLst>
              </xdr:cNvPr>
              <xdr:cNvSpPr/>
            </xdr:nvSpPr>
            <xdr:spPr>
              <a:xfrm>
                <a:off x="361950" y="709613"/>
                <a:ext cx="190500" cy="38100"/>
              </a:xfrm>
              <a:custGeom>
                <a:avLst/>
                <a:gdLst>
                  <a:gd name="connsiteX0" fmla="*/ 0 w 190500"/>
                  <a:gd name="connsiteY0" fmla="*/ 0 h 38100"/>
                  <a:gd name="connsiteX1" fmla="*/ 190500 w 190500"/>
                  <a:gd name="connsiteY1" fmla="*/ 0 h 38100"/>
                  <a:gd name="connsiteX2" fmla="*/ 190500 w 190500"/>
                  <a:gd name="connsiteY2" fmla="*/ 38100 h 38100"/>
                  <a:gd name="connsiteX3" fmla="*/ 0 w 190500"/>
                  <a:gd name="connsiteY3" fmla="*/ 38100 h 381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90500" h="38100">
                    <a:moveTo>
                      <a:pt x="0" y="0"/>
                    </a:moveTo>
                    <a:lnTo>
                      <a:pt x="190500" y="0"/>
                    </a:lnTo>
                    <a:lnTo>
                      <a:pt x="190500" y="38100"/>
                    </a:lnTo>
                    <a:lnTo>
                      <a:pt x="0" y="38100"/>
                    </a:ln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  <xdr:sp macro="[0]!Imprimir" textlink="">
            <xdr:nvSpPr>
              <xdr:cNvPr id="58" name="Forma Livre: Forma 57">
                <a:extLst>
                  <a:ext uri="{FF2B5EF4-FFF2-40B4-BE49-F238E27FC236}">
                    <a16:creationId xmlns:a16="http://schemas.microsoft.com/office/drawing/2014/main" id="{B29252F2-EF78-EEBA-6404-61F2079F5095}"/>
                  </a:ext>
                </a:extLst>
              </xdr:cNvPr>
              <xdr:cNvSpPr/>
            </xdr:nvSpPr>
            <xdr:spPr>
              <a:xfrm>
                <a:off x="38100" y="76200"/>
                <a:ext cx="838200" cy="647700"/>
              </a:xfrm>
              <a:custGeom>
                <a:avLst/>
                <a:gdLst>
                  <a:gd name="connsiteX0" fmla="*/ 590550 w 838200"/>
                  <a:gd name="connsiteY0" fmla="*/ 276225 h 647700"/>
                  <a:gd name="connsiteX1" fmla="*/ 247650 w 838200"/>
                  <a:gd name="connsiteY1" fmla="*/ 276225 h 647700"/>
                  <a:gd name="connsiteX2" fmla="*/ 247650 w 838200"/>
                  <a:gd name="connsiteY2" fmla="*/ 57150 h 647700"/>
                  <a:gd name="connsiteX3" fmla="*/ 457200 w 838200"/>
                  <a:gd name="connsiteY3" fmla="*/ 57150 h 647700"/>
                  <a:gd name="connsiteX4" fmla="*/ 457200 w 838200"/>
                  <a:gd name="connsiteY4" fmla="*/ 190500 h 647700"/>
                  <a:gd name="connsiteX5" fmla="*/ 590550 w 838200"/>
                  <a:gd name="connsiteY5" fmla="*/ 190500 h 647700"/>
                  <a:gd name="connsiteX6" fmla="*/ 590550 w 838200"/>
                  <a:gd name="connsiteY6" fmla="*/ 276225 h 647700"/>
                  <a:gd name="connsiteX7" fmla="*/ 514350 w 838200"/>
                  <a:gd name="connsiteY7" fmla="*/ 60960 h 647700"/>
                  <a:gd name="connsiteX8" fmla="*/ 580073 w 838200"/>
                  <a:gd name="connsiteY8" fmla="*/ 133350 h 647700"/>
                  <a:gd name="connsiteX9" fmla="*/ 514350 w 838200"/>
                  <a:gd name="connsiteY9" fmla="*/ 133350 h 647700"/>
                  <a:gd name="connsiteX10" fmla="*/ 514350 w 838200"/>
                  <a:gd name="connsiteY10" fmla="*/ 60960 h 647700"/>
                  <a:gd name="connsiteX11" fmla="*/ 95250 w 838200"/>
                  <a:gd name="connsiteY11" fmla="*/ 323850 h 647700"/>
                  <a:gd name="connsiteX12" fmla="*/ 57150 w 838200"/>
                  <a:gd name="connsiteY12" fmla="*/ 285750 h 647700"/>
                  <a:gd name="connsiteX13" fmla="*/ 95250 w 838200"/>
                  <a:gd name="connsiteY13" fmla="*/ 247650 h 647700"/>
                  <a:gd name="connsiteX14" fmla="*/ 133350 w 838200"/>
                  <a:gd name="connsiteY14" fmla="*/ 285750 h 647700"/>
                  <a:gd name="connsiteX15" fmla="*/ 95250 w 838200"/>
                  <a:gd name="connsiteY15" fmla="*/ 323850 h 647700"/>
                  <a:gd name="connsiteX16" fmla="*/ 800100 w 838200"/>
                  <a:gd name="connsiteY16" fmla="*/ 190500 h 647700"/>
                  <a:gd name="connsiteX17" fmla="*/ 647700 w 838200"/>
                  <a:gd name="connsiteY17" fmla="*/ 190500 h 647700"/>
                  <a:gd name="connsiteX18" fmla="*/ 647700 w 838200"/>
                  <a:gd name="connsiteY18" fmla="*/ 121920 h 647700"/>
                  <a:gd name="connsiteX19" fmla="*/ 536258 w 838200"/>
                  <a:gd name="connsiteY19" fmla="*/ 0 h 647700"/>
                  <a:gd name="connsiteX20" fmla="*/ 190500 w 838200"/>
                  <a:gd name="connsiteY20" fmla="*/ 0 h 647700"/>
                  <a:gd name="connsiteX21" fmla="*/ 190500 w 838200"/>
                  <a:gd name="connsiteY21" fmla="*/ 190500 h 647700"/>
                  <a:gd name="connsiteX22" fmla="*/ 38100 w 838200"/>
                  <a:gd name="connsiteY22" fmla="*/ 190500 h 647700"/>
                  <a:gd name="connsiteX23" fmla="*/ 0 w 838200"/>
                  <a:gd name="connsiteY23" fmla="*/ 228600 h 647700"/>
                  <a:gd name="connsiteX24" fmla="*/ 0 w 838200"/>
                  <a:gd name="connsiteY24" fmla="*/ 609600 h 647700"/>
                  <a:gd name="connsiteX25" fmla="*/ 38100 w 838200"/>
                  <a:gd name="connsiteY25" fmla="*/ 647700 h 647700"/>
                  <a:gd name="connsiteX26" fmla="*/ 152400 w 838200"/>
                  <a:gd name="connsiteY26" fmla="*/ 647700 h 647700"/>
                  <a:gd name="connsiteX27" fmla="*/ 152400 w 838200"/>
                  <a:gd name="connsiteY27" fmla="*/ 428625 h 647700"/>
                  <a:gd name="connsiteX28" fmla="*/ 685800 w 838200"/>
                  <a:gd name="connsiteY28" fmla="*/ 428625 h 647700"/>
                  <a:gd name="connsiteX29" fmla="*/ 685800 w 838200"/>
                  <a:gd name="connsiteY29" fmla="*/ 647700 h 647700"/>
                  <a:gd name="connsiteX30" fmla="*/ 800100 w 838200"/>
                  <a:gd name="connsiteY30" fmla="*/ 647700 h 647700"/>
                  <a:gd name="connsiteX31" fmla="*/ 838200 w 838200"/>
                  <a:gd name="connsiteY31" fmla="*/ 609600 h 647700"/>
                  <a:gd name="connsiteX32" fmla="*/ 838200 w 838200"/>
                  <a:gd name="connsiteY32" fmla="*/ 228600 h 647700"/>
                  <a:gd name="connsiteX33" fmla="*/ 800100 w 838200"/>
                  <a:gd name="connsiteY33" fmla="*/ 190500 h 6477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</a:cxnLst>
                <a:rect l="l" t="t" r="r" b="b"/>
                <a:pathLst>
                  <a:path w="838200" h="647700">
                    <a:moveTo>
                      <a:pt x="590550" y="276225"/>
                    </a:moveTo>
                    <a:lnTo>
                      <a:pt x="247650" y="276225"/>
                    </a:lnTo>
                    <a:lnTo>
                      <a:pt x="247650" y="57150"/>
                    </a:lnTo>
                    <a:lnTo>
                      <a:pt x="457200" y="57150"/>
                    </a:lnTo>
                    <a:lnTo>
                      <a:pt x="457200" y="190500"/>
                    </a:lnTo>
                    <a:lnTo>
                      <a:pt x="590550" y="190500"/>
                    </a:lnTo>
                    <a:lnTo>
                      <a:pt x="590550" y="276225"/>
                    </a:lnTo>
                    <a:close/>
                    <a:moveTo>
                      <a:pt x="514350" y="60960"/>
                    </a:moveTo>
                    <a:lnTo>
                      <a:pt x="580073" y="133350"/>
                    </a:lnTo>
                    <a:lnTo>
                      <a:pt x="514350" y="133350"/>
                    </a:lnTo>
                    <a:lnTo>
                      <a:pt x="514350" y="60960"/>
                    </a:lnTo>
                    <a:close/>
                    <a:moveTo>
                      <a:pt x="95250" y="323850"/>
                    </a:moveTo>
                    <a:cubicBezTo>
                      <a:pt x="74295" y="323850"/>
                      <a:pt x="57150" y="306705"/>
                      <a:pt x="57150" y="285750"/>
                    </a:cubicBezTo>
                    <a:cubicBezTo>
                      <a:pt x="57150" y="264795"/>
                      <a:pt x="74295" y="247650"/>
                      <a:pt x="95250" y="247650"/>
                    </a:cubicBezTo>
                    <a:cubicBezTo>
                      <a:pt x="116205" y="247650"/>
                      <a:pt x="133350" y="264795"/>
                      <a:pt x="133350" y="285750"/>
                    </a:cubicBezTo>
                    <a:cubicBezTo>
                      <a:pt x="133350" y="306705"/>
                      <a:pt x="116205" y="323850"/>
                      <a:pt x="95250" y="323850"/>
                    </a:cubicBezTo>
                    <a:close/>
                    <a:moveTo>
                      <a:pt x="800100" y="190500"/>
                    </a:moveTo>
                    <a:lnTo>
                      <a:pt x="647700" y="190500"/>
                    </a:lnTo>
                    <a:lnTo>
                      <a:pt x="647700" y="121920"/>
                    </a:lnTo>
                    <a:lnTo>
                      <a:pt x="536258" y="0"/>
                    </a:lnTo>
                    <a:lnTo>
                      <a:pt x="190500" y="0"/>
                    </a:lnTo>
                    <a:lnTo>
                      <a:pt x="190500" y="190500"/>
                    </a:lnTo>
                    <a:lnTo>
                      <a:pt x="38100" y="190500"/>
                    </a:lnTo>
                    <a:cubicBezTo>
                      <a:pt x="17145" y="190500"/>
                      <a:pt x="0" y="207645"/>
                      <a:pt x="0" y="228600"/>
                    </a:cubicBezTo>
                    <a:lnTo>
                      <a:pt x="0" y="609600"/>
                    </a:lnTo>
                    <a:cubicBezTo>
                      <a:pt x="0" y="630555"/>
                      <a:pt x="17145" y="647700"/>
                      <a:pt x="38100" y="647700"/>
                    </a:cubicBezTo>
                    <a:lnTo>
                      <a:pt x="152400" y="647700"/>
                    </a:lnTo>
                    <a:lnTo>
                      <a:pt x="152400" y="428625"/>
                    </a:lnTo>
                    <a:lnTo>
                      <a:pt x="685800" y="428625"/>
                    </a:lnTo>
                    <a:lnTo>
                      <a:pt x="685800" y="647700"/>
                    </a:lnTo>
                    <a:lnTo>
                      <a:pt x="800100" y="647700"/>
                    </a:lnTo>
                    <a:cubicBezTo>
                      <a:pt x="821055" y="647700"/>
                      <a:pt x="838200" y="630555"/>
                      <a:pt x="838200" y="609600"/>
                    </a:cubicBezTo>
                    <a:lnTo>
                      <a:pt x="838200" y="228600"/>
                    </a:lnTo>
                    <a:cubicBezTo>
                      <a:pt x="838200" y="207645"/>
                      <a:pt x="821055" y="190500"/>
                      <a:pt x="800100" y="190500"/>
                    </a:cubicBezTo>
                    <a:close/>
                  </a:path>
                </a:pathLst>
              </a:custGeom>
              <a:grpFill/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pt-BR">
                  <a:solidFill>
                    <a:srgbClr val="00B050"/>
                  </a:solidFill>
                </a:endParaRPr>
              </a:p>
            </xdr:txBody>
          </xdr:sp>
        </xdr:grp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16" name="Imagem 15">
                  <a:extLst>
                    <a:ext uri="{FF2B5EF4-FFF2-40B4-BE49-F238E27FC236}">
                      <a16:creationId xmlns:a16="http://schemas.microsoft.com/office/drawing/2014/main" id="{02A2BD8B-D1FB-24E8-E72E-63D7AEB2353E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MENU!$F$2" spid="_x0000_s59524"/>
                    </a:ext>
                  </a:extLst>
                </xdr:cNvPicPr>
              </xdr:nvPicPr>
              <xdr:blipFill rotWithShape="1">
                <a:blip xmlns:r="http://schemas.openxmlformats.org/officeDocument/2006/relationships" r:embed="rId6"/>
                <a:srcRect b="4887"/>
                <a:stretch>
                  <a:fillRect/>
                </a:stretch>
              </xdr:blipFill>
              <xdr:spPr>
                <a:xfrm rot="5400000">
                  <a:off x="103834" y="-103834"/>
                  <a:ext cx="574836" cy="782503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  <xdr:sp macro="" textlink="">
          <xdr:nvSpPr>
            <xdr:cNvPr id="17" name="Retângulo 16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EFA66615-7E9B-3301-71FE-80BBF0442DD8}"/>
                </a:ext>
              </a:extLst>
            </xdr:cNvPr>
            <xdr:cNvSpPr/>
          </xdr:nvSpPr>
          <xdr:spPr>
            <a:xfrm>
              <a:off x="9618853" y="361950"/>
              <a:ext cx="1250894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PAGAR</a:t>
              </a:r>
            </a:p>
          </xdr:txBody>
        </xdr:sp>
        <xdr:sp macro="" textlink="">
          <xdr:nvSpPr>
            <xdr:cNvPr id="18" name="Retângulo 1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C9EDD581-3D10-DD62-EA91-6128BDD65343}"/>
                </a:ext>
              </a:extLst>
            </xdr:cNvPr>
            <xdr:cNvSpPr/>
          </xdr:nvSpPr>
          <xdr:spPr>
            <a:xfrm>
              <a:off x="771525" y="362132"/>
              <a:ext cx="1550561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BRUTO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19" name="Retângulo 18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2DD346B6-7121-2D87-F66F-A66BC5134A71}"/>
                </a:ext>
              </a:extLst>
            </xdr:cNvPr>
            <xdr:cNvSpPr/>
          </xdr:nvSpPr>
          <xdr:spPr>
            <a:xfrm>
              <a:off x="2337105" y="362132"/>
              <a:ext cx="1660138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FATURAMENTO</a:t>
              </a:r>
              <a:r>
                <a:rPr lang="pt-BR" sz="1100" b="1" i="0" baseline="0">
                  <a:solidFill>
                    <a:srgbClr val="797979"/>
                  </a:solidFill>
                </a:rPr>
                <a:t> LÍQUIDO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20" name="Retângulo 19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7B1CB8EE-25D9-67BD-8473-3B3BFAC13AA7}"/>
                </a:ext>
              </a:extLst>
            </xdr:cNvPr>
            <xdr:cNvSpPr/>
          </xdr:nvSpPr>
          <xdr:spPr>
            <a:xfrm>
              <a:off x="7084042" y="361950"/>
              <a:ext cx="1186806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FLUXO DE CAIXA</a:t>
              </a:r>
            </a:p>
          </xdr:txBody>
        </xdr:sp>
        <xdr:sp macro="" textlink="">
          <xdr:nvSpPr>
            <xdr:cNvPr id="21" name="Retângulo 2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F7FCC553-D035-C1EB-3FFD-893BDB94DEFE}"/>
                </a:ext>
              </a:extLst>
            </xdr:cNvPr>
            <xdr:cNvSpPr/>
          </xdr:nvSpPr>
          <xdr:spPr>
            <a:xfrm>
              <a:off x="8273481" y="361950"/>
              <a:ext cx="1333475" cy="19803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CONTAS A RECEBER</a:t>
              </a:r>
            </a:p>
          </xdr:txBody>
        </xdr:sp>
        <xdr:sp macro="" textlink="">
          <xdr:nvSpPr>
            <xdr:cNvPr id="22" name="Retângulo 21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E0A59000-2452-AF4D-930C-4D751C5A0E61}"/>
                </a:ext>
              </a:extLst>
            </xdr:cNvPr>
            <xdr:cNvSpPr/>
          </xdr:nvSpPr>
          <xdr:spPr>
            <a:xfrm>
              <a:off x="12385551" y="361950"/>
              <a:ext cx="1224000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DRE FINANCEIRA</a:t>
              </a:r>
            </a:p>
          </xdr:txBody>
        </xdr:sp>
        <xdr:sp macro="" textlink="">
          <xdr:nvSpPr>
            <xdr:cNvPr id="24" name="Retângulo 23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387B99BC-B77F-D045-8317-04EFA925430B}"/>
                </a:ext>
              </a:extLst>
            </xdr:cNvPr>
            <xdr:cNvSpPr/>
          </xdr:nvSpPr>
          <xdr:spPr>
            <a:xfrm>
              <a:off x="13630231" y="361950"/>
              <a:ext cx="702806" cy="19542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chemeClr val="accent1"/>
                  </a:solidFill>
                </a:rPr>
                <a:t>BANCOS</a:t>
              </a:r>
            </a:p>
          </xdr:txBody>
        </xdr:sp>
        <xdr:sp macro="" textlink="">
          <xdr:nvSpPr>
            <xdr:cNvPr id="26" name="Retângulo 2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EF6A919E-E74C-BF81-55D4-B50C085072CE}"/>
                </a:ext>
              </a:extLst>
            </xdr:cNvPr>
            <xdr:cNvSpPr/>
          </xdr:nvSpPr>
          <xdr:spPr>
            <a:xfrm>
              <a:off x="5637032" y="361950"/>
              <a:ext cx="143697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RESULTADO</a:t>
              </a:r>
              <a:r>
                <a:rPr lang="pt-BR" sz="1100" b="1" i="0" baseline="0">
                  <a:solidFill>
                    <a:srgbClr val="797979"/>
                  </a:solidFill>
                </a:rPr>
                <a:t> POR DIA</a:t>
              </a:r>
              <a:endParaRPr lang="pt-BR" sz="1100" b="1" i="0">
                <a:solidFill>
                  <a:srgbClr val="797979"/>
                </a:solidFill>
              </a:endParaRPr>
            </a:p>
          </xdr:txBody>
        </xdr:sp>
        <xdr:sp macro="" textlink="">
          <xdr:nvSpPr>
            <xdr:cNvPr id="27" name="Retângulo 2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800AAF86-73B4-998D-DA7C-1D80889021A7}"/>
                </a:ext>
              </a:extLst>
            </xdr:cNvPr>
            <xdr:cNvSpPr/>
          </xdr:nvSpPr>
          <xdr:spPr>
            <a:xfrm>
              <a:off x="4008775" y="361950"/>
              <a:ext cx="1621003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DESPESAS FINANCEIRAS</a:t>
              </a:r>
            </a:p>
          </xdr:txBody>
        </xdr:sp>
        <xdr:sp macro="" textlink="">
          <xdr:nvSpPr>
            <xdr:cNvPr id="28" name="Retângulo 2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A911C4-626C-2408-2D11-5BFE19D382C2}"/>
                </a:ext>
              </a:extLst>
            </xdr:cNvPr>
            <xdr:cNvSpPr/>
          </xdr:nvSpPr>
          <xdr:spPr>
            <a:xfrm>
              <a:off x="10878008" y="361950"/>
              <a:ext cx="1481075" cy="19542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i="0">
                  <a:solidFill>
                    <a:srgbClr val="797979"/>
                  </a:solidFill>
                </a:rPr>
                <a:t>VALORES EM ABERTO</a:t>
              </a:r>
            </a:p>
          </xdr:txBody>
        </xdr:sp>
      </xdr:grp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219AE4CF-120B-8ECE-FA4B-5E9F52A743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0" y="0"/>
            <a:ext cx="742950" cy="619125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1166153" cy="264560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SpPr txBox="1"/>
      </xdr:nvSpPr>
      <xdr:spPr>
        <a:xfrm>
          <a:off x="266700" y="2962275"/>
          <a:ext cx="11661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Realizado x Meta</a:t>
          </a:r>
        </a:p>
      </xdr:txBody>
    </xdr:sp>
    <xdr:clientData/>
  </xdr:oneCellAnchor>
  <xdr:oneCellAnchor>
    <xdr:from>
      <xdr:col>3</xdr:col>
      <xdr:colOff>0</xdr:colOff>
      <xdr:row>7</xdr:row>
      <xdr:rowOff>0</xdr:rowOff>
    </xdr:from>
    <xdr:ext cx="1166153" cy="264560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1800-000012000000}"/>
            </a:ext>
          </a:extLst>
        </xdr:cNvPr>
        <xdr:cNvSpPr txBox="1"/>
      </xdr:nvSpPr>
      <xdr:spPr>
        <a:xfrm>
          <a:off x="3648075" y="2962275"/>
          <a:ext cx="11661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Realizado x Meta</a:t>
          </a:r>
        </a:p>
      </xdr:txBody>
    </xdr:sp>
    <xdr:clientData/>
  </xdr:oneCellAnchor>
  <xdr:oneCellAnchor>
    <xdr:from>
      <xdr:col>5</xdr:col>
      <xdr:colOff>0</xdr:colOff>
      <xdr:row>7</xdr:row>
      <xdr:rowOff>0</xdr:rowOff>
    </xdr:from>
    <xdr:ext cx="1166153" cy="264560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1800-000013000000}"/>
            </a:ext>
          </a:extLst>
        </xdr:cNvPr>
        <xdr:cNvSpPr txBox="1"/>
      </xdr:nvSpPr>
      <xdr:spPr>
        <a:xfrm>
          <a:off x="7029450" y="2962275"/>
          <a:ext cx="11661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Realizado x Meta</a:t>
          </a:r>
        </a:p>
      </xdr:txBody>
    </xdr:sp>
    <xdr:clientData/>
  </xdr:oneCellAnchor>
  <xdr:oneCellAnchor>
    <xdr:from>
      <xdr:col>7</xdr:col>
      <xdr:colOff>0</xdr:colOff>
      <xdr:row>7</xdr:row>
      <xdr:rowOff>0</xdr:rowOff>
    </xdr:from>
    <xdr:ext cx="1166153" cy="264560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1800-000014000000}"/>
            </a:ext>
          </a:extLst>
        </xdr:cNvPr>
        <xdr:cNvSpPr txBox="1"/>
      </xdr:nvSpPr>
      <xdr:spPr>
        <a:xfrm>
          <a:off x="10410825" y="2962275"/>
          <a:ext cx="11661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Realizado x Meta</a:t>
          </a:r>
        </a:p>
      </xdr:txBody>
    </xdr:sp>
    <xdr:clientData/>
  </xdr:oneCellAnchor>
  <xdr:oneCellAnchor>
    <xdr:from>
      <xdr:col>3</xdr:col>
      <xdr:colOff>0</xdr:colOff>
      <xdr:row>7</xdr:row>
      <xdr:rowOff>0</xdr:rowOff>
    </xdr:from>
    <xdr:ext cx="1166153" cy="264560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1800-000015000000}"/>
            </a:ext>
          </a:extLst>
        </xdr:cNvPr>
        <xdr:cNvSpPr txBox="1"/>
      </xdr:nvSpPr>
      <xdr:spPr>
        <a:xfrm>
          <a:off x="3648075" y="2962275"/>
          <a:ext cx="11661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Realizado x Meta</a:t>
          </a:r>
        </a:p>
      </xdr:txBody>
    </xdr:sp>
    <xdr:clientData/>
  </xdr:oneCellAnchor>
  <xdr:oneCellAnchor>
    <xdr:from>
      <xdr:col>5</xdr:col>
      <xdr:colOff>0</xdr:colOff>
      <xdr:row>7</xdr:row>
      <xdr:rowOff>0</xdr:rowOff>
    </xdr:from>
    <xdr:ext cx="1166153" cy="264560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 txBox="1"/>
      </xdr:nvSpPr>
      <xdr:spPr>
        <a:xfrm>
          <a:off x="7029450" y="2962275"/>
          <a:ext cx="11661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Realizado x Meta</a:t>
          </a:r>
        </a:p>
      </xdr:txBody>
    </xdr:sp>
    <xdr:clientData/>
  </xdr:oneCellAnchor>
  <xdr:oneCellAnchor>
    <xdr:from>
      <xdr:col>7</xdr:col>
      <xdr:colOff>0</xdr:colOff>
      <xdr:row>7</xdr:row>
      <xdr:rowOff>0</xdr:rowOff>
    </xdr:from>
    <xdr:ext cx="1166153" cy="264560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1800-000017000000}"/>
            </a:ext>
          </a:extLst>
        </xdr:cNvPr>
        <xdr:cNvSpPr txBox="1"/>
      </xdr:nvSpPr>
      <xdr:spPr>
        <a:xfrm>
          <a:off x="10410825" y="2962275"/>
          <a:ext cx="11661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Realizado x Meta</a:t>
          </a:r>
        </a:p>
      </xdr:txBody>
    </xdr:sp>
    <xdr:clientData/>
  </xdr:oneCellAnchor>
  <xdr:oneCellAnchor>
    <xdr:from>
      <xdr:col>1</xdr:col>
      <xdr:colOff>0</xdr:colOff>
      <xdr:row>7</xdr:row>
      <xdr:rowOff>0</xdr:rowOff>
    </xdr:from>
    <xdr:ext cx="1166153" cy="264560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1800-000018000000}"/>
            </a:ext>
          </a:extLst>
        </xdr:cNvPr>
        <xdr:cNvSpPr txBox="1"/>
      </xdr:nvSpPr>
      <xdr:spPr>
        <a:xfrm>
          <a:off x="266700" y="2962275"/>
          <a:ext cx="11661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Realizado x Meta</a:t>
          </a:r>
        </a:p>
      </xdr:txBody>
    </xdr:sp>
    <xdr:clientData/>
  </xdr:oneCellAnchor>
  <xdr:twoCellAnchor>
    <xdr:from>
      <xdr:col>1</xdr:col>
      <xdr:colOff>28575</xdr:colOff>
      <xdr:row>10</xdr:row>
      <xdr:rowOff>57149</xdr:rowOff>
    </xdr:from>
    <xdr:to>
      <xdr:col>1</xdr:col>
      <xdr:colOff>3000375</xdr:colOff>
      <xdr:row>11</xdr:row>
      <xdr:rowOff>38099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10</xdr:row>
      <xdr:rowOff>9524</xdr:rowOff>
    </xdr:from>
    <xdr:to>
      <xdr:col>3</xdr:col>
      <xdr:colOff>2971800</xdr:colOff>
      <xdr:row>10</xdr:row>
      <xdr:rowOff>2095499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18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9525</xdr:colOff>
      <xdr:row>10</xdr:row>
      <xdr:rowOff>9524</xdr:rowOff>
    </xdr:from>
    <xdr:to>
      <xdr:col>6</xdr:col>
      <xdr:colOff>9525</xdr:colOff>
      <xdr:row>10</xdr:row>
      <xdr:rowOff>2095499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114300</xdr:colOff>
      <xdr:row>10</xdr:row>
      <xdr:rowOff>9524</xdr:rowOff>
    </xdr:from>
    <xdr:to>
      <xdr:col>7</xdr:col>
      <xdr:colOff>3000375</xdr:colOff>
      <xdr:row>10</xdr:row>
      <xdr:rowOff>2095499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18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3</xdr:row>
          <xdr:rowOff>30480</xdr:rowOff>
        </xdr:from>
        <xdr:to>
          <xdr:col>3</xdr:col>
          <xdr:colOff>1356360</xdr:colOff>
          <xdr:row>3</xdr:row>
          <xdr:rowOff>259080</xdr:rowOff>
        </xdr:to>
        <xdr:grpSp>
          <xdr:nvGrpSpPr>
            <xdr:cNvPr id="5" name="Agrupar 4">
              <a:extLst>
                <a:ext uri="{FF2B5EF4-FFF2-40B4-BE49-F238E27FC236}">
                  <a16:creationId xmlns:a16="http://schemas.microsoft.com/office/drawing/2014/main" id="{00000000-0008-0000-1800-000005000000}"/>
                </a:ext>
              </a:extLst>
            </xdr:cNvPr>
            <xdr:cNvGrpSpPr/>
          </xdr:nvGrpSpPr>
          <xdr:grpSpPr>
            <a:xfrm>
              <a:off x="38100" y="642273"/>
              <a:ext cx="4791664" cy="228600"/>
              <a:chOff x="38100" y="640080"/>
              <a:chExt cx="4610101" cy="228600"/>
            </a:xfrm>
          </xdr:grpSpPr>
          <xdr:sp macro="" textlink="">
            <xdr:nvSpPr>
              <xdr:cNvPr id="16388" name="Drop Down 4" hidden="1">
                <a:extLst>
                  <a:ext uri="{63B3BB69-23CF-44E3-9099-C40C66FF867C}">
                    <a14:compatExt spid="_x0000_s16388"/>
                  </a:ext>
                  <a:ext uri="{FF2B5EF4-FFF2-40B4-BE49-F238E27FC236}">
                    <a16:creationId xmlns:a16="http://schemas.microsoft.com/office/drawing/2014/main" id="{00000000-0008-0000-1300-000004400000}"/>
                  </a:ext>
                </a:extLst>
              </xdr:cNvPr>
              <xdr:cNvSpPr/>
            </xdr:nvSpPr>
            <xdr:spPr bwMode="auto">
              <a:xfrm>
                <a:off x="914400" y="640080"/>
                <a:ext cx="8915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390" name="Drop Down 6" hidden="1">
                <a:extLst>
                  <a:ext uri="{63B3BB69-23CF-44E3-9099-C40C66FF867C}">
                    <a14:compatExt spid="_x0000_s16390"/>
                  </a:ext>
                  <a:ext uri="{FF2B5EF4-FFF2-40B4-BE49-F238E27FC236}">
                    <a16:creationId xmlns:a16="http://schemas.microsoft.com/office/drawing/2014/main" id="{00000000-0008-0000-1300-000006400000}"/>
                  </a:ext>
                </a:extLst>
              </xdr:cNvPr>
              <xdr:cNvSpPr/>
            </xdr:nvSpPr>
            <xdr:spPr bwMode="auto">
              <a:xfrm>
                <a:off x="38100" y="640080"/>
                <a:ext cx="86868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391" name="Drop Down 7" hidden="1">
                <a:extLst>
                  <a:ext uri="{63B3BB69-23CF-44E3-9099-C40C66FF867C}">
                    <a14:compatExt spid="_x0000_s16391"/>
                  </a:ext>
                  <a:ext uri="{FF2B5EF4-FFF2-40B4-BE49-F238E27FC236}">
                    <a16:creationId xmlns:a16="http://schemas.microsoft.com/office/drawing/2014/main" id="{00000000-0008-0000-1300-000007400000}"/>
                  </a:ext>
                </a:extLst>
              </xdr:cNvPr>
              <xdr:cNvSpPr/>
            </xdr:nvSpPr>
            <xdr:spPr bwMode="auto">
              <a:xfrm>
                <a:off x="3268980" y="640080"/>
                <a:ext cx="137922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392" name="Drop Down 8" hidden="1">
                <a:extLst>
                  <a:ext uri="{63B3BB69-23CF-44E3-9099-C40C66FF867C}">
                    <a14:compatExt spid="_x0000_s16392"/>
                  </a:ext>
                  <a:ext uri="{FF2B5EF4-FFF2-40B4-BE49-F238E27FC236}">
                    <a16:creationId xmlns:a16="http://schemas.microsoft.com/office/drawing/2014/main" id="{00000000-0008-0000-1300-000008400000}"/>
                  </a:ext>
                </a:extLst>
              </xdr:cNvPr>
              <xdr:cNvSpPr/>
            </xdr:nvSpPr>
            <xdr:spPr bwMode="auto">
              <a:xfrm>
                <a:off x="1805940" y="640080"/>
                <a:ext cx="14630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7</xdr:col>
      <xdr:colOff>2957774</xdr:colOff>
      <xdr:row>2</xdr:row>
      <xdr:rowOff>12861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16D73C08-BB58-F1F6-F4C9-98D797EDF5BC}"/>
            </a:ext>
          </a:extLst>
        </xdr:cNvPr>
        <xdr:cNvGrpSpPr/>
      </xdr:nvGrpSpPr>
      <xdr:grpSpPr>
        <a:xfrm>
          <a:off x="0" y="0"/>
          <a:ext cx="13272732" cy="578605"/>
          <a:chOff x="0" y="0"/>
          <a:chExt cx="12472191" cy="573778"/>
        </a:xfrm>
      </xdr:grpSpPr>
      <xdr:sp macro="[0]!Salvar" textlink="">
        <xdr:nvSpPr>
          <xdr:cNvPr id="11" name="Retângulo Arredondado 1">
            <a:extLst>
              <a:ext uri="{FF2B5EF4-FFF2-40B4-BE49-F238E27FC236}">
                <a16:creationId xmlns:a16="http://schemas.microsoft.com/office/drawing/2014/main" id="{0A0E2563-1EE9-CA80-3CE7-87389D07274C}"/>
              </a:ext>
            </a:extLst>
          </xdr:cNvPr>
          <xdr:cNvSpPr/>
        </xdr:nvSpPr>
        <xdr:spPr>
          <a:xfrm>
            <a:off x="10714487" y="66701"/>
            <a:ext cx="884475" cy="2001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SALVAR</a:t>
            </a:r>
          </a:p>
        </xdr:txBody>
      </xdr:sp>
      <xdr:sp macro="" textlink="">
        <xdr:nvSpPr>
          <xdr:cNvPr id="16" name="Retângulo Arredondado 2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8B62E57-450B-1A09-8CF1-93A38A1E7650}"/>
              </a:ext>
            </a:extLst>
          </xdr:cNvPr>
          <xdr:cNvSpPr/>
        </xdr:nvSpPr>
        <xdr:spPr>
          <a:xfrm>
            <a:off x="9845615" y="66701"/>
            <a:ext cx="841116" cy="2001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MENU</a:t>
            </a:r>
          </a:p>
        </xdr:txBody>
      </xdr:sp>
      <xdr:sp macro="[0]!workbook_close" textlink="">
        <xdr:nvSpPr>
          <xdr:cNvPr id="26" name="Seta: para Baixo 28">
            <a:extLst>
              <a:ext uri="{FF2B5EF4-FFF2-40B4-BE49-F238E27FC236}">
                <a16:creationId xmlns:a16="http://schemas.microsoft.com/office/drawing/2014/main" id="{878D99C0-BE57-74C9-7D28-F3EFC872CE9B}"/>
              </a:ext>
            </a:extLst>
          </xdr:cNvPr>
          <xdr:cNvSpPr/>
        </xdr:nvSpPr>
        <xdr:spPr>
          <a:xfrm>
            <a:off x="11903469" y="66701"/>
            <a:ext cx="235922" cy="219158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workbook_open" textlink="">
        <xdr:nvSpPr>
          <xdr:cNvPr id="30" name="Seta: para Baixo 29">
            <a:extLst>
              <a:ext uri="{FF2B5EF4-FFF2-40B4-BE49-F238E27FC236}">
                <a16:creationId xmlns:a16="http://schemas.microsoft.com/office/drawing/2014/main" id="{1AE8222A-8B2E-0552-3B1B-8AE2A2DFD0B3}"/>
              </a:ext>
            </a:extLst>
          </xdr:cNvPr>
          <xdr:cNvSpPr/>
        </xdr:nvSpPr>
        <xdr:spPr>
          <a:xfrm rot="10800000">
            <a:off x="11682228" y="38114"/>
            <a:ext cx="239745" cy="219158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Retângulo 3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B125B4-7D8E-7FE4-5DA2-0535D8E7EC0F}"/>
              </a:ext>
            </a:extLst>
          </xdr:cNvPr>
          <xdr:cNvSpPr/>
        </xdr:nvSpPr>
        <xdr:spPr>
          <a:xfrm>
            <a:off x="773069" y="0"/>
            <a:ext cx="933651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38" name="Retângulo 3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853ACA9-9892-A97C-2312-971BBEFBB14C}"/>
              </a:ext>
            </a:extLst>
          </xdr:cNvPr>
          <xdr:cNvSpPr/>
        </xdr:nvSpPr>
        <xdr:spPr>
          <a:xfrm>
            <a:off x="1714729" y="0"/>
            <a:ext cx="1149109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LANÇAMENTOS</a:t>
            </a:r>
          </a:p>
        </xdr:txBody>
      </xdr:sp>
      <xdr:sp macro="" textlink="">
        <xdr:nvSpPr>
          <xdr:cNvPr id="39" name="Retângulo 3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64151AF-810D-942D-F1B3-5E0BCF1176D5}"/>
              </a:ext>
            </a:extLst>
          </xdr:cNvPr>
          <xdr:cNvSpPr/>
        </xdr:nvSpPr>
        <xdr:spPr>
          <a:xfrm>
            <a:off x="2876672" y="0"/>
            <a:ext cx="972732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RELATÓRIOSS</a:t>
            </a:r>
          </a:p>
        </xdr:txBody>
      </xdr:sp>
      <xdr:sp macro="" textlink="">
        <xdr:nvSpPr>
          <xdr:cNvPr id="44" name="Retângulo 4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F050386E-1394-BCFD-021A-21639F783A2D}"/>
              </a:ext>
            </a:extLst>
          </xdr:cNvPr>
          <xdr:cNvSpPr/>
        </xdr:nvSpPr>
        <xdr:spPr>
          <a:xfrm>
            <a:off x="3851897" y="0"/>
            <a:ext cx="969561" cy="313319"/>
          </a:xfrm>
          <a:prstGeom prst="rect">
            <a:avLst/>
          </a:prstGeom>
          <a:solidFill>
            <a:srgbClr val="EBEBE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accent1"/>
                </a:solidFill>
              </a:rPr>
              <a:t>DASHBOARD</a:t>
            </a:r>
          </a:p>
        </xdr:txBody>
      </xdr:sp>
      <xdr:grpSp>
        <xdr:nvGrpSpPr>
          <xdr:cNvPr id="47" name="Gráfico 2" descr="Impressora">
            <a:extLst>
              <a:ext uri="{FF2B5EF4-FFF2-40B4-BE49-F238E27FC236}">
                <a16:creationId xmlns:a16="http://schemas.microsoft.com/office/drawing/2014/main" id="{04751D58-51DC-EFC4-77B3-4886D166754F}"/>
              </a:ext>
            </a:extLst>
          </xdr:cNvPr>
          <xdr:cNvGrpSpPr/>
        </xdr:nvGrpSpPr>
        <xdr:grpSpPr>
          <a:xfrm>
            <a:off x="12191648" y="0"/>
            <a:ext cx="280543" cy="289003"/>
            <a:chOff x="0" y="0"/>
            <a:chExt cx="914400" cy="914400"/>
          </a:xfrm>
          <a:solidFill>
            <a:schemeClr val="bg1"/>
          </a:solidFill>
        </xdr:grpSpPr>
        <xdr:sp macro="[0]!Imprimir" textlink="">
          <xdr:nvSpPr>
            <xdr:cNvPr id="49" name="Forma Livre: Forma 48">
              <a:extLst>
                <a:ext uri="{FF2B5EF4-FFF2-40B4-BE49-F238E27FC236}">
                  <a16:creationId xmlns:a16="http://schemas.microsoft.com/office/drawing/2014/main" id="{32DFCCF5-3033-AB71-A250-2990DEB780F3}"/>
                </a:ext>
              </a:extLst>
            </xdr:cNvPr>
            <xdr:cNvSpPr/>
          </xdr:nvSpPr>
          <xdr:spPr>
            <a:xfrm>
              <a:off x="228600" y="538163"/>
              <a:ext cx="447675" cy="304800"/>
            </a:xfrm>
            <a:custGeom>
              <a:avLst/>
              <a:gdLst>
                <a:gd name="connsiteX0" fmla="*/ 400050 w 447675"/>
                <a:gd name="connsiteY0" fmla="*/ 57150 h 304800"/>
                <a:gd name="connsiteX1" fmla="*/ 399098 w 447675"/>
                <a:gd name="connsiteY1" fmla="*/ 247650 h 304800"/>
                <a:gd name="connsiteX2" fmla="*/ 59055 w 447675"/>
                <a:gd name="connsiteY2" fmla="*/ 247650 h 304800"/>
                <a:gd name="connsiteX3" fmla="*/ 57150 w 447675"/>
                <a:gd name="connsiteY3" fmla="*/ 57150 h 304800"/>
                <a:gd name="connsiteX4" fmla="*/ 400050 w 447675"/>
                <a:gd name="connsiteY4" fmla="*/ 57150 h 304800"/>
                <a:gd name="connsiteX5" fmla="*/ 1905 w 447675"/>
                <a:gd name="connsiteY5" fmla="*/ 304800 h 304800"/>
                <a:gd name="connsiteX6" fmla="*/ 455295 w 447675"/>
                <a:gd name="connsiteY6" fmla="*/ 304800 h 304800"/>
                <a:gd name="connsiteX7" fmla="*/ 456248 w 447675"/>
                <a:gd name="connsiteY7" fmla="*/ 0 h 304800"/>
                <a:gd name="connsiteX8" fmla="*/ 0 w 447675"/>
                <a:gd name="connsiteY8" fmla="*/ 0 h 304800"/>
                <a:gd name="connsiteX9" fmla="*/ 1905 w 447675"/>
                <a:gd name="connsiteY9" fmla="*/ 304800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47675" h="304800">
                  <a:moveTo>
                    <a:pt x="400050" y="57150"/>
                  </a:moveTo>
                  <a:lnTo>
                    <a:pt x="399098" y="247650"/>
                  </a:lnTo>
                  <a:lnTo>
                    <a:pt x="59055" y="247650"/>
                  </a:lnTo>
                  <a:lnTo>
                    <a:pt x="57150" y="57150"/>
                  </a:lnTo>
                  <a:lnTo>
                    <a:pt x="400050" y="57150"/>
                  </a:lnTo>
                  <a:close/>
                  <a:moveTo>
                    <a:pt x="1905" y="304800"/>
                  </a:moveTo>
                  <a:lnTo>
                    <a:pt x="455295" y="304800"/>
                  </a:lnTo>
                  <a:lnTo>
                    <a:pt x="456248" y="0"/>
                  </a:lnTo>
                  <a:lnTo>
                    <a:pt x="0" y="0"/>
                  </a:lnTo>
                  <a:lnTo>
                    <a:pt x="1905" y="3048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50" name="Forma Livre: Forma 49">
              <a:extLst>
                <a:ext uri="{FF2B5EF4-FFF2-40B4-BE49-F238E27FC236}">
                  <a16:creationId xmlns:a16="http://schemas.microsoft.com/office/drawing/2014/main" id="{030DF8BE-5C87-83FF-5857-CD1262D4DF76}"/>
                </a:ext>
              </a:extLst>
            </xdr:cNvPr>
            <xdr:cNvSpPr/>
          </xdr:nvSpPr>
          <xdr:spPr>
            <a:xfrm>
              <a:off x="361950" y="6334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51" name="Forma Livre: Forma 50">
              <a:extLst>
                <a:ext uri="{FF2B5EF4-FFF2-40B4-BE49-F238E27FC236}">
                  <a16:creationId xmlns:a16="http://schemas.microsoft.com/office/drawing/2014/main" id="{F1395BC4-6565-64FA-1773-1C31E9569117}"/>
                </a:ext>
              </a:extLst>
            </xdr:cNvPr>
            <xdr:cNvSpPr/>
          </xdr:nvSpPr>
          <xdr:spPr>
            <a:xfrm>
              <a:off x="361950" y="7096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52" name="Forma Livre: Forma 51">
              <a:extLst>
                <a:ext uri="{FF2B5EF4-FFF2-40B4-BE49-F238E27FC236}">
                  <a16:creationId xmlns:a16="http://schemas.microsoft.com/office/drawing/2014/main" id="{755E0718-31E0-FAFA-C60F-FE822D61BD6F}"/>
                </a:ext>
              </a:extLst>
            </xdr:cNvPr>
            <xdr:cNvSpPr/>
          </xdr:nvSpPr>
          <xdr:spPr>
            <a:xfrm>
              <a:off x="38100" y="76200"/>
              <a:ext cx="838200" cy="647700"/>
            </a:xfrm>
            <a:custGeom>
              <a:avLst/>
              <a:gdLst>
                <a:gd name="connsiteX0" fmla="*/ 590550 w 838200"/>
                <a:gd name="connsiteY0" fmla="*/ 276225 h 647700"/>
                <a:gd name="connsiteX1" fmla="*/ 247650 w 838200"/>
                <a:gd name="connsiteY1" fmla="*/ 276225 h 647700"/>
                <a:gd name="connsiteX2" fmla="*/ 247650 w 838200"/>
                <a:gd name="connsiteY2" fmla="*/ 57150 h 647700"/>
                <a:gd name="connsiteX3" fmla="*/ 457200 w 838200"/>
                <a:gd name="connsiteY3" fmla="*/ 57150 h 647700"/>
                <a:gd name="connsiteX4" fmla="*/ 457200 w 838200"/>
                <a:gd name="connsiteY4" fmla="*/ 190500 h 647700"/>
                <a:gd name="connsiteX5" fmla="*/ 590550 w 838200"/>
                <a:gd name="connsiteY5" fmla="*/ 190500 h 647700"/>
                <a:gd name="connsiteX6" fmla="*/ 590550 w 838200"/>
                <a:gd name="connsiteY6" fmla="*/ 276225 h 647700"/>
                <a:gd name="connsiteX7" fmla="*/ 514350 w 838200"/>
                <a:gd name="connsiteY7" fmla="*/ 60960 h 647700"/>
                <a:gd name="connsiteX8" fmla="*/ 580073 w 838200"/>
                <a:gd name="connsiteY8" fmla="*/ 133350 h 647700"/>
                <a:gd name="connsiteX9" fmla="*/ 514350 w 838200"/>
                <a:gd name="connsiteY9" fmla="*/ 133350 h 647700"/>
                <a:gd name="connsiteX10" fmla="*/ 514350 w 838200"/>
                <a:gd name="connsiteY10" fmla="*/ 60960 h 647700"/>
                <a:gd name="connsiteX11" fmla="*/ 95250 w 838200"/>
                <a:gd name="connsiteY11" fmla="*/ 323850 h 647700"/>
                <a:gd name="connsiteX12" fmla="*/ 57150 w 838200"/>
                <a:gd name="connsiteY12" fmla="*/ 285750 h 647700"/>
                <a:gd name="connsiteX13" fmla="*/ 95250 w 838200"/>
                <a:gd name="connsiteY13" fmla="*/ 247650 h 647700"/>
                <a:gd name="connsiteX14" fmla="*/ 133350 w 838200"/>
                <a:gd name="connsiteY14" fmla="*/ 285750 h 647700"/>
                <a:gd name="connsiteX15" fmla="*/ 95250 w 838200"/>
                <a:gd name="connsiteY15" fmla="*/ 323850 h 647700"/>
                <a:gd name="connsiteX16" fmla="*/ 800100 w 838200"/>
                <a:gd name="connsiteY16" fmla="*/ 190500 h 647700"/>
                <a:gd name="connsiteX17" fmla="*/ 647700 w 838200"/>
                <a:gd name="connsiteY17" fmla="*/ 190500 h 647700"/>
                <a:gd name="connsiteX18" fmla="*/ 647700 w 838200"/>
                <a:gd name="connsiteY18" fmla="*/ 121920 h 647700"/>
                <a:gd name="connsiteX19" fmla="*/ 536258 w 838200"/>
                <a:gd name="connsiteY19" fmla="*/ 0 h 647700"/>
                <a:gd name="connsiteX20" fmla="*/ 190500 w 838200"/>
                <a:gd name="connsiteY20" fmla="*/ 0 h 647700"/>
                <a:gd name="connsiteX21" fmla="*/ 190500 w 838200"/>
                <a:gd name="connsiteY21" fmla="*/ 190500 h 647700"/>
                <a:gd name="connsiteX22" fmla="*/ 38100 w 838200"/>
                <a:gd name="connsiteY22" fmla="*/ 190500 h 647700"/>
                <a:gd name="connsiteX23" fmla="*/ 0 w 838200"/>
                <a:gd name="connsiteY23" fmla="*/ 228600 h 647700"/>
                <a:gd name="connsiteX24" fmla="*/ 0 w 838200"/>
                <a:gd name="connsiteY24" fmla="*/ 609600 h 647700"/>
                <a:gd name="connsiteX25" fmla="*/ 38100 w 838200"/>
                <a:gd name="connsiteY25" fmla="*/ 647700 h 647700"/>
                <a:gd name="connsiteX26" fmla="*/ 152400 w 838200"/>
                <a:gd name="connsiteY26" fmla="*/ 647700 h 647700"/>
                <a:gd name="connsiteX27" fmla="*/ 152400 w 838200"/>
                <a:gd name="connsiteY27" fmla="*/ 428625 h 647700"/>
                <a:gd name="connsiteX28" fmla="*/ 685800 w 838200"/>
                <a:gd name="connsiteY28" fmla="*/ 428625 h 647700"/>
                <a:gd name="connsiteX29" fmla="*/ 685800 w 838200"/>
                <a:gd name="connsiteY29" fmla="*/ 647700 h 647700"/>
                <a:gd name="connsiteX30" fmla="*/ 800100 w 838200"/>
                <a:gd name="connsiteY30" fmla="*/ 647700 h 647700"/>
                <a:gd name="connsiteX31" fmla="*/ 838200 w 838200"/>
                <a:gd name="connsiteY31" fmla="*/ 609600 h 647700"/>
                <a:gd name="connsiteX32" fmla="*/ 838200 w 838200"/>
                <a:gd name="connsiteY32" fmla="*/ 228600 h 647700"/>
                <a:gd name="connsiteX33" fmla="*/ 800100 w 838200"/>
                <a:gd name="connsiteY33" fmla="*/ 190500 h 6477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</a:cxnLst>
              <a:rect l="l" t="t" r="r" b="b"/>
              <a:pathLst>
                <a:path w="838200" h="647700">
                  <a:moveTo>
                    <a:pt x="590550" y="276225"/>
                  </a:moveTo>
                  <a:lnTo>
                    <a:pt x="247650" y="276225"/>
                  </a:lnTo>
                  <a:lnTo>
                    <a:pt x="247650" y="57150"/>
                  </a:lnTo>
                  <a:lnTo>
                    <a:pt x="457200" y="57150"/>
                  </a:lnTo>
                  <a:lnTo>
                    <a:pt x="457200" y="190500"/>
                  </a:lnTo>
                  <a:lnTo>
                    <a:pt x="590550" y="190500"/>
                  </a:lnTo>
                  <a:lnTo>
                    <a:pt x="590550" y="276225"/>
                  </a:lnTo>
                  <a:close/>
                  <a:moveTo>
                    <a:pt x="514350" y="60960"/>
                  </a:moveTo>
                  <a:lnTo>
                    <a:pt x="580073" y="133350"/>
                  </a:lnTo>
                  <a:lnTo>
                    <a:pt x="514350" y="133350"/>
                  </a:lnTo>
                  <a:lnTo>
                    <a:pt x="514350" y="60960"/>
                  </a:lnTo>
                  <a:close/>
                  <a:moveTo>
                    <a:pt x="95250" y="323850"/>
                  </a:moveTo>
                  <a:cubicBezTo>
                    <a:pt x="74295" y="323850"/>
                    <a:pt x="57150" y="306705"/>
                    <a:pt x="57150" y="285750"/>
                  </a:cubicBezTo>
                  <a:cubicBezTo>
                    <a:pt x="57150" y="264795"/>
                    <a:pt x="74295" y="247650"/>
                    <a:pt x="95250" y="247650"/>
                  </a:cubicBezTo>
                  <a:cubicBezTo>
                    <a:pt x="116205" y="247650"/>
                    <a:pt x="133350" y="264795"/>
                    <a:pt x="133350" y="285750"/>
                  </a:cubicBezTo>
                  <a:cubicBezTo>
                    <a:pt x="133350" y="306705"/>
                    <a:pt x="116205" y="323850"/>
                    <a:pt x="95250" y="323850"/>
                  </a:cubicBezTo>
                  <a:close/>
                  <a:moveTo>
                    <a:pt x="800100" y="190500"/>
                  </a:moveTo>
                  <a:lnTo>
                    <a:pt x="647700" y="190500"/>
                  </a:lnTo>
                  <a:lnTo>
                    <a:pt x="647700" y="121920"/>
                  </a:lnTo>
                  <a:lnTo>
                    <a:pt x="536258" y="0"/>
                  </a:lnTo>
                  <a:lnTo>
                    <a:pt x="190500" y="0"/>
                  </a:lnTo>
                  <a:lnTo>
                    <a:pt x="190500" y="190500"/>
                  </a:lnTo>
                  <a:lnTo>
                    <a:pt x="38100" y="190500"/>
                  </a:lnTo>
                  <a:cubicBezTo>
                    <a:pt x="17145" y="190500"/>
                    <a:pt x="0" y="207645"/>
                    <a:pt x="0" y="228600"/>
                  </a:cubicBezTo>
                  <a:lnTo>
                    <a:pt x="0" y="609600"/>
                  </a:lnTo>
                  <a:cubicBezTo>
                    <a:pt x="0" y="630555"/>
                    <a:pt x="17145" y="647700"/>
                    <a:pt x="38100" y="647700"/>
                  </a:cubicBezTo>
                  <a:lnTo>
                    <a:pt x="152400" y="647700"/>
                  </a:lnTo>
                  <a:lnTo>
                    <a:pt x="152400" y="428625"/>
                  </a:lnTo>
                  <a:lnTo>
                    <a:pt x="685800" y="428625"/>
                  </a:lnTo>
                  <a:lnTo>
                    <a:pt x="685800" y="647700"/>
                  </a:lnTo>
                  <a:lnTo>
                    <a:pt x="800100" y="647700"/>
                  </a:lnTo>
                  <a:cubicBezTo>
                    <a:pt x="821055" y="647700"/>
                    <a:pt x="838200" y="630555"/>
                    <a:pt x="838200" y="609600"/>
                  </a:cubicBezTo>
                  <a:lnTo>
                    <a:pt x="838200" y="228600"/>
                  </a:lnTo>
                  <a:cubicBezTo>
                    <a:pt x="838200" y="207645"/>
                    <a:pt x="821055" y="190500"/>
                    <a:pt x="800100" y="190500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48" name="Imagem 47">
                <a:extLst>
                  <a:ext uri="{FF2B5EF4-FFF2-40B4-BE49-F238E27FC236}">
                    <a16:creationId xmlns:a16="http://schemas.microsoft.com/office/drawing/2014/main" id="{12B5F76F-F65C-875A-FFAC-085A821BCA8A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MENU!$F$2" spid="_x0000_s16532"/>
                  </a:ext>
                </a:extLst>
              </xdr:cNvPicPr>
            </xdr:nvPicPr>
            <xdr:blipFill rotWithShape="1">
              <a:blip xmlns:r="http://schemas.openxmlformats.org/officeDocument/2006/relationships" r:embed="rId10"/>
              <a:srcRect b="4887"/>
              <a:stretch>
                <a:fillRect/>
              </a:stretch>
            </xdr:blipFill>
            <xdr:spPr>
              <a:xfrm rot="5400000">
                <a:off x="104629" y="-104629"/>
                <a:ext cx="573778" cy="783035"/>
              </a:xfrm>
              <a:prstGeom prst="rect">
                <a:avLst/>
              </a:prstGeom>
              <a:ln>
                <a:noFill/>
              </a:ln>
            </xdr:spPr>
          </xdr:pic>
        </mc:Choice>
        <mc:Fallback xmlns=""/>
      </mc:AlternateContent>
      <xdr:sp macro="" textlink="">
        <xdr:nvSpPr>
          <xdr:cNvPr id="53" name="Retângulo 52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491D5A3-A80F-4385-B174-2495627B2CF5}"/>
              </a:ext>
            </a:extLst>
          </xdr:cNvPr>
          <xdr:cNvSpPr/>
        </xdr:nvSpPr>
        <xdr:spPr>
          <a:xfrm>
            <a:off x="767286" y="365125"/>
            <a:ext cx="1224000" cy="198611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chemeClr val="accent2"/>
                </a:solidFill>
              </a:rPr>
              <a:t>ANÁLISE</a:t>
            </a:r>
            <a:r>
              <a:rPr lang="pt-BR" sz="1100" b="1" i="0" baseline="0">
                <a:solidFill>
                  <a:schemeClr val="accent2"/>
                </a:solidFill>
              </a:rPr>
              <a:t> MENSAL</a:t>
            </a:r>
            <a:endParaRPr lang="pt-BR" sz="1100" b="1" i="0">
              <a:solidFill>
                <a:schemeClr val="accent2"/>
              </a:solidFill>
            </a:endParaRPr>
          </a:p>
        </xdr:txBody>
      </xdr:sp>
      <xdr:sp macro="" textlink="">
        <xdr:nvSpPr>
          <xdr:cNvPr id="54" name="Retângulo 53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22F7A2C6-1D2E-4ED7-A0A3-224D4092147A}"/>
              </a:ext>
            </a:extLst>
          </xdr:cNvPr>
          <xdr:cNvSpPr/>
        </xdr:nvSpPr>
        <xdr:spPr>
          <a:xfrm>
            <a:off x="2003036" y="365125"/>
            <a:ext cx="1123641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 ANUAL</a:t>
            </a:r>
          </a:p>
        </xdr:txBody>
      </xdr:sp>
      <xdr:sp macro="" textlink="">
        <xdr:nvSpPr>
          <xdr:cNvPr id="55" name="Retângulo 54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C45F491F-9B3E-44F9-BC32-BEDA452454C8}"/>
              </a:ext>
            </a:extLst>
          </xdr:cNvPr>
          <xdr:cNvSpPr/>
        </xdr:nvSpPr>
        <xdr:spPr>
          <a:xfrm>
            <a:off x="3138370" y="365125"/>
            <a:ext cx="1408233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 DE CONTAS</a:t>
            </a:r>
          </a:p>
        </xdr:txBody>
      </xdr:sp>
      <xdr:sp macro="" textlink="">
        <xdr:nvSpPr>
          <xdr:cNvPr id="56" name="Retângulo 55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E04ADCEF-AF20-401B-B192-2CA411D886CB}"/>
              </a:ext>
            </a:extLst>
          </xdr:cNvPr>
          <xdr:cNvSpPr/>
        </xdr:nvSpPr>
        <xdr:spPr>
          <a:xfrm>
            <a:off x="4559377" y="365125"/>
            <a:ext cx="1404000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</a:t>
            </a:r>
            <a:r>
              <a:rPr lang="pt-BR" sz="1100" b="1" i="0" baseline="0">
                <a:solidFill>
                  <a:srgbClr val="797979"/>
                </a:solidFill>
              </a:rPr>
              <a:t> DE RECEITA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57" name="Retângulo 56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9701250A-C333-4CC6-BE75-DFFB47D700B1}"/>
              </a:ext>
            </a:extLst>
          </xdr:cNvPr>
          <xdr:cNvSpPr/>
        </xdr:nvSpPr>
        <xdr:spPr>
          <a:xfrm>
            <a:off x="5972217" y="365125"/>
            <a:ext cx="1441058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</a:t>
            </a:r>
            <a:r>
              <a:rPr lang="pt-BR" sz="1100" b="1" i="0" baseline="0">
                <a:solidFill>
                  <a:srgbClr val="797979"/>
                </a:solidFill>
              </a:rPr>
              <a:t> DE DESPESA</a:t>
            </a:r>
            <a:endParaRPr lang="pt-BR" sz="1100" b="1" i="0">
              <a:solidFill>
                <a:srgbClr val="797979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695325</xdr:colOff>
      <xdr:row>3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DF90E81-0FDC-4ABD-8CFF-19E425FC0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0"/>
          <a:ext cx="742950" cy="61912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5</xdr:row>
      <xdr:rowOff>9524</xdr:rowOff>
    </xdr:from>
    <xdr:to>
      <xdr:col>4</xdr:col>
      <xdr:colOff>8953500</xdr:colOff>
      <xdr:row>6</xdr:row>
      <xdr:rowOff>323849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19049</xdr:colOff>
      <xdr:row>9</xdr:row>
      <xdr:rowOff>9525</xdr:rowOff>
    </xdr:from>
    <xdr:to>
      <xdr:col>4</xdr:col>
      <xdr:colOff>8963024</xdr:colOff>
      <xdr:row>13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65784</xdr:colOff>
          <xdr:row>9</xdr:row>
          <xdr:rowOff>59206</xdr:rowOff>
        </xdr:from>
        <xdr:to>
          <xdr:col>4</xdr:col>
          <xdr:colOff>822302</xdr:colOff>
          <xdr:row>9</xdr:row>
          <xdr:rowOff>296029</xdr:rowOff>
        </xdr:to>
        <xdr:sp macro="" textlink="">
          <xdr:nvSpPr>
            <xdr:cNvPr id="49153" name="Option 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4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Receita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65784</xdr:colOff>
          <xdr:row>9</xdr:row>
          <xdr:rowOff>282872</xdr:rowOff>
        </xdr:from>
        <xdr:to>
          <xdr:col>4</xdr:col>
          <xdr:colOff>822302</xdr:colOff>
          <xdr:row>10</xdr:row>
          <xdr:rowOff>144725</xdr:rowOff>
        </xdr:to>
        <xdr:sp macro="" textlink="">
          <xdr:nvSpPr>
            <xdr:cNvPr id="49154" name="Option 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4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Despesa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65784</xdr:colOff>
          <xdr:row>10</xdr:row>
          <xdr:rowOff>124990</xdr:rowOff>
        </xdr:from>
        <xdr:to>
          <xdr:col>4</xdr:col>
          <xdr:colOff>822302</xdr:colOff>
          <xdr:row>10</xdr:row>
          <xdr:rowOff>361813</xdr:rowOff>
        </xdr:to>
        <xdr:sp macro="" textlink="">
          <xdr:nvSpPr>
            <xdr:cNvPr id="49155" name="Option 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4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Lucro / Prejuízo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3</xdr:row>
          <xdr:rowOff>30480</xdr:rowOff>
        </xdr:from>
        <xdr:to>
          <xdr:col>4</xdr:col>
          <xdr:colOff>175260</xdr:colOff>
          <xdr:row>3</xdr:row>
          <xdr:rowOff>259080</xdr:rowOff>
        </xdr:to>
        <xdr:grpSp>
          <xdr:nvGrpSpPr>
            <xdr:cNvPr id="5" name="Agrupar 4">
              <a:extLst>
                <a:ext uri="{FF2B5EF4-FFF2-40B4-BE49-F238E27FC236}">
                  <a16:creationId xmlns:a16="http://schemas.microsoft.com/office/drawing/2014/main" id="{00000000-0008-0000-1900-000005000000}"/>
                </a:ext>
              </a:extLst>
            </xdr:cNvPr>
            <xdr:cNvGrpSpPr/>
          </xdr:nvGrpSpPr>
          <xdr:grpSpPr>
            <a:xfrm>
              <a:off x="38100" y="642273"/>
              <a:ext cx="3932907" cy="228600"/>
              <a:chOff x="38100" y="640080"/>
              <a:chExt cx="3726182" cy="228600"/>
            </a:xfrm>
          </xdr:grpSpPr>
          <xdr:sp macro="" textlink="">
            <xdr:nvSpPr>
              <xdr:cNvPr id="49158" name="Drop Down 6" hidden="1">
                <a:extLst>
                  <a:ext uri="{63B3BB69-23CF-44E3-9099-C40C66FF867C}">
                    <a14:compatExt spid="_x0000_s49158"/>
                  </a:ext>
                  <a:ext uri="{FF2B5EF4-FFF2-40B4-BE49-F238E27FC236}">
                    <a16:creationId xmlns:a16="http://schemas.microsoft.com/office/drawing/2014/main" id="{00000000-0008-0000-1400-000006C00000}"/>
                  </a:ext>
                </a:extLst>
              </xdr:cNvPr>
              <xdr:cNvSpPr/>
            </xdr:nvSpPr>
            <xdr:spPr bwMode="auto">
              <a:xfrm>
                <a:off x="38100" y="640080"/>
                <a:ext cx="8763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9159" name="Drop Down 7" hidden="1">
                <a:extLst>
                  <a:ext uri="{63B3BB69-23CF-44E3-9099-C40C66FF867C}">
                    <a14:compatExt spid="_x0000_s49159"/>
                  </a:ext>
                  <a:ext uri="{FF2B5EF4-FFF2-40B4-BE49-F238E27FC236}">
                    <a16:creationId xmlns:a16="http://schemas.microsoft.com/office/drawing/2014/main" id="{00000000-0008-0000-1400-000007C00000}"/>
                  </a:ext>
                </a:extLst>
              </xdr:cNvPr>
              <xdr:cNvSpPr/>
            </xdr:nvSpPr>
            <xdr:spPr bwMode="auto">
              <a:xfrm>
                <a:off x="2301244" y="640080"/>
                <a:ext cx="1463038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9160" name="Drop Down 8" hidden="1">
                <a:extLst>
                  <a:ext uri="{63B3BB69-23CF-44E3-9099-C40C66FF867C}">
                    <a14:compatExt spid="_x0000_s49160"/>
                  </a:ext>
                  <a:ext uri="{FF2B5EF4-FFF2-40B4-BE49-F238E27FC236}">
                    <a16:creationId xmlns:a16="http://schemas.microsoft.com/office/drawing/2014/main" id="{00000000-0008-0000-1400-000008C00000}"/>
                  </a:ext>
                </a:extLst>
              </xdr:cNvPr>
              <xdr:cNvSpPr/>
            </xdr:nvSpPr>
            <xdr:spPr bwMode="auto">
              <a:xfrm>
                <a:off x="922020" y="640080"/>
                <a:ext cx="13716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4</xdr:col>
      <xdr:colOff>8968049</xdr:colOff>
      <xdr:row>2</xdr:row>
      <xdr:rowOff>12861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77CD4A60-B270-4951-9BE2-CCB6AE939AAA}"/>
            </a:ext>
          </a:extLst>
        </xdr:cNvPr>
        <xdr:cNvGrpSpPr/>
      </xdr:nvGrpSpPr>
      <xdr:grpSpPr>
        <a:xfrm>
          <a:off x="0" y="0"/>
          <a:ext cx="12763796" cy="578605"/>
          <a:chOff x="0" y="0"/>
          <a:chExt cx="12472191" cy="573778"/>
        </a:xfrm>
      </xdr:grpSpPr>
      <xdr:sp macro="[0]!Salvar" textlink="">
        <xdr:nvSpPr>
          <xdr:cNvPr id="26" name="Retângulo Arredondado 1">
            <a:extLst>
              <a:ext uri="{FF2B5EF4-FFF2-40B4-BE49-F238E27FC236}">
                <a16:creationId xmlns:a16="http://schemas.microsoft.com/office/drawing/2014/main" id="{6BD0E3A7-CBE8-0A5B-CF1A-57D42C8EF44A}"/>
              </a:ext>
            </a:extLst>
          </xdr:cNvPr>
          <xdr:cNvSpPr/>
        </xdr:nvSpPr>
        <xdr:spPr>
          <a:xfrm>
            <a:off x="10714487" y="66701"/>
            <a:ext cx="884475" cy="2001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SALVAR</a:t>
            </a:r>
          </a:p>
        </xdr:txBody>
      </xdr:sp>
      <xdr:sp macro="" textlink="">
        <xdr:nvSpPr>
          <xdr:cNvPr id="27" name="Retângulo Arredondado 2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C7DC648-05E6-2DEE-597E-E0143D22522B}"/>
              </a:ext>
            </a:extLst>
          </xdr:cNvPr>
          <xdr:cNvSpPr/>
        </xdr:nvSpPr>
        <xdr:spPr>
          <a:xfrm>
            <a:off x="9845615" y="66701"/>
            <a:ext cx="841116" cy="2001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MENU</a:t>
            </a:r>
          </a:p>
        </xdr:txBody>
      </xdr:sp>
      <xdr:sp macro="[0]!workbook_close" textlink="">
        <xdr:nvSpPr>
          <xdr:cNvPr id="28" name="Seta: para Baixo 28">
            <a:extLst>
              <a:ext uri="{FF2B5EF4-FFF2-40B4-BE49-F238E27FC236}">
                <a16:creationId xmlns:a16="http://schemas.microsoft.com/office/drawing/2014/main" id="{0F2D52C9-FEFB-2FCC-34A1-7B5E5C053A93}"/>
              </a:ext>
            </a:extLst>
          </xdr:cNvPr>
          <xdr:cNvSpPr/>
        </xdr:nvSpPr>
        <xdr:spPr>
          <a:xfrm>
            <a:off x="11903469" y="66701"/>
            <a:ext cx="235922" cy="219158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workbook_open" textlink="">
        <xdr:nvSpPr>
          <xdr:cNvPr id="29" name="Seta: para Baixo 28">
            <a:extLst>
              <a:ext uri="{FF2B5EF4-FFF2-40B4-BE49-F238E27FC236}">
                <a16:creationId xmlns:a16="http://schemas.microsoft.com/office/drawing/2014/main" id="{57D4C9D8-60BB-854E-A679-C9559709971C}"/>
              </a:ext>
            </a:extLst>
          </xdr:cNvPr>
          <xdr:cNvSpPr/>
        </xdr:nvSpPr>
        <xdr:spPr>
          <a:xfrm rot="10800000">
            <a:off x="11682228" y="38114"/>
            <a:ext cx="239745" cy="219158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Retângulo 2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7E6B9E-AFF1-AFA9-13CB-7C13B808EB9B}"/>
              </a:ext>
            </a:extLst>
          </xdr:cNvPr>
          <xdr:cNvSpPr/>
        </xdr:nvSpPr>
        <xdr:spPr>
          <a:xfrm>
            <a:off x="773069" y="0"/>
            <a:ext cx="933651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31" name="Retângul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5635784-F30A-B84B-C6DF-C86181E4C7B6}"/>
              </a:ext>
            </a:extLst>
          </xdr:cNvPr>
          <xdr:cNvSpPr/>
        </xdr:nvSpPr>
        <xdr:spPr>
          <a:xfrm>
            <a:off x="1714729" y="0"/>
            <a:ext cx="1149109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LANÇAMENTOS</a:t>
            </a:r>
          </a:p>
        </xdr:txBody>
      </xdr:sp>
      <xdr:sp macro="" textlink="">
        <xdr:nvSpPr>
          <xdr:cNvPr id="32" name="Retângulo 3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21690B8-A40D-CC9F-7DFA-219545349D41}"/>
              </a:ext>
            </a:extLst>
          </xdr:cNvPr>
          <xdr:cNvSpPr/>
        </xdr:nvSpPr>
        <xdr:spPr>
          <a:xfrm>
            <a:off x="2876672" y="0"/>
            <a:ext cx="972732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RELATÓRIOSS</a:t>
            </a:r>
          </a:p>
        </xdr:txBody>
      </xdr:sp>
      <xdr:sp macro="" textlink="">
        <xdr:nvSpPr>
          <xdr:cNvPr id="33" name="Retângulo 3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C67DD147-5171-8809-9892-026E5F866359}"/>
              </a:ext>
            </a:extLst>
          </xdr:cNvPr>
          <xdr:cNvSpPr/>
        </xdr:nvSpPr>
        <xdr:spPr>
          <a:xfrm>
            <a:off x="3851897" y="0"/>
            <a:ext cx="969561" cy="313319"/>
          </a:xfrm>
          <a:prstGeom prst="rect">
            <a:avLst/>
          </a:prstGeom>
          <a:solidFill>
            <a:srgbClr val="EBEBE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accent1"/>
                </a:solidFill>
              </a:rPr>
              <a:t>DASHBOARD</a:t>
            </a:r>
          </a:p>
        </xdr:txBody>
      </xdr:sp>
      <xdr:grpSp>
        <xdr:nvGrpSpPr>
          <xdr:cNvPr id="34" name="Gráfico 2" descr="Impressora">
            <a:extLst>
              <a:ext uri="{FF2B5EF4-FFF2-40B4-BE49-F238E27FC236}">
                <a16:creationId xmlns:a16="http://schemas.microsoft.com/office/drawing/2014/main" id="{4D07F8A3-BECE-22E3-12F9-10CC0028E905}"/>
              </a:ext>
            </a:extLst>
          </xdr:cNvPr>
          <xdr:cNvGrpSpPr/>
        </xdr:nvGrpSpPr>
        <xdr:grpSpPr>
          <a:xfrm>
            <a:off x="12191648" y="0"/>
            <a:ext cx="280543" cy="289003"/>
            <a:chOff x="0" y="0"/>
            <a:chExt cx="914400" cy="914400"/>
          </a:xfrm>
          <a:solidFill>
            <a:schemeClr val="bg1"/>
          </a:solidFill>
        </xdr:grpSpPr>
        <xdr:sp macro="[0]!Imprimir" textlink="">
          <xdr:nvSpPr>
            <xdr:cNvPr id="41" name="Forma Livre: Forma 40">
              <a:extLst>
                <a:ext uri="{FF2B5EF4-FFF2-40B4-BE49-F238E27FC236}">
                  <a16:creationId xmlns:a16="http://schemas.microsoft.com/office/drawing/2014/main" id="{C3AAEDA1-3047-CDDF-3205-A5A25BD37667}"/>
                </a:ext>
              </a:extLst>
            </xdr:cNvPr>
            <xdr:cNvSpPr/>
          </xdr:nvSpPr>
          <xdr:spPr>
            <a:xfrm>
              <a:off x="228600" y="538163"/>
              <a:ext cx="447675" cy="304800"/>
            </a:xfrm>
            <a:custGeom>
              <a:avLst/>
              <a:gdLst>
                <a:gd name="connsiteX0" fmla="*/ 400050 w 447675"/>
                <a:gd name="connsiteY0" fmla="*/ 57150 h 304800"/>
                <a:gd name="connsiteX1" fmla="*/ 399098 w 447675"/>
                <a:gd name="connsiteY1" fmla="*/ 247650 h 304800"/>
                <a:gd name="connsiteX2" fmla="*/ 59055 w 447675"/>
                <a:gd name="connsiteY2" fmla="*/ 247650 h 304800"/>
                <a:gd name="connsiteX3" fmla="*/ 57150 w 447675"/>
                <a:gd name="connsiteY3" fmla="*/ 57150 h 304800"/>
                <a:gd name="connsiteX4" fmla="*/ 400050 w 447675"/>
                <a:gd name="connsiteY4" fmla="*/ 57150 h 304800"/>
                <a:gd name="connsiteX5" fmla="*/ 1905 w 447675"/>
                <a:gd name="connsiteY5" fmla="*/ 304800 h 304800"/>
                <a:gd name="connsiteX6" fmla="*/ 455295 w 447675"/>
                <a:gd name="connsiteY6" fmla="*/ 304800 h 304800"/>
                <a:gd name="connsiteX7" fmla="*/ 456248 w 447675"/>
                <a:gd name="connsiteY7" fmla="*/ 0 h 304800"/>
                <a:gd name="connsiteX8" fmla="*/ 0 w 447675"/>
                <a:gd name="connsiteY8" fmla="*/ 0 h 304800"/>
                <a:gd name="connsiteX9" fmla="*/ 1905 w 447675"/>
                <a:gd name="connsiteY9" fmla="*/ 304800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47675" h="304800">
                  <a:moveTo>
                    <a:pt x="400050" y="57150"/>
                  </a:moveTo>
                  <a:lnTo>
                    <a:pt x="399098" y="247650"/>
                  </a:lnTo>
                  <a:lnTo>
                    <a:pt x="59055" y="247650"/>
                  </a:lnTo>
                  <a:lnTo>
                    <a:pt x="57150" y="57150"/>
                  </a:lnTo>
                  <a:lnTo>
                    <a:pt x="400050" y="57150"/>
                  </a:lnTo>
                  <a:close/>
                  <a:moveTo>
                    <a:pt x="1905" y="304800"/>
                  </a:moveTo>
                  <a:lnTo>
                    <a:pt x="455295" y="304800"/>
                  </a:lnTo>
                  <a:lnTo>
                    <a:pt x="456248" y="0"/>
                  </a:lnTo>
                  <a:lnTo>
                    <a:pt x="0" y="0"/>
                  </a:lnTo>
                  <a:lnTo>
                    <a:pt x="1905" y="3048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42" name="Forma Livre: Forma 41">
              <a:extLst>
                <a:ext uri="{FF2B5EF4-FFF2-40B4-BE49-F238E27FC236}">
                  <a16:creationId xmlns:a16="http://schemas.microsoft.com/office/drawing/2014/main" id="{007B45CD-4283-CF16-0A1D-9599050FA2B9}"/>
                </a:ext>
              </a:extLst>
            </xdr:cNvPr>
            <xdr:cNvSpPr/>
          </xdr:nvSpPr>
          <xdr:spPr>
            <a:xfrm>
              <a:off x="361950" y="6334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43" name="Forma Livre: Forma 42">
              <a:extLst>
                <a:ext uri="{FF2B5EF4-FFF2-40B4-BE49-F238E27FC236}">
                  <a16:creationId xmlns:a16="http://schemas.microsoft.com/office/drawing/2014/main" id="{DF6DDE68-0C40-C8D4-73D6-BBA18E3ACA40}"/>
                </a:ext>
              </a:extLst>
            </xdr:cNvPr>
            <xdr:cNvSpPr/>
          </xdr:nvSpPr>
          <xdr:spPr>
            <a:xfrm>
              <a:off x="361950" y="7096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44" name="Forma Livre: Forma 43">
              <a:extLst>
                <a:ext uri="{FF2B5EF4-FFF2-40B4-BE49-F238E27FC236}">
                  <a16:creationId xmlns:a16="http://schemas.microsoft.com/office/drawing/2014/main" id="{A720AE17-F647-F3C9-360C-81B41C9A929F}"/>
                </a:ext>
              </a:extLst>
            </xdr:cNvPr>
            <xdr:cNvSpPr/>
          </xdr:nvSpPr>
          <xdr:spPr>
            <a:xfrm>
              <a:off x="38100" y="76200"/>
              <a:ext cx="838200" cy="647700"/>
            </a:xfrm>
            <a:custGeom>
              <a:avLst/>
              <a:gdLst>
                <a:gd name="connsiteX0" fmla="*/ 590550 w 838200"/>
                <a:gd name="connsiteY0" fmla="*/ 276225 h 647700"/>
                <a:gd name="connsiteX1" fmla="*/ 247650 w 838200"/>
                <a:gd name="connsiteY1" fmla="*/ 276225 h 647700"/>
                <a:gd name="connsiteX2" fmla="*/ 247650 w 838200"/>
                <a:gd name="connsiteY2" fmla="*/ 57150 h 647700"/>
                <a:gd name="connsiteX3" fmla="*/ 457200 w 838200"/>
                <a:gd name="connsiteY3" fmla="*/ 57150 h 647700"/>
                <a:gd name="connsiteX4" fmla="*/ 457200 w 838200"/>
                <a:gd name="connsiteY4" fmla="*/ 190500 h 647700"/>
                <a:gd name="connsiteX5" fmla="*/ 590550 w 838200"/>
                <a:gd name="connsiteY5" fmla="*/ 190500 h 647700"/>
                <a:gd name="connsiteX6" fmla="*/ 590550 w 838200"/>
                <a:gd name="connsiteY6" fmla="*/ 276225 h 647700"/>
                <a:gd name="connsiteX7" fmla="*/ 514350 w 838200"/>
                <a:gd name="connsiteY7" fmla="*/ 60960 h 647700"/>
                <a:gd name="connsiteX8" fmla="*/ 580073 w 838200"/>
                <a:gd name="connsiteY8" fmla="*/ 133350 h 647700"/>
                <a:gd name="connsiteX9" fmla="*/ 514350 w 838200"/>
                <a:gd name="connsiteY9" fmla="*/ 133350 h 647700"/>
                <a:gd name="connsiteX10" fmla="*/ 514350 w 838200"/>
                <a:gd name="connsiteY10" fmla="*/ 60960 h 647700"/>
                <a:gd name="connsiteX11" fmla="*/ 95250 w 838200"/>
                <a:gd name="connsiteY11" fmla="*/ 323850 h 647700"/>
                <a:gd name="connsiteX12" fmla="*/ 57150 w 838200"/>
                <a:gd name="connsiteY12" fmla="*/ 285750 h 647700"/>
                <a:gd name="connsiteX13" fmla="*/ 95250 w 838200"/>
                <a:gd name="connsiteY13" fmla="*/ 247650 h 647700"/>
                <a:gd name="connsiteX14" fmla="*/ 133350 w 838200"/>
                <a:gd name="connsiteY14" fmla="*/ 285750 h 647700"/>
                <a:gd name="connsiteX15" fmla="*/ 95250 w 838200"/>
                <a:gd name="connsiteY15" fmla="*/ 323850 h 647700"/>
                <a:gd name="connsiteX16" fmla="*/ 800100 w 838200"/>
                <a:gd name="connsiteY16" fmla="*/ 190500 h 647700"/>
                <a:gd name="connsiteX17" fmla="*/ 647700 w 838200"/>
                <a:gd name="connsiteY17" fmla="*/ 190500 h 647700"/>
                <a:gd name="connsiteX18" fmla="*/ 647700 w 838200"/>
                <a:gd name="connsiteY18" fmla="*/ 121920 h 647700"/>
                <a:gd name="connsiteX19" fmla="*/ 536258 w 838200"/>
                <a:gd name="connsiteY19" fmla="*/ 0 h 647700"/>
                <a:gd name="connsiteX20" fmla="*/ 190500 w 838200"/>
                <a:gd name="connsiteY20" fmla="*/ 0 h 647700"/>
                <a:gd name="connsiteX21" fmla="*/ 190500 w 838200"/>
                <a:gd name="connsiteY21" fmla="*/ 190500 h 647700"/>
                <a:gd name="connsiteX22" fmla="*/ 38100 w 838200"/>
                <a:gd name="connsiteY22" fmla="*/ 190500 h 647700"/>
                <a:gd name="connsiteX23" fmla="*/ 0 w 838200"/>
                <a:gd name="connsiteY23" fmla="*/ 228600 h 647700"/>
                <a:gd name="connsiteX24" fmla="*/ 0 w 838200"/>
                <a:gd name="connsiteY24" fmla="*/ 609600 h 647700"/>
                <a:gd name="connsiteX25" fmla="*/ 38100 w 838200"/>
                <a:gd name="connsiteY25" fmla="*/ 647700 h 647700"/>
                <a:gd name="connsiteX26" fmla="*/ 152400 w 838200"/>
                <a:gd name="connsiteY26" fmla="*/ 647700 h 647700"/>
                <a:gd name="connsiteX27" fmla="*/ 152400 w 838200"/>
                <a:gd name="connsiteY27" fmla="*/ 428625 h 647700"/>
                <a:gd name="connsiteX28" fmla="*/ 685800 w 838200"/>
                <a:gd name="connsiteY28" fmla="*/ 428625 h 647700"/>
                <a:gd name="connsiteX29" fmla="*/ 685800 w 838200"/>
                <a:gd name="connsiteY29" fmla="*/ 647700 h 647700"/>
                <a:gd name="connsiteX30" fmla="*/ 800100 w 838200"/>
                <a:gd name="connsiteY30" fmla="*/ 647700 h 647700"/>
                <a:gd name="connsiteX31" fmla="*/ 838200 w 838200"/>
                <a:gd name="connsiteY31" fmla="*/ 609600 h 647700"/>
                <a:gd name="connsiteX32" fmla="*/ 838200 w 838200"/>
                <a:gd name="connsiteY32" fmla="*/ 228600 h 647700"/>
                <a:gd name="connsiteX33" fmla="*/ 800100 w 838200"/>
                <a:gd name="connsiteY33" fmla="*/ 190500 h 6477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</a:cxnLst>
              <a:rect l="l" t="t" r="r" b="b"/>
              <a:pathLst>
                <a:path w="838200" h="647700">
                  <a:moveTo>
                    <a:pt x="590550" y="276225"/>
                  </a:moveTo>
                  <a:lnTo>
                    <a:pt x="247650" y="276225"/>
                  </a:lnTo>
                  <a:lnTo>
                    <a:pt x="247650" y="57150"/>
                  </a:lnTo>
                  <a:lnTo>
                    <a:pt x="457200" y="57150"/>
                  </a:lnTo>
                  <a:lnTo>
                    <a:pt x="457200" y="190500"/>
                  </a:lnTo>
                  <a:lnTo>
                    <a:pt x="590550" y="190500"/>
                  </a:lnTo>
                  <a:lnTo>
                    <a:pt x="590550" y="276225"/>
                  </a:lnTo>
                  <a:close/>
                  <a:moveTo>
                    <a:pt x="514350" y="60960"/>
                  </a:moveTo>
                  <a:lnTo>
                    <a:pt x="580073" y="133350"/>
                  </a:lnTo>
                  <a:lnTo>
                    <a:pt x="514350" y="133350"/>
                  </a:lnTo>
                  <a:lnTo>
                    <a:pt x="514350" y="60960"/>
                  </a:lnTo>
                  <a:close/>
                  <a:moveTo>
                    <a:pt x="95250" y="323850"/>
                  </a:moveTo>
                  <a:cubicBezTo>
                    <a:pt x="74295" y="323850"/>
                    <a:pt x="57150" y="306705"/>
                    <a:pt x="57150" y="285750"/>
                  </a:cubicBezTo>
                  <a:cubicBezTo>
                    <a:pt x="57150" y="264795"/>
                    <a:pt x="74295" y="247650"/>
                    <a:pt x="95250" y="247650"/>
                  </a:cubicBezTo>
                  <a:cubicBezTo>
                    <a:pt x="116205" y="247650"/>
                    <a:pt x="133350" y="264795"/>
                    <a:pt x="133350" y="285750"/>
                  </a:cubicBezTo>
                  <a:cubicBezTo>
                    <a:pt x="133350" y="306705"/>
                    <a:pt x="116205" y="323850"/>
                    <a:pt x="95250" y="323850"/>
                  </a:cubicBezTo>
                  <a:close/>
                  <a:moveTo>
                    <a:pt x="800100" y="190500"/>
                  </a:moveTo>
                  <a:lnTo>
                    <a:pt x="647700" y="190500"/>
                  </a:lnTo>
                  <a:lnTo>
                    <a:pt x="647700" y="121920"/>
                  </a:lnTo>
                  <a:lnTo>
                    <a:pt x="536258" y="0"/>
                  </a:lnTo>
                  <a:lnTo>
                    <a:pt x="190500" y="0"/>
                  </a:lnTo>
                  <a:lnTo>
                    <a:pt x="190500" y="190500"/>
                  </a:lnTo>
                  <a:lnTo>
                    <a:pt x="38100" y="190500"/>
                  </a:lnTo>
                  <a:cubicBezTo>
                    <a:pt x="17145" y="190500"/>
                    <a:pt x="0" y="207645"/>
                    <a:pt x="0" y="228600"/>
                  </a:cubicBezTo>
                  <a:lnTo>
                    <a:pt x="0" y="609600"/>
                  </a:lnTo>
                  <a:cubicBezTo>
                    <a:pt x="0" y="630555"/>
                    <a:pt x="17145" y="647700"/>
                    <a:pt x="38100" y="647700"/>
                  </a:cubicBezTo>
                  <a:lnTo>
                    <a:pt x="152400" y="647700"/>
                  </a:lnTo>
                  <a:lnTo>
                    <a:pt x="152400" y="428625"/>
                  </a:lnTo>
                  <a:lnTo>
                    <a:pt x="685800" y="428625"/>
                  </a:lnTo>
                  <a:lnTo>
                    <a:pt x="685800" y="647700"/>
                  </a:lnTo>
                  <a:lnTo>
                    <a:pt x="800100" y="647700"/>
                  </a:lnTo>
                  <a:cubicBezTo>
                    <a:pt x="821055" y="647700"/>
                    <a:pt x="838200" y="630555"/>
                    <a:pt x="838200" y="609600"/>
                  </a:cubicBezTo>
                  <a:lnTo>
                    <a:pt x="838200" y="228600"/>
                  </a:lnTo>
                  <a:cubicBezTo>
                    <a:pt x="838200" y="207645"/>
                    <a:pt x="821055" y="190500"/>
                    <a:pt x="800100" y="190500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5" name="Imagem 34">
                <a:extLst>
                  <a:ext uri="{FF2B5EF4-FFF2-40B4-BE49-F238E27FC236}">
                    <a16:creationId xmlns:a16="http://schemas.microsoft.com/office/drawing/2014/main" id="{4B72B6EE-DDF0-33F9-4A0E-CD9622C07A56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MENU!$F$2" spid="_x0000_s49298"/>
                  </a:ext>
                </a:extLst>
              </xdr:cNvPicPr>
            </xdr:nvPicPr>
            <xdr:blipFill rotWithShape="1">
              <a:blip xmlns:r="http://schemas.openxmlformats.org/officeDocument/2006/relationships" r:embed="rId8"/>
              <a:srcRect b="4887"/>
              <a:stretch>
                <a:fillRect/>
              </a:stretch>
            </xdr:blipFill>
            <xdr:spPr>
              <a:xfrm rot="5400000">
                <a:off x="104629" y="-104629"/>
                <a:ext cx="573778" cy="783035"/>
              </a:xfrm>
              <a:prstGeom prst="rect">
                <a:avLst/>
              </a:prstGeom>
              <a:ln>
                <a:noFill/>
              </a:ln>
            </xdr:spPr>
          </xdr:pic>
        </mc:Choice>
        <mc:Fallback xmlns=""/>
      </mc:AlternateContent>
      <xdr:sp macro="" textlink="">
        <xdr:nvSpPr>
          <xdr:cNvPr id="36" name="Retângulo 3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E07AE10B-1966-8955-A58B-8B30CCE8D794}"/>
              </a:ext>
            </a:extLst>
          </xdr:cNvPr>
          <xdr:cNvSpPr/>
        </xdr:nvSpPr>
        <xdr:spPr>
          <a:xfrm>
            <a:off x="767286" y="365125"/>
            <a:ext cx="1224000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</a:t>
            </a:r>
            <a:r>
              <a:rPr lang="pt-BR" sz="1100" b="1" i="0" baseline="0">
                <a:solidFill>
                  <a:srgbClr val="797979"/>
                </a:solidFill>
              </a:rPr>
              <a:t> MENSAL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37" name="Retângulo 3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357A151-A809-D995-8CDC-26CB5A6E6A4D}"/>
              </a:ext>
            </a:extLst>
          </xdr:cNvPr>
          <xdr:cNvSpPr/>
        </xdr:nvSpPr>
        <xdr:spPr>
          <a:xfrm>
            <a:off x="2003036" y="365125"/>
            <a:ext cx="1123641" cy="198611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chemeClr val="accent2"/>
                </a:solidFill>
              </a:rPr>
              <a:t>ANÁLISE ANUAL</a:t>
            </a:r>
          </a:p>
        </xdr:txBody>
      </xdr:sp>
      <xdr:sp macro="" textlink="">
        <xdr:nvSpPr>
          <xdr:cNvPr id="38" name="Retângulo 37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7910235B-16D8-DB6D-C686-01B3A2AFF7B4}"/>
              </a:ext>
            </a:extLst>
          </xdr:cNvPr>
          <xdr:cNvSpPr/>
        </xdr:nvSpPr>
        <xdr:spPr>
          <a:xfrm>
            <a:off x="3138370" y="365125"/>
            <a:ext cx="1408233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 DE CONTAS</a:t>
            </a:r>
          </a:p>
        </xdr:txBody>
      </xdr:sp>
      <xdr:sp macro="" textlink="">
        <xdr:nvSpPr>
          <xdr:cNvPr id="39" name="Retângulo 3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96DB468-0239-3535-6BD1-91A2639892F5}"/>
              </a:ext>
            </a:extLst>
          </xdr:cNvPr>
          <xdr:cNvSpPr/>
        </xdr:nvSpPr>
        <xdr:spPr>
          <a:xfrm>
            <a:off x="4559377" y="365125"/>
            <a:ext cx="1404000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</a:t>
            </a:r>
            <a:r>
              <a:rPr lang="pt-BR" sz="1100" b="1" i="0" baseline="0">
                <a:solidFill>
                  <a:srgbClr val="797979"/>
                </a:solidFill>
              </a:rPr>
              <a:t> DE RECEITA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40" name="Retângulo 3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FBF574A-CF73-5182-1831-154AF9990DAC}"/>
              </a:ext>
            </a:extLst>
          </xdr:cNvPr>
          <xdr:cNvSpPr/>
        </xdr:nvSpPr>
        <xdr:spPr>
          <a:xfrm>
            <a:off x="5972217" y="365125"/>
            <a:ext cx="1441058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</a:t>
            </a:r>
            <a:r>
              <a:rPr lang="pt-BR" sz="1100" b="1" i="0" baseline="0">
                <a:solidFill>
                  <a:srgbClr val="797979"/>
                </a:solidFill>
              </a:rPr>
              <a:t> DE DESPESA</a:t>
            </a:r>
            <a:endParaRPr lang="pt-BR" sz="1100" b="1" i="0">
              <a:solidFill>
                <a:srgbClr val="797979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285750</xdr:colOff>
      <xdr:row>3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564E82B-84A1-43B1-A00E-AF38474C0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0"/>
          <a:ext cx="742950" cy="61912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9</xdr:row>
      <xdr:rowOff>0</xdr:rowOff>
    </xdr:from>
    <xdr:to>
      <xdr:col>3</xdr:col>
      <xdr:colOff>1666874</xdr:colOff>
      <xdr:row>13</xdr:row>
      <xdr:rowOff>438150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9526</xdr:colOff>
      <xdr:row>8</xdr:row>
      <xdr:rowOff>142875</xdr:rowOff>
    </xdr:from>
    <xdr:to>
      <xdr:col>11</xdr:col>
      <xdr:colOff>0</xdr:colOff>
      <xdr:row>14</xdr:row>
      <xdr:rowOff>9525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464820</xdr:colOff>
          <xdr:row>3</xdr:row>
          <xdr:rowOff>0</xdr:rowOff>
        </xdr:from>
        <xdr:to>
          <xdr:col>3</xdr:col>
          <xdr:colOff>1173480</xdr:colOff>
          <xdr:row>5</xdr:row>
          <xdr:rowOff>198120</xdr:rowOff>
        </xdr:to>
        <xdr:grpSp>
          <xdr:nvGrpSpPr>
            <xdr:cNvPr id="2" name="Agrupar 1">
              <a:extLst>
                <a:ext uri="{FF2B5EF4-FFF2-40B4-BE49-F238E27FC236}">
                  <a16:creationId xmlns:a16="http://schemas.microsoft.com/office/drawing/2014/main" id="{00000000-0008-0000-1A00-000002000000}"/>
                </a:ext>
              </a:extLst>
            </xdr:cNvPr>
            <xdr:cNvGrpSpPr/>
          </xdr:nvGrpSpPr>
          <xdr:grpSpPr>
            <a:xfrm>
              <a:off x="517447" y="611793"/>
              <a:ext cx="4234692" cy="520462"/>
              <a:chOff x="510540" y="609600"/>
              <a:chExt cx="4046219" cy="518162"/>
            </a:xfrm>
          </xdr:grpSpPr>
          <xdr:sp macro="" textlink="">
            <xdr:nvSpPr>
              <xdr:cNvPr id="17409" name="Drop Down 1" hidden="1">
                <a:extLst>
                  <a:ext uri="{63B3BB69-23CF-44E3-9099-C40C66FF867C}">
                    <a14:compatExt spid="_x0000_s17409"/>
                  </a:ext>
                  <a:ext uri="{FF2B5EF4-FFF2-40B4-BE49-F238E27FC236}">
                    <a16:creationId xmlns:a16="http://schemas.microsoft.com/office/drawing/2014/main" id="{00000000-0008-0000-1500-000001440000}"/>
                  </a:ext>
                </a:extLst>
              </xdr:cNvPr>
              <xdr:cNvSpPr/>
            </xdr:nvSpPr>
            <xdr:spPr bwMode="auto">
              <a:xfrm>
                <a:off x="510540" y="609600"/>
                <a:ext cx="1790699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7411" name="Drop Down 3" hidden="1">
                <a:extLst>
                  <a:ext uri="{63B3BB69-23CF-44E3-9099-C40C66FF867C}">
                    <a14:compatExt spid="_x0000_s17411"/>
                  </a:ext>
                  <a:ext uri="{FF2B5EF4-FFF2-40B4-BE49-F238E27FC236}">
                    <a16:creationId xmlns:a16="http://schemas.microsoft.com/office/drawing/2014/main" id="{00000000-0008-0000-1500-000003440000}"/>
                  </a:ext>
                </a:extLst>
              </xdr:cNvPr>
              <xdr:cNvSpPr/>
            </xdr:nvSpPr>
            <xdr:spPr bwMode="auto">
              <a:xfrm>
                <a:off x="2316480" y="609600"/>
                <a:ext cx="83058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7412" name="Drop Down 4" hidden="1">
                <a:extLst>
                  <a:ext uri="{63B3BB69-23CF-44E3-9099-C40C66FF867C}">
                    <a14:compatExt spid="_x0000_s17412"/>
                  </a:ext>
                  <a:ext uri="{FF2B5EF4-FFF2-40B4-BE49-F238E27FC236}">
                    <a16:creationId xmlns:a16="http://schemas.microsoft.com/office/drawing/2014/main" id="{00000000-0008-0000-1500-000004440000}"/>
                  </a:ext>
                </a:extLst>
              </xdr:cNvPr>
              <xdr:cNvSpPr/>
            </xdr:nvSpPr>
            <xdr:spPr bwMode="auto">
              <a:xfrm>
                <a:off x="2461260" y="906781"/>
                <a:ext cx="1402080" cy="22098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7413" name="Drop Down 5" hidden="1">
                <a:extLst>
                  <a:ext uri="{63B3BB69-23CF-44E3-9099-C40C66FF867C}">
                    <a14:compatExt spid="_x0000_s17413"/>
                  </a:ext>
                  <a:ext uri="{FF2B5EF4-FFF2-40B4-BE49-F238E27FC236}">
                    <a16:creationId xmlns:a16="http://schemas.microsoft.com/office/drawing/2014/main" id="{00000000-0008-0000-1500-000005440000}"/>
                  </a:ext>
                </a:extLst>
              </xdr:cNvPr>
              <xdr:cNvSpPr/>
            </xdr:nvSpPr>
            <xdr:spPr bwMode="auto">
              <a:xfrm>
                <a:off x="3162299" y="617220"/>
                <a:ext cx="139446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11</xdr:col>
      <xdr:colOff>33599</xdr:colOff>
      <xdr:row>2</xdr:row>
      <xdr:rowOff>12861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A4D88CBC-11D6-4F96-95BA-6A4CBD9B4E9B}"/>
            </a:ext>
          </a:extLst>
        </xdr:cNvPr>
        <xdr:cNvGrpSpPr/>
      </xdr:nvGrpSpPr>
      <xdr:grpSpPr>
        <a:xfrm>
          <a:off x="0" y="0"/>
          <a:ext cx="13525933" cy="578605"/>
          <a:chOff x="0" y="0"/>
          <a:chExt cx="12472191" cy="573778"/>
        </a:xfrm>
      </xdr:grpSpPr>
      <xdr:sp macro="[0]!Salvar" textlink="">
        <xdr:nvSpPr>
          <xdr:cNvPr id="26" name="Retângulo Arredondado 1">
            <a:extLst>
              <a:ext uri="{FF2B5EF4-FFF2-40B4-BE49-F238E27FC236}">
                <a16:creationId xmlns:a16="http://schemas.microsoft.com/office/drawing/2014/main" id="{F244F272-A6C3-B797-949E-8CF8B4AB7C49}"/>
              </a:ext>
            </a:extLst>
          </xdr:cNvPr>
          <xdr:cNvSpPr/>
        </xdr:nvSpPr>
        <xdr:spPr>
          <a:xfrm>
            <a:off x="10714487" y="66701"/>
            <a:ext cx="884475" cy="2001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SALVAR</a:t>
            </a:r>
          </a:p>
        </xdr:txBody>
      </xdr:sp>
      <xdr:sp macro="" textlink="">
        <xdr:nvSpPr>
          <xdr:cNvPr id="27" name="Retângulo Arredondado 2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A595F30-4CC3-E384-5582-4EB40400B68B}"/>
              </a:ext>
            </a:extLst>
          </xdr:cNvPr>
          <xdr:cNvSpPr/>
        </xdr:nvSpPr>
        <xdr:spPr>
          <a:xfrm>
            <a:off x="9845615" y="66701"/>
            <a:ext cx="841116" cy="2001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MENU</a:t>
            </a:r>
          </a:p>
        </xdr:txBody>
      </xdr:sp>
      <xdr:sp macro="[0]!workbook_close" textlink="">
        <xdr:nvSpPr>
          <xdr:cNvPr id="28" name="Seta: para Baixo 28">
            <a:extLst>
              <a:ext uri="{FF2B5EF4-FFF2-40B4-BE49-F238E27FC236}">
                <a16:creationId xmlns:a16="http://schemas.microsoft.com/office/drawing/2014/main" id="{C9A90ECD-BFA6-8307-A734-9C0C04857B77}"/>
              </a:ext>
            </a:extLst>
          </xdr:cNvPr>
          <xdr:cNvSpPr/>
        </xdr:nvSpPr>
        <xdr:spPr>
          <a:xfrm>
            <a:off x="11903469" y="66701"/>
            <a:ext cx="235922" cy="219158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workbook_open" textlink="">
        <xdr:nvSpPr>
          <xdr:cNvPr id="29" name="Seta: para Baixo 28">
            <a:extLst>
              <a:ext uri="{FF2B5EF4-FFF2-40B4-BE49-F238E27FC236}">
                <a16:creationId xmlns:a16="http://schemas.microsoft.com/office/drawing/2014/main" id="{73D025CB-0CD6-2EB1-B013-C9A3CD3F18B2}"/>
              </a:ext>
            </a:extLst>
          </xdr:cNvPr>
          <xdr:cNvSpPr/>
        </xdr:nvSpPr>
        <xdr:spPr>
          <a:xfrm rot="10800000">
            <a:off x="11682228" y="38114"/>
            <a:ext cx="239745" cy="219158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Retângulo 2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737B9EE-C46B-7746-3FE9-9A29C57D987B}"/>
              </a:ext>
            </a:extLst>
          </xdr:cNvPr>
          <xdr:cNvSpPr/>
        </xdr:nvSpPr>
        <xdr:spPr>
          <a:xfrm>
            <a:off x="773069" y="0"/>
            <a:ext cx="933651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31" name="Retângul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D862FAE-AA97-AFBF-144A-C1CCB13E1332}"/>
              </a:ext>
            </a:extLst>
          </xdr:cNvPr>
          <xdr:cNvSpPr/>
        </xdr:nvSpPr>
        <xdr:spPr>
          <a:xfrm>
            <a:off x="1714729" y="0"/>
            <a:ext cx="1149109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LANÇAMENTOS</a:t>
            </a:r>
          </a:p>
        </xdr:txBody>
      </xdr:sp>
      <xdr:sp macro="" textlink="">
        <xdr:nvSpPr>
          <xdr:cNvPr id="32" name="Retângulo 3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C55AC6F-E7F2-2D1D-9564-C178800A0CE4}"/>
              </a:ext>
            </a:extLst>
          </xdr:cNvPr>
          <xdr:cNvSpPr/>
        </xdr:nvSpPr>
        <xdr:spPr>
          <a:xfrm>
            <a:off x="2876672" y="0"/>
            <a:ext cx="972732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RELATÓRIOSS</a:t>
            </a:r>
          </a:p>
        </xdr:txBody>
      </xdr:sp>
      <xdr:sp macro="" textlink="">
        <xdr:nvSpPr>
          <xdr:cNvPr id="33" name="Retângulo 3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43EEBEA-A3D3-300B-427F-24DDD8588EF0}"/>
              </a:ext>
            </a:extLst>
          </xdr:cNvPr>
          <xdr:cNvSpPr/>
        </xdr:nvSpPr>
        <xdr:spPr>
          <a:xfrm>
            <a:off x="3851897" y="0"/>
            <a:ext cx="969561" cy="313319"/>
          </a:xfrm>
          <a:prstGeom prst="rect">
            <a:avLst/>
          </a:prstGeom>
          <a:solidFill>
            <a:srgbClr val="EBEBE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accent1"/>
                </a:solidFill>
              </a:rPr>
              <a:t>DASHBOARD</a:t>
            </a:r>
          </a:p>
        </xdr:txBody>
      </xdr:sp>
      <xdr:grpSp>
        <xdr:nvGrpSpPr>
          <xdr:cNvPr id="34" name="Gráfico 2" descr="Impressora">
            <a:extLst>
              <a:ext uri="{FF2B5EF4-FFF2-40B4-BE49-F238E27FC236}">
                <a16:creationId xmlns:a16="http://schemas.microsoft.com/office/drawing/2014/main" id="{871154A6-EFD2-1D35-7EF1-E5A177A94B16}"/>
              </a:ext>
            </a:extLst>
          </xdr:cNvPr>
          <xdr:cNvGrpSpPr/>
        </xdr:nvGrpSpPr>
        <xdr:grpSpPr>
          <a:xfrm>
            <a:off x="12191648" y="0"/>
            <a:ext cx="280543" cy="289003"/>
            <a:chOff x="0" y="0"/>
            <a:chExt cx="914400" cy="914400"/>
          </a:xfrm>
          <a:solidFill>
            <a:schemeClr val="bg1"/>
          </a:solidFill>
        </xdr:grpSpPr>
        <xdr:sp macro="[0]!Imprimir" textlink="">
          <xdr:nvSpPr>
            <xdr:cNvPr id="41" name="Forma Livre: Forma 40">
              <a:extLst>
                <a:ext uri="{FF2B5EF4-FFF2-40B4-BE49-F238E27FC236}">
                  <a16:creationId xmlns:a16="http://schemas.microsoft.com/office/drawing/2014/main" id="{E544A99B-15F4-DE69-5D7B-01A25F1956DD}"/>
                </a:ext>
              </a:extLst>
            </xdr:cNvPr>
            <xdr:cNvSpPr/>
          </xdr:nvSpPr>
          <xdr:spPr>
            <a:xfrm>
              <a:off x="228600" y="538163"/>
              <a:ext cx="447675" cy="304800"/>
            </a:xfrm>
            <a:custGeom>
              <a:avLst/>
              <a:gdLst>
                <a:gd name="connsiteX0" fmla="*/ 400050 w 447675"/>
                <a:gd name="connsiteY0" fmla="*/ 57150 h 304800"/>
                <a:gd name="connsiteX1" fmla="*/ 399098 w 447675"/>
                <a:gd name="connsiteY1" fmla="*/ 247650 h 304800"/>
                <a:gd name="connsiteX2" fmla="*/ 59055 w 447675"/>
                <a:gd name="connsiteY2" fmla="*/ 247650 h 304800"/>
                <a:gd name="connsiteX3" fmla="*/ 57150 w 447675"/>
                <a:gd name="connsiteY3" fmla="*/ 57150 h 304800"/>
                <a:gd name="connsiteX4" fmla="*/ 400050 w 447675"/>
                <a:gd name="connsiteY4" fmla="*/ 57150 h 304800"/>
                <a:gd name="connsiteX5" fmla="*/ 1905 w 447675"/>
                <a:gd name="connsiteY5" fmla="*/ 304800 h 304800"/>
                <a:gd name="connsiteX6" fmla="*/ 455295 w 447675"/>
                <a:gd name="connsiteY6" fmla="*/ 304800 h 304800"/>
                <a:gd name="connsiteX7" fmla="*/ 456248 w 447675"/>
                <a:gd name="connsiteY7" fmla="*/ 0 h 304800"/>
                <a:gd name="connsiteX8" fmla="*/ 0 w 447675"/>
                <a:gd name="connsiteY8" fmla="*/ 0 h 304800"/>
                <a:gd name="connsiteX9" fmla="*/ 1905 w 447675"/>
                <a:gd name="connsiteY9" fmla="*/ 304800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47675" h="304800">
                  <a:moveTo>
                    <a:pt x="400050" y="57150"/>
                  </a:moveTo>
                  <a:lnTo>
                    <a:pt x="399098" y="247650"/>
                  </a:lnTo>
                  <a:lnTo>
                    <a:pt x="59055" y="247650"/>
                  </a:lnTo>
                  <a:lnTo>
                    <a:pt x="57150" y="57150"/>
                  </a:lnTo>
                  <a:lnTo>
                    <a:pt x="400050" y="57150"/>
                  </a:lnTo>
                  <a:close/>
                  <a:moveTo>
                    <a:pt x="1905" y="304800"/>
                  </a:moveTo>
                  <a:lnTo>
                    <a:pt x="455295" y="304800"/>
                  </a:lnTo>
                  <a:lnTo>
                    <a:pt x="456248" y="0"/>
                  </a:lnTo>
                  <a:lnTo>
                    <a:pt x="0" y="0"/>
                  </a:lnTo>
                  <a:lnTo>
                    <a:pt x="1905" y="3048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42" name="Forma Livre: Forma 41">
              <a:extLst>
                <a:ext uri="{FF2B5EF4-FFF2-40B4-BE49-F238E27FC236}">
                  <a16:creationId xmlns:a16="http://schemas.microsoft.com/office/drawing/2014/main" id="{F1665440-D19E-1158-DE42-E0C6E60EF2E9}"/>
                </a:ext>
              </a:extLst>
            </xdr:cNvPr>
            <xdr:cNvSpPr/>
          </xdr:nvSpPr>
          <xdr:spPr>
            <a:xfrm>
              <a:off x="361950" y="6334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43" name="Forma Livre: Forma 42">
              <a:extLst>
                <a:ext uri="{FF2B5EF4-FFF2-40B4-BE49-F238E27FC236}">
                  <a16:creationId xmlns:a16="http://schemas.microsoft.com/office/drawing/2014/main" id="{6DF5D6C5-B067-18DD-8641-9FAD4BAAE152}"/>
                </a:ext>
              </a:extLst>
            </xdr:cNvPr>
            <xdr:cNvSpPr/>
          </xdr:nvSpPr>
          <xdr:spPr>
            <a:xfrm>
              <a:off x="361950" y="7096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44" name="Forma Livre: Forma 43">
              <a:extLst>
                <a:ext uri="{FF2B5EF4-FFF2-40B4-BE49-F238E27FC236}">
                  <a16:creationId xmlns:a16="http://schemas.microsoft.com/office/drawing/2014/main" id="{8A360885-430B-D498-2AD0-4AC373041EBD}"/>
                </a:ext>
              </a:extLst>
            </xdr:cNvPr>
            <xdr:cNvSpPr/>
          </xdr:nvSpPr>
          <xdr:spPr>
            <a:xfrm>
              <a:off x="38100" y="76200"/>
              <a:ext cx="838200" cy="647700"/>
            </a:xfrm>
            <a:custGeom>
              <a:avLst/>
              <a:gdLst>
                <a:gd name="connsiteX0" fmla="*/ 590550 w 838200"/>
                <a:gd name="connsiteY0" fmla="*/ 276225 h 647700"/>
                <a:gd name="connsiteX1" fmla="*/ 247650 w 838200"/>
                <a:gd name="connsiteY1" fmla="*/ 276225 h 647700"/>
                <a:gd name="connsiteX2" fmla="*/ 247650 w 838200"/>
                <a:gd name="connsiteY2" fmla="*/ 57150 h 647700"/>
                <a:gd name="connsiteX3" fmla="*/ 457200 w 838200"/>
                <a:gd name="connsiteY3" fmla="*/ 57150 h 647700"/>
                <a:gd name="connsiteX4" fmla="*/ 457200 w 838200"/>
                <a:gd name="connsiteY4" fmla="*/ 190500 h 647700"/>
                <a:gd name="connsiteX5" fmla="*/ 590550 w 838200"/>
                <a:gd name="connsiteY5" fmla="*/ 190500 h 647700"/>
                <a:gd name="connsiteX6" fmla="*/ 590550 w 838200"/>
                <a:gd name="connsiteY6" fmla="*/ 276225 h 647700"/>
                <a:gd name="connsiteX7" fmla="*/ 514350 w 838200"/>
                <a:gd name="connsiteY7" fmla="*/ 60960 h 647700"/>
                <a:gd name="connsiteX8" fmla="*/ 580073 w 838200"/>
                <a:gd name="connsiteY8" fmla="*/ 133350 h 647700"/>
                <a:gd name="connsiteX9" fmla="*/ 514350 w 838200"/>
                <a:gd name="connsiteY9" fmla="*/ 133350 h 647700"/>
                <a:gd name="connsiteX10" fmla="*/ 514350 w 838200"/>
                <a:gd name="connsiteY10" fmla="*/ 60960 h 647700"/>
                <a:gd name="connsiteX11" fmla="*/ 95250 w 838200"/>
                <a:gd name="connsiteY11" fmla="*/ 323850 h 647700"/>
                <a:gd name="connsiteX12" fmla="*/ 57150 w 838200"/>
                <a:gd name="connsiteY12" fmla="*/ 285750 h 647700"/>
                <a:gd name="connsiteX13" fmla="*/ 95250 w 838200"/>
                <a:gd name="connsiteY13" fmla="*/ 247650 h 647700"/>
                <a:gd name="connsiteX14" fmla="*/ 133350 w 838200"/>
                <a:gd name="connsiteY14" fmla="*/ 285750 h 647700"/>
                <a:gd name="connsiteX15" fmla="*/ 95250 w 838200"/>
                <a:gd name="connsiteY15" fmla="*/ 323850 h 647700"/>
                <a:gd name="connsiteX16" fmla="*/ 800100 w 838200"/>
                <a:gd name="connsiteY16" fmla="*/ 190500 h 647700"/>
                <a:gd name="connsiteX17" fmla="*/ 647700 w 838200"/>
                <a:gd name="connsiteY17" fmla="*/ 190500 h 647700"/>
                <a:gd name="connsiteX18" fmla="*/ 647700 w 838200"/>
                <a:gd name="connsiteY18" fmla="*/ 121920 h 647700"/>
                <a:gd name="connsiteX19" fmla="*/ 536258 w 838200"/>
                <a:gd name="connsiteY19" fmla="*/ 0 h 647700"/>
                <a:gd name="connsiteX20" fmla="*/ 190500 w 838200"/>
                <a:gd name="connsiteY20" fmla="*/ 0 h 647700"/>
                <a:gd name="connsiteX21" fmla="*/ 190500 w 838200"/>
                <a:gd name="connsiteY21" fmla="*/ 190500 h 647700"/>
                <a:gd name="connsiteX22" fmla="*/ 38100 w 838200"/>
                <a:gd name="connsiteY22" fmla="*/ 190500 h 647700"/>
                <a:gd name="connsiteX23" fmla="*/ 0 w 838200"/>
                <a:gd name="connsiteY23" fmla="*/ 228600 h 647700"/>
                <a:gd name="connsiteX24" fmla="*/ 0 w 838200"/>
                <a:gd name="connsiteY24" fmla="*/ 609600 h 647700"/>
                <a:gd name="connsiteX25" fmla="*/ 38100 w 838200"/>
                <a:gd name="connsiteY25" fmla="*/ 647700 h 647700"/>
                <a:gd name="connsiteX26" fmla="*/ 152400 w 838200"/>
                <a:gd name="connsiteY26" fmla="*/ 647700 h 647700"/>
                <a:gd name="connsiteX27" fmla="*/ 152400 w 838200"/>
                <a:gd name="connsiteY27" fmla="*/ 428625 h 647700"/>
                <a:gd name="connsiteX28" fmla="*/ 685800 w 838200"/>
                <a:gd name="connsiteY28" fmla="*/ 428625 h 647700"/>
                <a:gd name="connsiteX29" fmla="*/ 685800 w 838200"/>
                <a:gd name="connsiteY29" fmla="*/ 647700 h 647700"/>
                <a:gd name="connsiteX30" fmla="*/ 800100 w 838200"/>
                <a:gd name="connsiteY30" fmla="*/ 647700 h 647700"/>
                <a:gd name="connsiteX31" fmla="*/ 838200 w 838200"/>
                <a:gd name="connsiteY31" fmla="*/ 609600 h 647700"/>
                <a:gd name="connsiteX32" fmla="*/ 838200 w 838200"/>
                <a:gd name="connsiteY32" fmla="*/ 228600 h 647700"/>
                <a:gd name="connsiteX33" fmla="*/ 800100 w 838200"/>
                <a:gd name="connsiteY33" fmla="*/ 190500 h 6477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</a:cxnLst>
              <a:rect l="l" t="t" r="r" b="b"/>
              <a:pathLst>
                <a:path w="838200" h="647700">
                  <a:moveTo>
                    <a:pt x="590550" y="276225"/>
                  </a:moveTo>
                  <a:lnTo>
                    <a:pt x="247650" y="276225"/>
                  </a:lnTo>
                  <a:lnTo>
                    <a:pt x="247650" y="57150"/>
                  </a:lnTo>
                  <a:lnTo>
                    <a:pt x="457200" y="57150"/>
                  </a:lnTo>
                  <a:lnTo>
                    <a:pt x="457200" y="190500"/>
                  </a:lnTo>
                  <a:lnTo>
                    <a:pt x="590550" y="190500"/>
                  </a:lnTo>
                  <a:lnTo>
                    <a:pt x="590550" y="276225"/>
                  </a:lnTo>
                  <a:close/>
                  <a:moveTo>
                    <a:pt x="514350" y="60960"/>
                  </a:moveTo>
                  <a:lnTo>
                    <a:pt x="580073" y="133350"/>
                  </a:lnTo>
                  <a:lnTo>
                    <a:pt x="514350" y="133350"/>
                  </a:lnTo>
                  <a:lnTo>
                    <a:pt x="514350" y="60960"/>
                  </a:lnTo>
                  <a:close/>
                  <a:moveTo>
                    <a:pt x="95250" y="323850"/>
                  </a:moveTo>
                  <a:cubicBezTo>
                    <a:pt x="74295" y="323850"/>
                    <a:pt x="57150" y="306705"/>
                    <a:pt x="57150" y="285750"/>
                  </a:cubicBezTo>
                  <a:cubicBezTo>
                    <a:pt x="57150" y="264795"/>
                    <a:pt x="74295" y="247650"/>
                    <a:pt x="95250" y="247650"/>
                  </a:cubicBezTo>
                  <a:cubicBezTo>
                    <a:pt x="116205" y="247650"/>
                    <a:pt x="133350" y="264795"/>
                    <a:pt x="133350" y="285750"/>
                  </a:cubicBezTo>
                  <a:cubicBezTo>
                    <a:pt x="133350" y="306705"/>
                    <a:pt x="116205" y="323850"/>
                    <a:pt x="95250" y="323850"/>
                  </a:cubicBezTo>
                  <a:close/>
                  <a:moveTo>
                    <a:pt x="800100" y="190500"/>
                  </a:moveTo>
                  <a:lnTo>
                    <a:pt x="647700" y="190500"/>
                  </a:lnTo>
                  <a:lnTo>
                    <a:pt x="647700" y="121920"/>
                  </a:lnTo>
                  <a:lnTo>
                    <a:pt x="536258" y="0"/>
                  </a:lnTo>
                  <a:lnTo>
                    <a:pt x="190500" y="0"/>
                  </a:lnTo>
                  <a:lnTo>
                    <a:pt x="190500" y="190500"/>
                  </a:lnTo>
                  <a:lnTo>
                    <a:pt x="38100" y="190500"/>
                  </a:lnTo>
                  <a:cubicBezTo>
                    <a:pt x="17145" y="190500"/>
                    <a:pt x="0" y="207645"/>
                    <a:pt x="0" y="228600"/>
                  </a:cubicBezTo>
                  <a:lnTo>
                    <a:pt x="0" y="609600"/>
                  </a:lnTo>
                  <a:cubicBezTo>
                    <a:pt x="0" y="630555"/>
                    <a:pt x="17145" y="647700"/>
                    <a:pt x="38100" y="647700"/>
                  </a:cubicBezTo>
                  <a:lnTo>
                    <a:pt x="152400" y="647700"/>
                  </a:lnTo>
                  <a:lnTo>
                    <a:pt x="152400" y="428625"/>
                  </a:lnTo>
                  <a:lnTo>
                    <a:pt x="685800" y="428625"/>
                  </a:lnTo>
                  <a:lnTo>
                    <a:pt x="685800" y="647700"/>
                  </a:lnTo>
                  <a:lnTo>
                    <a:pt x="800100" y="647700"/>
                  </a:lnTo>
                  <a:cubicBezTo>
                    <a:pt x="821055" y="647700"/>
                    <a:pt x="838200" y="630555"/>
                    <a:pt x="838200" y="609600"/>
                  </a:cubicBezTo>
                  <a:lnTo>
                    <a:pt x="838200" y="228600"/>
                  </a:lnTo>
                  <a:cubicBezTo>
                    <a:pt x="838200" y="207645"/>
                    <a:pt x="821055" y="190500"/>
                    <a:pt x="800100" y="190500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5" name="Imagem 34">
                <a:extLst>
                  <a:ext uri="{FF2B5EF4-FFF2-40B4-BE49-F238E27FC236}">
                    <a16:creationId xmlns:a16="http://schemas.microsoft.com/office/drawing/2014/main" id="{83FFF05E-8903-7693-8B68-5275DACA3516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MENU!$F$2" spid="_x0000_s17551"/>
                  </a:ext>
                </a:extLst>
              </xdr:cNvPicPr>
            </xdr:nvPicPr>
            <xdr:blipFill rotWithShape="1">
              <a:blip xmlns:r="http://schemas.openxmlformats.org/officeDocument/2006/relationships" r:embed="rId8"/>
              <a:srcRect b="4887"/>
              <a:stretch>
                <a:fillRect/>
              </a:stretch>
            </xdr:blipFill>
            <xdr:spPr>
              <a:xfrm rot="5400000">
                <a:off x="104629" y="-104629"/>
                <a:ext cx="573778" cy="783035"/>
              </a:xfrm>
              <a:prstGeom prst="rect">
                <a:avLst/>
              </a:prstGeom>
              <a:ln>
                <a:noFill/>
              </a:ln>
            </xdr:spPr>
          </xdr:pic>
        </mc:Choice>
        <mc:Fallback xmlns=""/>
      </mc:AlternateContent>
      <xdr:sp macro="" textlink="">
        <xdr:nvSpPr>
          <xdr:cNvPr id="36" name="Retângulo 3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6444D7C2-252A-F0C8-FB71-64C630E329D2}"/>
              </a:ext>
            </a:extLst>
          </xdr:cNvPr>
          <xdr:cNvSpPr/>
        </xdr:nvSpPr>
        <xdr:spPr>
          <a:xfrm>
            <a:off x="767286" y="365125"/>
            <a:ext cx="1224000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</a:t>
            </a:r>
            <a:r>
              <a:rPr lang="pt-BR" sz="1100" b="1" i="0" baseline="0">
                <a:solidFill>
                  <a:srgbClr val="797979"/>
                </a:solidFill>
              </a:rPr>
              <a:t> MENSAL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37" name="Retângulo 3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0EFCB40-D7C5-ADD3-59E4-D2D8854F369A}"/>
              </a:ext>
            </a:extLst>
          </xdr:cNvPr>
          <xdr:cNvSpPr/>
        </xdr:nvSpPr>
        <xdr:spPr>
          <a:xfrm>
            <a:off x="2003036" y="365125"/>
            <a:ext cx="1123641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 ANUAL</a:t>
            </a:r>
          </a:p>
        </xdr:txBody>
      </xdr:sp>
      <xdr:sp macro="" textlink="">
        <xdr:nvSpPr>
          <xdr:cNvPr id="38" name="Retângulo 37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32289641-731D-F2C8-BA92-BA5B2F34492D}"/>
              </a:ext>
            </a:extLst>
          </xdr:cNvPr>
          <xdr:cNvSpPr/>
        </xdr:nvSpPr>
        <xdr:spPr>
          <a:xfrm>
            <a:off x="3138370" y="365125"/>
            <a:ext cx="1408233" cy="198611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chemeClr val="accent2"/>
                </a:solidFill>
              </a:rPr>
              <a:t>ANÁLISE DE CONTAS</a:t>
            </a:r>
          </a:p>
        </xdr:txBody>
      </xdr:sp>
      <xdr:sp macro="" textlink="">
        <xdr:nvSpPr>
          <xdr:cNvPr id="39" name="Retângulo 3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1E0FB4D-66FA-F121-0B67-6D88EA7C2D0B}"/>
              </a:ext>
            </a:extLst>
          </xdr:cNvPr>
          <xdr:cNvSpPr/>
        </xdr:nvSpPr>
        <xdr:spPr>
          <a:xfrm>
            <a:off x="4559377" y="365125"/>
            <a:ext cx="1404000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</a:t>
            </a:r>
            <a:r>
              <a:rPr lang="pt-BR" sz="1100" b="1" i="0" baseline="0">
                <a:solidFill>
                  <a:srgbClr val="797979"/>
                </a:solidFill>
              </a:rPr>
              <a:t> DE RECEITA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40" name="Retângulo 3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2E05EC74-302D-9542-BBE6-8DE22E5055F3}"/>
              </a:ext>
            </a:extLst>
          </xdr:cNvPr>
          <xdr:cNvSpPr/>
        </xdr:nvSpPr>
        <xdr:spPr>
          <a:xfrm>
            <a:off x="5972217" y="365125"/>
            <a:ext cx="1441058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</a:t>
            </a:r>
            <a:r>
              <a:rPr lang="pt-BR" sz="1100" b="1" i="0" baseline="0">
                <a:solidFill>
                  <a:srgbClr val="797979"/>
                </a:solidFill>
              </a:rPr>
              <a:t> DE DESPESA</a:t>
            </a:r>
            <a:endParaRPr lang="pt-BR" sz="1100" b="1" i="0">
              <a:solidFill>
                <a:srgbClr val="797979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695325</xdr:colOff>
      <xdr:row>3</xdr:row>
      <xdr:rowOff>9525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2801A99-6C6A-4C3B-B723-1A6E13FA9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0"/>
          <a:ext cx="742950" cy="61912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3</xdr:col>
      <xdr:colOff>0</xdr:colOff>
      <xdr:row>13</xdr:row>
      <xdr:rowOff>9525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9525</xdr:colOff>
      <xdr:row>6</xdr:row>
      <xdr:rowOff>0</xdr:rowOff>
    </xdr:from>
    <xdr:to>
      <xdr:col>5</xdr:col>
      <xdr:colOff>1800225</xdr:colOff>
      <xdr:row>12</xdr:row>
      <xdr:rowOff>314325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1B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9525</xdr:colOff>
      <xdr:row>6</xdr:row>
      <xdr:rowOff>0</xdr:rowOff>
    </xdr:from>
    <xdr:to>
      <xdr:col>9</xdr:col>
      <xdr:colOff>0</xdr:colOff>
      <xdr:row>12</xdr:row>
      <xdr:rowOff>314325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1B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9525</xdr:colOff>
      <xdr:row>6</xdr:row>
      <xdr:rowOff>0</xdr:rowOff>
    </xdr:from>
    <xdr:to>
      <xdr:col>12</xdr:col>
      <xdr:colOff>0</xdr:colOff>
      <xdr:row>12</xdr:row>
      <xdr:rowOff>314325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00000000-0008-0000-1B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3</xdr:row>
          <xdr:rowOff>7620</xdr:rowOff>
        </xdr:from>
        <xdr:to>
          <xdr:col>4</xdr:col>
          <xdr:colOff>1356360</xdr:colOff>
          <xdr:row>3</xdr:row>
          <xdr:rowOff>251460</xdr:rowOff>
        </xdr:to>
        <xdr:grpSp>
          <xdr:nvGrpSpPr>
            <xdr:cNvPr id="2" name="Agrupar 1">
              <a:extLst>
                <a:ext uri="{FF2B5EF4-FFF2-40B4-BE49-F238E27FC236}">
                  <a16:creationId xmlns:a16="http://schemas.microsoft.com/office/drawing/2014/main" id="{00000000-0008-0000-1B00-000002000000}"/>
                </a:ext>
              </a:extLst>
            </xdr:cNvPr>
            <xdr:cNvGrpSpPr/>
          </xdr:nvGrpSpPr>
          <xdr:grpSpPr>
            <a:xfrm>
              <a:off x="30480" y="619413"/>
              <a:ext cx="4832176" cy="243840"/>
              <a:chOff x="30480" y="617220"/>
              <a:chExt cx="4640580" cy="243840"/>
            </a:xfrm>
          </xdr:grpSpPr>
          <xdr:sp macro="" textlink="">
            <xdr:nvSpPr>
              <xdr:cNvPr id="18433" name="Drop Down 1" hidden="1">
                <a:extLst>
                  <a:ext uri="{63B3BB69-23CF-44E3-9099-C40C66FF867C}">
                    <a14:compatExt spid="_x0000_s18433"/>
                  </a:ext>
                  <a:ext uri="{FF2B5EF4-FFF2-40B4-BE49-F238E27FC236}">
                    <a16:creationId xmlns:a16="http://schemas.microsoft.com/office/drawing/2014/main" id="{00000000-0008-0000-1600-000001480000}"/>
                  </a:ext>
                </a:extLst>
              </xdr:cNvPr>
              <xdr:cNvSpPr/>
            </xdr:nvSpPr>
            <xdr:spPr bwMode="auto">
              <a:xfrm>
                <a:off x="914400" y="617220"/>
                <a:ext cx="94488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435" name="Drop Down 3" hidden="1">
                <a:extLst>
                  <a:ext uri="{63B3BB69-23CF-44E3-9099-C40C66FF867C}">
                    <a14:compatExt spid="_x0000_s18435"/>
                  </a:ext>
                  <a:ext uri="{FF2B5EF4-FFF2-40B4-BE49-F238E27FC236}">
                    <a16:creationId xmlns:a16="http://schemas.microsoft.com/office/drawing/2014/main" id="{00000000-0008-0000-1600-000003480000}"/>
                  </a:ext>
                </a:extLst>
              </xdr:cNvPr>
              <xdr:cNvSpPr/>
            </xdr:nvSpPr>
            <xdr:spPr bwMode="auto">
              <a:xfrm>
                <a:off x="30480" y="617220"/>
                <a:ext cx="86106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436" name="Drop Down 4" hidden="1">
                <a:extLst>
                  <a:ext uri="{63B3BB69-23CF-44E3-9099-C40C66FF867C}">
                    <a14:compatExt spid="_x0000_s18436"/>
                  </a:ext>
                  <a:ext uri="{FF2B5EF4-FFF2-40B4-BE49-F238E27FC236}">
                    <a16:creationId xmlns:a16="http://schemas.microsoft.com/office/drawing/2014/main" id="{00000000-0008-0000-1600-000004480000}"/>
                  </a:ext>
                </a:extLst>
              </xdr:cNvPr>
              <xdr:cNvSpPr/>
            </xdr:nvSpPr>
            <xdr:spPr bwMode="auto">
              <a:xfrm>
                <a:off x="3299460" y="632460"/>
                <a:ext cx="13716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437" name="Drop Down 5" hidden="1">
                <a:extLst>
                  <a:ext uri="{63B3BB69-23CF-44E3-9099-C40C66FF867C}">
                    <a14:compatExt spid="_x0000_s18437"/>
                  </a:ext>
                  <a:ext uri="{FF2B5EF4-FFF2-40B4-BE49-F238E27FC236}">
                    <a16:creationId xmlns:a16="http://schemas.microsoft.com/office/drawing/2014/main" id="{00000000-0008-0000-1600-000005480000}"/>
                  </a:ext>
                </a:extLst>
              </xdr:cNvPr>
              <xdr:cNvSpPr/>
            </xdr:nvSpPr>
            <xdr:spPr bwMode="auto">
              <a:xfrm>
                <a:off x="1874520" y="617220"/>
                <a:ext cx="14097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11</xdr:col>
      <xdr:colOff>967049</xdr:colOff>
      <xdr:row>2</xdr:row>
      <xdr:rowOff>12861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3383F443-A0C4-4241-B7C3-F29AB03A3C74}"/>
            </a:ext>
          </a:extLst>
        </xdr:cNvPr>
        <xdr:cNvGrpSpPr/>
      </xdr:nvGrpSpPr>
      <xdr:grpSpPr>
        <a:xfrm>
          <a:off x="0" y="0"/>
          <a:ext cx="13439728" cy="578605"/>
          <a:chOff x="0" y="0"/>
          <a:chExt cx="12472191" cy="573778"/>
        </a:xfrm>
      </xdr:grpSpPr>
      <xdr:sp macro="[0]!Salvar" textlink="">
        <xdr:nvSpPr>
          <xdr:cNvPr id="27" name="Retângulo Arredondado 1">
            <a:extLst>
              <a:ext uri="{FF2B5EF4-FFF2-40B4-BE49-F238E27FC236}">
                <a16:creationId xmlns:a16="http://schemas.microsoft.com/office/drawing/2014/main" id="{8613AB36-5962-904D-3CD3-0257C43947B7}"/>
              </a:ext>
            </a:extLst>
          </xdr:cNvPr>
          <xdr:cNvSpPr/>
        </xdr:nvSpPr>
        <xdr:spPr>
          <a:xfrm>
            <a:off x="10714487" y="66701"/>
            <a:ext cx="884475" cy="2001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SALVAR</a:t>
            </a:r>
          </a:p>
        </xdr:txBody>
      </xdr:sp>
      <xdr:sp macro="" textlink="">
        <xdr:nvSpPr>
          <xdr:cNvPr id="28" name="Retângulo Arredondado 2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F4167D9-9A0A-85F2-8F3A-7D7A72CF9017}"/>
              </a:ext>
            </a:extLst>
          </xdr:cNvPr>
          <xdr:cNvSpPr/>
        </xdr:nvSpPr>
        <xdr:spPr>
          <a:xfrm>
            <a:off x="9845615" y="66701"/>
            <a:ext cx="841116" cy="2001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MENU</a:t>
            </a:r>
          </a:p>
        </xdr:txBody>
      </xdr:sp>
      <xdr:sp macro="[0]!workbook_close" textlink="">
        <xdr:nvSpPr>
          <xdr:cNvPr id="29" name="Seta: para Baixo 28">
            <a:extLst>
              <a:ext uri="{FF2B5EF4-FFF2-40B4-BE49-F238E27FC236}">
                <a16:creationId xmlns:a16="http://schemas.microsoft.com/office/drawing/2014/main" id="{A715B294-DCC4-F8E8-5EC5-3D7D556092C3}"/>
              </a:ext>
            </a:extLst>
          </xdr:cNvPr>
          <xdr:cNvSpPr/>
        </xdr:nvSpPr>
        <xdr:spPr>
          <a:xfrm>
            <a:off x="11903469" y="66701"/>
            <a:ext cx="235922" cy="219158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workbook_open" textlink="">
        <xdr:nvSpPr>
          <xdr:cNvPr id="30" name="Seta: para Baixo 29">
            <a:extLst>
              <a:ext uri="{FF2B5EF4-FFF2-40B4-BE49-F238E27FC236}">
                <a16:creationId xmlns:a16="http://schemas.microsoft.com/office/drawing/2014/main" id="{A03E87A4-DE13-307F-2E80-57E665069C3A}"/>
              </a:ext>
            </a:extLst>
          </xdr:cNvPr>
          <xdr:cNvSpPr/>
        </xdr:nvSpPr>
        <xdr:spPr>
          <a:xfrm rot="10800000">
            <a:off x="11682228" y="38114"/>
            <a:ext cx="239745" cy="219158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Retângulo 3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2EA172C-4195-0DEF-2AFC-550DA551667E}"/>
              </a:ext>
            </a:extLst>
          </xdr:cNvPr>
          <xdr:cNvSpPr/>
        </xdr:nvSpPr>
        <xdr:spPr>
          <a:xfrm>
            <a:off x="773069" y="0"/>
            <a:ext cx="933651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32" name="Retângulo 3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8993E51-1CC8-CD24-8C00-C2982858A6DE}"/>
              </a:ext>
            </a:extLst>
          </xdr:cNvPr>
          <xdr:cNvSpPr/>
        </xdr:nvSpPr>
        <xdr:spPr>
          <a:xfrm>
            <a:off x="1714729" y="0"/>
            <a:ext cx="1149109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LANÇAMENTOS</a:t>
            </a:r>
          </a:p>
        </xdr:txBody>
      </xdr:sp>
      <xdr:sp macro="" textlink="">
        <xdr:nvSpPr>
          <xdr:cNvPr id="33" name="Retângulo 3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581C3F4-72F1-422D-B381-8639F9BBB2CA}"/>
              </a:ext>
            </a:extLst>
          </xdr:cNvPr>
          <xdr:cNvSpPr/>
        </xdr:nvSpPr>
        <xdr:spPr>
          <a:xfrm>
            <a:off x="2876672" y="0"/>
            <a:ext cx="972732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RELATÓRIOSS</a:t>
            </a:r>
          </a:p>
        </xdr:txBody>
      </xdr:sp>
      <xdr:sp macro="" textlink="">
        <xdr:nvSpPr>
          <xdr:cNvPr id="34" name="Retângulo 3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16BDD784-EE96-EE60-5C73-6C93CE684728}"/>
              </a:ext>
            </a:extLst>
          </xdr:cNvPr>
          <xdr:cNvSpPr/>
        </xdr:nvSpPr>
        <xdr:spPr>
          <a:xfrm>
            <a:off x="3851897" y="0"/>
            <a:ext cx="969561" cy="313319"/>
          </a:xfrm>
          <a:prstGeom prst="rect">
            <a:avLst/>
          </a:prstGeom>
          <a:solidFill>
            <a:srgbClr val="EBEBE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accent1"/>
                </a:solidFill>
              </a:rPr>
              <a:t>DASHBOARD</a:t>
            </a:r>
          </a:p>
        </xdr:txBody>
      </xdr:sp>
      <xdr:grpSp>
        <xdr:nvGrpSpPr>
          <xdr:cNvPr id="35" name="Gráfico 2" descr="Impressora">
            <a:extLst>
              <a:ext uri="{FF2B5EF4-FFF2-40B4-BE49-F238E27FC236}">
                <a16:creationId xmlns:a16="http://schemas.microsoft.com/office/drawing/2014/main" id="{C33F70CA-210D-CF8E-110E-018FE7621E65}"/>
              </a:ext>
            </a:extLst>
          </xdr:cNvPr>
          <xdr:cNvGrpSpPr/>
        </xdr:nvGrpSpPr>
        <xdr:grpSpPr>
          <a:xfrm>
            <a:off x="12191648" y="0"/>
            <a:ext cx="280543" cy="289003"/>
            <a:chOff x="0" y="0"/>
            <a:chExt cx="914400" cy="914400"/>
          </a:xfrm>
          <a:solidFill>
            <a:schemeClr val="bg1"/>
          </a:solidFill>
        </xdr:grpSpPr>
        <xdr:sp macro="[0]!Imprimir" textlink="">
          <xdr:nvSpPr>
            <xdr:cNvPr id="43" name="Forma Livre: Forma 42">
              <a:extLst>
                <a:ext uri="{FF2B5EF4-FFF2-40B4-BE49-F238E27FC236}">
                  <a16:creationId xmlns:a16="http://schemas.microsoft.com/office/drawing/2014/main" id="{B679159A-96F3-7624-361D-35E9C882E027}"/>
                </a:ext>
              </a:extLst>
            </xdr:cNvPr>
            <xdr:cNvSpPr/>
          </xdr:nvSpPr>
          <xdr:spPr>
            <a:xfrm>
              <a:off x="228600" y="538163"/>
              <a:ext cx="447675" cy="304800"/>
            </a:xfrm>
            <a:custGeom>
              <a:avLst/>
              <a:gdLst>
                <a:gd name="connsiteX0" fmla="*/ 400050 w 447675"/>
                <a:gd name="connsiteY0" fmla="*/ 57150 h 304800"/>
                <a:gd name="connsiteX1" fmla="*/ 399098 w 447675"/>
                <a:gd name="connsiteY1" fmla="*/ 247650 h 304800"/>
                <a:gd name="connsiteX2" fmla="*/ 59055 w 447675"/>
                <a:gd name="connsiteY2" fmla="*/ 247650 h 304800"/>
                <a:gd name="connsiteX3" fmla="*/ 57150 w 447675"/>
                <a:gd name="connsiteY3" fmla="*/ 57150 h 304800"/>
                <a:gd name="connsiteX4" fmla="*/ 400050 w 447675"/>
                <a:gd name="connsiteY4" fmla="*/ 57150 h 304800"/>
                <a:gd name="connsiteX5" fmla="*/ 1905 w 447675"/>
                <a:gd name="connsiteY5" fmla="*/ 304800 h 304800"/>
                <a:gd name="connsiteX6" fmla="*/ 455295 w 447675"/>
                <a:gd name="connsiteY6" fmla="*/ 304800 h 304800"/>
                <a:gd name="connsiteX7" fmla="*/ 456248 w 447675"/>
                <a:gd name="connsiteY7" fmla="*/ 0 h 304800"/>
                <a:gd name="connsiteX8" fmla="*/ 0 w 447675"/>
                <a:gd name="connsiteY8" fmla="*/ 0 h 304800"/>
                <a:gd name="connsiteX9" fmla="*/ 1905 w 447675"/>
                <a:gd name="connsiteY9" fmla="*/ 304800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47675" h="304800">
                  <a:moveTo>
                    <a:pt x="400050" y="57150"/>
                  </a:moveTo>
                  <a:lnTo>
                    <a:pt x="399098" y="247650"/>
                  </a:lnTo>
                  <a:lnTo>
                    <a:pt x="59055" y="247650"/>
                  </a:lnTo>
                  <a:lnTo>
                    <a:pt x="57150" y="57150"/>
                  </a:lnTo>
                  <a:lnTo>
                    <a:pt x="400050" y="57150"/>
                  </a:lnTo>
                  <a:close/>
                  <a:moveTo>
                    <a:pt x="1905" y="304800"/>
                  </a:moveTo>
                  <a:lnTo>
                    <a:pt x="455295" y="304800"/>
                  </a:lnTo>
                  <a:lnTo>
                    <a:pt x="456248" y="0"/>
                  </a:lnTo>
                  <a:lnTo>
                    <a:pt x="0" y="0"/>
                  </a:lnTo>
                  <a:lnTo>
                    <a:pt x="1905" y="3048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44" name="Forma Livre: Forma 43">
              <a:extLst>
                <a:ext uri="{FF2B5EF4-FFF2-40B4-BE49-F238E27FC236}">
                  <a16:creationId xmlns:a16="http://schemas.microsoft.com/office/drawing/2014/main" id="{F03683EE-34A7-537D-53AA-598726066450}"/>
                </a:ext>
              </a:extLst>
            </xdr:cNvPr>
            <xdr:cNvSpPr/>
          </xdr:nvSpPr>
          <xdr:spPr>
            <a:xfrm>
              <a:off x="361950" y="6334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45" name="Forma Livre: Forma 44">
              <a:extLst>
                <a:ext uri="{FF2B5EF4-FFF2-40B4-BE49-F238E27FC236}">
                  <a16:creationId xmlns:a16="http://schemas.microsoft.com/office/drawing/2014/main" id="{0F0C3B23-B420-B67D-90F6-9687328BFC90}"/>
                </a:ext>
              </a:extLst>
            </xdr:cNvPr>
            <xdr:cNvSpPr/>
          </xdr:nvSpPr>
          <xdr:spPr>
            <a:xfrm>
              <a:off x="361950" y="7096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46" name="Forma Livre: Forma 45">
              <a:extLst>
                <a:ext uri="{FF2B5EF4-FFF2-40B4-BE49-F238E27FC236}">
                  <a16:creationId xmlns:a16="http://schemas.microsoft.com/office/drawing/2014/main" id="{EB6F47EF-192A-24D9-0851-B05A97B50E08}"/>
                </a:ext>
              </a:extLst>
            </xdr:cNvPr>
            <xdr:cNvSpPr/>
          </xdr:nvSpPr>
          <xdr:spPr>
            <a:xfrm>
              <a:off x="38100" y="76200"/>
              <a:ext cx="838200" cy="647700"/>
            </a:xfrm>
            <a:custGeom>
              <a:avLst/>
              <a:gdLst>
                <a:gd name="connsiteX0" fmla="*/ 590550 w 838200"/>
                <a:gd name="connsiteY0" fmla="*/ 276225 h 647700"/>
                <a:gd name="connsiteX1" fmla="*/ 247650 w 838200"/>
                <a:gd name="connsiteY1" fmla="*/ 276225 h 647700"/>
                <a:gd name="connsiteX2" fmla="*/ 247650 w 838200"/>
                <a:gd name="connsiteY2" fmla="*/ 57150 h 647700"/>
                <a:gd name="connsiteX3" fmla="*/ 457200 w 838200"/>
                <a:gd name="connsiteY3" fmla="*/ 57150 h 647700"/>
                <a:gd name="connsiteX4" fmla="*/ 457200 w 838200"/>
                <a:gd name="connsiteY4" fmla="*/ 190500 h 647700"/>
                <a:gd name="connsiteX5" fmla="*/ 590550 w 838200"/>
                <a:gd name="connsiteY5" fmla="*/ 190500 h 647700"/>
                <a:gd name="connsiteX6" fmla="*/ 590550 w 838200"/>
                <a:gd name="connsiteY6" fmla="*/ 276225 h 647700"/>
                <a:gd name="connsiteX7" fmla="*/ 514350 w 838200"/>
                <a:gd name="connsiteY7" fmla="*/ 60960 h 647700"/>
                <a:gd name="connsiteX8" fmla="*/ 580073 w 838200"/>
                <a:gd name="connsiteY8" fmla="*/ 133350 h 647700"/>
                <a:gd name="connsiteX9" fmla="*/ 514350 w 838200"/>
                <a:gd name="connsiteY9" fmla="*/ 133350 h 647700"/>
                <a:gd name="connsiteX10" fmla="*/ 514350 w 838200"/>
                <a:gd name="connsiteY10" fmla="*/ 60960 h 647700"/>
                <a:gd name="connsiteX11" fmla="*/ 95250 w 838200"/>
                <a:gd name="connsiteY11" fmla="*/ 323850 h 647700"/>
                <a:gd name="connsiteX12" fmla="*/ 57150 w 838200"/>
                <a:gd name="connsiteY12" fmla="*/ 285750 h 647700"/>
                <a:gd name="connsiteX13" fmla="*/ 95250 w 838200"/>
                <a:gd name="connsiteY13" fmla="*/ 247650 h 647700"/>
                <a:gd name="connsiteX14" fmla="*/ 133350 w 838200"/>
                <a:gd name="connsiteY14" fmla="*/ 285750 h 647700"/>
                <a:gd name="connsiteX15" fmla="*/ 95250 w 838200"/>
                <a:gd name="connsiteY15" fmla="*/ 323850 h 647700"/>
                <a:gd name="connsiteX16" fmla="*/ 800100 w 838200"/>
                <a:gd name="connsiteY16" fmla="*/ 190500 h 647700"/>
                <a:gd name="connsiteX17" fmla="*/ 647700 w 838200"/>
                <a:gd name="connsiteY17" fmla="*/ 190500 h 647700"/>
                <a:gd name="connsiteX18" fmla="*/ 647700 w 838200"/>
                <a:gd name="connsiteY18" fmla="*/ 121920 h 647700"/>
                <a:gd name="connsiteX19" fmla="*/ 536258 w 838200"/>
                <a:gd name="connsiteY19" fmla="*/ 0 h 647700"/>
                <a:gd name="connsiteX20" fmla="*/ 190500 w 838200"/>
                <a:gd name="connsiteY20" fmla="*/ 0 h 647700"/>
                <a:gd name="connsiteX21" fmla="*/ 190500 w 838200"/>
                <a:gd name="connsiteY21" fmla="*/ 190500 h 647700"/>
                <a:gd name="connsiteX22" fmla="*/ 38100 w 838200"/>
                <a:gd name="connsiteY22" fmla="*/ 190500 h 647700"/>
                <a:gd name="connsiteX23" fmla="*/ 0 w 838200"/>
                <a:gd name="connsiteY23" fmla="*/ 228600 h 647700"/>
                <a:gd name="connsiteX24" fmla="*/ 0 w 838200"/>
                <a:gd name="connsiteY24" fmla="*/ 609600 h 647700"/>
                <a:gd name="connsiteX25" fmla="*/ 38100 w 838200"/>
                <a:gd name="connsiteY25" fmla="*/ 647700 h 647700"/>
                <a:gd name="connsiteX26" fmla="*/ 152400 w 838200"/>
                <a:gd name="connsiteY26" fmla="*/ 647700 h 647700"/>
                <a:gd name="connsiteX27" fmla="*/ 152400 w 838200"/>
                <a:gd name="connsiteY27" fmla="*/ 428625 h 647700"/>
                <a:gd name="connsiteX28" fmla="*/ 685800 w 838200"/>
                <a:gd name="connsiteY28" fmla="*/ 428625 h 647700"/>
                <a:gd name="connsiteX29" fmla="*/ 685800 w 838200"/>
                <a:gd name="connsiteY29" fmla="*/ 647700 h 647700"/>
                <a:gd name="connsiteX30" fmla="*/ 800100 w 838200"/>
                <a:gd name="connsiteY30" fmla="*/ 647700 h 647700"/>
                <a:gd name="connsiteX31" fmla="*/ 838200 w 838200"/>
                <a:gd name="connsiteY31" fmla="*/ 609600 h 647700"/>
                <a:gd name="connsiteX32" fmla="*/ 838200 w 838200"/>
                <a:gd name="connsiteY32" fmla="*/ 228600 h 647700"/>
                <a:gd name="connsiteX33" fmla="*/ 800100 w 838200"/>
                <a:gd name="connsiteY33" fmla="*/ 190500 h 6477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</a:cxnLst>
              <a:rect l="l" t="t" r="r" b="b"/>
              <a:pathLst>
                <a:path w="838200" h="647700">
                  <a:moveTo>
                    <a:pt x="590550" y="276225"/>
                  </a:moveTo>
                  <a:lnTo>
                    <a:pt x="247650" y="276225"/>
                  </a:lnTo>
                  <a:lnTo>
                    <a:pt x="247650" y="57150"/>
                  </a:lnTo>
                  <a:lnTo>
                    <a:pt x="457200" y="57150"/>
                  </a:lnTo>
                  <a:lnTo>
                    <a:pt x="457200" y="190500"/>
                  </a:lnTo>
                  <a:lnTo>
                    <a:pt x="590550" y="190500"/>
                  </a:lnTo>
                  <a:lnTo>
                    <a:pt x="590550" y="276225"/>
                  </a:lnTo>
                  <a:close/>
                  <a:moveTo>
                    <a:pt x="514350" y="60960"/>
                  </a:moveTo>
                  <a:lnTo>
                    <a:pt x="580073" y="133350"/>
                  </a:lnTo>
                  <a:lnTo>
                    <a:pt x="514350" y="133350"/>
                  </a:lnTo>
                  <a:lnTo>
                    <a:pt x="514350" y="60960"/>
                  </a:lnTo>
                  <a:close/>
                  <a:moveTo>
                    <a:pt x="95250" y="323850"/>
                  </a:moveTo>
                  <a:cubicBezTo>
                    <a:pt x="74295" y="323850"/>
                    <a:pt x="57150" y="306705"/>
                    <a:pt x="57150" y="285750"/>
                  </a:cubicBezTo>
                  <a:cubicBezTo>
                    <a:pt x="57150" y="264795"/>
                    <a:pt x="74295" y="247650"/>
                    <a:pt x="95250" y="247650"/>
                  </a:cubicBezTo>
                  <a:cubicBezTo>
                    <a:pt x="116205" y="247650"/>
                    <a:pt x="133350" y="264795"/>
                    <a:pt x="133350" y="285750"/>
                  </a:cubicBezTo>
                  <a:cubicBezTo>
                    <a:pt x="133350" y="306705"/>
                    <a:pt x="116205" y="323850"/>
                    <a:pt x="95250" y="323850"/>
                  </a:cubicBezTo>
                  <a:close/>
                  <a:moveTo>
                    <a:pt x="800100" y="190500"/>
                  </a:moveTo>
                  <a:lnTo>
                    <a:pt x="647700" y="190500"/>
                  </a:lnTo>
                  <a:lnTo>
                    <a:pt x="647700" y="121920"/>
                  </a:lnTo>
                  <a:lnTo>
                    <a:pt x="536258" y="0"/>
                  </a:lnTo>
                  <a:lnTo>
                    <a:pt x="190500" y="0"/>
                  </a:lnTo>
                  <a:lnTo>
                    <a:pt x="190500" y="190500"/>
                  </a:lnTo>
                  <a:lnTo>
                    <a:pt x="38100" y="190500"/>
                  </a:lnTo>
                  <a:cubicBezTo>
                    <a:pt x="17145" y="190500"/>
                    <a:pt x="0" y="207645"/>
                    <a:pt x="0" y="228600"/>
                  </a:cubicBezTo>
                  <a:lnTo>
                    <a:pt x="0" y="609600"/>
                  </a:lnTo>
                  <a:cubicBezTo>
                    <a:pt x="0" y="630555"/>
                    <a:pt x="17145" y="647700"/>
                    <a:pt x="38100" y="647700"/>
                  </a:cubicBezTo>
                  <a:lnTo>
                    <a:pt x="152400" y="647700"/>
                  </a:lnTo>
                  <a:lnTo>
                    <a:pt x="152400" y="428625"/>
                  </a:lnTo>
                  <a:lnTo>
                    <a:pt x="685800" y="428625"/>
                  </a:lnTo>
                  <a:lnTo>
                    <a:pt x="685800" y="647700"/>
                  </a:lnTo>
                  <a:lnTo>
                    <a:pt x="800100" y="647700"/>
                  </a:lnTo>
                  <a:cubicBezTo>
                    <a:pt x="821055" y="647700"/>
                    <a:pt x="838200" y="630555"/>
                    <a:pt x="838200" y="609600"/>
                  </a:cubicBezTo>
                  <a:lnTo>
                    <a:pt x="838200" y="228600"/>
                  </a:lnTo>
                  <a:cubicBezTo>
                    <a:pt x="838200" y="207645"/>
                    <a:pt x="821055" y="190500"/>
                    <a:pt x="800100" y="190500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6" name="Imagem 35">
                <a:extLst>
                  <a:ext uri="{FF2B5EF4-FFF2-40B4-BE49-F238E27FC236}">
                    <a16:creationId xmlns:a16="http://schemas.microsoft.com/office/drawing/2014/main" id="{6733B983-2746-CA68-05BC-0859E8BBFA7F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MENU!$F$2" spid="_x0000_s18575"/>
                  </a:ext>
                </a:extLst>
              </xdr:cNvPicPr>
            </xdr:nvPicPr>
            <xdr:blipFill rotWithShape="1">
              <a:blip xmlns:r="http://schemas.openxmlformats.org/officeDocument/2006/relationships" r:embed="rId10"/>
              <a:srcRect b="4887"/>
              <a:stretch>
                <a:fillRect/>
              </a:stretch>
            </xdr:blipFill>
            <xdr:spPr>
              <a:xfrm rot="5400000">
                <a:off x="104629" y="-104629"/>
                <a:ext cx="573778" cy="783035"/>
              </a:xfrm>
              <a:prstGeom prst="rect">
                <a:avLst/>
              </a:prstGeom>
              <a:ln>
                <a:noFill/>
              </a:ln>
            </xdr:spPr>
          </xdr:pic>
        </mc:Choice>
        <mc:Fallback xmlns=""/>
      </mc:AlternateContent>
      <xdr:sp macro="" textlink="">
        <xdr:nvSpPr>
          <xdr:cNvPr id="37" name="Retângulo 3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CD3E649-5881-E52A-8A6C-8A0BE9DFD43C}"/>
              </a:ext>
            </a:extLst>
          </xdr:cNvPr>
          <xdr:cNvSpPr/>
        </xdr:nvSpPr>
        <xdr:spPr>
          <a:xfrm>
            <a:off x="767286" y="365125"/>
            <a:ext cx="1224000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</a:t>
            </a:r>
            <a:r>
              <a:rPr lang="pt-BR" sz="1100" b="1" i="0" baseline="0">
                <a:solidFill>
                  <a:srgbClr val="797979"/>
                </a:solidFill>
              </a:rPr>
              <a:t> MENSAL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665CBA9-24D5-B099-2153-F3B33CA6FCAC}"/>
              </a:ext>
            </a:extLst>
          </xdr:cNvPr>
          <xdr:cNvSpPr/>
        </xdr:nvSpPr>
        <xdr:spPr>
          <a:xfrm>
            <a:off x="2003036" y="365125"/>
            <a:ext cx="1123641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 ANUAL</a:t>
            </a:r>
          </a:p>
        </xdr:txBody>
      </xdr:sp>
      <xdr:sp macro="" textlink="">
        <xdr:nvSpPr>
          <xdr:cNvPr id="39" name="Retângulo 3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125E78B1-78D4-BCDD-8195-DA81FD3A7E47}"/>
              </a:ext>
            </a:extLst>
          </xdr:cNvPr>
          <xdr:cNvSpPr/>
        </xdr:nvSpPr>
        <xdr:spPr>
          <a:xfrm>
            <a:off x="3138370" y="365125"/>
            <a:ext cx="1408233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 DE CONTAS</a:t>
            </a:r>
          </a:p>
        </xdr:txBody>
      </xdr:sp>
      <xdr:sp macro="" textlink="">
        <xdr:nvSpPr>
          <xdr:cNvPr id="40" name="Retângulo 3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BD00DAC2-C3EB-C4B4-F679-6433FE5DDB6B}"/>
              </a:ext>
            </a:extLst>
          </xdr:cNvPr>
          <xdr:cNvSpPr/>
        </xdr:nvSpPr>
        <xdr:spPr>
          <a:xfrm>
            <a:off x="4559377" y="365125"/>
            <a:ext cx="1404000" cy="198611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chemeClr val="accent2"/>
                </a:solidFill>
              </a:rPr>
              <a:t>ANÁLISE</a:t>
            </a:r>
            <a:r>
              <a:rPr lang="pt-BR" sz="1100" b="1" i="0" baseline="0">
                <a:solidFill>
                  <a:schemeClr val="accent2"/>
                </a:solidFill>
              </a:rPr>
              <a:t> DE RECEITA</a:t>
            </a:r>
            <a:endParaRPr lang="pt-BR" sz="1100" b="1" i="0">
              <a:solidFill>
                <a:schemeClr val="accent2"/>
              </a:solidFill>
            </a:endParaRPr>
          </a:p>
        </xdr:txBody>
      </xdr:sp>
      <xdr:sp macro="" textlink="">
        <xdr:nvSpPr>
          <xdr:cNvPr id="42" name="Retângulo 4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B19492B9-0719-AB40-9FA9-41BE3D38589B}"/>
              </a:ext>
            </a:extLst>
          </xdr:cNvPr>
          <xdr:cNvSpPr/>
        </xdr:nvSpPr>
        <xdr:spPr>
          <a:xfrm>
            <a:off x="5972217" y="365125"/>
            <a:ext cx="1441058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</a:t>
            </a:r>
            <a:r>
              <a:rPr lang="pt-BR" sz="1100" b="1" i="0" baseline="0">
                <a:solidFill>
                  <a:srgbClr val="797979"/>
                </a:solidFill>
              </a:rPr>
              <a:t> DE DESPESA</a:t>
            </a:r>
            <a:endParaRPr lang="pt-BR" sz="1100" b="1" i="0">
              <a:solidFill>
                <a:srgbClr val="797979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695325</xdr:colOff>
      <xdr:row>3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DB343F3-BA64-4EEF-A38B-E7D41825B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0"/>
          <a:ext cx="742950" cy="6191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2</xdr:col>
      <xdr:colOff>895350</xdr:colOff>
      <xdr:row>13</xdr:row>
      <xdr:rowOff>57150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95250</xdr:colOff>
      <xdr:row>6</xdr:row>
      <xdr:rowOff>0</xdr:rowOff>
    </xdr:from>
    <xdr:to>
      <xdr:col>8</xdr:col>
      <xdr:colOff>962025</xdr:colOff>
      <xdr:row>9</xdr:row>
      <xdr:rowOff>9525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6</xdr:row>
      <xdr:rowOff>0</xdr:rowOff>
    </xdr:from>
    <xdr:to>
      <xdr:col>12</xdr:col>
      <xdr:colOff>28575</xdr:colOff>
      <xdr:row>9</xdr:row>
      <xdr:rowOff>9525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6</xdr:col>
      <xdr:colOff>28575</xdr:colOff>
      <xdr:row>13</xdr:row>
      <xdr:rowOff>9525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9</xdr:col>
      <xdr:colOff>28575</xdr:colOff>
      <xdr:row>13</xdr:row>
      <xdr:rowOff>9525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28575</xdr:colOff>
      <xdr:row>9</xdr:row>
      <xdr:rowOff>9525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15</xdr:col>
      <xdr:colOff>28575</xdr:colOff>
      <xdr:row>13</xdr:row>
      <xdr:rowOff>9525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10</xdr:row>
      <xdr:rowOff>0</xdr:rowOff>
    </xdr:from>
    <xdr:to>
      <xdr:col>12</xdr:col>
      <xdr:colOff>28575</xdr:colOff>
      <xdr:row>13</xdr:row>
      <xdr:rowOff>9525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1C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6</xdr:row>
      <xdr:rowOff>19050</xdr:rowOff>
    </xdr:from>
    <xdr:to>
      <xdr:col>12</xdr:col>
      <xdr:colOff>28575</xdr:colOff>
      <xdr:row>9</xdr:row>
      <xdr:rowOff>28575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95250</xdr:colOff>
      <xdr:row>6</xdr:row>
      <xdr:rowOff>0</xdr:rowOff>
    </xdr:from>
    <xdr:to>
      <xdr:col>5</xdr:col>
      <xdr:colOff>962025</xdr:colOff>
      <xdr:row>9</xdr:row>
      <xdr:rowOff>9525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</xdr:colOff>
          <xdr:row>3</xdr:row>
          <xdr:rowOff>38100</xdr:rowOff>
        </xdr:from>
        <xdr:to>
          <xdr:col>5</xdr:col>
          <xdr:colOff>754380</xdr:colOff>
          <xdr:row>3</xdr:row>
          <xdr:rowOff>266700</xdr:rowOff>
        </xdr:to>
        <xdr:grpSp>
          <xdr:nvGrpSpPr>
            <xdr:cNvPr id="2" name="Agrupar 1">
              <a:extLst>
                <a:ext uri="{FF2B5EF4-FFF2-40B4-BE49-F238E27FC236}">
                  <a16:creationId xmlns:a16="http://schemas.microsoft.com/office/drawing/2014/main" id="{00000000-0008-0000-1C00-000002000000}"/>
                </a:ext>
              </a:extLst>
            </xdr:cNvPr>
            <xdr:cNvGrpSpPr/>
          </xdr:nvGrpSpPr>
          <xdr:grpSpPr>
            <a:xfrm>
              <a:off x="60247" y="649893"/>
              <a:ext cx="4851693" cy="228600"/>
              <a:chOff x="53340" y="647700"/>
              <a:chExt cx="4625340" cy="228600"/>
            </a:xfrm>
          </xdr:grpSpPr>
          <xdr:sp macro="" textlink="">
            <xdr:nvSpPr>
              <xdr:cNvPr id="20481" name="Drop Down 1" hidden="1">
                <a:extLst>
                  <a:ext uri="{63B3BB69-23CF-44E3-9099-C40C66FF867C}">
                    <a14:compatExt spid="_x0000_s20481"/>
                  </a:ext>
                  <a:ext uri="{FF2B5EF4-FFF2-40B4-BE49-F238E27FC236}">
                    <a16:creationId xmlns:a16="http://schemas.microsoft.com/office/drawing/2014/main" id="{00000000-0008-0000-1700-000001500000}"/>
                  </a:ext>
                </a:extLst>
              </xdr:cNvPr>
              <xdr:cNvSpPr/>
            </xdr:nvSpPr>
            <xdr:spPr bwMode="auto">
              <a:xfrm>
                <a:off x="929640" y="647700"/>
                <a:ext cx="9296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483" name="Drop Down 3" hidden="1">
                <a:extLst>
                  <a:ext uri="{63B3BB69-23CF-44E3-9099-C40C66FF867C}">
                    <a14:compatExt spid="_x0000_s20483"/>
                  </a:ext>
                  <a:ext uri="{FF2B5EF4-FFF2-40B4-BE49-F238E27FC236}">
                    <a16:creationId xmlns:a16="http://schemas.microsoft.com/office/drawing/2014/main" id="{00000000-0008-0000-1700-000003500000}"/>
                  </a:ext>
                </a:extLst>
              </xdr:cNvPr>
              <xdr:cNvSpPr/>
            </xdr:nvSpPr>
            <xdr:spPr bwMode="auto">
              <a:xfrm>
                <a:off x="53340" y="647700"/>
                <a:ext cx="868676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484" name="Drop Down 4" hidden="1">
                <a:extLst>
                  <a:ext uri="{63B3BB69-23CF-44E3-9099-C40C66FF867C}">
                    <a14:compatExt spid="_x0000_s20484"/>
                  </a:ext>
                  <a:ext uri="{FF2B5EF4-FFF2-40B4-BE49-F238E27FC236}">
                    <a16:creationId xmlns:a16="http://schemas.microsoft.com/office/drawing/2014/main" id="{00000000-0008-0000-1700-000004500000}"/>
                  </a:ext>
                </a:extLst>
              </xdr:cNvPr>
              <xdr:cNvSpPr/>
            </xdr:nvSpPr>
            <xdr:spPr bwMode="auto">
              <a:xfrm>
                <a:off x="3268980" y="647700"/>
                <a:ext cx="14097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485" name="Drop Down 5" hidden="1">
                <a:extLst>
                  <a:ext uri="{63B3BB69-23CF-44E3-9099-C40C66FF867C}">
                    <a14:compatExt spid="_x0000_s20485"/>
                  </a:ext>
                  <a:ext uri="{FF2B5EF4-FFF2-40B4-BE49-F238E27FC236}">
                    <a16:creationId xmlns:a16="http://schemas.microsoft.com/office/drawing/2014/main" id="{00000000-0008-0000-1700-000005500000}"/>
                  </a:ext>
                </a:extLst>
              </xdr:cNvPr>
              <xdr:cNvSpPr/>
            </xdr:nvSpPr>
            <xdr:spPr bwMode="auto">
              <a:xfrm>
                <a:off x="1859280" y="647700"/>
                <a:ext cx="139446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4</xdr:col>
      <xdr:colOff>0</xdr:colOff>
      <xdr:row>13</xdr:row>
      <xdr:rowOff>380999</xdr:rowOff>
    </xdr:from>
    <xdr:to>
      <xdr:col>6</xdr:col>
      <xdr:colOff>28575</xdr:colOff>
      <xdr:row>17</xdr:row>
      <xdr:rowOff>10124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14</xdr:col>
      <xdr:colOff>776549</xdr:colOff>
      <xdr:row>2</xdr:row>
      <xdr:rowOff>12861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2561ACA-2D51-40A6-96A6-23777F7886F9}"/>
            </a:ext>
          </a:extLst>
        </xdr:cNvPr>
        <xdr:cNvGrpSpPr/>
      </xdr:nvGrpSpPr>
      <xdr:grpSpPr>
        <a:xfrm>
          <a:off x="0" y="0"/>
          <a:ext cx="13459737" cy="578605"/>
          <a:chOff x="0" y="0"/>
          <a:chExt cx="12472191" cy="573778"/>
        </a:xfrm>
      </xdr:grpSpPr>
      <xdr:sp macro="[0]!Salvar" textlink="">
        <xdr:nvSpPr>
          <xdr:cNvPr id="34" name="Retângulo Arredondado 1">
            <a:extLst>
              <a:ext uri="{FF2B5EF4-FFF2-40B4-BE49-F238E27FC236}">
                <a16:creationId xmlns:a16="http://schemas.microsoft.com/office/drawing/2014/main" id="{B09FF185-889A-0C5B-8BDC-3A46A4EE506F}"/>
              </a:ext>
            </a:extLst>
          </xdr:cNvPr>
          <xdr:cNvSpPr/>
        </xdr:nvSpPr>
        <xdr:spPr>
          <a:xfrm>
            <a:off x="10714487" y="66701"/>
            <a:ext cx="884475" cy="2001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SALVAR</a:t>
            </a:r>
          </a:p>
        </xdr:txBody>
      </xdr:sp>
      <xdr:sp macro="" textlink="">
        <xdr:nvSpPr>
          <xdr:cNvPr id="35" name="Retângulo Arredondado 20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82ED440-A5EE-17F6-86A9-425D76E61B4E}"/>
              </a:ext>
            </a:extLst>
          </xdr:cNvPr>
          <xdr:cNvSpPr/>
        </xdr:nvSpPr>
        <xdr:spPr>
          <a:xfrm>
            <a:off x="9845615" y="66701"/>
            <a:ext cx="841116" cy="2001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accent1"/>
                </a:solidFill>
              </a:rPr>
              <a:t>MENU</a:t>
            </a:r>
          </a:p>
        </xdr:txBody>
      </xdr:sp>
      <xdr:sp macro="[0]!workbook_close" textlink="">
        <xdr:nvSpPr>
          <xdr:cNvPr id="36" name="Seta: para Baixo 28">
            <a:extLst>
              <a:ext uri="{FF2B5EF4-FFF2-40B4-BE49-F238E27FC236}">
                <a16:creationId xmlns:a16="http://schemas.microsoft.com/office/drawing/2014/main" id="{826E0DFC-DEE0-77F5-0A89-DF77BF3DFA09}"/>
              </a:ext>
            </a:extLst>
          </xdr:cNvPr>
          <xdr:cNvSpPr/>
        </xdr:nvSpPr>
        <xdr:spPr>
          <a:xfrm>
            <a:off x="11903469" y="66701"/>
            <a:ext cx="235922" cy="219158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workbook_open" textlink="">
        <xdr:nvSpPr>
          <xdr:cNvPr id="37" name="Seta: para Baixo 36">
            <a:extLst>
              <a:ext uri="{FF2B5EF4-FFF2-40B4-BE49-F238E27FC236}">
                <a16:creationId xmlns:a16="http://schemas.microsoft.com/office/drawing/2014/main" id="{490EA6F6-0AE9-4DCE-C3EF-91011914E1EC}"/>
              </a:ext>
            </a:extLst>
          </xdr:cNvPr>
          <xdr:cNvSpPr/>
        </xdr:nvSpPr>
        <xdr:spPr>
          <a:xfrm rot="10800000">
            <a:off x="11682228" y="38114"/>
            <a:ext cx="239745" cy="219158"/>
          </a:xfrm>
          <a:prstGeom prst="down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Retângulo 37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688E058F-BD3A-FA9D-4D05-D01142DD3B51}"/>
              </a:ext>
            </a:extLst>
          </xdr:cNvPr>
          <xdr:cNvSpPr/>
        </xdr:nvSpPr>
        <xdr:spPr>
          <a:xfrm>
            <a:off x="773069" y="0"/>
            <a:ext cx="933651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39" name="Retângulo 38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D4EB41F2-B677-55AE-5111-CEDFDEB582DB}"/>
              </a:ext>
            </a:extLst>
          </xdr:cNvPr>
          <xdr:cNvSpPr/>
        </xdr:nvSpPr>
        <xdr:spPr>
          <a:xfrm>
            <a:off x="1714729" y="0"/>
            <a:ext cx="1149109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LANÇAMENTOS</a:t>
            </a:r>
          </a:p>
        </xdr:txBody>
      </xdr:sp>
      <xdr:sp macro="" textlink="">
        <xdr:nvSpPr>
          <xdr:cNvPr id="40" name="Retângulo 39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581A5D94-9A68-9324-62D2-94575E50A9DC}"/>
              </a:ext>
            </a:extLst>
          </xdr:cNvPr>
          <xdr:cNvSpPr/>
        </xdr:nvSpPr>
        <xdr:spPr>
          <a:xfrm>
            <a:off x="2876672" y="0"/>
            <a:ext cx="972732" cy="3133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bg1"/>
                </a:solidFill>
              </a:rPr>
              <a:t>RELATÓRIOSS</a:t>
            </a:r>
          </a:p>
        </xdr:txBody>
      </xdr:sp>
      <xdr:sp macro="" textlink="">
        <xdr:nvSpPr>
          <xdr:cNvPr id="41" name="Retângulo 40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64806673-6385-837C-ED0B-EBC355745095}"/>
              </a:ext>
            </a:extLst>
          </xdr:cNvPr>
          <xdr:cNvSpPr/>
        </xdr:nvSpPr>
        <xdr:spPr>
          <a:xfrm>
            <a:off x="3851897" y="0"/>
            <a:ext cx="969561" cy="313319"/>
          </a:xfrm>
          <a:prstGeom prst="rect">
            <a:avLst/>
          </a:prstGeom>
          <a:solidFill>
            <a:srgbClr val="EBEBE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 i="0">
                <a:solidFill>
                  <a:schemeClr val="accent1"/>
                </a:solidFill>
              </a:rPr>
              <a:t>DASHBOARD</a:t>
            </a:r>
          </a:p>
        </xdr:txBody>
      </xdr:sp>
      <xdr:grpSp>
        <xdr:nvGrpSpPr>
          <xdr:cNvPr id="43" name="Gráfico 2" descr="Impressora">
            <a:extLst>
              <a:ext uri="{FF2B5EF4-FFF2-40B4-BE49-F238E27FC236}">
                <a16:creationId xmlns:a16="http://schemas.microsoft.com/office/drawing/2014/main" id="{03D37B04-A874-DD64-AD34-CB01FBB2807D}"/>
              </a:ext>
            </a:extLst>
          </xdr:cNvPr>
          <xdr:cNvGrpSpPr/>
        </xdr:nvGrpSpPr>
        <xdr:grpSpPr>
          <a:xfrm>
            <a:off x="12191648" y="0"/>
            <a:ext cx="280543" cy="289003"/>
            <a:chOff x="0" y="0"/>
            <a:chExt cx="914400" cy="914400"/>
          </a:xfrm>
          <a:solidFill>
            <a:schemeClr val="bg1"/>
          </a:solidFill>
        </xdr:grpSpPr>
        <xdr:sp macro="[0]!Imprimir" textlink="">
          <xdr:nvSpPr>
            <xdr:cNvPr id="50" name="Forma Livre: Forma 49">
              <a:extLst>
                <a:ext uri="{FF2B5EF4-FFF2-40B4-BE49-F238E27FC236}">
                  <a16:creationId xmlns:a16="http://schemas.microsoft.com/office/drawing/2014/main" id="{D3FA94F2-3720-9994-7FCD-5D131915663B}"/>
                </a:ext>
              </a:extLst>
            </xdr:cNvPr>
            <xdr:cNvSpPr/>
          </xdr:nvSpPr>
          <xdr:spPr>
            <a:xfrm>
              <a:off x="228600" y="538163"/>
              <a:ext cx="447675" cy="304800"/>
            </a:xfrm>
            <a:custGeom>
              <a:avLst/>
              <a:gdLst>
                <a:gd name="connsiteX0" fmla="*/ 400050 w 447675"/>
                <a:gd name="connsiteY0" fmla="*/ 57150 h 304800"/>
                <a:gd name="connsiteX1" fmla="*/ 399098 w 447675"/>
                <a:gd name="connsiteY1" fmla="*/ 247650 h 304800"/>
                <a:gd name="connsiteX2" fmla="*/ 59055 w 447675"/>
                <a:gd name="connsiteY2" fmla="*/ 247650 h 304800"/>
                <a:gd name="connsiteX3" fmla="*/ 57150 w 447675"/>
                <a:gd name="connsiteY3" fmla="*/ 57150 h 304800"/>
                <a:gd name="connsiteX4" fmla="*/ 400050 w 447675"/>
                <a:gd name="connsiteY4" fmla="*/ 57150 h 304800"/>
                <a:gd name="connsiteX5" fmla="*/ 1905 w 447675"/>
                <a:gd name="connsiteY5" fmla="*/ 304800 h 304800"/>
                <a:gd name="connsiteX6" fmla="*/ 455295 w 447675"/>
                <a:gd name="connsiteY6" fmla="*/ 304800 h 304800"/>
                <a:gd name="connsiteX7" fmla="*/ 456248 w 447675"/>
                <a:gd name="connsiteY7" fmla="*/ 0 h 304800"/>
                <a:gd name="connsiteX8" fmla="*/ 0 w 447675"/>
                <a:gd name="connsiteY8" fmla="*/ 0 h 304800"/>
                <a:gd name="connsiteX9" fmla="*/ 1905 w 447675"/>
                <a:gd name="connsiteY9" fmla="*/ 304800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47675" h="304800">
                  <a:moveTo>
                    <a:pt x="400050" y="57150"/>
                  </a:moveTo>
                  <a:lnTo>
                    <a:pt x="399098" y="247650"/>
                  </a:lnTo>
                  <a:lnTo>
                    <a:pt x="59055" y="247650"/>
                  </a:lnTo>
                  <a:lnTo>
                    <a:pt x="57150" y="57150"/>
                  </a:lnTo>
                  <a:lnTo>
                    <a:pt x="400050" y="57150"/>
                  </a:lnTo>
                  <a:close/>
                  <a:moveTo>
                    <a:pt x="1905" y="304800"/>
                  </a:moveTo>
                  <a:lnTo>
                    <a:pt x="455295" y="304800"/>
                  </a:lnTo>
                  <a:lnTo>
                    <a:pt x="456248" y="0"/>
                  </a:lnTo>
                  <a:lnTo>
                    <a:pt x="0" y="0"/>
                  </a:lnTo>
                  <a:lnTo>
                    <a:pt x="1905" y="3048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51" name="Forma Livre: Forma 50">
              <a:extLst>
                <a:ext uri="{FF2B5EF4-FFF2-40B4-BE49-F238E27FC236}">
                  <a16:creationId xmlns:a16="http://schemas.microsoft.com/office/drawing/2014/main" id="{67A34CDB-52C0-8B12-9520-2C6B19956B7F}"/>
                </a:ext>
              </a:extLst>
            </xdr:cNvPr>
            <xdr:cNvSpPr/>
          </xdr:nvSpPr>
          <xdr:spPr>
            <a:xfrm>
              <a:off x="361950" y="6334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52" name="Forma Livre: Forma 51">
              <a:extLst>
                <a:ext uri="{FF2B5EF4-FFF2-40B4-BE49-F238E27FC236}">
                  <a16:creationId xmlns:a16="http://schemas.microsoft.com/office/drawing/2014/main" id="{14B08B0B-3BF7-CF64-B537-749C5EA1A48F}"/>
                </a:ext>
              </a:extLst>
            </xdr:cNvPr>
            <xdr:cNvSpPr/>
          </xdr:nvSpPr>
          <xdr:spPr>
            <a:xfrm>
              <a:off x="361950" y="709613"/>
              <a:ext cx="190500" cy="38100"/>
            </a:xfrm>
            <a:custGeom>
              <a:avLst/>
              <a:gdLst>
                <a:gd name="connsiteX0" fmla="*/ 0 w 190500"/>
                <a:gd name="connsiteY0" fmla="*/ 0 h 38100"/>
                <a:gd name="connsiteX1" fmla="*/ 190500 w 190500"/>
                <a:gd name="connsiteY1" fmla="*/ 0 h 38100"/>
                <a:gd name="connsiteX2" fmla="*/ 190500 w 190500"/>
                <a:gd name="connsiteY2" fmla="*/ 38100 h 38100"/>
                <a:gd name="connsiteX3" fmla="*/ 0 w 19050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90500" h="38100">
                  <a:moveTo>
                    <a:pt x="0" y="0"/>
                  </a:moveTo>
                  <a:lnTo>
                    <a:pt x="190500" y="0"/>
                  </a:lnTo>
                  <a:lnTo>
                    <a:pt x="190500" y="38100"/>
                  </a:lnTo>
                  <a:lnTo>
                    <a:pt x="0" y="38100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  <xdr:sp macro="[0]!Imprimir" textlink="">
          <xdr:nvSpPr>
            <xdr:cNvPr id="53" name="Forma Livre: Forma 52">
              <a:extLst>
                <a:ext uri="{FF2B5EF4-FFF2-40B4-BE49-F238E27FC236}">
                  <a16:creationId xmlns:a16="http://schemas.microsoft.com/office/drawing/2014/main" id="{0DC62B50-5803-59F5-79A9-2DDAC06141A8}"/>
                </a:ext>
              </a:extLst>
            </xdr:cNvPr>
            <xdr:cNvSpPr/>
          </xdr:nvSpPr>
          <xdr:spPr>
            <a:xfrm>
              <a:off x="38100" y="76200"/>
              <a:ext cx="838200" cy="647700"/>
            </a:xfrm>
            <a:custGeom>
              <a:avLst/>
              <a:gdLst>
                <a:gd name="connsiteX0" fmla="*/ 590550 w 838200"/>
                <a:gd name="connsiteY0" fmla="*/ 276225 h 647700"/>
                <a:gd name="connsiteX1" fmla="*/ 247650 w 838200"/>
                <a:gd name="connsiteY1" fmla="*/ 276225 h 647700"/>
                <a:gd name="connsiteX2" fmla="*/ 247650 w 838200"/>
                <a:gd name="connsiteY2" fmla="*/ 57150 h 647700"/>
                <a:gd name="connsiteX3" fmla="*/ 457200 w 838200"/>
                <a:gd name="connsiteY3" fmla="*/ 57150 h 647700"/>
                <a:gd name="connsiteX4" fmla="*/ 457200 w 838200"/>
                <a:gd name="connsiteY4" fmla="*/ 190500 h 647700"/>
                <a:gd name="connsiteX5" fmla="*/ 590550 w 838200"/>
                <a:gd name="connsiteY5" fmla="*/ 190500 h 647700"/>
                <a:gd name="connsiteX6" fmla="*/ 590550 w 838200"/>
                <a:gd name="connsiteY6" fmla="*/ 276225 h 647700"/>
                <a:gd name="connsiteX7" fmla="*/ 514350 w 838200"/>
                <a:gd name="connsiteY7" fmla="*/ 60960 h 647700"/>
                <a:gd name="connsiteX8" fmla="*/ 580073 w 838200"/>
                <a:gd name="connsiteY8" fmla="*/ 133350 h 647700"/>
                <a:gd name="connsiteX9" fmla="*/ 514350 w 838200"/>
                <a:gd name="connsiteY9" fmla="*/ 133350 h 647700"/>
                <a:gd name="connsiteX10" fmla="*/ 514350 w 838200"/>
                <a:gd name="connsiteY10" fmla="*/ 60960 h 647700"/>
                <a:gd name="connsiteX11" fmla="*/ 95250 w 838200"/>
                <a:gd name="connsiteY11" fmla="*/ 323850 h 647700"/>
                <a:gd name="connsiteX12" fmla="*/ 57150 w 838200"/>
                <a:gd name="connsiteY12" fmla="*/ 285750 h 647700"/>
                <a:gd name="connsiteX13" fmla="*/ 95250 w 838200"/>
                <a:gd name="connsiteY13" fmla="*/ 247650 h 647700"/>
                <a:gd name="connsiteX14" fmla="*/ 133350 w 838200"/>
                <a:gd name="connsiteY14" fmla="*/ 285750 h 647700"/>
                <a:gd name="connsiteX15" fmla="*/ 95250 w 838200"/>
                <a:gd name="connsiteY15" fmla="*/ 323850 h 647700"/>
                <a:gd name="connsiteX16" fmla="*/ 800100 w 838200"/>
                <a:gd name="connsiteY16" fmla="*/ 190500 h 647700"/>
                <a:gd name="connsiteX17" fmla="*/ 647700 w 838200"/>
                <a:gd name="connsiteY17" fmla="*/ 190500 h 647700"/>
                <a:gd name="connsiteX18" fmla="*/ 647700 w 838200"/>
                <a:gd name="connsiteY18" fmla="*/ 121920 h 647700"/>
                <a:gd name="connsiteX19" fmla="*/ 536258 w 838200"/>
                <a:gd name="connsiteY19" fmla="*/ 0 h 647700"/>
                <a:gd name="connsiteX20" fmla="*/ 190500 w 838200"/>
                <a:gd name="connsiteY20" fmla="*/ 0 h 647700"/>
                <a:gd name="connsiteX21" fmla="*/ 190500 w 838200"/>
                <a:gd name="connsiteY21" fmla="*/ 190500 h 647700"/>
                <a:gd name="connsiteX22" fmla="*/ 38100 w 838200"/>
                <a:gd name="connsiteY22" fmla="*/ 190500 h 647700"/>
                <a:gd name="connsiteX23" fmla="*/ 0 w 838200"/>
                <a:gd name="connsiteY23" fmla="*/ 228600 h 647700"/>
                <a:gd name="connsiteX24" fmla="*/ 0 w 838200"/>
                <a:gd name="connsiteY24" fmla="*/ 609600 h 647700"/>
                <a:gd name="connsiteX25" fmla="*/ 38100 w 838200"/>
                <a:gd name="connsiteY25" fmla="*/ 647700 h 647700"/>
                <a:gd name="connsiteX26" fmla="*/ 152400 w 838200"/>
                <a:gd name="connsiteY26" fmla="*/ 647700 h 647700"/>
                <a:gd name="connsiteX27" fmla="*/ 152400 w 838200"/>
                <a:gd name="connsiteY27" fmla="*/ 428625 h 647700"/>
                <a:gd name="connsiteX28" fmla="*/ 685800 w 838200"/>
                <a:gd name="connsiteY28" fmla="*/ 428625 h 647700"/>
                <a:gd name="connsiteX29" fmla="*/ 685800 w 838200"/>
                <a:gd name="connsiteY29" fmla="*/ 647700 h 647700"/>
                <a:gd name="connsiteX30" fmla="*/ 800100 w 838200"/>
                <a:gd name="connsiteY30" fmla="*/ 647700 h 647700"/>
                <a:gd name="connsiteX31" fmla="*/ 838200 w 838200"/>
                <a:gd name="connsiteY31" fmla="*/ 609600 h 647700"/>
                <a:gd name="connsiteX32" fmla="*/ 838200 w 838200"/>
                <a:gd name="connsiteY32" fmla="*/ 228600 h 647700"/>
                <a:gd name="connsiteX33" fmla="*/ 800100 w 838200"/>
                <a:gd name="connsiteY33" fmla="*/ 190500 h 6477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</a:cxnLst>
              <a:rect l="l" t="t" r="r" b="b"/>
              <a:pathLst>
                <a:path w="838200" h="647700">
                  <a:moveTo>
                    <a:pt x="590550" y="276225"/>
                  </a:moveTo>
                  <a:lnTo>
                    <a:pt x="247650" y="276225"/>
                  </a:lnTo>
                  <a:lnTo>
                    <a:pt x="247650" y="57150"/>
                  </a:lnTo>
                  <a:lnTo>
                    <a:pt x="457200" y="57150"/>
                  </a:lnTo>
                  <a:lnTo>
                    <a:pt x="457200" y="190500"/>
                  </a:lnTo>
                  <a:lnTo>
                    <a:pt x="590550" y="190500"/>
                  </a:lnTo>
                  <a:lnTo>
                    <a:pt x="590550" y="276225"/>
                  </a:lnTo>
                  <a:close/>
                  <a:moveTo>
                    <a:pt x="514350" y="60960"/>
                  </a:moveTo>
                  <a:lnTo>
                    <a:pt x="580073" y="133350"/>
                  </a:lnTo>
                  <a:lnTo>
                    <a:pt x="514350" y="133350"/>
                  </a:lnTo>
                  <a:lnTo>
                    <a:pt x="514350" y="60960"/>
                  </a:lnTo>
                  <a:close/>
                  <a:moveTo>
                    <a:pt x="95250" y="323850"/>
                  </a:moveTo>
                  <a:cubicBezTo>
                    <a:pt x="74295" y="323850"/>
                    <a:pt x="57150" y="306705"/>
                    <a:pt x="57150" y="285750"/>
                  </a:cubicBezTo>
                  <a:cubicBezTo>
                    <a:pt x="57150" y="264795"/>
                    <a:pt x="74295" y="247650"/>
                    <a:pt x="95250" y="247650"/>
                  </a:cubicBezTo>
                  <a:cubicBezTo>
                    <a:pt x="116205" y="247650"/>
                    <a:pt x="133350" y="264795"/>
                    <a:pt x="133350" y="285750"/>
                  </a:cubicBezTo>
                  <a:cubicBezTo>
                    <a:pt x="133350" y="306705"/>
                    <a:pt x="116205" y="323850"/>
                    <a:pt x="95250" y="323850"/>
                  </a:cubicBezTo>
                  <a:close/>
                  <a:moveTo>
                    <a:pt x="800100" y="190500"/>
                  </a:moveTo>
                  <a:lnTo>
                    <a:pt x="647700" y="190500"/>
                  </a:lnTo>
                  <a:lnTo>
                    <a:pt x="647700" y="121920"/>
                  </a:lnTo>
                  <a:lnTo>
                    <a:pt x="536258" y="0"/>
                  </a:lnTo>
                  <a:lnTo>
                    <a:pt x="190500" y="0"/>
                  </a:lnTo>
                  <a:lnTo>
                    <a:pt x="190500" y="190500"/>
                  </a:lnTo>
                  <a:lnTo>
                    <a:pt x="38100" y="190500"/>
                  </a:lnTo>
                  <a:cubicBezTo>
                    <a:pt x="17145" y="190500"/>
                    <a:pt x="0" y="207645"/>
                    <a:pt x="0" y="228600"/>
                  </a:cubicBezTo>
                  <a:lnTo>
                    <a:pt x="0" y="609600"/>
                  </a:lnTo>
                  <a:cubicBezTo>
                    <a:pt x="0" y="630555"/>
                    <a:pt x="17145" y="647700"/>
                    <a:pt x="38100" y="647700"/>
                  </a:cubicBezTo>
                  <a:lnTo>
                    <a:pt x="152400" y="647700"/>
                  </a:lnTo>
                  <a:lnTo>
                    <a:pt x="152400" y="428625"/>
                  </a:lnTo>
                  <a:lnTo>
                    <a:pt x="685800" y="428625"/>
                  </a:lnTo>
                  <a:lnTo>
                    <a:pt x="685800" y="647700"/>
                  </a:lnTo>
                  <a:lnTo>
                    <a:pt x="800100" y="647700"/>
                  </a:lnTo>
                  <a:cubicBezTo>
                    <a:pt x="821055" y="647700"/>
                    <a:pt x="838200" y="630555"/>
                    <a:pt x="838200" y="609600"/>
                  </a:cubicBezTo>
                  <a:lnTo>
                    <a:pt x="838200" y="228600"/>
                  </a:lnTo>
                  <a:cubicBezTo>
                    <a:pt x="838200" y="207645"/>
                    <a:pt x="821055" y="190500"/>
                    <a:pt x="800100" y="190500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>
                <a:solidFill>
                  <a:srgbClr val="00B050"/>
                </a:solidFill>
              </a:endParaRP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44" name="Imagem 43">
                <a:extLst>
                  <a:ext uri="{FF2B5EF4-FFF2-40B4-BE49-F238E27FC236}">
                    <a16:creationId xmlns:a16="http://schemas.microsoft.com/office/drawing/2014/main" id="{7C75807B-69DA-7A95-FBB2-875A449C4A06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MENU!$F$2" spid="_x0000_s20623"/>
                  </a:ext>
                </a:extLst>
              </xdr:cNvPicPr>
            </xdr:nvPicPr>
            <xdr:blipFill rotWithShape="1">
              <a:blip xmlns:r="http://schemas.openxmlformats.org/officeDocument/2006/relationships" r:embed="rId17"/>
              <a:srcRect b="4887"/>
              <a:stretch>
                <a:fillRect/>
              </a:stretch>
            </xdr:blipFill>
            <xdr:spPr>
              <a:xfrm rot="5400000">
                <a:off x="104629" y="-104629"/>
                <a:ext cx="573778" cy="783035"/>
              </a:xfrm>
              <a:prstGeom prst="rect">
                <a:avLst/>
              </a:prstGeom>
              <a:ln>
                <a:noFill/>
              </a:ln>
            </xdr:spPr>
          </xdr:pic>
        </mc:Choice>
        <mc:Fallback xmlns=""/>
      </mc:AlternateContent>
      <xdr:sp macro="" textlink="">
        <xdr:nvSpPr>
          <xdr:cNvPr id="45" name="Retângulo 44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83B6F562-EEDB-1274-D728-F75161FBE3B7}"/>
              </a:ext>
            </a:extLst>
          </xdr:cNvPr>
          <xdr:cNvSpPr/>
        </xdr:nvSpPr>
        <xdr:spPr>
          <a:xfrm>
            <a:off x="767286" y="365125"/>
            <a:ext cx="1224000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</a:t>
            </a:r>
            <a:r>
              <a:rPr lang="pt-BR" sz="1100" b="1" i="0" baseline="0">
                <a:solidFill>
                  <a:srgbClr val="797979"/>
                </a:solidFill>
              </a:rPr>
              <a:t> MENSAL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46" name="Retângulo 45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543FB6CC-9191-FE3D-0F0F-F2B0CD395371}"/>
              </a:ext>
            </a:extLst>
          </xdr:cNvPr>
          <xdr:cNvSpPr/>
        </xdr:nvSpPr>
        <xdr:spPr>
          <a:xfrm>
            <a:off x="2003036" y="365125"/>
            <a:ext cx="1123641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 ANUAL</a:t>
            </a:r>
          </a:p>
        </xdr:txBody>
      </xdr:sp>
      <xdr:sp macro="" textlink="">
        <xdr:nvSpPr>
          <xdr:cNvPr id="47" name="Retângulo 46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D157FE6B-BA68-519C-5C14-68C0AB3E3A3F}"/>
              </a:ext>
            </a:extLst>
          </xdr:cNvPr>
          <xdr:cNvSpPr/>
        </xdr:nvSpPr>
        <xdr:spPr>
          <a:xfrm>
            <a:off x="3138370" y="365125"/>
            <a:ext cx="1408233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 DE CONTAS</a:t>
            </a:r>
          </a:p>
        </xdr:txBody>
      </xdr:sp>
      <xdr:sp macro="" textlink="">
        <xdr:nvSpPr>
          <xdr:cNvPr id="48" name="Retângulo 4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58EBDD7A-9C2D-53B9-E36D-F5CA952E83AA}"/>
              </a:ext>
            </a:extLst>
          </xdr:cNvPr>
          <xdr:cNvSpPr/>
        </xdr:nvSpPr>
        <xdr:spPr>
          <a:xfrm>
            <a:off x="4559377" y="365125"/>
            <a:ext cx="1404000" cy="1986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rgbClr val="797979"/>
                </a:solidFill>
              </a:rPr>
              <a:t>ANÁLISE</a:t>
            </a:r>
            <a:r>
              <a:rPr lang="pt-BR" sz="1100" b="1" i="0" baseline="0">
                <a:solidFill>
                  <a:srgbClr val="797979"/>
                </a:solidFill>
              </a:rPr>
              <a:t> DE RECEITA</a:t>
            </a:r>
            <a:endParaRPr lang="pt-BR" sz="1100" b="1" i="0">
              <a:solidFill>
                <a:srgbClr val="797979"/>
              </a:solidFill>
            </a:endParaRPr>
          </a:p>
        </xdr:txBody>
      </xdr:sp>
      <xdr:sp macro="" textlink="">
        <xdr:nvSpPr>
          <xdr:cNvPr id="49" name="Retângulo 48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47C382B3-BA07-682A-A97C-AAA85492AAEE}"/>
              </a:ext>
            </a:extLst>
          </xdr:cNvPr>
          <xdr:cNvSpPr/>
        </xdr:nvSpPr>
        <xdr:spPr>
          <a:xfrm>
            <a:off x="5972217" y="365125"/>
            <a:ext cx="1441058" cy="198611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i="0">
                <a:solidFill>
                  <a:schemeClr val="accent2"/>
                </a:solidFill>
              </a:rPr>
              <a:t>ANÁLISE</a:t>
            </a:r>
            <a:r>
              <a:rPr lang="pt-BR" sz="1100" b="1" i="0" baseline="0">
                <a:solidFill>
                  <a:schemeClr val="accent2"/>
                </a:solidFill>
              </a:rPr>
              <a:t> DE DESPESA</a:t>
            </a:r>
            <a:endParaRPr lang="pt-BR" sz="1100" b="1" i="0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695325</xdr:colOff>
      <xdr:row>3</xdr:row>
      <xdr:rowOff>9525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5EB844D-7696-444E-A21E-42E56E46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0" y="0"/>
          <a:ext cx="742950" cy="6191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oogle%20Drive%20(srconsultoria20@gmail.com)\SR%20CONSULTORIA\CLIENTE\Ciga%20Alimentos\Pedro\DESBLOQUEAR\Planilha-de-Controle-de-Absenteismo-4.0-DE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d_Func"/>
      <sheetName val="Cad_Cargos"/>
      <sheetName val="Cad_Dias"/>
      <sheetName val="Faltas"/>
      <sheetName val="Atrasos"/>
      <sheetName val="Rel"/>
      <sheetName val="INI"/>
      <sheetName val="DUV"/>
      <sheetName val="SUG"/>
      <sheetName val="LUZ"/>
    </sheetNames>
    <sheetDataSet>
      <sheetData sheetId="0">
        <row r="7">
          <cell r="C7" t="str">
            <v>Funcionário 1</v>
          </cell>
        </row>
        <row r="8">
          <cell r="C8" t="str">
            <v>Funcionário 2</v>
          </cell>
        </row>
        <row r="9">
          <cell r="C9" t="str">
            <v>Funcionário 3</v>
          </cell>
        </row>
        <row r="10">
          <cell r="C10" t="str">
            <v>Funcionário 4</v>
          </cell>
        </row>
        <row r="11">
          <cell r="C11" t="str">
            <v>Funcionário 5</v>
          </cell>
        </row>
        <row r="12">
          <cell r="C12" t="str">
            <v>-</v>
          </cell>
        </row>
        <row r="13">
          <cell r="C13" t="str">
            <v>-</v>
          </cell>
        </row>
        <row r="14">
          <cell r="C14" t="str">
            <v>-</v>
          </cell>
        </row>
        <row r="15">
          <cell r="C15" t="str">
            <v>-</v>
          </cell>
        </row>
        <row r="16">
          <cell r="C16" t="str">
            <v>-</v>
          </cell>
        </row>
        <row r="17">
          <cell r="C17" t="str">
            <v>-</v>
          </cell>
        </row>
        <row r="18">
          <cell r="C18" t="str">
            <v>-</v>
          </cell>
        </row>
        <row r="19">
          <cell r="C19" t="str">
            <v>-</v>
          </cell>
        </row>
        <row r="20">
          <cell r="C20" t="str">
            <v>-</v>
          </cell>
        </row>
        <row r="21">
          <cell r="C21" t="str">
            <v>-</v>
          </cell>
        </row>
        <row r="22">
          <cell r="C22" t="str">
            <v>-</v>
          </cell>
        </row>
        <row r="23">
          <cell r="C23" t="str">
            <v>-</v>
          </cell>
        </row>
        <row r="24">
          <cell r="C24" t="str">
            <v>-</v>
          </cell>
        </row>
        <row r="25">
          <cell r="C25" t="str">
            <v>-</v>
          </cell>
        </row>
        <row r="26">
          <cell r="C26" t="str">
            <v>-</v>
          </cell>
        </row>
        <row r="27">
          <cell r="C27" t="str">
            <v>-</v>
          </cell>
        </row>
        <row r="28">
          <cell r="C28" t="str">
            <v>-</v>
          </cell>
        </row>
        <row r="29">
          <cell r="C29" t="str">
            <v>-</v>
          </cell>
        </row>
        <row r="30">
          <cell r="C30" t="str">
            <v>-</v>
          </cell>
        </row>
        <row r="31">
          <cell r="C31" t="str">
            <v>-</v>
          </cell>
        </row>
        <row r="32">
          <cell r="C32" t="str">
            <v>-</v>
          </cell>
        </row>
        <row r="33">
          <cell r="C33" t="str">
            <v>-</v>
          </cell>
        </row>
        <row r="34">
          <cell r="C34" t="str">
            <v>-</v>
          </cell>
        </row>
        <row r="35">
          <cell r="C35" t="str">
            <v>-</v>
          </cell>
        </row>
        <row r="36">
          <cell r="C36" t="str">
            <v>-</v>
          </cell>
        </row>
        <row r="37">
          <cell r="C37" t="str">
            <v>-</v>
          </cell>
        </row>
        <row r="38">
          <cell r="C38" t="str">
            <v>-</v>
          </cell>
        </row>
        <row r="39">
          <cell r="C39" t="str">
            <v>-</v>
          </cell>
        </row>
        <row r="40">
          <cell r="C40" t="str">
            <v>-</v>
          </cell>
        </row>
        <row r="41">
          <cell r="C41" t="str">
            <v>-</v>
          </cell>
        </row>
        <row r="42">
          <cell r="C42" t="str">
            <v>-</v>
          </cell>
        </row>
        <row r="43">
          <cell r="C43" t="str">
            <v>-</v>
          </cell>
        </row>
        <row r="44">
          <cell r="C44" t="str">
            <v>-</v>
          </cell>
        </row>
        <row r="45">
          <cell r="C45" t="str">
            <v>-</v>
          </cell>
        </row>
        <row r="46">
          <cell r="C46" t="str">
            <v>-</v>
          </cell>
        </row>
        <row r="47">
          <cell r="C47" t="str">
            <v>-</v>
          </cell>
        </row>
        <row r="48">
          <cell r="C48" t="str">
            <v>-</v>
          </cell>
        </row>
        <row r="49">
          <cell r="C49" t="str">
            <v>-</v>
          </cell>
        </row>
        <row r="50">
          <cell r="C50" t="str">
            <v>-</v>
          </cell>
        </row>
        <row r="51">
          <cell r="C51" t="str">
            <v>-</v>
          </cell>
        </row>
        <row r="52">
          <cell r="C52" t="str">
            <v>-</v>
          </cell>
        </row>
        <row r="53">
          <cell r="C53" t="str">
            <v>-</v>
          </cell>
        </row>
        <row r="54">
          <cell r="C54" t="str">
            <v>-</v>
          </cell>
        </row>
        <row r="55">
          <cell r="C55" t="str">
            <v>-</v>
          </cell>
        </row>
        <row r="56">
          <cell r="C56" t="str">
            <v>-</v>
          </cell>
        </row>
        <row r="57">
          <cell r="C57" t="str">
            <v>-</v>
          </cell>
        </row>
        <row r="58">
          <cell r="C58" t="str">
            <v>-</v>
          </cell>
        </row>
        <row r="59">
          <cell r="C59" t="str">
            <v>-</v>
          </cell>
        </row>
        <row r="60">
          <cell r="C60" t="str">
            <v>-</v>
          </cell>
        </row>
        <row r="61">
          <cell r="C61" t="str">
            <v>-</v>
          </cell>
        </row>
        <row r="62">
          <cell r="C62" t="str">
            <v>-</v>
          </cell>
        </row>
        <row r="63">
          <cell r="C63" t="str">
            <v>-</v>
          </cell>
        </row>
        <row r="64">
          <cell r="C64" t="str">
            <v>-</v>
          </cell>
        </row>
        <row r="65">
          <cell r="C65" t="str">
            <v>-</v>
          </cell>
        </row>
        <row r="66">
          <cell r="C66" t="str">
            <v>-</v>
          </cell>
        </row>
        <row r="67">
          <cell r="C67" t="str">
            <v>-</v>
          </cell>
        </row>
        <row r="68">
          <cell r="C68" t="str">
            <v>-</v>
          </cell>
        </row>
        <row r="69">
          <cell r="C69" t="str">
            <v>-</v>
          </cell>
        </row>
        <row r="70">
          <cell r="C70" t="str">
            <v>-</v>
          </cell>
        </row>
        <row r="71">
          <cell r="C71" t="str">
            <v>-</v>
          </cell>
        </row>
        <row r="72">
          <cell r="C72" t="str">
            <v>-</v>
          </cell>
        </row>
        <row r="73">
          <cell r="C73" t="str">
            <v>-</v>
          </cell>
        </row>
        <row r="74">
          <cell r="C74" t="str">
            <v>-</v>
          </cell>
        </row>
        <row r="75">
          <cell r="C75" t="str">
            <v>-</v>
          </cell>
        </row>
        <row r="76">
          <cell r="C76" t="str">
            <v>-</v>
          </cell>
        </row>
        <row r="77">
          <cell r="C77" t="str">
            <v>-</v>
          </cell>
        </row>
        <row r="78">
          <cell r="C78" t="str">
            <v>-</v>
          </cell>
        </row>
        <row r="79">
          <cell r="C79" t="str">
            <v>-</v>
          </cell>
        </row>
        <row r="80">
          <cell r="C80" t="str">
            <v>-</v>
          </cell>
        </row>
        <row r="81">
          <cell r="C81" t="str">
            <v>-</v>
          </cell>
        </row>
        <row r="82">
          <cell r="C82" t="str">
            <v>-</v>
          </cell>
        </row>
        <row r="83">
          <cell r="C83" t="str">
            <v>-</v>
          </cell>
        </row>
        <row r="84">
          <cell r="C84" t="str">
            <v>-</v>
          </cell>
        </row>
        <row r="85">
          <cell r="C85" t="str">
            <v>-</v>
          </cell>
        </row>
        <row r="86">
          <cell r="C86" t="str">
            <v>-</v>
          </cell>
        </row>
        <row r="87">
          <cell r="C87" t="str">
            <v>-</v>
          </cell>
        </row>
        <row r="88">
          <cell r="C88" t="str">
            <v>-</v>
          </cell>
        </row>
        <row r="89">
          <cell r="C89" t="str">
            <v>-</v>
          </cell>
        </row>
        <row r="90">
          <cell r="C90" t="str">
            <v>-</v>
          </cell>
        </row>
        <row r="91">
          <cell r="C91" t="str">
            <v>-</v>
          </cell>
        </row>
        <row r="92">
          <cell r="C92" t="str">
            <v>-</v>
          </cell>
        </row>
        <row r="93">
          <cell r="C93" t="str">
            <v>-</v>
          </cell>
        </row>
        <row r="94">
          <cell r="C94" t="str">
            <v>-</v>
          </cell>
        </row>
        <row r="95">
          <cell r="C95" t="str">
            <v>-</v>
          </cell>
        </row>
        <row r="96">
          <cell r="C96" t="str">
            <v>-</v>
          </cell>
        </row>
        <row r="97">
          <cell r="C97" t="str">
            <v>-</v>
          </cell>
        </row>
        <row r="98">
          <cell r="C98" t="str">
            <v>-</v>
          </cell>
        </row>
        <row r="99">
          <cell r="C99" t="str">
            <v>-</v>
          </cell>
        </row>
        <row r="100">
          <cell r="C100" t="str">
            <v>-</v>
          </cell>
        </row>
        <row r="101">
          <cell r="C101" t="str">
            <v>-</v>
          </cell>
        </row>
        <row r="102">
          <cell r="C102" t="str">
            <v>-</v>
          </cell>
        </row>
        <row r="103">
          <cell r="C103" t="str">
            <v>-</v>
          </cell>
        </row>
        <row r="104">
          <cell r="C104" t="str">
            <v>-</v>
          </cell>
        </row>
        <row r="105">
          <cell r="C105" t="str">
            <v>-</v>
          </cell>
        </row>
        <row r="106">
          <cell r="C106" t="str">
            <v>-</v>
          </cell>
        </row>
        <row r="107">
          <cell r="C107" t="str">
            <v>-</v>
          </cell>
        </row>
        <row r="108">
          <cell r="C108" t="str">
            <v>-</v>
          </cell>
        </row>
        <row r="109">
          <cell r="C109" t="str">
            <v>-</v>
          </cell>
        </row>
        <row r="110">
          <cell r="C110" t="str">
            <v>-</v>
          </cell>
        </row>
        <row r="111">
          <cell r="C111" t="str">
            <v>-</v>
          </cell>
        </row>
        <row r="112">
          <cell r="C112" t="str">
            <v>-</v>
          </cell>
        </row>
        <row r="113">
          <cell r="C113" t="str">
            <v>-</v>
          </cell>
        </row>
        <row r="114">
          <cell r="C114" t="str">
            <v>-</v>
          </cell>
        </row>
        <row r="115">
          <cell r="C115" t="str">
            <v>-</v>
          </cell>
        </row>
        <row r="116">
          <cell r="C116" t="str">
            <v>-</v>
          </cell>
        </row>
        <row r="117">
          <cell r="C117" t="str">
            <v>-</v>
          </cell>
        </row>
        <row r="118">
          <cell r="C118" t="str">
            <v>-</v>
          </cell>
        </row>
        <row r="119">
          <cell r="C119" t="str">
            <v>-</v>
          </cell>
        </row>
        <row r="120">
          <cell r="C120" t="str">
            <v>-</v>
          </cell>
        </row>
        <row r="121">
          <cell r="C121" t="str">
            <v>-</v>
          </cell>
        </row>
        <row r="122">
          <cell r="C122" t="str">
            <v>-</v>
          </cell>
        </row>
        <row r="123">
          <cell r="C123" t="str">
            <v>-</v>
          </cell>
        </row>
        <row r="124">
          <cell r="C124" t="str">
            <v>-</v>
          </cell>
        </row>
        <row r="125">
          <cell r="C125" t="str">
            <v>-</v>
          </cell>
        </row>
        <row r="126">
          <cell r="C126" t="str">
            <v>-</v>
          </cell>
        </row>
        <row r="127">
          <cell r="C127" t="str">
            <v>-</v>
          </cell>
        </row>
        <row r="128">
          <cell r="C128" t="str">
            <v>-</v>
          </cell>
        </row>
        <row r="129">
          <cell r="C129" t="str">
            <v>-</v>
          </cell>
        </row>
        <row r="130">
          <cell r="C130" t="str">
            <v>-</v>
          </cell>
        </row>
        <row r="131">
          <cell r="C131" t="str">
            <v>-</v>
          </cell>
        </row>
        <row r="132">
          <cell r="C132" t="str">
            <v>-</v>
          </cell>
        </row>
        <row r="133">
          <cell r="C133" t="str">
            <v>-</v>
          </cell>
        </row>
        <row r="134">
          <cell r="C134" t="str">
            <v>-</v>
          </cell>
        </row>
        <row r="135">
          <cell r="C135" t="str">
            <v>-</v>
          </cell>
        </row>
        <row r="136">
          <cell r="C136" t="str">
            <v>-</v>
          </cell>
        </row>
        <row r="137">
          <cell r="C137" t="str">
            <v>-</v>
          </cell>
        </row>
        <row r="138">
          <cell r="C138" t="str">
            <v>-</v>
          </cell>
        </row>
        <row r="139">
          <cell r="C139" t="str">
            <v>-</v>
          </cell>
        </row>
        <row r="140">
          <cell r="C140" t="str">
            <v>-</v>
          </cell>
        </row>
        <row r="141">
          <cell r="C141" t="str">
            <v>-</v>
          </cell>
        </row>
        <row r="142">
          <cell r="C142" t="str">
            <v>-</v>
          </cell>
        </row>
        <row r="143">
          <cell r="C143" t="str">
            <v>-</v>
          </cell>
        </row>
        <row r="144">
          <cell r="C144" t="str">
            <v>-</v>
          </cell>
        </row>
        <row r="145">
          <cell r="C145" t="str">
            <v>-</v>
          </cell>
        </row>
        <row r="146">
          <cell r="C146" t="str">
            <v>-</v>
          </cell>
        </row>
        <row r="147">
          <cell r="C147" t="str">
            <v>-</v>
          </cell>
        </row>
        <row r="148">
          <cell r="C148" t="str">
            <v>-</v>
          </cell>
        </row>
        <row r="149">
          <cell r="C149" t="str">
            <v>-</v>
          </cell>
        </row>
        <row r="150">
          <cell r="C150" t="str">
            <v>-</v>
          </cell>
        </row>
        <row r="151">
          <cell r="C151" t="str">
            <v>-</v>
          </cell>
        </row>
        <row r="152">
          <cell r="C152" t="str">
            <v>-</v>
          </cell>
        </row>
        <row r="153">
          <cell r="C153" t="str">
            <v>-</v>
          </cell>
        </row>
        <row r="154">
          <cell r="C154" t="str">
            <v>-</v>
          </cell>
        </row>
        <row r="155">
          <cell r="C155" t="str">
            <v>-</v>
          </cell>
        </row>
        <row r="156">
          <cell r="C156" t="str">
            <v>-</v>
          </cell>
        </row>
        <row r="157">
          <cell r="C157" t="str">
            <v>-</v>
          </cell>
        </row>
        <row r="158">
          <cell r="C158" t="str">
            <v>-</v>
          </cell>
        </row>
        <row r="159">
          <cell r="C159" t="str">
            <v>-</v>
          </cell>
        </row>
        <row r="160">
          <cell r="C160" t="str">
            <v>-</v>
          </cell>
        </row>
        <row r="161">
          <cell r="C161" t="str">
            <v>-</v>
          </cell>
        </row>
        <row r="162">
          <cell r="C162" t="str">
            <v>-</v>
          </cell>
        </row>
        <row r="163">
          <cell r="C163" t="str">
            <v>-</v>
          </cell>
        </row>
        <row r="164">
          <cell r="C164" t="str">
            <v>-</v>
          </cell>
        </row>
        <row r="165">
          <cell r="C165" t="str">
            <v>-</v>
          </cell>
        </row>
        <row r="166">
          <cell r="C166" t="str">
            <v>-</v>
          </cell>
        </row>
        <row r="167">
          <cell r="C167" t="str">
            <v>-</v>
          </cell>
        </row>
        <row r="168">
          <cell r="C168" t="str">
            <v>-</v>
          </cell>
        </row>
        <row r="169">
          <cell r="C169" t="str">
            <v>-</v>
          </cell>
        </row>
        <row r="170">
          <cell r="C170" t="str">
            <v>-</v>
          </cell>
        </row>
        <row r="171">
          <cell r="C171" t="str">
            <v>-</v>
          </cell>
        </row>
        <row r="172">
          <cell r="C172" t="str">
            <v>-</v>
          </cell>
        </row>
        <row r="173">
          <cell r="C173" t="str">
            <v>-</v>
          </cell>
        </row>
        <row r="174">
          <cell r="C174" t="str">
            <v>-</v>
          </cell>
        </row>
        <row r="175">
          <cell r="C175" t="str">
            <v>-</v>
          </cell>
        </row>
        <row r="176">
          <cell r="C176" t="str">
            <v>-</v>
          </cell>
        </row>
        <row r="177">
          <cell r="C177" t="str">
            <v>-</v>
          </cell>
        </row>
        <row r="178">
          <cell r="C178" t="str">
            <v>-</v>
          </cell>
        </row>
        <row r="179">
          <cell r="C179" t="str">
            <v>-</v>
          </cell>
        </row>
        <row r="180">
          <cell r="C180" t="str">
            <v>-</v>
          </cell>
        </row>
        <row r="181">
          <cell r="C181" t="str">
            <v>-</v>
          </cell>
        </row>
        <row r="182">
          <cell r="C182" t="str">
            <v>-</v>
          </cell>
        </row>
        <row r="183">
          <cell r="C183" t="str">
            <v>-</v>
          </cell>
        </row>
        <row r="184">
          <cell r="C184" t="str">
            <v>-</v>
          </cell>
        </row>
        <row r="185">
          <cell r="C185" t="str">
            <v>-</v>
          </cell>
        </row>
        <row r="186">
          <cell r="C186" t="str">
            <v>-</v>
          </cell>
        </row>
        <row r="187">
          <cell r="C187" t="str">
            <v>-</v>
          </cell>
        </row>
        <row r="188">
          <cell r="C188" t="str">
            <v>-</v>
          </cell>
        </row>
        <row r="189">
          <cell r="C189" t="str">
            <v>-</v>
          </cell>
        </row>
        <row r="190">
          <cell r="C190" t="str">
            <v>-</v>
          </cell>
        </row>
        <row r="191">
          <cell r="C191" t="str">
            <v>-</v>
          </cell>
        </row>
        <row r="192">
          <cell r="C192" t="str">
            <v>-</v>
          </cell>
        </row>
        <row r="193">
          <cell r="C193" t="str">
            <v>-</v>
          </cell>
        </row>
        <row r="194">
          <cell r="C194" t="str">
            <v>-</v>
          </cell>
        </row>
        <row r="195">
          <cell r="C195" t="str">
            <v>-</v>
          </cell>
        </row>
        <row r="196">
          <cell r="C196" t="str">
            <v>-</v>
          </cell>
        </row>
        <row r="197">
          <cell r="C197" t="str">
            <v>-</v>
          </cell>
        </row>
        <row r="198">
          <cell r="C198" t="str">
            <v>-</v>
          </cell>
        </row>
        <row r="199">
          <cell r="C199" t="str">
            <v>-</v>
          </cell>
        </row>
        <row r="200">
          <cell r="C200" t="str">
            <v>-</v>
          </cell>
        </row>
        <row r="201">
          <cell r="C201" t="str">
            <v>-</v>
          </cell>
        </row>
        <row r="202">
          <cell r="C202" t="str">
            <v>-</v>
          </cell>
        </row>
        <row r="203">
          <cell r="C203" t="str">
            <v>-</v>
          </cell>
        </row>
        <row r="204">
          <cell r="C204" t="str">
            <v>-</v>
          </cell>
        </row>
        <row r="205">
          <cell r="C205" t="str">
            <v>-</v>
          </cell>
        </row>
        <row r="206">
          <cell r="C206" t="str">
            <v>-</v>
          </cell>
        </row>
        <row r="207">
          <cell r="C207" t="str">
            <v>-</v>
          </cell>
        </row>
        <row r="208">
          <cell r="C208" t="str">
            <v>-</v>
          </cell>
        </row>
        <row r="209">
          <cell r="C209" t="str">
            <v>-</v>
          </cell>
        </row>
        <row r="210">
          <cell r="C210" t="str">
            <v>-</v>
          </cell>
        </row>
        <row r="211">
          <cell r="C211" t="str">
            <v>-</v>
          </cell>
        </row>
        <row r="212">
          <cell r="C212" t="str">
            <v>-</v>
          </cell>
        </row>
        <row r="213">
          <cell r="C213" t="str">
            <v>-</v>
          </cell>
        </row>
        <row r="214">
          <cell r="C214" t="str">
            <v>-</v>
          </cell>
        </row>
        <row r="215">
          <cell r="C215" t="str">
            <v>-</v>
          </cell>
        </row>
        <row r="216">
          <cell r="C216" t="str">
            <v>-</v>
          </cell>
        </row>
        <row r="217">
          <cell r="C217" t="str">
            <v>-</v>
          </cell>
        </row>
        <row r="218">
          <cell r="C218" t="str">
            <v>-</v>
          </cell>
        </row>
        <row r="219">
          <cell r="C219" t="str">
            <v>-</v>
          </cell>
        </row>
        <row r="220">
          <cell r="C220" t="str">
            <v>-</v>
          </cell>
        </row>
        <row r="221">
          <cell r="C221" t="str">
            <v>-</v>
          </cell>
        </row>
        <row r="222">
          <cell r="C222" t="str">
            <v>-</v>
          </cell>
        </row>
        <row r="223">
          <cell r="C223" t="str">
            <v>-</v>
          </cell>
        </row>
        <row r="224">
          <cell r="C224" t="str">
            <v>-</v>
          </cell>
        </row>
        <row r="225">
          <cell r="C225" t="str">
            <v>-</v>
          </cell>
        </row>
        <row r="226">
          <cell r="C226" t="str">
            <v>-</v>
          </cell>
        </row>
        <row r="227">
          <cell r="C227" t="str">
            <v>-</v>
          </cell>
        </row>
        <row r="228">
          <cell r="C228" t="str">
            <v>-</v>
          </cell>
        </row>
        <row r="229">
          <cell r="C229" t="str">
            <v>-</v>
          </cell>
        </row>
        <row r="230">
          <cell r="C230" t="str">
            <v>-</v>
          </cell>
        </row>
        <row r="231">
          <cell r="C231" t="str">
            <v>-</v>
          </cell>
        </row>
        <row r="232">
          <cell r="C232" t="str">
            <v>-</v>
          </cell>
        </row>
        <row r="233">
          <cell r="C233" t="str">
            <v>-</v>
          </cell>
        </row>
        <row r="234">
          <cell r="C234" t="str">
            <v>-</v>
          </cell>
        </row>
        <row r="235">
          <cell r="C235" t="str">
            <v>-</v>
          </cell>
        </row>
        <row r="236">
          <cell r="C236" t="str">
            <v>-</v>
          </cell>
        </row>
        <row r="237">
          <cell r="C237" t="str">
            <v>-</v>
          </cell>
        </row>
        <row r="238">
          <cell r="C238" t="str">
            <v>-</v>
          </cell>
        </row>
        <row r="239">
          <cell r="C239" t="str">
            <v>-</v>
          </cell>
        </row>
        <row r="240">
          <cell r="C240" t="str">
            <v>-</v>
          </cell>
        </row>
        <row r="241">
          <cell r="C241" t="str">
            <v>-</v>
          </cell>
        </row>
        <row r="242">
          <cell r="C242" t="str">
            <v>-</v>
          </cell>
        </row>
        <row r="243">
          <cell r="C243" t="str">
            <v>-</v>
          </cell>
        </row>
        <row r="244">
          <cell r="C244" t="str">
            <v>-</v>
          </cell>
        </row>
        <row r="245">
          <cell r="C245" t="str">
            <v>-</v>
          </cell>
        </row>
        <row r="246">
          <cell r="C246" t="str">
            <v>-</v>
          </cell>
        </row>
        <row r="247">
          <cell r="C247" t="str">
            <v>-</v>
          </cell>
        </row>
        <row r="248">
          <cell r="C248" t="str">
            <v>-</v>
          </cell>
        </row>
        <row r="249">
          <cell r="C249" t="str">
            <v>-</v>
          </cell>
        </row>
        <row r="250">
          <cell r="C250" t="str">
            <v>-</v>
          </cell>
        </row>
        <row r="251">
          <cell r="C251" t="str">
            <v>-</v>
          </cell>
        </row>
        <row r="252">
          <cell r="C252" t="str">
            <v>-</v>
          </cell>
        </row>
        <row r="253">
          <cell r="C253" t="str">
            <v>-</v>
          </cell>
        </row>
        <row r="254">
          <cell r="C254" t="str">
            <v>-</v>
          </cell>
        </row>
        <row r="255">
          <cell r="C255" t="str">
            <v>-</v>
          </cell>
        </row>
        <row r="256">
          <cell r="C256" t="str">
            <v>-</v>
          </cell>
        </row>
        <row r="257">
          <cell r="C257" t="str">
            <v>-</v>
          </cell>
        </row>
        <row r="258">
          <cell r="C258" t="str">
            <v>-</v>
          </cell>
        </row>
        <row r="259">
          <cell r="C259" t="str">
            <v>-</v>
          </cell>
        </row>
        <row r="260">
          <cell r="C260" t="str">
            <v>-</v>
          </cell>
        </row>
        <row r="261">
          <cell r="C261" t="str">
            <v>-</v>
          </cell>
        </row>
        <row r="262">
          <cell r="C262" t="str">
            <v>-</v>
          </cell>
        </row>
        <row r="263">
          <cell r="C263" t="str">
            <v>-</v>
          </cell>
        </row>
        <row r="264">
          <cell r="C264" t="str">
            <v>-</v>
          </cell>
        </row>
        <row r="265">
          <cell r="C265" t="str">
            <v>-</v>
          </cell>
        </row>
        <row r="266">
          <cell r="C266" t="str">
            <v>-</v>
          </cell>
        </row>
        <row r="267">
          <cell r="C267" t="str">
            <v>-</v>
          </cell>
        </row>
        <row r="268">
          <cell r="C268" t="str">
            <v>-</v>
          </cell>
        </row>
        <row r="269">
          <cell r="C269" t="str">
            <v>-</v>
          </cell>
        </row>
        <row r="270">
          <cell r="C270" t="str">
            <v>-</v>
          </cell>
        </row>
        <row r="271">
          <cell r="C271" t="str">
            <v>-</v>
          </cell>
        </row>
        <row r="272">
          <cell r="C272" t="str">
            <v>-</v>
          </cell>
        </row>
        <row r="273">
          <cell r="C273" t="str">
            <v>-</v>
          </cell>
        </row>
        <row r="274">
          <cell r="C274" t="str">
            <v>-</v>
          </cell>
        </row>
        <row r="275">
          <cell r="C275" t="str">
            <v>-</v>
          </cell>
        </row>
        <row r="276">
          <cell r="C276" t="str">
            <v>-</v>
          </cell>
        </row>
        <row r="277">
          <cell r="C277" t="str">
            <v>-</v>
          </cell>
        </row>
        <row r="278">
          <cell r="C278" t="str">
            <v>-</v>
          </cell>
        </row>
        <row r="279">
          <cell r="C279" t="str">
            <v>-</v>
          </cell>
        </row>
        <row r="280">
          <cell r="C280" t="str">
            <v>-</v>
          </cell>
        </row>
        <row r="281">
          <cell r="C281" t="str">
            <v>-</v>
          </cell>
        </row>
        <row r="282">
          <cell r="C282" t="str">
            <v>-</v>
          </cell>
        </row>
        <row r="283">
          <cell r="C283" t="str">
            <v>-</v>
          </cell>
        </row>
        <row r="284">
          <cell r="C284" t="str">
            <v>-</v>
          </cell>
        </row>
        <row r="285">
          <cell r="C285" t="str">
            <v>-</v>
          </cell>
        </row>
        <row r="286">
          <cell r="C286" t="str">
            <v>-</v>
          </cell>
        </row>
        <row r="287">
          <cell r="C287" t="str">
            <v>-</v>
          </cell>
        </row>
        <row r="288">
          <cell r="C288" t="str">
            <v>-</v>
          </cell>
        </row>
        <row r="289">
          <cell r="C289" t="str">
            <v>-</v>
          </cell>
        </row>
        <row r="290">
          <cell r="C290" t="str">
            <v>-</v>
          </cell>
        </row>
        <row r="291">
          <cell r="C291" t="str">
            <v>-</v>
          </cell>
        </row>
        <row r="292">
          <cell r="C292" t="str">
            <v>-</v>
          </cell>
        </row>
        <row r="293">
          <cell r="C293" t="str">
            <v>-</v>
          </cell>
        </row>
        <row r="294">
          <cell r="C294" t="str">
            <v>-</v>
          </cell>
        </row>
        <row r="295">
          <cell r="C295" t="str">
            <v>-</v>
          </cell>
        </row>
        <row r="296">
          <cell r="C296" t="str">
            <v>-</v>
          </cell>
        </row>
        <row r="297">
          <cell r="C297" t="str">
            <v>-</v>
          </cell>
        </row>
        <row r="298">
          <cell r="C298" t="str">
            <v>-</v>
          </cell>
        </row>
        <row r="299">
          <cell r="C299" t="str">
            <v>-</v>
          </cell>
        </row>
        <row r="300">
          <cell r="C300" t="str">
            <v>-</v>
          </cell>
        </row>
        <row r="301">
          <cell r="C301" t="str">
            <v>-</v>
          </cell>
        </row>
        <row r="302">
          <cell r="C302" t="str">
            <v>-</v>
          </cell>
        </row>
        <row r="303">
          <cell r="C303" t="str">
            <v>-</v>
          </cell>
        </row>
        <row r="304">
          <cell r="C304" t="str">
            <v>-</v>
          </cell>
        </row>
        <row r="305">
          <cell r="C305" t="str">
            <v>-</v>
          </cell>
        </row>
        <row r="306">
          <cell r="C306" t="str">
            <v>-</v>
          </cell>
        </row>
        <row r="307">
          <cell r="C307" t="str">
            <v>-</v>
          </cell>
        </row>
        <row r="308">
          <cell r="C308" t="str">
            <v>-</v>
          </cell>
        </row>
        <row r="309">
          <cell r="C309" t="str">
            <v>-</v>
          </cell>
        </row>
        <row r="310">
          <cell r="C310" t="str">
            <v>-</v>
          </cell>
        </row>
        <row r="311">
          <cell r="C311" t="str">
            <v>-</v>
          </cell>
        </row>
        <row r="312">
          <cell r="C312" t="str">
            <v>-</v>
          </cell>
        </row>
        <row r="313">
          <cell r="C313" t="str">
            <v>-</v>
          </cell>
        </row>
        <row r="314">
          <cell r="C314" t="str">
            <v>-</v>
          </cell>
        </row>
        <row r="315">
          <cell r="C315" t="str">
            <v>-</v>
          </cell>
        </row>
        <row r="316">
          <cell r="C316" t="str">
            <v>-</v>
          </cell>
        </row>
        <row r="317">
          <cell r="C317" t="str">
            <v>-</v>
          </cell>
        </row>
        <row r="318">
          <cell r="C318" t="str">
            <v>-</v>
          </cell>
        </row>
        <row r="319">
          <cell r="C319" t="str">
            <v>-</v>
          </cell>
        </row>
        <row r="320">
          <cell r="C320" t="str">
            <v>-</v>
          </cell>
        </row>
        <row r="321">
          <cell r="C321" t="str">
            <v>-</v>
          </cell>
        </row>
        <row r="322">
          <cell r="C322" t="str">
            <v>-</v>
          </cell>
        </row>
        <row r="323">
          <cell r="C323" t="str">
            <v>-</v>
          </cell>
        </row>
        <row r="324">
          <cell r="C324" t="str">
            <v>-</v>
          </cell>
        </row>
        <row r="325">
          <cell r="C325" t="str">
            <v>-</v>
          </cell>
        </row>
        <row r="326">
          <cell r="C326" t="str">
            <v>-</v>
          </cell>
        </row>
        <row r="327">
          <cell r="C327" t="str">
            <v>-</v>
          </cell>
        </row>
        <row r="328">
          <cell r="C328" t="str">
            <v>-</v>
          </cell>
        </row>
        <row r="329">
          <cell r="C329" t="str">
            <v>-</v>
          </cell>
        </row>
        <row r="330">
          <cell r="C330" t="str">
            <v>-</v>
          </cell>
        </row>
        <row r="331">
          <cell r="C331" t="str">
            <v>-</v>
          </cell>
        </row>
        <row r="332">
          <cell r="C332" t="str">
            <v>-</v>
          </cell>
        </row>
        <row r="333">
          <cell r="C333" t="str">
            <v>-</v>
          </cell>
        </row>
        <row r="334">
          <cell r="C334" t="str">
            <v>-</v>
          </cell>
        </row>
        <row r="335">
          <cell r="C335" t="str">
            <v>-</v>
          </cell>
        </row>
        <row r="336">
          <cell r="C336" t="str">
            <v>-</v>
          </cell>
        </row>
        <row r="337">
          <cell r="C337" t="str">
            <v>-</v>
          </cell>
        </row>
        <row r="338">
          <cell r="C338" t="str">
            <v>-</v>
          </cell>
        </row>
        <row r="339">
          <cell r="C339" t="str">
            <v>-</v>
          </cell>
        </row>
        <row r="340">
          <cell r="C340" t="str">
            <v>-</v>
          </cell>
        </row>
        <row r="341">
          <cell r="C341" t="str">
            <v>-</v>
          </cell>
        </row>
        <row r="342">
          <cell r="C342" t="str">
            <v>-</v>
          </cell>
        </row>
        <row r="343">
          <cell r="C343" t="str">
            <v>-</v>
          </cell>
        </row>
        <row r="344">
          <cell r="C344" t="str">
            <v>-</v>
          </cell>
        </row>
        <row r="345">
          <cell r="C345" t="str">
            <v>-</v>
          </cell>
        </row>
        <row r="346">
          <cell r="C346" t="str">
            <v>-</v>
          </cell>
        </row>
        <row r="347">
          <cell r="C347" t="str">
            <v>-</v>
          </cell>
        </row>
        <row r="348">
          <cell r="C348" t="str">
            <v>-</v>
          </cell>
        </row>
        <row r="349">
          <cell r="C349" t="str">
            <v>-</v>
          </cell>
        </row>
        <row r="350">
          <cell r="C350" t="str">
            <v>-</v>
          </cell>
        </row>
        <row r="351">
          <cell r="C351" t="str">
            <v>-</v>
          </cell>
        </row>
        <row r="352">
          <cell r="C352" t="str">
            <v>-</v>
          </cell>
        </row>
        <row r="353">
          <cell r="C353" t="str">
            <v>-</v>
          </cell>
        </row>
        <row r="354">
          <cell r="C354" t="str">
            <v>-</v>
          </cell>
        </row>
        <row r="355">
          <cell r="C355" t="str">
            <v>-</v>
          </cell>
        </row>
        <row r="356">
          <cell r="C356" t="str">
            <v>-</v>
          </cell>
        </row>
        <row r="357">
          <cell r="C357" t="str">
            <v>-</v>
          </cell>
        </row>
        <row r="358">
          <cell r="C358" t="str">
            <v>-</v>
          </cell>
        </row>
        <row r="359">
          <cell r="C359" t="str">
            <v>-</v>
          </cell>
        </row>
        <row r="360">
          <cell r="C360" t="str">
            <v>-</v>
          </cell>
        </row>
        <row r="361">
          <cell r="C361" t="str">
            <v>-</v>
          </cell>
        </row>
        <row r="362">
          <cell r="C362" t="str">
            <v>-</v>
          </cell>
        </row>
        <row r="363">
          <cell r="C363" t="str">
            <v>-</v>
          </cell>
        </row>
        <row r="364">
          <cell r="C364" t="str">
            <v>-</v>
          </cell>
        </row>
        <row r="365">
          <cell r="C365" t="str">
            <v>-</v>
          </cell>
        </row>
        <row r="366">
          <cell r="C366" t="str">
            <v>-</v>
          </cell>
        </row>
        <row r="367">
          <cell r="C367" t="str">
            <v>-</v>
          </cell>
        </row>
        <row r="368">
          <cell r="C368" t="str">
            <v>-</v>
          </cell>
        </row>
        <row r="369">
          <cell r="C369" t="str">
            <v>-</v>
          </cell>
        </row>
        <row r="370">
          <cell r="C370" t="str">
            <v>-</v>
          </cell>
        </row>
        <row r="371">
          <cell r="C371" t="str">
            <v>-</v>
          </cell>
        </row>
        <row r="372">
          <cell r="C372" t="str">
            <v>-</v>
          </cell>
        </row>
        <row r="373">
          <cell r="C373" t="str">
            <v>-</v>
          </cell>
        </row>
        <row r="374">
          <cell r="C374" t="str">
            <v>-</v>
          </cell>
        </row>
        <row r="375">
          <cell r="C375" t="str">
            <v>-</v>
          </cell>
        </row>
        <row r="376">
          <cell r="C376" t="str">
            <v>-</v>
          </cell>
        </row>
        <row r="377">
          <cell r="C377" t="str">
            <v>-</v>
          </cell>
        </row>
        <row r="378">
          <cell r="C378" t="str">
            <v>-</v>
          </cell>
        </row>
        <row r="379">
          <cell r="C379" t="str">
            <v>-</v>
          </cell>
        </row>
        <row r="380">
          <cell r="C380" t="str">
            <v>-</v>
          </cell>
        </row>
        <row r="381">
          <cell r="C381" t="str">
            <v>-</v>
          </cell>
        </row>
        <row r="382">
          <cell r="C382" t="str">
            <v>-</v>
          </cell>
        </row>
        <row r="383">
          <cell r="C383" t="str">
            <v>-</v>
          </cell>
        </row>
        <row r="384">
          <cell r="C384" t="str">
            <v>-</v>
          </cell>
        </row>
        <row r="385">
          <cell r="C385" t="str">
            <v>-</v>
          </cell>
        </row>
        <row r="386">
          <cell r="C386" t="str">
            <v>-</v>
          </cell>
        </row>
        <row r="387">
          <cell r="C387" t="str">
            <v>-</v>
          </cell>
        </row>
        <row r="388">
          <cell r="C388" t="str">
            <v>-</v>
          </cell>
        </row>
        <row r="389">
          <cell r="C389" t="str">
            <v>-</v>
          </cell>
        </row>
        <row r="390">
          <cell r="C390" t="str">
            <v>-</v>
          </cell>
        </row>
        <row r="391">
          <cell r="C391" t="str">
            <v>-</v>
          </cell>
        </row>
        <row r="392">
          <cell r="C392" t="str">
            <v>-</v>
          </cell>
        </row>
        <row r="393">
          <cell r="C393" t="str">
            <v>-</v>
          </cell>
        </row>
        <row r="394">
          <cell r="C394" t="str">
            <v>-</v>
          </cell>
        </row>
        <row r="395">
          <cell r="C395" t="str">
            <v>-</v>
          </cell>
        </row>
        <row r="396">
          <cell r="C396" t="str">
            <v>-</v>
          </cell>
        </row>
        <row r="397">
          <cell r="C397" t="str">
            <v>-</v>
          </cell>
        </row>
        <row r="398">
          <cell r="C398" t="str">
            <v>-</v>
          </cell>
        </row>
        <row r="399">
          <cell r="C399" t="str">
            <v>-</v>
          </cell>
        </row>
        <row r="400">
          <cell r="C400" t="str">
            <v>-</v>
          </cell>
        </row>
        <row r="401">
          <cell r="C401" t="str">
            <v>-</v>
          </cell>
        </row>
        <row r="402">
          <cell r="C402" t="str">
            <v>-</v>
          </cell>
        </row>
        <row r="403">
          <cell r="C403" t="str">
            <v>-</v>
          </cell>
        </row>
        <row r="404">
          <cell r="C404" t="str">
            <v>-</v>
          </cell>
        </row>
        <row r="405">
          <cell r="C405" t="str">
            <v>-</v>
          </cell>
        </row>
        <row r="406">
          <cell r="C406" t="str">
            <v>-</v>
          </cell>
        </row>
        <row r="407">
          <cell r="C407" t="str">
            <v>-</v>
          </cell>
        </row>
        <row r="408">
          <cell r="C408" t="str">
            <v>-</v>
          </cell>
        </row>
        <row r="409">
          <cell r="C409" t="str">
            <v>-</v>
          </cell>
        </row>
        <row r="410">
          <cell r="C410" t="str">
            <v>-</v>
          </cell>
        </row>
        <row r="411">
          <cell r="C411" t="str">
            <v>-</v>
          </cell>
        </row>
        <row r="412">
          <cell r="C412" t="str">
            <v>-</v>
          </cell>
        </row>
        <row r="413">
          <cell r="C413" t="str">
            <v>-</v>
          </cell>
        </row>
        <row r="414">
          <cell r="C414" t="str">
            <v>-</v>
          </cell>
        </row>
        <row r="415">
          <cell r="C415" t="str">
            <v>-</v>
          </cell>
        </row>
        <row r="416">
          <cell r="C416" t="str">
            <v>-</v>
          </cell>
        </row>
        <row r="417">
          <cell r="C417" t="str">
            <v>-</v>
          </cell>
        </row>
        <row r="418">
          <cell r="C418" t="str">
            <v>-</v>
          </cell>
        </row>
        <row r="419">
          <cell r="C419" t="str">
            <v>-</v>
          </cell>
        </row>
        <row r="420">
          <cell r="C420" t="str">
            <v>-</v>
          </cell>
        </row>
        <row r="421">
          <cell r="C421" t="str">
            <v>-</v>
          </cell>
        </row>
        <row r="422">
          <cell r="C422" t="str">
            <v>-</v>
          </cell>
        </row>
        <row r="423">
          <cell r="C423" t="str">
            <v>-</v>
          </cell>
        </row>
        <row r="424">
          <cell r="C424" t="str">
            <v>-</v>
          </cell>
        </row>
        <row r="425">
          <cell r="C425" t="str">
            <v>-</v>
          </cell>
        </row>
        <row r="426">
          <cell r="C426" t="str">
            <v>-</v>
          </cell>
        </row>
        <row r="427">
          <cell r="C427" t="str">
            <v>-</v>
          </cell>
        </row>
        <row r="428">
          <cell r="C428" t="str">
            <v>-</v>
          </cell>
        </row>
        <row r="429">
          <cell r="C429" t="str">
            <v>-</v>
          </cell>
        </row>
        <row r="430">
          <cell r="C430" t="str">
            <v>-</v>
          </cell>
        </row>
        <row r="431">
          <cell r="C431" t="str">
            <v>-</v>
          </cell>
        </row>
        <row r="432">
          <cell r="C432" t="str">
            <v>-</v>
          </cell>
        </row>
        <row r="433">
          <cell r="C433" t="str">
            <v>-</v>
          </cell>
        </row>
        <row r="434">
          <cell r="C434" t="str">
            <v>-</v>
          </cell>
        </row>
        <row r="435">
          <cell r="C435" t="str">
            <v>-</v>
          </cell>
        </row>
        <row r="436">
          <cell r="C436" t="str">
            <v>-</v>
          </cell>
        </row>
        <row r="437">
          <cell r="C437" t="str">
            <v>-</v>
          </cell>
        </row>
        <row r="438">
          <cell r="C438" t="str">
            <v>-</v>
          </cell>
        </row>
        <row r="439">
          <cell r="C439" t="str">
            <v>-</v>
          </cell>
        </row>
        <row r="440">
          <cell r="C440" t="str">
            <v>-</v>
          </cell>
        </row>
        <row r="441">
          <cell r="C441" t="str">
            <v>-</v>
          </cell>
        </row>
        <row r="442">
          <cell r="C442" t="str">
            <v>-</v>
          </cell>
        </row>
        <row r="443">
          <cell r="C443" t="str">
            <v>-</v>
          </cell>
        </row>
        <row r="444">
          <cell r="C444" t="str">
            <v>-</v>
          </cell>
        </row>
        <row r="445">
          <cell r="C445" t="str">
            <v>-</v>
          </cell>
        </row>
        <row r="446">
          <cell r="C446" t="str">
            <v>-</v>
          </cell>
        </row>
        <row r="447">
          <cell r="C447" t="str">
            <v>-</v>
          </cell>
        </row>
        <row r="448">
          <cell r="C448" t="str">
            <v>-</v>
          </cell>
        </row>
        <row r="449">
          <cell r="C449" t="str">
            <v>-</v>
          </cell>
        </row>
        <row r="450">
          <cell r="C450" t="str">
            <v>-</v>
          </cell>
        </row>
        <row r="451">
          <cell r="C451" t="str">
            <v>-</v>
          </cell>
        </row>
        <row r="452">
          <cell r="C452" t="str">
            <v>-</v>
          </cell>
        </row>
        <row r="453">
          <cell r="C453" t="str">
            <v>-</v>
          </cell>
        </row>
        <row r="454">
          <cell r="C454" t="str">
            <v>-</v>
          </cell>
        </row>
        <row r="455">
          <cell r="C455" t="str">
            <v>-</v>
          </cell>
        </row>
        <row r="456">
          <cell r="C456" t="str">
            <v>-</v>
          </cell>
        </row>
        <row r="457">
          <cell r="C457" t="str">
            <v>-</v>
          </cell>
        </row>
        <row r="458">
          <cell r="C458" t="str">
            <v>-</v>
          </cell>
        </row>
        <row r="459">
          <cell r="C459" t="str">
            <v>-</v>
          </cell>
        </row>
        <row r="460">
          <cell r="C460" t="str">
            <v>-</v>
          </cell>
        </row>
        <row r="461">
          <cell r="C461" t="str">
            <v>-</v>
          </cell>
        </row>
        <row r="462">
          <cell r="C462" t="str">
            <v>-</v>
          </cell>
        </row>
        <row r="463">
          <cell r="C463" t="str">
            <v>-</v>
          </cell>
        </row>
        <row r="464">
          <cell r="C464" t="str">
            <v>-</v>
          </cell>
        </row>
        <row r="465">
          <cell r="C465" t="str">
            <v>-</v>
          </cell>
        </row>
        <row r="466">
          <cell r="C466" t="str">
            <v>-</v>
          </cell>
        </row>
        <row r="467">
          <cell r="C467" t="str">
            <v>-</v>
          </cell>
        </row>
        <row r="468">
          <cell r="C468" t="str">
            <v>-</v>
          </cell>
        </row>
        <row r="469">
          <cell r="C469" t="str">
            <v>-</v>
          </cell>
        </row>
        <row r="470">
          <cell r="C470" t="str">
            <v>-</v>
          </cell>
        </row>
        <row r="471">
          <cell r="C471" t="str">
            <v>-</v>
          </cell>
        </row>
        <row r="472">
          <cell r="C472" t="str">
            <v>-</v>
          </cell>
        </row>
        <row r="473">
          <cell r="C473" t="str">
            <v>-</v>
          </cell>
        </row>
        <row r="474">
          <cell r="C474" t="str">
            <v>-</v>
          </cell>
        </row>
        <row r="475">
          <cell r="C475" t="str">
            <v>-</v>
          </cell>
        </row>
        <row r="476">
          <cell r="C476" t="str">
            <v>-</v>
          </cell>
        </row>
        <row r="477">
          <cell r="C477" t="str">
            <v>-</v>
          </cell>
        </row>
        <row r="478">
          <cell r="C478" t="str">
            <v>-</v>
          </cell>
        </row>
        <row r="479">
          <cell r="C479" t="str">
            <v>-</v>
          </cell>
        </row>
        <row r="480">
          <cell r="C480" t="str">
            <v>-</v>
          </cell>
        </row>
        <row r="481">
          <cell r="C481" t="str">
            <v>-</v>
          </cell>
        </row>
        <row r="482">
          <cell r="C482" t="str">
            <v>-</v>
          </cell>
        </row>
        <row r="483">
          <cell r="C483" t="str">
            <v>-</v>
          </cell>
        </row>
        <row r="484">
          <cell r="C484" t="str">
            <v>-</v>
          </cell>
        </row>
        <row r="485">
          <cell r="C485" t="str">
            <v>-</v>
          </cell>
        </row>
        <row r="486">
          <cell r="C486" t="str">
            <v>-</v>
          </cell>
        </row>
        <row r="487">
          <cell r="C487" t="str">
            <v>-</v>
          </cell>
        </row>
        <row r="488">
          <cell r="C488" t="str">
            <v>-</v>
          </cell>
        </row>
        <row r="489">
          <cell r="C489" t="str">
            <v>-</v>
          </cell>
        </row>
        <row r="490">
          <cell r="C490" t="str">
            <v>-</v>
          </cell>
        </row>
        <row r="491">
          <cell r="C491" t="str">
            <v>-</v>
          </cell>
        </row>
        <row r="492">
          <cell r="C492" t="str">
            <v>-</v>
          </cell>
        </row>
        <row r="493">
          <cell r="C493" t="str">
            <v>-</v>
          </cell>
        </row>
        <row r="494">
          <cell r="C494" t="str">
            <v>-</v>
          </cell>
        </row>
        <row r="495">
          <cell r="C495" t="str">
            <v>-</v>
          </cell>
        </row>
        <row r="496">
          <cell r="C496" t="str">
            <v>-</v>
          </cell>
        </row>
        <row r="497">
          <cell r="C497" t="str">
            <v>-</v>
          </cell>
        </row>
        <row r="498">
          <cell r="C498" t="str">
            <v>-</v>
          </cell>
        </row>
        <row r="499">
          <cell r="C499" t="str">
            <v>-</v>
          </cell>
        </row>
        <row r="500">
          <cell r="C500" t="str">
            <v>-</v>
          </cell>
        </row>
        <row r="501">
          <cell r="C501" t="str">
            <v>-</v>
          </cell>
        </row>
        <row r="502">
          <cell r="C502" t="str">
            <v>-</v>
          </cell>
        </row>
        <row r="503">
          <cell r="C503" t="str">
            <v>-</v>
          </cell>
        </row>
        <row r="504">
          <cell r="C504" t="str">
            <v>-</v>
          </cell>
        </row>
        <row r="505">
          <cell r="C505" t="str">
            <v>-</v>
          </cell>
        </row>
        <row r="506">
          <cell r="C506" t="str">
            <v>-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er" refreshedDate="45158.048751620372" missingItemsLimit="0" createdVersion="6" refreshedVersion="8" minRefreshableVersion="3" recordCount="135" xr:uid="{00000000-000A-0000-FFFF-FFFF01000000}">
  <cacheSource type="worksheet">
    <worksheetSource name="CAD_PL_Gerencial"/>
  </cacheSource>
  <cacheFields count="2">
    <cacheField name="DESCRIÇÃO (CONTA)" numFmtId="0">
      <sharedItems containsBlank="1" count="124">
        <s v="ÁGUA"/>
        <s v="ALUGUEL"/>
        <s v="AR COND/FUNDO PROMO"/>
        <s v="CONDOMINIO"/>
        <s v="CONTADOR"/>
        <s v="ENERGIA"/>
        <s v="FRETES"/>
        <s v="INFORMATICA"/>
        <s v="MANUTENÇÃO"/>
        <s v="MATERIAL ESCRITORIO "/>
        <s v="MATERIAL MANUTENÇÃO"/>
        <s v="OUTRAS DESPESAS ADMINISTRATIVAS"/>
        <s v="ROYALTIES"/>
        <s v="SISTEMA"/>
        <s v="TAXA CARTÃO "/>
        <s v="TELEFONE"/>
        <s v="CARTÓRIO"/>
        <s v="ASSESSORIA / CONSULTORIA "/>
        <s v="PRESTAÇÃO DE SERVIÇOS "/>
        <s v="LANCHE"/>
        <s v="REUNIÃO"/>
        <s v="ESTACIONAMENTO"/>
        <s v="BENS DURÁVEIS DE PEQUENO VALOR"/>
        <s v="TRANSPORTE"/>
        <s v="REFORMAS"/>
        <s v="CERTIFICADO DIGITAL"/>
        <s v="EPI'S"/>
        <s v="FGTS"/>
        <s v="OUTRAS DESPESAS COM RH"/>
        <s v="PRO-LABORE"/>
        <s v="RESCISÃO"/>
        <s v="ALIMENTAÇÃO"/>
        <s v="SALÁRIOS"/>
        <s v="VALE TRANSPORTE"/>
        <s v="UNIFORME"/>
        <s v="EXAMES CLINICO / ADMISSIONAL / DEMISSIONAL"/>
        <s v="DIÁRIA"/>
        <s v="FÉRIAS"/>
        <s v="TRANSPORTE PARA FUNCIONÁRIOS"/>
        <s v="ASSIDUIDADE"/>
        <s v="BENEFICIOS"/>
        <s v="MEDICAMENTOS"/>
        <s v="LANCHES"/>
        <s v="CURSOS"/>
        <s v="13 SALARIO"/>
        <s v="BOLSA ESTAGIÁRIOS"/>
        <s v="HORA EXTRA"/>
        <s v="BONIFICAÇÃO"/>
        <s v="CONVÊNIO FARMÁCIA"/>
        <s v="MATERIAL DIVULGAÇÃO"/>
        <s v="OUTRAS DESPESAS COMERCIAIS"/>
        <s v="PROPAGANDA"/>
        <s v="OUTRAS DESPESAS NÃO OPERACIONAIS"/>
        <s v="TARIFA BANCÁRIA"/>
        <s v="APLICAÇÕES"/>
        <s v="ARROZ"/>
        <s v="BEBIDAS"/>
        <s v="COMODITIES"/>
        <s v="CONGELADOS"/>
        <s v="DESCARTAVEIS"/>
        <s v="EMBALAGENS "/>
        <s v="ESTOQUE SECO"/>
        <s v="FRIOS"/>
        <s v="HORT FRUT"/>
        <s v="MATERIAL DE LIMPEZA"/>
        <s v="MOLHOS"/>
        <s v="OUTRAS DESPESAS OPERACIONAIS"/>
        <s v="PESCADOS"/>
        <s v="RESFRIADOS"/>
        <s v="SOBREMESA"/>
        <s v="GELO"/>
        <s v="REEMBOLSO"/>
        <s v="EMPRESTIMOS BANCÁRIOS"/>
        <s v="OUTROS ENDIVIDAMENTOS"/>
        <s v="EMPRESTIMOS"/>
        <s v="INSS- GPS"/>
        <s v="IPTU"/>
        <s v="OUTROS IMPOSTOS"/>
        <s v="SIMPLES NACIONAL"/>
        <s v="ICMS"/>
        <s v="TAXA DE LICENÇA PARA FUNCIONAMENTO"/>
        <s v="ALVARÁ DE INSPENÇÃO SANITÁRIA"/>
        <s v="TAXA BOMBEIROS"/>
        <s v="IMOBILIZADO - AQUISIÇÃO DE SOFTAWARE"/>
        <s v="IMOBILIZADO - AQUISIÇÃO DE IMÓVEIS"/>
        <s v="OUTROS INVESTIMENTOS"/>
        <s v="IMOBILIZADO - MOVEIS E UTENSILIOS"/>
        <s v="IMOBILIZADO - BENFEITORIAS"/>
        <s v="IMOBILIZADO - COMPUTADORES E PERIFERICOS"/>
        <s v="IMOBILIZADO - MÁQUINAS E EQUIPAMENTOS"/>
        <s v="IMOBILIZADO - MARCAS E PATENTES"/>
        <s v="IMOBILIZADO - VEÍCULOS"/>
        <s v="OUTROS CRÉDITOS"/>
        <s v="EMPRESTIMOS SÓCIOS"/>
        <s v="TRANSFERÊNCIA ENTRE CONTAS"/>
        <s v="DEVOLUÇÃO SÓCIOS"/>
        <s v="PAGAMENTO EMPRESTIMOS SÓCIOS"/>
        <s v="CAPITAL DE GIRO"/>
        <s v="CONSORCIO GAMP"/>
        <s v="OUTROS DÉBITOS"/>
        <s v="RETIRADA SOCIOS "/>
        <s v="APORTE SOCIO"/>
        <s v="OUTRAS RECEITAS NÃO OPERACIONAIS"/>
        <s v="RECEITAS FINANCEIRAS"/>
        <s v="TAXA CARTÃO"/>
        <s v="RESGATE DE APLICAÇÕES"/>
        <s v="ALELO"/>
        <s v="AMEX "/>
        <s v="BALCÃO"/>
        <s v="DINHEIRO"/>
        <s v="ELO"/>
        <s v="IFOOD"/>
        <s v="MASTER"/>
        <s v="OUTRAS RECEITAS OPERACIONAIS"/>
        <s v="RECEITAS COM PRATOS"/>
        <s v="STONE"/>
        <s v="VALE REFEIÇÃO"/>
        <s v="VISA"/>
        <s v="HIPERCARD"/>
        <s v="CABAL"/>
        <s v="SODEXO"/>
        <s v="QR CODE"/>
        <s v="VENDA BALCÃO"/>
        <m/>
      </sharedItems>
    </cacheField>
    <cacheField name="CLASSIFICAÇÃO (PLANO DE CONTAS)" numFmtId="0">
      <sharedItems containsBlank="1" count="13">
        <s v="DESPESAS ADMINISTRATIVAS"/>
        <s v="DESPESAS COM RH"/>
        <s v="DESPESAS COMERCIAIS"/>
        <s v="DESPESAS NÃO OPERACIONAIS"/>
        <s v="DESPESAS OPERACIONAIS"/>
        <s v="ENDIVIDAMENTOS"/>
        <s v="IMPOSTOS"/>
        <s v="INVESTIMENTOS"/>
        <s v="OUTROS CRÉDITOS (NÃO ENTRA NA DRE)"/>
        <s v="OUTROS DÉBITOS (NÃO ENTRA NA DRE)"/>
        <s v="RECEITAS NÃO OPERACIONAIS"/>
        <s v="RECEITAS OPERACIONAI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ntese" refreshedDate="45986.672693171298" missingItemsLimit="0" createdVersion="6" refreshedVersion="8" minRefreshableVersion="3" recordCount="1248" xr:uid="{00000000-000A-0000-FFFF-FFFF02000000}">
  <cacheSource type="worksheet">
    <worksheetSource name="LANÇ_MOV"/>
  </cacheSource>
  <cacheFields count="38">
    <cacheField name="DATA DE LANÇAMENTO" numFmtId="14">
      <sharedItems containsNonDate="0" containsDate="1" containsString="0" containsBlank="1" minDate="2025-10-01T00:00:00" maxDate="2025-11-07T00:00:00"/>
    </cacheField>
    <cacheField name="EMPRESA" numFmtId="172">
      <sharedItems containsBlank="1" count="2">
        <s v="CENTRO CULTURAL FRANCO-BRASILEIRO ALIANCA FRANCESA DE GOIAS"/>
        <m/>
      </sharedItems>
    </cacheField>
    <cacheField name="CENTRO DE CUSTOS" numFmtId="0">
      <sharedItems/>
    </cacheField>
    <cacheField name="PLANO DE CONTAS" numFmtId="0">
      <sharedItems containsBlank="1" count="6">
        <s v="DESPESAS ADMINISTRATIVAS"/>
        <s v="RECEITAS OPERACIONAIS"/>
        <s v="DESPESAS COM RH"/>
        <s v="ENDIVIDAMENTOS"/>
        <s v="OUTROS CRÉDITOS (NÃO ENTRA NA DRE)"/>
        <m/>
      </sharedItems>
    </cacheField>
    <cacheField name="CONTAS" numFmtId="164">
      <sharedItems containsBlank="1" count="45">
        <s v="OUTRAS DESPESAS ADMINISTRATIVAS"/>
        <s v="MENSALIDADE"/>
        <s v="SALÁRIOS"/>
        <s v="13º 1ª PARCELA"/>
        <s v="13º 2ª PARCELA"/>
        <s v="FGTS"/>
        <s v="GUIA INSS FUNCIONÁRIO"/>
        <s v="TELEFONE"/>
        <s v="GUARDA DE BENS IDENTIFICADA POR BOX N° 18"/>
        <s v="SISTEMA"/>
        <s v="TARIFA BANCÁRIA"/>
        <s v="CONTADOR"/>
        <s v="HONORÁRIOS ADVOCATÍCIOS"/>
        <s v="ACORDO TRABALHISTA"/>
        <s v="DOMÍNIO DE EMAIL"/>
        <s v="IRPF"/>
        <s v="PIS"/>
        <s v="DCTF - WEB"/>
        <s v="CP - SEGUROS"/>
        <s v="CP - PATRONAL"/>
        <s v="CP - TERCEIROS"/>
        <s v="IRFF - DARF"/>
        <s v="ISS - RETIDO NA FONTE"/>
        <s v="TAXA DE LICENÇA PARA FUNCIONAMENTO"/>
        <s v="TAXA DE LICENÇA PARA EXPL. DE MEIOS PUBLICITÁRIOS"/>
        <s v="TAXA DE EXPEDIENTE DE SERVIÇOS DIVERSOS"/>
        <s v="MULTA FORMAL"/>
        <s v="IPTU"/>
        <s v="IRPJ - FONTE"/>
        <s v="COFINS"/>
        <m/>
        <s v="CLT"/>
        <s v="RISCOS AMBIENTAIS - APOSENTADORIA ESPECIAL"/>
        <s v="CONTRIBUIÇÃO SEBRAE"/>
        <s v="CONTRIBUIÇÃO SALÁRIO EDUCAÇÃO"/>
        <s v="CONTRIBUIÇÃO SESC"/>
        <s v="CONTRIBUIÇÃO SEGURADOS"/>
        <s v="CONTRIBUIÇÃO INCRA"/>
        <s v="CONTRIBUIÇÃO EMPREGADOR"/>
        <s v="SPC / SERASA"/>
        <s v="PROTESTO"/>
        <s v="MATERIAL ESCRITORIO "/>
        <s v="OUTROS CRÉDITOS"/>
        <s v="PROFESSOR PESSOA JURÍDICA"/>
        <s v="RENDIMENTO"/>
      </sharedItems>
    </cacheField>
    <cacheField name="PERÍODO" numFmtId="0">
      <sharedItems containsDate="1" containsBlank="1" containsMixedTypes="1" minDate="1905-07-16T00:00:00" maxDate="2024-11-02T00:00:00"/>
    </cacheField>
    <cacheField name="HISTÓRICO" numFmtId="0">
      <sharedItems containsBlank="1" containsMixedTypes="1" containsNumber="1" containsInteger="1" minValue="0" maxValue="148827" count="46">
        <n v="0"/>
        <m/>
        <n v="148827"/>
        <s v="DÉBITO COM EXIGIBILIDADE SUSPENSA (SIEF)"/>
        <s v="11.7.24.005645-12"/>
        <s v="11.2.24.014997-18"/>
        <s v="11.6.24.024838-73"/>
        <s v="11.7.24.005647-84"/>
        <s v="11.2.24.015003-17"/>
        <s v="11.2.24.001259-38"/>
        <s v="11.7.24.000713-20"/>
        <s v="11.2.23.006276-80"/>
        <s v="11.4.02.005055-73"/>
        <s v="11.5.23.004178-15"/>
        <s v="11.5.23.004179-04"/>
        <s v="11.4.24.160524-17"/>
        <s v="11.4.24.160525-06"/>
        <s v="11.4.24.160571-33"/>
        <s v="11.4.24.160572-14"/>
        <s v="11.4.24.160573-03"/>
        <s v="11.4.24.160574-86"/>
        <s v="11.4.24.160575-67"/>
        <s v="11.4.24.160576-48"/>
        <s v="11.4.24.028471-96"/>
        <s v="11.4.24.028472-77"/>
        <s v="11.4.24.028473-58"/>
        <s v="11.4.24.028474-39"/>
        <s v="11.4.24.028475-10"/>
        <s v="11.4.24.028476-09"/>
        <s v="11.4.23.028477-81"/>
        <s v="11.4.23.077926-06"/>
        <s v="11.4.23.077927-89"/>
        <s v="11.4.23.077928-60"/>
        <s v="11.4.23.077929-40"/>
        <s v="11.4.23.077930-84"/>
        <s v="11.4.23.077931-65"/>
        <s v="11.4.23.077932-46"/>
        <s v="16.971.096-3"/>
        <s v="18.698.029-9"/>
        <s v="18.698.030-2"/>
        <s v="11.4.23.025564-32"/>
        <s v="11.4.23.025565-13"/>
        <s v="11.4.23.025566-02"/>
        <s v="11.4.23.025567-85"/>
        <s v="11.4.23.025568-66"/>
        <s v="15.297.870-4"/>
      </sharedItems>
    </cacheField>
    <cacheField name="CLIENTE / FORNECEDOR" numFmtId="172">
      <sharedItems containsBlank="1" count="83">
        <s v="FERNANDA OLIVEIRA ARAUJO"/>
        <s v="MARIA FERNANDA BRAZÃO ARAÚJO"/>
        <s v="LIGIA C ROCHA BEZERRA"/>
        <s v="IZIS TAVARES ALFAIA"/>
        <s v="CAMILA NOGUEIRA SILVA"/>
        <s v="LUCIVALDO LUIZ DA SILVA"/>
        <s v="RITA SIMHA HAIAT DE SOUSA"/>
        <s v="ALEX DE ANDRADE MEDEIROS"/>
        <s v="CAIXA ECONOMICA FEDERAL"/>
        <s v="RECEITA FEDERAL "/>
        <s v="CLARO S/A"/>
        <s v="GUARDE TOP SELF STORAGE"/>
        <s v="PRIMASOFT (SOPHIA)"/>
        <s v="SICOOB"/>
        <s v="APOIO ASSESSORIA E GESTÃO DE NEGÓCIOS LTDA"/>
        <s v="JACYARA STHEFANNE CARVALHO FREITAS_x000a_BRUNEAU"/>
        <s v="EDINILDE PÊSSEGO LIRA"/>
        <s v="MARIA PEREIRA DA SILVA"/>
        <s v="LOCAWEB"/>
        <s v="PREFEITURA DE GOIÂNIA - SECRETARIA DE FINANÇAS"/>
        <m/>
        <s v="FEDERAL IMÓVEIS"/>
        <s v="COOPERATIVA DE ECONOMIA E CREDITO MUTUO DOS COMERCIANTES DE CONFECC"/>
        <s v="GABRIEL PEDROZA CORTES MARQUES"/>
        <s v="ANTÔNIO BENTO DA SILVEIRA NETO"/>
        <s v="ANA DIAS CAMPOS RODRIGUES"/>
        <s v="LINDOMAR MENDES LOUZA MARTINS"/>
        <s v="ALESSANDRA GOIAZ MENDONCA"/>
        <s v="PAPELARIA TRIBUTARIA"/>
        <s v="ALVORADA FERRAGENS"/>
        <s v="ALINE BRETTAS FERREIRA"/>
        <s v="ELAINE FRANCO LEÃO"/>
        <s v="LUDMILA PEDROZA CORTES MARQUES"/>
        <s v="MOISÉS RODRIGUES DA SILVA"/>
        <s v="PAGAR.ME PAGAMENTOS S.A."/>
        <s v="DEBORAH HELENA DE OLIVEIRA ABREU"/>
        <s v="MARCOS VINICIUS CHAVIER COSTA"/>
        <s v="DANIEL SEBBA RADY ALBERICI"/>
        <s v="VENDAS - DISPONÍVEL CREDITO VISA"/>
        <s v="ANA FLAVIA BRAZ DONA"/>
        <s v="MIRNA COSTA DE CARVALHO CAMAROTA"/>
        <s v="CAIO A GUSMAN GARCIA"/>
        <s v="LÍDIA BARROS NERCESSIAN"/>
        <s v="JUSSARA OLIVEIRA DE MORAES PRADO"/>
        <s v="GABRIEL NETO"/>
        <s v="MAXIME EMMANUEL ANTHONY BRUNEAU"/>
        <s v="LUDMYLLA SANTANA VIEIRA"/>
        <s v="CRISTIANA MARIA TOSCANO"/>
        <s v="JULIA CARNEIRO GODOY DE SOUSA"/>
        <s v="NAJLA LOPES CINTRA"/>
        <s v="MATHEUS VAZ TEIXEIRA"/>
        <s v="EGRIVAINE GOULART OLIVEIRA"/>
        <s v="MARIVALDO MONTEIRO ROCHA"/>
        <s v="FERNANDO MALTEZ BEZERRA"/>
        <s v="ANA LUISA BORGES OLIVEIRA"/>
        <s v="ROBERTA RASSI ALMEIDA"/>
        <s v="VIVIANE BARROS MACIEL"/>
        <s v="LAÍS MOULIN LIMA REZENDE DE CASTRO"/>
        <s v="PAULA RENATA C BRAGA"/>
        <s v="ALEXANDRE RODRIGUES"/>
        <s v="SIMONE CERCHI RIBEIRO"/>
        <s v="AUGUSTA FINOTTI BRAZAO"/>
        <s v="ANTONIO R VASCONCELOS"/>
        <s v="URYA BLASZKIEWICZ LIMA"/>
        <s v="LUCAS GONÇALVES"/>
        <s v="RENDIMENTO DA CONTA - RENDIMENTO LÍQUIDO SOBRE DINHEIRO EM CONTA"/>
        <s v="LAURA FABIAN DE CARVALHO RAMOS"/>
        <s v="MATHEUS HENRIQUE GOMIDES"/>
        <s v="MATHEUS C DEL DUQUI"/>
        <s v="RAFAEL ALVES FOLHA"/>
        <s v="SOFIA CORTEZ DE SOUZA"/>
        <s v="JONATHAN CHRISTIAN FERREIRA ROCHA"/>
        <s v="MATHEUS FERREIRA GONCALVES"/>
        <s v="VENDAS - DISPONÍVEL CREDITO MASTERCARD"/>
        <s v="PATRICK LUCIEN HARDY"/>
        <s v="MENSAN BENOIT LAWSON HELLU"/>
        <s v="GRAZIELA CANDIDO GONCALVES"/>
        <s v="CEDRIC RAMOS DA COSTA"/>
        <s v="ANA PAULA GOMES REBOUCAS"/>
        <s v="VENDAS - DISPONÍVEL PIX"/>
        <s v="GLAUCO HENRIQUE MATWIJKOW DE FREITAS"/>
        <s v="FERNANDO DE OLIVEIRA PRADO"/>
        <s v="EMBAIXADA FRANCESA"/>
      </sharedItems>
    </cacheField>
    <cacheField name="VALOR BRUTO" numFmtId="164">
      <sharedItems containsString="0" containsBlank="1" containsNumber="1" minValue="0" maxValue="369266.04"/>
    </cacheField>
    <cacheField name="DESCONTO" numFmtId="164">
      <sharedItems containsString="0" containsBlank="1" containsNumber="1" containsInteger="1" minValue="0" maxValue="0"/>
    </cacheField>
    <cacheField name="JUROS" numFmtId="164">
      <sharedItems containsString="0" containsBlank="1" containsNumber="1" minValue="0" maxValue="704.52"/>
    </cacheField>
    <cacheField name="MULTA" numFmtId="164">
      <sharedItems containsString="0" containsBlank="1" containsNumber="1" minValue="0" maxValue="246.9"/>
    </cacheField>
    <cacheField name="VALOR LÍQUIDO" numFmtId="164">
      <sharedItems containsSemiMixedTypes="0" containsString="0" containsNumber="1" minValue="0" maxValue="369266.04"/>
    </cacheField>
    <cacheField name="DATA DE VENCIMENTO" numFmtId="0">
      <sharedItems containsNonDate="0" containsDate="1" containsString="0" containsBlank="1" minDate="2019-05-04T00:00:00" maxDate="2029-07-14T00:00:00"/>
    </cacheField>
    <cacheField name="STATUS" numFmtId="172">
      <sharedItems/>
    </cacheField>
    <cacheField name="DATA DE PAGAMENTO" numFmtId="14">
      <sharedItems containsNonDate="0" containsDate="1" containsString="0" containsBlank="1" minDate="2025-10-01T00:00:00" maxDate="2025-11-11T00:00:00"/>
    </cacheField>
    <cacheField name="FORMA DE PAGAMENTO" numFmtId="0">
      <sharedItems containsBlank="1" count="5">
        <s v="PIX"/>
        <s v="BOLETO"/>
        <s v="DÉBITO EM CONTA"/>
        <s v="DEPÓSITO EM CONTA"/>
        <m/>
      </sharedItems>
    </cacheField>
    <cacheField name="TIPO OPERAÇÃO" numFmtId="0">
      <sharedItems containsNonDate="0" containsString="0" containsBlank="1"/>
    </cacheField>
    <cacheField name="BANCO" numFmtId="0">
      <sharedItems containsBlank="1"/>
    </cacheField>
    <cacheField name="F/V" numFmtId="164">
      <sharedItems containsBlank="1"/>
    </cacheField>
    <cacheField name="RECEITA OU DESPESA" numFmtId="164">
      <sharedItems count="3">
        <s v="Despesa"/>
        <s v="Receita"/>
        <s v=""/>
      </sharedItems>
    </cacheField>
    <cacheField name="PAGO OU NÃO" numFmtId="164">
      <sharedItems count="2">
        <s v="Pago"/>
        <s v="Não Pago"/>
      </sharedItems>
    </cacheField>
    <cacheField name="MÊS PGTO" numFmtId="164">
      <sharedItems/>
    </cacheField>
    <cacheField name="INDIRETO" numFmtId="0">
      <sharedItems/>
    </cacheField>
    <cacheField name="TIPO RECEBIMENTO" numFmtId="0">
      <sharedItems count="5">
        <s v="PIX"/>
        <s v="BOLETO"/>
        <s v="DÉBITO EM CONTA"/>
        <s v="DEPÓSITO EM CONTA"/>
        <s v=""/>
      </sharedItems>
    </cacheField>
    <cacheField name="ANO LANÇAMENTO" numFmtId="0">
      <sharedItems count="2">
        <s v="2025"/>
        <s v=""/>
      </sharedItems>
    </cacheField>
    <cacheField name="MÊS LANÇAMENTO CORRESPONDENTE" numFmtId="0">
      <sharedItems count="3">
        <s v="OUTUBRO"/>
        <s v="NOVEMBRO"/>
        <s v=""/>
      </sharedItems>
    </cacheField>
    <cacheField name="MÊS LANÇAMENTO" numFmtId="164">
      <sharedItems/>
    </cacheField>
    <cacheField name="DIA LANÇAMENTO" numFmtId="0">
      <sharedItems/>
    </cacheField>
    <cacheField name="ANO VENCIMENTO" numFmtId="0">
      <sharedItems count="11">
        <s v="2025"/>
        <s v="2026"/>
        <s v="2027"/>
        <s v="2028"/>
        <s v="2029"/>
        <s v="2022"/>
        <s v="2024"/>
        <s v="2023"/>
        <s v="2020"/>
        <s v=""/>
        <s v="2019"/>
      </sharedItems>
    </cacheField>
    <cacheField name="MÊS VENCIMENTO CORRESPONDENTE" numFmtId="0">
      <sharedItems count="13">
        <s v="OUTUBRO"/>
        <s v="NOVEMBRO"/>
        <s v="DEZEMBRO"/>
        <s v="JANEIRO"/>
        <s v="FEVEREIRO"/>
        <s v="MARÇO"/>
        <s v="ABRIL"/>
        <s v="MAIO"/>
        <s v="JUNHO"/>
        <s v="JULHO"/>
        <s v="AGOSTO"/>
        <s v="SETEMBRO"/>
        <s v=""/>
      </sharedItems>
    </cacheField>
    <cacheField name="MÊS VENCIMENTO" numFmtId="0">
      <sharedItems/>
    </cacheField>
    <cacheField name="DIA VENCIMENTO" numFmtId="0">
      <sharedItems/>
    </cacheField>
    <cacheField name="ANO PAGAMENTO" numFmtId="0">
      <sharedItems count="2">
        <s v="2025"/>
        <s v=""/>
      </sharedItems>
    </cacheField>
    <cacheField name="MÊS PAGAMENTO CORRESPONDENTE" numFmtId="0">
      <sharedItems count="3">
        <s v="OUTUBRO"/>
        <s v=""/>
        <s v="NOVEMBRO"/>
      </sharedItems>
    </cacheField>
    <cacheField name="MÊS PAGAMENTO" numFmtId="0">
      <sharedItems/>
    </cacheField>
    <cacheField name="DIA PAGAMENTO" numFmtId="0">
      <sharedItems/>
    </cacheField>
    <cacheField name="TX %" numFmtId="0" formula="'RECEITA OU DESPESA'-'RECEITA OU DESPESA'" databaseField="0"/>
  </cacheFields>
  <extLst>
    <ext xmlns:x14="http://schemas.microsoft.com/office/spreadsheetml/2009/9/main" uri="{725AE2AE-9491-48be-B2B4-4EB974FC3084}">
      <x14:pivotCacheDefinition pivotCacheId="157938419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ntese" refreshedDate="45986.672712037034" createdVersion="8" refreshedVersion="8" minRefreshableVersion="3" recordCount="210" xr:uid="{A9EA3531-6220-45CB-BA8C-B6D57B9DD463}">
  <cacheSource type="worksheet">
    <worksheetSource name="Tabela1"/>
  </cacheSource>
  <cacheFields count="21">
    <cacheField name="Tipo" numFmtId="0">
      <sharedItems containsBlank="1"/>
    </cacheField>
    <cacheField name="Nome Fornecedor" numFmtId="0">
      <sharedItems containsBlank="1" count="6">
        <s v="RECEITA FEDERAL"/>
        <s v="PREFEITURA DE GOIÂNIA - SECRETARIA DE FINANÇAS"/>
        <m/>
        <s v="RECEITA FEDERAL "/>
        <s v="FEDERAL IMÓVEIS"/>
        <s v="COOPERATIVA DE ECONOMIA E CREDITO MUTUO DOS COMERCIANTES DE CONFECC"/>
      </sharedItems>
    </cacheField>
    <cacheField name="Período" numFmtId="0">
      <sharedItems containsDate="1" containsBlank="1" containsMixedTypes="1" minDate="1905-07-16T00:00:00" maxDate="2024-11-02T00:00:00"/>
    </cacheField>
    <cacheField name="Histórico" numFmtId="0">
      <sharedItems containsNonDate="0" containsString="0" containsBlank="1"/>
    </cacheField>
    <cacheField name="Nº de processo" numFmtId="0">
      <sharedItems containsNonDate="0" containsString="0" containsBlank="1"/>
    </cacheField>
    <cacheField name="Contrato" numFmtId="0">
      <sharedItems containsNonDate="0" containsString="0" containsBlank="1"/>
    </cacheField>
    <cacheField name="Data de captação" numFmtId="0">
      <sharedItems containsNonDate="0" containsString="0" containsBlank="1"/>
    </cacheField>
    <cacheField name="Valor principal do contrato" numFmtId="0">
      <sharedItems containsString="0" containsBlank="1" containsNumber="1" minValue="0" maxValue="369266.04"/>
    </cacheField>
    <cacheField name="Desconto" numFmtId="0">
      <sharedItems containsString="0" containsBlank="1" containsNumber="1" containsInteger="1" minValue="0" maxValue="0"/>
    </cacheField>
    <cacheField name="Juros" numFmtId="0">
      <sharedItems containsString="0" containsBlank="1" containsNumber="1" minValue="0" maxValue="704.52"/>
    </cacheField>
    <cacheField name="Multa" numFmtId="0">
      <sharedItems containsString="0" containsBlank="1" containsNumber="1" minValue="0" maxValue="246.9"/>
    </cacheField>
    <cacheField name="Valor Total do contrato" numFmtId="164">
      <sharedItems containsNonDate="0" containsString="0" containsBlank="1"/>
    </cacheField>
    <cacheField name="%" numFmtId="9">
      <sharedItems/>
    </cacheField>
    <cacheField name="Valor Parcelas" numFmtId="9">
      <sharedItems containsNonDate="0" containsString="0" containsBlank="1"/>
    </cacheField>
    <cacheField name="Qtde parcelas do contrato" numFmtId="0">
      <sharedItems containsNonDate="0" containsString="0" containsBlank="1"/>
    </cacheField>
    <cacheField name="Qtde Parcelas Pagas" numFmtId="0">
      <sharedItems containsNonDate="0" containsString="0" containsBlank="1"/>
    </cacheField>
    <cacheField name="Qtde Parcelas restantes" numFmtId="0">
      <sharedItems/>
    </cacheField>
    <cacheField name="Qtde Parcelas em atraso" numFmtId="0">
      <sharedItems containsNonDate="0" containsString="0" containsBlank="1"/>
    </cacheField>
    <cacheField name="Taxa de Juros efetiva Ponderada" numFmtId="10">
      <sharedItems containsNonDate="0" containsString="0" containsBlank="1"/>
    </cacheField>
    <cacheField name="%  Pago" numFmtId="9">
      <sharedItems/>
    </cacheField>
    <cacheField name="%             A Pagar" numFmtId="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x v="0"/>
  </r>
  <r>
    <x v="1"/>
    <x v="0"/>
  </r>
  <r>
    <x v="2"/>
    <x v="0"/>
  </r>
  <r>
    <x v="3"/>
    <x v="0"/>
  </r>
  <r>
    <x v="4"/>
    <x v="0"/>
  </r>
  <r>
    <x v="5"/>
    <x v="0"/>
  </r>
  <r>
    <x v="6"/>
    <x v="0"/>
  </r>
  <r>
    <x v="7"/>
    <x v="0"/>
  </r>
  <r>
    <x v="8"/>
    <x v="0"/>
  </r>
  <r>
    <x v="9"/>
    <x v="0"/>
  </r>
  <r>
    <x v="10"/>
    <x v="0"/>
  </r>
  <r>
    <x v="11"/>
    <x v="0"/>
  </r>
  <r>
    <x v="12"/>
    <x v="0"/>
  </r>
  <r>
    <x v="13"/>
    <x v="0"/>
  </r>
  <r>
    <x v="14"/>
    <x v="0"/>
  </r>
  <r>
    <x v="15"/>
    <x v="0"/>
  </r>
  <r>
    <x v="16"/>
    <x v="0"/>
  </r>
  <r>
    <x v="17"/>
    <x v="0"/>
  </r>
  <r>
    <x v="18"/>
    <x v="0"/>
  </r>
  <r>
    <x v="19"/>
    <x v="0"/>
  </r>
  <r>
    <x v="20"/>
    <x v="0"/>
  </r>
  <r>
    <x v="21"/>
    <x v="0"/>
  </r>
  <r>
    <x v="22"/>
    <x v="0"/>
  </r>
  <r>
    <x v="23"/>
    <x v="0"/>
  </r>
  <r>
    <x v="24"/>
    <x v="0"/>
  </r>
  <r>
    <x v="25"/>
    <x v="0"/>
  </r>
  <r>
    <x v="26"/>
    <x v="1"/>
  </r>
  <r>
    <x v="27"/>
    <x v="1"/>
  </r>
  <r>
    <x v="28"/>
    <x v="1"/>
  </r>
  <r>
    <x v="29"/>
    <x v="1"/>
  </r>
  <r>
    <x v="30"/>
    <x v="1"/>
  </r>
  <r>
    <x v="31"/>
    <x v="1"/>
  </r>
  <r>
    <x v="32"/>
    <x v="1"/>
  </r>
  <r>
    <x v="33"/>
    <x v="1"/>
  </r>
  <r>
    <x v="34"/>
    <x v="1"/>
  </r>
  <r>
    <x v="35"/>
    <x v="1"/>
  </r>
  <r>
    <x v="36"/>
    <x v="1"/>
  </r>
  <r>
    <x v="37"/>
    <x v="1"/>
  </r>
  <r>
    <x v="38"/>
    <x v="1"/>
  </r>
  <r>
    <x v="39"/>
    <x v="1"/>
  </r>
  <r>
    <x v="40"/>
    <x v="1"/>
  </r>
  <r>
    <x v="41"/>
    <x v="1"/>
  </r>
  <r>
    <x v="42"/>
    <x v="1"/>
  </r>
  <r>
    <x v="43"/>
    <x v="1"/>
  </r>
  <r>
    <x v="44"/>
    <x v="1"/>
  </r>
  <r>
    <x v="45"/>
    <x v="1"/>
  </r>
  <r>
    <x v="46"/>
    <x v="1"/>
  </r>
  <r>
    <x v="47"/>
    <x v="1"/>
  </r>
  <r>
    <x v="48"/>
    <x v="1"/>
  </r>
  <r>
    <x v="49"/>
    <x v="2"/>
  </r>
  <r>
    <x v="50"/>
    <x v="2"/>
  </r>
  <r>
    <x v="51"/>
    <x v="2"/>
  </r>
  <r>
    <x v="52"/>
    <x v="3"/>
  </r>
  <r>
    <x v="53"/>
    <x v="3"/>
  </r>
  <r>
    <x v="54"/>
    <x v="3"/>
  </r>
  <r>
    <x v="55"/>
    <x v="4"/>
  </r>
  <r>
    <x v="56"/>
    <x v="4"/>
  </r>
  <r>
    <x v="57"/>
    <x v="4"/>
  </r>
  <r>
    <x v="58"/>
    <x v="4"/>
  </r>
  <r>
    <x v="59"/>
    <x v="4"/>
  </r>
  <r>
    <x v="60"/>
    <x v="4"/>
  </r>
  <r>
    <x v="61"/>
    <x v="4"/>
  </r>
  <r>
    <x v="62"/>
    <x v="4"/>
  </r>
  <r>
    <x v="63"/>
    <x v="4"/>
  </r>
  <r>
    <x v="64"/>
    <x v="4"/>
  </r>
  <r>
    <x v="65"/>
    <x v="4"/>
  </r>
  <r>
    <x v="66"/>
    <x v="4"/>
  </r>
  <r>
    <x v="67"/>
    <x v="4"/>
  </r>
  <r>
    <x v="68"/>
    <x v="4"/>
  </r>
  <r>
    <x v="6"/>
    <x v="4"/>
  </r>
  <r>
    <x v="69"/>
    <x v="4"/>
  </r>
  <r>
    <x v="70"/>
    <x v="4"/>
  </r>
  <r>
    <x v="71"/>
    <x v="4"/>
  </r>
  <r>
    <x v="72"/>
    <x v="5"/>
  </r>
  <r>
    <x v="73"/>
    <x v="5"/>
  </r>
  <r>
    <x v="74"/>
    <x v="5"/>
  </r>
  <r>
    <x v="75"/>
    <x v="6"/>
  </r>
  <r>
    <x v="76"/>
    <x v="6"/>
  </r>
  <r>
    <x v="77"/>
    <x v="6"/>
  </r>
  <r>
    <x v="78"/>
    <x v="6"/>
  </r>
  <r>
    <x v="27"/>
    <x v="6"/>
  </r>
  <r>
    <x v="79"/>
    <x v="6"/>
  </r>
  <r>
    <x v="80"/>
    <x v="6"/>
  </r>
  <r>
    <x v="81"/>
    <x v="6"/>
  </r>
  <r>
    <x v="82"/>
    <x v="6"/>
  </r>
  <r>
    <x v="83"/>
    <x v="7"/>
  </r>
  <r>
    <x v="84"/>
    <x v="7"/>
  </r>
  <r>
    <x v="85"/>
    <x v="7"/>
  </r>
  <r>
    <x v="86"/>
    <x v="7"/>
  </r>
  <r>
    <x v="87"/>
    <x v="7"/>
  </r>
  <r>
    <x v="88"/>
    <x v="7"/>
  </r>
  <r>
    <x v="89"/>
    <x v="7"/>
  </r>
  <r>
    <x v="90"/>
    <x v="7"/>
  </r>
  <r>
    <x v="91"/>
    <x v="7"/>
  </r>
  <r>
    <x v="92"/>
    <x v="8"/>
  </r>
  <r>
    <x v="54"/>
    <x v="8"/>
  </r>
  <r>
    <x v="93"/>
    <x v="8"/>
  </r>
  <r>
    <x v="94"/>
    <x v="8"/>
  </r>
  <r>
    <x v="95"/>
    <x v="8"/>
  </r>
  <r>
    <x v="96"/>
    <x v="8"/>
  </r>
  <r>
    <x v="97"/>
    <x v="8"/>
  </r>
  <r>
    <x v="98"/>
    <x v="9"/>
  </r>
  <r>
    <x v="99"/>
    <x v="9"/>
  </r>
  <r>
    <x v="100"/>
    <x v="9"/>
  </r>
  <r>
    <x v="54"/>
    <x v="9"/>
  </r>
  <r>
    <x v="97"/>
    <x v="9"/>
  </r>
  <r>
    <x v="12"/>
    <x v="9"/>
  </r>
  <r>
    <x v="93"/>
    <x v="9"/>
  </r>
  <r>
    <x v="94"/>
    <x v="9"/>
  </r>
  <r>
    <x v="97"/>
    <x v="9"/>
  </r>
  <r>
    <x v="101"/>
    <x v="10"/>
  </r>
  <r>
    <x v="102"/>
    <x v="10"/>
  </r>
  <r>
    <x v="103"/>
    <x v="10"/>
  </r>
  <r>
    <x v="104"/>
    <x v="10"/>
  </r>
  <r>
    <x v="105"/>
    <x v="10"/>
  </r>
  <r>
    <x v="74"/>
    <x v="10"/>
  </r>
  <r>
    <x v="106"/>
    <x v="11"/>
  </r>
  <r>
    <x v="107"/>
    <x v="11"/>
  </r>
  <r>
    <x v="108"/>
    <x v="11"/>
  </r>
  <r>
    <x v="109"/>
    <x v="11"/>
  </r>
  <r>
    <x v="110"/>
    <x v="11"/>
  </r>
  <r>
    <x v="111"/>
    <x v="11"/>
  </r>
  <r>
    <x v="112"/>
    <x v="11"/>
  </r>
  <r>
    <x v="113"/>
    <x v="11"/>
  </r>
  <r>
    <x v="114"/>
    <x v="11"/>
  </r>
  <r>
    <x v="115"/>
    <x v="11"/>
  </r>
  <r>
    <x v="116"/>
    <x v="11"/>
  </r>
  <r>
    <x v="117"/>
    <x v="11"/>
  </r>
  <r>
    <x v="118"/>
    <x v="11"/>
  </r>
  <r>
    <x v="119"/>
    <x v="11"/>
  </r>
  <r>
    <x v="120"/>
    <x v="11"/>
  </r>
  <r>
    <x v="121"/>
    <x v="11"/>
  </r>
  <r>
    <x v="122"/>
    <x v="11"/>
  </r>
  <r>
    <x v="123"/>
    <x v="12"/>
  </r>
  <r>
    <x v="123"/>
    <x v="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8">
  <r>
    <d v="2025-10-01T00:00:00"/>
    <x v="0"/>
    <s v="ADM"/>
    <x v="0"/>
    <x v="0"/>
    <m/>
    <x v="0"/>
    <x v="0"/>
    <n v="330"/>
    <n v="0"/>
    <n v="0"/>
    <n v="0"/>
    <n v="330"/>
    <d v="2025-10-01T00:00:00"/>
    <s v="Pago"/>
    <d v="2025-10-01T00:00:00"/>
    <x v="0"/>
    <m/>
    <s v="PAGBANK"/>
    <s v="VARIÁVEL"/>
    <x v="0"/>
    <x v="0"/>
    <s v="OUTUBRO"/>
    <s v="Despesas_Administrativas"/>
    <x v="0"/>
    <x v="0"/>
    <x v="0"/>
    <s v="10"/>
    <s v="1"/>
    <x v="0"/>
    <x v="0"/>
    <s v="10"/>
    <s v="1"/>
    <x v="0"/>
    <x v="0"/>
    <s v="10"/>
    <s v="1"/>
  </r>
  <r>
    <d v="2025-10-01T00:00:00"/>
    <x v="0"/>
    <s v="ADM"/>
    <x v="1"/>
    <x v="1"/>
    <s v="PARCELA 3 DE 6"/>
    <x v="1"/>
    <x v="1"/>
    <n v="325.32"/>
    <n v="0"/>
    <n v="0"/>
    <n v="0"/>
    <n v="325.32"/>
    <d v="2025-10-10T00:00:00"/>
    <s v="Venceu"/>
    <m/>
    <x v="0"/>
    <m/>
    <s v="PAGBANK"/>
    <s v="FIXO"/>
    <x v="1"/>
    <x v="1"/>
    <s v=""/>
    <s v="Receitas_Operacionais"/>
    <x v="0"/>
    <x v="0"/>
    <x v="0"/>
    <s v="10"/>
    <s v="1"/>
    <x v="0"/>
    <x v="0"/>
    <s v="10"/>
    <s v="10"/>
    <x v="1"/>
    <x v="1"/>
    <s v=""/>
    <s v=""/>
  </r>
  <r>
    <d v="2025-10-01T00:00:00"/>
    <x v="0"/>
    <s v="ADM"/>
    <x v="1"/>
    <x v="1"/>
    <s v="PARCELA 4 DE 6"/>
    <x v="1"/>
    <x v="1"/>
    <n v="325.32"/>
    <n v="0"/>
    <n v="0"/>
    <n v="0"/>
    <n v="325.32"/>
    <d v="2025-11-10T00:00:00"/>
    <s v="Venceu"/>
    <m/>
    <x v="0"/>
    <m/>
    <s v="PAGBANK"/>
    <s v="FIXO"/>
    <x v="1"/>
    <x v="1"/>
    <s v=""/>
    <s v="Receitas_Operacionais"/>
    <x v="0"/>
    <x v="0"/>
    <x v="0"/>
    <s v="10"/>
    <s v="1"/>
    <x v="0"/>
    <x v="1"/>
    <s v="11"/>
    <s v="10"/>
    <x v="1"/>
    <x v="1"/>
    <s v=""/>
    <s v=""/>
  </r>
  <r>
    <d v="2025-10-01T00:00:00"/>
    <x v="0"/>
    <s v="ADM"/>
    <x v="1"/>
    <x v="1"/>
    <s v="PARCELA 5 DE 6"/>
    <x v="1"/>
    <x v="1"/>
    <n v="325.32"/>
    <n v="0"/>
    <n v="0"/>
    <n v="0"/>
    <n v="325.32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"/>
    <x v="0"/>
    <x v="2"/>
    <s v="12"/>
    <s v="10"/>
    <x v="1"/>
    <x v="1"/>
    <s v=""/>
    <s v=""/>
  </r>
  <r>
    <d v="2025-10-01T00:00:00"/>
    <x v="0"/>
    <s v="ADM"/>
    <x v="1"/>
    <x v="1"/>
    <s v="PARCELA 6 DE 6"/>
    <x v="1"/>
    <x v="1"/>
    <n v="325.32"/>
    <n v="0"/>
    <n v="0"/>
    <n v="0"/>
    <n v="325.32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1"/>
    <x v="1"/>
    <x v="3"/>
    <s v="1"/>
    <s v="10"/>
    <x v="1"/>
    <x v="1"/>
    <s v=""/>
    <s v=""/>
  </r>
  <r>
    <d v="2025-10-01T00:00:00"/>
    <x v="0"/>
    <s v="ADM"/>
    <x v="1"/>
    <x v="1"/>
    <m/>
    <x v="0"/>
    <x v="2"/>
    <n v="50"/>
    <n v="0"/>
    <n v="0"/>
    <n v="0"/>
    <n v="50"/>
    <d v="2025-10-01T00:00:00"/>
    <s v="Pago"/>
    <d v="2025-10-01T00:00:00"/>
    <x v="0"/>
    <m/>
    <s v="PAGBANK"/>
    <s v="FIXO"/>
    <x v="1"/>
    <x v="0"/>
    <s v="OUTUBRO"/>
    <s v="Receitas_Operacionais"/>
    <x v="0"/>
    <x v="0"/>
    <x v="0"/>
    <s v="10"/>
    <s v="1"/>
    <x v="0"/>
    <x v="0"/>
    <s v="10"/>
    <s v="1"/>
    <x v="0"/>
    <x v="0"/>
    <s v="10"/>
    <s v="1"/>
  </r>
  <r>
    <d v="2025-10-01T00:00:00"/>
    <x v="0"/>
    <s v="ADM"/>
    <x v="1"/>
    <x v="1"/>
    <s v="PARCELA 3 DE 6"/>
    <x v="0"/>
    <x v="3"/>
    <n v="375.38"/>
    <n v="0"/>
    <n v="0"/>
    <n v="0"/>
    <n v="375.38"/>
    <d v="2025-10-01T00:00:00"/>
    <s v="Pago"/>
    <d v="2025-10-01T00:00:00"/>
    <x v="0"/>
    <m/>
    <s v="PAGBANK"/>
    <s v="FIXO"/>
    <x v="1"/>
    <x v="0"/>
    <s v="OUTUBRO"/>
    <s v="Receitas_Operacionais"/>
    <x v="0"/>
    <x v="0"/>
    <x v="0"/>
    <s v="10"/>
    <s v="1"/>
    <x v="0"/>
    <x v="0"/>
    <s v="10"/>
    <s v="1"/>
    <x v="0"/>
    <x v="0"/>
    <s v="10"/>
    <s v="1"/>
  </r>
  <r>
    <d v="2025-10-01T00:00:00"/>
    <x v="0"/>
    <s v="ADM"/>
    <x v="1"/>
    <x v="1"/>
    <s v="PARCELA 4 DE 6"/>
    <x v="0"/>
    <x v="3"/>
    <n v="375.38"/>
    <n v="0"/>
    <n v="0"/>
    <n v="0"/>
    <n v="375.38"/>
    <d v="2025-11-10T00:00:00"/>
    <s v="Pago"/>
    <d v="2025-11-10T00:00:00"/>
    <x v="0"/>
    <m/>
    <s v="PAGBANK"/>
    <s v="FIXO"/>
    <x v="1"/>
    <x v="0"/>
    <s v="NOVEMBRO"/>
    <s v="Receitas_Operacionais"/>
    <x v="0"/>
    <x v="0"/>
    <x v="0"/>
    <s v="10"/>
    <s v="1"/>
    <x v="0"/>
    <x v="1"/>
    <s v="11"/>
    <s v="10"/>
    <x v="0"/>
    <x v="2"/>
    <s v="11"/>
    <s v="10"/>
  </r>
  <r>
    <d v="2025-10-01T00:00:00"/>
    <x v="0"/>
    <s v="ADM"/>
    <x v="1"/>
    <x v="1"/>
    <s v="PARCELA 5 DE 6"/>
    <x v="0"/>
    <x v="3"/>
    <n v="375.38"/>
    <n v="0"/>
    <n v="0"/>
    <n v="0"/>
    <n v="375.38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"/>
    <x v="0"/>
    <x v="2"/>
    <s v="12"/>
    <s v="10"/>
    <x v="1"/>
    <x v="1"/>
    <s v=""/>
    <s v=""/>
  </r>
  <r>
    <d v="2025-10-01T00:00:00"/>
    <x v="0"/>
    <s v="ADM"/>
    <x v="1"/>
    <x v="1"/>
    <s v="PARCELA 6 DE 6"/>
    <x v="0"/>
    <x v="3"/>
    <n v="375.38"/>
    <n v="0"/>
    <n v="0"/>
    <n v="0"/>
    <n v="375.38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1"/>
    <x v="1"/>
    <x v="3"/>
    <s v="1"/>
    <s v="10"/>
    <x v="1"/>
    <x v="1"/>
    <s v=""/>
    <s v=""/>
  </r>
  <r>
    <d v="2025-10-01T00:00:00"/>
    <x v="0"/>
    <s v="ADM"/>
    <x v="2"/>
    <x v="2"/>
    <m/>
    <x v="0"/>
    <x v="4"/>
    <n v="4162.2299999999996"/>
    <n v="0"/>
    <n v="0"/>
    <n v="0"/>
    <n v="4162.2299999999996"/>
    <d v="2025-11-07T00:00:00"/>
    <s v="Venceu"/>
    <m/>
    <x v="0"/>
    <m/>
    <s v="PAGBANK"/>
    <s v="FIXO"/>
    <x v="0"/>
    <x v="1"/>
    <s v=""/>
    <s v="Despesas_Com_RH"/>
    <x v="0"/>
    <x v="0"/>
    <x v="0"/>
    <s v="10"/>
    <s v="1"/>
    <x v="0"/>
    <x v="1"/>
    <s v="11"/>
    <s v="7"/>
    <x v="1"/>
    <x v="1"/>
    <s v=""/>
    <s v=""/>
  </r>
  <r>
    <d v="2025-10-01T00:00:00"/>
    <x v="0"/>
    <s v="ADM"/>
    <x v="2"/>
    <x v="2"/>
    <m/>
    <x v="0"/>
    <x v="5"/>
    <n v="132.63999999999999"/>
    <n v="0"/>
    <n v="0"/>
    <n v="0"/>
    <n v="132.63999999999999"/>
    <d v="2025-11-07T00:00:00"/>
    <s v="Venceu"/>
    <m/>
    <x v="0"/>
    <m/>
    <s v="PAGBANK"/>
    <s v="FIXO"/>
    <x v="0"/>
    <x v="1"/>
    <s v=""/>
    <s v="Despesas_Com_RH"/>
    <x v="0"/>
    <x v="0"/>
    <x v="0"/>
    <s v="10"/>
    <s v="1"/>
    <x v="0"/>
    <x v="1"/>
    <s v="11"/>
    <s v="7"/>
    <x v="1"/>
    <x v="1"/>
    <s v=""/>
    <s v=""/>
  </r>
  <r>
    <d v="2025-10-01T00:00:00"/>
    <x v="0"/>
    <s v="ADM"/>
    <x v="2"/>
    <x v="2"/>
    <m/>
    <x v="0"/>
    <x v="6"/>
    <n v="916.15"/>
    <n v="0"/>
    <n v="0"/>
    <n v="0"/>
    <n v="916.15"/>
    <d v="2025-10-06T00:00:00"/>
    <s v="Pago"/>
    <d v="2025-10-02T00:00:00"/>
    <x v="0"/>
    <m/>
    <s v="PAGBANK"/>
    <s v="FIXO"/>
    <x v="0"/>
    <x v="0"/>
    <s v="OUTUBRO"/>
    <s v="Despesas_Com_RH"/>
    <x v="0"/>
    <x v="0"/>
    <x v="0"/>
    <s v="10"/>
    <s v="1"/>
    <x v="0"/>
    <x v="0"/>
    <s v="10"/>
    <s v="6"/>
    <x v="0"/>
    <x v="0"/>
    <s v="10"/>
    <s v="2"/>
  </r>
  <r>
    <d v="2025-10-01T00:00:00"/>
    <x v="0"/>
    <s v="ADM"/>
    <x v="2"/>
    <x v="2"/>
    <m/>
    <x v="0"/>
    <x v="6"/>
    <n v="1093.48"/>
    <n v="0"/>
    <n v="0"/>
    <n v="0"/>
    <n v="1093.48"/>
    <d v="2025-11-07T00:00:00"/>
    <s v="Pago"/>
    <d v="2025-11-05T00:00:00"/>
    <x v="0"/>
    <m/>
    <s v="PAGBANK"/>
    <s v="FIXO"/>
    <x v="0"/>
    <x v="0"/>
    <s v="NOVEMBRO"/>
    <s v="Despesas_Com_RH"/>
    <x v="0"/>
    <x v="0"/>
    <x v="0"/>
    <s v="10"/>
    <s v="1"/>
    <x v="0"/>
    <x v="1"/>
    <s v="11"/>
    <s v="7"/>
    <x v="0"/>
    <x v="2"/>
    <s v="11"/>
    <s v="5"/>
  </r>
  <r>
    <d v="2025-10-01T00:00:00"/>
    <x v="0"/>
    <s v="ADM"/>
    <x v="2"/>
    <x v="2"/>
    <m/>
    <x v="0"/>
    <x v="6"/>
    <n v="1000"/>
    <n v="0"/>
    <n v="0"/>
    <n v="0"/>
    <n v="1000"/>
    <d v="2025-12-05T00:00:00"/>
    <s v="Prazo - Menos de 15 dias"/>
    <m/>
    <x v="0"/>
    <m/>
    <s v="PAGBANK"/>
    <s v="FIXO"/>
    <x v="0"/>
    <x v="1"/>
    <s v=""/>
    <s v="Despesas_Com_RH"/>
    <x v="0"/>
    <x v="0"/>
    <x v="0"/>
    <s v="10"/>
    <s v="1"/>
    <x v="0"/>
    <x v="2"/>
    <s v="12"/>
    <s v="5"/>
    <x v="1"/>
    <x v="1"/>
    <s v=""/>
    <s v=""/>
  </r>
  <r>
    <d v="2025-10-01T00:00:00"/>
    <x v="0"/>
    <s v="ADM"/>
    <x v="2"/>
    <x v="3"/>
    <m/>
    <x v="0"/>
    <x v="6"/>
    <n v="1000"/>
    <n v="0"/>
    <n v="0"/>
    <n v="0"/>
    <n v="1000"/>
    <d v="2025-11-30T00:00:00"/>
    <s v="Prazo - Menos de 10 dias"/>
    <m/>
    <x v="0"/>
    <m/>
    <s v="PAGBANK"/>
    <s v="FIXO"/>
    <x v="0"/>
    <x v="1"/>
    <s v=""/>
    <s v="Despesas_Com_RH"/>
    <x v="0"/>
    <x v="0"/>
    <x v="0"/>
    <s v="10"/>
    <s v="1"/>
    <x v="0"/>
    <x v="1"/>
    <s v="11"/>
    <s v="30"/>
    <x v="1"/>
    <x v="1"/>
    <s v=""/>
    <s v=""/>
  </r>
  <r>
    <d v="2025-10-01T00:00:00"/>
    <x v="0"/>
    <s v="ADM"/>
    <x v="2"/>
    <x v="4"/>
    <m/>
    <x v="0"/>
    <x v="6"/>
    <n v="1000"/>
    <n v="0"/>
    <n v="0"/>
    <n v="0"/>
    <n v="1000"/>
    <d v="2025-12-20T00:00:00"/>
    <s v="Prazo - Menos de 1 Mês"/>
    <m/>
    <x v="0"/>
    <m/>
    <s v="PAGBANK"/>
    <s v="FIXO"/>
    <x v="0"/>
    <x v="1"/>
    <s v=""/>
    <s v="Despesas_Com_RH"/>
    <x v="0"/>
    <x v="0"/>
    <x v="0"/>
    <s v="10"/>
    <s v="1"/>
    <x v="0"/>
    <x v="2"/>
    <s v="12"/>
    <s v="20"/>
    <x v="1"/>
    <x v="1"/>
    <s v=""/>
    <s v=""/>
  </r>
  <r>
    <d v="2025-10-01T00:00:00"/>
    <x v="0"/>
    <s v="ADM"/>
    <x v="2"/>
    <x v="2"/>
    <m/>
    <x v="0"/>
    <x v="6"/>
    <n v="1000"/>
    <n v="0"/>
    <n v="0"/>
    <n v="0"/>
    <n v="1000"/>
    <d v="2025-12-05T00:00:00"/>
    <s v="Prazo - Menos de 15 dias"/>
    <m/>
    <x v="0"/>
    <m/>
    <s v="PAGBANK"/>
    <s v="FIXO"/>
    <x v="0"/>
    <x v="1"/>
    <s v=""/>
    <s v="Despesas_Com_RH"/>
    <x v="0"/>
    <x v="0"/>
    <x v="0"/>
    <s v="10"/>
    <s v="1"/>
    <x v="0"/>
    <x v="2"/>
    <s v="12"/>
    <s v="5"/>
    <x v="1"/>
    <x v="1"/>
    <s v=""/>
    <s v=""/>
  </r>
  <r>
    <d v="2025-10-01T00:00:00"/>
    <x v="0"/>
    <s v="ADM"/>
    <x v="2"/>
    <x v="2"/>
    <m/>
    <x v="0"/>
    <x v="6"/>
    <n v="1000"/>
    <n v="0"/>
    <n v="0"/>
    <n v="0"/>
    <n v="1000"/>
    <d v="2026-01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3"/>
    <s v="1"/>
    <s v="5"/>
    <x v="1"/>
    <x v="1"/>
    <s v=""/>
    <s v=""/>
  </r>
  <r>
    <d v="2025-10-01T00:00:00"/>
    <x v="0"/>
    <s v="ADM"/>
    <x v="2"/>
    <x v="2"/>
    <m/>
    <x v="0"/>
    <x v="6"/>
    <n v="1000"/>
    <n v="0"/>
    <n v="0"/>
    <n v="0"/>
    <n v="1000"/>
    <d v="2026-02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4"/>
    <s v="2"/>
    <s v="5"/>
    <x v="1"/>
    <x v="1"/>
    <s v=""/>
    <s v=""/>
  </r>
  <r>
    <d v="2025-10-01T00:00:00"/>
    <x v="0"/>
    <s v="ADM"/>
    <x v="2"/>
    <x v="2"/>
    <m/>
    <x v="0"/>
    <x v="6"/>
    <n v="1000"/>
    <n v="0"/>
    <n v="0"/>
    <n v="0"/>
    <n v="1000"/>
    <d v="2026-03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5"/>
    <s v="3"/>
    <s v="5"/>
    <x v="1"/>
    <x v="1"/>
    <s v=""/>
    <s v=""/>
  </r>
  <r>
    <d v="2025-10-01T00:00:00"/>
    <x v="0"/>
    <s v="ADM"/>
    <x v="2"/>
    <x v="2"/>
    <m/>
    <x v="0"/>
    <x v="6"/>
    <n v="1000"/>
    <n v="0"/>
    <n v="0"/>
    <n v="0"/>
    <n v="1000"/>
    <d v="2026-04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6"/>
    <s v="4"/>
    <s v="5"/>
    <x v="1"/>
    <x v="1"/>
    <s v=""/>
    <s v=""/>
  </r>
  <r>
    <d v="2025-10-01T00:00:00"/>
    <x v="0"/>
    <s v="ADM"/>
    <x v="2"/>
    <x v="2"/>
    <m/>
    <x v="0"/>
    <x v="6"/>
    <n v="1000"/>
    <n v="0"/>
    <n v="0"/>
    <n v="0"/>
    <n v="1000"/>
    <d v="2026-05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7"/>
    <s v="5"/>
    <s v="5"/>
    <x v="1"/>
    <x v="1"/>
    <s v=""/>
    <s v=""/>
  </r>
  <r>
    <d v="2025-10-01T00:00:00"/>
    <x v="0"/>
    <s v="ADM"/>
    <x v="2"/>
    <x v="2"/>
    <m/>
    <x v="0"/>
    <x v="6"/>
    <n v="1000"/>
    <n v="0"/>
    <n v="0"/>
    <n v="0"/>
    <n v="1000"/>
    <d v="2026-06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8"/>
    <s v="6"/>
    <s v="5"/>
    <x v="1"/>
    <x v="1"/>
    <s v=""/>
    <s v=""/>
  </r>
  <r>
    <d v="2025-10-01T00:00:00"/>
    <x v="0"/>
    <s v="ADM"/>
    <x v="2"/>
    <x v="2"/>
    <m/>
    <x v="0"/>
    <x v="6"/>
    <n v="1000"/>
    <n v="0"/>
    <n v="0"/>
    <n v="0"/>
    <n v="1000"/>
    <d v="2026-07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9"/>
    <s v="7"/>
    <s v="5"/>
    <x v="1"/>
    <x v="1"/>
    <s v=""/>
    <s v=""/>
  </r>
  <r>
    <d v="2025-10-01T00:00:00"/>
    <x v="0"/>
    <s v="ADM"/>
    <x v="2"/>
    <x v="2"/>
    <m/>
    <x v="0"/>
    <x v="6"/>
    <n v="1000"/>
    <n v="0"/>
    <n v="0"/>
    <n v="0"/>
    <n v="1000"/>
    <d v="2026-08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10"/>
    <s v="8"/>
    <s v="5"/>
    <x v="1"/>
    <x v="1"/>
    <s v=""/>
    <s v=""/>
  </r>
  <r>
    <d v="2025-10-01T00:00:00"/>
    <x v="0"/>
    <s v="ADM"/>
    <x v="2"/>
    <x v="2"/>
    <m/>
    <x v="0"/>
    <x v="6"/>
    <n v="1000"/>
    <n v="0"/>
    <n v="0"/>
    <n v="0"/>
    <n v="1000"/>
    <d v="2026-09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11"/>
    <s v="9"/>
    <s v="5"/>
    <x v="1"/>
    <x v="1"/>
    <s v=""/>
    <s v=""/>
  </r>
  <r>
    <d v="2025-10-01T00:00:00"/>
    <x v="0"/>
    <s v="ADM"/>
    <x v="2"/>
    <x v="2"/>
    <m/>
    <x v="0"/>
    <x v="6"/>
    <n v="1000"/>
    <n v="0"/>
    <n v="0"/>
    <n v="0"/>
    <n v="1000"/>
    <d v="2026-10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0"/>
    <s v="10"/>
    <s v="5"/>
    <x v="1"/>
    <x v="1"/>
    <s v=""/>
    <s v=""/>
  </r>
  <r>
    <d v="2025-10-01T00:00:00"/>
    <x v="0"/>
    <s v="ADM"/>
    <x v="2"/>
    <x v="2"/>
    <m/>
    <x v="0"/>
    <x v="6"/>
    <n v="1000"/>
    <n v="0"/>
    <n v="0"/>
    <n v="0"/>
    <n v="1000"/>
    <d v="2026-11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1"/>
    <s v="11"/>
    <s v="5"/>
    <x v="1"/>
    <x v="1"/>
    <s v=""/>
    <s v=""/>
  </r>
  <r>
    <d v="2025-10-01T00:00:00"/>
    <x v="0"/>
    <s v="ADM"/>
    <x v="2"/>
    <x v="3"/>
    <m/>
    <x v="0"/>
    <x v="6"/>
    <n v="1000"/>
    <n v="0"/>
    <n v="0"/>
    <n v="0"/>
    <n v="1000"/>
    <d v="2026-11-20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1"/>
    <s v="11"/>
    <s v="20"/>
    <x v="1"/>
    <x v="1"/>
    <s v=""/>
    <s v=""/>
  </r>
  <r>
    <d v="2025-10-01T00:00:00"/>
    <x v="0"/>
    <s v="ADM"/>
    <x v="2"/>
    <x v="2"/>
    <m/>
    <x v="0"/>
    <x v="6"/>
    <n v="1000"/>
    <n v="0"/>
    <n v="0"/>
    <n v="0"/>
    <n v="1000"/>
    <d v="2026-12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2"/>
    <s v="12"/>
    <s v="5"/>
    <x v="1"/>
    <x v="1"/>
    <s v=""/>
    <s v=""/>
  </r>
  <r>
    <d v="2025-10-01T00:00:00"/>
    <x v="0"/>
    <s v="ADM"/>
    <x v="2"/>
    <x v="4"/>
    <m/>
    <x v="0"/>
    <x v="6"/>
    <n v="1000"/>
    <n v="0"/>
    <n v="0"/>
    <n v="0"/>
    <n v="1000"/>
    <d v="2026-12-20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2"/>
    <s v="12"/>
    <s v="20"/>
    <x v="1"/>
    <x v="1"/>
    <s v=""/>
    <s v=""/>
  </r>
  <r>
    <d v="2025-10-01T00:00:00"/>
    <x v="0"/>
    <s v="ADM"/>
    <x v="2"/>
    <x v="2"/>
    <m/>
    <x v="0"/>
    <x v="7"/>
    <n v="1489.96"/>
    <n v="0"/>
    <n v="0"/>
    <n v="0"/>
    <n v="1489.96"/>
    <d v="2025-10-06T00:00:00"/>
    <s v="Pago"/>
    <d v="2025-10-06T00:00:00"/>
    <x v="0"/>
    <m/>
    <s v="PAGBANK"/>
    <s v="FIXO"/>
    <x v="0"/>
    <x v="0"/>
    <s v="OUTUBRO"/>
    <s v="Despesas_Com_RH"/>
    <x v="0"/>
    <x v="0"/>
    <x v="0"/>
    <s v="10"/>
    <s v="1"/>
    <x v="0"/>
    <x v="0"/>
    <s v="10"/>
    <s v="6"/>
    <x v="0"/>
    <x v="0"/>
    <s v="10"/>
    <s v="6"/>
  </r>
  <r>
    <d v="2025-10-01T00:00:00"/>
    <x v="0"/>
    <s v="ADM"/>
    <x v="2"/>
    <x v="2"/>
    <m/>
    <x v="0"/>
    <x v="7"/>
    <n v="1774.05"/>
    <n v="0"/>
    <n v="0"/>
    <n v="0"/>
    <n v="1774.05"/>
    <d v="2025-11-07T00:00:00"/>
    <s v="Pago"/>
    <d v="2025-11-05T00:00:00"/>
    <x v="0"/>
    <m/>
    <s v="PAGBANK"/>
    <s v="FIXO"/>
    <x v="0"/>
    <x v="0"/>
    <s v="NOVEMBRO"/>
    <s v="Despesas_Com_RH"/>
    <x v="0"/>
    <x v="0"/>
    <x v="0"/>
    <s v="10"/>
    <s v="1"/>
    <x v="0"/>
    <x v="1"/>
    <s v="11"/>
    <s v="7"/>
    <x v="0"/>
    <x v="2"/>
    <s v="11"/>
    <s v="5"/>
  </r>
  <r>
    <d v="2025-10-01T00:00:00"/>
    <x v="0"/>
    <s v="ADM"/>
    <x v="2"/>
    <x v="2"/>
    <m/>
    <x v="0"/>
    <x v="7"/>
    <n v="1500"/>
    <n v="0"/>
    <n v="0"/>
    <n v="0"/>
    <n v="1500"/>
    <d v="2025-12-05T00:00:00"/>
    <s v="Prazo - Menos de 15 dias"/>
    <m/>
    <x v="0"/>
    <m/>
    <s v="PAGBANK"/>
    <s v="FIXO"/>
    <x v="0"/>
    <x v="1"/>
    <s v=""/>
    <s v="Despesas_Com_RH"/>
    <x v="0"/>
    <x v="0"/>
    <x v="0"/>
    <s v="10"/>
    <s v="1"/>
    <x v="0"/>
    <x v="2"/>
    <s v="12"/>
    <s v="5"/>
    <x v="1"/>
    <x v="1"/>
    <s v=""/>
    <s v=""/>
  </r>
  <r>
    <d v="2025-10-01T00:00:00"/>
    <x v="0"/>
    <s v="ADM"/>
    <x v="2"/>
    <x v="3"/>
    <m/>
    <x v="0"/>
    <x v="7"/>
    <n v="1500"/>
    <n v="0"/>
    <n v="0"/>
    <n v="0"/>
    <n v="1500"/>
    <d v="2025-11-30T00:00:00"/>
    <s v="Prazo - Menos de 10 dias"/>
    <m/>
    <x v="0"/>
    <m/>
    <s v="PAGBANK"/>
    <s v="FIXO"/>
    <x v="0"/>
    <x v="1"/>
    <s v=""/>
    <s v="Despesas_Com_RH"/>
    <x v="0"/>
    <x v="0"/>
    <x v="0"/>
    <s v="10"/>
    <s v="1"/>
    <x v="0"/>
    <x v="1"/>
    <s v="11"/>
    <s v="30"/>
    <x v="1"/>
    <x v="1"/>
    <s v=""/>
    <s v=""/>
  </r>
  <r>
    <d v="2025-10-01T00:00:00"/>
    <x v="0"/>
    <s v="ADM"/>
    <x v="2"/>
    <x v="4"/>
    <m/>
    <x v="0"/>
    <x v="7"/>
    <n v="1500"/>
    <n v="0"/>
    <n v="0"/>
    <n v="0"/>
    <n v="1500"/>
    <d v="2025-12-20T00:00:00"/>
    <s v="Prazo - Menos de 1 Mês"/>
    <m/>
    <x v="0"/>
    <m/>
    <s v="PAGBANK"/>
    <s v="FIXO"/>
    <x v="0"/>
    <x v="1"/>
    <s v=""/>
    <s v="Despesas_Com_RH"/>
    <x v="0"/>
    <x v="0"/>
    <x v="0"/>
    <s v="10"/>
    <s v="1"/>
    <x v="0"/>
    <x v="2"/>
    <s v="12"/>
    <s v="20"/>
    <x v="1"/>
    <x v="1"/>
    <s v=""/>
    <s v=""/>
  </r>
  <r>
    <d v="2025-10-01T00:00:00"/>
    <x v="0"/>
    <s v="ADM"/>
    <x v="2"/>
    <x v="2"/>
    <m/>
    <x v="0"/>
    <x v="7"/>
    <n v="1500"/>
    <n v="0"/>
    <n v="0"/>
    <n v="0"/>
    <n v="1500"/>
    <d v="2025-12-05T00:00:00"/>
    <s v="Prazo - Menos de 15 dias"/>
    <m/>
    <x v="0"/>
    <m/>
    <s v="PAGBANK"/>
    <s v="FIXO"/>
    <x v="0"/>
    <x v="1"/>
    <s v=""/>
    <s v="Despesas_Com_RH"/>
    <x v="0"/>
    <x v="0"/>
    <x v="0"/>
    <s v="10"/>
    <s v="1"/>
    <x v="0"/>
    <x v="2"/>
    <s v="12"/>
    <s v="5"/>
    <x v="1"/>
    <x v="1"/>
    <s v=""/>
    <s v=""/>
  </r>
  <r>
    <d v="2025-10-01T00:00:00"/>
    <x v="0"/>
    <s v="ADM"/>
    <x v="2"/>
    <x v="2"/>
    <m/>
    <x v="0"/>
    <x v="7"/>
    <n v="1500"/>
    <n v="0"/>
    <n v="0"/>
    <n v="0"/>
    <n v="1500"/>
    <d v="2026-01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3"/>
    <s v="1"/>
    <s v="5"/>
    <x v="1"/>
    <x v="1"/>
    <s v=""/>
    <s v=""/>
  </r>
  <r>
    <d v="2025-10-01T00:00:00"/>
    <x v="0"/>
    <s v="ADM"/>
    <x v="2"/>
    <x v="2"/>
    <m/>
    <x v="0"/>
    <x v="7"/>
    <n v="1500"/>
    <n v="0"/>
    <n v="0"/>
    <n v="0"/>
    <n v="1500"/>
    <d v="2026-02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4"/>
    <s v="2"/>
    <s v="5"/>
    <x v="1"/>
    <x v="1"/>
    <s v=""/>
    <s v=""/>
  </r>
  <r>
    <d v="2025-10-01T00:00:00"/>
    <x v="0"/>
    <s v="ADM"/>
    <x v="2"/>
    <x v="2"/>
    <m/>
    <x v="0"/>
    <x v="7"/>
    <n v="1500"/>
    <n v="0"/>
    <n v="0"/>
    <n v="0"/>
    <n v="1500"/>
    <d v="2026-03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5"/>
    <s v="3"/>
    <s v="5"/>
    <x v="1"/>
    <x v="1"/>
    <s v=""/>
    <s v=""/>
  </r>
  <r>
    <d v="2025-10-01T00:00:00"/>
    <x v="0"/>
    <s v="ADM"/>
    <x v="2"/>
    <x v="2"/>
    <m/>
    <x v="0"/>
    <x v="7"/>
    <n v="1500"/>
    <n v="0"/>
    <n v="0"/>
    <n v="0"/>
    <n v="1500"/>
    <d v="2026-04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6"/>
    <s v="4"/>
    <s v="5"/>
    <x v="1"/>
    <x v="1"/>
    <s v=""/>
    <s v=""/>
  </r>
  <r>
    <d v="2025-10-01T00:00:00"/>
    <x v="0"/>
    <s v="ADM"/>
    <x v="2"/>
    <x v="2"/>
    <m/>
    <x v="0"/>
    <x v="7"/>
    <n v="1500"/>
    <n v="0"/>
    <n v="0"/>
    <n v="0"/>
    <n v="1500"/>
    <d v="2026-05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7"/>
    <s v="5"/>
    <s v="5"/>
    <x v="1"/>
    <x v="1"/>
    <s v=""/>
    <s v=""/>
  </r>
  <r>
    <d v="2025-10-01T00:00:00"/>
    <x v="0"/>
    <s v="ADM"/>
    <x v="2"/>
    <x v="2"/>
    <m/>
    <x v="0"/>
    <x v="7"/>
    <n v="1500"/>
    <n v="0"/>
    <n v="0"/>
    <n v="0"/>
    <n v="1500"/>
    <d v="2026-06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8"/>
    <s v="6"/>
    <s v="5"/>
    <x v="1"/>
    <x v="1"/>
    <s v=""/>
    <s v=""/>
  </r>
  <r>
    <d v="2025-10-01T00:00:00"/>
    <x v="0"/>
    <s v="ADM"/>
    <x v="2"/>
    <x v="2"/>
    <m/>
    <x v="0"/>
    <x v="7"/>
    <n v="1500"/>
    <n v="0"/>
    <n v="0"/>
    <n v="0"/>
    <n v="1500"/>
    <d v="2026-07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9"/>
    <s v="7"/>
    <s v="5"/>
    <x v="1"/>
    <x v="1"/>
    <s v=""/>
    <s v=""/>
  </r>
  <r>
    <d v="2025-10-01T00:00:00"/>
    <x v="0"/>
    <s v="ADM"/>
    <x v="2"/>
    <x v="2"/>
    <m/>
    <x v="0"/>
    <x v="7"/>
    <n v="1500"/>
    <n v="0"/>
    <n v="0"/>
    <n v="0"/>
    <n v="1500"/>
    <d v="2026-08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10"/>
    <s v="8"/>
    <s v="5"/>
    <x v="1"/>
    <x v="1"/>
    <s v=""/>
    <s v=""/>
  </r>
  <r>
    <d v="2025-10-01T00:00:00"/>
    <x v="0"/>
    <s v="ADM"/>
    <x v="2"/>
    <x v="2"/>
    <m/>
    <x v="0"/>
    <x v="7"/>
    <n v="1500"/>
    <n v="0"/>
    <n v="0"/>
    <n v="0"/>
    <n v="1500"/>
    <d v="2026-09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11"/>
    <s v="9"/>
    <s v="5"/>
    <x v="1"/>
    <x v="1"/>
    <s v=""/>
    <s v=""/>
  </r>
  <r>
    <d v="2025-10-01T00:00:00"/>
    <x v="0"/>
    <s v="ADM"/>
    <x v="2"/>
    <x v="2"/>
    <m/>
    <x v="0"/>
    <x v="7"/>
    <n v="1500"/>
    <n v="0"/>
    <n v="0"/>
    <n v="0"/>
    <n v="1500"/>
    <d v="2026-10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0"/>
    <s v="10"/>
    <s v="5"/>
    <x v="1"/>
    <x v="1"/>
    <s v=""/>
    <s v=""/>
  </r>
  <r>
    <d v="2025-10-01T00:00:00"/>
    <x v="0"/>
    <s v="ADM"/>
    <x v="2"/>
    <x v="2"/>
    <m/>
    <x v="0"/>
    <x v="7"/>
    <n v="1500"/>
    <n v="0"/>
    <n v="0"/>
    <n v="0"/>
    <n v="1500"/>
    <d v="2026-11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1"/>
    <s v="11"/>
    <s v="5"/>
    <x v="1"/>
    <x v="1"/>
    <s v=""/>
    <s v=""/>
  </r>
  <r>
    <d v="2025-10-01T00:00:00"/>
    <x v="0"/>
    <s v="ADM"/>
    <x v="2"/>
    <x v="3"/>
    <m/>
    <x v="0"/>
    <x v="7"/>
    <n v="1500"/>
    <n v="0"/>
    <n v="0"/>
    <n v="0"/>
    <n v="1500"/>
    <d v="2026-11-20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1"/>
    <s v="11"/>
    <s v="20"/>
    <x v="1"/>
    <x v="1"/>
    <s v=""/>
    <s v=""/>
  </r>
  <r>
    <d v="2025-10-01T00:00:00"/>
    <x v="0"/>
    <s v="ADM"/>
    <x v="2"/>
    <x v="2"/>
    <m/>
    <x v="0"/>
    <x v="7"/>
    <n v="1500"/>
    <n v="0"/>
    <n v="0"/>
    <n v="0"/>
    <n v="1500"/>
    <d v="2026-12-05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2"/>
    <s v="12"/>
    <s v="5"/>
    <x v="1"/>
    <x v="1"/>
    <s v=""/>
    <s v=""/>
  </r>
  <r>
    <d v="2025-10-01T00:00:00"/>
    <x v="0"/>
    <s v="ADM"/>
    <x v="2"/>
    <x v="4"/>
    <m/>
    <x v="0"/>
    <x v="7"/>
    <n v="1500"/>
    <n v="0"/>
    <n v="0"/>
    <n v="0"/>
    <n v="1500"/>
    <d v="2026-12-20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2"/>
    <s v="12"/>
    <s v="20"/>
    <x v="1"/>
    <x v="1"/>
    <s v=""/>
    <s v=""/>
  </r>
  <r>
    <d v="2025-10-01T00:00:00"/>
    <x v="0"/>
    <s v="ADM"/>
    <x v="2"/>
    <x v="5"/>
    <m/>
    <x v="0"/>
    <x v="8"/>
    <n v="628.26"/>
    <n v="0"/>
    <n v="0"/>
    <n v="0"/>
    <n v="628.26"/>
    <d v="2025-10-20T00:00:00"/>
    <s v="Venceu"/>
    <m/>
    <x v="1"/>
    <m/>
    <s v="PAGBANK"/>
    <s v="FIXO"/>
    <x v="0"/>
    <x v="1"/>
    <s v=""/>
    <s v="Despesas_Com_RH"/>
    <x v="1"/>
    <x v="0"/>
    <x v="0"/>
    <s v="10"/>
    <s v="1"/>
    <x v="0"/>
    <x v="0"/>
    <s v="10"/>
    <s v="20"/>
    <x v="1"/>
    <x v="1"/>
    <s v=""/>
    <s v=""/>
  </r>
  <r>
    <d v="2025-10-01T00:00:00"/>
    <x v="0"/>
    <s v="ADM"/>
    <x v="2"/>
    <x v="5"/>
    <m/>
    <x v="0"/>
    <x v="8"/>
    <n v="660.75"/>
    <n v="0"/>
    <n v="0"/>
    <n v="0"/>
    <n v="660.75"/>
    <d v="2025-11-19T00:00:00"/>
    <s v="Venceu"/>
    <m/>
    <x v="1"/>
    <m/>
    <s v="PAGBANK"/>
    <s v="FIXO"/>
    <x v="0"/>
    <x v="1"/>
    <s v=""/>
    <s v="Despesas_Com_RH"/>
    <x v="1"/>
    <x v="0"/>
    <x v="0"/>
    <s v="10"/>
    <s v="1"/>
    <x v="0"/>
    <x v="1"/>
    <s v="11"/>
    <s v="19"/>
    <x v="1"/>
    <x v="1"/>
    <s v=""/>
    <s v=""/>
  </r>
  <r>
    <d v="2025-10-01T00:00:00"/>
    <x v="0"/>
    <s v="ADM"/>
    <x v="2"/>
    <x v="5"/>
    <m/>
    <x v="0"/>
    <x v="8"/>
    <n v="700"/>
    <n v="0"/>
    <n v="0"/>
    <n v="0"/>
    <n v="700"/>
    <d v="2025-12-20T00:00:00"/>
    <s v="Prazo - Menos de 1 Mês"/>
    <m/>
    <x v="1"/>
    <m/>
    <s v="PAGBANK"/>
    <s v="FIXO"/>
    <x v="0"/>
    <x v="1"/>
    <s v=""/>
    <s v="Despesas_Com_RH"/>
    <x v="1"/>
    <x v="0"/>
    <x v="0"/>
    <s v="10"/>
    <s v="1"/>
    <x v="0"/>
    <x v="2"/>
    <s v="12"/>
    <s v="20"/>
    <x v="1"/>
    <x v="1"/>
    <s v=""/>
    <s v=""/>
  </r>
  <r>
    <d v="2025-10-01T00:00:00"/>
    <x v="0"/>
    <s v="ADM"/>
    <x v="2"/>
    <x v="5"/>
    <m/>
    <x v="0"/>
    <x v="8"/>
    <n v="700"/>
    <n v="0"/>
    <n v="0"/>
    <n v="0"/>
    <n v="700"/>
    <d v="2026-01-20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3"/>
    <s v="1"/>
    <s v="20"/>
    <x v="1"/>
    <x v="1"/>
    <s v=""/>
    <s v=""/>
  </r>
  <r>
    <d v="2025-10-01T00:00:00"/>
    <x v="0"/>
    <s v="ADM"/>
    <x v="2"/>
    <x v="5"/>
    <m/>
    <x v="0"/>
    <x v="8"/>
    <n v="700"/>
    <n v="0"/>
    <n v="0"/>
    <n v="0"/>
    <n v="700"/>
    <d v="2026-02-20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4"/>
    <s v="2"/>
    <s v="20"/>
    <x v="1"/>
    <x v="1"/>
    <s v=""/>
    <s v=""/>
  </r>
  <r>
    <d v="2025-10-01T00:00:00"/>
    <x v="0"/>
    <s v="ADM"/>
    <x v="2"/>
    <x v="5"/>
    <m/>
    <x v="0"/>
    <x v="8"/>
    <n v="700"/>
    <n v="0"/>
    <n v="0"/>
    <n v="0"/>
    <n v="700"/>
    <d v="2026-01-26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3"/>
    <s v="1"/>
    <s v="26"/>
    <x v="1"/>
    <x v="1"/>
    <s v=""/>
    <s v=""/>
  </r>
  <r>
    <d v="2025-10-01T00:00:00"/>
    <x v="0"/>
    <s v="ADM"/>
    <x v="2"/>
    <x v="5"/>
    <m/>
    <x v="0"/>
    <x v="8"/>
    <n v="700"/>
    <n v="0"/>
    <n v="0"/>
    <n v="0"/>
    <n v="700"/>
    <d v="2026-02-26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4"/>
    <s v="2"/>
    <s v="26"/>
    <x v="1"/>
    <x v="1"/>
    <s v=""/>
    <s v=""/>
  </r>
  <r>
    <d v="2025-10-01T00:00:00"/>
    <x v="0"/>
    <s v="ADM"/>
    <x v="2"/>
    <x v="5"/>
    <m/>
    <x v="0"/>
    <x v="8"/>
    <n v="700"/>
    <n v="0"/>
    <n v="0"/>
    <n v="0"/>
    <n v="700"/>
    <d v="2026-03-26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5"/>
    <s v="3"/>
    <s v="26"/>
    <x v="1"/>
    <x v="1"/>
    <s v=""/>
    <s v=""/>
  </r>
  <r>
    <d v="2025-10-01T00:00:00"/>
    <x v="0"/>
    <s v="ADM"/>
    <x v="2"/>
    <x v="5"/>
    <m/>
    <x v="0"/>
    <x v="8"/>
    <n v="700"/>
    <n v="0"/>
    <n v="0"/>
    <n v="0"/>
    <n v="700"/>
    <d v="2026-04-26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6"/>
    <s v="4"/>
    <s v="26"/>
    <x v="1"/>
    <x v="1"/>
    <s v=""/>
    <s v=""/>
  </r>
  <r>
    <d v="2025-10-01T00:00:00"/>
    <x v="0"/>
    <s v="ADM"/>
    <x v="2"/>
    <x v="5"/>
    <m/>
    <x v="0"/>
    <x v="8"/>
    <n v="700"/>
    <n v="0"/>
    <n v="0"/>
    <n v="0"/>
    <n v="700"/>
    <d v="2026-04-26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6"/>
    <s v="4"/>
    <s v="26"/>
    <x v="1"/>
    <x v="1"/>
    <s v=""/>
    <s v=""/>
  </r>
  <r>
    <d v="2025-10-01T00:00:00"/>
    <x v="0"/>
    <s v="ADM"/>
    <x v="2"/>
    <x v="5"/>
    <m/>
    <x v="0"/>
    <x v="8"/>
    <n v="700"/>
    <n v="0"/>
    <n v="0"/>
    <n v="0"/>
    <n v="700"/>
    <d v="2026-07-26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9"/>
    <s v="7"/>
    <s v="26"/>
    <x v="1"/>
    <x v="1"/>
    <s v=""/>
    <s v=""/>
  </r>
  <r>
    <d v="2025-10-01T00:00:00"/>
    <x v="0"/>
    <s v="ADM"/>
    <x v="2"/>
    <x v="5"/>
    <m/>
    <x v="0"/>
    <x v="8"/>
    <n v="700"/>
    <n v="0"/>
    <n v="0"/>
    <n v="0"/>
    <n v="700"/>
    <d v="2026-08-26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10"/>
    <s v="8"/>
    <s v="26"/>
    <x v="1"/>
    <x v="1"/>
    <s v=""/>
    <s v=""/>
  </r>
  <r>
    <d v="2025-10-01T00:00:00"/>
    <x v="0"/>
    <s v="ADM"/>
    <x v="2"/>
    <x v="5"/>
    <m/>
    <x v="0"/>
    <x v="8"/>
    <n v="700"/>
    <n v="0"/>
    <n v="0"/>
    <n v="0"/>
    <n v="700"/>
    <d v="2026-09-26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11"/>
    <s v="9"/>
    <s v="26"/>
    <x v="1"/>
    <x v="1"/>
    <s v=""/>
    <s v=""/>
  </r>
  <r>
    <d v="2025-10-01T00:00:00"/>
    <x v="0"/>
    <s v="ADM"/>
    <x v="2"/>
    <x v="5"/>
    <m/>
    <x v="0"/>
    <x v="8"/>
    <n v="700"/>
    <n v="0"/>
    <n v="0"/>
    <n v="0"/>
    <n v="700"/>
    <d v="2026-10-26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0"/>
    <s v="10"/>
    <s v="26"/>
    <x v="1"/>
    <x v="1"/>
    <s v=""/>
    <s v=""/>
  </r>
  <r>
    <d v="2025-10-01T00:00:00"/>
    <x v="0"/>
    <s v="ADM"/>
    <x v="2"/>
    <x v="5"/>
    <m/>
    <x v="0"/>
    <x v="8"/>
    <n v="700"/>
    <n v="0"/>
    <n v="0"/>
    <n v="0"/>
    <n v="700"/>
    <d v="2026-11-26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1"/>
    <s v="11"/>
    <s v="26"/>
    <x v="1"/>
    <x v="1"/>
    <s v=""/>
    <s v=""/>
  </r>
  <r>
    <d v="2025-10-01T00:00:00"/>
    <x v="0"/>
    <s v="ADM"/>
    <x v="2"/>
    <x v="5"/>
    <m/>
    <x v="0"/>
    <x v="8"/>
    <n v="700"/>
    <n v="0"/>
    <n v="0"/>
    <n v="0"/>
    <n v="700"/>
    <d v="2026-12-26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2"/>
    <s v="12"/>
    <s v="26"/>
    <x v="1"/>
    <x v="1"/>
    <s v=""/>
    <s v=""/>
  </r>
  <r>
    <d v="2025-10-01T00:00:00"/>
    <x v="0"/>
    <s v="ADM"/>
    <x v="2"/>
    <x v="6"/>
    <m/>
    <x v="0"/>
    <x v="9"/>
    <n v="3023.92"/>
    <n v="0"/>
    <n v="0"/>
    <n v="0"/>
    <n v="3023.92"/>
    <d v="2025-10-20T00:00:00"/>
    <s v="Venceu"/>
    <m/>
    <x v="1"/>
    <m/>
    <s v="PAGBANK"/>
    <s v="FIXO"/>
    <x v="0"/>
    <x v="1"/>
    <s v=""/>
    <s v="Despesas_Com_RH"/>
    <x v="1"/>
    <x v="0"/>
    <x v="0"/>
    <s v="10"/>
    <s v="1"/>
    <x v="0"/>
    <x v="0"/>
    <s v="10"/>
    <s v="20"/>
    <x v="1"/>
    <x v="1"/>
    <s v=""/>
    <s v=""/>
  </r>
  <r>
    <d v="2025-10-01T00:00:00"/>
    <x v="0"/>
    <s v="ADM"/>
    <x v="2"/>
    <x v="6"/>
    <m/>
    <x v="0"/>
    <x v="9"/>
    <n v="3118.52"/>
    <n v="0"/>
    <n v="0"/>
    <n v="0"/>
    <n v="3118.52"/>
    <d v="2025-11-19T00:00:00"/>
    <s v="Venceu"/>
    <m/>
    <x v="1"/>
    <m/>
    <s v="PAGBANK"/>
    <s v="FIXO"/>
    <x v="0"/>
    <x v="1"/>
    <s v=""/>
    <s v="Despesas_Com_RH"/>
    <x v="1"/>
    <x v="0"/>
    <x v="0"/>
    <s v="10"/>
    <s v="1"/>
    <x v="0"/>
    <x v="1"/>
    <s v="11"/>
    <s v="19"/>
    <x v="1"/>
    <x v="1"/>
    <s v=""/>
    <s v=""/>
  </r>
  <r>
    <d v="2025-10-01T00:00:00"/>
    <x v="0"/>
    <s v="ADM"/>
    <x v="2"/>
    <x v="6"/>
    <m/>
    <x v="0"/>
    <x v="9"/>
    <n v="3200"/>
    <n v="0"/>
    <n v="0"/>
    <n v="0"/>
    <n v="3200"/>
    <d v="2025-12-20T00:00:00"/>
    <s v="Prazo - Menos de 1 Mês"/>
    <m/>
    <x v="1"/>
    <m/>
    <s v="PAGBANK"/>
    <s v="FIXO"/>
    <x v="0"/>
    <x v="1"/>
    <s v=""/>
    <s v="Despesas_Com_RH"/>
    <x v="1"/>
    <x v="0"/>
    <x v="0"/>
    <s v="10"/>
    <s v="1"/>
    <x v="0"/>
    <x v="2"/>
    <s v="12"/>
    <s v="20"/>
    <x v="1"/>
    <x v="1"/>
    <s v=""/>
    <s v=""/>
  </r>
  <r>
    <d v="2025-10-01T00:00:00"/>
    <x v="0"/>
    <s v="ADM"/>
    <x v="2"/>
    <x v="6"/>
    <m/>
    <x v="0"/>
    <x v="9"/>
    <n v="3200"/>
    <n v="0"/>
    <n v="0"/>
    <n v="0"/>
    <n v="3200"/>
    <d v="2026-01-20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3"/>
    <s v="1"/>
    <s v="20"/>
    <x v="1"/>
    <x v="1"/>
    <s v=""/>
    <s v=""/>
  </r>
  <r>
    <d v="2025-10-01T00:00:00"/>
    <x v="0"/>
    <s v="ADM"/>
    <x v="2"/>
    <x v="6"/>
    <m/>
    <x v="0"/>
    <x v="9"/>
    <n v="3200"/>
    <n v="0"/>
    <n v="0"/>
    <n v="0"/>
    <n v="3200"/>
    <d v="2026-02-20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4"/>
    <s v="2"/>
    <s v="20"/>
    <x v="1"/>
    <x v="1"/>
    <s v=""/>
    <s v=""/>
  </r>
  <r>
    <d v="2025-10-01T00:00:00"/>
    <x v="0"/>
    <s v="ADM"/>
    <x v="2"/>
    <x v="6"/>
    <m/>
    <x v="0"/>
    <x v="9"/>
    <n v="3200"/>
    <n v="0"/>
    <n v="0"/>
    <n v="0"/>
    <n v="3200"/>
    <d v="2026-03-20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5"/>
    <s v="3"/>
    <s v="20"/>
    <x v="1"/>
    <x v="1"/>
    <s v=""/>
    <s v=""/>
  </r>
  <r>
    <d v="2025-10-01T00:00:00"/>
    <x v="0"/>
    <s v="ADM"/>
    <x v="2"/>
    <x v="6"/>
    <m/>
    <x v="0"/>
    <x v="9"/>
    <n v="3200"/>
    <n v="0"/>
    <n v="0"/>
    <n v="0"/>
    <n v="3200"/>
    <d v="2026-04-20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6"/>
    <s v="4"/>
    <s v="20"/>
    <x v="1"/>
    <x v="1"/>
    <s v=""/>
    <s v=""/>
  </r>
  <r>
    <d v="2025-10-01T00:00:00"/>
    <x v="0"/>
    <s v="ADM"/>
    <x v="2"/>
    <x v="6"/>
    <m/>
    <x v="0"/>
    <x v="9"/>
    <n v="3200"/>
    <n v="0"/>
    <n v="0"/>
    <n v="0"/>
    <n v="3200"/>
    <d v="2026-05-20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7"/>
    <s v="5"/>
    <s v="20"/>
    <x v="1"/>
    <x v="1"/>
    <s v=""/>
    <s v=""/>
  </r>
  <r>
    <d v="2025-10-01T00:00:00"/>
    <x v="0"/>
    <s v="ADM"/>
    <x v="2"/>
    <x v="6"/>
    <m/>
    <x v="0"/>
    <x v="9"/>
    <n v="3200"/>
    <n v="0"/>
    <n v="0"/>
    <n v="0"/>
    <n v="3200"/>
    <d v="2026-06-20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8"/>
    <s v="6"/>
    <s v="20"/>
    <x v="1"/>
    <x v="1"/>
    <s v=""/>
    <s v=""/>
  </r>
  <r>
    <d v="2025-10-01T00:00:00"/>
    <x v="0"/>
    <s v="ADM"/>
    <x v="2"/>
    <x v="6"/>
    <m/>
    <x v="0"/>
    <x v="9"/>
    <n v="3200"/>
    <n v="0"/>
    <n v="0"/>
    <n v="0"/>
    <n v="3200"/>
    <d v="2026-07-20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9"/>
    <s v="7"/>
    <s v="20"/>
    <x v="1"/>
    <x v="1"/>
    <s v=""/>
    <s v=""/>
  </r>
  <r>
    <d v="2025-10-01T00:00:00"/>
    <x v="0"/>
    <s v="ADM"/>
    <x v="2"/>
    <x v="6"/>
    <m/>
    <x v="0"/>
    <x v="9"/>
    <n v="3200"/>
    <n v="0"/>
    <n v="0"/>
    <n v="0"/>
    <n v="3200"/>
    <d v="2026-08-20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10"/>
    <s v="8"/>
    <s v="20"/>
    <x v="1"/>
    <x v="1"/>
    <s v=""/>
    <s v=""/>
  </r>
  <r>
    <d v="2025-10-01T00:00:00"/>
    <x v="0"/>
    <s v="ADM"/>
    <x v="2"/>
    <x v="6"/>
    <m/>
    <x v="0"/>
    <x v="9"/>
    <n v="3200"/>
    <n v="0"/>
    <n v="0"/>
    <n v="0"/>
    <n v="3200"/>
    <d v="2026-09-20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11"/>
    <s v="9"/>
    <s v="20"/>
    <x v="1"/>
    <x v="1"/>
    <s v=""/>
    <s v=""/>
  </r>
  <r>
    <d v="2025-10-01T00:00:00"/>
    <x v="0"/>
    <s v="ADM"/>
    <x v="2"/>
    <x v="6"/>
    <m/>
    <x v="0"/>
    <x v="9"/>
    <n v="3200"/>
    <n v="0"/>
    <n v="0"/>
    <n v="0"/>
    <n v="3200"/>
    <d v="2026-10-20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0"/>
    <s v="10"/>
    <s v="20"/>
    <x v="1"/>
    <x v="1"/>
    <s v=""/>
    <s v=""/>
  </r>
  <r>
    <d v="2025-10-01T00:00:00"/>
    <x v="0"/>
    <s v="ADM"/>
    <x v="2"/>
    <x v="6"/>
    <m/>
    <x v="0"/>
    <x v="9"/>
    <n v="3200"/>
    <n v="0"/>
    <n v="0"/>
    <n v="0"/>
    <n v="3200"/>
    <d v="2026-11-20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1"/>
    <s v="11"/>
    <s v="20"/>
    <x v="1"/>
    <x v="1"/>
    <s v=""/>
    <s v=""/>
  </r>
  <r>
    <d v="2025-10-01T00:00:00"/>
    <x v="0"/>
    <s v="ADM"/>
    <x v="2"/>
    <x v="6"/>
    <m/>
    <x v="0"/>
    <x v="9"/>
    <n v="3200"/>
    <n v="0"/>
    <n v="0"/>
    <n v="0"/>
    <n v="3200"/>
    <d v="2026-12-20T00:00:00"/>
    <s v="Prazo - Mais de 1 mês"/>
    <m/>
    <x v="1"/>
    <m/>
    <s v="PAGBANK"/>
    <s v="FIXO"/>
    <x v="0"/>
    <x v="1"/>
    <s v=""/>
    <s v="Despesas_Com_RH"/>
    <x v="1"/>
    <x v="0"/>
    <x v="0"/>
    <s v="10"/>
    <s v="1"/>
    <x v="1"/>
    <x v="2"/>
    <s v="12"/>
    <s v="20"/>
    <x v="1"/>
    <x v="1"/>
    <s v=""/>
    <s v=""/>
  </r>
  <r>
    <d v="2025-10-01T00:00:00"/>
    <x v="0"/>
    <s v="ADM"/>
    <x v="0"/>
    <x v="7"/>
    <m/>
    <x v="0"/>
    <x v="10"/>
    <n v="85.5"/>
    <n v="0"/>
    <n v="0"/>
    <n v="0"/>
    <n v="85.5"/>
    <d v="2025-10-15T00:00:00"/>
    <s v="Pago"/>
    <d v="2025-10-15T00:00:00"/>
    <x v="1"/>
    <m/>
    <s v="PAGBANK"/>
    <s v="FIXO"/>
    <x v="0"/>
    <x v="0"/>
    <s v="OUTUBRO"/>
    <s v="Despesas_Administrativas"/>
    <x v="1"/>
    <x v="0"/>
    <x v="0"/>
    <s v="10"/>
    <s v="1"/>
    <x v="0"/>
    <x v="0"/>
    <s v="10"/>
    <s v="15"/>
    <x v="0"/>
    <x v="0"/>
    <s v="10"/>
    <s v="15"/>
  </r>
  <r>
    <d v="2025-10-01T00:00:00"/>
    <x v="0"/>
    <s v="ADM"/>
    <x v="0"/>
    <x v="7"/>
    <m/>
    <x v="0"/>
    <x v="10"/>
    <n v="35.24"/>
    <n v="0"/>
    <n v="0"/>
    <n v="0"/>
    <n v="35.24"/>
    <d v="2025-10-15T00:00:00"/>
    <s v="Pago"/>
    <d v="2025-10-15T00:00:00"/>
    <x v="1"/>
    <m/>
    <s v="PAGBANK"/>
    <s v="FIXO"/>
    <x v="0"/>
    <x v="0"/>
    <s v="OUTUBRO"/>
    <s v="Despesas_Administrativas"/>
    <x v="1"/>
    <x v="0"/>
    <x v="0"/>
    <s v="10"/>
    <s v="1"/>
    <x v="0"/>
    <x v="0"/>
    <s v="10"/>
    <s v="15"/>
    <x v="0"/>
    <x v="0"/>
    <s v="10"/>
    <s v="15"/>
  </r>
  <r>
    <d v="2025-10-01T00:00:00"/>
    <x v="0"/>
    <s v="ADM"/>
    <x v="0"/>
    <x v="7"/>
    <m/>
    <x v="0"/>
    <x v="10"/>
    <n v="23.08"/>
    <n v="0"/>
    <n v="0"/>
    <n v="0"/>
    <n v="23.08"/>
    <d v="2025-10-15T00:00:00"/>
    <s v="Pago"/>
    <d v="2025-10-15T00:00:00"/>
    <x v="1"/>
    <m/>
    <s v="PAGBANK"/>
    <s v="FIXO"/>
    <x v="0"/>
    <x v="0"/>
    <s v="OUTUBRO"/>
    <s v="Despesas_Administrativas"/>
    <x v="1"/>
    <x v="0"/>
    <x v="0"/>
    <s v="10"/>
    <s v="1"/>
    <x v="0"/>
    <x v="0"/>
    <s v="10"/>
    <s v="15"/>
    <x v="0"/>
    <x v="0"/>
    <s v="10"/>
    <s v="15"/>
  </r>
  <r>
    <d v="2025-10-01T00:00:00"/>
    <x v="0"/>
    <s v="ADM"/>
    <x v="0"/>
    <x v="7"/>
    <m/>
    <x v="1"/>
    <x v="10"/>
    <n v="85.5"/>
    <n v="0"/>
    <n v="0"/>
    <n v="0"/>
    <n v="85.5"/>
    <d v="2025-11-15T00:00:00"/>
    <s v="Venceu"/>
    <m/>
    <x v="1"/>
    <m/>
    <s v="PAGBANK"/>
    <s v="FIXO"/>
    <x v="0"/>
    <x v="1"/>
    <s v=""/>
    <s v="Despesas_Administrativas"/>
    <x v="1"/>
    <x v="0"/>
    <x v="0"/>
    <s v="10"/>
    <s v="1"/>
    <x v="0"/>
    <x v="1"/>
    <s v="11"/>
    <s v="15"/>
    <x v="1"/>
    <x v="1"/>
    <s v=""/>
    <s v=""/>
  </r>
  <r>
    <d v="2025-10-01T00:00:00"/>
    <x v="0"/>
    <s v="ADM"/>
    <x v="0"/>
    <x v="7"/>
    <m/>
    <x v="1"/>
    <x v="10"/>
    <n v="85.5"/>
    <n v="0"/>
    <n v="0"/>
    <n v="0"/>
    <n v="85.5"/>
    <d v="2025-12-15T00:00:00"/>
    <s v="Prazo - Menos de 1 Mês"/>
    <m/>
    <x v="1"/>
    <m/>
    <s v="PAGBANK"/>
    <s v="FIXO"/>
    <x v="0"/>
    <x v="1"/>
    <s v=""/>
    <s v="Despesas_Administrativas"/>
    <x v="1"/>
    <x v="0"/>
    <x v="0"/>
    <s v="10"/>
    <s v="1"/>
    <x v="0"/>
    <x v="2"/>
    <s v="12"/>
    <s v="15"/>
    <x v="1"/>
    <x v="1"/>
    <s v=""/>
    <s v=""/>
  </r>
  <r>
    <d v="2025-10-01T00:00:00"/>
    <x v="0"/>
    <s v="ADM"/>
    <x v="0"/>
    <x v="7"/>
    <m/>
    <x v="1"/>
    <x v="10"/>
    <n v="85.5"/>
    <n v="0"/>
    <n v="0"/>
    <n v="0"/>
    <n v="85.5"/>
    <d v="2026-01-15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3"/>
    <s v="1"/>
    <s v="15"/>
    <x v="1"/>
    <x v="1"/>
    <s v=""/>
    <s v=""/>
  </r>
  <r>
    <d v="2025-10-01T00:00:00"/>
    <x v="0"/>
    <s v="ADM"/>
    <x v="0"/>
    <x v="7"/>
    <m/>
    <x v="1"/>
    <x v="10"/>
    <n v="85.5"/>
    <n v="0"/>
    <n v="0"/>
    <n v="0"/>
    <n v="85.5"/>
    <d v="2026-02-15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4"/>
    <s v="2"/>
    <s v="15"/>
    <x v="1"/>
    <x v="1"/>
    <s v=""/>
    <s v=""/>
  </r>
  <r>
    <d v="2025-10-01T00:00:00"/>
    <x v="0"/>
    <s v="ADM"/>
    <x v="0"/>
    <x v="7"/>
    <m/>
    <x v="1"/>
    <x v="10"/>
    <n v="85.5"/>
    <n v="0"/>
    <n v="0"/>
    <n v="0"/>
    <n v="85.5"/>
    <d v="2026-03-15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5"/>
    <s v="3"/>
    <s v="15"/>
    <x v="1"/>
    <x v="1"/>
    <s v=""/>
    <s v=""/>
  </r>
  <r>
    <d v="2025-10-01T00:00:00"/>
    <x v="0"/>
    <s v="ADM"/>
    <x v="0"/>
    <x v="7"/>
    <m/>
    <x v="1"/>
    <x v="10"/>
    <n v="85.5"/>
    <n v="0"/>
    <n v="0"/>
    <n v="0"/>
    <n v="85.5"/>
    <d v="2026-04-15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6"/>
    <s v="4"/>
    <s v="15"/>
    <x v="1"/>
    <x v="1"/>
    <s v=""/>
    <s v=""/>
  </r>
  <r>
    <d v="2025-10-01T00:00:00"/>
    <x v="0"/>
    <s v="ADM"/>
    <x v="0"/>
    <x v="7"/>
    <m/>
    <x v="1"/>
    <x v="10"/>
    <n v="85.5"/>
    <n v="0"/>
    <n v="0"/>
    <n v="0"/>
    <n v="85.5"/>
    <d v="2026-05-15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7"/>
    <s v="5"/>
    <s v="15"/>
    <x v="1"/>
    <x v="1"/>
    <s v=""/>
    <s v=""/>
  </r>
  <r>
    <d v="2025-10-01T00:00:00"/>
    <x v="0"/>
    <s v="ADM"/>
    <x v="0"/>
    <x v="7"/>
    <m/>
    <x v="1"/>
    <x v="10"/>
    <n v="85.5"/>
    <n v="0"/>
    <n v="0"/>
    <n v="0"/>
    <n v="85.5"/>
    <d v="2026-06-15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8"/>
    <s v="6"/>
    <s v="15"/>
    <x v="1"/>
    <x v="1"/>
    <s v=""/>
    <s v=""/>
  </r>
  <r>
    <d v="2025-10-01T00:00:00"/>
    <x v="0"/>
    <s v="ADM"/>
    <x v="0"/>
    <x v="7"/>
    <m/>
    <x v="1"/>
    <x v="10"/>
    <n v="85.5"/>
    <n v="0"/>
    <n v="0"/>
    <n v="0"/>
    <n v="85.5"/>
    <d v="2026-07-15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9"/>
    <s v="7"/>
    <s v="15"/>
    <x v="1"/>
    <x v="1"/>
    <s v=""/>
    <s v=""/>
  </r>
  <r>
    <d v="2025-10-01T00:00:00"/>
    <x v="0"/>
    <s v="ADM"/>
    <x v="0"/>
    <x v="7"/>
    <m/>
    <x v="1"/>
    <x v="10"/>
    <n v="85.5"/>
    <n v="0"/>
    <n v="0"/>
    <n v="0"/>
    <n v="85.5"/>
    <d v="2026-08-15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10"/>
    <s v="8"/>
    <s v="15"/>
    <x v="1"/>
    <x v="1"/>
    <s v=""/>
    <s v=""/>
  </r>
  <r>
    <d v="2025-10-01T00:00:00"/>
    <x v="0"/>
    <s v="ADM"/>
    <x v="0"/>
    <x v="7"/>
    <m/>
    <x v="1"/>
    <x v="10"/>
    <n v="85.5"/>
    <n v="0"/>
    <n v="0"/>
    <n v="0"/>
    <n v="85.5"/>
    <d v="2026-09-15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11"/>
    <s v="9"/>
    <s v="15"/>
    <x v="1"/>
    <x v="1"/>
    <s v=""/>
    <s v=""/>
  </r>
  <r>
    <d v="2025-10-01T00:00:00"/>
    <x v="0"/>
    <s v="ADM"/>
    <x v="0"/>
    <x v="7"/>
    <m/>
    <x v="1"/>
    <x v="10"/>
    <n v="85.5"/>
    <n v="0"/>
    <n v="0"/>
    <n v="0"/>
    <n v="85.5"/>
    <d v="2026-10-15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0"/>
    <s v="10"/>
    <s v="15"/>
    <x v="1"/>
    <x v="1"/>
    <s v=""/>
    <s v=""/>
  </r>
  <r>
    <d v="2025-10-01T00:00:00"/>
    <x v="0"/>
    <s v="ADM"/>
    <x v="0"/>
    <x v="8"/>
    <m/>
    <x v="1"/>
    <x v="11"/>
    <n v="704.72"/>
    <n v="0"/>
    <n v="0"/>
    <n v="0"/>
    <n v="704.72"/>
    <d v="2025-11-03T00:00:00"/>
    <s v="Venceu"/>
    <m/>
    <x v="1"/>
    <m/>
    <s v="PAGBANK"/>
    <s v="FIXO"/>
    <x v="0"/>
    <x v="1"/>
    <s v=""/>
    <s v="Despesas_Administrativas"/>
    <x v="1"/>
    <x v="0"/>
    <x v="0"/>
    <s v="10"/>
    <s v="1"/>
    <x v="0"/>
    <x v="1"/>
    <s v="11"/>
    <s v="3"/>
    <x v="1"/>
    <x v="1"/>
    <s v=""/>
    <s v=""/>
  </r>
  <r>
    <d v="2025-10-01T00:00:00"/>
    <x v="0"/>
    <s v="ADM"/>
    <x v="0"/>
    <x v="8"/>
    <m/>
    <x v="1"/>
    <x v="11"/>
    <n v="704.72"/>
    <n v="0"/>
    <n v="0"/>
    <n v="0"/>
    <n v="704.72"/>
    <d v="2025-12-03T00:00:00"/>
    <s v="Prazo - Menos de 10 dias"/>
    <m/>
    <x v="1"/>
    <m/>
    <s v="PAGBANK"/>
    <s v="FIXO"/>
    <x v="0"/>
    <x v="1"/>
    <s v=""/>
    <s v="Despesas_Administrativas"/>
    <x v="1"/>
    <x v="0"/>
    <x v="0"/>
    <s v="10"/>
    <s v="1"/>
    <x v="0"/>
    <x v="2"/>
    <s v="12"/>
    <s v="3"/>
    <x v="1"/>
    <x v="1"/>
    <s v=""/>
    <s v=""/>
  </r>
  <r>
    <d v="2025-10-01T00:00:00"/>
    <x v="0"/>
    <s v="ADM"/>
    <x v="0"/>
    <x v="8"/>
    <m/>
    <x v="1"/>
    <x v="11"/>
    <n v="704.72"/>
    <n v="0"/>
    <n v="0"/>
    <n v="0"/>
    <n v="704.72"/>
    <d v="2026-01-03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3"/>
    <s v="1"/>
    <s v="3"/>
    <x v="1"/>
    <x v="1"/>
    <s v=""/>
    <s v=""/>
  </r>
  <r>
    <d v="2025-10-01T00:00:00"/>
    <x v="0"/>
    <s v="ADM"/>
    <x v="0"/>
    <x v="8"/>
    <m/>
    <x v="1"/>
    <x v="11"/>
    <n v="704.72"/>
    <n v="0"/>
    <n v="0"/>
    <n v="0"/>
    <n v="704.72"/>
    <d v="2026-02-03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4"/>
    <s v="2"/>
    <s v="3"/>
    <x v="1"/>
    <x v="1"/>
    <s v=""/>
    <s v=""/>
  </r>
  <r>
    <d v="2025-10-01T00:00:00"/>
    <x v="0"/>
    <s v="ADM"/>
    <x v="0"/>
    <x v="8"/>
    <m/>
    <x v="1"/>
    <x v="11"/>
    <n v="704.72"/>
    <n v="0"/>
    <n v="0"/>
    <n v="0"/>
    <n v="704.72"/>
    <d v="2026-03-03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5"/>
    <s v="3"/>
    <s v="3"/>
    <x v="1"/>
    <x v="1"/>
    <s v=""/>
    <s v=""/>
  </r>
  <r>
    <d v="2025-10-01T00:00:00"/>
    <x v="0"/>
    <s v="ADM"/>
    <x v="0"/>
    <x v="8"/>
    <m/>
    <x v="1"/>
    <x v="11"/>
    <n v="704.72"/>
    <n v="0"/>
    <n v="0"/>
    <n v="0"/>
    <n v="704.72"/>
    <d v="2026-04-03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6"/>
    <s v="4"/>
    <s v="3"/>
    <x v="1"/>
    <x v="1"/>
    <s v=""/>
    <s v=""/>
  </r>
  <r>
    <d v="2025-10-01T00:00:00"/>
    <x v="0"/>
    <s v="ADM"/>
    <x v="0"/>
    <x v="8"/>
    <m/>
    <x v="1"/>
    <x v="11"/>
    <n v="704.72"/>
    <n v="0"/>
    <n v="0"/>
    <n v="0"/>
    <n v="704.72"/>
    <d v="2026-05-03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7"/>
    <s v="5"/>
    <s v="3"/>
    <x v="1"/>
    <x v="1"/>
    <s v=""/>
    <s v=""/>
  </r>
  <r>
    <d v="2025-10-01T00:00:00"/>
    <x v="0"/>
    <s v="ADM"/>
    <x v="0"/>
    <x v="8"/>
    <m/>
    <x v="1"/>
    <x v="11"/>
    <n v="704.72"/>
    <n v="0"/>
    <n v="0"/>
    <n v="0"/>
    <n v="704.72"/>
    <d v="2026-06-03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8"/>
    <s v="6"/>
    <s v="3"/>
    <x v="1"/>
    <x v="1"/>
    <s v=""/>
    <s v=""/>
  </r>
  <r>
    <d v="2025-10-01T00:00:00"/>
    <x v="0"/>
    <s v="ADM"/>
    <x v="0"/>
    <x v="8"/>
    <m/>
    <x v="1"/>
    <x v="11"/>
    <n v="704.72"/>
    <n v="0"/>
    <n v="0"/>
    <n v="0"/>
    <n v="704.72"/>
    <d v="2026-07-03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9"/>
    <s v="7"/>
    <s v="3"/>
    <x v="1"/>
    <x v="1"/>
    <s v=""/>
    <s v=""/>
  </r>
  <r>
    <d v="2025-10-01T00:00:00"/>
    <x v="0"/>
    <s v="ADM"/>
    <x v="0"/>
    <x v="8"/>
    <m/>
    <x v="1"/>
    <x v="11"/>
    <n v="704.72"/>
    <n v="0"/>
    <n v="0"/>
    <n v="0"/>
    <n v="704.72"/>
    <d v="2026-08-03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10"/>
    <s v="8"/>
    <s v="3"/>
    <x v="1"/>
    <x v="1"/>
    <s v=""/>
    <s v=""/>
  </r>
  <r>
    <d v="2025-10-01T00:00:00"/>
    <x v="0"/>
    <s v="ADM"/>
    <x v="0"/>
    <x v="8"/>
    <m/>
    <x v="1"/>
    <x v="11"/>
    <n v="704.72"/>
    <n v="0"/>
    <n v="0"/>
    <n v="0"/>
    <n v="704.72"/>
    <d v="2026-09-03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11"/>
    <s v="9"/>
    <s v="3"/>
    <x v="1"/>
    <x v="1"/>
    <s v=""/>
    <s v=""/>
  </r>
  <r>
    <d v="2025-10-01T00:00:00"/>
    <x v="0"/>
    <s v="ADM"/>
    <x v="0"/>
    <x v="8"/>
    <m/>
    <x v="1"/>
    <x v="11"/>
    <n v="704.72"/>
    <n v="0"/>
    <n v="0"/>
    <n v="0"/>
    <n v="704.72"/>
    <d v="2026-10-03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0"/>
    <s v="10"/>
    <s v="3"/>
    <x v="1"/>
    <x v="1"/>
    <s v=""/>
    <s v=""/>
  </r>
  <r>
    <d v="2025-10-01T00:00:00"/>
    <x v="0"/>
    <s v="ADM"/>
    <x v="0"/>
    <x v="8"/>
    <m/>
    <x v="1"/>
    <x v="11"/>
    <n v="704.72"/>
    <n v="0"/>
    <n v="0"/>
    <n v="0"/>
    <n v="704.72"/>
    <d v="2026-11-03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1"/>
    <s v="11"/>
    <s v="3"/>
    <x v="1"/>
    <x v="1"/>
    <s v=""/>
    <s v=""/>
  </r>
  <r>
    <d v="2025-10-01T00:00:00"/>
    <x v="0"/>
    <s v="ADM"/>
    <x v="0"/>
    <x v="8"/>
    <m/>
    <x v="1"/>
    <x v="11"/>
    <n v="704.72"/>
    <n v="0"/>
    <n v="0"/>
    <n v="0"/>
    <n v="704.72"/>
    <d v="2026-12-03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2"/>
    <s v="12"/>
    <s v="3"/>
    <x v="1"/>
    <x v="1"/>
    <s v=""/>
    <s v=""/>
  </r>
  <r>
    <d v="2025-10-01T00:00:00"/>
    <x v="0"/>
    <s v="ADM"/>
    <x v="0"/>
    <x v="9"/>
    <m/>
    <x v="2"/>
    <x v="12"/>
    <n v="707.87"/>
    <n v="0"/>
    <n v="0"/>
    <n v="0"/>
    <n v="707.87"/>
    <d v="2025-10-30T00:00:00"/>
    <s v="Venceu"/>
    <m/>
    <x v="1"/>
    <m/>
    <s v="PAGBANK"/>
    <s v="FIXO"/>
    <x v="0"/>
    <x v="1"/>
    <s v=""/>
    <s v="Despesas_Administrativas"/>
    <x v="1"/>
    <x v="0"/>
    <x v="0"/>
    <s v="10"/>
    <s v="1"/>
    <x v="0"/>
    <x v="0"/>
    <s v="10"/>
    <s v="30"/>
    <x v="1"/>
    <x v="1"/>
    <s v=""/>
    <s v=""/>
  </r>
  <r>
    <d v="2025-10-01T00:00:00"/>
    <x v="0"/>
    <s v="ADM"/>
    <x v="0"/>
    <x v="9"/>
    <m/>
    <x v="1"/>
    <x v="12"/>
    <n v="707.87"/>
    <n v="0"/>
    <n v="0"/>
    <n v="0"/>
    <n v="707.87"/>
    <d v="2025-11-30T00:00:00"/>
    <s v="Prazo - Menos de 10 dias"/>
    <m/>
    <x v="1"/>
    <m/>
    <s v="PAGBANK"/>
    <s v="FIXO"/>
    <x v="0"/>
    <x v="1"/>
    <s v=""/>
    <s v="Despesas_Administrativas"/>
    <x v="1"/>
    <x v="0"/>
    <x v="0"/>
    <s v="10"/>
    <s v="1"/>
    <x v="0"/>
    <x v="1"/>
    <s v="11"/>
    <s v="30"/>
    <x v="1"/>
    <x v="1"/>
    <s v=""/>
    <s v=""/>
  </r>
  <r>
    <d v="2025-10-01T00:00:00"/>
    <x v="0"/>
    <s v="ADM"/>
    <x v="0"/>
    <x v="9"/>
    <m/>
    <x v="1"/>
    <x v="12"/>
    <n v="707.87"/>
    <n v="0"/>
    <n v="0"/>
    <n v="0"/>
    <n v="707.87"/>
    <d v="2025-12-3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0"/>
    <x v="2"/>
    <s v="12"/>
    <s v="30"/>
    <x v="1"/>
    <x v="1"/>
    <s v=""/>
    <s v=""/>
  </r>
  <r>
    <d v="2025-10-01T00:00:00"/>
    <x v="0"/>
    <s v="ADM"/>
    <x v="0"/>
    <x v="9"/>
    <m/>
    <x v="1"/>
    <x v="12"/>
    <n v="707.87"/>
    <n v="0"/>
    <n v="0"/>
    <n v="0"/>
    <n v="707.87"/>
    <d v="2026-01-3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3"/>
    <s v="1"/>
    <s v="30"/>
    <x v="1"/>
    <x v="1"/>
    <s v=""/>
    <s v=""/>
  </r>
  <r>
    <d v="2025-10-01T00:00:00"/>
    <x v="0"/>
    <s v="ADM"/>
    <x v="0"/>
    <x v="9"/>
    <m/>
    <x v="1"/>
    <x v="12"/>
    <n v="707.87"/>
    <n v="0"/>
    <n v="0"/>
    <n v="0"/>
    <n v="707.87"/>
    <d v="2026-02-28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4"/>
    <s v="2"/>
    <s v="28"/>
    <x v="1"/>
    <x v="1"/>
    <s v=""/>
    <s v=""/>
  </r>
  <r>
    <d v="2025-10-01T00:00:00"/>
    <x v="0"/>
    <s v="ADM"/>
    <x v="0"/>
    <x v="9"/>
    <m/>
    <x v="1"/>
    <x v="12"/>
    <n v="707.87"/>
    <n v="0"/>
    <n v="0"/>
    <n v="0"/>
    <n v="707.87"/>
    <d v="2026-03-3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5"/>
    <s v="3"/>
    <s v="30"/>
    <x v="1"/>
    <x v="1"/>
    <s v=""/>
    <s v=""/>
  </r>
  <r>
    <d v="2025-10-01T00:00:00"/>
    <x v="0"/>
    <s v="ADM"/>
    <x v="0"/>
    <x v="9"/>
    <m/>
    <x v="1"/>
    <x v="12"/>
    <n v="707.87"/>
    <n v="0"/>
    <n v="0"/>
    <n v="0"/>
    <n v="707.87"/>
    <d v="2026-04-3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6"/>
    <s v="4"/>
    <s v="30"/>
    <x v="1"/>
    <x v="1"/>
    <s v=""/>
    <s v=""/>
  </r>
  <r>
    <d v="2025-10-01T00:00:00"/>
    <x v="0"/>
    <s v="ADM"/>
    <x v="0"/>
    <x v="9"/>
    <m/>
    <x v="1"/>
    <x v="12"/>
    <n v="707.87"/>
    <n v="0"/>
    <n v="0"/>
    <n v="0"/>
    <n v="707.87"/>
    <d v="2026-05-3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7"/>
    <s v="5"/>
    <s v="30"/>
    <x v="1"/>
    <x v="1"/>
    <s v=""/>
    <s v=""/>
  </r>
  <r>
    <d v="2025-10-01T00:00:00"/>
    <x v="0"/>
    <s v="ADM"/>
    <x v="0"/>
    <x v="9"/>
    <m/>
    <x v="1"/>
    <x v="12"/>
    <n v="707.87"/>
    <n v="0"/>
    <n v="0"/>
    <n v="0"/>
    <n v="707.87"/>
    <d v="2026-06-3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8"/>
    <s v="6"/>
    <s v="30"/>
    <x v="1"/>
    <x v="1"/>
    <s v=""/>
    <s v=""/>
  </r>
  <r>
    <d v="2025-10-01T00:00:00"/>
    <x v="0"/>
    <s v="ADM"/>
    <x v="0"/>
    <x v="9"/>
    <m/>
    <x v="1"/>
    <x v="12"/>
    <n v="707.87"/>
    <n v="0"/>
    <n v="0"/>
    <n v="0"/>
    <n v="707.87"/>
    <d v="2026-07-3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9"/>
    <s v="7"/>
    <s v="30"/>
    <x v="1"/>
    <x v="1"/>
    <s v=""/>
    <s v=""/>
  </r>
  <r>
    <d v="2025-10-01T00:00:00"/>
    <x v="0"/>
    <s v="ADM"/>
    <x v="0"/>
    <x v="9"/>
    <m/>
    <x v="1"/>
    <x v="12"/>
    <n v="707.87"/>
    <n v="0"/>
    <n v="0"/>
    <n v="0"/>
    <n v="707.87"/>
    <d v="2026-08-3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10"/>
    <s v="8"/>
    <s v="30"/>
    <x v="1"/>
    <x v="1"/>
    <s v=""/>
    <s v=""/>
  </r>
  <r>
    <d v="2025-10-01T00:00:00"/>
    <x v="0"/>
    <s v="ADM"/>
    <x v="0"/>
    <x v="9"/>
    <m/>
    <x v="1"/>
    <x v="12"/>
    <n v="707.87"/>
    <n v="0"/>
    <n v="0"/>
    <n v="0"/>
    <n v="707.87"/>
    <d v="2026-09-3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11"/>
    <s v="9"/>
    <s v="30"/>
    <x v="1"/>
    <x v="1"/>
    <s v=""/>
    <s v=""/>
  </r>
  <r>
    <d v="2025-10-01T00:00:00"/>
    <x v="0"/>
    <s v="ADM"/>
    <x v="0"/>
    <x v="9"/>
    <m/>
    <x v="1"/>
    <x v="12"/>
    <n v="707.87"/>
    <n v="0"/>
    <n v="0"/>
    <n v="0"/>
    <n v="707.87"/>
    <d v="2026-10-3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0"/>
    <s v="10"/>
    <s v="30"/>
    <x v="1"/>
    <x v="1"/>
    <s v=""/>
    <s v=""/>
  </r>
  <r>
    <d v="2025-10-01T00:00:00"/>
    <x v="0"/>
    <s v="ADM"/>
    <x v="0"/>
    <x v="9"/>
    <m/>
    <x v="1"/>
    <x v="12"/>
    <n v="707.87"/>
    <n v="0"/>
    <n v="0"/>
    <n v="0"/>
    <n v="707.87"/>
    <d v="2026-11-3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1"/>
    <s v="11"/>
    <s v="30"/>
    <x v="1"/>
    <x v="1"/>
    <s v=""/>
    <s v=""/>
  </r>
  <r>
    <d v="2025-10-01T00:00:00"/>
    <x v="0"/>
    <s v="ADM"/>
    <x v="0"/>
    <x v="9"/>
    <m/>
    <x v="1"/>
    <x v="12"/>
    <n v="707.87"/>
    <n v="0"/>
    <n v="0"/>
    <n v="0"/>
    <n v="707.87"/>
    <d v="2026-12-3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2"/>
    <s v="12"/>
    <s v="30"/>
    <x v="1"/>
    <x v="1"/>
    <s v=""/>
    <s v=""/>
  </r>
  <r>
    <d v="2025-10-01T00:00:00"/>
    <x v="0"/>
    <s v="ADM"/>
    <x v="0"/>
    <x v="10"/>
    <m/>
    <x v="1"/>
    <x v="13"/>
    <n v="100"/>
    <n v="0"/>
    <n v="0"/>
    <n v="0"/>
    <n v="100"/>
    <d v="2025-11-25T00:00:00"/>
    <s v="Hoje"/>
    <m/>
    <x v="1"/>
    <m/>
    <s v="PAGBANK"/>
    <s v="FIXO"/>
    <x v="0"/>
    <x v="1"/>
    <s v=""/>
    <s v="Despesas_Administrativas"/>
    <x v="1"/>
    <x v="0"/>
    <x v="0"/>
    <s v="10"/>
    <s v="1"/>
    <x v="0"/>
    <x v="1"/>
    <s v="11"/>
    <s v="25"/>
    <x v="1"/>
    <x v="1"/>
    <s v=""/>
    <s v=""/>
  </r>
  <r>
    <d v="2025-10-01T00:00:00"/>
    <x v="0"/>
    <s v="ADM"/>
    <x v="0"/>
    <x v="10"/>
    <m/>
    <x v="1"/>
    <x v="13"/>
    <n v="100"/>
    <n v="0"/>
    <n v="0"/>
    <n v="0"/>
    <n v="100"/>
    <d v="2025-12-25T00:00:00"/>
    <s v="Prazo - Menos de 1 Mês"/>
    <m/>
    <x v="2"/>
    <m/>
    <s v="SICOOB"/>
    <s v="FIXO"/>
    <x v="0"/>
    <x v="1"/>
    <s v=""/>
    <s v="Despesas_Administrativas"/>
    <x v="2"/>
    <x v="0"/>
    <x v="0"/>
    <s v="10"/>
    <s v="1"/>
    <x v="0"/>
    <x v="2"/>
    <s v="12"/>
    <s v="25"/>
    <x v="1"/>
    <x v="1"/>
    <s v=""/>
    <s v=""/>
  </r>
  <r>
    <d v="2025-10-01T00:00:00"/>
    <x v="0"/>
    <s v="ADM"/>
    <x v="0"/>
    <x v="10"/>
    <m/>
    <x v="1"/>
    <x v="13"/>
    <n v="100"/>
    <n v="0"/>
    <n v="0"/>
    <n v="0"/>
    <n v="100"/>
    <d v="2026-01-25T00:00:00"/>
    <s v="Prazo - Mais de 1 mês"/>
    <m/>
    <x v="2"/>
    <m/>
    <s v="SICOOB"/>
    <s v="FIXO"/>
    <x v="0"/>
    <x v="1"/>
    <s v=""/>
    <s v="Despesas_Administrativas"/>
    <x v="2"/>
    <x v="0"/>
    <x v="0"/>
    <s v="10"/>
    <s v="1"/>
    <x v="1"/>
    <x v="3"/>
    <s v="1"/>
    <s v="25"/>
    <x v="1"/>
    <x v="1"/>
    <s v=""/>
    <s v=""/>
  </r>
  <r>
    <d v="2025-10-01T00:00:00"/>
    <x v="0"/>
    <s v="ADM"/>
    <x v="0"/>
    <x v="10"/>
    <m/>
    <x v="1"/>
    <x v="13"/>
    <n v="100"/>
    <n v="0"/>
    <n v="0"/>
    <n v="0"/>
    <n v="100"/>
    <d v="2026-02-25T00:00:00"/>
    <s v="Prazo - Mais de 1 mês"/>
    <m/>
    <x v="2"/>
    <m/>
    <s v="SICOOB"/>
    <s v="FIXO"/>
    <x v="0"/>
    <x v="1"/>
    <s v=""/>
    <s v="Despesas_Administrativas"/>
    <x v="2"/>
    <x v="0"/>
    <x v="0"/>
    <s v="10"/>
    <s v="1"/>
    <x v="1"/>
    <x v="4"/>
    <s v="2"/>
    <s v="25"/>
    <x v="1"/>
    <x v="1"/>
    <s v=""/>
    <s v=""/>
  </r>
  <r>
    <d v="2025-10-01T00:00:00"/>
    <x v="0"/>
    <s v="ADM"/>
    <x v="0"/>
    <x v="10"/>
    <m/>
    <x v="1"/>
    <x v="13"/>
    <n v="100"/>
    <n v="0"/>
    <n v="0"/>
    <n v="0"/>
    <n v="100"/>
    <d v="2026-03-25T00:00:00"/>
    <s v="Prazo - Mais de 1 mês"/>
    <m/>
    <x v="2"/>
    <m/>
    <s v="SICOOB"/>
    <s v="FIXO"/>
    <x v="0"/>
    <x v="1"/>
    <s v=""/>
    <s v="Despesas_Administrativas"/>
    <x v="2"/>
    <x v="0"/>
    <x v="0"/>
    <s v="10"/>
    <s v="1"/>
    <x v="1"/>
    <x v="5"/>
    <s v="3"/>
    <s v="25"/>
    <x v="1"/>
    <x v="1"/>
    <s v=""/>
    <s v=""/>
  </r>
  <r>
    <d v="2025-10-01T00:00:00"/>
    <x v="0"/>
    <s v="ADM"/>
    <x v="0"/>
    <x v="10"/>
    <m/>
    <x v="1"/>
    <x v="13"/>
    <n v="100"/>
    <n v="0"/>
    <n v="0"/>
    <n v="0"/>
    <n v="100"/>
    <d v="2026-04-25T00:00:00"/>
    <s v="Prazo - Mais de 1 mês"/>
    <m/>
    <x v="2"/>
    <m/>
    <s v="SICOOB"/>
    <s v="FIXO"/>
    <x v="0"/>
    <x v="1"/>
    <s v=""/>
    <s v="Despesas_Administrativas"/>
    <x v="2"/>
    <x v="0"/>
    <x v="0"/>
    <s v="10"/>
    <s v="1"/>
    <x v="1"/>
    <x v="6"/>
    <s v="4"/>
    <s v="25"/>
    <x v="1"/>
    <x v="1"/>
    <s v=""/>
    <s v=""/>
  </r>
  <r>
    <d v="2025-10-01T00:00:00"/>
    <x v="0"/>
    <s v="ADM"/>
    <x v="0"/>
    <x v="10"/>
    <m/>
    <x v="1"/>
    <x v="13"/>
    <n v="100"/>
    <n v="0"/>
    <n v="0"/>
    <n v="0"/>
    <n v="100"/>
    <d v="2026-05-25T00:00:00"/>
    <s v="Prazo - Mais de 1 mês"/>
    <m/>
    <x v="2"/>
    <m/>
    <s v="SICOOB"/>
    <s v="FIXO"/>
    <x v="0"/>
    <x v="1"/>
    <s v=""/>
    <s v="Despesas_Administrativas"/>
    <x v="2"/>
    <x v="0"/>
    <x v="0"/>
    <s v="10"/>
    <s v="1"/>
    <x v="1"/>
    <x v="7"/>
    <s v="5"/>
    <s v="25"/>
    <x v="1"/>
    <x v="1"/>
    <s v=""/>
    <s v=""/>
  </r>
  <r>
    <d v="2025-10-01T00:00:00"/>
    <x v="0"/>
    <s v="ADM"/>
    <x v="0"/>
    <x v="10"/>
    <m/>
    <x v="1"/>
    <x v="13"/>
    <n v="100"/>
    <n v="0"/>
    <n v="0"/>
    <n v="0"/>
    <n v="100"/>
    <d v="2026-06-25T00:00:00"/>
    <s v="Prazo - Mais de 1 mês"/>
    <m/>
    <x v="2"/>
    <m/>
    <s v="SICOOB"/>
    <s v="FIXO"/>
    <x v="0"/>
    <x v="1"/>
    <s v=""/>
    <s v="Despesas_Administrativas"/>
    <x v="2"/>
    <x v="0"/>
    <x v="0"/>
    <s v="10"/>
    <s v="1"/>
    <x v="1"/>
    <x v="8"/>
    <s v="6"/>
    <s v="25"/>
    <x v="1"/>
    <x v="1"/>
    <s v=""/>
    <s v=""/>
  </r>
  <r>
    <d v="2025-10-01T00:00:00"/>
    <x v="0"/>
    <s v="ADM"/>
    <x v="0"/>
    <x v="10"/>
    <m/>
    <x v="1"/>
    <x v="13"/>
    <n v="100"/>
    <n v="0"/>
    <n v="0"/>
    <n v="0"/>
    <n v="100"/>
    <d v="2026-07-25T00:00:00"/>
    <s v="Prazo - Mais de 1 mês"/>
    <m/>
    <x v="2"/>
    <m/>
    <s v="SICOOB"/>
    <s v="FIXO"/>
    <x v="0"/>
    <x v="1"/>
    <s v=""/>
    <s v="Despesas_Administrativas"/>
    <x v="2"/>
    <x v="0"/>
    <x v="0"/>
    <s v="10"/>
    <s v="1"/>
    <x v="1"/>
    <x v="9"/>
    <s v="7"/>
    <s v="25"/>
    <x v="1"/>
    <x v="1"/>
    <s v=""/>
    <s v=""/>
  </r>
  <r>
    <d v="2025-10-01T00:00:00"/>
    <x v="0"/>
    <s v="ADM"/>
    <x v="0"/>
    <x v="10"/>
    <m/>
    <x v="1"/>
    <x v="13"/>
    <n v="100"/>
    <n v="0"/>
    <n v="0"/>
    <n v="0"/>
    <n v="100"/>
    <d v="2026-08-25T00:00:00"/>
    <s v="Prazo - Mais de 1 mês"/>
    <m/>
    <x v="2"/>
    <m/>
    <s v="SICOOB"/>
    <s v="FIXO"/>
    <x v="0"/>
    <x v="1"/>
    <s v=""/>
    <s v="Despesas_Administrativas"/>
    <x v="2"/>
    <x v="0"/>
    <x v="0"/>
    <s v="10"/>
    <s v="1"/>
    <x v="1"/>
    <x v="10"/>
    <s v="8"/>
    <s v="25"/>
    <x v="1"/>
    <x v="1"/>
    <s v=""/>
    <s v=""/>
  </r>
  <r>
    <d v="2025-10-01T00:00:00"/>
    <x v="0"/>
    <s v="ADM"/>
    <x v="0"/>
    <x v="10"/>
    <m/>
    <x v="1"/>
    <x v="13"/>
    <n v="100"/>
    <n v="0"/>
    <n v="0"/>
    <n v="0"/>
    <n v="100"/>
    <d v="2026-09-25T00:00:00"/>
    <s v="Prazo - Mais de 1 mês"/>
    <m/>
    <x v="2"/>
    <m/>
    <s v="SICOOB"/>
    <s v="FIXO"/>
    <x v="0"/>
    <x v="1"/>
    <s v=""/>
    <s v="Despesas_Administrativas"/>
    <x v="2"/>
    <x v="0"/>
    <x v="0"/>
    <s v="10"/>
    <s v="1"/>
    <x v="1"/>
    <x v="11"/>
    <s v="9"/>
    <s v="25"/>
    <x v="1"/>
    <x v="1"/>
    <s v=""/>
    <s v=""/>
  </r>
  <r>
    <d v="2025-10-01T00:00:00"/>
    <x v="0"/>
    <s v="ADM"/>
    <x v="0"/>
    <x v="10"/>
    <m/>
    <x v="1"/>
    <x v="13"/>
    <n v="100"/>
    <n v="0"/>
    <n v="0"/>
    <n v="0"/>
    <n v="100"/>
    <d v="2026-10-25T00:00:00"/>
    <s v="Prazo - Mais de 1 mês"/>
    <m/>
    <x v="2"/>
    <m/>
    <s v="SICOOB"/>
    <s v="FIXO"/>
    <x v="0"/>
    <x v="1"/>
    <s v=""/>
    <s v="Despesas_Administrativas"/>
    <x v="2"/>
    <x v="0"/>
    <x v="0"/>
    <s v="10"/>
    <s v="1"/>
    <x v="1"/>
    <x v="0"/>
    <s v="10"/>
    <s v="25"/>
    <x v="1"/>
    <x v="1"/>
    <s v=""/>
    <s v=""/>
  </r>
  <r>
    <d v="2025-10-01T00:00:00"/>
    <x v="0"/>
    <s v="ADM"/>
    <x v="0"/>
    <x v="10"/>
    <m/>
    <x v="1"/>
    <x v="13"/>
    <n v="100"/>
    <n v="0"/>
    <n v="0"/>
    <n v="0"/>
    <n v="100"/>
    <d v="2026-11-25T00:00:00"/>
    <s v="Prazo - Mais de 1 mês"/>
    <m/>
    <x v="2"/>
    <m/>
    <s v="SICOOB"/>
    <s v="FIXO"/>
    <x v="0"/>
    <x v="1"/>
    <s v=""/>
    <s v="Despesas_Administrativas"/>
    <x v="2"/>
    <x v="0"/>
    <x v="0"/>
    <s v="10"/>
    <s v="1"/>
    <x v="1"/>
    <x v="1"/>
    <s v="11"/>
    <s v="25"/>
    <x v="1"/>
    <x v="1"/>
    <s v=""/>
    <s v=""/>
  </r>
  <r>
    <d v="2025-10-01T00:00:00"/>
    <x v="0"/>
    <s v="ADM"/>
    <x v="0"/>
    <x v="10"/>
    <m/>
    <x v="1"/>
    <x v="13"/>
    <n v="100"/>
    <n v="0"/>
    <n v="0"/>
    <n v="0"/>
    <n v="100"/>
    <d v="2026-12-25T00:00:00"/>
    <s v="Prazo - Mais de 1 mês"/>
    <m/>
    <x v="2"/>
    <m/>
    <s v="SICOOB"/>
    <s v="FIXO"/>
    <x v="0"/>
    <x v="1"/>
    <s v=""/>
    <s v="Despesas_Administrativas"/>
    <x v="2"/>
    <x v="0"/>
    <x v="0"/>
    <s v="10"/>
    <s v="1"/>
    <x v="1"/>
    <x v="2"/>
    <s v="12"/>
    <s v="25"/>
    <x v="1"/>
    <x v="1"/>
    <s v=""/>
    <s v=""/>
  </r>
  <r>
    <d v="2025-10-01T00:00:00"/>
    <x v="0"/>
    <s v="ADM"/>
    <x v="0"/>
    <x v="11"/>
    <m/>
    <x v="0"/>
    <x v="14"/>
    <n v="1300"/>
    <n v="0"/>
    <n v="0"/>
    <n v="0"/>
    <n v="1300"/>
    <d v="2025-10-10T00:00:00"/>
    <s v="Pago"/>
    <d v="2025-10-10T00:00:00"/>
    <x v="0"/>
    <m/>
    <s v="PAGBANK"/>
    <s v="FIXO"/>
    <x v="0"/>
    <x v="0"/>
    <s v="OUTUBRO"/>
    <s v="Despesas_Administrativas"/>
    <x v="0"/>
    <x v="0"/>
    <x v="0"/>
    <s v="10"/>
    <s v="1"/>
    <x v="0"/>
    <x v="0"/>
    <s v="10"/>
    <s v="10"/>
    <x v="0"/>
    <x v="0"/>
    <s v="10"/>
    <s v="10"/>
  </r>
  <r>
    <d v="2025-10-01T00:00:00"/>
    <x v="0"/>
    <s v="ADM"/>
    <x v="0"/>
    <x v="11"/>
    <s v="FAZER REEMBOLSO SALOMÃO"/>
    <x v="0"/>
    <x v="14"/>
    <n v="1300"/>
    <n v="0"/>
    <n v="0"/>
    <n v="0"/>
    <n v="1300"/>
    <d v="2025-11-10T00:00:00"/>
    <s v="Pago"/>
    <d v="2025-11-10T00:00:00"/>
    <x v="0"/>
    <m/>
    <s v="PAGBANK"/>
    <s v="FIXO"/>
    <x v="0"/>
    <x v="0"/>
    <s v="NOVEMBRO"/>
    <s v="Despesas_Administrativas"/>
    <x v="0"/>
    <x v="0"/>
    <x v="0"/>
    <s v="10"/>
    <s v="1"/>
    <x v="0"/>
    <x v="1"/>
    <s v="11"/>
    <s v="10"/>
    <x v="0"/>
    <x v="2"/>
    <s v="11"/>
    <s v="10"/>
  </r>
  <r>
    <d v="2025-10-01T00:00:00"/>
    <x v="0"/>
    <s v="ADM"/>
    <x v="0"/>
    <x v="11"/>
    <m/>
    <x v="0"/>
    <x v="14"/>
    <n v="1300"/>
    <n v="0"/>
    <n v="0"/>
    <n v="0"/>
    <n v="1300"/>
    <d v="2025-12-10T00:00:00"/>
    <s v="Prazo - Menos de 1 Mês"/>
    <m/>
    <x v="0"/>
    <m/>
    <s v="PAGBANK"/>
    <s v="FIXO"/>
    <x v="0"/>
    <x v="1"/>
    <s v=""/>
    <s v="Despesas_Administrativas"/>
    <x v="0"/>
    <x v="0"/>
    <x v="0"/>
    <s v="10"/>
    <s v="1"/>
    <x v="0"/>
    <x v="2"/>
    <s v="12"/>
    <s v="10"/>
    <x v="1"/>
    <x v="1"/>
    <s v=""/>
    <s v=""/>
  </r>
  <r>
    <d v="2025-10-01T00:00:00"/>
    <x v="0"/>
    <s v="ADM"/>
    <x v="0"/>
    <x v="11"/>
    <m/>
    <x v="0"/>
    <x v="14"/>
    <n v="1300"/>
    <n v="0"/>
    <n v="0"/>
    <n v="0"/>
    <n v="1300"/>
    <d v="2025-12-20T00:00:00"/>
    <s v="Prazo - Menos de 1 Mês"/>
    <m/>
    <x v="0"/>
    <m/>
    <s v="PAGBANK"/>
    <s v="FIXO"/>
    <x v="0"/>
    <x v="1"/>
    <s v=""/>
    <s v="Despesas_Administrativas"/>
    <x v="0"/>
    <x v="0"/>
    <x v="0"/>
    <s v="10"/>
    <s v="1"/>
    <x v="0"/>
    <x v="2"/>
    <s v="12"/>
    <s v="20"/>
    <x v="1"/>
    <x v="1"/>
    <s v=""/>
    <s v=""/>
  </r>
  <r>
    <d v="2025-10-01T00:00:00"/>
    <x v="0"/>
    <s v="ADM"/>
    <x v="0"/>
    <x v="11"/>
    <m/>
    <x v="0"/>
    <x v="14"/>
    <n v="1300"/>
    <n v="0"/>
    <n v="0"/>
    <n v="0"/>
    <n v="1300"/>
    <d v="2026-01-10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3"/>
    <s v="1"/>
    <s v="10"/>
    <x v="1"/>
    <x v="1"/>
    <s v=""/>
    <s v=""/>
  </r>
  <r>
    <d v="2025-10-01T00:00:00"/>
    <x v="0"/>
    <s v="ADM"/>
    <x v="0"/>
    <x v="11"/>
    <m/>
    <x v="0"/>
    <x v="14"/>
    <n v="1300"/>
    <n v="0"/>
    <n v="0"/>
    <n v="0"/>
    <n v="1300"/>
    <d v="2026-02-10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4"/>
    <s v="2"/>
    <s v="10"/>
    <x v="1"/>
    <x v="1"/>
    <s v=""/>
    <s v=""/>
  </r>
  <r>
    <d v="2025-10-01T00:00:00"/>
    <x v="0"/>
    <s v="ADM"/>
    <x v="0"/>
    <x v="11"/>
    <m/>
    <x v="0"/>
    <x v="14"/>
    <n v="1300"/>
    <n v="0"/>
    <n v="0"/>
    <n v="0"/>
    <n v="1300"/>
    <d v="2026-03-10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5"/>
    <s v="3"/>
    <s v="10"/>
    <x v="1"/>
    <x v="1"/>
    <s v=""/>
    <s v=""/>
  </r>
  <r>
    <d v="2025-10-01T00:00:00"/>
    <x v="0"/>
    <s v="ADM"/>
    <x v="0"/>
    <x v="11"/>
    <m/>
    <x v="0"/>
    <x v="14"/>
    <n v="1300"/>
    <n v="0"/>
    <n v="0"/>
    <n v="0"/>
    <n v="1300"/>
    <d v="2026-04-10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6"/>
    <s v="4"/>
    <s v="10"/>
    <x v="1"/>
    <x v="1"/>
    <s v=""/>
    <s v=""/>
  </r>
  <r>
    <d v="2025-10-01T00:00:00"/>
    <x v="0"/>
    <s v="ADM"/>
    <x v="0"/>
    <x v="11"/>
    <m/>
    <x v="0"/>
    <x v="14"/>
    <n v="1300"/>
    <n v="0"/>
    <n v="0"/>
    <n v="0"/>
    <n v="1300"/>
    <d v="2026-05-10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7"/>
    <s v="5"/>
    <s v="10"/>
    <x v="1"/>
    <x v="1"/>
    <s v=""/>
    <s v=""/>
  </r>
  <r>
    <d v="2025-10-01T00:00:00"/>
    <x v="0"/>
    <s v="ADM"/>
    <x v="0"/>
    <x v="11"/>
    <m/>
    <x v="0"/>
    <x v="14"/>
    <n v="1300"/>
    <n v="0"/>
    <n v="0"/>
    <n v="0"/>
    <n v="1300"/>
    <d v="2026-07-10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9"/>
    <s v="7"/>
    <s v="10"/>
    <x v="1"/>
    <x v="1"/>
    <s v=""/>
    <s v=""/>
  </r>
  <r>
    <d v="2025-10-01T00:00:00"/>
    <x v="0"/>
    <s v="ADM"/>
    <x v="0"/>
    <x v="11"/>
    <m/>
    <x v="0"/>
    <x v="14"/>
    <n v="1300"/>
    <n v="0"/>
    <n v="0"/>
    <n v="0"/>
    <n v="1300"/>
    <d v="2026-08-10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10"/>
    <s v="8"/>
    <s v="10"/>
    <x v="1"/>
    <x v="1"/>
    <s v=""/>
    <s v=""/>
  </r>
  <r>
    <d v="2025-10-01T00:00:00"/>
    <x v="0"/>
    <s v="ADM"/>
    <x v="0"/>
    <x v="11"/>
    <m/>
    <x v="0"/>
    <x v="14"/>
    <n v="1300"/>
    <n v="0"/>
    <n v="0"/>
    <n v="0"/>
    <n v="1300"/>
    <d v="2026-09-10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11"/>
    <s v="9"/>
    <s v="10"/>
    <x v="1"/>
    <x v="1"/>
    <s v=""/>
    <s v=""/>
  </r>
  <r>
    <d v="2025-10-01T00:00:00"/>
    <x v="0"/>
    <s v="ADM"/>
    <x v="0"/>
    <x v="11"/>
    <m/>
    <x v="0"/>
    <x v="14"/>
    <n v="1300"/>
    <n v="0"/>
    <n v="0"/>
    <n v="0"/>
    <n v="1300"/>
    <d v="2026-10-10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0"/>
    <s v="10"/>
    <s v="10"/>
    <x v="1"/>
    <x v="1"/>
    <s v=""/>
    <s v=""/>
  </r>
  <r>
    <d v="2025-10-01T00:00:00"/>
    <x v="0"/>
    <s v="ADM"/>
    <x v="0"/>
    <x v="11"/>
    <m/>
    <x v="0"/>
    <x v="14"/>
    <n v="1300"/>
    <n v="0"/>
    <n v="0"/>
    <n v="0"/>
    <n v="1300"/>
    <d v="2026-11-10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1"/>
    <s v="11"/>
    <s v="10"/>
    <x v="1"/>
    <x v="1"/>
    <s v=""/>
    <s v=""/>
  </r>
  <r>
    <d v="2025-10-01T00:00:00"/>
    <x v="0"/>
    <s v="ADM"/>
    <x v="0"/>
    <x v="11"/>
    <m/>
    <x v="0"/>
    <x v="14"/>
    <n v="1300"/>
    <n v="0"/>
    <n v="0"/>
    <n v="0"/>
    <n v="1300"/>
    <d v="2026-12-10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2"/>
    <s v="12"/>
    <s v="10"/>
    <x v="1"/>
    <x v="1"/>
    <s v=""/>
    <s v=""/>
  </r>
  <r>
    <d v="2025-10-01T00:00:00"/>
    <x v="0"/>
    <s v="ADM"/>
    <x v="0"/>
    <x v="11"/>
    <m/>
    <x v="0"/>
    <x v="14"/>
    <n v="1300"/>
    <n v="0"/>
    <n v="0"/>
    <n v="0"/>
    <n v="1300"/>
    <d v="2026-12-20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2"/>
    <s v="12"/>
    <s v="20"/>
    <x v="1"/>
    <x v="1"/>
    <s v=""/>
    <s v=""/>
  </r>
  <r>
    <d v="2025-10-01T00:00:00"/>
    <x v="0"/>
    <s v="ADM"/>
    <x v="0"/>
    <x v="12"/>
    <m/>
    <x v="0"/>
    <x v="15"/>
    <n v="1200"/>
    <n v="0"/>
    <n v="0"/>
    <n v="0"/>
    <n v="1200"/>
    <d v="2025-10-22T00:00:00"/>
    <s v="Pago"/>
    <d v="2025-11-05T00:00:00"/>
    <x v="0"/>
    <m/>
    <s v="PAGBANK"/>
    <s v="FIXO"/>
    <x v="0"/>
    <x v="0"/>
    <s v="NOVEMBRO"/>
    <s v="Despesas_Administrativas"/>
    <x v="0"/>
    <x v="0"/>
    <x v="0"/>
    <s v="10"/>
    <s v="1"/>
    <x v="0"/>
    <x v="0"/>
    <s v="10"/>
    <s v="22"/>
    <x v="0"/>
    <x v="2"/>
    <s v="11"/>
    <s v="5"/>
  </r>
  <r>
    <d v="2025-10-01T00:00:00"/>
    <x v="0"/>
    <s v="ADM"/>
    <x v="0"/>
    <x v="12"/>
    <m/>
    <x v="0"/>
    <x v="15"/>
    <n v="1200"/>
    <n v="0"/>
    <n v="0"/>
    <n v="0"/>
    <n v="1200"/>
    <d v="2025-11-22T00:00:00"/>
    <s v="Venceu"/>
    <m/>
    <x v="0"/>
    <m/>
    <s v="PAGBANK"/>
    <s v="FIXO"/>
    <x v="0"/>
    <x v="1"/>
    <s v=""/>
    <s v="Despesas_Administrativas"/>
    <x v="0"/>
    <x v="0"/>
    <x v="0"/>
    <s v="10"/>
    <s v="1"/>
    <x v="0"/>
    <x v="1"/>
    <s v="11"/>
    <s v="22"/>
    <x v="1"/>
    <x v="1"/>
    <s v=""/>
    <s v=""/>
  </r>
  <r>
    <d v="2025-10-01T00:00:00"/>
    <x v="0"/>
    <s v="ADM"/>
    <x v="0"/>
    <x v="12"/>
    <m/>
    <x v="0"/>
    <x v="15"/>
    <n v="1200"/>
    <n v="0"/>
    <n v="0"/>
    <n v="0"/>
    <n v="1200"/>
    <d v="2025-12-22T00:00:00"/>
    <s v="Prazo - Menos de 1 Mês"/>
    <m/>
    <x v="0"/>
    <m/>
    <s v="PAGBANK"/>
    <s v="FIXO"/>
    <x v="0"/>
    <x v="1"/>
    <s v=""/>
    <s v="Despesas_Administrativas"/>
    <x v="0"/>
    <x v="0"/>
    <x v="0"/>
    <s v="10"/>
    <s v="1"/>
    <x v="0"/>
    <x v="2"/>
    <s v="12"/>
    <s v="22"/>
    <x v="1"/>
    <x v="1"/>
    <s v=""/>
    <s v=""/>
  </r>
  <r>
    <d v="2025-10-01T00:00:00"/>
    <x v="0"/>
    <s v="ADM"/>
    <x v="0"/>
    <x v="12"/>
    <m/>
    <x v="0"/>
    <x v="15"/>
    <n v="1200"/>
    <n v="0"/>
    <n v="0"/>
    <n v="0"/>
    <n v="1200"/>
    <d v="2026-01-22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3"/>
    <s v="1"/>
    <s v="22"/>
    <x v="1"/>
    <x v="1"/>
    <s v=""/>
    <s v=""/>
  </r>
  <r>
    <d v="2025-10-01T00:00:00"/>
    <x v="0"/>
    <s v="ADM"/>
    <x v="0"/>
    <x v="12"/>
    <m/>
    <x v="0"/>
    <x v="15"/>
    <n v="1200"/>
    <n v="0"/>
    <n v="0"/>
    <n v="0"/>
    <n v="1200"/>
    <d v="2026-02-22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4"/>
    <s v="2"/>
    <s v="22"/>
    <x v="1"/>
    <x v="1"/>
    <s v=""/>
    <s v=""/>
  </r>
  <r>
    <d v="2025-10-01T00:00:00"/>
    <x v="0"/>
    <s v="ADM"/>
    <x v="0"/>
    <x v="12"/>
    <m/>
    <x v="0"/>
    <x v="15"/>
    <n v="1200"/>
    <n v="0"/>
    <n v="0"/>
    <n v="0"/>
    <n v="1200"/>
    <d v="2026-03-22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5"/>
    <s v="3"/>
    <s v="22"/>
    <x v="1"/>
    <x v="1"/>
    <s v=""/>
    <s v=""/>
  </r>
  <r>
    <d v="2025-10-01T00:00:00"/>
    <x v="0"/>
    <s v="ADM"/>
    <x v="0"/>
    <x v="12"/>
    <m/>
    <x v="0"/>
    <x v="15"/>
    <n v="1200"/>
    <n v="0"/>
    <n v="0"/>
    <n v="0"/>
    <n v="1200"/>
    <d v="2026-04-22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6"/>
    <s v="4"/>
    <s v="22"/>
    <x v="1"/>
    <x v="1"/>
    <s v=""/>
    <s v=""/>
  </r>
  <r>
    <d v="2025-10-01T00:00:00"/>
    <x v="0"/>
    <s v="ADM"/>
    <x v="0"/>
    <x v="12"/>
    <m/>
    <x v="0"/>
    <x v="15"/>
    <n v="1200"/>
    <n v="0"/>
    <n v="0"/>
    <n v="0"/>
    <n v="1200"/>
    <d v="2026-05-22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7"/>
    <s v="5"/>
    <s v="22"/>
    <x v="1"/>
    <x v="1"/>
    <s v=""/>
    <s v=""/>
  </r>
  <r>
    <d v="2025-10-01T00:00:00"/>
    <x v="0"/>
    <s v="ADM"/>
    <x v="0"/>
    <x v="12"/>
    <m/>
    <x v="0"/>
    <x v="15"/>
    <n v="1200"/>
    <n v="0"/>
    <n v="0"/>
    <n v="0"/>
    <n v="1200"/>
    <d v="2026-06-22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8"/>
    <s v="6"/>
    <s v="22"/>
    <x v="1"/>
    <x v="1"/>
    <s v=""/>
    <s v=""/>
  </r>
  <r>
    <d v="2025-10-01T00:00:00"/>
    <x v="0"/>
    <s v="ADM"/>
    <x v="0"/>
    <x v="12"/>
    <m/>
    <x v="0"/>
    <x v="15"/>
    <n v="1200"/>
    <n v="0"/>
    <n v="0"/>
    <n v="0"/>
    <n v="1200"/>
    <d v="2026-07-22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9"/>
    <s v="7"/>
    <s v="22"/>
    <x v="1"/>
    <x v="1"/>
    <s v=""/>
    <s v=""/>
  </r>
  <r>
    <d v="2025-10-01T00:00:00"/>
    <x v="0"/>
    <s v="ADM"/>
    <x v="0"/>
    <x v="12"/>
    <m/>
    <x v="0"/>
    <x v="15"/>
    <n v="1200"/>
    <n v="0"/>
    <n v="0"/>
    <n v="0"/>
    <n v="1200"/>
    <d v="2026-08-22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10"/>
    <s v="8"/>
    <s v="22"/>
    <x v="1"/>
    <x v="1"/>
    <s v=""/>
    <s v=""/>
  </r>
  <r>
    <d v="2025-10-01T00:00:00"/>
    <x v="0"/>
    <s v="ADM"/>
    <x v="0"/>
    <x v="12"/>
    <m/>
    <x v="0"/>
    <x v="15"/>
    <n v="1200"/>
    <n v="0"/>
    <n v="0"/>
    <n v="0"/>
    <n v="1200"/>
    <d v="2026-09-22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11"/>
    <s v="9"/>
    <s v="22"/>
    <x v="1"/>
    <x v="1"/>
    <s v=""/>
    <s v=""/>
  </r>
  <r>
    <d v="2025-10-01T00:00:00"/>
    <x v="0"/>
    <s v="ADM"/>
    <x v="0"/>
    <x v="12"/>
    <m/>
    <x v="0"/>
    <x v="15"/>
    <n v="1200"/>
    <n v="0"/>
    <n v="0"/>
    <n v="0"/>
    <n v="1200"/>
    <d v="2026-10-22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0"/>
    <s v="10"/>
    <s v="22"/>
    <x v="1"/>
    <x v="1"/>
    <s v=""/>
    <s v=""/>
  </r>
  <r>
    <d v="2025-10-01T00:00:00"/>
    <x v="0"/>
    <s v="ADM"/>
    <x v="0"/>
    <x v="12"/>
    <m/>
    <x v="0"/>
    <x v="15"/>
    <n v="1200"/>
    <n v="0"/>
    <n v="0"/>
    <n v="0"/>
    <n v="1200"/>
    <d v="2026-11-22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1"/>
    <s v="11"/>
    <s v="22"/>
    <x v="1"/>
    <x v="1"/>
    <s v=""/>
    <s v=""/>
  </r>
  <r>
    <d v="2025-10-01T00:00:00"/>
    <x v="0"/>
    <s v="ADM"/>
    <x v="0"/>
    <x v="12"/>
    <m/>
    <x v="0"/>
    <x v="15"/>
    <n v="1200"/>
    <n v="0"/>
    <n v="0"/>
    <n v="0"/>
    <n v="1200"/>
    <d v="2026-12-22T00:00:00"/>
    <s v="Prazo - Mais de 1 mês"/>
    <m/>
    <x v="0"/>
    <m/>
    <s v="PAGBANK"/>
    <s v="FIXO"/>
    <x v="0"/>
    <x v="1"/>
    <s v=""/>
    <s v="Despesas_Administrativas"/>
    <x v="0"/>
    <x v="0"/>
    <x v="0"/>
    <s v="10"/>
    <s v="1"/>
    <x v="1"/>
    <x v="2"/>
    <s v="12"/>
    <s v="22"/>
    <x v="1"/>
    <x v="1"/>
    <s v=""/>
    <s v=""/>
  </r>
  <r>
    <d v="2025-10-01T00:00:00"/>
    <x v="0"/>
    <s v="ADM"/>
    <x v="2"/>
    <x v="13"/>
    <s v="PARCELA 17/21"/>
    <x v="0"/>
    <x v="16"/>
    <n v="875"/>
    <n v="0"/>
    <n v="0"/>
    <n v="0"/>
    <n v="875"/>
    <d v="2025-10-22T00:00:00"/>
    <s v="Pago"/>
    <d v="2025-10-22T00:00:00"/>
    <x v="0"/>
    <m/>
    <s v="PAGBANK"/>
    <s v="FIXO"/>
    <x v="0"/>
    <x v="0"/>
    <s v="OUTUBRO"/>
    <s v="Despesas_Com_RH"/>
    <x v="0"/>
    <x v="0"/>
    <x v="0"/>
    <s v="10"/>
    <s v="1"/>
    <x v="0"/>
    <x v="0"/>
    <s v="10"/>
    <s v="22"/>
    <x v="0"/>
    <x v="0"/>
    <s v="10"/>
    <s v="22"/>
  </r>
  <r>
    <d v="2025-10-01T00:00:00"/>
    <x v="0"/>
    <s v="ADM"/>
    <x v="2"/>
    <x v="13"/>
    <s v="PARCELA 18/21"/>
    <x v="0"/>
    <x v="16"/>
    <n v="875"/>
    <n v="0"/>
    <n v="0"/>
    <n v="0"/>
    <n v="875"/>
    <d v="2025-11-22T00:00:00"/>
    <s v="Venceu"/>
    <m/>
    <x v="0"/>
    <m/>
    <s v="PAGBANK"/>
    <s v="FIXO"/>
    <x v="0"/>
    <x v="1"/>
    <s v=""/>
    <s v="Despesas_Com_RH"/>
    <x v="0"/>
    <x v="0"/>
    <x v="0"/>
    <s v="10"/>
    <s v="1"/>
    <x v="0"/>
    <x v="1"/>
    <s v="11"/>
    <s v="22"/>
    <x v="1"/>
    <x v="1"/>
    <s v=""/>
    <s v=""/>
  </r>
  <r>
    <d v="2025-10-01T00:00:00"/>
    <x v="0"/>
    <s v="ADM"/>
    <x v="2"/>
    <x v="13"/>
    <s v="PARCELA 19/21"/>
    <x v="0"/>
    <x v="16"/>
    <n v="875"/>
    <n v="0"/>
    <n v="0"/>
    <n v="0"/>
    <n v="875"/>
    <d v="2025-12-22T00:00:00"/>
    <s v="Prazo - Menos de 1 Mês"/>
    <m/>
    <x v="0"/>
    <m/>
    <s v="PAGBANK"/>
    <s v="FIXO"/>
    <x v="0"/>
    <x v="1"/>
    <s v=""/>
    <s v="Despesas_Com_RH"/>
    <x v="0"/>
    <x v="0"/>
    <x v="0"/>
    <s v="10"/>
    <s v="1"/>
    <x v="0"/>
    <x v="2"/>
    <s v="12"/>
    <s v="22"/>
    <x v="1"/>
    <x v="1"/>
    <s v=""/>
    <s v=""/>
  </r>
  <r>
    <d v="2025-10-01T00:00:00"/>
    <x v="0"/>
    <s v="ADM"/>
    <x v="2"/>
    <x v="13"/>
    <s v="PARCELA 20/21"/>
    <x v="0"/>
    <x v="16"/>
    <n v="875"/>
    <n v="0"/>
    <n v="0"/>
    <n v="0"/>
    <n v="875"/>
    <d v="2026-01-22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3"/>
    <s v="1"/>
    <s v="22"/>
    <x v="1"/>
    <x v="1"/>
    <s v=""/>
    <s v=""/>
  </r>
  <r>
    <d v="2025-10-01T00:00:00"/>
    <x v="0"/>
    <s v="ADM"/>
    <x v="2"/>
    <x v="13"/>
    <s v="PARCELA 21/21"/>
    <x v="0"/>
    <x v="16"/>
    <n v="875"/>
    <n v="0"/>
    <n v="0"/>
    <n v="0"/>
    <n v="875"/>
    <d v="2026-02-22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4"/>
    <s v="2"/>
    <s v="22"/>
    <x v="1"/>
    <x v="1"/>
    <s v=""/>
    <s v=""/>
  </r>
  <r>
    <d v="2025-10-01T00:00:00"/>
    <x v="0"/>
    <s v="ADM"/>
    <x v="2"/>
    <x v="13"/>
    <s v="PARCELA 09/54"/>
    <x v="0"/>
    <x v="17"/>
    <n v="2000"/>
    <n v="0"/>
    <n v="0"/>
    <n v="0"/>
    <n v="2000"/>
    <d v="2025-10-13T00:00:00"/>
    <s v="Pago"/>
    <d v="2025-10-09T00:00:00"/>
    <x v="0"/>
    <m/>
    <s v="PAGBANK"/>
    <s v="FIXO"/>
    <x v="0"/>
    <x v="0"/>
    <s v="OUTUBRO"/>
    <s v="Despesas_Com_RH"/>
    <x v="0"/>
    <x v="0"/>
    <x v="0"/>
    <s v="10"/>
    <s v="1"/>
    <x v="0"/>
    <x v="0"/>
    <s v="10"/>
    <s v="13"/>
    <x v="0"/>
    <x v="0"/>
    <s v="10"/>
    <s v="9"/>
  </r>
  <r>
    <d v="2025-10-01T00:00:00"/>
    <x v="0"/>
    <s v="ADM"/>
    <x v="2"/>
    <x v="13"/>
    <s v="PARCELA 10/54"/>
    <x v="0"/>
    <x v="17"/>
    <n v="2000"/>
    <n v="0"/>
    <n v="0"/>
    <n v="0"/>
    <n v="2000"/>
    <d v="2025-11-13T00:00:00"/>
    <s v="Pago"/>
    <d v="2025-10-22T00:00:00"/>
    <x v="0"/>
    <m/>
    <s v="PAGBANK"/>
    <s v="FIXO"/>
    <x v="0"/>
    <x v="0"/>
    <s v="OUTUBRO"/>
    <s v="Despesas_Com_RH"/>
    <x v="0"/>
    <x v="0"/>
    <x v="0"/>
    <s v="10"/>
    <s v="1"/>
    <x v="0"/>
    <x v="1"/>
    <s v="11"/>
    <s v="13"/>
    <x v="0"/>
    <x v="0"/>
    <s v="10"/>
    <s v="22"/>
  </r>
  <r>
    <d v="2025-10-01T00:00:00"/>
    <x v="0"/>
    <s v="ADM"/>
    <x v="2"/>
    <x v="13"/>
    <s v="PARCELA 11/54"/>
    <x v="0"/>
    <x v="17"/>
    <n v="2000"/>
    <n v="0"/>
    <n v="0"/>
    <n v="0"/>
    <n v="2000"/>
    <d v="2025-12-13T00:00:00"/>
    <s v="Prazo - Menos de 1 Mês"/>
    <m/>
    <x v="0"/>
    <m/>
    <s v="PAGBANK"/>
    <s v="FIXO"/>
    <x v="0"/>
    <x v="1"/>
    <s v=""/>
    <s v="Despesas_Com_RH"/>
    <x v="0"/>
    <x v="0"/>
    <x v="0"/>
    <s v="10"/>
    <s v="1"/>
    <x v="0"/>
    <x v="2"/>
    <s v="12"/>
    <s v="13"/>
    <x v="1"/>
    <x v="1"/>
    <s v=""/>
    <s v=""/>
  </r>
  <r>
    <d v="2025-10-01T00:00:00"/>
    <x v="0"/>
    <s v="ADM"/>
    <x v="2"/>
    <x v="13"/>
    <s v="PARCELA 12/54"/>
    <x v="0"/>
    <x v="17"/>
    <n v="2000"/>
    <n v="0"/>
    <n v="0"/>
    <n v="0"/>
    <n v="2000"/>
    <d v="2026-01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3"/>
    <s v="1"/>
    <s v="13"/>
    <x v="1"/>
    <x v="1"/>
    <s v=""/>
    <s v=""/>
  </r>
  <r>
    <d v="2025-10-01T00:00:00"/>
    <x v="0"/>
    <s v="ADM"/>
    <x v="2"/>
    <x v="13"/>
    <s v="PARCELA 13/54"/>
    <x v="0"/>
    <x v="17"/>
    <n v="2000"/>
    <n v="0"/>
    <n v="0"/>
    <n v="0"/>
    <n v="2000"/>
    <d v="2026-02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4"/>
    <s v="2"/>
    <s v="13"/>
    <x v="1"/>
    <x v="1"/>
    <s v=""/>
    <s v=""/>
  </r>
  <r>
    <d v="2025-10-01T00:00:00"/>
    <x v="0"/>
    <s v="ADM"/>
    <x v="2"/>
    <x v="13"/>
    <s v="PARCELA 14/54"/>
    <x v="0"/>
    <x v="17"/>
    <n v="2000"/>
    <n v="0"/>
    <n v="0"/>
    <n v="0"/>
    <n v="2000"/>
    <d v="2026-03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5"/>
    <s v="3"/>
    <s v="13"/>
    <x v="1"/>
    <x v="1"/>
    <s v=""/>
    <s v=""/>
  </r>
  <r>
    <d v="2025-10-01T00:00:00"/>
    <x v="0"/>
    <s v="ADM"/>
    <x v="2"/>
    <x v="13"/>
    <s v="PARCELA 15/54"/>
    <x v="0"/>
    <x v="17"/>
    <n v="2000"/>
    <n v="0"/>
    <n v="0"/>
    <n v="0"/>
    <n v="2000"/>
    <d v="2026-04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6"/>
    <s v="4"/>
    <s v="13"/>
    <x v="1"/>
    <x v="1"/>
    <s v=""/>
    <s v=""/>
  </r>
  <r>
    <d v="2025-10-01T00:00:00"/>
    <x v="0"/>
    <s v="ADM"/>
    <x v="2"/>
    <x v="13"/>
    <s v="PARCELA 16/54"/>
    <x v="0"/>
    <x v="17"/>
    <n v="2000"/>
    <n v="0"/>
    <n v="0"/>
    <n v="0"/>
    <n v="2000"/>
    <d v="2026-05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7"/>
    <s v="5"/>
    <s v="13"/>
    <x v="1"/>
    <x v="1"/>
    <s v=""/>
    <s v=""/>
  </r>
  <r>
    <d v="2025-10-01T00:00:00"/>
    <x v="0"/>
    <s v="ADM"/>
    <x v="2"/>
    <x v="13"/>
    <s v="PARCELA 17/54"/>
    <x v="0"/>
    <x v="17"/>
    <n v="2000"/>
    <n v="0"/>
    <n v="0"/>
    <n v="0"/>
    <n v="2000"/>
    <d v="2026-06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8"/>
    <s v="6"/>
    <s v="13"/>
    <x v="1"/>
    <x v="1"/>
    <s v=""/>
    <s v=""/>
  </r>
  <r>
    <d v="2025-10-01T00:00:00"/>
    <x v="0"/>
    <s v="ADM"/>
    <x v="2"/>
    <x v="13"/>
    <s v="PARCELA 18/54"/>
    <x v="0"/>
    <x v="17"/>
    <n v="2000"/>
    <n v="0"/>
    <n v="0"/>
    <n v="0"/>
    <n v="2000"/>
    <d v="2026-07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9"/>
    <s v="7"/>
    <s v="13"/>
    <x v="1"/>
    <x v="1"/>
    <s v=""/>
    <s v=""/>
  </r>
  <r>
    <d v="2025-10-01T00:00:00"/>
    <x v="0"/>
    <s v="ADM"/>
    <x v="2"/>
    <x v="13"/>
    <s v="PARCELA 19/54"/>
    <x v="0"/>
    <x v="17"/>
    <n v="2000"/>
    <n v="0"/>
    <n v="0"/>
    <n v="0"/>
    <n v="2000"/>
    <d v="2026-08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10"/>
    <s v="8"/>
    <s v="13"/>
    <x v="1"/>
    <x v="1"/>
    <s v=""/>
    <s v=""/>
  </r>
  <r>
    <d v="2025-10-01T00:00:00"/>
    <x v="0"/>
    <s v="ADM"/>
    <x v="2"/>
    <x v="13"/>
    <s v="PARCELA 20/54"/>
    <x v="0"/>
    <x v="17"/>
    <n v="2000"/>
    <n v="0"/>
    <n v="0"/>
    <n v="0"/>
    <n v="2000"/>
    <d v="2026-09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11"/>
    <s v="9"/>
    <s v="13"/>
    <x v="1"/>
    <x v="1"/>
    <s v=""/>
    <s v=""/>
  </r>
  <r>
    <d v="2025-10-01T00:00:00"/>
    <x v="0"/>
    <s v="ADM"/>
    <x v="2"/>
    <x v="13"/>
    <s v="PARCELA 21/54"/>
    <x v="0"/>
    <x v="17"/>
    <n v="2000"/>
    <n v="0"/>
    <n v="0"/>
    <n v="0"/>
    <n v="2000"/>
    <d v="2026-10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0"/>
    <s v="10"/>
    <s v="13"/>
    <x v="1"/>
    <x v="1"/>
    <s v=""/>
    <s v=""/>
  </r>
  <r>
    <d v="2025-10-01T00:00:00"/>
    <x v="0"/>
    <s v="ADM"/>
    <x v="2"/>
    <x v="13"/>
    <s v="PARCELA 22/54"/>
    <x v="0"/>
    <x v="17"/>
    <n v="2000"/>
    <n v="0"/>
    <n v="0"/>
    <n v="0"/>
    <n v="2000"/>
    <d v="2026-11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1"/>
    <s v="11"/>
    <s v="13"/>
    <x v="1"/>
    <x v="1"/>
    <s v=""/>
    <s v=""/>
  </r>
  <r>
    <d v="2025-10-01T00:00:00"/>
    <x v="0"/>
    <s v="ADM"/>
    <x v="2"/>
    <x v="13"/>
    <s v="PARCELA 23/54"/>
    <x v="0"/>
    <x v="17"/>
    <n v="2000"/>
    <n v="0"/>
    <n v="0"/>
    <n v="0"/>
    <n v="2000"/>
    <d v="2026-12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1"/>
    <x v="2"/>
    <s v="12"/>
    <s v="13"/>
    <x v="1"/>
    <x v="1"/>
    <s v=""/>
    <s v=""/>
  </r>
  <r>
    <d v="2025-10-01T00:00:00"/>
    <x v="0"/>
    <s v="ADM"/>
    <x v="2"/>
    <x v="13"/>
    <s v="PARCELA 24/54"/>
    <x v="0"/>
    <x v="17"/>
    <n v="2000"/>
    <n v="0"/>
    <n v="0"/>
    <n v="0"/>
    <n v="2000"/>
    <d v="2027-01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2"/>
    <x v="3"/>
    <s v="1"/>
    <s v="13"/>
    <x v="1"/>
    <x v="1"/>
    <s v=""/>
    <s v=""/>
  </r>
  <r>
    <d v="2025-10-01T00:00:00"/>
    <x v="0"/>
    <s v="ADM"/>
    <x v="2"/>
    <x v="13"/>
    <s v="PARCELA 25/54"/>
    <x v="0"/>
    <x v="17"/>
    <n v="2000"/>
    <n v="0"/>
    <n v="0"/>
    <n v="0"/>
    <n v="2000"/>
    <d v="2027-02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2"/>
    <x v="4"/>
    <s v="2"/>
    <s v="13"/>
    <x v="1"/>
    <x v="1"/>
    <s v=""/>
    <s v=""/>
  </r>
  <r>
    <d v="2025-10-01T00:00:00"/>
    <x v="0"/>
    <s v="ADM"/>
    <x v="2"/>
    <x v="13"/>
    <s v="PARCELA 26/54"/>
    <x v="0"/>
    <x v="17"/>
    <n v="2000"/>
    <n v="0"/>
    <n v="0"/>
    <n v="0"/>
    <n v="2000"/>
    <d v="2027-03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2"/>
    <x v="5"/>
    <s v="3"/>
    <s v="13"/>
    <x v="1"/>
    <x v="1"/>
    <s v=""/>
    <s v=""/>
  </r>
  <r>
    <d v="2025-10-01T00:00:00"/>
    <x v="0"/>
    <s v="ADM"/>
    <x v="2"/>
    <x v="13"/>
    <s v="PARCELA 27/54"/>
    <x v="0"/>
    <x v="17"/>
    <n v="2000"/>
    <n v="0"/>
    <n v="0"/>
    <n v="0"/>
    <n v="2000"/>
    <d v="2027-04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2"/>
    <x v="6"/>
    <s v="4"/>
    <s v="13"/>
    <x v="1"/>
    <x v="1"/>
    <s v=""/>
    <s v=""/>
  </r>
  <r>
    <d v="2025-10-01T00:00:00"/>
    <x v="0"/>
    <s v="ADM"/>
    <x v="2"/>
    <x v="13"/>
    <s v="PARCELA 28/54"/>
    <x v="0"/>
    <x v="17"/>
    <n v="2000"/>
    <n v="0"/>
    <n v="0"/>
    <n v="0"/>
    <n v="2000"/>
    <d v="2027-05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2"/>
    <x v="7"/>
    <s v="5"/>
    <s v="13"/>
    <x v="1"/>
    <x v="1"/>
    <s v=""/>
    <s v=""/>
  </r>
  <r>
    <d v="2025-10-01T00:00:00"/>
    <x v="0"/>
    <s v="ADM"/>
    <x v="2"/>
    <x v="13"/>
    <s v="PARCELA 29/54"/>
    <x v="0"/>
    <x v="17"/>
    <n v="2000"/>
    <n v="0"/>
    <n v="0"/>
    <n v="0"/>
    <n v="2000"/>
    <d v="2027-06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2"/>
    <x v="8"/>
    <s v="6"/>
    <s v="13"/>
    <x v="1"/>
    <x v="1"/>
    <s v=""/>
    <s v=""/>
  </r>
  <r>
    <d v="2025-10-01T00:00:00"/>
    <x v="0"/>
    <s v="ADM"/>
    <x v="2"/>
    <x v="13"/>
    <s v="PARCELA 30/54"/>
    <x v="0"/>
    <x v="17"/>
    <n v="2000"/>
    <n v="0"/>
    <n v="0"/>
    <n v="0"/>
    <n v="2000"/>
    <d v="2027-07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2"/>
    <x v="9"/>
    <s v="7"/>
    <s v="13"/>
    <x v="1"/>
    <x v="1"/>
    <s v=""/>
    <s v=""/>
  </r>
  <r>
    <d v="2025-10-01T00:00:00"/>
    <x v="0"/>
    <s v="ADM"/>
    <x v="2"/>
    <x v="13"/>
    <s v="PARCELA 31/54"/>
    <x v="0"/>
    <x v="17"/>
    <n v="2000"/>
    <n v="0"/>
    <n v="0"/>
    <n v="0"/>
    <n v="2000"/>
    <d v="2027-08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2"/>
    <x v="10"/>
    <s v="8"/>
    <s v="13"/>
    <x v="1"/>
    <x v="1"/>
    <s v=""/>
    <s v=""/>
  </r>
  <r>
    <d v="2025-10-01T00:00:00"/>
    <x v="0"/>
    <s v="ADM"/>
    <x v="2"/>
    <x v="13"/>
    <s v="PARCELA 32/54"/>
    <x v="0"/>
    <x v="17"/>
    <n v="2000"/>
    <n v="0"/>
    <n v="0"/>
    <n v="0"/>
    <n v="2000"/>
    <d v="2027-09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2"/>
    <x v="11"/>
    <s v="9"/>
    <s v="13"/>
    <x v="1"/>
    <x v="1"/>
    <s v=""/>
    <s v=""/>
  </r>
  <r>
    <d v="2025-10-01T00:00:00"/>
    <x v="0"/>
    <s v="ADM"/>
    <x v="2"/>
    <x v="13"/>
    <s v="PARCELA 33/54"/>
    <x v="0"/>
    <x v="17"/>
    <n v="2000"/>
    <n v="0"/>
    <n v="0"/>
    <n v="0"/>
    <n v="2000"/>
    <d v="2027-10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2"/>
    <x v="0"/>
    <s v="10"/>
    <s v="13"/>
    <x v="1"/>
    <x v="1"/>
    <s v=""/>
    <s v=""/>
  </r>
  <r>
    <d v="2025-10-01T00:00:00"/>
    <x v="0"/>
    <s v="ADM"/>
    <x v="2"/>
    <x v="13"/>
    <s v="PARCELA 34/54"/>
    <x v="0"/>
    <x v="17"/>
    <n v="2000"/>
    <n v="0"/>
    <n v="0"/>
    <n v="0"/>
    <n v="2000"/>
    <d v="2027-11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2"/>
    <x v="1"/>
    <s v="11"/>
    <s v="13"/>
    <x v="1"/>
    <x v="1"/>
    <s v=""/>
    <s v=""/>
  </r>
  <r>
    <d v="2025-10-01T00:00:00"/>
    <x v="0"/>
    <s v="ADM"/>
    <x v="2"/>
    <x v="13"/>
    <s v="PARCELA 35/54"/>
    <x v="0"/>
    <x v="17"/>
    <n v="2000"/>
    <n v="0"/>
    <n v="0"/>
    <n v="0"/>
    <n v="2000"/>
    <d v="2027-12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2"/>
    <x v="2"/>
    <s v="12"/>
    <s v="13"/>
    <x v="1"/>
    <x v="1"/>
    <s v=""/>
    <s v=""/>
  </r>
  <r>
    <d v="2025-10-01T00:00:00"/>
    <x v="0"/>
    <s v="ADM"/>
    <x v="2"/>
    <x v="13"/>
    <s v="PARCELA 36/54"/>
    <x v="0"/>
    <x v="17"/>
    <n v="2000"/>
    <n v="0"/>
    <n v="0"/>
    <n v="0"/>
    <n v="2000"/>
    <d v="2028-01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3"/>
    <x v="3"/>
    <s v="1"/>
    <s v="13"/>
    <x v="1"/>
    <x v="1"/>
    <s v=""/>
    <s v=""/>
  </r>
  <r>
    <d v="2025-10-01T00:00:00"/>
    <x v="0"/>
    <s v="ADM"/>
    <x v="2"/>
    <x v="13"/>
    <s v="PARCELA 37/54"/>
    <x v="0"/>
    <x v="17"/>
    <n v="2000"/>
    <n v="0"/>
    <n v="0"/>
    <n v="0"/>
    <n v="2000"/>
    <d v="2028-02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3"/>
    <x v="4"/>
    <s v="2"/>
    <s v="13"/>
    <x v="1"/>
    <x v="1"/>
    <s v=""/>
    <s v=""/>
  </r>
  <r>
    <d v="2025-10-01T00:00:00"/>
    <x v="0"/>
    <s v="ADM"/>
    <x v="2"/>
    <x v="13"/>
    <s v="PARCELA 38/54"/>
    <x v="0"/>
    <x v="17"/>
    <n v="2000"/>
    <n v="0"/>
    <n v="0"/>
    <n v="0"/>
    <n v="2000"/>
    <d v="2028-03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3"/>
    <x v="5"/>
    <s v="3"/>
    <s v="13"/>
    <x v="1"/>
    <x v="1"/>
    <s v=""/>
    <s v=""/>
  </r>
  <r>
    <d v="2025-10-01T00:00:00"/>
    <x v="0"/>
    <s v="ADM"/>
    <x v="2"/>
    <x v="13"/>
    <s v="PARCELA 39/54"/>
    <x v="0"/>
    <x v="17"/>
    <n v="2000"/>
    <n v="0"/>
    <n v="0"/>
    <n v="0"/>
    <n v="2000"/>
    <d v="2028-04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3"/>
    <x v="6"/>
    <s v="4"/>
    <s v="13"/>
    <x v="1"/>
    <x v="1"/>
    <s v=""/>
    <s v=""/>
  </r>
  <r>
    <d v="2025-10-01T00:00:00"/>
    <x v="0"/>
    <s v="ADM"/>
    <x v="2"/>
    <x v="13"/>
    <s v="PARCELA 40/54"/>
    <x v="0"/>
    <x v="17"/>
    <n v="2000"/>
    <n v="0"/>
    <n v="0"/>
    <n v="0"/>
    <n v="2000"/>
    <d v="2028-05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3"/>
    <x v="7"/>
    <s v="5"/>
    <s v="13"/>
    <x v="1"/>
    <x v="1"/>
    <s v=""/>
    <s v=""/>
  </r>
  <r>
    <d v="2025-10-01T00:00:00"/>
    <x v="0"/>
    <s v="ADM"/>
    <x v="2"/>
    <x v="13"/>
    <s v="PARCELA 41/54"/>
    <x v="0"/>
    <x v="17"/>
    <n v="2000"/>
    <n v="0"/>
    <n v="0"/>
    <n v="0"/>
    <n v="2000"/>
    <d v="2028-06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3"/>
    <x v="8"/>
    <s v="6"/>
    <s v="13"/>
    <x v="1"/>
    <x v="1"/>
    <s v=""/>
    <s v=""/>
  </r>
  <r>
    <d v="2025-10-01T00:00:00"/>
    <x v="0"/>
    <s v="ADM"/>
    <x v="2"/>
    <x v="13"/>
    <s v="PARCELA 42/54"/>
    <x v="0"/>
    <x v="17"/>
    <n v="2000"/>
    <n v="0"/>
    <n v="0"/>
    <n v="0"/>
    <n v="2000"/>
    <d v="2028-07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3"/>
    <x v="9"/>
    <s v="7"/>
    <s v="13"/>
    <x v="1"/>
    <x v="1"/>
    <s v=""/>
    <s v=""/>
  </r>
  <r>
    <d v="2025-10-01T00:00:00"/>
    <x v="0"/>
    <s v="ADM"/>
    <x v="2"/>
    <x v="13"/>
    <s v="PARCELA 43/54"/>
    <x v="0"/>
    <x v="17"/>
    <n v="2000"/>
    <n v="0"/>
    <n v="0"/>
    <n v="0"/>
    <n v="2000"/>
    <d v="2028-08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3"/>
    <x v="10"/>
    <s v="8"/>
    <s v="13"/>
    <x v="1"/>
    <x v="1"/>
    <s v=""/>
    <s v=""/>
  </r>
  <r>
    <d v="2025-10-01T00:00:00"/>
    <x v="0"/>
    <s v="ADM"/>
    <x v="2"/>
    <x v="13"/>
    <s v="PARCELA 44/54"/>
    <x v="0"/>
    <x v="17"/>
    <n v="2000"/>
    <n v="0"/>
    <n v="0"/>
    <n v="0"/>
    <n v="2000"/>
    <d v="2028-09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3"/>
    <x v="11"/>
    <s v="9"/>
    <s v="13"/>
    <x v="1"/>
    <x v="1"/>
    <s v=""/>
    <s v=""/>
  </r>
  <r>
    <d v="2025-10-01T00:00:00"/>
    <x v="0"/>
    <s v="ADM"/>
    <x v="2"/>
    <x v="13"/>
    <s v="PARCELA 45/54"/>
    <x v="0"/>
    <x v="17"/>
    <n v="2000"/>
    <n v="0"/>
    <n v="0"/>
    <n v="0"/>
    <n v="2000"/>
    <d v="2028-10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3"/>
    <x v="0"/>
    <s v="10"/>
    <s v="13"/>
    <x v="1"/>
    <x v="1"/>
    <s v=""/>
    <s v=""/>
  </r>
  <r>
    <d v="2025-10-01T00:00:00"/>
    <x v="0"/>
    <s v="ADM"/>
    <x v="2"/>
    <x v="13"/>
    <s v="PARCELA 46/54"/>
    <x v="0"/>
    <x v="17"/>
    <n v="2000"/>
    <n v="0"/>
    <n v="0"/>
    <n v="0"/>
    <n v="2000"/>
    <d v="2028-11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3"/>
    <x v="1"/>
    <s v="11"/>
    <s v="13"/>
    <x v="1"/>
    <x v="1"/>
    <s v=""/>
    <s v=""/>
  </r>
  <r>
    <d v="2025-10-01T00:00:00"/>
    <x v="0"/>
    <s v="ADM"/>
    <x v="2"/>
    <x v="13"/>
    <s v="PARCELA 47/54"/>
    <x v="0"/>
    <x v="17"/>
    <n v="2000"/>
    <n v="0"/>
    <n v="0"/>
    <n v="0"/>
    <n v="2000"/>
    <d v="2028-12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3"/>
    <x v="2"/>
    <s v="12"/>
    <s v="13"/>
    <x v="1"/>
    <x v="1"/>
    <s v=""/>
    <s v=""/>
  </r>
  <r>
    <d v="2025-10-01T00:00:00"/>
    <x v="0"/>
    <s v="ADM"/>
    <x v="2"/>
    <x v="13"/>
    <s v="PARCELA 48/54"/>
    <x v="0"/>
    <x v="17"/>
    <n v="2000"/>
    <n v="0"/>
    <n v="0"/>
    <n v="0"/>
    <n v="2000"/>
    <d v="2029-01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4"/>
    <x v="3"/>
    <s v="1"/>
    <s v="13"/>
    <x v="1"/>
    <x v="1"/>
    <s v=""/>
    <s v=""/>
  </r>
  <r>
    <d v="2025-10-01T00:00:00"/>
    <x v="0"/>
    <s v="ADM"/>
    <x v="2"/>
    <x v="13"/>
    <s v="PARCELA 49/54"/>
    <x v="0"/>
    <x v="17"/>
    <n v="2000"/>
    <n v="0"/>
    <n v="0"/>
    <n v="0"/>
    <n v="2000"/>
    <d v="2029-02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4"/>
    <x v="4"/>
    <s v="2"/>
    <s v="13"/>
    <x v="1"/>
    <x v="1"/>
    <s v=""/>
    <s v=""/>
  </r>
  <r>
    <d v="2025-10-01T00:00:00"/>
    <x v="0"/>
    <s v="ADM"/>
    <x v="2"/>
    <x v="13"/>
    <s v="PARCELA 50/54"/>
    <x v="0"/>
    <x v="17"/>
    <n v="2000"/>
    <n v="0"/>
    <n v="0"/>
    <n v="0"/>
    <n v="2000"/>
    <d v="2029-03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4"/>
    <x v="5"/>
    <s v="3"/>
    <s v="13"/>
    <x v="1"/>
    <x v="1"/>
    <s v=""/>
    <s v=""/>
  </r>
  <r>
    <d v="2025-10-01T00:00:00"/>
    <x v="0"/>
    <s v="ADM"/>
    <x v="2"/>
    <x v="13"/>
    <s v="PARCELA 51/54"/>
    <x v="0"/>
    <x v="17"/>
    <n v="2000"/>
    <n v="0"/>
    <n v="0"/>
    <n v="0"/>
    <n v="2000"/>
    <d v="2029-04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4"/>
    <x v="6"/>
    <s v="4"/>
    <s v="13"/>
    <x v="1"/>
    <x v="1"/>
    <s v=""/>
    <s v=""/>
  </r>
  <r>
    <d v="2025-10-01T00:00:00"/>
    <x v="0"/>
    <s v="ADM"/>
    <x v="2"/>
    <x v="13"/>
    <s v="PARCELA 52/54"/>
    <x v="0"/>
    <x v="17"/>
    <n v="2000"/>
    <n v="0"/>
    <n v="0"/>
    <n v="0"/>
    <n v="2000"/>
    <d v="2029-05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4"/>
    <x v="7"/>
    <s v="5"/>
    <s v="13"/>
    <x v="1"/>
    <x v="1"/>
    <s v=""/>
    <s v=""/>
  </r>
  <r>
    <d v="2025-10-01T00:00:00"/>
    <x v="0"/>
    <s v="ADM"/>
    <x v="2"/>
    <x v="13"/>
    <s v="PARCELA 53/54"/>
    <x v="0"/>
    <x v="17"/>
    <n v="2000"/>
    <n v="0"/>
    <n v="0"/>
    <n v="0"/>
    <n v="2000"/>
    <d v="2029-06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4"/>
    <x v="8"/>
    <s v="6"/>
    <s v="13"/>
    <x v="1"/>
    <x v="1"/>
    <s v=""/>
    <s v=""/>
  </r>
  <r>
    <d v="2025-10-01T00:00:00"/>
    <x v="0"/>
    <s v="ADM"/>
    <x v="2"/>
    <x v="13"/>
    <s v="PARCELA 54/54"/>
    <x v="0"/>
    <x v="17"/>
    <n v="2000"/>
    <n v="0"/>
    <n v="0"/>
    <n v="0"/>
    <n v="2000"/>
    <d v="2029-07-13T00:00:00"/>
    <s v="Prazo - Mais de 1 mês"/>
    <m/>
    <x v="0"/>
    <m/>
    <s v="PAGBANK"/>
    <s v="FIXO"/>
    <x v="0"/>
    <x v="1"/>
    <s v=""/>
    <s v="Despesas_Com_RH"/>
    <x v="0"/>
    <x v="0"/>
    <x v="0"/>
    <s v="10"/>
    <s v="1"/>
    <x v="4"/>
    <x v="9"/>
    <s v="7"/>
    <s v="13"/>
    <x v="1"/>
    <x v="1"/>
    <s v=""/>
    <s v=""/>
  </r>
  <r>
    <d v="2025-10-01T00:00:00"/>
    <x v="0"/>
    <s v="ADM"/>
    <x v="0"/>
    <x v="14"/>
    <m/>
    <x v="1"/>
    <x v="18"/>
    <n v="170.34"/>
    <n v="0"/>
    <n v="0"/>
    <n v="0"/>
    <n v="170.34"/>
    <d v="2025-12-20T00:00:00"/>
    <s v="Prazo - Menos de 1 Mês"/>
    <m/>
    <x v="1"/>
    <m/>
    <s v="PAGBANK"/>
    <s v="FIXO"/>
    <x v="0"/>
    <x v="1"/>
    <s v=""/>
    <s v="Despesas_Administrativas"/>
    <x v="1"/>
    <x v="0"/>
    <x v="0"/>
    <s v="10"/>
    <s v="1"/>
    <x v="0"/>
    <x v="2"/>
    <s v="12"/>
    <s v="20"/>
    <x v="1"/>
    <x v="1"/>
    <s v=""/>
    <s v=""/>
  </r>
  <r>
    <d v="2025-10-01T00:00:00"/>
    <x v="0"/>
    <s v="ADM"/>
    <x v="0"/>
    <x v="14"/>
    <m/>
    <x v="1"/>
    <x v="18"/>
    <n v="170.34"/>
    <n v="0"/>
    <n v="0"/>
    <n v="0"/>
    <n v="170.34"/>
    <d v="2026-03-2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5"/>
    <s v="3"/>
    <s v="20"/>
    <x v="1"/>
    <x v="1"/>
    <s v=""/>
    <s v=""/>
  </r>
  <r>
    <d v="2025-10-01T00:00:00"/>
    <x v="0"/>
    <s v="ADM"/>
    <x v="0"/>
    <x v="14"/>
    <m/>
    <x v="1"/>
    <x v="18"/>
    <n v="170.34"/>
    <n v="0"/>
    <n v="0"/>
    <n v="0"/>
    <n v="170.34"/>
    <d v="2026-06-2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8"/>
    <s v="6"/>
    <s v="20"/>
    <x v="1"/>
    <x v="1"/>
    <s v=""/>
    <s v=""/>
  </r>
  <r>
    <d v="2025-10-01T00:00:00"/>
    <x v="0"/>
    <s v="ADM"/>
    <x v="0"/>
    <x v="14"/>
    <m/>
    <x v="1"/>
    <x v="18"/>
    <n v="170.34"/>
    <n v="0"/>
    <n v="0"/>
    <n v="0"/>
    <n v="170.34"/>
    <d v="2026-09-2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11"/>
    <s v="9"/>
    <s v="20"/>
    <x v="1"/>
    <x v="1"/>
    <s v=""/>
    <s v=""/>
  </r>
  <r>
    <d v="2025-10-01T00:00:00"/>
    <x v="0"/>
    <s v="ADM"/>
    <x v="0"/>
    <x v="14"/>
    <m/>
    <x v="1"/>
    <x v="18"/>
    <n v="170.34"/>
    <n v="0"/>
    <n v="0"/>
    <n v="0"/>
    <n v="170.34"/>
    <d v="2026-12-20T00:00:00"/>
    <s v="Prazo - Mais de 1 mês"/>
    <m/>
    <x v="1"/>
    <m/>
    <s v="PAGBANK"/>
    <s v="FIXO"/>
    <x v="0"/>
    <x v="1"/>
    <s v=""/>
    <s v="Despesas_Administrativas"/>
    <x v="1"/>
    <x v="0"/>
    <x v="0"/>
    <s v="10"/>
    <s v="1"/>
    <x v="1"/>
    <x v="2"/>
    <s v="12"/>
    <s v="20"/>
    <x v="1"/>
    <x v="1"/>
    <s v=""/>
    <s v=""/>
  </r>
  <r>
    <d v="2025-10-01T00:00:00"/>
    <x v="0"/>
    <s v="ADM"/>
    <x v="3"/>
    <x v="15"/>
    <s v="10/2022"/>
    <x v="1"/>
    <x v="9"/>
    <n v="700.67"/>
    <n v="0"/>
    <n v="140.13"/>
    <n v="202"/>
    <n v="1042.8"/>
    <d v="2022-11-18T00:00:00"/>
    <s v="Venceu"/>
    <m/>
    <x v="1"/>
    <m/>
    <s v="PAGBANK"/>
    <s v="VARIÁVEL"/>
    <x v="0"/>
    <x v="1"/>
    <s v=""/>
    <s v="Despesas_Endividamentos"/>
    <x v="1"/>
    <x v="0"/>
    <x v="0"/>
    <s v="10"/>
    <s v="1"/>
    <x v="5"/>
    <x v="1"/>
    <s v="11"/>
    <s v="18"/>
    <x v="1"/>
    <x v="1"/>
    <s v=""/>
    <s v=""/>
  </r>
  <r>
    <d v="2025-10-01T00:00:00"/>
    <x v="0"/>
    <s v="ADM"/>
    <x v="3"/>
    <x v="15"/>
    <s v="06/2024"/>
    <x v="1"/>
    <x v="9"/>
    <n v="728.91"/>
    <n v="0"/>
    <n v="145.78"/>
    <n v="68.37"/>
    <n v="943.06"/>
    <d v="2024-07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9"/>
    <s v="7"/>
    <s v="19"/>
    <x v="1"/>
    <x v="1"/>
    <s v=""/>
    <s v=""/>
  </r>
  <r>
    <d v="2025-10-01T00:00:00"/>
    <x v="0"/>
    <s v="ADM"/>
    <x v="3"/>
    <x v="15"/>
    <s v="07/2024"/>
    <x v="1"/>
    <x v="9"/>
    <n v="362.9"/>
    <n v="0"/>
    <n v="72.58"/>
    <n v="30.88"/>
    <n v="466.35999999999996"/>
    <d v="2024-08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0"/>
    <s v="8"/>
    <s v="20"/>
    <x v="1"/>
    <x v="1"/>
    <s v=""/>
    <s v=""/>
  </r>
  <r>
    <d v="2025-10-01T00:00:00"/>
    <x v="0"/>
    <s v="ADM"/>
    <x v="3"/>
    <x v="15"/>
    <s v="08/2024"/>
    <x v="1"/>
    <x v="9"/>
    <n v="728.91"/>
    <n v="0"/>
    <n v="145.78"/>
    <n v="55.9"/>
    <n v="930.58999999999992"/>
    <d v="2024-09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1"/>
    <s v="9"/>
    <s v="20"/>
    <x v="1"/>
    <x v="1"/>
    <s v=""/>
    <s v=""/>
  </r>
  <r>
    <d v="2025-10-01T00:00:00"/>
    <x v="0"/>
    <s v="ADM"/>
    <x v="3"/>
    <x v="15"/>
    <s v="09/2024"/>
    <x v="1"/>
    <x v="9"/>
    <n v="728.91"/>
    <n v="0"/>
    <n v="145.78"/>
    <n v="49.12"/>
    <n v="923.81"/>
    <d v="2024-10-18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0"/>
    <s v="10"/>
    <s v="18"/>
    <x v="1"/>
    <x v="1"/>
    <s v=""/>
    <s v=""/>
  </r>
  <r>
    <d v="2025-10-01T00:00:00"/>
    <x v="0"/>
    <s v="ADM"/>
    <x v="3"/>
    <x v="15"/>
    <s v="10/2024"/>
    <x v="1"/>
    <x v="9"/>
    <n v="728.91"/>
    <n v="0"/>
    <n v="145.78"/>
    <n v="43.37"/>
    <n v="918.06"/>
    <d v="2024-11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19"/>
    <x v="1"/>
    <x v="1"/>
    <s v=""/>
    <s v=""/>
  </r>
  <r>
    <d v="2025-10-01T00:00:00"/>
    <x v="0"/>
    <s v="ADM"/>
    <x v="3"/>
    <x v="15"/>
    <s v="11/2024"/>
    <x v="1"/>
    <x v="9"/>
    <n v="828.25"/>
    <n v="0"/>
    <n v="165.65"/>
    <n v="41.57"/>
    <n v="1035.47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15"/>
    <s v="12/2024"/>
    <x v="1"/>
    <x v="9"/>
    <n v="883.82"/>
    <n v="0"/>
    <n v="176.76"/>
    <n v="35.44"/>
    <n v="1096.02"/>
    <d v="2025-01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3"/>
    <s v="1"/>
    <s v="20"/>
    <x v="1"/>
    <x v="1"/>
    <s v=""/>
    <s v=""/>
  </r>
  <r>
    <d v="2025-10-01T00:00:00"/>
    <x v="0"/>
    <s v="ADM"/>
    <x v="3"/>
    <x v="15"/>
    <s v="02/2025"/>
    <x v="1"/>
    <x v="9"/>
    <n v="137.52000000000001"/>
    <n v="0"/>
    <n v="22.23"/>
    <n v="2.83"/>
    <n v="162.58000000000001"/>
    <d v="2025-03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5"/>
    <s v="3"/>
    <s v="20"/>
    <x v="1"/>
    <x v="1"/>
    <s v=""/>
    <s v=""/>
  </r>
  <r>
    <d v="2025-10-01T00:00:00"/>
    <x v="0"/>
    <s v="ADM"/>
    <x v="3"/>
    <x v="15"/>
    <s v="03/2025"/>
    <x v="1"/>
    <x v="9"/>
    <n v="294.47000000000003"/>
    <n v="0"/>
    <n v="16.510000000000002"/>
    <n v="2.94"/>
    <n v="313.92"/>
    <d v="2025-04-1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6"/>
    <s v="4"/>
    <s v="17"/>
    <x v="1"/>
    <x v="1"/>
    <s v=""/>
    <s v=""/>
  </r>
  <r>
    <d v="2025-10-01T00:00:00"/>
    <x v="0"/>
    <s v="ADM"/>
    <x v="3"/>
    <x v="16"/>
    <s v="06/2024"/>
    <x v="1"/>
    <x v="9"/>
    <n v="131.61000000000001"/>
    <n v="0"/>
    <n v="26.32"/>
    <n v="12.34"/>
    <n v="170.27"/>
    <d v="2024-07-25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9"/>
    <s v="7"/>
    <s v="25"/>
    <x v="1"/>
    <x v="1"/>
    <s v=""/>
    <s v=""/>
  </r>
  <r>
    <d v="2025-10-01T00:00:00"/>
    <x v="0"/>
    <s v="ADM"/>
    <x v="3"/>
    <x v="16"/>
    <s v="07/2024"/>
    <x v="1"/>
    <x v="9"/>
    <n v="104.36"/>
    <n v="0"/>
    <n v="20.87"/>
    <n v="8.8800000000000008"/>
    <n v="134.11000000000001"/>
    <d v="2024-08-23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0"/>
    <s v="8"/>
    <s v="23"/>
    <x v="1"/>
    <x v="1"/>
    <s v=""/>
    <s v=""/>
  </r>
  <r>
    <d v="2025-10-01T00:00:00"/>
    <x v="0"/>
    <s v="ADM"/>
    <x v="3"/>
    <x v="16"/>
    <s v="08/2024"/>
    <x v="1"/>
    <x v="9"/>
    <n v="151.44999999999999"/>
    <n v="0"/>
    <n v="30.29"/>
    <n v="11.61"/>
    <n v="193.34999999999997"/>
    <d v="2024-09-25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1"/>
    <s v="9"/>
    <s v="25"/>
    <x v="1"/>
    <x v="1"/>
    <s v=""/>
    <s v=""/>
  </r>
  <r>
    <d v="2025-10-01T00:00:00"/>
    <x v="0"/>
    <s v="ADM"/>
    <x v="3"/>
    <x v="16"/>
    <s v="09/2024"/>
    <x v="1"/>
    <x v="9"/>
    <n v="151.63999999999999"/>
    <n v="0"/>
    <n v="30.32"/>
    <n v="10.220000000000001"/>
    <n v="192.17999999999998"/>
    <d v="2024-10-25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0"/>
    <s v="10"/>
    <s v="25"/>
    <x v="1"/>
    <x v="1"/>
    <s v=""/>
    <s v=""/>
  </r>
  <r>
    <d v="2025-10-01T00:00:00"/>
    <x v="0"/>
    <s v="ADM"/>
    <x v="3"/>
    <x v="16"/>
    <s v="10/2024"/>
    <x v="1"/>
    <x v="9"/>
    <n v="176.13"/>
    <n v="0"/>
    <n v="35.22"/>
    <n v="10.47"/>
    <n v="221.82"/>
    <d v="2024-11-25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25"/>
    <x v="1"/>
    <x v="1"/>
    <s v=""/>
    <s v=""/>
  </r>
  <r>
    <d v="2025-10-01T00:00:00"/>
    <x v="0"/>
    <s v="ADM"/>
    <x v="3"/>
    <x v="16"/>
    <s v="11/2024"/>
    <x v="1"/>
    <x v="9"/>
    <n v="111.43"/>
    <n v="0"/>
    <n v="22.28"/>
    <n v="5.59"/>
    <n v="139.30000000000001"/>
    <d v="2024-12-24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4"/>
    <x v="1"/>
    <x v="1"/>
    <s v=""/>
    <s v=""/>
  </r>
  <r>
    <d v="2025-10-01T00:00:00"/>
    <x v="0"/>
    <s v="ADM"/>
    <x v="3"/>
    <x v="16"/>
    <s v="12/2024"/>
    <x v="1"/>
    <x v="9"/>
    <n v="121.09"/>
    <n v="0"/>
    <n v="24.21"/>
    <n v="4.8499999999999996"/>
    <n v="150.15"/>
    <d v="2025-01-24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3"/>
    <s v="1"/>
    <s v="24"/>
    <x v="1"/>
    <x v="1"/>
    <s v=""/>
    <s v=""/>
  </r>
  <r>
    <d v="2025-10-01T00:00:00"/>
    <x v="0"/>
    <s v="ADM"/>
    <x v="3"/>
    <x v="16"/>
    <s v="01/2025"/>
    <x v="1"/>
    <x v="9"/>
    <n v="121.98"/>
    <n v="0"/>
    <n v="24.39"/>
    <n v="3.68"/>
    <n v="150.05000000000001"/>
    <d v="2025-02-25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4"/>
    <s v="2"/>
    <s v="25"/>
    <x v="1"/>
    <x v="1"/>
    <s v=""/>
    <s v=""/>
  </r>
  <r>
    <d v="2025-10-01T00:00:00"/>
    <x v="0"/>
    <s v="ADM"/>
    <x v="3"/>
    <x v="16"/>
    <s v="02/2025"/>
    <x v="1"/>
    <x v="9"/>
    <n v="92.04"/>
    <n v="0"/>
    <n v="13.36"/>
    <n v="1.89"/>
    <n v="107.29"/>
    <d v="2025-03-25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5"/>
    <s v="3"/>
    <s v="25"/>
    <x v="1"/>
    <x v="1"/>
    <s v=""/>
    <s v=""/>
  </r>
  <r>
    <d v="2025-10-01T00:00:00"/>
    <x v="0"/>
    <s v="ADM"/>
    <x v="3"/>
    <x v="16"/>
    <s v="03/2025"/>
    <x v="1"/>
    <x v="9"/>
    <n v="72.14"/>
    <n v="0"/>
    <n v="2.61"/>
    <n v="0.72"/>
    <n v="75.47"/>
    <d v="2025-04-25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6"/>
    <s v="4"/>
    <s v="25"/>
    <x v="1"/>
    <x v="1"/>
    <s v=""/>
    <s v=""/>
  </r>
  <r>
    <d v="2025-10-01T00:00:00"/>
    <x v="0"/>
    <s v="ADM"/>
    <x v="3"/>
    <x v="16"/>
    <d v="1905-07-16T00:00:00"/>
    <x v="1"/>
    <x v="9"/>
    <n v="96.28"/>
    <n v="0"/>
    <n v="19.25"/>
    <n v="3.86"/>
    <n v="119.39"/>
    <d v="2025-01-24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3"/>
    <s v="1"/>
    <s v="24"/>
    <x v="1"/>
    <x v="1"/>
    <s v=""/>
    <s v=""/>
  </r>
  <r>
    <d v="2025-10-01T00:00:00"/>
    <x v="0"/>
    <s v="ADM"/>
    <x v="3"/>
    <x v="17"/>
    <d v="2023-01-16T00:00:00"/>
    <x v="1"/>
    <x v="9"/>
    <n v="500"/>
    <n v="0"/>
    <n v="500"/>
    <n v="128.35"/>
    <n v="1128.3499999999999"/>
    <d v="2023-02-16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4"/>
    <s v="2"/>
    <s v="16"/>
    <x v="1"/>
    <x v="1"/>
    <s v=""/>
    <s v=""/>
  </r>
  <r>
    <d v="2025-10-01T00:00:00"/>
    <x v="0"/>
    <s v="ADM"/>
    <x v="3"/>
    <x v="18"/>
    <s v="06/2024"/>
    <x v="1"/>
    <x v="9"/>
    <n v="1334.54"/>
    <n v="0"/>
    <n v="266.89999999999998"/>
    <n v="125.17"/>
    <n v="1726.6100000000001"/>
    <d v="2024-07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9"/>
    <s v="7"/>
    <s v="19"/>
    <x v="1"/>
    <x v="1"/>
    <s v=""/>
    <s v=""/>
  </r>
  <r>
    <d v="2025-10-01T00:00:00"/>
    <x v="0"/>
    <s v="ADM"/>
    <x v="3"/>
    <x v="18"/>
    <s v="07/2024"/>
    <x v="1"/>
    <x v="9"/>
    <n v="1086.29"/>
    <n v="0"/>
    <n v="217.25"/>
    <n v="92.44"/>
    <n v="1395.98"/>
    <d v="2024-08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0"/>
    <s v="8"/>
    <s v="20"/>
    <x v="1"/>
    <x v="1"/>
    <s v=""/>
    <s v=""/>
  </r>
  <r>
    <d v="2025-10-01T00:00:00"/>
    <x v="0"/>
    <s v="ADM"/>
    <x v="3"/>
    <x v="18"/>
    <s v="08/2024"/>
    <x v="1"/>
    <x v="9"/>
    <n v="1409.45"/>
    <n v="0"/>
    <n v="281.89"/>
    <n v="108.1"/>
    <n v="1799.44"/>
    <d v="2024-09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1"/>
    <s v="9"/>
    <s v="20"/>
    <x v="1"/>
    <x v="1"/>
    <s v=""/>
    <s v=""/>
  </r>
  <r>
    <d v="2025-10-01T00:00:00"/>
    <x v="0"/>
    <s v="ADM"/>
    <x v="3"/>
    <x v="18"/>
    <s v="09/2024"/>
    <x v="1"/>
    <x v="9"/>
    <n v="1457"/>
    <n v="0"/>
    <n v="291.39999999999998"/>
    <n v="98.2"/>
    <n v="1846.6000000000001"/>
    <d v="2024-10-18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0"/>
    <s v="10"/>
    <s v="18"/>
    <x v="1"/>
    <x v="1"/>
    <s v=""/>
    <s v=""/>
  </r>
  <r>
    <d v="2025-10-01T00:00:00"/>
    <x v="0"/>
    <s v="ADM"/>
    <x v="3"/>
    <x v="18"/>
    <s v="10/2024"/>
    <x v="1"/>
    <x v="9"/>
    <n v="1706.31"/>
    <n v="0"/>
    <n v="341.26"/>
    <n v="101.52"/>
    <n v="2149.09"/>
    <d v="2024-11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19"/>
    <x v="1"/>
    <x v="1"/>
    <s v=""/>
    <s v=""/>
  </r>
  <r>
    <d v="2025-10-01T00:00:00"/>
    <x v="0"/>
    <s v="ADM"/>
    <x v="3"/>
    <x v="18"/>
    <s v="11/2024"/>
    <x v="1"/>
    <x v="9"/>
    <n v="1017.61"/>
    <n v="0"/>
    <n v="203.52"/>
    <n v="51.08"/>
    <n v="1272.21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18"/>
    <s v="12/2024"/>
    <x v="1"/>
    <x v="9"/>
    <n v="1082.22"/>
    <n v="0"/>
    <n v="216.44"/>
    <n v="43.39"/>
    <n v="1342.0500000000002"/>
    <d v="2025-01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3"/>
    <s v="1"/>
    <s v="20"/>
    <x v="1"/>
    <x v="1"/>
    <s v=""/>
    <s v=""/>
  </r>
  <r>
    <d v="2025-10-01T00:00:00"/>
    <x v="0"/>
    <s v="ADM"/>
    <x v="3"/>
    <x v="18"/>
    <s v="01/2025"/>
    <x v="1"/>
    <x v="9"/>
    <n v="1061.73"/>
    <n v="0"/>
    <n v="212.34"/>
    <n v="32.06"/>
    <n v="1306.1299999999999"/>
    <d v="2025-0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4"/>
    <s v="2"/>
    <s v="20"/>
    <x v="1"/>
    <x v="1"/>
    <s v=""/>
    <s v=""/>
  </r>
  <r>
    <d v="2025-10-01T00:00:00"/>
    <x v="0"/>
    <s v="ADM"/>
    <x v="3"/>
    <x v="18"/>
    <s v="02/2025"/>
    <x v="1"/>
    <x v="9"/>
    <n v="756.64"/>
    <n v="0"/>
    <n v="122.34"/>
    <n v="15.58"/>
    <n v="894.56000000000006"/>
    <d v="2025-03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5"/>
    <s v="3"/>
    <s v="20"/>
    <x v="1"/>
    <x v="1"/>
    <s v=""/>
    <s v=""/>
  </r>
  <r>
    <d v="2025-10-01T00:00:00"/>
    <x v="0"/>
    <s v="ADM"/>
    <x v="3"/>
    <x v="18"/>
    <s v="03/2025"/>
    <x v="1"/>
    <x v="9"/>
    <n v="607.14"/>
    <n v="0"/>
    <n v="34.06"/>
    <n v="6.07"/>
    <n v="647.2700000000001"/>
    <d v="2025-04-1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6"/>
    <s v="4"/>
    <s v="17"/>
    <x v="1"/>
    <x v="1"/>
    <s v=""/>
    <s v=""/>
  </r>
  <r>
    <d v="2025-10-01T00:00:00"/>
    <x v="0"/>
    <s v="ADM"/>
    <x v="3"/>
    <x v="18"/>
    <d v="1905-07-16T00:00:00"/>
    <x v="1"/>
    <x v="9"/>
    <n v="858.66"/>
    <n v="0"/>
    <n v="171.73"/>
    <n v="43.1"/>
    <n v="1073.4899999999998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19"/>
    <s v="06/2024"/>
    <x v="1"/>
    <x v="9"/>
    <n v="2632.21"/>
    <n v="0"/>
    <n v="526.44000000000005"/>
    <n v="246.9"/>
    <n v="3405.55"/>
    <d v="2024-07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9"/>
    <s v="7"/>
    <s v="19"/>
    <x v="1"/>
    <x v="1"/>
    <s v=""/>
    <s v=""/>
  </r>
  <r>
    <d v="2025-10-01T00:00:00"/>
    <x v="0"/>
    <s v="ADM"/>
    <x v="3"/>
    <x v="19"/>
    <s v="07/2024"/>
    <x v="1"/>
    <x v="9"/>
    <n v="2087.34"/>
    <n v="0"/>
    <n v="417.46"/>
    <n v="177.63"/>
    <n v="2682.4300000000003"/>
    <d v="2024-08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0"/>
    <s v="8"/>
    <s v="20"/>
    <x v="1"/>
    <x v="1"/>
    <s v=""/>
    <s v=""/>
  </r>
  <r>
    <d v="2025-10-01T00:00:00"/>
    <x v="0"/>
    <s v="ADM"/>
    <x v="3"/>
    <x v="19"/>
    <s v="08/2024"/>
    <x v="1"/>
    <x v="9"/>
    <n v="3029.15"/>
    <n v="0"/>
    <n v="605.83000000000004"/>
    <n v="232.33"/>
    <n v="3867.31"/>
    <d v="2024-09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1"/>
    <s v="9"/>
    <s v="20"/>
    <x v="1"/>
    <x v="1"/>
    <s v=""/>
    <s v=""/>
  </r>
  <r>
    <d v="2025-10-01T00:00:00"/>
    <x v="0"/>
    <s v="ADM"/>
    <x v="3"/>
    <x v="19"/>
    <s v="09/2024"/>
    <x v="1"/>
    <x v="9"/>
    <n v="3032.96"/>
    <n v="0"/>
    <n v="606.59"/>
    <n v="204.42"/>
    <n v="3843.9700000000003"/>
    <d v="2024-10-18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0"/>
    <s v="10"/>
    <s v="18"/>
    <x v="1"/>
    <x v="1"/>
    <s v=""/>
    <s v=""/>
  </r>
  <r>
    <d v="2025-10-01T00:00:00"/>
    <x v="0"/>
    <s v="ADM"/>
    <x v="3"/>
    <x v="19"/>
    <s v="10/2024"/>
    <x v="1"/>
    <x v="9"/>
    <n v="3522.64"/>
    <n v="0"/>
    <n v="704.52"/>
    <n v="209.59"/>
    <n v="4436.75"/>
    <d v="2024-11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19"/>
    <x v="1"/>
    <x v="1"/>
    <s v=""/>
    <s v=""/>
  </r>
  <r>
    <d v="2025-10-01T00:00:00"/>
    <x v="0"/>
    <s v="ADM"/>
    <x v="3"/>
    <x v="19"/>
    <s v="11/2024"/>
    <x v="1"/>
    <x v="9"/>
    <n v="2228.7600000000002"/>
    <n v="0"/>
    <n v="445.75"/>
    <n v="111.88"/>
    <n v="2786.3900000000003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19"/>
    <s v="12/2024"/>
    <x v="1"/>
    <x v="9"/>
    <n v="2421.8000000000002"/>
    <n v="0"/>
    <n v="484.36"/>
    <n v="97.11"/>
    <n v="3003.2700000000004"/>
    <d v="2025-01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3"/>
    <s v="1"/>
    <s v="20"/>
    <x v="1"/>
    <x v="1"/>
    <s v=""/>
    <s v=""/>
  </r>
  <r>
    <d v="2025-10-01T00:00:00"/>
    <x v="0"/>
    <s v="ADM"/>
    <x v="3"/>
    <x v="19"/>
    <s v="01/2025"/>
    <x v="1"/>
    <x v="9"/>
    <n v="2439.62"/>
    <n v="0"/>
    <n v="487.92"/>
    <n v="73.67"/>
    <n v="3001.21"/>
    <d v="2025-0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4"/>
    <s v="2"/>
    <s v="20"/>
    <x v="1"/>
    <x v="1"/>
    <s v=""/>
    <s v=""/>
  </r>
  <r>
    <d v="2025-10-01T00:00:00"/>
    <x v="0"/>
    <s v="ADM"/>
    <x v="3"/>
    <x v="19"/>
    <s v="02/2025"/>
    <x v="1"/>
    <x v="9"/>
    <n v="1840.93"/>
    <n v="0"/>
    <n v="297.67"/>
    <n v="37.92"/>
    <n v="2176.52"/>
    <d v="2025-03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5"/>
    <s v="3"/>
    <s v="20"/>
    <x v="1"/>
    <x v="1"/>
    <s v=""/>
    <s v=""/>
  </r>
  <r>
    <d v="2025-10-01T00:00:00"/>
    <x v="0"/>
    <s v="ADM"/>
    <x v="3"/>
    <x v="19"/>
    <s v="03/2025"/>
    <x v="1"/>
    <x v="9"/>
    <n v="1442.88"/>
    <n v="0"/>
    <n v="80.94"/>
    <n v="14.42"/>
    <n v="1538.2400000000002"/>
    <d v="2025-04-1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6"/>
    <s v="4"/>
    <s v="17"/>
    <x v="1"/>
    <x v="1"/>
    <s v=""/>
    <s v=""/>
  </r>
  <r>
    <d v="2025-10-01T00:00:00"/>
    <x v="0"/>
    <s v="ADM"/>
    <x v="3"/>
    <x v="19"/>
    <d v="1905-07-16T00:00:00"/>
    <x v="1"/>
    <x v="9"/>
    <n v="1925.7"/>
    <n v="0"/>
    <n v="385.14"/>
    <n v="96.67"/>
    <n v="2407.5100000000002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19"/>
    <s v="06/2024"/>
    <x v="1"/>
    <x v="9"/>
    <n v="131.61000000000001"/>
    <n v="0"/>
    <n v="26.32"/>
    <n v="12.34"/>
    <n v="170.27"/>
    <d v="2024-07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9"/>
    <s v="7"/>
    <s v="19"/>
    <x v="1"/>
    <x v="1"/>
    <s v=""/>
    <s v=""/>
  </r>
  <r>
    <d v="2025-10-01T00:00:00"/>
    <x v="0"/>
    <s v="ADM"/>
    <x v="3"/>
    <x v="19"/>
    <s v="07/2024"/>
    <x v="1"/>
    <x v="9"/>
    <n v="104.36"/>
    <n v="0"/>
    <n v="20.87"/>
    <n v="8.8800000000000008"/>
    <n v="134.11000000000001"/>
    <d v="2024-08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0"/>
    <s v="8"/>
    <s v="20"/>
    <x v="1"/>
    <x v="1"/>
    <s v=""/>
    <s v=""/>
  </r>
  <r>
    <d v="2025-10-01T00:00:00"/>
    <x v="0"/>
    <s v="ADM"/>
    <x v="3"/>
    <x v="19"/>
    <s v="08/2024"/>
    <x v="1"/>
    <x v="9"/>
    <n v="151.44999999999999"/>
    <n v="0"/>
    <n v="30.29"/>
    <n v="11.61"/>
    <n v="193.34999999999997"/>
    <d v="2024-09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1"/>
    <s v="9"/>
    <s v="20"/>
    <x v="1"/>
    <x v="1"/>
    <s v=""/>
    <s v=""/>
  </r>
  <r>
    <d v="2025-10-01T00:00:00"/>
    <x v="0"/>
    <s v="ADM"/>
    <x v="3"/>
    <x v="19"/>
    <s v="09/2024"/>
    <x v="1"/>
    <x v="9"/>
    <n v="151.63999999999999"/>
    <n v="0"/>
    <n v="30.32"/>
    <n v="10.220000000000001"/>
    <n v="192.17999999999998"/>
    <d v="2024-10-18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0"/>
    <s v="10"/>
    <s v="18"/>
    <x v="1"/>
    <x v="1"/>
    <s v=""/>
    <s v=""/>
  </r>
  <r>
    <d v="2025-10-01T00:00:00"/>
    <x v="0"/>
    <s v="ADM"/>
    <x v="3"/>
    <x v="19"/>
    <s v="10/2024"/>
    <x v="1"/>
    <x v="9"/>
    <n v="176.13"/>
    <n v="0"/>
    <n v="35.22"/>
    <n v="10.47"/>
    <n v="221.82"/>
    <d v="2024-11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19"/>
    <x v="1"/>
    <x v="1"/>
    <s v=""/>
    <s v=""/>
  </r>
  <r>
    <d v="2025-10-01T00:00:00"/>
    <x v="0"/>
    <s v="ADM"/>
    <x v="3"/>
    <x v="19"/>
    <s v="11/2024"/>
    <x v="1"/>
    <x v="9"/>
    <n v="111.43"/>
    <n v="0"/>
    <n v="22.28"/>
    <n v="5.59"/>
    <n v="139.30000000000001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19"/>
    <s v="12/2024"/>
    <x v="1"/>
    <x v="9"/>
    <n v="121.09"/>
    <n v="0"/>
    <n v="24.21"/>
    <n v="4.8499999999999996"/>
    <n v="150.15"/>
    <d v="2025-01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3"/>
    <s v="1"/>
    <s v="20"/>
    <x v="1"/>
    <x v="1"/>
    <s v=""/>
    <s v=""/>
  </r>
  <r>
    <d v="2025-10-01T00:00:00"/>
    <x v="0"/>
    <s v="ADM"/>
    <x v="3"/>
    <x v="19"/>
    <s v="01/2025"/>
    <x v="1"/>
    <x v="9"/>
    <n v="121.98"/>
    <n v="0"/>
    <n v="24.39"/>
    <n v="3.68"/>
    <n v="150.05000000000001"/>
    <d v="2025-0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4"/>
    <s v="2"/>
    <s v="20"/>
    <x v="1"/>
    <x v="1"/>
    <s v=""/>
    <s v=""/>
  </r>
  <r>
    <d v="2025-10-01T00:00:00"/>
    <x v="0"/>
    <s v="ADM"/>
    <x v="3"/>
    <x v="19"/>
    <s v="02/2025"/>
    <x v="1"/>
    <x v="9"/>
    <n v="92.04"/>
    <n v="0"/>
    <n v="14.88"/>
    <n v="1.89"/>
    <n v="108.81"/>
    <d v="2025-03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5"/>
    <s v="3"/>
    <s v="20"/>
    <x v="1"/>
    <x v="1"/>
    <s v=""/>
    <s v=""/>
  </r>
  <r>
    <d v="2025-10-01T00:00:00"/>
    <x v="0"/>
    <s v="ADM"/>
    <x v="3"/>
    <x v="19"/>
    <s v="03/2025"/>
    <x v="1"/>
    <x v="9"/>
    <n v="72.14"/>
    <n v="0"/>
    <n v="4.04"/>
    <n v="0.72"/>
    <n v="76.900000000000006"/>
    <d v="2025-04-1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6"/>
    <s v="4"/>
    <s v="17"/>
    <x v="1"/>
    <x v="1"/>
    <s v=""/>
    <s v=""/>
  </r>
  <r>
    <d v="2025-10-01T00:00:00"/>
    <x v="0"/>
    <s v="ADM"/>
    <x v="3"/>
    <x v="19"/>
    <d v="1905-07-16T00:00:00"/>
    <x v="1"/>
    <x v="9"/>
    <n v="96.28"/>
    <n v="0"/>
    <n v="19.25"/>
    <n v="4.83"/>
    <n v="120.36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20"/>
    <s v="06/2024"/>
    <x v="1"/>
    <x v="9"/>
    <n v="329.02"/>
    <n v="0"/>
    <n v="65.8"/>
    <n v="30.86"/>
    <n v="425.68"/>
    <d v="2024-07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9"/>
    <s v="7"/>
    <s v="19"/>
    <x v="1"/>
    <x v="1"/>
    <s v=""/>
    <s v=""/>
  </r>
  <r>
    <d v="2025-10-01T00:00:00"/>
    <x v="0"/>
    <s v="ADM"/>
    <x v="3"/>
    <x v="20"/>
    <s v="07/2024"/>
    <x v="1"/>
    <x v="9"/>
    <n v="260.91000000000003"/>
    <n v="0"/>
    <n v="52.18"/>
    <n v="22.2"/>
    <n v="335.29"/>
    <d v="2024-08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0"/>
    <s v="8"/>
    <s v="20"/>
    <x v="1"/>
    <x v="1"/>
    <s v=""/>
    <s v=""/>
  </r>
  <r>
    <d v="2025-10-01T00:00:00"/>
    <x v="0"/>
    <s v="ADM"/>
    <x v="3"/>
    <x v="20"/>
    <s v="08/2024"/>
    <x v="1"/>
    <x v="9"/>
    <n v="378.64"/>
    <n v="0"/>
    <n v="75.72"/>
    <n v="29.04"/>
    <n v="483.40000000000003"/>
    <d v="2024-09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1"/>
    <s v="9"/>
    <s v="20"/>
    <x v="1"/>
    <x v="1"/>
    <s v=""/>
    <s v=""/>
  </r>
  <r>
    <d v="2025-10-01T00:00:00"/>
    <x v="0"/>
    <s v="ADM"/>
    <x v="3"/>
    <x v="20"/>
    <s v="09/2024"/>
    <x v="1"/>
    <x v="9"/>
    <n v="379.12"/>
    <n v="0"/>
    <n v="75.819999999999993"/>
    <n v="25.55"/>
    <n v="480.49"/>
    <d v="2024-10-18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0"/>
    <s v="10"/>
    <s v="18"/>
    <x v="1"/>
    <x v="1"/>
    <s v=""/>
    <s v=""/>
  </r>
  <r>
    <d v="2025-10-01T00:00:00"/>
    <x v="0"/>
    <s v="ADM"/>
    <x v="3"/>
    <x v="20"/>
    <s v="10/2024"/>
    <x v="1"/>
    <x v="9"/>
    <n v="440.33"/>
    <n v="0"/>
    <n v="88.06"/>
    <n v="26.19"/>
    <n v="554.58000000000004"/>
    <d v="2024-11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19"/>
    <x v="1"/>
    <x v="1"/>
    <s v=""/>
    <s v=""/>
  </r>
  <r>
    <d v="2025-10-01T00:00:00"/>
    <x v="0"/>
    <s v="ADM"/>
    <x v="3"/>
    <x v="20"/>
    <s v="11/2024"/>
    <x v="1"/>
    <x v="9"/>
    <n v="278.58999999999997"/>
    <n v="0"/>
    <n v="55.71"/>
    <n v="13.98"/>
    <n v="348.28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20"/>
    <s v="12/2024"/>
    <x v="1"/>
    <x v="9"/>
    <n v="302.72000000000003"/>
    <n v="0"/>
    <n v="60.54"/>
    <n v="12.13"/>
    <n v="375.39000000000004"/>
    <d v="2025-01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3"/>
    <s v="1"/>
    <s v="20"/>
    <x v="1"/>
    <x v="1"/>
    <s v=""/>
    <s v=""/>
  </r>
  <r>
    <d v="2025-10-01T00:00:00"/>
    <x v="0"/>
    <s v="ADM"/>
    <x v="3"/>
    <x v="20"/>
    <s v="01/2025"/>
    <x v="1"/>
    <x v="9"/>
    <n v="304.95"/>
    <n v="0"/>
    <n v="60.99"/>
    <n v="9.1999999999999993"/>
    <n v="375.14"/>
    <d v="2025-0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4"/>
    <s v="2"/>
    <s v="20"/>
    <x v="1"/>
    <x v="1"/>
    <s v=""/>
    <s v=""/>
  </r>
  <r>
    <d v="2025-10-01T00:00:00"/>
    <x v="0"/>
    <s v="ADM"/>
    <x v="3"/>
    <x v="20"/>
    <s v="02/2025"/>
    <x v="1"/>
    <x v="9"/>
    <n v="230.11"/>
    <n v="0"/>
    <n v="37.200000000000003"/>
    <n v="4.74"/>
    <n v="272.05"/>
    <d v="2025-03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5"/>
    <s v="3"/>
    <s v="20"/>
    <x v="1"/>
    <x v="1"/>
    <s v=""/>
    <s v=""/>
  </r>
  <r>
    <d v="2025-10-01T00:00:00"/>
    <x v="0"/>
    <s v="ADM"/>
    <x v="3"/>
    <x v="20"/>
    <s v="03/2025"/>
    <x v="1"/>
    <x v="9"/>
    <n v="180.36"/>
    <n v="0"/>
    <n v="10.11"/>
    <n v="1.8"/>
    <n v="192.27000000000004"/>
    <d v="2025-04-1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6"/>
    <s v="4"/>
    <s v="17"/>
    <x v="1"/>
    <x v="1"/>
    <s v=""/>
    <s v=""/>
  </r>
  <r>
    <d v="2025-10-01T00:00:00"/>
    <x v="0"/>
    <s v="ADM"/>
    <x v="3"/>
    <x v="20"/>
    <d v="1905-07-16T00:00:00"/>
    <x v="1"/>
    <x v="9"/>
    <n v="240.71"/>
    <n v="0"/>
    <n v="48.14"/>
    <n v="12.08"/>
    <n v="300.93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20"/>
    <s v="06/2024"/>
    <x v="1"/>
    <x v="9"/>
    <n v="26.32"/>
    <n v="0"/>
    <n v="5.26"/>
    <n v="2.46"/>
    <n v="34.04"/>
    <d v="2024-07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9"/>
    <s v="7"/>
    <s v="19"/>
    <x v="1"/>
    <x v="1"/>
    <s v=""/>
    <s v=""/>
  </r>
  <r>
    <d v="2025-10-01T00:00:00"/>
    <x v="0"/>
    <s v="ADM"/>
    <x v="3"/>
    <x v="20"/>
    <s v="07/2024"/>
    <x v="1"/>
    <x v="9"/>
    <n v="20.87"/>
    <n v="0"/>
    <n v="4.17"/>
    <n v="1.77"/>
    <n v="26.81"/>
    <d v="2024-08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0"/>
    <s v="8"/>
    <s v="20"/>
    <x v="1"/>
    <x v="1"/>
    <s v=""/>
    <s v=""/>
  </r>
  <r>
    <d v="2025-10-01T00:00:00"/>
    <x v="0"/>
    <s v="ADM"/>
    <x v="3"/>
    <x v="20"/>
    <s v="08/2024"/>
    <x v="1"/>
    <x v="9"/>
    <n v="30.29"/>
    <n v="0"/>
    <n v="6.05"/>
    <n v="2.3199999999999998"/>
    <n v="38.659999999999997"/>
    <d v="2024-09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1"/>
    <s v="9"/>
    <s v="20"/>
    <x v="1"/>
    <x v="1"/>
    <s v=""/>
    <s v=""/>
  </r>
  <r>
    <d v="2025-10-01T00:00:00"/>
    <x v="0"/>
    <s v="ADM"/>
    <x v="3"/>
    <x v="20"/>
    <s v="09/2024"/>
    <x v="1"/>
    <x v="9"/>
    <n v="30.32"/>
    <n v="0"/>
    <n v="6.06"/>
    <n v="2.04"/>
    <n v="38.42"/>
    <d v="2024-10-18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0"/>
    <s v="10"/>
    <s v="18"/>
    <x v="1"/>
    <x v="1"/>
    <s v=""/>
    <s v=""/>
  </r>
  <r>
    <d v="2025-10-01T00:00:00"/>
    <x v="0"/>
    <s v="ADM"/>
    <x v="3"/>
    <x v="20"/>
    <s v="10/2024"/>
    <x v="1"/>
    <x v="9"/>
    <n v="35.22"/>
    <n v="0"/>
    <n v="7.04"/>
    <n v="2.09"/>
    <n v="44.349999999999994"/>
    <d v="2024-11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19"/>
    <x v="1"/>
    <x v="1"/>
    <s v=""/>
    <s v=""/>
  </r>
  <r>
    <d v="2025-10-01T00:00:00"/>
    <x v="0"/>
    <s v="ADM"/>
    <x v="3"/>
    <x v="20"/>
    <s v="11/2024"/>
    <x v="1"/>
    <x v="9"/>
    <n v="22.28"/>
    <n v="0"/>
    <n v="4.45"/>
    <n v="1.1100000000000001"/>
    <n v="27.84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20"/>
    <s v="12/2024"/>
    <x v="1"/>
    <x v="9"/>
    <n v="24.21"/>
    <n v="0"/>
    <n v="4.84"/>
    <n v="0.97"/>
    <n v="30.02"/>
    <d v="2025-01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3"/>
    <s v="1"/>
    <s v="20"/>
    <x v="1"/>
    <x v="1"/>
    <s v=""/>
    <s v=""/>
  </r>
  <r>
    <d v="2025-10-01T00:00:00"/>
    <x v="0"/>
    <s v="ADM"/>
    <x v="3"/>
    <x v="20"/>
    <s v="01/2025"/>
    <x v="1"/>
    <x v="9"/>
    <n v="24.39"/>
    <n v="0"/>
    <n v="4.87"/>
    <n v="0.73"/>
    <n v="29.990000000000002"/>
    <d v="2025-0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4"/>
    <s v="2"/>
    <s v="20"/>
    <x v="1"/>
    <x v="1"/>
    <s v=""/>
    <s v=""/>
  </r>
  <r>
    <d v="2025-10-01T00:00:00"/>
    <x v="0"/>
    <s v="ADM"/>
    <x v="3"/>
    <x v="20"/>
    <s v="02/2025"/>
    <x v="1"/>
    <x v="9"/>
    <n v="18.399999999999999"/>
    <n v="0"/>
    <n v="2.97"/>
    <n v="0.37"/>
    <n v="21.74"/>
    <d v="2025-03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5"/>
    <s v="3"/>
    <s v="20"/>
    <x v="1"/>
    <x v="1"/>
    <s v=""/>
    <s v=""/>
  </r>
  <r>
    <d v="2025-10-01T00:00:00"/>
    <x v="0"/>
    <s v="ADM"/>
    <x v="3"/>
    <x v="20"/>
    <s v="03/2025"/>
    <x v="1"/>
    <x v="9"/>
    <n v="14.42"/>
    <n v="0"/>
    <n v="0.8"/>
    <n v="0.14000000000000001"/>
    <n v="15.360000000000001"/>
    <d v="2025-04-1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6"/>
    <s v="4"/>
    <s v="17"/>
    <x v="1"/>
    <x v="1"/>
    <s v=""/>
    <s v=""/>
  </r>
  <r>
    <d v="2025-10-01T00:00:00"/>
    <x v="0"/>
    <s v="ADM"/>
    <x v="3"/>
    <x v="20"/>
    <d v="1905-07-16T00:00:00"/>
    <x v="1"/>
    <x v="9"/>
    <n v="19.25"/>
    <n v="0"/>
    <n v="3.85"/>
    <n v="0.96"/>
    <n v="24.060000000000002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20"/>
    <s v="06/2024"/>
    <x v="1"/>
    <x v="9"/>
    <n v="197.41"/>
    <n v="0"/>
    <n v="39.479999999999997"/>
    <n v="18.510000000000002"/>
    <n v="255.39999999999998"/>
    <d v="2024-07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9"/>
    <s v="7"/>
    <s v="19"/>
    <x v="1"/>
    <x v="1"/>
    <s v=""/>
    <s v=""/>
  </r>
  <r>
    <d v="2025-10-01T00:00:00"/>
    <x v="0"/>
    <s v="ADM"/>
    <x v="3"/>
    <x v="20"/>
    <s v="07/2024"/>
    <x v="1"/>
    <x v="9"/>
    <n v="156.55000000000001"/>
    <n v="0"/>
    <n v="31.31"/>
    <n v="13.32"/>
    <n v="201.18"/>
    <d v="2024-08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0"/>
    <s v="8"/>
    <s v="20"/>
    <x v="1"/>
    <x v="1"/>
    <s v=""/>
    <s v=""/>
  </r>
  <r>
    <d v="2025-10-01T00:00:00"/>
    <x v="0"/>
    <s v="ADM"/>
    <x v="3"/>
    <x v="20"/>
    <s v="08/2024"/>
    <x v="1"/>
    <x v="9"/>
    <n v="227.18"/>
    <n v="0"/>
    <n v="45.43"/>
    <n v="17.420000000000002"/>
    <n v="290.03000000000003"/>
    <d v="2024-09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1"/>
    <s v="9"/>
    <s v="20"/>
    <x v="1"/>
    <x v="1"/>
    <s v=""/>
    <s v=""/>
  </r>
  <r>
    <d v="2025-10-01T00:00:00"/>
    <x v="0"/>
    <s v="ADM"/>
    <x v="3"/>
    <x v="20"/>
    <s v="09/2024"/>
    <x v="1"/>
    <x v="9"/>
    <n v="227.47"/>
    <n v="0"/>
    <n v="45.49"/>
    <n v="15.33"/>
    <n v="288.28999999999996"/>
    <d v="2024-10-18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0"/>
    <s v="10"/>
    <s v="18"/>
    <x v="1"/>
    <x v="1"/>
    <s v=""/>
    <s v=""/>
  </r>
  <r>
    <d v="2025-10-01T00:00:00"/>
    <x v="0"/>
    <s v="ADM"/>
    <x v="3"/>
    <x v="20"/>
    <s v="10/2024"/>
    <x v="1"/>
    <x v="9"/>
    <n v="264.19"/>
    <n v="0"/>
    <n v="52.83"/>
    <n v="15.71"/>
    <n v="332.72999999999996"/>
    <d v="2024-11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19"/>
    <x v="1"/>
    <x v="1"/>
    <s v=""/>
    <s v=""/>
  </r>
  <r>
    <d v="2025-10-01T00:00:00"/>
    <x v="0"/>
    <s v="ADM"/>
    <x v="3"/>
    <x v="20"/>
    <s v="11/2024"/>
    <x v="1"/>
    <x v="9"/>
    <n v="167.15"/>
    <n v="0"/>
    <n v="33.43"/>
    <n v="8.39"/>
    <n v="208.97000000000003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20"/>
    <s v="12/2024"/>
    <x v="1"/>
    <x v="9"/>
    <n v="181.63"/>
    <n v="0"/>
    <n v="36.32"/>
    <n v="7.28"/>
    <n v="225.23"/>
    <d v="2025-01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3"/>
    <s v="1"/>
    <s v="20"/>
    <x v="1"/>
    <x v="1"/>
    <s v=""/>
    <s v=""/>
  </r>
  <r>
    <d v="2025-10-01T00:00:00"/>
    <x v="0"/>
    <s v="ADM"/>
    <x v="3"/>
    <x v="20"/>
    <s v="01/2025"/>
    <x v="1"/>
    <x v="9"/>
    <n v="182.97"/>
    <n v="0"/>
    <n v="36.590000000000003"/>
    <n v="5.52"/>
    <n v="225.08"/>
    <d v="2025-0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4"/>
    <s v="2"/>
    <s v="20"/>
    <x v="1"/>
    <x v="1"/>
    <s v=""/>
    <s v=""/>
  </r>
  <r>
    <d v="2025-10-01T00:00:00"/>
    <x v="0"/>
    <s v="ADM"/>
    <x v="3"/>
    <x v="20"/>
    <s v="02/2025"/>
    <x v="1"/>
    <x v="9"/>
    <n v="138.06"/>
    <n v="0"/>
    <n v="22.32"/>
    <n v="2.84"/>
    <n v="163.22"/>
    <d v="2025-03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5"/>
    <s v="3"/>
    <s v="20"/>
    <x v="1"/>
    <x v="1"/>
    <s v=""/>
    <s v=""/>
  </r>
  <r>
    <d v="2025-10-01T00:00:00"/>
    <x v="0"/>
    <s v="ADM"/>
    <x v="3"/>
    <x v="20"/>
    <s v="03/2025"/>
    <x v="1"/>
    <x v="9"/>
    <n v="108.21"/>
    <n v="0"/>
    <n v="6.07"/>
    <n v="1.08"/>
    <n v="115.36"/>
    <d v="2025-04-1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6"/>
    <s v="4"/>
    <s v="17"/>
    <x v="1"/>
    <x v="1"/>
    <s v=""/>
    <s v=""/>
  </r>
  <r>
    <d v="2025-10-01T00:00:00"/>
    <x v="0"/>
    <s v="ADM"/>
    <x v="3"/>
    <x v="20"/>
    <d v="1905-07-16T00:00:00"/>
    <x v="1"/>
    <x v="9"/>
    <n v="144.41999999999999"/>
    <n v="0"/>
    <n v="28.88"/>
    <n v="7.24"/>
    <n v="180.54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20"/>
    <s v="06/2024"/>
    <x v="1"/>
    <x v="9"/>
    <n v="39.479999999999997"/>
    <n v="0"/>
    <n v="7.89"/>
    <n v="3.7"/>
    <n v="51.07"/>
    <d v="2024-07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9"/>
    <s v="7"/>
    <s v="19"/>
    <x v="1"/>
    <x v="1"/>
    <s v=""/>
    <s v=""/>
  </r>
  <r>
    <d v="2025-10-01T00:00:00"/>
    <x v="0"/>
    <s v="ADM"/>
    <x v="3"/>
    <x v="20"/>
    <s v="07/2024"/>
    <x v="1"/>
    <x v="9"/>
    <n v="31.31"/>
    <n v="0"/>
    <n v="6.26"/>
    <n v="2.66"/>
    <n v="40.230000000000004"/>
    <d v="2024-08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0"/>
    <s v="8"/>
    <s v="20"/>
    <x v="1"/>
    <x v="1"/>
    <s v=""/>
    <s v=""/>
  </r>
  <r>
    <d v="2025-10-01T00:00:00"/>
    <x v="0"/>
    <s v="ADM"/>
    <x v="3"/>
    <x v="20"/>
    <s v="08/2024"/>
    <x v="1"/>
    <x v="9"/>
    <n v="45.43"/>
    <n v="0"/>
    <n v="9.08"/>
    <n v="3.48"/>
    <n v="57.989999999999995"/>
    <d v="2024-09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1"/>
    <s v="9"/>
    <s v="20"/>
    <x v="1"/>
    <x v="1"/>
    <s v=""/>
    <s v=""/>
  </r>
  <r>
    <d v="2025-10-01T00:00:00"/>
    <x v="0"/>
    <s v="ADM"/>
    <x v="3"/>
    <x v="20"/>
    <s v="09/2024"/>
    <x v="1"/>
    <x v="9"/>
    <n v="45.49"/>
    <n v="0"/>
    <n v="9.09"/>
    <n v="3.06"/>
    <n v="57.64"/>
    <d v="2024-10-18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0"/>
    <s v="10"/>
    <s v="18"/>
    <x v="1"/>
    <x v="1"/>
    <s v=""/>
    <s v=""/>
  </r>
  <r>
    <d v="2025-10-01T00:00:00"/>
    <x v="0"/>
    <s v="ADM"/>
    <x v="3"/>
    <x v="20"/>
    <s v="10/2024"/>
    <x v="1"/>
    <x v="9"/>
    <n v="52.83"/>
    <n v="0"/>
    <n v="10.56"/>
    <n v="3.14"/>
    <n v="66.53"/>
    <d v="2024-11-19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19"/>
    <x v="1"/>
    <x v="1"/>
    <s v=""/>
    <s v=""/>
  </r>
  <r>
    <d v="2025-10-01T00:00:00"/>
    <x v="0"/>
    <s v="ADM"/>
    <x v="3"/>
    <x v="20"/>
    <s v="11/2024"/>
    <x v="1"/>
    <x v="9"/>
    <n v="33.43"/>
    <n v="0"/>
    <n v="6.68"/>
    <n v="1.67"/>
    <n v="41.78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20"/>
    <s v="12/2024"/>
    <x v="1"/>
    <x v="9"/>
    <n v="36.32"/>
    <n v="0"/>
    <n v="7.26"/>
    <n v="1.45"/>
    <n v="45.03"/>
    <d v="2025-01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3"/>
    <s v="1"/>
    <s v="20"/>
    <x v="1"/>
    <x v="1"/>
    <s v=""/>
    <s v=""/>
  </r>
  <r>
    <d v="2025-10-01T00:00:00"/>
    <x v="0"/>
    <s v="ADM"/>
    <x v="3"/>
    <x v="20"/>
    <s v="01/2025"/>
    <x v="1"/>
    <x v="9"/>
    <n v="36.590000000000003"/>
    <n v="0"/>
    <n v="7.31"/>
    <n v="1.1000000000000001"/>
    <n v="45.000000000000007"/>
    <d v="2025-0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4"/>
    <s v="2"/>
    <s v="20"/>
    <x v="1"/>
    <x v="1"/>
    <s v=""/>
    <s v=""/>
  </r>
  <r>
    <d v="2025-10-01T00:00:00"/>
    <x v="0"/>
    <s v="ADM"/>
    <x v="3"/>
    <x v="20"/>
    <s v="02/2025"/>
    <x v="1"/>
    <x v="9"/>
    <n v="27.61"/>
    <n v="0"/>
    <n v="4.46"/>
    <n v="0.56000000000000005"/>
    <n v="32.630000000000003"/>
    <d v="2025-03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5"/>
    <s v="3"/>
    <s v="20"/>
    <x v="1"/>
    <x v="1"/>
    <s v=""/>
    <s v=""/>
  </r>
  <r>
    <d v="2025-10-01T00:00:00"/>
    <x v="0"/>
    <s v="ADM"/>
    <x v="3"/>
    <x v="20"/>
    <s v="03/2025"/>
    <x v="1"/>
    <x v="9"/>
    <n v="21.64"/>
    <n v="0"/>
    <n v="1.21"/>
    <n v="0.21"/>
    <n v="23.060000000000002"/>
    <d v="2025-04-1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6"/>
    <s v="4"/>
    <s v="17"/>
    <x v="1"/>
    <x v="1"/>
    <s v=""/>
    <s v=""/>
  </r>
  <r>
    <d v="2025-10-01T00:00:00"/>
    <x v="0"/>
    <s v="ADM"/>
    <x v="3"/>
    <x v="20"/>
    <d v="1905-07-16T00:00:00"/>
    <x v="1"/>
    <x v="9"/>
    <n v="28.88"/>
    <n v="0"/>
    <n v="5.77"/>
    <n v="1.44"/>
    <n v="36.089999999999996"/>
    <d v="2024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0"/>
    <x v="1"/>
    <x v="1"/>
    <s v=""/>
    <s v=""/>
  </r>
  <r>
    <d v="2025-10-01T00:00:00"/>
    <x v="0"/>
    <s v="ADM"/>
    <x v="3"/>
    <x v="21"/>
    <s v="PERÍODO AGOS 25"/>
    <x v="1"/>
    <x v="9"/>
    <n v="1271.6400000000001"/>
    <n v="0"/>
    <n v="0"/>
    <n v="0"/>
    <n v="1271.6400000000001"/>
    <d v="2025-08-06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10"/>
    <s v="8"/>
    <s v="6"/>
    <x v="1"/>
    <x v="1"/>
    <s v=""/>
    <s v=""/>
  </r>
  <r>
    <d v="2025-10-01T00:00:00"/>
    <x v="0"/>
    <s v="ADM"/>
    <x v="3"/>
    <x v="21"/>
    <s v="PERÍODO DIVERSOS"/>
    <x v="1"/>
    <x v="9"/>
    <n v="6489.03"/>
    <n v="0"/>
    <n v="0"/>
    <n v="0"/>
    <n v="6489.03"/>
    <d v="2025-08-06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10"/>
    <s v="8"/>
    <s v="6"/>
    <x v="1"/>
    <x v="1"/>
    <s v=""/>
    <s v=""/>
  </r>
  <r>
    <d v="2025-10-01T00:00:00"/>
    <x v="0"/>
    <s v="ADM"/>
    <x v="3"/>
    <x v="21"/>
    <s v="PERÍODO AGOS 25"/>
    <x v="1"/>
    <x v="9"/>
    <n v="16491.16"/>
    <n v="0"/>
    <n v="0"/>
    <n v="0"/>
    <n v="16491.16"/>
    <d v="2025-08-06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10"/>
    <s v="8"/>
    <s v="6"/>
    <x v="1"/>
    <x v="1"/>
    <s v=""/>
    <s v=""/>
  </r>
  <r>
    <d v="2025-10-01T00:00:00"/>
    <x v="0"/>
    <s v="ADM"/>
    <x v="3"/>
    <x v="21"/>
    <s v="PERÍODO AGOS 25"/>
    <x v="1"/>
    <x v="9"/>
    <n v="5350.01"/>
    <n v="0"/>
    <n v="0"/>
    <n v="0"/>
    <n v="5350.01"/>
    <d v="2025-08-06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10"/>
    <s v="8"/>
    <s v="6"/>
    <x v="1"/>
    <x v="1"/>
    <s v=""/>
    <s v=""/>
  </r>
  <r>
    <d v="2025-10-01T00:00:00"/>
    <x v="0"/>
    <s v="ADM"/>
    <x v="3"/>
    <x v="22"/>
    <d v="2020-03-01T00:00:00"/>
    <x v="1"/>
    <x v="19"/>
    <n v="1181.17"/>
    <n v="0"/>
    <n v="0"/>
    <n v="0"/>
    <n v="1181.17"/>
    <d v="2020-04-13T00:00:00"/>
    <s v="Venceu"/>
    <m/>
    <x v="1"/>
    <m/>
    <s v="PAGBANK"/>
    <s v="VARIÁVEL"/>
    <x v="0"/>
    <x v="1"/>
    <s v=""/>
    <s v="Despesas_Endividamentos"/>
    <x v="1"/>
    <x v="0"/>
    <x v="0"/>
    <s v="10"/>
    <s v="1"/>
    <x v="8"/>
    <x v="6"/>
    <s v="4"/>
    <s v="13"/>
    <x v="1"/>
    <x v="1"/>
    <s v=""/>
    <s v=""/>
  </r>
  <r>
    <d v="2025-10-01T00:00:00"/>
    <x v="0"/>
    <s v="ADM"/>
    <x v="3"/>
    <x v="22"/>
    <d v="2020-04-01T00:00:00"/>
    <x v="1"/>
    <x v="20"/>
    <n v="667.95"/>
    <n v="0"/>
    <n v="0"/>
    <n v="0"/>
    <n v="667.95"/>
    <d v="2020-05-11T00:00:00"/>
    <s v="Venceu"/>
    <m/>
    <x v="1"/>
    <m/>
    <s v="PAGBANK"/>
    <s v="VARIÁVEL"/>
    <x v="0"/>
    <x v="1"/>
    <s v=""/>
    <s v="Despesas_Endividamentos"/>
    <x v="1"/>
    <x v="0"/>
    <x v="0"/>
    <s v="10"/>
    <s v="1"/>
    <x v="8"/>
    <x v="7"/>
    <s v="5"/>
    <s v="11"/>
    <x v="1"/>
    <x v="1"/>
    <s v=""/>
    <s v=""/>
  </r>
  <r>
    <d v="2025-10-01T00:00:00"/>
    <x v="0"/>
    <s v="ADM"/>
    <x v="3"/>
    <x v="22"/>
    <d v="2020-05-01T00:00:00"/>
    <x v="1"/>
    <x v="20"/>
    <n v="721.09"/>
    <n v="0"/>
    <n v="0"/>
    <n v="0"/>
    <n v="721.09"/>
    <d v="2020-07-10T00:00:00"/>
    <s v="Venceu"/>
    <m/>
    <x v="1"/>
    <m/>
    <s v="PAGBANK"/>
    <s v="VARIÁVEL"/>
    <x v="0"/>
    <x v="1"/>
    <s v=""/>
    <s v="Despesas_Endividamentos"/>
    <x v="1"/>
    <x v="0"/>
    <x v="0"/>
    <s v="10"/>
    <s v="1"/>
    <x v="8"/>
    <x v="9"/>
    <s v="7"/>
    <s v="10"/>
    <x v="1"/>
    <x v="1"/>
    <s v=""/>
    <s v=""/>
  </r>
  <r>
    <d v="2025-10-01T00:00:00"/>
    <x v="0"/>
    <s v="ADM"/>
    <x v="3"/>
    <x v="23"/>
    <s v="ANO 2022"/>
    <x v="1"/>
    <x v="20"/>
    <n v="1694.67"/>
    <n v="0"/>
    <n v="0"/>
    <n v="0"/>
    <n v="1694.67"/>
    <d v="2022-01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5"/>
    <x v="3"/>
    <s v="1"/>
    <s v="20"/>
    <x v="1"/>
    <x v="1"/>
    <s v=""/>
    <s v=""/>
  </r>
  <r>
    <d v="2025-10-01T00:00:00"/>
    <x v="0"/>
    <s v="ADM"/>
    <x v="3"/>
    <x v="24"/>
    <s v="ANO 2022"/>
    <x v="1"/>
    <x v="20"/>
    <n v="267.55"/>
    <n v="0"/>
    <n v="0"/>
    <n v="0"/>
    <n v="267.55"/>
    <d v="2022-01-28T00:00:00"/>
    <s v="Venceu"/>
    <m/>
    <x v="1"/>
    <m/>
    <s v="PAGBANK"/>
    <s v="VARIÁVEL"/>
    <x v="0"/>
    <x v="1"/>
    <s v=""/>
    <s v="Despesas_Endividamentos"/>
    <x v="1"/>
    <x v="0"/>
    <x v="0"/>
    <s v="10"/>
    <s v="1"/>
    <x v="5"/>
    <x v="3"/>
    <s v="1"/>
    <s v="28"/>
    <x v="1"/>
    <x v="1"/>
    <s v=""/>
    <s v=""/>
  </r>
  <r>
    <d v="2025-10-01T00:00:00"/>
    <x v="0"/>
    <s v="ADM"/>
    <x v="3"/>
    <x v="25"/>
    <s v="ANO 2022"/>
    <x v="1"/>
    <x v="20"/>
    <n v="210.6"/>
    <n v="0"/>
    <n v="0"/>
    <n v="0"/>
    <n v="210.6"/>
    <d v="2022-07-05T00:00:00"/>
    <s v="Venceu"/>
    <m/>
    <x v="1"/>
    <m/>
    <s v="PAGBANK"/>
    <s v="VARIÁVEL"/>
    <x v="0"/>
    <x v="1"/>
    <s v=""/>
    <s v="Despesas_Endividamentos"/>
    <x v="1"/>
    <x v="0"/>
    <x v="0"/>
    <s v="10"/>
    <s v="1"/>
    <x v="5"/>
    <x v="9"/>
    <s v="7"/>
    <s v="5"/>
    <x v="1"/>
    <x v="1"/>
    <s v=""/>
    <s v=""/>
  </r>
  <r>
    <d v="2025-10-01T00:00:00"/>
    <x v="0"/>
    <s v="ADM"/>
    <x v="3"/>
    <x v="26"/>
    <s v="ANO 2022"/>
    <x v="1"/>
    <x v="20"/>
    <n v="499.98"/>
    <n v="0"/>
    <n v="0"/>
    <n v="0"/>
    <n v="499.98"/>
    <d v="2022-07-05T00:00:00"/>
    <s v="Venceu"/>
    <m/>
    <x v="1"/>
    <m/>
    <s v="PAGBANK"/>
    <s v="VARIÁVEL"/>
    <x v="0"/>
    <x v="1"/>
    <s v=""/>
    <s v="Despesas_Endividamentos"/>
    <x v="1"/>
    <x v="0"/>
    <x v="0"/>
    <s v="10"/>
    <s v="1"/>
    <x v="5"/>
    <x v="9"/>
    <s v="7"/>
    <s v="5"/>
    <x v="1"/>
    <x v="1"/>
    <s v=""/>
    <s v=""/>
  </r>
  <r>
    <d v="2025-10-01T00:00:00"/>
    <x v="0"/>
    <s v="ADM"/>
    <x v="3"/>
    <x v="24"/>
    <s v="ANO 2023"/>
    <x v="1"/>
    <x v="20"/>
    <n v="217.93"/>
    <n v="0"/>
    <n v="0"/>
    <n v="0"/>
    <n v="217.93"/>
    <d v="2023-01-31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3"/>
    <s v="1"/>
    <s v="31"/>
    <x v="1"/>
    <x v="1"/>
    <s v=""/>
    <s v=""/>
  </r>
  <r>
    <d v="2025-10-01T00:00:00"/>
    <x v="0"/>
    <s v="ADM"/>
    <x v="3"/>
    <x v="23"/>
    <d v="2023-01-01T00:00:00"/>
    <x v="1"/>
    <x v="20"/>
    <n v="360.32"/>
    <n v="0"/>
    <n v="0"/>
    <n v="0"/>
    <n v="360.32"/>
    <d v="2023-03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5"/>
    <s v="3"/>
    <s v="20"/>
    <x v="1"/>
    <x v="1"/>
    <s v=""/>
    <s v=""/>
  </r>
  <r>
    <d v="2025-10-01T00:00:00"/>
    <x v="0"/>
    <s v="ADM"/>
    <x v="3"/>
    <x v="23"/>
    <d v="2023-02-01T00:00:00"/>
    <x v="1"/>
    <x v="20"/>
    <n v="357.6"/>
    <n v="0"/>
    <n v="0"/>
    <n v="0"/>
    <n v="357.6"/>
    <d v="2023-04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6"/>
    <s v="4"/>
    <s v="20"/>
    <x v="1"/>
    <x v="1"/>
    <s v=""/>
    <s v=""/>
  </r>
  <r>
    <d v="2025-10-01T00:00:00"/>
    <x v="0"/>
    <s v="ADM"/>
    <x v="3"/>
    <x v="23"/>
    <d v="2023-03-01T00:00:00"/>
    <x v="1"/>
    <x v="20"/>
    <n v="354.27"/>
    <n v="0"/>
    <n v="0"/>
    <n v="0"/>
    <n v="354.27"/>
    <d v="2023-05-22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7"/>
    <s v="5"/>
    <s v="22"/>
    <x v="1"/>
    <x v="1"/>
    <s v=""/>
    <s v=""/>
  </r>
  <r>
    <d v="2025-10-01T00:00:00"/>
    <x v="0"/>
    <s v="ADM"/>
    <x v="3"/>
    <x v="23"/>
    <d v="2023-04-01T00:00:00"/>
    <x v="1"/>
    <x v="20"/>
    <n v="351.11"/>
    <n v="0"/>
    <n v="0"/>
    <n v="0"/>
    <n v="351.11"/>
    <d v="2023-06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8"/>
    <s v="6"/>
    <s v="20"/>
    <x v="1"/>
    <x v="1"/>
    <s v=""/>
    <s v=""/>
  </r>
  <r>
    <d v="2025-10-01T00:00:00"/>
    <x v="0"/>
    <s v="ADM"/>
    <x v="3"/>
    <x v="24"/>
    <d v="2024-01-01T00:00:00"/>
    <x v="1"/>
    <x v="20"/>
    <n v="275.92"/>
    <n v="0"/>
    <n v="0"/>
    <n v="0"/>
    <n v="275.92"/>
    <d v="2024-01-31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3"/>
    <s v="1"/>
    <s v="31"/>
    <x v="1"/>
    <x v="1"/>
    <s v=""/>
    <s v=""/>
  </r>
  <r>
    <d v="2025-10-01T00:00:00"/>
    <x v="0"/>
    <s v="ADM"/>
    <x v="3"/>
    <x v="23"/>
    <d v="2024-02-01T00:00:00"/>
    <x v="1"/>
    <x v="20"/>
    <n v="369.22"/>
    <n v="0"/>
    <n v="0"/>
    <n v="0"/>
    <n v="369.22"/>
    <d v="2024-0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4"/>
    <s v="2"/>
    <s v="20"/>
    <x v="1"/>
    <x v="1"/>
    <s v=""/>
    <s v=""/>
  </r>
  <r>
    <d v="2025-10-01T00:00:00"/>
    <x v="0"/>
    <s v="ADM"/>
    <x v="3"/>
    <x v="23"/>
    <d v="2024-03-01T00:00:00"/>
    <x v="1"/>
    <x v="20"/>
    <n v="366.46"/>
    <n v="0"/>
    <n v="0"/>
    <n v="0"/>
    <n v="366.46"/>
    <d v="2024-03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5"/>
    <s v="3"/>
    <s v="20"/>
    <x v="1"/>
    <x v="1"/>
    <s v=""/>
    <s v=""/>
  </r>
  <r>
    <d v="2025-10-01T00:00:00"/>
    <x v="0"/>
    <s v="ADM"/>
    <x v="3"/>
    <x v="23"/>
    <d v="2024-04-01T00:00:00"/>
    <x v="1"/>
    <x v="20"/>
    <n v="363.49"/>
    <n v="0"/>
    <n v="0"/>
    <n v="0"/>
    <n v="363.49"/>
    <d v="2024-04-22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6"/>
    <s v="4"/>
    <s v="22"/>
    <x v="1"/>
    <x v="1"/>
    <s v=""/>
    <s v=""/>
  </r>
  <r>
    <d v="2025-10-01T00:00:00"/>
    <x v="0"/>
    <s v="ADM"/>
    <x v="3"/>
    <x v="23"/>
    <d v="2024-05-01T00:00:00"/>
    <x v="1"/>
    <x v="20"/>
    <n v="360.71"/>
    <n v="0"/>
    <n v="0"/>
    <n v="0"/>
    <n v="360.71"/>
    <d v="2024-05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7"/>
    <s v="5"/>
    <s v="20"/>
    <x v="1"/>
    <x v="1"/>
    <s v=""/>
    <s v=""/>
  </r>
  <r>
    <d v="2025-10-01T00:00:00"/>
    <x v="0"/>
    <s v="ADM"/>
    <x v="3"/>
    <x v="27"/>
    <d v="2023-06-01T00:00:00"/>
    <x v="1"/>
    <x v="20"/>
    <n v="645.67999999999995"/>
    <n v="0"/>
    <n v="0"/>
    <n v="0"/>
    <n v="645.67999999999995"/>
    <d v="2023-06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8"/>
    <s v="6"/>
    <s v="20"/>
    <x v="1"/>
    <x v="1"/>
    <s v=""/>
    <s v=""/>
  </r>
  <r>
    <d v="2025-10-01T00:00:00"/>
    <x v="0"/>
    <s v="ADM"/>
    <x v="3"/>
    <x v="27"/>
    <d v="2023-07-01T00:00:00"/>
    <x v="1"/>
    <x v="20"/>
    <n v="640.07000000000005"/>
    <n v="0"/>
    <n v="0"/>
    <n v="0"/>
    <n v="640.07000000000005"/>
    <d v="2023-10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0"/>
    <s v="10"/>
    <s v="20"/>
    <x v="1"/>
    <x v="1"/>
    <s v=""/>
    <s v=""/>
  </r>
  <r>
    <d v="2025-10-01T00:00:00"/>
    <x v="0"/>
    <s v="ADM"/>
    <x v="3"/>
    <x v="27"/>
    <d v="2023-05-01T00:00:00"/>
    <x v="1"/>
    <x v="20"/>
    <n v="651.12"/>
    <n v="0"/>
    <n v="0"/>
    <n v="0"/>
    <n v="651.12"/>
    <d v="2023-08-21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10"/>
    <s v="8"/>
    <s v="21"/>
    <x v="1"/>
    <x v="1"/>
    <s v=""/>
    <s v=""/>
  </r>
  <r>
    <d v="2025-10-01T00:00:00"/>
    <x v="0"/>
    <s v="ADM"/>
    <x v="3"/>
    <x v="27"/>
    <d v="2024-06-01T00:00:00"/>
    <x v="1"/>
    <x v="20"/>
    <n v="495.28"/>
    <n v="0"/>
    <n v="0"/>
    <n v="0"/>
    <n v="495.28"/>
    <d v="2024-07-22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9"/>
    <s v="7"/>
    <s v="22"/>
    <x v="1"/>
    <x v="1"/>
    <s v=""/>
    <s v=""/>
  </r>
  <r>
    <d v="2025-10-01T00:00:00"/>
    <x v="0"/>
    <s v="ADM"/>
    <x v="3"/>
    <x v="27"/>
    <d v="2024-11-01T00:00:00"/>
    <x v="1"/>
    <x v="20"/>
    <n v="477.86"/>
    <n v="0"/>
    <n v="0"/>
    <n v="0"/>
    <n v="477.86"/>
    <d v="2024-12-22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2"/>
    <s v="12"/>
    <s v="22"/>
    <x v="1"/>
    <x v="1"/>
    <s v=""/>
    <s v=""/>
  </r>
  <r>
    <d v="2025-10-01T00:00:00"/>
    <x v="0"/>
    <s v="ADM"/>
    <x v="3"/>
    <x v="27"/>
    <d v="2024-10-01T00:00:00"/>
    <x v="1"/>
    <x v="20"/>
    <n v="482.22"/>
    <n v="0"/>
    <n v="0"/>
    <n v="0"/>
    <n v="482.22"/>
    <d v="2024-11-21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21"/>
    <x v="1"/>
    <x v="1"/>
    <s v=""/>
    <s v=""/>
  </r>
  <r>
    <d v="2025-10-01T00:00:00"/>
    <x v="0"/>
    <s v="ADM"/>
    <x v="3"/>
    <x v="27"/>
    <d v="2023-09-01T00:00:00"/>
    <x v="1"/>
    <x v="20"/>
    <n v="629.92999999999995"/>
    <n v="0"/>
    <n v="0"/>
    <n v="0"/>
    <n v="629.92999999999995"/>
    <d v="2023-12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2"/>
    <s v="12"/>
    <s v="20"/>
    <x v="1"/>
    <x v="1"/>
    <s v=""/>
    <s v=""/>
  </r>
  <r>
    <d v="2025-10-01T00:00:00"/>
    <x v="0"/>
    <s v="ADM"/>
    <x v="3"/>
    <x v="27"/>
    <d v="2024-09-01T00:00:00"/>
    <x v="1"/>
    <x v="20"/>
    <n v="485.92"/>
    <n v="0"/>
    <n v="0"/>
    <n v="0"/>
    <n v="485.92"/>
    <d v="2024-10-21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0"/>
    <s v="10"/>
    <s v="21"/>
    <x v="1"/>
    <x v="1"/>
    <s v=""/>
    <s v=""/>
  </r>
  <r>
    <d v="2025-10-01T00:00:00"/>
    <x v="0"/>
    <s v="ADM"/>
    <x v="3"/>
    <x v="27"/>
    <d v="2024-08-01T00:00:00"/>
    <x v="1"/>
    <x v="20"/>
    <n v="490.28"/>
    <n v="0"/>
    <n v="0"/>
    <n v="0"/>
    <n v="490.28"/>
    <d v="2024-09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1"/>
    <s v="9"/>
    <s v="20"/>
    <x v="1"/>
    <x v="1"/>
    <s v=""/>
    <s v=""/>
  </r>
  <r>
    <d v="2025-10-01T00:00:00"/>
    <x v="0"/>
    <s v="ADM"/>
    <x v="3"/>
    <x v="27"/>
    <d v="2023-08-01T00:00:00"/>
    <x v="1"/>
    <x v="20"/>
    <n v="634.91999999999996"/>
    <n v="0"/>
    <n v="0"/>
    <n v="0"/>
    <n v="634.91999999999996"/>
    <d v="2023-11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1"/>
    <s v="11"/>
    <s v="20"/>
    <x v="1"/>
    <x v="1"/>
    <s v=""/>
    <s v=""/>
  </r>
  <r>
    <d v="2025-10-01T00:00:00"/>
    <x v="0"/>
    <s v="ADM"/>
    <x v="3"/>
    <x v="27"/>
    <d v="2024-07-01T00:00:00"/>
    <x v="1"/>
    <x v="20"/>
    <n v="492.22"/>
    <n v="0"/>
    <n v="0"/>
    <n v="0"/>
    <n v="492.22"/>
    <d v="2024-08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0"/>
    <s v="8"/>
    <s v="20"/>
    <x v="1"/>
    <x v="1"/>
    <s v=""/>
    <s v=""/>
  </r>
  <r>
    <d v="2025-10-01T00:00:00"/>
    <x v="0"/>
    <s v="ADM"/>
    <x v="3"/>
    <x v="27"/>
    <d v="2023-04-01T00:00:00"/>
    <x v="1"/>
    <x v="20"/>
    <n v="657.51"/>
    <n v="0"/>
    <n v="0"/>
    <n v="0"/>
    <n v="657.51"/>
    <d v="2023-07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9"/>
    <s v="7"/>
    <s v="20"/>
    <x v="1"/>
    <x v="1"/>
    <s v=""/>
    <s v=""/>
  </r>
  <r>
    <d v="2025-10-01T00:00:00"/>
    <x v="0"/>
    <s v="ADM"/>
    <x v="3"/>
    <x v="15"/>
    <s v="04/2025"/>
    <x v="3"/>
    <x v="9"/>
    <n v="294.47000000000003"/>
    <n v="0"/>
    <n v="0"/>
    <n v="0"/>
    <n v="294.47000000000003"/>
    <d v="2025-05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20"/>
    <x v="1"/>
    <x v="1"/>
    <s v=""/>
    <s v=""/>
  </r>
  <r>
    <d v="2025-10-01T00:00:00"/>
    <x v="0"/>
    <s v="ADM"/>
    <x v="3"/>
    <x v="16"/>
    <s v="04/2025"/>
    <x v="3"/>
    <x v="9"/>
    <n v="77.89"/>
    <n v="0"/>
    <n v="0"/>
    <n v="0"/>
    <n v="77.89"/>
    <d v="2025-05-23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23"/>
    <x v="1"/>
    <x v="1"/>
    <s v=""/>
    <s v=""/>
  </r>
  <r>
    <d v="2025-10-01T00:00:00"/>
    <x v="0"/>
    <s v="ADM"/>
    <x v="3"/>
    <x v="18"/>
    <s v="04/2025"/>
    <x v="3"/>
    <x v="9"/>
    <n v="718.38"/>
    <n v="0"/>
    <n v="0"/>
    <n v="0"/>
    <n v="718.38"/>
    <d v="2025-05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20"/>
    <x v="1"/>
    <x v="1"/>
    <s v=""/>
    <s v=""/>
  </r>
  <r>
    <d v="2025-10-01T00:00:00"/>
    <x v="0"/>
    <s v="ADM"/>
    <x v="3"/>
    <x v="19"/>
    <s v="04/2025"/>
    <x v="3"/>
    <x v="9"/>
    <n v="1557.89"/>
    <n v="0"/>
    <n v="0"/>
    <n v="0"/>
    <n v="1557.89"/>
    <d v="2025-05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20"/>
    <x v="1"/>
    <x v="1"/>
    <s v=""/>
    <s v=""/>
  </r>
  <r>
    <d v="2025-10-01T00:00:00"/>
    <x v="0"/>
    <s v="ADM"/>
    <x v="3"/>
    <x v="19"/>
    <s v="04/2025"/>
    <x v="3"/>
    <x v="9"/>
    <n v="77.89"/>
    <n v="0"/>
    <n v="0"/>
    <n v="0"/>
    <n v="77.89"/>
    <d v="2025-05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20"/>
    <x v="1"/>
    <x v="1"/>
    <s v=""/>
    <s v=""/>
  </r>
  <r>
    <d v="2025-10-01T00:00:00"/>
    <x v="0"/>
    <s v="ADM"/>
    <x v="3"/>
    <x v="20"/>
    <s v="04/2025"/>
    <x v="3"/>
    <x v="9"/>
    <n v="194.73"/>
    <n v="0"/>
    <n v="0"/>
    <n v="0"/>
    <n v="194.73"/>
    <d v="2025-05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20"/>
    <x v="1"/>
    <x v="1"/>
    <s v=""/>
    <s v=""/>
  </r>
  <r>
    <d v="2025-10-01T00:00:00"/>
    <x v="0"/>
    <s v="ADM"/>
    <x v="3"/>
    <x v="20"/>
    <s v="04/2025"/>
    <x v="3"/>
    <x v="9"/>
    <n v="15.57"/>
    <n v="0"/>
    <n v="0"/>
    <n v="0"/>
    <n v="15.57"/>
    <d v="2025-05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20"/>
    <x v="1"/>
    <x v="1"/>
    <s v=""/>
    <s v=""/>
  </r>
  <r>
    <d v="2025-10-01T00:00:00"/>
    <x v="0"/>
    <s v="ADM"/>
    <x v="3"/>
    <x v="20"/>
    <s v="04/2025"/>
    <x v="3"/>
    <x v="9"/>
    <n v="116.84"/>
    <n v="0"/>
    <n v="0"/>
    <n v="0"/>
    <n v="116.84"/>
    <d v="2025-05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20"/>
    <x v="1"/>
    <x v="1"/>
    <s v=""/>
    <s v=""/>
  </r>
  <r>
    <d v="2025-10-01T00:00:00"/>
    <x v="0"/>
    <s v="ADM"/>
    <x v="3"/>
    <x v="20"/>
    <s v="04/2025"/>
    <x v="3"/>
    <x v="9"/>
    <n v="23.36"/>
    <n v="0"/>
    <n v="0"/>
    <n v="0"/>
    <n v="23.36"/>
    <d v="2025-05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20"/>
    <x v="1"/>
    <x v="1"/>
    <s v=""/>
    <s v=""/>
  </r>
  <r>
    <d v="2025-10-01T00:00:00"/>
    <x v="0"/>
    <s v="ADM"/>
    <x v="3"/>
    <x v="28"/>
    <s v="ATIVA EM COBRANÇA / ENCAMINHADO PARA PROTESTO"/>
    <x v="4"/>
    <x v="9"/>
    <n v="3009.31"/>
    <n v="0"/>
    <n v="0"/>
    <n v="0"/>
    <n v="3009.31"/>
    <d v="2024-11-04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4"/>
    <x v="1"/>
    <x v="1"/>
    <s v=""/>
    <s v=""/>
  </r>
  <r>
    <d v="2025-10-01T00:00:00"/>
    <x v="0"/>
    <s v="ADM"/>
    <x v="3"/>
    <x v="28"/>
    <s v="ATIVA EM COBRANÇA / ENCAMINHADO PARA PROTESTO"/>
    <x v="5"/>
    <x v="9"/>
    <n v="1240.97"/>
    <n v="0"/>
    <n v="0"/>
    <n v="0"/>
    <n v="1240.97"/>
    <d v="2024-11-04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4"/>
    <x v="1"/>
    <x v="1"/>
    <s v=""/>
    <s v=""/>
  </r>
  <r>
    <d v="2025-10-01T00:00:00"/>
    <x v="0"/>
    <s v="ADM"/>
    <x v="3"/>
    <x v="29"/>
    <s v="ATIVA EM COBRANÇA / ENCAMINHADO PARA PROTESTO"/>
    <x v="6"/>
    <x v="9"/>
    <n v="1147.08"/>
    <n v="0"/>
    <n v="0"/>
    <n v="0"/>
    <n v="1147.08"/>
    <d v="2024-11-04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4"/>
    <x v="1"/>
    <x v="1"/>
    <s v=""/>
    <s v=""/>
  </r>
  <r>
    <d v="2025-10-01T00:00:00"/>
    <x v="0"/>
    <s v="ADM"/>
    <x v="3"/>
    <x v="16"/>
    <s v="ATIVA EM COBRANÇA / ENCAMINHADO PARA PROTESTO"/>
    <x v="7"/>
    <x v="9"/>
    <n v="1155.1400000000001"/>
    <n v="0"/>
    <n v="0"/>
    <n v="0"/>
    <n v="1155.1400000000001"/>
    <d v="2024-11-04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4"/>
    <x v="1"/>
    <x v="1"/>
    <s v=""/>
    <s v=""/>
  </r>
  <r>
    <d v="2025-10-01T00:00:00"/>
    <x v="0"/>
    <s v="ADM"/>
    <x v="3"/>
    <x v="28"/>
    <s v="ATIVA EM COBRANÇA / ENCAMINHADO PARA PROTESTO"/>
    <x v="8"/>
    <x v="9"/>
    <n v="16073.65"/>
    <n v="0"/>
    <n v="0"/>
    <n v="0"/>
    <n v="16073.65"/>
    <d v="2024-11-04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4"/>
    <x v="1"/>
    <x v="1"/>
    <s v=""/>
    <s v=""/>
  </r>
  <r>
    <d v="2025-10-01T00:00:00"/>
    <x v="0"/>
    <s v="ADM"/>
    <x v="3"/>
    <x v="28"/>
    <s v="ATIVA EM COBRANÇA / ENCAMINHADO PARA PROTESTO"/>
    <x v="9"/>
    <x v="9"/>
    <n v="5223.87"/>
    <n v="0"/>
    <n v="0"/>
    <n v="0"/>
    <n v="5223.87"/>
    <d v="2024-02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4"/>
    <s v="2"/>
    <s v="26"/>
    <x v="1"/>
    <x v="1"/>
    <s v=""/>
    <s v=""/>
  </r>
  <r>
    <d v="2025-10-01T00:00:00"/>
    <x v="0"/>
    <s v="ADM"/>
    <x v="3"/>
    <x v="16"/>
    <s v="ATIVA EM COBRANÇA"/>
    <x v="10"/>
    <x v="9"/>
    <n v="2537.94"/>
    <n v="0"/>
    <n v="0"/>
    <n v="0"/>
    <n v="2537.94"/>
    <d v="2024-02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4"/>
    <s v="2"/>
    <s v="26"/>
    <x v="1"/>
    <x v="1"/>
    <s v=""/>
    <s v=""/>
  </r>
  <r>
    <d v="2025-10-01T00:00:00"/>
    <x v="0"/>
    <s v="ADM"/>
    <x v="3"/>
    <x v="28"/>
    <s v="ATIVA EM COBRANÇA / ENCAMINHADO PARA PROTESTO"/>
    <x v="11"/>
    <x v="9"/>
    <n v="3265.54"/>
    <n v="0"/>
    <n v="0"/>
    <n v="0"/>
    <n v="3265.54"/>
    <d v="2023-10-09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0"/>
    <s v="10"/>
    <s v="9"/>
    <x v="1"/>
    <x v="1"/>
    <s v=""/>
    <s v=""/>
  </r>
  <r>
    <d v="2025-10-01T00:00:00"/>
    <x v="0"/>
    <s v="ADM"/>
    <x v="3"/>
    <x v="30"/>
    <s v="EXTINTA POR PAGAMENTO_x000a_COM AJUIZAMENTO A SER_x000a_CANCELADO"/>
    <x v="12"/>
    <x v="9"/>
    <n v="0"/>
    <n v="0"/>
    <n v="0"/>
    <n v="0"/>
    <n v="0"/>
    <m/>
    <s v=""/>
    <m/>
    <x v="1"/>
    <m/>
    <s v="PAGBANK"/>
    <s v="VARIÁVEL"/>
    <x v="0"/>
    <x v="1"/>
    <s v=""/>
    <s v="Despesas_Endividamentos"/>
    <x v="1"/>
    <x v="0"/>
    <x v="0"/>
    <s v="10"/>
    <s v="1"/>
    <x v="9"/>
    <x v="12"/>
    <s v=""/>
    <s v=""/>
    <x v="1"/>
    <x v="1"/>
    <s v=""/>
    <s v=""/>
  </r>
  <r>
    <d v="2025-10-01T00:00:00"/>
    <x v="0"/>
    <s v="ADM"/>
    <x v="3"/>
    <x v="31"/>
    <s v="ATIVA EM COBRANÇA / ENCAMINHADO PARA PROTESTO"/>
    <x v="13"/>
    <x v="9"/>
    <n v="2569.75"/>
    <n v="0"/>
    <n v="0"/>
    <n v="0"/>
    <n v="2569.75"/>
    <d v="2023-10-05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0"/>
    <s v="10"/>
    <s v="5"/>
    <x v="1"/>
    <x v="1"/>
    <s v=""/>
    <s v=""/>
  </r>
  <r>
    <d v="2025-10-01T00:00:00"/>
    <x v="0"/>
    <s v="ADM"/>
    <x v="3"/>
    <x v="31"/>
    <s v="ATIVA EM COBRANÇA / ENCAMINHADO PARA PROTESTO"/>
    <x v="14"/>
    <x v="9"/>
    <n v="1142.0999999999999"/>
    <n v="0"/>
    <n v="0"/>
    <n v="0"/>
    <n v="1142.0999999999999"/>
    <d v="2023-10-05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0"/>
    <s v="10"/>
    <s v="5"/>
    <x v="1"/>
    <x v="1"/>
    <s v=""/>
    <s v=""/>
  </r>
  <r>
    <d v="2025-10-01T00:00:00"/>
    <x v="0"/>
    <s v="ADM"/>
    <x v="3"/>
    <x v="32"/>
    <s v="ATIVA EM COBRANÇA / ENCAMINHADO PARA PROTESTO"/>
    <x v="15"/>
    <x v="9"/>
    <n v="4434.47"/>
    <n v="0"/>
    <n v="0"/>
    <n v="0"/>
    <n v="4434.47"/>
    <d v="2024-11-04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4"/>
    <x v="1"/>
    <x v="1"/>
    <s v=""/>
    <s v=""/>
  </r>
  <r>
    <d v="2025-10-01T00:00:00"/>
    <x v="0"/>
    <s v="ADM"/>
    <x v="3"/>
    <x v="33"/>
    <s v="ATIVA EM COBRANÇA / NÃO ESTÁ EM PROTESTO"/>
    <x v="16"/>
    <x v="9"/>
    <n v="291.33"/>
    <n v="0"/>
    <n v="0"/>
    <n v="0"/>
    <n v="291.33"/>
    <d v="2024-11-04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4"/>
    <x v="1"/>
    <x v="1"/>
    <s v=""/>
    <s v=""/>
  </r>
  <r>
    <d v="2025-10-01T00:00:00"/>
    <x v="0"/>
    <s v="ADM"/>
    <x v="3"/>
    <x v="34"/>
    <s v="ATIVA EM COBRANÇA / ENCAMINHADO PARA PROTESTO"/>
    <x v="17"/>
    <x v="9"/>
    <n v="11086.6"/>
    <n v="0"/>
    <n v="0"/>
    <n v="0"/>
    <n v="11086.6"/>
    <d v="2024-11-04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4"/>
    <x v="1"/>
    <x v="1"/>
    <s v=""/>
    <s v=""/>
  </r>
  <r>
    <d v="2025-10-01T00:00:00"/>
    <x v="0"/>
    <s v="ADM"/>
    <x v="3"/>
    <x v="33"/>
    <s v="ATIVA EM COBRANÇA / ENCAMINHADO PARA PROTESTO"/>
    <x v="18"/>
    <x v="9"/>
    <n v="1038.82"/>
    <n v="0"/>
    <n v="0"/>
    <n v="0"/>
    <n v="1038.82"/>
    <d v="2024-11-04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4"/>
    <x v="1"/>
    <x v="1"/>
    <s v=""/>
    <s v=""/>
  </r>
  <r>
    <d v="2025-10-01T00:00:00"/>
    <x v="0"/>
    <s v="ADM"/>
    <x v="3"/>
    <x v="35"/>
    <s v="ATIVA EM COBRANÇA / ENCAMINHADO PARA PROTESTO"/>
    <x v="19"/>
    <x v="9"/>
    <n v="6651.85"/>
    <n v="0"/>
    <n v="0"/>
    <n v="0"/>
    <n v="6651.85"/>
    <d v="2024-11-04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4"/>
    <x v="1"/>
    <x v="1"/>
    <s v=""/>
    <s v=""/>
  </r>
  <r>
    <d v="2025-10-01T00:00:00"/>
    <x v="0"/>
    <s v="ADM"/>
    <x v="3"/>
    <x v="36"/>
    <s v="ATIVA EM COBRANÇA / ENCAMINHADO PARA PROTESTO"/>
    <x v="20"/>
    <x v="9"/>
    <n v="41536.660000000003"/>
    <n v="0"/>
    <n v="0"/>
    <n v="0"/>
    <n v="41536.660000000003"/>
    <d v="2024-11-04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4"/>
    <x v="1"/>
    <x v="1"/>
    <s v=""/>
    <s v=""/>
  </r>
  <r>
    <d v="2025-10-01T00:00:00"/>
    <x v="0"/>
    <s v="ADM"/>
    <x v="3"/>
    <x v="37"/>
    <s v="ATIVA EM COBRANÇA / ENCAMINHADO PARA PROTESTO"/>
    <x v="21"/>
    <x v="9"/>
    <n v="886.66"/>
    <n v="0"/>
    <n v="0"/>
    <n v="0"/>
    <n v="886.66"/>
    <d v="2024-11-04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4"/>
    <x v="1"/>
    <x v="1"/>
    <s v=""/>
    <s v=""/>
  </r>
  <r>
    <d v="2025-10-01T00:00:00"/>
    <x v="0"/>
    <s v="ADM"/>
    <x v="3"/>
    <x v="38"/>
    <s v="ATIVA EM COBRANÇA / ENCAMINHADO PARA PROTESTO"/>
    <x v="22"/>
    <x v="9"/>
    <n v="88694.55"/>
    <n v="0"/>
    <n v="0"/>
    <n v="0"/>
    <n v="88694.55"/>
    <d v="2024-11-04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1"/>
    <s v="11"/>
    <s v="4"/>
    <x v="1"/>
    <x v="1"/>
    <s v=""/>
    <s v=""/>
  </r>
  <r>
    <d v="2025-10-01T00:00:00"/>
    <x v="0"/>
    <s v="ADM"/>
    <x v="3"/>
    <x v="38"/>
    <s v="ATIVA EM COBRANÇA / ENCAMINHADO PARA PROTESTO"/>
    <x v="23"/>
    <x v="9"/>
    <n v="66015.03"/>
    <n v="0"/>
    <n v="0"/>
    <n v="0"/>
    <n v="66015.03"/>
    <d v="2024-02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4"/>
    <s v="2"/>
    <s v="26"/>
    <x v="1"/>
    <x v="1"/>
    <s v=""/>
    <s v=""/>
  </r>
  <r>
    <d v="2025-10-01T00:00:00"/>
    <x v="0"/>
    <s v="ADM"/>
    <x v="3"/>
    <x v="32"/>
    <s v="ATIVA EM COBRANÇA / ENCAMINHADO PARA PROTESTO"/>
    <x v="24"/>
    <x v="9"/>
    <n v="3300.58"/>
    <n v="0"/>
    <n v="0"/>
    <n v="0"/>
    <n v="3300.58"/>
    <d v="2024-02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4"/>
    <s v="2"/>
    <s v="26"/>
    <x v="1"/>
    <x v="1"/>
    <s v=""/>
    <s v=""/>
  </r>
  <r>
    <d v="2025-10-01T00:00:00"/>
    <x v="0"/>
    <s v="ADM"/>
    <x v="3"/>
    <x v="37"/>
    <s v="ATIVA EM COBRANÇA / ENCAMINHADO PARA PROTESTO"/>
    <x v="25"/>
    <x v="9"/>
    <n v="660"/>
    <n v="0"/>
    <n v="0"/>
    <n v="0"/>
    <n v="660"/>
    <d v="2024-02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4"/>
    <s v="2"/>
    <s v="26"/>
    <x v="1"/>
    <x v="1"/>
    <s v=""/>
    <s v=""/>
  </r>
  <r>
    <d v="2025-10-01T00:00:00"/>
    <x v="0"/>
    <s v="ADM"/>
    <x v="3"/>
    <x v="33"/>
    <s v="ATIVA EM COBRANÇA /ENCAMINHADO PARA PROTESTO"/>
    <x v="26"/>
    <x v="9"/>
    <n v="990.11"/>
    <n v="0"/>
    <n v="0"/>
    <n v="0"/>
    <n v="990.11"/>
    <d v="2024-02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4"/>
    <s v="2"/>
    <s v="26"/>
    <x v="1"/>
    <x v="1"/>
    <s v=""/>
    <s v=""/>
  </r>
  <r>
    <d v="2025-10-01T00:00:00"/>
    <x v="0"/>
    <s v="ADM"/>
    <x v="3"/>
    <x v="36"/>
    <s v="ATIVA EM COBRANÇA / ENCAMINHADO PARA PROTESTO"/>
    <x v="27"/>
    <x v="9"/>
    <n v="30518.23"/>
    <n v="0"/>
    <n v="0"/>
    <n v="0"/>
    <n v="30518.23"/>
    <d v="2024-02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4"/>
    <s v="2"/>
    <s v="26"/>
    <x v="1"/>
    <x v="1"/>
    <s v=""/>
    <s v=""/>
  </r>
  <r>
    <d v="2025-10-01T00:00:00"/>
    <x v="0"/>
    <s v="ADM"/>
    <x v="3"/>
    <x v="34"/>
    <s v="ATIVA EM COBRANÇA / PROTESTO"/>
    <x v="28"/>
    <x v="9"/>
    <n v="8251.73"/>
    <n v="0"/>
    <n v="0"/>
    <n v="0"/>
    <n v="8251.73"/>
    <d v="2024-02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4"/>
    <s v="2"/>
    <s v="26"/>
    <x v="1"/>
    <x v="1"/>
    <s v=""/>
    <s v=""/>
  </r>
  <r>
    <d v="2025-10-01T00:00:00"/>
    <x v="0"/>
    <s v="ADM"/>
    <x v="3"/>
    <x v="35"/>
    <s v="ATIVA EM COBRANÇA / ENCAMINHADO PARA PROTESTO"/>
    <x v="29"/>
    <x v="9"/>
    <n v="4950.99"/>
    <n v="0"/>
    <n v="0"/>
    <n v="0"/>
    <n v="4950.99"/>
    <d v="2024-02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4"/>
    <s v="2"/>
    <s v="26"/>
    <x v="1"/>
    <x v="1"/>
    <s v=""/>
    <s v=""/>
  </r>
  <r>
    <d v="2025-10-01T00:00:00"/>
    <x v="0"/>
    <s v="ADM"/>
    <x v="3"/>
    <x v="34"/>
    <s v="ATIVA EM COBRANÇA / PROTESTO"/>
    <x v="30"/>
    <x v="9"/>
    <n v="10488.48"/>
    <n v="0"/>
    <n v="0"/>
    <n v="0"/>
    <n v="10488.48"/>
    <d v="2023-06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8"/>
    <s v="6"/>
    <s v="26"/>
    <x v="1"/>
    <x v="1"/>
    <s v=""/>
    <s v=""/>
  </r>
  <r>
    <d v="2025-10-01T00:00:00"/>
    <x v="0"/>
    <s v="ADM"/>
    <x v="3"/>
    <x v="38"/>
    <s v="ATIVA EM COBRANÇA / PROTESTO"/>
    <x v="31"/>
    <x v="9"/>
    <n v="83909.3"/>
    <n v="0"/>
    <n v="0"/>
    <n v="0"/>
    <n v="83909.3"/>
    <d v="2023-03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5"/>
    <s v="3"/>
    <s v="26"/>
    <x v="1"/>
    <x v="1"/>
    <s v=""/>
    <s v=""/>
  </r>
  <r>
    <d v="2025-10-01T00:00:00"/>
    <x v="0"/>
    <s v="ADM"/>
    <x v="3"/>
    <x v="32"/>
    <s v="ATIVA EM COBRANÇA / PROTESTO"/>
    <x v="32"/>
    <x v="9"/>
    <n v="4195.3"/>
    <n v="0"/>
    <n v="0"/>
    <n v="0"/>
    <n v="4195.3"/>
    <d v="2023-06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8"/>
    <s v="6"/>
    <s v="26"/>
    <x v="1"/>
    <x v="1"/>
    <s v=""/>
    <s v=""/>
  </r>
  <r>
    <d v="2025-10-01T00:00:00"/>
    <x v="0"/>
    <s v="ADM"/>
    <x v="3"/>
    <x v="35"/>
    <s v="ATIVA EM COBRANÇA / PROTESTO"/>
    <x v="33"/>
    <x v="9"/>
    <n v="6293.03"/>
    <n v="0"/>
    <n v="0"/>
    <n v="0"/>
    <n v="6293.03"/>
    <d v="2023-06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8"/>
    <s v="6"/>
    <s v="26"/>
    <x v="1"/>
    <x v="1"/>
    <s v=""/>
    <s v=""/>
  </r>
  <r>
    <d v="2025-10-01T00:00:00"/>
    <x v="0"/>
    <s v="ADM"/>
    <x v="3"/>
    <x v="33"/>
    <s v="ATIVA EM COBRANÇA / PROTESTO"/>
    <x v="34"/>
    <x v="9"/>
    <n v="1379.05"/>
    <n v="0"/>
    <n v="0"/>
    <n v="0"/>
    <n v="1379.05"/>
    <d v="2023-06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8"/>
    <s v="6"/>
    <s v="26"/>
    <x v="1"/>
    <x v="1"/>
    <s v=""/>
    <s v=""/>
  </r>
  <r>
    <d v="2025-10-01T00:00:00"/>
    <x v="0"/>
    <s v="ADM"/>
    <x v="3"/>
    <x v="36"/>
    <s v="ATIVA EM COBRANÇA / PROTESTO"/>
    <x v="35"/>
    <x v="9"/>
    <n v="38995.01"/>
    <n v="0"/>
    <n v="0"/>
    <n v="0"/>
    <n v="38995.01"/>
    <d v="2023-06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8"/>
    <s v="6"/>
    <s v="26"/>
    <x v="1"/>
    <x v="1"/>
    <s v=""/>
    <s v=""/>
  </r>
  <r>
    <d v="2025-10-01T00:00:00"/>
    <x v="0"/>
    <s v="ADM"/>
    <x v="3"/>
    <x v="37"/>
    <s v="ATIVA EM COBRANÇA / ENCAMINHADO PARA PROTESTO"/>
    <x v="36"/>
    <x v="9"/>
    <n v="919.32"/>
    <n v="0"/>
    <n v="0"/>
    <n v="0"/>
    <n v="919.32"/>
    <d v="2023-06-26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8"/>
    <s v="6"/>
    <s v="26"/>
    <x v="1"/>
    <x v="1"/>
    <s v=""/>
    <s v=""/>
  </r>
  <r>
    <d v="2025-10-01T00:00:00"/>
    <x v="0"/>
    <s v="ADM"/>
    <x v="3"/>
    <x v="30"/>
    <s v="INSCRIÇÃO DE CRÉDITO - DÍVIDA ATIVA / NÃO ESTA EM PROTESTO"/>
    <x v="37"/>
    <x v="9"/>
    <n v="104645.43"/>
    <n v="0"/>
    <n v="0"/>
    <n v="0"/>
    <n v="104645.43"/>
    <d v="2023-05-27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7"/>
    <s v="5"/>
    <s v="27"/>
    <x v="1"/>
    <x v="1"/>
    <s v=""/>
    <s v=""/>
  </r>
  <r>
    <d v="2025-10-01T00:00:00"/>
    <x v="0"/>
    <s v="ADM"/>
    <x v="3"/>
    <x v="30"/>
    <s v="INSCRIÇÃO DE CRÉDITO - DÍVIDA ATIVA / NÃO ESTA EM PROTESTO"/>
    <x v="38"/>
    <x v="9"/>
    <n v="71586.429999999993"/>
    <n v="0"/>
    <n v="0"/>
    <n v="0"/>
    <n v="71586.429999999993"/>
    <d v="2023-05-27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7"/>
    <s v="5"/>
    <s v="27"/>
    <x v="1"/>
    <x v="1"/>
    <s v=""/>
    <s v=""/>
  </r>
  <r>
    <d v="2025-10-01T00:00:00"/>
    <x v="0"/>
    <s v="ADM"/>
    <x v="3"/>
    <x v="30"/>
    <s v="INSCRIÇÃO DE CRÉDITO - DÍVIDA ATIVA / NÃO ESTA EM PROTESTO"/>
    <x v="39"/>
    <x v="9"/>
    <n v="273017.58"/>
    <n v="0"/>
    <n v="0"/>
    <n v="0"/>
    <n v="273017.58"/>
    <d v="2023-05-27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7"/>
    <s v="5"/>
    <s v="27"/>
    <x v="1"/>
    <x v="1"/>
    <s v=""/>
    <s v=""/>
  </r>
  <r>
    <d v="2025-10-01T00:00:00"/>
    <x v="0"/>
    <s v="ADM"/>
    <x v="3"/>
    <x v="34"/>
    <s v="ATIVA EM COBRANÇA / ENCAMINHADO PARA PROTESTO"/>
    <x v="40"/>
    <x v="9"/>
    <n v="1005.25"/>
    <n v="0"/>
    <n v="0"/>
    <n v="0"/>
    <n v="1005.25"/>
    <d v="2025-03-2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5"/>
    <s v="3"/>
    <s v="27"/>
    <x v="1"/>
    <x v="1"/>
    <s v=""/>
    <s v=""/>
  </r>
  <r>
    <d v="2025-10-01T00:00:00"/>
    <x v="0"/>
    <s v="ADM"/>
    <x v="3"/>
    <x v="35"/>
    <s v="ATIVA EM COBRANÇA / ENCAMINHADO PARA PROTESTO"/>
    <x v="41"/>
    <x v="9"/>
    <n v="603.14"/>
    <n v="0"/>
    <n v="0"/>
    <n v="0"/>
    <n v="603.14"/>
    <d v="2025-03-2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5"/>
    <s v="3"/>
    <s v="27"/>
    <x v="1"/>
    <x v="1"/>
    <s v=""/>
    <s v=""/>
  </r>
  <r>
    <d v="2025-10-01T00:00:00"/>
    <x v="0"/>
    <s v="ADM"/>
    <x v="3"/>
    <x v="32"/>
    <s v="ATIVA EM COBRANÇA / NÃO ESTÁ EM PROTESTO"/>
    <x v="42"/>
    <x v="9"/>
    <n v="402.09"/>
    <n v="0"/>
    <n v="0"/>
    <n v="0"/>
    <n v="402.09"/>
    <d v="2023-03-27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5"/>
    <s v="3"/>
    <s v="27"/>
    <x v="1"/>
    <x v="1"/>
    <s v=""/>
    <s v=""/>
  </r>
  <r>
    <d v="2025-10-01T00:00:00"/>
    <x v="0"/>
    <s v="ADM"/>
    <x v="3"/>
    <x v="38"/>
    <s v="ATIVA EM COBRANÇA / PROTESTO"/>
    <x v="43"/>
    <x v="9"/>
    <n v="8042.15"/>
    <n v="0"/>
    <n v="0"/>
    <n v="0"/>
    <n v="8042.15"/>
    <d v="2023-03-27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5"/>
    <s v="3"/>
    <s v="27"/>
    <x v="1"/>
    <x v="1"/>
    <s v=""/>
    <s v=""/>
  </r>
  <r>
    <d v="2025-10-01T00:00:00"/>
    <x v="0"/>
    <s v="ADM"/>
    <x v="3"/>
    <x v="30"/>
    <s v="EXTINTA POR PAGAMENTO"/>
    <x v="44"/>
    <x v="9"/>
    <n v="0"/>
    <n v="0"/>
    <n v="0"/>
    <n v="0"/>
    <n v="0"/>
    <m/>
    <s v=""/>
    <m/>
    <x v="1"/>
    <m/>
    <s v="PAGBANK"/>
    <s v="VARIÁVEL"/>
    <x v="0"/>
    <x v="1"/>
    <s v=""/>
    <s v="Despesas_Endividamentos"/>
    <x v="1"/>
    <x v="0"/>
    <x v="0"/>
    <s v="10"/>
    <s v="1"/>
    <x v="9"/>
    <x v="12"/>
    <s v=""/>
    <s v=""/>
    <x v="1"/>
    <x v="1"/>
    <s v=""/>
    <s v=""/>
  </r>
  <r>
    <d v="2025-10-01T00:00:00"/>
    <x v="0"/>
    <s v="ADM"/>
    <x v="3"/>
    <x v="30"/>
    <s v="SERIS - BAIXA POR_x000a_LIQUIDACAO NO SISPAR"/>
    <x v="45"/>
    <x v="9"/>
    <n v="0"/>
    <n v="0"/>
    <n v="0"/>
    <n v="0"/>
    <n v="0"/>
    <d v="2019-05-04T00:00:00"/>
    <s v="Venceu"/>
    <m/>
    <x v="1"/>
    <m/>
    <s v="PAGBANK"/>
    <s v="VARIÁVEL"/>
    <x v="0"/>
    <x v="1"/>
    <s v=""/>
    <s v="Despesas_Endividamentos"/>
    <x v="1"/>
    <x v="0"/>
    <x v="0"/>
    <s v="10"/>
    <s v="1"/>
    <x v="10"/>
    <x v="7"/>
    <s v="5"/>
    <s v="4"/>
    <x v="1"/>
    <x v="1"/>
    <s v=""/>
    <s v=""/>
  </r>
  <r>
    <d v="2025-10-01T00:00:00"/>
    <x v="0"/>
    <s v="ADM"/>
    <x v="3"/>
    <x v="39"/>
    <s v="DATA DA INCLUSÃO 05/02/2024"/>
    <x v="1"/>
    <x v="21"/>
    <n v="98746.6"/>
    <n v="0"/>
    <m/>
    <n v="0"/>
    <n v="98746.6"/>
    <d v="2023-03-03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5"/>
    <s v="3"/>
    <s v="3"/>
    <x v="1"/>
    <x v="1"/>
    <s v=""/>
    <s v=""/>
  </r>
  <r>
    <d v="2025-10-01T00:00:00"/>
    <x v="0"/>
    <s v="ADM"/>
    <x v="3"/>
    <x v="39"/>
    <s v="FINANCIAMENTO / EMP225155"/>
    <x v="1"/>
    <x v="22"/>
    <n v="69755.69"/>
    <n v="0"/>
    <m/>
    <n v="0"/>
    <n v="69755.69"/>
    <d v="2024-05-20T00:00:00"/>
    <s v="Venceu"/>
    <m/>
    <x v="1"/>
    <m/>
    <s v="PAGBANK"/>
    <s v="VARIÁVEL"/>
    <x v="0"/>
    <x v="1"/>
    <s v=""/>
    <s v="Despesas_Endividamentos"/>
    <x v="1"/>
    <x v="0"/>
    <x v="0"/>
    <s v="10"/>
    <s v="1"/>
    <x v="6"/>
    <x v="7"/>
    <s v="5"/>
    <s v="20"/>
    <x v="1"/>
    <x v="1"/>
    <s v=""/>
    <s v=""/>
  </r>
  <r>
    <d v="2025-10-01T00:00:00"/>
    <x v="0"/>
    <s v="ADM"/>
    <x v="3"/>
    <x v="31"/>
    <s v="PROTESTO"/>
    <x v="14"/>
    <x v="9"/>
    <n v="1142.0999999999999"/>
    <n v="0"/>
    <m/>
    <n v="0"/>
    <n v="1142.0999999999999"/>
    <d v="2025-05-0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7"/>
    <x v="1"/>
    <x v="1"/>
    <s v=""/>
    <s v=""/>
  </r>
  <r>
    <d v="2025-10-01T00:00:00"/>
    <x v="0"/>
    <s v="ADM"/>
    <x v="3"/>
    <x v="35"/>
    <s v="PROTESTO"/>
    <x v="29"/>
    <x v="9"/>
    <n v="4950.99"/>
    <n v="0"/>
    <m/>
    <n v="0"/>
    <n v="4950.99"/>
    <d v="2025-05-0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7"/>
    <x v="1"/>
    <x v="1"/>
    <s v=""/>
    <s v=""/>
  </r>
  <r>
    <d v="2025-10-01T00:00:00"/>
    <x v="0"/>
    <s v="ADM"/>
    <x v="3"/>
    <x v="28"/>
    <s v="PROTESTO"/>
    <x v="8"/>
    <x v="9"/>
    <n v="16073.65"/>
    <n v="0"/>
    <n v="0"/>
    <n v="0"/>
    <n v="16073.65"/>
    <d v="2025-05-0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7"/>
    <x v="1"/>
    <x v="1"/>
    <s v=""/>
    <s v=""/>
  </r>
  <r>
    <d v="2025-10-01T00:00:00"/>
    <x v="0"/>
    <s v="ADM"/>
    <x v="3"/>
    <x v="28"/>
    <s v="PROTESTO"/>
    <x v="5"/>
    <x v="9"/>
    <n v="1240.97"/>
    <n v="0"/>
    <n v="0"/>
    <n v="0"/>
    <n v="1240.97"/>
    <d v="2025-05-0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7"/>
    <x v="1"/>
    <x v="1"/>
    <s v=""/>
    <s v=""/>
  </r>
  <r>
    <d v="2025-10-01T00:00:00"/>
    <x v="0"/>
    <s v="ADM"/>
    <x v="3"/>
    <x v="28"/>
    <s v="PROTESTO"/>
    <x v="9"/>
    <x v="9"/>
    <n v="5223.87"/>
    <n v="0"/>
    <m/>
    <n v="0"/>
    <n v="5223.87"/>
    <d v="2025-05-0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7"/>
    <x v="1"/>
    <x v="1"/>
    <s v=""/>
    <s v=""/>
  </r>
  <r>
    <d v="2025-10-01T00:00:00"/>
    <x v="0"/>
    <s v="ADM"/>
    <x v="3"/>
    <x v="40"/>
    <m/>
    <x v="1"/>
    <x v="20"/>
    <n v="916.32"/>
    <n v="0"/>
    <m/>
    <n v="0"/>
    <n v="916.32"/>
    <d v="2025-05-0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7"/>
    <x v="1"/>
    <x v="1"/>
    <s v=""/>
    <s v=""/>
  </r>
  <r>
    <d v="2025-10-01T00:00:00"/>
    <x v="0"/>
    <s v="ADM"/>
    <x v="3"/>
    <x v="28"/>
    <s v="PROTESTO"/>
    <x v="11"/>
    <x v="9"/>
    <n v="3265.54"/>
    <n v="0"/>
    <m/>
    <n v="0"/>
    <n v="3265.54"/>
    <d v="2025-05-0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7"/>
    <x v="1"/>
    <x v="1"/>
    <s v=""/>
    <s v=""/>
  </r>
  <r>
    <d v="2025-10-01T00:00:00"/>
    <x v="0"/>
    <s v="ADM"/>
    <x v="3"/>
    <x v="34"/>
    <s v="PROTESTO"/>
    <x v="17"/>
    <x v="9"/>
    <n v="11086.6"/>
    <n v="0"/>
    <m/>
    <n v="0"/>
    <n v="11086.6"/>
    <d v="2025-05-0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7"/>
    <x v="1"/>
    <x v="1"/>
    <s v=""/>
    <s v=""/>
  </r>
  <r>
    <d v="2025-10-01T00:00:00"/>
    <x v="0"/>
    <s v="ADM"/>
    <x v="3"/>
    <x v="40"/>
    <m/>
    <x v="1"/>
    <x v="20"/>
    <n v="88694.55"/>
    <n v="0"/>
    <m/>
    <n v="0"/>
    <n v="88694.55"/>
    <d v="2025-05-0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7"/>
    <x v="1"/>
    <x v="1"/>
    <s v=""/>
    <s v=""/>
  </r>
  <r>
    <d v="2025-10-01T00:00:00"/>
    <x v="0"/>
    <s v="ADM"/>
    <x v="3"/>
    <x v="40"/>
    <m/>
    <x v="4"/>
    <x v="9"/>
    <n v="3009.31"/>
    <n v="0"/>
    <m/>
    <n v="0"/>
    <n v="3009.31"/>
    <d v="2025-05-0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7"/>
    <x v="1"/>
    <x v="1"/>
    <s v=""/>
    <s v=""/>
  </r>
  <r>
    <d v="2025-10-01T00:00:00"/>
    <x v="0"/>
    <s v="ADM"/>
    <x v="3"/>
    <x v="40"/>
    <m/>
    <x v="23"/>
    <x v="9"/>
    <n v="66015.03"/>
    <n v="0"/>
    <n v="0"/>
    <n v="0"/>
    <n v="66015.03"/>
    <d v="2025-05-0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7"/>
    <x v="1"/>
    <x v="1"/>
    <s v=""/>
    <s v=""/>
  </r>
  <r>
    <d v="2025-10-01T00:00:00"/>
    <x v="0"/>
    <s v="ADM"/>
    <x v="3"/>
    <x v="40"/>
    <m/>
    <x v="1"/>
    <x v="20"/>
    <n v="7640.73"/>
    <n v="0"/>
    <m/>
    <n v="0"/>
    <n v="7640.73"/>
    <d v="2025-05-07T00:00:00"/>
    <s v="Venceu"/>
    <m/>
    <x v="1"/>
    <m/>
    <s v="PAGBANK"/>
    <s v="VARIÁVEL"/>
    <x v="0"/>
    <x v="1"/>
    <s v=""/>
    <s v="Despesas_Endividamentos"/>
    <x v="1"/>
    <x v="0"/>
    <x v="0"/>
    <s v="10"/>
    <s v="1"/>
    <x v="0"/>
    <x v="7"/>
    <s v="5"/>
    <s v="7"/>
    <x v="1"/>
    <x v="1"/>
    <s v=""/>
    <s v=""/>
  </r>
  <r>
    <d v="2025-10-01T00:00:00"/>
    <x v="0"/>
    <s v="ADM"/>
    <x v="3"/>
    <x v="40"/>
    <m/>
    <x v="1"/>
    <x v="20"/>
    <n v="75724.73"/>
    <n v="0"/>
    <m/>
    <n v="0"/>
    <n v="75724.73"/>
    <d v="2023-12-01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2"/>
    <s v="12"/>
    <s v="1"/>
    <x v="1"/>
    <x v="1"/>
    <s v=""/>
    <s v=""/>
  </r>
  <r>
    <d v="2025-10-01T00:00:00"/>
    <x v="0"/>
    <s v="ADM"/>
    <x v="3"/>
    <x v="40"/>
    <m/>
    <x v="1"/>
    <x v="20"/>
    <n v="1244.73"/>
    <n v="0"/>
    <m/>
    <n v="0"/>
    <n v="1244.73"/>
    <d v="2023-12-01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2"/>
    <s v="12"/>
    <s v="1"/>
    <x v="1"/>
    <x v="1"/>
    <s v=""/>
    <s v=""/>
  </r>
  <r>
    <d v="2025-10-01T00:00:00"/>
    <x v="0"/>
    <s v="ADM"/>
    <x v="3"/>
    <x v="40"/>
    <m/>
    <x v="1"/>
    <x v="20"/>
    <n v="9465.42"/>
    <n v="0"/>
    <m/>
    <n v="0"/>
    <n v="9465.42"/>
    <d v="2023-12-01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2"/>
    <s v="12"/>
    <s v="1"/>
    <x v="1"/>
    <x v="1"/>
    <s v=""/>
    <s v=""/>
  </r>
  <r>
    <d v="2025-10-01T00:00:00"/>
    <x v="0"/>
    <s v="ADM"/>
    <x v="3"/>
    <x v="40"/>
    <m/>
    <x v="1"/>
    <x v="20"/>
    <n v="5679.16"/>
    <n v="0"/>
    <m/>
    <n v="0"/>
    <n v="5679.16"/>
    <d v="2023-12-01T00:00:00"/>
    <s v="Venceu"/>
    <m/>
    <x v="1"/>
    <m/>
    <s v="PAGBANK"/>
    <s v="VARIÁVEL"/>
    <x v="0"/>
    <x v="1"/>
    <s v=""/>
    <s v="Despesas_Endividamentos"/>
    <x v="1"/>
    <x v="0"/>
    <x v="0"/>
    <s v="10"/>
    <s v="1"/>
    <x v="7"/>
    <x v="2"/>
    <s v="12"/>
    <s v="1"/>
    <x v="1"/>
    <x v="1"/>
    <s v=""/>
    <s v=""/>
  </r>
  <r>
    <d v="2025-10-01T00:00:00"/>
    <x v="0"/>
    <s v="ADM"/>
    <x v="3"/>
    <x v="40"/>
    <m/>
    <x v="1"/>
    <x v="20"/>
    <n v="369266.04"/>
    <n v="0"/>
    <m/>
    <n v="0"/>
    <n v="369266.04"/>
    <d v="2022-04-12T00:00:00"/>
    <s v="Venceu"/>
    <m/>
    <x v="1"/>
    <m/>
    <s v="PAGBANK"/>
    <s v="VARIÁVEL"/>
    <x v="0"/>
    <x v="1"/>
    <s v=""/>
    <s v="Despesas_Endividamentos"/>
    <x v="1"/>
    <x v="0"/>
    <x v="0"/>
    <s v="10"/>
    <s v="1"/>
    <x v="5"/>
    <x v="6"/>
    <s v="4"/>
    <s v="12"/>
    <x v="1"/>
    <x v="1"/>
    <s v=""/>
    <s v=""/>
  </r>
  <r>
    <d v="2025-10-01T00:00:00"/>
    <x v="0"/>
    <s v="ADM"/>
    <x v="1"/>
    <x v="1"/>
    <s v="PARCELA 1 DE 3"/>
    <x v="1"/>
    <x v="23"/>
    <n v="615"/>
    <n v="0"/>
    <n v="0"/>
    <n v="0"/>
    <n v="615"/>
    <d v="2025-10-06T00:00:00"/>
    <s v="Venceu"/>
    <m/>
    <x v="0"/>
    <m/>
    <s v="PAGBANK"/>
    <s v="FIXO"/>
    <x v="1"/>
    <x v="1"/>
    <s v=""/>
    <s v="Receitas_Operacionais"/>
    <x v="0"/>
    <x v="0"/>
    <x v="0"/>
    <s v="10"/>
    <s v="1"/>
    <x v="0"/>
    <x v="0"/>
    <s v="10"/>
    <s v="6"/>
    <x v="1"/>
    <x v="1"/>
    <s v=""/>
    <s v=""/>
  </r>
  <r>
    <d v="2025-10-01T00:00:00"/>
    <x v="0"/>
    <s v="ADM"/>
    <x v="1"/>
    <x v="1"/>
    <s v="PARCELA 2 DE 3"/>
    <x v="1"/>
    <x v="23"/>
    <n v="615"/>
    <n v="0"/>
    <n v="0"/>
    <n v="0"/>
    <n v="615"/>
    <d v="2025-11-06T00:00:00"/>
    <s v="Venceu"/>
    <m/>
    <x v="0"/>
    <m/>
    <s v="PAGBANK"/>
    <s v="FIXO"/>
    <x v="1"/>
    <x v="1"/>
    <s v=""/>
    <s v="Receitas_Operacionais"/>
    <x v="0"/>
    <x v="0"/>
    <x v="0"/>
    <s v="10"/>
    <s v="1"/>
    <x v="0"/>
    <x v="1"/>
    <s v="11"/>
    <s v="6"/>
    <x v="1"/>
    <x v="1"/>
    <s v=""/>
    <s v=""/>
  </r>
  <r>
    <d v="2025-10-01T00:00:00"/>
    <x v="0"/>
    <s v="ADM"/>
    <x v="1"/>
    <x v="1"/>
    <s v="PARCELA 3 DE 3"/>
    <x v="1"/>
    <x v="23"/>
    <n v="615"/>
    <n v="0"/>
    <m/>
    <n v="0"/>
    <n v="615"/>
    <d v="2025-12-06T00:00:00"/>
    <s v="Prazo - Menos de 15 dias"/>
    <m/>
    <x v="0"/>
    <m/>
    <s v="PAGBANK"/>
    <s v="FIXO"/>
    <x v="1"/>
    <x v="1"/>
    <s v=""/>
    <s v="Receitas_Operacionais"/>
    <x v="0"/>
    <x v="0"/>
    <x v="0"/>
    <s v="10"/>
    <s v="1"/>
    <x v="0"/>
    <x v="2"/>
    <s v="12"/>
    <s v="6"/>
    <x v="1"/>
    <x v="1"/>
    <s v=""/>
    <s v=""/>
  </r>
  <r>
    <d v="2025-10-01T00:00:00"/>
    <x v="0"/>
    <s v="ADM"/>
    <x v="1"/>
    <x v="1"/>
    <m/>
    <x v="1"/>
    <x v="24"/>
    <n v="1230"/>
    <n v="0"/>
    <n v="0"/>
    <n v="0"/>
    <n v="1230"/>
    <d v="2025-10-10T00:00:00"/>
    <s v="Venceu"/>
    <m/>
    <x v="0"/>
    <m/>
    <s v="PAGBANK"/>
    <s v="FIXO"/>
    <x v="1"/>
    <x v="1"/>
    <s v=""/>
    <s v="Receitas_Operacionais"/>
    <x v="0"/>
    <x v="0"/>
    <x v="0"/>
    <s v="10"/>
    <s v="1"/>
    <x v="0"/>
    <x v="0"/>
    <s v="10"/>
    <s v="10"/>
    <x v="1"/>
    <x v="1"/>
    <s v=""/>
    <s v=""/>
  </r>
  <r>
    <d v="2025-10-01T00:00:00"/>
    <x v="0"/>
    <s v="ADM"/>
    <x v="1"/>
    <x v="1"/>
    <s v="PARCELA 4 DE 6"/>
    <x v="1"/>
    <x v="25"/>
    <n v="375.38"/>
    <n v="0"/>
    <n v="0"/>
    <n v="0"/>
    <n v="375.38"/>
    <d v="2025-11-10T00:00:00"/>
    <s v="Venceu"/>
    <m/>
    <x v="0"/>
    <m/>
    <s v="PAGBANK"/>
    <s v="FIXO"/>
    <x v="1"/>
    <x v="1"/>
    <s v=""/>
    <s v="Receitas_Operacionais"/>
    <x v="0"/>
    <x v="0"/>
    <x v="0"/>
    <s v="10"/>
    <s v="1"/>
    <x v="0"/>
    <x v="1"/>
    <s v="11"/>
    <s v="10"/>
    <x v="1"/>
    <x v="1"/>
    <s v=""/>
    <s v=""/>
  </r>
  <r>
    <d v="2025-10-01T00:00:00"/>
    <x v="0"/>
    <s v="ADM"/>
    <x v="1"/>
    <x v="1"/>
    <s v="PARCELA 5 DE 6"/>
    <x v="1"/>
    <x v="25"/>
    <n v="375.38"/>
    <n v="0"/>
    <m/>
    <n v="0"/>
    <n v="375.38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"/>
    <x v="0"/>
    <x v="2"/>
    <s v="12"/>
    <s v="10"/>
    <x v="1"/>
    <x v="1"/>
    <s v=""/>
    <s v=""/>
  </r>
  <r>
    <d v="2025-10-01T00:00:00"/>
    <x v="0"/>
    <s v="ADM"/>
    <x v="1"/>
    <x v="1"/>
    <s v="PARCELA 6 DE 6"/>
    <x v="1"/>
    <x v="25"/>
    <n v="375.38"/>
    <n v="0"/>
    <m/>
    <n v="0"/>
    <n v="375.38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1"/>
    <x v="1"/>
    <x v="3"/>
    <s v="1"/>
    <s v="10"/>
    <x v="1"/>
    <x v="1"/>
    <s v=""/>
    <s v=""/>
  </r>
  <r>
    <d v="2025-10-02T00:00:00"/>
    <x v="0"/>
    <s v="ADM"/>
    <x v="1"/>
    <x v="1"/>
    <s v="PARCELA 3 DE 6 (ALUNA CAROLINA MENDES LOUZA)"/>
    <x v="0"/>
    <x v="26"/>
    <n v="350.35"/>
    <n v="0"/>
    <n v="0"/>
    <n v="0"/>
    <n v="350.35"/>
    <d v="2025-10-02T00:00:00"/>
    <s v="Pago"/>
    <d v="2025-10-02T00:00:00"/>
    <x v="0"/>
    <m/>
    <s v="PAGBANK"/>
    <s v="FIXO"/>
    <x v="1"/>
    <x v="0"/>
    <s v="OUTUBRO"/>
    <s v="Receitas_Operacionais"/>
    <x v="0"/>
    <x v="0"/>
    <x v="0"/>
    <s v="10"/>
    <s v="2"/>
    <x v="0"/>
    <x v="0"/>
    <s v="10"/>
    <s v="2"/>
    <x v="0"/>
    <x v="0"/>
    <s v="10"/>
    <s v="2"/>
  </r>
  <r>
    <d v="2025-10-02T00:00:00"/>
    <x v="0"/>
    <s v="ADM"/>
    <x v="1"/>
    <x v="1"/>
    <s v="PARCELA 4 DE 6 (ALUNA CAROLINA MENDES LOUZA)"/>
    <x v="0"/>
    <x v="26"/>
    <n v="350.35"/>
    <n v="0"/>
    <n v="0"/>
    <n v="0"/>
    <n v="350.35"/>
    <d v="2025-11-02T00:00:00"/>
    <s v="Pago"/>
    <d v="2025-11-04T00:00:00"/>
    <x v="0"/>
    <m/>
    <s v="PAGBANK"/>
    <s v="FIXO"/>
    <x v="1"/>
    <x v="0"/>
    <s v="NOVEMBRO"/>
    <s v="Receitas_Operacionais"/>
    <x v="0"/>
    <x v="0"/>
    <x v="0"/>
    <s v="10"/>
    <s v="2"/>
    <x v="0"/>
    <x v="1"/>
    <s v="11"/>
    <s v="2"/>
    <x v="0"/>
    <x v="2"/>
    <s v="11"/>
    <s v="4"/>
  </r>
  <r>
    <d v="2025-10-02T00:00:00"/>
    <x v="0"/>
    <s v="ADM"/>
    <x v="1"/>
    <x v="1"/>
    <s v="PARCELA 5 DE 6 (ALUNA CAROLINA MENDES LOUZA)"/>
    <x v="0"/>
    <x v="26"/>
    <n v="350.35"/>
    <n v="0"/>
    <m/>
    <n v="0"/>
    <n v="350.35"/>
    <d v="2025-12-02T00:00:00"/>
    <s v="Prazo - Menos de 10 dias"/>
    <m/>
    <x v="0"/>
    <m/>
    <s v="PAGBANK"/>
    <s v="FIXO"/>
    <x v="1"/>
    <x v="1"/>
    <s v=""/>
    <s v="Receitas_Operacionais"/>
    <x v="0"/>
    <x v="0"/>
    <x v="0"/>
    <s v="10"/>
    <s v="2"/>
    <x v="0"/>
    <x v="2"/>
    <s v="12"/>
    <s v="2"/>
    <x v="1"/>
    <x v="1"/>
    <s v=""/>
    <s v=""/>
  </r>
  <r>
    <d v="2025-10-02T00:00:00"/>
    <x v="0"/>
    <s v="ADM"/>
    <x v="1"/>
    <x v="1"/>
    <s v="PARCELA 6 DE 6 (ALUNA CAROLINA MENDES LOUZA)"/>
    <x v="0"/>
    <x v="26"/>
    <n v="350.35"/>
    <n v="0"/>
    <m/>
    <n v="0"/>
    <n v="350.35"/>
    <d v="2026-01-02T00:00:00"/>
    <s v="Prazo - Mais de 1 mês"/>
    <m/>
    <x v="0"/>
    <m/>
    <s v="PAGBANK"/>
    <s v="FIXO"/>
    <x v="1"/>
    <x v="1"/>
    <s v=""/>
    <s v="Receitas_Operacionais"/>
    <x v="0"/>
    <x v="0"/>
    <x v="0"/>
    <s v="10"/>
    <s v="2"/>
    <x v="1"/>
    <x v="3"/>
    <s v="1"/>
    <s v="2"/>
    <x v="1"/>
    <x v="1"/>
    <s v=""/>
    <s v=""/>
  </r>
  <r>
    <d v="2025-10-02T00:00:00"/>
    <x v="0"/>
    <s v="ADM"/>
    <x v="1"/>
    <x v="1"/>
    <s v="PARCELA 3 DE 6"/>
    <x v="0"/>
    <x v="27"/>
    <n v="375.38"/>
    <n v="0"/>
    <n v="0"/>
    <n v="0"/>
    <n v="375.38"/>
    <d v="2025-10-02T00:00:00"/>
    <s v="Pago"/>
    <d v="2025-10-02T00:00:00"/>
    <x v="0"/>
    <m/>
    <s v="PAGBANK"/>
    <s v="FIXO"/>
    <x v="1"/>
    <x v="0"/>
    <s v="OUTUBRO"/>
    <s v="Receitas_Operacionais"/>
    <x v="0"/>
    <x v="0"/>
    <x v="0"/>
    <s v="10"/>
    <s v="2"/>
    <x v="0"/>
    <x v="0"/>
    <s v="10"/>
    <s v="2"/>
    <x v="0"/>
    <x v="0"/>
    <s v="10"/>
    <s v="2"/>
  </r>
  <r>
    <d v="2025-10-02T00:00:00"/>
    <x v="0"/>
    <s v="ADM"/>
    <x v="1"/>
    <x v="1"/>
    <s v="PARCELA 4 DE 6"/>
    <x v="0"/>
    <x v="27"/>
    <n v="350.35"/>
    <n v="0"/>
    <n v="0"/>
    <n v="0"/>
    <n v="350.35"/>
    <d v="2025-11-10T00:00:00"/>
    <s v="Pago"/>
    <d v="2025-11-03T00:00:00"/>
    <x v="0"/>
    <m/>
    <s v="PAGBANK"/>
    <s v="FIXO"/>
    <x v="1"/>
    <x v="0"/>
    <s v="NOVEMBRO"/>
    <s v="Receitas_Operacionais"/>
    <x v="0"/>
    <x v="0"/>
    <x v="0"/>
    <s v="10"/>
    <s v="2"/>
    <x v="0"/>
    <x v="1"/>
    <s v="11"/>
    <s v="10"/>
    <x v="0"/>
    <x v="2"/>
    <s v="11"/>
    <s v="3"/>
  </r>
  <r>
    <d v="2025-10-02T00:00:00"/>
    <x v="0"/>
    <s v="ADM"/>
    <x v="1"/>
    <x v="1"/>
    <s v="PARCELA 5 DE 6"/>
    <x v="0"/>
    <x v="27"/>
    <n v="375.38"/>
    <n v="0"/>
    <m/>
    <n v="0"/>
    <n v="375.38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2"/>
    <x v="0"/>
    <x v="2"/>
    <s v="12"/>
    <s v="10"/>
    <x v="1"/>
    <x v="1"/>
    <s v=""/>
    <s v=""/>
  </r>
  <r>
    <d v="2025-10-02T00:00:00"/>
    <x v="0"/>
    <s v="ADM"/>
    <x v="1"/>
    <x v="1"/>
    <s v="PARCELA 6 DE 6"/>
    <x v="0"/>
    <x v="27"/>
    <n v="375.38"/>
    <n v="0"/>
    <m/>
    <n v="0"/>
    <n v="375.38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2"/>
    <x v="1"/>
    <x v="3"/>
    <s v="1"/>
    <s v="10"/>
    <x v="1"/>
    <x v="1"/>
    <s v=""/>
    <s v=""/>
  </r>
  <r>
    <d v="2025-10-03T00:00:00"/>
    <x v="0"/>
    <s v="ADM"/>
    <x v="0"/>
    <x v="41"/>
    <m/>
    <x v="1"/>
    <x v="28"/>
    <n v="22"/>
    <n v="0"/>
    <m/>
    <n v="0"/>
    <n v="22"/>
    <d v="2025-10-03T00:00:00"/>
    <s v="Pago"/>
    <d v="2025-10-03T00:00:00"/>
    <x v="0"/>
    <m/>
    <s v="PAGBANK"/>
    <s v="VARIÁVEL"/>
    <x v="0"/>
    <x v="0"/>
    <s v="OUTUBRO"/>
    <s v="Despesas_Administrativas"/>
    <x v="0"/>
    <x v="0"/>
    <x v="0"/>
    <s v="10"/>
    <s v="3"/>
    <x v="0"/>
    <x v="0"/>
    <s v="10"/>
    <s v="3"/>
    <x v="0"/>
    <x v="0"/>
    <s v="10"/>
    <s v="3"/>
  </r>
  <r>
    <d v="2025-10-03T00:00:00"/>
    <x v="0"/>
    <s v="ADM"/>
    <x v="0"/>
    <x v="0"/>
    <m/>
    <x v="1"/>
    <x v="29"/>
    <n v="42"/>
    <n v="0"/>
    <m/>
    <n v="0"/>
    <n v="42"/>
    <d v="2025-10-03T00:00:00"/>
    <s v="Pago"/>
    <d v="2025-10-03T00:00:00"/>
    <x v="0"/>
    <m/>
    <s v="PAGBANK"/>
    <s v="VARIÁVEL"/>
    <x v="0"/>
    <x v="0"/>
    <s v="OUTUBRO"/>
    <s v="Despesas_Administrativas"/>
    <x v="0"/>
    <x v="0"/>
    <x v="0"/>
    <s v="10"/>
    <s v="3"/>
    <x v="0"/>
    <x v="0"/>
    <s v="10"/>
    <s v="3"/>
    <x v="0"/>
    <x v="0"/>
    <s v="10"/>
    <s v="3"/>
  </r>
  <r>
    <d v="2025-10-03T00:00:00"/>
    <x v="0"/>
    <s v="ADM"/>
    <x v="1"/>
    <x v="1"/>
    <s v="PARCELA 3 DE 6 (ALUNA CAROLINA BRETTAS LASMAR)"/>
    <x v="0"/>
    <x v="30"/>
    <n v="375.88"/>
    <n v="0"/>
    <n v="0"/>
    <n v="0"/>
    <n v="375.88"/>
    <d v="2025-10-03T00:00:00"/>
    <s v="Pago"/>
    <d v="2025-10-03T00:00:00"/>
    <x v="0"/>
    <m/>
    <s v="PAGBANK"/>
    <s v="FIXO"/>
    <x v="1"/>
    <x v="0"/>
    <s v="OUTUBRO"/>
    <s v="Receitas_Operacionais"/>
    <x v="0"/>
    <x v="0"/>
    <x v="0"/>
    <s v="10"/>
    <s v="3"/>
    <x v="0"/>
    <x v="0"/>
    <s v="10"/>
    <s v="3"/>
    <x v="0"/>
    <x v="0"/>
    <s v="10"/>
    <s v="3"/>
  </r>
  <r>
    <d v="2025-10-03T00:00:00"/>
    <x v="0"/>
    <s v="ADM"/>
    <x v="1"/>
    <x v="1"/>
    <s v="PARCELA 4 DE 6 (ALUNA CAROLINA MENDES LOUZA)"/>
    <x v="0"/>
    <x v="30"/>
    <n v="375.38"/>
    <n v="0"/>
    <n v="0"/>
    <n v="0"/>
    <n v="375.38"/>
    <d v="2025-11-10T00:00:00"/>
    <s v="Pago"/>
    <d v="2025-11-03T00:00:00"/>
    <x v="0"/>
    <m/>
    <s v="PAGBANK"/>
    <s v="FIXO"/>
    <x v="1"/>
    <x v="0"/>
    <s v="NOVEMBRO"/>
    <s v="Receitas_Operacionais"/>
    <x v="0"/>
    <x v="0"/>
    <x v="0"/>
    <s v="10"/>
    <s v="3"/>
    <x v="0"/>
    <x v="1"/>
    <s v="11"/>
    <s v="10"/>
    <x v="0"/>
    <x v="2"/>
    <s v="11"/>
    <s v="3"/>
  </r>
  <r>
    <d v="2025-10-03T00:00:00"/>
    <x v="0"/>
    <s v="ADM"/>
    <x v="1"/>
    <x v="1"/>
    <s v="PARCELA 5 DE 6 (ALUNA CAROLINA MENDES LOUZA)"/>
    <x v="0"/>
    <x v="30"/>
    <n v="375.38"/>
    <n v="0"/>
    <m/>
    <n v="0"/>
    <n v="375.38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3"/>
    <x v="0"/>
    <x v="2"/>
    <s v="12"/>
    <s v="10"/>
    <x v="1"/>
    <x v="1"/>
    <s v=""/>
    <s v=""/>
  </r>
  <r>
    <d v="2025-10-03T00:00:00"/>
    <x v="0"/>
    <s v="ADM"/>
    <x v="1"/>
    <x v="1"/>
    <s v="PARCELA 6 DE 6 (ALUNA CAROLINA MENDES LOUZA)"/>
    <x v="0"/>
    <x v="30"/>
    <n v="375.35"/>
    <n v="0"/>
    <m/>
    <n v="0"/>
    <n v="375.35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3"/>
    <x v="1"/>
    <x v="3"/>
    <s v="1"/>
    <s v="10"/>
    <x v="1"/>
    <x v="1"/>
    <s v=""/>
    <s v=""/>
  </r>
  <r>
    <d v="2025-10-04T00:00:00"/>
    <x v="0"/>
    <s v="ADM"/>
    <x v="0"/>
    <x v="0"/>
    <m/>
    <x v="0"/>
    <x v="0"/>
    <n v="100"/>
    <n v="0"/>
    <m/>
    <n v="0"/>
    <n v="100"/>
    <d v="2025-10-04T00:00:00"/>
    <s v="Pago"/>
    <d v="2025-10-04T00:00:00"/>
    <x v="0"/>
    <m/>
    <s v="PAGBANK"/>
    <s v="VARIÁVEL"/>
    <x v="0"/>
    <x v="0"/>
    <s v="OUTUBRO"/>
    <s v="Despesas_Administrativas"/>
    <x v="0"/>
    <x v="0"/>
    <x v="0"/>
    <s v="10"/>
    <s v="4"/>
    <x v="0"/>
    <x v="0"/>
    <s v="10"/>
    <s v="4"/>
    <x v="0"/>
    <x v="0"/>
    <s v="10"/>
    <s v="4"/>
  </r>
  <r>
    <d v="2025-10-06T00:00:00"/>
    <x v="0"/>
    <s v="ADM"/>
    <x v="1"/>
    <x v="1"/>
    <m/>
    <x v="0"/>
    <x v="31"/>
    <n v="350.35"/>
    <n v="0"/>
    <n v="0"/>
    <n v="0"/>
    <n v="350.35"/>
    <d v="2025-10-06T00:00:00"/>
    <s v="Pago"/>
    <d v="2025-10-06T00:00:00"/>
    <x v="0"/>
    <m/>
    <s v="PAGBANK"/>
    <s v="FIXO"/>
    <x v="1"/>
    <x v="0"/>
    <s v="OUTUBRO"/>
    <s v="Receitas_Operacionais"/>
    <x v="0"/>
    <x v="0"/>
    <x v="0"/>
    <s v="10"/>
    <s v="6"/>
    <x v="0"/>
    <x v="0"/>
    <s v="10"/>
    <s v="6"/>
    <x v="0"/>
    <x v="0"/>
    <s v="10"/>
    <s v="6"/>
  </r>
  <r>
    <d v="2025-10-06T00:00:00"/>
    <x v="0"/>
    <s v="ADM"/>
    <x v="1"/>
    <x v="1"/>
    <m/>
    <x v="0"/>
    <x v="32"/>
    <n v="615"/>
    <n v="0"/>
    <n v="0"/>
    <n v="0"/>
    <n v="615"/>
    <d v="2025-10-06T00:00:00"/>
    <s v="Pago"/>
    <d v="2025-10-06T00:00:00"/>
    <x v="0"/>
    <m/>
    <s v="PAGBANK"/>
    <s v="FIXO"/>
    <x v="1"/>
    <x v="0"/>
    <s v="OUTUBRO"/>
    <s v="Receitas_Operacionais"/>
    <x v="0"/>
    <x v="0"/>
    <x v="0"/>
    <s v="10"/>
    <s v="6"/>
    <x v="0"/>
    <x v="0"/>
    <s v="10"/>
    <s v="6"/>
    <x v="0"/>
    <x v="0"/>
    <s v="10"/>
    <s v="6"/>
  </r>
  <r>
    <d v="2025-10-06T00:00:00"/>
    <x v="0"/>
    <s v="ADM"/>
    <x v="1"/>
    <x v="1"/>
    <s v="PARCELA 3 DE 6"/>
    <x v="0"/>
    <x v="33"/>
    <n v="350.35"/>
    <n v="0"/>
    <n v="0"/>
    <n v="0"/>
    <n v="350.35"/>
    <d v="2025-10-10T00:00:00"/>
    <s v="Pago"/>
    <d v="2025-10-06T00:00:00"/>
    <x v="0"/>
    <m/>
    <s v="PAGBANK"/>
    <s v="FIXO"/>
    <x v="1"/>
    <x v="0"/>
    <s v="OUTUBRO"/>
    <s v="Receitas_Operacionais"/>
    <x v="0"/>
    <x v="0"/>
    <x v="0"/>
    <s v="10"/>
    <s v="6"/>
    <x v="0"/>
    <x v="0"/>
    <s v="10"/>
    <s v="10"/>
    <x v="0"/>
    <x v="0"/>
    <s v="10"/>
    <s v="6"/>
  </r>
  <r>
    <d v="2025-10-06T00:00:00"/>
    <x v="0"/>
    <s v="ADM"/>
    <x v="1"/>
    <x v="1"/>
    <s v="PARCELA 4 DE 6"/>
    <x v="0"/>
    <x v="33"/>
    <n v="350.35"/>
    <n v="0"/>
    <n v="0"/>
    <n v="0"/>
    <n v="350.35"/>
    <d v="2025-11-10T00:00:00"/>
    <s v="Pago"/>
    <d v="2025-11-03T00:00:00"/>
    <x v="0"/>
    <m/>
    <s v="PAGBANK"/>
    <s v="FIXO"/>
    <x v="1"/>
    <x v="0"/>
    <s v="NOVEMBRO"/>
    <s v="Receitas_Operacionais"/>
    <x v="0"/>
    <x v="0"/>
    <x v="0"/>
    <s v="10"/>
    <s v="6"/>
    <x v="0"/>
    <x v="1"/>
    <s v="11"/>
    <s v="10"/>
    <x v="0"/>
    <x v="2"/>
    <s v="11"/>
    <s v="3"/>
  </r>
  <r>
    <d v="2025-10-06T00:00:00"/>
    <x v="0"/>
    <s v="ADM"/>
    <x v="1"/>
    <x v="1"/>
    <s v="PARCELA 5 DE 6"/>
    <x v="0"/>
    <x v="33"/>
    <n v="350.35"/>
    <n v="0"/>
    <m/>
    <n v="0"/>
    <n v="350.35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6"/>
    <x v="0"/>
    <x v="2"/>
    <s v="12"/>
    <s v="10"/>
    <x v="1"/>
    <x v="1"/>
    <s v=""/>
    <s v=""/>
  </r>
  <r>
    <d v="2025-10-06T00:00:00"/>
    <x v="0"/>
    <s v="ADM"/>
    <x v="1"/>
    <x v="1"/>
    <s v="PARCELA 6 DE 6"/>
    <x v="0"/>
    <x v="33"/>
    <n v="350.35"/>
    <n v="0"/>
    <m/>
    <n v="0"/>
    <n v="350.35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6"/>
    <x v="1"/>
    <x v="3"/>
    <s v="1"/>
    <s v="10"/>
    <x v="1"/>
    <x v="1"/>
    <s v=""/>
    <s v=""/>
  </r>
  <r>
    <d v="2025-10-06T00:00:00"/>
    <x v="0"/>
    <s v="ADM"/>
    <x v="4"/>
    <x v="42"/>
    <s v="TRANSFERENCIA RECEBIDA"/>
    <x v="1"/>
    <x v="34"/>
    <n v="321.27"/>
    <n v="0"/>
    <m/>
    <n v="0"/>
    <n v="321.27"/>
    <d v="2025-10-06T00:00:00"/>
    <s v="Pago"/>
    <d v="2025-10-06T00:00:00"/>
    <x v="3"/>
    <m/>
    <s v="PAGBANK"/>
    <s v="VARIÁVEL"/>
    <x v="1"/>
    <x v="0"/>
    <s v="OUTUBRO"/>
    <s v="Receitas_Outros_Creditos"/>
    <x v="3"/>
    <x v="0"/>
    <x v="0"/>
    <s v="10"/>
    <s v="6"/>
    <x v="0"/>
    <x v="0"/>
    <s v="10"/>
    <s v="6"/>
    <x v="0"/>
    <x v="0"/>
    <s v="10"/>
    <s v="6"/>
  </r>
  <r>
    <d v="2025-10-07T00:00:00"/>
    <x v="0"/>
    <s v="ADM"/>
    <x v="1"/>
    <x v="1"/>
    <s v="PARCELA 3 DE 6"/>
    <x v="0"/>
    <x v="35"/>
    <n v="375.38"/>
    <n v="0"/>
    <n v="0"/>
    <n v="0"/>
    <n v="375.38"/>
    <d v="2025-10-07T00:00:00"/>
    <s v="Pago"/>
    <d v="2025-10-07T00:00:00"/>
    <x v="0"/>
    <m/>
    <s v="PAGBANK"/>
    <s v="FIXO"/>
    <x v="1"/>
    <x v="0"/>
    <s v="OUTUBRO"/>
    <s v="Receitas_Operacionais"/>
    <x v="0"/>
    <x v="0"/>
    <x v="0"/>
    <s v="10"/>
    <s v="7"/>
    <x v="0"/>
    <x v="0"/>
    <s v="10"/>
    <s v="7"/>
    <x v="0"/>
    <x v="0"/>
    <s v="10"/>
    <s v="7"/>
  </r>
  <r>
    <d v="2025-10-07T00:00:00"/>
    <x v="0"/>
    <s v="ADM"/>
    <x v="1"/>
    <x v="1"/>
    <s v="PARCELA 4 DE 6"/>
    <x v="0"/>
    <x v="35"/>
    <n v="375.38"/>
    <n v="0"/>
    <n v="0"/>
    <n v="0"/>
    <n v="375.38"/>
    <d v="2025-11-10T00:00:00"/>
    <s v="Pago"/>
    <d v="2025-11-06T00:00:00"/>
    <x v="0"/>
    <m/>
    <s v="PAGBANK"/>
    <s v="FIXO"/>
    <x v="1"/>
    <x v="0"/>
    <s v="NOVEMBRO"/>
    <s v="Receitas_Operacionais"/>
    <x v="0"/>
    <x v="0"/>
    <x v="0"/>
    <s v="10"/>
    <s v="7"/>
    <x v="0"/>
    <x v="1"/>
    <s v="11"/>
    <s v="10"/>
    <x v="0"/>
    <x v="2"/>
    <s v="11"/>
    <s v="6"/>
  </r>
  <r>
    <d v="2025-10-07T00:00:00"/>
    <x v="0"/>
    <s v="ADM"/>
    <x v="1"/>
    <x v="1"/>
    <s v="PARCELA 5 DE 6"/>
    <x v="0"/>
    <x v="35"/>
    <n v="375.38"/>
    <n v="0"/>
    <m/>
    <n v="0"/>
    <n v="375.38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7"/>
    <x v="0"/>
    <x v="2"/>
    <s v="12"/>
    <s v="10"/>
    <x v="1"/>
    <x v="1"/>
    <s v=""/>
    <s v=""/>
  </r>
  <r>
    <d v="2025-10-07T00:00:00"/>
    <x v="0"/>
    <s v="ADM"/>
    <x v="1"/>
    <x v="1"/>
    <s v="PARCELA 6 DE 6"/>
    <x v="0"/>
    <x v="35"/>
    <n v="375.38"/>
    <n v="0"/>
    <m/>
    <n v="0"/>
    <n v="375.38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7"/>
    <x v="1"/>
    <x v="3"/>
    <s v="1"/>
    <s v="10"/>
    <x v="1"/>
    <x v="1"/>
    <s v=""/>
    <s v=""/>
  </r>
  <r>
    <d v="2025-10-07T00:00:00"/>
    <x v="0"/>
    <s v="ADM"/>
    <x v="0"/>
    <x v="0"/>
    <m/>
    <x v="1"/>
    <x v="36"/>
    <n v="220"/>
    <n v="0"/>
    <m/>
    <n v="0"/>
    <n v="220"/>
    <d v="2025-10-07T00:00:00"/>
    <s v="Pago"/>
    <d v="2025-10-07T00:00:00"/>
    <x v="0"/>
    <m/>
    <s v="PAGBANK"/>
    <s v="VARIÁVEL"/>
    <x v="0"/>
    <x v="0"/>
    <s v="OUTUBRO"/>
    <s v="Despesas_Administrativas"/>
    <x v="0"/>
    <x v="0"/>
    <x v="0"/>
    <s v="10"/>
    <s v="7"/>
    <x v="0"/>
    <x v="0"/>
    <s v="10"/>
    <s v="7"/>
    <x v="0"/>
    <x v="0"/>
    <s v="10"/>
    <s v="7"/>
  </r>
  <r>
    <d v="2025-10-07T00:00:00"/>
    <x v="0"/>
    <s v="ADM"/>
    <x v="1"/>
    <x v="1"/>
    <m/>
    <x v="0"/>
    <x v="37"/>
    <n v="1230"/>
    <n v="0"/>
    <n v="0"/>
    <n v="0"/>
    <n v="1230"/>
    <d v="2025-10-07T00:00:00"/>
    <s v="Pago"/>
    <d v="2025-10-07T00:00:00"/>
    <x v="0"/>
    <m/>
    <s v="PAGBANK"/>
    <s v="FIXO"/>
    <x v="1"/>
    <x v="0"/>
    <s v="OUTUBRO"/>
    <s v="Receitas_Operacionais"/>
    <x v="0"/>
    <x v="0"/>
    <x v="0"/>
    <s v="10"/>
    <s v="7"/>
    <x v="0"/>
    <x v="0"/>
    <s v="10"/>
    <s v="7"/>
    <x v="0"/>
    <x v="0"/>
    <s v="10"/>
    <s v="7"/>
  </r>
  <r>
    <d v="2025-10-08T00:00:00"/>
    <x v="0"/>
    <s v="ADM"/>
    <x v="4"/>
    <x v="42"/>
    <m/>
    <x v="1"/>
    <x v="38"/>
    <n v="335.32"/>
    <n v="0"/>
    <m/>
    <n v="0"/>
    <n v="335.32"/>
    <d v="2025-10-08T00:00:00"/>
    <s v="Pago"/>
    <d v="2025-10-08T00:00:00"/>
    <x v="3"/>
    <m/>
    <s v="PAGBANK"/>
    <s v="VARIÁVEL"/>
    <x v="1"/>
    <x v="0"/>
    <s v="OUTUBRO"/>
    <s v="Receitas_Outros_Creditos"/>
    <x v="3"/>
    <x v="0"/>
    <x v="0"/>
    <s v="10"/>
    <s v="8"/>
    <x v="0"/>
    <x v="0"/>
    <s v="10"/>
    <s v="8"/>
    <x v="0"/>
    <x v="0"/>
    <s v="10"/>
    <s v="8"/>
  </r>
  <r>
    <d v="2025-10-09T00:00:00"/>
    <x v="0"/>
    <s v="ADM"/>
    <x v="1"/>
    <x v="1"/>
    <s v="PARCELA 3 DE 6"/>
    <x v="0"/>
    <x v="39"/>
    <n v="200.2"/>
    <n v="0"/>
    <n v="0"/>
    <n v="0"/>
    <n v="200.2"/>
    <d v="2025-10-09T00:00:00"/>
    <s v="Pago"/>
    <d v="2025-10-09T00:00:00"/>
    <x v="0"/>
    <m/>
    <s v="PAGBANK"/>
    <s v="FIXO"/>
    <x v="1"/>
    <x v="0"/>
    <s v="OUTUBRO"/>
    <s v="Receitas_Operacionais"/>
    <x v="0"/>
    <x v="0"/>
    <x v="0"/>
    <s v="10"/>
    <s v="9"/>
    <x v="0"/>
    <x v="0"/>
    <s v="10"/>
    <s v="9"/>
    <x v="0"/>
    <x v="0"/>
    <s v="10"/>
    <s v="9"/>
  </r>
  <r>
    <d v="2025-10-09T00:00:00"/>
    <x v="0"/>
    <s v="ADM"/>
    <x v="1"/>
    <x v="1"/>
    <s v="PARCELA 4 DE 6"/>
    <x v="0"/>
    <x v="39"/>
    <n v="200.2"/>
    <n v="0"/>
    <n v="0"/>
    <n v="0"/>
    <n v="200.2"/>
    <d v="2025-11-10T00:00:00"/>
    <s v="Venceu"/>
    <m/>
    <x v="0"/>
    <m/>
    <s v="PAGBANK"/>
    <s v="FIXO"/>
    <x v="1"/>
    <x v="1"/>
    <s v=""/>
    <s v="Receitas_Operacionais"/>
    <x v="0"/>
    <x v="0"/>
    <x v="0"/>
    <s v="10"/>
    <s v="9"/>
    <x v="0"/>
    <x v="1"/>
    <s v="11"/>
    <s v="10"/>
    <x v="1"/>
    <x v="1"/>
    <s v=""/>
    <s v=""/>
  </r>
  <r>
    <d v="2025-10-09T00:00:00"/>
    <x v="0"/>
    <s v="ADM"/>
    <x v="1"/>
    <x v="1"/>
    <s v="PARCELA 5 DE 6"/>
    <x v="0"/>
    <x v="39"/>
    <n v="200.2"/>
    <n v="0"/>
    <m/>
    <n v="0"/>
    <n v="200.2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9"/>
    <x v="0"/>
    <x v="2"/>
    <s v="12"/>
    <s v="10"/>
    <x v="1"/>
    <x v="1"/>
    <s v=""/>
    <s v=""/>
  </r>
  <r>
    <d v="2025-10-09T00:00:00"/>
    <x v="0"/>
    <s v="ADM"/>
    <x v="1"/>
    <x v="1"/>
    <s v="PARCELA 6 DE 6"/>
    <x v="0"/>
    <x v="39"/>
    <n v="200.2"/>
    <n v="0"/>
    <m/>
    <n v="0"/>
    <n v="200.2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9"/>
    <x v="1"/>
    <x v="3"/>
    <s v="1"/>
    <s v="10"/>
    <x v="1"/>
    <x v="1"/>
    <s v=""/>
    <s v=""/>
  </r>
  <r>
    <d v="2025-10-09T00:00:00"/>
    <x v="0"/>
    <s v="ADM"/>
    <x v="1"/>
    <x v="1"/>
    <s v="PARCELA 2 DE 6"/>
    <x v="0"/>
    <x v="40"/>
    <n v="350.35"/>
    <n v="0"/>
    <n v="0"/>
    <n v="0"/>
    <n v="350.35"/>
    <d v="2025-10-10T00:00:00"/>
    <s v="Pago"/>
    <d v="2025-10-09T00:00:00"/>
    <x v="0"/>
    <m/>
    <s v="PAGBANK"/>
    <s v="FIXO"/>
    <x v="1"/>
    <x v="0"/>
    <s v="OUTUBRO"/>
    <s v="Receitas_Operacionais"/>
    <x v="0"/>
    <x v="0"/>
    <x v="0"/>
    <s v="10"/>
    <s v="9"/>
    <x v="0"/>
    <x v="0"/>
    <s v="10"/>
    <s v="10"/>
    <x v="0"/>
    <x v="0"/>
    <s v="10"/>
    <s v="9"/>
  </r>
  <r>
    <d v="2025-10-09T00:00:00"/>
    <x v="0"/>
    <s v="ADM"/>
    <x v="1"/>
    <x v="1"/>
    <s v="PARCELA 3 DE 6"/>
    <x v="0"/>
    <x v="40"/>
    <n v="350.35"/>
    <n v="0"/>
    <n v="0"/>
    <n v="0"/>
    <n v="350.35"/>
    <d v="2025-11-10T00:00:00"/>
    <s v="Venceu"/>
    <m/>
    <x v="0"/>
    <m/>
    <s v="PAGBANK"/>
    <s v="FIXO"/>
    <x v="1"/>
    <x v="1"/>
    <s v=""/>
    <s v="Receitas_Operacionais"/>
    <x v="0"/>
    <x v="0"/>
    <x v="0"/>
    <s v="10"/>
    <s v="9"/>
    <x v="0"/>
    <x v="1"/>
    <s v="11"/>
    <s v="10"/>
    <x v="1"/>
    <x v="1"/>
    <s v=""/>
    <s v=""/>
  </r>
  <r>
    <d v="2025-10-09T00:00:00"/>
    <x v="0"/>
    <s v="ADM"/>
    <x v="1"/>
    <x v="1"/>
    <s v="PARCELA 4 DE 6"/>
    <x v="0"/>
    <x v="40"/>
    <n v="350.35"/>
    <n v="0"/>
    <m/>
    <n v="0"/>
    <n v="350.35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9"/>
    <x v="0"/>
    <x v="2"/>
    <s v="12"/>
    <s v="10"/>
    <x v="1"/>
    <x v="1"/>
    <s v=""/>
    <s v=""/>
  </r>
  <r>
    <d v="2025-10-09T00:00:00"/>
    <x v="0"/>
    <s v="ADM"/>
    <x v="1"/>
    <x v="1"/>
    <s v="PARCELA 5 DE 6"/>
    <x v="0"/>
    <x v="40"/>
    <n v="350.35"/>
    <n v="0"/>
    <m/>
    <n v="0"/>
    <n v="350.35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9"/>
    <x v="1"/>
    <x v="3"/>
    <s v="1"/>
    <s v="10"/>
    <x v="1"/>
    <x v="1"/>
    <s v=""/>
    <s v=""/>
  </r>
  <r>
    <d v="2025-10-09T00:00:00"/>
    <x v="0"/>
    <s v="ADM"/>
    <x v="1"/>
    <x v="1"/>
    <s v="PARCELA 6 DE 6"/>
    <x v="0"/>
    <x v="40"/>
    <n v="350.35"/>
    <n v="0"/>
    <m/>
    <n v="0"/>
    <n v="350.35"/>
    <d v="2026-02-10T00:00:00"/>
    <s v="Prazo - Mais de 1 mês"/>
    <m/>
    <x v="0"/>
    <m/>
    <s v="PAGBANK"/>
    <s v="FIXO"/>
    <x v="1"/>
    <x v="1"/>
    <s v=""/>
    <s v="Receitas_Operacionais"/>
    <x v="0"/>
    <x v="0"/>
    <x v="0"/>
    <s v="10"/>
    <s v="9"/>
    <x v="1"/>
    <x v="4"/>
    <s v="2"/>
    <s v="10"/>
    <x v="1"/>
    <x v="1"/>
    <s v=""/>
    <s v=""/>
  </r>
  <r>
    <d v="2025-10-09T00:00:00"/>
    <x v="0"/>
    <s v="ADM"/>
    <x v="1"/>
    <x v="1"/>
    <s v="PARCELA 3 DE 6"/>
    <x v="0"/>
    <x v="41"/>
    <n v="375.38"/>
    <n v="0"/>
    <n v="0"/>
    <n v="0"/>
    <n v="375.38"/>
    <d v="2025-10-09T00:00:00"/>
    <s v="Pago"/>
    <d v="2025-10-09T00:00:00"/>
    <x v="0"/>
    <m/>
    <s v="PAGBANK"/>
    <s v="FIXO"/>
    <x v="1"/>
    <x v="0"/>
    <s v="OUTUBRO"/>
    <s v="Receitas_Operacionais"/>
    <x v="0"/>
    <x v="0"/>
    <x v="0"/>
    <s v="10"/>
    <s v="9"/>
    <x v="0"/>
    <x v="0"/>
    <s v="10"/>
    <s v="9"/>
    <x v="0"/>
    <x v="0"/>
    <s v="10"/>
    <s v="9"/>
  </r>
  <r>
    <d v="2025-10-09T00:00:00"/>
    <x v="0"/>
    <s v="ADM"/>
    <x v="1"/>
    <x v="1"/>
    <s v="PARCELA 4 DE 6"/>
    <x v="0"/>
    <x v="41"/>
    <n v="375.38"/>
    <n v="0"/>
    <n v="0"/>
    <n v="0"/>
    <n v="375.38"/>
    <d v="2025-11-10T00:00:00"/>
    <s v="Venceu"/>
    <m/>
    <x v="0"/>
    <m/>
    <s v="PAGBANK"/>
    <s v="FIXO"/>
    <x v="1"/>
    <x v="1"/>
    <s v=""/>
    <s v="Receitas_Operacionais"/>
    <x v="0"/>
    <x v="0"/>
    <x v="0"/>
    <s v="10"/>
    <s v="9"/>
    <x v="0"/>
    <x v="1"/>
    <s v="11"/>
    <s v="10"/>
    <x v="1"/>
    <x v="1"/>
    <s v=""/>
    <s v=""/>
  </r>
  <r>
    <d v="2025-10-09T00:00:00"/>
    <x v="0"/>
    <s v="ADM"/>
    <x v="1"/>
    <x v="1"/>
    <s v="PARCELA 5 DE 6"/>
    <x v="0"/>
    <x v="41"/>
    <n v="375.38"/>
    <n v="0"/>
    <m/>
    <n v="0"/>
    <n v="375.38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9"/>
    <x v="0"/>
    <x v="2"/>
    <s v="12"/>
    <s v="10"/>
    <x v="1"/>
    <x v="1"/>
    <s v=""/>
    <s v=""/>
  </r>
  <r>
    <d v="2025-10-09T00:00:00"/>
    <x v="0"/>
    <s v="ADM"/>
    <x v="1"/>
    <x v="1"/>
    <s v="PARCELA 6 DE 6"/>
    <x v="0"/>
    <x v="41"/>
    <n v="375.38"/>
    <n v="0"/>
    <m/>
    <n v="0"/>
    <n v="375.38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9"/>
    <x v="1"/>
    <x v="3"/>
    <s v="1"/>
    <s v="10"/>
    <x v="1"/>
    <x v="1"/>
    <s v=""/>
    <s v=""/>
  </r>
  <r>
    <d v="2025-10-09T00:00:00"/>
    <x v="0"/>
    <s v="ADM"/>
    <x v="1"/>
    <x v="1"/>
    <m/>
    <x v="0"/>
    <x v="42"/>
    <n v="350.35"/>
    <n v="0"/>
    <n v="0"/>
    <n v="0"/>
    <n v="350.35"/>
    <d v="2025-10-09T00:00:00"/>
    <s v="Pago"/>
    <d v="2025-10-09T00:00:00"/>
    <x v="0"/>
    <m/>
    <s v="PAGBANK"/>
    <s v="FIXO"/>
    <x v="1"/>
    <x v="0"/>
    <s v="OUTUBRO"/>
    <s v="Receitas_Operacionais"/>
    <x v="0"/>
    <x v="0"/>
    <x v="0"/>
    <s v="10"/>
    <s v="9"/>
    <x v="0"/>
    <x v="0"/>
    <s v="10"/>
    <s v="9"/>
    <x v="0"/>
    <x v="0"/>
    <s v="10"/>
    <s v="9"/>
  </r>
  <r>
    <d v="2025-10-09T00:00:00"/>
    <x v="0"/>
    <s v="ADM"/>
    <x v="1"/>
    <x v="1"/>
    <m/>
    <x v="0"/>
    <x v="43"/>
    <n v="1168"/>
    <n v="0"/>
    <n v="0"/>
    <n v="0"/>
    <n v="1168"/>
    <d v="2025-10-09T00:00:00"/>
    <s v="Pago"/>
    <d v="2025-10-09T00:00:00"/>
    <x v="0"/>
    <m/>
    <s v="PAGBANK"/>
    <s v="FIXO"/>
    <x v="1"/>
    <x v="0"/>
    <s v="OUTUBRO"/>
    <s v="Receitas_Operacionais"/>
    <x v="0"/>
    <x v="0"/>
    <x v="0"/>
    <s v="10"/>
    <s v="9"/>
    <x v="0"/>
    <x v="0"/>
    <s v="10"/>
    <s v="9"/>
    <x v="0"/>
    <x v="0"/>
    <s v="10"/>
    <s v="9"/>
  </r>
  <r>
    <d v="2025-10-09T00:00:00"/>
    <x v="0"/>
    <s v="ADM"/>
    <x v="1"/>
    <x v="1"/>
    <m/>
    <x v="0"/>
    <x v="44"/>
    <n v="214.5"/>
    <n v="0"/>
    <n v="0"/>
    <n v="0"/>
    <n v="214.5"/>
    <d v="2025-10-09T00:00:00"/>
    <s v="Pago"/>
    <d v="2025-10-09T00:00:00"/>
    <x v="0"/>
    <m/>
    <s v="PAGBANK"/>
    <s v="FIXO"/>
    <x v="1"/>
    <x v="0"/>
    <s v="OUTUBRO"/>
    <s v="Receitas_Operacionais"/>
    <x v="0"/>
    <x v="0"/>
    <x v="0"/>
    <s v="10"/>
    <s v="9"/>
    <x v="0"/>
    <x v="0"/>
    <s v="10"/>
    <s v="9"/>
    <x v="0"/>
    <x v="0"/>
    <s v="10"/>
    <s v="9"/>
  </r>
  <r>
    <d v="2025-10-09T00:00:00"/>
    <x v="0"/>
    <s v="ADM"/>
    <x v="1"/>
    <x v="1"/>
    <m/>
    <x v="0"/>
    <x v="44"/>
    <n v="214.5"/>
    <n v="0"/>
    <n v="0"/>
    <n v="0"/>
    <n v="214.5"/>
    <d v="2025-11-10T00:00:00"/>
    <s v="Pago"/>
    <d v="2025-11-04T00:00:00"/>
    <x v="0"/>
    <m/>
    <s v="PAGBANK"/>
    <s v="FIXO"/>
    <x v="1"/>
    <x v="0"/>
    <s v="NOVEMBRO"/>
    <s v="Receitas_Operacionais"/>
    <x v="0"/>
    <x v="0"/>
    <x v="0"/>
    <s v="10"/>
    <s v="9"/>
    <x v="0"/>
    <x v="1"/>
    <s v="11"/>
    <s v="10"/>
    <x v="0"/>
    <x v="2"/>
    <s v="11"/>
    <s v="4"/>
  </r>
  <r>
    <d v="2025-10-10T00:00:00"/>
    <x v="0"/>
    <s v="ADM"/>
    <x v="2"/>
    <x v="43"/>
    <m/>
    <x v="1"/>
    <x v="45"/>
    <n v="1318.45"/>
    <n v="0"/>
    <m/>
    <n v="0"/>
    <n v="1318.45"/>
    <d v="2025-10-10T00:00:00"/>
    <s v="Pago"/>
    <d v="2025-10-10T00:00:00"/>
    <x v="0"/>
    <m/>
    <s v="PAGBANK"/>
    <s v="VARIÁVEL"/>
    <x v="0"/>
    <x v="0"/>
    <s v="OUTUBRO"/>
    <s v="Despesas_Com_RH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m/>
    <x v="0"/>
    <x v="46"/>
    <n v="615"/>
    <n v="0"/>
    <n v="0"/>
    <n v="0"/>
    <n v="615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m/>
    <x v="0"/>
    <x v="47"/>
    <n v="600.6"/>
    <n v="0"/>
    <n v="0"/>
    <n v="0"/>
    <n v="600.6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m/>
    <x v="0"/>
    <x v="47"/>
    <n v="300.3"/>
    <n v="0"/>
    <n v="0"/>
    <n v="0"/>
    <n v="300.3"/>
    <d v="2025-11-10T00:00:00"/>
    <s v="Pago"/>
    <d v="2025-11-03T00:00:00"/>
    <x v="0"/>
    <m/>
    <s v="PAGBANK"/>
    <s v="FIXO"/>
    <x v="1"/>
    <x v="0"/>
    <s v="NOVEMBRO"/>
    <s v="Receitas_Operacionais"/>
    <x v="0"/>
    <x v="0"/>
    <x v="0"/>
    <s v="10"/>
    <s v="10"/>
    <x v="0"/>
    <x v="1"/>
    <s v="11"/>
    <s v="10"/>
    <x v="0"/>
    <x v="2"/>
    <s v="11"/>
    <s v="3"/>
  </r>
  <r>
    <d v="2025-10-10T00:00:00"/>
    <x v="0"/>
    <s v="ADM"/>
    <x v="1"/>
    <x v="1"/>
    <s v="PARCELA 3 DE 6"/>
    <x v="0"/>
    <x v="48"/>
    <n v="350.35"/>
    <n v="0"/>
    <n v="0"/>
    <n v="0"/>
    <n v="350.35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s v="PARCELA 4 DE 6"/>
    <x v="0"/>
    <x v="48"/>
    <n v="350.35"/>
    <n v="0"/>
    <n v="0"/>
    <n v="0"/>
    <n v="350.35"/>
    <d v="2025-11-10T00:00:00"/>
    <s v="Pago"/>
    <d v="2025-11-10T00:00:00"/>
    <x v="0"/>
    <m/>
    <s v="PAGBANK"/>
    <s v="FIXO"/>
    <x v="1"/>
    <x v="0"/>
    <s v="NOVEMBRO"/>
    <s v="Receitas_Operacionais"/>
    <x v="0"/>
    <x v="0"/>
    <x v="0"/>
    <s v="10"/>
    <s v="10"/>
    <x v="0"/>
    <x v="1"/>
    <s v="11"/>
    <s v="10"/>
    <x v="0"/>
    <x v="2"/>
    <s v="11"/>
    <s v="10"/>
  </r>
  <r>
    <d v="2025-10-10T00:00:00"/>
    <x v="0"/>
    <s v="ADM"/>
    <x v="1"/>
    <x v="1"/>
    <s v="PARCELA 5 DE 6"/>
    <x v="0"/>
    <x v="48"/>
    <n v="350.35"/>
    <n v="0"/>
    <m/>
    <n v="0"/>
    <n v="350.35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0"/>
    <x v="0"/>
    <x v="2"/>
    <s v="12"/>
    <s v="10"/>
    <x v="1"/>
    <x v="1"/>
    <s v=""/>
    <s v=""/>
  </r>
  <r>
    <d v="2025-10-10T00:00:00"/>
    <x v="0"/>
    <s v="ADM"/>
    <x v="1"/>
    <x v="1"/>
    <s v="PARCELA 6 DE 6"/>
    <x v="0"/>
    <x v="48"/>
    <n v="350.35"/>
    <n v="0"/>
    <m/>
    <n v="0"/>
    <n v="350.35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10"/>
    <x v="1"/>
    <x v="3"/>
    <s v="1"/>
    <s v="10"/>
    <x v="1"/>
    <x v="1"/>
    <s v=""/>
    <s v=""/>
  </r>
  <r>
    <d v="2025-10-10T00:00:00"/>
    <x v="0"/>
    <s v="ADM"/>
    <x v="1"/>
    <x v="1"/>
    <s v="PARCELA 3 DE 6"/>
    <x v="0"/>
    <x v="49"/>
    <n v="350.35"/>
    <n v="0"/>
    <n v="0"/>
    <n v="0"/>
    <n v="350.35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s v="PARCELA 4 DE 6"/>
    <x v="0"/>
    <x v="49"/>
    <n v="350.35"/>
    <n v="0"/>
    <n v="0"/>
    <n v="0"/>
    <n v="350.35"/>
    <d v="2025-11-10T00:00:00"/>
    <s v="Pago"/>
    <d v="2025-11-10T00:00:00"/>
    <x v="0"/>
    <m/>
    <s v="PAGBANK"/>
    <s v="FIXO"/>
    <x v="1"/>
    <x v="0"/>
    <s v="NOVEMBRO"/>
    <s v="Receitas_Operacionais"/>
    <x v="0"/>
    <x v="0"/>
    <x v="0"/>
    <s v="10"/>
    <s v="10"/>
    <x v="0"/>
    <x v="1"/>
    <s v="11"/>
    <s v="10"/>
    <x v="0"/>
    <x v="2"/>
    <s v="11"/>
    <s v="10"/>
  </r>
  <r>
    <d v="2025-10-10T00:00:00"/>
    <x v="0"/>
    <s v="ADM"/>
    <x v="1"/>
    <x v="1"/>
    <s v="PARCELA 5 DE 6"/>
    <x v="0"/>
    <x v="49"/>
    <n v="350.35"/>
    <n v="0"/>
    <m/>
    <n v="0"/>
    <n v="350.35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0"/>
    <x v="0"/>
    <x v="2"/>
    <s v="12"/>
    <s v="10"/>
    <x v="1"/>
    <x v="1"/>
    <s v=""/>
    <s v=""/>
  </r>
  <r>
    <d v="2025-10-10T00:00:00"/>
    <x v="0"/>
    <s v="ADM"/>
    <x v="1"/>
    <x v="1"/>
    <s v="PARCELA 6 DE 6"/>
    <x v="0"/>
    <x v="49"/>
    <n v="350.35"/>
    <n v="0"/>
    <m/>
    <n v="0"/>
    <n v="350.35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10"/>
    <x v="1"/>
    <x v="3"/>
    <s v="1"/>
    <s v="10"/>
    <x v="1"/>
    <x v="1"/>
    <s v=""/>
    <s v=""/>
  </r>
  <r>
    <d v="2025-10-10T00:00:00"/>
    <x v="0"/>
    <s v="ADM"/>
    <x v="1"/>
    <x v="1"/>
    <s v="PARCELA 3 DE 6"/>
    <x v="0"/>
    <x v="50"/>
    <n v="350.35"/>
    <n v="0"/>
    <n v="0"/>
    <n v="0"/>
    <n v="350.35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s v="PARCELA 4 DE 6"/>
    <x v="0"/>
    <x v="50"/>
    <n v="350.35"/>
    <n v="0"/>
    <n v="0"/>
    <n v="0"/>
    <n v="350.35"/>
    <d v="2025-11-10T00:00:00"/>
    <s v="Venceu"/>
    <m/>
    <x v="0"/>
    <m/>
    <s v="PAGBANK"/>
    <s v="FIXO"/>
    <x v="1"/>
    <x v="1"/>
    <s v=""/>
    <s v="Receitas_Operacionais"/>
    <x v="0"/>
    <x v="0"/>
    <x v="0"/>
    <s v="10"/>
    <s v="10"/>
    <x v="0"/>
    <x v="1"/>
    <s v="11"/>
    <s v="10"/>
    <x v="1"/>
    <x v="1"/>
    <s v=""/>
    <s v=""/>
  </r>
  <r>
    <d v="2025-10-10T00:00:00"/>
    <x v="0"/>
    <s v="ADM"/>
    <x v="1"/>
    <x v="1"/>
    <s v="PARCELA 5 DE 6"/>
    <x v="0"/>
    <x v="50"/>
    <n v="350.35"/>
    <n v="0"/>
    <m/>
    <n v="0"/>
    <n v="350.35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0"/>
    <x v="0"/>
    <x v="2"/>
    <s v="12"/>
    <s v="10"/>
    <x v="1"/>
    <x v="1"/>
    <s v=""/>
    <s v=""/>
  </r>
  <r>
    <d v="2025-10-10T00:00:00"/>
    <x v="0"/>
    <s v="ADM"/>
    <x v="1"/>
    <x v="1"/>
    <s v="PARCELA 6 DE 6"/>
    <x v="0"/>
    <x v="50"/>
    <n v="350.35"/>
    <n v="0"/>
    <m/>
    <n v="0"/>
    <n v="350.35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10"/>
    <x v="1"/>
    <x v="3"/>
    <s v="1"/>
    <s v="10"/>
    <x v="1"/>
    <x v="1"/>
    <s v=""/>
    <s v=""/>
  </r>
  <r>
    <d v="2025-10-10T00:00:00"/>
    <x v="0"/>
    <s v="ADM"/>
    <x v="1"/>
    <x v="1"/>
    <s v="PARCELA 4 DE 6"/>
    <x v="0"/>
    <x v="51"/>
    <n v="378.38"/>
    <n v="0"/>
    <n v="0"/>
    <n v="0"/>
    <n v="378.38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s v="PARCELA 5 DE 6"/>
    <x v="0"/>
    <x v="51"/>
    <n v="378.38"/>
    <n v="0"/>
    <n v="0"/>
    <n v="0"/>
    <n v="378.38"/>
    <d v="2025-11-10T00:00:00"/>
    <s v="Pago"/>
    <d v="2025-11-10T00:00:00"/>
    <x v="0"/>
    <m/>
    <s v="PAGBANK"/>
    <s v="FIXO"/>
    <x v="1"/>
    <x v="0"/>
    <s v="NOVEMBRO"/>
    <s v="Receitas_Operacionais"/>
    <x v="0"/>
    <x v="0"/>
    <x v="0"/>
    <s v="10"/>
    <s v="10"/>
    <x v="0"/>
    <x v="1"/>
    <s v="11"/>
    <s v="10"/>
    <x v="0"/>
    <x v="2"/>
    <s v="11"/>
    <s v="10"/>
  </r>
  <r>
    <d v="2025-10-10T00:00:00"/>
    <x v="0"/>
    <s v="ADM"/>
    <x v="1"/>
    <x v="1"/>
    <s v="PARCELA 6 DE 6"/>
    <x v="0"/>
    <x v="51"/>
    <n v="378.38"/>
    <n v="0"/>
    <m/>
    <n v="0"/>
    <n v="378.38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0"/>
    <x v="0"/>
    <x v="2"/>
    <s v="12"/>
    <s v="10"/>
    <x v="1"/>
    <x v="1"/>
    <s v=""/>
    <s v=""/>
  </r>
  <r>
    <d v="2025-10-10T00:00:00"/>
    <x v="0"/>
    <s v="ADM"/>
    <x v="1"/>
    <x v="1"/>
    <m/>
    <x v="0"/>
    <x v="52"/>
    <n v="300.3"/>
    <n v="0"/>
    <n v="0"/>
    <n v="0"/>
    <n v="300.3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s v="PARCELA 3 DE 6"/>
    <x v="0"/>
    <x v="53"/>
    <n v="350.35"/>
    <n v="0"/>
    <n v="0"/>
    <n v="0"/>
    <n v="350.35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s v="PARCELA 4 DE 6"/>
    <x v="0"/>
    <x v="53"/>
    <n v="350.35"/>
    <n v="0"/>
    <n v="0"/>
    <n v="0"/>
    <n v="350.35"/>
    <d v="2025-11-10T00:00:00"/>
    <s v="Venceu"/>
    <m/>
    <x v="0"/>
    <m/>
    <s v="PAGBANK"/>
    <s v="FIXO"/>
    <x v="1"/>
    <x v="1"/>
    <s v=""/>
    <s v="Receitas_Operacionais"/>
    <x v="0"/>
    <x v="0"/>
    <x v="0"/>
    <s v="10"/>
    <s v="10"/>
    <x v="0"/>
    <x v="1"/>
    <s v="11"/>
    <s v="10"/>
    <x v="1"/>
    <x v="1"/>
    <s v=""/>
    <s v=""/>
  </r>
  <r>
    <d v="2025-10-10T00:00:00"/>
    <x v="0"/>
    <s v="ADM"/>
    <x v="1"/>
    <x v="1"/>
    <s v="PARCELA 5 DE 6"/>
    <x v="0"/>
    <x v="53"/>
    <n v="350.35"/>
    <n v="0"/>
    <m/>
    <n v="0"/>
    <n v="350.35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0"/>
    <x v="0"/>
    <x v="2"/>
    <s v="12"/>
    <s v="10"/>
    <x v="1"/>
    <x v="1"/>
    <s v=""/>
    <s v=""/>
  </r>
  <r>
    <d v="2025-10-10T00:00:00"/>
    <x v="0"/>
    <s v="ADM"/>
    <x v="1"/>
    <x v="1"/>
    <s v="PARCELA 6 DE 6"/>
    <x v="0"/>
    <x v="53"/>
    <n v="350.35"/>
    <n v="0"/>
    <m/>
    <n v="0"/>
    <n v="350.35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10"/>
    <x v="1"/>
    <x v="3"/>
    <s v="1"/>
    <s v="10"/>
    <x v="1"/>
    <x v="1"/>
    <s v=""/>
    <s v=""/>
  </r>
  <r>
    <d v="2025-10-10T00:00:00"/>
    <x v="0"/>
    <s v="ADM"/>
    <x v="1"/>
    <x v="1"/>
    <m/>
    <x v="0"/>
    <x v="54"/>
    <n v="250.35"/>
    <n v="0"/>
    <n v="0"/>
    <n v="0"/>
    <n v="250.35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s v="PARCELA 4 DE 6"/>
    <x v="0"/>
    <x v="55"/>
    <n v="375.38"/>
    <n v="0"/>
    <n v="0"/>
    <n v="0"/>
    <n v="375.38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s v="PARCELA 5 DE 6"/>
    <x v="0"/>
    <x v="55"/>
    <n v="375.38"/>
    <n v="0"/>
    <n v="0"/>
    <n v="0"/>
    <n v="375.38"/>
    <d v="2025-11-10T00:00:00"/>
    <s v="Venceu"/>
    <m/>
    <x v="0"/>
    <m/>
    <s v="PAGBANK"/>
    <s v="FIXO"/>
    <x v="1"/>
    <x v="1"/>
    <s v=""/>
    <s v="Receitas_Operacionais"/>
    <x v="0"/>
    <x v="0"/>
    <x v="0"/>
    <s v="10"/>
    <s v="10"/>
    <x v="0"/>
    <x v="1"/>
    <s v="11"/>
    <s v="10"/>
    <x v="1"/>
    <x v="1"/>
    <s v=""/>
    <s v=""/>
  </r>
  <r>
    <d v="2025-10-10T00:00:00"/>
    <x v="0"/>
    <s v="ADM"/>
    <x v="1"/>
    <x v="1"/>
    <s v="PARCELA 6 DE 6"/>
    <x v="0"/>
    <x v="55"/>
    <n v="375.38"/>
    <n v="0"/>
    <m/>
    <n v="0"/>
    <n v="375.38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0"/>
    <x v="0"/>
    <x v="2"/>
    <s v="12"/>
    <s v="10"/>
    <x v="1"/>
    <x v="1"/>
    <s v=""/>
    <s v=""/>
  </r>
  <r>
    <d v="2025-10-10T00:00:00"/>
    <x v="0"/>
    <s v="ADM"/>
    <x v="1"/>
    <x v="1"/>
    <s v="PARCELA 3 DE 6"/>
    <x v="0"/>
    <x v="56"/>
    <n v="375.38"/>
    <n v="0"/>
    <n v="0"/>
    <n v="0"/>
    <n v="375.38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s v="PARCELA 4 DE 6"/>
    <x v="0"/>
    <x v="56"/>
    <n v="375.38"/>
    <n v="0"/>
    <n v="0"/>
    <n v="0"/>
    <n v="375.38"/>
    <d v="2025-11-10T00:00:00"/>
    <s v="Venceu"/>
    <m/>
    <x v="0"/>
    <m/>
    <s v="PAGBANK"/>
    <s v="FIXO"/>
    <x v="1"/>
    <x v="1"/>
    <s v=""/>
    <s v="Receitas_Operacionais"/>
    <x v="0"/>
    <x v="0"/>
    <x v="0"/>
    <s v="10"/>
    <s v="10"/>
    <x v="0"/>
    <x v="1"/>
    <s v="11"/>
    <s v="10"/>
    <x v="1"/>
    <x v="1"/>
    <s v=""/>
    <s v=""/>
  </r>
  <r>
    <d v="2025-10-10T00:00:00"/>
    <x v="0"/>
    <s v="ADM"/>
    <x v="1"/>
    <x v="1"/>
    <s v="PARCELA 5 DE 6"/>
    <x v="0"/>
    <x v="56"/>
    <n v="375.38"/>
    <n v="0"/>
    <m/>
    <n v="0"/>
    <n v="375.38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0"/>
    <x v="0"/>
    <x v="2"/>
    <s v="12"/>
    <s v="10"/>
    <x v="1"/>
    <x v="1"/>
    <s v=""/>
    <s v=""/>
  </r>
  <r>
    <d v="2025-10-10T00:00:00"/>
    <x v="0"/>
    <s v="ADM"/>
    <x v="1"/>
    <x v="1"/>
    <s v="PARCELA 6 DE 6"/>
    <x v="0"/>
    <x v="56"/>
    <n v="375.38"/>
    <n v="0"/>
    <m/>
    <n v="0"/>
    <n v="375.38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10"/>
    <x v="1"/>
    <x v="3"/>
    <s v="1"/>
    <s v="10"/>
    <x v="1"/>
    <x v="1"/>
    <s v=""/>
    <s v=""/>
  </r>
  <r>
    <d v="2025-10-10T00:00:00"/>
    <x v="0"/>
    <s v="ADM"/>
    <x v="1"/>
    <x v="1"/>
    <s v="PARCELA 3 DE 6"/>
    <x v="0"/>
    <x v="57"/>
    <n v="375.38"/>
    <n v="0"/>
    <n v="0"/>
    <n v="0"/>
    <n v="375.38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s v="PARCELA 4 DE 6"/>
    <x v="0"/>
    <x v="57"/>
    <n v="375.38"/>
    <n v="0"/>
    <n v="0"/>
    <n v="0"/>
    <n v="375.38"/>
    <d v="2025-11-10T00:00:00"/>
    <s v="Venceu"/>
    <m/>
    <x v="0"/>
    <m/>
    <s v="PAGBANK"/>
    <s v="FIXO"/>
    <x v="1"/>
    <x v="1"/>
    <s v=""/>
    <s v="Receitas_Operacionais"/>
    <x v="0"/>
    <x v="0"/>
    <x v="0"/>
    <s v="10"/>
    <s v="10"/>
    <x v="0"/>
    <x v="1"/>
    <s v="11"/>
    <s v="10"/>
    <x v="1"/>
    <x v="1"/>
    <s v=""/>
    <s v=""/>
  </r>
  <r>
    <d v="2025-10-10T00:00:00"/>
    <x v="0"/>
    <s v="ADM"/>
    <x v="1"/>
    <x v="1"/>
    <s v="PARCELA 5 DE 6"/>
    <x v="0"/>
    <x v="57"/>
    <n v="375.38"/>
    <n v="0"/>
    <m/>
    <n v="0"/>
    <n v="375.38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0"/>
    <x v="0"/>
    <x v="2"/>
    <s v="12"/>
    <s v="10"/>
    <x v="1"/>
    <x v="1"/>
    <s v=""/>
    <s v=""/>
  </r>
  <r>
    <d v="2025-10-10T00:00:00"/>
    <x v="0"/>
    <s v="ADM"/>
    <x v="1"/>
    <x v="1"/>
    <s v="PARCELA 6 DE 6"/>
    <x v="0"/>
    <x v="57"/>
    <n v="375.38"/>
    <n v="0"/>
    <m/>
    <n v="0"/>
    <n v="375.38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10"/>
    <x v="1"/>
    <x v="3"/>
    <s v="1"/>
    <s v="10"/>
    <x v="1"/>
    <x v="1"/>
    <s v=""/>
    <s v=""/>
  </r>
  <r>
    <d v="2025-10-10T00:00:00"/>
    <x v="0"/>
    <s v="ADM"/>
    <x v="1"/>
    <x v="1"/>
    <m/>
    <x v="0"/>
    <x v="58"/>
    <n v="375.38"/>
    <n v="0"/>
    <n v="0"/>
    <n v="0"/>
    <n v="375.38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m/>
    <x v="0"/>
    <x v="59"/>
    <n v="375.38"/>
    <n v="0"/>
    <n v="0"/>
    <n v="0"/>
    <n v="375.38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m/>
    <x v="0"/>
    <x v="59"/>
    <n v="375.38"/>
    <n v="0"/>
    <n v="0"/>
    <n v="0"/>
    <n v="375.38"/>
    <d v="2025-11-10T00:00:00"/>
    <s v="Pago"/>
    <d v="2025-11-08T00:00:00"/>
    <x v="0"/>
    <m/>
    <s v="PAGBANK"/>
    <s v="FIXO"/>
    <x v="1"/>
    <x v="0"/>
    <s v="NOVEMBRO"/>
    <s v="Receitas_Operacionais"/>
    <x v="0"/>
    <x v="0"/>
    <x v="0"/>
    <s v="10"/>
    <s v="10"/>
    <x v="0"/>
    <x v="1"/>
    <s v="11"/>
    <s v="10"/>
    <x v="0"/>
    <x v="2"/>
    <s v="11"/>
    <s v="8"/>
  </r>
  <r>
    <d v="2025-10-10T00:00:00"/>
    <x v="0"/>
    <s v="ADM"/>
    <x v="0"/>
    <x v="0"/>
    <m/>
    <x v="0"/>
    <x v="0"/>
    <n v="2000"/>
    <n v="0"/>
    <m/>
    <n v="0"/>
    <n v="2000"/>
    <d v="2025-10-10T00:00:00"/>
    <s v="Pago"/>
    <d v="2025-10-10T00:00:00"/>
    <x v="0"/>
    <m/>
    <s v="PAGBANK"/>
    <s v="VARIÁVEL"/>
    <x v="0"/>
    <x v="0"/>
    <s v="OUTUBRO"/>
    <s v="Despesas_Administrativa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s v="PARCELA 3 DE 6"/>
    <x v="0"/>
    <x v="60"/>
    <n v="350.35"/>
    <n v="0"/>
    <n v="0"/>
    <n v="0"/>
    <n v="350.35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s v="PARCELA 4 DE 6"/>
    <x v="0"/>
    <x v="60"/>
    <n v="350.35"/>
    <n v="0"/>
    <n v="0"/>
    <n v="0"/>
    <n v="350.35"/>
    <d v="2025-11-10T00:00:00"/>
    <s v="Venceu"/>
    <m/>
    <x v="0"/>
    <m/>
    <s v="PAGBANK"/>
    <s v="FIXO"/>
    <x v="1"/>
    <x v="1"/>
    <s v=""/>
    <s v="Receitas_Operacionais"/>
    <x v="0"/>
    <x v="0"/>
    <x v="0"/>
    <s v="10"/>
    <s v="10"/>
    <x v="0"/>
    <x v="1"/>
    <s v="11"/>
    <s v="10"/>
    <x v="1"/>
    <x v="1"/>
    <s v=""/>
    <s v=""/>
  </r>
  <r>
    <d v="2025-10-10T00:00:00"/>
    <x v="0"/>
    <s v="ADM"/>
    <x v="1"/>
    <x v="1"/>
    <s v="PARCELA 5 DE 6"/>
    <x v="0"/>
    <x v="60"/>
    <n v="350.35"/>
    <n v="0"/>
    <m/>
    <n v="0"/>
    <n v="350.35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0"/>
    <x v="0"/>
    <x v="2"/>
    <s v="12"/>
    <s v="10"/>
    <x v="1"/>
    <x v="1"/>
    <s v=""/>
    <s v=""/>
  </r>
  <r>
    <d v="2025-10-10T00:00:00"/>
    <x v="0"/>
    <s v="ADM"/>
    <x v="1"/>
    <x v="1"/>
    <s v="PARCELA 6 DE 6"/>
    <x v="0"/>
    <x v="60"/>
    <n v="350.35"/>
    <n v="0"/>
    <m/>
    <n v="0"/>
    <n v="350.35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10"/>
    <x v="1"/>
    <x v="3"/>
    <s v="1"/>
    <s v="10"/>
    <x v="1"/>
    <x v="1"/>
    <s v=""/>
    <s v=""/>
  </r>
  <r>
    <d v="2025-10-10T00:00:00"/>
    <x v="0"/>
    <s v="ADM"/>
    <x v="1"/>
    <x v="1"/>
    <m/>
    <x v="0"/>
    <x v="61"/>
    <n v="325.33"/>
    <n v="0"/>
    <n v="0"/>
    <n v="0"/>
    <n v="325.33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m/>
    <x v="0"/>
    <x v="62"/>
    <n v="372.37"/>
    <n v="0"/>
    <n v="0"/>
    <n v="0"/>
    <n v="372.37"/>
    <d v="2025-10-10T00:00:00"/>
    <s v="Pago"/>
    <d v="2025-10-10T00:00:00"/>
    <x v="0"/>
    <m/>
    <s v="PAGBANK"/>
    <s v="FIXO"/>
    <x v="1"/>
    <x v="0"/>
    <s v="OUTUBRO"/>
    <s v="Receitas_Operacionais"/>
    <x v="0"/>
    <x v="0"/>
    <x v="0"/>
    <s v="10"/>
    <s v="10"/>
    <x v="0"/>
    <x v="0"/>
    <s v="10"/>
    <s v="10"/>
    <x v="0"/>
    <x v="0"/>
    <s v="10"/>
    <s v="10"/>
  </r>
  <r>
    <d v="2025-10-10T00:00:00"/>
    <x v="0"/>
    <s v="ADM"/>
    <x v="1"/>
    <x v="1"/>
    <m/>
    <x v="0"/>
    <x v="62"/>
    <n v="372.37"/>
    <n v="0"/>
    <n v="0"/>
    <n v="0"/>
    <n v="372.37"/>
    <d v="2025-11-10T00:00:00"/>
    <s v="Pago"/>
    <d v="2025-11-10T00:00:00"/>
    <x v="0"/>
    <m/>
    <s v="PAGBANK"/>
    <s v="FIXO"/>
    <x v="1"/>
    <x v="0"/>
    <s v="NOVEMBRO"/>
    <s v="Receitas_Operacionais"/>
    <x v="0"/>
    <x v="0"/>
    <x v="0"/>
    <s v="10"/>
    <s v="10"/>
    <x v="0"/>
    <x v="1"/>
    <s v="11"/>
    <s v="10"/>
    <x v="0"/>
    <x v="2"/>
    <s v="11"/>
    <s v="10"/>
  </r>
  <r>
    <d v="2025-10-11T00:00:00"/>
    <x v="0"/>
    <s v="ADM"/>
    <x v="1"/>
    <x v="1"/>
    <m/>
    <x v="0"/>
    <x v="63"/>
    <n v="7.51"/>
    <n v="0"/>
    <n v="0"/>
    <n v="0"/>
    <n v="7.51"/>
    <d v="2025-10-11T00:00:00"/>
    <s v="Pago"/>
    <d v="2025-10-11T00:00:00"/>
    <x v="0"/>
    <m/>
    <s v="PAGBANK"/>
    <s v="FIXO"/>
    <x v="1"/>
    <x v="0"/>
    <s v="OUTUBRO"/>
    <s v="Receitas_Operacionais"/>
    <x v="0"/>
    <x v="0"/>
    <x v="0"/>
    <s v="10"/>
    <s v="11"/>
    <x v="0"/>
    <x v="0"/>
    <s v="10"/>
    <s v="11"/>
    <x v="0"/>
    <x v="0"/>
    <s v="10"/>
    <s v="11"/>
  </r>
  <r>
    <d v="2025-10-11T00:00:00"/>
    <x v="0"/>
    <s v="ADM"/>
    <x v="1"/>
    <x v="1"/>
    <m/>
    <x v="0"/>
    <x v="64"/>
    <n v="7.01"/>
    <n v="0"/>
    <n v="0"/>
    <n v="0"/>
    <n v="7.01"/>
    <d v="2025-10-11T00:00:00"/>
    <s v="Pago"/>
    <d v="2025-10-11T00:00:00"/>
    <x v="0"/>
    <m/>
    <s v="PAGBANK"/>
    <s v="FIXO"/>
    <x v="1"/>
    <x v="0"/>
    <s v="OUTUBRO"/>
    <s v="Receitas_Operacionais"/>
    <x v="0"/>
    <x v="0"/>
    <x v="0"/>
    <s v="10"/>
    <s v="11"/>
    <x v="0"/>
    <x v="0"/>
    <s v="10"/>
    <s v="11"/>
    <x v="0"/>
    <x v="0"/>
    <s v="10"/>
    <s v="11"/>
  </r>
  <r>
    <d v="2025-10-11T00:00:00"/>
    <x v="0"/>
    <s v="ADM"/>
    <x v="4"/>
    <x v="44"/>
    <m/>
    <x v="1"/>
    <x v="65"/>
    <n v="0.02"/>
    <n v="0"/>
    <m/>
    <n v="0"/>
    <n v="0.02"/>
    <d v="2025-10-11T00:00:00"/>
    <s v="Pago"/>
    <d v="2025-10-11T00:00:00"/>
    <x v="3"/>
    <m/>
    <s v="PAGBANK"/>
    <s v="VARIÁVEL"/>
    <x v="1"/>
    <x v="0"/>
    <s v="OUTUBRO"/>
    <s v="Receitas_Outros_Creditos"/>
    <x v="3"/>
    <x v="0"/>
    <x v="0"/>
    <s v="10"/>
    <s v="11"/>
    <x v="0"/>
    <x v="0"/>
    <s v="10"/>
    <s v="11"/>
    <x v="0"/>
    <x v="0"/>
    <s v="10"/>
    <s v="11"/>
  </r>
  <r>
    <d v="2025-10-11T00:00:00"/>
    <x v="0"/>
    <s v="ADM"/>
    <x v="1"/>
    <x v="1"/>
    <s v="PARCEL 2 DE 6"/>
    <x v="0"/>
    <x v="63"/>
    <n v="375.38"/>
    <n v="0"/>
    <n v="0"/>
    <n v="0"/>
    <n v="375.38"/>
    <d v="2025-10-11T00:00:00"/>
    <s v="Pago"/>
    <d v="2025-10-11T00:00:00"/>
    <x v="0"/>
    <m/>
    <s v="PAGBANK"/>
    <s v="FIXO"/>
    <x v="1"/>
    <x v="0"/>
    <s v="OUTUBRO"/>
    <s v="Receitas_Operacionais"/>
    <x v="0"/>
    <x v="0"/>
    <x v="0"/>
    <s v="10"/>
    <s v="11"/>
    <x v="0"/>
    <x v="0"/>
    <s v="10"/>
    <s v="11"/>
    <x v="0"/>
    <x v="0"/>
    <s v="10"/>
    <s v="11"/>
  </r>
  <r>
    <d v="2025-10-11T00:00:00"/>
    <x v="0"/>
    <s v="ADM"/>
    <x v="1"/>
    <x v="1"/>
    <s v="PARCEL 3 DE 6"/>
    <x v="0"/>
    <x v="63"/>
    <n v="375.38"/>
    <n v="0"/>
    <n v="0"/>
    <n v="0"/>
    <n v="375.38"/>
    <d v="2025-11-10T00:00:00"/>
    <s v="Pago"/>
    <d v="2025-11-07T00:00:00"/>
    <x v="0"/>
    <m/>
    <s v="PAGBANK"/>
    <s v="FIXO"/>
    <x v="1"/>
    <x v="0"/>
    <s v="NOVEMBRO"/>
    <s v="Receitas_Operacionais"/>
    <x v="0"/>
    <x v="0"/>
    <x v="0"/>
    <s v="10"/>
    <s v="11"/>
    <x v="0"/>
    <x v="1"/>
    <s v="11"/>
    <s v="10"/>
    <x v="0"/>
    <x v="2"/>
    <s v="11"/>
    <s v="7"/>
  </r>
  <r>
    <d v="2025-10-11T00:00:00"/>
    <x v="0"/>
    <s v="ADM"/>
    <x v="1"/>
    <x v="1"/>
    <s v="PARCEL 4 DE 6"/>
    <x v="0"/>
    <x v="63"/>
    <n v="375.38"/>
    <n v="0"/>
    <m/>
    <n v="0"/>
    <n v="375.38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1"/>
    <x v="0"/>
    <x v="2"/>
    <s v="12"/>
    <s v="10"/>
    <x v="1"/>
    <x v="1"/>
    <s v=""/>
    <s v=""/>
  </r>
  <r>
    <d v="2025-10-11T00:00:00"/>
    <x v="0"/>
    <s v="ADM"/>
    <x v="1"/>
    <x v="1"/>
    <s v="PARCEL 5 DE 6"/>
    <x v="0"/>
    <x v="63"/>
    <n v="375.38"/>
    <n v="0"/>
    <m/>
    <n v="0"/>
    <n v="375.38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11"/>
    <x v="1"/>
    <x v="3"/>
    <s v="1"/>
    <s v="10"/>
    <x v="1"/>
    <x v="1"/>
    <s v=""/>
    <s v=""/>
  </r>
  <r>
    <d v="2025-10-11T00:00:00"/>
    <x v="0"/>
    <s v="ADM"/>
    <x v="1"/>
    <x v="1"/>
    <s v="PARCEL 6 DE 6"/>
    <x v="0"/>
    <x v="63"/>
    <n v="375.38"/>
    <n v="0"/>
    <m/>
    <n v="0"/>
    <n v="375.38"/>
    <d v="2026-02-10T00:00:00"/>
    <s v="Prazo - Mais de 1 mês"/>
    <m/>
    <x v="0"/>
    <m/>
    <s v="PAGBANK"/>
    <s v="FIXO"/>
    <x v="1"/>
    <x v="1"/>
    <s v=""/>
    <s v="Receitas_Operacionais"/>
    <x v="0"/>
    <x v="0"/>
    <x v="0"/>
    <s v="10"/>
    <s v="11"/>
    <x v="1"/>
    <x v="4"/>
    <s v="2"/>
    <s v="10"/>
    <x v="1"/>
    <x v="1"/>
    <s v=""/>
    <s v=""/>
  </r>
  <r>
    <d v="2025-10-11T00:00:00"/>
    <x v="0"/>
    <s v="ADM"/>
    <x v="1"/>
    <x v="1"/>
    <s v="PARCEL 1 DE 6"/>
    <x v="0"/>
    <x v="64"/>
    <n v="350.35"/>
    <n v="0"/>
    <n v="0"/>
    <n v="0"/>
    <n v="350.35"/>
    <d v="2025-10-10T00:00:00"/>
    <s v="Pago"/>
    <d v="2025-10-11T00:00:00"/>
    <x v="0"/>
    <m/>
    <s v="PAGBANK"/>
    <s v="FIXO"/>
    <x v="1"/>
    <x v="0"/>
    <s v="OUTUBRO"/>
    <s v="Receitas_Operacionais"/>
    <x v="0"/>
    <x v="0"/>
    <x v="0"/>
    <s v="10"/>
    <s v="11"/>
    <x v="0"/>
    <x v="0"/>
    <s v="10"/>
    <s v="10"/>
    <x v="0"/>
    <x v="0"/>
    <s v="10"/>
    <s v="11"/>
  </r>
  <r>
    <d v="2025-10-11T00:00:00"/>
    <x v="0"/>
    <s v="ADM"/>
    <x v="1"/>
    <x v="1"/>
    <s v="PARCEL 2 DE 6"/>
    <x v="0"/>
    <x v="64"/>
    <n v="350.35"/>
    <n v="0"/>
    <n v="0"/>
    <n v="0"/>
    <n v="350.35"/>
    <d v="2025-11-10T00:00:00"/>
    <s v="Venceu"/>
    <m/>
    <x v="0"/>
    <m/>
    <s v="PAGBANK"/>
    <s v="FIXO"/>
    <x v="1"/>
    <x v="1"/>
    <s v=""/>
    <s v="Receitas_Operacionais"/>
    <x v="0"/>
    <x v="0"/>
    <x v="0"/>
    <s v="10"/>
    <s v="11"/>
    <x v="0"/>
    <x v="1"/>
    <s v="11"/>
    <s v="10"/>
    <x v="1"/>
    <x v="1"/>
    <s v=""/>
    <s v=""/>
  </r>
  <r>
    <d v="2025-10-11T00:00:00"/>
    <x v="0"/>
    <s v="ADM"/>
    <x v="1"/>
    <x v="1"/>
    <s v="PARCEL 3 DE 6"/>
    <x v="0"/>
    <x v="64"/>
    <n v="350.35"/>
    <n v="0"/>
    <m/>
    <n v="0"/>
    <n v="350.35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1"/>
    <x v="0"/>
    <x v="2"/>
    <s v="12"/>
    <s v="10"/>
    <x v="1"/>
    <x v="1"/>
    <s v=""/>
    <s v=""/>
  </r>
  <r>
    <d v="2025-10-11T00:00:00"/>
    <x v="0"/>
    <s v="ADM"/>
    <x v="1"/>
    <x v="1"/>
    <s v="PARCEL 4 DE 6"/>
    <x v="0"/>
    <x v="64"/>
    <n v="350.35"/>
    <n v="0"/>
    <m/>
    <n v="0"/>
    <n v="350.35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11"/>
    <x v="1"/>
    <x v="3"/>
    <s v="1"/>
    <s v="10"/>
    <x v="1"/>
    <x v="1"/>
    <s v=""/>
    <s v=""/>
  </r>
  <r>
    <d v="2025-10-11T00:00:00"/>
    <x v="0"/>
    <s v="ADM"/>
    <x v="1"/>
    <x v="1"/>
    <s v="PARCEL 5 DE 6"/>
    <x v="0"/>
    <x v="64"/>
    <n v="350.35"/>
    <n v="0"/>
    <m/>
    <n v="0"/>
    <n v="350.35"/>
    <d v="2026-02-10T00:00:00"/>
    <s v="Prazo - Mais de 1 mês"/>
    <m/>
    <x v="0"/>
    <m/>
    <s v="PAGBANK"/>
    <s v="FIXO"/>
    <x v="1"/>
    <x v="1"/>
    <s v=""/>
    <s v="Receitas_Operacionais"/>
    <x v="0"/>
    <x v="0"/>
    <x v="0"/>
    <s v="10"/>
    <s v="11"/>
    <x v="1"/>
    <x v="4"/>
    <s v="2"/>
    <s v="10"/>
    <x v="1"/>
    <x v="1"/>
    <s v=""/>
    <s v=""/>
  </r>
  <r>
    <d v="2025-10-11T00:00:00"/>
    <x v="0"/>
    <s v="ADM"/>
    <x v="1"/>
    <x v="1"/>
    <s v="PARCEL 6 DE 6"/>
    <x v="0"/>
    <x v="64"/>
    <n v="350.35"/>
    <n v="0"/>
    <m/>
    <n v="0"/>
    <n v="350.35"/>
    <d v="2026-03-10T00:00:00"/>
    <s v="Prazo - Mais de 1 mês"/>
    <m/>
    <x v="0"/>
    <m/>
    <s v="PAGBANK"/>
    <s v="FIXO"/>
    <x v="1"/>
    <x v="1"/>
    <s v=""/>
    <s v="Receitas_Operacionais"/>
    <x v="0"/>
    <x v="0"/>
    <x v="0"/>
    <s v="10"/>
    <s v="11"/>
    <x v="1"/>
    <x v="5"/>
    <s v="3"/>
    <s v="10"/>
    <x v="1"/>
    <x v="1"/>
    <s v=""/>
    <s v=""/>
  </r>
  <r>
    <d v="2025-10-12T00:00:00"/>
    <x v="0"/>
    <s v="ADM"/>
    <x v="1"/>
    <x v="1"/>
    <s v="PARCELA 3 DE 6"/>
    <x v="0"/>
    <x v="66"/>
    <n v="357.36"/>
    <n v="0"/>
    <n v="0"/>
    <n v="0"/>
    <n v="357.36"/>
    <d v="2025-10-10T00:00:00"/>
    <s v="Pago"/>
    <d v="2025-10-12T00:00:00"/>
    <x v="0"/>
    <m/>
    <s v="PAGBANK"/>
    <s v="FIXO"/>
    <x v="1"/>
    <x v="0"/>
    <s v="OUTUBRO"/>
    <s v="Receitas_Operacionais"/>
    <x v="0"/>
    <x v="0"/>
    <x v="0"/>
    <s v="10"/>
    <s v="12"/>
    <x v="0"/>
    <x v="0"/>
    <s v="10"/>
    <s v="10"/>
    <x v="0"/>
    <x v="0"/>
    <s v="10"/>
    <s v="12"/>
  </r>
  <r>
    <d v="2025-10-12T00:00:00"/>
    <x v="0"/>
    <s v="ADM"/>
    <x v="1"/>
    <x v="1"/>
    <s v="PARCELA 4 DE 6"/>
    <x v="0"/>
    <x v="66"/>
    <n v="357.36"/>
    <n v="0"/>
    <n v="0"/>
    <n v="0"/>
    <n v="357.36"/>
    <d v="2025-11-10T00:00:00"/>
    <s v="Venceu"/>
    <m/>
    <x v="0"/>
    <m/>
    <s v="PAGBANK"/>
    <s v="FIXO"/>
    <x v="1"/>
    <x v="1"/>
    <s v=""/>
    <s v="Receitas_Operacionais"/>
    <x v="0"/>
    <x v="0"/>
    <x v="0"/>
    <s v="10"/>
    <s v="12"/>
    <x v="0"/>
    <x v="1"/>
    <s v="11"/>
    <s v="10"/>
    <x v="1"/>
    <x v="1"/>
    <s v=""/>
    <s v=""/>
  </r>
  <r>
    <d v="2025-10-12T00:00:00"/>
    <x v="0"/>
    <s v="ADM"/>
    <x v="1"/>
    <x v="1"/>
    <s v="PARCELA 5 DE 6"/>
    <x v="0"/>
    <x v="66"/>
    <n v="357.36"/>
    <n v="0"/>
    <m/>
    <n v="0"/>
    <n v="357.36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2"/>
    <x v="0"/>
    <x v="2"/>
    <s v="12"/>
    <s v="10"/>
    <x v="1"/>
    <x v="1"/>
    <s v=""/>
    <s v=""/>
  </r>
  <r>
    <d v="2025-10-12T00:00:00"/>
    <x v="0"/>
    <s v="ADM"/>
    <x v="1"/>
    <x v="1"/>
    <s v="PARCELA 6 DE 6"/>
    <x v="0"/>
    <x v="66"/>
    <n v="357.36"/>
    <n v="0"/>
    <m/>
    <n v="0"/>
    <n v="357.36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12"/>
    <x v="1"/>
    <x v="3"/>
    <s v="1"/>
    <s v="10"/>
    <x v="1"/>
    <x v="1"/>
    <s v=""/>
    <s v=""/>
  </r>
  <r>
    <d v="2025-10-13T00:00:00"/>
    <x v="0"/>
    <s v="ADM"/>
    <x v="1"/>
    <x v="1"/>
    <s v="PARCEL 4 DE 6"/>
    <x v="0"/>
    <x v="67"/>
    <n v="375.3"/>
    <n v="0"/>
    <n v="0"/>
    <n v="0"/>
    <n v="375.3"/>
    <d v="2025-10-10T00:00:00"/>
    <s v="Pago"/>
    <d v="2025-10-13T00:00:00"/>
    <x v="0"/>
    <m/>
    <s v="PAGBANK"/>
    <s v="FIXO"/>
    <x v="1"/>
    <x v="0"/>
    <s v="OUTUBRO"/>
    <s v="Receitas_Operacionais"/>
    <x v="0"/>
    <x v="0"/>
    <x v="0"/>
    <s v="10"/>
    <s v="13"/>
    <x v="0"/>
    <x v="0"/>
    <s v="10"/>
    <s v="10"/>
    <x v="0"/>
    <x v="0"/>
    <s v="10"/>
    <s v="13"/>
  </r>
  <r>
    <d v="2025-10-13T00:00:00"/>
    <x v="0"/>
    <s v="ADM"/>
    <x v="1"/>
    <x v="1"/>
    <s v="PARCEL 5 DE 6"/>
    <x v="0"/>
    <x v="67"/>
    <n v="375.3"/>
    <n v="0"/>
    <n v="0"/>
    <n v="0"/>
    <n v="375.3"/>
    <d v="2025-11-10T00:00:00"/>
    <s v="Venceu"/>
    <m/>
    <x v="0"/>
    <m/>
    <s v="PAGBANK"/>
    <s v="FIXO"/>
    <x v="1"/>
    <x v="1"/>
    <s v=""/>
    <s v="Receitas_Operacionais"/>
    <x v="0"/>
    <x v="0"/>
    <x v="0"/>
    <s v="10"/>
    <s v="13"/>
    <x v="0"/>
    <x v="1"/>
    <s v="11"/>
    <s v="10"/>
    <x v="1"/>
    <x v="1"/>
    <s v=""/>
    <s v=""/>
  </r>
  <r>
    <d v="2025-10-13T00:00:00"/>
    <x v="0"/>
    <s v="ADM"/>
    <x v="1"/>
    <x v="1"/>
    <s v="PARCEL 6 DE 6"/>
    <x v="0"/>
    <x v="67"/>
    <n v="375.3"/>
    <n v="0"/>
    <m/>
    <n v="0"/>
    <n v="375.3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3"/>
    <x v="0"/>
    <x v="2"/>
    <s v="12"/>
    <s v="10"/>
    <x v="1"/>
    <x v="1"/>
    <s v=""/>
    <s v=""/>
  </r>
  <r>
    <d v="2025-10-13T00:00:00"/>
    <x v="0"/>
    <s v="ADM"/>
    <x v="1"/>
    <x v="1"/>
    <m/>
    <x v="0"/>
    <x v="68"/>
    <n v="1640"/>
    <n v="0"/>
    <n v="0"/>
    <n v="0"/>
    <n v="1640"/>
    <d v="2025-10-13T00:00:00"/>
    <s v="Pago"/>
    <d v="2025-10-13T00:00:00"/>
    <x v="0"/>
    <m/>
    <s v="PAGBANK"/>
    <s v="FIXO"/>
    <x v="1"/>
    <x v="0"/>
    <s v="OUTUBRO"/>
    <s v="Receitas_Operacionais"/>
    <x v="0"/>
    <x v="0"/>
    <x v="0"/>
    <s v="10"/>
    <s v="13"/>
    <x v="0"/>
    <x v="0"/>
    <s v="10"/>
    <s v="13"/>
    <x v="0"/>
    <x v="0"/>
    <s v="10"/>
    <s v="13"/>
  </r>
  <r>
    <d v="2025-10-15T00:00:00"/>
    <x v="0"/>
    <s v="ADM"/>
    <x v="1"/>
    <x v="1"/>
    <m/>
    <x v="0"/>
    <x v="69"/>
    <n v="2921.25"/>
    <n v="0"/>
    <n v="0"/>
    <n v="0"/>
    <n v="2921.25"/>
    <d v="2025-10-15T00:00:00"/>
    <s v="Pago"/>
    <d v="2025-10-15T00:00:00"/>
    <x v="0"/>
    <m/>
    <s v="PAGBANK"/>
    <s v="FIXO"/>
    <x v="1"/>
    <x v="0"/>
    <s v="OUTUBRO"/>
    <s v="Receitas_Operacionais"/>
    <x v="0"/>
    <x v="0"/>
    <x v="0"/>
    <s v="10"/>
    <s v="15"/>
    <x v="0"/>
    <x v="0"/>
    <s v="10"/>
    <s v="15"/>
    <x v="0"/>
    <x v="0"/>
    <s v="10"/>
    <s v="15"/>
  </r>
  <r>
    <d v="2025-10-15T00:00:00"/>
    <x v="0"/>
    <s v="ADM"/>
    <x v="1"/>
    <x v="1"/>
    <s v="PARCELA 3 DE 5"/>
    <x v="0"/>
    <x v="70"/>
    <n v="428.83"/>
    <n v="0"/>
    <n v="0"/>
    <n v="0"/>
    <n v="428.83"/>
    <d v="2025-10-15T00:00:00"/>
    <s v="Pago"/>
    <d v="2025-10-15T00:00:00"/>
    <x v="0"/>
    <m/>
    <s v="PAGBANK"/>
    <s v="FIXO"/>
    <x v="1"/>
    <x v="0"/>
    <s v="OUTUBRO"/>
    <s v="Receitas_Operacionais"/>
    <x v="0"/>
    <x v="0"/>
    <x v="0"/>
    <s v="10"/>
    <s v="15"/>
    <x v="0"/>
    <x v="0"/>
    <s v="10"/>
    <s v="15"/>
    <x v="0"/>
    <x v="0"/>
    <s v="10"/>
    <s v="15"/>
  </r>
  <r>
    <d v="2025-10-15T00:00:00"/>
    <x v="0"/>
    <s v="ADM"/>
    <x v="1"/>
    <x v="1"/>
    <s v="PARCELA 4 DE 5"/>
    <x v="0"/>
    <x v="70"/>
    <n v="428.83"/>
    <n v="0"/>
    <n v="0"/>
    <n v="0"/>
    <n v="428.83"/>
    <d v="2025-11-10T00:00:00"/>
    <s v="Venceu"/>
    <m/>
    <x v="0"/>
    <m/>
    <s v="PAGBANK"/>
    <s v="FIXO"/>
    <x v="1"/>
    <x v="1"/>
    <s v=""/>
    <s v="Receitas_Operacionais"/>
    <x v="0"/>
    <x v="0"/>
    <x v="0"/>
    <s v="10"/>
    <s v="15"/>
    <x v="0"/>
    <x v="1"/>
    <s v="11"/>
    <s v="10"/>
    <x v="1"/>
    <x v="1"/>
    <s v=""/>
    <s v=""/>
  </r>
  <r>
    <d v="2025-10-15T00:00:00"/>
    <x v="0"/>
    <s v="ADM"/>
    <x v="1"/>
    <x v="1"/>
    <s v="PARCELA 5 DE 5"/>
    <x v="0"/>
    <x v="70"/>
    <n v="428.83"/>
    <n v="0"/>
    <m/>
    <n v="0"/>
    <n v="428.83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5"/>
    <x v="0"/>
    <x v="2"/>
    <s v="12"/>
    <s v="10"/>
    <x v="1"/>
    <x v="1"/>
    <s v=""/>
    <s v=""/>
  </r>
  <r>
    <d v="2025-10-16T00:00:00"/>
    <x v="0"/>
    <s v="ADM"/>
    <x v="1"/>
    <x v="1"/>
    <s v="PARCEL 3 DE 6"/>
    <x v="0"/>
    <x v="71"/>
    <n v="357.33"/>
    <n v="0"/>
    <n v="0"/>
    <n v="0"/>
    <n v="357.33"/>
    <d v="2025-10-10T00:00:00"/>
    <s v="Pago"/>
    <d v="2025-10-16T00:00:00"/>
    <x v="0"/>
    <m/>
    <s v="PAGBANK"/>
    <s v="FIXO"/>
    <x v="1"/>
    <x v="0"/>
    <s v="OUTUBRO"/>
    <s v="Receitas_Operacionais"/>
    <x v="0"/>
    <x v="0"/>
    <x v="0"/>
    <s v="10"/>
    <s v="16"/>
    <x v="0"/>
    <x v="0"/>
    <s v="10"/>
    <s v="10"/>
    <x v="0"/>
    <x v="0"/>
    <s v="10"/>
    <s v="16"/>
  </r>
  <r>
    <d v="2025-10-16T00:00:00"/>
    <x v="0"/>
    <s v="ADM"/>
    <x v="1"/>
    <x v="1"/>
    <s v="PARCEL 4 DE 6"/>
    <x v="0"/>
    <x v="71"/>
    <n v="357.33"/>
    <n v="0"/>
    <n v="0"/>
    <n v="0"/>
    <n v="357.33"/>
    <d v="2025-11-10T00:00:00"/>
    <s v="Venceu"/>
    <m/>
    <x v="0"/>
    <m/>
    <s v="PAGBANK"/>
    <s v="FIXO"/>
    <x v="1"/>
    <x v="1"/>
    <s v=""/>
    <s v="Receitas_Operacionais"/>
    <x v="0"/>
    <x v="0"/>
    <x v="0"/>
    <s v="10"/>
    <s v="16"/>
    <x v="0"/>
    <x v="1"/>
    <s v="11"/>
    <s v="10"/>
    <x v="1"/>
    <x v="1"/>
    <s v=""/>
    <s v=""/>
  </r>
  <r>
    <d v="2025-10-16T00:00:00"/>
    <x v="0"/>
    <s v="ADM"/>
    <x v="1"/>
    <x v="1"/>
    <s v="PARCEL 5 DE 6"/>
    <x v="0"/>
    <x v="71"/>
    <n v="357.33"/>
    <n v="0"/>
    <m/>
    <n v="0"/>
    <n v="357.33"/>
    <d v="2025-12-10T00:00:00"/>
    <s v="Prazo - Menos de 1 Mês"/>
    <m/>
    <x v="0"/>
    <m/>
    <s v="PAGBANK"/>
    <s v="FIXO"/>
    <x v="1"/>
    <x v="1"/>
    <s v=""/>
    <s v="Receitas_Operacionais"/>
    <x v="0"/>
    <x v="0"/>
    <x v="0"/>
    <s v="10"/>
    <s v="16"/>
    <x v="0"/>
    <x v="2"/>
    <s v="12"/>
    <s v="10"/>
    <x v="1"/>
    <x v="1"/>
    <s v=""/>
    <s v=""/>
  </r>
  <r>
    <d v="2025-10-16T00:00:00"/>
    <x v="0"/>
    <s v="ADM"/>
    <x v="1"/>
    <x v="1"/>
    <s v="PARCEL 6 DE 6"/>
    <x v="0"/>
    <x v="71"/>
    <n v="357.33"/>
    <n v="0"/>
    <m/>
    <n v="0"/>
    <n v="357.33"/>
    <d v="2026-01-10T00:00:00"/>
    <s v="Prazo - Mais de 1 mês"/>
    <m/>
    <x v="0"/>
    <m/>
    <s v="PAGBANK"/>
    <s v="FIXO"/>
    <x v="1"/>
    <x v="1"/>
    <s v=""/>
    <s v="Receitas_Operacionais"/>
    <x v="0"/>
    <x v="0"/>
    <x v="0"/>
    <s v="10"/>
    <s v="16"/>
    <x v="1"/>
    <x v="3"/>
    <s v="1"/>
    <s v="10"/>
    <x v="1"/>
    <x v="1"/>
    <s v=""/>
    <s v=""/>
  </r>
  <r>
    <d v="2025-10-16T00:00:00"/>
    <x v="0"/>
    <s v="ADM"/>
    <x v="1"/>
    <x v="1"/>
    <m/>
    <x v="0"/>
    <x v="72"/>
    <n v="439.3"/>
    <n v="0"/>
    <n v="0"/>
    <n v="0"/>
    <n v="439.3"/>
    <d v="2025-10-16T00:00:00"/>
    <s v="Pago"/>
    <d v="2025-10-16T00:00:00"/>
    <x v="0"/>
    <m/>
    <s v="PAGBANK"/>
    <s v="FIXO"/>
    <x v="1"/>
    <x v="0"/>
    <s v="OUTUBRO"/>
    <s v="Receitas_Operacionais"/>
    <x v="0"/>
    <x v="0"/>
    <x v="0"/>
    <s v="10"/>
    <s v="16"/>
    <x v="0"/>
    <x v="0"/>
    <s v="10"/>
    <s v="16"/>
    <x v="0"/>
    <x v="0"/>
    <s v="10"/>
    <s v="16"/>
  </r>
  <r>
    <d v="2025-10-16T00:00:00"/>
    <x v="0"/>
    <s v="ADM"/>
    <x v="4"/>
    <x v="30"/>
    <m/>
    <x v="1"/>
    <x v="73"/>
    <n v="2040.72"/>
    <n v="0"/>
    <m/>
    <n v="0"/>
    <n v="2040.72"/>
    <d v="2025-10-16T00:00:00"/>
    <s v="Pago"/>
    <d v="2025-10-16T00:00:00"/>
    <x v="0"/>
    <m/>
    <s v="PAGBANK"/>
    <s v="VARIÁVEL"/>
    <x v="1"/>
    <x v="0"/>
    <s v="OUTUBRO"/>
    <s v="Receitas_Outros_Creditos"/>
    <x v="0"/>
    <x v="0"/>
    <x v="0"/>
    <s v="10"/>
    <s v="16"/>
    <x v="0"/>
    <x v="0"/>
    <s v="10"/>
    <s v="16"/>
    <x v="0"/>
    <x v="0"/>
    <s v="10"/>
    <s v="16"/>
  </r>
  <r>
    <d v="2025-10-21T00:00:00"/>
    <x v="0"/>
    <s v="ADM"/>
    <x v="0"/>
    <x v="0"/>
    <m/>
    <x v="1"/>
    <x v="74"/>
    <n v="862.65"/>
    <n v="0"/>
    <m/>
    <n v="0"/>
    <n v="862.65"/>
    <d v="2025-10-21T00:00:00"/>
    <s v="Pago"/>
    <d v="2025-10-21T00:00:00"/>
    <x v="0"/>
    <m/>
    <s v="PAGBANK"/>
    <s v="VARIÁVEL"/>
    <x v="0"/>
    <x v="0"/>
    <s v="OUTUBRO"/>
    <s v="Despesas_Administrativas"/>
    <x v="0"/>
    <x v="0"/>
    <x v="0"/>
    <s v="10"/>
    <s v="21"/>
    <x v="0"/>
    <x v="0"/>
    <s v="10"/>
    <s v="21"/>
    <x v="0"/>
    <x v="0"/>
    <s v="10"/>
    <s v="21"/>
  </r>
  <r>
    <d v="2025-10-21T00:00:00"/>
    <x v="0"/>
    <s v="ADM"/>
    <x v="0"/>
    <x v="0"/>
    <m/>
    <x v="1"/>
    <x v="75"/>
    <n v="1948.95"/>
    <n v="0"/>
    <m/>
    <n v="0"/>
    <n v="1948.95"/>
    <d v="2025-10-21T00:00:00"/>
    <s v="Pago"/>
    <d v="2025-10-21T00:00:00"/>
    <x v="0"/>
    <m/>
    <s v="PAGBANK"/>
    <s v="VARIÁVEL"/>
    <x v="0"/>
    <x v="0"/>
    <s v="OUTUBRO"/>
    <s v="Despesas_Administrativas"/>
    <x v="0"/>
    <x v="0"/>
    <x v="0"/>
    <s v="10"/>
    <s v="21"/>
    <x v="0"/>
    <x v="0"/>
    <s v="10"/>
    <s v="21"/>
    <x v="0"/>
    <x v="0"/>
    <s v="10"/>
    <s v="21"/>
  </r>
  <r>
    <d v="2025-10-21T00:00:00"/>
    <x v="0"/>
    <s v="ADM"/>
    <x v="0"/>
    <x v="0"/>
    <m/>
    <x v="1"/>
    <x v="76"/>
    <n v="2396.25"/>
    <n v="0"/>
    <m/>
    <n v="0"/>
    <n v="2396.25"/>
    <d v="2025-10-21T00:00:00"/>
    <s v="Pago"/>
    <d v="2025-10-21T00:00:00"/>
    <x v="0"/>
    <m/>
    <s v="PAGBANK"/>
    <s v="VARIÁVEL"/>
    <x v="0"/>
    <x v="0"/>
    <s v="OUTUBRO"/>
    <s v="Despesas_Administrativas"/>
    <x v="0"/>
    <x v="0"/>
    <x v="0"/>
    <s v="10"/>
    <s v="21"/>
    <x v="0"/>
    <x v="0"/>
    <s v="10"/>
    <s v="21"/>
    <x v="0"/>
    <x v="0"/>
    <s v="10"/>
    <s v="21"/>
  </r>
  <r>
    <d v="2025-10-21T00:00:00"/>
    <x v="0"/>
    <s v="ADM"/>
    <x v="0"/>
    <x v="0"/>
    <m/>
    <x v="1"/>
    <x v="77"/>
    <n v="958.5"/>
    <n v="0"/>
    <m/>
    <n v="0"/>
    <n v="958.5"/>
    <d v="2025-10-21T00:00:00"/>
    <s v="Pago"/>
    <d v="2025-10-21T00:00:00"/>
    <x v="0"/>
    <m/>
    <s v="PAGBANK"/>
    <s v="VARIÁVEL"/>
    <x v="0"/>
    <x v="0"/>
    <s v="OUTUBRO"/>
    <s v="Despesas_Administrativas"/>
    <x v="0"/>
    <x v="0"/>
    <x v="0"/>
    <s v="10"/>
    <s v="21"/>
    <x v="0"/>
    <x v="0"/>
    <s v="10"/>
    <s v="21"/>
    <x v="0"/>
    <x v="0"/>
    <s v="10"/>
    <s v="21"/>
  </r>
  <r>
    <d v="2025-10-22T00:00:00"/>
    <x v="0"/>
    <s v="ADM"/>
    <x v="0"/>
    <x v="0"/>
    <m/>
    <x v="1"/>
    <x v="78"/>
    <n v="2300.4"/>
    <n v="0"/>
    <m/>
    <n v="0"/>
    <n v="2300.4"/>
    <d v="2025-10-21T00:00:00"/>
    <s v="Pago"/>
    <d v="2025-10-21T00:00:00"/>
    <x v="0"/>
    <m/>
    <s v="PAGBANK"/>
    <s v="VARIÁVEL"/>
    <x v="0"/>
    <x v="0"/>
    <s v="OUTUBRO"/>
    <s v="Despesas_Administrativas"/>
    <x v="0"/>
    <x v="0"/>
    <x v="0"/>
    <s v="10"/>
    <s v="22"/>
    <x v="0"/>
    <x v="0"/>
    <s v="10"/>
    <s v="21"/>
    <x v="0"/>
    <x v="0"/>
    <s v="10"/>
    <s v="21"/>
  </r>
  <r>
    <d v="2025-10-22T00:00:00"/>
    <x v="0"/>
    <s v="ADM"/>
    <x v="4"/>
    <x v="42"/>
    <m/>
    <x v="1"/>
    <x v="79"/>
    <n v="0.5"/>
    <n v="0"/>
    <m/>
    <m/>
    <n v="0.5"/>
    <d v="2025-10-22T00:00:00"/>
    <s v="Pago"/>
    <d v="2025-10-22T00:00:00"/>
    <x v="0"/>
    <m/>
    <s v="PAGBANK"/>
    <s v="VARIÁVEL"/>
    <x v="1"/>
    <x v="0"/>
    <s v="OUTUBRO"/>
    <s v="Receitas_Outros_Creditos"/>
    <x v="0"/>
    <x v="0"/>
    <x v="0"/>
    <s v="10"/>
    <s v="22"/>
    <x v="0"/>
    <x v="0"/>
    <s v="10"/>
    <s v="22"/>
    <x v="0"/>
    <x v="0"/>
    <s v="10"/>
    <s v="22"/>
  </r>
  <r>
    <d v="2025-10-22T00:00:00"/>
    <x v="0"/>
    <s v="ADM"/>
    <x v="2"/>
    <x v="5"/>
    <s v="REFERENTE AO MÊS DE FEVEREIRO - 2023"/>
    <x v="0"/>
    <x v="8"/>
    <n v="488.73"/>
    <n v="0"/>
    <m/>
    <n v="0"/>
    <n v="488.73"/>
    <d v="2025-11-07T00:00:00"/>
    <s v="Pago"/>
    <d v="2025-10-22T00:00:00"/>
    <x v="1"/>
    <m/>
    <s v="PAGBANK"/>
    <s v="FIXO"/>
    <x v="0"/>
    <x v="0"/>
    <s v="OUTUBRO"/>
    <s v="Despesas_Com_RH"/>
    <x v="1"/>
    <x v="0"/>
    <x v="0"/>
    <s v="10"/>
    <s v="22"/>
    <x v="0"/>
    <x v="1"/>
    <s v="11"/>
    <s v="7"/>
    <x v="0"/>
    <x v="0"/>
    <s v="10"/>
    <s v="22"/>
  </r>
  <r>
    <d v="2025-10-22T00:00:00"/>
    <x v="0"/>
    <s v="ADM"/>
    <x v="2"/>
    <x v="5"/>
    <s v="REFERENTE AO MÊS DE SETEMBRO - 2023"/>
    <x v="0"/>
    <x v="8"/>
    <n v="497.64"/>
    <n v="0"/>
    <m/>
    <n v="0"/>
    <n v="497.64"/>
    <d v="2025-11-07T00:00:00"/>
    <s v="Pago"/>
    <d v="2025-10-22T00:00:00"/>
    <x v="1"/>
    <m/>
    <s v="PAGBANK"/>
    <s v="FIXO"/>
    <x v="0"/>
    <x v="0"/>
    <s v="OUTUBRO"/>
    <s v="Despesas_Com_RH"/>
    <x v="1"/>
    <x v="0"/>
    <x v="0"/>
    <s v="10"/>
    <s v="22"/>
    <x v="0"/>
    <x v="1"/>
    <s v="11"/>
    <s v="7"/>
    <x v="0"/>
    <x v="0"/>
    <s v="10"/>
    <s v="22"/>
  </r>
  <r>
    <d v="2025-10-22T00:00:00"/>
    <x v="0"/>
    <s v="ADM"/>
    <x v="2"/>
    <x v="5"/>
    <s v="REFERENTE AO MÊS DE AGOSTO - 2023"/>
    <x v="0"/>
    <x v="8"/>
    <n v="500.28"/>
    <n v="0"/>
    <m/>
    <n v="0"/>
    <n v="500.28"/>
    <d v="2025-11-07T00:00:00"/>
    <s v="Pago"/>
    <d v="2025-10-22T00:00:00"/>
    <x v="1"/>
    <m/>
    <s v="PAGBANK"/>
    <s v="FIXO"/>
    <x v="0"/>
    <x v="0"/>
    <s v="OUTUBRO"/>
    <s v="Despesas_Com_RH"/>
    <x v="1"/>
    <x v="0"/>
    <x v="0"/>
    <s v="10"/>
    <s v="22"/>
    <x v="0"/>
    <x v="1"/>
    <s v="11"/>
    <s v="7"/>
    <x v="0"/>
    <x v="0"/>
    <s v="10"/>
    <s v="22"/>
  </r>
  <r>
    <d v="2025-10-22T00:00:00"/>
    <x v="0"/>
    <s v="ADM"/>
    <x v="2"/>
    <x v="5"/>
    <m/>
    <x v="0"/>
    <x v="8"/>
    <n v="662.87"/>
    <n v="0"/>
    <m/>
    <n v="0"/>
    <n v="662.87"/>
    <d v="2025-10-20T00:00:00"/>
    <s v="Pago"/>
    <d v="2025-10-22T00:00:00"/>
    <x v="1"/>
    <m/>
    <s v="PAGBANK"/>
    <s v="FIXO"/>
    <x v="0"/>
    <x v="0"/>
    <s v="OUTUBRO"/>
    <s v="Despesas_Com_RH"/>
    <x v="1"/>
    <x v="0"/>
    <x v="0"/>
    <s v="10"/>
    <s v="22"/>
    <x v="0"/>
    <x v="0"/>
    <s v="10"/>
    <s v="20"/>
    <x v="0"/>
    <x v="0"/>
    <s v="10"/>
    <s v="22"/>
  </r>
  <r>
    <d v="2025-10-22T00:00:00"/>
    <x v="0"/>
    <s v="ADM"/>
    <x v="2"/>
    <x v="5"/>
    <m/>
    <x v="0"/>
    <x v="8"/>
    <n v="560.4"/>
    <n v="0"/>
    <m/>
    <n v="0"/>
    <n v="560.4"/>
    <d v="2025-11-07T00:00:00"/>
    <s v="Venceu"/>
    <m/>
    <x v="1"/>
    <m/>
    <s v="PAGBANK"/>
    <s v="FIXO"/>
    <x v="0"/>
    <x v="1"/>
    <s v=""/>
    <s v="Despesas_Com_RH"/>
    <x v="1"/>
    <x v="0"/>
    <x v="0"/>
    <s v="10"/>
    <s v="22"/>
    <x v="0"/>
    <x v="1"/>
    <s v="11"/>
    <s v="7"/>
    <x v="1"/>
    <x v="1"/>
    <s v=""/>
    <s v=""/>
  </r>
  <r>
    <d v="2025-10-22T00:00:00"/>
    <x v="0"/>
    <s v="ADM"/>
    <x v="2"/>
    <x v="5"/>
    <m/>
    <x v="0"/>
    <x v="8"/>
    <n v="480.36"/>
    <n v="0"/>
    <m/>
    <n v="0"/>
    <n v="480.36"/>
    <d v="2025-11-07T00:00:00"/>
    <s v="Venceu"/>
    <m/>
    <x v="1"/>
    <m/>
    <s v="PAGBANK"/>
    <s v="FIXO"/>
    <x v="0"/>
    <x v="1"/>
    <s v=""/>
    <s v="Despesas_Com_RH"/>
    <x v="1"/>
    <x v="0"/>
    <x v="0"/>
    <s v="10"/>
    <s v="22"/>
    <x v="0"/>
    <x v="1"/>
    <s v="11"/>
    <s v="7"/>
    <x v="1"/>
    <x v="1"/>
    <s v=""/>
    <s v=""/>
  </r>
  <r>
    <d v="2025-10-22T00:00:00"/>
    <x v="0"/>
    <s v="ADM"/>
    <x v="2"/>
    <x v="5"/>
    <m/>
    <x v="0"/>
    <x v="8"/>
    <n v="477.52"/>
    <n v="0"/>
    <m/>
    <n v="0"/>
    <n v="477.52"/>
    <d v="2025-11-07T00:00:00"/>
    <s v="Venceu"/>
    <m/>
    <x v="1"/>
    <m/>
    <s v="PAGBANK"/>
    <s v="FIXO"/>
    <x v="0"/>
    <x v="1"/>
    <s v=""/>
    <s v="Despesas_Com_RH"/>
    <x v="1"/>
    <x v="0"/>
    <x v="0"/>
    <s v="10"/>
    <s v="22"/>
    <x v="0"/>
    <x v="1"/>
    <s v="11"/>
    <s v="7"/>
    <x v="1"/>
    <x v="1"/>
    <s v=""/>
    <s v=""/>
  </r>
  <r>
    <d v="2025-10-22T00:00:00"/>
    <x v="0"/>
    <s v="ADM"/>
    <x v="2"/>
    <x v="5"/>
    <m/>
    <x v="0"/>
    <x v="8"/>
    <n v="556.63"/>
    <n v="0"/>
    <m/>
    <n v="0"/>
    <n v="556.63"/>
    <d v="2025-11-07T00:00:00"/>
    <s v="Venceu"/>
    <m/>
    <x v="1"/>
    <m/>
    <s v="PAGBANK"/>
    <s v="FIXO"/>
    <x v="0"/>
    <x v="1"/>
    <s v=""/>
    <s v="Despesas_Com_RH"/>
    <x v="1"/>
    <x v="0"/>
    <x v="0"/>
    <s v="10"/>
    <s v="22"/>
    <x v="0"/>
    <x v="1"/>
    <s v="11"/>
    <s v="7"/>
    <x v="1"/>
    <x v="1"/>
    <s v=""/>
    <s v=""/>
  </r>
  <r>
    <d v="2025-10-22T00:00:00"/>
    <x v="0"/>
    <s v="ADM"/>
    <x v="2"/>
    <x v="5"/>
    <m/>
    <x v="0"/>
    <x v="8"/>
    <n v="500.28"/>
    <n v="0"/>
    <m/>
    <n v="0"/>
    <n v="500.28"/>
    <d v="2025-11-07T00:00:00"/>
    <s v="Venceu"/>
    <m/>
    <x v="1"/>
    <m/>
    <s v="PAGBANK"/>
    <s v="FIXO"/>
    <x v="0"/>
    <x v="1"/>
    <s v=""/>
    <s v="Despesas_Com_RH"/>
    <x v="1"/>
    <x v="0"/>
    <x v="0"/>
    <s v="10"/>
    <s v="22"/>
    <x v="0"/>
    <x v="1"/>
    <s v="11"/>
    <s v="7"/>
    <x v="1"/>
    <x v="1"/>
    <s v=""/>
    <s v=""/>
  </r>
  <r>
    <d v="2025-10-25T00:00:00"/>
    <x v="0"/>
    <s v="ADM"/>
    <x v="1"/>
    <x v="1"/>
    <s v="PARCELA 1 DE 2"/>
    <x v="0"/>
    <x v="80"/>
    <n v="1230"/>
    <n v="0"/>
    <n v="0"/>
    <n v="0"/>
    <n v="1230"/>
    <d v="2025-10-25T00:00:00"/>
    <s v="Pago"/>
    <d v="2025-10-25T00:00:00"/>
    <x v="0"/>
    <m/>
    <s v="PAGBANK"/>
    <s v="FIXO"/>
    <x v="1"/>
    <x v="0"/>
    <s v="OUTUBRO"/>
    <s v="Receitas_Operacionais"/>
    <x v="0"/>
    <x v="0"/>
    <x v="0"/>
    <s v="10"/>
    <s v="25"/>
    <x v="0"/>
    <x v="0"/>
    <s v="10"/>
    <s v="25"/>
    <x v="0"/>
    <x v="0"/>
    <s v="10"/>
    <s v="25"/>
  </r>
  <r>
    <d v="2025-10-25T00:00:00"/>
    <x v="0"/>
    <s v="ADM"/>
    <x v="1"/>
    <x v="1"/>
    <s v="PARCEL 1 DE 1"/>
    <x v="0"/>
    <x v="80"/>
    <n v="1300"/>
    <n v="0"/>
    <n v="0"/>
    <n v="0"/>
    <n v="1300"/>
    <d v="2025-11-06T00:00:00"/>
    <s v="Pago"/>
    <d v="2025-11-06T00:00:00"/>
    <x v="0"/>
    <m/>
    <s v="PAGBANK"/>
    <s v="FIXO"/>
    <x v="1"/>
    <x v="0"/>
    <s v="NOVEMBRO"/>
    <s v="Receitas_Operacionais"/>
    <x v="0"/>
    <x v="0"/>
    <x v="0"/>
    <s v="10"/>
    <s v="25"/>
    <x v="0"/>
    <x v="1"/>
    <s v="11"/>
    <s v="6"/>
    <x v="0"/>
    <x v="2"/>
    <s v="11"/>
    <s v="6"/>
  </r>
  <r>
    <d v="2025-10-25T00:00:00"/>
    <x v="0"/>
    <s v="ADM"/>
    <x v="1"/>
    <x v="1"/>
    <s v="PARCELA 2 DE 2"/>
    <x v="0"/>
    <x v="80"/>
    <n v="1226.92"/>
    <n v="0"/>
    <n v="0"/>
    <n v="0"/>
    <n v="1226.92"/>
    <d v="2025-11-06T00:00:00"/>
    <s v="Pago"/>
    <d v="2025-11-06T00:00:00"/>
    <x v="0"/>
    <m/>
    <s v="PAGBANK"/>
    <s v="FIXO"/>
    <x v="1"/>
    <x v="0"/>
    <s v="NOVEMBRO"/>
    <s v="Receitas_Operacionais"/>
    <x v="0"/>
    <x v="0"/>
    <x v="0"/>
    <s v="10"/>
    <s v="25"/>
    <x v="0"/>
    <x v="1"/>
    <s v="11"/>
    <s v="6"/>
    <x v="0"/>
    <x v="2"/>
    <s v="11"/>
    <s v="6"/>
  </r>
  <r>
    <d v="2025-10-25T00:00:00"/>
    <x v="0"/>
    <s v="ADM"/>
    <x v="4"/>
    <x v="42"/>
    <m/>
    <x v="1"/>
    <x v="65"/>
    <n v="0.02"/>
    <n v="0"/>
    <m/>
    <n v="0"/>
    <n v="0.02"/>
    <d v="2025-10-25T00:00:00"/>
    <s v="Pago"/>
    <d v="2025-10-25T00:00:00"/>
    <x v="0"/>
    <m/>
    <s v="PAGBANK"/>
    <s v="VARIÁVEL"/>
    <x v="1"/>
    <x v="0"/>
    <s v="OUTUBRO"/>
    <s v="Receitas_Outros_Creditos"/>
    <x v="0"/>
    <x v="0"/>
    <x v="0"/>
    <s v="10"/>
    <s v="25"/>
    <x v="0"/>
    <x v="0"/>
    <s v="10"/>
    <s v="25"/>
    <x v="0"/>
    <x v="0"/>
    <s v="10"/>
    <s v="25"/>
  </r>
  <r>
    <d v="2025-11-01T00:00:00"/>
    <x v="0"/>
    <s v="ADM"/>
    <x v="0"/>
    <x v="10"/>
    <m/>
    <x v="1"/>
    <x v="13"/>
    <m/>
    <m/>
    <m/>
    <m/>
    <n v="0"/>
    <m/>
    <s v=""/>
    <m/>
    <x v="4"/>
    <m/>
    <m/>
    <m/>
    <x v="0"/>
    <x v="1"/>
    <s v=""/>
    <s v="Despesas_Administrativas"/>
    <x v="4"/>
    <x v="0"/>
    <x v="1"/>
    <s v="11"/>
    <s v="1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d v="2025-11-03T00:00:00"/>
    <x v="0"/>
    <s v="ADM"/>
    <x v="1"/>
    <x v="1"/>
    <m/>
    <x v="1"/>
    <x v="81"/>
    <n v="404.6"/>
    <m/>
    <m/>
    <m/>
    <n v="404.6"/>
    <m/>
    <s v=""/>
    <m/>
    <x v="4"/>
    <m/>
    <m/>
    <m/>
    <x v="1"/>
    <x v="1"/>
    <s v=""/>
    <s v="Receitas_Operacionais"/>
    <x v="4"/>
    <x v="0"/>
    <x v="1"/>
    <s v="11"/>
    <s v="3"/>
    <x v="9"/>
    <x v="12"/>
    <s v=""/>
    <s v=""/>
    <x v="1"/>
    <x v="1"/>
    <s v=""/>
    <s v=""/>
  </r>
  <r>
    <d v="2025-11-03T00:00:00"/>
    <x v="0"/>
    <s v="ADM"/>
    <x v="4"/>
    <x v="42"/>
    <s v="TRANSFERENCIA RECEBIDA"/>
    <x v="1"/>
    <x v="34"/>
    <n v="321.27"/>
    <n v="0"/>
    <n v="0"/>
    <n v="0"/>
    <n v="321.27"/>
    <d v="2025-11-03T00:00:00"/>
    <s v="Pago"/>
    <d v="2025-11-03T00:00:00"/>
    <x v="3"/>
    <m/>
    <s v="PAGBANK"/>
    <s v="VARIÁVEL"/>
    <x v="1"/>
    <x v="0"/>
    <s v="NOVEMBRO"/>
    <s v="Receitas_Outros_Creditos"/>
    <x v="3"/>
    <x v="0"/>
    <x v="1"/>
    <s v="11"/>
    <s v="3"/>
    <x v="0"/>
    <x v="1"/>
    <s v="11"/>
    <s v="3"/>
    <x v="0"/>
    <x v="2"/>
    <s v="11"/>
    <s v="3"/>
  </r>
  <r>
    <d v="2025-11-03T00:00:00"/>
    <x v="0"/>
    <s v="ADM"/>
    <x v="4"/>
    <x v="44"/>
    <m/>
    <x v="0"/>
    <x v="65"/>
    <n v="0.04"/>
    <n v="0"/>
    <n v="0"/>
    <n v="0"/>
    <n v="0.04"/>
    <d v="2025-11-04T00:00:00"/>
    <s v="Pago"/>
    <d v="2025-11-04T00:00:00"/>
    <x v="3"/>
    <m/>
    <s v="PAGBANK"/>
    <s v="VARIÁVEL"/>
    <x v="1"/>
    <x v="0"/>
    <s v="NOVEMBRO"/>
    <s v="Receitas_Outros_Creditos"/>
    <x v="3"/>
    <x v="0"/>
    <x v="1"/>
    <s v="11"/>
    <s v="3"/>
    <x v="0"/>
    <x v="1"/>
    <s v="11"/>
    <s v="4"/>
    <x v="0"/>
    <x v="2"/>
    <s v="11"/>
    <s v="4"/>
  </r>
  <r>
    <d v="2025-11-03T00:00:00"/>
    <x v="0"/>
    <s v="ADM"/>
    <x v="1"/>
    <x v="30"/>
    <m/>
    <x v="1"/>
    <x v="20"/>
    <m/>
    <m/>
    <m/>
    <m/>
    <n v="0"/>
    <m/>
    <s v=""/>
    <m/>
    <x v="4"/>
    <m/>
    <m/>
    <m/>
    <x v="1"/>
    <x v="1"/>
    <s v=""/>
    <s v="Receitas_Operacionais"/>
    <x v="4"/>
    <x v="0"/>
    <x v="1"/>
    <s v="11"/>
    <s v="3"/>
    <x v="9"/>
    <x v="12"/>
    <s v=""/>
    <s v=""/>
    <x v="1"/>
    <x v="1"/>
    <s v=""/>
    <s v=""/>
  </r>
  <r>
    <d v="2025-11-06T00:00:00"/>
    <x v="0"/>
    <s v="ADM"/>
    <x v="4"/>
    <x v="30"/>
    <m/>
    <x v="1"/>
    <x v="82"/>
    <n v="230"/>
    <n v="0"/>
    <n v="0"/>
    <n v="0"/>
    <n v="230"/>
    <d v="2025-11-06T00:00:00"/>
    <s v="Pago"/>
    <d v="2025-11-06T00:00:00"/>
    <x v="0"/>
    <m/>
    <s v="PAGBANK"/>
    <s v="VARIÁVEL"/>
    <x v="1"/>
    <x v="0"/>
    <s v="NOVEMBRO"/>
    <s v="Receitas_Outros_Creditos"/>
    <x v="0"/>
    <x v="0"/>
    <x v="1"/>
    <s v="11"/>
    <s v="6"/>
    <x v="0"/>
    <x v="1"/>
    <s v="11"/>
    <s v="6"/>
    <x v="0"/>
    <x v="2"/>
    <s v="11"/>
    <s v="6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  <r>
    <m/>
    <x v="1"/>
    <s v="ADM"/>
    <x v="5"/>
    <x v="30"/>
    <m/>
    <x v="1"/>
    <x v="20"/>
    <m/>
    <m/>
    <m/>
    <m/>
    <n v="0"/>
    <m/>
    <s v=""/>
    <m/>
    <x v="4"/>
    <m/>
    <m/>
    <m/>
    <x v="2"/>
    <x v="1"/>
    <s v=""/>
    <s v=""/>
    <x v="4"/>
    <x v="1"/>
    <x v="2"/>
    <s v=""/>
    <s v=""/>
    <x v="9"/>
    <x v="12"/>
    <s v=""/>
    <s v=""/>
    <x v="1"/>
    <x v="1"/>
    <s v="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s v="IRPF"/>
    <x v="0"/>
    <s v="10/2023"/>
    <m/>
    <m/>
    <m/>
    <m/>
    <n v="700.67"/>
    <n v="0"/>
    <n v="140.13"/>
    <n v="202"/>
    <m/>
    <s v=""/>
    <m/>
    <m/>
    <m/>
    <s v=""/>
    <m/>
    <m/>
    <s v=""/>
    <s v=""/>
  </r>
  <r>
    <s v="IRPF"/>
    <x v="0"/>
    <s v="06/2025"/>
    <m/>
    <m/>
    <m/>
    <m/>
    <n v="728.91"/>
    <n v="0"/>
    <n v="145.78"/>
    <n v="68.37"/>
    <m/>
    <s v=""/>
    <m/>
    <m/>
    <m/>
    <s v=""/>
    <m/>
    <m/>
    <s v=""/>
    <s v=""/>
  </r>
  <r>
    <s v="IRPF"/>
    <x v="0"/>
    <s v="07/2025"/>
    <m/>
    <m/>
    <m/>
    <m/>
    <n v="362.9"/>
    <n v="0"/>
    <n v="72.58"/>
    <n v="30.88"/>
    <m/>
    <s v=""/>
    <m/>
    <m/>
    <m/>
    <s v=""/>
    <m/>
    <m/>
    <s v=""/>
    <s v=""/>
  </r>
  <r>
    <s v="IRPF"/>
    <x v="0"/>
    <s v="08/2025"/>
    <m/>
    <m/>
    <m/>
    <m/>
    <n v="728.91"/>
    <n v="0"/>
    <n v="145.78"/>
    <n v="55.9"/>
    <m/>
    <s v=""/>
    <m/>
    <m/>
    <m/>
    <s v=""/>
    <m/>
    <m/>
    <s v=""/>
    <s v=""/>
  </r>
  <r>
    <s v="IRPF"/>
    <x v="0"/>
    <s v="09/2025"/>
    <m/>
    <m/>
    <m/>
    <m/>
    <n v="728.91"/>
    <n v="0"/>
    <n v="145.78"/>
    <n v="49.12"/>
    <m/>
    <s v=""/>
    <m/>
    <m/>
    <m/>
    <s v=""/>
    <m/>
    <m/>
    <s v=""/>
    <s v=""/>
  </r>
  <r>
    <s v="IRPF"/>
    <x v="0"/>
    <s v="10/2025"/>
    <m/>
    <m/>
    <m/>
    <m/>
    <n v="728.91"/>
    <n v="0"/>
    <n v="145.78"/>
    <n v="43.37"/>
    <m/>
    <s v=""/>
    <m/>
    <m/>
    <m/>
    <s v=""/>
    <m/>
    <m/>
    <s v=""/>
    <s v=""/>
  </r>
  <r>
    <s v="IRPF"/>
    <x v="0"/>
    <s v="11/2025"/>
    <m/>
    <m/>
    <m/>
    <m/>
    <n v="828.25"/>
    <n v="0"/>
    <n v="165.65"/>
    <n v="41.57"/>
    <m/>
    <s v=""/>
    <m/>
    <m/>
    <m/>
    <s v=""/>
    <m/>
    <m/>
    <s v=""/>
    <s v=""/>
  </r>
  <r>
    <s v="IRPF"/>
    <x v="0"/>
    <s v="12/2025"/>
    <m/>
    <m/>
    <m/>
    <m/>
    <n v="883.82"/>
    <n v="0"/>
    <n v="176.76"/>
    <n v="35.44"/>
    <m/>
    <s v=""/>
    <m/>
    <m/>
    <m/>
    <s v=""/>
    <m/>
    <m/>
    <s v=""/>
    <s v=""/>
  </r>
  <r>
    <s v="IRPF"/>
    <x v="0"/>
    <s v="02/2026"/>
    <m/>
    <m/>
    <m/>
    <m/>
    <n v="137.52000000000001"/>
    <n v="0"/>
    <n v="22.23"/>
    <n v="2.83"/>
    <m/>
    <s v=""/>
    <m/>
    <m/>
    <m/>
    <s v=""/>
    <m/>
    <m/>
    <s v=""/>
    <s v=""/>
  </r>
  <r>
    <s v="IRPF"/>
    <x v="0"/>
    <s v="03/2026"/>
    <m/>
    <m/>
    <m/>
    <m/>
    <n v="294.47000000000003"/>
    <n v="0"/>
    <n v="16.510000000000002"/>
    <n v="2.94"/>
    <m/>
    <s v=""/>
    <m/>
    <m/>
    <m/>
    <s v=""/>
    <m/>
    <m/>
    <s v=""/>
    <s v=""/>
  </r>
  <r>
    <s v="PIS"/>
    <x v="0"/>
    <s v="06/2025"/>
    <m/>
    <m/>
    <m/>
    <m/>
    <n v="131.61000000000001"/>
    <n v="0"/>
    <n v="26.32"/>
    <n v="12.34"/>
    <m/>
    <s v=""/>
    <m/>
    <m/>
    <m/>
    <s v=""/>
    <m/>
    <m/>
    <s v=""/>
    <s v=""/>
  </r>
  <r>
    <s v="PIS"/>
    <x v="0"/>
    <s v="07/2025"/>
    <m/>
    <m/>
    <m/>
    <m/>
    <n v="104.36"/>
    <n v="0"/>
    <n v="20.87"/>
    <n v="8.8800000000000008"/>
    <m/>
    <s v=""/>
    <m/>
    <m/>
    <m/>
    <s v=""/>
    <m/>
    <m/>
    <s v=""/>
    <s v=""/>
  </r>
  <r>
    <s v="PIS"/>
    <x v="0"/>
    <s v="08/2025"/>
    <m/>
    <m/>
    <m/>
    <m/>
    <n v="151.44999999999999"/>
    <n v="0"/>
    <n v="30.29"/>
    <n v="11.61"/>
    <m/>
    <s v=""/>
    <m/>
    <m/>
    <m/>
    <s v=""/>
    <m/>
    <m/>
    <s v=""/>
    <s v=""/>
  </r>
  <r>
    <s v="PIS"/>
    <x v="0"/>
    <s v="09/2025"/>
    <m/>
    <m/>
    <m/>
    <m/>
    <n v="151.63999999999999"/>
    <n v="0"/>
    <n v="30.32"/>
    <n v="10.220000000000001"/>
    <m/>
    <s v=""/>
    <m/>
    <m/>
    <m/>
    <s v=""/>
    <m/>
    <m/>
    <s v=""/>
    <s v=""/>
  </r>
  <r>
    <s v="PIS"/>
    <x v="0"/>
    <s v="10/2025"/>
    <m/>
    <m/>
    <m/>
    <m/>
    <n v="176.13"/>
    <n v="0"/>
    <n v="35.22"/>
    <n v="10.47"/>
    <m/>
    <s v=""/>
    <m/>
    <m/>
    <m/>
    <s v=""/>
    <m/>
    <m/>
    <s v=""/>
    <s v=""/>
  </r>
  <r>
    <s v="PIS"/>
    <x v="0"/>
    <s v="11/2025"/>
    <m/>
    <m/>
    <m/>
    <m/>
    <n v="111.43"/>
    <n v="0"/>
    <n v="22.28"/>
    <n v="5.59"/>
    <m/>
    <s v=""/>
    <m/>
    <m/>
    <m/>
    <s v=""/>
    <m/>
    <m/>
    <s v=""/>
    <s v=""/>
  </r>
  <r>
    <s v="PIS"/>
    <x v="0"/>
    <s v="12/2025"/>
    <m/>
    <m/>
    <m/>
    <m/>
    <n v="121.09"/>
    <n v="0"/>
    <n v="24.21"/>
    <n v="4.8499999999999996"/>
    <m/>
    <s v=""/>
    <m/>
    <m/>
    <m/>
    <s v=""/>
    <m/>
    <m/>
    <s v=""/>
    <s v=""/>
  </r>
  <r>
    <s v="PIS"/>
    <x v="0"/>
    <s v="01/2026"/>
    <m/>
    <m/>
    <m/>
    <m/>
    <n v="121.98"/>
    <n v="0"/>
    <n v="24.39"/>
    <n v="3.68"/>
    <m/>
    <s v=""/>
    <m/>
    <m/>
    <m/>
    <s v=""/>
    <m/>
    <m/>
    <s v=""/>
    <s v=""/>
  </r>
  <r>
    <s v="PIS"/>
    <x v="0"/>
    <s v="02/2026"/>
    <m/>
    <m/>
    <m/>
    <m/>
    <n v="92.04"/>
    <n v="0"/>
    <n v="13.36"/>
    <n v="1.89"/>
    <m/>
    <s v=""/>
    <m/>
    <m/>
    <m/>
    <s v=""/>
    <m/>
    <m/>
    <s v=""/>
    <s v=""/>
  </r>
  <r>
    <s v="PIS"/>
    <x v="0"/>
    <s v="03/2026"/>
    <m/>
    <m/>
    <m/>
    <m/>
    <n v="72.14"/>
    <n v="0"/>
    <n v="2.61"/>
    <n v="0.72"/>
    <m/>
    <s v=""/>
    <m/>
    <m/>
    <m/>
    <s v=""/>
    <m/>
    <m/>
    <s v=""/>
    <s v=""/>
  </r>
  <r>
    <s v="PIS"/>
    <x v="0"/>
    <d v="1905-07-16T00:00:00"/>
    <m/>
    <m/>
    <m/>
    <m/>
    <n v="96.28"/>
    <n v="0"/>
    <n v="19.25"/>
    <n v="3.86"/>
    <m/>
    <s v=""/>
    <m/>
    <m/>
    <m/>
    <s v=""/>
    <m/>
    <m/>
    <s v=""/>
    <s v=""/>
  </r>
  <r>
    <s v="DCTF - WEB"/>
    <x v="0"/>
    <d v="2023-01-16T00:00:00"/>
    <m/>
    <m/>
    <m/>
    <m/>
    <n v="500"/>
    <n v="0"/>
    <n v="500"/>
    <n v="128.35"/>
    <m/>
    <s v=""/>
    <m/>
    <m/>
    <m/>
    <s v=""/>
    <m/>
    <m/>
    <s v=""/>
    <s v=""/>
  </r>
  <r>
    <s v="CP - SEGUROS"/>
    <x v="0"/>
    <s v="06/2025"/>
    <m/>
    <m/>
    <m/>
    <m/>
    <n v="1334.54"/>
    <n v="0"/>
    <n v="266.89999999999998"/>
    <n v="125.17"/>
    <m/>
    <s v=""/>
    <m/>
    <m/>
    <m/>
    <s v=""/>
    <m/>
    <m/>
    <s v=""/>
    <s v=""/>
  </r>
  <r>
    <s v="CP - SEGUROS"/>
    <x v="0"/>
    <s v="07/2025"/>
    <m/>
    <m/>
    <m/>
    <m/>
    <n v="1086.29"/>
    <n v="0"/>
    <n v="217.25"/>
    <n v="92.44"/>
    <m/>
    <s v=""/>
    <m/>
    <m/>
    <m/>
    <s v=""/>
    <m/>
    <m/>
    <s v=""/>
    <s v=""/>
  </r>
  <r>
    <s v="CP - SEGUROS"/>
    <x v="0"/>
    <s v="08/2025"/>
    <m/>
    <m/>
    <m/>
    <m/>
    <n v="1409.45"/>
    <n v="0"/>
    <n v="281.89"/>
    <n v="108.1"/>
    <m/>
    <s v=""/>
    <m/>
    <m/>
    <m/>
    <s v=""/>
    <m/>
    <m/>
    <s v=""/>
    <s v=""/>
  </r>
  <r>
    <s v="CP - SEGUROS"/>
    <x v="0"/>
    <s v="09/2025"/>
    <m/>
    <m/>
    <m/>
    <m/>
    <n v="1457"/>
    <n v="0"/>
    <n v="291.39999999999998"/>
    <n v="98.2"/>
    <m/>
    <s v=""/>
    <m/>
    <m/>
    <m/>
    <s v=""/>
    <m/>
    <m/>
    <s v=""/>
    <s v=""/>
  </r>
  <r>
    <s v="CP - SEGUROS"/>
    <x v="0"/>
    <s v="10/2025"/>
    <m/>
    <m/>
    <m/>
    <m/>
    <n v="1706.31"/>
    <n v="0"/>
    <n v="341.26"/>
    <n v="101.52"/>
    <m/>
    <s v=""/>
    <m/>
    <m/>
    <m/>
    <s v=""/>
    <m/>
    <m/>
    <s v=""/>
    <s v=""/>
  </r>
  <r>
    <s v="CP - SEGUROS"/>
    <x v="0"/>
    <s v="11/2025"/>
    <m/>
    <m/>
    <m/>
    <m/>
    <n v="1017.61"/>
    <n v="0"/>
    <n v="203.52"/>
    <n v="51.08"/>
    <m/>
    <s v=""/>
    <m/>
    <m/>
    <m/>
    <s v=""/>
    <m/>
    <m/>
    <s v=""/>
    <s v=""/>
  </r>
  <r>
    <s v="CP - SEGUROS"/>
    <x v="0"/>
    <s v="12/2025"/>
    <m/>
    <m/>
    <m/>
    <m/>
    <n v="1082.22"/>
    <n v="0"/>
    <n v="216.44"/>
    <n v="43.39"/>
    <m/>
    <s v=""/>
    <m/>
    <m/>
    <m/>
    <s v=""/>
    <m/>
    <m/>
    <s v=""/>
    <s v=""/>
  </r>
  <r>
    <s v="CP - SEGUROS"/>
    <x v="0"/>
    <s v="01/2026"/>
    <m/>
    <m/>
    <m/>
    <m/>
    <n v="1061.73"/>
    <n v="0"/>
    <n v="212.34"/>
    <n v="32.06"/>
    <m/>
    <s v=""/>
    <m/>
    <m/>
    <m/>
    <s v=""/>
    <m/>
    <m/>
    <s v=""/>
    <s v=""/>
  </r>
  <r>
    <s v="CP - SEGUROS"/>
    <x v="0"/>
    <s v="02/2026"/>
    <m/>
    <m/>
    <m/>
    <m/>
    <n v="756.64"/>
    <n v="0"/>
    <n v="122.34"/>
    <n v="15.58"/>
    <m/>
    <s v=""/>
    <m/>
    <m/>
    <m/>
    <s v=""/>
    <m/>
    <m/>
    <s v=""/>
    <s v=""/>
  </r>
  <r>
    <s v="CP - SEGUROS"/>
    <x v="0"/>
    <s v="03/2026"/>
    <m/>
    <m/>
    <m/>
    <m/>
    <n v="607.14"/>
    <n v="0"/>
    <n v="34.06"/>
    <n v="6.07"/>
    <m/>
    <s v=""/>
    <m/>
    <m/>
    <m/>
    <s v=""/>
    <m/>
    <m/>
    <s v=""/>
    <s v=""/>
  </r>
  <r>
    <s v="CP - SEGUROS"/>
    <x v="0"/>
    <d v="1905-07-17T00:00:00"/>
    <m/>
    <m/>
    <m/>
    <m/>
    <n v="858.66"/>
    <n v="0"/>
    <n v="171.73"/>
    <n v="43.1"/>
    <m/>
    <s v=""/>
    <m/>
    <m/>
    <m/>
    <s v=""/>
    <m/>
    <m/>
    <s v=""/>
    <s v=""/>
  </r>
  <r>
    <s v="CP - PATRONAL"/>
    <x v="0"/>
    <s v="06/2025"/>
    <m/>
    <m/>
    <m/>
    <m/>
    <n v="2632.21"/>
    <n v="0"/>
    <n v="526.44000000000005"/>
    <n v="246.9"/>
    <m/>
    <s v=""/>
    <m/>
    <m/>
    <m/>
    <s v=""/>
    <m/>
    <m/>
    <s v=""/>
    <s v=""/>
  </r>
  <r>
    <s v="CP - PATRONAL"/>
    <x v="0"/>
    <s v="07/2025"/>
    <m/>
    <m/>
    <m/>
    <m/>
    <n v="2087.34"/>
    <n v="0"/>
    <n v="417.46"/>
    <n v="177.63"/>
    <m/>
    <s v=""/>
    <m/>
    <m/>
    <m/>
    <s v=""/>
    <m/>
    <m/>
    <s v=""/>
    <s v=""/>
  </r>
  <r>
    <s v="CP - PATRONAL"/>
    <x v="0"/>
    <s v="08/2025"/>
    <m/>
    <m/>
    <m/>
    <m/>
    <n v="3029.15"/>
    <n v="0"/>
    <n v="605.83000000000004"/>
    <n v="232.33"/>
    <m/>
    <s v=""/>
    <m/>
    <m/>
    <m/>
    <s v=""/>
    <m/>
    <m/>
    <s v=""/>
    <s v=""/>
  </r>
  <r>
    <s v="CP - PATRONAL"/>
    <x v="0"/>
    <s v="09/2025"/>
    <m/>
    <m/>
    <m/>
    <m/>
    <n v="3032.96"/>
    <n v="0"/>
    <n v="606.59"/>
    <n v="204.42"/>
    <m/>
    <s v=""/>
    <m/>
    <m/>
    <m/>
    <s v=""/>
    <m/>
    <m/>
    <s v=""/>
    <s v=""/>
  </r>
  <r>
    <s v="CP - PATRONAL"/>
    <x v="0"/>
    <s v="10/2025"/>
    <m/>
    <m/>
    <m/>
    <m/>
    <n v="3522.64"/>
    <n v="0"/>
    <n v="704.52"/>
    <n v="209.59"/>
    <m/>
    <s v=""/>
    <m/>
    <m/>
    <m/>
    <s v=""/>
    <m/>
    <m/>
    <s v=""/>
    <s v=""/>
  </r>
  <r>
    <s v="CP - PATRONAL"/>
    <x v="0"/>
    <s v="11/2025"/>
    <m/>
    <m/>
    <m/>
    <m/>
    <n v="2228.7600000000002"/>
    <n v="0"/>
    <n v="445.75"/>
    <n v="111.88"/>
    <m/>
    <s v=""/>
    <m/>
    <m/>
    <m/>
    <s v=""/>
    <m/>
    <m/>
    <s v=""/>
    <s v=""/>
  </r>
  <r>
    <s v="CP - PATRONAL"/>
    <x v="0"/>
    <s v="12/2025"/>
    <m/>
    <m/>
    <m/>
    <m/>
    <n v="2421.8000000000002"/>
    <n v="0"/>
    <n v="484.36"/>
    <n v="97.11"/>
    <m/>
    <s v=""/>
    <m/>
    <m/>
    <m/>
    <s v=""/>
    <m/>
    <m/>
    <s v=""/>
    <s v=""/>
  </r>
  <r>
    <s v="CP - PATRONAL"/>
    <x v="0"/>
    <s v="01/2026"/>
    <m/>
    <m/>
    <m/>
    <m/>
    <n v="2439.62"/>
    <n v="0"/>
    <n v="487.92"/>
    <n v="73.67"/>
    <m/>
    <s v=""/>
    <m/>
    <m/>
    <m/>
    <s v=""/>
    <m/>
    <m/>
    <s v=""/>
    <s v=""/>
  </r>
  <r>
    <s v="CP - PATRONAL"/>
    <x v="0"/>
    <s v="02/2026"/>
    <m/>
    <m/>
    <m/>
    <m/>
    <n v="1840.93"/>
    <n v="0"/>
    <n v="297.67"/>
    <n v="37.92"/>
    <m/>
    <s v=""/>
    <m/>
    <m/>
    <m/>
    <s v=""/>
    <m/>
    <m/>
    <s v=""/>
    <s v=""/>
  </r>
  <r>
    <s v="CP - PATRONAL"/>
    <x v="0"/>
    <s v="03/2026"/>
    <m/>
    <m/>
    <m/>
    <m/>
    <n v="1442.88"/>
    <n v="0"/>
    <n v="80.94"/>
    <n v="14.42"/>
    <m/>
    <s v=""/>
    <m/>
    <m/>
    <m/>
    <s v=""/>
    <m/>
    <m/>
    <s v=""/>
    <s v=""/>
  </r>
  <r>
    <s v="CP - PATRONAL"/>
    <x v="0"/>
    <d v="1905-07-17T00:00:00"/>
    <m/>
    <m/>
    <m/>
    <m/>
    <n v="1925.7"/>
    <n v="0"/>
    <n v="385.14"/>
    <n v="96.67"/>
    <m/>
    <s v=""/>
    <m/>
    <m/>
    <m/>
    <s v=""/>
    <m/>
    <m/>
    <s v=""/>
    <s v=""/>
  </r>
  <r>
    <s v="CP - PATRONAL"/>
    <x v="0"/>
    <s v="06/2025"/>
    <m/>
    <m/>
    <m/>
    <m/>
    <n v="131.61000000000001"/>
    <n v="0"/>
    <n v="26.32"/>
    <n v="12.34"/>
    <m/>
    <s v=""/>
    <m/>
    <m/>
    <m/>
    <s v=""/>
    <m/>
    <m/>
    <s v=""/>
    <s v=""/>
  </r>
  <r>
    <s v="CP - PATRONAL"/>
    <x v="0"/>
    <s v="07/2025"/>
    <m/>
    <m/>
    <m/>
    <m/>
    <n v="104.36"/>
    <n v="0"/>
    <n v="20.87"/>
    <n v="8.8800000000000008"/>
    <m/>
    <s v=""/>
    <m/>
    <m/>
    <m/>
    <s v=""/>
    <m/>
    <m/>
    <s v=""/>
    <s v=""/>
  </r>
  <r>
    <s v="CP - PATRONAL"/>
    <x v="0"/>
    <s v="08/2025"/>
    <m/>
    <m/>
    <m/>
    <m/>
    <n v="151.44999999999999"/>
    <n v="0"/>
    <n v="30.29"/>
    <n v="11.61"/>
    <m/>
    <s v=""/>
    <m/>
    <m/>
    <m/>
    <s v=""/>
    <m/>
    <m/>
    <s v=""/>
    <s v=""/>
  </r>
  <r>
    <s v="CP - PATRONAL"/>
    <x v="0"/>
    <s v="09/2025"/>
    <m/>
    <m/>
    <m/>
    <m/>
    <n v="151.63999999999999"/>
    <n v="0"/>
    <n v="30.32"/>
    <n v="10.220000000000001"/>
    <m/>
    <s v=""/>
    <m/>
    <m/>
    <m/>
    <s v=""/>
    <m/>
    <m/>
    <s v=""/>
    <s v=""/>
  </r>
  <r>
    <s v="CP - PATRONAL"/>
    <x v="0"/>
    <s v="10/2025"/>
    <m/>
    <m/>
    <m/>
    <m/>
    <n v="176.13"/>
    <n v="0"/>
    <n v="35.22"/>
    <n v="10.47"/>
    <m/>
    <s v=""/>
    <m/>
    <m/>
    <m/>
    <s v=""/>
    <m/>
    <m/>
    <s v=""/>
    <s v=""/>
  </r>
  <r>
    <s v="CP - PATRONAL"/>
    <x v="0"/>
    <s v="11/2025"/>
    <m/>
    <m/>
    <m/>
    <m/>
    <n v="111.43"/>
    <n v="0"/>
    <n v="22.28"/>
    <n v="5.59"/>
    <m/>
    <s v=""/>
    <m/>
    <m/>
    <m/>
    <s v=""/>
    <m/>
    <m/>
    <s v=""/>
    <s v=""/>
  </r>
  <r>
    <s v="CP - PATRONAL"/>
    <x v="0"/>
    <s v="12/2025"/>
    <m/>
    <m/>
    <m/>
    <m/>
    <n v="121.09"/>
    <n v="0"/>
    <n v="24.21"/>
    <n v="4.8499999999999996"/>
    <m/>
    <s v=""/>
    <m/>
    <m/>
    <m/>
    <s v=""/>
    <m/>
    <m/>
    <s v=""/>
    <s v=""/>
  </r>
  <r>
    <s v="CP - PATRONAL"/>
    <x v="0"/>
    <s v="01/2026"/>
    <m/>
    <m/>
    <m/>
    <m/>
    <n v="121.98"/>
    <n v="0"/>
    <n v="24.39"/>
    <n v="3.68"/>
    <m/>
    <s v=""/>
    <m/>
    <m/>
    <m/>
    <s v=""/>
    <m/>
    <m/>
    <s v=""/>
    <s v=""/>
  </r>
  <r>
    <s v="CP - PATRONAL"/>
    <x v="0"/>
    <s v="02/2026"/>
    <m/>
    <m/>
    <m/>
    <m/>
    <n v="92.04"/>
    <n v="0"/>
    <n v="14.88"/>
    <n v="1.89"/>
    <m/>
    <s v=""/>
    <m/>
    <m/>
    <m/>
    <s v=""/>
    <m/>
    <m/>
    <s v=""/>
    <s v=""/>
  </r>
  <r>
    <s v="CP - PATRONAL"/>
    <x v="0"/>
    <s v="03/2026"/>
    <m/>
    <m/>
    <m/>
    <m/>
    <n v="72.14"/>
    <n v="0"/>
    <n v="4.04"/>
    <n v="0.72"/>
    <m/>
    <s v=""/>
    <m/>
    <m/>
    <m/>
    <s v=""/>
    <m/>
    <m/>
    <s v=""/>
    <s v=""/>
  </r>
  <r>
    <s v="CP - PATRONAL"/>
    <x v="0"/>
    <d v="1905-07-17T00:00:00"/>
    <m/>
    <m/>
    <m/>
    <m/>
    <n v="96.28"/>
    <n v="0"/>
    <n v="19.25"/>
    <n v="4.83"/>
    <m/>
    <s v=""/>
    <m/>
    <m/>
    <m/>
    <s v=""/>
    <m/>
    <m/>
    <s v=""/>
    <s v=""/>
  </r>
  <r>
    <s v="CP - TERCEIROS"/>
    <x v="0"/>
    <s v="06/2025"/>
    <m/>
    <m/>
    <m/>
    <m/>
    <n v="329.02"/>
    <n v="0"/>
    <n v="65.8"/>
    <n v="30.86"/>
    <m/>
    <s v=""/>
    <m/>
    <m/>
    <m/>
    <s v=""/>
    <m/>
    <m/>
    <s v=""/>
    <s v=""/>
  </r>
  <r>
    <s v="CP - TERCEIROS"/>
    <x v="0"/>
    <s v="07/2025"/>
    <m/>
    <m/>
    <m/>
    <m/>
    <n v="260.91000000000003"/>
    <n v="0"/>
    <n v="52.18"/>
    <n v="22.2"/>
    <m/>
    <s v=""/>
    <m/>
    <m/>
    <m/>
    <s v=""/>
    <m/>
    <m/>
    <s v=""/>
    <s v=""/>
  </r>
  <r>
    <s v="CP - TERCEIROS"/>
    <x v="0"/>
    <s v="08/2025"/>
    <m/>
    <m/>
    <m/>
    <m/>
    <n v="378.64"/>
    <n v="0"/>
    <n v="75.72"/>
    <n v="29.04"/>
    <m/>
    <s v=""/>
    <m/>
    <m/>
    <m/>
    <s v=""/>
    <m/>
    <m/>
    <s v=""/>
    <s v=""/>
  </r>
  <r>
    <s v="CP - TERCEIROS"/>
    <x v="0"/>
    <s v="09/2025"/>
    <m/>
    <m/>
    <m/>
    <m/>
    <n v="379.12"/>
    <n v="0"/>
    <n v="75.819999999999993"/>
    <n v="25.55"/>
    <m/>
    <s v=""/>
    <m/>
    <m/>
    <m/>
    <s v=""/>
    <m/>
    <m/>
    <s v=""/>
    <s v=""/>
  </r>
  <r>
    <s v="CP - TERCEIROS"/>
    <x v="0"/>
    <s v="10/2025"/>
    <m/>
    <m/>
    <m/>
    <m/>
    <n v="440.33"/>
    <n v="0"/>
    <n v="88.06"/>
    <n v="26.19"/>
    <m/>
    <s v=""/>
    <m/>
    <m/>
    <m/>
    <s v=""/>
    <m/>
    <m/>
    <s v=""/>
    <s v=""/>
  </r>
  <r>
    <s v="CP - TERCEIROS"/>
    <x v="0"/>
    <s v="11/2025"/>
    <m/>
    <m/>
    <m/>
    <m/>
    <n v="278.58999999999997"/>
    <n v="0"/>
    <n v="55.71"/>
    <n v="13.98"/>
    <m/>
    <s v=""/>
    <m/>
    <m/>
    <m/>
    <s v=""/>
    <m/>
    <m/>
    <s v=""/>
    <s v=""/>
  </r>
  <r>
    <s v="CP - TERCEIROS"/>
    <x v="0"/>
    <s v="12/2025"/>
    <m/>
    <m/>
    <m/>
    <m/>
    <n v="302.72000000000003"/>
    <n v="0"/>
    <n v="60.54"/>
    <n v="12.13"/>
    <m/>
    <s v=""/>
    <m/>
    <m/>
    <m/>
    <s v=""/>
    <m/>
    <m/>
    <s v=""/>
    <s v=""/>
  </r>
  <r>
    <s v="CP - TERCEIROS"/>
    <x v="0"/>
    <s v="01/2026"/>
    <m/>
    <m/>
    <m/>
    <m/>
    <n v="304.95"/>
    <n v="0"/>
    <n v="60.99"/>
    <n v="9.1999999999999993"/>
    <m/>
    <s v=""/>
    <m/>
    <m/>
    <m/>
    <s v=""/>
    <m/>
    <m/>
    <s v=""/>
    <s v=""/>
  </r>
  <r>
    <s v="CP - TERCEIROS"/>
    <x v="0"/>
    <s v="02/2026"/>
    <m/>
    <m/>
    <m/>
    <m/>
    <n v="230.11"/>
    <n v="0"/>
    <n v="37.200000000000003"/>
    <n v="4.74"/>
    <m/>
    <s v=""/>
    <m/>
    <m/>
    <m/>
    <s v=""/>
    <m/>
    <m/>
    <s v=""/>
    <s v=""/>
  </r>
  <r>
    <s v="CP - TERCEIROS"/>
    <x v="0"/>
    <s v="03/2026"/>
    <m/>
    <m/>
    <m/>
    <m/>
    <n v="180.36"/>
    <n v="0"/>
    <n v="10.11"/>
    <n v="1.8"/>
    <m/>
    <s v=""/>
    <m/>
    <m/>
    <m/>
    <s v=""/>
    <m/>
    <m/>
    <s v=""/>
    <s v=""/>
  </r>
  <r>
    <s v="CP - TERCEIROS"/>
    <x v="0"/>
    <d v="1905-07-17T00:00:00"/>
    <m/>
    <m/>
    <m/>
    <m/>
    <n v="240.71"/>
    <n v="0"/>
    <n v="48.14"/>
    <n v="12.08"/>
    <m/>
    <s v=""/>
    <m/>
    <m/>
    <m/>
    <s v=""/>
    <m/>
    <m/>
    <s v=""/>
    <s v=""/>
  </r>
  <r>
    <s v="CP - TERCEIROS"/>
    <x v="0"/>
    <s v="06/2025"/>
    <m/>
    <m/>
    <m/>
    <m/>
    <n v="26.32"/>
    <n v="0"/>
    <n v="5.26"/>
    <n v="2.46"/>
    <m/>
    <s v=""/>
    <m/>
    <m/>
    <m/>
    <s v=""/>
    <m/>
    <m/>
    <s v=""/>
    <s v=""/>
  </r>
  <r>
    <s v="CP - TERCEIROS"/>
    <x v="0"/>
    <s v="07/2025"/>
    <m/>
    <m/>
    <m/>
    <m/>
    <n v="20.87"/>
    <n v="0"/>
    <n v="4.17"/>
    <n v="1.77"/>
    <m/>
    <s v=""/>
    <m/>
    <m/>
    <m/>
    <s v=""/>
    <m/>
    <m/>
    <s v=""/>
    <s v=""/>
  </r>
  <r>
    <s v="CP - TERCEIROS"/>
    <x v="0"/>
    <s v="08/2025"/>
    <m/>
    <m/>
    <m/>
    <m/>
    <n v="30.29"/>
    <n v="0"/>
    <n v="6.05"/>
    <n v="2.3199999999999998"/>
    <m/>
    <s v=""/>
    <m/>
    <m/>
    <m/>
    <s v=""/>
    <m/>
    <m/>
    <s v=""/>
    <s v=""/>
  </r>
  <r>
    <s v="CP - TERCEIROS"/>
    <x v="0"/>
    <s v="09/2025"/>
    <m/>
    <m/>
    <m/>
    <m/>
    <n v="30.32"/>
    <n v="0"/>
    <n v="6.06"/>
    <n v="2.04"/>
    <m/>
    <s v=""/>
    <m/>
    <m/>
    <m/>
    <s v=""/>
    <m/>
    <m/>
    <s v=""/>
    <s v=""/>
  </r>
  <r>
    <s v="CP - TERCEIROS"/>
    <x v="0"/>
    <s v="10/2025"/>
    <m/>
    <m/>
    <m/>
    <m/>
    <n v="35.22"/>
    <n v="0"/>
    <n v="7.04"/>
    <n v="2.09"/>
    <m/>
    <s v=""/>
    <m/>
    <m/>
    <m/>
    <s v=""/>
    <m/>
    <m/>
    <s v=""/>
    <s v=""/>
  </r>
  <r>
    <s v="CP - TERCEIROS"/>
    <x v="0"/>
    <s v="11/2025"/>
    <m/>
    <m/>
    <m/>
    <m/>
    <n v="22.28"/>
    <n v="0"/>
    <n v="4.45"/>
    <n v="1.1100000000000001"/>
    <m/>
    <s v=""/>
    <m/>
    <m/>
    <m/>
    <s v=""/>
    <m/>
    <m/>
    <s v=""/>
    <s v=""/>
  </r>
  <r>
    <s v="CP - TERCEIROS"/>
    <x v="0"/>
    <s v="12/2025"/>
    <m/>
    <m/>
    <m/>
    <m/>
    <n v="24.21"/>
    <n v="0"/>
    <n v="4.84"/>
    <n v="0.97"/>
    <m/>
    <s v=""/>
    <m/>
    <m/>
    <m/>
    <s v=""/>
    <m/>
    <m/>
    <s v=""/>
    <s v=""/>
  </r>
  <r>
    <s v="CP - TERCEIROS"/>
    <x v="0"/>
    <s v="01/2026"/>
    <m/>
    <m/>
    <m/>
    <m/>
    <n v="24.39"/>
    <n v="0"/>
    <n v="4.87"/>
    <n v="0.73"/>
    <m/>
    <s v=""/>
    <m/>
    <m/>
    <m/>
    <s v=""/>
    <m/>
    <m/>
    <s v=""/>
    <s v=""/>
  </r>
  <r>
    <s v="CP - TERCEIROS"/>
    <x v="0"/>
    <s v="02/2026"/>
    <m/>
    <m/>
    <m/>
    <m/>
    <n v="18.399999999999999"/>
    <n v="0"/>
    <n v="2.97"/>
    <n v="0.37"/>
    <m/>
    <s v=""/>
    <m/>
    <m/>
    <m/>
    <s v=""/>
    <m/>
    <m/>
    <s v=""/>
    <s v=""/>
  </r>
  <r>
    <s v="CP - TERCEIROS"/>
    <x v="0"/>
    <s v="03/2026"/>
    <m/>
    <m/>
    <m/>
    <m/>
    <n v="14.42"/>
    <n v="0"/>
    <n v="0.8"/>
    <n v="0.14000000000000001"/>
    <m/>
    <s v=""/>
    <m/>
    <m/>
    <m/>
    <s v=""/>
    <m/>
    <m/>
    <s v=""/>
    <s v=""/>
  </r>
  <r>
    <s v="CP - TERCEIROS"/>
    <x v="0"/>
    <d v="1905-07-17T00:00:00"/>
    <m/>
    <m/>
    <m/>
    <m/>
    <n v="19.25"/>
    <n v="0"/>
    <n v="3.85"/>
    <n v="0.96"/>
    <m/>
    <s v=""/>
    <m/>
    <m/>
    <m/>
    <s v=""/>
    <m/>
    <m/>
    <s v=""/>
    <s v=""/>
  </r>
  <r>
    <s v="CP - TERCEIROS"/>
    <x v="0"/>
    <s v="06/2025"/>
    <m/>
    <m/>
    <m/>
    <m/>
    <n v="197.41"/>
    <n v="0"/>
    <n v="39.479999999999997"/>
    <n v="18.510000000000002"/>
    <m/>
    <s v=""/>
    <m/>
    <m/>
    <m/>
    <s v=""/>
    <m/>
    <m/>
    <s v=""/>
    <s v=""/>
  </r>
  <r>
    <s v="CP - TERCEIROS"/>
    <x v="0"/>
    <s v="07/2025"/>
    <m/>
    <m/>
    <m/>
    <m/>
    <n v="156.55000000000001"/>
    <n v="0"/>
    <n v="31.31"/>
    <n v="13.32"/>
    <m/>
    <s v=""/>
    <m/>
    <m/>
    <m/>
    <s v=""/>
    <m/>
    <m/>
    <s v=""/>
    <s v=""/>
  </r>
  <r>
    <s v="CP - TERCEIROS"/>
    <x v="0"/>
    <s v="08/2025"/>
    <m/>
    <m/>
    <m/>
    <m/>
    <n v="227.18"/>
    <n v="0"/>
    <n v="45.43"/>
    <n v="17.420000000000002"/>
    <m/>
    <s v=""/>
    <m/>
    <m/>
    <m/>
    <s v=""/>
    <m/>
    <m/>
    <s v=""/>
    <s v=""/>
  </r>
  <r>
    <s v="CP - TERCEIROS"/>
    <x v="0"/>
    <s v="09/2025"/>
    <m/>
    <m/>
    <m/>
    <m/>
    <n v="227.47"/>
    <n v="0"/>
    <n v="45.49"/>
    <n v="15.33"/>
    <m/>
    <s v=""/>
    <m/>
    <m/>
    <m/>
    <s v=""/>
    <m/>
    <m/>
    <s v=""/>
    <s v=""/>
  </r>
  <r>
    <s v="CP - TERCEIROS"/>
    <x v="0"/>
    <s v="10/2025"/>
    <m/>
    <m/>
    <m/>
    <m/>
    <n v="264.19"/>
    <n v="0"/>
    <n v="52.83"/>
    <n v="15.71"/>
    <m/>
    <s v=""/>
    <m/>
    <m/>
    <m/>
    <s v=""/>
    <m/>
    <m/>
    <s v=""/>
    <s v=""/>
  </r>
  <r>
    <s v="CP - TERCEIROS"/>
    <x v="0"/>
    <s v="11/2025"/>
    <m/>
    <m/>
    <m/>
    <m/>
    <n v="167.15"/>
    <n v="0"/>
    <n v="33.43"/>
    <n v="8.39"/>
    <m/>
    <s v=""/>
    <m/>
    <m/>
    <m/>
    <s v=""/>
    <m/>
    <m/>
    <s v=""/>
    <s v=""/>
  </r>
  <r>
    <s v="CP - TERCEIROS"/>
    <x v="0"/>
    <s v="12/2025"/>
    <m/>
    <m/>
    <m/>
    <m/>
    <n v="181.63"/>
    <n v="0"/>
    <n v="36.32"/>
    <n v="7.28"/>
    <m/>
    <s v=""/>
    <m/>
    <m/>
    <m/>
    <s v=""/>
    <m/>
    <m/>
    <s v=""/>
    <s v=""/>
  </r>
  <r>
    <s v="CP - TERCEIROS"/>
    <x v="0"/>
    <s v="01/2026"/>
    <m/>
    <m/>
    <m/>
    <m/>
    <n v="182.97"/>
    <n v="0"/>
    <n v="36.590000000000003"/>
    <n v="5.52"/>
    <m/>
    <s v=""/>
    <m/>
    <m/>
    <m/>
    <s v=""/>
    <m/>
    <m/>
    <s v=""/>
    <s v=""/>
  </r>
  <r>
    <s v="CP - TERCEIROS"/>
    <x v="0"/>
    <s v="02/2026"/>
    <m/>
    <m/>
    <m/>
    <m/>
    <n v="138.06"/>
    <n v="0"/>
    <n v="22.32"/>
    <n v="2.84"/>
    <m/>
    <s v=""/>
    <m/>
    <m/>
    <m/>
    <s v=""/>
    <m/>
    <m/>
    <s v=""/>
    <s v=""/>
  </r>
  <r>
    <s v="CP - TERCEIROS"/>
    <x v="0"/>
    <s v="03/2026"/>
    <m/>
    <m/>
    <m/>
    <m/>
    <n v="108.21"/>
    <n v="0"/>
    <n v="6.07"/>
    <n v="1.08"/>
    <m/>
    <s v=""/>
    <m/>
    <m/>
    <m/>
    <s v=""/>
    <m/>
    <m/>
    <s v=""/>
    <s v=""/>
  </r>
  <r>
    <s v="CP - TERCEIROS"/>
    <x v="0"/>
    <d v="1905-07-17T00:00:00"/>
    <m/>
    <m/>
    <m/>
    <m/>
    <n v="144.41999999999999"/>
    <n v="0"/>
    <n v="28.88"/>
    <n v="7.24"/>
    <m/>
    <s v=""/>
    <m/>
    <m/>
    <m/>
    <s v=""/>
    <m/>
    <m/>
    <s v=""/>
    <s v=""/>
  </r>
  <r>
    <s v="CP - TERCEIROS"/>
    <x v="0"/>
    <s v="06/2025"/>
    <m/>
    <m/>
    <m/>
    <m/>
    <n v="39.479999999999997"/>
    <n v="0"/>
    <n v="7.89"/>
    <n v="3.7"/>
    <m/>
    <s v=""/>
    <m/>
    <m/>
    <m/>
    <s v=""/>
    <m/>
    <m/>
    <s v=""/>
    <s v=""/>
  </r>
  <r>
    <s v="CP - TERCEIROS"/>
    <x v="0"/>
    <s v="07/2025"/>
    <m/>
    <m/>
    <m/>
    <m/>
    <n v="31.31"/>
    <n v="0"/>
    <n v="6.26"/>
    <n v="2.66"/>
    <m/>
    <s v=""/>
    <m/>
    <m/>
    <m/>
    <s v=""/>
    <m/>
    <m/>
    <s v=""/>
    <s v=""/>
  </r>
  <r>
    <s v="CP - TERCEIROS"/>
    <x v="0"/>
    <s v="08/2025"/>
    <m/>
    <m/>
    <m/>
    <m/>
    <n v="45.43"/>
    <n v="0"/>
    <n v="9.08"/>
    <n v="3.48"/>
    <m/>
    <s v=""/>
    <m/>
    <m/>
    <m/>
    <s v=""/>
    <m/>
    <m/>
    <s v=""/>
    <s v=""/>
  </r>
  <r>
    <s v="CP - TERCEIROS"/>
    <x v="0"/>
    <s v="09/2025"/>
    <m/>
    <m/>
    <m/>
    <m/>
    <n v="45.49"/>
    <n v="0"/>
    <n v="9.09"/>
    <n v="3.06"/>
    <m/>
    <s v=""/>
    <m/>
    <m/>
    <m/>
    <s v=""/>
    <m/>
    <m/>
    <s v=""/>
    <s v=""/>
  </r>
  <r>
    <s v="CP - TERCEIROS"/>
    <x v="0"/>
    <s v="10/2025"/>
    <m/>
    <m/>
    <m/>
    <m/>
    <n v="52.83"/>
    <n v="0"/>
    <n v="10.56"/>
    <n v="3.14"/>
    <m/>
    <s v=""/>
    <m/>
    <m/>
    <m/>
    <s v=""/>
    <m/>
    <m/>
    <s v=""/>
    <s v=""/>
  </r>
  <r>
    <s v="CP - TERCEIROS"/>
    <x v="0"/>
    <s v="11/2025"/>
    <m/>
    <m/>
    <m/>
    <m/>
    <n v="33.43"/>
    <n v="0"/>
    <n v="6.68"/>
    <n v="1.67"/>
    <m/>
    <s v=""/>
    <m/>
    <m/>
    <m/>
    <s v=""/>
    <m/>
    <m/>
    <s v=""/>
    <s v=""/>
  </r>
  <r>
    <s v="CP - TERCEIROS"/>
    <x v="0"/>
    <s v="12/2025"/>
    <m/>
    <m/>
    <m/>
    <m/>
    <n v="36.32"/>
    <n v="0"/>
    <n v="7.26"/>
    <n v="1.45"/>
    <m/>
    <s v=""/>
    <m/>
    <m/>
    <m/>
    <s v=""/>
    <m/>
    <m/>
    <s v=""/>
    <s v=""/>
  </r>
  <r>
    <s v="CP - TERCEIROS"/>
    <x v="0"/>
    <s v="01/2026"/>
    <m/>
    <m/>
    <m/>
    <m/>
    <n v="36.590000000000003"/>
    <n v="0"/>
    <n v="7.31"/>
    <n v="1.1000000000000001"/>
    <m/>
    <s v=""/>
    <m/>
    <m/>
    <m/>
    <s v=""/>
    <m/>
    <m/>
    <s v=""/>
    <s v=""/>
  </r>
  <r>
    <s v="CP - TERCEIROS"/>
    <x v="0"/>
    <s v="02/2026"/>
    <m/>
    <m/>
    <m/>
    <m/>
    <n v="27.61"/>
    <n v="0"/>
    <n v="4.46"/>
    <n v="0.56000000000000005"/>
    <m/>
    <s v=""/>
    <m/>
    <m/>
    <m/>
    <s v=""/>
    <m/>
    <m/>
    <s v=""/>
    <s v=""/>
  </r>
  <r>
    <s v="CP - TERCEIROS"/>
    <x v="0"/>
    <s v="03/2026"/>
    <m/>
    <m/>
    <m/>
    <m/>
    <n v="21.64"/>
    <n v="0"/>
    <n v="1.21"/>
    <n v="0.21"/>
    <m/>
    <s v=""/>
    <m/>
    <m/>
    <m/>
    <s v=""/>
    <m/>
    <m/>
    <s v=""/>
    <s v=""/>
  </r>
  <r>
    <s v="CP - TERCEIROS"/>
    <x v="0"/>
    <d v="1905-07-17T00:00:00"/>
    <m/>
    <m/>
    <m/>
    <m/>
    <n v="28.88"/>
    <n v="0"/>
    <n v="5.77"/>
    <n v="1.44"/>
    <m/>
    <s v=""/>
    <m/>
    <m/>
    <m/>
    <s v=""/>
    <m/>
    <m/>
    <s v=""/>
    <s v=""/>
  </r>
  <r>
    <s v="IRFF - DARF"/>
    <x v="0"/>
    <s v="PERÍODO AGOS 26"/>
    <m/>
    <m/>
    <m/>
    <m/>
    <n v="1271.6400000000001"/>
    <n v="0"/>
    <n v="0"/>
    <n v="0"/>
    <m/>
    <s v=""/>
    <m/>
    <m/>
    <m/>
    <s v=""/>
    <m/>
    <m/>
    <s v=""/>
    <s v=""/>
  </r>
  <r>
    <s v="IRFF - DARF"/>
    <x v="0"/>
    <s v="PERÍODO DIVERSOS"/>
    <m/>
    <m/>
    <m/>
    <m/>
    <n v="6489.03"/>
    <n v="0"/>
    <n v="0"/>
    <n v="0"/>
    <m/>
    <s v=""/>
    <m/>
    <m/>
    <m/>
    <s v=""/>
    <m/>
    <m/>
    <s v=""/>
    <s v=""/>
  </r>
  <r>
    <s v="IRFF - DARF"/>
    <x v="0"/>
    <s v="PERÍODO AGOS 25"/>
    <m/>
    <m/>
    <m/>
    <m/>
    <n v="16491.16"/>
    <n v="0"/>
    <n v="0"/>
    <n v="0"/>
    <m/>
    <s v=""/>
    <m/>
    <m/>
    <m/>
    <s v=""/>
    <m/>
    <m/>
    <s v=""/>
    <s v=""/>
  </r>
  <r>
    <s v="IRFF - DARF"/>
    <x v="0"/>
    <s v="PERÍODO AGOS 25"/>
    <m/>
    <m/>
    <m/>
    <m/>
    <n v="5350.01"/>
    <n v="0"/>
    <n v="0"/>
    <n v="0"/>
    <m/>
    <s v=""/>
    <m/>
    <m/>
    <m/>
    <s v=""/>
    <m/>
    <m/>
    <s v=""/>
    <s v=""/>
  </r>
  <r>
    <s v="ISS - RETIDO NA FONTE"/>
    <x v="1"/>
    <d v="2020-03-01T00:00:00"/>
    <m/>
    <m/>
    <m/>
    <m/>
    <n v="1181.17"/>
    <n v="0"/>
    <n v="0"/>
    <n v="0"/>
    <m/>
    <s v=""/>
    <m/>
    <m/>
    <m/>
    <s v=""/>
    <m/>
    <m/>
    <s v=""/>
    <s v=""/>
  </r>
  <r>
    <s v="ISS - RETIDO NA FONTE"/>
    <x v="2"/>
    <d v="2020-04-01T00:00:00"/>
    <m/>
    <m/>
    <m/>
    <m/>
    <n v="667.95"/>
    <n v="0"/>
    <n v="0"/>
    <n v="0"/>
    <m/>
    <s v=""/>
    <m/>
    <m/>
    <m/>
    <s v=""/>
    <m/>
    <m/>
    <s v=""/>
    <s v=""/>
  </r>
  <r>
    <s v="ISS - RETIDO NA FONTE"/>
    <x v="2"/>
    <d v="2020-05-01T00:00:00"/>
    <m/>
    <m/>
    <m/>
    <m/>
    <n v="721.09"/>
    <n v="0"/>
    <n v="0"/>
    <n v="0"/>
    <m/>
    <s v=""/>
    <m/>
    <m/>
    <m/>
    <s v=""/>
    <m/>
    <m/>
    <s v=""/>
    <s v=""/>
  </r>
  <r>
    <s v="TAXA DE LICENÇA PARA FUNCIONAMENTO"/>
    <x v="2"/>
    <s v="ANO 2022"/>
    <m/>
    <m/>
    <m/>
    <m/>
    <n v="1694.67"/>
    <n v="0"/>
    <n v="0"/>
    <n v="0"/>
    <m/>
    <s v=""/>
    <m/>
    <m/>
    <m/>
    <s v=""/>
    <m/>
    <m/>
    <s v=""/>
    <s v=""/>
  </r>
  <r>
    <s v="TAXA DE LICENÇA PARA EXPL. DE MEIOS PUBLICITÁRIOS"/>
    <x v="2"/>
    <s v="ANO 2022"/>
    <m/>
    <m/>
    <m/>
    <m/>
    <n v="267.55"/>
    <n v="0"/>
    <n v="0"/>
    <n v="0"/>
    <m/>
    <s v=""/>
    <m/>
    <m/>
    <m/>
    <s v=""/>
    <m/>
    <m/>
    <s v=""/>
    <s v=""/>
  </r>
  <r>
    <s v="TAXA DE EXPEDIENTE DE SERVIÇOS DIVERSOS"/>
    <x v="2"/>
    <s v="ANO 2022"/>
    <m/>
    <m/>
    <m/>
    <m/>
    <n v="210.6"/>
    <n v="0"/>
    <n v="0"/>
    <n v="0"/>
    <m/>
    <s v=""/>
    <m/>
    <m/>
    <m/>
    <s v=""/>
    <m/>
    <m/>
    <s v=""/>
    <s v=""/>
  </r>
  <r>
    <s v="MULTA FORMAL"/>
    <x v="2"/>
    <s v="ANO 2022"/>
    <m/>
    <m/>
    <m/>
    <m/>
    <n v="499.98"/>
    <n v="0"/>
    <n v="0"/>
    <n v="0"/>
    <m/>
    <s v=""/>
    <m/>
    <m/>
    <m/>
    <s v=""/>
    <m/>
    <m/>
    <s v=""/>
    <s v=""/>
  </r>
  <r>
    <s v="TAXA DE LICENÇA PARA EXPL. DE MEIOS PUBLICITÁRIOS"/>
    <x v="2"/>
    <s v="ANO 2023"/>
    <m/>
    <m/>
    <m/>
    <m/>
    <n v="217.93"/>
    <n v="0"/>
    <n v="0"/>
    <n v="0"/>
    <m/>
    <s v=""/>
    <m/>
    <m/>
    <m/>
    <s v=""/>
    <m/>
    <m/>
    <s v=""/>
    <s v=""/>
  </r>
  <r>
    <s v="TAXA DE LICENÇA PARA FUNCIONAMENTO"/>
    <x v="2"/>
    <d v="2023-01-01T00:00:00"/>
    <m/>
    <m/>
    <m/>
    <m/>
    <n v="360.32"/>
    <n v="0"/>
    <n v="0"/>
    <n v="0"/>
    <m/>
    <s v=""/>
    <m/>
    <m/>
    <m/>
    <s v=""/>
    <m/>
    <m/>
    <s v=""/>
    <s v=""/>
  </r>
  <r>
    <s v="TAXA DE LICENÇA PARA FUNCIONAMENTO"/>
    <x v="2"/>
    <d v="2023-02-01T00:00:00"/>
    <m/>
    <m/>
    <m/>
    <m/>
    <n v="357.6"/>
    <n v="0"/>
    <n v="0"/>
    <n v="0"/>
    <m/>
    <s v=""/>
    <m/>
    <m/>
    <m/>
    <s v=""/>
    <m/>
    <m/>
    <s v=""/>
    <s v=""/>
  </r>
  <r>
    <s v="TAXA DE LICENÇA PARA FUNCIONAMENTO"/>
    <x v="2"/>
    <d v="2023-03-01T00:00:00"/>
    <m/>
    <m/>
    <m/>
    <m/>
    <n v="354.27"/>
    <n v="0"/>
    <n v="0"/>
    <n v="0"/>
    <m/>
    <s v=""/>
    <m/>
    <m/>
    <m/>
    <s v=""/>
    <m/>
    <m/>
    <s v=""/>
    <s v=""/>
  </r>
  <r>
    <s v="TAXA DE LICENÇA PARA FUNCIONAMENTO"/>
    <x v="2"/>
    <d v="2023-04-01T00:00:00"/>
    <m/>
    <m/>
    <m/>
    <m/>
    <n v="351.11"/>
    <n v="0"/>
    <n v="0"/>
    <n v="0"/>
    <m/>
    <s v=""/>
    <m/>
    <m/>
    <m/>
    <s v=""/>
    <m/>
    <m/>
    <s v=""/>
    <s v=""/>
  </r>
  <r>
    <s v="TAXA DE LICENÇA PARA EXPL. DE MEIOS PUBLICITÁRIOS"/>
    <x v="2"/>
    <d v="2024-01-01T00:00:00"/>
    <m/>
    <m/>
    <m/>
    <m/>
    <n v="275.92"/>
    <n v="0"/>
    <n v="0"/>
    <n v="0"/>
    <m/>
    <s v=""/>
    <m/>
    <m/>
    <m/>
    <s v=""/>
    <m/>
    <m/>
    <s v=""/>
    <s v=""/>
  </r>
  <r>
    <s v="TAXA DE LICENÇA PARA FUNCIONAMENTO"/>
    <x v="2"/>
    <d v="2024-02-01T00:00:00"/>
    <m/>
    <m/>
    <m/>
    <m/>
    <n v="369.22"/>
    <n v="0"/>
    <n v="0"/>
    <n v="0"/>
    <m/>
    <s v=""/>
    <m/>
    <m/>
    <m/>
    <s v=""/>
    <m/>
    <m/>
    <s v=""/>
    <s v=""/>
  </r>
  <r>
    <s v="TAXA DE LICENÇA PARA FUNCIONAMENTO"/>
    <x v="2"/>
    <d v="2024-03-01T00:00:00"/>
    <m/>
    <m/>
    <m/>
    <m/>
    <n v="366.46"/>
    <n v="0"/>
    <n v="0"/>
    <n v="0"/>
    <m/>
    <s v=""/>
    <m/>
    <m/>
    <m/>
    <s v=""/>
    <m/>
    <m/>
    <s v=""/>
    <s v=""/>
  </r>
  <r>
    <s v="TAXA DE LICENÇA PARA FUNCIONAMENTO"/>
    <x v="2"/>
    <d v="2024-04-01T00:00:00"/>
    <m/>
    <m/>
    <m/>
    <m/>
    <n v="363.49"/>
    <n v="0"/>
    <n v="0"/>
    <n v="0"/>
    <m/>
    <s v=""/>
    <m/>
    <m/>
    <m/>
    <s v=""/>
    <m/>
    <m/>
    <s v=""/>
    <s v=""/>
  </r>
  <r>
    <s v="TAXA DE LICENÇA PARA FUNCIONAMENTO"/>
    <x v="2"/>
    <d v="2024-05-01T00:00:00"/>
    <m/>
    <m/>
    <m/>
    <m/>
    <n v="360.71"/>
    <n v="0"/>
    <n v="0"/>
    <n v="0"/>
    <m/>
    <s v=""/>
    <m/>
    <m/>
    <m/>
    <s v=""/>
    <m/>
    <m/>
    <s v=""/>
    <s v=""/>
  </r>
  <r>
    <s v="IPTU"/>
    <x v="2"/>
    <d v="2023-06-01T00:00:00"/>
    <m/>
    <m/>
    <m/>
    <m/>
    <n v="645.67999999999995"/>
    <n v="0"/>
    <n v="0"/>
    <n v="0"/>
    <m/>
    <s v=""/>
    <m/>
    <m/>
    <m/>
    <s v=""/>
    <m/>
    <m/>
    <s v=""/>
    <s v=""/>
  </r>
  <r>
    <s v="IPTU"/>
    <x v="2"/>
    <d v="2023-07-01T00:00:00"/>
    <m/>
    <m/>
    <m/>
    <m/>
    <n v="640.07000000000005"/>
    <n v="0"/>
    <n v="0"/>
    <n v="0"/>
    <m/>
    <s v=""/>
    <m/>
    <m/>
    <m/>
    <s v=""/>
    <m/>
    <m/>
    <s v=""/>
    <s v=""/>
  </r>
  <r>
    <s v="IPTU"/>
    <x v="2"/>
    <d v="2023-05-01T00:00:00"/>
    <m/>
    <m/>
    <m/>
    <m/>
    <n v="651.12"/>
    <n v="0"/>
    <n v="0"/>
    <n v="0"/>
    <m/>
    <s v=""/>
    <m/>
    <m/>
    <m/>
    <s v=""/>
    <m/>
    <m/>
    <s v=""/>
    <s v=""/>
  </r>
  <r>
    <s v="IPTU"/>
    <x v="2"/>
    <d v="2024-06-01T00:00:00"/>
    <m/>
    <m/>
    <m/>
    <m/>
    <n v="495.28"/>
    <n v="0"/>
    <n v="0"/>
    <n v="0"/>
    <m/>
    <s v=""/>
    <m/>
    <m/>
    <m/>
    <s v=""/>
    <m/>
    <m/>
    <s v=""/>
    <s v=""/>
  </r>
  <r>
    <s v="IPTU"/>
    <x v="2"/>
    <d v="2024-11-01T00:00:00"/>
    <m/>
    <m/>
    <m/>
    <m/>
    <n v="477.86"/>
    <n v="0"/>
    <n v="0"/>
    <n v="0"/>
    <m/>
    <s v=""/>
    <m/>
    <m/>
    <m/>
    <s v=""/>
    <m/>
    <m/>
    <s v=""/>
    <s v=""/>
  </r>
  <r>
    <s v="IPTU"/>
    <x v="2"/>
    <d v="2024-10-01T00:00:00"/>
    <m/>
    <m/>
    <m/>
    <m/>
    <n v="482.22"/>
    <n v="0"/>
    <n v="0"/>
    <n v="0"/>
    <m/>
    <s v=""/>
    <m/>
    <m/>
    <m/>
    <s v=""/>
    <m/>
    <m/>
    <s v=""/>
    <s v=""/>
  </r>
  <r>
    <s v="IPTU"/>
    <x v="2"/>
    <d v="2023-09-01T00:00:00"/>
    <m/>
    <m/>
    <m/>
    <m/>
    <n v="629.92999999999995"/>
    <n v="0"/>
    <n v="0"/>
    <n v="0"/>
    <m/>
    <s v=""/>
    <m/>
    <m/>
    <m/>
    <s v=""/>
    <m/>
    <m/>
    <s v=""/>
    <s v=""/>
  </r>
  <r>
    <s v="IPTU"/>
    <x v="2"/>
    <d v="2024-09-01T00:00:00"/>
    <m/>
    <m/>
    <m/>
    <m/>
    <n v="485.92"/>
    <n v="0"/>
    <n v="0"/>
    <n v="0"/>
    <m/>
    <s v=""/>
    <m/>
    <m/>
    <m/>
    <s v=""/>
    <m/>
    <m/>
    <s v=""/>
    <s v=""/>
  </r>
  <r>
    <s v="IPTU"/>
    <x v="2"/>
    <d v="2024-08-01T00:00:00"/>
    <m/>
    <m/>
    <m/>
    <m/>
    <n v="490.28"/>
    <n v="0"/>
    <n v="0"/>
    <n v="0"/>
    <m/>
    <s v=""/>
    <m/>
    <m/>
    <m/>
    <s v=""/>
    <m/>
    <m/>
    <s v=""/>
    <s v=""/>
  </r>
  <r>
    <s v="IPTU"/>
    <x v="2"/>
    <d v="2023-08-01T00:00:00"/>
    <m/>
    <m/>
    <m/>
    <m/>
    <n v="634.91999999999996"/>
    <n v="0"/>
    <n v="0"/>
    <n v="0"/>
    <m/>
    <s v=""/>
    <m/>
    <m/>
    <m/>
    <s v=""/>
    <m/>
    <m/>
    <s v=""/>
    <s v=""/>
  </r>
  <r>
    <s v="IPTU"/>
    <x v="2"/>
    <d v="2024-07-01T00:00:00"/>
    <m/>
    <m/>
    <m/>
    <m/>
    <n v="492.22"/>
    <n v="0"/>
    <n v="0"/>
    <n v="0"/>
    <m/>
    <s v=""/>
    <m/>
    <m/>
    <m/>
    <s v=""/>
    <m/>
    <m/>
    <s v=""/>
    <s v=""/>
  </r>
  <r>
    <s v="IPTU"/>
    <x v="2"/>
    <d v="2023-04-01T00:00:00"/>
    <m/>
    <m/>
    <m/>
    <m/>
    <n v="657.51"/>
    <n v="0"/>
    <n v="0"/>
    <n v="0"/>
    <m/>
    <s v=""/>
    <m/>
    <m/>
    <m/>
    <s v=""/>
    <m/>
    <m/>
    <s v=""/>
    <s v=""/>
  </r>
  <r>
    <s v="IRPF"/>
    <x v="0"/>
    <s v="04/2025"/>
    <m/>
    <m/>
    <m/>
    <m/>
    <n v="294.47000000000003"/>
    <n v="0"/>
    <n v="0"/>
    <n v="0"/>
    <m/>
    <s v=""/>
    <m/>
    <m/>
    <m/>
    <s v=""/>
    <m/>
    <m/>
    <s v=""/>
    <s v=""/>
  </r>
  <r>
    <s v="PIS"/>
    <x v="0"/>
    <s v="04/2025"/>
    <m/>
    <m/>
    <m/>
    <m/>
    <n v="77.89"/>
    <n v="0"/>
    <n v="0"/>
    <n v="0"/>
    <m/>
    <s v=""/>
    <m/>
    <m/>
    <m/>
    <s v=""/>
    <m/>
    <m/>
    <s v=""/>
    <s v=""/>
  </r>
  <r>
    <s v="CP - SEGUROS"/>
    <x v="0"/>
    <s v="04/2025"/>
    <m/>
    <m/>
    <m/>
    <m/>
    <n v="718.38"/>
    <n v="0"/>
    <n v="0"/>
    <n v="0"/>
    <m/>
    <s v=""/>
    <m/>
    <m/>
    <m/>
    <s v=""/>
    <m/>
    <m/>
    <s v=""/>
    <s v=""/>
  </r>
  <r>
    <s v="CP - PATRONAL"/>
    <x v="0"/>
    <s v="04/2025"/>
    <m/>
    <m/>
    <m/>
    <m/>
    <n v="1557.89"/>
    <n v="0"/>
    <n v="0"/>
    <n v="0"/>
    <m/>
    <s v=""/>
    <m/>
    <m/>
    <m/>
    <s v=""/>
    <m/>
    <m/>
    <s v=""/>
    <s v=""/>
  </r>
  <r>
    <s v="CP - PATRONAL"/>
    <x v="0"/>
    <s v="04/2025"/>
    <m/>
    <m/>
    <m/>
    <m/>
    <n v="77.89"/>
    <n v="0"/>
    <n v="0"/>
    <n v="0"/>
    <m/>
    <s v=""/>
    <m/>
    <m/>
    <m/>
    <s v=""/>
    <m/>
    <m/>
    <s v=""/>
    <s v=""/>
  </r>
  <r>
    <s v="CP - TERCEIROS"/>
    <x v="0"/>
    <s v="04/2025"/>
    <m/>
    <m/>
    <m/>
    <m/>
    <n v="194.73"/>
    <n v="0"/>
    <n v="0"/>
    <n v="0"/>
    <m/>
    <s v=""/>
    <m/>
    <m/>
    <m/>
    <s v=""/>
    <m/>
    <m/>
    <s v=""/>
    <s v=""/>
  </r>
  <r>
    <s v="CP - TERCEIROS"/>
    <x v="0"/>
    <s v="04/2025"/>
    <m/>
    <m/>
    <m/>
    <m/>
    <n v="15.57"/>
    <n v="0"/>
    <n v="0"/>
    <n v="0"/>
    <m/>
    <s v=""/>
    <m/>
    <m/>
    <m/>
    <s v=""/>
    <m/>
    <m/>
    <s v=""/>
    <s v=""/>
  </r>
  <r>
    <s v="CP - TERCEIROS"/>
    <x v="0"/>
    <s v="04/2025"/>
    <m/>
    <m/>
    <m/>
    <m/>
    <n v="116.84"/>
    <n v="0"/>
    <n v="0"/>
    <n v="0"/>
    <m/>
    <s v=""/>
    <m/>
    <m/>
    <m/>
    <s v=""/>
    <m/>
    <m/>
    <s v=""/>
    <s v=""/>
  </r>
  <r>
    <s v="CP - TERCEIROS"/>
    <x v="0"/>
    <s v="04/2025"/>
    <m/>
    <m/>
    <m/>
    <m/>
    <n v="23.36"/>
    <n v="0"/>
    <n v="0"/>
    <n v="0"/>
    <m/>
    <s v=""/>
    <m/>
    <m/>
    <m/>
    <s v=""/>
    <m/>
    <m/>
    <s v=""/>
    <s v=""/>
  </r>
  <r>
    <s v="IRPJ - FONTE"/>
    <x v="0"/>
    <s v="ATIVA EM COBRANÇA / ENCAMINHADO PARA PROTESTO"/>
    <m/>
    <m/>
    <m/>
    <m/>
    <n v="3009.31"/>
    <n v="0"/>
    <n v="0"/>
    <n v="0"/>
    <m/>
    <s v=""/>
    <m/>
    <m/>
    <m/>
    <s v=""/>
    <m/>
    <m/>
    <s v=""/>
    <s v=""/>
  </r>
  <r>
    <s v="IRPJ - FONTE"/>
    <x v="0"/>
    <s v="ATIVA EM COBRANÇA / ENCAMINHADO PARA PROTESTO"/>
    <m/>
    <m/>
    <m/>
    <m/>
    <n v="1240.97"/>
    <n v="0"/>
    <n v="0"/>
    <n v="0"/>
    <m/>
    <s v=""/>
    <m/>
    <m/>
    <m/>
    <s v=""/>
    <m/>
    <m/>
    <s v=""/>
    <s v=""/>
  </r>
  <r>
    <s v="COFINS"/>
    <x v="0"/>
    <s v="ATIVA EM COBRANÇA / ENCAMINHADO PARA PROTESTO"/>
    <m/>
    <m/>
    <m/>
    <m/>
    <n v="1147.08"/>
    <n v="0"/>
    <n v="0"/>
    <n v="0"/>
    <m/>
    <s v=""/>
    <m/>
    <m/>
    <m/>
    <s v=""/>
    <m/>
    <m/>
    <s v=""/>
    <s v=""/>
  </r>
  <r>
    <s v="PIS"/>
    <x v="0"/>
    <s v="ATIVA EM COBRANÇA / ENCAMINHADO PARA PROTESTO"/>
    <m/>
    <m/>
    <m/>
    <m/>
    <n v="1155.1400000000001"/>
    <n v="0"/>
    <n v="0"/>
    <n v="0"/>
    <m/>
    <s v=""/>
    <m/>
    <m/>
    <m/>
    <s v=""/>
    <m/>
    <m/>
    <s v=""/>
    <s v=""/>
  </r>
  <r>
    <s v="IRPJ - FONTE"/>
    <x v="0"/>
    <s v="ATIVA EM COBRANÇA / ENCAMINHADO PARA PROTESTO"/>
    <m/>
    <m/>
    <m/>
    <m/>
    <n v="16073.65"/>
    <n v="0"/>
    <n v="0"/>
    <n v="0"/>
    <m/>
    <s v=""/>
    <m/>
    <m/>
    <m/>
    <s v=""/>
    <m/>
    <m/>
    <s v=""/>
    <s v=""/>
  </r>
  <r>
    <s v="IRPJ - FONTE"/>
    <x v="0"/>
    <s v="ATIVA EM COBRANÇA / ENCAMINHADO PARA PROTESTO"/>
    <m/>
    <m/>
    <m/>
    <m/>
    <n v="5223.87"/>
    <n v="0"/>
    <n v="0"/>
    <n v="0"/>
    <m/>
    <s v=""/>
    <m/>
    <m/>
    <m/>
    <s v=""/>
    <m/>
    <m/>
    <s v=""/>
    <s v=""/>
  </r>
  <r>
    <s v="PIS"/>
    <x v="0"/>
    <s v="ATIVA EM COBRANÇA"/>
    <m/>
    <m/>
    <m/>
    <m/>
    <n v="2537.94"/>
    <n v="0"/>
    <n v="0"/>
    <n v="0"/>
    <m/>
    <s v=""/>
    <m/>
    <m/>
    <m/>
    <s v=""/>
    <m/>
    <m/>
    <s v=""/>
    <s v=""/>
  </r>
  <r>
    <s v="IRPJ - FONTE"/>
    <x v="0"/>
    <s v="ATIVA EM COBRANÇA / ENCAMINHADO PARA PROTESTO"/>
    <m/>
    <m/>
    <m/>
    <m/>
    <n v="3265.54"/>
    <n v="0"/>
    <n v="0"/>
    <n v="0"/>
    <m/>
    <s v=""/>
    <m/>
    <m/>
    <m/>
    <s v=""/>
    <m/>
    <m/>
    <s v=""/>
    <s v=""/>
  </r>
  <r>
    <m/>
    <x v="3"/>
    <s v="EXTINTA POR PAGAMENTO_x000a_COM AJUIZAMENTO A SER_x000a_CANCELADO"/>
    <m/>
    <m/>
    <m/>
    <m/>
    <n v="0"/>
    <n v="0"/>
    <n v="0"/>
    <n v="0"/>
    <m/>
    <s v=""/>
    <m/>
    <m/>
    <m/>
    <s v=""/>
    <m/>
    <m/>
    <s v=""/>
    <s v=""/>
  </r>
  <r>
    <s v="CLT"/>
    <x v="3"/>
    <s v="ATIVA EM COBRANÇA / ENCAMINHADO PARA PROTESTO"/>
    <m/>
    <m/>
    <m/>
    <m/>
    <n v="2569.75"/>
    <n v="0"/>
    <n v="0"/>
    <n v="0"/>
    <m/>
    <s v=""/>
    <m/>
    <m/>
    <m/>
    <s v=""/>
    <m/>
    <m/>
    <s v=""/>
    <s v=""/>
  </r>
  <r>
    <s v="CLT"/>
    <x v="0"/>
    <s v="ATIVA EM COBRANÇA / ENCAMINHADO PARA PROTESTO"/>
    <m/>
    <m/>
    <m/>
    <m/>
    <n v="1142.0999999999999"/>
    <n v="0"/>
    <n v="0"/>
    <n v="0"/>
    <m/>
    <s v=""/>
    <m/>
    <m/>
    <m/>
    <s v=""/>
    <m/>
    <m/>
    <s v=""/>
    <s v=""/>
  </r>
  <r>
    <s v="RISCOS AMBIENTAIS - APOSENTADORIA ESPECIAL"/>
    <x v="0"/>
    <s v="ATIVA EM COBRANÇA / ENCAMINHADO PARA PROTESTO"/>
    <m/>
    <m/>
    <m/>
    <m/>
    <n v="4434.47"/>
    <n v="0"/>
    <n v="0"/>
    <n v="0"/>
    <m/>
    <s v=""/>
    <m/>
    <m/>
    <m/>
    <s v=""/>
    <m/>
    <m/>
    <s v=""/>
    <s v=""/>
  </r>
  <r>
    <s v="CONTRIBUIÇÃO SEBRAE"/>
    <x v="0"/>
    <s v="ATIVA EM COBRANÇA / NÃO ESTÁ EM PROTESTO"/>
    <m/>
    <m/>
    <m/>
    <m/>
    <n v="291.33"/>
    <n v="0"/>
    <n v="0"/>
    <n v="0"/>
    <m/>
    <s v=""/>
    <m/>
    <m/>
    <m/>
    <s v=""/>
    <m/>
    <m/>
    <s v=""/>
    <s v=""/>
  </r>
  <r>
    <s v="CONTRIBUIÇÃO SALÁRIO EDUCAÇÃO"/>
    <x v="0"/>
    <s v="ATIVA EM COBRANÇA / ENCAMINHADO PARA PROTESTO"/>
    <m/>
    <m/>
    <m/>
    <m/>
    <n v="11086.6"/>
    <n v="0"/>
    <n v="0"/>
    <n v="0"/>
    <m/>
    <s v=""/>
    <m/>
    <m/>
    <m/>
    <s v=""/>
    <m/>
    <m/>
    <s v=""/>
    <s v=""/>
  </r>
  <r>
    <s v="CONTRIBUIÇÃO SEBRAE"/>
    <x v="0"/>
    <s v="ATIVA EM COBRANÇA / ENCAMINHADO PARA PROTESTO"/>
    <m/>
    <m/>
    <m/>
    <m/>
    <n v="1038.82"/>
    <n v="0"/>
    <n v="0"/>
    <n v="0"/>
    <m/>
    <s v=""/>
    <m/>
    <m/>
    <m/>
    <s v=""/>
    <m/>
    <m/>
    <s v=""/>
    <s v=""/>
  </r>
  <r>
    <s v="CONTRIBUIÇÃO SESC"/>
    <x v="0"/>
    <s v="ATIVA EM COBRANÇA / ENCAMINHADO PARA PROTESTO"/>
    <m/>
    <m/>
    <m/>
    <m/>
    <n v="6651.85"/>
    <n v="0"/>
    <n v="0"/>
    <n v="0"/>
    <m/>
    <s v=""/>
    <m/>
    <m/>
    <m/>
    <s v=""/>
    <m/>
    <m/>
    <s v=""/>
    <s v=""/>
  </r>
  <r>
    <s v="CONTRIBUIÇÃO SEGURADOS"/>
    <x v="0"/>
    <s v="ATIVA EM COBRANÇA / ENCAMINHADO PARA PROTESTO"/>
    <m/>
    <m/>
    <m/>
    <m/>
    <n v="41536.660000000003"/>
    <n v="0"/>
    <n v="0"/>
    <n v="0"/>
    <m/>
    <s v=""/>
    <m/>
    <m/>
    <m/>
    <s v=""/>
    <m/>
    <m/>
    <s v=""/>
    <s v=""/>
  </r>
  <r>
    <s v="CONTRIBUIÇÃO INCRA"/>
    <x v="0"/>
    <s v="ATIVA EM COBRANÇA / ENCAMINHADO PARA PROTESTO"/>
    <m/>
    <m/>
    <m/>
    <m/>
    <n v="886.66"/>
    <n v="0"/>
    <n v="0"/>
    <n v="0"/>
    <m/>
    <s v=""/>
    <m/>
    <m/>
    <m/>
    <s v=""/>
    <m/>
    <m/>
    <s v=""/>
    <s v=""/>
  </r>
  <r>
    <s v="CONTRIBUIÇÃO EMPREGADOR"/>
    <x v="0"/>
    <s v="ATIVA EM COBRANÇA / ENCAMINHADO PARA PROTESTO"/>
    <m/>
    <m/>
    <m/>
    <m/>
    <n v="88694.55"/>
    <n v="0"/>
    <n v="0"/>
    <n v="0"/>
    <m/>
    <s v=""/>
    <m/>
    <m/>
    <m/>
    <s v=""/>
    <m/>
    <m/>
    <s v=""/>
    <s v=""/>
  </r>
  <r>
    <s v="CONTRIBUIÇÃO EMPREGADOR"/>
    <x v="0"/>
    <s v="ATIVA EM COBRANÇA / ENCAMINHADO PARA PROTESTO"/>
    <m/>
    <m/>
    <m/>
    <m/>
    <n v="66015.03"/>
    <n v="0"/>
    <n v="0"/>
    <n v="0"/>
    <m/>
    <s v=""/>
    <m/>
    <m/>
    <m/>
    <s v=""/>
    <m/>
    <m/>
    <s v=""/>
    <s v=""/>
  </r>
  <r>
    <s v="RISCOS AMBIENTAIS - APOSENTADORIA ESPECIAL"/>
    <x v="0"/>
    <s v="ATIVA EM COBRANÇA / ENCAMINHADO PARA PROTESTO"/>
    <m/>
    <m/>
    <m/>
    <m/>
    <n v="3300.58"/>
    <n v="0"/>
    <n v="0"/>
    <n v="0"/>
    <m/>
    <s v=""/>
    <m/>
    <m/>
    <m/>
    <s v=""/>
    <m/>
    <m/>
    <s v=""/>
    <s v=""/>
  </r>
  <r>
    <s v="CONTRIBUIÇÃO INCRA"/>
    <x v="0"/>
    <s v="ATIVA EM COBRANÇA / ENCAMINHADO PARA PROTESTO"/>
    <m/>
    <m/>
    <m/>
    <m/>
    <n v="660"/>
    <n v="0"/>
    <n v="0"/>
    <n v="0"/>
    <m/>
    <s v=""/>
    <m/>
    <m/>
    <m/>
    <s v=""/>
    <m/>
    <m/>
    <s v=""/>
    <s v=""/>
  </r>
  <r>
    <s v="CONTRIBUIÇÃO SEBRAE"/>
    <x v="0"/>
    <s v="ATIVA EM COBRANÇA /ENCAMINHADO PARA PROTESTO"/>
    <m/>
    <m/>
    <m/>
    <m/>
    <n v="990.11"/>
    <n v="0"/>
    <n v="0"/>
    <n v="0"/>
    <m/>
    <s v=""/>
    <m/>
    <m/>
    <m/>
    <s v=""/>
    <m/>
    <m/>
    <s v=""/>
    <s v=""/>
  </r>
  <r>
    <s v="CONTRIBUIÇÃO SEGURADOS"/>
    <x v="0"/>
    <s v="ATIVA EM COBRANÇA / ENCAMINHADO PARA PROTESTO"/>
    <m/>
    <m/>
    <m/>
    <m/>
    <n v="30518.23"/>
    <n v="0"/>
    <n v="0"/>
    <n v="0"/>
    <m/>
    <s v=""/>
    <m/>
    <m/>
    <m/>
    <s v=""/>
    <m/>
    <m/>
    <s v=""/>
    <s v=""/>
  </r>
  <r>
    <s v="CONTRIBUIÇÃO SALÁRIO EDUCAÇÃO"/>
    <x v="0"/>
    <s v="ATIVA EM COBRANÇA / PROTESTO"/>
    <m/>
    <m/>
    <m/>
    <m/>
    <n v="8251.73"/>
    <n v="0"/>
    <n v="0"/>
    <n v="0"/>
    <m/>
    <s v=""/>
    <m/>
    <m/>
    <m/>
    <s v=""/>
    <m/>
    <m/>
    <s v=""/>
    <s v=""/>
  </r>
  <r>
    <s v="CONTRIBUIÇÃO SESC"/>
    <x v="0"/>
    <s v="ATIVA EM COBRANÇA / ENCAMINHADO PARA PROTESTO"/>
    <m/>
    <m/>
    <m/>
    <m/>
    <n v="4950.99"/>
    <n v="0"/>
    <n v="0"/>
    <n v="0"/>
    <m/>
    <s v=""/>
    <m/>
    <m/>
    <m/>
    <s v=""/>
    <m/>
    <m/>
    <s v=""/>
    <s v=""/>
  </r>
  <r>
    <s v="CONTRIBUIÇÃO SALÁRIO EDUCAÇÃO"/>
    <x v="0"/>
    <s v="ATIVA EM COBRANÇA / PROTESTO"/>
    <m/>
    <m/>
    <m/>
    <m/>
    <n v="10488.48"/>
    <n v="0"/>
    <n v="0"/>
    <n v="0"/>
    <m/>
    <s v=""/>
    <m/>
    <m/>
    <m/>
    <s v=""/>
    <m/>
    <m/>
    <s v=""/>
    <s v=""/>
  </r>
  <r>
    <s v="CONTRIBUIÇÃO EMPREGADOR"/>
    <x v="0"/>
    <s v="ATIVA EM COBRANÇA / PROTESTO"/>
    <m/>
    <m/>
    <m/>
    <m/>
    <n v="83909.3"/>
    <n v="0"/>
    <n v="0"/>
    <n v="0"/>
    <m/>
    <s v=""/>
    <m/>
    <m/>
    <m/>
    <s v=""/>
    <m/>
    <m/>
    <s v=""/>
    <s v=""/>
  </r>
  <r>
    <s v="RISCOS AMBIENTAIS - APOSENTADORIA ESPECIAL"/>
    <x v="0"/>
    <s v="ATIVA EM COBRANÇA / PROTESTO"/>
    <m/>
    <m/>
    <m/>
    <m/>
    <n v="4195.3"/>
    <n v="0"/>
    <n v="0"/>
    <n v="0"/>
    <m/>
    <s v=""/>
    <m/>
    <m/>
    <m/>
    <s v=""/>
    <m/>
    <m/>
    <s v=""/>
    <s v=""/>
  </r>
  <r>
    <s v="CONTRIBUIÇÃO SESC"/>
    <x v="0"/>
    <s v="ATIVA EM COBRANÇA / PROTESTO"/>
    <m/>
    <m/>
    <m/>
    <m/>
    <n v="6293.03"/>
    <n v="0"/>
    <n v="0"/>
    <n v="0"/>
    <m/>
    <s v=""/>
    <m/>
    <m/>
    <m/>
    <s v=""/>
    <m/>
    <m/>
    <s v=""/>
    <s v=""/>
  </r>
  <r>
    <s v="CONTRIBUIÇÃO SEBRAE"/>
    <x v="0"/>
    <s v="ATIVA EM COBRANÇA / PROTESTO"/>
    <m/>
    <m/>
    <m/>
    <m/>
    <n v="1379.05"/>
    <n v="0"/>
    <n v="0"/>
    <n v="0"/>
    <m/>
    <s v=""/>
    <m/>
    <m/>
    <m/>
    <s v=""/>
    <m/>
    <m/>
    <s v=""/>
    <s v=""/>
  </r>
  <r>
    <s v="CONTRIBUIÇÃO SEGURADOS"/>
    <x v="0"/>
    <s v="ATIVA EM COBRANÇA / PROTESTO"/>
    <m/>
    <m/>
    <m/>
    <m/>
    <n v="38995.01"/>
    <n v="0"/>
    <n v="0"/>
    <n v="0"/>
    <m/>
    <s v=""/>
    <m/>
    <m/>
    <m/>
    <s v=""/>
    <m/>
    <m/>
    <s v=""/>
    <s v=""/>
  </r>
  <r>
    <s v="CONTRIBUIÇÃO INCRA"/>
    <x v="0"/>
    <s v="ATIVA EM COBRANÇA / ENCAMINHADO PARA PROTESTO"/>
    <m/>
    <m/>
    <m/>
    <m/>
    <n v="919.32"/>
    <n v="0"/>
    <n v="0"/>
    <n v="0"/>
    <m/>
    <s v=""/>
    <m/>
    <m/>
    <m/>
    <s v=""/>
    <m/>
    <m/>
    <s v=""/>
    <s v=""/>
  </r>
  <r>
    <m/>
    <x v="0"/>
    <s v="INSCRIÇÃO DE CRÉDITO - DÍVIDA ATIVA / NÃO ESTA EM PROTESTO"/>
    <m/>
    <m/>
    <m/>
    <m/>
    <n v="104645.43"/>
    <n v="0"/>
    <n v="0"/>
    <n v="0"/>
    <m/>
    <s v=""/>
    <m/>
    <m/>
    <m/>
    <s v=""/>
    <m/>
    <m/>
    <s v=""/>
    <s v=""/>
  </r>
  <r>
    <m/>
    <x v="0"/>
    <s v="INSCRIÇÃO DE CRÉDITO - DÍVIDA ATIVA / NÃO ESTA EM PROTESTO"/>
    <m/>
    <m/>
    <m/>
    <m/>
    <n v="71586.429999999993"/>
    <n v="0"/>
    <n v="0"/>
    <n v="0"/>
    <m/>
    <s v=""/>
    <m/>
    <m/>
    <m/>
    <s v=""/>
    <m/>
    <m/>
    <s v=""/>
    <s v=""/>
  </r>
  <r>
    <m/>
    <x v="0"/>
    <s v="INSCRIÇÃO DE CRÉDITO - DÍVIDA ATIVA / NÃO ESTA EM PROTESTO"/>
    <m/>
    <m/>
    <m/>
    <m/>
    <n v="273017.58"/>
    <n v="0"/>
    <n v="0"/>
    <n v="0"/>
    <m/>
    <s v=""/>
    <m/>
    <m/>
    <m/>
    <s v=""/>
    <m/>
    <m/>
    <s v=""/>
    <s v=""/>
  </r>
  <r>
    <s v="CONTRIBUIÇÃO SALÁRIO EDUCAÇÃO"/>
    <x v="0"/>
    <s v="ATIVA EM COBRANÇA / ENCAMINHADO PARA PROTESTO"/>
    <m/>
    <m/>
    <m/>
    <m/>
    <n v="1005.25"/>
    <n v="0"/>
    <n v="0"/>
    <n v="0"/>
    <m/>
    <s v=""/>
    <m/>
    <m/>
    <m/>
    <s v=""/>
    <m/>
    <m/>
    <s v=""/>
    <s v=""/>
  </r>
  <r>
    <s v="CONTRIBUIÇÃO SESC"/>
    <x v="0"/>
    <s v="ATIVA EM COBRANÇA / ENCAMINHADO PARA PROTESTO"/>
    <m/>
    <m/>
    <m/>
    <m/>
    <n v="603.14"/>
    <n v="0"/>
    <n v="0"/>
    <n v="0"/>
    <m/>
    <s v=""/>
    <m/>
    <m/>
    <m/>
    <s v=""/>
    <m/>
    <m/>
    <s v=""/>
    <s v=""/>
  </r>
  <r>
    <s v="RISCOS AMBIENTAIS - APOSENTADORIA ESPECIAL"/>
    <x v="0"/>
    <s v="ATIVA EM COBRANÇA / NÃO ESTÁ EM PROTESTO"/>
    <m/>
    <m/>
    <m/>
    <m/>
    <n v="402.09"/>
    <n v="0"/>
    <n v="0"/>
    <n v="0"/>
    <m/>
    <s v=""/>
    <m/>
    <m/>
    <m/>
    <s v=""/>
    <m/>
    <m/>
    <s v=""/>
    <s v=""/>
  </r>
  <r>
    <s v="CONTRIBUIÇÃO EMPREGADOR"/>
    <x v="0"/>
    <s v="ATIVA EM COBRANÇA / PROTESTO"/>
    <m/>
    <m/>
    <m/>
    <m/>
    <n v="8042.15"/>
    <n v="0"/>
    <n v="0"/>
    <n v="0"/>
    <m/>
    <s v=""/>
    <m/>
    <m/>
    <m/>
    <s v=""/>
    <m/>
    <m/>
    <s v=""/>
    <s v=""/>
  </r>
  <r>
    <m/>
    <x v="0"/>
    <s v="EXTINTA POR PAGAMENTO"/>
    <m/>
    <m/>
    <m/>
    <m/>
    <n v="0"/>
    <n v="0"/>
    <n v="0"/>
    <n v="0"/>
    <m/>
    <s v=""/>
    <m/>
    <m/>
    <m/>
    <s v=""/>
    <m/>
    <m/>
    <s v=""/>
    <s v=""/>
  </r>
  <r>
    <m/>
    <x v="0"/>
    <s v="SERIS - BAIXA POR_x000a_LIQUIDACAO NO SISPAR"/>
    <m/>
    <m/>
    <m/>
    <m/>
    <n v="0"/>
    <n v="0"/>
    <n v="0"/>
    <n v="0"/>
    <m/>
    <s v=""/>
    <m/>
    <m/>
    <m/>
    <s v=""/>
    <m/>
    <m/>
    <s v=""/>
    <s v=""/>
  </r>
  <r>
    <s v="SPC / SERASA"/>
    <x v="4"/>
    <s v="DATA DA INCLUSÃO 05/02/2025"/>
    <m/>
    <m/>
    <m/>
    <m/>
    <n v="98746.6"/>
    <n v="0"/>
    <m/>
    <n v="0"/>
    <m/>
    <s v=""/>
    <m/>
    <m/>
    <m/>
    <s v=""/>
    <m/>
    <m/>
    <s v=""/>
    <s v=""/>
  </r>
  <r>
    <s v="SPC / SERASA"/>
    <x v="5"/>
    <s v="FINANCIAMENTO / EMP225156"/>
    <m/>
    <m/>
    <m/>
    <m/>
    <n v="69755.69"/>
    <n v="0"/>
    <m/>
    <n v="0"/>
    <m/>
    <s v=""/>
    <m/>
    <m/>
    <m/>
    <s v=""/>
    <m/>
    <m/>
    <s v=""/>
    <s v=""/>
  </r>
  <r>
    <s v="CLT"/>
    <x v="0"/>
    <s v="PROTESTO"/>
    <m/>
    <m/>
    <m/>
    <m/>
    <n v="1142.0999999999999"/>
    <n v="0"/>
    <m/>
    <n v="0"/>
    <m/>
    <s v=""/>
    <m/>
    <m/>
    <m/>
    <s v=""/>
    <m/>
    <m/>
    <s v=""/>
    <s v=""/>
  </r>
  <r>
    <s v="CONTRIBUIÇÃO SESC"/>
    <x v="0"/>
    <s v="PROTESTO"/>
    <m/>
    <m/>
    <m/>
    <m/>
    <n v="4950.99"/>
    <n v="0"/>
    <m/>
    <n v="0"/>
    <m/>
    <s v=""/>
    <m/>
    <m/>
    <m/>
    <s v=""/>
    <m/>
    <m/>
    <s v=""/>
    <s v=""/>
  </r>
  <r>
    <s v="IRPJ - FONTE"/>
    <x v="0"/>
    <s v="PROTESTO"/>
    <m/>
    <m/>
    <m/>
    <m/>
    <n v="16073.65"/>
    <n v="0"/>
    <n v="0"/>
    <n v="0"/>
    <m/>
    <s v=""/>
    <m/>
    <m/>
    <m/>
    <s v=""/>
    <m/>
    <m/>
    <s v=""/>
    <s v=""/>
  </r>
  <r>
    <s v="IRPJ - FONTE"/>
    <x v="0"/>
    <s v="PROTESTO"/>
    <m/>
    <m/>
    <m/>
    <m/>
    <n v="1240.97"/>
    <n v="0"/>
    <n v="0"/>
    <n v="0"/>
    <m/>
    <s v=""/>
    <m/>
    <m/>
    <m/>
    <s v=""/>
    <m/>
    <m/>
    <s v=""/>
    <s v=""/>
  </r>
  <r>
    <s v="IRPJ - FONTE"/>
    <x v="0"/>
    <s v="PROTESTO"/>
    <m/>
    <m/>
    <m/>
    <m/>
    <n v="5223.87"/>
    <n v="0"/>
    <m/>
    <n v="0"/>
    <m/>
    <s v=""/>
    <m/>
    <m/>
    <m/>
    <s v=""/>
    <m/>
    <m/>
    <s v=""/>
    <s v=""/>
  </r>
  <r>
    <s v="PROTESTO"/>
    <x v="2"/>
    <m/>
    <m/>
    <m/>
    <m/>
    <m/>
    <n v="916.32"/>
    <n v="0"/>
    <m/>
    <n v="0"/>
    <m/>
    <s v=""/>
    <m/>
    <m/>
    <m/>
    <s v=""/>
    <m/>
    <m/>
    <s v=""/>
    <s v=""/>
  </r>
  <r>
    <s v="IRPJ - FONTE"/>
    <x v="0"/>
    <s v="PROTESTO"/>
    <m/>
    <m/>
    <m/>
    <m/>
    <n v="3265.54"/>
    <n v="0"/>
    <m/>
    <n v="0"/>
    <m/>
    <s v=""/>
    <m/>
    <m/>
    <m/>
    <s v=""/>
    <m/>
    <m/>
    <s v=""/>
    <s v=""/>
  </r>
  <r>
    <s v="CONTRIBUIÇÃO SALÁRIO EDUCAÇÃO"/>
    <x v="0"/>
    <s v="PROTESTO"/>
    <m/>
    <m/>
    <m/>
    <m/>
    <n v="11086.6"/>
    <n v="0"/>
    <m/>
    <n v="0"/>
    <m/>
    <s v=""/>
    <m/>
    <m/>
    <m/>
    <s v=""/>
    <m/>
    <m/>
    <s v=""/>
    <s v=""/>
  </r>
  <r>
    <s v="PROTESTO"/>
    <x v="2"/>
    <m/>
    <m/>
    <m/>
    <m/>
    <m/>
    <n v="88694.55"/>
    <n v="0"/>
    <m/>
    <n v="0"/>
    <m/>
    <s v=""/>
    <m/>
    <m/>
    <m/>
    <s v=""/>
    <m/>
    <m/>
    <s v=""/>
    <s v=""/>
  </r>
  <r>
    <s v="PROTESTO"/>
    <x v="0"/>
    <m/>
    <m/>
    <m/>
    <m/>
    <m/>
    <n v="3009.31"/>
    <n v="0"/>
    <m/>
    <n v="0"/>
    <m/>
    <s v=""/>
    <m/>
    <m/>
    <m/>
    <s v=""/>
    <m/>
    <m/>
    <s v=""/>
    <s v=""/>
  </r>
  <r>
    <s v="PROTESTO"/>
    <x v="0"/>
    <m/>
    <m/>
    <m/>
    <m/>
    <m/>
    <n v="66015.03"/>
    <n v="0"/>
    <n v="0"/>
    <n v="0"/>
    <m/>
    <s v=""/>
    <m/>
    <m/>
    <m/>
    <s v=""/>
    <m/>
    <m/>
    <s v=""/>
    <s v=""/>
  </r>
  <r>
    <s v="PROTESTO"/>
    <x v="2"/>
    <m/>
    <m/>
    <m/>
    <m/>
    <m/>
    <n v="7640.73"/>
    <n v="0"/>
    <m/>
    <n v="0"/>
    <m/>
    <s v=""/>
    <m/>
    <m/>
    <m/>
    <s v=""/>
    <m/>
    <m/>
    <s v=""/>
    <s v=""/>
  </r>
  <r>
    <s v="PROTESTO"/>
    <x v="2"/>
    <m/>
    <m/>
    <m/>
    <m/>
    <m/>
    <n v="75724.73"/>
    <n v="0"/>
    <m/>
    <n v="0"/>
    <m/>
    <s v=""/>
    <m/>
    <m/>
    <m/>
    <s v=""/>
    <m/>
    <m/>
    <s v=""/>
    <s v=""/>
  </r>
  <r>
    <s v="PROTESTO"/>
    <x v="2"/>
    <m/>
    <m/>
    <m/>
    <m/>
    <m/>
    <n v="1244.73"/>
    <n v="0"/>
    <m/>
    <n v="0"/>
    <m/>
    <s v=""/>
    <m/>
    <m/>
    <m/>
    <s v=""/>
    <m/>
    <m/>
    <s v=""/>
    <s v=""/>
  </r>
  <r>
    <s v="PROTESTO"/>
    <x v="2"/>
    <m/>
    <m/>
    <m/>
    <m/>
    <m/>
    <n v="9465.42"/>
    <n v="0"/>
    <m/>
    <n v="0"/>
    <m/>
    <s v=""/>
    <m/>
    <m/>
    <m/>
    <s v=""/>
    <m/>
    <m/>
    <s v=""/>
    <s v=""/>
  </r>
  <r>
    <s v="PROTESTO"/>
    <x v="2"/>
    <m/>
    <m/>
    <m/>
    <m/>
    <m/>
    <n v="5679.16"/>
    <n v="0"/>
    <m/>
    <n v="0"/>
    <m/>
    <s v=""/>
    <m/>
    <m/>
    <m/>
    <s v=""/>
    <m/>
    <m/>
    <s v=""/>
    <s v=""/>
  </r>
  <r>
    <s v="PROTESTO"/>
    <x v="2"/>
    <m/>
    <m/>
    <m/>
    <m/>
    <m/>
    <n v="369266.04"/>
    <n v="0"/>
    <m/>
    <n v="0"/>
    <m/>
    <s v=""/>
    <m/>
    <m/>
    <m/>
    <s v=""/>
    <m/>
    <m/>
    <s v=""/>
    <s v=""/>
  </r>
  <r>
    <m/>
    <x v="2"/>
    <m/>
    <m/>
    <m/>
    <m/>
    <m/>
    <m/>
    <m/>
    <m/>
    <m/>
    <m/>
    <s v=""/>
    <m/>
    <m/>
    <m/>
    <s v=""/>
    <m/>
    <m/>
    <s v=""/>
    <s v=""/>
  </r>
  <r>
    <m/>
    <x v="2"/>
    <m/>
    <m/>
    <m/>
    <m/>
    <m/>
    <m/>
    <m/>
    <m/>
    <m/>
    <m/>
    <s v=""/>
    <m/>
    <m/>
    <m/>
    <s v=""/>
    <m/>
    <m/>
    <s v=""/>
    <s v=""/>
  </r>
  <r>
    <m/>
    <x v="2"/>
    <m/>
    <m/>
    <m/>
    <m/>
    <m/>
    <m/>
    <m/>
    <m/>
    <m/>
    <m/>
    <s v=""/>
    <m/>
    <m/>
    <m/>
    <s v=""/>
    <m/>
    <m/>
    <s v=""/>
    <s v=""/>
  </r>
  <r>
    <m/>
    <x v="2"/>
    <m/>
    <m/>
    <m/>
    <m/>
    <m/>
    <m/>
    <m/>
    <m/>
    <m/>
    <m/>
    <s v=""/>
    <m/>
    <m/>
    <m/>
    <s v=""/>
    <m/>
    <m/>
    <s v=""/>
    <s v=""/>
  </r>
  <r>
    <m/>
    <x v="2"/>
    <m/>
    <m/>
    <m/>
    <m/>
    <m/>
    <m/>
    <m/>
    <m/>
    <m/>
    <m/>
    <s v=""/>
    <m/>
    <m/>
    <m/>
    <s v=""/>
    <m/>
    <m/>
    <s v=""/>
    <s v=""/>
  </r>
  <r>
    <m/>
    <x v="2"/>
    <m/>
    <m/>
    <m/>
    <m/>
    <m/>
    <m/>
    <m/>
    <m/>
    <m/>
    <m/>
    <s v=""/>
    <m/>
    <m/>
    <m/>
    <s v=""/>
    <m/>
    <m/>
    <s v=""/>
    <s v=""/>
  </r>
  <r>
    <m/>
    <x v="2"/>
    <m/>
    <m/>
    <m/>
    <m/>
    <m/>
    <m/>
    <m/>
    <m/>
    <m/>
    <m/>
    <s v=""/>
    <m/>
    <m/>
    <m/>
    <s v=""/>
    <m/>
    <m/>
    <s v=""/>
    <s v=""/>
  </r>
  <r>
    <m/>
    <x v="2"/>
    <m/>
    <m/>
    <m/>
    <m/>
    <m/>
    <m/>
    <m/>
    <m/>
    <m/>
    <m/>
    <s v=""/>
    <m/>
    <m/>
    <m/>
    <s v=""/>
    <m/>
    <m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E0791-6F8A-48EB-B1FC-EFD98D86E4E7}" name="Tabela dinâmica4" cacheId="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20">
  <location ref="B183:C190" firstHeaderRow="1" firstDataRow="1" firstDataCol="1"/>
  <pivotFields count="21">
    <pivotField showAll="0"/>
    <pivotField axis="axisRow" showAll="0">
      <items count="7">
        <item x="2"/>
        <item x="4"/>
        <item x="5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dataField="1" numFmtId="9" showAll="0"/>
    <pivotField showAll="0"/>
    <pivotField showAll="0"/>
    <pivotField showAll="0"/>
    <pivotField showAll="0"/>
    <pivotField showAll="0"/>
    <pivotField numFmtId="10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%" fld="12" baseField="0" baseItem="0" numFmtId="9"/>
  </dataField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6BE96A-4710-40E5-985C-AEAC298AE883}" name="Tabela dinâmica3" cacheId="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6">
  <location ref="F183:G190" firstHeaderRow="1" firstDataRow="1" firstDataCol="1"/>
  <pivotFields count="21">
    <pivotField showAll="0"/>
    <pivotField axis="axisRow" showAll="0">
      <items count="7">
        <item x="2"/>
        <item x="4"/>
        <item x="5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numFmtId="9" showAll="0"/>
    <pivotField showAll="0"/>
    <pivotField showAll="0"/>
    <pivotField showAll="0"/>
    <pivotField showAll="0"/>
    <pivotField showAll="0"/>
    <pivotField dataField="1" numFmtId="10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Taxa de Juros efetiva Ponderada" fld="18" baseField="0" baseItem="0" numFmtId="10"/>
  </dataFields>
  <chartFormats count="3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4" cacheId="1" applyNumberFormats="0" applyBorderFormats="0" applyFontFormats="0" applyPatternFormats="0" applyAlignmentFormats="0" applyWidthHeightFormats="1" dataCaption="Valores" updatedVersion="8" minRefreshableVersion="3" itemPrintTitles="1" createdVersion="6" indent="0" outline="1" outlineData="1" multipleFieldFilters="0" rowHeaderCaption="TIPO DE RECEBIMENTO" colHeaderCaption="Ano">
  <location ref="B6:D10" firstHeaderRow="1" firstDataRow="2" firstDataCol="1" rowPageCount="1" colPageCount="1"/>
  <pivotFields count="38">
    <pivotField showAll="0"/>
    <pivotField showAll="0"/>
    <pivotField showAll="0"/>
    <pivotField axis="axisPage" multipleItemSelectionAllowed="1" showAll="0">
      <items count="7">
        <item h="1" x="5"/>
        <item h="1" x="0"/>
        <item x="1"/>
        <item h="1" x="2"/>
        <item h="1" x="3"/>
        <item h="1"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ortType="ascending">
      <items count="6">
        <item x="4"/>
        <item x="1"/>
        <item x="2"/>
        <item x="3"/>
        <item x="0"/>
        <item t="default"/>
      </items>
    </pivotField>
    <pivotField axis="axisCol" multipleItemSelectionAllowed="1" showAll="0">
      <items count="3">
        <item x="1"/>
        <item x="0"/>
        <item t="default"/>
      </items>
    </pivotField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26"/>
  </rowFields>
  <rowItems count="3">
    <i>
      <x v="1"/>
    </i>
    <i>
      <x v="2"/>
    </i>
    <i t="grand">
      <x/>
    </i>
  </rowItems>
  <colFields count="1">
    <field x="25"/>
  </colFields>
  <colItems count="2">
    <i>
      <x v="1"/>
    </i>
    <i t="grand">
      <x/>
    </i>
  </colItems>
  <pageFields count="1">
    <pageField fld="3" hier="-1"/>
  </pageFields>
  <dataFields count="1">
    <dataField name=" VALOR BRUTO" fld="8" baseField="29" baseItem="4" numFmtId="164"/>
  </dataFields>
  <formats count="18">
    <format dxfId="1614">
      <pivotArea type="all" dataOnly="0" outline="0" fieldPosition="0"/>
    </format>
    <format dxfId="1613">
      <pivotArea outline="0" collapsedLevelsAreSubtotals="1" fieldPosition="0"/>
    </format>
    <format dxfId="1612">
      <pivotArea type="origin" dataOnly="0" labelOnly="1" outline="0" fieldPosition="0"/>
    </format>
    <format dxfId="1611">
      <pivotArea field="26" type="button" dataOnly="0" labelOnly="1" outline="0" axis="axisRow" fieldPosition="0"/>
    </format>
    <format dxfId="1610">
      <pivotArea type="topRight" dataOnly="0" labelOnly="1" outline="0" fieldPosition="0"/>
    </format>
    <format dxfId="1609">
      <pivotArea field="24" type="button" dataOnly="0" labelOnly="1" outline="0"/>
    </format>
    <format dxfId="1608">
      <pivotArea dataOnly="0" labelOnly="1" grandRow="1" outline="0" fieldPosition="0"/>
    </format>
    <format dxfId="1607">
      <pivotArea dataOnly="0" labelOnly="1" grandCol="1" outline="0" fieldPosition="0"/>
    </format>
    <format dxfId="1606">
      <pivotArea type="all" dataOnly="0" outline="0" fieldPosition="0"/>
    </format>
    <format dxfId="1605">
      <pivotArea outline="0" collapsedLevelsAreSubtotals="1" fieldPosition="0"/>
    </format>
    <format dxfId="1604">
      <pivotArea field="26" type="button" dataOnly="0" labelOnly="1" outline="0" axis="axisRow" fieldPosition="0"/>
    </format>
    <format dxfId="1603">
      <pivotArea type="topRight" dataOnly="0" labelOnly="1" outline="0" fieldPosition="0"/>
    </format>
    <format dxfId="1602">
      <pivotArea dataOnly="0" labelOnly="1" grandCol="1" outline="0" fieldPosition="0"/>
    </format>
    <format dxfId="1601">
      <pivotArea type="origin" dataOnly="0" labelOnly="1" outline="0" fieldPosition="0"/>
    </format>
    <format dxfId="1600">
      <pivotArea field="24" type="button" dataOnly="0" labelOnly="1" outline="0"/>
    </format>
    <format dxfId="1599">
      <pivotArea dataOnly="0" labelOnly="1" grandRow="1" outline="0" fieldPosition="0"/>
    </format>
    <format dxfId="1598">
      <pivotArea dataOnly="0" labelOnly="1" outline="0" fieldPosition="0">
        <references count="1">
          <reference field="3" count="0"/>
        </references>
      </pivotArea>
    </format>
    <format dxfId="1597">
      <pivotArea outline="0" fieldPosition="0">
        <references count="1">
          <reference field="4294967294" count="1">
            <x v="0"/>
          </reference>
        </references>
      </pivotArea>
    </format>
  </format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ela dinâmica4" cacheId="1" applyNumberFormats="0" applyBorderFormats="0" applyFontFormats="0" applyPatternFormats="0" applyAlignmentFormats="0" applyWidthHeightFormats="1" dataCaption="Valores" updatedVersion="8" minRefreshableVersion="3" itemPrintTitles="1" createdVersion="6" indent="0" outline="1" outlineData="1" multipleFieldFilters="0" rowHeaderCaption="TIPO DE RECEBIMENTO" colHeaderCaption="Meses">
  <location ref="B7:E11" firstHeaderRow="1" firstDataRow="2" firstDataCol="1" rowPageCount="2" colPageCount="1"/>
  <pivotFields count="38">
    <pivotField showAll="0"/>
    <pivotField showAll="0"/>
    <pivotField showAll="0"/>
    <pivotField axis="axisPage" multipleItemSelectionAllowed="1" showAll="0">
      <items count="7">
        <item h="1" x="5"/>
        <item h="1" x="0"/>
        <item x="1"/>
        <item h="1" x="2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4" showAll="0"/>
    <pivotField dataField="1" showAll="0"/>
    <pivotField showAll="0"/>
    <pivotField showAll="0"/>
    <pivotField showAll="0"/>
    <pivotField axis="axisRow" showAll="0">
      <items count="6">
        <item x="4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x="4"/>
        <item x="1"/>
        <item x="2"/>
        <item x="3"/>
        <item x="0"/>
        <item t="default"/>
      </items>
    </pivotField>
    <pivotField multipleItemSelectionAllowed="1" showAll="0"/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h="1" x="1"/>
        <item x="0"/>
        <item t="default"/>
      </items>
    </pivotField>
    <pivotField axis="axisCol" showAll="0">
      <items count="4">
        <item x="1"/>
        <item x="0"/>
        <item x="2"/>
        <item t="default"/>
      </items>
    </pivotField>
    <pivotField showAll="0"/>
    <pivotField showAll="0"/>
    <pivotField dragToRow="0" dragToCol="0" dragToPage="0" showAll="0" defaultSubtotal="0"/>
  </pivotFields>
  <rowFields count="2">
    <field x="24"/>
    <field x="16"/>
  </rowFields>
  <rowItems count="3">
    <i>
      <x v="4"/>
    </i>
    <i r="1">
      <x v="1"/>
    </i>
    <i t="grand">
      <x/>
    </i>
  </rowItems>
  <colFields count="1">
    <field x="34"/>
  </colFields>
  <colItems count="3">
    <i>
      <x v="1"/>
    </i>
    <i>
      <x v="2"/>
    </i>
    <i t="grand">
      <x/>
    </i>
  </colItems>
  <pageFields count="2">
    <pageField fld="3" hier="-1"/>
    <pageField fld="33" hier="-1"/>
  </pageFields>
  <dataFields count="1">
    <dataField name="RECEBIMENTO LÍQUIDO" fld="12" baseField="15" baseItem="3" numFmtId="164"/>
  </dataFields>
  <formats count="18">
    <format dxfId="1596">
      <pivotArea type="all" dataOnly="0" outline="0" fieldPosition="0"/>
    </format>
    <format dxfId="1595">
      <pivotArea outline="0" collapsedLevelsAreSubtotals="1" fieldPosition="0"/>
    </format>
    <format dxfId="1594">
      <pivotArea type="origin" dataOnly="0" labelOnly="1" outline="0" fieldPosition="0"/>
    </format>
    <format dxfId="1593">
      <pivotArea field="26" type="button" dataOnly="0" labelOnly="1" outline="0"/>
    </format>
    <format dxfId="1592">
      <pivotArea type="topRight" dataOnly="0" labelOnly="1" outline="0" fieldPosition="0"/>
    </format>
    <format dxfId="1591">
      <pivotArea field="24" type="button" dataOnly="0" labelOnly="1" outline="0" axis="axisRow" fieldPosition="0"/>
    </format>
    <format dxfId="1590">
      <pivotArea dataOnly="0" labelOnly="1" grandRow="1" outline="0" fieldPosition="0"/>
    </format>
    <format dxfId="1589">
      <pivotArea dataOnly="0" labelOnly="1" grandCol="1" outline="0" fieldPosition="0"/>
    </format>
    <format dxfId="1588">
      <pivotArea type="all" dataOnly="0" outline="0" fieldPosition="0"/>
    </format>
    <format dxfId="1587">
      <pivotArea outline="0" collapsedLevelsAreSubtotals="1" fieldPosition="0"/>
    </format>
    <format dxfId="1586">
      <pivotArea field="26" type="button" dataOnly="0" labelOnly="1" outline="0"/>
    </format>
    <format dxfId="1585">
      <pivotArea type="topRight" dataOnly="0" labelOnly="1" outline="0" fieldPosition="0"/>
    </format>
    <format dxfId="1584">
      <pivotArea dataOnly="0" labelOnly="1" grandCol="1" outline="0" fieldPosition="0"/>
    </format>
    <format dxfId="1583">
      <pivotArea type="origin" dataOnly="0" labelOnly="1" outline="0" fieldPosition="0"/>
    </format>
    <format dxfId="1582">
      <pivotArea field="24" type="button" dataOnly="0" labelOnly="1" outline="0" axis="axisRow" fieldPosition="0"/>
    </format>
    <format dxfId="1581">
      <pivotArea dataOnly="0" labelOnly="1" grandRow="1" outline="0" fieldPosition="0"/>
    </format>
    <format dxfId="1580">
      <pivotArea outline="0" fieldPosition="0">
        <references count="1">
          <reference field="4294967294" count="1">
            <x v="0"/>
          </reference>
        </references>
      </pivotArea>
    </format>
    <format dxfId="1579">
      <pivotArea dataOnly="0" labelOnly="1" outline="0" fieldPosition="0">
        <references count="1">
          <reference field="3" count="0"/>
        </references>
      </pivotArea>
    </format>
  </format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Tabela dinâmica2" cacheId="1" applyNumberFormats="0" applyBorderFormats="0" applyFontFormats="0" applyPatternFormats="0" applyAlignmentFormats="0" applyWidthHeightFormats="1" dataCaption="Valores" updatedVersion="8" minRefreshableVersion="3" itemPrintTitles="1" createdVersion="6" indent="0" outline="1" outlineData="1" multipleFieldFilters="0" rowHeaderCaption="TIPO DE DESPESA" colHeaderCaption=" ">
  <location ref="B7:E20" firstHeaderRow="1" firstDataRow="2" firstDataCol="1" rowPageCount="2" colPageCount="1"/>
  <pivotFields count="38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7">
        <item x="5"/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6">
        <item x="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64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16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DESPESA" axis="axisPage" multipleItemSelectionAllowed="1" showAll="0">
      <items count="4">
        <item h="1" x="2"/>
        <item x="0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multipleItemSelectionAllowed="1" showAll="0">
      <items count="3">
        <item h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4">
        <item x="1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4"/>
  </rowFields>
  <rowItems count="12">
    <i>
      <x v="1"/>
    </i>
    <i r="1">
      <x v="1"/>
    </i>
    <i r="1">
      <x v="8"/>
    </i>
    <i r="1">
      <x v="12"/>
    </i>
    <i r="1">
      <x v="13"/>
    </i>
    <i r="1">
      <x v="41"/>
    </i>
    <i>
      <x v="3"/>
    </i>
    <i r="1">
      <x v="3"/>
    </i>
    <i r="1">
      <x v="6"/>
    </i>
    <i r="1">
      <x v="14"/>
    </i>
    <i r="1">
      <x v="43"/>
    </i>
    <i t="grand">
      <x/>
    </i>
  </rowItems>
  <colFields count="1">
    <field x="34"/>
  </colFields>
  <colItems count="3">
    <i>
      <x v="1"/>
    </i>
    <i>
      <x v="2"/>
    </i>
    <i t="grand">
      <x/>
    </i>
  </colItems>
  <pageFields count="2">
    <pageField fld="20" hier="-1"/>
    <pageField fld="33" hier="-1"/>
  </pageFields>
  <dataFields count="1">
    <dataField name=" VALOR LÍQUIDO" fld="12" baseField="23" baseItem="0" numFmtId="164"/>
  </dataFields>
  <formats count="16">
    <format dxfId="1578">
      <pivotArea type="all" dataOnly="0" outline="0" fieldPosition="0"/>
    </format>
    <format dxfId="1577">
      <pivotArea outline="0" collapsedLevelsAreSubtotals="1" fieldPosition="0"/>
    </format>
    <format dxfId="1576">
      <pivotArea type="origin" dataOnly="0" labelOnly="1" outline="0" fieldPosition="0"/>
    </format>
    <format dxfId="1575">
      <pivotArea field="34" type="button" dataOnly="0" labelOnly="1" outline="0" axis="axisCol" fieldPosition="0"/>
    </format>
    <format dxfId="1574">
      <pivotArea type="topRight" dataOnly="0" labelOnly="1" outline="0" fieldPosition="0"/>
    </format>
    <format dxfId="1573">
      <pivotArea dataOnly="0" labelOnly="1" grandRow="1" outline="0" fieldPosition="0"/>
    </format>
    <format dxfId="1572">
      <pivotArea dataOnly="0" labelOnly="1" grandCol="1" outline="0" fieldPosition="0"/>
    </format>
    <format dxfId="1571">
      <pivotArea type="all" dataOnly="0" outline="0" fieldPosition="0"/>
    </format>
    <format dxfId="1570">
      <pivotArea outline="0" collapsedLevelsAreSubtotals="1" fieldPosition="0"/>
    </format>
    <format dxfId="1569">
      <pivotArea type="origin" dataOnly="0" labelOnly="1" outline="0" fieldPosition="0"/>
    </format>
    <format dxfId="1568">
      <pivotArea field="34" type="button" dataOnly="0" labelOnly="1" outline="0" axis="axisCol" fieldPosition="0"/>
    </format>
    <format dxfId="1567">
      <pivotArea type="topRight" dataOnly="0" labelOnly="1" outline="0" fieldPosition="0"/>
    </format>
    <format dxfId="1566">
      <pivotArea dataOnly="0" labelOnly="1" grandRow="1" outline="0" fieldPosition="0"/>
    </format>
    <format dxfId="1565">
      <pivotArea dataOnly="0" labelOnly="1" fieldPosition="0">
        <references count="1">
          <reference field="34" count="2">
            <x v="1"/>
            <x v="2"/>
          </reference>
        </references>
      </pivotArea>
    </format>
    <format dxfId="1564">
      <pivotArea dataOnly="0" labelOnly="1" grandCol="1" outline="0" fieldPosition="0"/>
    </format>
    <format dxfId="1563">
      <pivotArea field="3" type="button" dataOnly="0" labelOnly="1" outline="0" axis="axisRow" fieldPosition="0"/>
    </format>
  </format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Tabela dinâmica1" cacheId="1" applyNumberFormats="0" applyBorderFormats="0" applyFontFormats="0" applyPatternFormats="0" applyAlignmentFormats="0" applyWidthHeightFormats="1" dataCaption="Valores" updatedVersion="8" minRefreshableVersion="3" rowGrandTotals="0" itemPrintTitles="1" createdVersion="6" indent="0" outline="1" outlineData="1" multipleFieldFilters="0">
  <location ref="B25:F83" firstHeaderRow="1" firstDataRow="2" firstDataCol="1" rowPageCount="1" colPageCount="1"/>
  <pivotFields count="38">
    <pivotField showAll="0"/>
    <pivotField showAll="0"/>
    <pivotField showAll="0"/>
    <pivotField axis="axisRow" showAll="0">
      <items count="7">
        <item x="5"/>
        <item x="0"/>
        <item x="1"/>
        <item x="2"/>
        <item x="3"/>
        <item x="4"/>
        <item t="default"/>
      </items>
    </pivotField>
    <pivotField axis="axisRow" showAll="0">
      <items count="46">
        <item x="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dataField="1" numFmtId="164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1"/>
        <item x="0"/>
        <item t="default"/>
      </items>
    </pivotField>
    <pivotField axis="axisCol" showAll="0">
      <items count="4">
        <item x="1"/>
        <item x="0"/>
        <item x="2"/>
        <item t="default"/>
      </items>
    </pivotField>
    <pivotField showAll="0"/>
    <pivotField showAll="0"/>
    <pivotField dragToRow="0" dragToCol="0" dragToPage="0" showAll="0" defaultSubtotal="0"/>
  </pivotFields>
  <rowFields count="3">
    <field x="20"/>
    <field x="3"/>
    <field x="4"/>
  </rowFields>
  <rowItems count="57">
    <i>
      <x/>
    </i>
    <i r="1">
      <x/>
    </i>
    <i r="2">
      <x/>
    </i>
    <i>
      <x v="1"/>
    </i>
    <i r="1">
      <x v="1"/>
    </i>
    <i r="2">
      <x v="1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5"/>
    </i>
    <i r="2">
      <x v="41"/>
    </i>
    <i r="1">
      <x v="3"/>
    </i>
    <i r="2">
      <x v="3"/>
    </i>
    <i r="2">
      <x v="4"/>
    </i>
    <i r="2">
      <x v="5"/>
    </i>
    <i r="2">
      <x v="6"/>
    </i>
    <i r="2">
      <x v="7"/>
    </i>
    <i r="2">
      <x v="14"/>
    </i>
    <i r="2">
      <x v="43"/>
    </i>
    <i r="1">
      <x v="4"/>
    </i>
    <i r="2">
      <x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>
      <x v="2"/>
    </i>
    <i r="1">
      <x v="2"/>
    </i>
    <i r="2">
      <x/>
    </i>
    <i r="2">
      <x v="2"/>
    </i>
    <i r="1">
      <x v="5"/>
    </i>
    <i r="2">
      <x/>
    </i>
    <i r="2">
      <x v="42"/>
    </i>
    <i r="2">
      <x v="44"/>
    </i>
  </rowItems>
  <colFields count="1">
    <field x="34"/>
  </colFields>
  <colItems count="4">
    <i>
      <x/>
    </i>
    <i>
      <x v="1"/>
    </i>
    <i>
      <x v="2"/>
    </i>
    <i t="grand">
      <x/>
    </i>
  </colItems>
  <pageFields count="1">
    <pageField fld="33" hier="-1"/>
  </pageFields>
  <dataFields count="1">
    <dataField name=" VALOR LÍQUIDO" fld="12" baseField="24" baseItem="0" numFmtId="164"/>
  </dataFields>
  <formats count="2">
    <format dxfId="1554">
      <pivotArea field="20" type="button" dataOnly="0" labelOnly="1" outline="0" axis="axisRow" fieldPosition="0"/>
    </format>
    <format dxfId="1553">
      <pivotArea dataOnly="0" labelOnly="1" grandCol="1" outline="0" fieldPosition="0"/>
    </format>
  </format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Tabela dinâmica1" cacheId="1" applyNumberFormats="0" applyBorderFormats="0" applyFontFormats="0" applyPatternFormats="0" applyAlignmentFormats="0" applyWidthHeightFormats="1" dataCaption="Valores" updatedVersion="8" minRefreshableVersion="3" itemPrintTitles="1" createdVersion="6" indent="0" compact="0" compactData="0" multipleFieldFilters="0">
  <location ref="B8:F38" firstHeaderRow="1" firstDataRow="2" firstDataCol="1" rowPageCount="3" colPageCount="1"/>
  <pivotFields count="38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45">
        <item x="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46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LIENTE" axis="axisRow" compact="0" outline="0" subtotalTop="0" showAll="0" defaultSubtotal="0">
      <items count="83">
        <item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RECEITA" axis="axisPage" compact="0" outline="0" subtotalTop="0" multipleItemSelectionAllowed="1" showAll="0" defaultSubtotal="0">
      <items count="3">
        <item h="1" x="2"/>
        <item h="1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ÃO PAGO" axis="axisPage" compact="0" outline="0" subtotalTop="0" multipleItemSelectionAllowed="1" showAll="0" defaultSubtotal="0">
      <items count="2">
        <item x="1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11">
        <item h="1" x="9"/>
        <item x="0"/>
        <item h="1" x="1"/>
        <item h="1" x="2"/>
        <item h="1" x="3"/>
        <item h="1" x="4"/>
        <item h="1" x="5"/>
        <item h="1" x="6"/>
        <item h="1" x="7"/>
        <item h="1" x="8"/>
        <item h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ÊS VENCIMENTO " axis="axisCol" compact="0" outline="0" subtotalTop="0" multipleItemSelectionAllowed="1" showAll="0" defaultSubtotal="0">
      <items count="13">
        <item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7"/>
  </rowFields>
  <rowItems count="29">
    <i>
      <x v="2"/>
    </i>
    <i>
      <x v="4"/>
    </i>
    <i>
      <x v="23"/>
    </i>
    <i>
      <x v="24"/>
    </i>
    <i>
      <x v="25"/>
    </i>
    <i>
      <x v="26"/>
    </i>
    <i>
      <x v="27"/>
    </i>
    <i>
      <x v="30"/>
    </i>
    <i>
      <x v="33"/>
    </i>
    <i>
      <x v="35"/>
    </i>
    <i>
      <x v="39"/>
    </i>
    <i>
      <x v="40"/>
    </i>
    <i>
      <x v="41"/>
    </i>
    <i>
      <x v="48"/>
    </i>
    <i>
      <x v="49"/>
    </i>
    <i>
      <x v="50"/>
    </i>
    <i>
      <x v="51"/>
    </i>
    <i>
      <x v="53"/>
    </i>
    <i>
      <x v="55"/>
    </i>
    <i>
      <x v="56"/>
    </i>
    <i>
      <x v="57"/>
    </i>
    <i>
      <x v="60"/>
    </i>
    <i>
      <x v="63"/>
    </i>
    <i>
      <x v="64"/>
    </i>
    <i>
      <x v="66"/>
    </i>
    <i>
      <x v="67"/>
    </i>
    <i>
      <x v="70"/>
    </i>
    <i>
      <x v="71"/>
    </i>
    <i t="grand">
      <x/>
    </i>
  </rowItems>
  <colFields count="1">
    <field x="30"/>
  </colFields>
  <colItems count="4">
    <i>
      <x v="1"/>
    </i>
    <i>
      <x v="2"/>
    </i>
    <i>
      <x v="3"/>
    </i>
    <i t="grand">
      <x/>
    </i>
  </colItems>
  <pageFields count="3">
    <pageField fld="21" hier="-1"/>
    <pageField fld="20" hier="-1"/>
    <pageField fld="29" hier="-1"/>
  </pageFields>
  <dataFields count="1">
    <dataField name=" VALOR LÍQUIDO" fld="12" baseField="14" baseItem="0" numFmtId="164"/>
  </dataFields>
  <formats count="30">
    <format dxfId="1534">
      <pivotArea dataOnly="0" labelOnly="1" outline="0" axis="axisValues" fieldPosition="0"/>
    </format>
    <format dxfId="1533">
      <pivotArea type="all" dataOnly="0" outline="0" fieldPosition="0"/>
    </format>
    <format dxfId="1532">
      <pivotArea outline="0" collapsedLevelsAreSubtotals="1" fieldPosition="0"/>
    </format>
    <format dxfId="1531">
      <pivotArea dataOnly="0" labelOnly="1" grandRow="1" outline="0" fieldPosition="0"/>
    </format>
    <format dxfId="1530">
      <pivotArea dataOnly="0" labelOnly="1" outline="0" axis="axisValues" fieldPosition="0"/>
    </format>
    <format dxfId="1529">
      <pivotArea type="all" dataOnly="0" outline="0" fieldPosition="0"/>
    </format>
    <format dxfId="1528">
      <pivotArea outline="0" collapsedLevelsAreSubtotals="1" fieldPosition="0"/>
    </format>
    <format dxfId="1527">
      <pivotArea dataOnly="0" labelOnly="1" grandRow="1" outline="0" fieldPosition="0"/>
    </format>
    <format dxfId="1526">
      <pivotArea dataOnly="0" labelOnly="1" outline="0" axis="axisValues" fieldPosition="0"/>
    </format>
    <format dxfId="1525">
      <pivotArea dataOnly="0" labelOnly="1" outline="0" fieldPosition="0">
        <references count="1">
          <reference field="30" count="0"/>
        </references>
      </pivotArea>
    </format>
    <format dxfId="1524">
      <pivotArea outline="0" collapsedLevelsAreSubtotals="1" fieldPosition="0"/>
    </format>
    <format dxfId="1523">
      <pivotArea dataOnly="0" labelOnly="1" outline="0" axis="axisValues" fieldPosition="0"/>
    </format>
    <format dxfId="1522">
      <pivotArea dataOnly="0" labelOnly="1" grandRow="1" outline="0" fieldPosition="0"/>
    </format>
    <format dxfId="1521">
      <pivotArea field="1" type="button" dataOnly="0" labelOnly="1" outline="0"/>
    </format>
    <format dxfId="1520">
      <pivotArea field="4" type="button" dataOnly="0" labelOnly="1" outline="0"/>
    </format>
    <format dxfId="1519">
      <pivotArea field="6" type="button" dataOnly="0" labelOnly="1" outline="0"/>
    </format>
    <format dxfId="1518">
      <pivotArea dataOnly="0" labelOnly="1" outline="0" axis="axisValues" fieldPosition="0"/>
    </format>
    <format dxfId="1517">
      <pivotArea outline="0" fieldPosition="0">
        <references count="1">
          <reference field="4294967294" count="1">
            <x v="0"/>
          </reference>
        </references>
      </pivotArea>
    </format>
    <format dxfId="1516">
      <pivotArea type="all" dataOnly="0" outline="0" fieldPosition="0"/>
    </format>
    <format dxfId="1515">
      <pivotArea outline="0" collapsedLevelsAreSubtotals="1" fieldPosition="0"/>
    </format>
    <format dxfId="1514">
      <pivotArea type="origin" dataOnly="0" labelOnly="1" outline="0" fieldPosition="0"/>
    </format>
    <format dxfId="1513">
      <pivotArea field="30" type="button" dataOnly="0" labelOnly="1" outline="0" axis="axisCol" fieldPosition="0"/>
    </format>
    <format dxfId="1512">
      <pivotArea type="topRight" dataOnly="0" labelOnly="1" outline="0" fieldPosition="0"/>
    </format>
    <format dxfId="1511">
      <pivotArea field="7" type="button" dataOnly="0" labelOnly="1" outline="0" axis="axisRow" fieldPosition="0"/>
    </format>
    <format dxfId="1510">
      <pivotArea dataOnly="0" labelOnly="1" grandRow="1" outline="0" fieldPosition="0"/>
    </format>
    <format dxfId="1509">
      <pivotArea dataOnly="0" labelOnly="1" grandCol="1" outline="0" fieldPosition="0"/>
    </format>
    <format dxfId="1508">
      <pivotArea type="origin" dataOnly="0" labelOnly="1" outline="0" fieldPosition="0"/>
    </format>
    <format dxfId="1507">
      <pivotArea field="7" type="button" dataOnly="0" labelOnly="1" outline="0" axis="axisRow" fieldPosition="0"/>
    </format>
    <format dxfId="1506">
      <pivotArea dataOnly="0" labelOnly="1" outline="0" fieldPosition="0">
        <references count="1">
          <reference field="7" count="28">
            <x v="2"/>
            <x v="4"/>
            <x v="23"/>
            <x v="24"/>
            <x v="25"/>
            <x v="26"/>
            <x v="27"/>
            <x v="30"/>
            <x v="33"/>
            <x v="35"/>
            <x v="39"/>
            <x v="40"/>
            <x v="41"/>
            <x v="48"/>
            <x v="49"/>
            <x v="50"/>
            <x v="51"/>
            <x v="53"/>
            <x v="55"/>
            <x v="56"/>
            <x v="57"/>
            <x v="60"/>
            <x v="63"/>
            <x v="64"/>
            <x v="66"/>
            <x v="67"/>
            <x v="70"/>
            <x v="71"/>
          </reference>
        </references>
      </pivotArea>
    </format>
    <format dxfId="1505">
      <pivotArea dataOnly="0" labelOnly="1" grandRow="1" outline="0" fieldPosition="0"/>
    </format>
  </formats>
  <pivotTableStyleInfo name="Estilo de Tabela Dinâmica 1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0000000}" name="Tabela dinâmica1" cacheId="1" applyNumberFormats="0" applyBorderFormats="0" applyFontFormats="0" applyPatternFormats="0" applyAlignmentFormats="0" applyWidthHeightFormats="1" dataCaption="Valores" updatedVersion="8" minRefreshableVersion="3" itemPrintTitles="1" createdVersion="6" indent="0" compact="0" compactData="0" multipleFieldFilters="0">
  <location ref="B7:CQ29" firstHeaderRow="1" firstDataRow="3" firstDataCol="1" rowPageCount="2" colPageCount="1"/>
  <pivotFields count="38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7">
        <item x="5"/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46">
        <item x="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47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ORNECEDOR" axis="axisRow" compact="0" outline="0" showAll="0" sortType="ascending">
      <items count="84">
        <item x="27"/>
        <item x="7"/>
        <item x="59"/>
        <item x="30"/>
        <item x="29"/>
        <item x="25"/>
        <item x="39"/>
        <item x="54"/>
        <item x="78"/>
        <item x="24"/>
        <item x="62"/>
        <item x="14"/>
        <item x="61"/>
        <item x="41"/>
        <item x="8"/>
        <item x="4"/>
        <item x="77"/>
        <item x="10"/>
        <item x="22"/>
        <item x="47"/>
        <item x="37"/>
        <item x="35"/>
        <item x="16"/>
        <item x="51"/>
        <item x="31"/>
        <item x="82"/>
        <item x="21"/>
        <item x="0"/>
        <item x="81"/>
        <item x="53"/>
        <item x="44"/>
        <item x="23"/>
        <item x="80"/>
        <item x="76"/>
        <item x="11"/>
        <item x="3"/>
        <item x="15"/>
        <item x="71"/>
        <item x="48"/>
        <item x="43"/>
        <item x="57"/>
        <item x="66"/>
        <item x="42"/>
        <item x="2"/>
        <item x="26"/>
        <item x="18"/>
        <item x="64"/>
        <item x="5"/>
        <item x="32"/>
        <item x="46"/>
        <item x="36"/>
        <item x="1"/>
        <item x="17"/>
        <item x="52"/>
        <item x="68"/>
        <item x="72"/>
        <item x="67"/>
        <item x="50"/>
        <item x="45"/>
        <item x="75"/>
        <item x="40"/>
        <item x="33"/>
        <item x="49"/>
        <item x="34"/>
        <item x="28"/>
        <item x="74"/>
        <item x="58"/>
        <item x="19"/>
        <item x="12"/>
        <item x="69"/>
        <item x="9"/>
        <item x="65"/>
        <item x="6"/>
        <item x="55"/>
        <item x="13"/>
        <item x="60"/>
        <item x="70"/>
        <item x="63"/>
        <item x="73"/>
        <item x="38"/>
        <item x="79"/>
        <item x="56"/>
        <item x="2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DESPESA" axis="axisPage" compact="0" outline="0" multipleItemSelectionAllowed="1" showAll="0">
      <items count="4">
        <item h="1" x="2"/>
        <item x="0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ÃO PAGO" axis="axisPage" compact="0" outline="0" multipleItemSelectionAllowed="1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multipleItemSelectionAllowed="1" showAll="0">
      <items count="12">
        <item h="1" x="9"/>
        <item x="0"/>
        <item x="1"/>
        <item x="2"/>
        <item x="3"/>
        <item x="4"/>
        <item x="5"/>
        <item x="6"/>
        <item x="7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ÊS VENCIMENTO " axis="axisCol" compact="0" outline="0" multipleItemSelectionAllowed="1" showAll="0">
      <items count="14">
        <item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7"/>
  </rowFields>
  <rowItems count="20">
    <i>
      <x v="1"/>
    </i>
    <i>
      <x v="11"/>
    </i>
    <i>
      <x v="14"/>
    </i>
    <i>
      <x v="15"/>
    </i>
    <i>
      <x v="17"/>
    </i>
    <i>
      <x v="18"/>
    </i>
    <i>
      <x v="22"/>
    </i>
    <i>
      <x v="26"/>
    </i>
    <i>
      <x v="34"/>
    </i>
    <i>
      <x v="36"/>
    </i>
    <i>
      <x v="45"/>
    </i>
    <i>
      <x v="47"/>
    </i>
    <i>
      <x v="52"/>
    </i>
    <i>
      <x v="67"/>
    </i>
    <i>
      <x v="68"/>
    </i>
    <i>
      <x v="70"/>
    </i>
    <i>
      <x v="72"/>
    </i>
    <i>
      <x v="74"/>
    </i>
    <i>
      <x v="82"/>
    </i>
    <i t="grand">
      <x/>
    </i>
  </rowItems>
  <colFields count="2">
    <field x="29"/>
    <field x="30"/>
  </colFields>
  <colItems count="93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4"/>
    </i>
    <i>
      <x v="5"/>
      <x v="4"/>
    </i>
    <i r="1">
      <x v="5"/>
    </i>
    <i r="1">
      <x v="6"/>
    </i>
    <i r="1">
      <x v="7"/>
    </i>
    <i r="1">
      <x v="8"/>
    </i>
    <i r="1">
      <x v="9"/>
    </i>
    <i r="1">
      <x v="10"/>
    </i>
    <i t="default">
      <x v="5"/>
    </i>
    <i>
      <x v="6"/>
      <x v="2"/>
    </i>
    <i r="1">
      <x v="4"/>
    </i>
    <i r="1">
      <x v="7"/>
    </i>
    <i r="1">
      <x v="10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r="1">
      <x v="11"/>
    </i>
    <i r="1">
      <x v="12"/>
    </i>
    <i t="default">
      <x v="7"/>
    </i>
    <i>
      <x v="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8"/>
    </i>
    <i>
      <x v="9"/>
      <x v="7"/>
    </i>
    <i r="1">
      <x v="8"/>
    </i>
    <i r="1">
      <x v="10"/>
    </i>
    <i t="default">
      <x v="9"/>
    </i>
    <i>
      <x v="10"/>
      <x v="8"/>
    </i>
    <i t="default">
      <x v="10"/>
    </i>
    <i t="grand">
      <x/>
    </i>
  </colItems>
  <pageFields count="2">
    <pageField fld="21" hier="-1"/>
    <pageField fld="20" hier="-1"/>
  </pageFields>
  <dataFields count="1">
    <dataField name=" " fld="12" baseField="7" baseItem="54" numFmtId="164"/>
  </dataFields>
  <formats count="44">
    <format dxfId="1504">
      <pivotArea dataOnly="0" labelOnly="1" outline="0" axis="axisValues" fieldPosition="0"/>
    </format>
    <format dxfId="1503">
      <pivotArea type="all" dataOnly="0" outline="0" fieldPosition="0"/>
    </format>
    <format dxfId="1502">
      <pivotArea outline="0" collapsedLevelsAreSubtotals="1" fieldPosition="0"/>
    </format>
    <format dxfId="1501">
      <pivotArea dataOnly="0" labelOnly="1" grandRow="1" outline="0" fieldPosition="0"/>
    </format>
    <format dxfId="1500">
      <pivotArea dataOnly="0" labelOnly="1" outline="0" axis="axisValues" fieldPosition="0"/>
    </format>
    <format dxfId="1499">
      <pivotArea type="all" dataOnly="0" outline="0" fieldPosition="0"/>
    </format>
    <format dxfId="1498">
      <pivotArea outline="0" collapsedLevelsAreSubtotals="1" fieldPosition="0"/>
    </format>
    <format dxfId="1497">
      <pivotArea dataOnly="0" labelOnly="1" grandRow="1" outline="0" fieldPosition="0"/>
    </format>
    <format dxfId="1496">
      <pivotArea dataOnly="0" labelOnly="1" outline="0" axis="axisValues" fieldPosition="0"/>
    </format>
    <format dxfId="1495">
      <pivotArea dataOnly="0" labelOnly="1" outline="0" fieldPosition="0">
        <references count="1">
          <reference field="30" count="0"/>
        </references>
      </pivotArea>
    </format>
    <format dxfId="1494">
      <pivotArea dataOnly="0" labelOnly="1" grandRow="1" outline="0" fieldPosition="0"/>
    </format>
    <format dxfId="1493">
      <pivotArea outline="0" collapsedLevelsAreSubtotals="1" fieldPosition="0"/>
    </format>
    <format dxfId="1492">
      <pivotArea dataOnly="0" labelOnly="1" outline="0" axis="axisValues" fieldPosition="0"/>
    </format>
    <format dxfId="1491">
      <pivotArea field="30" type="button" dataOnly="0" labelOnly="1" outline="0" axis="axisCol" fieldPosition="1"/>
    </format>
    <format dxfId="1490">
      <pivotArea field="1" type="button" dataOnly="0" labelOnly="1" outline="0"/>
    </format>
    <format dxfId="1489">
      <pivotArea field="3" type="button" dataOnly="0" labelOnly="1" outline="0"/>
    </format>
    <format dxfId="1488">
      <pivotArea field="4" type="button" dataOnly="0" labelOnly="1" outline="0"/>
    </format>
    <format dxfId="1487">
      <pivotArea field="6" type="button" dataOnly="0" labelOnly="1" outline="0"/>
    </format>
    <format dxfId="1486">
      <pivotArea dataOnly="0" labelOnly="1" outline="0" axis="axisValues" fieldPosition="0"/>
    </format>
    <format dxfId="1485">
      <pivotArea outline="0" fieldPosition="0">
        <references count="1">
          <reference field="4294967294" count="1">
            <x v="0"/>
          </reference>
        </references>
      </pivotArea>
    </format>
    <format dxfId="1484">
      <pivotArea grandRow="1" grandCol="1" outline="0" collapsedLevelsAreSubtotals="1" fieldPosition="0"/>
    </format>
    <format dxfId="1483">
      <pivotArea field="7" type="button" dataOnly="0" labelOnly="1" outline="0" axis="axisRow" fieldPosition="0"/>
    </format>
    <format dxfId="1482">
      <pivotArea dataOnly="0" labelOnly="1" grandCol="1" outline="0" fieldPosition="0"/>
    </format>
    <format dxfId="1481">
      <pivotArea type="all" dataOnly="0" outline="0" fieldPosition="0"/>
    </format>
    <format dxfId="1480">
      <pivotArea outline="0" collapsedLevelsAreSubtotals="1" fieldPosition="0"/>
    </format>
    <format dxfId="1479">
      <pivotArea type="origin" dataOnly="0" labelOnly="1" outline="0" fieldPosition="0"/>
    </format>
    <format dxfId="1478">
      <pivotArea field="29" type="button" dataOnly="0" labelOnly="1" outline="0" axis="axisCol" fieldPosition="0"/>
    </format>
    <format dxfId="1477">
      <pivotArea field="30" type="button" dataOnly="0" labelOnly="1" outline="0" axis="axisCol" fieldPosition="1"/>
    </format>
    <format dxfId="1476">
      <pivotArea type="topRight" dataOnly="0" labelOnly="1" outline="0" fieldPosition="0"/>
    </format>
    <format dxfId="1475">
      <pivotArea field="7" type="button" dataOnly="0" labelOnly="1" outline="0" axis="axisRow" fieldPosition="0"/>
    </format>
    <format dxfId="1474">
      <pivotArea dataOnly="0" labelOnly="1" grandRow="1" outline="0" fieldPosition="0"/>
    </format>
    <format dxfId="1473">
      <pivotArea dataOnly="0" labelOnly="1" grandCol="1" outline="0" fieldPosition="0"/>
    </format>
    <format dxfId="1472">
      <pivotArea type="all" dataOnly="0" outline="0" fieldPosition="0"/>
    </format>
    <format dxfId="1471">
      <pivotArea outline="0" collapsedLevelsAreSubtotals="1" fieldPosition="0"/>
    </format>
    <format dxfId="1470">
      <pivotArea type="origin" dataOnly="0" labelOnly="1" outline="0" fieldPosition="0"/>
    </format>
    <format dxfId="1469">
      <pivotArea field="29" type="button" dataOnly="0" labelOnly="1" outline="0" axis="axisCol" fieldPosition="0"/>
    </format>
    <format dxfId="1468">
      <pivotArea field="30" type="button" dataOnly="0" labelOnly="1" outline="0" axis="axisCol" fieldPosition="1"/>
    </format>
    <format dxfId="1467">
      <pivotArea type="topRight" dataOnly="0" labelOnly="1" outline="0" fieldPosition="0"/>
    </format>
    <format dxfId="1466">
      <pivotArea field="7" type="button" dataOnly="0" labelOnly="1" outline="0" axis="axisRow" fieldPosition="0"/>
    </format>
    <format dxfId="1465">
      <pivotArea dataOnly="0" labelOnly="1" grandRow="1" outline="0" fieldPosition="0"/>
    </format>
    <format dxfId="1464">
      <pivotArea dataOnly="0" labelOnly="1" grandCol="1" outline="0" fieldPosition="0"/>
    </format>
    <format dxfId="1463">
      <pivotArea dataOnly="0" labelOnly="1" outline="0" fieldPosition="0">
        <references count="1">
          <reference field="29" count="0"/>
        </references>
      </pivotArea>
    </format>
    <format dxfId="1462">
      <pivotArea dataOnly="0" labelOnly="1" outline="0" fieldPosition="0">
        <references count="1">
          <reference field="29" count="0" defaultSubtotal="1"/>
        </references>
      </pivotArea>
    </format>
    <format dxfId="1461">
      <pivotArea dataOnly="0" labelOnly="1" grandCol="1" outline="0" fieldPosition="0"/>
    </format>
  </formats>
  <pivotTableStyleInfo name="Estilo de Tabela Dinâmica 1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D000000}" name="Tabela dinâmica8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6" indent="0" outline="1" outlineData="1" multipleFieldFilters="0">
  <location ref="CQ6:CQ29" firstHeaderRow="1" firstDataRow="1" firstDataCol="1" rowPageCount="1" colPageCount="1"/>
  <pivotFields count="2">
    <pivotField axis="axisRow" showAll="0" sortType="ascending">
      <items count="125">
        <item x="44"/>
        <item x="0"/>
        <item x="106"/>
        <item x="31"/>
        <item x="1"/>
        <item x="81"/>
        <item x="107"/>
        <item x="54"/>
        <item x="101"/>
        <item x="2"/>
        <item x="55"/>
        <item x="17"/>
        <item x="39"/>
        <item x="108"/>
        <item x="56"/>
        <item x="40"/>
        <item x="22"/>
        <item x="45"/>
        <item x="47"/>
        <item x="119"/>
        <item x="97"/>
        <item x="16"/>
        <item x="25"/>
        <item x="57"/>
        <item x="3"/>
        <item x="58"/>
        <item x="98"/>
        <item x="4"/>
        <item x="48"/>
        <item x="43"/>
        <item x="59"/>
        <item x="95"/>
        <item x="36"/>
        <item x="109"/>
        <item x="110"/>
        <item x="60"/>
        <item x="74"/>
        <item x="72"/>
        <item x="93"/>
        <item x="5"/>
        <item x="26"/>
        <item x="21"/>
        <item x="61"/>
        <item x="35"/>
        <item x="37"/>
        <item x="27"/>
        <item x="6"/>
        <item x="62"/>
        <item x="70"/>
        <item x="118"/>
        <item x="46"/>
        <item x="63"/>
        <item x="79"/>
        <item x="111"/>
        <item x="84"/>
        <item x="83"/>
        <item x="87"/>
        <item x="88"/>
        <item x="89"/>
        <item x="90"/>
        <item x="86"/>
        <item x="91"/>
        <item x="7"/>
        <item x="75"/>
        <item x="76"/>
        <item x="19"/>
        <item x="42"/>
        <item x="8"/>
        <item x="112"/>
        <item x="64"/>
        <item x="49"/>
        <item x="9"/>
        <item x="10"/>
        <item x="41"/>
        <item x="65"/>
        <item x="11"/>
        <item x="28"/>
        <item x="50"/>
        <item x="52"/>
        <item x="66"/>
        <item x="102"/>
        <item x="113"/>
        <item x="92"/>
        <item x="99"/>
        <item x="73"/>
        <item x="77"/>
        <item x="85"/>
        <item x="96"/>
        <item x="67"/>
        <item x="18"/>
        <item x="29"/>
        <item x="51"/>
        <item x="121"/>
        <item x="114"/>
        <item x="103"/>
        <item x="71"/>
        <item x="24"/>
        <item x="30"/>
        <item x="68"/>
        <item x="105"/>
        <item x="100"/>
        <item x="20"/>
        <item x="12"/>
        <item x="32"/>
        <item x="78"/>
        <item x="13"/>
        <item x="69"/>
        <item x="120"/>
        <item x="115"/>
        <item x="53"/>
        <item x="82"/>
        <item x="104"/>
        <item x="14"/>
        <item x="80"/>
        <item x="15"/>
        <item x="94"/>
        <item x="23"/>
        <item x="38"/>
        <item x="34"/>
        <item x="116"/>
        <item x="33"/>
        <item x="122"/>
        <item x="117"/>
        <item x="123"/>
        <item t="default"/>
      </items>
    </pivotField>
    <pivotField axis="axisPage" multipleItemSelectionAllowed="1" showAll="0">
      <items count="14">
        <item h="1" x="0"/>
        <item x="1"/>
        <item h="1" x="2"/>
        <item h="1" x="4"/>
        <item h="1" x="6"/>
        <item h="1" x="7"/>
        <item h="1" x="10"/>
        <item h="1" x="11"/>
        <item h="1" x="8"/>
        <item h="1" x="9"/>
        <item h="1" x="3"/>
        <item h="1" x="5"/>
        <item h="1" x="12"/>
        <item t="default"/>
      </items>
    </pivotField>
  </pivotFields>
  <rowFields count="1">
    <field x="0"/>
  </rowFields>
  <rowItems count="23">
    <i>
      <x/>
    </i>
    <i>
      <x v="3"/>
    </i>
    <i>
      <x v="12"/>
    </i>
    <i>
      <x v="15"/>
    </i>
    <i>
      <x v="17"/>
    </i>
    <i>
      <x v="18"/>
    </i>
    <i>
      <x v="28"/>
    </i>
    <i>
      <x v="29"/>
    </i>
    <i>
      <x v="32"/>
    </i>
    <i>
      <x v="40"/>
    </i>
    <i>
      <x v="43"/>
    </i>
    <i>
      <x v="44"/>
    </i>
    <i>
      <x v="45"/>
    </i>
    <i>
      <x v="50"/>
    </i>
    <i>
      <x v="66"/>
    </i>
    <i>
      <x v="73"/>
    </i>
    <i>
      <x v="76"/>
    </i>
    <i>
      <x v="90"/>
    </i>
    <i>
      <x v="97"/>
    </i>
    <i>
      <x v="103"/>
    </i>
    <i>
      <x v="117"/>
    </i>
    <i>
      <x v="118"/>
    </i>
    <i>
      <x v="120"/>
    </i>
  </rowItems>
  <colItems count="1">
    <i/>
  </colItems>
  <pageFields count="1">
    <pageField fld="1" hier="-1"/>
  </pageFields>
  <pivotTableStyleInfo name="Estilo de Tabela Dinâmica 1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8000000}" name="Tabela dinâmica3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6" indent="0" outline="1" outlineData="1" multipleFieldFilters="0">
  <location ref="BY6:BY23" firstHeaderRow="1" firstDataRow="1" firstDataCol="1" rowPageCount="1" colPageCount="1"/>
  <pivotFields count="2">
    <pivotField axis="axisRow" showAll="0" sortType="ascending">
      <items count="125">
        <item x="44"/>
        <item x="0"/>
        <item x="106"/>
        <item x="31"/>
        <item x="1"/>
        <item x="81"/>
        <item x="107"/>
        <item x="54"/>
        <item x="101"/>
        <item x="2"/>
        <item x="55"/>
        <item x="17"/>
        <item x="39"/>
        <item x="108"/>
        <item x="56"/>
        <item x="40"/>
        <item x="22"/>
        <item x="45"/>
        <item x="47"/>
        <item x="119"/>
        <item x="97"/>
        <item x="16"/>
        <item x="25"/>
        <item x="57"/>
        <item x="3"/>
        <item x="58"/>
        <item x="98"/>
        <item x="4"/>
        <item x="48"/>
        <item x="43"/>
        <item x="59"/>
        <item x="95"/>
        <item x="36"/>
        <item x="109"/>
        <item x="110"/>
        <item x="60"/>
        <item x="74"/>
        <item x="72"/>
        <item x="93"/>
        <item x="5"/>
        <item x="26"/>
        <item x="21"/>
        <item x="61"/>
        <item x="35"/>
        <item x="37"/>
        <item x="27"/>
        <item x="6"/>
        <item x="62"/>
        <item x="70"/>
        <item x="118"/>
        <item x="46"/>
        <item x="63"/>
        <item x="79"/>
        <item x="111"/>
        <item x="84"/>
        <item x="83"/>
        <item x="87"/>
        <item x="88"/>
        <item x="89"/>
        <item x="90"/>
        <item x="86"/>
        <item x="91"/>
        <item x="7"/>
        <item x="75"/>
        <item x="76"/>
        <item x="19"/>
        <item x="42"/>
        <item x="8"/>
        <item x="112"/>
        <item x="64"/>
        <item x="49"/>
        <item x="9"/>
        <item x="10"/>
        <item x="41"/>
        <item x="65"/>
        <item x="11"/>
        <item x="28"/>
        <item x="50"/>
        <item x="52"/>
        <item x="66"/>
        <item x="102"/>
        <item x="113"/>
        <item x="92"/>
        <item x="99"/>
        <item x="73"/>
        <item x="77"/>
        <item x="85"/>
        <item x="96"/>
        <item x="67"/>
        <item x="18"/>
        <item x="29"/>
        <item x="51"/>
        <item x="121"/>
        <item x="114"/>
        <item x="103"/>
        <item x="71"/>
        <item x="24"/>
        <item x="30"/>
        <item x="68"/>
        <item x="105"/>
        <item x="100"/>
        <item x="20"/>
        <item x="12"/>
        <item x="32"/>
        <item x="78"/>
        <item x="13"/>
        <item x="69"/>
        <item x="120"/>
        <item x="115"/>
        <item x="53"/>
        <item x="82"/>
        <item x="104"/>
        <item x="14"/>
        <item x="80"/>
        <item x="15"/>
        <item x="94"/>
        <item x="23"/>
        <item x="38"/>
        <item x="34"/>
        <item x="116"/>
        <item x="33"/>
        <item x="122"/>
        <item x="117"/>
        <item x="123"/>
        <item t="default"/>
      </items>
    </pivotField>
    <pivotField axis="axisPage" multipleItemSelectionAllowed="1" showAll="0">
      <items count="14">
        <item h="1" x="0"/>
        <item h="1" x="1"/>
        <item h="1" x="2"/>
        <item h="1" x="4"/>
        <item h="1" x="6"/>
        <item h="1" x="7"/>
        <item h="1" x="10"/>
        <item x="11"/>
        <item h="1" x="8"/>
        <item h="1" x="9"/>
        <item h="1" x="3"/>
        <item h="1" x="5"/>
        <item h="1" x="12"/>
        <item t="default"/>
      </items>
    </pivotField>
  </pivotFields>
  <rowFields count="1">
    <field x="0"/>
  </rowFields>
  <rowItems count="17">
    <i>
      <x v="2"/>
    </i>
    <i>
      <x v="6"/>
    </i>
    <i>
      <x v="13"/>
    </i>
    <i>
      <x v="19"/>
    </i>
    <i>
      <x v="33"/>
    </i>
    <i>
      <x v="34"/>
    </i>
    <i>
      <x v="49"/>
    </i>
    <i>
      <x v="53"/>
    </i>
    <i>
      <x v="68"/>
    </i>
    <i>
      <x v="81"/>
    </i>
    <i>
      <x v="92"/>
    </i>
    <i>
      <x v="93"/>
    </i>
    <i>
      <x v="107"/>
    </i>
    <i>
      <x v="108"/>
    </i>
    <i>
      <x v="119"/>
    </i>
    <i>
      <x v="121"/>
    </i>
    <i>
      <x v="122"/>
    </i>
  </rowItems>
  <colItems count="1">
    <i/>
  </colItems>
  <pageFields count="1">
    <pageField fld="1" hier="-1"/>
  </pageField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4000000}" name="Tabela dinâmica13" cacheId="1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6" indent="0" outline="1" outlineData="1" multipleFieldFilters="0">
  <location ref="N19:N21" firstHeaderRow="1" firstDataRow="1" firstDataCol="1"/>
  <pivotFields count="3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25"/>
  </rowFields>
  <rowItems count="2">
    <i>
      <x/>
    </i>
    <i>
      <x v="1"/>
    </i>
  </rowItems>
  <colItems count="1">
    <i/>
  </colItem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5000000}" name="Tabela dinâmica14" cacheId="1" applyNumberFormats="0" applyBorderFormats="0" applyFontFormats="0" applyPatternFormats="0" applyAlignmentFormats="0" applyWidthHeightFormats="1" dataCaption="Valores" updatedVersion="8" minRefreshableVersion="3" itemPrintTitles="1" createdVersion="6" indent="0" compact="0" compactData="0" multipleFieldFilters="0" chartFormat="9">
  <location ref="DI4:DM6" firstHeaderRow="1" firstDataRow="2" firstDataCol="1" rowPageCount="1" colPageCount="1"/>
  <pivotFields count="38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x="5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45">
        <item x="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46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ORNECEDOR" compact="0" outline="0" subtotalTop="0" showAll="0" defaultSubtotal="0">
      <items count="83">
        <item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DESPESA"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NÃO PAGO"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ÊS " axis="axisCol" compact="0" outline="0" subtotalTop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ÊS VENCIMENTO " compact="0" outline="0" subtotalTop="0" multipleItemSelectionAllowed="1" showAll="0" defaultSubtotal="0">
      <items count="13">
        <item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Items count="1">
    <i/>
  </rowItems>
  <colFields count="1">
    <field x="26"/>
  </colFields>
  <colItems count="4">
    <i>
      <x/>
    </i>
    <i>
      <x v="1"/>
    </i>
    <i>
      <x v="2"/>
    </i>
    <i t="grand">
      <x/>
    </i>
  </colItems>
  <pageFields count="1">
    <pageField fld="25" hier="-1"/>
  </pageFields>
  <dataFields count="1">
    <dataField name=" " fld="12" baseField="5" baseItem="5" numFmtId="164"/>
  </dataFields>
  <formats count="21">
    <format dxfId="1413">
      <pivotArea dataOnly="0" labelOnly="1" outline="0" axis="axisValues" fieldPosition="0"/>
    </format>
    <format dxfId="1412">
      <pivotArea type="all" dataOnly="0" outline="0" fieldPosition="0"/>
    </format>
    <format dxfId="1411">
      <pivotArea outline="0" collapsedLevelsAreSubtotals="1" fieldPosition="0"/>
    </format>
    <format dxfId="1410">
      <pivotArea dataOnly="0" labelOnly="1" grandRow="1" outline="0" fieldPosition="0"/>
    </format>
    <format dxfId="1409">
      <pivotArea dataOnly="0" labelOnly="1" outline="0" axis="axisValues" fieldPosition="0"/>
    </format>
    <format dxfId="1408">
      <pivotArea type="all" dataOnly="0" outline="0" fieldPosition="0"/>
    </format>
    <format dxfId="1407">
      <pivotArea outline="0" collapsedLevelsAreSubtotals="1" fieldPosition="0"/>
    </format>
    <format dxfId="1406">
      <pivotArea dataOnly="0" labelOnly="1" grandRow="1" outline="0" fieldPosition="0"/>
    </format>
    <format dxfId="1405">
      <pivotArea dataOnly="0" labelOnly="1" outline="0" axis="axisValues" fieldPosition="0"/>
    </format>
    <format dxfId="1404">
      <pivotArea dataOnly="0" labelOnly="1" grandRow="1" outline="0" fieldPosition="0"/>
    </format>
    <format dxfId="1403">
      <pivotArea outline="0" collapsedLevelsAreSubtotals="1" fieldPosition="0"/>
    </format>
    <format dxfId="1402">
      <pivotArea dataOnly="0" labelOnly="1" outline="0" axis="axisValues" fieldPosition="0"/>
    </format>
    <format dxfId="1401">
      <pivotArea field="30" type="button" dataOnly="0" labelOnly="1" outline="0"/>
    </format>
    <format dxfId="1400">
      <pivotArea field="1" type="button" dataOnly="0" labelOnly="1" outline="0"/>
    </format>
    <format dxfId="1399">
      <pivotArea field="3" type="button" dataOnly="0" labelOnly="1" outline="0"/>
    </format>
    <format dxfId="1398">
      <pivotArea field="4" type="button" dataOnly="0" labelOnly="1" outline="0"/>
    </format>
    <format dxfId="1397">
      <pivotArea field="6" type="button" dataOnly="0" labelOnly="1" outline="0"/>
    </format>
    <format dxfId="1396">
      <pivotArea field="7" type="button" dataOnly="0" labelOnly="1" outline="0"/>
    </format>
    <format dxfId="1395">
      <pivotArea dataOnly="0" labelOnly="1" outline="0" axis="axisValues" fieldPosition="0"/>
    </format>
    <format dxfId="1394">
      <pivotArea outline="0" fieldPosition="0">
        <references count="1">
          <reference field="4294967294" count="1">
            <x v="0"/>
          </reference>
        </references>
      </pivotArea>
    </format>
    <format dxfId="1393">
      <pivotArea dataOnly="0" labelOnly="1" grandCol="1" outline="0" fieldPosition="0"/>
    </format>
  </formats>
  <pivotTableStyleInfo name="Estilo de Tabela Dinâmica 1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Tabela dinâmica1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6" indent="0" outline="1" outlineData="1" multipleFieldFilters="0">
  <location ref="CE6:CE13" firstHeaderRow="1" firstDataRow="1" firstDataCol="1" rowPageCount="1" colPageCount="1"/>
  <pivotFields count="2">
    <pivotField axis="axisRow" showAll="0">
      <items count="125">
        <item x="52"/>
        <item x="113"/>
        <item x="102"/>
        <item x="66"/>
        <item x="11"/>
        <item x="50"/>
        <item x="28"/>
        <item x="77"/>
        <item x="85"/>
        <item x="73"/>
        <item x="92"/>
        <item x="99"/>
        <item x="0"/>
        <item x="1"/>
        <item x="4"/>
        <item x="5"/>
        <item x="9"/>
        <item x="15"/>
        <item x="29"/>
        <item x="32"/>
        <item x="51"/>
        <item x="6"/>
        <item x="8"/>
        <item x="10"/>
        <item x="26"/>
        <item x="72"/>
        <item x="75"/>
        <item x="78"/>
        <item x="100"/>
        <item x="103"/>
        <item x="107"/>
        <item x="56"/>
        <item x="58"/>
        <item x="59"/>
        <item x="61"/>
        <item x="63"/>
        <item x="104"/>
        <item x="60"/>
        <item x="106"/>
        <item x="115"/>
        <item x="111"/>
        <item x="101"/>
        <item x="76"/>
        <item x="117"/>
        <item x="112"/>
        <item x="3"/>
        <item x="2"/>
        <item x="98"/>
        <item x="14"/>
        <item x="49"/>
        <item x="7"/>
        <item x="33"/>
        <item x="55"/>
        <item x="27"/>
        <item x="116"/>
        <item x="108"/>
        <item x="110"/>
        <item x="109"/>
        <item x="13"/>
        <item x="114"/>
        <item x="16"/>
        <item x="17"/>
        <item x="19"/>
        <item x="20"/>
        <item x="30"/>
        <item x="34"/>
        <item x="35"/>
        <item x="69"/>
        <item x="118"/>
        <item x="119"/>
        <item x="120"/>
        <item x="121"/>
        <item x="53"/>
        <item x="54"/>
        <item x="105"/>
        <item x="97"/>
        <item x="12"/>
        <item x="36"/>
        <item x="37"/>
        <item x="93"/>
        <item x="94"/>
        <item x="21"/>
        <item x="122"/>
        <item x="95"/>
        <item x="38"/>
        <item x="67"/>
        <item x="79"/>
        <item x="83"/>
        <item x="84"/>
        <item x="86"/>
        <item x="87"/>
        <item x="88"/>
        <item x="89"/>
        <item x="90"/>
        <item x="91"/>
        <item x="22"/>
        <item x="39"/>
        <item x="40"/>
        <item x="23"/>
        <item x="41"/>
        <item x="42"/>
        <item x="74"/>
        <item x="24"/>
        <item x="43"/>
        <item x="96"/>
        <item x="44"/>
        <item x="45"/>
        <item x="80"/>
        <item x="81"/>
        <item x="25"/>
        <item x="57"/>
        <item x="62"/>
        <item x="64"/>
        <item x="65"/>
        <item x="68"/>
        <item x="70"/>
        <item x="46"/>
        <item x="82"/>
        <item x="31"/>
        <item x="18"/>
        <item x="71"/>
        <item x="47"/>
        <item x="123"/>
        <item x="48"/>
        <item t="default"/>
      </items>
    </pivotField>
    <pivotField axis="axisPage" multipleItemSelectionAllowed="1" showAll="0">
      <items count="14">
        <item h="1" x="0"/>
        <item h="1" x="1"/>
        <item h="1" x="2"/>
        <item h="1" x="4"/>
        <item h="1" x="6"/>
        <item h="1" x="7"/>
        <item h="1" x="10"/>
        <item h="1" x="11"/>
        <item x="8"/>
        <item h="1" x="9"/>
        <item h="1" x="3"/>
        <item h="1" x="5"/>
        <item h="1" x="12"/>
        <item t="default"/>
      </items>
    </pivotField>
  </pivotFields>
  <rowFields count="1">
    <field x="0"/>
  </rowFields>
  <rowItems count="7">
    <i>
      <x v="10"/>
    </i>
    <i>
      <x v="73"/>
    </i>
    <i>
      <x v="75"/>
    </i>
    <i>
      <x v="79"/>
    </i>
    <i>
      <x v="80"/>
    </i>
    <i>
      <x v="83"/>
    </i>
    <i>
      <x v="104"/>
    </i>
  </rowItems>
  <colItems count="1">
    <i/>
  </colItems>
  <pageFields count="1">
    <pageField fld="1" hier="-1"/>
  </pageField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B000000}" name="Tabela dinâmica6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6" indent="0" outline="1" outlineData="1" multipleFieldFilters="0">
  <location ref="CK6:CK32" firstHeaderRow="1" firstDataRow="1" firstDataCol="1" rowPageCount="1" colPageCount="1"/>
  <pivotFields count="2">
    <pivotField axis="axisRow" showAll="0" sortType="ascending">
      <items count="125">
        <item x="44"/>
        <item x="0"/>
        <item x="106"/>
        <item x="31"/>
        <item x="1"/>
        <item x="81"/>
        <item x="107"/>
        <item x="54"/>
        <item x="101"/>
        <item x="2"/>
        <item x="55"/>
        <item x="17"/>
        <item x="39"/>
        <item x="108"/>
        <item x="56"/>
        <item x="40"/>
        <item x="22"/>
        <item x="45"/>
        <item x="47"/>
        <item x="119"/>
        <item x="97"/>
        <item x="16"/>
        <item x="25"/>
        <item x="57"/>
        <item x="3"/>
        <item x="58"/>
        <item x="98"/>
        <item x="4"/>
        <item x="48"/>
        <item x="43"/>
        <item x="59"/>
        <item x="95"/>
        <item x="36"/>
        <item x="109"/>
        <item x="110"/>
        <item x="60"/>
        <item x="74"/>
        <item x="72"/>
        <item x="93"/>
        <item x="5"/>
        <item x="26"/>
        <item x="21"/>
        <item x="61"/>
        <item x="35"/>
        <item x="37"/>
        <item x="27"/>
        <item x="6"/>
        <item x="62"/>
        <item x="70"/>
        <item x="118"/>
        <item x="46"/>
        <item x="63"/>
        <item x="79"/>
        <item x="111"/>
        <item x="84"/>
        <item x="83"/>
        <item x="87"/>
        <item x="88"/>
        <item x="89"/>
        <item x="90"/>
        <item x="86"/>
        <item x="91"/>
        <item x="7"/>
        <item x="75"/>
        <item x="76"/>
        <item x="19"/>
        <item x="42"/>
        <item x="8"/>
        <item x="112"/>
        <item x="64"/>
        <item x="49"/>
        <item x="9"/>
        <item x="10"/>
        <item x="41"/>
        <item x="65"/>
        <item x="11"/>
        <item x="28"/>
        <item x="50"/>
        <item x="52"/>
        <item x="66"/>
        <item x="102"/>
        <item x="113"/>
        <item x="92"/>
        <item x="99"/>
        <item x="73"/>
        <item x="77"/>
        <item x="85"/>
        <item x="96"/>
        <item x="67"/>
        <item x="18"/>
        <item x="29"/>
        <item x="51"/>
        <item x="121"/>
        <item x="114"/>
        <item x="103"/>
        <item x="71"/>
        <item x="24"/>
        <item x="30"/>
        <item x="68"/>
        <item x="105"/>
        <item x="100"/>
        <item x="20"/>
        <item x="12"/>
        <item x="32"/>
        <item x="78"/>
        <item x="13"/>
        <item x="69"/>
        <item x="120"/>
        <item x="115"/>
        <item x="53"/>
        <item x="82"/>
        <item x="104"/>
        <item x="14"/>
        <item x="80"/>
        <item x="15"/>
        <item x="94"/>
        <item x="23"/>
        <item x="38"/>
        <item x="34"/>
        <item x="116"/>
        <item x="33"/>
        <item x="122"/>
        <item x="117"/>
        <item x="123"/>
        <item t="default"/>
      </items>
    </pivotField>
    <pivotField axis="axisPage" multipleItemSelectionAllowed="1" showAll="0">
      <items count="14">
        <item x="0"/>
        <item h="1" x="1"/>
        <item h="1" x="2"/>
        <item h="1" x="4"/>
        <item h="1" x="6"/>
        <item h="1" x="7"/>
        <item h="1" x="10"/>
        <item h="1" x="11"/>
        <item h="1" x="8"/>
        <item h="1" x="9"/>
        <item h="1" x="3"/>
        <item h="1" x="5"/>
        <item h="1" x="12"/>
        <item t="default"/>
      </items>
    </pivotField>
  </pivotFields>
  <rowFields count="1">
    <field x="0"/>
  </rowFields>
  <rowItems count="26">
    <i>
      <x v="1"/>
    </i>
    <i>
      <x v="4"/>
    </i>
    <i>
      <x v="9"/>
    </i>
    <i>
      <x v="11"/>
    </i>
    <i>
      <x v="16"/>
    </i>
    <i>
      <x v="21"/>
    </i>
    <i>
      <x v="22"/>
    </i>
    <i>
      <x v="24"/>
    </i>
    <i>
      <x v="27"/>
    </i>
    <i>
      <x v="39"/>
    </i>
    <i>
      <x v="41"/>
    </i>
    <i>
      <x v="46"/>
    </i>
    <i>
      <x v="62"/>
    </i>
    <i>
      <x v="65"/>
    </i>
    <i>
      <x v="67"/>
    </i>
    <i>
      <x v="71"/>
    </i>
    <i>
      <x v="72"/>
    </i>
    <i>
      <x v="75"/>
    </i>
    <i>
      <x v="89"/>
    </i>
    <i>
      <x v="96"/>
    </i>
    <i>
      <x v="101"/>
    </i>
    <i>
      <x v="102"/>
    </i>
    <i>
      <x v="105"/>
    </i>
    <i>
      <x v="112"/>
    </i>
    <i>
      <x v="114"/>
    </i>
    <i>
      <x v="116"/>
    </i>
  </rowItems>
  <colItems count="1">
    <i/>
  </colItems>
  <pageFields count="1">
    <pageField fld="1" hier="-1"/>
  </pageField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Tabela dinâmica10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6" indent="0" outline="1" outlineData="1" multipleFieldFilters="0">
  <location ref="CW6:CW15" firstHeaderRow="1" firstDataRow="1" firstDataCol="1" rowPageCount="1" colPageCount="1"/>
  <pivotFields count="2">
    <pivotField axis="axisRow" showAll="0">
      <items count="125">
        <item x="52"/>
        <item x="113"/>
        <item x="102"/>
        <item x="66"/>
        <item x="11"/>
        <item x="50"/>
        <item x="28"/>
        <item x="77"/>
        <item x="85"/>
        <item x="73"/>
        <item x="92"/>
        <item x="99"/>
        <item x="0"/>
        <item x="1"/>
        <item x="4"/>
        <item x="5"/>
        <item x="9"/>
        <item x="15"/>
        <item x="29"/>
        <item x="32"/>
        <item x="51"/>
        <item x="6"/>
        <item x="8"/>
        <item x="10"/>
        <item x="26"/>
        <item x="72"/>
        <item x="75"/>
        <item x="78"/>
        <item x="100"/>
        <item x="103"/>
        <item x="107"/>
        <item x="56"/>
        <item x="58"/>
        <item x="59"/>
        <item x="61"/>
        <item x="63"/>
        <item x="104"/>
        <item x="60"/>
        <item x="106"/>
        <item x="115"/>
        <item x="111"/>
        <item x="101"/>
        <item x="76"/>
        <item x="117"/>
        <item x="112"/>
        <item x="3"/>
        <item x="2"/>
        <item x="98"/>
        <item x="14"/>
        <item x="49"/>
        <item x="7"/>
        <item x="33"/>
        <item x="55"/>
        <item x="27"/>
        <item x="116"/>
        <item x="108"/>
        <item x="110"/>
        <item x="109"/>
        <item x="13"/>
        <item x="114"/>
        <item x="16"/>
        <item x="17"/>
        <item x="19"/>
        <item x="20"/>
        <item x="30"/>
        <item x="34"/>
        <item x="35"/>
        <item x="69"/>
        <item x="118"/>
        <item x="119"/>
        <item x="120"/>
        <item x="121"/>
        <item x="53"/>
        <item x="54"/>
        <item x="105"/>
        <item x="97"/>
        <item x="12"/>
        <item x="36"/>
        <item x="37"/>
        <item x="93"/>
        <item x="94"/>
        <item x="21"/>
        <item x="122"/>
        <item x="95"/>
        <item x="38"/>
        <item x="67"/>
        <item x="79"/>
        <item x="83"/>
        <item x="84"/>
        <item x="86"/>
        <item x="87"/>
        <item x="88"/>
        <item x="89"/>
        <item x="90"/>
        <item x="91"/>
        <item x="22"/>
        <item x="39"/>
        <item x="40"/>
        <item x="23"/>
        <item x="41"/>
        <item x="42"/>
        <item x="74"/>
        <item x="24"/>
        <item x="43"/>
        <item x="96"/>
        <item x="44"/>
        <item x="45"/>
        <item x="80"/>
        <item x="81"/>
        <item x="25"/>
        <item x="57"/>
        <item x="62"/>
        <item x="64"/>
        <item x="65"/>
        <item x="68"/>
        <item x="70"/>
        <item x="46"/>
        <item x="82"/>
        <item x="31"/>
        <item x="18"/>
        <item x="71"/>
        <item x="47"/>
        <item x="123"/>
        <item x="48"/>
        <item t="default"/>
      </items>
    </pivotField>
    <pivotField axis="axisPage" multipleItemSelectionAllowed="1" showAll="0">
      <items count="14">
        <item h="1" x="0"/>
        <item h="1" x="1"/>
        <item h="1" x="2"/>
        <item h="1" x="4"/>
        <item x="6"/>
        <item h="1" x="7"/>
        <item h="1" x="10"/>
        <item h="1" x="11"/>
        <item h="1" x="8"/>
        <item h="1" x="9"/>
        <item h="1" x="3"/>
        <item h="1" x="5"/>
        <item h="1" x="12"/>
        <item t="default"/>
      </items>
    </pivotField>
  </pivotFields>
  <rowFields count="1">
    <field x="0"/>
  </rowFields>
  <rowItems count="9">
    <i>
      <x v="7"/>
    </i>
    <i>
      <x v="26"/>
    </i>
    <i>
      <x v="27"/>
    </i>
    <i>
      <x v="42"/>
    </i>
    <i>
      <x v="53"/>
    </i>
    <i>
      <x v="86"/>
    </i>
    <i>
      <x v="107"/>
    </i>
    <i>
      <x v="108"/>
    </i>
    <i>
      <x v="117"/>
    </i>
  </rowItems>
  <colItems count="1">
    <i/>
  </colItems>
  <pageFields count="1">
    <pageField fld="1" hier="-1"/>
  </pageField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C000000}" name="Tabela dinâmica7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6" indent="0" outline="1" outlineData="1" multipleFieldFilters="0">
  <location ref="CN6:CN9" firstHeaderRow="1" firstDataRow="1" firstDataCol="1" rowPageCount="1" colPageCount="1"/>
  <pivotFields count="2">
    <pivotField axis="axisRow" showAll="0" sortType="ascending">
      <items count="125">
        <item x="44"/>
        <item x="0"/>
        <item x="106"/>
        <item x="31"/>
        <item x="1"/>
        <item x="81"/>
        <item x="107"/>
        <item x="54"/>
        <item x="101"/>
        <item x="2"/>
        <item x="55"/>
        <item x="17"/>
        <item x="39"/>
        <item x="108"/>
        <item x="56"/>
        <item x="40"/>
        <item x="22"/>
        <item x="45"/>
        <item x="47"/>
        <item x="119"/>
        <item x="97"/>
        <item x="16"/>
        <item x="25"/>
        <item x="57"/>
        <item x="3"/>
        <item x="58"/>
        <item x="98"/>
        <item x="4"/>
        <item x="48"/>
        <item x="43"/>
        <item x="59"/>
        <item x="95"/>
        <item x="36"/>
        <item x="109"/>
        <item x="110"/>
        <item x="60"/>
        <item x="74"/>
        <item x="72"/>
        <item x="93"/>
        <item x="5"/>
        <item x="26"/>
        <item x="21"/>
        <item x="61"/>
        <item x="35"/>
        <item x="37"/>
        <item x="27"/>
        <item x="6"/>
        <item x="62"/>
        <item x="70"/>
        <item x="118"/>
        <item x="46"/>
        <item x="63"/>
        <item x="79"/>
        <item x="111"/>
        <item x="84"/>
        <item x="83"/>
        <item x="87"/>
        <item x="88"/>
        <item x="89"/>
        <item x="90"/>
        <item x="86"/>
        <item x="91"/>
        <item x="7"/>
        <item x="75"/>
        <item x="76"/>
        <item x="19"/>
        <item x="42"/>
        <item x="8"/>
        <item x="112"/>
        <item x="64"/>
        <item x="49"/>
        <item x="9"/>
        <item x="10"/>
        <item x="41"/>
        <item x="65"/>
        <item x="11"/>
        <item x="28"/>
        <item x="50"/>
        <item x="52"/>
        <item x="66"/>
        <item x="102"/>
        <item x="113"/>
        <item x="92"/>
        <item x="99"/>
        <item x="73"/>
        <item x="77"/>
        <item x="85"/>
        <item x="96"/>
        <item x="67"/>
        <item x="18"/>
        <item x="29"/>
        <item x="51"/>
        <item x="121"/>
        <item x="114"/>
        <item x="103"/>
        <item x="71"/>
        <item x="24"/>
        <item x="30"/>
        <item x="68"/>
        <item x="105"/>
        <item x="100"/>
        <item x="20"/>
        <item x="12"/>
        <item x="32"/>
        <item x="78"/>
        <item x="13"/>
        <item x="69"/>
        <item x="120"/>
        <item x="115"/>
        <item x="53"/>
        <item x="82"/>
        <item x="104"/>
        <item x="14"/>
        <item x="80"/>
        <item x="15"/>
        <item x="94"/>
        <item x="23"/>
        <item x="38"/>
        <item x="34"/>
        <item x="116"/>
        <item x="33"/>
        <item x="122"/>
        <item x="117"/>
        <item x="123"/>
        <item t="default"/>
      </items>
    </pivotField>
    <pivotField axis="axisPage" multipleItemSelectionAllowed="1" showAll="0">
      <items count="14">
        <item h="1" x="0"/>
        <item h="1" x="1"/>
        <item x="2"/>
        <item h="1" x="4"/>
        <item h="1" x="6"/>
        <item h="1" x="7"/>
        <item h="1" x="10"/>
        <item h="1" x="11"/>
        <item h="1" x="8"/>
        <item h="1" x="9"/>
        <item h="1" x="3"/>
        <item h="1" x="5"/>
        <item h="1" x="12"/>
        <item t="default"/>
      </items>
    </pivotField>
  </pivotFields>
  <rowFields count="1">
    <field x="0"/>
  </rowFields>
  <rowItems count="3">
    <i>
      <x v="70"/>
    </i>
    <i>
      <x v="77"/>
    </i>
    <i>
      <x v="91"/>
    </i>
  </rowItems>
  <colItems count="1">
    <i/>
  </colItems>
  <pageFields count="1">
    <pageField fld="1" hier="-1"/>
  </pageField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7000000}" name="Tabela dinâmica2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6" indent="0" outline="1" outlineData="1" multipleFieldFilters="0">
  <location ref="DF6:DF14" firstHeaderRow="1" firstDataRow="1" firstDataCol="1" rowPageCount="1" colPageCount="1"/>
  <pivotFields count="2">
    <pivotField axis="axisRow" showAll="0">
      <items count="125">
        <item x="52"/>
        <item x="113"/>
        <item x="102"/>
        <item x="66"/>
        <item x="11"/>
        <item x="50"/>
        <item x="28"/>
        <item x="77"/>
        <item x="85"/>
        <item x="73"/>
        <item x="92"/>
        <item x="99"/>
        <item x="0"/>
        <item x="1"/>
        <item x="4"/>
        <item x="5"/>
        <item x="9"/>
        <item x="15"/>
        <item x="29"/>
        <item x="32"/>
        <item x="51"/>
        <item x="6"/>
        <item x="8"/>
        <item x="10"/>
        <item x="26"/>
        <item x="72"/>
        <item x="75"/>
        <item x="78"/>
        <item x="100"/>
        <item x="103"/>
        <item x="107"/>
        <item x="56"/>
        <item x="58"/>
        <item x="59"/>
        <item x="61"/>
        <item x="63"/>
        <item x="104"/>
        <item x="60"/>
        <item x="106"/>
        <item x="115"/>
        <item x="111"/>
        <item x="101"/>
        <item x="76"/>
        <item x="117"/>
        <item x="112"/>
        <item x="3"/>
        <item x="2"/>
        <item x="98"/>
        <item x="14"/>
        <item x="49"/>
        <item x="7"/>
        <item x="33"/>
        <item x="55"/>
        <item x="27"/>
        <item x="116"/>
        <item x="108"/>
        <item x="110"/>
        <item x="109"/>
        <item x="13"/>
        <item x="114"/>
        <item x="16"/>
        <item x="17"/>
        <item x="19"/>
        <item x="20"/>
        <item x="30"/>
        <item x="34"/>
        <item x="35"/>
        <item x="69"/>
        <item x="118"/>
        <item x="119"/>
        <item x="120"/>
        <item x="121"/>
        <item x="53"/>
        <item x="54"/>
        <item x="105"/>
        <item x="97"/>
        <item x="12"/>
        <item x="36"/>
        <item x="37"/>
        <item x="93"/>
        <item x="94"/>
        <item x="21"/>
        <item x="122"/>
        <item x="95"/>
        <item x="38"/>
        <item x="67"/>
        <item x="79"/>
        <item x="83"/>
        <item x="84"/>
        <item x="86"/>
        <item x="87"/>
        <item x="88"/>
        <item x="89"/>
        <item x="90"/>
        <item x="91"/>
        <item x="22"/>
        <item x="39"/>
        <item x="40"/>
        <item x="23"/>
        <item x="41"/>
        <item x="42"/>
        <item x="74"/>
        <item x="24"/>
        <item x="43"/>
        <item x="96"/>
        <item x="44"/>
        <item x="45"/>
        <item x="80"/>
        <item x="81"/>
        <item x="25"/>
        <item x="57"/>
        <item x="62"/>
        <item x="64"/>
        <item x="65"/>
        <item x="68"/>
        <item x="70"/>
        <item x="46"/>
        <item x="82"/>
        <item x="31"/>
        <item x="18"/>
        <item x="71"/>
        <item x="47"/>
        <item x="123"/>
        <item x="48"/>
        <item t="default"/>
      </items>
    </pivotField>
    <pivotField axis="axisPage" multipleItemSelectionAllowed="1" showAll="0">
      <items count="14">
        <item h="1" x="0"/>
        <item h="1" x="1"/>
        <item h="1" x="2"/>
        <item h="1" x="4"/>
        <item h="1" x="6"/>
        <item h="1" x="7"/>
        <item h="1" x="10"/>
        <item h="1" x="11"/>
        <item h="1" x="8"/>
        <item x="9"/>
        <item h="1" x="3"/>
        <item h="1" x="5"/>
        <item h="1" x="12"/>
        <item t="default"/>
      </items>
    </pivotField>
  </pivotFields>
  <rowFields count="1">
    <field x="0"/>
  </rowFields>
  <rowItems count="8">
    <i>
      <x v="11"/>
    </i>
    <i>
      <x v="28"/>
    </i>
    <i>
      <x v="47"/>
    </i>
    <i>
      <x v="73"/>
    </i>
    <i>
      <x v="75"/>
    </i>
    <i>
      <x v="76"/>
    </i>
    <i>
      <x v="79"/>
    </i>
    <i>
      <x v="80"/>
    </i>
  </rowItems>
  <colItems count="1">
    <i/>
  </colItems>
  <pageFields count="1">
    <pageField fld="1" hier="-1"/>
  </pageField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9000000}" name="Tabela dinâmica4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6" indent="0" outline="1" outlineData="1" multipleFieldFilters="0">
  <location ref="CB6:CB12" firstHeaderRow="1" firstDataRow="1" firstDataCol="1" rowPageCount="1" colPageCount="1"/>
  <pivotFields count="2">
    <pivotField axis="axisRow" showAll="0" sortType="ascending">
      <items count="125">
        <item x="44"/>
        <item x="0"/>
        <item x="106"/>
        <item x="31"/>
        <item x="1"/>
        <item x="81"/>
        <item x="107"/>
        <item x="54"/>
        <item x="101"/>
        <item x="2"/>
        <item x="55"/>
        <item x="17"/>
        <item x="39"/>
        <item x="108"/>
        <item x="56"/>
        <item x="40"/>
        <item x="22"/>
        <item x="45"/>
        <item x="47"/>
        <item x="119"/>
        <item x="97"/>
        <item x="16"/>
        <item x="25"/>
        <item x="57"/>
        <item x="3"/>
        <item x="58"/>
        <item x="98"/>
        <item x="4"/>
        <item x="48"/>
        <item x="43"/>
        <item x="59"/>
        <item x="95"/>
        <item x="36"/>
        <item x="109"/>
        <item x="110"/>
        <item x="60"/>
        <item x="74"/>
        <item x="72"/>
        <item x="93"/>
        <item x="5"/>
        <item x="26"/>
        <item x="21"/>
        <item x="61"/>
        <item x="35"/>
        <item x="37"/>
        <item x="27"/>
        <item x="6"/>
        <item x="62"/>
        <item x="70"/>
        <item x="118"/>
        <item x="46"/>
        <item x="63"/>
        <item x="79"/>
        <item x="111"/>
        <item x="84"/>
        <item x="83"/>
        <item x="87"/>
        <item x="88"/>
        <item x="89"/>
        <item x="90"/>
        <item x="86"/>
        <item x="91"/>
        <item x="7"/>
        <item x="75"/>
        <item x="76"/>
        <item x="19"/>
        <item x="42"/>
        <item x="8"/>
        <item x="112"/>
        <item x="64"/>
        <item x="49"/>
        <item x="9"/>
        <item x="10"/>
        <item x="41"/>
        <item x="65"/>
        <item x="11"/>
        <item x="28"/>
        <item x="50"/>
        <item x="52"/>
        <item x="66"/>
        <item x="102"/>
        <item x="113"/>
        <item x="92"/>
        <item x="99"/>
        <item x="73"/>
        <item x="77"/>
        <item x="85"/>
        <item x="96"/>
        <item x="67"/>
        <item x="18"/>
        <item x="29"/>
        <item x="51"/>
        <item x="121"/>
        <item x="114"/>
        <item x="103"/>
        <item x="71"/>
        <item x="24"/>
        <item x="30"/>
        <item x="68"/>
        <item x="105"/>
        <item x="100"/>
        <item x="20"/>
        <item x="12"/>
        <item x="32"/>
        <item x="78"/>
        <item x="13"/>
        <item x="69"/>
        <item x="120"/>
        <item x="115"/>
        <item x="53"/>
        <item x="82"/>
        <item x="104"/>
        <item x="14"/>
        <item x="80"/>
        <item x="15"/>
        <item x="94"/>
        <item x="23"/>
        <item x="38"/>
        <item x="34"/>
        <item x="116"/>
        <item x="33"/>
        <item x="122"/>
        <item x="117"/>
        <item x="123"/>
        <item t="default"/>
      </items>
    </pivotField>
    <pivotField axis="axisPage" multipleItemSelectionAllowed="1" showAll="0">
      <items count="14">
        <item h="1" x="0"/>
        <item h="1" x="1"/>
        <item h="1" x="2"/>
        <item h="1" x="4"/>
        <item h="1" x="6"/>
        <item h="1" x="7"/>
        <item x="10"/>
        <item h="1" x="11"/>
        <item h="1" x="8"/>
        <item h="1" x="9"/>
        <item h="1" x="3"/>
        <item h="1" x="5"/>
        <item h="1" x="12"/>
        <item t="default"/>
      </items>
    </pivotField>
  </pivotFields>
  <rowFields count="1">
    <field x="0"/>
  </rowFields>
  <rowItems count="6">
    <i>
      <x v="8"/>
    </i>
    <i>
      <x v="36"/>
    </i>
    <i>
      <x v="80"/>
    </i>
    <i>
      <x v="94"/>
    </i>
    <i>
      <x v="99"/>
    </i>
    <i>
      <x v="111"/>
    </i>
  </rowItems>
  <colItems count="1">
    <i/>
  </colItems>
  <pageFields count="1">
    <pageField fld="1" hier="-1"/>
  </pageField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E000000}" name="Tabela dinâmica9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6" indent="0" outline="1" outlineData="1" multipleFieldFilters="0">
  <location ref="CT6:CT9" firstHeaderRow="1" firstDataRow="1" firstDataCol="1" rowPageCount="1" colPageCount="1"/>
  <pivotFields count="2">
    <pivotField axis="axisRow" showAll="0" sortType="ascending">
      <items count="125">
        <item x="44"/>
        <item x="0"/>
        <item x="106"/>
        <item x="31"/>
        <item x="1"/>
        <item x="81"/>
        <item x="107"/>
        <item x="54"/>
        <item x="101"/>
        <item x="2"/>
        <item x="55"/>
        <item x="17"/>
        <item x="39"/>
        <item x="108"/>
        <item x="56"/>
        <item x="40"/>
        <item x="22"/>
        <item x="45"/>
        <item x="47"/>
        <item x="119"/>
        <item x="97"/>
        <item x="16"/>
        <item x="25"/>
        <item x="57"/>
        <item x="3"/>
        <item x="58"/>
        <item x="98"/>
        <item x="4"/>
        <item x="48"/>
        <item x="43"/>
        <item x="59"/>
        <item x="95"/>
        <item x="36"/>
        <item x="109"/>
        <item x="110"/>
        <item x="60"/>
        <item x="74"/>
        <item x="72"/>
        <item x="93"/>
        <item x="5"/>
        <item x="26"/>
        <item x="21"/>
        <item x="61"/>
        <item x="35"/>
        <item x="37"/>
        <item x="27"/>
        <item x="6"/>
        <item x="62"/>
        <item x="70"/>
        <item x="118"/>
        <item x="46"/>
        <item x="63"/>
        <item x="79"/>
        <item x="111"/>
        <item x="84"/>
        <item x="83"/>
        <item x="87"/>
        <item x="88"/>
        <item x="89"/>
        <item x="90"/>
        <item x="86"/>
        <item x="91"/>
        <item x="7"/>
        <item x="75"/>
        <item x="76"/>
        <item x="19"/>
        <item x="42"/>
        <item x="8"/>
        <item x="112"/>
        <item x="64"/>
        <item x="49"/>
        <item x="9"/>
        <item x="10"/>
        <item x="41"/>
        <item x="65"/>
        <item x="11"/>
        <item x="28"/>
        <item x="50"/>
        <item x="52"/>
        <item x="66"/>
        <item x="102"/>
        <item x="113"/>
        <item x="92"/>
        <item x="99"/>
        <item x="73"/>
        <item x="77"/>
        <item x="85"/>
        <item x="96"/>
        <item x="67"/>
        <item x="18"/>
        <item x="29"/>
        <item x="51"/>
        <item x="121"/>
        <item x="114"/>
        <item x="103"/>
        <item x="71"/>
        <item x="24"/>
        <item x="30"/>
        <item x="68"/>
        <item x="105"/>
        <item x="100"/>
        <item x="20"/>
        <item x="12"/>
        <item x="32"/>
        <item x="78"/>
        <item x="13"/>
        <item x="69"/>
        <item x="120"/>
        <item x="115"/>
        <item x="53"/>
        <item x="82"/>
        <item x="104"/>
        <item x="14"/>
        <item x="80"/>
        <item x="15"/>
        <item x="94"/>
        <item x="23"/>
        <item x="38"/>
        <item x="34"/>
        <item x="116"/>
        <item x="33"/>
        <item x="122"/>
        <item x="117"/>
        <item x="123"/>
        <item t="default"/>
      </items>
    </pivotField>
    <pivotField axis="axisPage" multipleItemSelectionAllowed="1" showAll="0">
      <items count="14">
        <item h="1" x="0"/>
        <item h="1" x="1"/>
        <item h="1" x="2"/>
        <item h="1" x="4"/>
        <item h="1" x="6"/>
        <item h="1" x="7"/>
        <item h="1" x="10"/>
        <item h="1" x="11"/>
        <item h="1" x="8"/>
        <item h="1" x="9"/>
        <item x="3"/>
        <item h="1" x="5"/>
        <item h="1" x="12"/>
        <item t="default"/>
      </items>
    </pivotField>
  </pivotFields>
  <rowFields count="1">
    <field x="0"/>
  </rowFields>
  <rowItems count="3">
    <i>
      <x v="7"/>
    </i>
    <i>
      <x v="78"/>
    </i>
    <i>
      <x v="109"/>
    </i>
  </rowItems>
  <colItems count="1">
    <i/>
  </colItems>
  <pageFields count="1">
    <pageField fld="1" hier="-1"/>
  </pageField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6000000}" name="Tabela dinâmica15" cacheId="1" applyNumberFormats="0" applyBorderFormats="0" applyFontFormats="0" applyPatternFormats="0" applyAlignmentFormats="0" applyWidthHeightFormats="1" dataCaption="Valores" updatedVersion="8" minRefreshableVersion="3" itemPrintTitles="1" createdVersion="6" indent="0" compact="0" compactData="0" multipleFieldFilters="0" chartFormat="13">
  <location ref="DY4:EC6" firstHeaderRow="1" firstDataRow="2" firstDataCol="1" rowPageCount="1" colPageCount="1"/>
  <pivotFields count="38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x="5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45">
        <item x="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46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ORNECEDOR" compact="0" outline="0" subtotalTop="0" showAll="0" defaultSubtotal="0">
      <items count="83">
        <item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DESPESA"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NÃO PAGO"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ÊS " axis="axisCol" compact="0" outline="0" subtotalTop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ÊS VENCIMENTO " compact="0" outline="0" subtotalTop="0" multipleItemSelectionAllowed="1" showAll="0" defaultSubtotal="0">
      <items count="13">
        <item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Items count="1">
    <i/>
  </rowItems>
  <colFields count="1">
    <field x="26"/>
  </colFields>
  <colItems count="4">
    <i>
      <x/>
    </i>
    <i>
      <x v="1"/>
    </i>
    <i>
      <x v="2"/>
    </i>
    <i t="grand">
      <x/>
    </i>
  </colItems>
  <pageFields count="1">
    <pageField fld="25" hier="-1"/>
  </pageFields>
  <dataFields count="1">
    <dataField name=" " fld="12" baseField="5" baseItem="5" numFmtId="164"/>
  </dataFields>
  <formats count="21">
    <format dxfId="1434">
      <pivotArea dataOnly="0" labelOnly="1" outline="0" axis="axisValues" fieldPosition="0"/>
    </format>
    <format dxfId="1433">
      <pivotArea type="all" dataOnly="0" outline="0" fieldPosition="0"/>
    </format>
    <format dxfId="1432">
      <pivotArea outline="0" collapsedLevelsAreSubtotals="1" fieldPosition="0"/>
    </format>
    <format dxfId="1431">
      <pivotArea dataOnly="0" labelOnly="1" grandRow="1" outline="0" fieldPosition="0"/>
    </format>
    <format dxfId="1430">
      <pivotArea dataOnly="0" labelOnly="1" outline="0" axis="axisValues" fieldPosition="0"/>
    </format>
    <format dxfId="1429">
      <pivotArea type="all" dataOnly="0" outline="0" fieldPosition="0"/>
    </format>
    <format dxfId="1428">
      <pivotArea outline="0" collapsedLevelsAreSubtotals="1" fieldPosition="0"/>
    </format>
    <format dxfId="1427">
      <pivotArea dataOnly="0" labelOnly="1" grandRow="1" outline="0" fieldPosition="0"/>
    </format>
    <format dxfId="1426">
      <pivotArea dataOnly="0" labelOnly="1" outline="0" axis="axisValues" fieldPosition="0"/>
    </format>
    <format dxfId="1425">
      <pivotArea dataOnly="0" labelOnly="1" grandRow="1" outline="0" fieldPosition="0"/>
    </format>
    <format dxfId="1424">
      <pivotArea outline="0" collapsedLevelsAreSubtotals="1" fieldPosition="0"/>
    </format>
    <format dxfId="1423">
      <pivotArea dataOnly="0" labelOnly="1" outline="0" axis="axisValues" fieldPosition="0"/>
    </format>
    <format dxfId="1422">
      <pivotArea field="30" type="button" dataOnly="0" labelOnly="1" outline="0"/>
    </format>
    <format dxfId="1421">
      <pivotArea field="1" type="button" dataOnly="0" labelOnly="1" outline="0"/>
    </format>
    <format dxfId="1420">
      <pivotArea field="3" type="button" dataOnly="0" labelOnly="1" outline="0"/>
    </format>
    <format dxfId="1419">
      <pivotArea field="4" type="button" dataOnly="0" labelOnly="1" outline="0"/>
    </format>
    <format dxfId="1418">
      <pivotArea field="6" type="button" dataOnly="0" labelOnly="1" outline="0"/>
    </format>
    <format dxfId="1417">
      <pivotArea field="7" type="button" dataOnly="0" labelOnly="1" outline="0"/>
    </format>
    <format dxfId="1416">
      <pivotArea dataOnly="0" labelOnly="1" outline="0" axis="axisValues" fieldPosition="0"/>
    </format>
    <format dxfId="1415">
      <pivotArea outline="0" fieldPosition="0">
        <references count="1">
          <reference field="4294967294" count="1">
            <x v="0"/>
          </reference>
        </references>
      </pivotArea>
    </format>
    <format dxfId="1414">
      <pivotArea dataOnly="0" labelOnly="1" grandCol="1" outline="0" fieldPosition="0"/>
    </format>
  </formats>
  <pivotTableStyleInfo name="Estilo de Tabela Dinâmica 1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2000000}" name="Tabela dinâmica11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6" indent="0" outline="1" outlineData="1" multipleFieldFilters="0">
  <location ref="CZ6:CZ15" firstHeaderRow="1" firstDataRow="1" firstDataCol="1" rowPageCount="1" colPageCount="1"/>
  <pivotFields count="2">
    <pivotField axis="axisRow" showAll="0">
      <items count="125">
        <item x="52"/>
        <item x="113"/>
        <item x="102"/>
        <item x="66"/>
        <item x="11"/>
        <item x="50"/>
        <item x="28"/>
        <item x="77"/>
        <item x="85"/>
        <item x="73"/>
        <item x="92"/>
        <item x="99"/>
        <item x="0"/>
        <item x="1"/>
        <item x="4"/>
        <item x="5"/>
        <item x="9"/>
        <item x="15"/>
        <item x="29"/>
        <item x="32"/>
        <item x="51"/>
        <item x="6"/>
        <item x="8"/>
        <item x="10"/>
        <item x="26"/>
        <item x="72"/>
        <item x="75"/>
        <item x="78"/>
        <item x="100"/>
        <item x="103"/>
        <item x="107"/>
        <item x="56"/>
        <item x="58"/>
        <item x="59"/>
        <item x="61"/>
        <item x="63"/>
        <item x="104"/>
        <item x="60"/>
        <item x="106"/>
        <item x="115"/>
        <item x="111"/>
        <item x="101"/>
        <item x="76"/>
        <item x="117"/>
        <item x="112"/>
        <item x="3"/>
        <item x="2"/>
        <item x="98"/>
        <item x="14"/>
        <item x="49"/>
        <item x="7"/>
        <item x="33"/>
        <item x="55"/>
        <item x="27"/>
        <item x="116"/>
        <item x="108"/>
        <item x="110"/>
        <item x="109"/>
        <item x="13"/>
        <item x="114"/>
        <item x="16"/>
        <item x="17"/>
        <item x="19"/>
        <item x="20"/>
        <item x="30"/>
        <item x="34"/>
        <item x="35"/>
        <item x="69"/>
        <item x="118"/>
        <item x="119"/>
        <item x="120"/>
        <item x="121"/>
        <item x="53"/>
        <item x="54"/>
        <item x="105"/>
        <item x="97"/>
        <item x="12"/>
        <item x="36"/>
        <item x="37"/>
        <item x="93"/>
        <item x="94"/>
        <item x="21"/>
        <item x="122"/>
        <item x="95"/>
        <item x="38"/>
        <item x="67"/>
        <item x="79"/>
        <item x="83"/>
        <item x="84"/>
        <item x="86"/>
        <item x="87"/>
        <item x="88"/>
        <item x="89"/>
        <item x="90"/>
        <item x="91"/>
        <item x="22"/>
        <item x="39"/>
        <item x="40"/>
        <item x="23"/>
        <item x="41"/>
        <item x="42"/>
        <item x="74"/>
        <item x="24"/>
        <item x="43"/>
        <item x="96"/>
        <item x="44"/>
        <item x="45"/>
        <item x="80"/>
        <item x="81"/>
        <item x="25"/>
        <item x="57"/>
        <item x="62"/>
        <item x="64"/>
        <item x="65"/>
        <item x="68"/>
        <item x="70"/>
        <item x="46"/>
        <item x="82"/>
        <item x="31"/>
        <item x="18"/>
        <item x="71"/>
        <item x="47"/>
        <item x="123"/>
        <item x="48"/>
        <item t="default"/>
      </items>
    </pivotField>
    <pivotField axis="axisPage" multipleItemSelectionAllowed="1" showAll="0">
      <items count="14">
        <item h="1" x="0"/>
        <item h="1" x="1"/>
        <item h="1" x="2"/>
        <item h="1" x="4"/>
        <item h="1" x="6"/>
        <item x="7"/>
        <item h="1" x="10"/>
        <item h="1" x="11"/>
        <item h="1" x="8"/>
        <item h="1" x="9"/>
        <item h="1" x="3"/>
        <item h="1" x="5"/>
        <item h="1" x="12"/>
        <item t="default"/>
      </items>
    </pivotField>
  </pivotFields>
  <rowFields count="1">
    <field x="0"/>
  </rowFields>
  <rowItems count="9">
    <i>
      <x v="8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pageFields count="1">
    <pageField fld="1" hier="-1"/>
  </pageField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3000000}" name="Tabela dinâmica12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6" indent="0" outline="1" outlineData="1" multipleFieldFilters="0">
  <location ref="DC6:DC9" firstHeaderRow="1" firstDataRow="1" firstDataCol="1" rowPageCount="1" colPageCount="1"/>
  <pivotFields count="2">
    <pivotField axis="axisRow" showAll="0">
      <items count="125">
        <item x="52"/>
        <item x="113"/>
        <item x="102"/>
        <item x="66"/>
        <item x="11"/>
        <item x="50"/>
        <item x="28"/>
        <item x="77"/>
        <item x="85"/>
        <item x="73"/>
        <item x="92"/>
        <item x="99"/>
        <item x="0"/>
        <item x="1"/>
        <item x="4"/>
        <item x="5"/>
        <item x="9"/>
        <item x="15"/>
        <item x="29"/>
        <item x="32"/>
        <item x="51"/>
        <item x="6"/>
        <item x="8"/>
        <item x="10"/>
        <item x="26"/>
        <item x="72"/>
        <item x="75"/>
        <item x="78"/>
        <item x="100"/>
        <item x="103"/>
        <item x="107"/>
        <item x="56"/>
        <item x="58"/>
        <item x="59"/>
        <item x="61"/>
        <item x="63"/>
        <item x="104"/>
        <item x="60"/>
        <item x="106"/>
        <item x="115"/>
        <item x="111"/>
        <item x="101"/>
        <item x="76"/>
        <item x="117"/>
        <item x="112"/>
        <item x="3"/>
        <item x="2"/>
        <item x="98"/>
        <item x="14"/>
        <item x="49"/>
        <item x="7"/>
        <item x="33"/>
        <item x="55"/>
        <item x="27"/>
        <item x="116"/>
        <item x="108"/>
        <item x="110"/>
        <item x="109"/>
        <item x="13"/>
        <item x="114"/>
        <item x="16"/>
        <item x="17"/>
        <item x="19"/>
        <item x="20"/>
        <item x="30"/>
        <item x="34"/>
        <item x="35"/>
        <item x="69"/>
        <item x="118"/>
        <item x="119"/>
        <item x="120"/>
        <item x="121"/>
        <item x="53"/>
        <item x="54"/>
        <item x="105"/>
        <item x="97"/>
        <item x="12"/>
        <item x="36"/>
        <item x="37"/>
        <item x="93"/>
        <item x="94"/>
        <item x="21"/>
        <item x="122"/>
        <item x="95"/>
        <item x="38"/>
        <item x="67"/>
        <item x="79"/>
        <item x="83"/>
        <item x="84"/>
        <item x="86"/>
        <item x="87"/>
        <item x="88"/>
        <item x="89"/>
        <item x="90"/>
        <item x="91"/>
        <item x="22"/>
        <item x="39"/>
        <item x="40"/>
        <item x="23"/>
        <item x="41"/>
        <item x="42"/>
        <item x="74"/>
        <item x="24"/>
        <item x="43"/>
        <item x="96"/>
        <item x="44"/>
        <item x="45"/>
        <item x="80"/>
        <item x="81"/>
        <item x="25"/>
        <item x="57"/>
        <item x="62"/>
        <item x="64"/>
        <item x="65"/>
        <item x="68"/>
        <item x="70"/>
        <item x="46"/>
        <item x="82"/>
        <item x="31"/>
        <item x="18"/>
        <item x="71"/>
        <item x="47"/>
        <item x="123"/>
        <item x="48"/>
        <item t="default"/>
      </items>
    </pivotField>
    <pivotField axis="axisPage" multipleItemSelectionAllowed="1" showAll="0">
      <items count="14">
        <item h="1" x="0"/>
        <item h="1" x="1"/>
        <item h="1" x="2"/>
        <item h="1" x="4"/>
        <item h="1" x="6"/>
        <item h="1" x="7"/>
        <item h="1" x="10"/>
        <item h="1" x="11"/>
        <item h="1" x="8"/>
        <item h="1" x="9"/>
        <item h="1" x="3"/>
        <item x="5"/>
        <item h="1" x="12"/>
        <item t="default"/>
      </items>
    </pivotField>
  </pivotFields>
  <rowFields count="1">
    <field x="0"/>
  </rowFields>
  <rowItems count="3">
    <i>
      <x v="9"/>
    </i>
    <i>
      <x v="25"/>
    </i>
    <i>
      <x v="101"/>
    </i>
  </rowItems>
  <colItems count="1">
    <i/>
  </colItems>
  <pageFields count="1">
    <pageField fld="1" hier="-1"/>
  </pageField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A000000}" name="Tabela dinâmica5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6" indent="0" outline="1" outlineData="1" multipleFieldFilters="0">
  <location ref="CH6:CH24" firstHeaderRow="1" firstDataRow="1" firstDataCol="1" rowPageCount="1" colPageCount="1"/>
  <pivotFields count="2">
    <pivotField axis="axisRow" showAll="0" sortType="ascending">
      <items count="125">
        <item x="44"/>
        <item x="0"/>
        <item x="106"/>
        <item x="31"/>
        <item x="1"/>
        <item x="81"/>
        <item x="107"/>
        <item x="54"/>
        <item x="101"/>
        <item x="2"/>
        <item x="55"/>
        <item x="17"/>
        <item x="39"/>
        <item x="108"/>
        <item x="56"/>
        <item x="40"/>
        <item x="22"/>
        <item x="45"/>
        <item x="47"/>
        <item x="119"/>
        <item x="97"/>
        <item x="16"/>
        <item x="25"/>
        <item x="57"/>
        <item x="3"/>
        <item x="58"/>
        <item x="98"/>
        <item x="4"/>
        <item x="48"/>
        <item x="43"/>
        <item x="59"/>
        <item x="95"/>
        <item x="36"/>
        <item x="109"/>
        <item x="110"/>
        <item x="60"/>
        <item x="74"/>
        <item x="72"/>
        <item x="93"/>
        <item x="5"/>
        <item x="26"/>
        <item x="21"/>
        <item x="61"/>
        <item x="35"/>
        <item x="37"/>
        <item x="27"/>
        <item x="6"/>
        <item x="62"/>
        <item x="70"/>
        <item x="118"/>
        <item x="46"/>
        <item x="63"/>
        <item x="79"/>
        <item x="111"/>
        <item x="84"/>
        <item x="83"/>
        <item x="87"/>
        <item x="88"/>
        <item x="89"/>
        <item x="90"/>
        <item x="86"/>
        <item x="91"/>
        <item x="7"/>
        <item x="75"/>
        <item x="76"/>
        <item x="19"/>
        <item x="42"/>
        <item x="8"/>
        <item x="112"/>
        <item x="64"/>
        <item x="49"/>
        <item x="9"/>
        <item x="10"/>
        <item x="41"/>
        <item x="65"/>
        <item x="11"/>
        <item x="28"/>
        <item x="50"/>
        <item x="52"/>
        <item x="66"/>
        <item x="102"/>
        <item x="113"/>
        <item x="92"/>
        <item x="99"/>
        <item x="73"/>
        <item x="77"/>
        <item x="85"/>
        <item x="96"/>
        <item x="67"/>
        <item x="18"/>
        <item x="29"/>
        <item x="51"/>
        <item x="121"/>
        <item x="114"/>
        <item x="103"/>
        <item x="71"/>
        <item x="24"/>
        <item x="30"/>
        <item x="68"/>
        <item x="105"/>
        <item x="100"/>
        <item x="20"/>
        <item x="12"/>
        <item x="32"/>
        <item x="78"/>
        <item x="13"/>
        <item x="69"/>
        <item x="120"/>
        <item x="115"/>
        <item x="53"/>
        <item x="82"/>
        <item x="104"/>
        <item x="14"/>
        <item x="80"/>
        <item x="15"/>
        <item x="94"/>
        <item x="23"/>
        <item x="38"/>
        <item x="34"/>
        <item x="116"/>
        <item x="33"/>
        <item x="122"/>
        <item x="117"/>
        <item x="123"/>
        <item t="default"/>
      </items>
    </pivotField>
    <pivotField axis="axisPage" multipleItemSelectionAllowed="1" showAll="0">
      <items count="14">
        <item h="1" x="0"/>
        <item h="1" x="1"/>
        <item h="1" x="2"/>
        <item x="4"/>
        <item h="1" x="6"/>
        <item h="1" x="7"/>
        <item h="1" x="10"/>
        <item h="1" x="11"/>
        <item h="1" x="8"/>
        <item h="1" x="9"/>
        <item h="1" x="3"/>
        <item h="1" x="5"/>
        <item h="1" x="12"/>
        <item t="default"/>
      </items>
    </pivotField>
  </pivotFields>
  <rowFields count="1">
    <field x="0"/>
  </rowFields>
  <rowItems count="18">
    <i>
      <x v="10"/>
    </i>
    <i>
      <x v="14"/>
    </i>
    <i>
      <x v="23"/>
    </i>
    <i>
      <x v="25"/>
    </i>
    <i>
      <x v="30"/>
    </i>
    <i>
      <x v="35"/>
    </i>
    <i>
      <x v="42"/>
    </i>
    <i>
      <x v="46"/>
    </i>
    <i>
      <x v="47"/>
    </i>
    <i>
      <x v="48"/>
    </i>
    <i>
      <x v="51"/>
    </i>
    <i>
      <x v="69"/>
    </i>
    <i>
      <x v="74"/>
    </i>
    <i>
      <x v="79"/>
    </i>
    <i>
      <x v="88"/>
    </i>
    <i>
      <x v="95"/>
    </i>
    <i>
      <x v="98"/>
    </i>
    <i>
      <x v="106"/>
    </i>
  </rowItems>
  <colItems count="1">
    <i/>
  </colItems>
  <pageFields count="1">
    <pageField fld="1" hier="-1"/>
  </pageField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0000000}" name="CAD_Empresa" displayName="CAD_Empresa" ref="B4:H29" totalsRowShown="0" headerRowDxfId="1807" dataDxfId="1805" headerRowBorderDxfId="1806" tableBorderDxfId="1804">
  <autoFilter ref="B4:H29" xr:uid="{00000000-0009-0000-0100-00001C000000}"/>
  <tableColumns count="7">
    <tableColumn id="6" xr3:uid="{00000000-0010-0000-0000-000006000000}" name="TIPO" dataDxfId="1803"/>
    <tableColumn id="1" xr3:uid="{00000000-0010-0000-0000-000001000000}" name="RAZÃO SOCIAL" dataDxfId="1802"/>
    <tableColumn id="5" xr3:uid="{00000000-0010-0000-0000-000005000000}" name="NOME FANTASIA" dataDxfId="1801"/>
    <tableColumn id="2" xr3:uid="{00000000-0010-0000-0000-000002000000}" name="CNPJ" dataDxfId="1800"/>
    <tableColumn id="3" xr3:uid="{00000000-0010-0000-0000-000003000000}" name="ENDEREÇO" dataDxfId="1799"/>
    <tableColumn id="8" xr3:uid="{00000000-0010-0000-0000-000008000000}" name="CIDADE" dataDxfId="1798"/>
    <tableColumn id="4" xr3:uid="{00000000-0010-0000-0000-000004000000}" name="UF" dataDxfId="1797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01000000}" name="CAD_Clientes" displayName="CAD_Clientes" ref="B4:M73" totalsRowShown="0" headerRowDxfId="1796" dataDxfId="1795" headerRowCellStyle="Normal 4" dataCellStyle="Normal 4">
  <autoFilter ref="B4:M73" xr:uid="{00000000-0009-0000-0100-00003B000000}"/>
  <sortState xmlns:xlrd2="http://schemas.microsoft.com/office/spreadsheetml/2017/richdata2" ref="B5:K25">
    <sortCondition ref="C4:C25"/>
  </sortState>
  <tableColumns count="12">
    <tableColumn id="11" xr3:uid="{00000000-0010-0000-0100-00000B000000}" name="Nº" dataDxfId="1794" dataCellStyle="Normal 4"/>
    <tableColumn id="1" xr3:uid="{00000000-0010-0000-0100-000001000000}" name="ALUNO" dataDxfId="1793" dataCellStyle="Normal 4"/>
    <tableColumn id="12" xr3:uid="{F10762DA-AA17-4DCC-8CF5-60A310309B20}" name="RESPONSÁVEL FINANCEIRO" dataDxfId="1792" dataCellStyle="Normal 4"/>
    <tableColumn id="2" xr3:uid="{00000000-0010-0000-0100-000002000000}" name="CNPJ / CPF" dataDxfId="1791" dataCellStyle="Normal 4"/>
    <tableColumn id="3" xr3:uid="{00000000-0010-0000-0100-000003000000}" name="ENDEREÇO" dataDxfId="1790" dataCellStyle="Moeda"/>
    <tableColumn id="8" xr3:uid="{00000000-0010-0000-0100-000008000000}" name="CIDADE" dataDxfId="1789" dataCellStyle="Moeda"/>
    <tableColumn id="4" xr3:uid="{00000000-0010-0000-0100-000004000000}" name="UF" dataDxfId="1788" dataCellStyle="Normal 4"/>
    <tableColumn id="5" xr3:uid="{00000000-0010-0000-0100-000005000000}" name="EMAIL" dataDxfId="1787" dataCellStyle="Porcentagem"/>
    <tableColumn id="6" xr3:uid="{00000000-0010-0000-0100-000006000000}" name="TELEFONE " dataDxfId="1786" dataCellStyle="Normal 4"/>
    <tableColumn id="7" xr3:uid="{00000000-0010-0000-0100-000007000000}" name="OBS" dataDxfId="1785" dataCellStyle="Normal 4"/>
    <tableColumn id="9" xr3:uid="{FEF17253-A33A-425B-8880-9B648F5EF964}" name="ALUNO2" dataDxfId="1784" dataCellStyle="Normal 4"/>
    <tableColumn id="10" xr3:uid="{5D0524E5-A6B5-4BC8-84B5-0A3E0B7BEF01}" name="RESPONSÁVEL FINANCEIRO2" dataDxfId="1783" dataCellStyle="Normal 4"/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02000000}" name="CAD_Fornecedores" displayName="CAD_Fornecedores" ref="B4:L510" totalsRowShown="0" headerRowDxfId="1782" dataDxfId="1781" headerRowCellStyle="Normal 4" dataCellStyle="Normal 4">
  <autoFilter ref="B4:L510" xr:uid="{00000000-0009-0000-0100-00003A000000}"/>
  <sortState xmlns:xlrd2="http://schemas.microsoft.com/office/spreadsheetml/2017/richdata2" ref="B5:L274">
    <sortCondition ref="C4:C274"/>
  </sortState>
  <tableColumns count="11">
    <tableColumn id="11" xr3:uid="{00000000-0010-0000-0200-00000B000000}" name="Nº" dataDxfId="1780" dataCellStyle="Normal 4"/>
    <tableColumn id="1" xr3:uid="{00000000-0010-0000-0200-000001000000}" name="NOME FANTASIA" dataDxfId="1779" dataCellStyle="Normal 4"/>
    <tableColumn id="9" xr3:uid="{00000000-0010-0000-0200-000009000000}" name="NOME FORNECEDOR" dataDxfId="1778" dataCellStyle="Normal 4"/>
    <tableColumn id="2" xr3:uid="{00000000-0010-0000-0200-000002000000}" name="CNPJ / CPF" dataDxfId="1777" dataCellStyle="Normal 4"/>
    <tableColumn id="3" xr3:uid="{00000000-0010-0000-0200-000003000000}" name="ENDEREÇO" dataDxfId="1776" dataCellStyle="Moeda"/>
    <tableColumn id="8" xr3:uid="{00000000-0010-0000-0200-000008000000}" name="CIDADE" dataDxfId="1775" dataCellStyle="Moeda"/>
    <tableColumn id="4" xr3:uid="{00000000-0010-0000-0200-000004000000}" name="UF" dataDxfId="1774" dataCellStyle="Normal 4"/>
    <tableColumn id="14" xr3:uid="{00000000-0010-0000-0200-00000E000000}" name="RAMO" dataDxfId="1773" dataCellStyle="Normal 4"/>
    <tableColumn id="5" xr3:uid="{00000000-0010-0000-0200-000005000000}" name="EMAIL" dataDxfId="1772" dataCellStyle="Porcentagem"/>
    <tableColumn id="6" xr3:uid="{00000000-0010-0000-0200-000006000000}" name="TELEFONE " dataDxfId="1771" dataCellStyle="Normal 4"/>
    <tableColumn id="7" xr3:uid="{00000000-0010-0000-0200-000007000000}" name="NOME CONTATO" dataDxfId="1770" dataCellStyle="Moeda"/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03000000}" name="CAD_Bancos" displayName="CAD_Bancos" ref="B4:K26" totalsRowShown="0" headerRowDxfId="1769" dataDxfId="1768" headerRowCellStyle="Normal 4" dataCellStyle="Normal 4">
  <autoFilter ref="B4:K26" xr:uid="{00000000-0009-0000-0100-00001F000000}"/>
  <sortState xmlns:xlrd2="http://schemas.microsoft.com/office/spreadsheetml/2017/richdata2" ref="D5:I24">
    <sortCondition ref="I4:I24"/>
  </sortState>
  <tableColumns count="10">
    <tableColumn id="8" xr3:uid="{00000000-0010-0000-0300-000008000000}" name="ANO" dataDxfId="1767" dataCellStyle="Normal 4">
      <calculatedColumnFormula>IF(CAD_Bancos[[#This Row],[DATA SALDO INICIAL]]="","",TEXT(CAD_Bancos[[#This Row],[DATA SALDO INICIAL]],"AAAA"))</calculatedColumnFormula>
    </tableColumn>
    <tableColumn id="9" xr3:uid="{00000000-0010-0000-0300-000009000000}" name="MÊS" dataDxfId="1766" dataCellStyle="Normal 4">
      <calculatedColumnFormula>IF(CAD_Bancos[[#This Row],[DATA SALDO INICIAL]]="","",PROPER(TEXT(CAD_Bancos[[#This Row],[DATA SALDO INICIAL]],"MMMM")))</calculatedColumnFormula>
    </tableColumn>
    <tableColumn id="11" xr3:uid="{00000000-0010-0000-0300-00000B000000}" name="Nº" dataDxfId="1765" dataCellStyle="Normal 4"/>
    <tableColumn id="4" xr3:uid="{00000000-0010-0000-0300-000004000000}" name="COD. BANCO" dataDxfId="1764" dataCellStyle="Normal 4"/>
    <tableColumn id="3" xr3:uid="{00000000-0010-0000-0300-000003000000}" name="BANCO " dataDxfId="1763" dataCellStyle="Normal 4"/>
    <tableColumn id="2" xr3:uid="{00000000-0010-0000-0300-000002000000}" name="AGÊNCIA" dataDxfId="1762" dataCellStyle="Normal 4"/>
    <tableColumn id="6" xr3:uid="{00000000-0010-0000-0300-000006000000}" name="OP" dataDxfId="1761" dataCellStyle="Normal 4"/>
    <tableColumn id="1" xr3:uid="{00000000-0010-0000-0300-000001000000}" name="N. CONTA" dataDxfId="1760" dataCellStyle="Normal 4"/>
    <tableColumn id="7" xr3:uid="{00000000-0010-0000-0300-000007000000}" name="DATA SALDO INICIAL" dataDxfId="1759" dataCellStyle="Normal 4"/>
    <tableColumn id="5" xr3:uid="{00000000-0010-0000-0300-000005000000}" name="R$ SALDO INICIAL" dataDxfId="1758" dataCellStyle="Moeda"/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CAD_Forma_pagto" displayName="CAD_Forma_pagto" ref="M4:N20" totalsRowShown="0" headerRowDxfId="1757" dataDxfId="1756" headerRowCellStyle="Normal 4" dataCellStyle="Normal 4">
  <autoFilter ref="M4:N20" xr:uid="{00000000-0009-0000-0100-000020000000}"/>
  <sortState xmlns:xlrd2="http://schemas.microsoft.com/office/spreadsheetml/2017/richdata2" ref="M5:N13">
    <sortCondition ref="M4:M13"/>
  </sortState>
  <tableColumns count="2">
    <tableColumn id="1" xr3:uid="{00000000-0010-0000-0400-000001000000}" name="FORMAS DE PAGAMENTO" dataDxfId="1755" dataCellStyle="Normal 4"/>
    <tableColumn id="2" xr3:uid="{00000000-0010-0000-0400-000002000000}" name="TIPO" dataDxfId="1754" dataCellStyle="Normal 4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5000000}" name="Tabela25" displayName="Tabela25" ref="P4:P18" totalsRowShown="0" headerRowDxfId="1753" dataDxfId="1752">
  <autoFilter ref="P4:P18" xr:uid="{00000000-0009-0000-0100-000019000000}"/>
  <sortState xmlns:xlrd2="http://schemas.microsoft.com/office/spreadsheetml/2017/richdata2" ref="P5:P8">
    <sortCondition ref="P4:P8"/>
  </sortState>
  <tableColumns count="1">
    <tableColumn id="1" xr3:uid="{00000000-0010-0000-0500-000001000000}" name="TIPOS OPERAÇÕES" dataDxfId="1751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CAD_CENTRO_CUSTOS" displayName="CAD_CENTRO_CUSTOS" ref="B4:B7" totalsRowShown="0" headerRowDxfId="1750" dataDxfId="1748" headerRowBorderDxfId="1749" tableBorderDxfId="1747">
  <autoFilter ref="B4:B7" xr:uid="{00000000-0009-0000-0100-000010000000}"/>
  <sortState xmlns:xlrd2="http://schemas.microsoft.com/office/spreadsheetml/2017/richdata2" ref="B5:B7">
    <sortCondition ref="B4:B7"/>
  </sortState>
  <tableColumns count="1">
    <tableColumn id="6" xr3:uid="{00000000-0010-0000-0600-000006000000}" name="CENTRO DE CUSTO" dataDxfId="1746"/>
  </tableColumns>
  <tableStyleInfo name="Estilo de Tabe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CAD_Receita_N_Operacionais" displayName="CAD_Receita_N_Operacionais" ref="E4:F104" totalsRowShown="0" headerRowDxfId="1745" dataDxfId="1743" headerRowBorderDxfId="1744" tableBorderDxfId="1742">
  <autoFilter ref="E4:F104" xr:uid="{00000000-0009-0000-0100-000002000000}"/>
  <tableColumns count="2">
    <tableColumn id="1" xr3:uid="{00000000-0010-0000-0800-000001000000}" name="1.2" dataDxfId="1741"/>
    <tableColumn id="2" xr3:uid="{00000000-0010-0000-0800-000002000000}" name="RECEITAS NÃO OPERACIONAIS" dataDxfId="1740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9000000}" name="CAD_Receita_Operacionais" displayName="CAD_Receita_Operacionais" ref="B4:C104" totalsRowShown="0" headerRowDxfId="1739" dataDxfId="1737" headerRowBorderDxfId="1738" tableBorderDxfId="1736">
  <autoFilter ref="B4:C104" xr:uid="{00000000-0009-0000-0100-000011000000}"/>
  <tableColumns count="2">
    <tableColumn id="1" xr3:uid="{00000000-0010-0000-0900-000001000000}" name="1.1" dataDxfId="1735"/>
    <tableColumn id="2" xr3:uid="{00000000-0010-0000-0900-000002000000}" name="RECEITAS OPERACIONAIS" dataDxfId="1734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A000000}" name="CAD_Receita_Out_Cred" displayName="CAD_Receita_Out_Cred" ref="H4:I104" totalsRowShown="0" headerRowDxfId="1733" dataDxfId="1731" headerRowBorderDxfId="1732" tableBorderDxfId="1730">
  <autoFilter ref="H4:I104" xr:uid="{00000000-0009-0000-0100-00000E000000}"/>
  <tableColumns count="2">
    <tableColumn id="1" xr3:uid="{00000000-0010-0000-0A00-000001000000}" name="1.3" dataDxfId="1729"/>
    <tableColumn id="2" xr3:uid="{00000000-0010-0000-0A00-000002000000}" name="OUTROS CRÉDITOS (NÃO ENTRA NA DRE)" dataDxfId="1728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B000000}" name="CAD­_Desp_Operacionais" displayName="CAD­_Desp_Operacionais" ref="K4:L104" totalsRowShown="0" headerRowDxfId="1727" dataDxfId="1725" headerRowBorderDxfId="1726" tableBorderDxfId="1724">
  <autoFilter ref="K4:L104" xr:uid="{00000000-0009-0000-0100-000004000000}"/>
  <tableColumns count="2">
    <tableColumn id="1" xr3:uid="{00000000-0010-0000-0B00-000001000000}" name="2.1" dataDxfId="1723"/>
    <tableColumn id="2" xr3:uid="{00000000-0010-0000-0B00-000002000000}" name="DESPESAS OPERACIONAIS" dataDxfId="1722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C000000}" name="CAD_Desp_Adm" displayName="CAD_Desp_Adm" ref="N4:O104" totalsRowShown="0" headerRowDxfId="1721" dataDxfId="1719" headerRowBorderDxfId="1720" tableBorderDxfId="1718">
  <autoFilter ref="N4:O104" xr:uid="{00000000-0009-0000-0100-000005000000}"/>
  <sortState xmlns:xlrd2="http://schemas.microsoft.com/office/spreadsheetml/2017/richdata2" ref="N5:O104">
    <sortCondition ref="O4:O104"/>
  </sortState>
  <tableColumns count="2">
    <tableColumn id="1" xr3:uid="{00000000-0010-0000-0C00-000001000000}" name="2.2" dataDxfId="1717"/>
    <tableColumn id="2" xr3:uid="{00000000-0010-0000-0C00-000002000000}" name="DESPESAS ADMINISTRATIVAS" dataDxfId="1716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CAD_Desp_Comerciais" displayName="CAD_Desp_Comerciais" ref="Q4:R104" totalsRowShown="0" headerRowDxfId="1715" dataDxfId="1713" headerRowBorderDxfId="1714" tableBorderDxfId="1712">
  <autoFilter ref="Q4:R104" xr:uid="{00000000-0009-0000-0100-000006000000}"/>
  <sortState xmlns:xlrd2="http://schemas.microsoft.com/office/spreadsheetml/2017/richdata2" ref="Q5:R104">
    <sortCondition ref="R4:R104"/>
  </sortState>
  <tableColumns count="2">
    <tableColumn id="1" xr3:uid="{00000000-0010-0000-0D00-000001000000}" name="2.3" dataDxfId="1711"/>
    <tableColumn id="2" xr3:uid="{00000000-0010-0000-0D00-000002000000}" name="DESPESAS COMERCIAIS" dataDxfId="1710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CAD_Desp_RH" displayName="CAD_Desp_RH" ref="T4:U104" totalsRowShown="0" headerRowDxfId="1709" dataDxfId="1707" headerRowBorderDxfId="1708" tableBorderDxfId="1706">
  <autoFilter ref="T4:U104" xr:uid="{00000000-0009-0000-0100-000007000000}"/>
  <sortState xmlns:xlrd2="http://schemas.microsoft.com/office/spreadsheetml/2017/richdata2" ref="T5:U104">
    <sortCondition ref="U4:U104"/>
  </sortState>
  <tableColumns count="2">
    <tableColumn id="1" xr3:uid="{00000000-0010-0000-0E00-000001000000}" name="2.4" dataDxfId="1705"/>
    <tableColumn id="2" xr3:uid="{00000000-0010-0000-0E00-000002000000}" name="DESPESAS COM RH" dataDxfId="1704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F000000}" name="CAD_Desp_N_Oper" displayName="CAD_Desp_N_Oper" ref="W4:X104" totalsRowShown="0" headerRowDxfId="1703" dataDxfId="1701" headerRowBorderDxfId="1702" tableBorderDxfId="1700">
  <autoFilter ref="W4:X104" xr:uid="{00000000-0009-0000-0100-000008000000}"/>
  <sortState xmlns:xlrd2="http://schemas.microsoft.com/office/spreadsheetml/2017/richdata2" ref="W5:X104">
    <sortCondition ref="X4:X104"/>
  </sortState>
  <tableColumns count="2">
    <tableColumn id="1" xr3:uid="{00000000-0010-0000-0F00-000001000000}" name="2.5" dataDxfId="1699"/>
    <tableColumn id="2" xr3:uid="{00000000-0010-0000-0F00-000002000000}" name="DESPESAS NÃO OPERACIONAIS" dataDxfId="1698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10000000}" name="CAD_Desp_Imp" displayName="CAD_Desp_Imp" ref="Z4:AA104" totalsRowShown="0" headerRowDxfId="1697" dataDxfId="1695" headerRowBorderDxfId="1696" tableBorderDxfId="1694">
  <autoFilter ref="Z4:AA104" xr:uid="{00000000-0009-0000-0100-000009000000}"/>
  <sortState xmlns:xlrd2="http://schemas.microsoft.com/office/spreadsheetml/2017/richdata2" ref="Z5:AA104">
    <sortCondition ref="AA4:AA104"/>
  </sortState>
  <tableColumns count="2">
    <tableColumn id="1" xr3:uid="{00000000-0010-0000-1000-000001000000}" name="2.6" dataDxfId="1693"/>
    <tableColumn id="2" xr3:uid="{00000000-0010-0000-1000-000002000000}" name="IMPOSTOS" dataDxfId="1692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1000000}" name="CAD_Desp_Inv" displayName="CAD_Desp_Inv" ref="AC4:AD104" totalsRowShown="0" headerRowDxfId="1691" dataDxfId="1689" headerRowBorderDxfId="1690" tableBorderDxfId="1688">
  <autoFilter ref="AC4:AD104" xr:uid="{00000000-0009-0000-0100-00000A000000}"/>
  <sortState xmlns:xlrd2="http://schemas.microsoft.com/office/spreadsheetml/2017/richdata2" ref="AC5:AD104">
    <sortCondition ref="AD4:AD104"/>
  </sortState>
  <tableColumns count="2">
    <tableColumn id="1" xr3:uid="{00000000-0010-0000-1100-000001000000}" name="2.7" dataDxfId="1687"/>
    <tableColumn id="2" xr3:uid="{00000000-0010-0000-1100-000002000000}" name="INVESTIMENTOS" dataDxfId="1686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2000000}" name="CAD_Desp_End" displayName="CAD_Desp_End" ref="AF4:AG104" totalsRowShown="0" headerRowDxfId="1685" dataDxfId="1683" headerRowBorderDxfId="1684" tableBorderDxfId="1682">
  <autoFilter ref="AF4:AG104" xr:uid="{00000000-0009-0000-0100-00000B000000}"/>
  <sortState xmlns:xlrd2="http://schemas.microsoft.com/office/spreadsheetml/2017/richdata2" ref="AF5:AG104">
    <sortCondition ref="AG4:AG104"/>
  </sortState>
  <tableColumns count="2">
    <tableColumn id="1" xr3:uid="{00000000-0010-0000-1200-000001000000}" name="2.8" dataDxfId="1681"/>
    <tableColumn id="2" xr3:uid="{00000000-0010-0000-1200-000002000000}" name="ENDIVIDAMENTOS" dataDxfId="1680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3000000}" name="CAD_Desp_Out_Deb" displayName="CAD_Desp_Out_Deb" ref="AI4:AJ104" totalsRowShown="0" headerRowDxfId="1679" dataDxfId="1677" headerRowBorderDxfId="1678" tableBorderDxfId="1676">
  <autoFilter ref="AI4:AJ104" xr:uid="{00000000-0009-0000-0100-00000F000000}"/>
  <sortState xmlns:xlrd2="http://schemas.microsoft.com/office/spreadsheetml/2017/richdata2" ref="AI5:AJ104">
    <sortCondition ref="AJ4:AJ104"/>
  </sortState>
  <tableColumns count="2">
    <tableColumn id="1" xr3:uid="{00000000-0010-0000-1300-000001000000}" name="2.9" dataDxfId="1675"/>
    <tableColumn id="2" xr3:uid="{00000000-0010-0000-1300-000002000000}" name="OUTROS DÉBITOS (NÃO ENTRA NA DRE)" dataDxfId="1674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7BFA98C-09FB-4111-8DE9-A2A75BD174FA}" name="Tabela1" displayName="Tabela1" ref="B4:X178" totalsRowCount="1" headerRowDxfId="1673" totalsRowDxfId="1672">
  <autoFilter ref="B4:X177" xr:uid="{37BFA98C-09FB-4111-8DE9-A2A75BD174FA}"/>
  <tableColumns count="23">
    <tableColumn id="13" xr3:uid="{F872FD0E-B5F4-4C82-9578-B2760EF2383C}" name="Tipo" totalsRowLabel="Total" totalsRowDxfId="24"/>
    <tableColumn id="2" xr3:uid="{41C63DE7-6B95-4724-86C1-E73C03E94022}" name="Nome Fornecedor" totalsRowDxfId="23"/>
    <tableColumn id="17" xr3:uid="{713BFC33-F4DA-48EE-AD90-0D39CC8B94FC}" name="Período" dataDxfId="3" totalsRowDxfId="2"/>
    <tableColumn id="16" xr3:uid="{5E730BF8-24D3-43F7-9626-EEE523459915}" name="Histórico" dataDxfId="1" totalsRowDxfId="0"/>
    <tableColumn id="14" xr3:uid="{864C2038-7171-47ED-8136-A277FDB5CC95}" name="Inscrição" totalsRowDxfId="22"/>
    <tableColumn id="24" xr3:uid="{2C64BB1B-4960-427B-AA35-D3E028DB516B}" name="Nº de processo" totalsRowDxfId="21"/>
    <tableColumn id="1" xr3:uid="{D172CFC8-96C5-4A6E-9045-7BF41141E6CA}" name="Contrato" totalsRowDxfId="20"/>
    <tableColumn id="25" xr3:uid="{16772D19-52F7-48C6-9467-5DB49056C969}" name="Data de captação" totalsRowDxfId="19"/>
    <tableColumn id="3" xr3:uid="{14188807-F332-426C-BEDC-65C96AA693B8}" name="Data de vencimento" dataDxfId="39" totalsRowDxfId="18"/>
    <tableColumn id="22" xr3:uid="{32B22DA4-F12B-4211-9E45-4878DF98367F}" name="Valor principal do contrato" dataDxfId="38" totalsRowDxfId="17"/>
    <tableColumn id="21" xr3:uid="{393F78C5-749A-46CE-804D-F7B096834DB7}" name="Desconto" dataDxfId="37" totalsRowDxfId="16"/>
    <tableColumn id="23" xr3:uid="{74866678-0166-4615-A391-3E60E3E6109E}" name="Juros" dataDxfId="36" totalsRowDxfId="15"/>
    <tableColumn id="20" xr3:uid="{13E97BD2-D83A-4C76-8FF0-3B75F79C31A3}" name="Multa" dataDxfId="35" totalsRowDxfId="14"/>
    <tableColumn id="4" xr3:uid="{05BEB66D-12FB-47F4-8B9B-C7BB7F49654D}" name="Valor Total do contrato" totalsRowFunction="sum" dataDxfId="34" totalsRowDxfId="13"/>
    <tableColumn id="5" xr3:uid="{AB201CB9-1533-452C-88B9-E73C122F92F0}" name="%" totalsRowFunction="custom" dataDxfId="33" totalsRowDxfId="12" dataCellStyle="Porcentagem">
      <calculatedColumnFormula>IF(O5="","",IFERROR(O5/$L$180,""))</calculatedColumnFormula>
      <totalsRowFormula>O178/$O$178</totalsRowFormula>
    </tableColumn>
    <tableColumn id="15" xr3:uid="{E426B837-2CE3-4AD7-A9B9-6A63064F38BE}" name="Valor Parcelas" dataDxfId="32" totalsRowDxfId="11" dataCellStyle="Porcentagem"/>
    <tableColumn id="6" xr3:uid="{117E7F38-8D54-4831-9C0A-CA531CBC3D5E}" name="Qtde parcelas do contrato" dataDxfId="31" totalsRowDxfId="10"/>
    <tableColumn id="7" xr3:uid="{040C35F7-B964-4A84-BADB-201B33830287}" name="Qtde Parcelas Pagas" dataDxfId="30" totalsRowDxfId="9"/>
    <tableColumn id="8" xr3:uid="{7C4D124A-938A-43B2-B504-3B967B45FE13}" name="Qtde Parcelas restantes" dataDxfId="29" totalsRowDxfId="8">
      <calculatedColumnFormula>IF(R5="","",IFERROR(R5-S5,""))</calculatedColumnFormula>
    </tableColumn>
    <tableColumn id="9" xr3:uid="{AEA56337-1C75-4C05-A5A5-A2998F027FCB}" name="Qtde Parcelas em atraso" dataDxfId="28" totalsRowDxfId="7"/>
    <tableColumn id="10" xr3:uid="{C9E0DF74-37C8-40B9-9D22-92DA9ABB84B5}" name="Taxa de Juros efetiva Ponderada" dataDxfId="27" totalsRowDxfId="6" dataCellStyle="Porcentagem"/>
    <tableColumn id="11" xr3:uid="{0D535AD7-D345-43F9-B664-985D4E9493D3}" name="%  Pago" dataDxfId="26" totalsRowDxfId="5" dataCellStyle="Porcentagem">
      <calculatedColumnFormula>IFERROR(S5/R5,"")</calculatedColumnFormula>
    </tableColumn>
    <tableColumn id="12" xr3:uid="{90ED1845-19F9-46F3-BD61-7D35D77FB402}" name="%             A Pagar" dataDxfId="25" totalsRowDxfId="4" dataCellStyle="Porcentagem">
      <calculatedColumnFormula>IFERROR(100%-W5,"")</calculatedColumnFormula>
    </tableColumn>
  </tableColumns>
  <tableStyleInfo name="Estilo de Tabela 1 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LANÇ_MOV" displayName="LANÇ_MOV" ref="B4:AL1252" totalsRowShown="0" headerRowDxfId="1671" dataDxfId="1669" totalsRowDxfId="1667" headerRowBorderDxfId="1670" tableBorderDxfId="1668">
  <autoFilter ref="B4:AL1252" xr:uid="{00000000-0009-0000-0100-00001D000000}"/>
  <tableColumns count="37">
    <tableColumn id="1" xr3:uid="{00000000-0010-0000-1A00-000001000000}" name="DATA DE LANÇAMENTO" dataDxfId="1666" totalsRowDxfId="1665"/>
    <tableColumn id="9" xr3:uid="{00000000-0010-0000-1A00-000009000000}" name="EMPRESA" dataDxfId="1664" totalsRowDxfId="1663"/>
    <tableColumn id="8" xr3:uid="{00000000-0010-0000-1A00-000008000000}" name="CENTRO DE CUSTOS" dataDxfId="1662" totalsRowDxfId="1661"/>
    <tableColumn id="2" xr3:uid="{00000000-0010-0000-1A00-000002000000}" name="PLANO DE CONTAS" dataDxfId="1660" totalsRowDxfId="1659"/>
    <tableColumn id="7" xr3:uid="{00000000-0010-0000-1A00-000007000000}" name="CONTAS" dataDxfId="1658" totalsRowDxfId="1657"/>
    <tableColumn id="20" xr3:uid="{00000000-0010-0000-1A00-000014000000}" name="PERÍODO" dataDxfId="1656" totalsRowDxfId="1655"/>
    <tableColumn id="25" xr3:uid="{00000000-0010-0000-1A00-000019000000}" name="HISTÓRICO" dataDxfId="1654" totalsRowDxfId="1653"/>
    <tableColumn id="24" xr3:uid="{00000000-0010-0000-1A00-000018000000}" name="CLIENTE / FORNECEDOR" dataDxfId="1652" totalsRowDxfId="1651"/>
    <tableColumn id="15" xr3:uid="{00000000-0010-0000-1A00-00000F000000}" name="VALOR BRUTO" dataDxfId="1650" totalsRowDxfId="1649" dataCellStyle="Moeda"/>
    <tableColumn id="6" xr3:uid="{00000000-0010-0000-1A00-000006000000}" name="DESCONTO" dataDxfId="1648" dataCellStyle="Moeda"/>
    <tableColumn id="37" xr3:uid="{00000000-0010-0000-1A00-000025000000}" name="JUROS" dataDxfId="1647" dataCellStyle="Moeda"/>
    <tableColumn id="3" xr3:uid="{5665BF79-5F77-4445-A0B8-375951B71953}" name="MULTA" dataDxfId="1646" dataCellStyle="Moeda"/>
    <tableColumn id="5" xr3:uid="{00000000-0010-0000-1A00-000005000000}" name="VALOR LÍQUIDO" dataDxfId="1645" dataCellStyle="Moeda">
      <calculatedColumnFormula>LANÇ_MOV[[#This Row],[VALOR BRUTO]]-LANÇ_MOV[[#This Row],[DESCONTO]]+LANÇ_MOV[[#This Row],[JUROS]]+LANÇ_MOV[[#This Row],[MULTA]]</calculatedColumnFormula>
    </tableColumn>
    <tableColumn id="12" xr3:uid="{00000000-0010-0000-1A00-00000C000000}" name="DATA DE VENCIMENTO" dataDxfId="1644" totalsRowDxfId="1643" dataCellStyle="Moeda"/>
    <tableColumn id="21" xr3:uid="{00000000-0010-0000-1A00-000015000000}" name="STATUS" dataDxfId="1642" dataCellStyle="Moeda">
      <calculatedColumnFormula>IF(O5="","",IF(Q5&lt;&gt;"","Pago",IF(O5-TODAY()&gt;30,"Prazo - Mais de 1 mês",IF(O5=TODAY(),"Hoje",IF(O5&lt;TODAY(),"Venceu",IF(O5-TODAY()&lt;10,"Prazo - Menos de 10 dias",IF(O5-TODAY()&lt;15,"Prazo - Menos de 15 dias","Prazo - Menos de 1 Mês")))))))</calculatedColumnFormula>
    </tableColumn>
    <tableColumn id="4" xr3:uid="{00000000-0010-0000-1A00-000004000000}" name="DATA DE PAGAMENTO" dataDxfId="1641" totalsRowDxfId="1640" dataCellStyle="Moeda"/>
    <tableColumn id="17" xr3:uid="{00000000-0010-0000-1A00-000011000000}" name="FORMA DE PAGAMENTO" dataDxfId="1639" totalsRowDxfId="1638" dataCellStyle="Moeda"/>
    <tableColumn id="40" xr3:uid="{00000000-0010-0000-1A00-000028000000}" name="TIPO OPERAÇÃO" dataDxfId="1637" dataCellStyle="Moeda"/>
    <tableColumn id="16" xr3:uid="{00000000-0010-0000-1A00-000010000000}" name="BANCO" dataDxfId="1636" totalsRowDxfId="1635" dataCellStyle="Moeda"/>
    <tableColumn id="41" xr3:uid="{00000000-0010-0000-1A00-000029000000}" name="F/V" dataDxfId="1634" totalsRowDxfId="1633" dataCellStyle="Moeda"/>
    <tableColumn id="10" xr3:uid="{00000000-0010-0000-1A00-00000A000000}" name="RECEITA OU DESPESA" dataDxfId="1632">
      <calculatedColumnFormula>IFERROR(VLOOKUP(LANÇ_MOV[[#This Row],[PLANO DE CONTAS]],Plano_Contas[[PLANO DE CONTAS]:[R / D]],3,0),"")</calculatedColumnFormula>
    </tableColumn>
    <tableColumn id="13" xr3:uid="{00000000-0010-0000-1A00-00000D000000}" name="PAGO OU NÃO" dataDxfId="1631">
      <calculatedColumnFormula>IF(LANÇ_MOV[[#This Row],[DATA DE PAGAMENTO]]&lt;&gt;"","Pago","Não Pago")</calculatedColumnFormula>
    </tableColumn>
    <tableColumn id="14" xr3:uid="{00000000-0010-0000-1A00-00000E000000}" name="MÊS PGTO" dataDxfId="1630">
      <calculatedColumnFormula>IFERROR(IF(LANÇ_MOV[[#This Row],[DATA DE PAGAMENTO]]="","",(UPPER(TEXT(LANÇ_MOV[[#This Row],[DATA DE PAGAMENTO]],"mmmm")))),"")</calculatedColumnFormula>
    </tableColumn>
    <tableColumn id="11" xr3:uid="{00000000-0010-0000-1A00-00000B000000}" name="INDIRETO" dataDxfId="1629">
      <calculatedColumnFormula>IFERROR(VLOOKUP(LANÇ_MOV[[#This Row],[PLANO DE CONTAS]],Plano_Contas[[PLANO DE CONTAS]:[NOMES INTERVALOS]],2,0),"")</calculatedColumnFormula>
    </tableColumn>
    <tableColumn id="42" xr3:uid="{00000000-0010-0000-1A00-00002A000000}" name="TIPO RECEBIMENTO" dataDxfId="1628">
      <calculatedColumnFormula>IF(LANÇ_MOV[[#This Row],[FORMA DE PAGAMENTO]]="","",VLOOKUP(LANÇ_MOV[[#This Row],[FORMA DE PAGAMENTO]],CAD_Forma_pagto[],2,0))</calculatedColumnFormula>
    </tableColumn>
    <tableColumn id="28" xr3:uid="{00000000-0010-0000-1A00-00001C000000}" name="ANO LANÇAMENTO" dataDxfId="1627">
      <calculatedColumnFormula>IF(LANÇ_MOV[[#This Row],[DATA DE LANÇAMENTO]]="","",TEXT(LANÇ_MOV[[#This Row],[DATA DE LANÇAMENTO]],"AAAA"))</calculatedColumnFormula>
    </tableColumn>
    <tableColumn id="27" xr3:uid="{00000000-0010-0000-1A00-00001B000000}" name="MÊS LANÇAMENTO CORRESPONDENTE" dataDxfId="1626">
      <calculatedColumnFormula>IF(LANÇ_MOV[[#This Row],[DATA DE LANÇAMENTO]]="","",UPPER(TEXT(LANÇ_MOV[[#This Row],[DATA DE LANÇAMENTO]],"MMMM")))</calculatedColumnFormula>
    </tableColumn>
    <tableColumn id="26" xr3:uid="{00000000-0010-0000-1A00-00001A000000}" name="MÊS LANÇAMENTO" dataDxfId="1625">
      <calculatedColumnFormula>IF(LANÇ_MOV[[#This Row],[DATA DE LANÇAMENTO]]="","",PROPER(TEXT(LANÇ_MOV[[#This Row],[DATA DE LANÇAMENTO]],"M")))</calculatedColumnFormula>
    </tableColumn>
    <tableColumn id="22" xr3:uid="{00000000-0010-0000-1A00-000016000000}" name="DIA LANÇAMENTO" dataDxfId="1624">
      <calculatedColumnFormula>IF(LANÇ_MOV[[#This Row],[DATA DE LANÇAMENTO]]="","",TEXT(LANÇ_MOV[[#This Row],[DATA DE LANÇAMENTO]],"D"))</calculatedColumnFormula>
    </tableColumn>
    <tableColumn id="32" xr3:uid="{00000000-0010-0000-1A00-000020000000}" name="ANO VENCIMENTO" dataDxfId="1623">
      <calculatedColumnFormula>IF(LANÇ_MOV[[#This Row],[DATA DE VENCIMENTO]]="","",TEXT(LANÇ_MOV[[#This Row],[DATA DE VENCIMENTO]],"AAAA"))</calculatedColumnFormula>
    </tableColumn>
    <tableColumn id="31" xr3:uid="{00000000-0010-0000-1A00-00001F000000}" name="MÊS VENCIMENTO CORRESPONDENTE" dataDxfId="1622">
      <calculatedColumnFormula>IF(LANÇ_MOV[[#This Row],[DATA DE VENCIMENTO]]="","",UPPER(TEXT(LANÇ_MOV[[#This Row],[DATA DE VENCIMENTO]],"MMMM")))</calculatedColumnFormula>
    </tableColumn>
    <tableColumn id="30" xr3:uid="{00000000-0010-0000-1A00-00001E000000}" name="MÊS VENCIMENTO" dataDxfId="1621">
      <calculatedColumnFormula>IF(LANÇ_MOV[[#This Row],[DATA DE VENCIMENTO]]="","",TEXT(LANÇ_MOV[[#This Row],[DATA DE VENCIMENTO]],"M"))</calculatedColumnFormula>
    </tableColumn>
    <tableColumn id="29" xr3:uid="{00000000-0010-0000-1A00-00001D000000}" name="DIA VENCIMENTO" dataDxfId="1620">
      <calculatedColumnFormula>IF(LANÇ_MOV[[#This Row],[DATA DE VENCIMENTO]]="","",TEXT(LANÇ_MOV[[#This Row],[DATA DE VENCIMENTO]],"D"))</calculatedColumnFormula>
    </tableColumn>
    <tableColumn id="36" xr3:uid="{00000000-0010-0000-1A00-000024000000}" name="ANO PAGAMENTO" dataDxfId="1619">
      <calculatedColumnFormula>IF(LANÇ_MOV[[#This Row],[DATA DE PAGAMENTO]]="","",TEXT(LANÇ_MOV[[#This Row],[DATA DE PAGAMENTO]],"AAAA"))</calculatedColumnFormula>
    </tableColumn>
    <tableColumn id="35" xr3:uid="{00000000-0010-0000-1A00-000023000000}" name="MÊS PAGAMENTO CORRESPONDENTE" dataDxfId="1618">
      <calculatedColumnFormula>IF(LANÇ_MOV[[#This Row],[DATA DE PAGAMENTO]]="","",UPPER(TEXT(LANÇ_MOV[[#This Row],[DATA DE PAGAMENTO]],"MMMM")))</calculatedColumnFormula>
    </tableColumn>
    <tableColumn id="34" xr3:uid="{00000000-0010-0000-1A00-000022000000}" name="MÊS PAGAMENTO" dataDxfId="1617">
      <calculatedColumnFormula>IF(LANÇ_MOV[[#This Row],[DATA DE PAGAMENTO]]="","",TEXT(LANÇ_MOV[[#This Row],[DATA DE PAGAMENTO]],"M"))</calculatedColumnFormula>
    </tableColumn>
    <tableColumn id="33" xr3:uid="{00000000-0010-0000-1A00-000021000000}" name="DIA PAGAMENTO" dataDxfId="1616" totalsRowDxfId="1615">
      <calculatedColumnFormula>IF(LANÇ_MOV[[#This Row],[DATA DE PAGAMENTO]]="","",TEXT(LANÇ_MOV[[#This Row],[DATA DE PAGAMENTO]],"D"))</calculatedColumnFormula>
    </tableColumn>
  </tableColumns>
  <tableStyleInfo name="Estilo de Tabela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F000000}" name="REL_RESD_1" displayName="REL_RESD_1" ref="B6:E38" totalsRowShown="0" headerRowDxfId="1562" dataDxfId="1560" headerRowBorderDxfId="1561" tableBorderDxfId="1559">
  <autoFilter ref="B6:E38" xr:uid="{00000000-0009-0000-0100-000014000000}"/>
  <tableColumns count="4">
    <tableColumn id="1" xr3:uid="{00000000-0010-0000-1F00-000001000000}" name="DIA" dataDxfId="1558"/>
    <tableColumn id="2" xr3:uid="{00000000-0010-0000-1F00-000002000000}" name="RECEITA" dataDxfId="1557" dataCellStyle="Moeda">
      <calculatedColumnFormula>IF($H$4="*",SUMIFS(#REF!,LANÇ_MOV[RECEITA OU DESPESA],C$6,LANÇ_MOV[DIA PAGAMENTO],B7,LANÇ_MOV[ANO VENCIMENTO],$D$4,LANÇ_MOV[MÊS PAGAMENTO CORRESPONDENTE],$E$4),SUMIFS(#REF!,LANÇ_MOV[RECEITA OU DESPESA],C$6,LANÇ_MOV[DIA PAGAMENTO],B7,LANÇ_MOV[ANO VENCIMENTO],$D$4,LANÇ_MOV[MÊS PAGAMENTO CORRESPONDENTE],$E$4,LANÇ_MOV[EMPRESA],$G$4,LANÇ_MOV[CENTRO DE CUSTOS],$H$4))</calculatedColumnFormula>
    </tableColumn>
    <tableColumn id="7" xr3:uid="{00000000-0010-0000-1F00-000007000000}" name="DESPESA" dataDxfId="1556" dataCellStyle="Moeda">
      <calculatedColumnFormula>IF($H$4="*",SUMIFS(#REF!,LANÇ_MOV[RECEITA OU DESPESA],D$6,LANÇ_MOV[DIA PAGAMENTO],B7,LANÇ_MOV[ANO VENCIMENTO],$D$4,LANÇ_MOV[MÊS PAGAMENTO CORRESPONDENTE],$E$4),SUMIFS(#REF!,LANÇ_MOV[RECEITA OU DESPESA],D$6,LANÇ_MOV[DIA PAGAMENTO],B7,LANÇ_MOV[ANO VENCIMENTO],$D$4,LANÇ_MOV[MÊS PAGAMENTO CORRESPONDENTE],$E$4,LANÇ_MOV[EMPRESA],$G$4,LANÇ_MOV[CENTRO DE CUSTOS],$H$4))</calculatedColumnFormula>
    </tableColumn>
    <tableColumn id="6" xr3:uid="{00000000-0010-0000-1F00-000006000000}" name="RESULTADO DO DIA" dataDxfId="1555">
      <calculatedColumnFormula>C7-D7</calculatedColumnFormula>
    </tableColumn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20000000}" name="Rel_FC" displayName="Rel_FC" ref="B6:O14" totalsRowShown="0" headerRowDxfId="1552" dataDxfId="1550" headerRowBorderDxfId="1551" tableBorderDxfId="1549">
  <autoFilter ref="B6:O14" xr:uid="{00000000-0009-0000-0100-00001A000000}"/>
  <tableColumns count="14">
    <tableColumn id="1" xr3:uid="{00000000-0010-0000-2000-000001000000}" name="FLUXO DE CAIXA" dataDxfId="1548"/>
    <tableColumn id="2" xr3:uid="{00000000-0010-0000-2000-000002000000}" name="JANEIRO" dataDxfId="1547"/>
    <tableColumn id="7" xr3:uid="{00000000-0010-0000-2000-000007000000}" name="FEVEREIRO" dataDxfId="1546"/>
    <tableColumn id="6" xr3:uid="{00000000-0010-0000-2000-000006000000}" name="MARÇO" dataDxfId="1545"/>
    <tableColumn id="5" xr3:uid="{00000000-0010-0000-2000-000005000000}" name="ABRIL" dataDxfId="1544"/>
    <tableColumn id="4" xr3:uid="{00000000-0010-0000-2000-000004000000}" name="MAIO" dataDxfId="1543"/>
    <tableColumn id="3" xr3:uid="{00000000-0010-0000-2000-000003000000}" name="JUNHO" dataDxfId="1542"/>
    <tableColumn id="8" xr3:uid="{00000000-0010-0000-2000-000008000000}" name="JULHO" dataDxfId="1541"/>
    <tableColumn id="9" xr3:uid="{00000000-0010-0000-2000-000009000000}" name="AGOSTO" dataDxfId="1540"/>
    <tableColumn id="10" xr3:uid="{00000000-0010-0000-2000-00000A000000}" name="SETEMBRO" dataDxfId="1539"/>
    <tableColumn id="11" xr3:uid="{00000000-0010-0000-2000-00000B000000}" name="OUTUBRO" dataDxfId="1538"/>
    <tableColumn id="12" xr3:uid="{00000000-0010-0000-2000-00000C000000}" name="NOVEMBRO" dataDxfId="1537"/>
    <tableColumn id="13" xr3:uid="{00000000-0010-0000-2000-00000D000000}" name="DEZEMBRO" dataDxfId="1536"/>
    <tableColumn id="14" xr3:uid="{00000000-0010-0000-2000-00000E000000}" name="TOTAL MESES" dataDxfId="1535">
      <calculatedColumnFormula>SUM(C7:N7)</calculatedColumnFormula>
    </tableColumn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23000000}" name="REL_VA_1_11" displayName="REL_VA_1_11" ref="B6:E37" totalsRowShown="0" headerRowDxfId="1460" dataDxfId="1458" headerRowBorderDxfId="1459" tableBorderDxfId="1457">
  <autoFilter ref="B6:E37" xr:uid="{00000000-0009-0000-0100-000034000000}"/>
  <tableColumns count="4">
    <tableColumn id="1" xr3:uid="{00000000-0010-0000-2300-000001000000}" name="DIA" dataDxfId="1456"/>
    <tableColumn id="2" xr3:uid="{00000000-0010-0000-2300-000002000000}" name="RECEITA" dataDxfId="1455" dataCellStyle="Moeda">
      <calculatedColumnFormula>SUMIFS(#REF!,LANÇ_MOV[RECEITA OU DESPESA],C$6,LANÇ_MOV[PAGO OU NÃO],"Não Pago",LANÇ_MOV[DIA VENCIMENTO],$B7,LANÇ_MOV[ANO VENCIMENTO],$D$4,LANÇ_MOV[MÊS VENCIMENTO CORRESPONDENTE],$E$4,LANÇ_MOV[EMPRESA],$F$4,LANÇ_MOV[CENTRO DE CUSTOS],$G$4)</calculatedColumnFormula>
    </tableColumn>
    <tableColumn id="7" xr3:uid="{00000000-0010-0000-2300-000007000000}" name="DESPESA" dataDxfId="1454" dataCellStyle="Moeda">
      <calculatedColumnFormula>SUMIFS(#REF!,LANÇ_MOV[RECEITA OU DESPESA],D$6,LANÇ_MOV[PAGO OU NÃO],"Não Pago",LANÇ_MOV[DIA VENCIMENTO],B7,LANÇ_MOV[ANO VENCIMENTO],$D$4,LANÇ_MOV[MÊS VENCIMENTO CORRESPONDENTE],$E$4,LANÇ_MOV[EMPRESA],$F$4,LANÇ_MOV[CENTRO DE CUSTOS],$G$4)</calculatedColumnFormula>
    </tableColumn>
    <tableColumn id="6" xr3:uid="{00000000-0010-0000-2300-000006000000}" name="RESULTADO DO DIA" dataDxfId="1453">
      <calculatedColumnFormula>C7-D7</calculatedColumnFormula>
    </tableColumn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1000000}" name="Rel_BC" displayName="Rel_BC" ref="B6:O26" totalsRowShown="0" headerRowDxfId="1452" dataDxfId="1450" headerRowBorderDxfId="1451" tableBorderDxfId="1449">
  <autoFilter ref="B6:O26" xr:uid="{00000000-0009-0000-0100-000012000000}"/>
  <tableColumns count="14">
    <tableColumn id="1" xr3:uid="{00000000-0010-0000-2100-000001000000}" name="BANCOS" dataDxfId="1448">
      <calculatedColumnFormula>IF('CAD_BANCOS'!F5="","-",'CAD_BANCOS'!F5)</calculatedColumnFormula>
    </tableColumn>
    <tableColumn id="2" xr3:uid="{00000000-0010-0000-2100-000002000000}" name="JANEIRO" dataDxfId="1447" dataCellStyle="Moeda">
      <calculatedColumnFormula>IFERROR(SUMIFS(CAD_Bancos[R$ SALDO INICIAL],CAD_Bancos[ANO],$B$4,CAD_Bancos[MÊS],C$6,CAD_Bancos[[BANCO ]],Rel_BC[[#This Row],[BANCOS]])+IF($D$4="*",SUMIFS(#REF!,LANÇ_MOV[RECEITA OU DESPESA],"Receita",LANÇ_MOV[BANCO],$B7,LANÇ_MOV[MÊS PAGAMENTO CORRESPONDENTE],C$6,LANÇ_MOV[ANO PAGAMENTO],$B$4),SUMIFS(#REF!,LANÇ_MOV[RECEITA OU DESPESA],"Receita",LANÇ_MOV[BANCO],$B7,LANÇ_MOV[MÊS PAGAMENTO CORRESPONDENTE],C$6,LANÇ_MOV[ANO PAGAMENTO],$B$4,LANÇ_MOV[CENTRO DE CUSTOS],$D$4))-IF($D$4="*",SUMIFS(#REF!,LANÇ_MOV[RECEITA OU DESPESA],"Despesa",LANÇ_MOV[BANCO],$B7,LANÇ_MOV[MÊS PAGAMENTO CORRESPONDENTE],C$6,LANÇ_MOV[ANO PAGAMENTO],$B$4),SUMIFS(#REF!,LANÇ_MOV[RECEITA OU DESPESA],"Despesa",LANÇ_MOV[BANCO],$B7,LANÇ_MOV[MÊS PAGAMENTO CORRESPONDENTE],C$6,LANÇ_MOV[ANO PAGAMENTO],$B$4,LANÇ_MOV[EMPRESA],$C$4,LANÇ_MOV[CENTRO DE CUSTOS],$D$4)),"")</calculatedColumnFormula>
    </tableColumn>
    <tableColumn id="7" xr3:uid="{00000000-0010-0000-2100-000007000000}" name="FEVEREIRO" dataDxfId="1446" dataCellStyle="Moeda">
      <calculatedColumnFormula>IFERROR(SUMIFS(CAD_Bancos[R$ SALDO INICIAL],CAD_Bancos[ANO],$B$4,CAD_Bancos[MÊS],D$6,CAD_Bancos[[BANCO ]],Rel_BC[[#This Row],[BANCOS]])+IF($D$4="*",SUMIFS(#REF!,LANÇ_MOV[RECEITA OU DESPESA],"Receita",LANÇ_MOV[BANCO],$B7,LANÇ_MOV[MÊS PAGAMENTO CORRESPONDENTE],D$6,LANÇ_MOV[ANO PAGAMENTO],$B$4),SUMIFS(#REF!,LANÇ_MOV[RECEITA OU DESPESA],"Receita",LANÇ_MOV[BANCO],$B7,LANÇ_MOV[MÊS PAGAMENTO CORRESPONDENTE],D$6,LANÇ_MOV[ANO PAGAMENTO],$B$4,LANÇ_MOV[CENTRO DE CUSTOS],$D$4))-IF($D$4="*",SUMIFS(#REF!,LANÇ_MOV[RECEITA OU DESPESA],"Despesa",LANÇ_MOV[BANCO],$B7,LANÇ_MOV[MÊS PAGAMENTO CORRESPONDENTE],D$6,LANÇ_MOV[ANO PAGAMENTO],$B$4),SUMIFS(#REF!,LANÇ_MOV[RECEITA OU DESPESA],"Despesa",LANÇ_MOV[BANCO],$B7,LANÇ_MOV[MÊS PAGAMENTO CORRESPONDENTE],D$6,LANÇ_MOV[ANO PAGAMENTO],$B$4,LANÇ_MOV[EMPRESA],$C$4,LANÇ_MOV[CENTRO DE CUSTOS],$D$4)),"")</calculatedColumnFormula>
    </tableColumn>
    <tableColumn id="6" xr3:uid="{00000000-0010-0000-2100-000006000000}" name="MARÇO" dataDxfId="1445" dataCellStyle="Moeda">
      <calculatedColumnFormula>IFERROR(SUMIFS(CAD_Bancos[R$ SALDO INICIAL],CAD_Bancos[ANO],$B$4,CAD_Bancos[MÊS],E$6,CAD_Bancos[[BANCO ]],Rel_BC[[#This Row],[BANCOS]])+IF($D$4="*",SUMIFS(#REF!,LANÇ_MOV[RECEITA OU DESPESA],"Receita",LANÇ_MOV[BANCO],$B7,LANÇ_MOV[MÊS PAGAMENTO CORRESPONDENTE],E$6,LANÇ_MOV[ANO PAGAMENTO],$B$4),SUMIFS(#REF!,LANÇ_MOV[RECEITA OU DESPESA],"Receita",LANÇ_MOV[BANCO],$B7,LANÇ_MOV[MÊS PAGAMENTO CORRESPONDENTE],E$6,LANÇ_MOV[ANO PAGAMENTO],$B$4,LANÇ_MOV[CENTRO DE CUSTOS],$D$4))-IF($D$4="*",SUMIFS(#REF!,LANÇ_MOV[RECEITA OU DESPESA],"Despesa",LANÇ_MOV[BANCO],$B7,LANÇ_MOV[MÊS PAGAMENTO CORRESPONDENTE],E$6,LANÇ_MOV[ANO PAGAMENTO],$B$4),SUMIFS(#REF!,LANÇ_MOV[RECEITA OU DESPESA],"Despesa",LANÇ_MOV[BANCO],$B7,LANÇ_MOV[MÊS PAGAMENTO CORRESPONDENTE],E$6,LANÇ_MOV[ANO PAGAMENTO],$B$4,LANÇ_MOV[EMPRESA],$C$4,LANÇ_MOV[CENTRO DE CUSTOS],$D$4)),"")</calculatedColumnFormula>
    </tableColumn>
    <tableColumn id="5" xr3:uid="{00000000-0010-0000-2100-000005000000}" name="ABRIL" dataDxfId="1444" dataCellStyle="Moeda">
      <calculatedColumnFormula>IFERROR(SUMIFS(CAD_Bancos[R$ SALDO INICIAL],CAD_Bancos[ANO],$B$4,CAD_Bancos[MÊS],F$6,CAD_Bancos[[BANCO ]],Rel_BC[[#This Row],[BANCOS]])+IF($D$4="*",SUMIFS(#REF!,LANÇ_MOV[RECEITA OU DESPESA],"Receita",LANÇ_MOV[BANCO],$B7,LANÇ_MOV[MÊS PAGAMENTO CORRESPONDENTE],F$6,LANÇ_MOV[ANO PAGAMENTO],$B$4),SUMIFS(#REF!,LANÇ_MOV[RECEITA OU DESPESA],"Receita",LANÇ_MOV[BANCO],$B7,LANÇ_MOV[MÊS PAGAMENTO CORRESPONDENTE],F$6,LANÇ_MOV[ANO PAGAMENTO],$B$4,LANÇ_MOV[CENTRO DE CUSTOS],$D$4))-IF($D$4="*",SUMIFS(#REF!,LANÇ_MOV[RECEITA OU DESPESA],"Despesa",LANÇ_MOV[BANCO],$B7,LANÇ_MOV[MÊS PAGAMENTO CORRESPONDENTE],F$6,LANÇ_MOV[ANO PAGAMENTO],$B$4),SUMIFS(#REF!,LANÇ_MOV[RECEITA OU DESPESA],"Despesa",LANÇ_MOV[BANCO],$B7,LANÇ_MOV[MÊS PAGAMENTO CORRESPONDENTE],F$6,LANÇ_MOV[ANO PAGAMENTO],$B$4,LANÇ_MOV[EMPRESA],$C$4,LANÇ_MOV[CENTRO DE CUSTOS],$D$4)),"")</calculatedColumnFormula>
    </tableColumn>
    <tableColumn id="4" xr3:uid="{00000000-0010-0000-2100-000004000000}" name="MAIO" dataDxfId="1443" dataCellStyle="Moeda">
      <calculatedColumnFormula>IFERROR(SUMIFS(CAD_Bancos[R$ SALDO INICIAL],CAD_Bancos[ANO],$B$4,CAD_Bancos[MÊS],G$6,CAD_Bancos[[BANCO ]],Rel_BC[[#This Row],[BANCOS]])+IF($D$4="*",SUMIFS(#REF!,LANÇ_MOV[RECEITA OU DESPESA],"Receita",LANÇ_MOV[BANCO],$B7,LANÇ_MOV[MÊS PAGAMENTO CORRESPONDENTE],G$6,LANÇ_MOV[ANO PAGAMENTO],$B$4),SUMIFS(#REF!,LANÇ_MOV[RECEITA OU DESPESA],"Receita",LANÇ_MOV[BANCO],$B7,LANÇ_MOV[MÊS PAGAMENTO CORRESPONDENTE],G$6,LANÇ_MOV[ANO PAGAMENTO],$B$4,LANÇ_MOV[CENTRO DE CUSTOS],$D$4))-IF($D$4="*",SUMIFS(#REF!,LANÇ_MOV[RECEITA OU DESPESA],"Despesa",LANÇ_MOV[BANCO],$B7,LANÇ_MOV[MÊS PAGAMENTO CORRESPONDENTE],G$6,LANÇ_MOV[ANO PAGAMENTO],$B$4),SUMIFS(#REF!,LANÇ_MOV[RECEITA OU DESPESA],"Despesa",LANÇ_MOV[BANCO],$B7,LANÇ_MOV[MÊS PAGAMENTO CORRESPONDENTE],G$6,LANÇ_MOV[ANO PAGAMENTO],$B$4,LANÇ_MOV[EMPRESA],$C$4,LANÇ_MOV[CENTRO DE CUSTOS],$D$4)),"")</calculatedColumnFormula>
    </tableColumn>
    <tableColumn id="3" xr3:uid="{00000000-0010-0000-2100-000003000000}" name="JUNHO" dataDxfId="1442" dataCellStyle="Moeda">
      <calculatedColumnFormula>IFERROR(SUMIFS(CAD_Bancos[R$ SALDO INICIAL],CAD_Bancos[ANO],$B$4,CAD_Bancos[MÊS],H$6,CAD_Bancos[[BANCO ]],Rel_BC[[#This Row],[BANCOS]])+IF($D$4="*",SUMIFS(#REF!,LANÇ_MOV[RECEITA OU DESPESA],"Receita",LANÇ_MOV[BANCO],$B7,LANÇ_MOV[MÊS PAGAMENTO CORRESPONDENTE],H$6,LANÇ_MOV[ANO PAGAMENTO],$B$4),SUMIFS(#REF!,LANÇ_MOV[RECEITA OU DESPESA],"Receita",LANÇ_MOV[BANCO],$B7,LANÇ_MOV[MÊS PAGAMENTO CORRESPONDENTE],H$6,LANÇ_MOV[ANO PAGAMENTO],$B$4,LANÇ_MOV[CENTRO DE CUSTOS],$D$4))-IF($D$4="*",SUMIFS(#REF!,LANÇ_MOV[RECEITA OU DESPESA],"Despesa",LANÇ_MOV[BANCO],$B7,LANÇ_MOV[MÊS PAGAMENTO CORRESPONDENTE],H$6,LANÇ_MOV[ANO PAGAMENTO],$B$4),SUMIFS(#REF!,LANÇ_MOV[RECEITA OU DESPESA],"Despesa",LANÇ_MOV[BANCO],$B7,LANÇ_MOV[MÊS PAGAMENTO CORRESPONDENTE],H$6,LANÇ_MOV[ANO PAGAMENTO],$B$4,LANÇ_MOV[EMPRESA],$C$4,LANÇ_MOV[CENTRO DE CUSTOS],$D$4)),"")</calculatedColumnFormula>
    </tableColumn>
    <tableColumn id="8" xr3:uid="{00000000-0010-0000-2100-000008000000}" name="JULHO" dataDxfId="1441" dataCellStyle="Moeda">
      <calculatedColumnFormula>IFERROR(SUMIFS(CAD_Bancos[R$ SALDO INICIAL],CAD_Bancos[ANO],$B$4,CAD_Bancos[MÊS],I$6,CAD_Bancos[[BANCO ]],Rel_BC[[#This Row],[BANCOS]])+IF($D$4="*",SUMIFS(#REF!,LANÇ_MOV[RECEITA OU DESPESA],"Receita",LANÇ_MOV[BANCO],$B7,LANÇ_MOV[MÊS PAGAMENTO CORRESPONDENTE],I$6,LANÇ_MOV[ANO PAGAMENTO],$B$4),SUMIFS(#REF!,LANÇ_MOV[RECEITA OU DESPESA],"Receita",LANÇ_MOV[BANCO],$B7,LANÇ_MOV[MÊS PAGAMENTO CORRESPONDENTE],I$6,LANÇ_MOV[ANO PAGAMENTO],$B$4,LANÇ_MOV[CENTRO DE CUSTOS],$D$4))-IF($D$4="*",SUMIFS(#REF!,LANÇ_MOV[RECEITA OU DESPESA],"Despesa",LANÇ_MOV[BANCO],$B7,LANÇ_MOV[MÊS PAGAMENTO CORRESPONDENTE],I$6,LANÇ_MOV[ANO PAGAMENTO],$B$4),SUMIFS(#REF!,LANÇ_MOV[RECEITA OU DESPESA],"Despesa",LANÇ_MOV[BANCO],$B7,LANÇ_MOV[MÊS PAGAMENTO CORRESPONDENTE],I$6,LANÇ_MOV[ANO PAGAMENTO],$B$4,LANÇ_MOV[EMPRESA],$C$4,LANÇ_MOV[CENTRO DE CUSTOS],$D$4)),"")</calculatedColumnFormula>
    </tableColumn>
    <tableColumn id="9" xr3:uid="{00000000-0010-0000-2100-000009000000}" name="AGOSTO" dataDxfId="1440" dataCellStyle="Moeda">
      <calculatedColumnFormula>IFERROR(SUMIFS(CAD_Bancos[R$ SALDO INICIAL],CAD_Bancos[ANO],$B$4,CAD_Bancos[MÊS],J$6,CAD_Bancos[[BANCO ]],Rel_BC[[#This Row],[BANCOS]])+IF($D$4="*",SUMIFS(#REF!,LANÇ_MOV[RECEITA OU DESPESA],"Receita",LANÇ_MOV[BANCO],$B7,LANÇ_MOV[MÊS PAGAMENTO CORRESPONDENTE],J$6,LANÇ_MOV[ANO PAGAMENTO],$B$4),SUMIFS(#REF!,LANÇ_MOV[RECEITA OU DESPESA],"Receita",LANÇ_MOV[BANCO],$B7,LANÇ_MOV[MÊS PAGAMENTO CORRESPONDENTE],J$6,LANÇ_MOV[ANO PAGAMENTO],$B$4,LANÇ_MOV[CENTRO DE CUSTOS],$D$4))-IF($D$4="*",SUMIFS(#REF!,LANÇ_MOV[RECEITA OU DESPESA],"Despesa",LANÇ_MOV[BANCO],$B7,LANÇ_MOV[MÊS PAGAMENTO CORRESPONDENTE],J$6,LANÇ_MOV[ANO PAGAMENTO],$B$4),SUMIFS(#REF!,LANÇ_MOV[RECEITA OU DESPESA],"Despesa",LANÇ_MOV[BANCO],$B7,LANÇ_MOV[MÊS PAGAMENTO CORRESPONDENTE],J$6,LANÇ_MOV[ANO PAGAMENTO],$B$4,LANÇ_MOV[EMPRESA],$C$4,LANÇ_MOV[CENTRO DE CUSTOS],$D$4)),"")</calculatedColumnFormula>
    </tableColumn>
    <tableColumn id="10" xr3:uid="{00000000-0010-0000-2100-00000A000000}" name="SETEMBRO" dataDxfId="1439" dataCellStyle="Moeda">
      <calculatedColumnFormula>IFERROR(SUMIFS(CAD_Bancos[R$ SALDO INICIAL],CAD_Bancos[ANO],$B$4,CAD_Bancos[MÊS],K$6,CAD_Bancos[[BANCO ]],Rel_BC[[#This Row],[BANCOS]])+IF($D$4="*",SUMIFS(#REF!,LANÇ_MOV[RECEITA OU DESPESA],"Receita",LANÇ_MOV[BANCO],$B7,LANÇ_MOV[MÊS PAGAMENTO CORRESPONDENTE],K$6,LANÇ_MOV[ANO PAGAMENTO],$B$4),SUMIFS(#REF!,LANÇ_MOV[RECEITA OU DESPESA],"Receita",LANÇ_MOV[BANCO],$B7,LANÇ_MOV[MÊS PAGAMENTO CORRESPONDENTE],K$6,LANÇ_MOV[ANO PAGAMENTO],$B$4,LANÇ_MOV[CENTRO DE CUSTOS],$D$4))-IF($D$4="*",SUMIFS(#REF!,LANÇ_MOV[RECEITA OU DESPESA],"Despesa",LANÇ_MOV[BANCO],$B7,LANÇ_MOV[MÊS PAGAMENTO CORRESPONDENTE],K$6,LANÇ_MOV[ANO PAGAMENTO],$B$4),SUMIFS(#REF!,LANÇ_MOV[RECEITA OU DESPESA],"Despesa",LANÇ_MOV[BANCO],$B7,LANÇ_MOV[MÊS PAGAMENTO CORRESPONDENTE],K$6,LANÇ_MOV[ANO PAGAMENTO],$B$4,LANÇ_MOV[EMPRESA],$C$4,LANÇ_MOV[CENTRO DE CUSTOS],$D$4)),"")</calculatedColumnFormula>
    </tableColumn>
    <tableColumn id="11" xr3:uid="{00000000-0010-0000-2100-00000B000000}" name="OUTUBRO" dataDxfId="1438" dataCellStyle="Moeda">
      <calculatedColumnFormula>IFERROR(SUMIFS(CAD_Bancos[R$ SALDO INICIAL],CAD_Bancos[ANO],$B$4,CAD_Bancos[MÊS],L$6,CAD_Bancos[[BANCO ]],Rel_BC[[#This Row],[BANCOS]])+IF($D$4="*",SUMIFS(#REF!,LANÇ_MOV[RECEITA OU DESPESA],"Receita",LANÇ_MOV[BANCO],$B7,LANÇ_MOV[MÊS PAGAMENTO CORRESPONDENTE],L$6,LANÇ_MOV[ANO PAGAMENTO],$B$4),SUMIFS(#REF!,LANÇ_MOV[RECEITA OU DESPESA],"Receita",LANÇ_MOV[BANCO],$B7,LANÇ_MOV[MÊS PAGAMENTO CORRESPONDENTE],L$6,LANÇ_MOV[ANO PAGAMENTO],$B$4,LANÇ_MOV[CENTRO DE CUSTOS],$D$4))-IF($D$4="*",SUMIFS(#REF!,LANÇ_MOV[RECEITA OU DESPESA],"Despesa",LANÇ_MOV[BANCO],$B7,LANÇ_MOV[MÊS PAGAMENTO CORRESPONDENTE],L$6,LANÇ_MOV[ANO PAGAMENTO],$B$4),SUMIFS(#REF!,LANÇ_MOV[RECEITA OU DESPESA],"Despesa",LANÇ_MOV[BANCO],$B7,LANÇ_MOV[MÊS PAGAMENTO CORRESPONDENTE],L$6,LANÇ_MOV[ANO PAGAMENTO],$B$4,LANÇ_MOV[EMPRESA],$C$4,LANÇ_MOV[CENTRO DE CUSTOS],$D$4)),"")</calculatedColumnFormula>
    </tableColumn>
    <tableColumn id="12" xr3:uid="{00000000-0010-0000-2100-00000C000000}" name="NOVEMBRO" dataDxfId="1437" dataCellStyle="Moeda">
      <calculatedColumnFormula>IFERROR(SUMIFS(CAD_Bancos[R$ SALDO INICIAL],CAD_Bancos[ANO],$B$4,CAD_Bancos[MÊS],M$6,CAD_Bancos[[BANCO ]],Rel_BC[[#This Row],[BANCOS]])+IF($D$4="*",SUMIFS(#REF!,LANÇ_MOV[RECEITA OU DESPESA],"Receita",LANÇ_MOV[BANCO],$B7,LANÇ_MOV[MÊS PAGAMENTO CORRESPONDENTE],M$6,LANÇ_MOV[ANO PAGAMENTO],$B$4),SUMIFS(#REF!,LANÇ_MOV[RECEITA OU DESPESA],"Receita",LANÇ_MOV[BANCO],$B7,LANÇ_MOV[MÊS PAGAMENTO CORRESPONDENTE],M$6,LANÇ_MOV[ANO PAGAMENTO],$B$4,LANÇ_MOV[CENTRO DE CUSTOS],$D$4))-IF($D$4="*",SUMIFS(#REF!,LANÇ_MOV[RECEITA OU DESPESA],"Despesa",LANÇ_MOV[BANCO],$B7,LANÇ_MOV[MÊS PAGAMENTO CORRESPONDENTE],M$6,LANÇ_MOV[ANO PAGAMENTO],$B$4),SUMIFS(#REF!,LANÇ_MOV[RECEITA OU DESPESA],"Despesa",LANÇ_MOV[BANCO],$B7,LANÇ_MOV[MÊS PAGAMENTO CORRESPONDENTE],M$6,LANÇ_MOV[ANO PAGAMENTO],$B$4,LANÇ_MOV[EMPRESA],$C$4,LANÇ_MOV[CENTRO DE CUSTOS],$D$4)),"")</calculatedColumnFormula>
    </tableColumn>
    <tableColumn id="13" xr3:uid="{00000000-0010-0000-2100-00000D000000}" name="DEZEMBRO" dataDxfId="1436" dataCellStyle="Moeda">
      <calculatedColumnFormula>IFERROR(SUMIFS(CAD_Bancos[R$ SALDO INICIAL],CAD_Bancos[ANO],$B$4,CAD_Bancos[MÊS],N$6,CAD_Bancos[[BANCO ]],Rel_BC[[#This Row],[BANCOS]])+IF($D$4="*",SUMIFS(#REF!,LANÇ_MOV[RECEITA OU DESPESA],"Receita",LANÇ_MOV[BANCO],$B7,LANÇ_MOV[MÊS PAGAMENTO CORRESPONDENTE],N$6,LANÇ_MOV[ANO PAGAMENTO],$B$4),SUMIFS(#REF!,LANÇ_MOV[RECEITA OU DESPESA],"Receita",LANÇ_MOV[BANCO],$B7,LANÇ_MOV[MÊS PAGAMENTO CORRESPONDENTE],N$6,LANÇ_MOV[ANO PAGAMENTO],$B$4,LANÇ_MOV[CENTRO DE CUSTOS],$D$4))-IF($D$4="*",SUMIFS(#REF!,LANÇ_MOV[RECEITA OU DESPESA],"Despesa",LANÇ_MOV[BANCO],$B7,LANÇ_MOV[MÊS PAGAMENTO CORRESPONDENTE],N$6,LANÇ_MOV[ANO PAGAMENTO],$B$4),SUMIFS(#REF!,LANÇ_MOV[RECEITA OU DESPESA],"Despesa",LANÇ_MOV[BANCO],$B7,LANÇ_MOV[MÊS PAGAMENTO CORRESPONDENTE],N$6,LANÇ_MOV[ANO PAGAMENTO],$B$4,LANÇ_MOV[EMPRESA],$C$4,LANÇ_MOV[CENTRO DE CUSTOS],$D$4)),"")</calculatedColumnFormula>
    </tableColumn>
    <tableColumn id="14" xr3:uid="{00000000-0010-0000-2100-00000E000000}" name="TOTAL" dataDxfId="1435">
      <calculatedColumnFormula>SUM(C7:N7)</calculatedColumnFormula>
    </tableColumn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4000000}" name="Mês" displayName="Mês" ref="B4:D17" totalsRowShown="0" headerRowDxfId="1392" dataDxfId="1390" headerRowBorderDxfId="1391" tableBorderDxfId="1389" totalsRowBorderDxfId="1388">
  <autoFilter ref="B4:D17" xr:uid="{00000000-0009-0000-0100-00002F000000}"/>
  <tableColumns count="3">
    <tableColumn id="1" xr3:uid="{00000000-0010-0000-2400-000001000000}" name="N. MESES" dataDxfId="1387"/>
    <tableColumn id="2" xr3:uid="{00000000-0010-0000-2400-000002000000}" name="NOME MÊS" dataDxfId="1386"/>
    <tableColumn id="3" xr3:uid="{00000000-0010-0000-2400-000003000000}" name="MÊS ABREVIADO" dataDxfId="1385"/>
  </tableColumns>
  <tableStyleInfo name="Estilo de Tabela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5000000}" name="Plano_Contas" displayName="Plano_Contas" ref="I4:L16" totalsRowShown="0" headerRowDxfId="1384" dataDxfId="1382" headerRowBorderDxfId="1383" tableBorderDxfId="1381" totalsRowBorderDxfId="1380">
  <autoFilter ref="I4:L16" xr:uid="{00000000-0009-0000-0100-000030000000}"/>
  <tableColumns count="4">
    <tableColumn id="4" xr3:uid="{00000000-0010-0000-2500-000004000000}" name="Coluna1" dataDxfId="1379"/>
    <tableColumn id="1" xr3:uid="{00000000-0010-0000-2500-000001000000}" name="PLANO DE CONTAS" dataDxfId="1378"/>
    <tableColumn id="2" xr3:uid="{00000000-0010-0000-2500-000002000000}" name="NOMES INTERVALOS" dataDxfId="1377"/>
    <tableColumn id="3" xr3:uid="{00000000-0010-0000-2500-000003000000}" name="R / D" dataDxfId="1376"/>
  </tableColumns>
  <tableStyleInfo name="Estilo de Tabela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26000000}" name="Vinculo_cx_comb" displayName="Vinculo_cx_comb" ref="N4:P14" totalsRowShown="0" headerRowDxfId="1375" dataDxfId="1373" headerRowBorderDxfId="1374" tableBorderDxfId="1372">
  <autoFilter ref="N4:P14" xr:uid="{00000000-0009-0000-0100-000032000000}"/>
  <tableColumns count="3">
    <tableColumn id="1" xr3:uid="{00000000-0010-0000-2600-000001000000}" name="VÍNCULO CAIXA COMBINAÇÃO" dataDxfId="1371"/>
    <tableColumn id="3" xr3:uid="{00000000-0010-0000-2600-000003000000}" name="-" dataDxfId="1370"/>
    <tableColumn id="2" xr3:uid="{00000000-0010-0000-2600-000002000000}" name="Mês" dataDxfId="1369">
      <calculatedColumnFormula>VLOOKUP($O5,$B$6:$C$17,2,0)</calculatedColumnFormula>
    </tableColumn>
  </tableColumns>
  <tableStyleInfo name="Estilo de Tabela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7000000}" name="CENTROS_CUSTOS" displayName="CENTROS_CUSTOS" ref="B20:C127" totalsRowShown="0" headerRowDxfId="1368">
  <autoFilter ref="B20:C127" xr:uid="{00000000-0009-0000-0100-000003000000}"/>
  <tableColumns count="2">
    <tableColumn id="2" xr3:uid="{00000000-0010-0000-2700-000002000000}" name="Coluna1" dataDxfId="1367"/>
    <tableColumn id="1" xr3:uid="{00000000-0010-0000-2700-000001000000}" name="CENTRO DE CUSTOS" dataDxfId="1366"/>
  </tableColumns>
  <tableStyleInfo name="Estilo de Tabela 1" showFirstColumn="0" showLastColumn="0" showRowStripes="1" showColumnStripes="1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28000000}" name="BANCOS" displayName="BANCOS" ref="J21:K128" totalsRowShown="0" headerRowDxfId="1365">
  <autoFilter ref="J21:K128" xr:uid="{00000000-0009-0000-0100-000001000000}"/>
  <tableColumns count="2">
    <tableColumn id="1" xr3:uid="{00000000-0010-0000-2800-000001000000}" name="Coluna1" dataDxfId="1364"/>
    <tableColumn id="2" xr3:uid="{00000000-0010-0000-2800-000002000000}" name="BANCOS" dataDxfId="1363"/>
  </tableColumns>
  <tableStyleInfo name="Estilo de Tabela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29000000}" name="ANO" displayName="ANO" ref="F4:G17" totalsRowShown="0" headerRowDxfId="1362">
  <autoFilter ref="F4:G17" xr:uid="{00000000-0009-0000-0100-000016000000}"/>
  <tableColumns count="2">
    <tableColumn id="1" xr3:uid="{00000000-0010-0000-2900-000001000000}" name="Coluna1" dataDxfId="1361"/>
    <tableColumn id="2" xr3:uid="{00000000-0010-0000-2900-000002000000}" name="ANO" dataDxfId="1360">
      <calculatedColumnFormula>N20</calculatedColumnFormula>
    </tableColumn>
  </tableColumns>
  <tableStyleInfo name="Estilo de Tabela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2A000000}" name="EMPRESA" displayName="EMPRESA" ref="F20:G127" totalsRowShown="0" headerRowDxfId="1359">
  <autoFilter ref="F20:G127" xr:uid="{00000000-0009-0000-0100-00000C000000}"/>
  <tableColumns count="2">
    <tableColumn id="2" xr3:uid="{00000000-0010-0000-2A00-000002000000}" name="Coluna1" dataDxfId="1358"/>
    <tableColumn id="1" xr3:uid="{00000000-0010-0000-2A00-000001000000}" name="EMPRESA" dataDxfId="1357"/>
  </tableColumns>
  <tableStyleInfo name="Estilo de Tabela 1" showFirstColumn="0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AF-Le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B6022D"/>
      </a:accent1>
      <a:accent2>
        <a:srgbClr val="B6022D"/>
      </a:accent2>
      <a:accent3>
        <a:srgbClr val="D27084"/>
      </a:accent3>
      <a:accent4>
        <a:srgbClr val="C8C6C6"/>
      </a:accent4>
      <a:accent5>
        <a:srgbClr val="E7E6E6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13" Type="http://schemas.openxmlformats.org/officeDocument/2006/relationships/table" Target="../tables/table17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11.xml"/><Relationship Id="rId12" Type="http://schemas.openxmlformats.org/officeDocument/2006/relationships/table" Target="../tables/table1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5" Type="http://schemas.openxmlformats.org/officeDocument/2006/relationships/table" Target="../tables/table1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Relationship Id="rId14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7" Type="http://schemas.openxmlformats.org/officeDocument/2006/relationships/table" Target="../tables/table2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2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drawing" Target="../drawings/drawing14.xml"/><Relationship Id="rId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6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13.vml"/><Relationship Id="rId9" Type="http://schemas.openxmlformats.org/officeDocument/2006/relationships/table" Target="../tables/table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7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8.xml"/><Relationship Id="rId6" Type="http://schemas.openxmlformats.org/officeDocument/2006/relationships/comments" Target="../comments2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5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table" Target="../tables/table25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42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6.xml"/><Relationship Id="rId13" Type="http://schemas.openxmlformats.org/officeDocument/2006/relationships/pivotTable" Target="../pivotTables/pivotTable21.xml"/><Relationship Id="rId18" Type="http://schemas.openxmlformats.org/officeDocument/2006/relationships/table" Target="../tables/table26.xml"/><Relationship Id="rId3" Type="http://schemas.openxmlformats.org/officeDocument/2006/relationships/pivotTable" Target="../pivotTables/pivotTable11.xml"/><Relationship Id="rId21" Type="http://schemas.openxmlformats.org/officeDocument/2006/relationships/table" Target="../tables/table29.xml"/><Relationship Id="rId7" Type="http://schemas.openxmlformats.org/officeDocument/2006/relationships/pivotTable" Target="../pivotTables/pivotTable15.xml"/><Relationship Id="rId12" Type="http://schemas.openxmlformats.org/officeDocument/2006/relationships/pivotTable" Target="../pivotTables/pivotTable20.xml"/><Relationship Id="rId17" Type="http://schemas.openxmlformats.org/officeDocument/2006/relationships/vmlDrawing" Target="../drawings/vmlDrawing24.vml"/><Relationship Id="rId25" Type="http://schemas.openxmlformats.org/officeDocument/2006/relationships/comments" Target="../comments3.xml"/><Relationship Id="rId2" Type="http://schemas.openxmlformats.org/officeDocument/2006/relationships/pivotTable" Target="../pivotTables/pivotTable10.xml"/><Relationship Id="rId16" Type="http://schemas.openxmlformats.org/officeDocument/2006/relationships/printerSettings" Target="../printerSettings/printerSettings25.bin"/><Relationship Id="rId20" Type="http://schemas.openxmlformats.org/officeDocument/2006/relationships/table" Target="../tables/table28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11" Type="http://schemas.openxmlformats.org/officeDocument/2006/relationships/pivotTable" Target="../pivotTables/pivotTable19.xml"/><Relationship Id="rId24" Type="http://schemas.openxmlformats.org/officeDocument/2006/relationships/table" Target="../tables/table32.xml"/><Relationship Id="rId5" Type="http://schemas.openxmlformats.org/officeDocument/2006/relationships/pivotTable" Target="../pivotTables/pivotTable13.xml"/><Relationship Id="rId15" Type="http://schemas.openxmlformats.org/officeDocument/2006/relationships/pivotTable" Target="../pivotTables/pivotTable23.xml"/><Relationship Id="rId23" Type="http://schemas.openxmlformats.org/officeDocument/2006/relationships/table" Target="../tables/table31.xml"/><Relationship Id="rId10" Type="http://schemas.openxmlformats.org/officeDocument/2006/relationships/pivotTable" Target="../pivotTables/pivotTable18.xml"/><Relationship Id="rId19" Type="http://schemas.openxmlformats.org/officeDocument/2006/relationships/table" Target="../tables/table27.xml"/><Relationship Id="rId4" Type="http://schemas.openxmlformats.org/officeDocument/2006/relationships/pivotTable" Target="../pivotTables/pivotTable12.xml"/><Relationship Id="rId9" Type="http://schemas.openxmlformats.org/officeDocument/2006/relationships/pivotTable" Target="../pivotTables/pivotTable17.xml"/><Relationship Id="rId14" Type="http://schemas.openxmlformats.org/officeDocument/2006/relationships/pivotTable" Target="../pivotTables/pivotTable22.xml"/><Relationship Id="rId22" Type="http://schemas.openxmlformats.org/officeDocument/2006/relationships/table" Target="../tables/table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B1:M28"/>
  <sheetViews>
    <sheetView showGridLines="0" showRowColHeaders="0" zoomScaleNormal="100" workbookViewId="0">
      <pane ySplit="5" topLeftCell="A6" activePane="bottomLeft" state="frozen"/>
      <selection activeCell="E8" sqref="E8"/>
      <selection pane="bottomLeft" activeCell="F6" sqref="F6"/>
    </sheetView>
  </sheetViews>
  <sheetFormatPr defaultColWidth="9.1796875" defaultRowHeight="14.5" x14ac:dyDescent="0.35"/>
  <cols>
    <col min="1" max="1" width="9.7265625" style="1" customWidth="1"/>
    <col min="2" max="2" width="5.453125" style="1" customWidth="1"/>
    <col min="3" max="3" width="52.26953125" style="1" customWidth="1"/>
    <col min="4" max="4" width="1.81640625" style="1" customWidth="1"/>
    <col min="5" max="5" width="5.453125" style="1" customWidth="1"/>
    <col min="6" max="6" width="22.453125" style="1" customWidth="1"/>
    <col min="7" max="7" width="1.81640625" style="1" customWidth="1"/>
    <col min="8" max="8" width="5.453125" style="1" customWidth="1"/>
    <col min="9" max="9" width="26.7265625" style="1" customWidth="1"/>
    <col min="10" max="10" width="1.81640625" style="1" customWidth="1"/>
    <col min="11" max="11" width="5.453125" style="1" customWidth="1"/>
    <col min="12" max="12" width="24.7265625" style="1" customWidth="1"/>
    <col min="13" max="13" width="9.1796875" style="1"/>
    <col min="14" max="14" width="14.7265625" style="1" customWidth="1"/>
    <col min="15" max="16384" width="9.1796875" style="1"/>
  </cols>
  <sheetData>
    <row r="1" spans="2:13" s="165" customFormat="1" ht="2.2000000000000002" customHeight="1" x14ac:dyDescent="0.35"/>
    <row r="2" spans="2:13" s="165" customFormat="1" ht="55.55" customHeight="1" x14ac:dyDescent="0.35">
      <c r="F2" s="494"/>
    </row>
    <row r="3" spans="2:13" s="165" customFormat="1" ht="2.2000000000000002" customHeight="1" x14ac:dyDescent="0.35"/>
    <row r="4" spans="2:13" customFormat="1" ht="5.35" customHeight="1" x14ac:dyDescent="0.35"/>
    <row r="5" spans="2:13" s="4" customFormat="1" ht="20.75" x14ac:dyDescent="0.35">
      <c r="B5" s="592" t="s">
        <v>1598</v>
      </c>
      <c r="C5" s="592"/>
      <c r="D5" s="310"/>
      <c r="E5" s="592" t="s">
        <v>3</v>
      </c>
      <c r="F5" s="592"/>
      <c r="G5" s="310"/>
      <c r="H5" s="592" t="s">
        <v>0</v>
      </c>
      <c r="I5" s="592"/>
      <c r="J5" s="310"/>
      <c r="K5" s="592" t="s">
        <v>1</v>
      </c>
      <c r="L5" s="592"/>
      <c r="M5" s="311"/>
    </row>
    <row r="6" spans="2:13" s="5" customFormat="1" ht="18" customHeight="1" x14ac:dyDescent="0.35">
      <c r="B6" s="309"/>
      <c r="C6" s="6" t="s">
        <v>1208</v>
      </c>
      <c r="D6" s="312"/>
      <c r="E6" s="309"/>
      <c r="F6" s="6" t="s">
        <v>1191</v>
      </c>
      <c r="G6" s="316"/>
      <c r="H6" s="314"/>
      <c r="I6" s="6" t="s">
        <v>1594</v>
      </c>
      <c r="J6" s="316"/>
      <c r="K6" s="314"/>
      <c r="L6" s="6" t="s">
        <v>9</v>
      </c>
      <c r="M6" s="316"/>
    </row>
    <row r="7" spans="2:13" s="5" customFormat="1" ht="18" customHeight="1" x14ac:dyDescent="0.35">
      <c r="B7" s="309"/>
      <c r="C7" s="6" t="s">
        <v>1212</v>
      </c>
      <c r="D7" s="312"/>
      <c r="E7" s="309"/>
      <c r="F7" s="6"/>
      <c r="G7" s="316"/>
      <c r="H7" s="314"/>
      <c r="I7" s="6" t="s">
        <v>1595</v>
      </c>
      <c r="J7" s="316"/>
      <c r="K7" s="314"/>
      <c r="L7" s="6" t="s">
        <v>10</v>
      </c>
      <c r="M7" s="316"/>
    </row>
    <row r="8" spans="2:13" s="5" customFormat="1" ht="18" customHeight="1" x14ac:dyDescent="0.35">
      <c r="B8" s="309"/>
      <c r="C8" s="6" t="s">
        <v>1137</v>
      </c>
      <c r="D8" s="312"/>
      <c r="E8" s="309"/>
      <c r="F8" s="6"/>
      <c r="G8" s="316"/>
      <c r="H8" s="314"/>
      <c r="I8" s="6" t="s">
        <v>1618</v>
      </c>
      <c r="J8" s="316"/>
      <c r="K8" s="314"/>
      <c r="L8" s="6" t="s">
        <v>11</v>
      </c>
      <c r="M8" s="316"/>
    </row>
    <row r="9" spans="2:13" ht="18" customHeight="1" x14ac:dyDescent="0.35">
      <c r="B9" s="309"/>
      <c r="C9" s="6" t="s">
        <v>1183</v>
      </c>
      <c r="D9" s="313"/>
      <c r="E9" s="309"/>
      <c r="F9" s="6"/>
      <c r="G9" s="315"/>
      <c r="H9" s="314"/>
      <c r="I9" s="6" t="s">
        <v>1146</v>
      </c>
      <c r="J9" s="315"/>
      <c r="K9" s="314"/>
      <c r="L9" s="6" t="s">
        <v>12</v>
      </c>
      <c r="M9" s="315"/>
    </row>
    <row r="10" spans="2:13" ht="18" customHeight="1" x14ac:dyDescent="0.35">
      <c r="B10" s="309"/>
      <c r="C10" s="6" t="s">
        <v>1473</v>
      </c>
      <c r="D10" s="313"/>
      <c r="E10" s="309"/>
      <c r="F10" s="6"/>
      <c r="G10" s="315"/>
      <c r="H10" s="314"/>
      <c r="I10" s="6" t="s">
        <v>1147</v>
      </c>
      <c r="J10" s="315"/>
      <c r="K10" s="314"/>
      <c r="L10" s="6" t="s">
        <v>13</v>
      </c>
      <c r="M10" s="315"/>
    </row>
    <row r="11" spans="2:13" ht="18" customHeight="1" x14ac:dyDescent="0.35">
      <c r="B11" s="309"/>
      <c r="C11" s="6" t="s">
        <v>1443</v>
      </c>
      <c r="D11" s="313"/>
      <c r="E11" s="309"/>
      <c r="F11" s="6"/>
      <c r="G11" s="315"/>
      <c r="H11" s="314"/>
      <c r="I11" s="6" t="s">
        <v>1596</v>
      </c>
      <c r="J11" s="315"/>
      <c r="K11" s="314"/>
      <c r="L11" s="6"/>
      <c r="M11" s="315"/>
    </row>
    <row r="12" spans="2:13" ht="18" customHeight="1" x14ac:dyDescent="0.35">
      <c r="B12" s="309"/>
      <c r="C12" s="6" t="s">
        <v>2053</v>
      </c>
      <c r="D12" s="313"/>
      <c r="E12" s="309"/>
      <c r="F12" s="6"/>
      <c r="G12" s="315"/>
      <c r="H12" s="314"/>
      <c r="I12" s="6" t="s">
        <v>1597</v>
      </c>
      <c r="J12" s="315"/>
      <c r="K12" s="315"/>
      <c r="L12" s="336"/>
      <c r="M12" s="315"/>
    </row>
    <row r="13" spans="2:13" ht="18" customHeight="1" x14ac:dyDescent="0.35">
      <c r="B13" s="309"/>
      <c r="D13" s="313"/>
      <c r="E13" s="309"/>
      <c r="F13" s="6"/>
      <c r="G13" s="315"/>
      <c r="H13" s="314"/>
      <c r="I13" s="6" t="s">
        <v>8</v>
      </c>
      <c r="J13" s="315"/>
      <c r="K13" s="315"/>
      <c r="M13" s="315"/>
    </row>
    <row r="14" spans="2:13" ht="18" customHeight="1" x14ac:dyDescent="0.35">
      <c r="B14" s="309"/>
      <c r="C14" s="6"/>
      <c r="D14" s="313"/>
      <c r="E14" s="309"/>
      <c r="F14" s="314"/>
      <c r="G14" s="315"/>
      <c r="H14" s="314"/>
      <c r="I14" s="6" t="s">
        <v>1625</v>
      </c>
      <c r="J14" s="315"/>
      <c r="K14" s="315"/>
      <c r="M14" s="315"/>
    </row>
    <row r="15" spans="2:13" ht="18" customHeight="1" x14ac:dyDescent="0.35">
      <c r="B15" s="309"/>
      <c r="D15" s="313"/>
      <c r="E15" s="309"/>
      <c r="F15" s="314"/>
      <c r="G15" s="315"/>
      <c r="H15" s="314"/>
      <c r="I15" s="6" t="s">
        <v>1183</v>
      </c>
      <c r="J15" s="315"/>
      <c r="K15" s="315"/>
      <c r="M15" s="315"/>
    </row>
    <row r="16" spans="2:13" ht="18" customHeight="1" x14ac:dyDescent="0.35">
      <c r="B16" s="309"/>
      <c r="E16" s="2"/>
      <c r="F16" s="6"/>
      <c r="H16" s="314"/>
      <c r="I16" s="6"/>
    </row>
    <row r="17" spans="5:9" ht="18" customHeight="1" x14ac:dyDescent="0.35">
      <c r="E17" s="2"/>
      <c r="F17" s="6"/>
      <c r="H17" s="314"/>
    </row>
    <row r="18" spans="5:9" ht="15.55" x14ac:dyDescent="0.35">
      <c r="H18" s="314"/>
    </row>
    <row r="19" spans="5:9" ht="15.55" x14ac:dyDescent="0.35">
      <c r="H19" s="314"/>
    </row>
    <row r="20" spans="5:9" ht="15.55" x14ac:dyDescent="0.35">
      <c r="H20" s="314"/>
    </row>
    <row r="21" spans="5:9" ht="15.55" x14ac:dyDescent="0.35">
      <c r="H21" s="314"/>
    </row>
    <row r="22" spans="5:9" ht="15.55" x14ac:dyDescent="0.35">
      <c r="H22" s="314"/>
      <c r="I22" s="6"/>
    </row>
    <row r="23" spans="5:9" ht="15.55" x14ac:dyDescent="0.35">
      <c r="H23" s="314"/>
    </row>
    <row r="24" spans="5:9" ht="15.55" x14ac:dyDescent="0.35">
      <c r="H24" s="314"/>
      <c r="I24" s="6"/>
    </row>
    <row r="26" spans="5:9" ht="15.55" x14ac:dyDescent="0.35">
      <c r="I26" s="6"/>
    </row>
    <row r="28" spans="5:9" x14ac:dyDescent="0.35">
      <c r="I28" s="336"/>
    </row>
  </sheetData>
  <sheetProtection sort="0" autoFilter="0" pivotTables="0"/>
  <mergeCells count="4">
    <mergeCell ref="K5:L5"/>
    <mergeCell ref="B5:C5"/>
    <mergeCell ref="E5:F5"/>
    <mergeCell ref="H5:I5"/>
  </mergeCells>
  <hyperlinks>
    <hyperlink ref="I13" location="REL_VA!A1" display="Valores em Aberto" xr:uid="{00000000-0004-0000-0000-000003000000}"/>
    <hyperlink ref="L6" location="DASH_MENSAL!A1" display="Análise Mensal" xr:uid="{00000000-0004-0000-0000-000005000000}"/>
    <hyperlink ref="L7" location="DASH_ANUAL!A1" display="Análise Anual" xr:uid="{00000000-0004-0000-0000-000006000000}"/>
    <hyperlink ref="L9" location="DASH_RECEITAS!A1" display="Análise de Receitas" xr:uid="{00000000-0004-0000-0000-000007000000}"/>
    <hyperlink ref="L10" location="DASH_DESPESAS!A1" display="Análise de Despesas" xr:uid="{00000000-0004-0000-0000-000008000000}"/>
    <hyperlink ref="L8" location="DASH_CONTAS!A1" display="Análise de Contas" xr:uid="{00000000-0004-0000-0000-000009000000}"/>
    <hyperlink ref="I9" location="REL_RES_DIA!A1" display="Resultado por Dia" xr:uid="{00000000-0004-0000-0000-00000B000000}"/>
    <hyperlink ref="I12" location="REL_CP!A1" display="Contas a Pagar" xr:uid="{00000000-0004-0000-0000-00000C000000}"/>
    <hyperlink ref="C9" location="CAD_BANCOS!A1" display="Bancos" xr:uid="{00000000-0004-0000-0000-00000D000000}"/>
    <hyperlink ref="F6" location="LANÇ_MOV!A1" display="Movimento Financeiro" xr:uid="{00000000-0004-0000-0000-000011000000}"/>
    <hyperlink ref="C6" location="CAD_EMP!A1" display="Empresa" xr:uid="{00000000-0004-0000-0000-000012000000}"/>
    <hyperlink ref="C8" location="CAD_FORN!A1" display="Fornecedores" xr:uid="{00000000-0004-0000-0000-000013000000}"/>
    <hyperlink ref="C7" location="CAD_CLIENTES!A1" display="Clientes" xr:uid="{00000000-0004-0000-0000-000014000000}"/>
    <hyperlink ref="C11" location="'CAD_PL_REC-DESP'!A1" display="Plano - Receitas" xr:uid="{00000000-0004-0000-0000-000015000000}"/>
    <hyperlink ref="C10" location="CAD_CC!A1" display="Centro de Custos" xr:uid="{00000000-0004-0000-0000-000016000000}"/>
    <hyperlink ref="I6" location="REL_FATURAMENTO_BRUTO!A1" display="Faturamento Bruto" xr:uid="{00000000-0004-0000-0000-000019000000}"/>
    <hyperlink ref="I7" location="'REL_RECEBIMENTO _LÍQUIDO'!A1" display="Faturamento Líquido" xr:uid="{00000000-0004-0000-0000-00001A000000}"/>
    <hyperlink ref="I10" location="'REL_FC'!A1" display="Fluxo de Caixa" xr:uid="{00000000-0004-0000-0000-00001B000000}"/>
    <hyperlink ref="I11" location="'REL_CR  '!A1" display="Contas à Receber" xr:uid="{00000000-0004-0000-0000-00001D000000}"/>
    <hyperlink ref="I14" location="REL_DRE_FINANCEIRO!A1" display="DRE Caixa" xr:uid="{00000000-0004-0000-0000-000020000000}"/>
    <hyperlink ref="C12" location="CAD_ORÇ!A1" display="Orçamento" xr:uid="{00000000-0004-0000-0000-000021000000}"/>
    <hyperlink ref="I8" location="REL_DESPESAS__FIN!A1" display="Despesas Financeiras" xr:uid="{2ECF8C17-D639-41B8-8E9B-3671E06C4496}"/>
    <hyperlink ref="I15" location="REL_BC!A1" display="Bancos" xr:uid="{00000000-0004-0000-0000-00000F000000}"/>
  </hyperlinks>
  <pageMargins left="0.511811024" right="0.511811024" top="0.78740157499999996" bottom="0.78740157499999996" header="0.31496062000000002" footer="0.31496062000000002"/>
  <pageSetup paperSize="9" scale="71" orientation="landscape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8"/>
  <dimension ref="A1:J29"/>
  <sheetViews>
    <sheetView showGridLines="0" zoomScaleNormal="100" workbookViewId="0">
      <pane ySplit="4" topLeftCell="A5" activePane="bottomLeft" state="frozen"/>
      <selection pane="bottomLeft"/>
    </sheetView>
  </sheetViews>
  <sheetFormatPr defaultColWidth="9.1796875" defaultRowHeight="30.05" customHeight="1" x14ac:dyDescent="0.35"/>
  <cols>
    <col min="1" max="1" width="0.7265625" style="28" customWidth="1"/>
    <col min="2" max="2" width="8.81640625" style="263" customWidth="1"/>
    <col min="3" max="3" width="45.81640625" style="28" customWidth="1"/>
    <col min="4" max="4" width="40.7265625" style="28" customWidth="1"/>
    <col min="5" max="5" width="22.453125" style="28" customWidth="1"/>
    <col min="6" max="6" width="30.54296875" style="28" customWidth="1"/>
    <col min="7" max="7" width="29.1796875" style="28" customWidth="1"/>
    <col min="8" max="8" width="9.1796875" style="28"/>
    <col min="9" max="9" width="30.453125" style="28" customWidth="1"/>
    <col min="10" max="16384" width="9.1796875" style="28"/>
  </cols>
  <sheetData>
    <row r="1" spans="1:10" s="13" customFormat="1" ht="25" customHeight="1" x14ac:dyDescent="0.35">
      <c r="A1" s="30">
        <v>0</v>
      </c>
      <c r="B1" s="261"/>
    </row>
    <row r="2" spans="1:10" s="16" customFormat="1" ht="20.100000000000001" customHeight="1" x14ac:dyDescent="0.35">
      <c r="B2" s="262"/>
    </row>
    <row r="3" spans="1:10" s="8" customFormat="1" ht="3.75" customHeight="1" x14ac:dyDescent="0.35">
      <c r="A3" s="7"/>
      <c r="B3" s="7"/>
    </row>
    <row r="4" spans="1:10" s="27" customFormat="1" ht="30.05" customHeight="1" thickBot="1" x14ac:dyDescent="0.4">
      <c r="B4" s="209" t="s">
        <v>1204</v>
      </c>
      <c r="C4" s="297" t="s">
        <v>1205</v>
      </c>
      <c r="D4" s="297" t="s">
        <v>1207</v>
      </c>
      <c r="E4" s="297" t="s">
        <v>1206</v>
      </c>
      <c r="F4" s="297" t="s">
        <v>1131</v>
      </c>
      <c r="G4" s="297" t="s">
        <v>1209</v>
      </c>
      <c r="H4" s="297" t="s">
        <v>1132</v>
      </c>
    </row>
    <row r="5" spans="1:10" s="270" customFormat="1" ht="30.05" customHeight="1" thickTop="1" x14ac:dyDescent="0.35">
      <c r="B5" s="271" t="s">
        <v>1659</v>
      </c>
      <c r="C5" s="293" t="s">
        <v>1660</v>
      </c>
      <c r="D5" s="294" t="s">
        <v>1661</v>
      </c>
      <c r="E5" s="293" t="s">
        <v>1662</v>
      </c>
      <c r="F5" s="293" t="s">
        <v>1663</v>
      </c>
      <c r="G5" s="299" t="s">
        <v>1664</v>
      </c>
      <c r="H5" s="499" t="s">
        <v>1665</v>
      </c>
      <c r="J5" s="27"/>
    </row>
    <row r="6" spans="1:10" ht="30.05" customHeight="1" x14ac:dyDescent="0.35">
      <c r="B6" s="271" t="s">
        <v>1666</v>
      </c>
      <c r="C6" s="293" t="s">
        <v>1667</v>
      </c>
      <c r="D6" s="294" t="s">
        <v>1667</v>
      </c>
      <c r="E6" s="291"/>
      <c r="F6" s="291" t="s">
        <v>1668</v>
      </c>
      <c r="G6" s="300" t="s">
        <v>1664</v>
      </c>
      <c r="H6" s="500" t="s">
        <v>1665</v>
      </c>
    </row>
    <row r="7" spans="1:10" ht="30.05" customHeight="1" x14ac:dyDescent="0.35">
      <c r="B7" s="271"/>
      <c r="C7" s="291"/>
      <c r="D7" s="292"/>
      <c r="E7" s="291"/>
      <c r="F7" s="291"/>
      <c r="G7" s="300"/>
      <c r="H7" s="500"/>
    </row>
    <row r="8" spans="1:10" ht="30.05" customHeight="1" x14ac:dyDescent="0.35">
      <c r="B8" s="272"/>
      <c r="C8" s="291"/>
      <c r="D8" s="292"/>
      <c r="E8" s="291"/>
      <c r="F8" s="291"/>
      <c r="G8" s="300"/>
      <c r="H8" s="500"/>
    </row>
    <row r="9" spans="1:10" ht="30.05" customHeight="1" x14ac:dyDescent="0.35">
      <c r="B9" s="272"/>
      <c r="C9" s="292"/>
      <c r="D9" s="292"/>
      <c r="E9" s="292"/>
      <c r="F9" s="291"/>
      <c r="G9" s="300"/>
      <c r="H9" s="501"/>
    </row>
    <row r="10" spans="1:10" ht="30.05" customHeight="1" x14ac:dyDescent="0.35">
      <c r="B10" s="272"/>
      <c r="C10" s="292"/>
      <c r="D10" s="292"/>
      <c r="E10" s="292"/>
      <c r="F10" s="291"/>
      <c r="G10" s="300"/>
      <c r="H10" s="501"/>
    </row>
    <row r="11" spans="1:10" ht="30.05" customHeight="1" x14ac:dyDescent="0.35">
      <c r="B11" s="272"/>
      <c r="C11" s="291"/>
      <c r="D11" s="292"/>
      <c r="E11" s="291"/>
      <c r="F11" s="291"/>
      <c r="G11" s="300"/>
      <c r="H11" s="500"/>
    </row>
    <row r="12" spans="1:10" ht="30.05" customHeight="1" x14ac:dyDescent="0.35">
      <c r="B12" s="272"/>
      <c r="C12" s="291"/>
      <c r="D12" s="292"/>
      <c r="E12" s="291"/>
      <c r="F12" s="291"/>
      <c r="G12" s="300"/>
      <c r="H12" s="500"/>
    </row>
    <row r="13" spans="1:10" ht="30.05" customHeight="1" x14ac:dyDescent="0.35">
      <c r="B13" s="272"/>
      <c r="C13" s="291"/>
      <c r="D13" s="292"/>
      <c r="E13" s="291"/>
      <c r="F13" s="291"/>
      <c r="G13" s="300"/>
      <c r="H13" s="500"/>
    </row>
    <row r="14" spans="1:10" ht="30.05" customHeight="1" x14ac:dyDescent="0.35">
      <c r="B14" s="272"/>
      <c r="C14" s="291"/>
      <c r="D14" s="292"/>
      <c r="E14" s="291"/>
      <c r="F14" s="291"/>
      <c r="G14" s="300"/>
      <c r="H14" s="500"/>
    </row>
    <row r="15" spans="1:10" ht="30.05" customHeight="1" x14ac:dyDescent="0.35">
      <c r="B15" s="272"/>
      <c r="C15" s="291"/>
      <c r="D15" s="292"/>
      <c r="E15" s="291"/>
      <c r="F15" s="291"/>
      <c r="G15" s="300"/>
      <c r="H15" s="500"/>
    </row>
    <row r="16" spans="1:10" ht="30.05" customHeight="1" x14ac:dyDescent="0.35">
      <c r="B16" s="272"/>
      <c r="C16" s="291"/>
      <c r="D16" s="292"/>
      <c r="E16" s="291"/>
      <c r="F16" s="291"/>
      <c r="G16" s="300"/>
      <c r="H16" s="500"/>
    </row>
    <row r="17" spans="2:8" ht="30.05" customHeight="1" x14ac:dyDescent="0.35">
      <c r="B17" s="272"/>
      <c r="C17" s="291"/>
      <c r="D17" s="292"/>
      <c r="E17" s="291"/>
      <c r="F17" s="291"/>
      <c r="G17" s="300"/>
      <c r="H17" s="500"/>
    </row>
    <row r="18" spans="2:8" ht="30.05" customHeight="1" x14ac:dyDescent="0.35">
      <c r="B18" s="272"/>
      <c r="C18" s="291"/>
      <c r="D18" s="292"/>
      <c r="E18" s="291"/>
      <c r="F18" s="291"/>
      <c r="G18" s="300"/>
      <c r="H18" s="500"/>
    </row>
    <row r="19" spans="2:8" ht="30.05" customHeight="1" x14ac:dyDescent="0.35">
      <c r="B19" s="272"/>
      <c r="C19" s="291"/>
      <c r="D19" s="292"/>
      <c r="E19" s="291"/>
      <c r="F19" s="291"/>
      <c r="G19" s="300"/>
      <c r="H19" s="500"/>
    </row>
    <row r="20" spans="2:8" ht="30.05" customHeight="1" x14ac:dyDescent="0.35">
      <c r="B20" s="272"/>
      <c r="C20" s="291"/>
      <c r="D20" s="292"/>
      <c r="E20" s="291"/>
      <c r="F20" s="291"/>
      <c r="G20" s="300"/>
      <c r="H20" s="500"/>
    </row>
    <row r="21" spans="2:8" ht="30.05" customHeight="1" x14ac:dyDescent="0.35">
      <c r="B21" s="272"/>
      <c r="C21" s="291"/>
      <c r="D21" s="292"/>
      <c r="E21" s="291"/>
      <c r="F21" s="291"/>
      <c r="G21" s="300"/>
      <c r="H21" s="500"/>
    </row>
    <row r="22" spans="2:8" ht="30.05" customHeight="1" x14ac:dyDescent="0.35">
      <c r="B22" s="272"/>
      <c r="C22" s="291"/>
      <c r="D22" s="292"/>
      <c r="E22" s="291"/>
      <c r="F22" s="291"/>
      <c r="G22" s="300"/>
      <c r="H22" s="500"/>
    </row>
    <row r="23" spans="2:8" ht="30.05" customHeight="1" x14ac:dyDescent="0.35">
      <c r="B23" s="272"/>
      <c r="C23" s="291"/>
      <c r="D23" s="292"/>
      <c r="E23" s="291"/>
      <c r="F23" s="291"/>
      <c r="G23" s="300"/>
      <c r="H23" s="500"/>
    </row>
    <row r="24" spans="2:8" ht="30.05" customHeight="1" x14ac:dyDescent="0.35">
      <c r="B24" s="272"/>
      <c r="C24" s="291"/>
      <c r="D24" s="292"/>
      <c r="E24" s="291"/>
      <c r="F24" s="291"/>
      <c r="G24" s="300"/>
      <c r="H24" s="500"/>
    </row>
    <row r="25" spans="2:8" ht="30.05" customHeight="1" x14ac:dyDescent="0.35">
      <c r="B25" s="272"/>
      <c r="C25" s="291"/>
      <c r="D25" s="292"/>
      <c r="E25" s="291"/>
      <c r="F25" s="291"/>
      <c r="G25" s="300"/>
      <c r="H25" s="500"/>
    </row>
    <row r="26" spans="2:8" ht="30.05" customHeight="1" x14ac:dyDescent="0.35">
      <c r="B26" s="272"/>
      <c r="C26" s="291"/>
      <c r="D26" s="292"/>
      <c r="E26" s="291"/>
      <c r="F26" s="291"/>
      <c r="G26" s="300"/>
      <c r="H26" s="500"/>
    </row>
    <row r="27" spans="2:8" ht="30.05" customHeight="1" x14ac:dyDescent="0.35">
      <c r="B27" s="212"/>
      <c r="C27" s="295"/>
      <c r="D27" s="296"/>
      <c r="E27" s="295"/>
      <c r="F27" s="295"/>
      <c r="G27" s="301"/>
      <c r="H27" s="502"/>
    </row>
    <row r="28" spans="2:8" ht="30.05" customHeight="1" x14ac:dyDescent="0.35">
      <c r="B28" s="400"/>
      <c r="C28" s="401"/>
      <c r="D28" s="401"/>
      <c r="E28" s="401"/>
      <c r="F28" s="402"/>
      <c r="G28" s="403"/>
      <c r="H28" s="503"/>
    </row>
    <row r="29" spans="2:8" ht="30.05" customHeight="1" x14ac:dyDescent="0.35">
      <c r="B29" s="404"/>
      <c r="C29" s="405"/>
      <c r="D29" s="405"/>
      <c r="E29" s="405"/>
      <c r="F29" s="406"/>
      <c r="G29" s="407"/>
      <c r="H29" s="504"/>
    </row>
  </sheetData>
  <sheetProtection insertRows="0" deleteRows="0" sort="0" autoFilter="0" pivotTables="0"/>
  <phoneticPr fontId="36" type="noConversion"/>
  <dataValidations count="1">
    <dataValidation type="list" allowBlank="1" showInputMessage="1" showErrorMessage="1" sqref="B5:B66" xr:uid="{00000000-0002-0000-0100-000000000000}">
      <formula1>"FILIAL,MATRIZ"</formula1>
    </dataValidation>
  </dataValidations>
  <pageMargins left="0.511811024" right="0.511811024" top="0.78740157499999996" bottom="0.78740157499999996" header="0.31496062000000002" footer="0.31496062000000002"/>
  <pageSetup paperSize="9" scale="52" orientation="landscape" horizontalDpi="200" verticalDpi="2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3"/>
  <dimension ref="A1:M73"/>
  <sheetViews>
    <sheetView showGridLines="0" zoomScaleNormal="100" workbookViewId="0">
      <pane xSplit="3" ySplit="4" topLeftCell="D41" activePane="bottomRight" state="frozen"/>
      <selection pane="topRight" activeCell="D1" sqref="D1"/>
      <selection pane="bottomLeft" activeCell="A5" sqref="A5"/>
      <selection pane="bottomRight" activeCell="C5" sqref="C5:C73"/>
    </sheetView>
  </sheetViews>
  <sheetFormatPr defaultColWidth="9.1796875" defaultRowHeight="30.05" customHeight="1" x14ac:dyDescent="0.35"/>
  <cols>
    <col min="1" max="1" width="0.7265625" style="28" customWidth="1"/>
    <col min="2" max="2" width="5.453125" style="458" customWidth="1"/>
    <col min="3" max="3" width="36.54296875" style="28" customWidth="1"/>
    <col min="4" max="4" width="17.7265625" style="28" customWidth="1"/>
    <col min="5" max="5" width="40.81640625" style="167" customWidth="1"/>
    <col min="6" max="6" width="31" style="167" customWidth="1"/>
    <col min="7" max="7" width="8" style="29" customWidth="1"/>
    <col min="8" max="8" width="35.54296875" style="168" customWidth="1"/>
    <col min="9" max="9" width="25" style="167" customWidth="1"/>
    <col min="10" max="10" width="31.26953125" style="28" customWidth="1"/>
    <col min="11" max="11" width="28.7265625" style="28" customWidth="1"/>
    <col min="12" max="12" width="18" style="28" bestFit="1" customWidth="1"/>
    <col min="13" max="16384" width="9.1796875" style="28"/>
  </cols>
  <sheetData>
    <row r="1" spans="1:13" s="13" customFormat="1" ht="25" customHeight="1" x14ac:dyDescent="0.35">
      <c r="A1" s="565" t="s">
        <v>1064</v>
      </c>
      <c r="B1" s="454"/>
      <c r="E1" s="169"/>
      <c r="F1" s="169"/>
      <c r="G1" s="31"/>
      <c r="H1" s="59"/>
      <c r="I1" s="169"/>
    </row>
    <row r="2" spans="1:13" s="16" customFormat="1" ht="20.100000000000001" customHeight="1" x14ac:dyDescent="0.35">
      <c r="B2" s="170"/>
      <c r="C2" s="17"/>
      <c r="D2" s="17"/>
      <c r="E2" s="171"/>
      <c r="F2" s="171"/>
      <c r="G2" s="52"/>
      <c r="H2" s="172"/>
      <c r="I2" s="171"/>
    </row>
    <row r="3" spans="1:13" s="8" customFormat="1" ht="3.75" customHeight="1" x14ac:dyDescent="0.35">
      <c r="A3" s="7"/>
      <c r="B3" s="455"/>
      <c r="E3" s="173"/>
      <c r="F3" s="173"/>
      <c r="G3" s="26"/>
      <c r="H3" s="62"/>
      <c r="I3" s="173"/>
    </row>
    <row r="4" spans="1:13" ht="30.05" customHeight="1" x14ac:dyDescent="0.35">
      <c r="B4" s="459" t="s">
        <v>1128</v>
      </c>
      <c r="C4" s="460" t="s">
        <v>2054</v>
      </c>
      <c r="D4" s="460" t="s">
        <v>2055</v>
      </c>
      <c r="E4" s="460" t="s">
        <v>1130</v>
      </c>
      <c r="F4" s="461" t="s">
        <v>1131</v>
      </c>
      <c r="G4" s="461" t="s">
        <v>1209</v>
      </c>
      <c r="H4" s="462" t="s">
        <v>1132</v>
      </c>
      <c r="I4" s="463" t="s">
        <v>1134</v>
      </c>
      <c r="J4" s="460" t="s">
        <v>1135</v>
      </c>
      <c r="K4" s="460" t="s">
        <v>1194</v>
      </c>
      <c r="L4" s="460" t="s">
        <v>2057</v>
      </c>
      <c r="M4" s="460" t="s">
        <v>2058</v>
      </c>
    </row>
    <row r="5" spans="1:13" ht="30.05" customHeight="1" x14ac:dyDescent="0.35">
      <c r="B5" s="464">
        <v>1</v>
      </c>
      <c r="C5" s="465" t="s">
        <v>1669</v>
      </c>
      <c r="D5" s="465"/>
      <c r="E5" s="465"/>
      <c r="G5" s="167"/>
      <c r="H5" s="466"/>
      <c r="I5" s="298"/>
      <c r="J5" s="467"/>
      <c r="K5" s="465"/>
      <c r="L5" s="465"/>
      <c r="M5" s="465"/>
    </row>
    <row r="6" spans="1:13" ht="30.05" customHeight="1" x14ac:dyDescent="0.35">
      <c r="B6" s="464">
        <v>2</v>
      </c>
      <c r="C6" s="465" t="s">
        <v>1670</v>
      </c>
      <c r="D6" s="465"/>
      <c r="E6" s="465"/>
      <c r="F6" s="468"/>
      <c r="G6" s="468"/>
      <c r="H6" s="466"/>
      <c r="I6" s="469"/>
      <c r="J6" s="467"/>
      <c r="K6" s="465"/>
      <c r="L6" s="465"/>
      <c r="M6" s="465"/>
    </row>
    <row r="7" spans="1:13" ht="30.05" customHeight="1" x14ac:dyDescent="0.35">
      <c r="B7" s="464">
        <v>3</v>
      </c>
      <c r="C7" s="465" t="s">
        <v>1671</v>
      </c>
      <c r="D7" s="465"/>
      <c r="E7" s="465"/>
      <c r="G7" s="468"/>
      <c r="H7" s="466"/>
      <c r="I7" s="298"/>
      <c r="J7" s="467"/>
      <c r="K7" s="465"/>
      <c r="L7" s="465"/>
      <c r="M7" s="465"/>
    </row>
    <row r="8" spans="1:13" ht="30.05" customHeight="1" x14ac:dyDescent="0.35">
      <c r="B8" s="464">
        <v>4</v>
      </c>
      <c r="C8" s="465" t="s">
        <v>1672</v>
      </c>
      <c r="D8" s="465"/>
      <c r="E8" s="465"/>
      <c r="G8" s="167"/>
      <c r="H8" s="466"/>
      <c r="I8" s="456"/>
      <c r="J8" s="467"/>
      <c r="K8" s="465"/>
      <c r="L8" s="465"/>
      <c r="M8" s="465"/>
    </row>
    <row r="9" spans="1:13" ht="30.05" customHeight="1" x14ac:dyDescent="0.35">
      <c r="B9" s="464">
        <v>5</v>
      </c>
      <c r="C9" s="465" t="s">
        <v>1673</v>
      </c>
      <c r="D9" s="465"/>
      <c r="E9" s="465"/>
      <c r="F9" s="468"/>
      <c r="G9" s="468"/>
      <c r="H9" s="466"/>
      <c r="I9" s="456"/>
      <c r="J9" s="467"/>
      <c r="K9" s="465"/>
      <c r="L9" s="465"/>
      <c r="M9" s="465"/>
    </row>
    <row r="10" spans="1:13" ht="30.05" customHeight="1" x14ac:dyDescent="0.35">
      <c r="B10" s="464">
        <v>6</v>
      </c>
      <c r="C10" s="465" t="s">
        <v>1674</v>
      </c>
      <c r="D10" s="465"/>
      <c r="E10" s="465"/>
      <c r="F10" s="468"/>
      <c r="G10" s="468"/>
      <c r="H10" s="466"/>
      <c r="I10" s="456"/>
      <c r="J10" s="467"/>
      <c r="K10" s="465"/>
      <c r="L10" s="465"/>
      <c r="M10" s="465"/>
    </row>
    <row r="11" spans="1:13" ht="30.05" customHeight="1" x14ac:dyDescent="0.35">
      <c r="B11" s="464">
        <v>7</v>
      </c>
      <c r="C11" s="465" t="s">
        <v>1675</v>
      </c>
      <c r="D11" s="465"/>
      <c r="E11" s="465"/>
      <c r="F11" s="468"/>
      <c r="G11" s="468"/>
      <c r="H11" s="466"/>
      <c r="I11" s="456"/>
      <c r="J11" s="467"/>
      <c r="K11" s="465"/>
      <c r="L11" s="465"/>
      <c r="M11" s="465"/>
    </row>
    <row r="12" spans="1:13" ht="30.05" customHeight="1" x14ac:dyDescent="0.35">
      <c r="B12" s="464">
        <v>8</v>
      </c>
      <c r="C12" s="465" t="s">
        <v>1676</v>
      </c>
      <c r="D12" s="465"/>
      <c r="E12" s="465"/>
      <c r="F12" s="468"/>
      <c r="G12" s="468"/>
      <c r="H12" s="466"/>
      <c r="I12" s="469"/>
      <c r="J12" s="467"/>
      <c r="K12" s="465"/>
      <c r="L12" s="465"/>
      <c r="M12" s="465"/>
    </row>
    <row r="13" spans="1:13" ht="30.05" customHeight="1" x14ac:dyDescent="0.35">
      <c r="B13" s="464">
        <v>9</v>
      </c>
      <c r="C13" s="465" t="s">
        <v>1677</v>
      </c>
      <c r="D13" s="465"/>
      <c r="E13" s="465"/>
      <c r="G13" s="465"/>
      <c r="H13" s="466"/>
      <c r="I13" s="298"/>
      <c r="J13" s="467"/>
      <c r="K13" s="465"/>
      <c r="L13" s="465"/>
      <c r="M13" s="465"/>
    </row>
    <row r="14" spans="1:13" ht="30.05" customHeight="1" x14ac:dyDescent="0.35">
      <c r="B14" s="464">
        <v>10</v>
      </c>
      <c r="C14" s="465" t="s">
        <v>1678</v>
      </c>
      <c r="D14" s="465"/>
      <c r="E14" s="465"/>
      <c r="G14" s="465"/>
      <c r="H14" s="466"/>
      <c r="I14" s="298"/>
      <c r="J14" s="467"/>
      <c r="K14" s="465"/>
      <c r="L14" s="465"/>
      <c r="M14" s="465"/>
    </row>
    <row r="15" spans="1:13" ht="30.05" customHeight="1" x14ac:dyDescent="0.35">
      <c r="B15" s="464">
        <v>11</v>
      </c>
      <c r="C15" s="465" t="s">
        <v>1679</v>
      </c>
      <c r="D15" s="465"/>
      <c r="E15" s="465"/>
      <c r="F15" s="468"/>
      <c r="G15" s="468"/>
      <c r="H15" s="466"/>
      <c r="I15" s="469"/>
      <c r="J15" s="467"/>
      <c r="K15" s="465"/>
      <c r="L15" s="465"/>
      <c r="M15" s="465"/>
    </row>
    <row r="16" spans="1:13" ht="30.05" customHeight="1" x14ac:dyDescent="0.35">
      <c r="B16" s="464">
        <v>12</v>
      </c>
      <c r="C16" s="465" t="s">
        <v>1680</v>
      </c>
      <c r="D16" s="465"/>
      <c r="E16" s="465"/>
      <c r="G16" s="465"/>
      <c r="H16" s="466"/>
      <c r="I16" s="298"/>
      <c r="J16" s="467"/>
      <c r="K16" s="465"/>
      <c r="L16" s="465"/>
      <c r="M16" s="465"/>
    </row>
    <row r="17" spans="2:13" ht="30.05" customHeight="1" x14ac:dyDescent="0.35">
      <c r="B17" s="464">
        <v>13</v>
      </c>
      <c r="C17" s="465" t="s">
        <v>1681</v>
      </c>
      <c r="D17" s="465"/>
      <c r="E17" s="465"/>
      <c r="G17" s="465"/>
      <c r="H17" s="466"/>
      <c r="I17" s="298"/>
      <c r="J17" s="467"/>
      <c r="K17" s="465"/>
      <c r="L17" s="465"/>
      <c r="M17" s="465"/>
    </row>
    <row r="18" spans="2:13" ht="30.05" customHeight="1" x14ac:dyDescent="0.35">
      <c r="B18" s="464">
        <v>14</v>
      </c>
      <c r="C18" s="465" t="s">
        <v>1682</v>
      </c>
      <c r="D18" s="465"/>
      <c r="E18" s="465"/>
      <c r="G18" s="167"/>
      <c r="H18" s="466"/>
      <c r="I18" s="298"/>
      <c r="J18" s="467"/>
      <c r="K18" s="465"/>
      <c r="L18" s="465"/>
      <c r="M18" s="465"/>
    </row>
    <row r="19" spans="2:13" ht="30.05" customHeight="1" x14ac:dyDescent="0.35">
      <c r="B19" s="464">
        <v>15</v>
      </c>
      <c r="C19" s="465" t="s">
        <v>1683</v>
      </c>
      <c r="D19" s="465"/>
      <c r="E19" s="465"/>
      <c r="G19" s="465"/>
      <c r="H19" s="466"/>
      <c r="I19" s="298"/>
      <c r="J19" s="467"/>
      <c r="K19" s="465"/>
      <c r="L19" s="465"/>
      <c r="M19" s="465"/>
    </row>
    <row r="20" spans="2:13" ht="30.05" customHeight="1" x14ac:dyDescent="0.35">
      <c r="B20" s="464">
        <v>16</v>
      </c>
      <c r="C20" s="465" t="s">
        <v>1684</v>
      </c>
      <c r="D20" s="465"/>
      <c r="E20" s="465"/>
      <c r="F20" s="468"/>
      <c r="G20" s="468"/>
      <c r="H20" s="466"/>
      <c r="I20" s="469"/>
      <c r="J20" s="467"/>
      <c r="K20" s="465"/>
      <c r="L20" s="465"/>
      <c r="M20" s="465"/>
    </row>
    <row r="21" spans="2:13" ht="30.05" customHeight="1" x14ac:dyDescent="0.35">
      <c r="B21" s="464">
        <v>17</v>
      </c>
      <c r="C21" s="566" t="s">
        <v>1685</v>
      </c>
      <c r="D21" s="364"/>
      <c r="E21" s="465"/>
      <c r="F21" s="468"/>
      <c r="G21" s="468"/>
      <c r="H21" s="466"/>
      <c r="I21" s="469"/>
      <c r="J21" s="467"/>
      <c r="K21" s="465"/>
      <c r="L21" s="465"/>
      <c r="M21" s="465"/>
    </row>
    <row r="22" spans="2:13" ht="30.05" customHeight="1" x14ac:dyDescent="0.35">
      <c r="B22" s="464">
        <v>18</v>
      </c>
      <c r="C22" s="566" t="s">
        <v>1686</v>
      </c>
      <c r="D22" s="364"/>
      <c r="E22" s="465"/>
      <c r="F22" s="468"/>
      <c r="G22" s="468"/>
      <c r="H22" s="466"/>
      <c r="I22" s="469"/>
      <c r="J22" s="467"/>
      <c r="K22" s="465"/>
      <c r="L22" s="465"/>
      <c r="M22" s="465"/>
    </row>
    <row r="23" spans="2:13" ht="30.05" customHeight="1" x14ac:dyDescent="0.35">
      <c r="B23" s="464">
        <v>19</v>
      </c>
      <c r="C23" s="465" t="s">
        <v>1687</v>
      </c>
      <c r="D23" s="465"/>
      <c r="E23" s="465"/>
      <c r="F23" s="468"/>
      <c r="G23" s="468"/>
      <c r="H23" s="466"/>
      <c r="I23" s="469"/>
      <c r="J23" s="467"/>
      <c r="K23" s="465"/>
      <c r="L23" s="465"/>
      <c r="M23" s="465"/>
    </row>
    <row r="24" spans="2:13" ht="30.05" customHeight="1" x14ac:dyDescent="0.35">
      <c r="B24" s="464">
        <v>20</v>
      </c>
      <c r="C24" s="465" t="s">
        <v>1688</v>
      </c>
      <c r="D24" s="465"/>
      <c r="E24" s="465"/>
      <c r="F24" s="468"/>
      <c r="G24" s="468"/>
      <c r="H24" s="466"/>
      <c r="I24" s="457"/>
      <c r="J24" s="467"/>
      <c r="K24" s="465"/>
      <c r="L24" s="465"/>
      <c r="M24" s="465"/>
    </row>
    <row r="25" spans="2:13" ht="30.05" customHeight="1" x14ac:dyDescent="0.35">
      <c r="B25" s="464">
        <v>21</v>
      </c>
      <c r="C25" s="465" t="s">
        <v>1689</v>
      </c>
      <c r="D25" s="465"/>
      <c r="E25" s="465"/>
      <c r="F25" s="468"/>
      <c r="G25" s="167"/>
      <c r="H25" s="466"/>
      <c r="I25" s="426"/>
      <c r="J25" s="467"/>
      <c r="K25" s="465"/>
      <c r="L25" s="465"/>
      <c r="M25" s="465"/>
    </row>
    <row r="26" spans="2:13" ht="30.05" customHeight="1" x14ac:dyDescent="0.35">
      <c r="B26" s="464">
        <v>22</v>
      </c>
      <c r="C26" s="465" t="s">
        <v>1690</v>
      </c>
      <c r="D26" s="465"/>
      <c r="E26" s="465"/>
      <c r="F26" s="468"/>
      <c r="G26" s="167"/>
      <c r="H26" s="466"/>
      <c r="I26" s="426"/>
      <c r="J26" s="467"/>
      <c r="K26" s="465"/>
      <c r="L26" s="465"/>
      <c r="M26" s="465"/>
    </row>
    <row r="27" spans="2:13" ht="30.05" customHeight="1" x14ac:dyDescent="0.35">
      <c r="B27" s="464">
        <v>23</v>
      </c>
      <c r="C27" s="465" t="s">
        <v>1691</v>
      </c>
      <c r="D27" s="465"/>
      <c r="E27" s="465"/>
      <c r="F27" s="468"/>
      <c r="G27" s="167"/>
      <c r="H27" s="466"/>
      <c r="I27" s="426"/>
      <c r="J27" s="467"/>
      <c r="K27" s="465"/>
      <c r="L27" s="465"/>
      <c r="M27" s="465"/>
    </row>
    <row r="28" spans="2:13" ht="30.05" customHeight="1" x14ac:dyDescent="0.35">
      <c r="B28" s="464">
        <v>24</v>
      </c>
      <c r="C28" s="465" t="s">
        <v>1692</v>
      </c>
      <c r="D28" s="465"/>
      <c r="E28" s="465"/>
      <c r="F28" s="468"/>
      <c r="G28" s="468"/>
      <c r="H28" s="466"/>
      <c r="I28" s="469"/>
      <c r="J28" s="467"/>
      <c r="K28" s="465"/>
      <c r="L28" s="465"/>
      <c r="M28" s="465"/>
    </row>
    <row r="29" spans="2:13" ht="30.05" customHeight="1" x14ac:dyDescent="0.35">
      <c r="B29" s="464">
        <v>25</v>
      </c>
      <c r="C29" s="465" t="s">
        <v>1693</v>
      </c>
      <c r="D29" s="465"/>
      <c r="E29" s="465"/>
      <c r="F29" s="468"/>
      <c r="G29" s="167"/>
      <c r="H29" s="466"/>
      <c r="I29" s="469"/>
      <c r="J29" s="467"/>
      <c r="K29" s="465"/>
      <c r="L29" s="465"/>
      <c r="M29" s="465"/>
    </row>
    <row r="30" spans="2:13" ht="30.05" customHeight="1" x14ac:dyDescent="0.35">
      <c r="B30" s="464">
        <v>26</v>
      </c>
      <c r="C30" s="465" t="s">
        <v>1694</v>
      </c>
      <c r="D30" s="465"/>
      <c r="E30" s="465"/>
      <c r="F30" s="468"/>
      <c r="G30" s="167"/>
      <c r="H30" s="466"/>
      <c r="I30" s="469"/>
      <c r="J30" s="467"/>
      <c r="K30" s="465"/>
      <c r="L30" s="465"/>
      <c r="M30" s="465"/>
    </row>
    <row r="31" spans="2:13" ht="30.05" customHeight="1" x14ac:dyDescent="0.35">
      <c r="B31" s="464">
        <v>27</v>
      </c>
      <c r="C31" s="465" t="s">
        <v>1695</v>
      </c>
      <c r="D31" s="465"/>
      <c r="E31" s="465"/>
      <c r="F31" s="468"/>
      <c r="G31" s="167"/>
      <c r="H31" s="466"/>
      <c r="I31" s="469"/>
      <c r="J31" s="467"/>
      <c r="K31" s="465"/>
      <c r="L31" s="465"/>
      <c r="M31" s="465"/>
    </row>
    <row r="32" spans="2:13" ht="30.05" customHeight="1" x14ac:dyDescent="0.35">
      <c r="B32" s="464">
        <v>28</v>
      </c>
      <c r="C32" s="465" t="s">
        <v>1696</v>
      </c>
      <c r="D32" s="465"/>
      <c r="E32" s="465"/>
      <c r="F32" s="468"/>
      <c r="G32" s="167"/>
      <c r="H32" s="466"/>
      <c r="I32" s="469"/>
      <c r="J32" s="467"/>
      <c r="K32" s="465"/>
      <c r="L32" s="465"/>
      <c r="M32" s="465"/>
    </row>
    <row r="33" spans="2:13" ht="30.05" customHeight="1" x14ac:dyDescent="0.35">
      <c r="B33" s="464">
        <v>29</v>
      </c>
      <c r="C33" s="465" t="s">
        <v>1697</v>
      </c>
      <c r="D33" s="465"/>
      <c r="E33" s="465"/>
      <c r="F33" s="468"/>
      <c r="G33" s="167"/>
      <c r="H33" s="466"/>
      <c r="I33" s="469"/>
      <c r="J33" s="467"/>
      <c r="K33" s="465"/>
      <c r="L33" s="465"/>
      <c r="M33" s="465"/>
    </row>
    <row r="34" spans="2:13" ht="30.05" customHeight="1" x14ac:dyDescent="0.35">
      <c r="B34" s="464">
        <v>30</v>
      </c>
      <c r="C34" s="465" t="s">
        <v>1698</v>
      </c>
      <c r="D34" s="465"/>
      <c r="E34" s="465"/>
      <c r="F34" s="468"/>
      <c r="G34" s="167"/>
      <c r="H34" s="466"/>
      <c r="I34" s="469"/>
      <c r="J34" s="467"/>
      <c r="K34" s="465"/>
      <c r="L34" s="465"/>
      <c r="M34" s="465"/>
    </row>
    <row r="35" spans="2:13" ht="30.05" customHeight="1" x14ac:dyDescent="0.35">
      <c r="B35" s="464">
        <v>31</v>
      </c>
      <c r="C35" s="465" t="s">
        <v>1699</v>
      </c>
      <c r="D35" s="465"/>
      <c r="E35" s="465"/>
      <c r="F35" s="468"/>
      <c r="G35" s="167"/>
      <c r="H35" s="466"/>
      <c r="I35" s="469"/>
      <c r="J35" s="467"/>
      <c r="K35" s="465"/>
      <c r="L35" s="465"/>
      <c r="M35" s="465"/>
    </row>
    <row r="36" spans="2:13" ht="30.05" customHeight="1" x14ac:dyDescent="0.35">
      <c r="B36" s="464">
        <v>32</v>
      </c>
      <c r="C36" s="465" t="s">
        <v>1700</v>
      </c>
      <c r="D36" s="465"/>
      <c r="E36" s="465"/>
      <c r="F36" s="468"/>
      <c r="G36" s="167"/>
      <c r="H36" s="466"/>
      <c r="I36" s="469"/>
      <c r="J36" s="467"/>
      <c r="K36" s="465"/>
      <c r="L36" s="465"/>
      <c r="M36" s="465"/>
    </row>
    <row r="37" spans="2:13" ht="30.05" customHeight="1" x14ac:dyDescent="0.35">
      <c r="B37" s="464">
        <v>33</v>
      </c>
      <c r="C37" s="465" t="s">
        <v>1701</v>
      </c>
      <c r="D37" s="465"/>
      <c r="E37" s="465"/>
      <c r="F37" s="468"/>
      <c r="G37" s="167"/>
      <c r="H37" s="466"/>
      <c r="I37" s="469"/>
      <c r="J37" s="467"/>
      <c r="K37" s="465"/>
      <c r="L37" s="465"/>
      <c r="M37" s="465"/>
    </row>
    <row r="38" spans="2:13" ht="30.05" customHeight="1" x14ac:dyDescent="0.35">
      <c r="B38" s="464">
        <v>34</v>
      </c>
      <c r="C38" s="465" t="s">
        <v>1702</v>
      </c>
      <c r="D38" s="465"/>
      <c r="E38" s="465"/>
      <c r="F38" s="468"/>
      <c r="G38" s="167"/>
      <c r="H38" s="466"/>
      <c r="I38" s="469"/>
      <c r="J38" s="467"/>
      <c r="K38" s="465"/>
      <c r="L38" s="465"/>
      <c r="M38" s="465"/>
    </row>
    <row r="39" spans="2:13" ht="30.05" customHeight="1" x14ac:dyDescent="0.35">
      <c r="B39" s="464">
        <v>35</v>
      </c>
      <c r="C39" s="465" t="s">
        <v>1703</v>
      </c>
      <c r="D39" s="465"/>
      <c r="E39" s="465"/>
      <c r="F39" s="468"/>
      <c r="G39" s="167"/>
      <c r="H39" s="466"/>
      <c r="I39" s="469"/>
      <c r="J39" s="467"/>
      <c r="K39" s="465"/>
      <c r="L39" s="465"/>
      <c r="M39" s="465"/>
    </row>
    <row r="40" spans="2:13" ht="30.05" customHeight="1" x14ac:dyDescent="0.35">
      <c r="B40" s="464">
        <v>36</v>
      </c>
      <c r="C40" s="465" t="s">
        <v>1704</v>
      </c>
      <c r="D40" s="465"/>
      <c r="E40" s="465"/>
      <c r="F40" s="468"/>
      <c r="G40" s="167"/>
      <c r="H40" s="466"/>
      <c r="I40" s="469"/>
      <c r="J40" s="467"/>
      <c r="K40" s="465"/>
      <c r="L40" s="465"/>
      <c r="M40" s="465"/>
    </row>
    <row r="41" spans="2:13" ht="30.05" customHeight="1" x14ac:dyDescent="0.35">
      <c r="B41" s="464">
        <v>37</v>
      </c>
      <c r="C41" s="465" t="s">
        <v>1705</v>
      </c>
      <c r="D41" s="465"/>
      <c r="E41" s="465"/>
      <c r="F41" s="468"/>
      <c r="G41" s="167"/>
      <c r="H41" s="466"/>
      <c r="I41" s="469"/>
      <c r="J41" s="467"/>
      <c r="K41" s="465"/>
      <c r="L41" s="465"/>
      <c r="M41" s="465"/>
    </row>
    <row r="42" spans="2:13" ht="30.05" customHeight="1" x14ac:dyDescent="0.35">
      <c r="B42" s="464">
        <v>38</v>
      </c>
      <c r="C42" s="465" t="s">
        <v>1706</v>
      </c>
      <c r="D42" s="465"/>
      <c r="E42" s="465"/>
      <c r="F42" s="468"/>
      <c r="G42" s="167"/>
      <c r="H42" s="466"/>
      <c r="I42" s="469"/>
      <c r="J42" s="467"/>
      <c r="K42" s="465"/>
      <c r="L42" s="465"/>
      <c r="M42" s="465"/>
    </row>
    <row r="43" spans="2:13" ht="30.05" customHeight="1" x14ac:dyDescent="0.35">
      <c r="B43" s="464">
        <v>39</v>
      </c>
      <c r="C43" s="465" t="s">
        <v>1707</v>
      </c>
      <c r="D43" s="465"/>
      <c r="E43" s="465"/>
      <c r="F43" s="468"/>
      <c r="G43" s="167"/>
      <c r="H43" s="466"/>
      <c r="I43" s="469"/>
      <c r="J43" s="467"/>
      <c r="K43" s="465"/>
      <c r="L43" s="465"/>
      <c r="M43" s="465"/>
    </row>
    <row r="44" spans="2:13" ht="30.05" customHeight="1" x14ac:dyDescent="0.35">
      <c r="B44" s="464">
        <v>40</v>
      </c>
      <c r="C44" s="465" t="s">
        <v>1708</v>
      </c>
      <c r="D44" s="465"/>
      <c r="E44" s="465"/>
      <c r="F44" s="468"/>
      <c r="G44" s="167"/>
      <c r="H44" s="466"/>
      <c r="I44" s="469"/>
      <c r="J44" s="467"/>
      <c r="K44" s="465"/>
      <c r="L44" s="465"/>
      <c r="M44" s="465"/>
    </row>
    <row r="45" spans="2:13" ht="30.05" customHeight="1" x14ac:dyDescent="0.35">
      <c r="B45" s="464">
        <v>41</v>
      </c>
      <c r="C45" s="465" t="s">
        <v>1709</v>
      </c>
      <c r="D45" s="465"/>
      <c r="E45" s="465"/>
      <c r="F45" s="468"/>
      <c r="G45" s="167"/>
      <c r="H45" s="466"/>
      <c r="I45" s="469"/>
      <c r="J45" s="467"/>
      <c r="K45" s="465"/>
      <c r="L45" s="465"/>
      <c r="M45" s="465"/>
    </row>
    <row r="46" spans="2:13" ht="30.05" customHeight="1" x14ac:dyDescent="0.35">
      <c r="B46" s="464">
        <v>42</v>
      </c>
      <c r="C46" s="465" t="s">
        <v>1710</v>
      </c>
      <c r="D46" s="465"/>
      <c r="E46" s="465"/>
      <c r="F46" s="468"/>
      <c r="G46" s="167"/>
      <c r="H46" s="466"/>
      <c r="I46" s="469"/>
      <c r="J46" s="467"/>
      <c r="K46" s="465"/>
      <c r="L46" s="465"/>
      <c r="M46" s="465"/>
    </row>
    <row r="47" spans="2:13" ht="30.05" customHeight="1" x14ac:dyDescent="0.35">
      <c r="B47" s="464">
        <v>43</v>
      </c>
      <c r="C47" s="465" t="s">
        <v>1711</v>
      </c>
      <c r="D47" s="465"/>
      <c r="E47" s="465"/>
      <c r="F47" s="468"/>
      <c r="G47" s="167"/>
      <c r="H47" s="466"/>
      <c r="I47" s="469"/>
      <c r="J47" s="467"/>
      <c r="K47" s="465"/>
      <c r="L47" s="465"/>
      <c r="M47" s="465"/>
    </row>
    <row r="48" spans="2:13" ht="30.05" customHeight="1" x14ac:dyDescent="0.35">
      <c r="B48" s="464">
        <v>44</v>
      </c>
      <c r="C48" s="465" t="s">
        <v>1712</v>
      </c>
      <c r="D48" s="465"/>
      <c r="E48" s="465"/>
      <c r="F48" s="468"/>
      <c r="G48" s="167"/>
      <c r="H48" s="466"/>
      <c r="I48" s="469"/>
      <c r="J48" s="467"/>
      <c r="K48" s="465"/>
      <c r="L48" s="465"/>
      <c r="M48" s="465"/>
    </row>
    <row r="49" spans="2:13" ht="30.05" customHeight="1" x14ac:dyDescent="0.35">
      <c r="B49" s="464">
        <v>45</v>
      </c>
      <c r="C49" s="465" t="s">
        <v>1713</v>
      </c>
      <c r="D49" s="465"/>
      <c r="E49" s="465"/>
      <c r="F49" s="468"/>
      <c r="G49" s="167"/>
      <c r="H49" s="466"/>
      <c r="I49" s="469"/>
      <c r="J49" s="467"/>
      <c r="K49" s="465"/>
      <c r="L49" s="465"/>
      <c r="M49" s="465"/>
    </row>
    <row r="50" spans="2:13" ht="30.05" customHeight="1" x14ac:dyDescent="0.35">
      <c r="B50" s="464">
        <v>46</v>
      </c>
      <c r="C50" s="465" t="s">
        <v>1714</v>
      </c>
      <c r="D50" s="465"/>
      <c r="E50" s="465"/>
      <c r="F50" s="468"/>
      <c r="G50" s="167"/>
      <c r="H50" s="466"/>
      <c r="I50" s="469"/>
      <c r="J50" s="467"/>
      <c r="K50" s="465"/>
      <c r="L50" s="465"/>
      <c r="M50" s="465"/>
    </row>
    <row r="51" spans="2:13" ht="30.05" customHeight="1" x14ac:dyDescent="0.35">
      <c r="B51" s="464">
        <v>47</v>
      </c>
      <c r="C51" s="465" t="s">
        <v>1715</v>
      </c>
      <c r="D51" s="465"/>
      <c r="E51" s="465"/>
      <c r="F51" s="468"/>
      <c r="G51" s="167"/>
      <c r="H51" s="466"/>
      <c r="I51" s="469"/>
      <c r="J51" s="467"/>
      <c r="K51" s="465"/>
      <c r="L51" s="465"/>
      <c r="M51" s="465"/>
    </row>
    <row r="52" spans="2:13" ht="30.05" customHeight="1" x14ac:dyDescent="0.35">
      <c r="B52" s="464">
        <v>48</v>
      </c>
      <c r="C52" s="465" t="s">
        <v>1716</v>
      </c>
      <c r="D52" s="465"/>
      <c r="E52" s="465"/>
      <c r="F52" s="468"/>
      <c r="G52" s="167"/>
      <c r="H52" s="466"/>
      <c r="I52" s="469"/>
      <c r="J52" s="467"/>
      <c r="K52" s="465"/>
      <c r="L52" s="465"/>
      <c r="M52" s="465"/>
    </row>
    <row r="53" spans="2:13" ht="30.05" customHeight="1" x14ac:dyDescent="0.35">
      <c r="B53" s="464">
        <v>49</v>
      </c>
      <c r="C53" s="465" t="s">
        <v>1717</v>
      </c>
      <c r="D53" s="465"/>
      <c r="E53" s="465"/>
      <c r="F53" s="468"/>
      <c r="G53" s="167"/>
      <c r="H53" s="466"/>
      <c r="I53" s="469"/>
      <c r="J53" s="467"/>
      <c r="K53" s="465"/>
      <c r="L53" s="465"/>
      <c r="M53" s="465"/>
    </row>
    <row r="54" spans="2:13" ht="30.05" customHeight="1" x14ac:dyDescent="0.35">
      <c r="B54" s="464">
        <v>50</v>
      </c>
      <c r="C54" s="465" t="s">
        <v>1718</v>
      </c>
      <c r="D54" s="465"/>
      <c r="E54" s="465"/>
      <c r="F54" s="468"/>
      <c r="G54" s="167"/>
      <c r="H54" s="466"/>
      <c r="I54" s="469"/>
      <c r="J54" s="467"/>
      <c r="K54" s="465"/>
      <c r="L54" s="465"/>
      <c r="M54" s="465"/>
    </row>
    <row r="55" spans="2:13" ht="30.05" customHeight="1" x14ac:dyDescent="0.35">
      <c r="B55" s="464">
        <v>51</v>
      </c>
      <c r="C55" s="465" t="s">
        <v>1719</v>
      </c>
      <c r="D55" s="465"/>
      <c r="E55" s="465"/>
      <c r="F55" s="468"/>
      <c r="G55" s="167"/>
      <c r="H55" s="466"/>
      <c r="I55" s="469"/>
      <c r="J55" s="467"/>
      <c r="K55" s="465"/>
      <c r="L55" s="465"/>
      <c r="M55" s="465"/>
    </row>
    <row r="56" spans="2:13" ht="30.05" customHeight="1" x14ac:dyDescent="0.35">
      <c r="B56" s="464">
        <v>52</v>
      </c>
      <c r="C56" s="465" t="s">
        <v>1720</v>
      </c>
      <c r="D56" s="465"/>
      <c r="E56" s="465"/>
      <c r="F56" s="468"/>
      <c r="G56" s="167"/>
      <c r="H56" s="466"/>
      <c r="I56" s="469"/>
      <c r="J56" s="467"/>
      <c r="K56" s="465"/>
      <c r="L56" s="465"/>
      <c r="M56" s="465"/>
    </row>
    <row r="57" spans="2:13" ht="30.05" customHeight="1" x14ac:dyDescent="0.35">
      <c r="B57" s="464">
        <v>53</v>
      </c>
      <c r="C57" s="465" t="s">
        <v>1721</v>
      </c>
      <c r="D57" s="465"/>
      <c r="E57" s="465"/>
      <c r="F57" s="468"/>
      <c r="G57" s="167"/>
      <c r="H57" s="466"/>
      <c r="I57" s="469"/>
      <c r="J57" s="467"/>
      <c r="K57" s="465"/>
      <c r="L57" s="465"/>
      <c r="M57" s="465"/>
    </row>
    <row r="58" spans="2:13" ht="30.05" customHeight="1" x14ac:dyDescent="0.35">
      <c r="B58" s="464">
        <v>54</v>
      </c>
      <c r="C58" s="465" t="s">
        <v>1722</v>
      </c>
      <c r="D58" s="465"/>
      <c r="E58" s="465"/>
      <c r="F58" s="468"/>
      <c r="G58" s="167"/>
      <c r="H58" s="466"/>
      <c r="I58" s="469"/>
      <c r="J58" s="467"/>
      <c r="K58" s="465"/>
      <c r="L58" s="465"/>
      <c r="M58" s="465"/>
    </row>
    <row r="59" spans="2:13" ht="30.05" customHeight="1" x14ac:dyDescent="0.35">
      <c r="B59" s="464">
        <v>55</v>
      </c>
      <c r="C59" s="465" t="s">
        <v>1723</v>
      </c>
      <c r="D59" s="465"/>
      <c r="E59" s="465"/>
      <c r="F59" s="468"/>
      <c r="G59" s="167"/>
      <c r="H59" s="466"/>
      <c r="I59" s="469"/>
      <c r="J59" s="467"/>
      <c r="K59" s="465"/>
      <c r="L59" s="465"/>
      <c r="M59" s="465"/>
    </row>
    <row r="60" spans="2:13" ht="30.05" customHeight="1" x14ac:dyDescent="0.35">
      <c r="B60" s="464">
        <v>56</v>
      </c>
      <c r="C60" s="465" t="s">
        <v>1724</v>
      </c>
      <c r="D60" s="465"/>
      <c r="E60" s="465"/>
      <c r="F60" s="468"/>
      <c r="G60" s="167"/>
      <c r="H60" s="466"/>
      <c r="I60" s="469"/>
      <c r="J60" s="467"/>
      <c r="K60" s="465"/>
      <c r="L60" s="465"/>
      <c r="M60" s="465"/>
    </row>
    <row r="61" spans="2:13" ht="30.05" customHeight="1" x14ac:dyDescent="0.35">
      <c r="B61" s="464">
        <v>57</v>
      </c>
      <c r="C61" s="465" t="s">
        <v>1725</v>
      </c>
      <c r="D61" s="465"/>
      <c r="E61" s="465"/>
      <c r="F61" s="468"/>
      <c r="G61" s="167"/>
      <c r="H61" s="466"/>
      <c r="I61" s="469"/>
      <c r="J61" s="467"/>
      <c r="K61" s="465"/>
      <c r="L61" s="465"/>
      <c r="M61" s="465"/>
    </row>
    <row r="62" spans="2:13" ht="30.05" customHeight="1" x14ac:dyDescent="0.35">
      <c r="B62" s="464">
        <v>58</v>
      </c>
      <c r="C62" s="465" t="s">
        <v>1726</v>
      </c>
      <c r="D62" s="465"/>
      <c r="E62" s="465"/>
      <c r="F62" s="468"/>
      <c r="G62" s="167"/>
      <c r="H62" s="466"/>
      <c r="I62" s="469"/>
      <c r="J62" s="467"/>
      <c r="K62" s="465"/>
      <c r="L62" s="465"/>
      <c r="M62" s="465"/>
    </row>
    <row r="63" spans="2:13" ht="30.05" customHeight="1" x14ac:dyDescent="0.35">
      <c r="B63" s="464">
        <v>59</v>
      </c>
      <c r="C63" s="465" t="s">
        <v>1727</v>
      </c>
      <c r="D63" s="465"/>
      <c r="E63" s="465"/>
      <c r="F63" s="468"/>
      <c r="G63" s="167"/>
      <c r="H63" s="466"/>
      <c r="I63" s="469"/>
      <c r="J63" s="467"/>
      <c r="K63" s="465"/>
      <c r="L63" s="465"/>
      <c r="M63" s="465"/>
    </row>
    <row r="64" spans="2:13" ht="30.05" customHeight="1" x14ac:dyDescent="0.35">
      <c r="B64" s="464">
        <v>60</v>
      </c>
      <c r="C64" s="465" t="s">
        <v>1728</v>
      </c>
      <c r="D64" s="465"/>
      <c r="E64" s="465"/>
      <c r="F64" s="468"/>
      <c r="G64" s="167"/>
      <c r="H64" s="466"/>
      <c r="I64" s="469"/>
      <c r="J64" s="467"/>
      <c r="K64" s="465"/>
      <c r="L64" s="465"/>
      <c r="M64" s="465"/>
    </row>
    <row r="65" spans="2:13" ht="30.05" customHeight="1" x14ac:dyDescent="0.35">
      <c r="B65" s="464">
        <v>61</v>
      </c>
      <c r="C65" s="465" t="s">
        <v>1729</v>
      </c>
      <c r="D65" s="465"/>
      <c r="E65" s="465"/>
      <c r="F65" s="468"/>
      <c r="G65" s="167"/>
      <c r="H65" s="466"/>
      <c r="I65" s="469"/>
      <c r="J65" s="467"/>
      <c r="K65" s="465"/>
      <c r="L65" s="465"/>
      <c r="M65" s="465"/>
    </row>
    <row r="66" spans="2:13" ht="30.05" customHeight="1" x14ac:dyDescent="0.35">
      <c r="B66" s="464">
        <v>62</v>
      </c>
      <c r="C66" s="465" t="s">
        <v>1730</v>
      </c>
      <c r="D66" s="465"/>
      <c r="E66" s="465"/>
      <c r="F66" s="468"/>
      <c r="G66" s="167"/>
      <c r="H66" s="466"/>
      <c r="I66" s="469"/>
      <c r="J66" s="467"/>
      <c r="K66" s="465"/>
      <c r="L66" s="465"/>
      <c r="M66" s="465"/>
    </row>
    <row r="67" spans="2:13" ht="30.05" customHeight="1" x14ac:dyDescent="0.35">
      <c r="B67" s="464">
        <v>63</v>
      </c>
      <c r="C67" s="465" t="s">
        <v>1731</v>
      </c>
      <c r="D67" s="465"/>
      <c r="E67" s="465"/>
      <c r="F67" s="468"/>
      <c r="G67" s="167"/>
      <c r="H67" s="466"/>
      <c r="I67" s="469"/>
      <c r="J67" s="467"/>
      <c r="K67" s="465"/>
      <c r="L67" s="465"/>
      <c r="M67" s="465"/>
    </row>
    <row r="68" spans="2:13" ht="30.05" customHeight="1" x14ac:dyDescent="0.35">
      <c r="B68" s="464">
        <v>64</v>
      </c>
      <c r="C68" s="465" t="s">
        <v>1732</v>
      </c>
      <c r="D68" s="465"/>
      <c r="E68" s="465"/>
      <c r="F68" s="468"/>
      <c r="G68" s="167"/>
      <c r="H68" s="466"/>
      <c r="I68" s="469"/>
      <c r="J68" s="467"/>
      <c r="K68" s="465"/>
      <c r="L68" s="465"/>
      <c r="M68" s="465"/>
    </row>
    <row r="69" spans="2:13" ht="30.05" customHeight="1" x14ac:dyDescent="0.35">
      <c r="B69" s="464">
        <v>65</v>
      </c>
      <c r="C69" s="465" t="s">
        <v>1733</v>
      </c>
      <c r="D69" s="465"/>
      <c r="E69" s="465"/>
      <c r="F69" s="468"/>
      <c r="G69" s="167"/>
      <c r="H69" s="466"/>
      <c r="I69" s="469"/>
      <c r="J69" s="467"/>
      <c r="K69" s="465"/>
      <c r="L69" s="465"/>
      <c r="M69" s="465"/>
    </row>
    <row r="70" spans="2:13" ht="30.05" customHeight="1" x14ac:dyDescent="0.35">
      <c r="B70" s="464">
        <v>66</v>
      </c>
      <c r="C70" s="465" t="s">
        <v>1734</v>
      </c>
      <c r="D70" s="465"/>
      <c r="E70" s="465"/>
      <c r="F70" s="468"/>
      <c r="G70" s="167"/>
      <c r="H70" s="466"/>
      <c r="I70" s="469"/>
      <c r="J70" s="467"/>
      <c r="K70" s="465"/>
      <c r="L70" s="465"/>
      <c r="M70" s="465"/>
    </row>
    <row r="71" spans="2:13" ht="30.05" customHeight="1" x14ac:dyDescent="0.35">
      <c r="B71" s="464">
        <v>67</v>
      </c>
      <c r="C71" s="465" t="s">
        <v>1735</v>
      </c>
      <c r="D71" s="465"/>
      <c r="E71" s="465"/>
      <c r="F71" s="468"/>
      <c r="G71" s="167"/>
      <c r="H71" s="466"/>
      <c r="I71" s="469"/>
      <c r="J71" s="467"/>
      <c r="K71" s="465"/>
      <c r="L71" s="465"/>
      <c r="M71" s="465"/>
    </row>
    <row r="72" spans="2:13" ht="30.05" customHeight="1" x14ac:dyDescent="0.35">
      <c r="B72" s="464">
        <v>68</v>
      </c>
      <c r="C72" s="465" t="s">
        <v>1736</v>
      </c>
      <c r="D72" s="465"/>
      <c r="E72" s="465"/>
      <c r="F72" s="468"/>
      <c r="G72" s="167"/>
      <c r="H72" s="466"/>
      <c r="I72" s="469"/>
      <c r="J72" s="467"/>
      <c r="K72" s="465"/>
      <c r="L72" s="465"/>
      <c r="M72" s="465"/>
    </row>
    <row r="73" spans="2:13" ht="30.05" customHeight="1" x14ac:dyDescent="0.35">
      <c r="B73" s="464">
        <v>69</v>
      </c>
      <c r="C73" s="465" t="s">
        <v>1737</v>
      </c>
      <c r="D73" s="465"/>
      <c r="E73" s="465"/>
      <c r="F73" s="468"/>
      <c r="G73" s="167"/>
      <c r="H73" s="466"/>
      <c r="I73" s="469"/>
      <c r="J73" s="467"/>
      <c r="K73" s="465"/>
      <c r="L73" s="465"/>
      <c r="M73" s="465"/>
    </row>
  </sheetData>
  <sheetProtection insertRows="0" deleteRows="0" sort="0" autoFilter="0" pivotTables="0"/>
  <phoneticPr fontId="36" type="noConversion"/>
  <dataValidations disablePrompts="1" count="1">
    <dataValidation type="list" allowBlank="1" showInputMessage="1" showErrorMessage="1" sqref="D21:D22 C21:C22" xr:uid="{00000000-0002-0000-0200-000000000000}">
      <formula1>IF(T21="Receita",LISTA_CLIENTES,LISTA_FORNECEDORES)</formula1>
    </dataValidation>
  </dataValidations>
  <pageMargins left="0.511811024" right="0.511811024" top="0.78740157499999996" bottom="0.78740157499999996" header="0.31496062000000002" footer="0.31496062000000002"/>
  <pageSetup paperSize="9" scale="60" orientation="landscape" horizontalDpi="200" verticalDpi="200" r:id="rId1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2"/>
  <dimension ref="A1:L510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ColWidth="9.1796875" defaultRowHeight="30.05" customHeight="1" x14ac:dyDescent="0.35"/>
  <cols>
    <col min="1" max="1" width="0.7265625" style="28" customWidth="1"/>
    <col min="2" max="2" width="5.453125" style="458" customWidth="1"/>
    <col min="3" max="3" width="36.54296875" style="28" customWidth="1"/>
    <col min="4" max="4" width="35.81640625" style="28" bestFit="1" customWidth="1"/>
    <col min="5" max="5" width="18.54296875" style="167" bestFit="1" customWidth="1"/>
    <col min="6" max="6" width="42.54296875" style="167" customWidth="1"/>
    <col min="7" max="7" width="27.54296875" style="29" customWidth="1"/>
    <col min="8" max="8" width="8" style="478" bestFit="1" customWidth="1"/>
    <col min="9" max="9" width="32" style="168" customWidth="1"/>
    <col min="10" max="10" width="26.453125" style="167" customWidth="1"/>
    <col min="11" max="11" width="16.453125" style="28" customWidth="1"/>
    <col min="12" max="12" width="16.7265625" style="28" customWidth="1"/>
    <col min="13" max="16384" width="9.1796875" style="28"/>
  </cols>
  <sheetData>
    <row r="1" spans="1:12" s="13" customFormat="1" ht="25" customHeight="1" x14ac:dyDescent="0.35">
      <c r="B1" s="454"/>
      <c r="E1" s="169"/>
      <c r="F1" s="169"/>
      <c r="G1" s="31"/>
      <c r="H1" s="470"/>
      <c r="I1" s="59"/>
      <c r="J1" s="169"/>
    </row>
    <row r="2" spans="1:12" s="16" customFormat="1" ht="20.100000000000001" customHeight="1" x14ac:dyDescent="0.35">
      <c r="B2" s="170"/>
      <c r="C2" s="17"/>
      <c r="D2" s="17"/>
      <c r="E2" s="171"/>
      <c r="F2" s="171"/>
      <c r="G2" s="52"/>
      <c r="H2" s="471"/>
      <c r="I2" s="172"/>
      <c r="J2" s="171"/>
      <c r="K2" s="17"/>
    </row>
    <row r="3" spans="1:12" s="8" customFormat="1" ht="3.75" customHeight="1" x14ac:dyDescent="0.35">
      <c r="A3" s="7"/>
      <c r="B3" s="455"/>
      <c r="E3" s="173"/>
      <c r="F3" s="173"/>
      <c r="G3" s="26"/>
      <c r="H3" s="472"/>
      <c r="I3" s="62"/>
      <c r="J3" s="173"/>
    </row>
    <row r="4" spans="1:12" ht="30.05" customHeight="1" x14ac:dyDescent="0.35">
      <c r="B4" s="459" t="s">
        <v>1128</v>
      </c>
      <c r="C4" s="460" t="s">
        <v>1207</v>
      </c>
      <c r="D4" s="460" t="s">
        <v>1129</v>
      </c>
      <c r="E4" s="460" t="s">
        <v>1130</v>
      </c>
      <c r="F4" s="461" t="s">
        <v>1131</v>
      </c>
      <c r="G4" s="461" t="s">
        <v>1209</v>
      </c>
      <c r="H4" s="462" t="s">
        <v>1132</v>
      </c>
      <c r="I4" s="462" t="s">
        <v>1133</v>
      </c>
      <c r="J4" s="463" t="s">
        <v>1134</v>
      </c>
      <c r="K4" s="460" t="s">
        <v>1135</v>
      </c>
      <c r="L4" s="461" t="s">
        <v>1136</v>
      </c>
    </row>
    <row r="5" spans="1:12" ht="30.05" customHeight="1" x14ac:dyDescent="0.35">
      <c r="B5" s="464">
        <v>1</v>
      </c>
      <c r="C5" s="498" t="s">
        <v>1738</v>
      </c>
      <c r="D5" s="465" t="s">
        <v>1738</v>
      </c>
      <c r="E5" s="465"/>
      <c r="F5" s="468"/>
      <c r="G5" s="473"/>
      <c r="H5" s="466"/>
      <c r="I5" s="465" t="s">
        <v>1739</v>
      </c>
      <c r="J5" s="469"/>
      <c r="K5" s="467"/>
      <c r="L5" s="468"/>
    </row>
    <row r="6" spans="1:12" ht="30.05" customHeight="1" x14ac:dyDescent="0.35">
      <c r="B6" s="464">
        <v>2</v>
      </c>
      <c r="C6" s="498" t="s">
        <v>1740</v>
      </c>
      <c r="D6" s="465" t="s">
        <v>1740</v>
      </c>
      <c r="E6" s="465"/>
      <c r="F6" s="468"/>
      <c r="G6" s="473"/>
      <c r="H6" s="466"/>
      <c r="I6" s="465" t="s">
        <v>1741</v>
      </c>
      <c r="J6" s="469"/>
      <c r="K6" s="467"/>
      <c r="L6" s="468"/>
    </row>
    <row r="7" spans="1:12" ht="30.05" customHeight="1" x14ac:dyDescent="0.35">
      <c r="B7" s="464">
        <v>3</v>
      </c>
      <c r="C7" s="465" t="s">
        <v>1742</v>
      </c>
      <c r="D7" s="465" t="s">
        <v>1742</v>
      </c>
      <c r="E7" s="465"/>
      <c r="G7" s="473"/>
      <c r="H7" s="466"/>
      <c r="I7" s="465" t="s">
        <v>1743</v>
      </c>
      <c r="J7" s="298"/>
      <c r="K7" s="467"/>
      <c r="L7" s="167"/>
    </row>
    <row r="8" spans="1:12" ht="30.05" customHeight="1" x14ac:dyDescent="0.35">
      <c r="B8" s="464">
        <v>4</v>
      </c>
      <c r="C8" s="465" t="s">
        <v>1744</v>
      </c>
      <c r="D8" s="465" t="s">
        <v>1744</v>
      </c>
      <c r="E8" s="465"/>
      <c r="F8" s="468"/>
      <c r="G8" s="473"/>
      <c r="H8" s="466"/>
      <c r="I8" s="465" t="s">
        <v>1487</v>
      </c>
      <c r="J8" s="469"/>
      <c r="K8" s="467"/>
      <c r="L8" s="468"/>
    </row>
    <row r="9" spans="1:12" ht="30.05" customHeight="1" x14ac:dyDescent="0.35">
      <c r="B9" s="464">
        <v>5</v>
      </c>
      <c r="C9" s="465" t="s">
        <v>1745</v>
      </c>
      <c r="D9" s="465" t="s">
        <v>1745</v>
      </c>
      <c r="E9" s="465"/>
      <c r="G9" s="473"/>
      <c r="H9" s="466"/>
      <c r="I9" s="465" t="s">
        <v>1739</v>
      </c>
      <c r="J9" s="456"/>
      <c r="K9" s="467"/>
      <c r="L9" s="167"/>
    </row>
    <row r="10" spans="1:12" ht="30.05" customHeight="1" x14ac:dyDescent="0.35">
      <c r="B10" s="464">
        <v>6</v>
      </c>
      <c r="C10" s="465" t="s">
        <v>1746</v>
      </c>
      <c r="D10" s="465" t="s">
        <v>1746</v>
      </c>
      <c r="E10" s="465"/>
      <c r="G10" s="473"/>
      <c r="H10" s="466"/>
      <c r="I10" s="465"/>
      <c r="J10" s="456"/>
      <c r="K10" s="467"/>
      <c r="L10" s="167"/>
    </row>
    <row r="11" spans="1:12" ht="30.05" customHeight="1" x14ac:dyDescent="0.35">
      <c r="B11" s="464">
        <v>7</v>
      </c>
      <c r="C11" s="465" t="s">
        <v>1747</v>
      </c>
      <c r="D11" s="465" t="s">
        <v>1747</v>
      </c>
      <c r="E11" s="465"/>
      <c r="G11" s="473"/>
      <c r="H11" s="466"/>
      <c r="I11" s="465"/>
      <c r="J11" s="456"/>
      <c r="K11" s="467"/>
      <c r="L11" s="167"/>
    </row>
    <row r="12" spans="1:12" ht="30.05" customHeight="1" x14ac:dyDescent="0.35">
      <c r="B12" s="464">
        <v>8</v>
      </c>
      <c r="C12" s="465" t="s">
        <v>1688</v>
      </c>
      <c r="D12" s="465" t="s">
        <v>1688</v>
      </c>
      <c r="E12" s="465"/>
      <c r="G12" s="473"/>
      <c r="H12" s="466"/>
      <c r="I12" s="465"/>
      <c r="J12" s="456"/>
      <c r="K12" s="467"/>
      <c r="L12" s="167"/>
    </row>
    <row r="13" spans="1:12" ht="30.05" customHeight="1" x14ac:dyDescent="0.35">
      <c r="B13" s="464">
        <v>9</v>
      </c>
      <c r="C13" s="465" t="s">
        <v>1748</v>
      </c>
      <c r="D13" s="465" t="s">
        <v>1748</v>
      </c>
      <c r="E13" s="465"/>
      <c r="F13" s="468"/>
      <c r="G13" s="473"/>
      <c r="H13" s="466"/>
      <c r="I13" s="465" t="s">
        <v>1739</v>
      </c>
      <c r="J13" s="469"/>
      <c r="K13" s="467"/>
      <c r="L13" s="468"/>
    </row>
    <row r="14" spans="1:12" ht="30.05" customHeight="1" x14ac:dyDescent="0.35">
      <c r="B14" s="464">
        <v>10</v>
      </c>
      <c r="C14" s="465" t="s">
        <v>1749</v>
      </c>
      <c r="D14" s="465" t="s">
        <v>1749</v>
      </c>
      <c r="E14" s="465"/>
      <c r="F14" s="468"/>
      <c r="G14" s="473"/>
      <c r="H14" s="466"/>
      <c r="I14" s="465" t="s">
        <v>1750</v>
      </c>
      <c r="J14" s="469"/>
      <c r="K14" s="467"/>
      <c r="L14" s="468"/>
    </row>
    <row r="15" spans="1:12" ht="30.05" customHeight="1" x14ac:dyDescent="0.35">
      <c r="B15" s="464">
        <v>11</v>
      </c>
      <c r="C15" s="465" t="s">
        <v>1751</v>
      </c>
      <c r="D15" s="465" t="s">
        <v>1751</v>
      </c>
      <c r="E15" s="465"/>
      <c r="G15" s="473"/>
      <c r="H15" s="466"/>
      <c r="I15" s="465"/>
      <c r="J15" s="456"/>
      <c r="K15" s="467"/>
      <c r="L15" s="167"/>
    </row>
    <row r="16" spans="1:12" ht="30.05" customHeight="1" x14ac:dyDescent="0.35">
      <c r="B16" s="464">
        <v>12</v>
      </c>
      <c r="C16" s="465" t="s">
        <v>1752</v>
      </c>
      <c r="D16" s="465" t="s">
        <v>1752</v>
      </c>
      <c r="E16" s="465"/>
      <c r="G16" s="473"/>
      <c r="H16" s="466"/>
      <c r="I16" s="465"/>
      <c r="J16" s="298"/>
      <c r="K16" s="467"/>
      <c r="L16" s="167"/>
    </row>
    <row r="17" spans="2:12" ht="30.05" customHeight="1" x14ac:dyDescent="0.35">
      <c r="B17" s="464">
        <v>13</v>
      </c>
      <c r="C17" s="465" t="s">
        <v>1753</v>
      </c>
      <c r="D17" s="465" t="s">
        <v>1753</v>
      </c>
      <c r="E17" s="465"/>
      <c r="G17" s="473"/>
      <c r="H17" s="466"/>
      <c r="I17" s="465" t="s">
        <v>1739</v>
      </c>
      <c r="J17" s="298"/>
      <c r="K17" s="467"/>
      <c r="L17" s="167"/>
    </row>
    <row r="18" spans="2:12" ht="30.05" customHeight="1" x14ac:dyDescent="0.35">
      <c r="B18" s="464">
        <v>14</v>
      </c>
      <c r="C18" s="465" t="s">
        <v>1754</v>
      </c>
      <c r="D18" s="465" t="s">
        <v>1754</v>
      </c>
      <c r="E18" s="465"/>
      <c r="G18" s="473"/>
      <c r="H18" s="466"/>
      <c r="I18" s="465" t="s">
        <v>1739</v>
      </c>
      <c r="J18" s="298"/>
      <c r="K18" s="467"/>
      <c r="L18" s="167"/>
    </row>
    <row r="19" spans="2:12" ht="30.05" customHeight="1" x14ac:dyDescent="0.35">
      <c r="B19" s="464">
        <v>15</v>
      </c>
      <c r="C19" s="465" t="s">
        <v>1755</v>
      </c>
      <c r="D19" s="465" t="s">
        <v>1755</v>
      </c>
      <c r="E19" s="465"/>
      <c r="F19" s="468"/>
      <c r="G19" s="473"/>
      <c r="H19" s="466"/>
      <c r="I19" s="465"/>
      <c r="J19" s="469"/>
      <c r="K19" s="467"/>
      <c r="L19" s="468"/>
    </row>
    <row r="20" spans="2:12" ht="30.05" customHeight="1" x14ac:dyDescent="0.35">
      <c r="B20" s="464">
        <v>16</v>
      </c>
      <c r="C20" s="465" t="s">
        <v>1756</v>
      </c>
      <c r="D20" s="465" t="s">
        <v>1756</v>
      </c>
      <c r="E20" s="465"/>
      <c r="F20" s="468"/>
      <c r="G20" s="473"/>
      <c r="H20" s="466"/>
      <c r="I20" s="465" t="s">
        <v>1739</v>
      </c>
      <c r="J20" s="469"/>
      <c r="K20" s="467"/>
      <c r="L20" s="468"/>
    </row>
    <row r="21" spans="2:12" ht="30.05" customHeight="1" x14ac:dyDescent="0.35">
      <c r="B21" s="464">
        <v>17</v>
      </c>
      <c r="C21" s="465" t="s">
        <v>1757</v>
      </c>
      <c r="D21" s="465" t="s">
        <v>1757</v>
      </c>
      <c r="E21" s="465"/>
      <c r="G21" s="473"/>
      <c r="H21" s="466"/>
      <c r="I21" s="465" t="s">
        <v>1739</v>
      </c>
      <c r="J21" s="298"/>
      <c r="K21" s="467"/>
      <c r="L21" s="167"/>
    </row>
    <row r="22" spans="2:12" ht="30.05" customHeight="1" x14ac:dyDescent="0.35">
      <c r="B22" s="464">
        <v>18</v>
      </c>
      <c r="C22" s="465" t="s">
        <v>1758</v>
      </c>
      <c r="D22" s="465" t="s">
        <v>1758</v>
      </c>
      <c r="E22" s="465"/>
      <c r="G22" s="473"/>
      <c r="H22" s="466"/>
      <c r="I22" s="465"/>
      <c r="J22" s="298"/>
      <c r="K22" s="467"/>
      <c r="L22" s="167"/>
    </row>
    <row r="23" spans="2:12" ht="30.05" customHeight="1" x14ac:dyDescent="0.35">
      <c r="B23" s="464">
        <v>19</v>
      </c>
      <c r="C23" s="465" t="s">
        <v>1759</v>
      </c>
      <c r="D23" s="465" t="s">
        <v>1759</v>
      </c>
      <c r="E23" s="465"/>
      <c r="G23" s="473"/>
      <c r="H23" s="466"/>
      <c r="I23" s="465"/>
      <c r="J23" s="298"/>
      <c r="K23" s="467"/>
      <c r="L23" s="167"/>
    </row>
    <row r="24" spans="2:12" ht="30.05" customHeight="1" x14ac:dyDescent="0.35">
      <c r="B24" s="464">
        <v>20</v>
      </c>
      <c r="C24" s="465" t="s">
        <v>1760</v>
      </c>
      <c r="D24" s="465" t="s">
        <v>1760</v>
      </c>
      <c r="E24" s="465"/>
      <c r="G24" s="473"/>
      <c r="H24" s="466"/>
      <c r="I24" s="465"/>
      <c r="J24" s="298"/>
      <c r="K24" s="467"/>
      <c r="L24" s="167"/>
    </row>
    <row r="25" spans="2:12" ht="30.05" customHeight="1" x14ac:dyDescent="0.35">
      <c r="B25" s="464">
        <v>21</v>
      </c>
      <c r="C25" s="465" t="s">
        <v>1761</v>
      </c>
      <c r="D25" s="465" t="s">
        <v>1762</v>
      </c>
      <c r="E25" s="465" t="s">
        <v>1763</v>
      </c>
      <c r="F25" s="468"/>
      <c r="G25" s="473"/>
      <c r="H25" s="466"/>
      <c r="I25" s="465"/>
      <c r="J25" s="469"/>
      <c r="K25" s="467"/>
      <c r="L25" s="468"/>
    </row>
    <row r="26" spans="2:12" ht="30.05" customHeight="1" x14ac:dyDescent="0.35">
      <c r="B26" s="464">
        <v>22</v>
      </c>
      <c r="C26" s="465" t="s">
        <v>1764</v>
      </c>
      <c r="D26" s="468" t="s">
        <v>1765</v>
      </c>
      <c r="E26" s="465" t="s">
        <v>1766</v>
      </c>
      <c r="F26" s="468"/>
      <c r="G26" s="473"/>
      <c r="H26" s="466"/>
      <c r="I26" s="465"/>
      <c r="J26" s="469"/>
      <c r="K26" s="467"/>
      <c r="L26" s="468"/>
    </row>
    <row r="27" spans="2:12" ht="30.05" customHeight="1" x14ac:dyDescent="0.35">
      <c r="B27" s="464">
        <v>23</v>
      </c>
      <c r="C27" s="465" t="s">
        <v>1767</v>
      </c>
      <c r="D27" s="465" t="s">
        <v>1767</v>
      </c>
      <c r="E27" s="465"/>
      <c r="F27" s="468"/>
      <c r="G27" s="473"/>
      <c r="H27" s="466"/>
      <c r="I27" s="465"/>
      <c r="J27" s="469"/>
      <c r="K27" s="467"/>
      <c r="L27" s="468"/>
    </row>
    <row r="28" spans="2:12" ht="30.05" customHeight="1" x14ac:dyDescent="0.35">
      <c r="B28" s="464">
        <v>24</v>
      </c>
      <c r="C28" s="465" t="s">
        <v>1768</v>
      </c>
      <c r="D28" s="465" t="s">
        <v>1768</v>
      </c>
      <c r="E28" s="465"/>
      <c r="G28" s="473"/>
      <c r="H28" s="466"/>
      <c r="I28" s="465"/>
      <c r="J28" s="456"/>
      <c r="K28" s="467"/>
      <c r="L28" s="167"/>
    </row>
    <row r="29" spans="2:12" ht="30.05" customHeight="1" x14ac:dyDescent="0.35">
      <c r="B29" s="464">
        <v>25</v>
      </c>
      <c r="C29" s="465" t="s">
        <v>1769</v>
      </c>
      <c r="D29" s="465" t="s">
        <v>1769</v>
      </c>
      <c r="E29" s="465"/>
      <c r="G29" s="473"/>
      <c r="H29" s="466"/>
      <c r="I29" s="465"/>
      <c r="J29" s="298"/>
      <c r="K29" s="467"/>
      <c r="L29" s="167"/>
    </row>
    <row r="30" spans="2:12" ht="30.05" customHeight="1" x14ac:dyDescent="0.35">
      <c r="B30" s="464">
        <v>26</v>
      </c>
      <c r="C30" s="465" t="s">
        <v>1770</v>
      </c>
      <c r="D30" s="465"/>
      <c r="E30" s="465"/>
      <c r="G30" s="473"/>
      <c r="H30" s="466"/>
      <c r="I30" s="465"/>
      <c r="J30" s="298"/>
      <c r="K30" s="467"/>
      <c r="L30" s="167"/>
    </row>
    <row r="31" spans="2:12" ht="30.05" customHeight="1" x14ac:dyDescent="0.35">
      <c r="B31" s="464">
        <v>27</v>
      </c>
      <c r="C31" s="465" t="s">
        <v>1771</v>
      </c>
      <c r="D31" s="465" t="s">
        <v>1771</v>
      </c>
      <c r="E31" s="465"/>
      <c r="G31" s="473"/>
      <c r="H31" s="466"/>
      <c r="I31" s="465" t="s">
        <v>1743</v>
      </c>
      <c r="J31" s="298"/>
      <c r="K31" s="467"/>
      <c r="L31" s="167"/>
    </row>
    <row r="32" spans="2:12" ht="30.05" customHeight="1" x14ac:dyDescent="0.35">
      <c r="B32" s="464">
        <v>28</v>
      </c>
      <c r="C32" s="465" t="s">
        <v>1772</v>
      </c>
      <c r="D32" s="465" t="s">
        <v>1772</v>
      </c>
      <c r="E32" s="465"/>
      <c r="G32" s="473"/>
      <c r="H32" s="466"/>
      <c r="I32" s="465" t="s">
        <v>1773</v>
      </c>
      <c r="J32" s="298"/>
      <c r="K32" s="467"/>
      <c r="L32" s="167"/>
    </row>
    <row r="33" spans="2:12" ht="44.3" customHeight="1" x14ac:dyDescent="0.35">
      <c r="B33" s="464">
        <v>29</v>
      </c>
      <c r="C33" s="465" t="s">
        <v>1774</v>
      </c>
      <c r="D33" s="465"/>
      <c r="E33" s="465"/>
      <c r="G33" s="473"/>
      <c r="H33" s="466"/>
      <c r="I33" s="465"/>
      <c r="J33" s="298"/>
      <c r="K33" s="467"/>
      <c r="L33" s="167"/>
    </row>
    <row r="34" spans="2:12" ht="30.05" customHeight="1" x14ac:dyDescent="0.35">
      <c r="B34" s="464">
        <v>30</v>
      </c>
      <c r="C34" s="465" t="s">
        <v>1775</v>
      </c>
      <c r="D34" s="465"/>
      <c r="E34" s="465"/>
      <c r="F34" s="468"/>
      <c r="G34" s="473"/>
      <c r="H34" s="466"/>
      <c r="I34" s="465" t="s">
        <v>1739</v>
      </c>
      <c r="J34" s="469"/>
      <c r="K34" s="467"/>
      <c r="L34" s="468"/>
    </row>
    <row r="35" spans="2:12" ht="30.05" customHeight="1" x14ac:dyDescent="0.35">
      <c r="B35" s="464"/>
      <c r="C35" s="465"/>
      <c r="D35" s="465"/>
      <c r="E35" s="465"/>
      <c r="G35" s="473"/>
      <c r="H35" s="466"/>
      <c r="I35" s="465"/>
      <c r="J35" s="298"/>
      <c r="K35" s="467"/>
      <c r="L35" s="167"/>
    </row>
    <row r="36" spans="2:12" ht="30.05" customHeight="1" x14ac:dyDescent="0.35">
      <c r="B36" s="464"/>
      <c r="C36" s="465"/>
      <c r="D36" s="465"/>
      <c r="E36" s="465"/>
      <c r="F36" s="468"/>
      <c r="G36" s="473"/>
      <c r="H36" s="466"/>
      <c r="I36" s="465"/>
      <c r="J36" s="469"/>
      <c r="K36" s="467"/>
      <c r="L36" s="468"/>
    </row>
    <row r="37" spans="2:12" ht="30.05" customHeight="1" x14ac:dyDescent="0.35">
      <c r="B37" s="464"/>
      <c r="C37" s="364"/>
      <c r="D37" s="364"/>
      <c r="E37" s="465"/>
      <c r="G37" s="473"/>
      <c r="H37" s="466"/>
      <c r="I37" s="465"/>
      <c r="J37" s="298"/>
      <c r="K37" s="467"/>
      <c r="L37" s="167"/>
    </row>
    <row r="38" spans="2:12" ht="42.75" customHeight="1" x14ac:dyDescent="0.35">
      <c r="B38" s="464"/>
      <c r="C38" s="465"/>
      <c r="D38" s="465"/>
      <c r="E38" s="465"/>
      <c r="G38" s="473"/>
      <c r="H38" s="466"/>
      <c r="I38" s="465"/>
      <c r="J38" s="298"/>
      <c r="K38" s="467"/>
      <c r="L38" s="167"/>
    </row>
    <row r="39" spans="2:12" ht="30.05" customHeight="1" x14ac:dyDescent="0.35">
      <c r="B39" s="464"/>
      <c r="C39" s="465"/>
      <c r="D39" s="465"/>
      <c r="E39" s="465"/>
      <c r="F39" s="468"/>
      <c r="G39" s="473"/>
      <c r="H39" s="466"/>
      <c r="I39" s="465"/>
      <c r="J39" s="469"/>
      <c r="K39" s="467"/>
      <c r="L39" s="468"/>
    </row>
    <row r="40" spans="2:12" ht="30.05" customHeight="1" x14ac:dyDescent="0.35">
      <c r="B40" s="464"/>
      <c r="C40" s="465"/>
      <c r="D40" s="465"/>
      <c r="E40" s="465"/>
      <c r="F40" s="468"/>
      <c r="G40" s="473"/>
      <c r="H40" s="466"/>
      <c r="I40" s="465"/>
      <c r="J40" s="469"/>
      <c r="K40" s="467"/>
      <c r="L40" s="468"/>
    </row>
    <row r="41" spans="2:12" ht="30.05" customHeight="1" x14ac:dyDescent="0.35">
      <c r="B41" s="464"/>
      <c r="C41" s="465"/>
      <c r="D41" s="465"/>
      <c r="E41" s="465"/>
      <c r="G41" s="473"/>
      <c r="H41" s="466"/>
      <c r="I41" s="465"/>
      <c r="J41" s="298"/>
      <c r="K41" s="467"/>
      <c r="L41" s="167"/>
    </row>
    <row r="42" spans="2:12" ht="30.05" customHeight="1" x14ac:dyDescent="0.35">
      <c r="B42" s="464"/>
      <c r="C42" s="465"/>
      <c r="D42" s="465"/>
      <c r="E42" s="465"/>
      <c r="F42" s="468"/>
      <c r="G42" s="473"/>
      <c r="H42" s="466"/>
      <c r="I42" s="465"/>
      <c r="J42" s="469"/>
      <c r="K42" s="467"/>
      <c r="L42" s="468"/>
    </row>
    <row r="43" spans="2:12" ht="30.05" customHeight="1" x14ac:dyDescent="0.35">
      <c r="B43" s="464"/>
      <c r="C43" s="465"/>
      <c r="D43" s="465"/>
      <c r="E43" s="465"/>
      <c r="G43" s="473"/>
      <c r="H43" s="466"/>
      <c r="I43" s="465"/>
      <c r="J43" s="298"/>
      <c r="K43" s="467"/>
      <c r="L43" s="167"/>
    </row>
    <row r="44" spans="2:12" ht="30.05" customHeight="1" x14ac:dyDescent="0.35">
      <c r="B44" s="464"/>
      <c r="C44" s="465"/>
      <c r="D44" s="474"/>
      <c r="E44" s="465"/>
      <c r="F44" s="468"/>
      <c r="G44" s="473"/>
      <c r="H44" s="466"/>
      <c r="I44" s="465"/>
      <c r="J44" s="469"/>
      <c r="K44" s="467"/>
      <c r="L44" s="468"/>
    </row>
    <row r="45" spans="2:12" ht="30.05" customHeight="1" x14ac:dyDescent="0.35">
      <c r="B45" s="464"/>
      <c r="C45" s="364"/>
      <c r="D45" s="465"/>
      <c r="E45" s="465"/>
      <c r="G45" s="473"/>
      <c r="H45" s="466"/>
      <c r="I45" s="465"/>
      <c r="J45" s="298"/>
      <c r="K45" s="467"/>
      <c r="L45" s="167"/>
    </row>
    <row r="46" spans="2:12" ht="30.05" customHeight="1" x14ac:dyDescent="0.35">
      <c r="B46" s="464"/>
      <c r="C46" s="465"/>
      <c r="D46" s="465"/>
      <c r="E46" s="465"/>
      <c r="F46" s="468"/>
      <c r="G46" s="473"/>
      <c r="H46" s="466"/>
      <c r="I46" s="465"/>
      <c r="J46" s="469"/>
      <c r="K46" s="467"/>
      <c r="L46" s="468"/>
    </row>
    <row r="47" spans="2:12" ht="30.05" customHeight="1" x14ac:dyDescent="0.35">
      <c r="B47" s="464"/>
      <c r="C47" s="465"/>
      <c r="D47" s="465"/>
      <c r="E47" s="465"/>
      <c r="G47" s="473"/>
      <c r="H47" s="466"/>
      <c r="I47" s="465"/>
      <c r="J47" s="298"/>
      <c r="K47" s="467"/>
      <c r="L47" s="167"/>
    </row>
    <row r="48" spans="2:12" ht="30.05" customHeight="1" x14ac:dyDescent="0.35">
      <c r="B48" s="464"/>
      <c r="C48" s="465"/>
      <c r="D48" s="465"/>
      <c r="E48" s="465"/>
      <c r="F48" s="468"/>
      <c r="G48" s="473"/>
      <c r="H48" s="466"/>
      <c r="I48" s="465"/>
      <c r="J48" s="469"/>
      <c r="K48" s="467"/>
      <c r="L48" s="468"/>
    </row>
    <row r="49" spans="2:12" ht="30.05" customHeight="1" x14ac:dyDescent="0.35">
      <c r="B49" s="464"/>
      <c r="C49" s="465"/>
      <c r="D49" s="465"/>
      <c r="E49" s="465"/>
      <c r="F49" s="468"/>
      <c r="G49" s="473"/>
      <c r="H49" s="466"/>
      <c r="I49" s="465"/>
      <c r="J49" s="469"/>
      <c r="K49" s="467"/>
      <c r="L49" s="468"/>
    </row>
    <row r="50" spans="2:12" ht="30.05" customHeight="1" x14ac:dyDescent="0.35">
      <c r="B50" s="464"/>
      <c r="C50" s="465"/>
      <c r="D50" s="465"/>
      <c r="E50" s="465"/>
      <c r="G50" s="473"/>
      <c r="H50" s="466"/>
      <c r="I50" s="465"/>
      <c r="J50" s="298"/>
      <c r="K50" s="467"/>
      <c r="L50" s="167"/>
    </row>
    <row r="51" spans="2:12" ht="30.05" customHeight="1" x14ac:dyDescent="0.35">
      <c r="B51" s="464"/>
      <c r="C51" s="465"/>
      <c r="D51" s="465"/>
      <c r="E51" s="465"/>
      <c r="G51" s="473"/>
      <c r="H51" s="466"/>
      <c r="I51" s="465"/>
      <c r="J51" s="298"/>
      <c r="K51" s="467"/>
      <c r="L51" s="167"/>
    </row>
    <row r="52" spans="2:12" ht="30.05" customHeight="1" x14ac:dyDescent="0.35">
      <c r="B52" s="464"/>
      <c r="C52" s="465"/>
      <c r="D52" s="465"/>
      <c r="E52" s="465"/>
      <c r="G52" s="473"/>
      <c r="H52" s="466"/>
      <c r="I52" s="465"/>
      <c r="J52" s="298"/>
      <c r="K52" s="467"/>
      <c r="L52" s="167"/>
    </row>
    <row r="53" spans="2:12" ht="30.05" customHeight="1" x14ac:dyDescent="0.35">
      <c r="B53" s="464"/>
      <c r="C53" s="465"/>
      <c r="D53" s="465"/>
      <c r="E53" s="465"/>
      <c r="G53" s="473"/>
      <c r="H53" s="466"/>
      <c r="I53" s="465"/>
      <c r="J53" s="298"/>
      <c r="K53" s="467"/>
      <c r="L53" s="167"/>
    </row>
    <row r="54" spans="2:12" ht="30.05" customHeight="1" x14ac:dyDescent="0.35">
      <c r="B54" s="464"/>
      <c r="C54" s="465"/>
      <c r="D54" s="465"/>
      <c r="E54" s="465"/>
      <c r="F54" s="468"/>
      <c r="G54" s="473"/>
      <c r="H54" s="466"/>
      <c r="I54" s="465"/>
      <c r="J54" s="469"/>
      <c r="K54" s="467"/>
      <c r="L54" s="468"/>
    </row>
    <row r="55" spans="2:12" ht="30.05" customHeight="1" x14ac:dyDescent="0.35">
      <c r="B55" s="464"/>
      <c r="C55" s="465"/>
      <c r="D55" s="465"/>
      <c r="E55" s="465"/>
      <c r="G55" s="473"/>
      <c r="H55" s="466"/>
      <c r="I55" s="465"/>
      <c r="J55" s="298"/>
      <c r="K55" s="467"/>
      <c r="L55" s="167"/>
    </row>
    <row r="56" spans="2:12" ht="30.05" customHeight="1" x14ac:dyDescent="0.35">
      <c r="B56" s="464"/>
      <c r="C56" s="465"/>
      <c r="D56" s="465"/>
      <c r="E56" s="465"/>
      <c r="G56" s="473"/>
      <c r="H56" s="466"/>
      <c r="I56" s="465"/>
      <c r="J56" s="298"/>
      <c r="K56" s="467"/>
      <c r="L56" s="167"/>
    </row>
    <row r="57" spans="2:12" ht="30.05" customHeight="1" x14ac:dyDescent="0.35">
      <c r="B57" s="464"/>
      <c r="C57" s="465"/>
      <c r="D57" s="465"/>
      <c r="E57" s="465"/>
      <c r="F57" s="468"/>
      <c r="G57" s="473"/>
      <c r="H57" s="466"/>
      <c r="I57" s="465"/>
      <c r="J57" s="469"/>
      <c r="K57" s="467"/>
      <c r="L57" s="468"/>
    </row>
    <row r="58" spans="2:12" ht="30.05" customHeight="1" x14ac:dyDescent="0.35">
      <c r="B58" s="464"/>
      <c r="C58" s="465"/>
      <c r="D58" s="465"/>
      <c r="E58" s="465"/>
      <c r="F58" s="468"/>
      <c r="G58" s="473"/>
      <c r="H58" s="466"/>
      <c r="I58" s="465"/>
      <c r="J58" s="469"/>
      <c r="K58" s="467"/>
      <c r="L58" s="468"/>
    </row>
    <row r="59" spans="2:12" ht="30.05" customHeight="1" x14ac:dyDescent="0.35">
      <c r="B59" s="464"/>
      <c r="C59" s="465"/>
      <c r="D59" s="465"/>
      <c r="E59" s="465"/>
      <c r="G59" s="473"/>
      <c r="H59" s="466"/>
      <c r="I59" s="465"/>
      <c r="J59" s="298"/>
      <c r="K59" s="467"/>
      <c r="L59" s="167"/>
    </row>
    <row r="60" spans="2:12" ht="30.05" customHeight="1" x14ac:dyDescent="0.35">
      <c r="B60" s="464"/>
      <c r="C60" s="465"/>
      <c r="D60" s="465"/>
      <c r="E60" s="488"/>
      <c r="G60" s="473"/>
      <c r="H60" s="466"/>
      <c r="I60" s="465"/>
      <c r="J60" s="298"/>
      <c r="K60" s="467"/>
      <c r="L60" s="167"/>
    </row>
    <row r="61" spans="2:12" ht="30.05" customHeight="1" x14ac:dyDescent="0.35">
      <c r="B61" s="464"/>
      <c r="C61" s="465"/>
      <c r="D61" s="465"/>
      <c r="E61" s="465"/>
      <c r="G61" s="473"/>
      <c r="H61" s="466"/>
      <c r="I61" s="465"/>
      <c r="J61" s="298"/>
      <c r="K61" s="467"/>
      <c r="L61" s="167"/>
    </row>
    <row r="62" spans="2:12" ht="30.05" customHeight="1" x14ac:dyDescent="0.35">
      <c r="B62" s="464"/>
      <c r="C62" s="465"/>
      <c r="D62" s="465"/>
      <c r="E62" s="465"/>
      <c r="G62" s="473"/>
      <c r="H62" s="466"/>
      <c r="I62" s="465"/>
      <c r="J62" s="298"/>
      <c r="K62" s="467"/>
      <c r="L62" s="167"/>
    </row>
    <row r="63" spans="2:12" ht="30.05" customHeight="1" x14ac:dyDescent="0.35">
      <c r="B63" s="464"/>
      <c r="C63" s="465"/>
      <c r="D63" s="465"/>
      <c r="E63" s="465"/>
      <c r="G63" s="473"/>
      <c r="H63" s="466"/>
      <c r="I63" s="465"/>
      <c r="J63" s="298"/>
      <c r="K63" s="467"/>
      <c r="L63" s="167"/>
    </row>
    <row r="64" spans="2:12" ht="30.05" customHeight="1" x14ac:dyDescent="0.35">
      <c r="B64" s="464"/>
      <c r="C64" s="465"/>
      <c r="D64" s="465"/>
      <c r="E64" s="465"/>
      <c r="G64" s="473"/>
      <c r="H64" s="466"/>
      <c r="I64" s="465"/>
      <c r="J64" s="298"/>
      <c r="K64" s="467"/>
      <c r="L64" s="167"/>
    </row>
    <row r="65" spans="2:12" ht="30.05" customHeight="1" x14ac:dyDescent="0.35">
      <c r="B65" s="464"/>
      <c r="C65" s="465"/>
      <c r="D65" s="465"/>
      <c r="E65" s="465"/>
      <c r="F65" s="468"/>
      <c r="G65" s="473"/>
      <c r="H65" s="466"/>
      <c r="I65" s="465"/>
      <c r="J65" s="469"/>
      <c r="K65" s="467"/>
      <c r="L65" s="468"/>
    </row>
    <row r="66" spans="2:12" ht="30.05" customHeight="1" x14ac:dyDescent="0.35">
      <c r="B66" s="464"/>
      <c r="C66" s="465"/>
      <c r="D66" s="465"/>
      <c r="E66" s="465"/>
      <c r="G66" s="473"/>
      <c r="H66" s="466"/>
      <c r="I66" s="465"/>
      <c r="J66" s="298"/>
      <c r="K66" s="467"/>
      <c r="L66" s="167"/>
    </row>
    <row r="67" spans="2:12" ht="30.05" customHeight="1" x14ac:dyDescent="0.35">
      <c r="B67" s="464"/>
      <c r="C67" s="465"/>
      <c r="D67" s="465"/>
      <c r="E67" s="465"/>
      <c r="F67" s="468"/>
      <c r="G67" s="473"/>
      <c r="H67" s="466"/>
      <c r="I67" s="465"/>
      <c r="J67" s="469"/>
      <c r="K67" s="467"/>
      <c r="L67" s="468"/>
    </row>
    <row r="68" spans="2:12" ht="30.05" customHeight="1" x14ac:dyDescent="0.35">
      <c r="B68" s="464"/>
      <c r="C68" s="465"/>
      <c r="D68" s="465"/>
      <c r="E68" s="465"/>
      <c r="G68" s="473"/>
      <c r="H68" s="466"/>
      <c r="I68" s="465"/>
      <c r="J68" s="298"/>
      <c r="K68" s="467"/>
      <c r="L68" s="167"/>
    </row>
    <row r="69" spans="2:12" ht="30.05" customHeight="1" x14ac:dyDescent="0.35">
      <c r="B69" s="464"/>
      <c r="C69" s="465"/>
      <c r="D69" s="465"/>
      <c r="E69" s="465"/>
      <c r="G69" s="473"/>
      <c r="H69" s="466"/>
      <c r="I69" s="465"/>
      <c r="J69" s="298"/>
      <c r="K69" s="467"/>
      <c r="L69" s="167"/>
    </row>
    <row r="70" spans="2:12" ht="30.05" customHeight="1" x14ac:dyDescent="0.35">
      <c r="B70" s="464"/>
      <c r="C70" s="465"/>
      <c r="D70" s="465"/>
      <c r="E70" s="465"/>
      <c r="F70" s="468"/>
      <c r="G70" s="473"/>
      <c r="H70" s="466"/>
      <c r="I70" s="465"/>
      <c r="J70" s="457"/>
      <c r="K70" s="467"/>
      <c r="L70" s="468"/>
    </row>
    <row r="71" spans="2:12" ht="30.05" customHeight="1" x14ac:dyDescent="0.35">
      <c r="B71" s="464"/>
      <c r="C71" s="465"/>
      <c r="D71" s="465"/>
      <c r="E71" s="465"/>
      <c r="G71" s="473"/>
      <c r="H71" s="466"/>
      <c r="I71" s="465"/>
      <c r="J71" s="298"/>
      <c r="K71" s="467"/>
      <c r="L71" s="167"/>
    </row>
    <row r="72" spans="2:12" ht="30.05" customHeight="1" x14ac:dyDescent="0.35">
      <c r="B72" s="464"/>
      <c r="C72" s="465"/>
      <c r="D72" s="465"/>
      <c r="E72" s="465"/>
      <c r="G72" s="473"/>
      <c r="H72" s="466"/>
      <c r="I72" s="465"/>
      <c r="J72" s="298"/>
      <c r="K72" s="467"/>
      <c r="L72" s="167"/>
    </row>
    <row r="73" spans="2:12" ht="30.05" customHeight="1" x14ac:dyDescent="0.35">
      <c r="B73" s="464"/>
      <c r="C73" s="465"/>
      <c r="D73" s="465"/>
      <c r="E73" s="465"/>
      <c r="G73" s="473"/>
      <c r="H73" s="466"/>
      <c r="I73" s="465"/>
      <c r="J73" s="298"/>
      <c r="K73" s="467"/>
      <c r="L73" s="167"/>
    </row>
    <row r="74" spans="2:12" ht="30.05" customHeight="1" x14ac:dyDescent="0.35">
      <c r="B74" s="464"/>
      <c r="C74" s="465"/>
      <c r="D74" s="465"/>
      <c r="E74" s="465"/>
      <c r="F74" s="468"/>
      <c r="G74" s="473"/>
      <c r="H74" s="466"/>
      <c r="I74" s="465"/>
      <c r="J74" s="469"/>
      <c r="K74" s="467"/>
      <c r="L74" s="468"/>
    </row>
    <row r="75" spans="2:12" ht="30.05" customHeight="1" x14ac:dyDescent="0.35">
      <c r="B75" s="464"/>
      <c r="C75" s="465"/>
      <c r="D75" s="465"/>
      <c r="E75" s="465"/>
      <c r="G75" s="473"/>
      <c r="H75" s="466"/>
      <c r="I75" s="465"/>
      <c r="J75" s="298"/>
      <c r="K75" s="467"/>
      <c r="L75" s="167"/>
    </row>
    <row r="76" spans="2:12" ht="30.05" customHeight="1" x14ac:dyDescent="0.35">
      <c r="B76" s="464"/>
      <c r="C76" s="465"/>
      <c r="D76" s="465"/>
      <c r="E76" s="465"/>
      <c r="G76" s="473"/>
      <c r="H76" s="466"/>
      <c r="I76" s="465"/>
      <c r="J76" s="298"/>
      <c r="K76" s="467"/>
      <c r="L76" s="167"/>
    </row>
    <row r="77" spans="2:12" ht="30.05" customHeight="1" x14ac:dyDescent="0.35">
      <c r="B77" s="464"/>
      <c r="C77" s="465"/>
      <c r="D77" s="465"/>
      <c r="E77" s="465"/>
      <c r="G77" s="473"/>
      <c r="H77" s="466"/>
      <c r="I77" s="465"/>
      <c r="J77" s="298"/>
      <c r="K77" s="467"/>
      <c r="L77" s="167"/>
    </row>
    <row r="78" spans="2:12" ht="30.05" customHeight="1" x14ac:dyDescent="0.35">
      <c r="B78" s="464"/>
      <c r="C78" s="465"/>
      <c r="D78" s="465"/>
      <c r="E78" s="465"/>
      <c r="F78" s="468"/>
      <c r="G78" s="473"/>
      <c r="H78" s="466"/>
      <c r="I78" s="465"/>
      <c r="J78" s="469"/>
      <c r="K78" s="467"/>
      <c r="L78" s="468"/>
    </row>
    <row r="79" spans="2:12" ht="30.05" customHeight="1" x14ac:dyDescent="0.35">
      <c r="B79" s="464"/>
      <c r="C79" s="465"/>
      <c r="D79" s="465"/>
      <c r="E79" s="465"/>
      <c r="F79" s="468"/>
      <c r="G79" s="473"/>
      <c r="H79" s="466"/>
      <c r="I79" s="465"/>
      <c r="J79" s="469"/>
      <c r="K79" s="467"/>
      <c r="L79" s="468"/>
    </row>
    <row r="80" spans="2:12" ht="30.05" customHeight="1" x14ac:dyDescent="0.35">
      <c r="B80" s="464"/>
      <c r="C80" s="465"/>
      <c r="D80" s="465"/>
      <c r="E80" s="465"/>
      <c r="F80" s="468"/>
      <c r="G80" s="473"/>
      <c r="H80" s="466"/>
      <c r="I80" s="465"/>
      <c r="J80" s="469"/>
      <c r="K80" s="467"/>
      <c r="L80" s="468"/>
    </row>
    <row r="81" spans="2:12" ht="30.05" customHeight="1" x14ac:dyDescent="0.35">
      <c r="B81" s="464"/>
      <c r="C81" s="465"/>
      <c r="D81" s="465"/>
      <c r="E81" s="475"/>
      <c r="G81" s="473"/>
      <c r="H81" s="466"/>
      <c r="I81" s="465"/>
      <c r="J81" s="298"/>
      <c r="K81" s="467"/>
      <c r="L81" s="167"/>
    </row>
    <row r="82" spans="2:12" ht="30.05" customHeight="1" x14ac:dyDescent="0.35">
      <c r="B82" s="464"/>
      <c r="C82" s="465"/>
      <c r="D82" s="465"/>
      <c r="E82" s="465"/>
      <c r="G82" s="473"/>
      <c r="H82" s="466"/>
      <c r="I82" s="465"/>
      <c r="J82" s="298"/>
      <c r="K82" s="467"/>
      <c r="L82" s="167"/>
    </row>
    <row r="83" spans="2:12" ht="30.05" customHeight="1" x14ac:dyDescent="0.35">
      <c r="B83" s="464"/>
      <c r="C83" s="465"/>
      <c r="D83" s="465"/>
      <c r="E83" s="465"/>
      <c r="G83" s="473"/>
      <c r="H83" s="466"/>
      <c r="I83" s="465"/>
      <c r="J83" s="298"/>
      <c r="K83" s="467"/>
      <c r="L83" s="167"/>
    </row>
    <row r="84" spans="2:12" ht="30.05" customHeight="1" x14ac:dyDescent="0.35">
      <c r="B84" s="464"/>
      <c r="C84" s="465"/>
      <c r="D84" s="465"/>
      <c r="E84" s="465"/>
      <c r="G84" s="473"/>
      <c r="H84" s="466"/>
      <c r="I84" s="465"/>
      <c r="J84" s="298"/>
      <c r="K84" s="467"/>
      <c r="L84" s="167"/>
    </row>
    <row r="85" spans="2:12" ht="30.05" customHeight="1" x14ac:dyDescent="0.35">
      <c r="B85" s="464"/>
      <c r="C85" s="465"/>
      <c r="D85" s="465"/>
      <c r="E85" s="468"/>
      <c r="F85" s="468"/>
      <c r="G85" s="473"/>
      <c r="H85" s="466"/>
      <c r="I85" s="465"/>
      <c r="J85" s="469"/>
      <c r="K85" s="467"/>
      <c r="L85" s="468"/>
    </row>
    <row r="86" spans="2:12" ht="30.05" customHeight="1" x14ac:dyDescent="0.35">
      <c r="B86" s="464"/>
      <c r="C86" s="465"/>
      <c r="D86" s="465"/>
      <c r="E86" s="465"/>
      <c r="G86" s="473"/>
      <c r="H86" s="466"/>
      <c r="I86" s="465"/>
      <c r="J86" s="298"/>
      <c r="K86" s="467"/>
      <c r="L86" s="167"/>
    </row>
    <row r="87" spans="2:12" ht="30.05" customHeight="1" x14ac:dyDescent="0.35">
      <c r="B87" s="464"/>
      <c r="C87" s="465"/>
      <c r="D87" s="465"/>
      <c r="E87" s="465"/>
      <c r="F87" s="468"/>
      <c r="G87" s="473"/>
      <c r="H87" s="466"/>
      <c r="I87" s="465"/>
      <c r="J87" s="469"/>
      <c r="K87" s="467"/>
      <c r="L87" s="468"/>
    </row>
    <row r="88" spans="2:12" ht="30.05" customHeight="1" x14ac:dyDescent="0.35">
      <c r="B88" s="464"/>
      <c r="C88" s="465"/>
      <c r="D88" s="465"/>
      <c r="E88" s="465"/>
      <c r="F88" s="468"/>
      <c r="G88" s="473"/>
      <c r="H88" s="466"/>
      <c r="I88" s="465"/>
      <c r="J88" s="469"/>
      <c r="K88" s="467"/>
      <c r="L88" s="468"/>
    </row>
    <row r="89" spans="2:12" ht="30.05" customHeight="1" x14ac:dyDescent="0.35">
      <c r="B89" s="464"/>
      <c r="C89" s="465"/>
      <c r="D89" s="465"/>
      <c r="E89" s="465"/>
      <c r="G89" s="473"/>
      <c r="H89" s="466"/>
      <c r="I89" s="465"/>
      <c r="J89" s="298"/>
      <c r="K89" s="467"/>
      <c r="L89" s="167"/>
    </row>
    <row r="90" spans="2:12" ht="30.05" customHeight="1" x14ac:dyDescent="0.35">
      <c r="B90" s="464"/>
      <c r="C90" s="465"/>
      <c r="D90" s="465"/>
      <c r="E90" s="465"/>
      <c r="F90" s="468"/>
      <c r="G90" s="473"/>
      <c r="H90" s="466"/>
      <c r="I90" s="465"/>
      <c r="J90" s="469"/>
      <c r="K90" s="467"/>
      <c r="L90" s="468"/>
    </row>
    <row r="91" spans="2:12" ht="30.05" customHeight="1" x14ac:dyDescent="0.35">
      <c r="B91" s="464"/>
      <c r="C91" s="465"/>
      <c r="D91" s="465"/>
      <c r="E91" s="465"/>
      <c r="G91" s="473"/>
      <c r="H91" s="466"/>
      <c r="I91" s="465"/>
      <c r="J91" s="298"/>
      <c r="K91" s="467"/>
      <c r="L91" s="167"/>
    </row>
    <row r="92" spans="2:12" ht="30.05" customHeight="1" x14ac:dyDescent="0.35">
      <c r="B92" s="464"/>
      <c r="C92" s="465"/>
      <c r="D92" s="465"/>
      <c r="E92" s="465"/>
      <c r="G92" s="473"/>
      <c r="H92" s="466"/>
      <c r="I92" s="465"/>
      <c r="J92" s="298"/>
      <c r="K92" s="467"/>
      <c r="L92" s="167"/>
    </row>
    <row r="93" spans="2:12" ht="30.05" customHeight="1" x14ac:dyDescent="0.35">
      <c r="B93" s="464"/>
      <c r="C93" s="465"/>
      <c r="D93" s="465"/>
      <c r="E93" s="465"/>
      <c r="F93" s="468"/>
      <c r="G93" s="473"/>
      <c r="H93" s="466"/>
      <c r="I93" s="465"/>
      <c r="J93" s="469"/>
      <c r="K93" s="467"/>
      <c r="L93" s="468"/>
    </row>
    <row r="94" spans="2:12" ht="30.05" customHeight="1" x14ac:dyDescent="0.35">
      <c r="B94" s="464"/>
      <c r="C94" s="465"/>
      <c r="D94" s="465"/>
      <c r="E94" s="465"/>
      <c r="G94" s="473"/>
      <c r="H94" s="466"/>
      <c r="I94" s="465"/>
      <c r="J94" s="298"/>
      <c r="K94" s="467"/>
      <c r="L94" s="167"/>
    </row>
    <row r="95" spans="2:12" ht="30.05" customHeight="1" x14ac:dyDescent="0.35">
      <c r="B95" s="464"/>
      <c r="C95" s="465"/>
      <c r="D95" s="465"/>
      <c r="E95" s="465"/>
      <c r="G95" s="473"/>
      <c r="H95" s="466"/>
      <c r="I95" s="465"/>
      <c r="J95" s="298"/>
      <c r="K95" s="467"/>
      <c r="L95" s="167"/>
    </row>
    <row r="96" spans="2:12" ht="30.05" customHeight="1" x14ac:dyDescent="0.35">
      <c r="B96" s="464"/>
      <c r="C96" s="465"/>
      <c r="D96" s="465"/>
      <c r="E96" s="465"/>
      <c r="G96" s="473"/>
      <c r="H96" s="466"/>
      <c r="I96" s="465"/>
      <c r="J96" s="298"/>
      <c r="K96" s="467"/>
      <c r="L96" s="167"/>
    </row>
    <row r="97" spans="2:12" ht="30.05" customHeight="1" x14ac:dyDescent="0.35">
      <c r="B97" s="464"/>
      <c r="C97" s="465"/>
      <c r="D97" s="465"/>
      <c r="E97" s="465"/>
      <c r="G97" s="473"/>
      <c r="H97" s="466"/>
      <c r="I97" s="465"/>
      <c r="J97" s="298"/>
      <c r="K97" s="467"/>
      <c r="L97" s="167"/>
    </row>
    <row r="98" spans="2:12" ht="30.05" customHeight="1" x14ac:dyDescent="0.35">
      <c r="B98" s="464"/>
      <c r="C98" s="465"/>
      <c r="D98" s="465"/>
      <c r="E98" s="465"/>
      <c r="G98" s="473"/>
      <c r="H98" s="466"/>
      <c r="I98" s="465"/>
      <c r="J98" s="298"/>
      <c r="K98" s="467"/>
      <c r="L98" s="167"/>
    </row>
    <row r="99" spans="2:12" ht="30.05" customHeight="1" x14ac:dyDescent="0.35">
      <c r="B99" s="464"/>
      <c r="C99" s="465"/>
      <c r="D99" s="465"/>
      <c r="E99" s="465"/>
      <c r="G99" s="473"/>
      <c r="H99" s="466"/>
      <c r="I99" s="465"/>
      <c r="J99" s="298"/>
      <c r="K99" s="467"/>
      <c r="L99" s="167"/>
    </row>
    <row r="100" spans="2:12" ht="30.05" customHeight="1" x14ac:dyDescent="0.35">
      <c r="B100" s="464"/>
      <c r="C100" s="465"/>
      <c r="D100" s="465"/>
      <c r="E100" s="465"/>
      <c r="G100" s="473"/>
      <c r="H100" s="466"/>
      <c r="I100" s="465"/>
      <c r="J100" s="298"/>
      <c r="K100" s="467"/>
      <c r="L100" s="167"/>
    </row>
    <row r="101" spans="2:12" ht="30.05" customHeight="1" x14ac:dyDescent="0.35">
      <c r="B101" s="464"/>
      <c r="C101" s="465"/>
      <c r="D101" s="465"/>
      <c r="E101" s="465"/>
      <c r="F101" s="468"/>
      <c r="G101" s="473"/>
      <c r="H101" s="466"/>
      <c r="I101" s="465"/>
      <c r="J101" s="469"/>
      <c r="K101" s="467"/>
      <c r="L101" s="468"/>
    </row>
    <row r="102" spans="2:12" ht="30.05" customHeight="1" x14ac:dyDescent="0.35">
      <c r="B102" s="464"/>
      <c r="C102" s="465"/>
      <c r="D102" s="465"/>
      <c r="E102" s="465"/>
      <c r="G102" s="473"/>
      <c r="H102" s="466"/>
      <c r="I102" s="465"/>
      <c r="J102" s="456"/>
      <c r="K102" s="467"/>
      <c r="L102" s="167"/>
    </row>
    <row r="103" spans="2:12" ht="30.05" customHeight="1" x14ac:dyDescent="0.35">
      <c r="B103" s="464"/>
      <c r="C103" s="465"/>
      <c r="D103" s="465"/>
      <c r="E103" s="465"/>
      <c r="G103" s="473"/>
      <c r="H103" s="466"/>
      <c r="I103" s="465"/>
      <c r="J103" s="298"/>
      <c r="K103" s="467"/>
      <c r="L103" s="167"/>
    </row>
    <row r="104" spans="2:12" ht="30.05" customHeight="1" x14ac:dyDescent="0.35">
      <c r="B104" s="464"/>
      <c r="C104" s="465"/>
      <c r="D104" s="465"/>
      <c r="E104" s="465"/>
      <c r="G104" s="473"/>
      <c r="H104" s="466"/>
      <c r="I104" s="465"/>
      <c r="J104" s="298"/>
      <c r="K104" s="467"/>
      <c r="L104" s="167"/>
    </row>
    <row r="105" spans="2:12" ht="30.05" customHeight="1" x14ac:dyDescent="0.35">
      <c r="B105" s="464"/>
      <c r="C105" s="465"/>
      <c r="D105" s="465"/>
      <c r="E105" s="465"/>
      <c r="G105" s="473"/>
      <c r="H105" s="466"/>
      <c r="I105" s="465"/>
      <c r="J105" s="298"/>
      <c r="K105" s="467"/>
      <c r="L105" s="167"/>
    </row>
    <row r="106" spans="2:12" ht="30.05" customHeight="1" x14ac:dyDescent="0.35">
      <c r="B106" s="464"/>
      <c r="C106" s="465"/>
      <c r="D106" s="465"/>
      <c r="E106" s="465"/>
      <c r="F106" s="468"/>
      <c r="G106" s="473"/>
      <c r="H106" s="466"/>
      <c r="I106" s="465"/>
      <c r="J106" s="469"/>
      <c r="K106" s="467"/>
      <c r="L106" s="468"/>
    </row>
    <row r="107" spans="2:12" ht="30.05" customHeight="1" x14ac:dyDescent="0.35">
      <c r="B107" s="464"/>
      <c r="C107" s="465"/>
      <c r="D107" s="465"/>
      <c r="E107" s="465"/>
      <c r="F107" s="468"/>
      <c r="G107" s="473"/>
      <c r="H107" s="466"/>
      <c r="I107" s="465"/>
      <c r="J107" s="469"/>
      <c r="K107" s="467"/>
      <c r="L107" s="468"/>
    </row>
    <row r="108" spans="2:12" ht="30.05" customHeight="1" x14ac:dyDescent="0.35">
      <c r="B108" s="464"/>
      <c r="C108" s="465"/>
      <c r="D108" s="465"/>
      <c r="E108" s="465"/>
      <c r="F108" s="468"/>
      <c r="G108" s="473"/>
      <c r="H108" s="466"/>
      <c r="I108" s="465"/>
      <c r="J108" s="469"/>
      <c r="K108" s="467"/>
      <c r="L108" s="468"/>
    </row>
    <row r="109" spans="2:12" ht="30.05" customHeight="1" x14ac:dyDescent="0.35">
      <c r="B109" s="464"/>
      <c r="C109" s="465"/>
      <c r="D109" s="465"/>
      <c r="E109" s="465"/>
      <c r="G109" s="473"/>
      <c r="H109" s="466"/>
      <c r="I109" s="465"/>
      <c r="J109" s="298"/>
      <c r="K109" s="467"/>
      <c r="L109" s="167"/>
    </row>
    <row r="110" spans="2:12" ht="30.05" customHeight="1" x14ac:dyDescent="0.35">
      <c r="B110" s="464"/>
      <c r="C110" s="465"/>
      <c r="D110" s="465"/>
      <c r="E110" s="465"/>
      <c r="G110" s="473"/>
      <c r="H110" s="466"/>
      <c r="I110" s="465"/>
      <c r="J110" s="298"/>
      <c r="K110" s="467"/>
      <c r="L110" s="167"/>
    </row>
    <row r="111" spans="2:12" ht="30.05" customHeight="1" x14ac:dyDescent="0.35">
      <c r="B111" s="464"/>
      <c r="C111" s="465"/>
      <c r="D111" s="465"/>
      <c r="E111" s="465"/>
      <c r="G111" s="473"/>
      <c r="H111" s="466"/>
      <c r="I111" s="465"/>
      <c r="J111" s="298"/>
      <c r="K111" s="467"/>
      <c r="L111" s="167"/>
    </row>
    <row r="112" spans="2:12" ht="30.05" customHeight="1" x14ac:dyDescent="0.35">
      <c r="B112" s="464"/>
      <c r="C112" s="465"/>
      <c r="D112" s="465"/>
      <c r="E112" s="465"/>
      <c r="G112" s="473"/>
      <c r="H112" s="466"/>
      <c r="I112" s="465"/>
      <c r="J112" s="298"/>
      <c r="K112" s="467"/>
      <c r="L112" s="167"/>
    </row>
    <row r="113" spans="2:12" ht="30.05" customHeight="1" x14ac:dyDescent="0.35">
      <c r="B113" s="464"/>
      <c r="C113" s="465"/>
      <c r="D113" s="465"/>
      <c r="E113" s="465"/>
      <c r="F113" s="468"/>
      <c r="G113" s="473"/>
      <c r="H113" s="466"/>
      <c r="I113" s="465"/>
      <c r="J113" s="469"/>
      <c r="K113" s="467"/>
      <c r="L113" s="468"/>
    </row>
    <row r="114" spans="2:12" ht="30.05" customHeight="1" x14ac:dyDescent="0.35">
      <c r="B114" s="464"/>
      <c r="C114" s="465"/>
      <c r="D114" s="465"/>
      <c r="E114" s="465"/>
      <c r="G114" s="473"/>
      <c r="H114" s="466"/>
      <c r="I114" s="465"/>
      <c r="J114" s="298"/>
      <c r="K114" s="467"/>
      <c r="L114" s="167"/>
    </row>
    <row r="115" spans="2:12" ht="30.05" customHeight="1" x14ac:dyDescent="0.35">
      <c r="B115" s="464"/>
      <c r="C115" s="465"/>
      <c r="D115" s="465"/>
      <c r="E115" s="465"/>
      <c r="G115" s="473"/>
      <c r="H115" s="466"/>
      <c r="I115" s="465"/>
      <c r="J115" s="298"/>
      <c r="K115" s="467"/>
      <c r="L115" s="167"/>
    </row>
    <row r="116" spans="2:12" ht="30.05" customHeight="1" x14ac:dyDescent="0.35">
      <c r="B116" s="464"/>
      <c r="C116" s="465"/>
      <c r="D116" s="465"/>
      <c r="E116" s="465"/>
      <c r="G116" s="473"/>
      <c r="H116" s="466"/>
      <c r="I116" s="465"/>
      <c r="J116" s="298"/>
      <c r="K116" s="467"/>
      <c r="L116" s="167"/>
    </row>
    <row r="117" spans="2:12" ht="30.05" customHeight="1" x14ac:dyDescent="0.35">
      <c r="B117" s="464"/>
      <c r="C117" s="465"/>
      <c r="D117" s="465"/>
      <c r="E117" s="465"/>
      <c r="F117" s="468"/>
      <c r="G117" s="473"/>
      <c r="H117" s="466"/>
      <c r="I117" s="465"/>
      <c r="J117" s="469"/>
      <c r="K117" s="467"/>
      <c r="L117" s="468"/>
    </row>
    <row r="118" spans="2:12" ht="30.05" customHeight="1" x14ac:dyDescent="0.35">
      <c r="B118" s="464"/>
      <c r="C118" s="465"/>
      <c r="D118" s="465"/>
      <c r="E118" s="465"/>
      <c r="F118" s="468"/>
      <c r="G118" s="473"/>
      <c r="H118" s="466"/>
      <c r="I118" s="465"/>
      <c r="J118" s="469"/>
      <c r="K118" s="467"/>
      <c r="L118" s="468"/>
    </row>
    <row r="119" spans="2:12" ht="30.05" customHeight="1" x14ac:dyDescent="0.35">
      <c r="B119" s="464"/>
      <c r="C119" s="465"/>
      <c r="D119" s="465"/>
      <c r="E119" s="465"/>
      <c r="G119" s="473"/>
      <c r="H119" s="466"/>
      <c r="I119" s="465"/>
      <c r="J119" s="298"/>
      <c r="K119" s="467"/>
      <c r="L119" s="167"/>
    </row>
    <row r="120" spans="2:12" ht="30.05" customHeight="1" x14ac:dyDescent="0.35">
      <c r="B120" s="464"/>
      <c r="C120" s="465"/>
      <c r="D120" s="465"/>
      <c r="E120" s="465"/>
      <c r="F120" s="468"/>
      <c r="G120" s="473"/>
      <c r="H120" s="466"/>
      <c r="I120" s="465"/>
      <c r="J120" s="469"/>
      <c r="K120" s="467"/>
      <c r="L120" s="468"/>
    </row>
    <row r="121" spans="2:12" ht="30.05" customHeight="1" x14ac:dyDescent="0.35">
      <c r="B121" s="464"/>
      <c r="C121" s="465"/>
      <c r="D121" s="465"/>
      <c r="E121" s="465"/>
      <c r="F121" s="468"/>
      <c r="G121" s="473"/>
      <c r="H121" s="466"/>
      <c r="I121" s="465"/>
      <c r="J121" s="469"/>
      <c r="K121" s="467"/>
      <c r="L121" s="468"/>
    </row>
    <row r="122" spans="2:12" ht="30.05" customHeight="1" x14ac:dyDescent="0.35">
      <c r="B122" s="464"/>
      <c r="C122" s="465"/>
      <c r="D122" s="465"/>
      <c r="E122" s="465"/>
      <c r="G122" s="473"/>
      <c r="H122" s="466"/>
      <c r="I122" s="465"/>
      <c r="J122" s="298"/>
      <c r="K122" s="467"/>
      <c r="L122" s="167"/>
    </row>
    <row r="123" spans="2:12" ht="30.05" customHeight="1" x14ac:dyDescent="0.35">
      <c r="B123" s="464"/>
      <c r="C123" s="465"/>
      <c r="D123" s="465"/>
      <c r="E123" s="465"/>
      <c r="F123" s="468"/>
      <c r="G123" s="473"/>
      <c r="H123" s="466"/>
      <c r="I123" s="465"/>
      <c r="J123" s="469"/>
      <c r="K123" s="467"/>
      <c r="L123" s="468"/>
    </row>
    <row r="124" spans="2:12" ht="30.05" customHeight="1" x14ac:dyDescent="0.35">
      <c r="B124" s="464"/>
      <c r="C124" s="465"/>
      <c r="D124" s="465"/>
      <c r="E124" s="465"/>
      <c r="F124" s="468"/>
      <c r="G124" s="473"/>
      <c r="H124" s="466"/>
      <c r="I124" s="465"/>
      <c r="J124" s="469"/>
      <c r="K124" s="467"/>
      <c r="L124" s="468"/>
    </row>
    <row r="125" spans="2:12" ht="30.05" customHeight="1" x14ac:dyDescent="0.35">
      <c r="B125" s="464"/>
      <c r="C125" s="465"/>
      <c r="D125" s="465"/>
      <c r="E125" s="465"/>
      <c r="F125" s="468"/>
      <c r="G125" s="473"/>
      <c r="H125" s="466"/>
      <c r="I125" s="465"/>
      <c r="J125" s="469"/>
      <c r="K125" s="467"/>
      <c r="L125" s="468"/>
    </row>
    <row r="126" spans="2:12" ht="30.05" customHeight="1" x14ac:dyDescent="0.35">
      <c r="B126" s="464"/>
      <c r="C126" s="465"/>
      <c r="D126" s="465"/>
      <c r="E126" s="465"/>
      <c r="G126" s="473"/>
      <c r="H126" s="466"/>
      <c r="I126" s="465"/>
      <c r="J126" s="298"/>
      <c r="K126" s="467"/>
      <c r="L126" s="167"/>
    </row>
    <row r="127" spans="2:12" ht="30.05" customHeight="1" x14ac:dyDescent="0.35">
      <c r="B127" s="464"/>
      <c r="C127" s="465"/>
      <c r="D127" s="465"/>
      <c r="E127" s="465"/>
      <c r="F127" s="468"/>
      <c r="G127" s="473"/>
      <c r="H127" s="466"/>
      <c r="I127" s="465"/>
      <c r="J127" s="469"/>
      <c r="K127" s="467"/>
      <c r="L127" s="468"/>
    </row>
    <row r="128" spans="2:12" ht="30.05" customHeight="1" x14ac:dyDescent="0.35">
      <c r="B128" s="464"/>
      <c r="C128" s="465"/>
      <c r="D128" s="465"/>
      <c r="E128" s="465"/>
      <c r="G128" s="473"/>
      <c r="H128" s="466"/>
      <c r="I128" s="465"/>
      <c r="J128" s="298"/>
      <c r="K128" s="467"/>
      <c r="L128" s="167"/>
    </row>
    <row r="129" spans="2:12" ht="30.05" customHeight="1" x14ac:dyDescent="0.35">
      <c r="B129" s="464"/>
      <c r="C129" s="465"/>
      <c r="D129" s="465"/>
      <c r="E129" s="465"/>
      <c r="G129" s="473"/>
      <c r="H129" s="466"/>
      <c r="I129" s="465"/>
      <c r="J129" s="298"/>
      <c r="K129" s="467"/>
      <c r="L129" s="167"/>
    </row>
    <row r="130" spans="2:12" ht="30.05" customHeight="1" x14ac:dyDescent="0.35">
      <c r="B130" s="464"/>
      <c r="C130" s="465"/>
      <c r="D130" s="465"/>
      <c r="E130" s="465"/>
      <c r="F130" s="468"/>
      <c r="G130" s="473"/>
      <c r="H130" s="466"/>
      <c r="I130" s="465"/>
      <c r="J130" s="469"/>
      <c r="K130" s="467"/>
      <c r="L130" s="468"/>
    </row>
    <row r="131" spans="2:12" ht="30.05" customHeight="1" x14ac:dyDescent="0.35">
      <c r="B131" s="464"/>
      <c r="C131" s="465"/>
      <c r="D131" s="465"/>
      <c r="E131" s="465"/>
      <c r="G131" s="473"/>
      <c r="H131" s="466"/>
      <c r="I131" s="465"/>
      <c r="J131" s="298"/>
      <c r="K131" s="467"/>
      <c r="L131" s="167"/>
    </row>
    <row r="132" spans="2:12" ht="30.05" customHeight="1" x14ac:dyDescent="0.35">
      <c r="B132" s="464"/>
      <c r="C132" s="465"/>
      <c r="D132" s="465"/>
      <c r="E132" s="465"/>
      <c r="F132" s="468"/>
      <c r="G132" s="473"/>
      <c r="H132" s="466"/>
      <c r="I132" s="465"/>
      <c r="J132" s="469"/>
      <c r="K132" s="467"/>
      <c r="L132" s="468"/>
    </row>
    <row r="133" spans="2:12" ht="30.05" customHeight="1" x14ac:dyDescent="0.35">
      <c r="B133" s="464"/>
      <c r="C133" s="465"/>
      <c r="D133" s="465"/>
      <c r="E133" s="465"/>
      <c r="F133" s="468"/>
      <c r="G133" s="473"/>
      <c r="H133" s="466"/>
      <c r="I133" s="465"/>
      <c r="J133" s="469"/>
      <c r="K133" s="467"/>
      <c r="L133" s="468"/>
    </row>
    <row r="134" spans="2:12" ht="30.05" customHeight="1" x14ac:dyDescent="0.35">
      <c r="B134" s="464"/>
      <c r="C134" s="465"/>
      <c r="D134" s="465"/>
      <c r="E134" s="465"/>
      <c r="F134" s="468"/>
      <c r="G134" s="473"/>
      <c r="H134" s="466"/>
      <c r="I134" s="465"/>
      <c r="J134" s="469"/>
      <c r="K134" s="467"/>
      <c r="L134" s="468"/>
    </row>
    <row r="135" spans="2:12" ht="30.05" customHeight="1" x14ac:dyDescent="0.35">
      <c r="B135" s="464"/>
      <c r="C135" s="465"/>
      <c r="D135" s="465"/>
      <c r="E135" s="465"/>
      <c r="G135" s="473"/>
      <c r="H135" s="466"/>
      <c r="I135" s="465"/>
      <c r="J135" s="298"/>
      <c r="K135" s="467"/>
      <c r="L135" s="167"/>
    </row>
    <row r="136" spans="2:12" ht="30.05" customHeight="1" x14ac:dyDescent="0.35">
      <c r="B136" s="464"/>
      <c r="C136" s="465"/>
      <c r="D136" s="465"/>
      <c r="E136" s="465"/>
      <c r="G136" s="473"/>
      <c r="H136" s="466"/>
      <c r="I136" s="465"/>
      <c r="J136" s="298"/>
      <c r="K136" s="467"/>
      <c r="L136" s="167"/>
    </row>
    <row r="137" spans="2:12" ht="30.05" customHeight="1" x14ac:dyDescent="0.35">
      <c r="B137" s="464"/>
      <c r="C137" s="465"/>
      <c r="D137" s="465"/>
      <c r="E137" s="465"/>
      <c r="F137" s="468"/>
      <c r="G137" s="473"/>
      <c r="H137" s="466"/>
      <c r="I137" s="465"/>
      <c r="J137" s="469"/>
      <c r="K137" s="467"/>
      <c r="L137" s="468"/>
    </row>
    <row r="138" spans="2:12" ht="30.05" customHeight="1" x14ac:dyDescent="0.35">
      <c r="B138" s="464"/>
      <c r="C138" s="465"/>
      <c r="D138" s="465"/>
      <c r="E138" s="465"/>
      <c r="F138" s="468"/>
      <c r="G138" s="473"/>
      <c r="H138" s="466"/>
      <c r="I138" s="465"/>
      <c r="J138" s="469"/>
      <c r="K138" s="467"/>
      <c r="L138" s="468"/>
    </row>
    <row r="139" spans="2:12" ht="30.05" customHeight="1" x14ac:dyDescent="0.35">
      <c r="B139" s="464"/>
      <c r="C139" s="465"/>
      <c r="D139" s="465"/>
      <c r="E139" s="465"/>
      <c r="F139" s="468"/>
      <c r="G139" s="473"/>
      <c r="H139" s="466"/>
      <c r="I139" s="465"/>
      <c r="J139" s="469"/>
      <c r="K139" s="467"/>
      <c r="L139" s="468"/>
    </row>
    <row r="140" spans="2:12" ht="30.05" customHeight="1" x14ac:dyDescent="0.35">
      <c r="B140" s="464"/>
      <c r="C140" s="465"/>
      <c r="D140" s="465"/>
      <c r="E140" s="465"/>
      <c r="G140" s="473"/>
      <c r="H140" s="466"/>
      <c r="I140" s="465"/>
      <c r="J140" s="298"/>
      <c r="K140" s="467"/>
      <c r="L140" s="167"/>
    </row>
    <row r="141" spans="2:12" ht="30.05" customHeight="1" x14ac:dyDescent="0.35">
      <c r="B141" s="464"/>
      <c r="C141" s="465"/>
      <c r="D141" s="465"/>
      <c r="E141" s="465"/>
      <c r="F141" s="468"/>
      <c r="G141" s="473"/>
      <c r="H141" s="466"/>
      <c r="I141" s="465"/>
      <c r="J141" s="469"/>
      <c r="K141" s="467"/>
      <c r="L141" s="468"/>
    </row>
    <row r="142" spans="2:12" ht="30.05" customHeight="1" x14ac:dyDescent="0.35">
      <c r="B142" s="464"/>
      <c r="C142" s="465"/>
      <c r="D142" s="465"/>
      <c r="E142" s="465"/>
      <c r="G142" s="473"/>
      <c r="H142" s="466"/>
      <c r="I142" s="465"/>
      <c r="J142" s="298"/>
      <c r="K142" s="467"/>
      <c r="L142" s="167"/>
    </row>
    <row r="143" spans="2:12" ht="30.05" customHeight="1" x14ac:dyDescent="0.35">
      <c r="B143" s="464"/>
      <c r="C143" s="465"/>
      <c r="D143" s="465"/>
      <c r="E143" s="465"/>
      <c r="G143" s="473"/>
      <c r="H143" s="466"/>
      <c r="I143" s="465"/>
      <c r="J143" s="298"/>
      <c r="K143" s="467"/>
      <c r="L143" s="167"/>
    </row>
    <row r="144" spans="2:12" ht="30.05" customHeight="1" x14ac:dyDescent="0.35">
      <c r="B144" s="464"/>
      <c r="C144" s="465"/>
      <c r="D144" s="465"/>
      <c r="E144" s="465"/>
      <c r="G144" s="473"/>
      <c r="H144" s="466"/>
      <c r="I144" s="465"/>
      <c r="J144" s="298"/>
      <c r="K144" s="467"/>
      <c r="L144" s="167"/>
    </row>
    <row r="145" spans="2:12" ht="30.05" customHeight="1" x14ac:dyDescent="0.35">
      <c r="B145" s="464"/>
      <c r="C145" s="465"/>
      <c r="D145" s="465"/>
      <c r="E145" s="465"/>
      <c r="F145" s="468"/>
      <c r="G145" s="473"/>
      <c r="H145" s="466"/>
      <c r="I145" s="465"/>
      <c r="J145" s="469"/>
      <c r="K145" s="467"/>
      <c r="L145" s="468"/>
    </row>
    <row r="146" spans="2:12" ht="30.05" customHeight="1" x14ac:dyDescent="0.35">
      <c r="B146" s="464"/>
      <c r="C146" s="465"/>
      <c r="D146" s="465"/>
      <c r="E146" s="465"/>
      <c r="F146" s="468"/>
      <c r="G146" s="473"/>
      <c r="H146" s="466"/>
      <c r="I146" s="465"/>
      <c r="J146" s="469"/>
      <c r="K146" s="467"/>
      <c r="L146" s="468"/>
    </row>
    <row r="147" spans="2:12" ht="30.05" customHeight="1" x14ac:dyDescent="0.35">
      <c r="B147" s="464"/>
      <c r="C147" s="465"/>
      <c r="D147" s="465"/>
      <c r="E147" s="465"/>
      <c r="G147" s="473"/>
      <c r="H147" s="466"/>
      <c r="I147" s="465"/>
      <c r="J147" s="298"/>
      <c r="K147" s="467"/>
      <c r="L147" s="167"/>
    </row>
    <row r="148" spans="2:12" ht="30.05" customHeight="1" x14ac:dyDescent="0.35">
      <c r="B148" s="464"/>
      <c r="C148" s="465"/>
      <c r="D148" s="465"/>
      <c r="E148" s="465"/>
      <c r="F148" s="468"/>
      <c r="G148" s="473"/>
      <c r="H148" s="466"/>
      <c r="I148" s="465"/>
      <c r="J148" s="469"/>
      <c r="K148" s="467"/>
      <c r="L148" s="468"/>
    </row>
    <row r="149" spans="2:12" ht="30.05" customHeight="1" x14ac:dyDescent="0.35">
      <c r="B149" s="464"/>
      <c r="C149" s="465"/>
      <c r="D149" s="465"/>
      <c r="E149" s="465"/>
      <c r="G149" s="473"/>
      <c r="H149" s="466"/>
      <c r="I149" s="465"/>
      <c r="J149" s="298"/>
      <c r="K149" s="467"/>
      <c r="L149" s="167"/>
    </row>
    <row r="150" spans="2:12" ht="30.05" customHeight="1" x14ac:dyDescent="0.35">
      <c r="B150" s="464"/>
      <c r="C150" s="465"/>
      <c r="D150" s="465"/>
      <c r="E150" s="465"/>
      <c r="F150" s="468"/>
      <c r="G150" s="473"/>
      <c r="H150" s="466"/>
      <c r="I150" s="465"/>
      <c r="J150" s="469"/>
      <c r="K150" s="467"/>
      <c r="L150" s="468"/>
    </row>
    <row r="151" spans="2:12" ht="30.05" customHeight="1" x14ac:dyDescent="0.35">
      <c r="B151" s="464"/>
      <c r="C151" s="465"/>
      <c r="D151" s="465"/>
      <c r="E151" s="465"/>
      <c r="G151" s="473"/>
      <c r="H151" s="466"/>
      <c r="I151" s="465"/>
      <c r="J151" s="298"/>
      <c r="K151" s="467"/>
      <c r="L151" s="167"/>
    </row>
    <row r="152" spans="2:12" ht="30.05" customHeight="1" x14ac:dyDescent="0.35">
      <c r="B152" s="464"/>
      <c r="C152" s="465"/>
      <c r="D152" s="465"/>
      <c r="E152" s="465"/>
      <c r="G152" s="473"/>
      <c r="H152" s="466"/>
      <c r="I152" s="465"/>
      <c r="J152" s="298"/>
      <c r="K152" s="467"/>
      <c r="L152" s="167"/>
    </row>
    <row r="153" spans="2:12" ht="30.05" customHeight="1" x14ac:dyDescent="0.35">
      <c r="B153" s="464"/>
      <c r="C153" s="465"/>
      <c r="D153" s="465"/>
      <c r="E153" s="465"/>
      <c r="F153" s="468"/>
      <c r="G153" s="473"/>
      <c r="H153" s="466"/>
      <c r="I153" s="465"/>
      <c r="J153" s="469"/>
      <c r="K153" s="467"/>
      <c r="L153" s="468"/>
    </row>
    <row r="154" spans="2:12" ht="30.05" customHeight="1" x14ac:dyDescent="0.35">
      <c r="B154" s="464"/>
      <c r="C154" s="465"/>
      <c r="D154" s="465"/>
      <c r="E154" s="465"/>
      <c r="F154" s="468"/>
      <c r="G154" s="473"/>
      <c r="H154" s="466"/>
      <c r="I154" s="465"/>
      <c r="J154" s="469"/>
      <c r="K154" s="467"/>
      <c r="L154" s="468"/>
    </row>
    <row r="155" spans="2:12" ht="30.05" customHeight="1" x14ac:dyDescent="0.35">
      <c r="B155" s="464"/>
      <c r="C155" s="465"/>
      <c r="D155" s="465"/>
      <c r="E155" s="465"/>
      <c r="F155" s="468"/>
      <c r="G155" s="473"/>
      <c r="H155" s="466"/>
      <c r="I155" s="465"/>
      <c r="J155" s="469"/>
      <c r="K155" s="467"/>
      <c r="L155" s="468"/>
    </row>
    <row r="156" spans="2:12" ht="30.05" customHeight="1" x14ac:dyDescent="0.35">
      <c r="B156" s="464"/>
      <c r="C156" s="465"/>
      <c r="D156" s="465"/>
      <c r="E156" s="465"/>
      <c r="G156" s="473"/>
      <c r="H156" s="466"/>
      <c r="I156" s="465"/>
      <c r="J156" s="298"/>
      <c r="K156" s="467"/>
      <c r="L156" s="167"/>
    </row>
    <row r="157" spans="2:12" ht="30.05" customHeight="1" x14ac:dyDescent="0.35">
      <c r="B157" s="464"/>
      <c r="C157" s="465"/>
      <c r="D157" s="465"/>
      <c r="E157" s="465"/>
      <c r="G157" s="473"/>
      <c r="H157" s="466"/>
      <c r="I157" s="465"/>
      <c r="J157" s="298"/>
      <c r="K157" s="467"/>
      <c r="L157" s="167"/>
    </row>
    <row r="158" spans="2:12" ht="30.05" customHeight="1" x14ac:dyDescent="0.35">
      <c r="B158" s="464"/>
      <c r="C158" s="465"/>
      <c r="D158" s="465"/>
      <c r="E158" s="465"/>
      <c r="F158" s="468"/>
      <c r="G158" s="473"/>
      <c r="H158" s="466"/>
      <c r="I158" s="465"/>
      <c r="J158" s="469"/>
      <c r="K158" s="467"/>
      <c r="L158" s="468"/>
    </row>
    <row r="159" spans="2:12" ht="30.05" customHeight="1" x14ac:dyDescent="0.35">
      <c r="B159" s="464"/>
      <c r="C159" s="465"/>
      <c r="D159" s="465"/>
      <c r="E159" s="465"/>
      <c r="F159" s="487"/>
      <c r="G159" s="473"/>
      <c r="H159" s="466"/>
      <c r="I159" s="465"/>
      <c r="J159" s="469"/>
      <c r="K159" s="467"/>
      <c r="L159" s="468"/>
    </row>
    <row r="160" spans="2:12" ht="30.05" customHeight="1" x14ac:dyDescent="0.35">
      <c r="B160" s="464"/>
      <c r="C160" s="465"/>
      <c r="D160" s="465"/>
      <c r="E160" s="465"/>
      <c r="F160" s="468"/>
      <c r="G160" s="473"/>
      <c r="H160" s="466"/>
      <c r="I160" s="465"/>
      <c r="J160" s="469"/>
      <c r="K160" s="467"/>
      <c r="L160" s="468"/>
    </row>
    <row r="161" spans="2:12" ht="30.05" customHeight="1" x14ac:dyDescent="0.35">
      <c r="B161" s="464"/>
      <c r="C161" s="465"/>
      <c r="D161" s="465"/>
      <c r="E161" s="465"/>
      <c r="G161" s="473"/>
      <c r="H161" s="466"/>
      <c r="I161" s="465"/>
      <c r="J161" s="298"/>
      <c r="K161" s="467"/>
      <c r="L161" s="167"/>
    </row>
    <row r="162" spans="2:12" ht="30.05" customHeight="1" x14ac:dyDescent="0.35">
      <c r="B162" s="464"/>
      <c r="C162" s="465"/>
      <c r="D162" s="465"/>
      <c r="E162" s="465"/>
      <c r="G162" s="473"/>
      <c r="H162" s="466"/>
      <c r="I162" s="465"/>
      <c r="J162" s="298"/>
      <c r="K162" s="467"/>
      <c r="L162" s="167"/>
    </row>
    <row r="163" spans="2:12" ht="30.05" customHeight="1" x14ac:dyDescent="0.35">
      <c r="B163" s="464"/>
      <c r="C163" s="465"/>
      <c r="D163" s="465"/>
      <c r="E163" s="465"/>
      <c r="F163" s="468"/>
      <c r="G163" s="473"/>
      <c r="H163" s="466"/>
      <c r="I163" s="465"/>
      <c r="J163" s="469"/>
      <c r="K163" s="467"/>
      <c r="L163" s="468"/>
    </row>
    <row r="164" spans="2:12" ht="30.05" customHeight="1" x14ac:dyDescent="0.35">
      <c r="B164" s="464"/>
      <c r="C164" s="465"/>
      <c r="D164" s="465"/>
      <c r="E164" s="465"/>
      <c r="G164" s="473"/>
      <c r="H164" s="466"/>
      <c r="I164" s="465"/>
      <c r="J164" s="298"/>
      <c r="K164" s="467"/>
      <c r="L164" s="167"/>
    </row>
    <row r="165" spans="2:12" ht="30.05" customHeight="1" x14ac:dyDescent="0.35">
      <c r="B165" s="464"/>
      <c r="C165" s="465"/>
      <c r="D165" s="465"/>
      <c r="E165" s="465"/>
      <c r="F165" s="468"/>
      <c r="G165" s="473"/>
      <c r="H165" s="466"/>
      <c r="I165" s="465"/>
      <c r="J165" s="469"/>
      <c r="K165" s="467"/>
      <c r="L165" s="468"/>
    </row>
    <row r="166" spans="2:12" ht="30.05" customHeight="1" x14ac:dyDescent="0.35">
      <c r="B166" s="464"/>
      <c r="C166" s="465"/>
      <c r="D166" s="465"/>
      <c r="E166" s="465"/>
      <c r="G166" s="473"/>
      <c r="H166" s="466"/>
      <c r="I166" s="465"/>
      <c r="J166" s="298"/>
      <c r="K166" s="467"/>
      <c r="L166" s="167"/>
    </row>
    <row r="167" spans="2:12" ht="30.05" customHeight="1" x14ac:dyDescent="0.35">
      <c r="B167" s="464"/>
      <c r="C167" s="465"/>
      <c r="D167" s="465"/>
      <c r="E167" s="465"/>
      <c r="F167" s="468"/>
      <c r="G167" s="473"/>
      <c r="H167" s="466"/>
      <c r="I167" s="465"/>
      <c r="J167" s="469"/>
      <c r="K167" s="467"/>
      <c r="L167" s="468"/>
    </row>
    <row r="168" spans="2:12" ht="30.05" customHeight="1" x14ac:dyDescent="0.35">
      <c r="B168" s="464"/>
      <c r="C168" s="465"/>
      <c r="D168" s="465"/>
      <c r="E168" s="465"/>
      <c r="G168" s="473"/>
      <c r="H168" s="466"/>
      <c r="I168" s="465"/>
      <c r="J168" s="298"/>
      <c r="K168" s="467"/>
      <c r="L168" s="167"/>
    </row>
    <row r="169" spans="2:12" ht="30.05" customHeight="1" x14ac:dyDescent="0.35">
      <c r="B169" s="464"/>
      <c r="C169" s="465"/>
      <c r="D169" s="465"/>
      <c r="E169" s="465"/>
      <c r="G169" s="473"/>
      <c r="H169" s="466"/>
      <c r="I169" s="465"/>
      <c r="J169" s="298"/>
      <c r="K169" s="467"/>
      <c r="L169" s="167"/>
    </row>
    <row r="170" spans="2:12" ht="30.05" customHeight="1" x14ac:dyDescent="0.35">
      <c r="B170" s="464"/>
      <c r="C170" s="465"/>
      <c r="D170" s="465"/>
      <c r="E170" s="465"/>
      <c r="F170" s="468"/>
      <c r="G170" s="473"/>
      <c r="H170" s="466"/>
      <c r="I170" s="465"/>
      <c r="J170" s="469"/>
      <c r="K170" s="467"/>
      <c r="L170" s="468"/>
    </row>
    <row r="171" spans="2:12" ht="30.05" customHeight="1" x14ac:dyDescent="0.35">
      <c r="B171" s="464"/>
      <c r="C171" s="476"/>
      <c r="D171" s="465"/>
      <c r="E171" s="465"/>
      <c r="G171" s="473"/>
      <c r="H171" s="466"/>
      <c r="I171" s="465"/>
      <c r="J171" s="298"/>
      <c r="K171" s="467"/>
      <c r="L171" s="167"/>
    </row>
    <row r="172" spans="2:12" ht="30.05" customHeight="1" x14ac:dyDescent="0.35">
      <c r="B172" s="464"/>
      <c r="C172" s="465"/>
      <c r="D172" s="465"/>
      <c r="E172" s="465"/>
      <c r="G172" s="473"/>
      <c r="H172" s="466"/>
      <c r="I172" s="465"/>
      <c r="J172" s="298"/>
      <c r="K172" s="467"/>
      <c r="L172" s="167"/>
    </row>
    <row r="173" spans="2:12" ht="30.05" customHeight="1" x14ac:dyDescent="0.35">
      <c r="B173" s="464"/>
      <c r="C173" s="465"/>
      <c r="D173" s="465"/>
      <c r="E173" s="465"/>
      <c r="G173" s="473"/>
      <c r="H173" s="466"/>
      <c r="I173" s="465"/>
      <c r="J173" s="298"/>
      <c r="K173" s="467"/>
      <c r="L173" s="167"/>
    </row>
    <row r="174" spans="2:12" ht="30.05" customHeight="1" x14ac:dyDescent="0.35">
      <c r="B174" s="464"/>
      <c r="C174" s="465"/>
      <c r="D174" s="465"/>
      <c r="E174" s="465"/>
      <c r="G174" s="473"/>
      <c r="H174" s="466"/>
      <c r="I174" s="465"/>
      <c r="J174" s="298"/>
      <c r="K174" s="467"/>
      <c r="L174" s="167"/>
    </row>
    <row r="175" spans="2:12" ht="30.05" customHeight="1" x14ac:dyDescent="0.35">
      <c r="B175" s="464"/>
      <c r="C175" s="465"/>
      <c r="D175" s="465"/>
      <c r="E175" s="465"/>
      <c r="F175" s="468"/>
      <c r="G175" s="473"/>
      <c r="H175" s="466"/>
      <c r="I175" s="465"/>
      <c r="J175" s="469"/>
      <c r="K175" s="467"/>
      <c r="L175" s="468"/>
    </row>
    <row r="176" spans="2:12" ht="30.05" customHeight="1" x14ac:dyDescent="0.35">
      <c r="B176" s="464"/>
      <c r="C176" s="465"/>
      <c r="D176" s="465"/>
      <c r="E176" s="465"/>
      <c r="F176" s="468"/>
      <c r="G176" s="468"/>
      <c r="H176" s="466"/>
      <c r="I176" s="465"/>
      <c r="J176" s="298"/>
      <c r="K176" s="467"/>
      <c r="L176" s="167"/>
    </row>
    <row r="177" spans="2:12" ht="30.05" customHeight="1" x14ac:dyDescent="0.35">
      <c r="B177" s="464"/>
      <c r="C177" s="465"/>
      <c r="D177" s="465"/>
      <c r="E177" s="465"/>
      <c r="F177" s="468"/>
      <c r="G177" s="473"/>
      <c r="H177" s="466"/>
      <c r="I177" s="465"/>
      <c r="J177" s="469"/>
      <c r="K177" s="467"/>
      <c r="L177" s="468"/>
    </row>
    <row r="178" spans="2:12" ht="30.05" customHeight="1" x14ac:dyDescent="0.35">
      <c r="B178" s="464"/>
      <c r="C178" s="465"/>
      <c r="D178" s="465"/>
      <c r="E178" s="465"/>
      <c r="F178" s="468"/>
      <c r="G178" s="473"/>
      <c r="H178" s="466"/>
      <c r="I178" s="465"/>
      <c r="J178" s="469"/>
      <c r="K178" s="467"/>
      <c r="L178" s="468"/>
    </row>
    <row r="179" spans="2:12" ht="30.05" customHeight="1" x14ac:dyDescent="0.35">
      <c r="B179" s="464"/>
      <c r="C179" s="465"/>
      <c r="D179" s="465"/>
      <c r="E179" s="465"/>
      <c r="F179" s="468"/>
      <c r="G179" s="473"/>
      <c r="H179" s="466"/>
      <c r="I179" s="465"/>
      <c r="J179" s="469"/>
      <c r="K179" s="467"/>
      <c r="L179" s="468"/>
    </row>
    <row r="180" spans="2:12" ht="30.05" customHeight="1" x14ac:dyDescent="0.35">
      <c r="B180" s="464"/>
      <c r="C180" s="465"/>
      <c r="D180" s="465"/>
      <c r="E180" s="465"/>
      <c r="F180" s="468"/>
      <c r="G180" s="473"/>
      <c r="H180" s="466"/>
      <c r="I180" s="465"/>
      <c r="J180" s="469"/>
      <c r="K180" s="467"/>
      <c r="L180" s="468"/>
    </row>
    <row r="181" spans="2:12" ht="30.05" customHeight="1" x14ac:dyDescent="0.35">
      <c r="B181" s="464"/>
      <c r="C181" s="465"/>
      <c r="D181" s="465"/>
      <c r="E181" s="465"/>
      <c r="G181" s="473"/>
      <c r="H181" s="466"/>
      <c r="I181" s="465"/>
      <c r="J181" s="298"/>
      <c r="K181" s="467"/>
      <c r="L181" s="167"/>
    </row>
    <row r="182" spans="2:12" ht="30.05" customHeight="1" x14ac:dyDescent="0.35">
      <c r="B182" s="464"/>
      <c r="C182" s="465"/>
      <c r="D182" s="465"/>
      <c r="E182" s="465"/>
      <c r="F182" s="468"/>
      <c r="G182" s="473"/>
      <c r="H182" s="466"/>
      <c r="I182" s="465"/>
      <c r="J182" s="469"/>
      <c r="K182" s="467"/>
      <c r="L182" s="468"/>
    </row>
    <row r="183" spans="2:12" ht="30.05" customHeight="1" x14ac:dyDescent="0.35">
      <c r="B183" s="464"/>
      <c r="C183" s="465"/>
      <c r="D183" s="465"/>
      <c r="E183" s="465"/>
      <c r="G183" s="473"/>
      <c r="H183" s="466"/>
      <c r="I183" s="465"/>
      <c r="J183" s="298"/>
      <c r="K183" s="467"/>
      <c r="L183" s="167"/>
    </row>
    <row r="184" spans="2:12" ht="30.05" customHeight="1" x14ac:dyDescent="0.35">
      <c r="B184" s="464"/>
      <c r="C184" s="465"/>
      <c r="D184" s="465"/>
      <c r="E184" s="465"/>
      <c r="G184" s="473"/>
      <c r="H184" s="466"/>
      <c r="I184" s="465"/>
      <c r="J184" s="298"/>
      <c r="K184" s="467"/>
      <c r="L184" s="167"/>
    </row>
    <row r="185" spans="2:12" ht="30.05" customHeight="1" x14ac:dyDescent="0.35">
      <c r="B185" s="464"/>
      <c r="C185" s="465"/>
      <c r="D185" s="465"/>
      <c r="E185" s="465"/>
      <c r="F185" s="468"/>
      <c r="G185" s="473"/>
      <c r="H185" s="466"/>
      <c r="I185" s="465"/>
      <c r="J185" s="469"/>
      <c r="K185" s="467"/>
      <c r="L185" s="468"/>
    </row>
    <row r="186" spans="2:12" ht="30.05" customHeight="1" x14ac:dyDescent="0.35">
      <c r="B186" s="464"/>
      <c r="C186" s="465"/>
      <c r="D186" s="465"/>
      <c r="E186" s="465"/>
      <c r="G186" s="473"/>
      <c r="H186" s="466"/>
      <c r="I186" s="465"/>
      <c r="J186" s="298"/>
      <c r="K186" s="467"/>
      <c r="L186" s="167"/>
    </row>
    <row r="187" spans="2:12" ht="30.05" customHeight="1" x14ac:dyDescent="0.35">
      <c r="B187" s="464"/>
      <c r="C187" s="465"/>
      <c r="D187" s="465"/>
      <c r="E187" s="465"/>
      <c r="G187" s="473"/>
      <c r="H187" s="466"/>
      <c r="I187" s="465"/>
      <c r="J187" s="298"/>
      <c r="K187" s="467"/>
      <c r="L187" s="167"/>
    </row>
    <row r="188" spans="2:12" ht="30.05" customHeight="1" x14ac:dyDescent="0.35">
      <c r="B188" s="464"/>
      <c r="C188" s="465"/>
      <c r="D188" s="465"/>
      <c r="E188" s="465"/>
      <c r="G188" s="473"/>
      <c r="H188" s="466"/>
      <c r="I188" s="465"/>
      <c r="J188" s="298"/>
      <c r="K188" s="467"/>
      <c r="L188" s="167"/>
    </row>
    <row r="189" spans="2:12" ht="30.05" customHeight="1" x14ac:dyDescent="0.35">
      <c r="B189" s="464"/>
      <c r="C189" s="465"/>
      <c r="D189" s="465"/>
      <c r="E189" s="465"/>
      <c r="F189" s="468"/>
      <c r="G189" s="473"/>
      <c r="H189" s="466"/>
      <c r="I189" s="465"/>
      <c r="J189" s="469"/>
      <c r="K189" s="467"/>
      <c r="L189" s="468"/>
    </row>
    <row r="190" spans="2:12" ht="30.05" customHeight="1" x14ac:dyDescent="0.35">
      <c r="B190" s="464"/>
      <c r="C190" s="465"/>
      <c r="D190" s="465"/>
      <c r="E190" s="465"/>
      <c r="G190" s="473"/>
      <c r="H190" s="466"/>
      <c r="I190" s="465"/>
      <c r="J190" s="298"/>
      <c r="K190" s="467"/>
      <c r="L190" s="167"/>
    </row>
    <row r="191" spans="2:12" ht="30.05" customHeight="1" x14ac:dyDescent="0.35">
      <c r="B191" s="464"/>
      <c r="C191" s="465"/>
      <c r="D191" s="465"/>
      <c r="E191" s="465"/>
      <c r="G191" s="473"/>
      <c r="H191" s="466"/>
      <c r="I191" s="465"/>
      <c r="J191" s="298"/>
      <c r="K191" s="467"/>
      <c r="L191" s="167"/>
    </row>
    <row r="192" spans="2:12" ht="30.05" customHeight="1" x14ac:dyDescent="0.35">
      <c r="B192" s="464"/>
      <c r="C192" s="465"/>
      <c r="D192" s="465"/>
      <c r="E192" s="465"/>
      <c r="G192" s="473"/>
      <c r="H192" s="466"/>
      <c r="I192" s="465"/>
      <c r="J192" s="298"/>
      <c r="K192" s="467"/>
      <c r="L192" s="167"/>
    </row>
    <row r="193" spans="2:12" ht="30.05" customHeight="1" x14ac:dyDescent="0.35">
      <c r="B193" s="464"/>
      <c r="C193" s="465"/>
      <c r="D193" s="465"/>
      <c r="E193" s="465"/>
      <c r="G193" s="473"/>
      <c r="H193" s="466"/>
      <c r="I193" s="465"/>
      <c r="J193" s="298"/>
      <c r="K193" s="467"/>
      <c r="L193" s="167"/>
    </row>
    <row r="194" spans="2:12" ht="30.05" customHeight="1" x14ac:dyDescent="0.35">
      <c r="B194" s="464"/>
      <c r="C194" s="465"/>
      <c r="D194" s="465"/>
      <c r="E194" s="465"/>
      <c r="G194" s="473"/>
      <c r="H194" s="466"/>
      <c r="I194" s="465"/>
      <c r="J194" s="298"/>
      <c r="K194" s="467"/>
      <c r="L194" s="167"/>
    </row>
    <row r="195" spans="2:12" ht="30.05" customHeight="1" x14ac:dyDescent="0.35">
      <c r="B195" s="464"/>
      <c r="C195" s="465"/>
      <c r="D195" s="465"/>
      <c r="E195" s="465"/>
      <c r="G195" s="473"/>
      <c r="H195" s="466"/>
      <c r="I195" s="465"/>
      <c r="J195" s="298"/>
      <c r="K195" s="467"/>
      <c r="L195" s="167"/>
    </row>
    <row r="196" spans="2:12" ht="30.05" customHeight="1" x14ac:dyDescent="0.35">
      <c r="B196" s="464"/>
      <c r="C196" s="465"/>
      <c r="D196" s="465"/>
      <c r="E196" s="465"/>
      <c r="G196" s="473"/>
      <c r="H196" s="466"/>
      <c r="I196" s="465"/>
      <c r="J196" s="298"/>
      <c r="K196" s="467"/>
      <c r="L196" s="167"/>
    </row>
    <row r="197" spans="2:12" ht="30.05" customHeight="1" x14ac:dyDescent="0.35">
      <c r="B197" s="464"/>
      <c r="C197" s="465"/>
      <c r="D197" s="465"/>
      <c r="E197" s="465"/>
      <c r="G197" s="473"/>
      <c r="H197" s="466"/>
      <c r="I197" s="465"/>
      <c r="J197" s="298"/>
      <c r="K197" s="467"/>
      <c r="L197" s="167"/>
    </row>
    <row r="198" spans="2:12" ht="30.05" customHeight="1" x14ac:dyDescent="0.35">
      <c r="B198" s="464"/>
      <c r="C198" s="465"/>
      <c r="D198" s="465"/>
      <c r="E198" s="465"/>
      <c r="G198" s="473"/>
      <c r="H198" s="466"/>
      <c r="I198" s="465"/>
      <c r="J198" s="298"/>
      <c r="K198" s="467"/>
      <c r="L198" s="167"/>
    </row>
    <row r="199" spans="2:12" ht="30.05" customHeight="1" x14ac:dyDescent="0.35">
      <c r="B199" s="464"/>
      <c r="C199" s="465"/>
      <c r="D199" s="465"/>
      <c r="E199" s="465"/>
      <c r="F199" s="468"/>
      <c r="G199" s="473"/>
      <c r="H199" s="466"/>
      <c r="I199" s="465"/>
      <c r="J199" s="469"/>
      <c r="K199" s="467"/>
      <c r="L199" s="468"/>
    </row>
    <row r="200" spans="2:12" ht="30.05" customHeight="1" x14ac:dyDescent="0.35">
      <c r="B200" s="464"/>
      <c r="C200" s="465"/>
      <c r="D200" s="465"/>
      <c r="E200" s="465"/>
      <c r="G200" s="473"/>
      <c r="H200" s="466"/>
      <c r="I200" s="465"/>
      <c r="J200" s="298"/>
      <c r="K200" s="467"/>
      <c r="L200" s="167"/>
    </row>
    <row r="201" spans="2:12" ht="30.05" customHeight="1" x14ac:dyDescent="0.35">
      <c r="B201" s="464"/>
      <c r="C201" s="465"/>
      <c r="D201" s="465"/>
      <c r="E201" s="465"/>
      <c r="G201" s="473"/>
      <c r="H201" s="466"/>
      <c r="I201" s="465"/>
      <c r="J201" s="298"/>
      <c r="K201" s="467"/>
      <c r="L201" s="167"/>
    </row>
    <row r="202" spans="2:12" ht="30.05" customHeight="1" x14ac:dyDescent="0.35">
      <c r="B202" s="464"/>
      <c r="C202" s="465"/>
      <c r="D202" s="465"/>
      <c r="E202" s="465"/>
      <c r="G202" s="473"/>
      <c r="H202" s="466"/>
      <c r="I202" s="465"/>
      <c r="J202" s="298"/>
      <c r="K202" s="467"/>
      <c r="L202" s="167"/>
    </row>
    <row r="203" spans="2:12" ht="30.05" customHeight="1" x14ac:dyDescent="0.35">
      <c r="B203" s="464"/>
      <c r="C203" s="465"/>
      <c r="D203" s="465"/>
      <c r="E203" s="465"/>
      <c r="G203" s="473"/>
      <c r="H203" s="466"/>
      <c r="I203" s="465"/>
      <c r="J203" s="298"/>
      <c r="K203" s="467"/>
      <c r="L203" s="167"/>
    </row>
    <row r="204" spans="2:12" ht="30.05" customHeight="1" x14ac:dyDescent="0.35">
      <c r="B204" s="464"/>
      <c r="C204" s="465"/>
      <c r="D204" s="465"/>
      <c r="E204" s="465"/>
      <c r="F204" s="468"/>
      <c r="G204" s="473"/>
      <c r="H204" s="466"/>
      <c r="I204" s="465"/>
      <c r="J204" s="469"/>
      <c r="K204" s="467"/>
      <c r="L204" s="468"/>
    </row>
    <row r="205" spans="2:12" ht="30.05" customHeight="1" x14ac:dyDescent="0.35">
      <c r="B205" s="464"/>
      <c r="C205" s="465"/>
      <c r="D205" s="465"/>
      <c r="E205" s="465"/>
      <c r="G205" s="473"/>
      <c r="H205" s="466"/>
      <c r="I205" s="465"/>
      <c r="J205" s="298"/>
      <c r="K205" s="467"/>
      <c r="L205" s="167"/>
    </row>
    <row r="206" spans="2:12" ht="30.05" customHeight="1" x14ac:dyDescent="0.35">
      <c r="B206" s="464"/>
      <c r="C206" s="465"/>
      <c r="D206" s="465"/>
      <c r="E206" s="465"/>
      <c r="G206" s="473"/>
      <c r="H206" s="466"/>
      <c r="I206" s="465"/>
      <c r="J206" s="298"/>
      <c r="K206" s="467"/>
      <c r="L206" s="167"/>
    </row>
    <row r="207" spans="2:12" ht="30.05" customHeight="1" x14ac:dyDescent="0.35">
      <c r="B207" s="464"/>
      <c r="C207" s="465"/>
      <c r="D207" s="465"/>
      <c r="E207" s="465"/>
      <c r="G207" s="473"/>
      <c r="H207" s="466"/>
      <c r="I207" s="465"/>
      <c r="J207" s="298"/>
      <c r="K207" s="467"/>
      <c r="L207" s="167"/>
    </row>
    <row r="208" spans="2:12" ht="30.05" customHeight="1" x14ac:dyDescent="0.35">
      <c r="B208" s="464"/>
      <c r="C208" s="465"/>
      <c r="D208" s="465"/>
      <c r="E208" s="465"/>
      <c r="G208" s="473"/>
      <c r="H208" s="466"/>
      <c r="I208" s="465"/>
      <c r="J208" s="298"/>
      <c r="K208" s="467"/>
      <c r="L208" s="167"/>
    </row>
    <row r="209" spans="2:12" ht="30.05" customHeight="1" x14ac:dyDescent="0.35">
      <c r="B209" s="464"/>
      <c r="C209" s="465"/>
      <c r="D209" s="465"/>
      <c r="E209" s="465"/>
      <c r="G209" s="473"/>
      <c r="H209" s="466"/>
      <c r="I209" s="465"/>
      <c r="J209" s="298"/>
      <c r="K209" s="467"/>
      <c r="L209" s="167"/>
    </row>
    <row r="210" spans="2:12" ht="30.05" customHeight="1" x14ac:dyDescent="0.35">
      <c r="B210" s="464"/>
      <c r="C210" s="465"/>
      <c r="D210" s="465"/>
      <c r="E210" s="465"/>
      <c r="F210" s="474"/>
      <c r="G210" s="473"/>
      <c r="H210" s="466"/>
      <c r="I210" s="465"/>
      <c r="J210" s="469"/>
      <c r="K210" s="467"/>
      <c r="L210" s="468"/>
    </row>
    <row r="211" spans="2:12" ht="30.05" customHeight="1" x14ac:dyDescent="0.35">
      <c r="B211" s="464"/>
      <c r="C211" s="465"/>
      <c r="D211" s="465"/>
      <c r="E211" s="465"/>
      <c r="F211" s="468"/>
      <c r="G211" s="473"/>
      <c r="H211" s="466"/>
      <c r="I211" s="465"/>
      <c r="J211" s="469"/>
      <c r="K211" s="467"/>
      <c r="L211" s="468"/>
    </row>
    <row r="212" spans="2:12" ht="30.05" customHeight="1" x14ac:dyDescent="0.35">
      <c r="B212" s="464"/>
      <c r="C212" s="465"/>
      <c r="D212" s="465"/>
      <c r="E212" s="465"/>
      <c r="F212" s="468"/>
      <c r="G212" s="473"/>
      <c r="H212" s="466"/>
      <c r="I212" s="465"/>
      <c r="J212" s="469"/>
      <c r="K212" s="467"/>
      <c r="L212" s="468"/>
    </row>
    <row r="213" spans="2:12" ht="30.05" customHeight="1" x14ac:dyDescent="0.35">
      <c r="B213" s="464"/>
      <c r="C213" s="465"/>
      <c r="D213" s="465"/>
      <c r="E213" s="465"/>
      <c r="G213" s="473"/>
      <c r="H213" s="466"/>
      <c r="I213" s="465"/>
      <c r="J213" s="298"/>
      <c r="K213" s="467"/>
      <c r="L213" s="167"/>
    </row>
    <row r="214" spans="2:12" ht="30.05" customHeight="1" x14ac:dyDescent="0.35">
      <c r="B214" s="464"/>
      <c r="C214" s="465"/>
      <c r="D214" s="465"/>
      <c r="E214" s="465"/>
      <c r="G214" s="473"/>
      <c r="H214" s="466"/>
      <c r="I214" s="465"/>
      <c r="J214" s="298"/>
      <c r="K214" s="467"/>
      <c r="L214" s="167"/>
    </row>
    <row r="215" spans="2:12" ht="30.05" customHeight="1" x14ac:dyDescent="0.35">
      <c r="B215" s="464"/>
      <c r="C215" s="465"/>
      <c r="D215" s="465"/>
      <c r="E215" s="465"/>
      <c r="G215" s="473"/>
      <c r="H215" s="466"/>
      <c r="I215" s="465"/>
      <c r="J215" s="298"/>
      <c r="K215" s="467"/>
      <c r="L215" s="167"/>
    </row>
    <row r="216" spans="2:12" ht="30.05" customHeight="1" x14ac:dyDescent="0.35">
      <c r="B216" s="464"/>
      <c r="C216" s="465"/>
      <c r="D216" s="465"/>
      <c r="E216" s="465"/>
      <c r="F216" s="468"/>
      <c r="G216" s="473"/>
      <c r="H216" s="466"/>
      <c r="I216" s="465"/>
      <c r="J216" s="469"/>
      <c r="K216" s="467"/>
      <c r="L216" s="468"/>
    </row>
    <row r="217" spans="2:12" ht="30.05" customHeight="1" x14ac:dyDescent="0.35">
      <c r="B217" s="464"/>
      <c r="C217" s="465"/>
      <c r="D217" s="465"/>
      <c r="G217" s="473"/>
      <c r="H217" s="466"/>
      <c r="I217" s="465"/>
      <c r="J217" s="298"/>
      <c r="K217" s="467"/>
      <c r="L217" s="167"/>
    </row>
    <row r="218" spans="2:12" ht="30.05" customHeight="1" x14ac:dyDescent="0.35">
      <c r="B218" s="464"/>
      <c r="C218" s="465"/>
      <c r="D218" s="465"/>
      <c r="E218" s="465"/>
      <c r="F218" s="468"/>
      <c r="G218" s="473"/>
      <c r="H218" s="466"/>
      <c r="I218" s="465"/>
      <c r="J218" s="469"/>
      <c r="K218" s="467"/>
      <c r="L218" s="468"/>
    </row>
    <row r="219" spans="2:12" ht="30.05" customHeight="1" x14ac:dyDescent="0.35">
      <c r="B219" s="464"/>
      <c r="C219" s="465"/>
      <c r="D219" s="465"/>
      <c r="E219" s="465"/>
      <c r="F219" s="468"/>
      <c r="G219" s="473"/>
      <c r="H219" s="466"/>
      <c r="I219" s="465"/>
      <c r="J219" s="469"/>
      <c r="K219" s="467"/>
      <c r="L219" s="468"/>
    </row>
    <row r="220" spans="2:12" ht="30.05" customHeight="1" x14ac:dyDescent="0.35">
      <c r="B220" s="464"/>
      <c r="C220" s="465"/>
      <c r="D220" s="465"/>
      <c r="E220" s="465"/>
      <c r="G220" s="473"/>
      <c r="H220" s="466"/>
      <c r="I220" s="465"/>
      <c r="J220" s="298"/>
      <c r="K220" s="467"/>
      <c r="L220" s="167"/>
    </row>
    <row r="221" spans="2:12" ht="30.05" customHeight="1" x14ac:dyDescent="0.35">
      <c r="B221" s="464"/>
      <c r="C221" s="465"/>
      <c r="D221" s="465"/>
      <c r="E221" s="465"/>
      <c r="G221" s="473"/>
      <c r="H221" s="466"/>
      <c r="I221" s="465"/>
      <c r="J221" s="298"/>
      <c r="K221" s="467"/>
      <c r="L221" s="167"/>
    </row>
    <row r="222" spans="2:12" ht="30.05" customHeight="1" x14ac:dyDescent="0.35">
      <c r="B222" s="464"/>
      <c r="C222" s="465"/>
      <c r="D222" s="465"/>
      <c r="E222" s="465"/>
      <c r="G222" s="473"/>
      <c r="H222" s="466"/>
      <c r="I222" s="465"/>
      <c r="J222" s="298"/>
      <c r="K222" s="467"/>
      <c r="L222" s="167"/>
    </row>
    <row r="223" spans="2:12" ht="30.05" customHeight="1" x14ac:dyDescent="0.35">
      <c r="B223" s="464"/>
      <c r="C223" s="465"/>
      <c r="D223" s="465"/>
      <c r="E223" s="465"/>
      <c r="G223" s="473"/>
      <c r="H223" s="466"/>
      <c r="I223" s="465"/>
      <c r="J223" s="298"/>
      <c r="K223" s="467"/>
      <c r="L223" s="167"/>
    </row>
    <row r="224" spans="2:12" ht="30.05" customHeight="1" x14ac:dyDescent="0.35">
      <c r="B224" s="464"/>
      <c r="C224" s="465"/>
      <c r="D224" s="465"/>
      <c r="E224" s="465"/>
      <c r="F224" s="468"/>
      <c r="G224" s="473"/>
      <c r="H224" s="466"/>
      <c r="I224" s="465"/>
      <c r="J224" s="469"/>
      <c r="K224" s="467"/>
      <c r="L224" s="468"/>
    </row>
    <row r="225" spans="2:12" ht="30.05" customHeight="1" x14ac:dyDescent="0.35">
      <c r="B225" s="464"/>
      <c r="C225" s="465"/>
      <c r="D225" s="465"/>
      <c r="E225" s="1"/>
      <c r="F225" s="489"/>
      <c r="G225" s="473"/>
      <c r="H225" s="466"/>
      <c r="I225" s="465"/>
      <c r="J225" s="298"/>
      <c r="K225" s="467"/>
      <c r="L225" s="167"/>
    </row>
    <row r="226" spans="2:12" ht="30.05" customHeight="1" x14ac:dyDescent="0.35">
      <c r="B226" s="464"/>
      <c r="C226" s="465"/>
      <c r="D226" s="465"/>
      <c r="E226" s="465"/>
      <c r="F226" s="468"/>
      <c r="G226" s="473"/>
      <c r="H226" s="466"/>
      <c r="I226" s="465"/>
      <c r="J226" s="469"/>
      <c r="K226" s="467"/>
      <c r="L226" s="468"/>
    </row>
    <row r="227" spans="2:12" ht="30.05" customHeight="1" x14ac:dyDescent="0.35">
      <c r="B227" s="464"/>
      <c r="C227" s="465"/>
      <c r="D227" s="465"/>
      <c r="E227" s="465"/>
      <c r="G227" s="473"/>
      <c r="H227" s="466"/>
      <c r="I227" s="465"/>
      <c r="J227" s="298"/>
      <c r="K227" s="467"/>
      <c r="L227" s="167"/>
    </row>
    <row r="228" spans="2:12" ht="30.05" customHeight="1" x14ac:dyDescent="0.35">
      <c r="B228" s="464"/>
      <c r="C228" s="465"/>
      <c r="D228" s="465"/>
      <c r="E228" s="465"/>
      <c r="G228" s="473"/>
      <c r="H228" s="466"/>
      <c r="I228" s="465"/>
      <c r="J228" s="298"/>
      <c r="K228" s="467"/>
      <c r="L228" s="167"/>
    </row>
    <row r="229" spans="2:12" ht="30.05" customHeight="1" x14ac:dyDescent="0.35">
      <c r="B229" s="464"/>
      <c r="C229" s="465"/>
      <c r="D229" s="465"/>
      <c r="E229" s="465"/>
      <c r="G229" s="473"/>
      <c r="H229" s="466"/>
      <c r="I229" s="465"/>
      <c r="J229" s="298"/>
      <c r="K229" s="467"/>
      <c r="L229" s="167"/>
    </row>
    <row r="230" spans="2:12" ht="30.05" customHeight="1" x14ac:dyDescent="0.35">
      <c r="B230" s="464"/>
      <c r="C230" s="465"/>
      <c r="D230" s="465"/>
      <c r="E230" s="465"/>
      <c r="G230" s="473"/>
      <c r="H230" s="466"/>
      <c r="I230" s="465"/>
      <c r="J230" s="298"/>
      <c r="K230" s="467"/>
      <c r="L230" s="167"/>
    </row>
    <row r="231" spans="2:12" ht="30.05" customHeight="1" x14ac:dyDescent="0.35">
      <c r="B231" s="464"/>
      <c r="C231" s="465"/>
      <c r="D231" s="465"/>
      <c r="E231" s="465"/>
      <c r="F231" s="468"/>
      <c r="G231" s="473"/>
      <c r="H231" s="466"/>
      <c r="I231" s="465"/>
      <c r="J231" s="469"/>
      <c r="K231" s="467"/>
      <c r="L231" s="468"/>
    </row>
    <row r="232" spans="2:12" ht="30.05" customHeight="1" x14ac:dyDescent="0.35">
      <c r="B232" s="464"/>
      <c r="C232" s="465"/>
      <c r="D232" s="465"/>
      <c r="E232" s="477"/>
      <c r="G232" s="473"/>
      <c r="H232" s="466"/>
      <c r="I232" s="465"/>
      <c r="J232" s="298"/>
      <c r="K232" s="467"/>
      <c r="L232" s="167"/>
    </row>
    <row r="233" spans="2:12" ht="30.05" customHeight="1" x14ac:dyDescent="0.35">
      <c r="B233" s="464"/>
      <c r="C233" s="465"/>
      <c r="D233" s="465"/>
      <c r="E233" s="465"/>
      <c r="F233" s="468"/>
      <c r="G233" s="473"/>
      <c r="H233" s="466"/>
      <c r="I233" s="465"/>
      <c r="J233" s="456"/>
      <c r="K233" s="467"/>
      <c r="L233" s="468"/>
    </row>
    <row r="234" spans="2:12" ht="30.05" customHeight="1" x14ac:dyDescent="0.35">
      <c r="B234" s="464"/>
      <c r="C234" s="465"/>
      <c r="D234" s="465"/>
      <c r="E234" s="465"/>
      <c r="F234" s="468"/>
      <c r="G234" s="473"/>
      <c r="H234" s="466"/>
      <c r="I234" s="465"/>
      <c r="J234" s="469"/>
      <c r="K234" s="467"/>
      <c r="L234" s="468"/>
    </row>
    <row r="235" spans="2:12" ht="30.05" customHeight="1" x14ac:dyDescent="0.35">
      <c r="B235" s="464"/>
      <c r="C235" s="465"/>
      <c r="D235" s="465"/>
      <c r="E235" s="465"/>
      <c r="G235" s="473"/>
      <c r="H235" s="466"/>
      <c r="I235" s="465"/>
      <c r="J235" s="298"/>
      <c r="K235" s="467"/>
      <c r="L235" s="167"/>
    </row>
    <row r="236" spans="2:12" ht="30.05" customHeight="1" x14ac:dyDescent="0.35">
      <c r="B236" s="464"/>
      <c r="C236" s="465"/>
      <c r="D236" s="465"/>
      <c r="E236" s="465"/>
      <c r="F236" s="468"/>
      <c r="G236" s="473"/>
      <c r="H236" s="466"/>
      <c r="I236" s="465"/>
      <c r="J236" s="469"/>
      <c r="K236" s="467"/>
      <c r="L236" s="468"/>
    </row>
    <row r="237" spans="2:12" ht="30.05" customHeight="1" x14ac:dyDescent="0.35">
      <c r="B237" s="464"/>
      <c r="C237" s="465"/>
      <c r="D237" s="465"/>
      <c r="E237" s="465"/>
      <c r="F237" s="468"/>
      <c r="G237" s="473"/>
      <c r="H237" s="466"/>
      <c r="I237" s="465"/>
      <c r="J237" s="469"/>
      <c r="K237" s="467"/>
      <c r="L237" s="468"/>
    </row>
    <row r="238" spans="2:12" ht="30.05" customHeight="1" x14ac:dyDescent="0.35">
      <c r="B238" s="464"/>
      <c r="C238" s="465"/>
      <c r="D238" s="465"/>
      <c r="E238" s="465"/>
      <c r="G238" s="473"/>
      <c r="H238" s="466"/>
      <c r="I238" s="465"/>
      <c r="J238" s="298"/>
      <c r="K238" s="467"/>
      <c r="L238" s="167"/>
    </row>
    <row r="239" spans="2:12" ht="30.05" customHeight="1" x14ac:dyDescent="0.35">
      <c r="B239" s="464"/>
      <c r="C239" s="465"/>
      <c r="D239" s="465"/>
      <c r="E239" s="465"/>
      <c r="F239" s="468"/>
      <c r="G239" s="473"/>
      <c r="H239" s="466"/>
      <c r="I239" s="465"/>
      <c r="J239" s="469"/>
      <c r="K239" s="467"/>
      <c r="L239" s="468"/>
    </row>
    <row r="240" spans="2:12" ht="30.05" customHeight="1" x14ac:dyDescent="0.35">
      <c r="B240" s="464"/>
      <c r="C240" s="465"/>
      <c r="D240" s="465"/>
      <c r="E240" s="465"/>
      <c r="G240" s="473"/>
      <c r="H240" s="466"/>
      <c r="I240" s="465"/>
      <c r="J240" s="298"/>
      <c r="K240" s="467"/>
      <c r="L240" s="167"/>
    </row>
    <row r="241" spans="2:12" ht="30.05" customHeight="1" x14ac:dyDescent="0.35">
      <c r="B241" s="464"/>
      <c r="C241" s="465"/>
      <c r="D241" s="465"/>
      <c r="E241" s="465"/>
      <c r="G241" s="473"/>
      <c r="H241" s="466"/>
      <c r="I241" s="465"/>
      <c r="J241" s="298"/>
      <c r="K241" s="467"/>
      <c r="L241" s="167"/>
    </row>
    <row r="242" spans="2:12" ht="30.05" customHeight="1" x14ac:dyDescent="0.35">
      <c r="B242" s="464"/>
      <c r="C242" s="465"/>
      <c r="D242" s="465"/>
      <c r="E242" s="465"/>
      <c r="F242" s="468"/>
      <c r="G242" s="473"/>
      <c r="H242" s="466"/>
      <c r="I242" s="465"/>
      <c r="J242" s="469"/>
      <c r="K242" s="467"/>
      <c r="L242" s="468"/>
    </row>
    <row r="243" spans="2:12" ht="30.05" customHeight="1" x14ac:dyDescent="0.35">
      <c r="B243" s="464"/>
      <c r="C243" s="465"/>
      <c r="D243" s="465"/>
      <c r="E243" s="465"/>
      <c r="F243" s="468"/>
      <c r="G243" s="473"/>
      <c r="H243" s="466"/>
      <c r="I243" s="465"/>
      <c r="J243" s="469"/>
      <c r="K243" s="467"/>
      <c r="L243" s="468"/>
    </row>
    <row r="244" spans="2:12" ht="30.05" customHeight="1" x14ac:dyDescent="0.35">
      <c r="B244" s="464"/>
      <c r="C244" s="465"/>
      <c r="D244" s="465"/>
      <c r="E244" s="465"/>
      <c r="G244" s="473"/>
      <c r="H244" s="466"/>
      <c r="I244" s="465"/>
      <c r="J244" s="298"/>
      <c r="K244" s="467"/>
      <c r="L244" s="167"/>
    </row>
    <row r="245" spans="2:12" ht="30.05" customHeight="1" x14ac:dyDescent="0.35">
      <c r="B245" s="464"/>
      <c r="C245" s="465"/>
      <c r="D245" s="465"/>
      <c r="E245" s="465"/>
      <c r="G245" s="473"/>
      <c r="H245" s="466"/>
      <c r="I245" s="465"/>
      <c r="J245" s="298"/>
      <c r="K245" s="467"/>
      <c r="L245" s="167"/>
    </row>
    <row r="246" spans="2:12" ht="30.05" customHeight="1" x14ac:dyDescent="0.35">
      <c r="B246" s="464"/>
      <c r="C246" s="465"/>
      <c r="D246" s="465"/>
      <c r="E246" s="465"/>
      <c r="G246" s="473"/>
      <c r="H246" s="466"/>
      <c r="I246" s="465"/>
      <c r="J246" s="298"/>
      <c r="K246" s="467"/>
      <c r="L246" s="167"/>
    </row>
    <row r="247" spans="2:12" ht="30.05" customHeight="1" x14ac:dyDescent="0.35">
      <c r="B247" s="464"/>
      <c r="C247" s="465"/>
      <c r="D247" s="465"/>
      <c r="E247" s="465"/>
      <c r="F247" s="468"/>
      <c r="G247" s="473"/>
      <c r="H247" s="466"/>
      <c r="I247" s="465"/>
      <c r="J247" s="469"/>
      <c r="K247" s="467"/>
      <c r="L247" s="468"/>
    </row>
    <row r="248" spans="2:12" ht="30.05" customHeight="1" x14ac:dyDescent="0.35">
      <c r="B248" s="464"/>
      <c r="C248" s="465"/>
      <c r="D248" s="465"/>
      <c r="E248" s="465"/>
      <c r="F248" s="468"/>
      <c r="G248" s="473"/>
      <c r="H248" s="466"/>
      <c r="I248" s="465"/>
      <c r="J248" s="469"/>
      <c r="K248" s="467"/>
      <c r="L248" s="468"/>
    </row>
    <row r="249" spans="2:12" ht="30.05" customHeight="1" x14ac:dyDescent="0.35">
      <c r="B249" s="464"/>
      <c r="C249" s="465"/>
      <c r="D249" s="465"/>
      <c r="E249" s="465"/>
      <c r="F249" s="468"/>
      <c r="G249" s="473"/>
      <c r="H249" s="466"/>
      <c r="I249" s="465"/>
      <c r="J249" s="469"/>
      <c r="K249" s="467"/>
      <c r="L249" s="468"/>
    </row>
    <row r="250" spans="2:12" ht="30.05" customHeight="1" x14ac:dyDescent="0.35">
      <c r="B250" s="464"/>
      <c r="C250" s="465"/>
      <c r="D250" s="465"/>
      <c r="E250" s="465"/>
      <c r="G250" s="473"/>
      <c r="H250" s="466"/>
      <c r="I250" s="465"/>
      <c r="J250" s="298"/>
      <c r="K250" s="467"/>
      <c r="L250" s="167"/>
    </row>
    <row r="251" spans="2:12" ht="30.05" customHeight="1" x14ac:dyDescent="0.35">
      <c r="B251" s="464"/>
      <c r="C251" s="465"/>
      <c r="D251" s="465"/>
      <c r="E251" s="465"/>
      <c r="F251" s="468"/>
      <c r="G251" s="473"/>
      <c r="H251" s="466"/>
      <c r="I251" s="465"/>
      <c r="J251" s="469"/>
      <c r="K251" s="467"/>
      <c r="L251" s="468"/>
    </row>
    <row r="252" spans="2:12" ht="30.05" customHeight="1" x14ac:dyDescent="0.35">
      <c r="B252" s="464"/>
      <c r="C252" s="465"/>
      <c r="D252" s="465"/>
      <c r="E252" s="465"/>
      <c r="F252" s="468"/>
      <c r="G252" s="473"/>
      <c r="H252" s="466"/>
      <c r="I252" s="465"/>
      <c r="J252" s="469"/>
      <c r="K252" s="467"/>
      <c r="L252" s="468"/>
    </row>
    <row r="253" spans="2:12" ht="30.05" customHeight="1" x14ac:dyDescent="0.35">
      <c r="B253" s="464"/>
      <c r="C253" s="465"/>
      <c r="D253" s="465"/>
      <c r="E253" s="465"/>
      <c r="G253" s="473"/>
      <c r="H253" s="466"/>
      <c r="I253" s="465"/>
      <c r="J253" s="298"/>
      <c r="K253" s="467"/>
      <c r="L253" s="167"/>
    </row>
    <row r="254" spans="2:12" ht="30.05" customHeight="1" x14ac:dyDescent="0.35">
      <c r="B254" s="464"/>
      <c r="C254" s="465"/>
      <c r="D254" s="465"/>
      <c r="E254" s="465"/>
      <c r="G254" s="473"/>
      <c r="H254" s="466"/>
      <c r="I254" s="465"/>
      <c r="J254" s="298"/>
      <c r="K254" s="467"/>
      <c r="L254" s="167"/>
    </row>
    <row r="255" spans="2:12" ht="30.05" customHeight="1" x14ac:dyDescent="0.35">
      <c r="B255" s="464"/>
      <c r="C255" s="465"/>
      <c r="D255" s="465"/>
      <c r="E255" s="465"/>
      <c r="G255" s="473"/>
      <c r="H255" s="466"/>
      <c r="I255" s="465"/>
      <c r="J255" s="298"/>
      <c r="K255" s="467"/>
      <c r="L255" s="167"/>
    </row>
    <row r="256" spans="2:12" ht="30.05" customHeight="1" x14ac:dyDescent="0.35">
      <c r="B256" s="464"/>
      <c r="C256" s="465"/>
      <c r="D256" s="465"/>
      <c r="E256" s="465"/>
      <c r="G256" s="473"/>
      <c r="H256" s="466"/>
      <c r="I256" s="465"/>
      <c r="J256" s="298"/>
      <c r="K256" s="467"/>
      <c r="L256" s="167"/>
    </row>
    <row r="257" spans="2:12" ht="30.05" customHeight="1" x14ac:dyDescent="0.35">
      <c r="B257" s="464"/>
      <c r="C257" s="465"/>
      <c r="D257" s="465"/>
      <c r="E257" s="465"/>
      <c r="G257" s="473"/>
      <c r="H257" s="466"/>
      <c r="I257" s="465"/>
      <c r="J257" s="298"/>
      <c r="K257" s="467"/>
      <c r="L257" s="167"/>
    </row>
    <row r="258" spans="2:12" ht="30.05" customHeight="1" x14ac:dyDescent="0.35">
      <c r="B258" s="464"/>
      <c r="C258" s="465"/>
      <c r="D258" s="465"/>
      <c r="E258" s="465"/>
      <c r="G258" s="473"/>
      <c r="H258" s="466"/>
      <c r="I258" s="465"/>
      <c r="J258" s="298"/>
      <c r="K258" s="467"/>
      <c r="L258" s="167"/>
    </row>
    <row r="259" spans="2:12" ht="30.05" customHeight="1" x14ac:dyDescent="0.35">
      <c r="B259" s="464"/>
      <c r="C259" s="465"/>
      <c r="D259" s="465"/>
      <c r="E259" s="465"/>
      <c r="G259" s="473"/>
      <c r="H259" s="466"/>
      <c r="I259" s="465"/>
      <c r="J259" s="298"/>
      <c r="K259" s="467"/>
      <c r="L259" s="167"/>
    </row>
    <row r="260" spans="2:12" ht="30.05" customHeight="1" x14ac:dyDescent="0.35">
      <c r="B260" s="464"/>
      <c r="C260" s="465"/>
      <c r="D260" s="465"/>
      <c r="E260" s="465"/>
      <c r="G260" s="473"/>
      <c r="H260" s="466"/>
      <c r="I260" s="465"/>
      <c r="J260" s="298"/>
      <c r="K260" s="467"/>
      <c r="L260" s="167"/>
    </row>
    <row r="261" spans="2:12" ht="30.05" customHeight="1" x14ac:dyDescent="0.35">
      <c r="B261" s="464"/>
      <c r="C261" s="465"/>
      <c r="D261" s="465"/>
      <c r="E261" s="465"/>
      <c r="G261" s="473"/>
      <c r="H261" s="466"/>
      <c r="I261" s="465"/>
      <c r="J261" s="298"/>
      <c r="K261" s="467"/>
      <c r="L261" s="167"/>
    </row>
    <row r="262" spans="2:12" ht="30.05" customHeight="1" x14ac:dyDescent="0.35">
      <c r="B262" s="464"/>
      <c r="C262" s="465"/>
      <c r="D262" s="465"/>
      <c r="E262" s="465"/>
      <c r="G262" s="473"/>
      <c r="H262" s="466"/>
      <c r="I262" s="465"/>
      <c r="J262" s="298"/>
      <c r="K262" s="467"/>
      <c r="L262" s="167"/>
    </row>
    <row r="263" spans="2:12" ht="30.05" customHeight="1" x14ac:dyDescent="0.35">
      <c r="B263" s="464"/>
      <c r="C263" s="465"/>
      <c r="D263" s="465"/>
      <c r="E263" s="465"/>
      <c r="G263" s="473"/>
      <c r="H263" s="466"/>
      <c r="I263" s="465"/>
      <c r="J263" s="298"/>
      <c r="K263" s="467"/>
      <c r="L263" s="167"/>
    </row>
    <row r="264" spans="2:12" ht="30.05" customHeight="1" x14ac:dyDescent="0.35">
      <c r="B264" s="464"/>
      <c r="C264" s="465"/>
      <c r="D264" s="465"/>
      <c r="E264" s="465"/>
      <c r="G264" s="473"/>
      <c r="H264" s="466"/>
      <c r="I264" s="465"/>
      <c r="J264" s="298"/>
      <c r="K264" s="467"/>
      <c r="L264" s="167"/>
    </row>
    <row r="265" spans="2:12" ht="30.05" customHeight="1" x14ac:dyDescent="0.35">
      <c r="B265" s="464"/>
      <c r="C265" s="465"/>
      <c r="D265" s="465"/>
      <c r="E265" s="465"/>
      <c r="G265" s="473"/>
      <c r="H265" s="466"/>
      <c r="I265" s="465"/>
      <c r="J265" s="298"/>
      <c r="K265" s="467"/>
      <c r="L265" s="167"/>
    </row>
    <row r="266" spans="2:12" ht="30.05" customHeight="1" x14ac:dyDescent="0.35">
      <c r="B266" s="464"/>
      <c r="C266" s="476"/>
      <c r="D266" s="465"/>
      <c r="E266" s="465"/>
      <c r="G266" s="473"/>
      <c r="H266" s="466"/>
      <c r="I266" s="465"/>
      <c r="J266" s="298"/>
      <c r="K266" s="467"/>
      <c r="L266" s="167"/>
    </row>
    <row r="267" spans="2:12" ht="30.05" customHeight="1" x14ac:dyDescent="0.35">
      <c r="B267" s="464"/>
      <c r="C267" s="465"/>
      <c r="D267" s="465"/>
      <c r="E267" s="465"/>
      <c r="G267" s="473"/>
      <c r="H267" s="466"/>
      <c r="I267" s="465"/>
      <c r="J267" s="298"/>
      <c r="K267" s="467"/>
      <c r="L267" s="167"/>
    </row>
    <row r="268" spans="2:12" ht="30.05" customHeight="1" x14ac:dyDescent="0.35">
      <c r="B268" s="464"/>
      <c r="C268" s="465"/>
      <c r="D268" s="465"/>
      <c r="E268" s="465"/>
      <c r="G268" s="473"/>
      <c r="H268" s="466"/>
      <c r="I268" s="465"/>
      <c r="J268" s="298"/>
      <c r="K268" s="467"/>
      <c r="L268" s="167"/>
    </row>
    <row r="269" spans="2:12" ht="30.05" customHeight="1" x14ac:dyDescent="0.35">
      <c r="B269" s="464"/>
      <c r="C269" s="465"/>
      <c r="D269" s="465"/>
      <c r="E269" s="465"/>
      <c r="G269" s="473"/>
      <c r="H269" s="466"/>
      <c r="I269" s="465"/>
      <c r="J269" s="298"/>
      <c r="K269" s="467"/>
      <c r="L269" s="167"/>
    </row>
    <row r="270" spans="2:12" ht="30.05" customHeight="1" x14ac:dyDescent="0.35">
      <c r="B270" s="464"/>
      <c r="C270" s="465"/>
      <c r="D270" s="465"/>
      <c r="E270" s="465"/>
      <c r="G270" s="473"/>
      <c r="H270" s="466"/>
      <c r="I270" s="465"/>
      <c r="J270" s="298"/>
      <c r="K270" s="467"/>
      <c r="L270" s="167"/>
    </row>
    <row r="271" spans="2:12" ht="30.05" customHeight="1" x14ac:dyDescent="0.35">
      <c r="B271" s="464"/>
      <c r="C271" s="465"/>
      <c r="D271" s="465"/>
      <c r="E271" s="465"/>
      <c r="G271" s="473"/>
      <c r="H271" s="466"/>
      <c r="I271" s="465"/>
      <c r="J271" s="298"/>
      <c r="K271" s="467"/>
      <c r="L271" s="167"/>
    </row>
    <row r="272" spans="2:12" ht="30.05" customHeight="1" x14ac:dyDescent="0.35">
      <c r="B272" s="464"/>
      <c r="C272" s="465"/>
      <c r="D272" s="465"/>
      <c r="E272" s="465"/>
      <c r="G272" s="473"/>
      <c r="H272" s="466"/>
      <c r="I272" s="465"/>
      <c r="J272" s="298"/>
      <c r="K272" s="467"/>
      <c r="L272" s="167"/>
    </row>
    <row r="273" spans="2:12" ht="30.05" customHeight="1" x14ac:dyDescent="0.35">
      <c r="B273" s="464"/>
      <c r="C273" s="465"/>
      <c r="D273" s="465"/>
      <c r="E273" s="465"/>
      <c r="G273" s="473"/>
      <c r="H273" s="466"/>
      <c r="I273" s="465"/>
      <c r="J273" s="298"/>
      <c r="K273" s="467"/>
      <c r="L273" s="167"/>
    </row>
    <row r="274" spans="2:12" ht="30.05" customHeight="1" x14ac:dyDescent="0.35">
      <c r="B274" s="464"/>
      <c r="C274" s="465"/>
      <c r="D274" s="465"/>
      <c r="E274" s="465"/>
      <c r="G274" s="473"/>
      <c r="H274" s="466"/>
      <c r="I274" s="465"/>
      <c r="J274" s="298"/>
      <c r="K274" s="467"/>
      <c r="L274" s="167"/>
    </row>
    <row r="275" spans="2:12" ht="30.05" customHeight="1" x14ac:dyDescent="0.35">
      <c r="B275" s="464"/>
      <c r="C275" s="465"/>
      <c r="D275" s="465"/>
      <c r="E275" s="465"/>
      <c r="G275" s="473"/>
      <c r="H275" s="466"/>
      <c r="I275" s="465"/>
      <c r="J275" s="298"/>
      <c r="K275" s="467"/>
      <c r="L275" s="167"/>
    </row>
    <row r="276" spans="2:12" ht="30.05" customHeight="1" x14ac:dyDescent="0.35">
      <c r="B276" s="464"/>
      <c r="C276" s="465"/>
      <c r="D276" s="465"/>
      <c r="E276" s="465"/>
      <c r="G276" s="473"/>
      <c r="H276" s="466"/>
      <c r="I276" s="465"/>
      <c r="J276" s="298"/>
      <c r="K276" s="467"/>
      <c r="L276" s="167"/>
    </row>
    <row r="277" spans="2:12" ht="30.05" customHeight="1" x14ac:dyDescent="0.35">
      <c r="B277" s="464"/>
      <c r="C277" s="465"/>
      <c r="D277" s="465"/>
      <c r="E277" s="465"/>
      <c r="G277" s="473"/>
      <c r="H277" s="466"/>
      <c r="I277" s="465"/>
      <c r="J277" s="298"/>
      <c r="K277" s="467"/>
      <c r="L277" s="167"/>
    </row>
    <row r="278" spans="2:12" ht="30.05" customHeight="1" x14ac:dyDescent="0.35">
      <c r="B278" s="464"/>
      <c r="C278" s="465"/>
      <c r="D278" s="465"/>
      <c r="E278" s="465"/>
      <c r="G278" s="473"/>
      <c r="H278" s="466"/>
      <c r="I278" s="465"/>
      <c r="J278" s="298"/>
      <c r="K278" s="467"/>
      <c r="L278" s="167"/>
    </row>
    <row r="279" spans="2:12" ht="30.05" customHeight="1" x14ac:dyDescent="0.35">
      <c r="B279" s="464"/>
      <c r="C279" s="465"/>
      <c r="D279" s="465"/>
      <c r="E279" s="465"/>
      <c r="G279" s="473"/>
      <c r="H279" s="466"/>
      <c r="I279" s="465"/>
      <c r="J279" s="298"/>
      <c r="K279" s="467"/>
      <c r="L279" s="167"/>
    </row>
    <row r="280" spans="2:12" ht="30.05" customHeight="1" x14ac:dyDescent="0.35">
      <c r="B280" s="464"/>
      <c r="C280" s="465"/>
      <c r="D280" s="465"/>
      <c r="E280" s="465"/>
      <c r="G280" s="473"/>
      <c r="H280" s="466"/>
      <c r="I280" s="465"/>
      <c r="J280" s="298"/>
      <c r="K280" s="467"/>
      <c r="L280" s="167"/>
    </row>
    <row r="281" spans="2:12" ht="30.05" customHeight="1" x14ac:dyDescent="0.35">
      <c r="B281" s="464"/>
      <c r="C281" s="465"/>
      <c r="D281" s="465"/>
      <c r="E281" s="465"/>
      <c r="G281" s="473"/>
      <c r="H281" s="466"/>
      <c r="I281" s="465"/>
      <c r="J281" s="298"/>
      <c r="K281" s="467"/>
      <c r="L281" s="167"/>
    </row>
    <row r="282" spans="2:12" ht="30.05" customHeight="1" x14ac:dyDescent="0.35">
      <c r="B282" s="464"/>
      <c r="C282" s="465"/>
      <c r="D282" s="465"/>
      <c r="E282" s="465"/>
      <c r="G282" s="473"/>
      <c r="H282" s="466"/>
      <c r="I282" s="465"/>
      <c r="J282" s="298"/>
      <c r="K282" s="467"/>
      <c r="L282" s="167"/>
    </row>
    <row r="283" spans="2:12" ht="30.05" customHeight="1" x14ac:dyDescent="0.35">
      <c r="B283" s="464"/>
      <c r="C283" s="465"/>
      <c r="D283" s="465"/>
      <c r="E283" s="465"/>
      <c r="G283" s="473"/>
      <c r="H283" s="466"/>
      <c r="I283" s="465"/>
      <c r="J283" s="298"/>
      <c r="K283" s="467"/>
      <c r="L283" s="167"/>
    </row>
    <row r="284" spans="2:12" ht="30.05" customHeight="1" x14ac:dyDescent="0.35">
      <c r="B284" s="464"/>
      <c r="C284" s="465"/>
      <c r="D284" s="465"/>
      <c r="E284" s="465"/>
      <c r="G284" s="473"/>
      <c r="H284" s="466"/>
      <c r="I284" s="465"/>
      <c r="J284" s="298"/>
      <c r="K284" s="467"/>
      <c r="L284" s="167"/>
    </row>
    <row r="285" spans="2:12" ht="30.05" customHeight="1" x14ac:dyDescent="0.35">
      <c r="B285" s="464"/>
      <c r="C285" s="465"/>
      <c r="D285" s="465"/>
      <c r="E285" s="465"/>
      <c r="G285" s="473"/>
      <c r="H285" s="466"/>
      <c r="I285" s="465"/>
      <c r="J285" s="298"/>
      <c r="K285" s="467"/>
      <c r="L285" s="167"/>
    </row>
    <row r="286" spans="2:12" ht="30.05" customHeight="1" x14ac:dyDescent="0.35">
      <c r="B286" s="464"/>
      <c r="C286" s="465"/>
      <c r="D286" s="465"/>
      <c r="E286" s="465"/>
      <c r="G286" s="473"/>
      <c r="H286" s="466"/>
      <c r="I286" s="465"/>
      <c r="J286" s="298"/>
      <c r="K286" s="467"/>
      <c r="L286" s="167"/>
    </row>
    <row r="287" spans="2:12" ht="30.05" customHeight="1" x14ac:dyDescent="0.35">
      <c r="B287" s="464"/>
      <c r="C287" s="465"/>
      <c r="D287" s="465"/>
      <c r="E287" s="465"/>
      <c r="G287" s="473"/>
      <c r="H287" s="466"/>
      <c r="I287" s="465"/>
      <c r="J287" s="298"/>
      <c r="K287" s="467"/>
      <c r="L287" s="167"/>
    </row>
    <row r="288" spans="2:12" ht="30.05" customHeight="1" x14ac:dyDescent="0.35">
      <c r="B288" s="464"/>
      <c r="C288" s="465"/>
      <c r="D288" s="465"/>
      <c r="E288" s="465"/>
      <c r="G288" s="473"/>
      <c r="H288" s="466"/>
      <c r="I288" s="465"/>
      <c r="J288" s="298"/>
      <c r="K288" s="467"/>
      <c r="L288" s="167"/>
    </row>
    <row r="289" spans="2:12" ht="30.05" customHeight="1" x14ac:dyDescent="0.35">
      <c r="B289" s="464"/>
      <c r="C289" s="465"/>
      <c r="D289" s="465"/>
      <c r="E289" s="465"/>
      <c r="G289" s="473"/>
      <c r="H289" s="466"/>
      <c r="I289" s="465"/>
      <c r="J289" s="298"/>
      <c r="K289" s="467"/>
      <c r="L289" s="167"/>
    </row>
    <row r="290" spans="2:12" ht="30.05" customHeight="1" x14ac:dyDescent="0.35">
      <c r="B290" s="464"/>
      <c r="C290" s="465"/>
      <c r="D290" s="465"/>
      <c r="E290" s="465"/>
      <c r="G290" s="473"/>
      <c r="H290" s="466"/>
      <c r="I290" s="465"/>
      <c r="J290" s="298"/>
      <c r="K290" s="467"/>
      <c r="L290" s="167"/>
    </row>
    <row r="291" spans="2:12" ht="30.05" customHeight="1" x14ac:dyDescent="0.35">
      <c r="B291" s="464"/>
      <c r="C291" s="465"/>
      <c r="D291" s="465"/>
      <c r="E291" s="465"/>
      <c r="G291" s="473"/>
      <c r="H291" s="466"/>
      <c r="I291" s="465"/>
      <c r="J291" s="298"/>
      <c r="K291" s="467"/>
      <c r="L291" s="167"/>
    </row>
    <row r="292" spans="2:12" ht="30.05" customHeight="1" x14ac:dyDescent="0.35">
      <c r="B292" s="464"/>
      <c r="C292" s="465"/>
      <c r="D292" s="465"/>
      <c r="E292" s="465"/>
      <c r="G292" s="473"/>
      <c r="H292" s="466"/>
      <c r="I292" s="465"/>
      <c r="J292" s="298"/>
      <c r="K292" s="467"/>
      <c r="L292" s="167"/>
    </row>
    <row r="293" spans="2:12" ht="30.05" customHeight="1" x14ac:dyDescent="0.35">
      <c r="B293" s="464"/>
      <c r="C293" s="465"/>
      <c r="D293" s="465"/>
      <c r="E293" s="465"/>
      <c r="G293" s="473"/>
      <c r="H293" s="466"/>
      <c r="I293" s="465"/>
      <c r="J293" s="298"/>
      <c r="K293" s="467"/>
      <c r="L293" s="167"/>
    </row>
    <row r="294" spans="2:12" ht="30.05" customHeight="1" x14ac:dyDescent="0.35">
      <c r="B294" s="464"/>
      <c r="C294" s="465"/>
      <c r="D294" s="465"/>
      <c r="E294" s="465"/>
      <c r="G294" s="473"/>
      <c r="H294" s="466"/>
      <c r="I294" s="465"/>
      <c r="J294" s="298"/>
      <c r="K294" s="467"/>
      <c r="L294" s="167"/>
    </row>
    <row r="295" spans="2:12" ht="30.05" customHeight="1" x14ac:dyDescent="0.35">
      <c r="B295" s="464"/>
      <c r="C295" s="465"/>
      <c r="D295" s="465"/>
      <c r="E295" s="465"/>
      <c r="G295" s="473"/>
      <c r="H295" s="466"/>
      <c r="I295" s="465"/>
      <c r="J295" s="298"/>
      <c r="K295" s="467"/>
      <c r="L295" s="167"/>
    </row>
    <row r="296" spans="2:12" ht="30.05" customHeight="1" x14ac:dyDescent="0.35">
      <c r="B296" s="464"/>
      <c r="C296" s="465"/>
      <c r="D296" s="465"/>
      <c r="E296" s="465"/>
      <c r="G296" s="473"/>
      <c r="H296" s="466"/>
      <c r="I296" s="465"/>
      <c r="J296" s="298"/>
      <c r="K296" s="467"/>
      <c r="L296" s="167"/>
    </row>
    <row r="297" spans="2:12" ht="30.05" customHeight="1" x14ac:dyDescent="0.35">
      <c r="B297" s="464"/>
      <c r="C297" s="465"/>
      <c r="D297" s="465"/>
      <c r="E297" s="465"/>
      <c r="G297" s="473"/>
      <c r="H297" s="466"/>
      <c r="I297" s="465"/>
      <c r="J297" s="298"/>
      <c r="K297" s="467"/>
      <c r="L297" s="167"/>
    </row>
    <row r="298" spans="2:12" ht="30.05" customHeight="1" x14ac:dyDescent="0.35">
      <c r="B298" s="464"/>
      <c r="C298" s="465"/>
      <c r="D298" s="465"/>
      <c r="E298" s="465"/>
      <c r="G298" s="473"/>
      <c r="H298" s="466"/>
      <c r="I298" s="465"/>
      <c r="J298" s="298"/>
      <c r="K298" s="467"/>
      <c r="L298" s="167"/>
    </row>
    <row r="299" spans="2:12" ht="30.05" customHeight="1" x14ac:dyDescent="0.35">
      <c r="B299" s="464"/>
      <c r="C299" s="465"/>
      <c r="D299" s="465"/>
      <c r="E299" s="465"/>
      <c r="G299" s="473"/>
      <c r="H299" s="466"/>
      <c r="I299" s="465"/>
      <c r="J299" s="298"/>
      <c r="K299" s="467"/>
      <c r="L299" s="167"/>
    </row>
    <row r="300" spans="2:12" ht="30.05" customHeight="1" x14ac:dyDescent="0.35">
      <c r="B300" s="464"/>
      <c r="C300" s="465"/>
      <c r="D300" s="465"/>
      <c r="E300" s="465"/>
      <c r="G300" s="473"/>
      <c r="H300" s="466"/>
      <c r="I300" s="465"/>
      <c r="J300" s="298"/>
      <c r="K300" s="467"/>
      <c r="L300" s="167"/>
    </row>
    <row r="301" spans="2:12" ht="30.05" customHeight="1" x14ac:dyDescent="0.35">
      <c r="B301" s="464"/>
      <c r="C301" s="465"/>
      <c r="D301" s="465"/>
      <c r="E301" s="465"/>
      <c r="G301" s="473"/>
      <c r="H301" s="466"/>
      <c r="I301" s="465"/>
      <c r="J301" s="298"/>
      <c r="K301" s="467"/>
      <c r="L301" s="167"/>
    </row>
    <row r="302" spans="2:12" ht="30.05" customHeight="1" x14ac:dyDescent="0.35">
      <c r="B302" s="464"/>
      <c r="C302" s="465"/>
      <c r="D302" s="465"/>
      <c r="E302" s="465"/>
      <c r="G302" s="473"/>
      <c r="H302" s="466"/>
      <c r="I302" s="465"/>
      <c r="J302" s="298"/>
      <c r="K302" s="467"/>
      <c r="L302" s="167"/>
    </row>
    <row r="303" spans="2:12" ht="30.05" customHeight="1" x14ac:dyDescent="0.35">
      <c r="B303" s="464"/>
      <c r="C303" s="465"/>
      <c r="D303" s="465"/>
      <c r="E303" s="465"/>
      <c r="G303" s="473"/>
      <c r="H303" s="466"/>
      <c r="I303" s="465"/>
      <c r="J303" s="298"/>
      <c r="K303" s="467"/>
      <c r="L303" s="167"/>
    </row>
    <row r="304" spans="2:12" ht="30.05" customHeight="1" x14ac:dyDescent="0.35">
      <c r="B304" s="464"/>
      <c r="C304" s="465"/>
      <c r="D304" s="465"/>
      <c r="E304" s="465"/>
      <c r="G304" s="473"/>
      <c r="H304" s="466"/>
      <c r="I304" s="465"/>
      <c r="J304" s="298"/>
      <c r="K304" s="467"/>
      <c r="L304" s="167"/>
    </row>
    <row r="305" spans="2:12" ht="30.05" customHeight="1" x14ac:dyDescent="0.35">
      <c r="B305" s="464"/>
      <c r="C305" s="465"/>
      <c r="D305" s="465"/>
      <c r="E305" s="465"/>
      <c r="G305" s="473"/>
      <c r="H305" s="466"/>
      <c r="I305" s="465"/>
      <c r="J305" s="298"/>
      <c r="K305" s="467"/>
      <c r="L305" s="167"/>
    </row>
    <row r="306" spans="2:12" ht="30.05" customHeight="1" x14ac:dyDescent="0.35">
      <c r="B306" s="464"/>
      <c r="C306" s="465"/>
      <c r="D306" s="465"/>
      <c r="E306" s="465"/>
      <c r="G306" s="473"/>
      <c r="H306" s="466"/>
      <c r="I306" s="465"/>
      <c r="J306" s="298"/>
      <c r="K306" s="467"/>
      <c r="L306" s="167"/>
    </row>
    <row r="307" spans="2:12" ht="30.05" customHeight="1" x14ac:dyDescent="0.35">
      <c r="B307" s="464"/>
      <c r="C307" s="465"/>
      <c r="D307" s="465"/>
      <c r="E307" s="465"/>
      <c r="G307" s="473"/>
      <c r="H307" s="466"/>
      <c r="I307" s="465"/>
      <c r="J307" s="298"/>
      <c r="K307" s="467"/>
      <c r="L307" s="167"/>
    </row>
    <row r="308" spans="2:12" ht="30.05" customHeight="1" x14ac:dyDescent="0.35">
      <c r="B308" s="464"/>
      <c r="C308" s="465"/>
      <c r="D308" s="465"/>
      <c r="E308" s="465"/>
      <c r="G308" s="473"/>
      <c r="H308" s="466"/>
      <c r="I308" s="465"/>
      <c r="J308" s="298"/>
      <c r="K308" s="467"/>
      <c r="L308" s="167"/>
    </row>
    <row r="309" spans="2:12" ht="30.05" customHeight="1" x14ac:dyDescent="0.35">
      <c r="B309" s="464"/>
      <c r="C309" s="465"/>
      <c r="D309" s="465"/>
      <c r="E309" s="465"/>
      <c r="G309" s="473"/>
      <c r="H309" s="466"/>
      <c r="I309" s="465"/>
      <c r="J309" s="298"/>
      <c r="K309" s="467"/>
      <c r="L309" s="167"/>
    </row>
    <row r="310" spans="2:12" ht="30.05" customHeight="1" x14ac:dyDescent="0.35">
      <c r="B310" s="464"/>
      <c r="C310" s="465"/>
      <c r="D310" s="465"/>
      <c r="E310" s="465"/>
      <c r="G310" s="473"/>
      <c r="H310" s="466"/>
      <c r="I310" s="465"/>
      <c r="J310" s="298"/>
      <c r="K310" s="467"/>
      <c r="L310" s="167"/>
    </row>
    <row r="311" spans="2:12" ht="30.05" customHeight="1" x14ac:dyDescent="0.35">
      <c r="B311" s="464"/>
      <c r="C311" s="465"/>
      <c r="D311" s="465"/>
      <c r="E311" s="465"/>
      <c r="G311" s="473"/>
      <c r="H311" s="466"/>
      <c r="I311" s="465"/>
      <c r="J311" s="298"/>
      <c r="K311" s="467"/>
      <c r="L311" s="167"/>
    </row>
    <row r="312" spans="2:12" ht="30.05" customHeight="1" x14ac:dyDescent="0.35">
      <c r="B312" s="464"/>
      <c r="C312" s="465"/>
      <c r="D312" s="465"/>
      <c r="E312" s="465"/>
      <c r="G312" s="473"/>
      <c r="H312" s="466"/>
      <c r="I312" s="465"/>
      <c r="J312" s="298"/>
      <c r="K312" s="467"/>
      <c r="L312" s="167"/>
    </row>
    <row r="313" spans="2:12" ht="30.05" customHeight="1" x14ac:dyDescent="0.35">
      <c r="B313" s="464"/>
      <c r="C313" s="465"/>
      <c r="D313" s="465"/>
      <c r="E313" s="465"/>
      <c r="G313" s="473"/>
      <c r="H313" s="466"/>
      <c r="I313" s="465"/>
      <c r="J313" s="298"/>
      <c r="K313" s="467"/>
      <c r="L313" s="167"/>
    </row>
    <row r="314" spans="2:12" ht="30.05" customHeight="1" x14ac:dyDescent="0.35">
      <c r="B314" s="464"/>
      <c r="C314" s="465"/>
      <c r="D314" s="465"/>
      <c r="E314" s="465"/>
      <c r="G314" s="473"/>
      <c r="H314" s="466"/>
      <c r="I314" s="465"/>
      <c r="J314" s="298"/>
      <c r="K314" s="467"/>
      <c r="L314" s="167"/>
    </row>
    <row r="315" spans="2:12" ht="30.05" customHeight="1" x14ac:dyDescent="0.35">
      <c r="B315" s="464"/>
      <c r="C315" s="465"/>
      <c r="D315" s="465"/>
      <c r="E315" s="465"/>
      <c r="G315" s="473"/>
      <c r="H315" s="466"/>
      <c r="I315" s="465"/>
      <c r="J315" s="298"/>
      <c r="K315" s="467"/>
      <c r="L315" s="167"/>
    </row>
    <row r="316" spans="2:12" ht="30.05" customHeight="1" x14ac:dyDescent="0.35">
      <c r="B316" s="464"/>
      <c r="C316" s="465"/>
      <c r="D316" s="465"/>
      <c r="E316" s="465"/>
      <c r="G316" s="473"/>
      <c r="H316" s="466"/>
      <c r="I316" s="465"/>
      <c r="J316" s="298"/>
      <c r="K316" s="467"/>
      <c r="L316" s="167"/>
    </row>
    <row r="317" spans="2:12" ht="30.05" customHeight="1" x14ac:dyDescent="0.35">
      <c r="B317" s="464"/>
      <c r="C317" s="465"/>
      <c r="D317" s="465"/>
      <c r="E317" s="465"/>
      <c r="G317" s="473"/>
      <c r="H317" s="466"/>
      <c r="I317" s="465"/>
      <c r="J317" s="298"/>
      <c r="K317" s="467"/>
      <c r="L317" s="167"/>
    </row>
    <row r="318" spans="2:12" ht="30.05" customHeight="1" x14ac:dyDescent="0.35">
      <c r="B318" s="464"/>
      <c r="C318" s="465"/>
      <c r="D318" s="465"/>
      <c r="E318" s="465"/>
      <c r="G318" s="473"/>
      <c r="H318" s="466"/>
      <c r="I318" s="465"/>
      <c r="J318" s="298"/>
      <c r="K318" s="467"/>
      <c r="L318" s="167"/>
    </row>
    <row r="319" spans="2:12" ht="30.05" customHeight="1" x14ac:dyDescent="0.35">
      <c r="B319" s="464"/>
      <c r="C319" s="465"/>
      <c r="D319" s="465"/>
      <c r="E319" s="465"/>
      <c r="G319" s="473"/>
      <c r="H319" s="466"/>
      <c r="I319" s="465"/>
      <c r="J319" s="298"/>
      <c r="K319" s="467"/>
      <c r="L319" s="167"/>
    </row>
    <row r="320" spans="2:12" ht="30.05" customHeight="1" x14ac:dyDescent="0.35">
      <c r="B320" s="464"/>
      <c r="C320" s="465"/>
      <c r="D320" s="465"/>
      <c r="E320" s="465"/>
      <c r="G320" s="473"/>
      <c r="H320" s="466"/>
      <c r="I320" s="465"/>
      <c r="J320" s="298"/>
      <c r="K320" s="467"/>
      <c r="L320" s="167"/>
    </row>
    <row r="321" spans="2:12" ht="30.05" customHeight="1" x14ac:dyDescent="0.35">
      <c r="B321" s="464"/>
      <c r="C321" s="465"/>
      <c r="D321" s="465"/>
      <c r="E321" s="465"/>
      <c r="G321" s="473"/>
      <c r="H321" s="466"/>
      <c r="I321" s="465"/>
      <c r="J321" s="298"/>
      <c r="K321" s="467"/>
      <c r="L321" s="167"/>
    </row>
    <row r="322" spans="2:12" ht="30.05" customHeight="1" x14ac:dyDescent="0.35">
      <c r="B322" s="464"/>
      <c r="C322" s="465"/>
      <c r="D322" s="465"/>
      <c r="E322" s="465"/>
      <c r="G322" s="473"/>
      <c r="H322" s="466"/>
      <c r="I322" s="465"/>
      <c r="J322" s="298"/>
      <c r="K322" s="467"/>
      <c r="L322" s="167"/>
    </row>
    <row r="323" spans="2:12" ht="30.05" customHeight="1" x14ac:dyDescent="0.35">
      <c r="B323" s="464"/>
      <c r="C323" s="465"/>
      <c r="D323" s="465"/>
      <c r="E323" s="465"/>
      <c r="G323" s="473"/>
      <c r="H323" s="466"/>
      <c r="I323" s="465"/>
      <c r="J323" s="298"/>
      <c r="K323" s="467"/>
      <c r="L323" s="167"/>
    </row>
    <row r="324" spans="2:12" ht="30.05" customHeight="1" x14ac:dyDescent="0.35">
      <c r="B324" s="464"/>
      <c r="C324" s="465"/>
      <c r="D324" s="465"/>
      <c r="E324" s="465"/>
      <c r="G324" s="473"/>
      <c r="H324" s="466"/>
      <c r="I324" s="465"/>
      <c r="J324" s="298"/>
      <c r="K324" s="467"/>
      <c r="L324" s="167"/>
    </row>
    <row r="325" spans="2:12" ht="30.05" customHeight="1" x14ac:dyDescent="0.35">
      <c r="B325" s="464"/>
      <c r="C325" s="465"/>
      <c r="D325" s="465"/>
      <c r="E325" s="465"/>
      <c r="G325" s="473"/>
      <c r="H325" s="466"/>
      <c r="I325" s="465"/>
      <c r="J325" s="298"/>
      <c r="K325" s="467"/>
      <c r="L325" s="167"/>
    </row>
    <row r="326" spans="2:12" ht="30.05" customHeight="1" x14ac:dyDescent="0.35">
      <c r="B326" s="464"/>
      <c r="C326" s="465"/>
      <c r="D326" s="465"/>
      <c r="E326" s="465"/>
      <c r="G326" s="473"/>
      <c r="H326" s="466"/>
      <c r="I326" s="465"/>
      <c r="J326" s="298"/>
      <c r="K326" s="467"/>
      <c r="L326" s="167"/>
    </row>
    <row r="327" spans="2:12" ht="30.05" customHeight="1" x14ac:dyDescent="0.35">
      <c r="B327" s="464"/>
      <c r="C327" s="465"/>
      <c r="D327" s="465"/>
      <c r="E327" s="465"/>
      <c r="G327" s="473"/>
      <c r="H327" s="466"/>
      <c r="I327" s="465"/>
      <c r="J327" s="298"/>
      <c r="K327" s="467"/>
      <c r="L327" s="167"/>
    </row>
    <row r="328" spans="2:12" ht="30.05" customHeight="1" x14ac:dyDescent="0.35">
      <c r="B328" s="464"/>
      <c r="C328" s="465"/>
      <c r="D328" s="465"/>
      <c r="E328" s="465"/>
      <c r="G328" s="473"/>
      <c r="H328" s="466"/>
      <c r="I328" s="465"/>
      <c r="J328" s="298"/>
      <c r="K328" s="467"/>
      <c r="L328" s="167"/>
    </row>
    <row r="329" spans="2:12" ht="30.05" customHeight="1" x14ac:dyDescent="0.35">
      <c r="B329" s="464"/>
      <c r="C329" s="465"/>
      <c r="D329" s="465"/>
      <c r="E329" s="465"/>
      <c r="G329" s="473"/>
      <c r="H329" s="466"/>
      <c r="I329" s="465"/>
      <c r="J329" s="298"/>
      <c r="K329" s="467"/>
      <c r="L329" s="167"/>
    </row>
    <row r="330" spans="2:12" ht="30.05" customHeight="1" x14ac:dyDescent="0.35">
      <c r="B330" s="464"/>
      <c r="C330" s="465"/>
      <c r="D330" s="465"/>
      <c r="E330" s="465"/>
      <c r="G330" s="473"/>
      <c r="H330" s="466"/>
      <c r="I330" s="465"/>
      <c r="J330" s="298"/>
      <c r="K330" s="467"/>
      <c r="L330" s="167"/>
    </row>
    <row r="331" spans="2:12" ht="30.05" customHeight="1" x14ac:dyDescent="0.35">
      <c r="B331" s="464"/>
      <c r="C331" s="465"/>
      <c r="D331" s="465"/>
      <c r="E331" s="465"/>
      <c r="G331" s="473"/>
      <c r="H331" s="466"/>
      <c r="I331" s="465"/>
      <c r="J331" s="298"/>
      <c r="K331" s="467"/>
      <c r="L331" s="167"/>
    </row>
    <row r="332" spans="2:12" ht="30.05" customHeight="1" x14ac:dyDescent="0.35">
      <c r="B332" s="464"/>
      <c r="C332" s="465"/>
      <c r="D332" s="465"/>
      <c r="E332" s="465"/>
      <c r="G332" s="473"/>
      <c r="H332" s="466"/>
      <c r="I332" s="465"/>
      <c r="J332" s="298"/>
      <c r="K332" s="467"/>
      <c r="L332" s="167"/>
    </row>
    <row r="333" spans="2:12" ht="30.05" customHeight="1" x14ac:dyDescent="0.35">
      <c r="B333" s="464"/>
      <c r="C333" s="465"/>
      <c r="D333" s="465"/>
      <c r="E333" s="465"/>
      <c r="G333" s="473"/>
      <c r="H333" s="466"/>
      <c r="I333" s="465"/>
      <c r="J333" s="298"/>
      <c r="K333" s="467"/>
      <c r="L333" s="167"/>
    </row>
    <row r="334" spans="2:12" ht="30.05" customHeight="1" x14ac:dyDescent="0.35">
      <c r="B334" s="464"/>
      <c r="C334" s="465"/>
      <c r="D334" s="465"/>
      <c r="E334" s="465"/>
      <c r="G334" s="473"/>
      <c r="H334" s="466"/>
      <c r="I334" s="465"/>
      <c r="J334" s="298"/>
      <c r="K334" s="467"/>
      <c r="L334" s="167"/>
    </row>
    <row r="335" spans="2:12" ht="30.05" customHeight="1" x14ac:dyDescent="0.35">
      <c r="B335" s="464"/>
      <c r="C335" s="465"/>
      <c r="D335" s="465"/>
      <c r="E335" s="465"/>
      <c r="G335" s="473"/>
      <c r="H335" s="466"/>
      <c r="I335" s="465"/>
      <c r="J335" s="298"/>
      <c r="K335" s="467"/>
      <c r="L335" s="167"/>
    </row>
    <row r="336" spans="2:12" ht="30.05" customHeight="1" x14ac:dyDescent="0.35">
      <c r="B336" s="464"/>
      <c r="C336" s="465"/>
      <c r="D336" s="465"/>
      <c r="E336" s="465"/>
      <c r="G336" s="473"/>
      <c r="H336" s="466"/>
      <c r="I336" s="465"/>
      <c r="J336" s="298"/>
      <c r="K336" s="467"/>
      <c r="L336" s="167"/>
    </row>
    <row r="337" spans="2:12" ht="30.05" customHeight="1" x14ac:dyDescent="0.35">
      <c r="B337" s="464"/>
      <c r="C337" s="465"/>
      <c r="D337" s="465"/>
      <c r="E337" s="465"/>
      <c r="G337" s="473"/>
      <c r="H337" s="466"/>
      <c r="I337" s="465"/>
      <c r="J337" s="298"/>
      <c r="K337" s="467"/>
      <c r="L337" s="167"/>
    </row>
    <row r="338" spans="2:12" ht="30.05" customHeight="1" x14ac:dyDescent="0.35">
      <c r="B338" s="464"/>
      <c r="C338" s="465"/>
      <c r="D338" s="465"/>
      <c r="E338" s="465"/>
      <c r="G338" s="473"/>
      <c r="H338" s="466"/>
      <c r="I338" s="465"/>
      <c r="J338" s="298"/>
      <c r="K338" s="467"/>
      <c r="L338" s="167"/>
    </row>
    <row r="339" spans="2:12" ht="30.05" customHeight="1" x14ac:dyDescent="0.35">
      <c r="B339" s="464"/>
      <c r="C339" s="465"/>
      <c r="D339" s="465"/>
      <c r="E339" s="465"/>
      <c r="G339" s="473"/>
      <c r="H339" s="466"/>
      <c r="I339" s="465"/>
      <c r="J339" s="298"/>
      <c r="K339" s="467"/>
      <c r="L339" s="167"/>
    </row>
    <row r="340" spans="2:12" ht="30.05" customHeight="1" x14ac:dyDescent="0.35">
      <c r="B340" s="464"/>
      <c r="C340" s="465"/>
      <c r="D340" s="465"/>
      <c r="E340" s="465"/>
      <c r="G340" s="473"/>
      <c r="H340" s="466"/>
      <c r="I340" s="465"/>
      <c r="J340" s="298"/>
      <c r="K340" s="467"/>
      <c r="L340" s="167"/>
    </row>
    <row r="341" spans="2:12" ht="30.05" customHeight="1" x14ac:dyDescent="0.35">
      <c r="B341" s="464"/>
      <c r="C341" s="465"/>
      <c r="D341" s="465"/>
      <c r="E341" s="465"/>
      <c r="G341" s="473"/>
      <c r="H341" s="466"/>
      <c r="I341" s="465"/>
      <c r="J341" s="298"/>
      <c r="K341" s="467"/>
      <c r="L341" s="167"/>
    </row>
    <row r="342" spans="2:12" ht="30.05" customHeight="1" x14ac:dyDescent="0.35">
      <c r="B342" s="464"/>
      <c r="C342" s="465"/>
      <c r="D342" s="465"/>
      <c r="E342" s="465"/>
      <c r="G342" s="473"/>
      <c r="H342" s="466"/>
      <c r="I342" s="465"/>
      <c r="J342" s="298"/>
      <c r="K342" s="467"/>
      <c r="L342" s="167"/>
    </row>
    <row r="343" spans="2:12" ht="30.05" customHeight="1" x14ac:dyDescent="0.35">
      <c r="B343" s="464"/>
      <c r="C343" s="465"/>
      <c r="D343" s="465"/>
      <c r="E343" s="465"/>
      <c r="G343" s="473"/>
      <c r="H343" s="466"/>
      <c r="I343" s="465"/>
      <c r="J343" s="298"/>
      <c r="K343" s="467"/>
      <c r="L343" s="167"/>
    </row>
    <row r="344" spans="2:12" ht="30.05" customHeight="1" x14ac:dyDescent="0.35">
      <c r="B344" s="464"/>
      <c r="C344" s="465"/>
      <c r="D344" s="465"/>
      <c r="E344" s="465"/>
      <c r="G344" s="473"/>
      <c r="H344" s="466"/>
      <c r="I344" s="465"/>
      <c r="J344" s="298"/>
      <c r="K344" s="467"/>
      <c r="L344" s="167"/>
    </row>
    <row r="345" spans="2:12" ht="30.05" customHeight="1" x14ac:dyDescent="0.35">
      <c r="B345" s="464"/>
      <c r="C345" s="465"/>
      <c r="D345" s="465"/>
      <c r="E345" s="465"/>
      <c r="G345" s="473"/>
      <c r="H345" s="466"/>
      <c r="I345" s="465"/>
      <c r="J345" s="298"/>
      <c r="K345" s="467"/>
      <c r="L345" s="167"/>
    </row>
    <row r="346" spans="2:12" ht="30.05" customHeight="1" x14ac:dyDescent="0.35">
      <c r="B346" s="464"/>
      <c r="C346" s="465"/>
      <c r="D346" s="465"/>
      <c r="E346" s="465"/>
      <c r="G346" s="473"/>
      <c r="H346" s="466"/>
      <c r="I346" s="465"/>
      <c r="J346" s="298"/>
      <c r="K346" s="467"/>
      <c r="L346" s="167"/>
    </row>
    <row r="347" spans="2:12" ht="30.05" customHeight="1" x14ac:dyDescent="0.35">
      <c r="B347" s="464"/>
      <c r="C347" s="465"/>
      <c r="D347" s="465"/>
      <c r="E347" s="465"/>
      <c r="G347" s="473"/>
      <c r="H347" s="466"/>
      <c r="I347" s="465"/>
      <c r="J347" s="298"/>
      <c r="K347" s="467"/>
      <c r="L347" s="167"/>
    </row>
    <row r="348" spans="2:12" ht="30.05" customHeight="1" x14ac:dyDescent="0.35">
      <c r="B348" s="464"/>
      <c r="C348" s="465"/>
      <c r="D348" s="465"/>
      <c r="E348" s="465"/>
      <c r="G348" s="473"/>
      <c r="H348" s="466"/>
      <c r="I348" s="465"/>
      <c r="J348" s="298"/>
      <c r="K348" s="467"/>
      <c r="L348" s="167"/>
    </row>
    <row r="349" spans="2:12" ht="30.05" customHeight="1" x14ac:dyDescent="0.35">
      <c r="B349" s="464"/>
      <c r="C349" s="465"/>
      <c r="D349" s="465"/>
      <c r="E349" s="465"/>
      <c r="G349" s="473"/>
      <c r="H349" s="466"/>
      <c r="I349" s="465"/>
      <c r="J349" s="298"/>
      <c r="K349" s="467"/>
      <c r="L349" s="167"/>
    </row>
    <row r="350" spans="2:12" ht="30.05" customHeight="1" x14ac:dyDescent="0.35">
      <c r="B350" s="464"/>
      <c r="C350" s="465"/>
      <c r="D350" s="465"/>
      <c r="E350" s="465"/>
      <c r="G350" s="473"/>
      <c r="H350" s="466"/>
      <c r="I350" s="465"/>
      <c r="J350" s="298"/>
      <c r="K350" s="467"/>
      <c r="L350" s="167"/>
    </row>
    <row r="351" spans="2:12" ht="30.05" customHeight="1" x14ac:dyDescent="0.35">
      <c r="B351" s="464"/>
      <c r="C351" s="465"/>
      <c r="D351" s="465"/>
      <c r="E351" s="465"/>
      <c r="G351" s="473"/>
      <c r="H351" s="466"/>
      <c r="I351" s="465"/>
      <c r="J351" s="298"/>
      <c r="K351" s="467"/>
      <c r="L351" s="167"/>
    </row>
    <row r="352" spans="2:12" ht="30.05" customHeight="1" x14ac:dyDescent="0.35">
      <c r="B352" s="464"/>
      <c r="C352" s="465"/>
      <c r="D352" s="465"/>
      <c r="E352" s="465"/>
      <c r="G352" s="473"/>
      <c r="H352" s="466"/>
      <c r="I352" s="465"/>
      <c r="J352" s="298"/>
      <c r="K352" s="467"/>
      <c r="L352" s="167"/>
    </row>
    <row r="353" spans="2:12" ht="30.05" customHeight="1" x14ac:dyDescent="0.35">
      <c r="B353" s="464"/>
      <c r="C353" s="465"/>
      <c r="D353" s="465"/>
      <c r="E353" s="465"/>
      <c r="G353" s="473"/>
      <c r="H353" s="466"/>
      <c r="I353" s="465"/>
      <c r="J353" s="298"/>
      <c r="K353" s="467"/>
      <c r="L353" s="167"/>
    </row>
    <row r="354" spans="2:12" ht="30.05" customHeight="1" x14ac:dyDescent="0.35">
      <c r="B354" s="464"/>
      <c r="C354" s="465"/>
      <c r="D354" s="465"/>
      <c r="E354" s="465"/>
      <c r="G354" s="473"/>
      <c r="H354" s="466"/>
      <c r="I354" s="465"/>
      <c r="J354" s="298"/>
      <c r="K354" s="467"/>
      <c r="L354" s="167"/>
    </row>
    <row r="355" spans="2:12" ht="30.05" customHeight="1" x14ac:dyDescent="0.35">
      <c r="B355" s="464"/>
      <c r="C355" s="465"/>
      <c r="D355" s="465"/>
      <c r="E355" s="465"/>
      <c r="G355" s="473"/>
      <c r="H355" s="466"/>
      <c r="I355" s="465"/>
      <c r="J355" s="298"/>
      <c r="K355" s="467"/>
      <c r="L355" s="167"/>
    </row>
    <row r="356" spans="2:12" ht="30.05" customHeight="1" x14ac:dyDescent="0.35">
      <c r="B356" s="464"/>
      <c r="C356" s="465"/>
      <c r="D356" s="465"/>
      <c r="E356" s="465"/>
      <c r="G356" s="473"/>
      <c r="H356" s="466"/>
      <c r="I356" s="465"/>
      <c r="J356" s="298"/>
      <c r="K356" s="467"/>
      <c r="L356" s="167"/>
    </row>
    <row r="357" spans="2:12" ht="30.05" customHeight="1" x14ac:dyDescent="0.35">
      <c r="B357" s="464"/>
      <c r="C357" s="465"/>
      <c r="D357" s="465"/>
      <c r="E357" s="465"/>
      <c r="G357" s="473"/>
      <c r="H357" s="466"/>
      <c r="I357" s="465"/>
      <c r="J357" s="298"/>
      <c r="K357" s="467"/>
      <c r="L357" s="167"/>
    </row>
    <row r="358" spans="2:12" ht="30.05" customHeight="1" x14ac:dyDescent="0.35">
      <c r="B358" s="464"/>
      <c r="C358" s="465"/>
      <c r="D358" s="465"/>
      <c r="E358" s="465"/>
      <c r="G358" s="473"/>
      <c r="H358" s="466"/>
      <c r="I358" s="465"/>
      <c r="J358" s="298"/>
      <c r="K358" s="467"/>
      <c r="L358" s="167"/>
    </row>
    <row r="359" spans="2:12" ht="30.05" customHeight="1" x14ac:dyDescent="0.35">
      <c r="B359" s="464"/>
      <c r="C359" s="465"/>
      <c r="D359" s="465"/>
      <c r="E359" s="465"/>
      <c r="G359" s="473"/>
      <c r="H359" s="466"/>
      <c r="I359" s="465"/>
      <c r="J359" s="298"/>
      <c r="K359" s="467"/>
      <c r="L359" s="167"/>
    </row>
    <row r="360" spans="2:12" ht="30.05" customHeight="1" x14ac:dyDescent="0.35">
      <c r="B360" s="464"/>
      <c r="C360" s="465"/>
      <c r="D360" s="465"/>
      <c r="E360" s="465"/>
      <c r="G360" s="473"/>
      <c r="H360" s="466"/>
      <c r="I360" s="465"/>
      <c r="J360" s="298"/>
      <c r="K360" s="467"/>
      <c r="L360" s="167"/>
    </row>
    <row r="361" spans="2:12" ht="30.05" customHeight="1" x14ac:dyDescent="0.35">
      <c r="B361" s="464"/>
      <c r="C361" s="465"/>
      <c r="D361" s="465"/>
      <c r="E361" s="465"/>
      <c r="G361" s="473"/>
      <c r="H361" s="466"/>
      <c r="I361" s="465"/>
      <c r="J361" s="298"/>
      <c r="K361" s="467"/>
      <c r="L361" s="167"/>
    </row>
    <row r="362" spans="2:12" ht="30.05" customHeight="1" x14ac:dyDescent="0.35">
      <c r="B362" s="464"/>
      <c r="C362" s="465"/>
      <c r="D362" s="465"/>
      <c r="E362" s="465"/>
      <c r="G362" s="473"/>
      <c r="H362" s="466"/>
      <c r="I362" s="465"/>
      <c r="J362" s="298"/>
      <c r="K362" s="467"/>
      <c r="L362" s="167"/>
    </row>
    <row r="363" spans="2:12" ht="30.05" customHeight="1" x14ac:dyDescent="0.35">
      <c r="B363" s="464"/>
      <c r="C363" s="465"/>
      <c r="D363" s="465"/>
      <c r="E363" s="465"/>
      <c r="G363" s="473"/>
      <c r="H363" s="466"/>
      <c r="I363" s="465"/>
      <c r="J363" s="298"/>
      <c r="K363" s="467"/>
      <c r="L363" s="167"/>
    </row>
    <row r="364" spans="2:12" ht="30.05" customHeight="1" x14ac:dyDescent="0.35">
      <c r="B364" s="464"/>
      <c r="C364" s="465"/>
      <c r="D364" s="465"/>
      <c r="E364" s="465"/>
      <c r="G364" s="473"/>
      <c r="H364" s="466"/>
      <c r="I364" s="465"/>
      <c r="J364" s="298"/>
      <c r="K364" s="467"/>
      <c r="L364" s="167"/>
    </row>
    <row r="365" spans="2:12" ht="30.05" customHeight="1" x14ac:dyDescent="0.35">
      <c r="B365" s="464"/>
      <c r="C365" s="465"/>
      <c r="D365" s="465"/>
      <c r="E365" s="465"/>
      <c r="G365" s="473"/>
      <c r="H365" s="466"/>
      <c r="I365" s="465"/>
      <c r="J365" s="298"/>
      <c r="K365" s="467"/>
      <c r="L365" s="167"/>
    </row>
    <row r="366" spans="2:12" ht="30.05" customHeight="1" x14ac:dyDescent="0.35">
      <c r="B366" s="464"/>
      <c r="C366" s="465"/>
      <c r="D366" s="465"/>
      <c r="E366" s="465"/>
      <c r="G366" s="473"/>
      <c r="H366" s="466"/>
      <c r="I366" s="465"/>
      <c r="J366" s="298"/>
      <c r="K366" s="467"/>
      <c r="L366" s="167"/>
    </row>
    <row r="367" spans="2:12" ht="30.05" customHeight="1" x14ac:dyDescent="0.35">
      <c r="B367" s="464"/>
      <c r="C367" s="465"/>
      <c r="D367" s="465"/>
      <c r="E367" s="465"/>
      <c r="G367" s="473"/>
      <c r="H367" s="466"/>
      <c r="I367" s="465"/>
      <c r="J367" s="298"/>
      <c r="K367" s="467"/>
      <c r="L367" s="167"/>
    </row>
    <row r="368" spans="2:12" ht="30.05" customHeight="1" x14ac:dyDescent="0.35">
      <c r="B368" s="464"/>
      <c r="C368" s="465"/>
      <c r="D368" s="465"/>
      <c r="E368" s="465"/>
      <c r="G368" s="473"/>
      <c r="H368" s="466"/>
      <c r="I368" s="465"/>
      <c r="J368" s="298"/>
      <c r="K368" s="467"/>
      <c r="L368" s="167"/>
    </row>
    <row r="369" spans="2:12" ht="30.05" customHeight="1" x14ac:dyDescent="0.35">
      <c r="B369" s="464"/>
      <c r="C369" s="465"/>
      <c r="D369" s="465"/>
      <c r="E369" s="465"/>
      <c r="G369" s="473"/>
      <c r="H369" s="466"/>
      <c r="I369" s="465"/>
      <c r="J369" s="298"/>
      <c r="K369" s="467"/>
      <c r="L369" s="167"/>
    </row>
    <row r="370" spans="2:12" ht="30.05" customHeight="1" x14ac:dyDescent="0.35">
      <c r="B370" s="464"/>
      <c r="C370" s="465"/>
      <c r="D370" s="465"/>
      <c r="E370" s="465"/>
      <c r="G370" s="473"/>
      <c r="H370" s="466"/>
      <c r="I370" s="465"/>
      <c r="J370" s="298"/>
      <c r="K370" s="467"/>
      <c r="L370" s="167"/>
    </row>
    <row r="371" spans="2:12" ht="30.05" customHeight="1" x14ac:dyDescent="0.35">
      <c r="B371" s="464"/>
      <c r="C371" s="465"/>
      <c r="D371" s="465"/>
      <c r="E371" s="465"/>
      <c r="G371" s="473"/>
      <c r="H371" s="466"/>
      <c r="I371" s="465"/>
      <c r="J371" s="298"/>
      <c r="K371" s="467"/>
      <c r="L371" s="167"/>
    </row>
    <row r="372" spans="2:12" ht="30.05" customHeight="1" x14ac:dyDescent="0.35">
      <c r="B372" s="464"/>
      <c r="C372" s="465"/>
      <c r="D372" s="465"/>
      <c r="E372" s="465"/>
      <c r="G372" s="473"/>
      <c r="H372" s="466"/>
      <c r="I372" s="465"/>
      <c r="J372" s="298"/>
      <c r="K372" s="467"/>
      <c r="L372" s="167"/>
    </row>
    <row r="373" spans="2:12" ht="30.05" customHeight="1" x14ac:dyDescent="0.35">
      <c r="B373" s="464"/>
      <c r="C373" s="465"/>
      <c r="D373" s="465"/>
      <c r="E373" s="465"/>
      <c r="G373" s="473"/>
      <c r="H373" s="466"/>
      <c r="I373" s="465"/>
      <c r="J373" s="298"/>
      <c r="K373" s="467"/>
      <c r="L373" s="167"/>
    </row>
    <row r="374" spans="2:12" ht="30.05" customHeight="1" x14ac:dyDescent="0.35">
      <c r="B374" s="464"/>
      <c r="C374" s="465"/>
      <c r="D374" s="465"/>
      <c r="E374" s="465"/>
      <c r="G374" s="473"/>
      <c r="H374" s="466"/>
      <c r="I374" s="465"/>
      <c r="J374" s="298"/>
      <c r="K374" s="467"/>
      <c r="L374" s="167"/>
    </row>
    <row r="375" spans="2:12" ht="30.05" customHeight="1" x14ac:dyDescent="0.35">
      <c r="B375" s="464"/>
      <c r="C375" s="465"/>
      <c r="D375" s="465"/>
      <c r="E375" s="465"/>
      <c r="G375" s="473"/>
      <c r="H375" s="466"/>
      <c r="I375" s="465"/>
      <c r="J375" s="298"/>
      <c r="K375" s="467"/>
      <c r="L375" s="167"/>
    </row>
    <row r="376" spans="2:12" ht="30.05" customHeight="1" x14ac:dyDescent="0.35">
      <c r="B376" s="464"/>
      <c r="C376" s="465"/>
      <c r="D376" s="465"/>
      <c r="E376" s="465"/>
      <c r="G376" s="473"/>
      <c r="H376" s="466"/>
      <c r="I376" s="465"/>
      <c r="J376" s="298"/>
      <c r="K376" s="467"/>
      <c r="L376" s="167"/>
    </row>
    <row r="377" spans="2:12" ht="30.05" customHeight="1" x14ac:dyDescent="0.35">
      <c r="B377" s="464"/>
      <c r="C377" s="465"/>
      <c r="D377" s="465"/>
      <c r="E377" s="465"/>
      <c r="G377" s="473"/>
      <c r="H377" s="466"/>
      <c r="I377" s="465"/>
      <c r="J377" s="298"/>
      <c r="K377" s="467"/>
      <c r="L377" s="167"/>
    </row>
    <row r="378" spans="2:12" ht="30.05" customHeight="1" x14ac:dyDescent="0.35">
      <c r="B378" s="464"/>
      <c r="C378" s="465"/>
      <c r="D378" s="465"/>
      <c r="E378" s="465"/>
      <c r="G378" s="473"/>
      <c r="H378" s="466"/>
      <c r="I378" s="465"/>
      <c r="J378" s="298"/>
      <c r="K378" s="467"/>
      <c r="L378" s="167"/>
    </row>
    <row r="379" spans="2:12" ht="30.05" customHeight="1" x14ac:dyDescent="0.35">
      <c r="B379" s="464"/>
      <c r="C379" s="465"/>
      <c r="D379" s="465"/>
      <c r="E379" s="465"/>
      <c r="G379" s="473"/>
      <c r="H379" s="466"/>
      <c r="I379" s="465"/>
      <c r="J379" s="298"/>
      <c r="K379" s="467"/>
      <c r="L379" s="167"/>
    </row>
    <row r="380" spans="2:12" ht="30.05" customHeight="1" x14ac:dyDescent="0.35">
      <c r="B380" s="464"/>
      <c r="C380" s="465"/>
      <c r="D380" s="465"/>
      <c r="E380" s="465"/>
      <c r="G380" s="473"/>
      <c r="H380" s="466"/>
      <c r="I380" s="465"/>
      <c r="J380" s="298"/>
      <c r="K380" s="467"/>
      <c r="L380" s="167"/>
    </row>
    <row r="381" spans="2:12" ht="30.05" customHeight="1" x14ac:dyDescent="0.35">
      <c r="B381" s="464"/>
      <c r="C381" s="465"/>
      <c r="D381" s="465"/>
      <c r="E381" s="465"/>
      <c r="G381" s="473"/>
      <c r="H381" s="466"/>
      <c r="I381" s="465"/>
      <c r="J381" s="298"/>
      <c r="K381" s="467"/>
      <c r="L381" s="167"/>
    </row>
    <row r="382" spans="2:12" ht="30.05" customHeight="1" x14ac:dyDescent="0.35">
      <c r="B382" s="464"/>
      <c r="C382" s="465"/>
      <c r="D382" s="465"/>
      <c r="E382" s="465"/>
      <c r="G382" s="473"/>
      <c r="H382" s="466"/>
      <c r="I382" s="465"/>
      <c r="J382" s="298"/>
      <c r="K382" s="467"/>
      <c r="L382" s="167"/>
    </row>
    <row r="383" spans="2:12" ht="30.05" customHeight="1" x14ac:dyDescent="0.35">
      <c r="B383" s="464"/>
      <c r="C383" s="465"/>
      <c r="D383" s="465"/>
      <c r="E383" s="465"/>
      <c r="G383" s="473"/>
      <c r="H383" s="466"/>
      <c r="I383" s="465"/>
      <c r="J383" s="298"/>
      <c r="K383" s="467"/>
      <c r="L383" s="167"/>
    </row>
    <row r="384" spans="2:12" ht="30.05" customHeight="1" x14ac:dyDescent="0.35">
      <c r="B384" s="464"/>
      <c r="C384" s="465"/>
      <c r="D384" s="465"/>
      <c r="E384" s="465"/>
      <c r="G384" s="473"/>
      <c r="H384" s="466"/>
      <c r="I384" s="465"/>
      <c r="J384" s="298"/>
      <c r="K384" s="467"/>
      <c r="L384" s="167"/>
    </row>
    <row r="385" spans="2:12" ht="30.05" customHeight="1" x14ac:dyDescent="0.35">
      <c r="B385" s="464"/>
      <c r="C385" s="465"/>
      <c r="D385" s="465"/>
      <c r="E385" s="465"/>
      <c r="G385" s="473"/>
      <c r="H385" s="466"/>
      <c r="I385" s="465"/>
      <c r="J385" s="298"/>
      <c r="K385" s="467"/>
      <c r="L385" s="167"/>
    </row>
    <row r="386" spans="2:12" ht="30.05" customHeight="1" x14ac:dyDescent="0.35">
      <c r="B386" s="464"/>
      <c r="C386" s="465"/>
      <c r="D386" s="465"/>
      <c r="E386" s="465"/>
      <c r="G386" s="473"/>
      <c r="H386" s="466"/>
      <c r="I386" s="465"/>
      <c r="J386" s="298"/>
      <c r="K386" s="467"/>
      <c r="L386" s="167"/>
    </row>
    <row r="387" spans="2:12" ht="30.05" customHeight="1" x14ac:dyDescent="0.35">
      <c r="B387" s="464"/>
      <c r="C387" s="465"/>
      <c r="D387" s="465"/>
      <c r="E387" s="465"/>
      <c r="G387" s="473"/>
      <c r="H387" s="466"/>
      <c r="I387" s="465"/>
      <c r="J387" s="298"/>
      <c r="K387" s="467"/>
      <c r="L387" s="167"/>
    </row>
    <row r="388" spans="2:12" ht="30.05" customHeight="1" x14ac:dyDescent="0.35">
      <c r="B388" s="464"/>
      <c r="C388" s="465"/>
      <c r="D388" s="465"/>
      <c r="E388" s="465"/>
      <c r="G388" s="473"/>
      <c r="H388" s="466"/>
      <c r="I388" s="465"/>
      <c r="J388" s="298"/>
      <c r="K388" s="467"/>
      <c r="L388" s="167"/>
    </row>
    <row r="389" spans="2:12" ht="30.05" customHeight="1" x14ac:dyDescent="0.35">
      <c r="B389" s="464"/>
      <c r="C389" s="465"/>
      <c r="D389" s="465"/>
      <c r="E389" s="465"/>
      <c r="G389" s="473"/>
      <c r="H389" s="466"/>
      <c r="I389" s="465"/>
      <c r="J389" s="298"/>
      <c r="K389" s="467"/>
      <c r="L389" s="167"/>
    </row>
    <row r="390" spans="2:12" ht="30.05" customHeight="1" x14ac:dyDescent="0.35">
      <c r="B390" s="464"/>
      <c r="C390" s="465"/>
      <c r="D390" s="465"/>
      <c r="E390" s="465"/>
      <c r="G390" s="473"/>
      <c r="H390" s="466"/>
      <c r="I390" s="465"/>
      <c r="J390" s="298"/>
      <c r="K390" s="467"/>
      <c r="L390" s="167"/>
    </row>
    <row r="391" spans="2:12" ht="30.05" customHeight="1" x14ac:dyDescent="0.35">
      <c r="B391" s="464"/>
      <c r="C391" s="465"/>
      <c r="D391" s="465"/>
      <c r="E391" s="465"/>
      <c r="G391" s="473"/>
      <c r="H391" s="466"/>
      <c r="I391" s="465"/>
      <c r="J391" s="298"/>
      <c r="K391" s="467"/>
      <c r="L391" s="167"/>
    </row>
    <row r="392" spans="2:12" ht="30.05" customHeight="1" x14ac:dyDescent="0.35">
      <c r="B392" s="464"/>
      <c r="C392" s="465"/>
      <c r="D392" s="465"/>
      <c r="E392" s="465"/>
      <c r="G392" s="473"/>
      <c r="H392" s="466"/>
      <c r="I392" s="465"/>
      <c r="J392" s="298"/>
      <c r="K392" s="467"/>
      <c r="L392" s="167"/>
    </row>
    <row r="393" spans="2:12" ht="30.05" customHeight="1" x14ac:dyDescent="0.35">
      <c r="B393" s="464"/>
      <c r="C393" s="465"/>
      <c r="D393" s="465"/>
      <c r="E393" s="465"/>
      <c r="G393" s="473"/>
      <c r="H393" s="466"/>
      <c r="I393" s="465"/>
      <c r="J393" s="298"/>
      <c r="K393" s="467"/>
      <c r="L393" s="167"/>
    </row>
    <row r="394" spans="2:12" ht="30.05" customHeight="1" x14ac:dyDescent="0.35">
      <c r="B394" s="464"/>
      <c r="C394" s="465"/>
      <c r="D394" s="465"/>
      <c r="E394" s="465"/>
      <c r="G394" s="473"/>
      <c r="H394" s="466"/>
      <c r="I394" s="465"/>
      <c r="J394" s="298"/>
      <c r="K394" s="467"/>
      <c r="L394" s="167"/>
    </row>
    <row r="395" spans="2:12" ht="30.05" customHeight="1" x14ac:dyDescent="0.35">
      <c r="B395" s="464"/>
      <c r="C395" s="465"/>
      <c r="D395" s="465"/>
      <c r="E395" s="465"/>
      <c r="G395" s="473"/>
      <c r="H395" s="466"/>
      <c r="I395" s="465"/>
      <c r="J395" s="298"/>
      <c r="K395" s="467"/>
      <c r="L395" s="167"/>
    </row>
    <row r="396" spans="2:12" ht="30.05" customHeight="1" x14ac:dyDescent="0.35">
      <c r="B396" s="464"/>
      <c r="C396" s="465"/>
      <c r="D396" s="465"/>
      <c r="E396" s="465"/>
      <c r="G396" s="473"/>
      <c r="H396" s="466"/>
      <c r="I396" s="465"/>
      <c r="J396" s="298"/>
      <c r="K396" s="467"/>
      <c r="L396" s="167"/>
    </row>
    <row r="397" spans="2:12" ht="30.05" customHeight="1" x14ac:dyDescent="0.35">
      <c r="B397" s="464"/>
      <c r="C397" s="465"/>
      <c r="D397" s="465"/>
      <c r="E397" s="465"/>
      <c r="G397" s="473"/>
      <c r="H397" s="466"/>
      <c r="I397" s="465"/>
      <c r="J397" s="298"/>
      <c r="K397" s="467"/>
      <c r="L397" s="167"/>
    </row>
    <row r="398" spans="2:12" ht="30.05" customHeight="1" x14ac:dyDescent="0.35">
      <c r="B398" s="464"/>
      <c r="C398" s="465"/>
      <c r="D398" s="465"/>
      <c r="E398" s="465"/>
      <c r="G398" s="473"/>
      <c r="H398" s="466"/>
      <c r="I398" s="465"/>
      <c r="J398" s="298"/>
      <c r="K398" s="467"/>
      <c r="L398" s="167"/>
    </row>
    <row r="399" spans="2:12" ht="30.05" customHeight="1" x14ac:dyDescent="0.35">
      <c r="B399" s="464"/>
      <c r="C399" s="465"/>
      <c r="D399" s="465"/>
      <c r="E399" s="465"/>
      <c r="G399" s="473"/>
      <c r="H399" s="466"/>
      <c r="I399" s="465"/>
      <c r="J399" s="298"/>
      <c r="K399" s="467"/>
      <c r="L399" s="167"/>
    </row>
    <row r="400" spans="2:12" ht="30.05" customHeight="1" x14ac:dyDescent="0.35">
      <c r="B400" s="464"/>
      <c r="C400" s="465"/>
      <c r="D400" s="465"/>
      <c r="E400" s="465"/>
      <c r="G400" s="473"/>
      <c r="H400" s="466"/>
      <c r="I400" s="465"/>
      <c r="J400" s="298"/>
      <c r="K400" s="467"/>
      <c r="L400" s="167"/>
    </row>
    <row r="401" spans="2:12" ht="30.05" customHeight="1" x14ac:dyDescent="0.35">
      <c r="B401" s="464"/>
      <c r="C401" s="465"/>
      <c r="D401" s="465"/>
      <c r="E401" s="465"/>
      <c r="G401" s="473"/>
      <c r="H401" s="466"/>
      <c r="I401" s="465"/>
      <c r="J401" s="298"/>
      <c r="K401" s="467"/>
      <c r="L401" s="167"/>
    </row>
    <row r="402" spans="2:12" ht="30.05" customHeight="1" x14ac:dyDescent="0.35">
      <c r="B402" s="464"/>
      <c r="C402" s="465"/>
      <c r="D402" s="465"/>
      <c r="E402" s="465"/>
      <c r="G402" s="473"/>
      <c r="H402" s="466"/>
      <c r="I402" s="465"/>
      <c r="J402" s="298"/>
      <c r="K402" s="467"/>
      <c r="L402" s="167"/>
    </row>
    <row r="403" spans="2:12" ht="30.05" customHeight="1" x14ac:dyDescent="0.35">
      <c r="B403" s="464"/>
      <c r="C403" s="465"/>
      <c r="D403" s="465"/>
      <c r="E403" s="465"/>
      <c r="G403" s="473"/>
      <c r="H403" s="466"/>
      <c r="I403" s="465"/>
      <c r="J403" s="298"/>
      <c r="K403" s="467"/>
      <c r="L403" s="167"/>
    </row>
    <row r="404" spans="2:12" ht="30.05" customHeight="1" x14ac:dyDescent="0.35">
      <c r="B404" s="464"/>
      <c r="C404" s="465"/>
      <c r="D404" s="465"/>
      <c r="E404" s="465"/>
      <c r="G404" s="473"/>
      <c r="H404" s="466"/>
      <c r="I404" s="465"/>
      <c r="J404" s="298"/>
      <c r="K404" s="467"/>
      <c r="L404" s="167"/>
    </row>
    <row r="405" spans="2:12" ht="30.05" customHeight="1" x14ac:dyDescent="0.35">
      <c r="B405" s="464"/>
      <c r="C405" s="465"/>
      <c r="D405" s="465"/>
      <c r="E405" s="465"/>
      <c r="G405" s="473"/>
      <c r="H405" s="466"/>
      <c r="I405" s="465"/>
      <c r="J405" s="298"/>
      <c r="K405" s="467"/>
      <c r="L405" s="167"/>
    </row>
    <row r="406" spans="2:12" ht="30.05" customHeight="1" x14ac:dyDescent="0.35">
      <c r="B406" s="464"/>
      <c r="C406" s="465"/>
      <c r="D406" s="465"/>
      <c r="E406" s="465"/>
      <c r="G406" s="473"/>
      <c r="H406" s="466"/>
      <c r="I406" s="465"/>
      <c r="J406" s="298"/>
      <c r="K406" s="467"/>
      <c r="L406" s="167"/>
    </row>
    <row r="407" spans="2:12" ht="30.05" customHeight="1" x14ac:dyDescent="0.35">
      <c r="B407" s="464"/>
      <c r="C407" s="465"/>
      <c r="D407" s="465"/>
      <c r="E407" s="465"/>
      <c r="G407" s="473"/>
      <c r="H407" s="466"/>
      <c r="I407" s="465"/>
      <c r="J407" s="298"/>
      <c r="K407" s="467"/>
      <c r="L407" s="167"/>
    </row>
    <row r="408" spans="2:12" ht="30.05" customHeight="1" x14ac:dyDescent="0.35">
      <c r="B408" s="464"/>
      <c r="C408" s="465"/>
      <c r="D408" s="465"/>
      <c r="E408" s="465"/>
      <c r="G408" s="473"/>
      <c r="H408" s="466"/>
      <c r="I408" s="465"/>
      <c r="J408" s="298"/>
      <c r="K408" s="467"/>
      <c r="L408" s="167"/>
    </row>
    <row r="409" spans="2:12" ht="30.05" customHeight="1" x14ac:dyDescent="0.35">
      <c r="B409" s="464"/>
      <c r="C409" s="465"/>
      <c r="D409" s="465"/>
      <c r="E409" s="465"/>
      <c r="G409" s="473"/>
      <c r="H409" s="466"/>
      <c r="I409" s="465"/>
      <c r="J409" s="298"/>
      <c r="K409" s="467"/>
      <c r="L409" s="167"/>
    </row>
    <row r="410" spans="2:12" ht="30.05" customHeight="1" x14ac:dyDescent="0.35">
      <c r="B410" s="464"/>
      <c r="C410" s="465"/>
      <c r="D410" s="465"/>
      <c r="E410" s="465"/>
      <c r="G410" s="473"/>
      <c r="H410" s="466"/>
      <c r="I410" s="465"/>
      <c r="J410" s="298"/>
      <c r="K410" s="467"/>
      <c r="L410" s="167"/>
    </row>
    <row r="411" spans="2:12" ht="30.05" customHeight="1" x14ac:dyDescent="0.35">
      <c r="B411" s="464"/>
      <c r="C411" s="465"/>
      <c r="D411" s="465"/>
      <c r="E411" s="465"/>
      <c r="G411" s="473"/>
      <c r="H411" s="466"/>
      <c r="I411" s="465"/>
      <c r="J411" s="298"/>
      <c r="K411" s="467"/>
      <c r="L411" s="167"/>
    </row>
    <row r="412" spans="2:12" ht="30.05" customHeight="1" x14ac:dyDescent="0.35">
      <c r="B412" s="464"/>
      <c r="C412" s="465"/>
      <c r="D412" s="465"/>
      <c r="E412" s="465"/>
      <c r="G412" s="473"/>
      <c r="H412" s="466"/>
      <c r="I412" s="465"/>
      <c r="J412" s="298"/>
      <c r="K412" s="467"/>
      <c r="L412" s="167"/>
    </row>
    <row r="413" spans="2:12" ht="30.05" customHeight="1" x14ac:dyDescent="0.35">
      <c r="B413" s="464"/>
      <c r="C413" s="465"/>
      <c r="D413" s="465"/>
      <c r="E413" s="465"/>
      <c r="G413" s="473"/>
      <c r="H413" s="466"/>
      <c r="I413" s="465"/>
      <c r="J413" s="298"/>
      <c r="K413" s="467"/>
      <c r="L413" s="167"/>
    </row>
    <row r="414" spans="2:12" ht="30.05" customHeight="1" x14ac:dyDescent="0.35">
      <c r="B414" s="464"/>
      <c r="C414" s="465"/>
      <c r="D414" s="465"/>
      <c r="E414" s="465"/>
      <c r="G414" s="473"/>
      <c r="H414" s="466"/>
      <c r="I414" s="465"/>
      <c r="J414" s="298"/>
      <c r="K414" s="467"/>
      <c r="L414" s="167"/>
    </row>
    <row r="415" spans="2:12" ht="30.05" customHeight="1" x14ac:dyDescent="0.35">
      <c r="B415" s="464"/>
      <c r="C415" s="465"/>
      <c r="D415" s="465"/>
      <c r="E415" s="465"/>
      <c r="G415" s="473"/>
      <c r="H415" s="466"/>
      <c r="I415" s="465"/>
      <c r="J415" s="298"/>
      <c r="K415" s="467"/>
      <c r="L415" s="167"/>
    </row>
    <row r="416" spans="2:12" ht="30.05" customHeight="1" x14ac:dyDescent="0.35">
      <c r="B416" s="464"/>
      <c r="C416" s="465"/>
      <c r="D416" s="465"/>
      <c r="E416" s="465"/>
      <c r="G416" s="473"/>
      <c r="H416" s="466"/>
      <c r="I416" s="465"/>
      <c r="J416" s="298"/>
      <c r="K416" s="467"/>
      <c r="L416" s="167"/>
    </row>
    <row r="417" spans="2:12" ht="30.05" customHeight="1" x14ac:dyDescent="0.35">
      <c r="B417" s="464"/>
      <c r="C417" s="465"/>
      <c r="D417" s="465"/>
      <c r="E417" s="465"/>
      <c r="G417" s="473"/>
      <c r="H417" s="466"/>
      <c r="I417" s="465"/>
      <c r="J417" s="298"/>
      <c r="K417" s="467"/>
      <c r="L417" s="167"/>
    </row>
    <row r="418" spans="2:12" ht="30.05" customHeight="1" x14ac:dyDescent="0.35">
      <c r="B418" s="464"/>
      <c r="C418" s="465"/>
      <c r="D418" s="465"/>
      <c r="E418" s="465"/>
      <c r="G418" s="473"/>
      <c r="H418" s="466"/>
      <c r="I418" s="465"/>
      <c r="J418" s="298"/>
      <c r="K418" s="467"/>
      <c r="L418" s="167"/>
    </row>
    <row r="419" spans="2:12" ht="30.05" customHeight="1" x14ac:dyDescent="0.35">
      <c r="B419" s="464"/>
      <c r="C419" s="465"/>
      <c r="D419" s="465"/>
      <c r="E419" s="465"/>
      <c r="G419" s="473"/>
      <c r="H419" s="466"/>
      <c r="I419" s="465"/>
      <c r="J419" s="298"/>
      <c r="K419" s="467"/>
      <c r="L419" s="167"/>
    </row>
    <row r="420" spans="2:12" ht="30.05" customHeight="1" x14ac:dyDescent="0.35">
      <c r="B420" s="464"/>
      <c r="C420" s="465"/>
      <c r="D420" s="465"/>
      <c r="E420" s="465"/>
      <c r="G420" s="473"/>
      <c r="H420" s="466"/>
      <c r="I420" s="465"/>
      <c r="J420" s="298"/>
      <c r="K420" s="467"/>
      <c r="L420" s="167"/>
    </row>
    <row r="421" spans="2:12" ht="30.05" customHeight="1" x14ac:dyDescent="0.35">
      <c r="B421" s="464"/>
      <c r="C421" s="465"/>
      <c r="D421" s="465"/>
      <c r="E421" s="465"/>
      <c r="G421" s="473"/>
      <c r="H421" s="466"/>
      <c r="I421" s="465"/>
      <c r="J421" s="298"/>
      <c r="K421" s="467"/>
      <c r="L421" s="167"/>
    </row>
    <row r="422" spans="2:12" ht="30.05" customHeight="1" x14ac:dyDescent="0.35">
      <c r="B422" s="464"/>
      <c r="C422" s="465"/>
      <c r="D422" s="465"/>
      <c r="E422" s="465"/>
      <c r="G422" s="473"/>
      <c r="H422" s="466"/>
      <c r="I422" s="465"/>
      <c r="J422" s="298"/>
      <c r="K422" s="467"/>
      <c r="L422" s="167"/>
    </row>
    <row r="423" spans="2:12" ht="30.05" customHeight="1" x14ac:dyDescent="0.35">
      <c r="B423" s="464"/>
      <c r="C423" s="465"/>
      <c r="D423" s="465"/>
      <c r="E423" s="465"/>
      <c r="G423" s="473"/>
      <c r="H423" s="466"/>
      <c r="I423" s="465"/>
      <c r="J423" s="298"/>
      <c r="K423" s="467"/>
      <c r="L423" s="167"/>
    </row>
    <row r="424" spans="2:12" ht="30.05" customHeight="1" x14ac:dyDescent="0.35">
      <c r="B424" s="464"/>
      <c r="C424" s="465"/>
      <c r="D424" s="465"/>
      <c r="E424" s="465"/>
      <c r="G424" s="473"/>
      <c r="H424" s="466"/>
      <c r="I424" s="465"/>
      <c r="J424" s="298"/>
      <c r="K424" s="467"/>
      <c r="L424" s="167"/>
    </row>
    <row r="425" spans="2:12" ht="30.05" customHeight="1" x14ac:dyDescent="0.35">
      <c r="B425" s="464"/>
      <c r="C425" s="465"/>
      <c r="D425" s="465"/>
      <c r="E425" s="465"/>
      <c r="G425" s="473"/>
      <c r="H425" s="466"/>
      <c r="I425" s="465"/>
      <c r="J425" s="298"/>
      <c r="K425" s="467"/>
      <c r="L425" s="167"/>
    </row>
    <row r="426" spans="2:12" ht="30.05" customHeight="1" x14ac:dyDescent="0.35">
      <c r="B426" s="464"/>
      <c r="C426" s="465"/>
      <c r="D426" s="465"/>
      <c r="E426" s="465"/>
      <c r="G426" s="473"/>
      <c r="H426" s="466"/>
      <c r="I426" s="465"/>
      <c r="J426" s="298"/>
      <c r="K426" s="467"/>
      <c r="L426" s="167"/>
    </row>
    <row r="427" spans="2:12" ht="30.05" customHeight="1" x14ac:dyDescent="0.35">
      <c r="B427" s="464"/>
      <c r="C427" s="465"/>
      <c r="D427" s="465"/>
      <c r="E427" s="465"/>
      <c r="G427" s="473"/>
      <c r="H427" s="466"/>
      <c r="I427" s="465"/>
      <c r="J427" s="298"/>
      <c r="K427" s="467"/>
      <c r="L427" s="167"/>
    </row>
    <row r="428" spans="2:12" ht="30.05" customHeight="1" x14ac:dyDescent="0.35">
      <c r="B428" s="464"/>
      <c r="C428" s="465"/>
      <c r="D428" s="465"/>
      <c r="E428" s="465"/>
      <c r="G428" s="473"/>
      <c r="H428" s="466"/>
      <c r="I428" s="465"/>
      <c r="J428" s="298"/>
      <c r="K428" s="467"/>
      <c r="L428" s="167"/>
    </row>
    <row r="429" spans="2:12" ht="30.05" customHeight="1" x14ac:dyDescent="0.35">
      <c r="B429" s="464"/>
      <c r="C429" s="465"/>
      <c r="D429" s="465"/>
      <c r="E429" s="465"/>
      <c r="G429" s="473"/>
      <c r="H429" s="466"/>
      <c r="I429" s="465"/>
      <c r="J429" s="298"/>
      <c r="K429" s="467"/>
      <c r="L429" s="167"/>
    </row>
    <row r="430" spans="2:12" ht="30.05" customHeight="1" x14ac:dyDescent="0.35">
      <c r="B430" s="464"/>
      <c r="C430" s="465"/>
      <c r="D430" s="465"/>
      <c r="E430" s="465"/>
      <c r="G430" s="473"/>
      <c r="H430" s="466"/>
      <c r="I430" s="465"/>
      <c r="J430" s="298"/>
      <c r="K430" s="467"/>
      <c r="L430" s="167"/>
    </row>
    <row r="431" spans="2:12" ht="30.05" customHeight="1" x14ac:dyDescent="0.35">
      <c r="B431" s="464"/>
      <c r="C431" s="465"/>
      <c r="D431" s="465"/>
      <c r="E431" s="465"/>
      <c r="G431" s="473"/>
      <c r="H431" s="466"/>
      <c r="I431" s="465"/>
      <c r="J431" s="298"/>
      <c r="K431" s="467"/>
      <c r="L431" s="167"/>
    </row>
    <row r="432" spans="2:12" ht="30.05" customHeight="1" x14ac:dyDescent="0.35">
      <c r="B432" s="464"/>
      <c r="C432" s="465"/>
      <c r="D432" s="465"/>
      <c r="E432" s="465"/>
      <c r="G432" s="473"/>
      <c r="H432" s="466"/>
      <c r="I432" s="465"/>
      <c r="J432" s="298"/>
      <c r="K432" s="467"/>
      <c r="L432" s="167"/>
    </row>
    <row r="433" spans="2:12" ht="30.05" customHeight="1" x14ac:dyDescent="0.35">
      <c r="B433" s="464"/>
      <c r="C433" s="465"/>
      <c r="D433" s="465"/>
      <c r="E433" s="465"/>
      <c r="G433" s="473"/>
      <c r="H433" s="466"/>
      <c r="I433" s="465"/>
      <c r="J433" s="298"/>
      <c r="K433" s="467"/>
      <c r="L433" s="167"/>
    </row>
    <row r="434" spans="2:12" ht="30.05" customHeight="1" x14ac:dyDescent="0.35">
      <c r="B434" s="464"/>
      <c r="C434" s="465"/>
      <c r="D434" s="465"/>
      <c r="E434" s="465"/>
      <c r="G434" s="473"/>
      <c r="H434" s="466"/>
      <c r="I434" s="465"/>
      <c r="J434" s="298"/>
      <c r="K434" s="467"/>
      <c r="L434" s="167"/>
    </row>
    <row r="435" spans="2:12" ht="30.05" customHeight="1" x14ac:dyDescent="0.35">
      <c r="B435" s="464"/>
      <c r="C435" s="465"/>
      <c r="D435" s="465"/>
      <c r="E435" s="465"/>
      <c r="G435" s="473"/>
      <c r="H435" s="466"/>
      <c r="I435" s="465"/>
      <c r="J435" s="298"/>
      <c r="K435" s="467"/>
      <c r="L435" s="167"/>
    </row>
    <row r="436" spans="2:12" ht="30.05" customHeight="1" x14ac:dyDescent="0.35">
      <c r="B436" s="464"/>
      <c r="C436" s="465"/>
      <c r="D436" s="465"/>
      <c r="E436" s="465"/>
      <c r="G436" s="473"/>
      <c r="H436" s="466"/>
      <c r="I436" s="465"/>
      <c r="J436" s="298"/>
      <c r="K436" s="467"/>
      <c r="L436" s="167"/>
    </row>
    <row r="437" spans="2:12" ht="30.05" customHeight="1" x14ac:dyDescent="0.35">
      <c r="B437" s="464"/>
      <c r="C437" s="465"/>
      <c r="D437" s="465"/>
      <c r="E437" s="465"/>
      <c r="G437" s="473"/>
      <c r="H437" s="466"/>
      <c r="I437" s="465"/>
      <c r="J437" s="298"/>
      <c r="K437" s="467"/>
      <c r="L437" s="167"/>
    </row>
    <row r="438" spans="2:12" ht="30.05" customHeight="1" x14ac:dyDescent="0.35">
      <c r="B438" s="464"/>
      <c r="C438" s="465"/>
      <c r="D438" s="465"/>
      <c r="E438" s="465"/>
      <c r="G438" s="473"/>
      <c r="H438" s="466"/>
      <c r="I438" s="465"/>
      <c r="J438" s="298"/>
      <c r="K438" s="467"/>
      <c r="L438" s="167"/>
    </row>
    <row r="439" spans="2:12" ht="30.05" customHeight="1" x14ac:dyDescent="0.35">
      <c r="B439" s="464"/>
      <c r="C439" s="465"/>
      <c r="D439" s="465"/>
      <c r="E439" s="465"/>
      <c r="G439" s="473"/>
      <c r="H439" s="466"/>
      <c r="I439" s="465"/>
      <c r="J439" s="298"/>
      <c r="K439" s="467"/>
      <c r="L439" s="167"/>
    </row>
    <row r="440" spans="2:12" ht="30.05" customHeight="1" x14ac:dyDescent="0.35">
      <c r="B440" s="464"/>
      <c r="C440" s="465"/>
      <c r="D440" s="465"/>
      <c r="E440" s="465"/>
      <c r="G440" s="473"/>
      <c r="H440" s="466"/>
      <c r="I440" s="465"/>
      <c r="J440" s="298"/>
      <c r="K440" s="467"/>
      <c r="L440" s="167"/>
    </row>
    <row r="441" spans="2:12" ht="30.05" customHeight="1" x14ac:dyDescent="0.35">
      <c r="B441" s="464"/>
      <c r="C441" s="465"/>
      <c r="D441" s="465"/>
      <c r="E441" s="465"/>
      <c r="G441" s="473"/>
      <c r="H441" s="466"/>
      <c r="I441" s="465"/>
      <c r="J441" s="298"/>
      <c r="K441" s="467"/>
      <c r="L441" s="167"/>
    </row>
    <row r="442" spans="2:12" ht="30.05" customHeight="1" x14ac:dyDescent="0.35">
      <c r="B442" s="464"/>
      <c r="C442" s="465"/>
      <c r="D442" s="465"/>
      <c r="E442" s="465"/>
      <c r="G442" s="473"/>
      <c r="H442" s="466"/>
      <c r="I442" s="465"/>
      <c r="J442" s="298"/>
      <c r="K442" s="467"/>
      <c r="L442" s="167"/>
    </row>
    <row r="443" spans="2:12" ht="30.05" customHeight="1" x14ac:dyDescent="0.35">
      <c r="B443" s="464"/>
      <c r="C443" s="465"/>
      <c r="D443" s="465"/>
      <c r="E443" s="465"/>
      <c r="G443" s="473"/>
      <c r="H443" s="466"/>
      <c r="I443" s="465"/>
      <c r="J443" s="298"/>
      <c r="K443" s="467"/>
      <c r="L443" s="167"/>
    </row>
    <row r="444" spans="2:12" ht="30.05" customHeight="1" x14ac:dyDescent="0.35">
      <c r="B444" s="464"/>
      <c r="C444" s="465"/>
      <c r="D444" s="465"/>
      <c r="E444" s="465"/>
      <c r="G444" s="473"/>
      <c r="H444" s="466"/>
      <c r="I444" s="465"/>
      <c r="J444" s="298"/>
      <c r="K444" s="467"/>
      <c r="L444" s="167"/>
    </row>
    <row r="445" spans="2:12" ht="30.05" customHeight="1" x14ac:dyDescent="0.35">
      <c r="B445" s="464"/>
      <c r="C445" s="465"/>
      <c r="D445" s="465"/>
      <c r="E445" s="465"/>
      <c r="G445" s="473"/>
      <c r="H445" s="466"/>
      <c r="I445" s="465"/>
      <c r="J445" s="298"/>
      <c r="K445" s="467"/>
      <c r="L445" s="167"/>
    </row>
    <row r="446" spans="2:12" ht="30.05" customHeight="1" x14ac:dyDescent="0.35">
      <c r="B446" s="464"/>
      <c r="C446" s="465"/>
      <c r="D446" s="465"/>
      <c r="E446" s="465"/>
      <c r="G446" s="473"/>
      <c r="H446" s="466"/>
      <c r="I446" s="465"/>
      <c r="J446" s="298"/>
      <c r="K446" s="467"/>
      <c r="L446" s="167"/>
    </row>
    <row r="447" spans="2:12" ht="30.05" customHeight="1" x14ac:dyDescent="0.35">
      <c r="B447" s="464"/>
      <c r="C447" s="465"/>
      <c r="D447" s="465"/>
      <c r="E447" s="465"/>
      <c r="G447" s="473"/>
      <c r="H447" s="466"/>
      <c r="I447" s="465"/>
      <c r="J447" s="298"/>
      <c r="K447" s="467"/>
      <c r="L447" s="167"/>
    </row>
    <row r="448" spans="2:12" ht="30.05" customHeight="1" x14ac:dyDescent="0.35">
      <c r="B448" s="464"/>
      <c r="C448" s="465"/>
      <c r="D448" s="465"/>
      <c r="E448" s="465"/>
      <c r="G448" s="473"/>
      <c r="H448" s="466"/>
      <c r="I448" s="465"/>
      <c r="J448" s="298"/>
      <c r="K448" s="467"/>
      <c r="L448" s="167"/>
    </row>
    <row r="449" spans="2:12" ht="30.05" customHeight="1" x14ac:dyDescent="0.35">
      <c r="B449" s="464"/>
      <c r="C449" s="465"/>
      <c r="D449" s="465"/>
      <c r="E449" s="465"/>
      <c r="G449" s="473"/>
      <c r="H449" s="466"/>
      <c r="I449" s="465"/>
      <c r="J449" s="298"/>
      <c r="K449" s="467"/>
      <c r="L449" s="167"/>
    </row>
    <row r="450" spans="2:12" ht="30.05" customHeight="1" x14ac:dyDescent="0.35">
      <c r="B450" s="464"/>
      <c r="C450" s="465"/>
      <c r="D450" s="465"/>
      <c r="E450" s="465"/>
      <c r="G450" s="473"/>
      <c r="H450" s="466"/>
      <c r="I450" s="465"/>
      <c r="J450" s="298"/>
      <c r="K450" s="467"/>
      <c r="L450" s="167"/>
    </row>
    <row r="451" spans="2:12" ht="30.05" customHeight="1" x14ac:dyDescent="0.35">
      <c r="B451" s="464"/>
      <c r="C451" s="465"/>
      <c r="D451" s="465"/>
      <c r="E451" s="465"/>
      <c r="G451" s="473"/>
      <c r="H451" s="466"/>
      <c r="I451" s="465"/>
      <c r="J451" s="298"/>
      <c r="K451" s="467"/>
      <c r="L451" s="167"/>
    </row>
    <row r="452" spans="2:12" ht="30.05" customHeight="1" x14ac:dyDescent="0.35">
      <c r="B452" s="464"/>
      <c r="C452" s="465"/>
      <c r="D452" s="465"/>
      <c r="E452" s="465"/>
      <c r="G452" s="473"/>
      <c r="H452" s="466"/>
      <c r="I452" s="465"/>
      <c r="J452" s="298"/>
      <c r="K452" s="467"/>
      <c r="L452" s="167"/>
    </row>
    <row r="453" spans="2:12" ht="30.05" customHeight="1" x14ac:dyDescent="0.35">
      <c r="B453" s="464"/>
      <c r="C453" s="465"/>
      <c r="D453" s="465"/>
      <c r="E453" s="465"/>
      <c r="G453" s="473"/>
      <c r="H453" s="466"/>
      <c r="I453" s="465"/>
      <c r="J453" s="298"/>
      <c r="K453" s="467"/>
      <c r="L453" s="167"/>
    </row>
    <row r="454" spans="2:12" ht="30.05" customHeight="1" x14ac:dyDescent="0.35">
      <c r="B454" s="464"/>
      <c r="C454" s="465"/>
      <c r="D454" s="465"/>
      <c r="E454" s="465"/>
      <c r="G454" s="473"/>
      <c r="H454" s="466"/>
      <c r="I454" s="465"/>
      <c r="J454" s="298"/>
      <c r="K454" s="467"/>
      <c r="L454" s="167"/>
    </row>
    <row r="455" spans="2:12" ht="30.05" customHeight="1" x14ac:dyDescent="0.35">
      <c r="B455" s="464"/>
      <c r="C455" s="465"/>
      <c r="D455" s="465"/>
      <c r="E455" s="465"/>
      <c r="G455" s="473"/>
      <c r="H455" s="466"/>
      <c r="I455" s="465"/>
      <c r="J455" s="298"/>
      <c r="K455" s="467"/>
      <c r="L455" s="167"/>
    </row>
    <row r="456" spans="2:12" ht="30.05" customHeight="1" x14ac:dyDescent="0.35">
      <c r="B456" s="464"/>
      <c r="C456" s="465"/>
      <c r="D456" s="465"/>
      <c r="E456" s="465"/>
      <c r="G456" s="473"/>
      <c r="H456" s="466"/>
      <c r="I456" s="465"/>
      <c r="J456" s="298"/>
      <c r="K456" s="467"/>
      <c r="L456" s="167"/>
    </row>
    <row r="457" spans="2:12" ht="30.05" customHeight="1" x14ac:dyDescent="0.35">
      <c r="B457" s="464"/>
      <c r="C457" s="465"/>
      <c r="D457" s="465"/>
      <c r="E457" s="465"/>
      <c r="G457" s="473"/>
      <c r="H457" s="466"/>
      <c r="I457" s="465"/>
      <c r="J457" s="298"/>
      <c r="K457" s="467"/>
      <c r="L457" s="167"/>
    </row>
    <row r="458" spans="2:12" ht="30.05" customHeight="1" x14ac:dyDescent="0.35">
      <c r="B458" s="464"/>
      <c r="C458" s="465"/>
      <c r="D458" s="465"/>
      <c r="E458" s="465"/>
      <c r="G458" s="473"/>
      <c r="H458" s="466"/>
      <c r="I458" s="465"/>
      <c r="J458" s="298"/>
      <c r="K458" s="467"/>
      <c r="L458" s="167"/>
    </row>
    <row r="459" spans="2:12" ht="30.05" customHeight="1" x14ac:dyDescent="0.35">
      <c r="B459" s="464"/>
      <c r="C459" s="465"/>
      <c r="D459" s="465"/>
      <c r="E459" s="465"/>
      <c r="G459" s="473"/>
      <c r="H459" s="466"/>
      <c r="I459" s="465"/>
      <c r="J459" s="298"/>
      <c r="K459" s="467"/>
      <c r="L459" s="167"/>
    </row>
    <row r="460" spans="2:12" ht="30.05" customHeight="1" x14ac:dyDescent="0.35">
      <c r="B460" s="464"/>
      <c r="C460" s="465"/>
      <c r="D460" s="465"/>
      <c r="E460" s="465"/>
      <c r="G460" s="473"/>
      <c r="H460" s="466"/>
      <c r="I460" s="465"/>
      <c r="J460" s="298"/>
      <c r="K460" s="467"/>
      <c r="L460" s="167"/>
    </row>
    <row r="461" spans="2:12" ht="30.05" customHeight="1" x14ac:dyDescent="0.35">
      <c r="B461" s="464"/>
      <c r="C461" s="465"/>
      <c r="D461" s="465"/>
      <c r="E461" s="465"/>
      <c r="G461" s="473"/>
      <c r="H461" s="466"/>
      <c r="I461" s="465"/>
      <c r="J461" s="298"/>
      <c r="K461" s="467"/>
      <c r="L461" s="167"/>
    </row>
    <row r="462" spans="2:12" ht="30.05" customHeight="1" x14ac:dyDescent="0.35">
      <c r="B462" s="464"/>
      <c r="C462" s="465"/>
      <c r="D462" s="465"/>
      <c r="E462" s="465"/>
      <c r="G462" s="473"/>
      <c r="H462" s="466"/>
      <c r="I462" s="465"/>
      <c r="J462" s="298"/>
      <c r="K462" s="467"/>
      <c r="L462" s="167"/>
    </row>
    <row r="463" spans="2:12" ht="30.05" customHeight="1" x14ac:dyDescent="0.35">
      <c r="B463" s="464"/>
      <c r="C463" s="465"/>
      <c r="D463" s="465"/>
      <c r="E463" s="465"/>
      <c r="G463" s="473"/>
      <c r="H463" s="466"/>
      <c r="I463" s="465"/>
      <c r="J463" s="298"/>
      <c r="K463" s="467"/>
      <c r="L463" s="167"/>
    </row>
    <row r="464" spans="2:12" ht="30.05" customHeight="1" x14ac:dyDescent="0.35">
      <c r="B464" s="464"/>
      <c r="C464" s="465"/>
      <c r="D464" s="465"/>
      <c r="E464" s="465"/>
      <c r="G464" s="473"/>
      <c r="H464" s="466"/>
      <c r="I464" s="465"/>
      <c r="J464" s="298"/>
      <c r="K464" s="467"/>
      <c r="L464" s="167"/>
    </row>
    <row r="465" spans="2:12" ht="30.05" customHeight="1" x14ac:dyDescent="0.35">
      <c r="B465" s="464"/>
      <c r="C465" s="465"/>
      <c r="D465" s="465"/>
      <c r="E465" s="465"/>
      <c r="G465" s="473"/>
      <c r="H465" s="466"/>
      <c r="I465" s="465"/>
      <c r="J465" s="298"/>
      <c r="K465" s="467"/>
      <c r="L465" s="167"/>
    </row>
    <row r="466" spans="2:12" ht="30.05" customHeight="1" x14ac:dyDescent="0.35">
      <c r="B466" s="464"/>
      <c r="C466" s="465"/>
      <c r="D466" s="465"/>
      <c r="E466" s="465"/>
      <c r="G466" s="473"/>
      <c r="H466" s="466"/>
      <c r="I466" s="465"/>
      <c r="J466" s="298"/>
      <c r="K466" s="467"/>
      <c r="L466" s="167"/>
    </row>
    <row r="467" spans="2:12" ht="30.05" customHeight="1" x14ac:dyDescent="0.35">
      <c r="B467" s="464"/>
      <c r="C467" s="465"/>
      <c r="D467" s="465"/>
      <c r="E467" s="465"/>
      <c r="G467" s="473"/>
      <c r="H467" s="466"/>
      <c r="I467" s="465"/>
      <c r="J467" s="298"/>
      <c r="K467" s="467"/>
      <c r="L467" s="167"/>
    </row>
    <row r="468" spans="2:12" ht="30.05" customHeight="1" x14ac:dyDescent="0.35">
      <c r="B468" s="464"/>
      <c r="C468" s="465"/>
      <c r="D468" s="465"/>
      <c r="E468" s="465"/>
      <c r="G468" s="473"/>
      <c r="H468" s="466"/>
      <c r="I468" s="465"/>
      <c r="J468" s="298"/>
      <c r="K468" s="467"/>
      <c r="L468" s="167"/>
    </row>
    <row r="469" spans="2:12" ht="30.05" customHeight="1" x14ac:dyDescent="0.35">
      <c r="B469" s="464"/>
      <c r="C469" s="465"/>
      <c r="D469" s="465"/>
      <c r="E469" s="465"/>
      <c r="G469" s="473"/>
      <c r="H469" s="466"/>
      <c r="I469" s="465"/>
      <c r="J469" s="298"/>
      <c r="K469" s="467"/>
      <c r="L469" s="167"/>
    </row>
    <row r="470" spans="2:12" ht="30.05" customHeight="1" x14ac:dyDescent="0.35">
      <c r="B470" s="464"/>
      <c r="C470" s="465"/>
      <c r="D470" s="465"/>
      <c r="E470" s="465"/>
      <c r="G470" s="473"/>
      <c r="H470" s="466"/>
      <c r="I470" s="465"/>
      <c r="J470" s="298"/>
      <c r="K470" s="467"/>
      <c r="L470" s="167"/>
    </row>
    <row r="471" spans="2:12" ht="30.05" customHeight="1" x14ac:dyDescent="0.35">
      <c r="B471" s="464"/>
      <c r="C471" s="465"/>
      <c r="D471" s="465"/>
      <c r="E471" s="465"/>
      <c r="G471" s="473"/>
      <c r="H471" s="466"/>
      <c r="I471" s="465"/>
      <c r="J471" s="298"/>
      <c r="K471" s="467"/>
      <c r="L471" s="167"/>
    </row>
    <row r="472" spans="2:12" ht="30.05" customHeight="1" x14ac:dyDescent="0.35">
      <c r="B472" s="464"/>
      <c r="C472" s="465"/>
      <c r="D472" s="465"/>
      <c r="E472" s="465"/>
      <c r="G472" s="473"/>
      <c r="H472" s="466"/>
      <c r="I472" s="465"/>
      <c r="J472" s="298"/>
      <c r="K472" s="467"/>
      <c r="L472" s="167"/>
    </row>
    <row r="473" spans="2:12" ht="30.05" customHeight="1" x14ac:dyDescent="0.35">
      <c r="B473" s="464"/>
      <c r="C473" s="465"/>
      <c r="D473" s="465"/>
      <c r="E473" s="465"/>
      <c r="G473" s="473"/>
      <c r="H473" s="466"/>
      <c r="I473" s="465"/>
      <c r="J473" s="298"/>
      <c r="K473" s="467"/>
      <c r="L473" s="167"/>
    </row>
    <row r="474" spans="2:12" ht="30.05" customHeight="1" x14ac:dyDescent="0.35">
      <c r="B474" s="464"/>
      <c r="C474" s="465"/>
      <c r="D474" s="465"/>
      <c r="E474" s="465"/>
      <c r="G474" s="473"/>
      <c r="H474" s="466"/>
      <c r="I474" s="465"/>
      <c r="J474" s="298"/>
      <c r="K474" s="467"/>
      <c r="L474" s="167"/>
    </row>
    <row r="475" spans="2:12" ht="30.05" customHeight="1" x14ac:dyDescent="0.35">
      <c r="B475" s="464"/>
      <c r="C475" s="465"/>
      <c r="D475" s="465"/>
      <c r="E475" s="465"/>
      <c r="G475" s="473"/>
      <c r="H475" s="466"/>
      <c r="I475" s="465"/>
      <c r="J475" s="298"/>
      <c r="K475" s="467"/>
      <c r="L475" s="167"/>
    </row>
    <row r="476" spans="2:12" ht="30.05" customHeight="1" x14ac:dyDescent="0.35">
      <c r="B476" s="464"/>
      <c r="C476" s="465"/>
      <c r="D476" s="465"/>
      <c r="E476" s="465"/>
      <c r="G476" s="473"/>
      <c r="H476" s="466"/>
      <c r="I476" s="465"/>
      <c r="J476" s="298"/>
      <c r="K476" s="467"/>
      <c r="L476" s="167"/>
    </row>
    <row r="477" spans="2:12" ht="30.05" customHeight="1" x14ac:dyDescent="0.35">
      <c r="B477" s="464"/>
      <c r="C477" s="465"/>
      <c r="D477" s="465"/>
      <c r="E477" s="465"/>
      <c r="G477" s="473"/>
      <c r="H477" s="466"/>
      <c r="I477" s="465"/>
      <c r="J477" s="298"/>
      <c r="K477" s="467"/>
      <c r="L477" s="167"/>
    </row>
    <row r="478" spans="2:12" ht="30.05" customHeight="1" x14ac:dyDescent="0.35">
      <c r="B478" s="464"/>
      <c r="C478" s="465"/>
      <c r="D478" s="465"/>
      <c r="E478" s="465"/>
      <c r="G478" s="473"/>
      <c r="H478" s="466"/>
      <c r="I478" s="465"/>
      <c r="J478" s="298"/>
      <c r="K478" s="467"/>
      <c r="L478" s="167"/>
    </row>
    <row r="479" spans="2:12" ht="30.05" customHeight="1" x14ac:dyDescent="0.35">
      <c r="B479" s="464"/>
      <c r="C479" s="465"/>
      <c r="D479" s="465"/>
      <c r="E479" s="465"/>
      <c r="G479" s="473"/>
      <c r="H479" s="466"/>
      <c r="I479" s="465"/>
      <c r="J479" s="298"/>
      <c r="K479" s="467"/>
      <c r="L479" s="167"/>
    </row>
    <row r="480" spans="2:12" ht="30.05" customHeight="1" x14ac:dyDescent="0.35">
      <c r="B480" s="464"/>
      <c r="C480" s="465"/>
      <c r="D480" s="465"/>
      <c r="E480" s="465"/>
      <c r="G480" s="473"/>
      <c r="H480" s="466"/>
      <c r="I480" s="465"/>
      <c r="J480" s="298"/>
      <c r="K480" s="467"/>
      <c r="L480" s="167"/>
    </row>
    <row r="481" spans="2:12" ht="30.05" customHeight="1" x14ac:dyDescent="0.35">
      <c r="B481" s="464"/>
      <c r="C481" s="465"/>
      <c r="D481" s="465"/>
      <c r="E481" s="465"/>
      <c r="G481" s="473"/>
      <c r="H481" s="466"/>
      <c r="I481" s="465"/>
      <c r="J481" s="298"/>
      <c r="K481" s="467"/>
      <c r="L481" s="167"/>
    </row>
    <row r="482" spans="2:12" ht="30.05" customHeight="1" x14ac:dyDescent="0.35">
      <c r="B482" s="464"/>
      <c r="C482" s="465"/>
      <c r="D482" s="465"/>
      <c r="E482" s="465"/>
      <c r="G482" s="473"/>
      <c r="H482" s="466"/>
      <c r="I482" s="465"/>
      <c r="J482" s="298"/>
      <c r="K482" s="467"/>
      <c r="L482" s="167"/>
    </row>
    <row r="483" spans="2:12" ht="30.05" customHeight="1" x14ac:dyDescent="0.35">
      <c r="B483" s="464"/>
      <c r="C483" s="465"/>
      <c r="D483" s="465"/>
      <c r="E483" s="465"/>
      <c r="G483" s="473"/>
      <c r="H483" s="466"/>
      <c r="I483" s="465"/>
      <c r="J483" s="298"/>
      <c r="K483" s="467"/>
      <c r="L483" s="167"/>
    </row>
    <row r="484" spans="2:12" ht="30.05" customHeight="1" x14ac:dyDescent="0.35">
      <c r="B484" s="464"/>
      <c r="C484" s="465"/>
      <c r="D484" s="465"/>
      <c r="E484" s="465"/>
      <c r="G484" s="473"/>
      <c r="H484" s="466"/>
      <c r="I484" s="465"/>
      <c r="J484" s="298"/>
      <c r="K484" s="467"/>
      <c r="L484" s="167"/>
    </row>
    <row r="485" spans="2:12" ht="30.05" customHeight="1" x14ac:dyDescent="0.35">
      <c r="B485" s="464"/>
      <c r="C485" s="465"/>
      <c r="D485" s="465"/>
      <c r="E485" s="465"/>
      <c r="G485" s="473"/>
      <c r="H485" s="466"/>
      <c r="I485" s="465"/>
      <c r="J485" s="298"/>
      <c r="K485" s="467"/>
      <c r="L485" s="167"/>
    </row>
    <row r="486" spans="2:12" ht="30.05" customHeight="1" x14ac:dyDescent="0.35">
      <c r="B486" s="464"/>
      <c r="C486" s="465"/>
      <c r="D486" s="465"/>
      <c r="E486" s="465"/>
      <c r="G486" s="473"/>
      <c r="H486" s="466"/>
      <c r="I486" s="465"/>
      <c r="J486" s="298"/>
      <c r="K486" s="467"/>
      <c r="L486" s="167"/>
    </row>
    <row r="487" spans="2:12" ht="30.05" customHeight="1" x14ac:dyDescent="0.35">
      <c r="B487" s="464"/>
      <c r="C487" s="465"/>
      <c r="D487" s="465"/>
      <c r="E487" s="465"/>
      <c r="G487" s="473"/>
      <c r="H487" s="466"/>
      <c r="I487" s="465"/>
      <c r="J487" s="298"/>
      <c r="K487" s="467"/>
      <c r="L487" s="167"/>
    </row>
    <row r="488" spans="2:12" ht="30.05" customHeight="1" x14ac:dyDescent="0.35">
      <c r="B488" s="464"/>
      <c r="C488" s="465"/>
      <c r="D488" s="465"/>
      <c r="E488" s="465"/>
      <c r="G488" s="473"/>
      <c r="H488" s="466"/>
      <c r="I488" s="465"/>
      <c r="J488" s="298"/>
      <c r="K488" s="467"/>
      <c r="L488" s="167"/>
    </row>
    <row r="489" spans="2:12" ht="30.05" customHeight="1" x14ac:dyDescent="0.35">
      <c r="B489" s="464"/>
      <c r="C489" s="465"/>
      <c r="D489" s="465"/>
      <c r="E489" s="465"/>
      <c r="G489" s="473"/>
      <c r="H489" s="466"/>
      <c r="I489" s="465"/>
      <c r="J489" s="298"/>
      <c r="K489" s="467"/>
      <c r="L489" s="167"/>
    </row>
    <row r="490" spans="2:12" ht="30.05" customHeight="1" x14ac:dyDescent="0.35">
      <c r="B490" s="464"/>
      <c r="C490" s="465"/>
      <c r="D490" s="465"/>
      <c r="E490" s="465"/>
      <c r="G490" s="473"/>
      <c r="H490" s="466"/>
      <c r="I490" s="465"/>
      <c r="J490" s="298"/>
      <c r="K490" s="467"/>
      <c r="L490" s="167"/>
    </row>
    <row r="491" spans="2:12" ht="30.05" customHeight="1" x14ac:dyDescent="0.35">
      <c r="B491" s="464"/>
      <c r="C491" s="465"/>
      <c r="D491" s="465"/>
      <c r="E491" s="465"/>
      <c r="G491" s="473"/>
      <c r="H491" s="466"/>
      <c r="I491" s="465"/>
      <c r="J491" s="298"/>
      <c r="K491" s="467"/>
      <c r="L491" s="167"/>
    </row>
    <row r="492" spans="2:12" ht="30.05" customHeight="1" x14ac:dyDescent="0.35">
      <c r="B492" s="464"/>
      <c r="C492" s="465"/>
      <c r="D492" s="465"/>
      <c r="E492" s="465"/>
      <c r="G492" s="473"/>
      <c r="H492" s="466"/>
      <c r="I492" s="465"/>
      <c r="J492" s="298"/>
      <c r="K492" s="467"/>
      <c r="L492" s="167"/>
    </row>
    <row r="493" spans="2:12" ht="30.05" customHeight="1" x14ac:dyDescent="0.35">
      <c r="B493" s="464"/>
      <c r="C493" s="465"/>
      <c r="D493" s="465"/>
      <c r="E493" s="465"/>
      <c r="G493" s="473"/>
      <c r="H493" s="466"/>
      <c r="I493" s="465"/>
      <c r="J493" s="298"/>
      <c r="K493" s="467"/>
      <c r="L493" s="167"/>
    </row>
    <row r="494" spans="2:12" ht="30.05" customHeight="1" x14ac:dyDescent="0.35">
      <c r="B494" s="464"/>
      <c r="C494" s="465"/>
      <c r="D494" s="465"/>
      <c r="E494" s="465"/>
      <c r="G494" s="473"/>
      <c r="H494" s="466"/>
      <c r="I494" s="465"/>
      <c r="J494" s="298"/>
      <c r="K494" s="467"/>
      <c r="L494" s="167"/>
    </row>
    <row r="495" spans="2:12" ht="30.05" customHeight="1" x14ac:dyDescent="0.35">
      <c r="B495" s="464"/>
      <c r="C495" s="465"/>
      <c r="D495" s="465"/>
      <c r="E495" s="465"/>
      <c r="G495" s="473"/>
      <c r="H495" s="466"/>
      <c r="I495" s="465"/>
      <c r="J495" s="298"/>
      <c r="K495" s="467"/>
      <c r="L495" s="167"/>
    </row>
    <row r="496" spans="2:12" ht="30.05" customHeight="1" x14ac:dyDescent="0.35">
      <c r="B496" s="464"/>
      <c r="C496" s="465"/>
      <c r="D496" s="465"/>
      <c r="E496" s="465"/>
      <c r="G496" s="473"/>
      <c r="H496" s="466"/>
      <c r="I496" s="465"/>
      <c r="J496" s="298"/>
      <c r="K496" s="467"/>
      <c r="L496" s="167"/>
    </row>
    <row r="497" spans="2:12" ht="30.05" customHeight="1" x14ac:dyDescent="0.35">
      <c r="B497" s="464"/>
      <c r="C497" s="465"/>
      <c r="D497" s="465"/>
      <c r="E497" s="465"/>
      <c r="G497" s="473"/>
      <c r="H497" s="466"/>
      <c r="I497" s="465"/>
      <c r="J497" s="298"/>
      <c r="K497" s="467"/>
      <c r="L497" s="167"/>
    </row>
    <row r="498" spans="2:12" ht="30.05" customHeight="1" x14ac:dyDescent="0.35">
      <c r="B498" s="464"/>
      <c r="C498" s="465"/>
      <c r="D498" s="465"/>
      <c r="E498" s="465"/>
      <c r="G498" s="473"/>
      <c r="H498" s="466"/>
      <c r="I498" s="465"/>
      <c r="J498" s="298"/>
      <c r="K498" s="467"/>
      <c r="L498" s="167"/>
    </row>
    <row r="499" spans="2:12" ht="30.05" customHeight="1" x14ac:dyDescent="0.35">
      <c r="B499" s="464"/>
      <c r="C499" s="465"/>
      <c r="D499" s="465"/>
      <c r="E499" s="465"/>
      <c r="G499" s="473"/>
      <c r="H499" s="466"/>
      <c r="I499" s="465"/>
      <c r="J499" s="298"/>
      <c r="K499" s="467"/>
      <c r="L499" s="167"/>
    </row>
    <row r="500" spans="2:12" ht="30.05" customHeight="1" x14ac:dyDescent="0.35">
      <c r="B500" s="464"/>
      <c r="C500" s="465"/>
      <c r="D500" s="465"/>
      <c r="E500" s="465"/>
      <c r="G500" s="473"/>
      <c r="H500" s="466"/>
      <c r="I500" s="465"/>
      <c r="J500" s="298"/>
      <c r="K500" s="467"/>
      <c r="L500" s="167"/>
    </row>
    <row r="501" spans="2:12" ht="30.05" customHeight="1" x14ac:dyDescent="0.35">
      <c r="B501" s="464"/>
      <c r="C501" s="465"/>
      <c r="D501" s="465"/>
      <c r="E501" s="465"/>
      <c r="G501" s="473"/>
      <c r="H501" s="466"/>
      <c r="I501" s="465"/>
      <c r="J501" s="298"/>
      <c r="K501" s="467"/>
      <c r="L501" s="167"/>
    </row>
    <row r="502" spans="2:12" ht="30.05" customHeight="1" x14ac:dyDescent="0.35">
      <c r="B502" s="464"/>
      <c r="C502" s="465"/>
      <c r="D502" s="465"/>
      <c r="E502" s="465"/>
      <c r="G502" s="473"/>
      <c r="H502" s="466"/>
      <c r="I502" s="465"/>
      <c r="J502" s="298"/>
      <c r="K502" s="467"/>
      <c r="L502" s="167"/>
    </row>
    <row r="503" spans="2:12" ht="30.05" customHeight="1" x14ac:dyDescent="0.35">
      <c r="B503" s="464"/>
      <c r="C503" s="465"/>
      <c r="D503" s="465"/>
      <c r="E503" s="465"/>
      <c r="G503" s="473"/>
      <c r="H503" s="466"/>
      <c r="I503" s="465"/>
      <c r="J503" s="298"/>
      <c r="K503" s="467"/>
      <c r="L503" s="167"/>
    </row>
    <row r="504" spans="2:12" ht="30.05" customHeight="1" x14ac:dyDescent="0.35">
      <c r="B504" s="464"/>
      <c r="C504" s="465"/>
      <c r="D504" s="465"/>
      <c r="E504" s="465"/>
      <c r="G504" s="473"/>
      <c r="H504" s="466"/>
      <c r="I504" s="465"/>
      <c r="J504" s="298"/>
      <c r="K504" s="467"/>
      <c r="L504" s="167"/>
    </row>
    <row r="505" spans="2:12" ht="30.05" customHeight="1" x14ac:dyDescent="0.35">
      <c r="B505" s="464"/>
      <c r="C505" s="465"/>
      <c r="D505" s="465"/>
      <c r="E505" s="465"/>
      <c r="G505" s="473"/>
      <c r="H505" s="466"/>
      <c r="I505" s="465"/>
      <c r="J505" s="298"/>
      <c r="K505" s="467"/>
      <c r="L505" s="167"/>
    </row>
    <row r="506" spans="2:12" ht="30.05" customHeight="1" x14ac:dyDescent="0.35">
      <c r="B506" s="464"/>
      <c r="C506" s="465"/>
      <c r="D506" s="465"/>
      <c r="E506" s="465"/>
      <c r="G506" s="473"/>
      <c r="H506" s="466"/>
      <c r="I506" s="465"/>
      <c r="J506" s="298"/>
      <c r="K506" s="467"/>
      <c r="L506" s="167"/>
    </row>
    <row r="507" spans="2:12" ht="30.05" customHeight="1" x14ac:dyDescent="0.35">
      <c r="B507" s="464">
        <v>507</v>
      </c>
      <c r="C507" s="465"/>
      <c r="D507" s="465"/>
      <c r="E507" s="465"/>
      <c r="G507" s="473"/>
      <c r="H507" s="466"/>
      <c r="I507" s="465"/>
      <c r="J507" s="298"/>
      <c r="K507" s="467"/>
      <c r="L507" s="167"/>
    </row>
    <row r="508" spans="2:12" ht="30.05" customHeight="1" x14ac:dyDescent="0.35">
      <c r="B508" s="464">
        <v>508</v>
      </c>
      <c r="C508" s="465"/>
      <c r="D508" s="465"/>
      <c r="E508" s="465"/>
      <c r="G508" s="473"/>
      <c r="H508" s="466"/>
      <c r="I508" s="465"/>
      <c r="J508" s="298"/>
      <c r="K508" s="467"/>
      <c r="L508" s="167"/>
    </row>
    <row r="509" spans="2:12" ht="30.05" customHeight="1" x14ac:dyDescent="0.35">
      <c r="B509" s="464">
        <v>509</v>
      </c>
      <c r="C509" s="465"/>
      <c r="D509" s="465"/>
      <c r="E509" s="465"/>
      <c r="G509" s="473"/>
      <c r="H509" s="466"/>
      <c r="I509" s="465"/>
      <c r="J509" s="298"/>
      <c r="K509" s="467"/>
      <c r="L509" s="167"/>
    </row>
    <row r="510" spans="2:12" ht="30.05" customHeight="1" x14ac:dyDescent="0.35">
      <c r="B510" s="464">
        <v>510</v>
      </c>
      <c r="C510" s="465"/>
      <c r="D510" s="465"/>
      <c r="E510" s="465"/>
      <c r="G510" s="473"/>
      <c r="H510" s="466"/>
      <c r="I510" s="465"/>
      <c r="J510" s="298"/>
      <c r="K510" s="467"/>
      <c r="L510" s="167"/>
    </row>
  </sheetData>
  <sheetProtection insertRows="0" deleteRows="0" sort="0" autoFilter="0" pivotTables="0"/>
  <phoneticPr fontId="36" type="noConversion"/>
  <dataValidations count="1">
    <dataValidation type="list" allowBlank="1" showInputMessage="1" showErrorMessage="1" sqref="C171:D171" xr:uid="{00000000-0002-0000-0300-000000000000}">
      <formula1>IF(W171="Receita",LISTA_CLIENTES,LISTA_FORNECEDORES)</formula1>
    </dataValidation>
  </dataValidations>
  <pageMargins left="0.511811024" right="0.511811024" top="0.78740157499999996" bottom="0.78740157499999996" header="0.31496062000000002" footer="0.31496062000000002"/>
  <pageSetup paperSize="9" scale="59" orientation="landscape" horizontalDpi="200" verticalDpi="200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4"/>
  <dimension ref="A1:P26"/>
  <sheetViews>
    <sheetView showGridLines="0" zoomScaleNormal="100" workbookViewId="0">
      <pane ySplit="4" topLeftCell="A11" activePane="bottomLeft" state="frozen"/>
      <selection pane="bottomLeft"/>
    </sheetView>
  </sheetViews>
  <sheetFormatPr defaultColWidth="9.1796875" defaultRowHeight="30.05" customHeight="1" x14ac:dyDescent="0.35"/>
  <cols>
    <col min="1" max="1" width="0.7265625" style="28" customWidth="1"/>
    <col min="2" max="2" width="8.1796875" style="29" hidden="1" customWidth="1"/>
    <col min="3" max="3" width="11.81640625" style="28" hidden="1" customWidth="1"/>
    <col min="4" max="4" width="5.453125" style="458" customWidth="1"/>
    <col min="5" max="5" width="12.81640625" style="28" customWidth="1"/>
    <col min="6" max="6" width="22.81640625" style="35" customWidth="1"/>
    <col min="7" max="8" width="12.81640625" style="28" customWidth="1"/>
    <col min="9" max="9" width="22.81640625" style="35" customWidth="1"/>
    <col min="10" max="10" width="14.26953125" style="305" customWidth="1"/>
    <col min="11" max="11" width="17.453125" style="35" customWidth="1"/>
    <col min="12" max="12" width="2.26953125" style="28" customWidth="1"/>
    <col min="13" max="13" width="25" style="167" customWidth="1"/>
    <col min="14" max="14" width="17.1796875" style="28" customWidth="1"/>
    <col min="15" max="15" width="2.26953125" style="28" customWidth="1"/>
    <col min="16" max="16" width="23.453125" style="28" customWidth="1"/>
    <col min="17" max="17" width="9.81640625" style="28" customWidth="1"/>
    <col min="18" max="20" width="9.1796875" style="28"/>
    <col min="21" max="21" width="9.1796875" style="28" customWidth="1"/>
    <col min="22" max="16384" width="9.1796875" style="28"/>
  </cols>
  <sheetData>
    <row r="1" spans="1:16" s="13" customFormat="1" ht="25" customHeight="1" x14ac:dyDescent="0.35">
      <c r="B1" s="31"/>
      <c r="D1" s="454"/>
      <c r="F1" s="36"/>
      <c r="I1" s="36"/>
      <c r="J1" s="302"/>
      <c r="K1" s="36"/>
      <c r="M1" s="169"/>
    </row>
    <row r="2" spans="1:16" s="16" customFormat="1" ht="20.100000000000001" customHeight="1" x14ac:dyDescent="0.35">
      <c r="B2" s="33"/>
      <c r="D2" s="170"/>
      <c r="E2" s="17"/>
      <c r="F2" s="127"/>
      <c r="G2" s="17"/>
      <c r="H2" s="17"/>
      <c r="I2" s="127"/>
      <c r="J2" s="303"/>
      <c r="K2" s="127"/>
      <c r="M2" s="171"/>
    </row>
    <row r="3" spans="1:16" s="8" customFormat="1" ht="3.75" customHeight="1" x14ac:dyDescent="0.35">
      <c r="A3" s="7"/>
      <c r="B3" s="307"/>
      <c r="C3" s="7"/>
      <c r="D3" s="455"/>
      <c r="F3" s="38"/>
      <c r="I3" s="38"/>
      <c r="J3" s="304"/>
      <c r="K3" s="38"/>
      <c r="M3" s="173"/>
    </row>
    <row r="4" spans="1:16" ht="30.05" customHeight="1" x14ac:dyDescent="0.35">
      <c r="B4" s="460" t="s">
        <v>1184</v>
      </c>
      <c r="C4" s="460" t="s">
        <v>1188</v>
      </c>
      <c r="D4" s="459" t="s">
        <v>1128</v>
      </c>
      <c r="E4" s="462" t="s">
        <v>1178</v>
      </c>
      <c r="F4" s="460" t="s">
        <v>1176</v>
      </c>
      <c r="G4" s="462" t="s">
        <v>1192</v>
      </c>
      <c r="H4" s="462" t="s">
        <v>1216</v>
      </c>
      <c r="I4" s="460" t="s">
        <v>1193</v>
      </c>
      <c r="J4" s="479" t="s">
        <v>1220</v>
      </c>
      <c r="K4" s="480" t="s">
        <v>1221</v>
      </c>
      <c r="M4" s="460" t="s">
        <v>1177</v>
      </c>
      <c r="N4" s="460" t="s">
        <v>1204</v>
      </c>
      <c r="P4" s="370" t="s">
        <v>1570</v>
      </c>
    </row>
    <row r="5" spans="1:16" ht="30.05" customHeight="1" x14ac:dyDescent="0.35">
      <c r="B5" s="481" t="str">
        <f>IF(CAD_Bancos[[#This Row],[DATA SALDO INICIAL]]="","",TEXT(CAD_Bancos[[#This Row],[DATA SALDO INICIAL]],"AAAA"))</f>
        <v>2025</v>
      </c>
      <c r="C5" s="482" t="str">
        <f>IF(CAD_Bancos[[#This Row],[DATA SALDO INICIAL]]="","",PROPER(TEXT(CAD_Bancos[[#This Row],[DATA SALDO INICIAL]],"MMMM")))</f>
        <v>Outubro</v>
      </c>
      <c r="D5" s="464">
        <v>1</v>
      </c>
      <c r="E5" s="466">
        <v>290</v>
      </c>
      <c r="F5" s="465" t="s">
        <v>1776</v>
      </c>
      <c r="G5" s="466">
        <v>1</v>
      </c>
      <c r="H5" s="466"/>
      <c r="I5" s="465" t="s">
        <v>1777</v>
      </c>
      <c r="J5" s="483">
        <v>45931</v>
      </c>
      <c r="K5" s="484">
        <v>273.67</v>
      </c>
      <c r="M5" s="467" t="s">
        <v>1639</v>
      </c>
      <c r="N5" s="467" t="s">
        <v>1639</v>
      </c>
      <c r="P5" s="1" t="s">
        <v>1626</v>
      </c>
    </row>
    <row r="6" spans="1:16" ht="30.05" customHeight="1" x14ac:dyDescent="0.35">
      <c r="B6" s="481" t="str">
        <f>IF(CAD_Bancos[[#This Row],[DATA SALDO INICIAL]]="","",TEXT(CAD_Bancos[[#This Row],[DATA SALDO INICIAL]],"AAAA"))</f>
        <v>2025</v>
      </c>
      <c r="C6" s="482" t="str">
        <f>IF(CAD_Bancos[[#This Row],[DATA SALDO INICIAL]]="","",PROPER(TEXT(CAD_Bancos[[#This Row],[DATA SALDO INICIAL]],"MMMM")))</f>
        <v>Outubro</v>
      </c>
      <c r="D6" s="464">
        <v>2</v>
      </c>
      <c r="E6" s="466" t="s">
        <v>1778</v>
      </c>
      <c r="F6" s="465" t="s">
        <v>1767</v>
      </c>
      <c r="G6" s="466"/>
      <c r="H6" s="466"/>
      <c r="I6" s="465" t="s">
        <v>1779</v>
      </c>
      <c r="J6" s="483">
        <v>45931</v>
      </c>
      <c r="K6" s="484">
        <v>939.94</v>
      </c>
      <c r="M6" s="467" t="s">
        <v>1644</v>
      </c>
      <c r="N6" s="467" t="s">
        <v>1644</v>
      </c>
      <c r="P6" s="1" t="s">
        <v>1651</v>
      </c>
    </row>
    <row r="7" spans="1:16" ht="30.05" customHeight="1" x14ac:dyDescent="0.35">
      <c r="B7" s="481" t="str">
        <f>IF(CAD_Bancos[[#This Row],[DATA SALDO INICIAL]]="","",TEXT(CAD_Bancos[[#This Row],[DATA SALDO INICIAL]],"AAAA"))</f>
        <v/>
      </c>
      <c r="C7" s="482" t="str">
        <f>IF(CAD_Bancos[[#This Row],[DATA SALDO INICIAL]]="","",PROPER(TEXT(CAD_Bancos[[#This Row],[DATA SALDO INICIAL]],"MMMM")))</f>
        <v/>
      </c>
      <c r="D7" s="464">
        <v>3</v>
      </c>
      <c r="E7" s="466"/>
      <c r="F7" s="465"/>
      <c r="G7" s="466"/>
      <c r="H7" s="466"/>
      <c r="I7" s="465"/>
      <c r="J7" s="483"/>
      <c r="K7" s="484">
        <v>0</v>
      </c>
      <c r="M7" s="467" t="s">
        <v>1506</v>
      </c>
      <c r="N7" s="467" t="s">
        <v>1506</v>
      </c>
      <c r="P7" s="1" t="s">
        <v>1628</v>
      </c>
    </row>
    <row r="8" spans="1:16" ht="30.05" customHeight="1" x14ac:dyDescent="0.35">
      <c r="B8" s="481" t="str">
        <f>IF(CAD_Bancos[[#This Row],[DATA SALDO INICIAL]]="","",TEXT(CAD_Bancos[[#This Row],[DATA SALDO INICIAL]],"AAAA"))</f>
        <v/>
      </c>
      <c r="C8" s="482" t="str">
        <f>IF(CAD_Bancos[[#This Row],[DATA SALDO INICIAL]]="","",PROPER(TEXT(CAD_Bancos[[#This Row],[DATA SALDO INICIAL]],"MMMM")))</f>
        <v/>
      </c>
      <c r="D8" s="464">
        <v>4</v>
      </c>
      <c r="E8" s="466"/>
      <c r="F8" s="465"/>
      <c r="G8" s="466"/>
      <c r="H8" s="466"/>
      <c r="I8" s="465"/>
      <c r="J8" s="483"/>
      <c r="K8" s="484">
        <v>0</v>
      </c>
      <c r="M8" s="1" t="s">
        <v>1627</v>
      </c>
      <c r="N8" s="1" t="s">
        <v>1627</v>
      </c>
      <c r="P8" s="1" t="s">
        <v>1646</v>
      </c>
    </row>
    <row r="9" spans="1:16" ht="30.05" customHeight="1" x14ac:dyDescent="0.35">
      <c r="B9" s="481" t="str">
        <f>IF(CAD_Bancos[[#This Row],[DATA SALDO INICIAL]]="","",TEXT(CAD_Bancos[[#This Row],[DATA SALDO INICIAL]],"AAAA"))</f>
        <v/>
      </c>
      <c r="C9" s="482" t="str">
        <f>IF(CAD_Bancos[[#This Row],[DATA SALDO INICIAL]]="","",PROPER(TEXT(CAD_Bancos[[#This Row],[DATA SALDO INICIAL]],"MMMM")))</f>
        <v/>
      </c>
      <c r="D9" s="464">
        <v>5</v>
      </c>
      <c r="E9" s="466"/>
      <c r="F9" s="465"/>
      <c r="G9" s="466"/>
      <c r="H9" s="466"/>
      <c r="I9" s="465"/>
      <c r="J9" s="483"/>
      <c r="K9" s="484">
        <v>0</v>
      </c>
      <c r="M9" s="467" t="s">
        <v>1628</v>
      </c>
      <c r="N9" s="467" t="s">
        <v>1628</v>
      </c>
      <c r="P9" s="1" t="s">
        <v>1210</v>
      </c>
    </row>
    <row r="10" spans="1:16" ht="30.05" customHeight="1" x14ac:dyDescent="0.35">
      <c r="B10" s="481" t="str">
        <f>IF(CAD_Bancos[[#This Row],[DATA SALDO INICIAL]]="","",TEXT(CAD_Bancos[[#This Row],[DATA SALDO INICIAL]],"AAAA"))</f>
        <v/>
      </c>
      <c r="C10" s="482" t="str">
        <f>IF(CAD_Bancos[[#This Row],[DATA SALDO INICIAL]]="","",PROPER(TEXT(CAD_Bancos[[#This Row],[DATA SALDO INICIAL]],"MMMM")))</f>
        <v/>
      </c>
      <c r="D10" s="464">
        <v>6</v>
      </c>
      <c r="E10" s="466"/>
      <c r="F10" s="465"/>
      <c r="G10" s="466"/>
      <c r="H10" s="466"/>
      <c r="I10" s="465"/>
      <c r="J10" s="483"/>
      <c r="K10" s="484"/>
      <c r="M10" s="467" t="s">
        <v>1651</v>
      </c>
      <c r="N10" s="467" t="s">
        <v>1651</v>
      </c>
      <c r="P10" s="1" t="s">
        <v>1630</v>
      </c>
    </row>
    <row r="11" spans="1:16" ht="30.05" customHeight="1" x14ac:dyDescent="0.35">
      <c r="B11" s="481" t="str">
        <f>IF(CAD_Bancos[[#This Row],[DATA SALDO INICIAL]]="","",TEXT(CAD_Bancos[[#This Row],[DATA SALDO INICIAL]],"AAAA"))</f>
        <v/>
      </c>
      <c r="C11" s="482" t="str">
        <f>IF(CAD_Bancos[[#This Row],[DATA SALDO INICIAL]]="","",PROPER(TEXT(CAD_Bancos[[#This Row],[DATA SALDO INICIAL]],"MMMM")))</f>
        <v/>
      </c>
      <c r="D11" s="464">
        <v>7</v>
      </c>
      <c r="E11" s="464"/>
      <c r="F11" s="465"/>
      <c r="G11" s="464"/>
      <c r="H11" s="464"/>
      <c r="I11" s="465"/>
      <c r="J11" s="483"/>
      <c r="K11" s="484"/>
      <c r="M11" s="467" t="s">
        <v>1646</v>
      </c>
      <c r="N11" s="467" t="s">
        <v>1646</v>
      </c>
      <c r="P11" s="1" t="s">
        <v>1640</v>
      </c>
    </row>
    <row r="12" spans="1:16" ht="30.05" customHeight="1" x14ac:dyDescent="0.35">
      <c r="B12" s="481" t="str">
        <f>IF(CAD_Bancos[[#This Row],[DATA SALDO INICIAL]]="","",TEXT(CAD_Bancos[[#This Row],[DATA SALDO INICIAL]],"AAAA"))</f>
        <v/>
      </c>
      <c r="C12" s="482" t="str">
        <f>IF(CAD_Bancos[[#This Row],[DATA SALDO INICIAL]]="","",PROPER(TEXT(CAD_Bancos[[#This Row],[DATA SALDO INICIAL]],"MMMM")))</f>
        <v/>
      </c>
      <c r="D12" s="464"/>
      <c r="E12" s="464"/>
      <c r="F12" s="465"/>
      <c r="G12" s="464"/>
      <c r="H12" s="464"/>
      <c r="I12" s="465"/>
      <c r="J12" s="483"/>
      <c r="K12" s="484"/>
      <c r="M12" s="467" t="s">
        <v>1629</v>
      </c>
      <c r="N12" s="467" t="s">
        <v>1629</v>
      </c>
      <c r="P12" s="1" t="s">
        <v>1644</v>
      </c>
    </row>
    <row r="13" spans="1:16" ht="30.05" customHeight="1" x14ac:dyDescent="0.35">
      <c r="B13" s="481" t="str">
        <f>IF(CAD_Bancos[[#This Row],[DATA SALDO INICIAL]]="","",TEXT(CAD_Bancos[[#This Row],[DATA SALDO INICIAL]],"AAAA"))</f>
        <v/>
      </c>
      <c r="C13" s="482" t="str">
        <f>IF(CAD_Bancos[[#This Row],[DATA SALDO INICIAL]]="","",PROPER(TEXT(CAD_Bancos[[#This Row],[DATA SALDO INICIAL]],"MMMM")))</f>
        <v/>
      </c>
      <c r="D13" s="464"/>
      <c r="E13" s="466"/>
      <c r="F13" s="465"/>
      <c r="G13" s="466"/>
      <c r="H13" s="466"/>
      <c r="I13" s="465"/>
      <c r="J13" s="483"/>
      <c r="K13" s="484"/>
      <c r="M13" s="467" t="s">
        <v>1210</v>
      </c>
      <c r="N13" s="467" t="s">
        <v>1210</v>
      </c>
      <c r="P13" s="1" t="s">
        <v>1627</v>
      </c>
    </row>
    <row r="14" spans="1:16" ht="30.05" customHeight="1" x14ac:dyDescent="0.35">
      <c r="B14" s="481" t="str">
        <f>IF(CAD_Bancos[[#This Row],[DATA SALDO INICIAL]]="","",TEXT(CAD_Bancos[[#This Row],[DATA SALDO INICIAL]],"AAAA"))</f>
        <v/>
      </c>
      <c r="C14" s="482" t="str">
        <f>IF(CAD_Bancos[[#This Row],[DATA SALDO INICIAL]]="","",PROPER(TEXT(CAD_Bancos[[#This Row],[DATA SALDO INICIAL]],"MMMM")))</f>
        <v/>
      </c>
      <c r="D14" s="464"/>
      <c r="E14" s="466"/>
      <c r="F14" s="465"/>
      <c r="G14" s="466"/>
      <c r="H14" s="466"/>
      <c r="I14" s="465"/>
      <c r="J14" s="483"/>
      <c r="K14" s="484"/>
      <c r="M14" s="467" t="s">
        <v>1631</v>
      </c>
      <c r="N14" s="467" t="s">
        <v>1631</v>
      </c>
      <c r="P14" s="1" t="s">
        <v>1783</v>
      </c>
    </row>
    <row r="15" spans="1:16" ht="30.05" customHeight="1" x14ac:dyDescent="0.35">
      <c r="B15" s="481" t="str">
        <f>IF(CAD_Bancos[[#This Row],[DATA SALDO INICIAL]]="","",TEXT(CAD_Bancos[[#This Row],[DATA SALDO INICIAL]],"AAAA"))</f>
        <v/>
      </c>
      <c r="C15" s="482" t="str">
        <f>IF(CAD_Bancos[[#This Row],[DATA SALDO INICIAL]]="","",PROPER(TEXT(CAD_Bancos[[#This Row],[DATA SALDO INICIAL]],"MMMM")))</f>
        <v/>
      </c>
      <c r="D15" s="464"/>
      <c r="E15" s="466"/>
      <c r="F15" s="465"/>
      <c r="G15" s="466"/>
      <c r="H15" s="466"/>
      <c r="I15" s="465"/>
      <c r="J15" s="483"/>
      <c r="K15" s="484"/>
      <c r="M15" s="467" t="s">
        <v>1564</v>
      </c>
      <c r="N15" s="467" t="s">
        <v>1564</v>
      </c>
      <c r="P15" s="1" t="s">
        <v>1210</v>
      </c>
    </row>
    <row r="16" spans="1:16" ht="30.05" customHeight="1" x14ac:dyDescent="0.35">
      <c r="B16" s="481" t="str">
        <f>IF(CAD_Bancos[[#This Row],[DATA SALDO INICIAL]]="","",TEXT(CAD_Bancos[[#This Row],[DATA SALDO INICIAL]],"AAAA"))</f>
        <v/>
      </c>
      <c r="C16" s="482" t="str">
        <f>IF(CAD_Bancos[[#This Row],[DATA SALDO INICIAL]]="","",PROPER(TEXT(CAD_Bancos[[#This Row],[DATA SALDO INICIAL]],"MMMM")))</f>
        <v/>
      </c>
      <c r="D16" s="464"/>
      <c r="E16" s="466"/>
      <c r="F16" s="465"/>
      <c r="G16" s="466"/>
      <c r="H16" s="466"/>
      <c r="I16" s="465"/>
      <c r="J16" s="483"/>
      <c r="K16" s="484"/>
      <c r="M16" s="467" t="s">
        <v>1780</v>
      </c>
      <c r="N16" s="467" t="s">
        <v>1780</v>
      </c>
      <c r="P16" s="1" t="s">
        <v>1780</v>
      </c>
    </row>
    <row r="17" spans="2:16" ht="30.05" customHeight="1" x14ac:dyDescent="0.35">
      <c r="B17" s="481" t="str">
        <f>IF(CAD_Bancos[[#This Row],[DATA SALDO INICIAL]]="","",TEXT(CAD_Bancos[[#This Row],[DATA SALDO INICIAL]],"AAAA"))</f>
        <v/>
      </c>
      <c r="C17" s="482" t="str">
        <f>IF(CAD_Bancos[[#This Row],[DATA SALDO INICIAL]]="","",PROPER(TEXT(CAD_Bancos[[#This Row],[DATA SALDO INICIAL]],"MMMM")))</f>
        <v/>
      </c>
      <c r="D17" s="464"/>
      <c r="E17" s="466"/>
      <c r="F17" s="465"/>
      <c r="G17" s="466"/>
      <c r="H17" s="466"/>
      <c r="I17" s="465"/>
      <c r="J17" s="483"/>
      <c r="K17" s="484"/>
      <c r="M17" s="467" t="s">
        <v>1781</v>
      </c>
      <c r="N17" s="467" t="s">
        <v>1781</v>
      </c>
      <c r="P17" s="1" t="s">
        <v>1781</v>
      </c>
    </row>
    <row r="18" spans="2:16" ht="30.05" customHeight="1" x14ac:dyDescent="0.35">
      <c r="B18" s="481" t="str">
        <f>IF(CAD_Bancos[[#This Row],[DATA SALDO INICIAL]]="","",TEXT(CAD_Bancos[[#This Row],[DATA SALDO INICIAL]],"AAAA"))</f>
        <v/>
      </c>
      <c r="C18" s="482" t="str">
        <f>IF(CAD_Bancos[[#This Row],[DATA SALDO INICIAL]]="","",PROPER(TEXT(CAD_Bancos[[#This Row],[DATA SALDO INICIAL]],"MMMM")))</f>
        <v/>
      </c>
      <c r="D18" s="464"/>
      <c r="E18" s="466"/>
      <c r="F18" s="465"/>
      <c r="G18" s="466"/>
      <c r="H18" s="466"/>
      <c r="I18" s="465"/>
      <c r="J18" s="483"/>
      <c r="K18" s="484"/>
      <c r="M18" s="467" t="s">
        <v>1782</v>
      </c>
      <c r="N18" s="467" t="s">
        <v>1782</v>
      </c>
      <c r="P18" s="1" t="s">
        <v>1782</v>
      </c>
    </row>
    <row r="19" spans="2:16" ht="30.05" customHeight="1" x14ac:dyDescent="0.35">
      <c r="B19" s="481" t="str">
        <f>IF(CAD_Bancos[[#This Row],[DATA SALDO INICIAL]]="","",TEXT(CAD_Bancos[[#This Row],[DATA SALDO INICIAL]],"AAAA"))</f>
        <v/>
      </c>
      <c r="C19" s="482" t="str">
        <f>IF(CAD_Bancos[[#This Row],[DATA SALDO INICIAL]]="","",PROPER(TEXT(CAD_Bancos[[#This Row],[DATA SALDO INICIAL]],"MMMM")))</f>
        <v/>
      </c>
      <c r="D19" s="464"/>
      <c r="E19" s="466"/>
      <c r="F19" s="465"/>
      <c r="G19" s="466"/>
      <c r="H19" s="466"/>
      <c r="I19" s="465"/>
      <c r="J19" s="483"/>
      <c r="K19" s="484"/>
      <c r="M19" s="467" t="s">
        <v>1640</v>
      </c>
      <c r="N19" s="467" t="s">
        <v>1640</v>
      </c>
      <c r="P19"/>
    </row>
    <row r="20" spans="2:16" ht="30.05" customHeight="1" x14ac:dyDescent="0.35">
      <c r="B20" s="481" t="str">
        <f>IF(CAD_Bancos[[#This Row],[DATA SALDO INICIAL]]="","",TEXT(CAD_Bancos[[#This Row],[DATA SALDO INICIAL]],"AAAA"))</f>
        <v/>
      </c>
      <c r="C20" s="482" t="str">
        <f>IF(CAD_Bancos[[#This Row],[DATA SALDO INICIAL]]="","",PROPER(TEXT(CAD_Bancos[[#This Row],[DATA SALDO INICIAL]],"MMMM")))</f>
        <v/>
      </c>
      <c r="D20" s="464"/>
      <c r="E20" s="466"/>
      <c r="F20" s="465"/>
      <c r="G20" s="466"/>
      <c r="H20" s="466"/>
      <c r="I20" s="465"/>
      <c r="J20" s="483"/>
      <c r="K20" s="484"/>
      <c r="M20" s="467" t="s">
        <v>1630</v>
      </c>
      <c r="N20" s="467" t="s">
        <v>1630</v>
      </c>
      <c r="P20"/>
    </row>
    <row r="21" spans="2:16" ht="30.05" customHeight="1" x14ac:dyDescent="0.35">
      <c r="B21" s="481" t="str">
        <f>IF(CAD_Bancos[[#This Row],[DATA SALDO INICIAL]]="","",TEXT(CAD_Bancos[[#This Row],[DATA SALDO INICIAL]],"AAAA"))</f>
        <v/>
      </c>
      <c r="C21" s="482" t="str">
        <f>IF(CAD_Bancos[[#This Row],[DATA SALDO INICIAL]]="","",PROPER(TEXT(CAD_Bancos[[#This Row],[DATA SALDO INICIAL]],"MMMM")))</f>
        <v/>
      </c>
      <c r="D21" s="464"/>
      <c r="E21" s="466"/>
      <c r="F21" s="465"/>
      <c r="G21" s="466"/>
      <c r="H21" s="466"/>
      <c r="I21" s="465"/>
      <c r="J21" s="483"/>
      <c r="K21" s="484"/>
      <c r="P21"/>
    </row>
    <row r="22" spans="2:16" ht="30.05" customHeight="1" x14ac:dyDescent="0.35">
      <c r="B22" s="481" t="str">
        <f>IF(CAD_Bancos[[#This Row],[DATA SALDO INICIAL]]="","",TEXT(CAD_Bancos[[#This Row],[DATA SALDO INICIAL]],"AAAA"))</f>
        <v/>
      </c>
      <c r="C22" s="482" t="str">
        <f>IF(CAD_Bancos[[#This Row],[DATA SALDO INICIAL]]="","",PROPER(TEXT(CAD_Bancos[[#This Row],[DATA SALDO INICIAL]],"MMMM")))</f>
        <v/>
      </c>
      <c r="D22" s="464"/>
      <c r="E22" s="466"/>
      <c r="F22" s="465"/>
      <c r="G22" s="466"/>
      <c r="H22" s="466"/>
      <c r="I22" s="465"/>
      <c r="J22" s="483"/>
      <c r="K22" s="484"/>
    </row>
    <row r="23" spans="2:16" ht="30.05" customHeight="1" x14ac:dyDescent="0.35">
      <c r="B23" s="481" t="str">
        <f>IF(CAD_Bancos[[#This Row],[DATA SALDO INICIAL]]="","",TEXT(CAD_Bancos[[#This Row],[DATA SALDO INICIAL]],"AAAA"))</f>
        <v/>
      </c>
      <c r="C23" s="482" t="str">
        <f>IF(CAD_Bancos[[#This Row],[DATA SALDO INICIAL]]="","",PROPER(TEXT(CAD_Bancos[[#This Row],[DATA SALDO INICIAL]],"MMMM")))</f>
        <v/>
      </c>
      <c r="D23" s="464"/>
      <c r="E23" s="466"/>
      <c r="F23" s="465"/>
      <c r="G23" s="466"/>
      <c r="H23" s="466"/>
      <c r="I23" s="465"/>
      <c r="J23" s="483"/>
      <c r="K23" s="484"/>
    </row>
    <row r="24" spans="2:16" ht="30.05" customHeight="1" x14ac:dyDescent="0.35">
      <c r="B24" s="481" t="str">
        <f>IF(CAD_Bancos[[#This Row],[DATA SALDO INICIAL]]="","",TEXT(CAD_Bancos[[#This Row],[DATA SALDO INICIAL]],"AAAA"))</f>
        <v/>
      </c>
      <c r="C24" s="482" t="str">
        <f>IF(CAD_Bancos[[#This Row],[DATA SALDO INICIAL]]="","",PROPER(TEXT(CAD_Bancos[[#This Row],[DATA SALDO INICIAL]],"MMMM")))</f>
        <v/>
      </c>
      <c r="D24" s="464"/>
      <c r="E24" s="466"/>
      <c r="F24" s="465"/>
      <c r="G24" s="466"/>
      <c r="H24" s="466"/>
      <c r="I24" s="465"/>
      <c r="J24" s="483"/>
      <c r="K24" s="484"/>
    </row>
    <row r="25" spans="2:16" ht="30.05" customHeight="1" x14ac:dyDescent="0.35">
      <c r="B25" s="481" t="str">
        <f>IF(CAD_Bancos[[#This Row],[DATA SALDO INICIAL]]="","",TEXT(CAD_Bancos[[#This Row],[DATA SALDO INICIAL]],"AAAA"))</f>
        <v/>
      </c>
      <c r="C25" s="482" t="str">
        <f>IF(CAD_Bancos[[#This Row],[DATA SALDO INICIAL]]="","",PROPER(TEXT(CAD_Bancos[[#This Row],[DATA SALDO INICIAL]],"MMMM")))</f>
        <v/>
      </c>
      <c r="D25" s="464"/>
      <c r="E25" s="464"/>
      <c r="F25" s="465"/>
      <c r="G25" s="466"/>
      <c r="H25" s="466"/>
      <c r="I25" s="465"/>
      <c r="J25" s="483"/>
      <c r="K25" s="484"/>
    </row>
    <row r="26" spans="2:16" ht="30.05" customHeight="1" x14ac:dyDescent="0.35">
      <c r="B26" s="481" t="str">
        <f>IF(CAD_Bancos[[#This Row],[DATA SALDO INICIAL]]="","",TEXT(CAD_Bancos[[#This Row],[DATA SALDO INICIAL]],"AAAA"))</f>
        <v/>
      </c>
      <c r="C26" s="482" t="str">
        <f>IF(CAD_Bancos[[#This Row],[DATA SALDO INICIAL]]="","",PROPER(TEXT(CAD_Bancos[[#This Row],[DATA SALDO INICIAL]],"MMMM")))</f>
        <v/>
      </c>
      <c r="D26" s="464"/>
      <c r="E26" s="464"/>
      <c r="F26" s="465"/>
      <c r="G26" s="466"/>
      <c r="H26" s="466"/>
      <c r="I26" s="465"/>
      <c r="J26" s="505"/>
      <c r="K26" s="484"/>
    </row>
  </sheetData>
  <sheetProtection insertRows="0" deleteRows="0" sort="0" autoFilter="0" pivotTables="0"/>
  <phoneticPr fontId="36" type="noConversion"/>
  <conditionalFormatting sqref="N12:N13">
    <cfRule type="duplicateValues" dxfId="1356" priority="2"/>
  </conditionalFormatting>
  <conditionalFormatting sqref="M5:M7 M9:M16">
    <cfRule type="duplicateValues" dxfId="1355" priority="127864"/>
  </conditionalFormatting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1"/>
  <ignoredErrors>
    <ignoredError sqref="B6:C25" unlockedFormula="1"/>
  </ignoredErrors>
  <drawing r:id="rId2"/>
  <legacyDrawing r:id="rId3"/>
  <tableParts count="3"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7"/>
  <dimension ref="A1:B7"/>
  <sheetViews>
    <sheetView showGridLines="0" zoomScaleNormal="100" workbookViewId="0">
      <pane ySplit="4" topLeftCell="A5" activePane="bottomLeft" state="frozen"/>
      <selection pane="bottomLeft"/>
    </sheetView>
  </sheetViews>
  <sheetFormatPr defaultColWidth="9.1796875" defaultRowHeight="30.05" customHeight="1" x14ac:dyDescent="0.35"/>
  <cols>
    <col min="1" max="1" width="0.7265625" style="28" customWidth="1"/>
    <col min="2" max="2" width="31.26953125" style="263" customWidth="1"/>
    <col min="3" max="16384" width="9.1796875" style="28"/>
  </cols>
  <sheetData>
    <row r="1" spans="1:2" s="13" customFormat="1" ht="25" customHeight="1" x14ac:dyDescent="0.35">
      <c r="A1" s="30"/>
      <c r="B1" s="261"/>
    </row>
    <row r="2" spans="1:2" s="16" customFormat="1" ht="20.100000000000001" customHeight="1" x14ac:dyDescent="0.35">
      <c r="B2" s="262"/>
    </row>
    <row r="3" spans="1:2" s="8" customFormat="1" ht="3.75" customHeight="1" x14ac:dyDescent="0.35">
      <c r="A3" s="7"/>
      <c r="B3" s="7"/>
    </row>
    <row r="4" spans="1:2" s="27" customFormat="1" ht="30.05" customHeight="1" thickBot="1" x14ac:dyDescent="0.4">
      <c r="B4" s="209" t="s">
        <v>1513</v>
      </c>
    </row>
    <row r="5" spans="1:2" s="270" customFormat="1" ht="30.05" customHeight="1" thickTop="1" x14ac:dyDescent="0.35">
      <c r="B5" s="321" t="s">
        <v>1854</v>
      </c>
    </row>
    <row r="6" spans="1:2" ht="30.05" customHeight="1" x14ac:dyDescent="0.35">
      <c r="B6" s="322"/>
    </row>
    <row r="7" spans="1:2" ht="30.05" customHeight="1" x14ac:dyDescent="0.35">
      <c r="B7" s="359"/>
    </row>
  </sheetData>
  <sheetProtection insertRows="0" deleteRows="0" sort="0" autoFilter="0" pivotTables="0"/>
  <phoneticPr fontId="36" type="noConversion"/>
  <pageMargins left="0.511811024" right="0.511811024" top="0.78740157499999996" bottom="0.78740157499999996" header="0.31496062000000002" footer="0.31496062000000002"/>
  <pageSetup paperSize="9" scale="52" orientation="landscape" horizontalDpi="200" verticalDpi="200" r:id="rId1"/>
  <drawing r:id="rId2"/>
  <legacy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/>
  <dimension ref="A1:AJ500"/>
  <sheetViews>
    <sheetView showGridLines="0" zoomScaleNormal="100" workbookViewId="0">
      <pane ySplit="4" topLeftCell="A5" activePane="bottomLeft" state="frozen"/>
      <selection pane="bottomLeft"/>
    </sheetView>
  </sheetViews>
  <sheetFormatPr defaultColWidth="9.1796875" defaultRowHeight="30.05" customHeight="1" x14ac:dyDescent="0.35"/>
  <cols>
    <col min="1" max="1" width="0.7265625" style="9" customWidth="1"/>
    <col min="2" max="2" width="8.1796875" style="10" bestFit="1" customWidth="1"/>
    <col min="3" max="3" width="32.81640625" style="9" customWidth="1"/>
    <col min="4" max="4" width="3.81640625" style="9" customWidth="1"/>
    <col min="5" max="5" width="8.1796875" style="10" bestFit="1" customWidth="1"/>
    <col min="6" max="6" width="32.81640625" style="9" customWidth="1"/>
    <col min="7" max="7" width="3.81640625" style="9" customWidth="1"/>
    <col min="8" max="8" width="8.1796875" style="10" bestFit="1" customWidth="1"/>
    <col min="9" max="9" width="32.81640625" style="9" customWidth="1"/>
    <col min="10" max="10" width="3.81640625" style="9" customWidth="1"/>
    <col min="11" max="11" width="8.1796875" style="10" bestFit="1" customWidth="1"/>
    <col min="12" max="12" width="32.81640625" style="9" customWidth="1"/>
    <col min="13" max="13" width="3.81640625" style="9" customWidth="1"/>
    <col min="14" max="14" width="10.1796875" style="10" bestFit="1" customWidth="1"/>
    <col min="15" max="15" width="32.81640625" style="9" customWidth="1"/>
    <col min="16" max="16" width="3.81640625" style="9" customWidth="1"/>
    <col min="17" max="17" width="8.1796875" style="10" bestFit="1" customWidth="1"/>
    <col min="18" max="18" width="32.81640625" style="9" customWidth="1"/>
    <col min="19" max="19" width="3.81640625" style="9" customWidth="1"/>
    <col min="20" max="20" width="8.1796875" style="10" bestFit="1" customWidth="1"/>
    <col min="21" max="21" width="38" style="9" customWidth="1"/>
    <col min="22" max="22" width="3.81640625" style="9" customWidth="1"/>
    <col min="23" max="23" width="8.1796875" style="10" customWidth="1"/>
    <col min="24" max="24" width="32.81640625" style="9" customWidth="1"/>
    <col min="25" max="25" width="3.81640625" style="9" customWidth="1"/>
    <col min="26" max="26" width="8.1796875" style="10" bestFit="1" customWidth="1"/>
    <col min="27" max="27" width="32.81640625" style="9" customWidth="1"/>
    <col min="28" max="28" width="3.81640625" style="9" customWidth="1"/>
    <col min="29" max="29" width="8.1796875" style="10" bestFit="1" customWidth="1"/>
    <col min="30" max="30" width="32.81640625" style="9" customWidth="1"/>
    <col min="31" max="31" width="3.81640625" style="9" customWidth="1"/>
    <col min="32" max="32" width="8.1796875" style="10" bestFit="1" customWidth="1"/>
    <col min="33" max="33" width="32.81640625" style="9" customWidth="1"/>
    <col min="34" max="34" width="3.81640625" style="9" customWidth="1"/>
    <col min="35" max="35" width="8.1796875" style="10" bestFit="1" customWidth="1"/>
    <col min="36" max="36" width="32.81640625" style="9" customWidth="1"/>
    <col min="37" max="16384" width="9.1796875" style="9"/>
  </cols>
  <sheetData>
    <row r="1" spans="1:36" s="13" customFormat="1" ht="25" customHeight="1" x14ac:dyDescent="0.35">
      <c r="A1" s="30"/>
      <c r="B1" s="31"/>
      <c r="E1" s="31"/>
      <c r="H1" s="31"/>
      <c r="K1" s="31"/>
      <c r="N1" s="31"/>
      <c r="Q1" s="31"/>
      <c r="T1" s="31"/>
      <c r="W1" s="31"/>
      <c r="Z1" s="31"/>
      <c r="AC1" s="31"/>
      <c r="AF1" s="31"/>
      <c r="AI1" s="31"/>
    </row>
    <row r="2" spans="1:36" s="16" customFormat="1" ht="20.100000000000001" customHeight="1" x14ac:dyDescent="0.35">
      <c r="B2" s="33"/>
      <c r="E2" s="33"/>
      <c r="H2" s="33"/>
      <c r="K2" s="33"/>
      <c r="N2" s="33"/>
      <c r="Q2" s="33"/>
      <c r="T2" s="33"/>
      <c r="W2" s="33"/>
      <c r="Z2" s="33"/>
      <c r="AC2" s="33"/>
      <c r="AF2" s="33"/>
      <c r="AI2" s="33"/>
    </row>
    <row r="3" spans="1:36" s="8" customFormat="1" ht="3.75" customHeight="1" thickBot="1" x14ac:dyDescent="0.4">
      <c r="A3" s="7"/>
      <c r="E3" s="26"/>
      <c r="H3" s="26"/>
      <c r="N3" s="26"/>
      <c r="Q3" s="26"/>
      <c r="T3" s="26"/>
      <c r="W3" s="26"/>
      <c r="Z3" s="26"/>
      <c r="AC3" s="26"/>
      <c r="AF3" s="26"/>
      <c r="AI3" s="26"/>
    </row>
    <row r="4" spans="1:36" s="210" customFormat="1" ht="30.05" customHeight="1" thickTop="1" thickBot="1" x14ac:dyDescent="0.4">
      <c r="B4" s="352" t="s">
        <v>25</v>
      </c>
      <c r="C4" s="353" t="s">
        <v>1103</v>
      </c>
      <c r="E4" s="54" t="s">
        <v>126</v>
      </c>
      <c r="F4" s="354" t="s">
        <v>1080</v>
      </c>
      <c r="H4" s="54" t="s">
        <v>1237</v>
      </c>
      <c r="I4" s="354" t="s">
        <v>1441</v>
      </c>
      <c r="K4" s="54" t="s">
        <v>231</v>
      </c>
      <c r="L4" s="354" t="s">
        <v>1213</v>
      </c>
      <c r="M4" s="9"/>
      <c r="N4" s="54" t="s">
        <v>232</v>
      </c>
      <c r="O4" s="354" t="s">
        <v>1144</v>
      </c>
      <c r="P4" s="9"/>
      <c r="Q4" s="54" t="s">
        <v>233</v>
      </c>
      <c r="R4" s="355" t="s">
        <v>1145</v>
      </c>
      <c r="S4" s="9"/>
      <c r="T4" s="54" t="s">
        <v>234</v>
      </c>
      <c r="U4" s="354" t="s">
        <v>228</v>
      </c>
      <c r="V4" s="9"/>
      <c r="W4" s="54" t="s">
        <v>235</v>
      </c>
      <c r="X4" s="354" t="s">
        <v>227</v>
      </c>
      <c r="Y4" s="9"/>
      <c r="Z4" s="54" t="s">
        <v>236</v>
      </c>
      <c r="AA4" s="354" t="s">
        <v>229</v>
      </c>
      <c r="AB4" s="9"/>
      <c r="AC4" s="54" t="s">
        <v>237</v>
      </c>
      <c r="AD4" s="354" t="s">
        <v>230</v>
      </c>
      <c r="AE4" s="9"/>
      <c r="AF4" s="54" t="s">
        <v>238</v>
      </c>
      <c r="AG4" s="354" t="s">
        <v>1440</v>
      </c>
      <c r="AH4" s="9"/>
      <c r="AI4" s="54" t="s">
        <v>1338</v>
      </c>
      <c r="AJ4" s="354" t="s">
        <v>1442</v>
      </c>
    </row>
    <row r="5" spans="1:36" ht="30.05" customHeight="1" thickTop="1" x14ac:dyDescent="0.35">
      <c r="B5" s="55" t="s">
        <v>26</v>
      </c>
      <c r="C5" s="427" t="s">
        <v>1784</v>
      </c>
      <c r="E5" s="55" t="s">
        <v>127</v>
      </c>
      <c r="F5" s="428" t="s">
        <v>1471</v>
      </c>
      <c r="H5" s="55" t="s">
        <v>1238</v>
      </c>
      <c r="I5" s="428" t="s">
        <v>1644</v>
      </c>
      <c r="K5" s="55" t="s">
        <v>239</v>
      </c>
      <c r="L5" s="429" t="s">
        <v>1486</v>
      </c>
      <c r="N5" s="56" t="s">
        <v>339</v>
      </c>
      <c r="O5" s="430" t="s">
        <v>1486</v>
      </c>
      <c r="Q5" s="56" t="s">
        <v>439</v>
      </c>
      <c r="R5" s="430" t="s">
        <v>1643</v>
      </c>
      <c r="T5" s="55" t="s">
        <v>538</v>
      </c>
      <c r="U5" s="430" t="s">
        <v>1641</v>
      </c>
      <c r="W5" s="56" t="s">
        <v>638</v>
      </c>
      <c r="X5" s="430" t="s">
        <v>1645</v>
      </c>
      <c r="Z5" s="55" t="s">
        <v>738</v>
      </c>
      <c r="AA5" s="430" t="s">
        <v>1603</v>
      </c>
      <c r="AC5" s="55" t="s">
        <v>838</v>
      </c>
      <c r="AD5" s="452" t="s">
        <v>1572</v>
      </c>
      <c r="AF5" s="55" t="s">
        <v>938</v>
      </c>
      <c r="AG5" s="430" t="s">
        <v>1830</v>
      </c>
      <c r="AI5" s="55" t="s">
        <v>1339</v>
      </c>
      <c r="AJ5" s="430" t="s">
        <v>1644</v>
      </c>
    </row>
    <row r="6" spans="1:36" ht="30.05" customHeight="1" x14ac:dyDescent="0.35">
      <c r="B6" s="56" t="s">
        <v>27</v>
      </c>
      <c r="C6" s="427" t="s">
        <v>1785</v>
      </c>
      <c r="E6" s="56" t="s">
        <v>128</v>
      </c>
      <c r="F6" s="428" t="s">
        <v>1786</v>
      </c>
      <c r="H6" s="55" t="s">
        <v>1239</v>
      </c>
      <c r="I6" s="428" t="s">
        <v>1556</v>
      </c>
      <c r="K6" s="56" t="s">
        <v>240</v>
      </c>
      <c r="L6" s="429" t="s">
        <v>1613</v>
      </c>
      <c r="N6" s="56" t="s">
        <v>340</v>
      </c>
      <c r="O6" s="430" t="s">
        <v>1613</v>
      </c>
      <c r="Q6" s="56" t="s">
        <v>438</v>
      </c>
      <c r="R6" s="430" t="s">
        <v>1462</v>
      </c>
      <c r="T6" s="56" t="s">
        <v>539</v>
      </c>
      <c r="U6" s="430" t="s">
        <v>1642</v>
      </c>
      <c r="W6" s="55" t="s">
        <v>639</v>
      </c>
      <c r="X6" s="430" t="s">
        <v>1826</v>
      </c>
      <c r="Z6" s="56" t="s">
        <v>739</v>
      </c>
      <c r="AA6" s="430" t="s">
        <v>1511</v>
      </c>
      <c r="AC6" s="56" t="s">
        <v>839</v>
      </c>
      <c r="AD6" s="452" t="s">
        <v>1634</v>
      </c>
      <c r="AF6" s="56" t="s">
        <v>939</v>
      </c>
      <c r="AG6" s="430" t="s">
        <v>1831</v>
      </c>
      <c r="AI6" s="55" t="s">
        <v>1340</v>
      </c>
      <c r="AJ6" s="430" t="s">
        <v>1556</v>
      </c>
    </row>
    <row r="7" spans="1:36" ht="30.05" customHeight="1" x14ac:dyDescent="0.35">
      <c r="B7" s="56" t="s">
        <v>28</v>
      </c>
      <c r="C7" s="427"/>
      <c r="E7" s="56" t="s">
        <v>129</v>
      </c>
      <c r="F7" s="428" t="s">
        <v>1647</v>
      </c>
      <c r="H7" s="55" t="s">
        <v>1240</v>
      </c>
      <c r="I7" s="428" t="s">
        <v>1566</v>
      </c>
      <c r="K7" s="56" t="s">
        <v>241</v>
      </c>
      <c r="L7" s="429" t="s">
        <v>1790</v>
      </c>
      <c r="N7" s="56" t="s">
        <v>341</v>
      </c>
      <c r="O7" s="430" t="s">
        <v>1463</v>
      </c>
      <c r="Q7" s="56" t="s">
        <v>440</v>
      </c>
      <c r="R7" s="430" t="s">
        <v>1491</v>
      </c>
      <c r="T7" s="55" t="s">
        <v>540</v>
      </c>
      <c r="U7" s="430" t="s">
        <v>1818</v>
      </c>
      <c r="W7" s="56" t="s">
        <v>640</v>
      </c>
      <c r="X7" s="430" t="s">
        <v>1496</v>
      </c>
      <c r="Z7" s="55" t="s">
        <v>740</v>
      </c>
      <c r="AA7" s="430" t="s">
        <v>1571</v>
      </c>
      <c r="AC7" s="55" t="s">
        <v>840</v>
      </c>
      <c r="AD7" s="452" t="s">
        <v>1575</v>
      </c>
      <c r="AF7" s="55" t="s">
        <v>940</v>
      </c>
      <c r="AG7" s="430" t="s">
        <v>1832</v>
      </c>
      <c r="AI7" s="55" t="s">
        <v>1341</v>
      </c>
      <c r="AJ7" s="430" t="s">
        <v>1653</v>
      </c>
    </row>
    <row r="8" spans="1:36" ht="30.05" customHeight="1" x14ac:dyDescent="0.35">
      <c r="B8" s="56" t="s">
        <v>29</v>
      </c>
      <c r="C8" s="427"/>
      <c r="E8" s="56" t="s">
        <v>130</v>
      </c>
      <c r="F8" s="428" t="s">
        <v>1648</v>
      </c>
      <c r="H8" s="55" t="s">
        <v>1241</v>
      </c>
      <c r="I8" s="428" t="s">
        <v>1788</v>
      </c>
      <c r="K8" s="56" t="s">
        <v>242</v>
      </c>
      <c r="L8" s="429" t="s">
        <v>1791</v>
      </c>
      <c r="N8" s="56" t="s">
        <v>342</v>
      </c>
      <c r="O8" s="429" t="s">
        <v>1540</v>
      </c>
      <c r="Q8" s="56" t="s">
        <v>441</v>
      </c>
      <c r="R8" s="430" t="s">
        <v>1490</v>
      </c>
      <c r="T8" s="56" t="s">
        <v>541</v>
      </c>
      <c r="U8" s="430" t="s">
        <v>1613</v>
      </c>
      <c r="W8" s="55" t="s">
        <v>641</v>
      </c>
      <c r="X8" s="430" t="s">
        <v>1827</v>
      </c>
      <c r="Z8" s="56" t="s">
        <v>741</v>
      </c>
      <c r="AA8" s="430" t="s">
        <v>1504</v>
      </c>
      <c r="AC8" s="56" t="s">
        <v>841</v>
      </c>
      <c r="AD8" s="452" t="s">
        <v>1576</v>
      </c>
      <c r="AF8" s="56" t="s">
        <v>941</v>
      </c>
      <c r="AG8" s="430" t="s">
        <v>1833</v>
      </c>
      <c r="AI8" s="55" t="s">
        <v>1342</v>
      </c>
      <c r="AJ8" s="429" t="s">
        <v>1503</v>
      </c>
    </row>
    <row r="9" spans="1:36" ht="30.05" customHeight="1" x14ac:dyDescent="0.35">
      <c r="B9" s="56" t="s">
        <v>30</v>
      </c>
      <c r="C9" s="427"/>
      <c r="E9" s="56" t="s">
        <v>131</v>
      </c>
      <c r="F9" s="428" t="s">
        <v>1656</v>
      </c>
      <c r="H9" s="55" t="s">
        <v>1242</v>
      </c>
      <c r="I9" s="428" t="s">
        <v>1647</v>
      </c>
      <c r="K9" s="56" t="s">
        <v>243</v>
      </c>
      <c r="L9" s="429" t="s">
        <v>1792</v>
      </c>
      <c r="N9" s="56" t="s">
        <v>343</v>
      </c>
      <c r="O9" s="429" t="s">
        <v>1580</v>
      </c>
      <c r="Q9" s="56" t="s">
        <v>442</v>
      </c>
      <c r="R9" s="430"/>
      <c r="T9" s="55" t="s">
        <v>542</v>
      </c>
      <c r="U9" s="430" t="s">
        <v>1582</v>
      </c>
      <c r="W9" s="56" t="s">
        <v>642</v>
      </c>
      <c r="X9" s="430" t="s">
        <v>1552</v>
      </c>
      <c r="Z9" s="55" t="s">
        <v>742</v>
      </c>
      <c r="AA9" s="430" t="s">
        <v>1508</v>
      </c>
      <c r="AC9" s="55" t="s">
        <v>842</v>
      </c>
      <c r="AD9" s="452" t="s">
        <v>1635</v>
      </c>
      <c r="AF9" s="55" t="s">
        <v>942</v>
      </c>
      <c r="AG9" s="430" t="s">
        <v>1834</v>
      </c>
      <c r="AI9" s="55" t="s">
        <v>1343</v>
      </c>
      <c r="AJ9" s="429" t="s">
        <v>1787</v>
      </c>
    </row>
    <row r="10" spans="1:36" ht="30.05" customHeight="1" x14ac:dyDescent="0.35">
      <c r="B10" s="56" t="s">
        <v>31</v>
      </c>
      <c r="C10" s="427"/>
      <c r="E10" s="56" t="s">
        <v>132</v>
      </c>
      <c r="F10" s="428" t="s">
        <v>1484</v>
      </c>
      <c r="H10" s="55" t="s">
        <v>1243</v>
      </c>
      <c r="I10" s="428" t="s">
        <v>1649</v>
      </c>
      <c r="K10" s="56" t="s">
        <v>244</v>
      </c>
      <c r="L10" s="429" t="s">
        <v>1632</v>
      </c>
      <c r="N10" s="56" t="s">
        <v>1633</v>
      </c>
      <c r="O10" s="429" t="s">
        <v>1539</v>
      </c>
      <c r="Q10" s="56" t="s">
        <v>443</v>
      </c>
      <c r="R10" s="430"/>
      <c r="T10" s="56" t="s">
        <v>543</v>
      </c>
      <c r="U10" s="430" t="s">
        <v>1585</v>
      </c>
      <c r="W10" s="55" t="s">
        <v>643</v>
      </c>
      <c r="X10" s="430" t="s">
        <v>1828</v>
      </c>
      <c r="Z10" s="56" t="s">
        <v>743</v>
      </c>
      <c r="AA10" s="430" t="s">
        <v>1637</v>
      </c>
      <c r="AC10" s="56" t="s">
        <v>843</v>
      </c>
      <c r="AD10" s="452" t="s">
        <v>1578</v>
      </c>
      <c r="AF10" s="56" t="s">
        <v>943</v>
      </c>
      <c r="AG10" s="430" t="s">
        <v>1835</v>
      </c>
      <c r="AI10" s="55" t="s">
        <v>1344</v>
      </c>
      <c r="AJ10" s="429" t="s">
        <v>1479</v>
      </c>
    </row>
    <row r="11" spans="1:36" ht="30.05" customHeight="1" x14ac:dyDescent="0.35">
      <c r="B11" s="56" t="s">
        <v>32</v>
      </c>
      <c r="C11" s="427"/>
      <c r="E11" s="56" t="s">
        <v>133</v>
      </c>
      <c r="F11" s="428" t="s">
        <v>1483</v>
      </c>
      <c r="H11" s="55" t="s">
        <v>1244</v>
      </c>
      <c r="I11" s="428" t="s">
        <v>1502</v>
      </c>
      <c r="K11" s="56" t="s">
        <v>245</v>
      </c>
      <c r="L11" s="429" t="s">
        <v>1623</v>
      </c>
      <c r="N11" s="56" t="s">
        <v>344</v>
      </c>
      <c r="O11" s="429" t="s">
        <v>1811</v>
      </c>
      <c r="Q11" s="56" t="s">
        <v>444</v>
      </c>
      <c r="R11" s="430"/>
      <c r="T11" s="55" t="s">
        <v>544</v>
      </c>
      <c r="U11" s="430" t="s">
        <v>1601</v>
      </c>
      <c r="W11" s="56" t="s">
        <v>644</v>
      </c>
      <c r="X11" s="430"/>
      <c r="Z11" s="55" t="s">
        <v>744</v>
      </c>
      <c r="AA11" s="430" t="s">
        <v>1498</v>
      </c>
      <c r="AC11" s="55" t="s">
        <v>844</v>
      </c>
      <c r="AD11" s="452" t="s">
        <v>1573</v>
      </c>
      <c r="AF11" s="55" t="s">
        <v>944</v>
      </c>
      <c r="AG11" s="430" t="s">
        <v>1835</v>
      </c>
      <c r="AI11" s="55" t="s">
        <v>1345</v>
      </c>
      <c r="AJ11" s="429" t="s">
        <v>1782</v>
      </c>
    </row>
    <row r="12" spans="1:36" ht="30.05" customHeight="1" x14ac:dyDescent="0.35">
      <c r="B12" s="56" t="s">
        <v>33</v>
      </c>
      <c r="C12" s="427"/>
      <c r="E12" s="56" t="s">
        <v>134</v>
      </c>
      <c r="F12" s="428" t="s">
        <v>1780</v>
      </c>
      <c r="H12" s="55" t="s">
        <v>1245</v>
      </c>
      <c r="I12" s="428" t="s">
        <v>1650</v>
      </c>
      <c r="K12" s="56" t="s">
        <v>246</v>
      </c>
      <c r="L12" s="429" t="s">
        <v>1648</v>
      </c>
      <c r="N12" s="56" t="s">
        <v>345</v>
      </c>
      <c r="O12" s="429" t="s">
        <v>1604</v>
      </c>
      <c r="Q12" s="56" t="s">
        <v>445</v>
      </c>
      <c r="R12" s="430"/>
      <c r="T12" s="56" t="s">
        <v>545</v>
      </c>
      <c r="U12" s="430" t="s">
        <v>1593</v>
      </c>
      <c r="W12" s="55" t="s">
        <v>645</v>
      </c>
      <c r="X12" s="430"/>
      <c r="Z12" s="56" t="s">
        <v>745</v>
      </c>
      <c r="AA12" s="430" t="s">
        <v>1497</v>
      </c>
      <c r="AC12" s="56" t="s">
        <v>845</v>
      </c>
      <c r="AD12" s="452" t="s">
        <v>1579</v>
      </c>
      <c r="AF12" s="56" t="s">
        <v>945</v>
      </c>
      <c r="AG12" s="430" t="s">
        <v>1836</v>
      </c>
      <c r="AI12" s="55" t="s">
        <v>1346</v>
      </c>
      <c r="AJ12" s="429" t="s">
        <v>1562</v>
      </c>
    </row>
    <row r="13" spans="1:36" ht="30.05" customHeight="1" x14ac:dyDescent="0.35">
      <c r="B13" s="56" t="s">
        <v>34</v>
      </c>
      <c r="C13" s="427"/>
      <c r="E13" s="56" t="s">
        <v>135</v>
      </c>
      <c r="F13" s="428" t="s">
        <v>1787</v>
      </c>
      <c r="H13" s="55" t="s">
        <v>1246</v>
      </c>
      <c r="I13" s="428" t="s">
        <v>1789</v>
      </c>
      <c r="K13" s="56" t="s">
        <v>247</v>
      </c>
      <c r="L13" s="429" t="s">
        <v>1509</v>
      </c>
      <c r="N13" s="56" t="s">
        <v>346</v>
      </c>
      <c r="O13" s="429" t="s">
        <v>1632</v>
      </c>
      <c r="Q13" s="56" t="s">
        <v>446</v>
      </c>
      <c r="R13" s="430"/>
      <c r="T13" s="55" t="s">
        <v>546</v>
      </c>
      <c r="U13" s="430" t="s">
        <v>1819</v>
      </c>
      <c r="W13" s="56" t="s">
        <v>646</v>
      </c>
      <c r="X13" s="430"/>
      <c r="Z13" s="55" t="s">
        <v>746</v>
      </c>
      <c r="AA13" s="430" t="s">
        <v>1612</v>
      </c>
      <c r="AC13" s="55" t="s">
        <v>846</v>
      </c>
      <c r="AD13" s="452" t="s">
        <v>1499</v>
      </c>
      <c r="AF13" s="55" t="s">
        <v>946</v>
      </c>
      <c r="AG13" s="430" t="s">
        <v>1837</v>
      </c>
      <c r="AI13" s="55" t="s">
        <v>1347</v>
      </c>
      <c r="AJ13" s="430" t="s">
        <v>1064</v>
      </c>
    </row>
    <row r="14" spans="1:36" ht="30.05" customHeight="1" x14ac:dyDescent="0.35">
      <c r="B14" s="56" t="s">
        <v>35</v>
      </c>
      <c r="C14" s="427"/>
      <c r="E14" s="56" t="s">
        <v>136</v>
      </c>
      <c r="F14" s="428" t="s">
        <v>1064</v>
      </c>
      <c r="H14" s="55" t="s">
        <v>1247</v>
      </c>
      <c r="I14" s="428" t="s">
        <v>1787</v>
      </c>
      <c r="K14" s="56" t="s">
        <v>248</v>
      </c>
      <c r="L14" s="429" t="s">
        <v>1793</v>
      </c>
      <c r="N14" s="56" t="s">
        <v>347</v>
      </c>
      <c r="O14" s="429" t="s">
        <v>1487</v>
      </c>
      <c r="Q14" s="56" t="s">
        <v>447</v>
      </c>
      <c r="R14" s="430"/>
      <c r="T14" s="56" t="s">
        <v>547</v>
      </c>
      <c r="U14" s="430" t="s">
        <v>1559</v>
      </c>
      <c r="W14" s="55" t="s">
        <v>647</v>
      </c>
      <c r="X14" s="430"/>
      <c r="Z14" s="56" t="s">
        <v>747</v>
      </c>
      <c r="AA14" s="430" t="s">
        <v>1602</v>
      </c>
      <c r="AC14" s="56" t="s">
        <v>847</v>
      </c>
      <c r="AD14" s="452" t="s">
        <v>1829</v>
      </c>
      <c r="AF14" s="56" t="s">
        <v>947</v>
      </c>
      <c r="AG14" s="430" t="s">
        <v>1838</v>
      </c>
      <c r="AI14" s="55" t="s">
        <v>1348</v>
      </c>
      <c r="AJ14" s="430" t="s">
        <v>1064</v>
      </c>
    </row>
    <row r="15" spans="1:36" ht="30.05" customHeight="1" x14ac:dyDescent="0.35">
      <c r="B15" s="56" t="s">
        <v>36</v>
      </c>
      <c r="C15" s="427"/>
      <c r="E15" s="56" t="s">
        <v>137</v>
      </c>
      <c r="F15" s="428" t="s">
        <v>1064</v>
      </c>
      <c r="H15" s="55" t="s">
        <v>1248</v>
      </c>
      <c r="I15" s="428" t="s">
        <v>1562</v>
      </c>
      <c r="K15" s="56" t="s">
        <v>249</v>
      </c>
      <c r="L15" s="429" t="s">
        <v>1794</v>
      </c>
      <c r="N15" s="56" t="s">
        <v>348</v>
      </c>
      <c r="O15" s="429" t="s">
        <v>1812</v>
      </c>
      <c r="Q15" s="56" t="s">
        <v>448</v>
      </c>
      <c r="R15" s="430"/>
      <c r="T15" s="55" t="s">
        <v>548</v>
      </c>
      <c r="U15" s="430" t="s">
        <v>1657</v>
      </c>
      <c r="W15" s="56" t="s">
        <v>648</v>
      </c>
      <c r="X15" s="430"/>
      <c r="Z15" s="55" t="s">
        <v>748</v>
      </c>
      <c r="AA15" s="430"/>
      <c r="AC15" s="55" t="s">
        <v>848</v>
      </c>
      <c r="AD15" s="430" t="s">
        <v>1064</v>
      </c>
      <c r="AF15" s="55" t="s">
        <v>948</v>
      </c>
      <c r="AG15" s="430" t="s">
        <v>1839</v>
      </c>
      <c r="AI15" s="55" t="s">
        <v>1349</v>
      </c>
      <c r="AJ15" s="430" t="s">
        <v>1064</v>
      </c>
    </row>
    <row r="16" spans="1:36" ht="30.05" customHeight="1" x14ac:dyDescent="0.35">
      <c r="B16" s="56" t="s">
        <v>37</v>
      </c>
      <c r="C16" s="427"/>
      <c r="E16" s="56" t="s">
        <v>138</v>
      </c>
      <c r="F16" s="428" t="s">
        <v>1064</v>
      </c>
      <c r="H16" s="55" t="s">
        <v>1249</v>
      </c>
      <c r="I16" s="428" t="s">
        <v>1064</v>
      </c>
      <c r="K16" s="56" t="s">
        <v>250</v>
      </c>
      <c r="L16" s="429" t="s">
        <v>1795</v>
      </c>
      <c r="N16" s="56" t="s">
        <v>349</v>
      </c>
      <c r="O16" s="429" t="s">
        <v>1465</v>
      </c>
      <c r="Q16" s="56" t="s">
        <v>449</v>
      </c>
      <c r="R16" s="430"/>
      <c r="T16" s="56" t="s">
        <v>549</v>
      </c>
      <c r="U16" s="430" t="s">
        <v>1466</v>
      </c>
      <c r="W16" s="55" t="s">
        <v>649</v>
      </c>
      <c r="X16" s="430"/>
      <c r="Z16" s="56" t="s">
        <v>749</v>
      </c>
      <c r="AA16" s="430" t="s">
        <v>1064</v>
      </c>
      <c r="AC16" s="56" t="s">
        <v>849</v>
      </c>
      <c r="AD16" s="430" t="s">
        <v>1064</v>
      </c>
      <c r="AF16" s="56" t="s">
        <v>949</v>
      </c>
      <c r="AG16" s="430" t="s">
        <v>1840</v>
      </c>
      <c r="AI16" s="55" t="s">
        <v>1350</v>
      </c>
      <c r="AJ16" s="430" t="s">
        <v>1064</v>
      </c>
    </row>
    <row r="17" spans="2:36" ht="30.05" customHeight="1" x14ac:dyDescent="0.35">
      <c r="B17" s="56" t="s">
        <v>38</v>
      </c>
      <c r="C17" s="427"/>
      <c r="E17" s="56" t="s">
        <v>139</v>
      </c>
      <c r="F17" s="428" t="s">
        <v>1064</v>
      </c>
      <c r="H17" s="55" t="s">
        <v>1250</v>
      </c>
      <c r="I17" s="428" t="s">
        <v>1064</v>
      </c>
      <c r="K17" s="56" t="s">
        <v>251</v>
      </c>
      <c r="L17" s="429" t="s">
        <v>1796</v>
      </c>
      <c r="N17" s="56" t="s">
        <v>350</v>
      </c>
      <c r="O17" s="429" t="s">
        <v>1509</v>
      </c>
      <c r="Q17" s="56" t="s">
        <v>450</v>
      </c>
      <c r="R17" s="430"/>
      <c r="T17" s="55" t="s">
        <v>550</v>
      </c>
      <c r="U17" s="430" t="s">
        <v>1546</v>
      </c>
      <c r="W17" s="56" t="s">
        <v>650</v>
      </c>
      <c r="X17" s="430"/>
      <c r="Z17" s="55" t="s">
        <v>750</v>
      </c>
      <c r="AA17" s="430" t="s">
        <v>1064</v>
      </c>
      <c r="AC17" s="55" t="s">
        <v>850</v>
      </c>
      <c r="AD17" s="430" t="s">
        <v>1064</v>
      </c>
      <c r="AF17" s="55" t="s">
        <v>950</v>
      </c>
      <c r="AG17" s="430" t="s">
        <v>1841</v>
      </c>
      <c r="AI17" s="55" t="s">
        <v>1351</v>
      </c>
      <c r="AJ17" s="430" t="s">
        <v>1064</v>
      </c>
    </row>
    <row r="18" spans="2:36" ht="30.05" customHeight="1" x14ac:dyDescent="0.35">
      <c r="B18" s="56" t="s">
        <v>39</v>
      </c>
      <c r="C18" s="427"/>
      <c r="E18" s="56" t="s">
        <v>140</v>
      </c>
      <c r="F18" s="428" t="s">
        <v>1064</v>
      </c>
      <c r="H18" s="55" t="s">
        <v>1251</v>
      </c>
      <c r="I18" s="428" t="s">
        <v>1064</v>
      </c>
      <c r="K18" s="56" t="s">
        <v>252</v>
      </c>
      <c r="L18" s="429" t="s">
        <v>1797</v>
      </c>
      <c r="N18" s="56" t="s">
        <v>351</v>
      </c>
      <c r="O18" s="429" t="s">
        <v>1495</v>
      </c>
      <c r="Q18" s="56" t="s">
        <v>451</v>
      </c>
      <c r="R18" s="430"/>
      <c r="T18" s="56" t="s">
        <v>551</v>
      </c>
      <c r="U18" s="430" t="s">
        <v>1560</v>
      </c>
      <c r="W18" s="55" t="s">
        <v>651</v>
      </c>
      <c r="X18" s="430"/>
      <c r="Z18" s="56" t="s">
        <v>751</v>
      </c>
      <c r="AA18" s="430" t="s">
        <v>1064</v>
      </c>
      <c r="AC18" s="56" t="s">
        <v>851</v>
      </c>
      <c r="AD18" s="430" t="s">
        <v>1064</v>
      </c>
      <c r="AF18" s="56" t="s">
        <v>951</v>
      </c>
      <c r="AG18" s="430" t="s">
        <v>1842</v>
      </c>
      <c r="AI18" s="55" t="s">
        <v>1352</v>
      </c>
      <c r="AJ18" s="430" t="s">
        <v>1064</v>
      </c>
    </row>
    <row r="19" spans="2:36" ht="30.05" customHeight="1" x14ac:dyDescent="0.35">
      <c r="B19" s="56" t="s">
        <v>40</v>
      </c>
      <c r="C19" s="427"/>
      <c r="E19" s="56" t="s">
        <v>141</v>
      </c>
      <c r="F19" s="428" t="s">
        <v>1064</v>
      </c>
      <c r="H19" s="55" t="s">
        <v>1252</v>
      </c>
      <c r="I19" s="428" t="s">
        <v>1064</v>
      </c>
      <c r="K19" s="56" t="s">
        <v>253</v>
      </c>
      <c r="L19" s="429" t="s">
        <v>1798</v>
      </c>
      <c r="N19" s="56" t="s">
        <v>352</v>
      </c>
      <c r="O19" s="429" t="s">
        <v>1813</v>
      </c>
      <c r="Q19" s="56" t="s">
        <v>452</v>
      </c>
      <c r="R19" s="430"/>
      <c r="T19" s="55" t="s">
        <v>552</v>
      </c>
      <c r="U19" s="430" t="s">
        <v>1511</v>
      </c>
      <c r="W19" s="56" t="s">
        <v>652</v>
      </c>
      <c r="X19" s="430"/>
      <c r="Z19" s="55" t="s">
        <v>752</v>
      </c>
      <c r="AA19" s="430" t="s">
        <v>1064</v>
      </c>
      <c r="AC19" s="55" t="s">
        <v>852</v>
      </c>
      <c r="AD19" s="430" t="s">
        <v>1064</v>
      </c>
      <c r="AF19" s="55" t="s">
        <v>952</v>
      </c>
      <c r="AG19" s="430" t="s">
        <v>1647</v>
      </c>
      <c r="AI19" s="55" t="s">
        <v>1353</v>
      </c>
      <c r="AJ19" s="430" t="s">
        <v>1064</v>
      </c>
    </row>
    <row r="20" spans="2:36" ht="30.05" customHeight="1" x14ac:dyDescent="0.35">
      <c r="B20" s="56" t="s">
        <v>41</v>
      </c>
      <c r="C20" s="427"/>
      <c r="E20" s="56" t="s">
        <v>142</v>
      </c>
      <c r="F20" s="428" t="s">
        <v>1064</v>
      </c>
      <c r="H20" s="55" t="s">
        <v>1253</v>
      </c>
      <c r="I20" s="428" t="s">
        <v>1064</v>
      </c>
      <c r="K20" s="56" t="s">
        <v>254</v>
      </c>
      <c r="L20" s="486" t="s">
        <v>1799</v>
      </c>
      <c r="N20" s="56" t="s">
        <v>353</v>
      </c>
      <c r="O20" s="429" t="s">
        <v>1814</v>
      </c>
      <c r="Q20" s="56" t="s">
        <v>453</v>
      </c>
      <c r="R20" s="430"/>
      <c r="T20" s="56" t="s">
        <v>553</v>
      </c>
      <c r="U20" s="430" t="s">
        <v>1820</v>
      </c>
      <c r="W20" s="55" t="s">
        <v>653</v>
      </c>
      <c r="X20" s="430"/>
      <c r="Z20" s="56" t="s">
        <v>753</v>
      </c>
      <c r="AA20" s="430" t="s">
        <v>1064</v>
      </c>
      <c r="AC20" s="56" t="s">
        <v>853</v>
      </c>
      <c r="AD20" s="430" t="s">
        <v>1064</v>
      </c>
      <c r="AF20" s="56" t="s">
        <v>953</v>
      </c>
      <c r="AG20" s="430" t="s">
        <v>1652</v>
      </c>
      <c r="AI20" s="55" t="s">
        <v>1354</v>
      </c>
      <c r="AJ20" s="430" t="s">
        <v>1064</v>
      </c>
    </row>
    <row r="21" spans="2:36" ht="30.05" customHeight="1" x14ac:dyDescent="0.35">
      <c r="B21" s="56" t="s">
        <v>42</v>
      </c>
      <c r="C21" s="427"/>
      <c r="E21" s="56" t="s">
        <v>143</v>
      </c>
      <c r="F21" s="428" t="s">
        <v>1064</v>
      </c>
      <c r="H21" s="55" t="s">
        <v>1254</v>
      </c>
      <c r="I21" s="428" t="s">
        <v>1064</v>
      </c>
      <c r="K21" s="56" t="s">
        <v>255</v>
      </c>
      <c r="L21" s="429" t="s">
        <v>1800</v>
      </c>
      <c r="N21" s="56" t="s">
        <v>354</v>
      </c>
      <c r="O21" s="429" t="s">
        <v>1519</v>
      </c>
      <c r="Q21" s="56" t="s">
        <v>454</v>
      </c>
      <c r="R21" s="430"/>
      <c r="T21" s="55" t="s">
        <v>554</v>
      </c>
      <c r="U21" s="430" t="s">
        <v>1821</v>
      </c>
      <c r="W21" s="56" t="s">
        <v>654</v>
      </c>
      <c r="X21" s="430"/>
      <c r="Z21" s="55" t="s">
        <v>754</v>
      </c>
      <c r="AA21" s="430" t="s">
        <v>1064</v>
      </c>
      <c r="AC21" s="55" t="s">
        <v>854</v>
      </c>
      <c r="AD21" s="430" t="s">
        <v>1064</v>
      </c>
      <c r="AF21" s="55" t="s">
        <v>954</v>
      </c>
      <c r="AG21" s="430" t="s">
        <v>1508</v>
      </c>
      <c r="AI21" s="55" t="s">
        <v>1355</v>
      </c>
      <c r="AJ21" s="430" t="s">
        <v>1064</v>
      </c>
    </row>
    <row r="22" spans="2:36" ht="30.05" customHeight="1" x14ac:dyDescent="0.35">
      <c r="B22" s="56" t="s">
        <v>43</v>
      </c>
      <c r="C22" s="427"/>
      <c r="E22" s="56" t="s">
        <v>144</v>
      </c>
      <c r="F22" s="428" t="s">
        <v>1064</v>
      </c>
      <c r="H22" s="55" t="s">
        <v>1255</v>
      </c>
      <c r="I22" s="428" t="s">
        <v>1064</v>
      </c>
      <c r="K22" s="56" t="s">
        <v>256</v>
      </c>
      <c r="L22" s="429" t="s">
        <v>1801</v>
      </c>
      <c r="N22" s="56" t="s">
        <v>355</v>
      </c>
      <c r="O22" s="429" t="s">
        <v>1655</v>
      </c>
      <c r="Q22" s="56" t="s">
        <v>455</v>
      </c>
      <c r="R22" s="430"/>
      <c r="T22" s="56" t="s">
        <v>555</v>
      </c>
      <c r="U22" s="430" t="s">
        <v>1822</v>
      </c>
      <c r="W22" s="55" t="s">
        <v>655</v>
      </c>
      <c r="X22" s="430"/>
      <c r="Z22" s="56" t="s">
        <v>755</v>
      </c>
      <c r="AA22" s="430" t="s">
        <v>1064</v>
      </c>
      <c r="AC22" s="56" t="s">
        <v>855</v>
      </c>
      <c r="AD22" s="430" t="s">
        <v>1064</v>
      </c>
      <c r="AF22" s="56" t="s">
        <v>955</v>
      </c>
      <c r="AG22" s="430" t="s">
        <v>1843</v>
      </c>
      <c r="AI22" s="55" t="s">
        <v>1356</v>
      </c>
      <c r="AJ22" s="430" t="s">
        <v>1064</v>
      </c>
    </row>
    <row r="23" spans="2:36" ht="30.05" customHeight="1" x14ac:dyDescent="0.35">
      <c r="B23" s="56" t="s">
        <v>44</v>
      </c>
      <c r="C23" s="427"/>
      <c r="E23" s="56" t="s">
        <v>145</v>
      </c>
      <c r="F23" s="428" t="s">
        <v>1064</v>
      </c>
      <c r="H23" s="55" t="s">
        <v>1256</v>
      </c>
      <c r="I23" s="428" t="s">
        <v>1064</v>
      </c>
      <c r="K23" s="56" t="s">
        <v>257</v>
      </c>
      <c r="L23" s="429" t="s">
        <v>1802</v>
      </c>
      <c r="N23" s="56" t="s">
        <v>356</v>
      </c>
      <c r="O23" s="429" t="s">
        <v>1541</v>
      </c>
      <c r="Q23" s="56" t="s">
        <v>456</v>
      </c>
      <c r="R23" s="430"/>
      <c r="T23" s="55" t="s">
        <v>556</v>
      </c>
      <c r="U23" s="430" t="s">
        <v>1611</v>
      </c>
      <c r="W23" s="56" t="s">
        <v>656</v>
      </c>
      <c r="X23" s="430"/>
      <c r="Z23" s="55" t="s">
        <v>756</v>
      </c>
      <c r="AA23" s="430" t="s">
        <v>1064</v>
      </c>
      <c r="AC23" s="55" t="s">
        <v>856</v>
      </c>
      <c r="AD23" s="430" t="s">
        <v>1064</v>
      </c>
      <c r="AF23" s="55" t="s">
        <v>956</v>
      </c>
      <c r="AG23" s="430" t="s">
        <v>1844</v>
      </c>
      <c r="AI23" s="55" t="s">
        <v>1357</v>
      </c>
      <c r="AJ23" s="430" t="s">
        <v>1064</v>
      </c>
    </row>
    <row r="24" spans="2:36" ht="30.05" customHeight="1" x14ac:dyDescent="0.35">
      <c r="B24" s="56" t="s">
        <v>45</v>
      </c>
      <c r="C24" s="427"/>
      <c r="E24" s="56" t="s">
        <v>146</v>
      </c>
      <c r="F24" s="428" t="s">
        <v>1064</v>
      </c>
      <c r="H24" s="55" t="s">
        <v>1257</v>
      </c>
      <c r="I24" s="428" t="s">
        <v>1064</v>
      </c>
      <c r="K24" s="56" t="s">
        <v>258</v>
      </c>
      <c r="L24" s="429" t="s">
        <v>1803</v>
      </c>
      <c r="N24" s="56" t="s">
        <v>357</v>
      </c>
      <c r="O24" s="429" t="s">
        <v>1815</v>
      </c>
      <c r="Q24" s="56" t="s">
        <v>457</v>
      </c>
      <c r="R24" s="430"/>
      <c r="T24" s="56" t="s">
        <v>557</v>
      </c>
      <c r="U24" s="430" t="s">
        <v>1568</v>
      </c>
      <c r="W24" s="55" t="s">
        <v>657</v>
      </c>
      <c r="X24" s="430"/>
      <c r="Z24" s="56" t="s">
        <v>757</v>
      </c>
      <c r="AA24" s="430" t="s">
        <v>1064</v>
      </c>
      <c r="AC24" s="56" t="s">
        <v>857</v>
      </c>
      <c r="AD24" s="430" t="s">
        <v>1064</v>
      </c>
      <c r="AF24" s="56" t="s">
        <v>957</v>
      </c>
      <c r="AG24" s="430" t="s">
        <v>1845</v>
      </c>
      <c r="AI24" s="55" t="s">
        <v>1358</v>
      </c>
      <c r="AJ24" s="430" t="s">
        <v>1064</v>
      </c>
    </row>
    <row r="25" spans="2:36" ht="30.05" customHeight="1" x14ac:dyDescent="0.35">
      <c r="B25" s="56" t="s">
        <v>46</v>
      </c>
      <c r="C25" s="427"/>
      <c r="E25" s="56" t="s">
        <v>147</v>
      </c>
      <c r="F25" s="428" t="s">
        <v>1064</v>
      </c>
      <c r="H25" s="55" t="s">
        <v>1258</v>
      </c>
      <c r="I25" s="428" t="s">
        <v>1064</v>
      </c>
      <c r="K25" s="56" t="s">
        <v>259</v>
      </c>
      <c r="L25" s="429" t="s">
        <v>1804</v>
      </c>
      <c r="N25" s="56" t="s">
        <v>358</v>
      </c>
      <c r="O25" s="429" t="s">
        <v>1535</v>
      </c>
      <c r="Q25" s="56" t="s">
        <v>458</v>
      </c>
      <c r="R25" s="430"/>
      <c r="T25" s="55" t="s">
        <v>558</v>
      </c>
      <c r="U25" s="430" t="s">
        <v>1588</v>
      </c>
      <c r="W25" s="56" t="s">
        <v>658</v>
      </c>
      <c r="X25" s="430"/>
      <c r="Z25" s="55" t="s">
        <v>758</v>
      </c>
      <c r="AA25" s="430" t="s">
        <v>1064</v>
      </c>
      <c r="AC25" s="55" t="s">
        <v>858</v>
      </c>
      <c r="AD25" s="430" t="s">
        <v>1064</v>
      </c>
      <c r="AF25" s="55" t="s">
        <v>958</v>
      </c>
      <c r="AG25" s="430" t="s">
        <v>1846</v>
      </c>
      <c r="AI25" s="55" t="s">
        <v>1359</v>
      </c>
      <c r="AJ25" s="430" t="s">
        <v>1064</v>
      </c>
    </row>
    <row r="26" spans="2:36" ht="30.05" customHeight="1" x14ac:dyDescent="0.35">
      <c r="B26" s="56" t="s">
        <v>47</v>
      </c>
      <c r="C26" s="427"/>
      <c r="E26" s="56" t="s">
        <v>148</v>
      </c>
      <c r="F26" s="428" t="s">
        <v>1064</v>
      </c>
      <c r="H26" s="55" t="s">
        <v>1259</v>
      </c>
      <c r="I26" s="428" t="s">
        <v>1064</v>
      </c>
      <c r="K26" s="56" t="s">
        <v>260</v>
      </c>
      <c r="L26" s="429" t="s">
        <v>1805</v>
      </c>
      <c r="N26" s="56" t="s">
        <v>359</v>
      </c>
      <c r="O26" s="430" t="s">
        <v>1461</v>
      </c>
      <c r="Q26" s="56" t="s">
        <v>459</v>
      </c>
      <c r="R26" s="430"/>
      <c r="T26" s="56" t="s">
        <v>559</v>
      </c>
      <c r="U26" s="430" t="s">
        <v>1494</v>
      </c>
      <c r="W26" s="55" t="s">
        <v>659</v>
      </c>
      <c r="X26" s="430"/>
      <c r="Z26" s="56" t="s">
        <v>759</v>
      </c>
      <c r="AA26" s="430" t="s">
        <v>1064</v>
      </c>
      <c r="AC26" s="56" t="s">
        <v>859</v>
      </c>
      <c r="AD26" s="430" t="s">
        <v>1064</v>
      </c>
      <c r="AF26" s="56" t="s">
        <v>959</v>
      </c>
      <c r="AG26" s="430" t="s">
        <v>1501</v>
      </c>
      <c r="AI26" s="55" t="s">
        <v>1360</v>
      </c>
      <c r="AJ26" s="430" t="s">
        <v>1064</v>
      </c>
    </row>
    <row r="27" spans="2:36" ht="30.05" customHeight="1" x14ac:dyDescent="0.35">
      <c r="B27" s="56" t="s">
        <v>48</v>
      </c>
      <c r="C27" s="427"/>
      <c r="E27" s="56" t="s">
        <v>149</v>
      </c>
      <c r="F27" s="428" t="s">
        <v>1064</v>
      </c>
      <c r="H27" s="55" t="s">
        <v>1260</v>
      </c>
      <c r="I27" s="428" t="s">
        <v>1064</v>
      </c>
      <c r="K27" s="56" t="s">
        <v>261</v>
      </c>
      <c r="L27" s="429" t="s">
        <v>1806</v>
      </c>
      <c r="N27" s="56" t="s">
        <v>360</v>
      </c>
      <c r="O27" s="430" t="s">
        <v>1478</v>
      </c>
      <c r="Q27" s="56" t="s">
        <v>460</v>
      </c>
      <c r="R27" s="430"/>
      <c r="T27" s="55" t="s">
        <v>560</v>
      </c>
      <c r="U27" s="430" t="s">
        <v>1802</v>
      </c>
      <c r="W27" s="56" t="s">
        <v>660</v>
      </c>
      <c r="X27" s="430"/>
      <c r="Z27" s="55" t="s">
        <v>760</v>
      </c>
      <c r="AA27" s="430" t="s">
        <v>1064</v>
      </c>
      <c r="AC27" s="55" t="s">
        <v>860</v>
      </c>
      <c r="AD27" s="430" t="s">
        <v>1064</v>
      </c>
      <c r="AF27" s="55" t="s">
        <v>960</v>
      </c>
      <c r="AG27" s="430" t="s">
        <v>1847</v>
      </c>
      <c r="AI27" s="55" t="s">
        <v>1361</v>
      </c>
      <c r="AJ27" s="430" t="s">
        <v>1064</v>
      </c>
    </row>
    <row r="28" spans="2:36" ht="30.05" customHeight="1" x14ac:dyDescent="0.35">
      <c r="B28" s="56" t="s">
        <v>49</v>
      </c>
      <c r="C28" s="427"/>
      <c r="E28" s="56" t="s">
        <v>150</v>
      </c>
      <c r="F28" s="428" t="s">
        <v>1064</v>
      </c>
      <c r="H28" s="55" t="s">
        <v>1261</v>
      </c>
      <c r="I28" s="428" t="s">
        <v>1064</v>
      </c>
      <c r="K28" s="56" t="s">
        <v>262</v>
      </c>
      <c r="L28" s="429" t="s">
        <v>1807</v>
      </c>
      <c r="N28" s="56" t="s">
        <v>361</v>
      </c>
      <c r="O28" s="430" t="s">
        <v>1816</v>
      </c>
      <c r="Q28" s="56" t="s">
        <v>461</v>
      </c>
      <c r="R28" s="430"/>
      <c r="T28" s="56" t="s">
        <v>561</v>
      </c>
      <c r="U28" s="430" t="s">
        <v>1823</v>
      </c>
      <c r="W28" s="55" t="s">
        <v>661</v>
      </c>
      <c r="X28" s="430"/>
      <c r="Z28" s="56" t="s">
        <v>761</v>
      </c>
      <c r="AA28" s="430" t="s">
        <v>1064</v>
      </c>
      <c r="AC28" s="56" t="s">
        <v>861</v>
      </c>
      <c r="AD28" s="430" t="s">
        <v>1064</v>
      </c>
      <c r="AF28" s="56" t="s">
        <v>961</v>
      </c>
      <c r="AG28" s="430" t="s">
        <v>1848</v>
      </c>
      <c r="AI28" s="55" t="s">
        <v>1362</v>
      </c>
      <c r="AJ28" s="430" t="s">
        <v>1064</v>
      </c>
    </row>
    <row r="29" spans="2:36" ht="30.05" customHeight="1" x14ac:dyDescent="0.35">
      <c r="B29" s="56" t="s">
        <v>50</v>
      </c>
      <c r="C29" s="427"/>
      <c r="E29" s="56" t="s">
        <v>151</v>
      </c>
      <c r="F29" s="428" t="s">
        <v>1064</v>
      </c>
      <c r="H29" s="55" t="s">
        <v>1262</v>
      </c>
      <c r="I29" s="428" t="s">
        <v>1064</v>
      </c>
      <c r="K29" s="56" t="s">
        <v>263</v>
      </c>
      <c r="L29" s="429" t="s">
        <v>1808</v>
      </c>
      <c r="N29" s="56" t="s">
        <v>362</v>
      </c>
      <c r="O29" s="430" t="s">
        <v>1489</v>
      </c>
      <c r="Q29" s="56" t="s">
        <v>462</v>
      </c>
      <c r="R29" s="430"/>
      <c r="T29" s="55" t="s">
        <v>562</v>
      </c>
      <c r="U29" s="430" t="s">
        <v>1824</v>
      </c>
      <c r="W29" s="56" t="s">
        <v>662</v>
      </c>
      <c r="X29" s="430"/>
      <c r="Z29" s="55" t="s">
        <v>762</v>
      </c>
      <c r="AA29" s="430" t="s">
        <v>1064</v>
      </c>
      <c r="AC29" s="55" t="s">
        <v>862</v>
      </c>
      <c r="AD29" s="430" t="s">
        <v>1064</v>
      </c>
      <c r="AF29" s="55" t="s">
        <v>962</v>
      </c>
      <c r="AG29" s="430" t="s">
        <v>1849</v>
      </c>
      <c r="AI29" s="55" t="s">
        <v>1363</v>
      </c>
      <c r="AJ29" s="430" t="s">
        <v>1064</v>
      </c>
    </row>
    <row r="30" spans="2:36" ht="30.05" customHeight="1" x14ac:dyDescent="0.35">
      <c r="B30" s="56" t="s">
        <v>51</v>
      </c>
      <c r="C30" s="427"/>
      <c r="E30" s="56" t="s">
        <v>152</v>
      </c>
      <c r="F30" s="428" t="s">
        <v>1064</v>
      </c>
      <c r="H30" s="55" t="s">
        <v>1263</v>
      </c>
      <c r="I30" s="428" t="s">
        <v>1064</v>
      </c>
      <c r="K30" s="56" t="s">
        <v>264</v>
      </c>
      <c r="L30" s="429" t="s">
        <v>1809</v>
      </c>
      <c r="N30" s="56" t="s">
        <v>363</v>
      </c>
      <c r="O30" s="430" t="s">
        <v>1817</v>
      </c>
      <c r="Q30" s="56" t="s">
        <v>463</v>
      </c>
      <c r="R30" s="430"/>
      <c r="T30" s="56" t="s">
        <v>563</v>
      </c>
      <c r="U30" s="430" t="s">
        <v>1638</v>
      </c>
      <c r="W30" s="55" t="s">
        <v>663</v>
      </c>
      <c r="X30" s="430"/>
      <c r="Z30" s="56" t="s">
        <v>763</v>
      </c>
      <c r="AA30" s="430" t="s">
        <v>1064</v>
      </c>
      <c r="AC30" s="56" t="s">
        <v>863</v>
      </c>
      <c r="AD30" s="430" t="s">
        <v>1064</v>
      </c>
      <c r="AF30" s="56" t="s">
        <v>963</v>
      </c>
      <c r="AG30" s="430" t="s">
        <v>1850</v>
      </c>
      <c r="AI30" s="55" t="s">
        <v>1364</v>
      </c>
      <c r="AJ30" s="430" t="s">
        <v>1064</v>
      </c>
    </row>
    <row r="31" spans="2:36" ht="30.05" customHeight="1" x14ac:dyDescent="0.35">
      <c r="B31" s="56" t="s">
        <v>52</v>
      </c>
      <c r="C31" s="427"/>
      <c r="E31" s="56" t="s">
        <v>153</v>
      </c>
      <c r="F31" s="428" t="s">
        <v>1064</v>
      </c>
      <c r="H31" s="55" t="s">
        <v>1264</v>
      </c>
      <c r="I31" s="428" t="s">
        <v>1064</v>
      </c>
      <c r="K31" s="56" t="s">
        <v>265</v>
      </c>
      <c r="L31" s="429" t="s">
        <v>1810</v>
      </c>
      <c r="N31" s="56" t="s">
        <v>364</v>
      </c>
      <c r="O31" s="430" t="s">
        <v>1592</v>
      </c>
      <c r="Q31" s="56" t="s">
        <v>464</v>
      </c>
      <c r="R31" s="430"/>
      <c r="T31" s="55" t="s">
        <v>564</v>
      </c>
      <c r="U31" s="430" t="s">
        <v>1493</v>
      </c>
      <c r="W31" s="56" t="s">
        <v>664</v>
      </c>
      <c r="X31" s="430"/>
      <c r="Z31" s="55" t="s">
        <v>764</v>
      </c>
      <c r="AA31" s="430" t="s">
        <v>1064</v>
      </c>
      <c r="AC31" s="55" t="s">
        <v>864</v>
      </c>
      <c r="AD31" s="430" t="s">
        <v>1064</v>
      </c>
      <c r="AF31" s="55" t="s">
        <v>964</v>
      </c>
      <c r="AG31" s="430" t="s">
        <v>1602</v>
      </c>
      <c r="AI31" s="55" t="s">
        <v>1365</v>
      </c>
      <c r="AJ31" s="430" t="s">
        <v>1064</v>
      </c>
    </row>
    <row r="32" spans="2:36" ht="30.05" customHeight="1" x14ac:dyDescent="0.35">
      <c r="B32" s="56" t="s">
        <v>53</v>
      </c>
      <c r="C32" s="427"/>
      <c r="E32" s="56" t="s">
        <v>154</v>
      </c>
      <c r="F32" s="428" t="s">
        <v>1064</v>
      </c>
      <c r="H32" s="55" t="s">
        <v>1265</v>
      </c>
      <c r="I32" s="428" t="s">
        <v>1064</v>
      </c>
      <c r="K32" s="56" t="s">
        <v>266</v>
      </c>
      <c r="L32" s="429" t="s">
        <v>1587</v>
      </c>
      <c r="N32" s="56" t="s">
        <v>365</v>
      </c>
      <c r="O32" s="430" t="s">
        <v>1542</v>
      </c>
      <c r="Q32" s="56" t="s">
        <v>465</v>
      </c>
      <c r="R32" s="430"/>
      <c r="T32" s="56" t="s">
        <v>565</v>
      </c>
      <c r="U32" s="430" t="s">
        <v>1543</v>
      </c>
      <c r="W32" s="55" t="s">
        <v>665</v>
      </c>
      <c r="X32" s="430"/>
      <c r="Z32" s="56" t="s">
        <v>765</v>
      </c>
      <c r="AA32" s="430" t="s">
        <v>1064</v>
      </c>
      <c r="AC32" s="56" t="s">
        <v>865</v>
      </c>
      <c r="AD32" s="430" t="s">
        <v>1064</v>
      </c>
      <c r="AF32" s="56" t="s">
        <v>965</v>
      </c>
      <c r="AG32" s="430" t="s">
        <v>1851</v>
      </c>
      <c r="AI32" s="55" t="s">
        <v>1366</v>
      </c>
      <c r="AJ32" s="430" t="s">
        <v>1064</v>
      </c>
    </row>
    <row r="33" spans="2:36" ht="30.05" customHeight="1" x14ac:dyDescent="0.35">
      <c r="B33" s="56" t="s">
        <v>54</v>
      </c>
      <c r="C33" s="427"/>
      <c r="E33" s="56" t="s">
        <v>155</v>
      </c>
      <c r="F33" s="428" t="s">
        <v>1064</v>
      </c>
      <c r="H33" s="55" t="s">
        <v>1266</v>
      </c>
      <c r="I33" s="428" t="s">
        <v>1064</v>
      </c>
      <c r="K33" s="56" t="s">
        <v>267</v>
      </c>
      <c r="L33" s="429"/>
      <c r="N33" s="56" t="s">
        <v>366</v>
      </c>
      <c r="O33" s="430" t="s">
        <v>1530</v>
      </c>
      <c r="Q33" s="56" t="s">
        <v>466</v>
      </c>
      <c r="R33" s="430"/>
      <c r="T33" s="55" t="s">
        <v>566</v>
      </c>
      <c r="U33" s="430" t="s">
        <v>1492</v>
      </c>
      <c r="W33" s="56" t="s">
        <v>666</v>
      </c>
      <c r="X33" s="430"/>
      <c r="Z33" s="55" t="s">
        <v>766</v>
      </c>
      <c r="AA33" s="430" t="s">
        <v>1064</v>
      </c>
      <c r="AC33" s="55" t="s">
        <v>866</v>
      </c>
      <c r="AD33" s="430" t="s">
        <v>1064</v>
      </c>
      <c r="AF33" s="55" t="s">
        <v>966</v>
      </c>
      <c r="AG33" s="430" t="s">
        <v>1852</v>
      </c>
      <c r="AI33" s="55" t="s">
        <v>1367</v>
      </c>
      <c r="AJ33" s="430" t="s">
        <v>1064</v>
      </c>
    </row>
    <row r="34" spans="2:36" ht="30.05" customHeight="1" x14ac:dyDescent="0.35">
      <c r="B34" s="56" t="s">
        <v>55</v>
      </c>
      <c r="C34" s="427"/>
      <c r="E34" s="56" t="s">
        <v>156</v>
      </c>
      <c r="F34" s="428" t="s">
        <v>1064</v>
      </c>
      <c r="H34" s="55" t="s">
        <v>1267</v>
      </c>
      <c r="I34" s="428" t="s">
        <v>1064</v>
      </c>
      <c r="K34" s="56" t="s">
        <v>268</v>
      </c>
      <c r="L34" s="429"/>
      <c r="N34" s="56" t="s">
        <v>367</v>
      </c>
      <c r="O34" s="453" t="s">
        <v>1552</v>
      </c>
      <c r="Q34" s="56" t="s">
        <v>467</v>
      </c>
      <c r="R34" s="430"/>
      <c r="T34" s="56" t="s">
        <v>567</v>
      </c>
      <c r="U34" s="430" t="s">
        <v>1636</v>
      </c>
      <c r="W34" s="55" t="s">
        <v>667</v>
      </c>
      <c r="X34" s="430"/>
      <c r="Z34" s="56" t="s">
        <v>767</v>
      </c>
      <c r="AA34" s="430" t="s">
        <v>1064</v>
      </c>
      <c r="AC34" s="56" t="s">
        <v>867</v>
      </c>
      <c r="AD34" s="430" t="s">
        <v>1064</v>
      </c>
      <c r="AF34" s="56" t="s">
        <v>967</v>
      </c>
      <c r="AG34" s="430" t="s">
        <v>1853</v>
      </c>
      <c r="AI34" s="55" t="s">
        <v>1368</v>
      </c>
      <c r="AJ34" s="430" t="s">
        <v>1064</v>
      </c>
    </row>
    <row r="35" spans="2:36" ht="30.05" customHeight="1" x14ac:dyDescent="0.35">
      <c r="B35" s="56" t="s">
        <v>56</v>
      </c>
      <c r="C35" s="427"/>
      <c r="E35" s="56" t="s">
        <v>157</v>
      </c>
      <c r="F35" s="428" t="s">
        <v>1064</v>
      </c>
      <c r="H35" s="55" t="s">
        <v>1268</v>
      </c>
      <c r="I35" s="428" t="s">
        <v>1064</v>
      </c>
      <c r="K35" s="56" t="s">
        <v>269</v>
      </c>
      <c r="L35" s="429"/>
      <c r="N35" s="56" t="s">
        <v>368</v>
      </c>
      <c r="O35" s="430" t="s">
        <v>1459</v>
      </c>
      <c r="Q35" s="56" t="s">
        <v>468</v>
      </c>
      <c r="R35" s="430"/>
      <c r="T35" s="55" t="s">
        <v>568</v>
      </c>
      <c r="U35" s="430" t="s">
        <v>1544</v>
      </c>
      <c r="W35" s="56" t="s">
        <v>668</v>
      </c>
      <c r="X35" s="430"/>
      <c r="Z35" s="55" t="s">
        <v>768</v>
      </c>
      <c r="AA35" s="430" t="s">
        <v>1064</v>
      </c>
      <c r="AC35" s="55" t="s">
        <v>868</v>
      </c>
      <c r="AD35" s="430" t="s">
        <v>1064</v>
      </c>
      <c r="AF35" s="55" t="s">
        <v>968</v>
      </c>
      <c r="AG35" s="430" t="s">
        <v>1508</v>
      </c>
      <c r="AI35" s="55" t="s">
        <v>1369</v>
      </c>
      <c r="AJ35" s="430" t="s">
        <v>1064</v>
      </c>
    </row>
    <row r="36" spans="2:36" ht="30.05" customHeight="1" x14ac:dyDescent="0.35">
      <c r="B36" s="56" t="s">
        <v>57</v>
      </c>
      <c r="C36" s="427"/>
      <c r="E36" s="56" t="s">
        <v>158</v>
      </c>
      <c r="F36" s="428" t="s">
        <v>1064</v>
      </c>
      <c r="H36" s="55" t="s">
        <v>1269</v>
      </c>
      <c r="I36" s="428" t="s">
        <v>1064</v>
      </c>
      <c r="K36" s="56" t="s">
        <v>270</v>
      </c>
      <c r="L36" s="429"/>
      <c r="N36" s="56" t="s">
        <v>369</v>
      </c>
      <c r="O36" s="453" t="s">
        <v>1488</v>
      </c>
      <c r="Q36" s="56" t="s">
        <v>469</v>
      </c>
      <c r="R36" s="430"/>
      <c r="T36" s="56" t="s">
        <v>569</v>
      </c>
      <c r="U36" s="430" t="s">
        <v>1510</v>
      </c>
      <c r="W36" s="55" t="s">
        <v>669</v>
      </c>
      <c r="X36" s="430"/>
      <c r="Z36" s="56" t="s">
        <v>769</v>
      </c>
      <c r="AA36" s="430" t="s">
        <v>1064</v>
      </c>
      <c r="AC36" s="56" t="s">
        <v>869</v>
      </c>
      <c r="AD36" s="430" t="s">
        <v>1064</v>
      </c>
      <c r="AF36" s="56" t="s">
        <v>969</v>
      </c>
      <c r="AG36" s="430"/>
      <c r="AI36" s="55" t="s">
        <v>1370</v>
      </c>
      <c r="AJ36" s="430" t="s">
        <v>1064</v>
      </c>
    </row>
    <row r="37" spans="2:36" ht="30.05" customHeight="1" x14ac:dyDescent="0.35">
      <c r="B37" s="56" t="s">
        <v>58</v>
      </c>
      <c r="C37" s="427"/>
      <c r="E37" s="56" t="s">
        <v>159</v>
      </c>
      <c r="F37" s="428" t="s">
        <v>1064</v>
      </c>
      <c r="H37" s="55" t="s">
        <v>1270</v>
      </c>
      <c r="I37" s="428" t="s">
        <v>1064</v>
      </c>
      <c r="K37" s="56" t="s">
        <v>271</v>
      </c>
      <c r="L37" s="429"/>
      <c r="N37" s="56" t="s">
        <v>370</v>
      </c>
      <c r="O37" s="453" t="s">
        <v>1587</v>
      </c>
      <c r="Q37" s="56" t="s">
        <v>470</v>
      </c>
      <c r="R37" s="430"/>
      <c r="T37" s="55" t="s">
        <v>570</v>
      </c>
      <c r="U37" s="430" t="s">
        <v>1825</v>
      </c>
      <c r="W37" s="56" t="s">
        <v>670</v>
      </c>
      <c r="X37" s="430"/>
      <c r="Z37" s="55" t="s">
        <v>770</v>
      </c>
      <c r="AA37" s="430" t="s">
        <v>1064</v>
      </c>
      <c r="AC37" s="55" t="s">
        <v>870</v>
      </c>
      <c r="AD37" s="430" t="s">
        <v>1064</v>
      </c>
      <c r="AF37" s="55" t="s">
        <v>970</v>
      </c>
      <c r="AG37" s="430"/>
      <c r="AI37" s="55" t="s">
        <v>1371</v>
      </c>
      <c r="AJ37" s="430" t="s">
        <v>1064</v>
      </c>
    </row>
    <row r="38" spans="2:36" ht="30.05" customHeight="1" x14ac:dyDescent="0.35">
      <c r="B38" s="56" t="s">
        <v>59</v>
      </c>
      <c r="C38" s="427"/>
      <c r="E38" s="56" t="s">
        <v>160</v>
      </c>
      <c r="F38" s="428" t="s">
        <v>1064</v>
      </c>
      <c r="H38" s="55" t="s">
        <v>1271</v>
      </c>
      <c r="I38" s="428" t="s">
        <v>1064</v>
      </c>
      <c r="K38" s="56" t="s">
        <v>272</v>
      </c>
      <c r="L38" s="429"/>
      <c r="N38" s="56" t="s">
        <v>371</v>
      </c>
      <c r="O38" s="453"/>
      <c r="Q38" s="56" t="s">
        <v>471</v>
      </c>
      <c r="R38" s="430"/>
      <c r="T38" s="56" t="s">
        <v>571</v>
      </c>
      <c r="U38" s="430" t="s">
        <v>1544</v>
      </c>
      <c r="W38" s="55" t="s">
        <v>671</v>
      </c>
      <c r="X38" s="430"/>
      <c r="Z38" s="56" t="s">
        <v>771</v>
      </c>
      <c r="AA38" s="430" t="s">
        <v>1064</v>
      </c>
      <c r="AC38" s="56" t="s">
        <v>871</v>
      </c>
      <c r="AD38" s="430" t="s">
        <v>1064</v>
      </c>
      <c r="AF38" s="56" t="s">
        <v>971</v>
      </c>
      <c r="AG38" s="430"/>
      <c r="AI38" s="55" t="s">
        <v>1372</v>
      </c>
      <c r="AJ38" s="430" t="s">
        <v>1064</v>
      </c>
    </row>
    <row r="39" spans="2:36" ht="30.05" customHeight="1" x14ac:dyDescent="0.35">
      <c r="B39" s="56" t="s">
        <v>60</v>
      </c>
      <c r="C39" s="427"/>
      <c r="E39" s="56" t="s">
        <v>161</v>
      </c>
      <c r="F39" s="428" t="s">
        <v>1064</v>
      </c>
      <c r="H39" s="55" t="s">
        <v>1272</v>
      </c>
      <c r="I39" s="428" t="s">
        <v>1064</v>
      </c>
      <c r="K39" s="56" t="s">
        <v>273</v>
      </c>
      <c r="L39" s="429"/>
      <c r="N39" s="56" t="s">
        <v>372</v>
      </c>
      <c r="O39" s="453"/>
      <c r="Q39" s="56" t="s">
        <v>472</v>
      </c>
      <c r="R39" s="430"/>
      <c r="T39" s="55" t="s">
        <v>572</v>
      </c>
      <c r="U39" s="430" t="s">
        <v>1510</v>
      </c>
      <c r="W39" s="56" t="s">
        <v>672</v>
      </c>
      <c r="X39" s="430"/>
      <c r="Z39" s="55" t="s">
        <v>772</v>
      </c>
      <c r="AA39" s="430" t="s">
        <v>1064</v>
      </c>
      <c r="AC39" s="55" t="s">
        <v>872</v>
      </c>
      <c r="AD39" s="430" t="s">
        <v>1064</v>
      </c>
      <c r="AF39" s="55" t="s">
        <v>972</v>
      </c>
      <c r="AG39" s="430"/>
      <c r="AI39" s="55" t="s">
        <v>1373</v>
      </c>
      <c r="AJ39" s="430" t="s">
        <v>1064</v>
      </c>
    </row>
    <row r="40" spans="2:36" ht="30.05" customHeight="1" x14ac:dyDescent="0.35">
      <c r="B40" s="56" t="s">
        <v>61</v>
      </c>
      <c r="C40" s="427"/>
      <c r="E40" s="56" t="s">
        <v>162</v>
      </c>
      <c r="F40" s="428" t="s">
        <v>1064</v>
      </c>
      <c r="H40" s="55" t="s">
        <v>1273</v>
      </c>
      <c r="I40" s="428" t="s">
        <v>1064</v>
      </c>
      <c r="K40" s="56" t="s">
        <v>274</v>
      </c>
      <c r="L40" s="429"/>
      <c r="N40" s="56" t="s">
        <v>373</v>
      </c>
      <c r="O40" s="430"/>
      <c r="Q40" s="56" t="s">
        <v>473</v>
      </c>
      <c r="R40" s="430"/>
      <c r="T40" s="56" t="s">
        <v>573</v>
      </c>
      <c r="U40" s="430" t="s">
        <v>1825</v>
      </c>
      <c r="W40" s="55" t="s">
        <v>673</v>
      </c>
      <c r="X40" s="430"/>
      <c r="Z40" s="56" t="s">
        <v>773</v>
      </c>
      <c r="AA40" s="430" t="s">
        <v>1064</v>
      </c>
      <c r="AC40" s="56" t="s">
        <v>873</v>
      </c>
      <c r="AD40" s="430" t="s">
        <v>1064</v>
      </c>
      <c r="AF40" s="56" t="s">
        <v>973</v>
      </c>
      <c r="AG40" s="430"/>
      <c r="AI40" s="55" t="s">
        <v>1374</v>
      </c>
      <c r="AJ40" s="430" t="s">
        <v>1064</v>
      </c>
    </row>
    <row r="41" spans="2:36" ht="30.05" customHeight="1" x14ac:dyDescent="0.35">
      <c r="B41" s="56" t="s">
        <v>62</v>
      </c>
      <c r="C41" s="427"/>
      <c r="E41" s="56" t="s">
        <v>163</v>
      </c>
      <c r="F41" s="428" t="s">
        <v>1064</v>
      </c>
      <c r="H41" s="55" t="s">
        <v>1274</v>
      </c>
      <c r="I41" s="428" t="s">
        <v>1064</v>
      </c>
      <c r="K41" s="56" t="s">
        <v>275</v>
      </c>
      <c r="L41" s="429"/>
      <c r="N41" s="56" t="s">
        <v>374</v>
      </c>
      <c r="O41" s="430"/>
      <c r="Q41" s="56" t="s">
        <v>474</v>
      </c>
      <c r="R41" s="430"/>
      <c r="T41" s="55" t="s">
        <v>574</v>
      </c>
      <c r="U41" s="430" t="s">
        <v>1064</v>
      </c>
      <c r="W41" s="56" t="s">
        <v>674</v>
      </c>
      <c r="X41" s="430"/>
      <c r="Z41" s="55" t="s">
        <v>774</v>
      </c>
      <c r="AA41" s="430" t="s">
        <v>1064</v>
      </c>
      <c r="AC41" s="55" t="s">
        <v>874</v>
      </c>
      <c r="AD41" s="430" t="s">
        <v>1064</v>
      </c>
      <c r="AF41" s="55" t="s">
        <v>974</v>
      </c>
      <c r="AG41" s="430"/>
      <c r="AI41" s="55" t="s">
        <v>1375</v>
      </c>
      <c r="AJ41" s="430" t="s">
        <v>1064</v>
      </c>
    </row>
    <row r="42" spans="2:36" ht="30.05" customHeight="1" x14ac:dyDescent="0.35">
      <c r="B42" s="56" t="s">
        <v>63</v>
      </c>
      <c r="C42" s="427"/>
      <c r="E42" s="56" t="s">
        <v>164</v>
      </c>
      <c r="F42" s="428" t="s">
        <v>1064</v>
      </c>
      <c r="H42" s="55" t="s">
        <v>1275</v>
      </c>
      <c r="I42" s="428" t="s">
        <v>1064</v>
      </c>
      <c r="K42" s="56" t="s">
        <v>276</v>
      </c>
      <c r="L42" s="429"/>
      <c r="N42" s="56" t="s">
        <v>375</v>
      </c>
      <c r="O42" s="430"/>
      <c r="Q42" s="56" t="s">
        <v>475</v>
      </c>
      <c r="R42" s="430"/>
      <c r="T42" s="56" t="s">
        <v>575</v>
      </c>
      <c r="U42" s="430" t="s">
        <v>1064</v>
      </c>
      <c r="W42" s="55" t="s">
        <v>675</v>
      </c>
      <c r="X42" s="430"/>
      <c r="Z42" s="56" t="s">
        <v>775</v>
      </c>
      <c r="AA42" s="430" t="s">
        <v>1064</v>
      </c>
      <c r="AC42" s="56" t="s">
        <v>875</v>
      </c>
      <c r="AD42" s="430" t="s">
        <v>1064</v>
      </c>
      <c r="AF42" s="56" t="s">
        <v>975</v>
      </c>
      <c r="AG42" s="430"/>
      <c r="AI42" s="55" t="s">
        <v>1376</v>
      </c>
      <c r="AJ42" s="430" t="s">
        <v>1064</v>
      </c>
    </row>
    <row r="43" spans="2:36" ht="30.05" customHeight="1" x14ac:dyDescent="0.35">
      <c r="B43" s="56" t="s">
        <v>64</v>
      </c>
      <c r="C43" s="427"/>
      <c r="E43" s="56" t="s">
        <v>165</v>
      </c>
      <c r="F43" s="428" t="s">
        <v>1064</v>
      </c>
      <c r="H43" s="55" t="s">
        <v>1276</v>
      </c>
      <c r="I43" s="428" t="s">
        <v>1064</v>
      </c>
      <c r="K43" s="56" t="s">
        <v>277</v>
      </c>
      <c r="L43" s="429"/>
      <c r="N43" s="56" t="s">
        <v>376</v>
      </c>
      <c r="O43" s="430"/>
      <c r="Q43" s="56" t="s">
        <v>476</v>
      </c>
      <c r="R43" s="430"/>
      <c r="T43" s="55" t="s">
        <v>576</v>
      </c>
      <c r="U43" s="430" t="s">
        <v>1064</v>
      </c>
      <c r="W43" s="56" t="s">
        <v>676</v>
      </c>
      <c r="X43" s="430"/>
      <c r="Z43" s="55" t="s">
        <v>776</v>
      </c>
      <c r="AA43" s="430" t="s">
        <v>1064</v>
      </c>
      <c r="AC43" s="55" t="s">
        <v>876</v>
      </c>
      <c r="AD43" s="430" t="s">
        <v>1064</v>
      </c>
      <c r="AF43" s="55" t="s">
        <v>976</v>
      </c>
      <c r="AG43" s="430"/>
      <c r="AI43" s="55" t="s">
        <v>1377</v>
      </c>
      <c r="AJ43" s="430" t="s">
        <v>1064</v>
      </c>
    </row>
    <row r="44" spans="2:36" ht="30.05" customHeight="1" x14ac:dyDescent="0.35">
      <c r="B44" s="56" t="s">
        <v>65</v>
      </c>
      <c r="C44" s="427"/>
      <c r="E44" s="56" t="s">
        <v>166</v>
      </c>
      <c r="F44" s="428" t="s">
        <v>1064</v>
      </c>
      <c r="H44" s="55" t="s">
        <v>1277</v>
      </c>
      <c r="I44" s="428" t="s">
        <v>1064</v>
      </c>
      <c r="K44" s="56" t="s">
        <v>278</v>
      </c>
      <c r="L44" s="429"/>
      <c r="N44" s="56" t="s">
        <v>377</v>
      </c>
      <c r="O44" s="430"/>
      <c r="Q44" s="56" t="s">
        <v>477</v>
      </c>
      <c r="R44" s="430"/>
      <c r="T44" s="56" t="s">
        <v>577</v>
      </c>
      <c r="U44" s="430" t="s">
        <v>1064</v>
      </c>
      <c r="W44" s="55" t="s">
        <v>677</v>
      </c>
      <c r="X44" s="430"/>
      <c r="Z44" s="56" t="s">
        <v>777</v>
      </c>
      <c r="AA44" s="430" t="s">
        <v>1064</v>
      </c>
      <c r="AC44" s="56" t="s">
        <v>877</v>
      </c>
      <c r="AD44" s="430" t="s">
        <v>1064</v>
      </c>
      <c r="AF44" s="56" t="s">
        <v>977</v>
      </c>
      <c r="AG44" s="430"/>
      <c r="AI44" s="55" t="s">
        <v>1378</v>
      </c>
      <c r="AJ44" s="430" t="s">
        <v>1064</v>
      </c>
    </row>
    <row r="45" spans="2:36" ht="30.05" customHeight="1" x14ac:dyDescent="0.35">
      <c r="B45" s="56" t="s">
        <v>66</v>
      </c>
      <c r="C45" s="427"/>
      <c r="E45" s="56" t="s">
        <v>167</v>
      </c>
      <c r="F45" s="428" t="s">
        <v>1064</v>
      </c>
      <c r="H45" s="55" t="s">
        <v>1278</v>
      </c>
      <c r="I45" s="428" t="s">
        <v>1064</v>
      </c>
      <c r="K45" s="56" t="s">
        <v>279</v>
      </c>
      <c r="L45" s="429"/>
      <c r="N45" s="56" t="s">
        <v>378</v>
      </c>
      <c r="O45" s="430"/>
      <c r="Q45" s="56" t="s">
        <v>478</v>
      </c>
      <c r="R45" s="430"/>
      <c r="T45" s="55" t="s">
        <v>578</v>
      </c>
      <c r="U45" s="430" t="s">
        <v>1064</v>
      </c>
      <c r="W45" s="56" t="s">
        <v>678</v>
      </c>
      <c r="X45" s="430"/>
      <c r="Z45" s="55" t="s">
        <v>778</v>
      </c>
      <c r="AA45" s="430" t="s">
        <v>1064</v>
      </c>
      <c r="AC45" s="55" t="s">
        <v>878</v>
      </c>
      <c r="AD45" s="430" t="s">
        <v>1064</v>
      </c>
      <c r="AF45" s="55" t="s">
        <v>978</v>
      </c>
      <c r="AG45" s="430"/>
      <c r="AI45" s="55" t="s">
        <v>1379</v>
      </c>
      <c r="AJ45" s="430" t="s">
        <v>1064</v>
      </c>
    </row>
    <row r="46" spans="2:36" ht="30.05" customHeight="1" x14ac:dyDescent="0.35">
      <c r="B46" s="56" t="s">
        <v>67</v>
      </c>
      <c r="C46" s="427"/>
      <c r="E46" s="56" t="s">
        <v>168</v>
      </c>
      <c r="F46" s="428" t="s">
        <v>1064</v>
      </c>
      <c r="H46" s="55" t="s">
        <v>1279</v>
      </c>
      <c r="I46" s="428" t="s">
        <v>1064</v>
      </c>
      <c r="K46" s="56" t="s">
        <v>280</v>
      </c>
      <c r="L46" s="429"/>
      <c r="N46" s="56" t="s">
        <v>379</v>
      </c>
      <c r="O46" s="430"/>
      <c r="Q46" s="56" t="s">
        <v>479</v>
      </c>
      <c r="R46" s="430"/>
      <c r="T46" s="56" t="s">
        <v>579</v>
      </c>
      <c r="U46" s="430" t="s">
        <v>1064</v>
      </c>
      <c r="W46" s="55" t="s">
        <v>679</v>
      </c>
      <c r="X46" s="430"/>
      <c r="Z46" s="56" t="s">
        <v>779</v>
      </c>
      <c r="AA46" s="430" t="s">
        <v>1064</v>
      </c>
      <c r="AC46" s="56" t="s">
        <v>879</v>
      </c>
      <c r="AD46" s="430" t="s">
        <v>1064</v>
      </c>
      <c r="AF46" s="56" t="s">
        <v>979</v>
      </c>
      <c r="AG46" s="430"/>
      <c r="AI46" s="55" t="s">
        <v>1380</v>
      </c>
      <c r="AJ46" s="430" t="s">
        <v>1064</v>
      </c>
    </row>
    <row r="47" spans="2:36" ht="30.05" customHeight="1" x14ac:dyDescent="0.35">
      <c r="B47" s="56" t="s">
        <v>68</v>
      </c>
      <c r="C47" s="427"/>
      <c r="E47" s="56" t="s">
        <v>169</v>
      </c>
      <c r="F47" s="428" t="s">
        <v>1064</v>
      </c>
      <c r="H47" s="55" t="s">
        <v>1280</v>
      </c>
      <c r="I47" s="428" t="s">
        <v>1064</v>
      </c>
      <c r="K47" s="56" t="s">
        <v>281</v>
      </c>
      <c r="L47" s="429"/>
      <c r="N47" s="56" t="s">
        <v>380</v>
      </c>
      <c r="O47" s="430"/>
      <c r="Q47" s="56" t="s">
        <v>480</v>
      </c>
      <c r="R47" s="430"/>
      <c r="T47" s="55" t="s">
        <v>580</v>
      </c>
      <c r="U47" s="430" t="s">
        <v>1064</v>
      </c>
      <c r="W47" s="56" t="s">
        <v>680</v>
      </c>
      <c r="X47" s="430"/>
      <c r="Z47" s="55" t="s">
        <v>780</v>
      </c>
      <c r="AA47" s="430" t="s">
        <v>1064</v>
      </c>
      <c r="AC47" s="55" t="s">
        <v>880</v>
      </c>
      <c r="AD47" s="430" t="s">
        <v>1064</v>
      </c>
      <c r="AF47" s="55" t="s">
        <v>980</v>
      </c>
      <c r="AG47" s="430"/>
      <c r="AI47" s="55" t="s">
        <v>1381</v>
      </c>
      <c r="AJ47" s="430" t="s">
        <v>1064</v>
      </c>
    </row>
    <row r="48" spans="2:36" ht="30.05" customHeight="1" x14ac:dyDescent="0.35">
      <c r="B48" s="56" t="s">
        <v>69</v>
      </c>
      <c r="C48" s="427"/>
      <c r="E48" s="56" t="s">
        <v>170</v>
      </c>
      <c r="F48" s="428" t="s">
        <v>1064</v>
      </c>
      <c r="H48" s="55" t="s">
        <v>1281</v>
      </c>
      <c r="I48" s="428" t="s">
        <v>1064</v>
      </c>
      <c r="K48" s="56" t="s">
        <v>282</v>
      </c>
      <c r="L48" s="429"/>
      <c r="N48" s="56" t="s">
        <v>381</v>
      </c>
      <c r="O48" s="430"/>
      <c r="Q48" s="56" t="s">
        <v>481</v>
      </c>
      <c r="R48" s="430"/>
      <c r="T48" s="56" t="s">
        <v>581</v>
      </c>
      <c r="U48" s="430" t="s">
        <v>1064</v>
      </c>
      <c r="W48" s="55" t="s">
        <v>681</v>
      </c>
      <c r="X48" s="430"/>
      <c r="Z48" s="56" t="s">
        <v>781</v>
      </c>
      <c r="AA48" s="430" t="s">
        <v>1064</v>
      </c>
      <c r="AC48" s="56" t="s">
        <v>881</v>
      </c>
      <c r="AD48" s="430" t="s">
        <v>1064</v>
      </c>
      <c r="AF48" s="56" t="s">
        <v>981</v>
      </c>
      <c r="AG48" s="430"/>
      <c r="AI48" s="55" t="s">
        <v>1382</v>
      </c>
      <c r="AJ48" s="430" t="s">
        <v>1064</v>
      </c>
    </row>
    <row r="49" spans="2:36" ht="30.05" customHeight="1" x14ac:dyDescent="0.35">
      <c r="B49" s="56" t="s">
        <v>70</v>
      </c>
      <c r="C49" s="427"/>
      <c r="E49" s="56" t="s">
        <v>171</v>
      </c>
      <c r="F49" s="428" t="s">
        <v>1064</v>
      </c>
      <c r="H49" s="55" t="s">
        <v>1282</v>
      </c>
      <c r="I49" s="428" t="s">
        <v>1064</v>
      </c>
      <c r="K49" s="56" t="s">
        <v>283</v>
      </c>
      <c r="L49" s="429"/>
      <c r="N49" s="56" t="s">
        <v>382</v>
      </c>
      <c r="O49" s="430"/>
      <c r="Q49" s="56" t="s">
        <v>482</v>
      </c>
      <c r="R49" s="430"/>
      <c r="T49" s="55" t="s">
        <v>582</v>
      </c>
      <c r="U49" s="430" t="s">
        <v>1064</v>
      </c>
      <c r="W49" s="56" t="s">
        <v>682</v>
      </c>
      <c r="X49" s="430"/>
      <c r="Z49" s="55" t="s">
        <v>782</v>
      </c>
      <c r="AA49" s="430" t="s">
        <v>1064</v>
      </c>
      <c r="AC49" s="55" t="s">
        <v>882</v>
      </c>
      <c r="AD49" s="430" t="s">
        <v>1064</v>
      </c>
      <c r="AF49" s="55" t="s">
        <v>982</v>
      </c>
      <c r="AG49" s="430"/>
      <c r="AI49" s="55" t="s">
        <v>1383</v>
      </c>
      <c r="AJ49" s="430" t="s">
        <v>1064</v>
      </c>
    </row>
    <row r="50" spans="2:36" ht="30.05" customHeight="1" x14ac:dyDescent="0.35">
      <c r="B50" s="56" t="s">
        <v>71</v>
      </c>
      <c r="C50" s="427"/>
      <c r="E50" s="56" t="s">
        <v>172</v>
      </c>
      <c r="F50" s="428" t="s">
        <v>1064</v>
      </c>
      <c r="H50" s="55" t="s">
        <v>1283</v>
      </c>
      <c r="I50" s="428" t="s">
        <v>1064</v>
      </c>
      <c r="K50" s="56" t="s">
        <v>284</v>
      </c>
      <c r="L50" s="429"/>
      <c r="N50" s="56" t="s">
        <v>383</v>
      </c>
      <c r="O50" s="430"/>
      <c r="Q50" s="56" t="s">
        <v>483</v>
      </c>
      <c r="R50" s="430"/>
      <c r="T50" s="56" t="s">
        <v>583</v>
      </c>
      <c r="U50" s="430" t="s">
        <v>1064</v>
      </c>
      <c r="W50" s="55" t="s">
        <v>683</v>
      </c>
      <c r="X50" s="430"/>
      <c r="Z50" s="56" t="s">
        <v>783</v>
      </c>
      <c r="AA50" s="430" t="s">
        <v>1064</v>
      </c>
      <c r="AC50" s="56" t="s">
        <v>883</v>
      </c>
      <c r="AD50" s="430" t="s">
        <v>1064</v>
      </c>
      <c r="AF50" s="56" t="s">
        <v>983</v>
      </c>
      <c r="AG50" s="430"/>
      <c r="AI50" s="55" t="s">
        <v>1384</v>
      </c>
      <c r="AJ50" s="430" t="s">
        <v>1064</v>
      </c>
    </row>
    <row r="51" spans="2:36" ht="30.05" customHeight="1" x14ac:dyDescent="0.35">
      <c r="B51" s="56" t="s">
        <v>72</v>
      </c>
      <c r="C51" s="427"/>
      <c r="E51" s="56" t="s">
        <v>173</v>
      </c>
      <c r="F51" s="428" t="s">
        <v>1064</v>
      </c>
      <c r="H51" s="55" t="s">
        <v>1284</v>
      </c>
      <c r="I51" s="428" t="s">
        <v>1064</v>
      </c>
      <c r="K51" s="56" t="s">
        <v>285</v>
      </c>
      <c r="L51" s="429"/>
      <c r="N51" s="56" t="s">
        <v>384</v>
      </c>
      <c r="O51" s="430"/>
      <c r="Q51" s="56" t="s">
        <v>484</v>
      </c>
      <c r="R51" s="430"/>
      <c r="T51" s="55" t="s">
        <v>584</v>
      </c>
      <c r="U51" s="430" t="s">
        <v>1064</v>
      </c>
      <c r="W51" s="56" t="s">
        <v>684</v>
      </c>
      <c r="X51" s="430"/>
      <c r="Z51" s="55" t="s">
        <v>784</v>
      </c>
      <c r="AA51" s="430" t="s">
        <v>1064</v>
      </c>
      <c r="AC51" s="55" t="s">
        <v>884</v>
      </c>
      <c r="AD51" s="430" t="s">
        <v>1064</v>
      </c>
      <c r="AF51" s="55" t="s">
        <v>984</v>
      </c>
      <c r="AG51" s="430"/>
      <c r="AI51" s="55" t="s">
        <v>1385</v>
      </c>
      <c r="AJ51" s="430" t="s">
        <v>1064</v>
      </c>
    </row>
    <row r="52" spans="2:36" ht="30.05" customHeight="1" x14ac:dyDescent="0.35">
      <c r="B52" s="56" t="s">
        <v>73</v>
      </c>
      <c r="C52" s="427"/>
      <c r="E52" s="56" t="s">
        <v>174</v>
      </c>
      <c r="F52" s="428" t="s">
        <v>1064</v>
      </c>
      <c r="H52" s="55" t="s">
        <v>1285</v>
      </c>
      <c r="I52" s="428" t="s">
        <v>1064</v>
      </c>
      <c r="K52" s="56" t="s">
        <v>286</v>
      </c>
      <c r="L52" s="429"/>
      <c r="N52" s="56" t="s">
        <v>385</v>
      </c>
      <c r="O52" s="430"/>
      <c r="Q52" s="56" t="s">
        <v>485</v>
      </c>
      <c r="R52" s="430"/>
      <c r="T52" s="56" t="s">
        <v>585</v>
      </c>
      <c r="U52" s="430" t="s">
        <v>1064</v>
      </c>
      <c r="W52" s="55" t="s">
        <v>685</v>
      </c>
      <c r="X52" s="430"/>
      <c r="Z52" s="56" t="s">
        <v>785</v>
      </c>
      <c r="AA52" s="430" t="s">
        <v>1064</v>
      </c>
      <c r="AC52" s="56" t="s">
        <v>885</v>
      </c>
      <c r="AD52" s="430" t="s">
        <v>1064</v>
      </c>
      <c r="AF52" s="56" t="s">
        <v>985</v>
      </c>
      <c r="AG52" s="430"/>
      <c r="AI52" s="55" t="s">
        <v>1386</v>
      </c>
      <c r="AJ52" s="430" t="s">
        <v>1064</v>
      </c>
    </row>
    <row r="53" spans="2:36" ht="30.05" customHeight="1" x14ac:dyDescent="0.35">
      <c r="B53" s="56" t="s">
        <v>74</v>
      </c>
      <c r="C53" s="427"/>
      <c r="E53" s="56" t="s">
        <v>175</v>
      </c>
      <c r="F53" s="428" t="s">
        <v>1064</v>
      </c>
      <c r="H53" s="55" t="s">
        <v>1286</v>
      </c>
      <c r="I53" s="428" t="s">
        <v>1064</v>
      </c>
      <c r="K53" s="56" t="s">
        <v>287</v>
      </c>
      <c r="L53" s="429"/>
      <c r="N53" s="56" t="s">
        <v>386</v>
      </c>
      <c r="O53" s="430"/>
      <c r="Q53" s="56" t="s">
        <v>486</v>
      </c>
      <c r="R53" s="430"/>
      <c r="T53" s="55" t="s">
        <v>586</v>
      </c>
      <c r="U53" s="430" t="s">
        <v>1064</v>
      </c>
      <c r="W53" s="56" t="s">
        <v>686</v>
      </c>
      <c r="X53" s="430"/>
      <c r="Z53" s="55" t="s">
        <v>786</v>
      </c>
      <c r="AA53" s="430" t="s">
        <v>1064</v>
      </c>
      <c r="AC53" s="55" t="s">
        <v>886</v>
      </c>
      <c r="AD53" s="430" t="s">
        <v>1064</v>
      </c>
      <c r="AF53" s="55" t="s">
        <v>986</v>
      </c>
      <c r="AG53" s="430"/>
      <c r="AI53" s="55" t="s">
        <v>1387</v>
      </c>
      <c r="AJ53" s="430" t="s">
        <v>1064</v>
      </c>
    </row>
    <row r="54" spans="2:36" ht="30.05" customHeight="1" x14ac:dyDescent="0.35">
      <c r="B54" s="56" t="s">
        <v>75</v>
      </c>
      <c r="C54" s="427"/>
      <c r="E54" s="56" t="s">
        <v>176</v>
      </c>
      <c r="F54" s="428" t="s">
        <v>1064</v>
      </c>
      <c r="H54" s="55" t="s">
        <v>1287</v>
      </c>
      <c r="I54" s="428" t="s">
        <v>1064</v>
      </c>
      <c r="K54" s="56" t="s">
        <v>288</v>
      </c>
      <c r="L54" s="429"/>
      <c r="N54" s="56" t="s">
        <v>387</v>
      </c>
      <c r="O54" s="430"/>
      <c r="Q54" s="56" t="s">
        <v>487</v>
      </c>
      <c r="R54" s="430"/>
      <c r="T54" s="56" t="s">
        <v>587</v>
      </c>
      <c r="U54" s="430" t="s">
        <v>1064</v>
      </c>
      <c r="W54" s="55" t="s">
        <v>687</v>
      </c>
      <c r="X54" s="430"/>
      <c r="Z54" s="56" t="s">
        <v>787</v>
      </c>
      <c r="AA54" s="430" t="s">
        <v>1064</v>
      </c>
      <c r="AC54" s="56" t="s">
        <v>887</v>
      </c>
      <c r="AD54" s="430" t="s">
        <v>1064</v>
      </c>
      <c r="AF54" s="56" t="s">
        <v>987</v>
      </c>
      <c r="AG54" s="430"/>
      <c r="AI54" s="55" t="s">
        <v>1388</v>
      </c>
      <c r="AJ54" s="430" t="s">
        <v>1064</v>
      </c>
    </row>
    <row r="55" spans="2:36" ht="30.05" customHeight="1" x14ac:dyDescent="0.35">
      <c r="B55" s="56" t="s">
        <v>76</v>
      </c>
      <c r="C55" s="427"/>
      <c r="E55" s="56" t="s">
        <v>177</v>
      </c>
      <c r="F55" s="428" t="s">
        <v>1064</v>
      </c>
      <c r="H55" s="55" t="s">
        <v>1288</v>
      </c>
      <c r="I55" s="428" t="s">
        <v>1064</v>
      </c>
      <c r="K55" s="56" t="s">
        <v>289</v>
      </c>
      <c r="L55" s="429"/>
      <c r="N55" s="56" t="s">
        <v>388</v>
      </c>
      <c r="O55" s="430"/>
      <c r="Q55" s="56" t="s">
        <v>488</v>
      </c>
      <c r="R55" s="430"/>
      <c r="T55" s="55" t="s">
        <v>588</v>
      </c>
      <c r="U55" s="430" t="s">
        <v>1064</v>
      </c>
      <c r="W55" s="56" t="s">
        <v>688</v>
      </c>
      <c r="X55" s="430"/>
      <c r="Z55" s="55" t="s">
        <v>788</v>
      </c>
      <c r="AA55" s="430" t="s">
        <v>1064</v>
      </c>
      <c r="AC55" s="55" t="s">
        <v>888</v>
      </c>
      <c r="AD55" s="430" t="s">
        <v>1064</v>
      </c>
      <c r="AF55" s="55" t="s">
        <v>988</v>
      </c>
      <c r="AG55" s="430"/>
      <c r="AI55" s="55" t="s">
        <v>1389</v>
      </c>
      <c r="AJ55" s="430" t="s">
        <v>1064</v>
      </c>
    </row>
    <row r="56" spans="2:36" ht="30.05" customHeight="1" x14ac:dyDescent="0.35">
      <c r="B56" s="56" t="s">
        <v>77</v>
      </c>
      <c r="C56" s="427"/>
      <c r="E56" s="56" t="s">
        <v>178</v>
      </c>
      <c r="F56" s="428" t="s">
        <v>1064</v>
      </c>
      <c r="H56" s="55" t="s">
        <v>1289</v>
      </c>
      <c r="I56" s="428" t="s">
        <v>1064</v>
      </c>
      <c r="K56" s="56" t="s">
        <v>290</v>
      </c>
      <c r="L56" s="429"/>
      <c r="N56" s="56" t="s">
        <v>389</v>
      </c>
      <c r="O56" s="430"/>
      <c r="Q56" s="56" t="s">
        <v>489</v>
      </c>
      <c r="R56" s="430"/>
      <c r="T56" s="56" t="s">
        <v>589</v>
      </c>
      <c r="U56" s="430" t="s">
        <v>1064</v>
      </c>
      <c r="W56" s="55" t="s">
        <v>689</v>
      </c>
      <c r="X56" s="430"/>
      <c r="Z56" s="56" t="s">
        <v>789</v>
      </c>
      <c r="AA56" s="430" t="s">
        <v>1064</v>
      </c>
      <c r="AC56" s="56" t="s">
        <v>889</v>
      </c>
      <c r="AD56" s="430" t="s">
        <v>1064</v>
      </c>
      <c r="AF56" s="56" t="s">
        <v>989</v>
      </c>
      <c r="AG56" s="430"/>
      <c r="AI56" s="55" t="s">
        <v>1390</v>
      </c>
      <c r="AJ56" s="430" t="s">
        <v>1064</v>
      </c>
    </row>
    <row r="57" spans="2:36" ht="30.05" customHeight="1" x14ac:dyDescent="0.35">
      <c r="B57" s="56" t="s">
        <v>78</v>
      </c>
      <c r="C57" s="427"/>
      <c r="E57" s="56" t="s">
        <v>179</v>
      </c>
      <c r="F57" s="428" t="s">
        <v>1064</v>
      </c>
      <c r="H57" s="55" t="s">
        <v>1290</v>
      </c>
      <c r="I57" s="428" t="s">
        <v>1064</v>
      </c>
      <c r="K57" s="56" t="s">
        <v>291</v>
      </c>
      <c r="L57" s="429"/>
      <c r="N57" s="56" t="s">
        <v>390</v>
      </c>
      <c r="O57" s="430"/>
      <c r="Q57" s="56" t="s">
        <v>490</v>
      </c>
      <c r="R57" s="430"/>
      <c r="T57" s="55" t="s">
        <v>590</v>
      </c>
      <c r="U57" s="430" t="s">
        <v>1064</v>
      </c>
      <c r="W57" s="56" t="s">
        <v>690</v>
      </c>
      <c r="X57" s="430"/>
      <c r="Z57" s="55" t="s">
        <v>790</v>
      </c>
      <c r="AA57" s="430" t="s">
        <v>1064</v>
      </c>
      <c r="AC57" s="55" t="s">
        <v>890</v>
      </c>
      <c r="AD57" s="430" t="s">
        <v>1064</v>
      </c>
      <c r="AF57" s="55" t="s">
        <v>990</v>
      </c>
      <c r="AG57" s="430"/>
      <c r="AI57" s="55" t="s">
        <v>1391</v>
      </c>
      <c r="AJ57" s="430" t="s">
        <v>1064</v>
      </c>
    </row>
    <row r="58" spans="2:36" ht="30.05" customHeight="1" x14ac:dyDescent="0.35">
      <c r="B58" s="56" t="s">
        <v>79</v>
      </c>
      <c r="C58" s="427"/>
      <c r="E58" s="56" t="s">
        <v>180</v>
      </c>
      <c r="F58" s="428" t="s">
        <v>1064</v>
      </c>
      <c r="H58" s="55" t="s">
        <v>1291</v>
      </c>
      <c r="I58" s="428" t="s">
        <v>1064</v>
      </c>
      <c r="K58" s="56" t="s">
        <v>292</v>
      </c>
      <c r="L58" s="429"/>
      <c r="N58" s="56" t="s">
        <v>391</v>
      </c>
      <c r="O58" s="430"/>
      <c r="Q58" s="56" t="s">
        <v>491</v>
      </c>
      <c r="R58" s="430"/>
      <c r="T58" s="56" t="s">
        <v>591</v>
      </c>
      <c r="U58" s="430" t="s">
        <v>1064</v>
      </c>
      <c r="W58" s="55" t="s">
        <v>691</v>
      </c>
      <c r="X58" s="430"/>
      <c r="Z58" s="56" t="s">
        <v>791</v>
      </c>
      <c r="AA58" s="430" t="s">
        <v>1064</v>
      </c>
      <c r="AC58" s="56" t="s">
        <v>891</v>
      </c>
      <c r="AD58" s="430" t="s">
        <v>1064</v>
      </c>
      <c r="AF58" s="56" t="s">
        <v>991</v>
      </c>
      <c r="AG58" s="430"/>
      <c r="AI58" s="55" t="s">
        <v>1392</v>
      </c>
      <c r="AJ58" s="430" t="s">
        <v>1064</v>
      </c>
    </row>
    <row r="59" spans="2:36" ht="30.05" customHeight="1" x14ac:dyDescent="0.35">
      <c r="B59" s="56" t="s">
        <v>80</v>
      </c>
      <c r="C59" s="427"/>
      <c r="E59" s="56" t="s">
        <v>181</v>
      </c>
      <c r="F59" s="428" t="s">
        <v>1064</v>
      </c>
      <c r="H59" s="55" t="s">
        <v>1292</v>
      </c>
      <c r="I59" s="428" t="s">
        <v>1064</v>
      </c>
      <c r="K59" s="56" t="s">
        <v>293</v>
      </c>
      <c r="L59" s="429"/>
      <c r="N59" s="56" t="s">
        <v>392</v>
      </c>
      <c r="O59" s="430"/>
      <c r="Q59" s="56" t="s">
        <v>492</v>
      </c>
      <c r="R59" s="430"/>
      <c r="T59" s="55" t="s">
        <v>592</v>
      </c>
      <c r="U59" s="430" t="s">
        <v>1064</v>
      </c>
      <c r="W59" s="56" t="s">
        <v>692</v>
      </c>
      <c r="X59" s="430"/>
      <c r="Z59" s="55" t="s">
        <v>792</v>
      </c>
      <c r="AA59" s="430" t="s">
        <v>1064</v>
      </c>
      <c r="AC59" s="55" t="s">
        <v>892</v>
      </c>
      <c r="AD59" s="430" t="s">
        <v>1064</v>
      </c>
      <c r="AF59" s="55" t="s">
        <v>992</v>
      </c>
      <c r="AG59" s="430"/>
      <c r="AI59" s="55" t="s">
        <v>1393</v>
      </c>
      <c r="AJ59" s="430" t="s">
        <v>1064</v>
      </c>
    </row>
    <row r="60" spans="2:36" ht="30.05" customHeight="1" x14ac:dyDescent="0.35">
      <c r="B60" s="56" t="s">
        <v>81</v>
      </c>
      <c r="C60" s="427"/>
      <c r="E60" s="56" t="s">
        <v>182</v>
      </c>
      <c r="F60" s="428" t="s">
        <v>1064</v>
      </c>
      <c r="H60" s="55" t="s">
        <v>1293</v>
      </c>
      <c r="I60" s="428" t="s">
        <v>1064</v>
      </c>
      <c r="K60" s="56" t="s">
        <v>294</v>
      </c>
      <c r="L60" s="429"/>
      <c r="N60" s="56" t="s">
        <v>393</v>
      </c>
      <c r="O60" s="430"/>
      <c r="Q60" s="56" t="s">
        <v>493</v>
      </c>
      <c r="R60" s="430"/>
      <c r="T60" s="56" t="s">
        <v>593</v>
      </c>
      <c r="U60" s="430" t="s">
        <v>1064</v>
      </c>
      <c r="W60" s="55" t="s">
        <v>693</v>
      </c>
      <c r="X60" s="430"/>
      <c r="Z60" s="56" t="s">
        <v>793</v>
      </c>
      <c r="AA60" s="430" t="s">
        <v>1064</v>
      </c>
      <c r="AC60" s="56" t="s">
        <v>893</v>
      </c>
      <c r="AD60" s="430" t="s">
        <v>1064</v>
      </c>
      <c r="AF60" s="56" t="s">
        <v>993</v>
      </c>
      <c r="AG60" s="430"/>
      <c r="AI60" s="55" t="s">
        <v>1394</v>
      </c>
      <c r="AJ60" s="430" t="s">
        <v>1064</v>
      </c>
    </row>
    <row r="61" spans="2:36" ht="30.05" customHeight="1" x14ac:dyDescent="0.35">
      <c r="B61" s="56" t="s">
        <v>82</v>
      </c>
      <c r="C61" s="427"/>
      <c r="E61" s="56" t="s">
        <v>183</v>
      </c>
      <c r="F61" s="428" t="s">
        <v>1064</v>
      </c>
      <c r="H61" s="55" t="s">
        <v>1294</v>
      </c>
      <c r="I61" s="428" t="s">
        <v>1064</v>
      </c>
      <c r="K61" s="56" t="s">
        <v>295</v>
      </c>
      <c r="L61" s="429"/>
      <c r="N61" s="56" t="s">
        <v>394</v>
      </c>
      <c r="O61" s="430"/>
      <c r="Q61" s="56" t="s">
        <v>494</v>
      </c>
      <c r="R61" s="430"/>
      <c r="T61" s="55" t="s">
        <v>594</v>
      </c>
      <c r="U61" s="430" t="s">
        <v>1064</v>
      </c>
      <c r="W61" s="56" t="s">
        <v>694</v>
      </c>
      <c r="X61" s="430"/>
      <c r="Z61" s="55" t="s">
        <v>794</v>
      </c>
      <c r="AA61" s="430" t="s">
        <v>1064</v>
      </c>
      <c r="AC61" s="55" t="s">
        <v>894</v>
      </c>
      <c r="AD61" s="430" t="s">
        <v>1064</v>
      </c>
      <c r="AF61" s="55" t="s">
        <v>994</v>
      </c>
      <c r="AG61" s="430"/>
      <c r="AI61" s="55" t="s">
        <v>1395</v>
      </c>
      <c r="AJ61" s="430" t="s">
        <v>1064</v>
      </c>
    </row>
    <row r="62" spans="2:36" ht="30.05" customHeight="1" x14ac:dyDescent="0.35">
      <c r="B62" s="56" t="s">
        <v>83</v>
      </c>
      <c r="C62" s="427"/>
      <c r="E62" s="56" t="s">
        <v>184</v>
      </c>
      <c r="F62" s="428" t="s">
        <v>1064</v>
      </c>
      <c r="H62" s="55" t="s">
        <v>1295</v>
      </c>
      <c r="I62" s="428" t="s">
        <v>1064</v>
      </c>
      <c r="K62" s="56" t="s">
        <v>296</v>
      </c>
      <c r="L62" s="429"/>
      <c r="N62" s="56" t="s">
        <v>395</v>
      </c>
      <c r="O62" s="430"/>
      <c r="Q62" s="56" t="s">
        <v>495</v>
      </c>
      <c r="R62" s="430"/>
      <c r="T62" s="56" t="s">
        <v>595</v>
      </c>
      <c r="U62" s="430" t="s">
        <v>1064</v>
      </c>
      <c r="W62" s="55" t="s">
        <v>695</v>
      </c>
      <c r="X62" s="430"/>
      <c r="Z62" s="56" t="s">
        <v>795</v>
      </c>
      <c r="AA62" s="430" t="s">
        <v>1064</v>
      </c>
      <c r="AC62" s="56" t="s">
        <v>895</v>
      </c>
      <c r="AD62" s="430" t="s">
        <v>1064</v>
      </c>
      <c r="AF62" s="56" t="s">
        <v>995</v>
      </c>
      <c r="AG62" s="430"/>
      <c r="AI62" s="55" t="s">
        <v>1396</v>
      </c>
      <c r="AJ62" s="430" t="s">
        <v>1064</v>
      </c>
    </row>
    <row r="63" spans="2:36" ht="30.05" customHeight="1" x14ac:dyDescent="0.35">
      <c r="B63" s="56" t="s">
        <v>84</v>
      </c>
      <c r="C63" s="427"/>
      <c r="E63" s="56" t="s">
        <v>185</v>
      </c>
      <c r="F63" s="428" t="s">
        <v>1064</v>
      </c>
      <c r="H63" s="55" t="s">
        <v>1296</v>
      </c>
      <c r="I63" s="428" t="s">
        <v>1064</v>
      </c>
      <c r="K63" s="56" t="s">
        <v>297</v>
      </c>
      <c r="L63" s="429"/>
      <c r="N63" s="56" t="s">
        <v>396</v>
      </c>
      <c r="O63" s="430"/>
      <c r="Q63" s="56" t="s">
        <v>496</v>
      </c>
      <c r="R63" s="430"/>
      <c r="T63" s="55" t="s">
        <v>596</v>
      </c>
      <c r="U63" s="430" t="s">
        <v>1064</v>
      </c>
      <c r="W63" s="56" t="s">
        <v>696</v>
      </c>
      <c r="X63" s="430"/>
      <c r="Z63" s="55" t="s">
        <v>796</v>
      </c>
      <c r="AA63" s="430" t="s">
        <v>1064</v>
      </c>
      <c r="AC63" s="55" t="s">
        <v>896</v>
      </c>
      <c r="AD63" s="430" t="s">
        <v>1064</v>
      </c>
      <c r="AF63" s="55" t="s">
        <v>996</v>
      </c>
      <c r="AG63" s="430"/>
      <c r="AI63" s="55" t="s">
        <v>1397</v>
      </c>
      <c r="AJ63" s="430" t="s">
        <v>1064</v>
      </c>
    </row>
    <row r="64" spans="2:36" ht="30.05" customHeight="1" x14ac:dyDescent="0.35">
      <c r="B64" s="56" t="s">
        <v>85</v>
      </c>
      <c r="C64" s="427"/>
      <c r="E64" s="56" t="s">
        <v>186</v>
      </c>
      <c r="F64" s="428" t="s">
        <v>1064</v>
      </c>
      <c r="H64" s="55" t="s">
        <v>1297</v>
      </c>
      <c r="I64" s="428" t="s">
        <v>1064</v>
      </c>
      <c r="K64" s="56" t="s">
        <v>298</v>
      </c>
      <c r="L64" s="429"/>
      <c r="N64" s="56" t="s">
        <v>397</v>
      </c>
      <c r="O64" s="430"/>
      <c r="Q64" s="56" t="s">
        <v>497</v>
      </c>
      <c r="R64" s="430"/>
      <c r="T64" s="56" t="s">
        <v>597</v>
      </c>
      <c r="U64" s="430" t="s">
        <v>1064</v>
      </c>
      <c r="W64" s="55" t="s">
        <v>697</v>
      </c>
      <c r="X64" s="430"/>
      <c r="Z64" s="56" t="s">
        <v>797</v>
      </c>
      <c r="AA64" s="430" t="s">
        <v>1064</v>
      </c>
      <c r="AC64" s="56" t="s">
        <v>897</v>
      </c>
      <c r="AD64" s="430" t="s">
        <v>1064</v>
      </c>
      <c r="AF64" s="56" t="s">
        <v>997</v>
      </c>
      <c r="AG64" s="430"/>
      <c r="AI64" s="55" t="s">
        <v>1398</v>
      </c>
      <c r="AJ64" s="430" t="s">
        <v>1064</v>
      </c>
    </row>
    <row r="65" spans="2:36" ht="30.05" customHeight="1" x14ac:dyDescent="0.35">
      <c r="B65" s="56" t="s">
        <v>86</v>
      </c>
      <c r="C65" s="427"/>
      <c r="E65" s="56" t="s">
        <v>187</v>
      </c>
      <c r="F65" s="428" t="s">
        <v>1064</v>
      </c>
      <c r="H65" s="55" t="s">
        <v>1298</v>
      </c>
      <c r="I65" s="428" t="s">
        <v>1064</v>
      </c>
      <c r="K65" s="56" t="s">
        <v>299</v>
      </c>
      <c r="L65" s="429"/>
      <c r="N65" s="56" t="s">
        <v>398</v>
      </c>
      <c r="O65" s="430"/>
      <c r="Q65" s="56" t="s">
        <v>498</v>
      </c>
      <c r="R65" s="430"/>
      <c r="T65" s="55" t="s">
        <v>598</v>
      </c>
      <c r="U65" s="430" t="s">
        <v>1064</v>
      </c>
      <c r="W65" s="56" t="s">
        <v>698</v>
      </c>
      <c r="X65" s="430"/>
      <c r="Z65" s="55" t="s">
        <v>798</v>
      </c>
      <c r="AA65" s="430" t="s">
        <v>1064</v>
      </c>
      <c r="AC65" s="55" t="s">
        <v>898</v>
      </c>
      <c r="AD65" s="430" t="s">
        <v>1064</v>
      </c>
      <c r="AF65" s="55" t="s">
        <v>998</v>
      </c>
      <c r="AG65" s="430"/>
      <c r="AI65" s="55" t="s">
        <v>1399</v>
      </c>
      <c r="AJ65" s="430" t="s">
        <v>1064</v>
      </c>
    </row>
    <row r="66" spans="2:36" ht="30.05" customHeight="1" x14ac:dyDescent="0.35">
      <c r="B66" s="56" t="s">
        <v>87</v>
      </c>
      <c r="C66" s="427"/>
      <c r="E66" s="56" t="s">
        <v>188</v>
      </c>
      <c r="F66" s="428" t="s">
        <v>1064</v>
      </c>
      <c r="H66" s="55" t="s">
        <v>1299</v>
      </c>
      <c r="I66" s="428" t="s">
        <v>1064</v>
      </c>
      <c r="K66" s="56" t="s">
        <v>300</v>
      </c>
      <c r="L66" s="429"/>
      <c r="N66" s="56" t="s">
        <v>399</v>
      </c>
      <c r="O66" s="430"/>
      <c r="Q66" s="56" t="s">
        <v>499</v>
      </c>
      <c r="R66" s="430"/>
      <c r="T66" s="56" t="s">
        <v>599</v>
      </c>
      <c r="U66" s="430" t="s">
        <v>1064</v>
      </c>
      <c r="W66" s="55" t="s">
        <v>699</v>
      </c>
      <c r="X66" s="430"/>
      <c r="Z66" s="56" t="s">
        <v>799</v>
      </c>
      <c r="AA66" s="430" t="s">
        <v>1064</v>
      </c>
      <c r="AC66" s="56" t="s">
        <v>899</v>
      </c>
      <c r="AD66" s="430" t="s">
        <v>1064</v>
      </c>
      <c r="AF66" s="56" t="s">
        <v>999</v>
      </c>
      <c r="AG66" s="430"/>
      <c r="AI66" s="55" t="s">
        <v>1400</v>
      </c>
      <c r="AJ66" s="430" t="s">
        <v>1064</v>
      </c>
    </row>
    <row r="67" spans="2:36" ht="30.05" customHeight="1" x14ac:dyDescent="0.35">
      <c r="B67" s="56" t="s">
        <v>88</v>
      </c>
      <c r="C67" s="427"/>
      <c r="E67" s="56" t="s">
        <v>189</v>
      </c>
      <c r="F67" s="428" t="s">
        <v>1064</v>
      </c>
      <c r="H67" s="55" t="s">
        <v>1300</v>
      </c>
      <c r="I67" s="428" t="s">
        <v>1064</v>
      </c>
      <c r="K67" s="56" t="s">
        <v>301</v>
      </c>
      <c r="L67" s="429"/>
      <c r="N67" s="56" t="s">
        <v>400</v>
      </c>
      <c r="O67" s="430"/>
      <c r="Q67" s="56" t="s">
        <v>500</v>
      </c>
      <c r="R67" s="430"/>
      <c r="T67" s="55" t="s">
        <v>600</v>
      </c>
      <c r="U67" s="430" t="s">
        <v>1064</v>
      </c>
      <c r="W67" s="56" t="s">
        <v>700</v>
      </c>
      <c r="X67" s="430"/>
      <c r="Z67" s="55" t="s">
        <v>800</v>
      </c>
      <c r="AA67" s="430" t="s">
        <v>1064</v>
      </c>
      <c r="AC67" s="55" t="s">
        <v>900</v>
      </c>
      <c r="AD67" s="430" t="s">
        <v>1064</v>
      </c>
      <c r="AF67" s="55" t="s">
        <v>1000</v>
      </c>
      <c r="AG67" s="430"/>
      <c r="AI67" s="55" t="s">
        <v>1401</v>
      </c>
      <c r="AJ67" s="430" t="s">
        <v>1064</v>
      </c>
    </row>
    <row r="68" spans="2:36" ht="30.05" customHeight="1" x14ac:dyDescent="0.35">
      <c r="B68" s="56" t="s">
        <v>89</v>
      </c>
      <c r="C68" s="427"/>
      <c r="E68" s="56" t="s">
        <v>190</v>
      </c>
      <c r="F68" s="428" t="s">
        <v>1064</v>
      </c>
      <c r="H68" s="55" t="s">
        <v>1301</v>
      </c>
      <c r="I68" s="428" t="s">
        <v>1064</v>
      </c>
      <c r="K68" s="56" t="s">
        <v>302</v>
      </c>
      <c r="L68" s="429"/>
      <c r="N68" s="56" t="s">
        <v>401</v>
      </c>
      <c r="O68" s="430"/>
      <c r="Q68" s="56" t="s">
        <v>501</v>
      </c>
      <c r="R68" s="430"/>
      <c r="T68" s="56" t="s">
        <v>601</v>
      </c>
      <c r="U68" s="430" t="s">
        <v>1064</v>
      </c>
      <c r="W68" s="55" t="s">
        <v>701</v>
      </c>
      <c r="X68" s="430"/>
      <c r="Z68" s="56" t="s">
        <v>801</v>
      </c>
      <c r="AA68" s="430" t="s">
        <v>1064</v>
      </c>
      <c r="AC68" s="56" t="s">
        <v>901</v>
      </c>
      <c r="AD68" s="430" t="s">
        <v>1064</v>
      </c>
      <c r="AF68" s="56" t="s">
        <v>1001</v>
      </c>
      <c r="AG68" s="430"/>
      <c r="AI68" s="55" t="s">
        <v>1402</v>
      </c>
      <c r="AJ68" s="430" t="s">
        <v>1064</v>
      </c>
    </row>
    <row r="69" spans="2:36" ht="30.05" customHeight="1" x14ac:dyDescent="0.35">
      <c r="B69" s="56" t="s">
        <v>90</v>
      </c>
      <c r="C69" s="427"/>
      <c r="E69" s="56" t="s">
        <v>191</v>
      </c>
      <c r="F69" s="428" t="s">
        <v>1064</v>
      </c>
      <c r="H69" s="55" t="s">
        <v>1302</v>
      </c>
      <c r="I69" s="428" t="s">
        <v>1064</v>
      </c>
      <c r="K69" s="56" t="s">
        <v>303</v>
      </c>
      <c r="L69" s="429"/>
      <c r="N69" s="56" t="s">
        <v>402</v>
      </c>
      <c r="O69" s="430"/>
      <c r="Q69" s="56" t="s">
        <v>502</v>
      </c>
      <c r="R69" s="430"/>
      <c r="T69" s="55" t="s">
        <v>602</v>
      </c>
      <c r="U69" s="430"/>
      <c r="W69" s="56" t="s">
        <v>702</v>
      </c>
      <c r="X69" s="430"/>
      <c r="Z69" s="55" t="s">
        <v>802</v>
      </c>
      <c r="AA69" s="430" t="s">
        <v>1064</v>
      </c>
      <c r="AC69" s="55" t="s">
        <v>902</v>
      </c>
      <c r="AD69" s="430" t="s">
        <v>1064</v>
      </c>
      <c r="AF69" s="55" t="s">
        <v>1002</v>
      </c>
      <c r="AG69" s="430"/>
      <c r="AI69" s="55" t="s">
        <v>1403</v>
      </c>
      <c r="AJ69" s="430" t="s">
        <v>1064</v>
      </c>
    </row>
    <row r="70" spans="2:36" ht="30.05" customHeight="1" x14ac:dyDescent="0.35">
      <c r="B70" s="56" t="s">
        <v>91</v>
      </c>
      <c r="C70" s="427"/>
      <c r="E70" s="56" t="s">
        <v>192</v>
      </c>
      <c r="F70" s="428" t="s">
        <v>1064</v>
      </c>
      <c r="H70" s="55" t="s">
        <v>1303</v>
      </c>
      <c r="I70" s="428" t="s">
        <v>1064</v>
      </c>
      <c r="K70" s="56" t="s">
        <v>304</v>
      </c>
      <c r="L70" s="429"/>
      <c r="N70" s="56" t="s">
        <v>403</v>
      </c>
      <c r="O70" s="430"/>
      <c r="Q70" s="56" t="s">
        <v>503</v>
      </c>
      <c r="R70" s="430"/>
      <c r="T70" s="56" t="s">
        <v>603</v>
      </c>
      <c r="U70" s="430"/>
      <c r="W70" s="55" t="s">
        <v>703</v>
      </c>
      <c r="X70" s="430"/>
      <c r="Z70" s="56" t="s">
        <v>803</v>
      </c>
      <c r="AA70" s="430" t="s">
        <v>1064</v>
      </c>
      <c r="AC70" s="56" t="s">
        <v>903</v>
      </c>
      <c r="AD70" s="430" t="s">
        <v>1064</v>
      </c>
      <c r="AF70" s="56" t="s">
        <v>1003</v>
      </c>
      <c r="AG70" s="430"/>
      <c r="AI70" s="55" t="s">
        <v>1404</v>
      </c>
      <c r="AJ70" s="430" t="s">
        <v>1064</v>
      </c>
    </row>
    <row r="71" spans="2:36" ht="30.05" customHeight="1" x14ac:dyDescent="0.35">
      <c r="B71" s="56" t="s">
        <v>92</v>
      </c>
      <c r="C71" s="427"/>
      <c r="E71" s="56" t="s">
        <v>193</v>
      </c>
      <c r="F71" s="428" t="s">
        <v>1064</v>
      </c>
      <c r="H71" s="55" t="s">
        <v>1304</v>
      </c>
      <c r="I71" s="428" t="s">
        <v>1064</v>
      </c>
      <c r="K71" s="56" t="s">
        <v>305</v>
      </c>
      <c r="L71" s="429"/>
      <c r="N71" s="56" t="s">
        <v>404</v>
      </c>
      <c r="O71" s="430"/>
      <c r="Q71" s="56" t="s">
        <v>504</v>
      </c>
      <c r="R71" s="430"/>
      <c r="T71" s="55" t="s">
        <v>604</v>
      </c>
      <c r="U71" s="430"/>
      <c r="W71" s="56" t="s">
        <v>704</v>
      </c>
      <c r="X71" s="430"/>
      <c r="Z71" s="55" t="s">
        <v>804</v>
      </c>
      <c r="AA71" s="430" t="s">
        <v>1064</v>
      </c>
      <c r="AC71" s="55" t="s">
        <v>904</v>
      </c>
      <c r="AD71" s="430" t="s">
        <v>1064</v>
      </c>
      <c r="AF71" s="55" t="s">
        <v>1004</v>
      </c>
      <c r="AG71" s="430"/>
      <c r="AI71" s="55" t="s">
        <v>1405</v>
      </c>
      <c r="AJ71" s="430" t="s">
        <v>1064</v>
      </c>
    </row>
    <row r="72" spans="2:36" ht="30.05" customHeight="1" x14ac:dyDescent="0.35">
      <c r="B72" s="56" t="s">
        <v>93</v>
      </c>
      <c r="C72" s="427"/>
      <c r="E72" s="56" t="s">
        <v>194</v>
      </c>
      <c r="F72" s="428" t="s">
        <v>1064</v>
      </c>
      <c r="H72" s="55" t="s">
        <v>1305</v>
      </c>
      <c r="I72" s="428" t="s">
        <v>1064</v>
      </c>
      <c r="K72" s="56" t="s">
        <v>306</v>
      </c>
      <c r="L72" s="429"/>
      <c r="N72" s="56" t="s">
        <v>405</v>
      </c>
      <c r="O72" s="430"/>
      <c r="Q72" s="56" t="s">
        <v>505</v>
      </c>
      <c r="R72" s="430"/>
      <c r="T72" s="56" t="s">
        <v>605</v>
      </c>
      <c r="U72" s="430"/>
      <c r="W72" s="55" t="s">
        <v>705</v>
      </c>
      <c r="X72" s="430"/>
      <c r="Z72" s="56" t="s">
        <v>805</v>
      </c>
      <c r="AA72" s="430" t="s">
        <v>1064</v>
      </c>
      <c r="AC72" s="56" t="s">
        <v>905</v>
      </c>
      <c r="AD72" s="430" t="s">
        <v>1064</v>
      </c>
      <c r="AF72" s="56" t="s">
        <v>1005</v>
      </c>
      <c r="AG72" s="430"/>
      <c r="AI72" s="55" t="s">
        <v>1406</v>
      </c>
      <c r="AJ72" s="430" t="s">
        <v>1064</v>
      </c>
    </row>
    <row r="73" spans="2:36" ht="30.05" customHeight="1" x14ac:dyDescent="0.35">
      <c r="B73" s="56" t="s">
        <v>94</v>
      </c>
      <c r="C73" s="427"/>
      <c r="E73" s="56" t="s">
        <v>195</v>
      </c>
      <c r="F73" s="428" t="s">
        <v>1064</v>
      </c>
      <c r="H73" s="55" t="s">
        <v>1306</v>
      </c>
      <c r="I73" s="428" t="s">
        <v>1064</v>
      </c>
      <c r="K73" s="56" t="s">
        <v>307</v>
      </c>
      <c r="L73" s="429"/>
      <c r="N73" s="56" t="s">
        <v>406</v>
      </c>
      <c r="O73" s="430"/>
      <c r="Q73" s="56" t="s">
        <v>506</v>
      </c>
      <c r="R73" s="430"/>
      <c r="T73" s="55" t="s">
        <v>606</v>
      </c>
      <c r="U73" s="430"/>
      <c r="W73" s="56" t="s">
        <v>706</v>
      </c>
      <c r="X73" s="430"/>
      <c r="Z73" s="55" t="s">
        <v>806</v>
      </c>
      <c r="AA73" s="430" t="s">
        <v>1064</v>
      </c>
      <c r="AC73" s="55" t="s">
        <v>906</v>
      </c>
      <c r="AD73" s="430" t="s">
        <v>1064</v>
      </c>
      <c r="AF73" s="55" t="s">
        <v>1006</v>
      </c>
      <c r="AG73" s="430"/>
      <c r="AI73" s="55" t="s">
        <v>1407</v>
      </c>
      <c r="AJ73" s="430" t="s">
        <v>1064</v>
      </c>
    </row>
    <row r="74" spans="2:36" ht="30.05" customHeight="1" x14ac:dyDescent="0.35">
      <c r="B74" s="56" t="s">
        <v>95</v>
      </c>
      <c r="C74" s="427"/>
      <c r="E74" s="56" t="s">
        <v>196</v>
      </c>
      <c r="F74" s="428" t="s">
        <v>1064</v>
      </c>
      <c r="H74" s="55" t="s">
        <v>1307</v>
      </c>
      <c r="I74" s="428" t="s">
        <v>1064</v>
      </c>
      <c r="K74" s="56" t="s">
        <v>308</v>
      </c>
      <c r="L74" s="429"/>
      <c r="N74" s="56" t="s">
        <v>407</v>
      </c>
      <c r="O74" s="430"/>
      <c r="Q74" s="56" t="s">
        <v>507</v>
      </c>
      <c r="R74" s="430"/>
      <c r="T74" s="56" t="s">
        <v>607</v>
      </c>
      <c r="U74" s="430"/>
      <c r="W74" s="55" t="s">
        <v>707</v>
      </c>
      <c r="X74" s="430"/>
      <c r="Z74" s="56" t="s">
        <v>807</v>
      </c>
      <c r="AA74" s="430" t="s">
        <v>1064</v>
      </c>
      <c r="AC74" s="56" t="s">
        <v>907</v>
      </c>
      <c r="AD74" s="430" t="s">
        <v>1064</v>
      </c>
      <c r="AF74" s="56" t="s">
        <v>1007</v>
      </c>
      <c r="AG74" s="430"/>
      <c r="AI74" s="55" t="s">
        <v>1408</v>
      </c>
      <c r="AJ74" s="430" t="s">
        <v>1064</v>
      </c>
    </row>
    <row r="75" spans="2:36" ht="30.05" customHeight="1" x14ac:dyDescent="0.35">
      <c r="B75" s="56" t="s">
        <v>96</v>
      </c>
      <c r="C75" s="427"/>
      <c r="E75" s="56" t="s">
        <v>197</v>
      </c>
      <c r="F75" s="428" t="s">
        <v>1064</v>
      </c>
      <c r="H75" s="55" t="s">
        <v>1308</v>
      </c>
      <c r="I75" s="428" t="s">
        <v>1064</v>
      </c>
      <c r="K75" s="56" t="s">
        <v>309</v>
      </c>
      <c r="L75" s="429"/>
      <c r="N75" s="56" t="s">
        <v>408</v>
      </c>
      <c r="O75" s="430"/>
      <c r="Q75" s="56" t="s">
        <v>508</v>
      </c>
      <c r="R75" s="430"/>
      <c r="T75" s="55" t="s">
        <v>608</v>
      </c>
      <c r="U75" s="430"/>
      <c r="W75" s="56" t="s">
        <v>708</v>
      </c>
      <c r="X75" s="430"/>
      <c r="Z75" s="55" t="s">
        <v>808</v>
      </c>
      <c r="AA75" s="430" t="s">
        <v>1064</v>
      </c>
      <c r="AC75" s="55" t="s">
        <v>908</v>
      </c>
      <c r="AD75" s="430" t="s">
        <v>1064</v>
      </c>
      <c r="AF75" s="55" t="s">
        <v>1008</v>
      </c>
      <c r="AG75" s="430"/>
      <c r="AI75" s="55" t="s">
        <v>1409</v>
      </c>
      <c r="AJ75" s="430" t="s">
        <v>1064</v>
      </c>
    </row>
    <row r="76" spans="2:36" ht="30.05" customHeight="1" x14ac:dyDescent="0.35">
      <c r="B76" s="56" t="s">
        <v>97</v>
      </c>
      <c r="C76" s="427"/>
      <c r="E76" s="56" t="s">
        <v>198</v>
      </c>
      <c r="F76" s="428" t="s">
        <v>1064</v>
      </c>
      <c r="H76" s="55" t="s">
        <v>1309</v>
      </c>
      <c r="I76" s="428" t="s">
        <v>1064</v>
      </c>
      <c r="K76" s="56" t="s">
        <v>310</v>
      </c>
      <c r="L76" s="429"/>
      <c r="N76" s="56" t="s">
        <v>409</v>
      </c>
      <c r="O76" s="430"/>
      <c r="Q76" s="56" t="s">
        <v>509</v>
      </c>
      <c r="R76" s="430"/>
      <c r="T76" s="56" t="s">
        <v>609</v>
      </c>
      <c r="U76" s="430"/>
      <c r="W76" s="55" t="s">
        <v>709</v>
      </c>
      <c r="X76" s="430"/>
      <c r="Z76" s="56" t="s">
        <v>809</v>
      </c>
      <c r="AA76" s="430" t="s">
        <v>1064</v>
      </c>
      <c r="AC76" s="56" t="s">
        <v>909</v>
      </c>
      <c r="AD76" s="430" t="s">
        <v>1064</v>
      </c>
      <c r="AF76" s="56" t="s">
        <v>1009</v>
      </c>
      <c r="AG76" s="430"/>
      <c r="AI76" s="55" t="s">
        <v>1410</v>
      </c>
      <c r="AJ76" s="430" t="s">
        <v>1064</v>
      </c>
    </row>
    <row r="77" spans="2:36" ht="30.05" customHeight="1" x14ac:dyDescent="0.35">
      <c r="B77" s="56" t="s">
        <v>98</v>
      </c>
      <c r="C77" s="427"/>
      <c r="E77" s="56" t="s">
        <v>199</v>
      </c>
      <c r="F77" s="428" t="s">
        <v>1064</v>
      </c>
      <c r="H77" s="55" t="s">
        <v>1310</v>
      </c>
      <c r="I77" s="428" t="s">
        <v>1064</v>
      </c>
      <c r="K77" s="56" t="s">
        <v>311</v>
      </c>
      <c r="L77" s="429"/>
      <c r="N77" s="56" t="s">
        <v>410</v>
      </c>
      <c r="O77" s="430"/>
      <c r="Q77" s="56" t="s">
        <v>510</v>
      </c>
      <c r="R77" s="430"/>
      <c r="T77" s="55" t="s">
        <v>610</v>
      </c>
      <c r="U77" s="430"/>
      <c r="W77" s="56" t="s">
        <v>710</v>
      </c>
      <c r="X77" s="430"/>
      <c r="Z77" s="55" t="s">
        <v>810</v>
      </c>
      <c r="AA77" s="430" t="s">
        <v>1064</v>
      </c>
      <c r="AC77" s="55" t="s">
        <v>910</v>
      </c>
      <c r="AD77" s="430" t="s">
        <v>1064</v>
      </c>
      <c r="AF77" s="55" t="s">
        <v>1010</v>
      </c>
      <c r="AG77" s="430"/>
      <c r="AI77" s="55" t="s">
        <v>1411</v>
      </c>
      <c r="AJ77" s="430" t="s">
        <v>1064</v>
      </c>
    </row>
    <row r="78" spans="2:36" ht="30.05" customHeight="1" x14ac:dyDescent="0.35">
      <c r="B78" s="56" t="s">
        <v>99</v>
      </c>
      <c r="C78" s="427"/>
      <c r="E78" s="56" t="s">
        <v>200</v>
      </c>
      <c r="F78" s="428" t="s">
        <v>1064</v>
      </c>
      <c r="H78" s="55" t="s">
        <v>1311</v>
      </c>
      <c r="I78" s="428" t="s">
        <v>1064</v>
      </c>
      <c r="K78" s="56" t="s">
        <v>312</v>
      </c>
      <c r="L78" s="429"/>
      <c r="N78" s="56" t="s">
        <v>411</v>
      </c>
      <c r="O78" s="430"/>
      <c r="Q78" s="56" t="s">
        <v>511</v>
      </c>
      <c r="R78" s="430"/>
      <c r="T78" s="56" t="s">
        <v>611</v>
      </c>
      <c r="U78" s="430"/>
      <c r="W78" s="55" t="s">
        <v>711</v>
      </c>
      <c r="X78" s="430"/>
      <c r="Z78" s="56" t="s">
        <v>811</v>
      </c>
      <c r="AA78" s="430" t="s">
        <v>1064</v>
      </c>
      <c r="AC78" s="56" t="s">
        <v>911</v>
      </c>
      <c r="AD78" s="430" t="s">
        <v>1064</v>
      </c>
      <c r="AF78" s="56" t="s">
        <v>1011</v>
      </c>
      <c r="AG78" s="430"/>
      <c r="AI78" s="55" t="s">
        <v>1412</v>
      </c>
      <c r="AJ78" s="430" t="s">
        <v>1064</v>
      </c>
    </row>
    <row r="79" spans="2:36" ht="30.05" customHeight="1" x14ac:dyDescent="0.35">
      <c r="B79" s="56" t="s">
        <v>100</v>
      </c>
      <c r="C79" s="427"/>
      <c r="E79" s="56" t="s">
        <v>201</v>
      </c>
      <c r="F79" s="428" t="s">
        <v>1064</v>
      </c>
      <c r="H79" s="55" t="s">
        <v>1312</v>
      </c>
      <c r="I79" s="428" t="s">
        <v>1064</v>
      </c>
      <c r="K79" s="56" t="s">
        <v>313</v>
      </c>
      <c r="L79" s="429"/>
      <c r="N79" s="56" t="s">
        <v>412</v>
      </c>
      <c r="O79" s="430"/>
      <c r="Q79" s="56" t="s">
        <v>512</v>
      </c>
      <c r="R79" s="430"/>
      <c r="T79" s="55" t="s">
        <v>612</v>
      </c>
      <c r="U79" s="430"/>
      <c r="W79" s="56" t="s">
        <v>712</v>
      </c>
      <c r="X79" s="430"/>
      <c r="Z79" s="55" t="s">
        <v>812</v>
      </c>
      <c r="AA79" s="430" t="s">
        <v>1064</v>
      </c>
      <c r="AC79" s="55" t="s">
        <v>912</v>
      </c>
      <c r="AD79" s="430" t="s">
        <v>1064</v>
      </c>
      <c r="AF79" s="55" t="s">
        <v>1012</v>
      </c>
      <c r="AG79" s="430"/>
      <c r="AI79" s="55" t="s">
        <v>1413</v>
      </c>
      <c r="AJ79" s="430" t="s">
        <v>1064</v>
      </c>
    </row>
    <row r="80" spans="2:36" ht="30.05" customHeight="1" x14ac:dyDescent="0.35">
      <c r="B80" s="56" t="s">
        <v>101</v>
      </c>
      <c r="C80" s="427"/>
      <c r="E80" s="56" t="s">
        <v>202</v>
      </c>
      <c r="F80" s="428" t="s">
        <v>1064</v>
      </c>
      <c r="H80" s="55" t="s">
        <v>1313</v>
      </c>
      <c r="I80" s="428" t="s">
        <v>1064</v>
      </c>
      <c r="K80" s="56" t="s">
        <v>314</v>
      </c>
      <c r="L80" s="429"/>
      <c r="N80" s="56" t="s">
        <v>413</v>
      </c>
      <c r="O80" s="430"/>
      <c r="Q80" s="56" t="s">
        <v>513</v>
      </c>
      <c r="R80" s="430"/>
      <c r="T80" s="56" t="s">
        <v>613</v>
      </c>
      <c r="U80" s="430"/>
      <c r="W80" s="55" t="s">
        <v>713</v>
      </c>
      <c r="X80" s="430"/>
      <c r="Z80" s="56" t="s">
        <v>813</v>
      </c>
      <c r="AA80" s="430" t="s">
        <v>1064</v>
      </c>
      <c r="AC80" s="56" t="s">
        <v>913</v>
      </c>
      <c r="AD80" s="430" t="s">
        <v>1064</v>
      </c>
      <c r="AF80" s="56" t="s">
        <v>1013</v>
      </c>
      <c r="AG80" s="430"/>
      <c r="AI80" s="55" t="s">
        <v>1414</v>
      </c>
      <c r="AJ80" s="430" t="s">
        <v>1064</v>
      </c>
    </row>
    <row r="81" spans="2:36" ht="30.05" customHeight="1" x14ac:dyDescent="0.35">
      <c r="B81" s="56" t="s">
        <v>102</v>
      </c>
      <c r="C81" s="427"/>
      <c r="E81" s="56" t="s">
        <v>203</v>
      </c>
      <c r="F81" s="428" t="s">
        <v>1064</v>
      </c>
      <c r="H81" s="55" t="s">
        <v>1314</v>
      </c>
      <c r="I81" s="428" t="s">
        <v>1064</v>
      </c>
      <c r="K81" s="56" t="s">
        <v>315</v>
      </c>
      <c r="L81" s="429"/>
      <c r="N81" s="56" t="s">
        <v>414</v>
      </c>
      <c r="O81" s="430"/>
      <c r="Q81" s="56" t="s">
        <v>514</v>
      </c>
      <c r="R81" s="430"/>
      <c r="T81" s="55" t="s">
        <v>614</v>
      </c>
      <c r="U81" s="430"/>
      <c r="W81" s="56" t="s">
        <v>714</v>
      </c>
      <c r="X81" s="430"/>
      <c r="Z81" s="55" t="s">
        <v>814</v>
      </c>
      <c r="AA81" s="430" t="s">
        <v>1064</v>
      </c>
      <c r="AC81" s="55" t="s">
        <v>914</v>
      </c>
      <c r="AD81" s="430" t="s">
        <v>1064</v>
      </c>
      <c r="AF81" s="55" t="s">
        <v>1014</v>
      </c>
      <c r="AG81" s="430"/>
      <c r="AI81" s="55" t="s">
        <v>1415</v>
      </c>
      <c r="AJ81" s="430" t="s">
        <v>1064</v>
      </c>
    </row>
    <row r="82" spans="2:36" ht="30.05" customHeight="1" x14ac:dyDescent="0.35">
      <c r="B82" s="56" t="s">
        <v>103</v>
      </c>
      <c r="C82" s="427"/>
      <c r="E82" s="56" t="s">
        <v>204</v>
      </c>
      <c r="F82" s="428" t="s">
        <v>1064</v>
      </c>
      <c r="H82" s="55" t="s">
        <v>1315</v>
      </c>
      <c r="I82" s="428" t="s">
        <v>1064</v>
      </c>
      <c r="K82" s="56" t="s">
        <v>316</v>
      </c>
      <c r="L82" s="429"/>
      <c r="N82" s="56" t="s">
        <v>415</v>
      </c>
      <c r="O82" s="430"/>
      <c r="Q82" s="56" t="s">
        <v>515</v>
      </c>
      <c r="R82" s="430"/>
      <c r="T82" s="56" t="s">
        <v>615</v>
      </c>
      <c r="U82" s="430"/>
      <c r="W82" s="55" t="s">
        <v>715</v>
      </c>
      <c r="X82" s="430"/>
      <c r="Z82" s="56" t="s">
        <v>815</v>
      </c>
      <c r="AA82" s="430" t="s">
        <v>1064</v>
      </c>
      <c r="AC82" s="56" t="s">
        <v>915</v>
      </c>
      <c r="AD82" s="430" t="s">
        <v>1064</v>
      </c>
      <c r="AF82" s="56" t="s">
        <v>1015</v>
      </c>
      <c r="AG82" s="430"/>
      <c r="AI82" s="55" t="s">
        <v>1416</v>
      </c>
      <c r="AJ82" s="430" t="s">
        <v>1064</v>
      </c>
    </row>
    <row r="83" spans="2:36" ht="30.05" customHeight="1" x14ac:dyDescent="0.35">
      <c r="B83" s="56" t="s">
        <v>104</v>
      </c>
      <c r="C83" s="427"/>
      <c r="E83" s="56" t="s">
        <v>205</v>
      </c>
      <c r="F83" s="428" t="s">
        <v>1064</v>
      </c>
      <c r="H83" s="55" t="s">
        <v>1316</v>
      </c>
      <c r="I83" s="428" t="s">
        <v>1064</v>
      </c>
      <c r="K83" s="56" t="s">
        <v>317</v>
      </c>
      <c r="L83" s="429"/>
      <c r="N83" s="56" t="s">
        <v>416</v>
      </c>
      <c r="O83" s="430"/>
      <c r="Q83" s="56" t="s">
        <v>516</v>
      </c>
      <c r="R83" s="430"/>
      <c r="T83" s="55" t="s">
        <v>616</v>
      </c>
      <c r="U83" s="430"/>
      <c r="W83" s="56" t="s">
        <v>716</v>
      </c>
      <c r="X83" s="430"/>
      <c r="Z83" s="55" t="s">
        <v>816</v>
      </c>
      <c r="AA83" s="430" t="s">
        <v>1064</v>
      </c>
      <c r="AC83" s="55" t="s">
        <v>916</v>
      </c>
      <c r="AD83" s="430" t="s">
        <v>1064</v>
      </c>
      <c r="AF83" s="55" t="s">
        <v>1016</v>
      </c>
      <c r="AG83" s="430"/>
      <c r="AI83" s="55" t="s">
        <v>1417</v>
      </c>
      <c r="AJ83" s="430" t="s">
        <v>1064</v>
      </c>
    </row>
    <row r="84" spans="2:36" ht="30.05" customHeight="1" x14ac:dyDescent="0.35">
      <c r="B84" s="56" t="s">
        <v>105</v>
      </c>
      <c r="C84" s="427"/>
      <c r="E84" s="56" t="s">
        <v>206</v>
      </c>
      <c r="F84" s="428" t="s">
        <v>1064</v>
      </c>
      <c r="H84" s="55" t="s">
        <v>1317</v>
      </c>
      <c r="I84" s="428" t="s">
        <v>1064</v>
      </c>
      <c r="K84" s="56" t="s">
        <v>318</v>
      </c>
      <c r="L84" s="429"/>
      <c r="N84" s="56" t="s">
        <v>417</v>
      </c>
      <c r="O84" s="430"/>
      <c r="Q84" s="56" t="s">
        <v>517</v>
      </c>
      <c r="R84" s="430"/>
      <c r="T84" s="56" t="s">
        <v>617</v>
      </c>
      <c r="U84" s="430"/>
      <c r="W84" s="55" t="s">
        <v>717</v>
      </c>
      <c r="X84" s="430"/>
      <c r="Z84" s="56" t="s">
        <v>817</v>
      </c>
      <c r="AA84" s="430" t="s">
        <v>1064</v>
      </c>
      <c r="AC84" s="56" t="s">
        <v>917</v>
      </c>
      <c r="AD84" s="430" t="s">
        <v>1064</v>
      </c>
      <c r="AF84" s="56" t="s">
        <v>1017</v>
      </c>
      <c r="AG84" s="430"/>
      <c r="AI84" s="55" t="s">
        <v>1418</v>
      </c>
      <c r="AJ84" s="430" t="s">
        <v>1064</v>
      </c>
    </row>
    <row r="85" spans="2:36" ht="30.05" customHeight="1" x14ac:dyDescent="0.35">
      <c r="B85" s="56" t="s">
        <v>106</v>
      </c>
      <c r="C85" s="427"/>
      <c r="E85" s="56" t="s">
        <v>207</v>
      </c>
      <c r="F85" s="428" t="s">
        <v>1064</v>
      </c>
      <c r="H85" s="55" t="s">
        <v>1318</v>
      </c>
      <c r="I85" s="428" t="s">
        <v>1064</v>
      </c>
      <c r="K85" s="56" t="s">
        <v>319</v>
      </c>
      <c r="L85" s="429"/>
      <c r="N85" s="56" t="s">
        <v>418</v>
      </c>
      <c r="O85" s="430"/>
      <c r="Q85" s="56" t="s">
        <v>518</v>
      </c>
      <c r="R85" s="430"/>
      <c r="T85" s="55" t="s">
        <v>618</v>
      </c>
      <c r="U85" s="430"/>
      <c r="W85" s="56" t="s">
        <v>718</v>
      </c>
      <c r="X85" s="430"/>
      <c r="Z85" s="55" t="s">
        <v>818</v>
      </c>
      <c r="AA85" s="430" t="s">
        <v>1064</v>
      </c>
      <c r="AC85" s="55" t="s">
        <v>918</v>
      </c>
      <c r="AD85" s="430" t="s">
        <v>1064</v>
      </c>
      <c r="AF85" s="55" t="s">
        <v>1018</v>
      </c>
      <c r="AG85" s="430"/>
      <c r="AI85" s="55" t="s">
        <v>1419</v>
      </c>
      <c r="AJ85" s="430" t="s">
        <v>1064</v>
      </c>
    </row>
    <row r="86" spans="2:36" ht="30.05" customHeight="1" x14ac:dyDescent="0.35">
      <c r="B86" s="56" t="s">
        <v>107</v>
      </c>
      <c r="C86" s="427"/>
      <c r="E86" s="56" t="s">
        <v>208</v>
      </c>
      <c r="F86" s="428" t="s">
        <v>1064</v>
      </c>
      <c r="H86" s="55" t="s">
        <v>1319</v>
      </c>
      <c r="I86" s="428" t="s">
        <v>1064</v>
      </c>
      <c r="K86" s="56" t="s">
        <v>320</v>
      </c>
      <c r="L86" s="429"/>
      <c r="N86" s="56" t="s">
        <v>419</v>
      </c>
      <c r="O86" s="430"/>
      <c r="Q86" s="56" t="s">
        <v>519</v>
      </c>
      <c r="R86" s="430"/>
      <c r="T86" s="56" t="s">
        <v>619</v>
      </c>
      <c r="U86" s="430"/>
      <c r="W86" s="55" t="s">
        <v>719</v>
      </c>
      <c r="X86" s="430"/>
      <c r="Z86" s="56" t="s">
        <v>819</v>
      </c>
      <c r="AA86" s="430" t="s">
        <v>1064</v>
      </c>
      <c r="AC86" s="56" t="s">
        <v>919</v>
      </c>
      <c r="AD86" s="430" t="s">
        <v>1064</v>
      </c>
      <c r="AF86" s="56" t="s">
        <v>1019</v>
      </c>
      <c r="AG86" s="430"/>
      <c r="AI86" s="55" t="s">
        <v>1420</v>
      </c>
      <c r="AJ86" s="430" t="s">
        <v>1064</v>
      </c>
    </row>
    <row r="87" spans="2:36" ht="30.05" customHeight="1" x14ac:dyDescent="0.35">
      <c r="B87" s="56" t="s">
        <v>108</v>
      </c>
      <c r="C87" s="427"/>
      <c r="E87" s="56" t="s">
        <v>209</v>
      </c>
      <c r="F87" s="428" t="s">
        <v>1064</v>
      </c>
      <c r="H87" s="55" t="s">
        <v>1320</v>
      </c>
      <c r="I87" s="428" t="s">
        <v>1064</v>
      </c>
      <c r="K87" s="56" t="s">
        <v>321</v>
      </c>
      <c r="L87" s="429"/>
      <c r="N87" s="56" t="s">
        <v>420</v>
      </c>
      <c r="O87" s="430"/>
      <c r="Q87" s="56" t="s">
        <v>520</v>
      </c>
      <c r="R87" s="430"/>
      <c r="T87" s="55" t="s">
        <v>620</v>
      </c>
      <c r="U87" s="430"/>
      <c r="W87" s="56" t="s">
        <v>720</v>
      </c>
      <c r="X87" s="430"/>
      <c r="Z87" s="55" t="s">
        <v>820</v>
      </c>
      <c r="AA87" s="430" t="s">
        <v>1064</v>
      </c>
      <c r="AC87" s="55" t="s">
        <v>920</v>
      </c>
      <c r="AD87" s="430" t="s">
        <v>1064</v>
      </c>
      <c r="AF87" s="55" t="s">
        <v>1020</v>
      </c>
      <c r="AG87" s="430"/>
      <c r="AI87" s="55" t="s">
        <v>1421</v>
      </c>
      <c r="AJ87" s="430" t="s">
        <v>1064</v>
      </c>
    </row>
    <row r="88" spans="2:36" ht="30.05" customHeight="1" x14ac:dyDescent="0.35">
      <c r="B88" s="56" t="s">
        <v>109</v>
      </c>
      <c r="C88" s="427"/>
      <c r="E88" s="56" t="s">
        <v>210</v>
      </c>
      <c r="F88" s="428" t="s">
        <v>1064</v>
      </c>
      <c r="H88" s="55" t="s">
        <v>1321</v>
      </c>
      <c r="I88" s="428" t="s">
        <v>1064</v>
      </c>
      <c r="K88" s="56" t="s">
        <v>322</v>
      </c>
      <c r="L88" s="429"/>
      <c r="N88" s="56" t="s">
        <v>421</v>
      </c>
      <c r="O88" s="430"/>
      <c r="Q88" s="56" t="s">
        <v>521</v>
      </c>
      <c r="R88" s="430"/>
      <c r="T88" s="56" t="s">
        <v>621</v>
      </c>
      <c r="U88" s="430"/>
      <c r="W88" s="55" t="s">
        <v>721</v>
      </c>
      <c r="X88" s="430"/>
      <c r="Z88" s="56" t="s">
        <v>821</v>
      </c>
      <c r="AA88" s="430" t="s">
        <v>1064</v>
      </c>
      <c r="AC88" s="56" t="s">
        <v>921</v>
      </c>
      <c r="AD88" s="430" t="s">
        <v>1064</v>
      </c>
      <c r="AF88" s="56" t="s">
        <v>1021</v>
      </c>
      <c r="AG88" s="430"/>
      <c r="AI88" s="55" t="s">
        <v>1422</v>
      </c>
      <c r="AJ88" s="430" t="s">
        <v>1064</v>
      </c>
    </row>
    <row r="89" spans="2:36" ht="30.05" customHeight="1" x14ac:dyDescent="0.35">
      <c r="B89" s="56" t="s">
        <v>110</v>
      </c>
      <c r="C89" s="427"/>
      <c r="E89" s="56" t="s">
        <v>211</v>
      </c>
      <c r="F89" s="428" t="s">
        <v>1064</v>
      </c>
      <c r="H89" s="55" t="s">
        <v>1322</v>
      </c>
      <c r="I89" s="428" t="s">
        <v>1064</v>
      </c>
      <c r="K89" s="56" t="s">
        <v>323</v>
      </c>
      <c r="L89" s="429"/>
      <c r="N89" s="56" t="s">
        <v>422</v>
      </c>
      <c r="O89" s="430"/>
      <c r="Q89" s="56" t="s">
        <v>522</v>
      </c>
      <c r="R89" s="430"/>
      <c r="T89" s="55" t="s">
        <v>622</v>
      </c>
      <c r="U89" s="430"/>
      <c r="W89" s="56" t="s">
        <v>722</v>
      </c>
      <c r="X89" s="430"/>
      <c r="Z89" s="55" t="s">
        <v>822</v>
      </c>
      <c r="AA89" s="430" t="s">
        <v>1064</v>
      </c>
      <c r="AC89" s="55" t="s">
        <v>922</v>
      </c>
      <c r="AD89" s="430" t="s">
        <v>1064</v>
      </c>
      <c r="AF89" s="55" t="s">
        <v>1022</v>
      </c>
      <c r="AG89" s="430"/>
      <c r="AI89" s="55" t="s">
        <v>1423</v>
      </c>
      <c r="AJ89" s="430" t="s">
        <v>1064</v>
      </c>
    </row>
    <row r="90" spans="2:36" ht="30.05" customHeight="1" x14ac:dyDescent="0.35">
      <c r="B90" s="56" t="s">
        <v>111</v>
      </c>
      <c r="C90" s="427"/>
      <c r="E90" s="56" t="s">
        <v>212</v>
      </c>
      <c r="F90" s="428" t="s">
        <v>1064</v>
      </c>
      <c r="H90" s="55" t="s">
        <v>1323</v>
      </c>
      <c r="I90" s="428" t="s">
        <v>1064</v>
      </c>
      <c r="K90" s="56" t="s">
        <v>324</v>
      </c>
      <c r="L90" s="429"/>
      <c r="N90" s="56" t="s">
        <v>423</v>
      </c>
      <c r="O90" s="430"/>
      <c r="Q90" s="56" t="s">
        <v>523</v>
      </c>
      <c r="R90" s="430"/>
      <c r="T90" s="56" t="s">
        <v>623</v>
      </c>
      <c r="U90" s="430"/>
      <c r="W90" s="55" t="s">
        <v>723</v>
      </c>
      <c r="X90" s="430"/>
      <c r="Z90" s="56" t="s">
        <v>823</v>
      </c>
      <c r="AA90" s="430" t="s">
        <v>1064</v>
      </c>
      <c r="AC90" s="56" t="s">
        <v>923</v>
      </c>
      <c r="AD90" s="430" t="s">
        <v>1064</v>
      </c>
      <c r="AF90" s="56" t="s">
        <v>1023</v>
      </c>
      <c r="AG90" s="430"/>
      <c r="AI90" s="55" t="s">
        <v>1424</v>
      </c>
      <c r="AJ90" s="430" t="s">
        <v>1064</v>
      </c>
    </row>
    <row r="91" spans="2:36" ht="30.05" customHeight="1" x14ac:dyDescent="0.35">
      <c r="B91" s="56" t="s">
        <v>112</v>
      </c>
      <c r="C91" s="427"/>
      <c r="E91" s="56" t="s">
        <v>213</v>
      </c>
      <c r="F91" s="428" t="s">
        <v>1064</v>
      </c>
      <c r="H91" s="55" t="s">
        <v>1324</v>
      </c>
      <c r="I91" s="428" t="s">
        <v>1064</v>
      </c>
      <c r="K91" s="56" t="s">
        <v>325</v>
      </c>
      <c r="L91" s="429"/>
      <c r="N91" s="56" t="s">
        <v>424</v>
      </c>
      <c r="O91" s="430"/>
      <c r="Q91" s="56" t="s">
        <v>524</v>
      </c>
      <c r="R91" s="430"/>
      <c r="T91" s="55" t="s">
        <v>624</v>
      </c>
      <c r="U91" s="430"/>
      <c r="W91" s="56" t="s">
        <v>724</v>
      </c>
      <c r="X91" s="430"/>
      <c r="Z91" s="55" t="s">
        <v>824</v>
      </c>
      <c r="AA91" s="430" t="s">
        <v>1064</v>
      </c>
      <c r="AC91" s="55" t="s">
        <v>924</v>
      </c>
      <c r="AD91" s="430" t="s">
        <v>1064</v>
      </c>
      <c r="AF91" s="55" t="s">
        <v>1024</v>
      </c>
      <c r="AG91" s="430"/>
      <c r="AI91" s="55" t="s">
        <v>1425</v>
      </c>
      <c r="AJ91" s="430" t="s">
        <v>1064</v>
      </c>
    </row>
    <row r="92" spans="2:36" ht="30.05" customHeight="1" x14ac:dyDescent="0.35">
      <c r="B92" s="56" t="s">
        <v>113</v>
      </c>
      <c r="C92" s="427"/>
      <c r="E92" s="56" t="s">
        <v>214</v>
      </c>
      <c r="F92" s="428" t="s">
        <v>1064</v>
      </c>
      <c r="H92" s="55" t="s">
        <v>1325</v>
      </c>
      <c r="I92" s="428" t="s">
        <v>1064</v>
      </c>
      <c r="K92" s="56" t="s">
        <v>326</v>
      </c>
      <c r="L92" s="429"/>
      <c r="N92" s="56" t="s">
        <v>425</v>
      </c>
      <c r="O92" s="430"/>
      <c r="Q92" s="56" t="s">
        <v>525</v>
      </c>
      <c r="R92" s="430"/>
      <c r="T92" s="56" t="s">
        <v>625</v>
      </c>
      <c r="U92" s="430"/>
      <c r="W92" s="55" t="s">
        <v>725</v>
      </c>
      <c r="X92" s="430"/>
      <c r="Z92" s="56" t="s">
        <v>825</v>
      </c>
      <c r="AA92" s="430" t="s">
        <v>1064</v>
      </c>
      <c r="AC92" s="56" t="s">
        <v>925</v>
      </c>
      <c r="AD92" s="430" t="s">
        <v>1064</v>
      </c>
      <c r="AF92" s="56" t="s">
        <v>1025</v>
      </c>
      <c r="AG92" s="430"/>
      <c r="AI92" s="55" t="s">
        <v>1426</v>
      </c>
      <c r="AJ92" s="430" t="s">
        <v>1064</v>
      </c>
    </row>
    <row r="93" spans="2:36" ht="30.05" customHeight="1" x14ac:dyDescent="0.35">
      <c r="B93" s="56" t="s">
        <v>114</v>
      </c>
      <c r="C93" s="427"/>
      <c r="E93" s="56" t="s">
        <v>215</v>
      </c>
      <c r="F93" s="428" t="s">
        <v>1064</v>
      </c>
      <c r="H93" s="55" t="s">
        <v>1326</v>
      </c>
      <c r="I93" s="428" t="s">
        <v>1064</v>
      </c>
      <c r="K93" s="56" t="s">
        <v>327</v>
      </c>
      <c r="L93" s="429"/>
      <c r="N93" s="56" t="s">
        <v>426</v>
      </c>
      <c r="O93" s="430"/>
      <c r="Q93" s="56" t="s">
        <v>526</v>
      </c>
      <c r="R93" s="430"/>
      <c r="T93" s="55" t="s">
        <v>626</v>
      </c>
      <c r="U93" s="430"/>
      <c r="W93" s="56" t="s">
        <v>726</v>
      </c>
      <c r="X93" s="430"/>
      <c r="Z93" s="55" t="s">
        <v>826</v>
      </c>
      <c r="AA93" s="430" t="s">
        <v>1064</v>
      </c>
      <c r="AC93" s="55" t="s">
        <v>926</v>
      </c>
      <c r="AD93" s="430" t="s">
        <v>1064</v>
      </c>
      <c r="AF93" s="55" t="s">
        <v>1026</v>
      </c>
      <c r="AG93" s="430"/>
      <c r="AI93" s="55" t="s">
        <v>1427</v>
      </c>
      <c r="AJ93" s="430" t="s">
        <v>1064</v>
      </c>
    </row>
    <row r="94" spans="2:36" ht="30.05" customHeight="1" x14ac:dyDescent="0.35">
      <c r="B94" s="56" t="s">
        <v>115</v>
      </c>
      <c r="C94" s="427"/>
      <c r="E94" s="56" t="s">
        <v>216</v>
      </c>
      <c r="F94" s="428" t="s">
        <v>1064</v>
      </c>
      <c r="H94" s="55" t="s">
        <v>1327</v>
      </c>
      <c r="I94" s="428" t="s">
        <v>1064</v>
      </c>
      <c r="K94" s="56" t="s">
        <v>328</v>
      </c>
      <c r="L94" s="429"/>
      <c r="N94" s="56" t="s">
        <v>427</v>
      </c>
      <c r="O94" s="430"/>
      <c r="Q94" s="56" t="s">
        <v>527</v>
      </c>
      <c r="R94" s="430"/>
      <c r="T94" s="56" t="s">
        <v>627</v>
      </c>
      <c r="U94" s="430"/>
      <c r="W94" s="55" t="s">
        <v>727</v>
      </c>
      <c r="X94" s="430"/>
      <c r="Z94" s="56" t="s">
        <v>827</v>
      </c>
      <c r="AA94" s="430" t="s">
        <v>1064</v>
      </c>
      <c r="AC94" s="56" t="s">
        <v>927</v>
      </c>
      <c r="AD94" s="430" t="s">
        <v>1064</v>
      </c>
      <c r="AF94" s="56" t="s">
        <v>1027</v>
      </c>
      <c r="AG94" s="430"/>
      <c r="AI94" s="55" t="s">
        <v>1428</v>
      </c>
      <c r="AJ94" s="430" t="s">
        <v>1064</v>
      </c>
    </row>
    <row r="95" spans="2:36" ht="30.05" customHeight="1" x14ac:dyDescent="0.35">
      <c r="B95" s="56" t="s">
        <v>116</v>
      </c>
      <c r="C95" s="427"/>
      <c r="E95" s="56" t="s">
        <v>217</v>
      </c>
      <c r="F95" s="428" t="s">
        <v>1064</v>
      </c>
      <c r="H95" s="55" t="s">
        <v>1328</v>
      </c>
      <c r="I95" s="428" t="s">
        <v>1064</v>
      </c>
      <c r="K95" s="56" t="s">
        <v>329</v>
      </c>
      <c r="L95" s="429"/>
      <c r="N95" s="56" t="s">
        <v>428</v>
      </c>
      <c r="O95" s="430"/>
      <c r="Q95" s="56" t="s">
        <v>528</v>
      </c>
      <c r="R95" s="430"/>
      <c r="T95" s="55" t="s">
        <v>628</v>
      </c>
      <c r="U95" s="430"/>
      <c r="W95" s="56" t="s">
        <v>728</v>
      </c>
      <c r="X95" s="430"/>
      <c r="Z95" s="55" t="s">
        <v>828</v>
      </c>
      <c r="AA95" s="430" t="s">
        <v>1064</v>
      </c>
      <c r="AC95" s="55" t="s">
        <v>928</v>
      </c>
      <c r="AD95" s="430" t="s">
        <v>1064</v>
      </c>
      <c r="AF95" s="55" t="s">
        <v>1028</v>
      </c>
      <c r="AG95" s="430"/>
      <c r="AI95" s="55" t="s">
        <v>1429</v>
      </c>
      <c r="AJ95" s="430" t="s">
        <v>1064</v>
      </c>
    </row>
    <row r="96" spans="2:36" ht="30.05" customHeight="1" x14ac:dyDescent="0.35">
      <c r="B96" s="56" t="s">
        <v>117</v>
      </c>
      <c r="C96" s="427"/>
      <c r="E96" s="56" t="s">
        <v>218</v>
      </c>
      <c r="F96" s="428" t="s">
        <v>1064</v>
      </c>
      <c r="H96" s="55" t="s">
        <v>1329</v>
      </c>
      <c r="I96" s="428" t="s">
        <v>1064</v>
      </c>
      <c r="K96" s="56" t="s">
        <v>330</v>
      </c>
      <c r="L96" s="429"/>
      <c r="N96" s="56" t="s">
        <v>429</v>
      </c>
      <c r="O96" s="430"/>
      <c r="Q96" s="56" t="s">
        <v>529</v>
      </c>
      <c r="R96" s="430"/>
      <c r="T96" s="56" t="s">
        <v>629</v>
      </c>
      <c r="U96" s="430"/>
      <c r="W96" s="55" t="s">
        <v>729</v>
      </c>
      <c r="X96" s="430"/>
      <c r="Z96" s="56" t="s">
        <v>829</v>
      </c>
      <c r="AA96" s="430" t="s">
        <v>1064</v>
      </c>
      <c r="AC96" s="56" t="s">
        <v>929</v>
      </c>
      <c r="AD96" s="430" t="s">
        <v>1064</v>
      </c>
      <c r="AF96" s="56" t="s">
        <v>1029</v>
      </c>
      <c r="AG96" s="430"/>
      <c r="AI96" s="55" t="s">
        <v>1430</v>
      </c>
      <c r="AJ96" s="430" t="s">
        <v>1064</v>
      </c>
    </row>
    <row r="97" spans="2:36" ht="30.05" customHeight="1" x14ac:dyDescent="0.35">
      <c r="B97" s="56" t="s">
        <v>118</v>
      </c>
      <c r="C97" s="427"/>
      <c r="E97" s="56" t="s">
        <v>219</v>
      </c>
      <c r="F97" s="428" t="s">
        <v>1064</v>
      </c>
      <c r="H97" s="55" t="s">
        <v>1330</v>
      </c>
      <c r="I97" s="428" t="s">
        <v>1064</v>
      </c>
      <c r="K97" s="56" t="s">
        <v>331</v>
      </c>
      <c r="L97" s="429"/>
      <c r="N97" s="56" t="s">
        <v>430</v>
      </c>
      <c r="O97" s="430"/>
      <c r="Q97" s="56" t="s">
        <v>530</v>
      </c>
      <c r="R97" s="430"/>
      <c r="T97" s="55" t="s">
        <v>630</v>
      </c>
      <c r="U97" s="430"/>
      <c r="W97" s="56" t="s">
        <v>730</v>
      </c>
      <c r="X97" s="430"/>
      <c r="Z97" s="55" t="s">
        <v>830</v>
      </c>
      <c r="AA97" s="430" t="s">
        <v>1064</v>
      </c>
      <c r="AC97" s="55" t="s">
        <v>930</v>
      </c>
      <c r="AD97" s="430" t="s">
        <v>1064</v>
      </c>
      <c r="AF97" s="55" t="s">
        <v>1030</v>
      </c>
      <c r="AG97" s="430"/>
      <c r="AI97" s="55" t="s">
        <v>1431</v>
      </c>
      <c r="AJ97" s="430" t="s">
        <v>1064</v>
      </c>
    </row>
    <row r="98" spans="2:36" ht="30.05" customHeight="1" x14ac:dyDescent="0.35">
      <c r="B98" s="56" t="s">
        <v>119</v>
      </c>
      <c r="C98" s="427"/>
      <c r="E98" s="56" t="s">
        <v>220</v>
      </c>
      <c r="F98" s="428" t="s">
        <v>1064</v>
      </c>
      <c r="H98" s="55" t="s">
        <v>1331</v>
      </c>
      <c r="I98" s="428" t="s">
        <v>1064</v>
      </c>
      <c r="K98" s="56" t="s">
        <v>332</v>
      </c>
      <c r="L98" s="429"/>
      <c r="N98" s="56" t="s">
        <v>431</v>
      </c>
      <c r="O98" s="430"/>
      <c r="Q98" s="56" t="s">
        <v>531</v>
      </c>
      <c r="R98" s="430"/>
      <c r="T98" s="56" t="s">
        <v>631</v>
      </c>
      <c r="U98" s="430"/>
      <c r="W98" s="55" t="s">
        <v>731</v>
      </c>
      <c r="X98" s="430"/>
      <c r="Z98" s="56" t="s">
        <v>831</v>
      </c>
      <c r="AA98" s="430" t="s">
        <v>1064</v>
      </c>
      <c r="AC98" s="56" t="s">
        <v>931</v>
      </c>
      <c r="AD98" s="430" t="s">
        <v>1064</v>
      </c>
      <c r="AF98" s="56" t="s">
        <v>1031</v>
      </c>
      <c r="AG98" s="430"/>
      <c r="AI98" s="55" t="s">
        <v>1432</v>
      </c>
      <c r="AJ98" s="430" t="s">
        <v>1064</v>
      </c>
    </row>
    <row r="99" spans="2:36" ht="30.05" customHeight="1" x14ac:dyDescent="0.35">
      <c r="B99" s="56" t="s">
        <v>120</v>
      </c>
      <c r="C99" s="427"/>
      <c r="E99" s="56" t="s">
        <v>221</v>
      </c>
      <c r="F99" s="428" t="s">
        <v>1064</v>
      </c>
      <c r="H99" s="55" t="s">
        <v>1332</v>
      </c>
      <c r="I99" s="428" t="s">
        <v>1064</v>
      </c>
      <c r="K99" s="56" t="s">
        <v>333</v>
      </c>
      <c r="L99" s="429"/>
      <c r="N99" s="56" t="s">
        <v>432</v>
      </c>
      <c r="O99" s="430"/>
      <c r="Q99" s="56" t="s">
        <v>532</v>
      </c>
      <c r="R99" s="430"/>
      <c r="T99" s="55" t="s">
        <v>632</v>
      </c>
      <c r="U99" s="430"/>
      <c r="W99" s="56" t="s">
        <v>732</v>
      </c>
      <c r="X99" s="430"/>
      <c r="Z99" s="55" t="s">
        <v>832</v>
      </c>
      <c r="AA99" s="430" t="s">
        <v>1064</v>
      </c>
      <c r="AC99" s="55" t="s">
        <v>932</v>
      </c>
      <c r="AD99" s="430" t="s">
        <v>1064</v>
      </c>
      <c r="AF99" s="55" t="s">
        <v>1032</v>
      </c>
      <c r="AG99" s="430"/>
      <c r="AI99" s="55" t="s">
        <v>1433</v>
      </c>
      <c r="AJ99" s="430" t="s">
        <v>1064</v>
      </c>
    </row>
    <row r="100" spans="2:36" ht="30.05" customHeight="1" x14ac:dyDescent="0.35">
      <c r="B100" s="56" t="s">
        <v>121</v>
      </c>
      <c r="C100" s="427"/>
      <c r="E100" s="56" t="s">
        <v>222</v>
      </c>
      <c r="F100" s="428" t="s">
        <v>1064</v>
      </c>
      <c r="H100" s="55" t="s">
        <v>1333</v>
      </c>
      <c r="I100" s="428" t="s">
        <v>1064</v>
      </c>
      <c r="K100" s="56" t="s">
        <v>334</v>
      </c>
      <c r="L100" s="429"/>
      <c r="N100" s="56" t="s">
        <v>433</v>
      </c>
      <c r="O100" s="430"/>
      <c r="Q100" s="56" t="s">
        <v>533</v>
      </c>
      <c r="R100" s="430"/>
      <c r="T100" s="56" t="s">
        <v>633</v>
      </c>
      <c r="U100" s="430"/>
      <c r="W100" s="55" t="s">
        <v>733</v>
      </c>
      <c r="X100" s="430"/>
      <c r="Z100" s="56" t="s">
        <v>833</v>
      </c>
      <c r="AA100" s="430" t="s">
        <v>1064</v>
      </c>
      <c r="AC100" s="56" t="s">
        <v>933</v>
      </c>
      <c r="AD100" s="430" t="s">
        <v>1064</v>
      </c>
      <c r="AF100" s="56" t="s">
        <v>1033</v>
      </c>
      <c r="AG100" s="430"/>
      <c r="AI100" s="55" t="s">
        <v>1434</v>
      </c>
      <c r="AJ100" s="430" t="s">
        <v>1064</v>
      </c>
    </row>
    <row r="101" spans="2:36" ht="30.05" customHeight="1" x14ac:dyDescent="0.35">
      <c r="B101" s="56" t="s">
        <v>122</v>
      </c>
      <c r="C101" s="427"/>
      <c r="E101" s="56" t="s">
        <v>223</v>
      </c>
      <c r="F101" s="428" t="s">
        <v>1064</v>
      </c>
      <c r="H101" s="55" t="s">
        <v>1334</v>
      </c>
      <c r="I101" s="428" t="s">
        <v>1064</v>
      </c>
      <c r="K101" s="56" t="s">
        <v>335</v>
      </c>
      <c r="L101" s="429"/>
      <c r="N101" s="56" t="s">
        <v>434</v>
      </c>
      <c r="O101" s="430"/>
      <c r="Q101" s="56" t="s">
        <v>534</v>
      </c>
      <c r="R101" s="430"/>
      <c r="T101" s="55" t="s">
        <v>634</v>
      </c>
      <c r="U101" s="430"/>
      <c r="W101" s="56" t="s">
        <v>734</v>
      </c>
      <c r="X101" s="430"/>
      <c r="Z101" s="55" t="s">
        <v>834</v>
      </c>
      <c r="AA101" s="430" t="s">
        <v>1064</v>
      </c>
      <c r="AC101" s="55" t="s">
        <v>934</v>
      </c>
      <c r="AD101" s="430" t="s">
        <v>1064</v>
      </c>
      <c r="AF101" s="55" t="s">
        <v>1034</v>
      </c>
      <c r="AG101" s="430"/>
      <c r="AI101" s="55" t="s">
        <v>1435</v>
      </c>
      <c r="AJ101" s="430" t="s">
        <v>1064</v>
      </c>
    </row>
    <row r="102" spans="2:36" ht="30.05" customHeight="1" x14ac:dyDescent="0.35">
      <c r="B102" s="56" t="s">
        <v>123</v>
      </c>
      <c r="C102" s="427"/>
      <c r="E102" s="56" t="s">
        <v>224</v>
      </c>
      <c r="F102" s="428" t="s">
        <v>1064</v>
      </c>
      <c r="H102" s="55" t="s">
        <v>1335</v>
      </c>
      <c r="I102" s="428" t="s">
        <v>1064</v>
      </c>
      <c r="K102" s="56" t="s">
        <v>336</v>
      </c>
      <c r="L102" s="429"/>
      <c r="N102" s="56" t="s">
        <v>435</v>
      </c>
      <c r="O102" s="430"/>
      <c r="Q102" s="56" t="s">
        <v>535</v>
      </c>
      <c r="R102" s="430"/>
      <c r="T102" s="56" t="s">
        <v>635</v>
      </c>
      <c r="U102" s="430"/>
      <c r="W102" s="55" t="s">
        <v>735</v>
      </c>
      <c r="X102" s="430"/>
      <c r="Z102" s="56" t="s">
        <v>835</v>
      </c>
      <c r="AA102" s="430" t="s">
        <v>1064</v>
      </c>
      <c r="AC102" s="56" t="s">
        <v>935</v>
      </c>
      <c r="AD102" s="430" t="s">
        <v>1064</v>
      </c>
      <c r="AF102" s="56" t="s">
        <v>1035</v>
      </c>
      <c r="AG102" s="430"/>
      <c r="AI102" s="55" t="s">
        <v>1436</v>
      </c>
      <c r="AJ102" s="430" t="s">
        <v>1064</v>
      </c>
    </row>
    <row r="103" spans="2:36" ht="30.05" customHeight="1" x14ac:dyDescent="0.35">
      <c r="B103" s="56" t="s">
        <v>124</v>
      </c>
      <c r="C103" s="427"/>
      <c r="E103" s="56" t="s">
        <v>225</v>
      </c>
      <c r="F103" s="428" t="s">
        <v>1064</v>
      </c>
      <c r="H103" s="55" t="s">
        <v>1336</v>
      </c>
      <c r="I103" s="428" t="s">
        <v>1064</v>
      </c>
      <c r="K103" s="56" t="s">
        <v>337</v>
      </c>
      <c r="L103" s="429"/>
      <c r="N103" s="56" t="s">
        <v>436</v>
      </c>
      <c r="O103" s="430"/>
      <c r="Q103" s="56" t="s">
        <v>536</v>
      </c>
      <c r="R103" s="430"/>
      <c r="T103" s="55" t="s">
        <v>636</v>
      </c>
      <c r="U103" s="430"/>
      <c r="W103" s="56" t="s">
        <v>736</v>
      </c>
      <c r="X103" s="430"/>
      <c r="Z103" s="55" t="s">
        <v>836</v>
      </c>
      <c r="AA103" s="430" t="s">
        <v>1064</v>
      </c>
      <c r="AC103" s="55" t="s">
        <v>936</v>
      </c>
      <c r="AD103" s="430" t="s">
        <v>1064</v>
      </c>
      <c r="AF103" s="55" t="s">
        <v>1036</v>
      </c>
      <c r="AG103" s="430"/>
      <c r="AI103" s="55" t="s">
        <v>1437</v>
      </c>
      <c r="AJ103" s="430" t="s">
        <v>1064</v>
      </c>
    </row>
    <row r="104" spans="2:36" ht="30.05" customHeight="1" x14ac:dyDescent="0.35">
      <c r="B104" s="56" t="s">
        <v>125</v>
      </c>
      <c r="C104" s="427"/>
      <c r="E104" s="56" t="s">
        <v>226</v>
      </c>
      <c r="F104" s="428" t="s">
        <v>1064</v>
      </c>
      <c r="H104" s="55" t="s">
        <v>1337</v>
      </c>
      <c r="I104" s="428" t="s">
        <v>1064</v>
      </c>
      <c r="K104" s="56" t="s">
        <v>338</v>
      </c>
      <c r="L104" s="429"/>
      <c r="N104" s="56" t="s">
        <v>437</v>
      </c>
      <c r="O104" s="430"/>
      <c r="Q104" s="56" t="s">
        <v>537</v>
      </c>
      <c r="R104" s="430"/>
      <c r="T104" s="56" t="s">
        <v>637</v>
      </c>
      <c r="U104" s="430"/>
      <c r="W104" s="55" t="s">
        <v>737</v>
      </c>
      <c r="X104" s="430"/>
      <c r="Z104" s="56" t="s">
        <v>837</v>
      </c>
      <c r="AA104" s="430" t="s">
        <v>1064</v>
      </c>
      <c r="AC104" s="56" t="s">
        <v>937</v>
      </c>
      <c r="AD104" s="430" t="s">
        <v>1064</v>
      </c>
      <c r="AF104" s="56" t="s">
        <v>1037</v>
      </c>
      <c r="AG104" s="430"/>
      <c r="AI104" s="55" t="s">
        <v>1438</v>
      </c>
      <c r="AJ104" s="430" t="s">
        <v>1064</v>
      </c>
    </row>
    <row r="500" spans="2:10" ht="30.05" customHeight="1" x14ac:dyDescent="0.35">
      <c r="B500" s="10" t="s">
        <v>1101</v>
      </c>
      <c r="C500" s="10" t="s">
        <v>1101</v>
      </c>
      <c r="D500" s="10" t="s">
        <v>1101</v>
      </c>
      <c r="E500" s="10" t="s">
        <v>1101</v>
      </c>
      <c r="F500" s="10" t="s">
        <v>1101</v>
      </c>
      <c r="G500" s="10" t="s">
        <v>1101</v>
      </c>
      <c r="H500" s="10" t="s">
        <v>1101</v>
      </c>
      <c r="I500" s="10" t="s">
        <v>1101</v>
      </c>
      <c r="J500" s="10" t="s">
        <v>1101</v>
      </c>
    </row>
  </sheetData>
  <sheetProtection sort="0" autoFilter="0" pivotTables="0"/>
  <phoneticPr fontId="36" type="noConversion"/>
  <dataValidations count="1">
    <dataValidation type="list" allowBlank="1" showInputMessage="1" showErrorMessage="1" sqref="C14:C104" xr:uid="{CC7C8406-5682-412C-952C-A3548762B63F}">
      <formula1>#REF!</formula1>
    </dataValidation>
  </dataValidations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1"/>
  <ignoredErrors>
    <ignoredError sqref="B15:B104 B5:B7 D5:E7 B8 D8:E8 B9:B12 B13 B14 D15:E104 D9:E12 D13:E13 D14:E14 H5:H104 J5:K104" twoDigitTextYear="1"/>
  </ignoredErrors>
  <drawing r:id="rId2"/>
  <legacyDrawing r:id="rId3"/>
  <tableParts count="12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6B108-F9DC-4B59-BB07-8734C8BA1715}">
  <sheetPr codeName="Planilha23"/>
  <dimension ref="A1:AI194"/>
  <sheetViews>
    <sheetView showGridLines="0" tabSelected="1" zoomScale="70" zoomScaleNormal="70" workbookViewId="0">
      <pane xSplit="6" ySplit="4" topLeftCell="N157" activePane="bottomRight" state="frozen"/>
      <selection pane="topRight" activeCell="G1" sqref="G1"/>
      <selection pane="bottomLeft" activeCell="A5" sqref="A5"/>
      <selection pane="bottomRight" activeCell="B153" sqref="B153:X177"/>
    </sheetView>
  </sheetViews>
  <sheetFormatPr defaultRowHeight="15.05" customHeight="1" x14ac:dyDescent="0.35"/>
  <cols>
    <col min="1" max="1" width="0.7265625" style="9" customWidth="1"/>
    <col min="2" max="2" width="30.90625" customWidth="1"/>
    <col min="3" max="3" width="40.7265625" customWidth="1"/>
    <col min="4" max="4" width="22.08984375" style="648" customWidth="1"/>
    <col min="5" max="5" width="23.453125" style="4" customWidth="1"/>
    <col min="6" max="6" width="15.90625" style="4" customWidth="1"/>
    <col min="7" max="7" width="19.1796875" style="4" customWidth="1"/>
    <col min="8" max="8" width="17.36328125" style="4" customWidth="1"/>
    <col min="9" max="9" width="15.36328125" style="4" customWidth="1"/>
    <col min="10" max="10" width="13.08984375" style="557" customWidth="1"/>
    <col min="11" max="11" width="12.54296875" style="4" customWidth="1"/>
    <col min="12" max="12" width="14.81640625" style="4" bestFit="1" customWidth="1"/>
    <col min="13" max="14" width="12.453125" style="4" customWidth="1"/>
    <col min="15" max="16" width="5.7265625" style="4" customWidth="1"/>
  </cols>
  <sheetData>
    <row r="1" spans="1:35" s="13" customFormat="1" ht="25" customHeight="1" x14ac:dyDescent="0.35">
      <c r="A1" s="30"/>
      <c r="B1" s="31"/>
      <c r="D1" s="642"/>
      <c r="E1" s="31"/>
      <c r="H1" s="31"/>
      <c r="J1" s="637"/>
      <c r="K1" s="31"/>
      <c r="N1" s="31"/>
      <c r="Q1" s="31"/>
      <c r="T1" s="31"/>
      <c r="W1" s="31"/>
      <c r="Z1" s="31"/>
      <c r="AC1" s="31"/>
      <c r="AF1" s="31"/>
      <c r="AI1" s="31"/>
    </row>
    <row r="2" spans="1:35" s="16" customFormat="1" ht="20.100000000000001" customHeight="1" x14ac:dyDescent="0.35">
      <c r="B2" s="33"/>
      <c r="D2" s="643"/>
      <c r="E2" s="33"/>
      <c r="H2" s="33"/>
      <c r="J2" s="638"/>
      <c r="K2" s="33"/>
      <c r="N2" s="33"/>
      <c r="Q2" s="33"/>
      <c r="T2" s="33"/>
      <c r="W2" s="33"/>
      <c r="Z2" s="33"/>
      <c r="AC2" s="33"/>
      <c r="AF2" s="33"/>
      <c r="AI2" s="33"/>
    </row>
    <row r="3" spans="1:35" s="8" customFormat="1" ht="3.75" customHeight="1" x14ac:dyDescent="0.35">
      <c r="A3" s="7"/>
      <c r="D3" s="644"/>
      <c r="E3" s="26"/>
      <c r="H3" s="26"/>
      <c r="J3" s="639"/>
      <c r="N3" s="26"/>
      <c r="Q3" s="26"/>
      <c r="T3" s="26"/>
      <c r="W3" s="26"/>
      <c r="Z3" s="26"/>
      <c r="AC3" s="26"/>
      <c r="AF3" s="26"/>
      <c r="AI3" s="26"/>
    </row>
    <row r="4" spans="1:35" ht="49.75" customHeight="1" x14ac:dyDescent="0.35">
      <c r="B4" s="570" t="s">
        <v>2038</v>
      </c>
      <c r="C4" s="570" t="s">
        <v>2039</v>
      </c>
      <c r="D4" s="582" t="s">
        <v>2061</v>
      </c>
      <c r="E4" s="570" t="s">
        <v>2062</v>
      </c>
      <c r="F4" s="570" t="s">
        <v>2074</v>
      </c>
      <c r="G4" s="570" t="s">
        <v>2060</v>
      </c>
      <c r="H4" s="570" t="s">
        <v>2040</v>
      </c>
      <c r="I4" s="570" t="s">
        <v>2041</v>
      </c>
      <c r="J4" s="581" t="s">
        <v>2068</v>
      </c>
      <c r="K4" s="571" t="s">
        <v>2063</v>
      </c>
      <c r="L4" s="571" t="s">
        <v>2064</v>
      </c>
      <c r="M4" s="571" t="s">
        <v>2065</v>
      </c>
      <c r="N4" s="571" t="s">
        <v>2066</v>
      </c>
      <c r="O4" s="571" t="s">
        <v>2067</v>
      </c>
      <c r="P4" s="571" t="s">
        <v>1586</v>
      </c>
      <c r="Q4" s="571" t="s">
        <v>2042</v>
      </c>
      <c r="R4" s="571" t="s">
        <v>2043</v>
      </c>
      <c r="S4" s="571" t="s">
        <v>2044</v>
      </c>
      <c r="T4" s="571" t="s">
        <v>2045</v>
      </c>
      <c r="U4" s="571" t="s">
        <v>2046</v>
      </c>
      <c r="V4" s="571" t="s">
        <v>2047</v>
      </c>
      <c r="W4" s="571" t="s">
        <v>2048</v>
      </c>
      <c r="X4" s="571" t="s">
        <v>2049</v>
      </c>
      <c r="Y4" s="572"/>
    </row>
    <row r="5" spans="1:35" ht="14.5" x14ac:dyDescent="0.35">
      <c r="B5" s="567" t="s">
        <v>2088</v>
      </c>
      <c r="C5" s="569" t="s">
        <v>2059</v>
      </c>
      <c r="D5" s="645">
        <v>44835</v>
      </c>
      <c r="E5" s="568"/>
      <c r="F5" s="568"/>
      <c r="G5" s="569"/>
      <c r="H5" s="572"/>
      <c r="I5" s="572"/>
      <c r="J5" s="580">
        <v>44883</v>
      </c>
      <c r="K5" s="569">
        <v>700.67</v>
      </c>
      <c r="L5" s="569">
        <v>0</v>
      </c>
      <c r="M5" s="569">
        <v>140.13</v>
      </c>
      <c r="N5" s="569">
        <v>202</v>
      </c>
      <c r="O5" s="569"/>
      <c r="P5" s="573" t="str">
        <f>IF(O5="","",IFERROR(O5/$O$178,""))</f>
        <v/>
      </c>
      <c r="Q5" s="577"/>
      <c r="R5" s="574"/>
      <c r="S5" s="574"/>
      <c r="T5" s="575" t="str">
        <f t="shared" ref="T5:T177" si="0">IF(R5="","",IFERROR(R5-S5,""))</f>
        <v/>
      </c>
      <c r="U5" s="574"/>
      <c r="V5" s="576"/>
      <c r="W5" s="573" t="str">
        <f t="shared" ref="W5:W177" si="1">IFERROR(S5/R5,"")</f>
        <v/>
      </c>
      <c r="X5" s="573" t="str">
        <f t="shared" ref="X5:X177" si="2">IFERROR(100%-W5,"")</f>
        <v/>
      </c>
      <c r="Y5" s="572"/>
    </row>
    <row r="6" spans="1:35" ht="15.05" customHeight="1" x14ac:dyDescent="0.35">
      <c r="B6" s="567" t="s">
        <v>2088</v>
      </c>
      <c r="C6" s="569" t="s">
        <v>2059</v>
      </c>
      <c r="D6" s="645">
        <v>45444</v>
      </c>
      <c r="E6" s="568"/>
      <c r="F6" s="568"/>
      <c r="G6" s="569"/>
      <c r="H6" s="572"/>
      <c r="I6" s="572"/>
      <c r="J6" s="580">
        <v>45492</v>
      </c>
      <c r="K6" s="569">
        <v>728.91</v>
      </c>
      <c r="L6" s="569">
        <v>0</v>
      </c>
      <c r="M6" s="569">
        <v>145.78</v>
      </c>
      <c r="N6" s="569">
        <v>68.37</v>
      </c>
      <c r="O6" s="569"/>
      <c r="P6" s="573" t="str">
        <f>IF(O6="","",IFERROR(O6/$O$178,""))</f>
        <v/>
      </c>
      <c r="Q6" s="577"/>
      <c r="R6" s="574"/>
      <c r="S6" s="574"/>
      <c r="T6" s="575" t="str">
        <f t="shared" si="0"/>
        <v/>
      </c>
      <c r="U6" s="574"/>
      <c r="V6" s="576"/>
      <c r="W6" s="573" t="str">
        <f t="shared" si="1"/>
        <v/>
      </c>
      <c r="X6" s="573" t="str">
        <f t="shared" si="2"/>
        <v/>
      </c>
      <c r="Y6" s="572"/>
    </row>
    <row r="7" spans="1:35" ht="15.05" customHeight="1" x14ac:dyDescent="0.35">
      <c r="B7" s="567" t="s">
        <v>2088</v>
      </c>
      <c r="C7" s="569" t="s">
        <v>2059</v>
      </c>
      <c r="D7" s="645">
        <v>45474</v>
      </c>
      <c r="E7" s="568"/>
      <c r="F7" s="568"/>
      <c r="G7" s="569"/>
      <c r="H7" s="572"/>
      <c r="I7" s="572"/>
      <c r="J7" s="580">
        <v>45524</v>
      </c>
      <c r="K7" s="569">
        <v>362.9</v>
      </c>
      <c r="L7" s="569">
        <v>0</v>
      </c>
      <c r="M7" s="569">
        <v>72.58</v>
      </c>
      <c r="N7" s="569">
        <v>30.88</v>
      </c>
      <c r="O7" s="569"/>
      <c r="P7" s="573" t="str">
        <f>IF(O7="","",IFERROR(O7/$O$178,""))</f>
        <v/>
      </c>
      <c r="Q7" s="577"/>
      <c r="R7" s="574"/>
      <c r="S7" s="574"/>
      <c r="T7" s="575" t="str">
        <f t="shared" si="0"/>
        <v/>
      </c>
      <c r="U7" s="574"/>
      <c r="V7" s="576"/>
      <c r="W7" s="573" t="str">
        <f t="shared" si="1"/>
        <v/>
      </c>
      <c r="X7" s="573" t="str">
        <f t="shared" si="2"/>
        <v/>
      </c>
      <c r="Y7" s="572"/>
    </row>
    <row r="8" spans="1:35" ht="15.05" customHeight="1" x14ac:dyDescent="0.35">
      <c r="B8" s="567" t="s">
        <v>2088</v>
      </c>
      <c r="C8" s="569" t="s">
        <v>2059</v>
      </c>
      <c r="D8" s="645">
        <v>45505</v>
      </c>
      <c r="E8" s="568"/>
      <c r="F8" s="568"/>
      <c r="G8" s="569"/>
      <c r="H8" s="572"/>
      <c r="I8" s="572"/>
      <c r="J8" s="580">
        <v>45555</v>
      </c>
      <c r="K8" s="569">
        <v>728.91</v>
      </c>
      <c r="L8" s="569">
        <v>0</v>
      </c>
      <c r="M8" s="569">
        <v>145.78</v>
      </c>
      <c r="N8" s="569">
        <v>55.9</v>
      </c>
      <c r="O8" s="569"/>
      <c r="P8" s="573" t="str">
        <f>IF(O8="","",IFERROR(O8/$O$178,""))</f>
        <v/>
      </c>
      <c r="Q8" s="577"/>
      <c r="R8" s="574"/>
      <c r="S8" s="574"/>
      <c r="T8" s="575" t="str">
        <f t="shared" si="0"/>
        <v/>
      </c>
      <c r="U8" s="574"/>
      <c r="V8" s="576"/>
      <c r="W8" s="573" t="str">
        <f t="shared" si="1"/>
        <v/>
      </c>
      <c r="X8" s="573" t="str">
        <f t="shared" si="2"/>
        <v/>
      </c>
      <c r="Y8" s="572"/>
    </row>
    <row r="9" spans="1:35" ht="15.05" customHeight="1" x14ac:dyDescent="0.35">
      <c r="B9" s="567" t="s">
        <v>2088</v>
      </c>
      <c r="C9" s="569" t="s">
        <v>2059</v>
      </c>
      <c r="D9" s="645">
        <v>45536</v>
      </c>
      <c r="E9" s="568"/>
      <c r="F9" s="568"/>
      <c r="G9" s="569"/>
      <c r="H9" s="572"/>
      <c r="I9" s="572"/>
      <c r="J9" s="580">
        <v>45583</v>
      </c>
      <c r="K9" s="569">
        <v>728.91</v>
      </c>
      <c r="L9" s="569">
        <v>0</v>
      </c>
      <c r="M9" s="569">
        <v>145.78</v>
      </c>
      <c r="N9" s="569">
        <v>49.12</v>
      </c>
      <c r="O9" s="569"/>
      <c r="P9" s="573" t="str">
        <f>IF(O9="","",IFERROR(O9/$O$178,""))</f>
        <v/>
      </c>
      <c r="Q9" s="577"/>
      <c r="R9" s="574"/>
      <c r="S9" s="574"/>
      <c r="T9" s="575" t="str">
        <f t="shared" si="0"/>
        <v/>
      </c>
      <c r="U9" s="574"/>
      <c r="V9" s="576"/>
      <c r="W9" s="573" t="str">
        <f t="shared" si="1"/>
        <v/>
      </c>
      <c r="X9" s="573" t="str">
        <f t="shared" si="2"/>
        <v/>
      </c>
      <c r="Y9" s="572"/>
    </row>
    <row r="10" spans="1:35" ht="15.05" customHeight="1" x14ac:dyDescent="0.35">
      <c r="B10" s="567" t="s">
        <v>2088</v>
      </c>
      <c r="C10" s="569" t="s">
        <v>2059</v>
      </c>
      <c r="D10" s="645">
        <v>45566</v>
      </c>
      <c r="E10" s="568"/>
      <c r="F10" s="568"/>
      <c r="G10" s="569"/>
      <c r="H10" s="572"/>
      <c r="I10" s="572"/>
      <c r="J10" s="580">
        <v>45615</v>
      </c>
      <c r="K10" s="569">
        <v>728.91</v>
      </c>
      <c r="L10" s="569">
        <v>0</v>
      </c>
      <c r="M10" s="569">
        <v>145.78</v>
      </c>
      <c r="N10" s="569">
        <v>43.37</v>
      </c>
      <c r="O10" s="569"/>
      <c r="P10" s="573" t="str">
        <f>IF(O10="","",IFERROR(O10/$O$178,""))</f>
        <v/>
      </c>
      <c r="Q10" s="577"/>
      <c r="R10" s="574"/>
      <c r="S10" s="574"/>
      <c r="T10" s="575" t="str">
        <f t="shared" si="0"/>
        <v/>
      </c>
      <c r="U10" s="574"/>
      <c r="V10" s="576"/>
      <c r="W10" s="573" t="str">
        <f t="shared" si="1"/>
        <v/>
      </c>
      <c r="X10" s="573" t="str">
        <f t="shared" si="2"/>
        <v/>
      </c>
      <c r="Y10" s="572"/>
    </row>
    <row r="11" spans="1:35" ht="15.05" customHeight="1" x14ac:dyDescent="0.35">
      <c r="B11" s="567" t="s">
        <v>2088</v>
      </c>
      <c r="C11" s="569" t="s">
        <v>2059</v>
      </c>
      <c r="D11" s="645">
        <v>45597</v>
      </c>
      <c r="E11" s="568"/>
      <c r="F11" s="568"/>
      <c r="G11" s="569"/>
      <c r="H11" s="572"/>
      <c r="I11" s="572"/>
      <c r="J11" s="580">
        <v>45646</v>
      </c>
      <c r="K11" s="569">
        <v>828.25</v>
      </c>
      <c r="L11" s="569">
        <v>0</v>
      </c>
      <c r="M11" s="569">
        <v>165.65</v>
      </c>
      <c r="N11" s="569">
        <v>41.57</v>
      </c>
      <c r="O11" s="569"/>
      <c r="P11" s="573" t="str">
        <f>IF(O11="","",IFERROR(O11/$O$178,""))</f>
        <v/>
      </c>
      <c r="Q11" s="577"/>
      <c r="R11" s="574"/>
      <c r="S11" s="574"/>
      <c r="T11" s="575" t="str">
        <f t="shared" si="0"/>
        <v/>
      </c>
      <c r="U11" s="574"/>
      <c r="V11" s="576"/>
      <c r="W11" s="573" t="str">
        <f t="shared" si="1"/>
        <v/>
      </c>
      <c r="X11" s="573" t="str">
        <f t="shared" si="2"/>
        <v/>
      </c>
      <c r="Y11" s="572"/>
    </row>
    <row r="12" spans="1:35" ht="15.05" customHeight="1" x14ac:dyDescent="0.35">
      <c r="B12" s="567" t="s">
        <v>2088</v>
      </c>
      <c r="C12" s="569" t="s">
        <v>2059</v>
      </c>
      <c r="D12" s="645">
        <v>45627</v>
      </c>
      <c r="E12" s="568"/>
      <c r="F12" s="568"/>
      <c r="G12" s="569"/>
      <c r="H12" s="572"/>
      <c r="I12" s="572"/>
      <c r="J12" s="580">
        <v>45677</v>
      </c>
      <c r="K12" s="569">
        <v>883.82</v>
      </c>
      <c r="L12" s="569">
        <v>0</v>
      </c>
      <c r="M12" s="569">
        <v>176.76</v>
      </c>
      <c r="N12" s="569">
        <v>35.44</v>
      </c>
      <c r="O12" s="569"/>
      <c r="P12" s="573" t="str">
        <f>IF(O12="","",IFERROR(O12/$O$178,""))</f>
        <v/>
      </c>
      <c r="Q12" s="577"/>
      <c r="R12" s="574"/>
      <c r="S12" s="574"/>
      <c r="T12" s="575" t="str">
        <f t="shared" si="0"/>
        <v/>
      </c>
      <c r="U12" s="574"/>
      <c r="V12" s="576"/>
      <c r="W12" s="573" t="str">
        <f t="shared" si="1"/>
        <v/>
      </c>
      <c r="X12" s="573" t="str">
        <f t="shared" si="2"/>
        <v/>
      </c>
      <c r="Y12" s="572"/>
    </row>
    <row r="13" spans="1:35" ht="15.05" customHeight="1" x14ac:dyDescent="0.35">
      <c r="B13" s="567" t="s">
        <v>2088</v>
      </c>
      <c r="C13" s="569" t="s">
        <v>2059</v>
      </c>
      <c r="D13" s="645">
        <v>45689</v>
      </c>
      <c r="E13" s="568"/>
      <c r="F13" s="568"/>
      <c r="G13" s="569"/>
      <c r="H13" s="572"/>
      <c r="I13" s="572"/>
      <c r="J13" s="580">
        <v>45736</v>
      </c>
      <c r="K13" s="569">
        <v>137.52000000000001</v>
      </c>
      <c r="L13" s="569">
        <v>0</v>
      </c>
      <c r="M13" s="569">
        <v>22.23</v>
      </c>
      <c r="N13" s="569">
        <v>2.83</v>
      </c>
      <c r="O13" s="569"/>
      <c r="P13" s="573" t="str">
        <f>IF(O13="","",IFERROR(O13/$O$178,""))</f>
        <v/>
      </c>
      <c r="Q13" s="577"/>
      <c r="R13" s="574"/>
      <c r="S13" s="574"/>
      <c r="T13" s="575" t="str">
        <f t="shared" si="0"/>
        <v/>
      </c>
      <c r="U13" s="574"/>
      <c r="V13" s="576"/>
      <c r="W13" s="573" t="str">
        <f t="shared" si="1"/>
        <v/>
      </c>
      <c r="X13" s="573" t="str">
        <f t="shared" si="2"/>
        <v/>
      </c>
      <c r="Y13" s="572"/>
    </row>
    <row r="14" spans="1:35" ht="15.05" customHeight="1" x14ac:dyDescent="0.35">
      <c r="B14" s="567" t="s">
        <v>2088</v>
      </c>
      <c r="C14" s="569" t="s">
        <v>2059</v>
      </c>
      <c r="D14" s="645">
        <v>45717</v>
      </c>
      <c r="E14" s="568"/>
      <c r="F14" s="568"/>
      <c r="G14" s="569"/>
      <c r="H14" s="572"/>
      <c r="I14" s="572"/>
      <c r="J14" s="580">
        <v>45764</v>
      </c>
      <c r="K14" s="569">
        <v>294.47000000000003</v>
      </c>
      <c r="L14" s="569">
        <v>0</v>
      </c>
      <c r="M14" s="569">
        <v>16.510000000000002</v>
      </c>
      <c r="N14" s="569">
        <v>2.94</v>
      </c>
      <c r="O14" s="569"/>
      <c r="P14" s="573" t="str">
        <f>IF(O14="","",IFERROR(O14/$O$178,""))</f>
        <v/>
      </c>
      <c r="Q14" s="577"/>
      <c r="R14" s="574"/>
      <c r="S14" s="574"/>
      <c r="T14" s="575" t="str">
        <f t="shared" si="0"/>
        <v/>
      </c>
      <c r="U14" s="574"/>
      <c r="V14" s="576"/>
      <c r="W14" s="573" t="str">
        <f t="shared" si="1"/>
        <v/>
      </c>
      <c r="X14" s="573" t="str">
        <f t="shared" si="2"/>
        <v/>
      </c>
      <c r="Y14" s="572"/>
    </row>
    <row r="15" spans="1:35" ht="15.05" customHeight="1" x14ac:dyDescent="0.35">
      <c r="B15" s="567" t="s">
        <v>2069</v>
      </c>
      <c r="C15" s="569" t="s">
        <v>2059</v>
      </c>
      <c r="D15" s="645">
        <v>45444</v>
      </c>
      <c r="E15" s="568"/>
      <c r="F15" s="568"/>
      <c r="G15" s="569"/>
      <c r="H15" s="572"/>
      <c r="I15" s="572"/>
      <c r="J15" s="580">
        <v>45498</v>
      </c>
      <c r="K15" s="569">
        <v>131.61000000000001</v>
      </c>
      <c r="L15" s="569">
        <v>0</v>
      </c>
      <c r="M15" s="569">
        <v>26.32</v>
      </c>
      <c r="N15" s="569">
        <v>12.34</v>
      </c>
      <c r="O15" s="569"/>
      <c r="P15" s="573" t="str">
        <f>IF(O15="","",IFERROR(O15/$O$178,""))</f>
        <v/>
      </c>
      <c r="Q15" s="577"/>
      <c r="R15" s="574"/>
      <c r="S15" s="574"/>
      <c r="T15" s="575" t="str">
        <f t="shared" si="0"/>
        <v/>
      </c>
      <c r="U15" s="574"/>
      <c r="V15" s="576"/>
      <c r="W15" s="573" t="str">
        <f t="shared" si="1"/>
        <v/>
      </c>
      <c r="X15" s="573" t="str">
        <f t="shared" si="2"/>
        <v/>
      </c>
      <c r="Y15" s="572"/>
    </row>
    <row r="16" spans="1:35" s="553" customFormat="1" ht="15.05" customHeight="1" x14ac:dyDescent="0.35">
      <c r="A16" s="15"/>
      <c r="B16" s="583" t="s">
        <v>2069</v>
      </c>
      <c r="C16" s="584" t="s">
        <v>2059</v>
      </c>
      <c r="D16" s="646">
        <v>45474</v>
      </c>
      <c r="E16" s="585"/>
      <c r="F16" s="585"/>
      <c r="G16" s="584"/>
      <c r="H16" s="578"/>
      <c r="I16" s="578"/>
      <c r="J16" s="586">
        <v>45527</v>
      </c>
      <c r="K16" s="584">
        <v>104.36</v>
      </c>
      <c r="L16" s="584">
        <v>0</v>
      </c>
      <c r="M16" s="584">
        <v>20.87</v>
      </c>
      <c r="N16" s="584">
        <v>8.8800000000000008</v>
      </c>
      <c r="O16" s="584"/>
      <c r="P16" s="587" t="str">
        <f>IF(O16="","",IFERROR(O16/$O$178,""))</f>
        <v/>
      </c>
      <c r="Q16" s="588"/>
      <c r="R16" s="589"/>
      <c r="S16" s="589"/>
      <c r="T16" s="590" t="str">
        <f t="shared" si="0"/>
        <v/>
      </c>
      <c r="U16" s="589"/>
      <c r="V16" s="591"/>
      <c r="W16" s="587" t="str">
        <f t="shared" si="1"/>
        <v/>
      </c>
      <c r="X16" s="587" t="str">
        <f t="shared" si="2"/>
        <v/>
      </c>
      <c r="Y16" s="578"/>
    </row>
    <row r="17" spans="1:25" ht="15.05" customHeight="1" x14ac:dyDescent="0.35">
      <c r="B17" s="567" t="s">
        <v>2069</v>
      </c>
      <c r="C17" s="569" t="s">
        <v>2059</v>
      </c>
      <c r="D17" s="645">
        <v>45505</v>
      </c>
      <c r="E17" s="568"/>
      <c r="F17" s="568"/>
      <c r="G17" s="569"/>
      <c r="H17" s="572"/>
      <c r="I17" s="572"/>
      <c r="J17" s="580">
        <v>45560</v>
      </c>
      <c r="K17" s="569">
        <v>151.44999999999999</v>
      </c>
      <c r="L17" s="569">
        <v>0</v>
      </c>
      <c r="M17" s="569">
        <v>30.29</v>
      </c>
      <c r="N17" s="569">
        <v>11.61</v>
      </c>
      <c r="O17" s="569"/>
      <c r="P17" s="573" t="str">
        <f>IF(O17="","",IFERROR(O17/$O$178,""))</f>
        <v/>
      </c>
      <c r="Q17" s="577"/>
      <c r="R17" s="574"/>
      <c r="S17" s="574"/>
      <c r="T17" s="575" t="str">
        <f t="shared" si="0"/>
        <v/>
      </c>
      <c r="U17" s="574"/>
      <c r="V17" s="576"/>
      <c r="W17" s="573" t="str">
        <f t="shared" si="1"/>
        <v/>
      </c>
      <c r="X17" s="573" t="str">
        <f t="shared" si="2"/>
        <v/>
      </c>
      <c r="Y17" s="572"/>
    </row>
    <row r="18" spans="1:25" s="553" customFormat="1" ht="15.05" customHeight="1" x14ac:dyDescent="0.35">
      <c r="A18" s="9"/>
      <c r="B18" s="567" t="s">
        <v>2069</v>
      </c>
      <c r="C18" s="569" t="s">
        <v>2059</v>
      </c>
      <c r="D18" s="645">
        <v>45536</v>
      </c>
      <c r="E18" s="568"/>
      <c r="F18" s="568"/>
      <c r="G18" s="569"/>
      <c r="H18" s="572"/>
      <c r="I18" s="572"/>
      <c r="J18" s="580">
        <v>45590</v>
      </c>
      <c r="K18" s="569">
        <v>151.63999999999999</v>
      </c>
      <c r="L18" s="569">
        <v>0</v>
      </c>
      <c r="M18" s="569">
        <v>30.32</v>
      </c>
      <c r="N18" s="569">
        <v>10.220000000000001</v>
      </c>
      <c r="O18" s="569"/>
      <c r="P18" s="573" t="str">
        <f>IF(O18="","",IFERROR(O18/$O$178,""))</f>
        <v/>
      </c>
      <c r="Q18" s="577"/>
      <c r="R18" s="574"/>
      <c r="S18" s="574"/>
      <c r="T18" s="575" t="str">
        <f t="shared" si="0"/>
        <v/>
      </c>
      <c r="U18" s="574"/>
      <c r="V18" s="576"/>
      <c r="W18" s="573" t="str">
        <f t="shared" si="1"/>
        <v/>
      </c>
      <c r="X18" s="573" t="str">
        <f t="shared" si="2"/>
        <v/>
      </c>
      <c r="Y18" s="578"/>
    </row>
    <row r="19" spans="1:25" ht="15.05" customHeight="1" x14ac:dyDescent="0.35">
      <c r="B19" s="567" t="s">
        <v>2069</v>
      </c>
      <c r="C19" s="569" t="s">
        <v>2059</v>
      </c>
      <c r="D19" s="645">
        <v>45566</v>
      </c>
      <c r="E19" s="568"/>
      <c r="F19" s="568"/>
      <c r="G19" s="569"/>
      <c r="H19" s="572"/>
      <c r="I19" s="572"/>
      <c r="J19" s="580">
        <v>45621</v>
      </c>
      <c r="K19" s="569">
        <v>176.13</v>
      </c>
      <c r="L19" s="569">
        <v>0</v>
      </c>
      <c r="M19" s="569">
        <v>35.22</v>
      </c>
      <c r="N19" s="569">
        <v>10.47</v>
      </c>
      <c r="O19" s="569"/>
      <c r="P19" s="573" t="str">
        <f>IF(O19="","",IFERROR(O19/$O$178,""))</f>
        <v/>
      </c>
      <c r="Q19" s="577"/>
      <c r="R19" s="574"/>
      <c r="S19" s="574"/>
      <c r="T19" s="575" t="str">
        <f t="shared" si="0"/>
        <v/>
      </c>
      <c r="U19" s="574"/>
      <c r="V19" s="576"/>
      <c r="W19" s="573" t="str">
        <f t="shared" si="1"/>
        <v/>
      </c>
      <c r="X19" s="573" t="str">
        <f t="shared" si="2"/>
        <v/>
      </c>
      <c r="Y19" s="572"/>
    </row>
    <row r="20" spans="1:25" ht="15.05" customHeight="1" x14ac:dyDescent="0.35">
      <c r="B20" s="567" t="s">
        <v>2069</v>
      </c>
      <c r="C20" s="569" t="s">
        <v>2059</v>
      </c>
      <c r="D20" s="645">
        <v>45597</v>
      </c>
      <c r="E20" s="568"/>
      <c r="F20" s="568"/>
      <c r="G20" s="569"/>
      <c r="H20" s="572"/>
      <c r="I20" s="572"/>
      <c r="J20" s="580">
        <v>45650</v>
      </c>
      <c r="K20" s="569">
        <v>111.43</v>
      </c>
      <c r="L20" s="569">
        <v>0</v>
      </c>
      <c r="M20" s="569">
        <v>22.28</v>
      </c>
      <c r="N20" s="569">
        <v>5.59</v>
      </c>
      <c r="O20" s="569"/>
      <c r="P20" s="573" t="str">
        <f>IF(O20="","",IFERROR(O20/$O$178,""))</f>
        <v/>
      </c>
      <c r="Q20" s="577"/>
      <c r="R20" s="574"/>
      <c r="S20" s="574"/>
      <c r="T20" s="575" t="str">
        <f t="shared" si="0"/>
        <v/>
      </c>
      <c r="U20" s="574"/>
      <c r="V20" s="576"/>
      <c r="W20" s="573" t="str">
        <f t="shared" si="1"/>
        <v/>
      </c>
      <c r="X20" s="573" t="str">
        <f t="shared" si="2"/>
        <v/>
      </c>
      <c r="Y20" s="572"/>
    </row>
    <row r="21" spans="1:25" ht="15.05" customHeight="1" x14ac:dyDescent="0.35">
      <c r="B21" s="567" t="s">
        <v>2069</v>
      </c>
      <c r="C21" s="569" t="s">
        <v>2059</v>
      </c>
      <c r="D21" s="645">
        <v>45627</v>
      </c>
      <c r="E21" s="568"/>
      <c r="F21" s="568"/>
      <c r="G21" s="569"/>
      <c r="H21" s="572"/>
      <c r="I21" s="572"/>
      <c r="J21" s="580">
        <v>45681</v>
      </c>
      <c r="K21" s="569">
        <v>121.09</v>
      </c>
      <c r="L21" s="569">
        <v>0</v>
      </c>
      <c r="M21" s="569">
        <v>24.21</v>
      </c>
      <c r="N21" s="569">
        <v>4.8499999999999996</v>
      </c>
      <c r="O21" s="569"/>
      <c r="P21" s="573" t="str">
        <f>IF(O21="","",IFERROR(O21/$O$178,""))</f>
        <v/>
      </c>
      <c r="Q21" s="577"/>
      <c r="R21" s="574"/>
      <c r="S21" s="574"/>
      <c r="T21" s="575" t="str">
        <f t="shared" si="0"/>
        <v/>
      </c>
      <c r="U21" s="574"/>
      <c r="V21" s="576"/>
      <c r="W21" s="573" t="str">
        <f t="shared" si="1"/>
        <v/>
      </c>
      <c r="X21" s="573" t="str">
        <f t="shared" si="2"/>
        <v/>
      </c>
      <c r="Y21" s="572"/>
    </row>
    <row r="22" spans="1:25" ht="15.05" customHeight="1" x14ac:dyDescent="0.35">
      <c r="B22" s="567" t="s">
        <v>2069</v>
      </c>
      <c r="C22" s="569" t="s">
        <v>2059</v>
      </c>
      <c r="D22" s="645">
        <v>45658</v>
      </c>
      <c r="E22" s="568"/>
      <c r="F22" s="568"/>
      <c r="G22" s="569"/>
      <c r="H22" s="572"/>
      <c r="I22" s="572"/>
      <c r="J22" s="580">
        <v>45713</v>
      </c>
      <c r="K22" s="569">
        <v>121.98</v>
      </c>
      <c r="L22" s="569">
        <v>0</v>
      </c>
      <c r="M22" s="569">
        <v>24.39</v>
      </c>
      <c r="N22" s="569">
        <v>3.68</v>
      </c>
      <c r="O22" s="569"/>
      <c r="P22" s="573" t="str">
        <f>IF(O22="","",IFERROR(O22/$O$178,""))</f>
        <v/>
      </c>
      <c r="Q22" s="577"/>
      <c r="R22" s="574"/>
      <c r="S22" s="574"/>
      <c r="T22" s="575" t="str">
        <f>IF(R22="","",IFERROR(R22-S22,""))</f>
        <v/>
      </c>
      <c r="U22" s="574"/>
      <c r="V22" s="576"/>
      <c r="W22" s="573" t="str">
        <f>IFERROR(S22/R22,"")</f>
        <v/>
      </c>
      <c r="X22" s="573" t="str">
        <f>IFERROR(100%-W22,"")</f>
        <v/>
      </c>
      <c r="Y22" s="572"/>
    </row>
    <row r="23" spans="1:25" ht="15.05" customHeight="1" x14ac:dyDescent="0.35">
      <c r="B23" s="567" t="s">
        <v>2069</v>
      </c>
      <c r="C23" s="569" t="s">
        <v>2059</v>
      </c>
      <c r="D23" s="645">
        <v>45689</v>
      </c>
      <c r="E23" s="568"/>
      <c r="F23" s="568"/>
      <c r="G23" s="569"/>
      <c r="H23" s="572"/>
      <c r="I23" s="572"/>
      <c r="J23" s="580">
        <v>45741</v>
      </c>
      <c r="K23" s="569">
        <v>92.04</v>
      </c>
      <c r="L23" s="569">
        <v>0</v>
      </c>
      <c r="M23" s="569">
        <v>13.36</v>
      </c>
      <c r="N23" s="569">
        <v>1.89</v>
      </c>
      <c r="O23" s="569"/>
      <c r="P23" s="573" t="str">
        <f>IF(O23="","",IFERROR(O23/$O$178,""))</f>
        <v/>
      </c>
      <c r="Q23" s="577"/>
      <c r="R23" s="574"/>
      <c r="S23" s="574"/>
      <c r="T23" s="575" t="str">
        <f t="shared" si="0"/>
        <v/>
      </c>
      <c r="U23" s="574"/>
      <c r="V23" s="576"/>
      <c r="W23" s="573" t="str">
        <f t="shared" si="1"/>
        <v/>
      </c>
      <c r="X23" s="573" t="str">
        <f t="shared" si="2"/>
        <v/>
      </c>
      <c r="Y23" s="572"/>
    </row>
    <row r="24" spans="1:25" ht="15.05" customHeight="1" x14ac:dyDescent="0.35">
      <c r="B24" s="567" t="s">
        <v>2069</v>
      </c>
      <c r="C24" s="569" t="s">
        <v>2059</v>
      </c>
      <c r="D24" s="645">
        <v>45352</v>
      </c>
      <c r="E24" s="568"/>
      <c r="F24" s="568"/>
      <c r="G24" s="569"/>
      <c r="H24" s="572"/>
      <c r="I24" s="572"/>
      <c r="J24" s="580">
        <v>45772</v>
      </c>
      <c r="K24" s="569">
        <v>72.14</v>
      </c>
      <c r="L24" s="569">
        <v>0</v>
      </c>
      <c r="M24" s="569">
        <v>2.61</v>
      </c>
      <c r="N24" s="569">
        <v>0.72</v>
      </c>
      <c r="O24" s="569"/>
      <c r="P24" s="573" t="str">
        <f>IF(O24="","",IFERROR(O24/$O$178,""))</f>
        <v/>
      </c>
      <c r="Q24" s="577"/>
      <c r="R24" s="574"/>
      <c r="S24" s="574"/>
      <c r="T24" s="575" t="str">
        <f t="shared" si="0"/>
        <v/>
      </c>
      <c r="U24" s="574"/>
      <c r="V24" s="576"/>
      <c r="W24" s="573" t="str">
        <f t="shared" si="1"/>
        <v/>
      </c>
      <c r="X24" s="573" t="str">
        <f t="shared" si="2"/>
        <v/>
      </c>
      <c r="Y24" s="572"/>
    </row>
    <row r="25" spans="1:25" ht="15.05" customHeight="1" x14ac:dyDescent="0.35">
      <c r="B25" s="567" t="s">
        <v>2069</v>
      </c>
      <c r="C25" s="569" t="s">
        <v>2059</v>
      </c>
      <c r="D25" s="645" t="s">
        <v>2070</v>
      </c>
      <c r="E25" s="568"/>
      <c r="F25" s="568"/>
      <c r="G25" s="569"/>
      <c r="H25" s="572"/>
      <c r="I25" s="572"/>
      <c r="J25" s="580">
        <v>45681</v>
      </c>
      <c r="K25" s="569">
        <v>96.28</v>
      </c>
      <c r="L25" s="569">
        <v>0</v>
      </c>
      <c r="M25" s="569">
        <v>19.25</v>
      </c>
      <c r="N25" s="569">
        <v>3.86</v>
      </c>
      <c r="O25" s="569"/>
      <c r="P25" s="573" t="str">
        <f>IF(O25="","",IFERROR(O25/$O$178,""))</f>
        <v/>
      </c>
      <c r="Q25" s="577"/>
      <c r="R25" s="574"/>
      <c r="S25" s="574"/>
      <c r="T25" s="575" t="str">
        <f t="shared" si="0"/>
        <v/>
      </c>
      <c r="U25" s="574"/>
      <c r="V25" s="576"/>
      <c r="W25" s="573" t="str">
        <f t="shared" si="1"/>
        <v/>
      </c>
      <c r="X25" s="573" t="str">
        <f t="shared" si="2"/>
        <v/>
      </c>
      <c r="Y25" s="572"/>
    </row>
    <row r="26" spans="1:25" s="553" customFormat="1" ht="15.05" customHeight="1" x14ac:dyDescent="0.35">
      <c r="A26" s="15"/>
      <c r="B26" s="583" t="s">
        <v>2071</v>
      </c>
      <c r="C26" s="584" t="s">
        <v>2059</v>
      </c>
      <c r="D26" s="647">
        <v>44942</v>
      </c>
      <c r="E26" s="585"/>
      <c r="F26" s="585"/>
      <c r="G26" s="584"/>
      <c r="H26" s="578"/>
      <c r="I26" s="578"/>
      <c r="J26" s="586">
        <v>44973</v>
      </c>
      <c r="K26" s="584">
        <v>500</v>
      </c>
      <c r="L26" s="584">
        <v>0</v>
      </c>
      <c r="M26" s="584">
        <v>500</v>
      </c>
      <c r="N26" s="584">
        <v>128.35</v>
      </c>
      <c r="O26" s="584"/>
      <c r="P26" s="587" t="str">
        <f>IF(O26="","",IFERROR(O26/$O$178,""))</f>
        <v/>
      </c>
      <c r="Q26" s="588"/>
      <c r="R26" s="589"/>
      <c r="S26" s="589"/>
      <c r="T26" s="590" t="str">
        <f t="shared" ref="T26:T30" si="3">IF(R26="","",IFERROR(R26-S26,""))</f>
        <v/>
      </c>
      <c r="U26" s="589"/>
      <c r="V26" s="591"/>
      <c r="W26" s="587" t="str">
        <f t="shared" ref="W26:W30" si="4">IFERROR(S26/R26,"")</f>
        <v/>
      </c>
      <c r="X26" s="587" t="str">
        <f t="shared" ref="X26:X30" si="5">IFERROR(100%-W26,"")</f>
        <v/>
      </c>
      <c r="Y26" s="578"/>
    </row>
    <row r="27" spans="1:25" ht="15.05" customHeight="1" x14ac:dyDescent="0.35">
      <c r="B27" s="567" t="s">
        <v>2089</v>
      </c>
      <c r="C27" s="569" t="s">
        <v>2059</v>
      </c>
      <c r="D27" s="645">
        <v>45444</v>
      </c>
      <c r="E27" s="568"/>
      <c r="F27" s="568"/>
      <c r="G27" s="569"/>
      <c r="H27" s="572"/>
      <c r="I27" s="572"/>
      <c r="J27" s="580">
        <v>45492</v>
      </c>
      <c r="K27" s="569">
        <v>1334.54</v>
      </c>
      <c r="L27" s="569">
        <v>0</v>
      </c>
      <c r="M27" s="569">
        <v>266.89999999999998</v>
      </c>
      <c r="N27" s="569">
        <v>125.17</v>
      </c>
      <c r="O27" s="569"/>
      <c r="P27" s="573" t="str">
        <f>IF(O27="","",IFERROR(O27/$O$178,""))</f>
        <v/>
      </c>
      <c r="Q27" s="577"/>
      <c r="R27" s="574"/>
      <c r="S27" s="574"/>
      <c r="T27" s="575" t="str">
        <f t="shared" si="3"/>
        <v/>
      </c>
      <c r="U27" s="574"/>
      <c r="V27" s="576"/>
      <c r="W27" s="573" t="str">
        <f t="shared" si="4"/>
        <v/>
      </c>
      <c r="X27" s="573" t="str">
        <f t="shared" si="5"/>
        <v/>
      </c>
      <c r="Y27" s="572"/>
    </row>
    <row r="28" spans="1:25" ht="15.05" customHeight="1" x14ac:dyDescent="0.35">
      <c r="B28" s="567" t="s">
        <v>2089</v>
      </c>
      <c r="C28" s="569" t="s">
        <v>2059</v>
      </c>
      <c r="D28" s="645">
        <v>45474</v>
      </c>
      <c r="E28" s="568"/>
      <c r="F28" s="568"/>
      <c r="G28" s="569"/>
      <c r="H28" s="572"/>
      <c r="I28" s="572"/>
      <c r="J28" s="580">
        <v>45524</v>
      </c>
      <c r="K28" s="569">
        <v>1086.29</v>
      </c>
      <c r="L28" s="569">
        <v>0</v>
      </c>
      <c r="M28" s="569">
        <v>217.25</v>
      </c>
      <c r="N28" s="569">
        <v>92.44</v>
      </c>
      <c r="O28" s="569"/>
      <c r="P28" s="573" t="str">
        <f>IF(O28="","",IFERROR(O28/$O$178,""))</f>
        <v/>
      </c>
      <c r="Q28" s="577"/>
      <c r="R28" s="574"/>
      <c r="S28" s="574"/>
      <c r="T28" s="575" t="str">
        <f t="shared" si="3"/>
        <v/>
      </c>
      <c r="U28" s="574"/>
      <c r="V28" s="576"/>
      <c r="W28" s="573" t="str">
        <f t="shared" si="4"/>
        <v/>
      </c>
      <c r="X28" s="573" t="str">
        <f t="shared" si="5"/>
        <v/>
      </c>
      <c r="Y28" s="572"/>
    </row>
    <row r="29" spans="1:25" ht="15.05" customHeight="1" x14ac:dyDescent="0.35">
      <c r="B29" s="567" t="s">
        <v>2089</v>
      </c>
      <c r="C29" s="569" t="s">
        <v>2059</v>
      </c>
      <c r="D29" s="645">
        <v>45505</v>
      </c>
      <c r="E29" s="568"/>
      <c r="F29" s="568"/>
      <c r="G29" s="569"/>
      <c r="H29" s="572"/>
      <c r="I29" s="572"/>
      <c r="J29" s="580">
        <v>45555</v>
      </c>
      <c r="K29" s="569">
        <v>1409.45</v>
      </c>
      <c r="L29" s="569">
        <v>0</v>
      </c>
      <c r="M29" s="569">
        <v>281.89</v>
      </c>
      <c r="N29" s="569">
        <v>108.1</v>
      </c>
      <c r="O29" s="569"/>
      <c r="P29" s="573" t="str">
        <f>IF(O29="","",IFERROR(O29/$O$178,""))</f>
        <v/>
      </c>
      <c r="Q29" s="577"/>
      <c r="R29" s="574"/>
      <c r="S29" s="574"/>
      <c r="T29" s="575" t="str">
        <f t="shared" si="3"/>
        <v/>
      </c>
      <c r="U29" s="574"/>
      <c r="V29" s="576"/>
      <c r="W29" s="573" t="str">
        <f t="shared" si="4"/>
        <v/>
      </c>
      <c r="X29" s="573" t="str">
        <f t="shared" si="5"/>
        <v/>
      </c>
      <c r="Y29" s="572"/>
    </row>
    <row r="30" spans="1:25" ht="15.05" customHeight="1" x14ac:dyDescent="0.35">
      <c r="B30" s="567" t="s">
        <v>2089</v>
      </c>
      <c r="C30" s="569" t="s">
        <v>2059</v>
      </c>
      <c r="D30" s="645">
        <v>45536</v>
      </c>
      <c r="E30" s="568"/>
      <c r="F30" s="568"/>
      <c r="G30" s="569"/>
      <c r="H30" s="572"/>
      <c r="I30" s="572"/>
      <c r="J30" s="580">
        <v>45583</v>
      </c>
      <c r="K30" s="569">
        <v>1457</v>
      </c>
      <c r="L30" s="569">
        <v>0</v>
      </c>
      <c r="M30" s="569">
        <v>291.39999999999998</v>
      </c>
      <c r="N30" s="569">
        <v>98.2</v>
      </c>
      <c r="O30" s="569"/>
      <c r="P30" s="573" t="str">
        <f>IF(O30="","",IFERROR(O30/$O$178,""))</f>
        <v/>
      </c>
      <c r="Q30" s="577"/>
      <c r="R30" s="574"/>
      <c r="S30" s="574"/>
      <c r="T30" s="575" t="str">
        <f t="shared" si="3"/>
        <v/>
      </c>
      <c r="U30" s="574"/>
      <c r="V30" s="576"/>
      <c r="W30" s="573" t="str">
        <f t="shared" si="4"/>
        <v/>
      </c>
      <c r="X30" s="573" t="str">
        <f t="shared" si="5"/>
        <v/>
      </c>
      <c r="Y30" s="572"/>
    </row>
    <row r="31" spans="1:25" ht="15.05" customHeight="1" x14ac:dyDescent="0.35">
      <c r="B31" s="567" t="s">
        <v>2089</v>
      </c>
      <c r="C31" s="569" t="s">
        <v>2059</v>
      </c>
      <c r="D31" s="645">
        <v>45566</v>
      </c>
      <c r="E31" s="568"/>
      <c r="F31" s="568"/>
      <c r="G31" s="569"/>
      <c r="H31" s="572"/>
      <c r="I31" s="572"/>
      <c r="J31" s="580">
        <v>45615</v>
      </c>
      <c r="K31" s="569">
        <v>1706.31</v>
      </c>
      <c r="L31" s="569">
        <v>0</v>
      </c>
      <c r="M31" s="569">
        <v>341.26</v>
      </c>
      <c r="N31" s="569">
        <v>101.52</v>
      </c>
      <c r="O31" s="569"/>
      <c r="P31" s="573" t="str">
        <f>IF(O31="","",IFERROR(O31/$O$178,""))</f>
        <v/>
      </c>
      <c r="Q31" s="577"/>
      <c r="R31" s="574"/>
      <c r="S31" s="574"/>
      <c r="T31" s="575" t="str">
        <f t="shared" ref="T31:T35" si="6">IF(R31="","",IFERROR(R31-S31,""))</f>
        <v/>
      </c>
      <c r="U31" s="574"/>
      <c r="V31" s="576"/>
      <c r="W31" s="573" t="str">
        <f t="shared" ref="W31:W35" si="7">IFERROR(S31/R31,"")</f>
        <v/>
      </c>
      <c r="X31" s="573" t="str">
        <f t="shared" ref="X31:X35" si="8">IFERROR(100%-W31,"")</f>
        <v/>
      </c>
      <c r="Y31" s="572"/>
    </row>
    <row r="32" spans="1:25" ht="15.05" customHeight="1" x14ac:dyDescent="0.35">
      <c r="B32" s="567" t="s">
        <v>2089</v>
      </c>
      <c r="C32" s="569" t="s">
        <v>2059</v>
      </c>
      <c r="D32" s="645">
        <v>45597</v>
      </c>
      <c r="E32" s="568"/>
      <c r="F32" s="568"/>
      <c r="G32" s="569"/>
      <c r="H32" s="572"/>
      <c r="I32" s="572"/>
      <c r="J32" s="580">
        <v>45646</v>
      </c>
      <c r="K32" s="569">
        <v>1017.61</v>
      </c>
      <c r="L32" s="569">
        <v>0</v>
      </c>
      <c r="M32" s="569">
        <v>203.52</v>
      </c>
      <c r="N32" s="569">
        <v>51.08</v>
      </c>
      <c r="O32" s="569"/>
      <c r="P32" s="573" t="str">
        <f>IF(O32="","",IFERROR(O32/$O$178,""))</f>
        <v/>
      </c>
      <c r="Q32" s="577"/>
      <c r="R32" s="574"/>
      <c r="S32" s="574"/>
      <c r="T32" s="575" t="str">
        <f t="shared" si="6"/>
        <v/>
      </c>
      <c r="U32" s="574"/>
      <c r="V32" s="576"/>
      <c r="W32" s="573" t="str">
        <f t="shared" si="7"/>
        <v/>
      </c>
      <c r="X32" s="573" t="str">
        <f t="shared" si="8"/>
        <v/>
      </c>
      <c r="Y32" s="572"/>
    </row>
    <row r="33" spans="2:25" ht="15.05" customHeight="1" x14ac:dyDescent="0.35">
      <c r="B33" s="567" t="s">
        <v>2089</v>
      </c>
      <c r="C33" s="569" t="s">
        <v>2059</v>
      </c>
      <c r="D33" s="645">
        <v>45627</v>
      </c>
      <c r="E33" s="568"/>
      <c r="F33" s="568"/>
      <c r="G33" s="569"/>
      <c r="H33" s="572"/>
      <c r="I33" s="572"/>
      <c r="J33" s="580">
        <v>45677</v>
      </c>
      <c r="K33" s="569">
        <v>1082.22</v>
      </c>
      <c r="L33" s="569">
        <v>0</v>
      </c>
      <c r="M33" s="569">
        <v>216.44</v>
      </c>
      <c r="N33" s="569">
        <v>43.39</v>
      </c>
      <c r="O33" s="569"/>
      <c r="P33" s="573" t="str">
        <f>IF(O33="","",IFERROR(O33/$O$178,""))</f>
        <v/>
      </c>
      <c r="Q33" s="577"/>
      <c r="R33" s="574"/>
      <c r="S33" s="574"/>
      <c r="T33" s="575" t="str">
        <f t="shared" si="6"/>
        <v/>
      </c>
      <c r="U33" s="574"/>
      <c r="V33" s="576"/>
      <c r="W33" s="573" t="str">
        <f t="shared" si="7"/>
        <v/>
      </c>
      <c r="X33" s="573" t="str">
        <f t="shared" si="8"/>
        <v/>
      </c>
      <c r="Y33" s="572"/>
    </row>
    <row r="34" spans="2:25" ht="15.05" customHeight="1" x14ac:dyDescent="0.35">
      <c r="B34" s="567" t="s">
        <v>2089</v>
      </c>
      <c r="C34" s="569" t="s">
        <v>2059</v>
      </c>
      <c r="D34" s="645">
        <v>45658</v>
      </c>
      <c r="E34" s="568"/>
      <c r="F34" s="568"/>
      <c r="G34" s="569"/>
      <c r="H34" s="572"/>
      <c r="I34" s="572"/>
      <c r="J34" s="580">
        <v>45708</v>
      </c>
      <c r="K34" s="569">
        <v>1061.73</v>
      </c>
      <c r="L34" s="569">
        <v>0</v>
      </c>
      <c r="M34" s="569">
        <v>212.34</v>
      </c>
      <c r="N34" s="569">
        <v>32.06</v>
      </c>
      <c r="O34" s="569"/>
      <c r="P34" s="573" t="str">
        <f>IF(O34="","",IFERROR(O34/$O$178,""))</f>
        <v/>
      </c>
      <c r="Q34" s="577"/>
      <c r="R34" s="574"/>
      <c r="S34" s="574"/>
      <c r="T34" s="575" t="str">
        <f t="shared" si="6"/>
        <v/>
      </c>
      <c r="U34" s="574"/>
      <c r="V34" s="576"/>
      <c r="W34" s="573" t="str">
        <f t="shared" si="7"/>
        <v/>
      </c>
      <c r="X34" s="573" t="str">
        <f t="shared" si="8"/>
        <v/>
      </c>
      <c r="Y34" s="572"/>
    </row>
    <row r="35" spans="2:25" ht="15.05" customHeight="1" x14ac:dyDescent="0.35">
      <c r="B35" s="567" t="s">
        <v>2089</v>
      </c>
      <c r="C35" s="569" t="s">
        <v>2059</v>
      </c>
      <c r="D35" s="645">
        <v>45689</v>
      </c>
      <c r="E35" s="568"/>
      <c r="F35" s="568"/>
      <c r="G35" s="569"/>
      <c r="H35" s="572"/>
      <c r="I35" s="572"/>
      <c r="J35" s="580">
        <v>45736</v>
      </c>
      <c r="K35" s="569">
        <v>756.64</v>
      </c>
      <c r="L35" s="569">
        <v>0</v>
      </c>
      <c r="M35" s="569">
        <v>122.34</v>
      </c>
      <c r="N35" s="569">
        <v>15.58</v>
      </c>
      <c r="O35" s="569"/>
      <c r="P35" s="573" t="str">
        <f>IF(O35="","",IFERROR(O35/$O$178,""))</f>
        <v/>
      </c>
      <c r="Q35" s="577"/>
      <c r="R35" s="574"/>
      <c r="S35" s="574"/>
      <c r="T35" s="575" t="str">
        <f t="shared" si="6"/>
        <v/>
      </c>
      <c r="U35" s="574"/>
      <c r="V35" s="576"/>
      <c r="W35" s="573" t="str">
        <f t="shared" si="7"/>
        <v/>
      </c>
      <c r="X35" s="573" t="str">
        <f t="shared" si="8"/>
        <v/>
      </c>
      <c r="Y35" s="572"/>
    </row>
    <row r="36" spans="2:25" ht="15.05" customHeight="1" x14ac:dyDescent="0.35">
      <c r="B36" s="567" t="s">
        <v>2089</v>
      </c>
      <c r="C36" s="569" t="s">
        <v>2059</v>
      </c>
      <c r="D36" s="645">
        <v>45717</v>
      </c>
      <c r="E36" s="568"/>
      <c r="F36" s="568"/>
      <c r="G36" s="569"/>
      <c r="H36" s="572"/>
      <c r="I36" s="572"/>
      <c r="J36" s="580">
        <v>45764</v>
      </c>
      <c r="K36" s="569">
        <v>607.14</v>
      </c>
      <c r="L36" s="569">
        <v>0</v>
      </c>
      <c r="M36" s="569">
        <v>34.06</v>
      </c>
      <c r="N36" s="569">
        <v>6.07</v>
      </c>
      <c r="O36" s="569"/>
      <c r="P36" s="573" t="str">
        <f>IF(O36="","",IFERROR(O36/$O$178,""))</f>
        <v/>
      </c>
      <c r="Q36" s="577"/>
      <c r="R36" s="574"/>
      <c r="S36" s="574"/>
      <c r="T36" s="575" t="str">
        <f t="shared" ref="T36:T40" si="9">IF(R36="","",IFERROR(R36-S36,""))</f>
        <v/>
      </c>
      <c r="U36" s="574"/>
      <c r="V36" s="576"/>
      <c r="W36" s="573" t="str">
        <f t="shared" ref="W36:W40" si="10">IFERROR(S36/R36,"")</f>
        <v/>
      </c>
      <c r="X36" s="573" t="str">
        <f t="shared" ref="X36:X40" si="11">IFERROR(100%-W36,"")</f>
        <v/>
      </c>
      <c r="Y36" s="572"/>
    </row>
    <row r="37" spans="2:25" ht="15.05" customHeight="1" x14ac:dyDescent="0.35">
      <c r="B37" s="567" t="s">
        <v>2089</v>
      </c>
      <c r="C37" s="569" t="s">
        <v>2059</v>
      </c>
      <c r="D37" s="645" t="s">
        <v>2070</v>
      </c>
      <c r="E37" s="568"/>
      <c r="F37" s="568"/>
      <c r="G37" s="569"/>
      <c r="H37" s="572"/>
      <c r="I37" s="572"/>
      <c r="J37" s="580">
        <v>45646</v>
      </c>
      <c r="K37" s="569">
        <v>858.66</v>
      </c>
      <c r="L37" s="569">
        <v>0</v>
      </c>
      <c r="M37" s="569">
        <v>171.73</v>
      </c>
      <c r="N37" s="569">
        <v>43.1</v>
      </c>
      <c r="O37" s="569"/>
      <c r="P37" s="573" t="str">
        <f>IF(O37="","",IFERROR(O37/$O$178,""))</f>
        <v/>
      </c>
      <c r="Q37" s="577"/>
      <c r="R37" s="574"/>
      <c r="S37" s="574"/>
      <c r="T37" s="575" t="str">
        <f t="shared" si="9"/>
        <v/>
      </c>
      <c r="U37" s="574"/>
      <c r="V37" s="576"/>
      <c r="W37" s="573" t="str">
        <f t="shared" si="10"/>
        <v/>
      </c>
      <c r="X37" s="573" t="str">
        <f t="shared" si="11"/>
        <v/>
      </c>
      <c r="Y37" s="572"/>
    </row>
    <row r="38" spans="2:25" ht="15.05" customHeight="1" x14ac:dyDescent="0.35">
      <c r="B38" s="567" t="s">
        <v>2090</v>
      </c>
      <c r="C38" s="569" t="s">
        <v>2059</v>
      </c>
      <c r="D38" s="645">
        <v>45444</v>
      </c>
      <c r="E38" s="568"/>
      <c r="F38" s="568"/>
      <c r="G38" s="569"/>
      <c r="H38" s="572"/>
      <c r="I38" s="572"/>
      <c r="J38" s="580">
        <v>45492</v>
      </c>
      <c r="K38" s="569">
        <v>2632.21</v>
      </c>
      <c r="L38" s="569">
        <v>0</v>
      </c>
      <c r="M38" s="569">
        <v>526.44000000000005</v>
      </c>
      <c r="N38" s="569">
        <v>246.9</v>
      </c>
      <c r="O38" s="569"/>
      <c r="P38" s="573" t="str">
        <f>IF(O38="","",IFERROR(O38/$O$178,""))</f>
        <v/>
      </c>
      <c r="Q38" s="577"/>
      <c r="R38" s="574"/>
      <c r="S38" s="574"/>
      <c r="T38" s="575" t="str">
        <f t="shared" si="9"/>
        <v/>
      </c>
      <c r="U38" s="574"/>
      <c r="V38" s="576"/>
      <c r="W38" s="573" t="str">
        <f t="shared" si="10"/>
        <v/>
      </c>
      <c r="X38" s="573" t="str">
        <f t="shared" si="11"/>
        <v/>
      </c>
      <c r="Y38" s="572"/>
    </row>
    <row r="39" spans="2:25" ht="15.05" customHeight="1" x14ac:dyDescent="0.35">
      <c r="B39" s="567" t="s">
        <v>2090</v>
      </c>
      <c r="C39" s="569" t="s">
        <v>2059</v>
      </c>
      <c r="D39" s="645">
        <v>45474</v>
      </c>
      <c r="E39" s="568"/>
      <c r="F39" s="568"/>
      <c r="G39" s="569"/>
      <c r="H39" s="572"/>
      <c r="I39" s="572"/>
      <c r="J39" s="580">
        <v>45524</v>
      </c>
      <c r="K39" s="569">
        <v>2087.34</v>
      </c>
      <c r="L39" s="569">
        <v>0</v>
      </c>
      <c r="M39" s="569">
        <v>417.46</v>
      </c>
      <c r="N39" s="569">
        <v>177.63</v>
      </c>
      <c r="O39" s="569"/>
      <c r="P39" s="573" t="str">
        <f>IF(O39="","",IFERROR(O39/$O$178,""))</f>
        <v/>
      </c>
      <c r="Q39" s="577"/>
      <c r="R39" s="574"/>
      <c r="S39" s="574"/>
      <c r="T39" s="575" t="str">
        <f t="shared" si="9"/>
        <v/>
      </c>
      <c r="U39" s="574"/>
      <c r="V39" s="576"/>
      <c r="W39" s="573" t="str">
        <f t="shared" si="10"/>
        <v/>
      </c>
      <c r="X39" s="573" t="str">
        <f t="shared" si="11"/>
        <v/>
      </c>
      <c r="Y39" s="572"/>
    </row>
    <row r="40" spans="2:25" ht="15.05" customHeight="1" x14ac:dyDescent="0.35">
      <c r="B40" s="567" t="s">
        <v>2090</v>
      </c>
      <c r="C40" s="569" t="s">
        <v>2059</v>
      </c>
      <c r="D40" s="645">
        <v>45505</v>
      </c>
      <c r="E40" s="568"/>
      <c r="F40" s="568"/>
      <c r="G40" s="569"/>
      <c r="H40" s="572"/>
      <c r="I40" s="572"/>
      <c r="J40" s="580">
        <v>45555</v>
      </c>
      <c r="K40" s="569">
        <v>3029.15</v>
      </c>
      <c r="L40" s="569">
        <v>0</v>
      </c>
      <c r="M40" s="569">
        <v>605.83000000000004</v>
      </c>
      <c r="N40" s="569">
        <v>232.33</v>
      </c>
      <c r="O40" s="569"/>
      <c r="P40" s="573" t="str">
        <f>IF(O40="","",IFERROR(O40/$O$178,""))</f>
        <v/>
      </c>
      <c r="Q40" s="577"/>
      <c r="R40" s="574"/>
      <c r="S40" s="574"/>
      <c r="T40" s="575" t="str">
        <f t="shared" si="9"/>
        <v/>
      </c>
      <c r="U40" s="574"/>
      <c r="V40" s="576"/>
      <c r="W40" s="573" t="str">
        <f t="shared" si="10"/>
        <v/>
      </c>
      <c r="X40" s="573" t="str">
        <f t="shared" si="11"/>
        <v/>
      </c>
      <c r="Y40" s="572"/>
    </row>
    <row r="41" spans="2:25" ht="15.05" customHeight="1" x14ac:dyDescent="0.35">
      <c r="B41" s="567" t="s">
        <v>2090</v>
      </c>
      <c r="C41" s="569" t="s">
        <v>2059</v>
      </c>
      <c r="D41" s="645">
        <v>45536</v>
      </c>
      <c r="E41" s="568"/>
      <c r="F41" s="568"/>
      <c r="G41" s="569"/>
      <c r="H41" s="572"/>
      <c r="I41" s="572"/>
      <c r="J41" s="580">
        <v>45583</v>
      </c>
      <c r="K41" s="569">
        <v>3032.96</v>
      </c>
      <c r="L41" s="569">
        <v>0</v>
      </c>
      <c r="M41" s="569">
        <v>606.59</v>
      </c>
      <c r="N41" s="569">
        <v>204.42</v>
      </c>
      <c r="O41" s="569"/>
      <c r="P41" s="573" t="str">
        <f>IF(O41="","",IFERROR(O41/$O$178,""))</f>
        <v/>
      </c>
      <c r="Q41" s="577"/>
      <c r="R41" s="574"/>
      <c r="S41" s="574"/>
      <c r="T41" s="575" t="str">
        <f t="shared" ref="T41:T45" si="12">IF(R41="","",IFERROR(R41-S41,""))</f>
        <v/>
      </c>
      <c r="U41" s="574"/>
      <c r="V41" s="576"/>
      <c r="W41" s="573" t="str">
        <f t="shared" ref="W41:W45" si="13">IFERROR(S41/R41,"")</f>
        <v/>
      </c>
      <c r="X41" s="573" t="str">
        <f t="shared" ref="X41:X45" si="14">IFERROR(100%-W41,"")</f>
        <v/>
      </c>
      <c r="Y41" s="572"/>
    </row>
    <row r="42" spans="2:25" ht="15.05" customHeight="1" x14ac:dyDescent="0.35">
      <c r="B42" s="567" t="s">
        <v>2090</v>
      </c>
      <c r="C42" s="569" t="s">
        <v>2059</v>
      </c>
      <c r="D42" s="645">
        <v>45566</v>
      </c>
      <c r="E42" s="568"/>
      <c r="F42" s="568"/>
      <c r="G42" s="569"/>
      <c r="H42" s="572"/>
      <c r="I42" s="572"/>
      <c r="J42" s="580">
        <v>45615</v>
      </c>
      <c r="K42" s="569">
        <v>3522.64</v>
      </c>
      <c r="L42" s="569">
        <v>0</v>
      </c>
      <c r="M42" s="569">
        <v>704.52</v>
      </c>
      <c r="N42" s="569">
        <v>209.59</v>
      </c>
      <c r="O42" s="569"/>
      <c r="P42" s="573" t="str">
        <f>IF(O42="","",IFERROR(O42/$O$178,""))</f>
        <v/>
      </c>
      <c r="Q42" s="577"/>
      <c r="R42" s="574"/>
      <c r="S42" s="574"/>
      <c r="T42" s="575" t="str">
        <f t="shared" si="12"/>
        <v/>
      </c>
      <c r="U42" s="574"/>
      <c r="V42" s="576"/>
      <c r="W42" s="573" t="str">
        <f t="shared" si="13"/>
        <v/>
      </c>
      <c r="X42" s="573" t="str">
        <f t="shared" si="14"/>
        <v/>
      </c>
      <c r="Y42" s="572"/>
    </row>
    <row r="43" spans="2:25" ht="15.05" customHeight="1" x14ac:dyDescent="0.35">
      <c r="B43" s="567" t="s">
        <v>2090</v>
      </c>
      <c r="C43" s="569" t="s">
        <v>2059</v>
      </c>
      <c r="D43" s="645">
        <v>45597</v>
      </c>
      <c r="E43" s="568"/>
      <c r="F43" s="568"/>
      <c r="G43" s="569"/>
      <c r="H43" s="572"/>
      <c r="I43" s="572"/>
      <c r="J43" s="580">
        <v>45646</v>
      </c>
      <c r="K43" s="569">
        <v>2228.7600000000002</v>
      </c>
      <c r="L43" s="569">
        <v>0</v>
      </c>
      <c r="M43" s="569">
        <v>445.75</v>
      </c>
      <c r="N43" s="569">
        <v>111.88</v>
      </c>
      <c r="O43" s="569"/>
      <c r="P43" s="573" t="str">
        <f>IF(O43="","",IFERROR(O43/$O$178,""))</f>
        <v/>
      </c>
      <c r="Q43" s="577"/>
      <c r="R43" s="574"/>
      <c r="S43" s="574"/>
      <c r="T43" s="575" t="str">
        <f t="shared" si="12"/>
        <v/>
      </c>
      <c r="U43" s="574"/>
      <c r="V43" s="576"/>
      <c r="W43" s="573" t="str">
        <f t="shared" si="13"/>
        <v/>
      </c>
      <c r="X43" s="573" t="str">
        <f t="shared" si="14"/>
        <v/>
      </c>
      <c r="Y43" s="572"/>
    </row>
    <row r="44" spans="2:25" ht="15.05" customHeight="1" x14ac:dyDescent="0.35">
      <c r="B44" s="567" t="s">
        <v>2090</v>
      </c>
      <c r="C44" s="569" t="s">
        <v>2059</v>
      </c>
      <c r="D44" s="645">
        <v>45627</v>
      </c>
      <c r="E44" s="568"/>
      <c r="F44" s="568"/>
      <c r="G44" s="569"/>
      <c r="H44" s="572"/>
      <c r="I44" s="572"/>
      <c r="J44" s="580">
        <v>45677</v>
      </c>
      <c r="K44" s="569">
        <v>2421.8000000000002</v>
      </c>
      <c r="L44" s="569">
        <v>0</v>
      </c>
      <c r="M44" s="569">
        <v>484.36</v>
      </c>
      <c r="N44" s="569">
        <v>97.11</v>
      </c>
      <c r="O44" s="569"/>
      <c r="P44" s="573" t="str">
        <f>IF(O44="","",IFERROR(O44/$O$178,""))</f>
        <v/>
      </c>
      <c r="Q44" s="577"/>
      <c r="R44" s="574"/>
      <c r="S44" s="574"/>
      <c r="T44" s="575" t="str">
        <f t="shared" si="12"/>
        <v/>
      </c>
      <c r="U44" s="574"/>
      <c r="V44" s="576"/>
      <c r="W44" s="573" t="str">
        <f t="shared" si="13"/>
        <v/>
      </c>
      <c r="X44" s="573" t="str">
        <f t="shared" si="14"/>
        <v/>
      </c>
      <c r="Y44" s="572"/>
    </row>
    <row r="45" spans="2:25" ht="15.05" customHeight="1" x14ac:dyDescent="0.35">
      <c r="B45" s="567" t="s">
        <v>2090</v>
      </c>
      <c r="C45" s="569" t="s">
        <v>2059</v>
      </c>
      <c r="D45" s="645">
        <v>45658</v>
      </c>
      <c r="E45" s="568"/>
      <c r="F45" s="568"/>
      <c r="G45" s="569"/>
      <c r="H45" s="572"/>
      <c r="I45" s="572"/>
      <c r="J45" s="580">
        <v>45708</v>
      </c>
      <c r="K45" s="569">
        <v>2439.62</v>
      </c>
      <c r="L45" s="569">
        <v>0</v>
      </c>
      <c r="M45" s="569">
        <v>487.92</v>
      </c>
      <c r="N45" s="569">
        <v>73.67</v>
      </c>
      <c r="O45" s="569"/>
      <c r="P45" s="573" t="str">
        <f>IF(O45="","",IFERROR(O45/$O$178,""))</f>
        <v/>
      </c>
      <c r="Q45" s="577"/>
      <c r="R45" s="574"/>
      <c r="S45" s="574"/>
      <c r="T45" s="575" t="str">
        <f t="shared" si="12"/>
        <v/>
      </c>
      <c r="U45" s="574"/>
      <c r="V45" s="576"/>
      <c r="W45" s="573" t="str">
        <f t="shared" si="13"/>
        <v/>
      </c>
      <c r="X45" s="573" t="str">
        <f t="shared" si="14"/>
        <v/>
      </c>
      <c r="Y45" s="572"/>
    </row>
    <row r="46" spans="2:25" ht="15.05" customHeight="1" x14ac:dyDescent="0.35">
      <c r="B46" s="567" t="s">
        <v>2090</v>
      </c>
      <c r="C46" s="569" t="s">
        <v>2059</v>
      </c>
      <c r="D46" s="645">
        <v>45689</v>
      </c>
      <c r="E46" s="568"/>
      <c r="F46" s="568"/>
      <c r="G46" s="569"/>
      <c r="H46" s="572"/>
      <c r="I46" s="572"/>
      <c r="J46" s="580">
        <v>45736</v>
      </c>
      <c r="K46" s="569">
        <v>1840.93</v>
      </c>
      <c r="L46" s="569">
        <v>0</v>
      </c>
      <c r="M46" s="569">
        <v>297.67</v>
      </c>
      <c r="N46" s="569">
        <v>37.92</v>
      </c>
      <c r="O46" s="569"/>
      <c r="P46" s="573" t="str">
        <f>IF(O46="","",IFERROR(O46/$O$178,""))</f>
        <v/>
      </c>
      <c r="Q46" s="577"/>
      <c r="R46" s="574"/>
      <c r="S46" s="574"/>
      <c r="T46" s="575" t="str">
        <f t="shared" ref="T46:T50" si="15">IF(R46="","",IFERROR(R46-S46,""))</f>
        <v/>
      </c>
      <c r="U46" s="574"/>
      <c r="V46" s="576"/>
      <c r="W46" s="573" t="str">
        <f t="shared" ref="W46:W50" si="16">IFERROR(S46/R46,"")</f>
        <v/>
      </c>
      <c r="X46" s="573" t="str">
        <f t="shared" ref="X46:X50" si="17">IFERROR(100%-W46,"")</f>
        <v/>
      </c>
      <c r="Y46" s="572"/>
    </row>
    <row r="47" spans="2:25" ht="15.05" customHeight="1" x14ac:dyDescent="0.35">
      <c r="B47" s="567" t="s">
        <v>2090</v>
      </c>
      <c r="C47" s="569" t="s">
        <v>2059</v>
      </c>
      <c r="D47" s="645">
        <v>45717</v>
      </c>
      <c r="E47" s="568"/>
      <c r="F47" s="568"/>
      <c r="G47" s="569"/>
      <c r="H47" s="572"/>
      <c r="I47" s="572"/>
      <c r="J47" s="580">
        <v>45764</v>
      </c>
      <c r="K47" s="569">
        <v>1442.88</v>
      </c>
      <c r="L47" s="569">
        <v>0</v>
      </c>
      <c r="M47" s="569">
        <v>80.94</v>
      </c>
      <c r="N47" s="569">
        <v>14.42</v>
      </c>
      <c r="O47" s="569"/>
      <c r="P47" s="573" t="str">
        <f>IF(O47="","",IFERROR(O47/$O$178,""))</f>
        <v/>
      </c>
      <c r="Q47" s="577"/>
      <c r="R47" s="574"/>
      <c r="S47" s="574"/>
      <c r="T47" s="575" t="str">
        <f t="shared" si="15"/>
        <v/>
      </c>
      <c r="U47" s="574"/>
      <c r="V47" s="576"/>
      <c r="W47" s="573" t="str">
        <f t="shared" si="16"/>
        <v/>
      </c>
      <c r="X47" s="573" t="str">
        <f t="shared" si="17"/>
        <v/>
      </c>
      <c r="Y47" s="572"/>
    </row>
    <row r="48" spans="2:25" ht="15.05" customHeight="1" x14ac:dyDescent="0.35">
      <c r="B48" s="567" t="s">
        <v>2090</v>
      </c>
      <c r="C48" s="569" t="s">
        <v>2059</v>
      </c>
      <c r="D48" s="645" t="s">
        <v>2070</v>
      </c>
      <c r="E48" s="568"/>
      <c r="F48" s="568"/>
      <c r="G48" s="569"/>
      <c r="H48" s="572"/>
      <c r="I48" s="572"/>
      <c r="J48" s="580">
        <v>45646</v>
      </c>
      <c r="K48" s="569">
        <v>1925.7</v>
      </c>
      <c r="L48" s="569">
        <v>0</v>
      </c>
      <c r="M48" s="569">
        <v>385.14</v>
      </c>
      <c r="N48" s="569">
        <v>96.67</v>
      </c>
      <c r="O48" s="569"/>
      <c r="P48" s="573" t="str">
        <f>IF(O48="","",IFERROR(O48/$O$178,""))</f>
        <v/>
      </c>
      <c r="Q48" s="577"/>
      <c r="R48" s="574"/>
      <c r="S48" s="574"/>
      <c r="T48" s="575" t="str">
        <f t="shared" si="15"/>
        <v/>
      </c>
      <c r="U48" s="574"/>
      <c r="V48" s="576"/>
      <c r="W48" s="573" t="str">
        <f t="shared" si="16"/>
        <v/>
      </c>
      <c r="X48" s="573" t="str">
        <f t="shared" si="17"/>
        <v/>
      </c>
      <c r="Y48" s="572"/>
    </row>
    <row r="49" spans="1:25" ht="15.05" customHeight="1" x14ac:dyDescent="0.35">
      <c r="B49" s="567" t="s">
        <v>2090</v>
      </c>
      <c r="C49" s="569" t="s">
        <v>2059</v>
      </c>
      <c r="D49" s="645">
        <v>45444</v>
      </c>
      <c r="E49" s="568"/>
      <c r="F49" s="568"/>
      <c r="G49" s="569"/>
      <c r="H49" s="572"/>
      <c r="I49" s="572"/>
      <c r="J49" s="580">
        <v>45492</v>
      </c>
      <c r="K49" s="569">
        <v>131.61000000000001</v>
      </c>
      <c r="L49" s="569">
        <v>0</v>
      </c>
      <c r="M49" s="569">
        <v>26.32</v>
      </c>
      <c r="N49" s="569">
        <v>12.34</v>
      </c>
      <c r="O49" s="569"/>
      <c r="P49" s="573" t="str">
        <f>IF(O49="","",IFERROR(O49/$O$178,""))</f>
        <v/>
      </c>
      <c r="Q49" s="577"/>
      <c r="R49" s="574"/>
      <c r="S49" s="574"/>
      <c r="T49" s="575" t="str">
        <f t="shared" si="15"/>
        <v/>
      </c>
      <c r="U49" s="574"/>
      <c r="V49" s="576"/>
      <c r="W49" s="573" t="str">
        <f t="shared" si="16"/>
        <v/>
      </c>
      <c r="X49" s="573" t="str">
        <f t="shared" si="17"/>
        <v/>
      </c>
      <c r="Y49" s="572"/>
    </row>
    <row r="50" spans="1:25" s="553" customFormat="1" ht="15.05" customHeight="1" x14ac:dyDescent="0.35">
      <c r="A50" s="15"/>
      <c r="B50" s="567" t="s">
        <v>2090</v>
      </c>
      <c r="C50" s="584" t="s">
        <v>2059</v>
      </c>
      <c r="D50" s="646">
        <v>45474</v>
      </c>
      <c r="E50" s="585"/>
      <c r="F50" s="585"/>
      <c r="G50" s="584"/>
      <c r="H50" s="578"/>
      <c r="I50" s="578"/>
      <c r="J50" s="586">
        <v>45524</v>
      </c>
      <c r="K50" s="584">
        <v>104.36</v>
      </c>
      <c r="L50" s="584">
        <v>0</v>
      </c>
      <c r="M50" s="584">
        <v>20.87</v>
      </c>
      <c r="N50" s="584">
        <v>8.8800000000000008</v>
      </c>
      <c r="O50" s="584"/>
      <c r="P50" s="587" t="str">
        <f>IF(O50="","",IFERROR(O50/$O$178,""))</f>
        <v/>
      </c>
      <c r="Q50" s="588"/>
      <c r="R50" s="589"/>
      <c r="S50" s="589"/>
      <c r="T50" s="590" t="str">
        <f t="shared" si="15"/>
        <v/>
      </c>
      <c r="U50" s="589"/>
      <c r="V50" s="591"/>
      <c r="W50" s="587" t="str">
        <f t="shared" si="16"/>
        <v/>
      </c>
      <c r="X50" s="587" t="str">
        <f t="shared" si="17"/>
        <v/>
      </c>
      <c r="Y50" s="578"/>
    </row>
    <row r="51" spans="1:25" ht="15.05" customHeight="1" x14ac:dyDescent="0.35">
      <c r="B51" s="567" t="s">
        <v>2090</v>
      </c>
      <c r="C51" s="569" t="s">
        <v>2059</v>
      </c>
      <c r="D51" s="645">
        <v>45505</v>
      </c>
      <c r="E51" s="568"/>
      <c r="F51" s="568"/>
      <c r="G51" s="569"/>
      <c r="H51" s="572"/>
      <c r="I51" s="572"/>
      <c r="J51" s="580">
        <v>45555</v>
      </c>
      <c r="K51" s="569">
        <v>151.44999999999999</v>
      </c>
      <c r="L51" s="569">
        <v>0</v>
      </c>
      <c r="M51" s="569">
        <v>30.29</v>
      </c>
      <c r="N51" s="569">
        <v>11.61</v>
      </c>
      <c r="O51" s="569"/>
      <c r="P51" s="573" t="str">
        <f>IF(O51="","",IFERROR(O51/$O$178,""))</f>
        <v/>
      </c>
      <c r="Q51" s="577"/>
      <c r="R51" s="574"/>
      <c r="S51" s="574"/>
      <c r="T51" s="575" t="str">
        <f t="shared" ref="T51:T55" si="18">IF(R51="","",IFERROR(R51-S51,""))</f>
        <v/>
      </c>
      <c r="U51" s="574"/>
      <c r="V51" s="576"/>
      <c r="W51" s="573" t="str">
        <f t="shared" ref="W51:W55" si="19">IFERROR(S51/R51,"")</f>
        <v/>
      </c>
      <c r="X51" s="573" t="str">
        <f t="shared" ref="X51:X55" si="20">IFERROR(100%-W51,"")</f>
        <v/>
      </c>
      <c r="Y51" s="572"/>
    </row>
    <row r="52" spans="1:25" ht="15.05" customHeight="1" x14ac:dyDescent="0.35">
      <c r="B52" s="567" t="s">
        <v>2090</v>
      </c>
      <c r="C52" s="569" t="s">
        <v>2059</v>
      </c>
      <c r="D52" s="645">
        <v>45536</v>
      </c>
      <c r="E52" s="579"/>
      <c r="F52" s="579"/>
      <c r="G52" s="569"/>
      <c r="H52" s="572"/>
      <c r="I52" s="572"/>
      <c r="J52" s="580">
        <v>45583</v>
      </c>
      <c r="K52" s="569">
        <v>151.63999999999999</v>
      </c>
      <c r="L52" s="569">
        <v>0</v>
      </c>
      <c r="M52" s="569">
        <v>30.32</v>
      </c>
      <c r="N52" s="569">
        <v>10.220000000000001</v>
      </c>
      <c r="O52" s="569"/>
      <c r="P52" s="573" t="str">
        <f>IF(O52="","",IFERROR(O52/$O$178,""))</f>
        <v/>
      </c>
      <c r="Q52" s="577"/>
      <c r="R52" s="574"/>
      <c r="S52" s="574"/>
      <c r="T52" s="575" t="str">
        <f t="shared" si="18"/>
        <v/>
      </c>
      <c r="U52" s="574"/>
      <c r="V52" s="576"/>
      <c r="W52" s="573" t="str">
        <f t="shared" si="19"/>
        <v/>
      </c>
      <c r="X52" s="573" t="str">
        <f t="shared" si="20"/>
        <v/>
      </c>
      <c r="Y52" s="572"/>
    </row>
    <row r="53" spans="1:25" ht="15.05" customHeight="1" x14ac:dyDescent="0.35">
      <c r="B53" s="567" t="s">
        <v>2090</v>
      </c>
      <c r="C53" s="569" t="s">
        <v>2059</v>
      </c>
      <c r="D53" s="645">
        <v>45566</v>
      </c>
      <c r="E53" s="568"/>
      <c r="F53" s="568"/>
      <c r="G53" s="569"/>
      <c r="H53" s="572"/>
      <c r="I53" s="572"/>
      <c r="J53" s="580">
        <v>45615</v>
      </c>
      <c r="K53" s="569">
        <v>176.13</v>
      </c>
      <c r="L53" s="569">
        <v>0</v>
      </c>
      <c r="M53" s="569">
        <v>35.22</v>
      </c>
      <c r="N53" s="569">
        <v>10.47</v>
      </c>
      <c r="O53" s="569"/>
      <c r="P53" s="573" t="str">
        <f>IF(O53="","",IFERROR(O53/$O$178,""))</f>
        <v/>
      </c>
      <c r="Q53" s="577"/>
      <c r="R53" s="574"/>
      <c r="S53" s="574"/>
      <c r="T53" s="575" t="str">
        <f t="shared" si="18"/>
        <v/>
      </c>
      <c r="U53" s="574"/>
      <c r="V53" s="576"/>
      <c r="W53" s="573" t="str">
        <f t="shared" si="19"/>
        <v/>
      </c>
      <c r="X53" s="573" t="str">
        <f t="shared" si="20"/>
        <v/>
      </c>
      <c r="Y53" s="572"/>
    </row>
    <row r="54" spans="1:25" ht="15.05" customHeight="1" x14ac:dyDescent="0.35">
      <c r="B54" s="567" t="s">
        <v>2090</v>
      </c>
      <c r="C54" s="569" t="s">
        <v>2059</v>
      </c>
      <c r="D54" s="645">
        <v>45597</v>
      </c>
      <c r="E54" s="568"/>
      <c r="F54" s="568"/>
      <c r="G54" s="569"/>
      <c r="H54" s="572"/>
      <c r="I54" s="572"/>
      <c r="J54" s="580">
        <v>45646</v>
      </c>
      <c r="K54" s="569">
        <v>111.43</v>
      </c>
      <c r="L54" s="569">
        <v>0</v>
      </c>
      <c r="M54" s="569">
        <v>22.28</v>
      </c>
      <c r="N54" s="569">
        <v>5.59</v>
      </c>
      <c r="O54" s="569"/>
      <c r="P54" s="573" t="str">
        <f>IF(O54="","",IFERROR(O54/$O$178,""))</f>
        <v/>
      </c>
      <c r="Q54" s="577"/>
      <c r="R54" s="574"/>
      <c r="S54" s="574"/>
      <c r="T54" s="575" t="str">
        <f t="shared" si="18"/>
        <v/>
      </c>
      <c r="U54" s="574"/>
      <c r="V54" s="576"/>
      <c r="W54" s="573" t="str">
        <f t="shared" si="19"/>
        <v/>
      </c>
      <c r="X54" s="573" t="str">
        <f t="shared" si="20"/>
        <v/>
      </c>
      <c r="Y54" s="572"/>
    </row>
    <row r="55" spans="1:25" ht="15.05" customHeight="1" x14ac:dyDescent="0.35">
      <c r="B55" s="567" t="s">
        <v>2090</v>
      </c>
      <c r="C55" s="569" t="s">
        <v>2059</v>
      </c>
      <c r="D55" s="645">
        <v>45627</v>
      </c>
      <c r="E55" s="568"/>
      <c r="F55" s="568"/>
      <c r="G55" s="569"/>
      <c r="H55" s="572"/>
      <c r="I55" s="572"/>
      <c r="J55" s="580">
        <v>45677</v>
      </c>
      <c r="K55" s="569">
        <v>121.09</v>
      </c>
      <c r="L55" s="569">
        <v>0</v>
      </c>
      <c r="M55" s="569">
        <v>24.21</v>
      </c>
      <c r="N55" s="569">
        <v>4.8499999999999996</v>
      </c>
      <c r="O55" s="569"/>
      <c r="P55" s="573" t="str">
        <f>IF(O55="","",IFERROR(O55/$O$178,""))</f>
        <v/>
      </c>
      <c r="Q55" s="577"/>
      <c r="R55" s="574"/>
      <c r="S55" s="574"/>
      <c r="T55" s="575" t="str">
        <f t="shared" si="18"/>
        <v/>
      </c>
      <c r="U55" s="574"/>
      <c r="V55" s="576"/>
      <c r="W55" s="573" t="str">
        <f t="shared" si="19"/>
        <v/>
      </c>
      <c r="X55" s="573" t="str">
        <f t="shared" si="20"/>
        <v/>
      </c>
      <c r="Y55" s="572"/>
    </row>
    <row r="56" spans="1:25" ht="15.05" customHeight="1" x14ac:dyDescent="0.35">
      <c r="B56" s="567" t="s">
        <v>2090</v>
      </c>
      <c r="C56" s="569" t="s">
        <v>2059</v>
      </c>
      <c r="D56" s="645">
        <v>45658</v>
      </c>
      <c r="E56" s="568"/>
      <c r="F56" s="568"/>
      <c r="G56" s="569"/>
      <c r="H56" s="572"/>
      <c r="I56" s="572"/>
      <c r="J56" s="580">
        <v>45708</v>
      </c>
      <c r="K56" s="569">
        <v>121.98</v>
      </c>
      <c r="L56" s="569">
        <v>0</v>
      </c>
      <c r="M56" s="569">
        <v>24.39</v>
      </c>
      <c r="N56" s="569">
        <v>3.68</v>
      </c>
      <c r="O56" s="569"/>
      <c r="P56" s="573" t="str">
        <f>IF(O56="","",IFERROR(O56/$O$178,""))</f>
        <v/>
      </c>
      <c r="Q56" s="577"/>
      <c r="R56" s="574"/>
      <c r="S56" s="574"/>
      <c r="T56" s="575" t="str">
        <f t="shared" ref="T56:T60" si="21">IF(R56="","",IFERROR(R56-S56,""))</f>
        <v/>
      </c>
      <c r="U56" s="574"/>
      <c r="V56" s="576"/>
      <c r="W56" s="573" t="str">
        <f t="shared" ref="W56:W60" si="22">IFERROR(S56/R56,"")</f>
        <v/>
      </c>
      <c r="X56" s="573" t="str">
        <f t="shared" ref="X56:X60" si="23">IFERROR(100%-W56,"")</f>
        <v/>
      </c>
      <c r="Y56" s="572"/>
    </row>
    <row r="57" spans="1:25" ht="15.05" customHeight="1" x14ac:dyDescent="0.35">
      <c r="B57" s="567" t="s">
        <v>2090</v>
      </c>
      <c r="C57" s="569" t="s">
        <v>2059</v>
      </c>
      <c r="D57" s="645">
        <v>45689</v>
      </c>
      <c r="E57" s="568"/>
      <c r="F57" s="568"/>
      <c r="G57" s="569"/>
      <c r="H57" s="572"/>
      <c r="I57" s="572"/>
      <c r="J57" s="580">
        <v>45736</v>
      </c>
      <c r="K57" s="569">
        <v>92.04</v>
      </c>
      <c r="L57" s="569">
        <v>0</v>
      </c>
      <c r="M57" s="569">
        <v>14.88</v>
      </c>
      <c r="N57" s="569">
        <v>1.89</v>
      </c>
      <c r="O57" s="569"/>
      <c r="P57" s="573" t="str">
        <f>IF(O57="","",IFERROR(O57/$O$178,""))</f>
        <v/>
      </c>
      <c r="Q57" s="577"/>
      <c r="R57" s="574"/>
      <c r="S57" s="574"/>
      <c r="T57" s="575" t="str">
        <f t="shared" si="21"/>
        <v/>
      </c>
      <c r="U57" s="574"/>
      <c r="V57" s="576"/>
      <c r="W57" s="573" t="str">
        <f t="shared" si="22"/>
        <v/>
      </c>
      <c r="X57" s="573" t="str">
        <f t="shared" si="23"/>
        <v/>
      </c>
      <c r="Y57" s="572"/>
    </row>
    <row r="58" spans="1:25" ht="15.05" customHeight="1" x14ac:dyDescent="0.35">
      <c r="B58" s="567" t="s">
        <v>2090</v>
      </c>
      <c r="C58" s="569" t="s">
        <v>2059</v>
      </c>
      <c r="D58" s="645">
        <v>45717</v>
      </c>
      <c r="E58" s="568"/>
      <c r="F58" s="568"/>
      <c r="G58" s="569"/>
      <c r="H58" s="572"/>
      <c r="I58" s="572"/>
      <c r="J58" s="580">
        <v>45764</v>
      </c>
      <c r="K58" s="569">
        <v>72.14</v>
      </c>
      <c r="L58" s="569">
        <v>0</v>
      </c>
      <c r="M58" s="569">
        <v>4.04</v>
      </c>
      <c r="N58" s="569">
        <v>0.72</v>
      </c>
      <c r="O58" s="569"/>
      <c r="P58" s="573" t="str">
        <f>IF(O58="","",IFERROR(O58/$O$178,""))</f>
        <v/>
      </c>
      <c r="Q58" s="577"/>
      <c r="R58" s="574"/>
      <c r="S58" s="574"/>
      <c r="T58" s="575" t="str">
        <f t="shared" si="21"/>
        <v/>
      </c>
      <c r="U58" s="574"/>
      <c r="V58" s="576"/>
      <c r="W58" s="573" t="str">
        <f t="shared" si="22"/>
        <v/>
      </c>
      <c r="X58" s="573" t="str">
        <f t="shared" si="23"/>
        <v/>
      </c>
      <c r="Y58" s="572"/>
    </row>
    <row r="59" spans="1:25" ht="15.05" customHeight="1" x14ac:dyDescent="0.35">
      <c r="B59" s="567" t="s">
        <v>2090</v>
      </c>
      <c r="C59" s="569" t="s">
        <v>2059</v>
      </c>
      <c r="D59" s="645" t="s">
        <v>2070</v>
      </c>
      <c r="E59" s="568"/>
      <c r="F59" s="568"/>
      <c r="G59" s="569"/>
      <c r="H59" s="572"/>
      <c r="I59" s="572"/>
      <c r="J59" s="580">
        <v>45646</v>
      </c>
      <c r="K59" s="569">
        <v>96.28</v>
      </c>
      <c r="L59" s="569">
        <v>0</v>
      </c>
      <c r="M59" s="569">
        <v>19.25</v>
      </c>
      <c r="N59" s="569">
        <v>4.83</v>
      </c>
      <c r="O59" s="569"/>
      <c r="P59" s="573" t="str">
        <f>IF(O59="","",IFERROR(O59/$O$178,""))</f>
        <v/>
      </c>
      <c r="Q59" s="577"/>
      <c r="R59" s="574"/>
      <c r="S59" s="574"/>
      <c r="T59" s="575" t="str">
        <f t="shared" si="21"/>
        <v/>
      </c>
      <c r="U59" s="574"/>
      <c r="V59" s="576"/>
      <c r="W59" s="573" t="str">
        <f t="shared" si="22"/>
        <v/>
      </c>
      <c r="X59" s="573" t="str">
        <f t="shared" si="23"/>
        <v/>
      </c>
      <c r="Y59" s="572"/>
    </row>
    <row r="60" spans="1:25" ht="15.05" customHeight="1" x14ac:dyDescent="0.35">
      <c r="B60" s="567" t="s">
        <v>2091</v>
      </c>
      <c r="C60" s="569" t="s">
        <v>2059</v>
      </c>
      <c r="D60" s="645">
        <v>45444</v>
      </c>
      <c r="E60" s="568"/>
      <c r="F60" s="568"/>
      <c r="G60" s="569"/>
      <c r="H60" s="572"/>
      <c r="I60" s="572"/>
      <c r="J60" s="580">
        <v>45492</v>
      </c>
      <c r="K60" s="569">
        <v>329.02</v>
      </c>
      <c r="L60" s="569">
        <v>0</v>
      </c>
      <c r="M60" s="569">
        <v>65.8</v>
      </c>
      <c r="N60" s="569">
        <v>30.86</v>
      </c>
      <c r="O60" s="569"/>
      <c r="P60" s="573" t="str">
        <f>IF(O60="","",IFERROR(O60/$O$178,""))</f>
        <v/>
      </c>
      <c r="Q60" s="577"/>
      <c r="R60" s="574"/>
      <c r="S60" s="574"/>
      <c r="T60" s="575" t="str">
        <f t="shared" si="21"/>
        <v/>
      </c>
      <c r="U60" s="574"/>
      <c r="V60" s="576"/>
      <c r="W60" s="573" t="str">
        <f t="shared" si="22"/>
        <v/>
      </c>
      <c r="X60" s="573" t="str">
        <f t="shared" si="23"/>
        <v/>
      </c>
      <c r="Y60" s="572"/>
    </row>
    <row r="61" spans="1:25" ht="15.05" customHeight="1" x14ac:dyDescent="0.35">
      <c r="B61" s="567" t="s">
        <v>2091</v>
      </c>
      <c r="C61" s="569" t="s">
        <v>2059</v>
      </c>
      <c r="D61" s="645">
        <v>45474</v>
      </c>
      <c r="E61" s="568"/>
      <c r="F61" s="568"/>
      <c r="G61" s="569"/>
      <c r="H61" s="572"/>
      <c r="I61" s="572"/>
      <c r="J61" s="580">
        <v>45524</v>
      </c>
      <c r="K61" s="569">
        <v>260.91000000000003</v>
      </c>
      <c r="L61" s="569">
        <v>0</v>
      </c>
      <c r="M61" s="569">
        <v>52.18</v>
      </c>
      <c r="N61" s="569">
        <v>22.2</v>
      </c>
      <c r="O61" s="569"/>
      <c r="P61" s="573" t="str">
        <f>IF(O61="","",IFERROR(O61/$O$178,""))</f>
        <v/>
      </c>
      <c r="Q61" s="577"/>
      <c r="R61" s="574"/>
      <c r="S61" s="574"/>
      <c r="T61" s="575" t="str">
        <f t="shared" ref="T61:T65" si="24">IF(R61="","",IFERROR(R61-S61,""))</f>
        <v/>
      </c>
      <c r="U61" s="574"/>
      <c r="V61" s="576"/>
      <c r="W61" s="573" t="str">
        <f t="shared" ref="W61:W65" si="25">IFERROR(S61/R61,"")</f>
        <v/>
      </c>
      <c r="X61" s="573" t="str">
        <f t="shared" ref="X61:X65" si="26">IFERROR(100%-W61,"")</f>
        <v/>
      </c>
      <c r="Y61" s="572"/>
    </row>
    <row r="62" spans="1:25" ht="15.05" customHeight="1" x14ac:dyDescent="0.35">
      <c r="B62" s="567" t="s">
        <v>2091</v>
      </c>
      <c r="C62" s="569" t="s">
        <v>2059</v>
      </c>
      <c r="D62" s="645">
        <v>45505</v>
      </c>
      <c r="E62" s="568"/>
      <c r="F62" s="568"/>
      <c r="G62" s="569"/>
      <c r="H62" s="572"/>
      <c r="I62" s="572"/>
      <c r="J62" s="580">
        <v>45555</v>
      </c>
      <c r="K62" s="569">
        <v>378.64</v>
      </c>
      <c r="L62" s="569">
        <v>0</v>
      </c>
      <c r="M62" s="569">
        <v>75.72</v>
      </c>
      <c r="N62" s="569">
        <v>29.04</v>
      </c>
      <c r="O62" s="569"/>
      <c r="P62" s="573" t="str">
        <f>IF(O62="","",IFERROR(O62/$O$178,""))</f>
        <v/>
      </c>
      <c r="Q62" s="577"/>
      <c r="R62" s="574"/>
      <c r="S62" s="574"/>
      <c r="T62" s="575" t="str">
        <f t="shared" si="24"/>
        <v/>
      </c>
      <c r="U62" s="574"/>
      <c r="V62" s="576"/>
      <c r="W62" s="573" t="str">
        <f t="shared" si="25"/>
        <v/>
      </c>
      <c r="X62" s="573" t="str">
        <f t="shared" si="26"/>
        <v/>
      </c>
      <c r="Y62" s="572"/>
    </row>
    <row r="63" spans="1:25" ht="15.05" customHeight="1" x14ac:dyDescent="0.35">
      <c r="B63" s="567" t="s">
        <v>2091</v>
      </c>
      <c r="C63" s="569" t="s">
        <v>2059</v>
      </c>
      <c r="D63" s="645">
        <v>45536</v>
      </c>
      <c r="E63" s="568"/>
      <c r="F63" s="568"/>
      <c r="G63" s="569"/>
      <c r="H63" s="572"/>
      <c r="I63" s="572"/>
      <c r="J63" s="580">
        <v>45583</v>
      </c>
      <c r="K63" s="569">
        <v>379.12</v>
      </c>
      <c r="L63" s="569">
        <v>0</v>
      </c>
      <c r="M63" s="569">
        <v>75.819999999999993</v>
      </c>
      <c r="N63" s="569">
        <v>25.55</v>
      </c>
      <c r="O63" s="569"/>
      <c r="P63" s="573" t="str">
        <f>IF(O63="","",IFERROR(O63/$O$178,""))</f>
        <v/>
      </c>
      <c r="Q63" s="577"/>
      <c r="R63" s="574"/>
      <c r="S63" s="574"/>
      <c r="T63" s="575" t="str">
        <f t="shared" si="24"/>
        <v/>
      </c>
      <c r="U63" s="574"/>
      <c r="V63" s="576"/>
      <c r="W63" s="573" t="str">
        <f t="shared" si="25"/>
        <v/>
      </c>
      <c r="X63" s="573" t="str">
        <f t="shared" si="26"/>
        <v/>
      </c>
      <c r="Y63" s="572"/>
    </row>
    <row r="64" spans="1:25" ht="15.05" customHeight="1" x14ac:dyDescent="0.35">
      <c r="B64" s="567" t="s">
        <v>2091</v>
      </c>
      <c r="C64" s="569" t="s">
        <v>2059</v>
      </c>
      <c r="D64" s="645">
        <v>45566</v>
      </c>
      <c r="E64" s="568"/>
      <c r="F64" s="568"/>
      <c r="G64" s="569"/>
      <c r="H64" s="572"/>
      <c r="I64" s="572"/>
      <c r="J64" s="580">
        <v>45615</v>
      </c>
      <c r="K64" s="569">
        <v>440.33</v>
      </c>
      <c r="L64" s="569">
        <v>0</v>
      </c>
      <c r="M64" s="569">
        <v>88.06</v>
      </c>
      <c r="N64" s="569">
        <v>26.19</v>
      </c>
      <c r="O64" s="569"/>
      <c r="P64" s="573" t="str">
        <f>IF(O64="","",IFERROR(O64/$O$178,""))</f>
        <v/>
      </c>
      <c r="Q64" s="577"/>
      <c r="R64" s="574"/>
      <c r="S64" s="574"/>
      <c r="T64" s="575" t="str">
        <f t="shared" si="24"/>
        <v/>
      </c>
      <c r="U64" s="574"/>
      <c r="V64" s="576"/>
      <c r="W64" s="573" t="str">
        <f t="shared" si="25"/>
        <v/>
      </c>
      <c r="X64" s="573" t="str">
        <f t="shared" si="26"/>
        <v/>
      </c>
      <c r="Y64" s="572"/>
    </row>
    <row r="65" spans="2:25" ht="15.05" customHeight="1" x14ac:dyDescent="0.35">
      <c r="B65" s="567" t="s">
        <v>2091</v>
      </c>
      <c r="C65" s="569" t="s">
        <v>2059</v>
      </c>
      <c r="D65" s="645">
        <v>45597</v>
      </c>
      <c r="E65" s="568"/>
      <c r="F65" s="568"/>
      <c r="G65" s="569"/>
      <c r="H65" s="572"/>
      <c r="I65" s="572"/>
      <c r="J65" s="580">
        <v>45646</v>
      </c>
      <c r="K65" s="569">
        <v>278.58999999999997</v>
      </c>
      <c r="L65" s="569">
        <v>0</v>
      </c>
      <c r="M65" s="569">
        <v>55.71</v>
      </c>
      <c r="N65" s="569">
        <v>13.98</v>
      </c>
      <c r="O65" s="569"/>
      <c r="P65" s="573" t="str">
        <f>IF(O65="","",IFERROR(O65/$O$178,""))</f>
        <v/>
      </c>
      <c r="Q65" s="577"/>
      <c r="R65" s="574"/>
      <c r="S65" s="574"/>
      <c r="T65" s="575" t="str">
        <f t="shared" si="24"/>
        <v/>
      </c>
      <c r="U65" s="574"/>
      <c r="V65" s="576"/>
      <c r="W65" s="573" t="str">
        <f t="shared" si="25"/>
        <v/>
      </c>
      <c r="X65" s="573" t="str">
        <f t="shared" si="26"/>
        <v/>
      </c>
      <c r="Y65" s="572"/>
    </row>
    <row r="66" spans="2:25" ht="15.05" customHeight="1" x14ac:dyDescent="0.35">
      <c r="B66" s="567" t="s">
        <v>2091</v>
      </c>
      <c r="C66" s="569" t="s">
        <v>2059</v>
      </c>
      <c r="D66" s="645">
        <v>45627</v>
      </c>
      <c r="E66" s="568"/>
      <c r="F66" s="568"/>
      <c r="G66" s="569"/>
      <c r="H66" s="572"/>
      <c r="I66" s="572"/>
      <c r="J66" s="580">
        <v>45677</v>
      </c>
      <c r="K66" s="569">
        <v>302.72000000000003</v>
      </c>
      <c r="L66" s="569">
        <v>0</v>
      </c>
      <c r="M66" s="569">
        <v>60.54</v>
      </c>
      <c r="N66" s="569">
        <v>12.13</v>
      </c>
      <c r="O66" s="569"/>
      <c r="P66" s="573" t="str">
        <f>IF(O66="","",IFERROR(O66/$O$178,""))</f>
        <v/>
      </c>
      <c r="Q66" s="577"/>
      <c r="R66" s="574"/>
      <c r="S66" s="574"/>
      <c r="T66" s="575" t="str">
        <f t="shared" ref="T66:T70" si="27">IF(R66="","",IFERROR(R66-S66,""))</f>
        <v/>
      </c>
      <c r="U66" s="574"/>
      <c r="V66" s="576"/>
      <c r="W66" s="573" t="str">
        <f t="shared" ref="W66:W70" si="28">IFERROR(S66/R66,"")</f>
        <v/>
      </c>
      <c r="X66" s="573" t="str">
        <f t="shared" ref="X66:X70" si="29">IFERROR(100%-W66,"")</f>
        <v/>
      </c>
      <c r="Y66" s="572"/>
    </row>
    <row r="67" spans="2:25" ht="15.05" customHeight="1" x14ac:dyDescent="0.35">
      <c r="B67" s="567" t="s">
        <v>2091</v>
      </c>
      <c r="C67" s="569" t="s">
        <v>2059</v>
      </c>
      <c r="D67" s="645">
        <v>45658</v>
      </c>
      <c r="E67" s="568"/>
      <c r="F67" s="568"/>
      <c r="G67" s="569"/>
      <c r="H67" s="572"/>
      <c r="I67" s="572"/>
      <c r="J67" s="580">
        <v>45708</v>
      </c>
      <c r="K67" s="569">
        <v>304.95</v>
      </c>
      <c r="L67" s="569">
        <v>0</v>
      </c>
      <c r="M67" s="569">
        <v>60.99</v>
      </c>
      <c r="N67" s="569">
        <v>9.1999999999999993</v>
      </c>
      <c r="O67" s="569"/>
      <c r="P67" s="573" t="str">
        <f>IF(O67="","",IFERROR(O67/$O$178,""))</f>
        <v/>
      </c>
      <c r="Q67" s="577"/>
      <c r="R67" s="574"/>
      <c r="S67" s="574"/>
      <c r="T67" s="575" t="str">
        <f t="shared" si="27"/>
        <v/>
      </c>
      <c r="U67" s="574"/>
      <c r="V67" s="576"/>
      <c r="W67" s="573" t="str">
        <f t="shared" si="28"/>
        <v/>
      </c>
      <c r="X67" s="573" t="str">
        <f t="shared" si="29"/>
        <v/>
      </c>
      <c r="Y67" s="572"/>
    </row>
    <row r="68" spans="2:25" ht="15.05" customHeight="1" x14ac:dyDescent="0.35">
      <c r="B68" s="567" t="s">
        <v>2091</v>
      </c>
      <c r="C68" s="569" t="s">
        <v>2059</v>
      </c>
      <c r="D68" s="645">
        <v>45689</v>
      </c>
      <c r="E68" s="568"/>
      <c r="F68" s="568"/>
      <c r="G68" s="569"/>
      <c r="H68" s="572"/>
      <c r="I68" s="572"/>
      <c r="J68" s="580">
        <v>45736</v>
      </c>
      <c r="K68" s="569">
        <v>230.11</v>
      </c>
      <c r="L68" s="569">
        <v>0</v>
      </c>
      <c r="M68" s="569">
        <v>37.200000000000003</v>
      </c>
      <c r="N68" s="569">
        <v>4.74</v>
      </c>
      <c r="O68" s="569"/>
      <c r="P68" s="573" t="str">
        <f>IF(O68="","",IFERROR(O68/$O$178,""))</f>
        <v/>
      </c>
      <c r="Q68" s="577"/>
      <c r="R68" s="574"/>
      <c r="S68" s="574"/>
      <c r="T68" s="575" t="str">
        <f t="shared" si="27"/>
        <v/>
      </c>
      <c r="U68" s="574"/>
      <c r="V68" s="576"/>
      <c r="W68" s="573" t="str">
        <f t="shared" si="28"/>
        <v/>
      </c>
      <c r="X68" s="573" t="str">
        <f t="shared" si="29"/>
        <v/>
      </c>
      <c r="Y68" s="572"/>
    </row>
    <row r="69" spans="2:25" ht="15.05" customHeight="1" x14ac:dyDescent="0.35">
      <c r="B69" s="567" t="s">
        <v>2091</v>
      </c>
      <c r="C69" s="569" t="s">
        <v>2059</v>
      </c>
      <c r="D69" s="645">
        <v>45717</v>
      </c>
      <c r="E69" s="568"/>
      <c r="F69" s="568"/>
      <c r="G69" s="569"/>
      <c r="H69" s="572"/>
      <c r="I69" s="572"/>
      <c r="J69" s="580">
        <v>45764</v>
      </c>
      <c r="K69" s="569">
        <v>180.36</v>
      </c>
      <c r="L69" s="569">
        <v>0</v>
      </c>
      <c r="M69" s="569">
        <v>10.11</v>
      </c>
      <c r="N69" s="569">
        <v>1.8</v>
      </c>
      <c r="O69" s="569"/>
      <c r="P69" s="573" t="str">
        <f>IF(O69="","",IFERROR(O69/$O$178,""))</f>
        <v/>
      </c>
      <c r="Q69" s="577"/>
      <c r="R69" s="574"/>
      <c r="S69" s="574"/>
      <c r="T69" s="575" t="str">
        <f t="shared" si="27"/>
        <v/>
      </c>
      <c r="U69" s="574"/>
      <c r="V69" s="576"/>
      <c r="W69" s="573" t="str">
        <f t="shared" si="28"/>
        <v/>
      </c>
      <c r="X69" s="573" t="str">
        <f t="shared" si="29"/>
        <v/>
      </c>
      <c r="Y69" s="572"/>
    </row>
    <row r="70" spans="2:25" ht="15.05" customHeight="1" x14ac:dyDescent="0.35">
      <c r="B70" s="567" t="s">
        <v>2093</v>
      </c>
      <c r="C70" s="569" t="s">
        <v>2059</v>
      </c>
      <c r="D70" s="645" t="s">
        <v>2070</v>
      </c>
      <c r="E70" s="568"/>
      <c r="F70" s="568"/>
      <c r="G70" s="569"/>
      <c r="H70" s="572"/>
      <c r="I70" s="572"/>
      <c r="J70" s="580">
        <v>45646</v>
      </c>
      <c r="K70" s="569">
        <v>240.71</v>
      </c>
      <c r="L70" s="569">
        <v>0</v>
      </c>
      <c r="M70" s="569">
        <v>48.14</v>
      </c>
      <c r="N70" s="569">
        <v>12.08</v>
      </c>
      <c r="O70" s="569"/>
      <c r="P70" s="573" t="str">
        <f>IF(O70="","",IFERROR(O70/$O$178,""))</f>
        <v/>
      </c>
      <c r="Q70" s="577"/>
      <c r="R70" s="574"/>
      <c r="S70" s="574"/>
      <c r="T70" s="575" t="str">
        <f t="shared" si="27"/>
        <v/>
      </c>
      <c r="U70" s="574"/>
      <c r="V70" s="576"/>
      <c r="W70" s="573" t="str">
        <f t="shared" si="28"/>
        <v/>
      </c>
      <c r="X70" s="573" t="str">
        <f t="shared" si="29"/>
        <v/>
      </c>
      <c r="Y70" s="572"/>
    </row>
    <row r="71" spans="2:25" ht="15.05" customHeight="1" x14ac:dyDescent="0.35">
      <c r="B71" s="567" t="s">
        <v>2092</v>
      </c>
      <c r="C71" s="569" t="s">
        <v>2059</v>
      </c>
      <c r="D71" s="645">
        <v>45444</v>
      </c>
      <c r="E71" s="568"/>
      <c r="F71" s="568"/>
      <c r="G71" s="569"/>
      <c r="H71" s="572"/>
      <c r="I71" s="572"/>
      <c r="J71" s="580">
        <v>45492</v>
      </c>
      <c r="K71" s="569">
        <v>26.32</v>
      </c>
      <c r="L71" s="569">
        <v>0</v>
      </c>
      <c r="M71" s="569">
        <v>5.26</v>
      </c>
      <c r="N71" s="569">
        <v>2.46</v>
      </c>
      <c r="O71" s="569"/>
      <c r="P71" s="573" t="str">
        <f>IF(O71="","",IFERROR(O71/$O$178,""))</f>
        <v/>
      </c>
      <c r="Q71" s="577"/>
      <c r="R71" s="574"/>
      <c r="S71" s="574"/>
      <c r="T71" s="575" t="str">
        <f t="shared" ref="T71:T75" si="30">IF(R71="","",IFERROR(R71-S71,""))</f>
        <v/>
      </c>
      <c r="U71" s="574"/>
      <c r="V71" s="576"/>
      <c r="W71" s="573" t="str">
        <f t="shared" ref="W71:W75" si="31">IFERROR(S71/R71,"")</f>
        <v/>
      </c>
      <c r="X71" s="573" t="str">
        <f t="shared" ref="X71:X75" si="32">IFERROR(100%-W71,"")</f>
        <v/>
      </c>
      <c r="Y71" s="572"/>
    </row>
    <row r="72" spans="2:25" ht="15.05" customHeight="1" x14ac:dyDescent="0.35">
      <c r="B72" s="567" t="s">
        <v>2092</v>
      </c>
      <c r="C72" s="569" t="s">
        <v>2059</v>
      </c>
      <c r="D72" s="645">
        <v>45474</v>
      </c>
      <c r="E72" s="568"/>
      <c r="F72" s="568"/>
      <c r="G72" s="569"/>
      <c r="H72" s="572"/>
      <c r="I72" s="572"/>
      <c r="J72" s="580">
        <v>45524</v>
      </c>
      <c r="K72" s="569">
        <v>20.87</v>
      </c>
      <c r="L72" s="569">
        <v>0</v>
      </c>
      <c r="M72" s="569">
        <v>4.17</v>
      </c>
      <c r="N72" s="569">
        <v>1.77</v>
      </c>
      <c r="O72" s="569"/>
      <c r="P72" s="573" t="str">
        <f>IF(O72="","",IFERROR(O72/$O$178,""))</f>
        <v/>
      </c>
      <c r="Q72" s="577"/>
      <c r="R72" s="574"/>
      <c r="S72" s="574"/>
      <c r="T72" s="575" t="str">
        <f t="shared" si="30"/>
        <v/>
      </c>
      <c r="U72" s="574"/>
      <c r="V72" s="576"/>
      <c r="W72" s="573" t="str">
        <f t="shared" si="31"/>
        <v/>
      </c>
      <c r="X72" s="573" t="str">
        <f t="shared" si="32"/>
        <v/>
      </c>
      <c r="Y72" s="572"/>
    </row>
    <row r="73" spans="2:25" ht="15.05" customHeight="1" x14ac:dyDescent="0.35">
      <c r="B73" s="567" t="s">
        <v>2092</v>
      </c>
      <c r="C73" s="569" t="s">
        <v>2059</v>
      </c>
      <c r="D73" s="645">
        <v>45505</v>
      </c>
      <c r="E73" s="568"/>
      <c r="F73" s="568"/>
      <c r="G73" s="569"/>
      <c r="H73" s="572"/>
      <c r="I73" s="572"/>
      <c r="J73" s="580">
        <v>45555</v>
      </c>
      <c r="K73" s="569">
        <v>30.29</v>
      </c>
      <c r="L73" s="569">
        <v>0</v>
      </c>
      <c r="M73" s="569">
        <v>6.05</v>
      </c>
      <c r="N73" s="569">
        <v>2.3199999999999998</v>
      </c>
      <c r="O73" s="569"/>
      <c r="P73" s="573" t="str">
        <f>IF(O73="","",IFERROR(O73/$O$178,""))</f>
        <v/>
      </c>
      <c r="Q73" s="577"/>
      <c r="R73" s="574"/>
      <c r="S73" s="574"/>
      <c r="T73" s="575" t="str">
        <f t="shared" si="30"/>
        <v/>
      </c>
      <c r="U73" s="574"/>
      <c r="V73" s="576"/>
      <c r="W73" s="573" t="str">
        <f t="shared" si="31"/>
        <v/>
      </c>
      <c r="X73" s="573" t="str">
        <f t="shared" si="32"/>
        <v/>
      </c>
      <c r="Y73" s="572"/>
    </row>
    <row r="74" spans="2:25" ht="15.05" customHeight="1" x14ac:dyDescent="0.35">
      <c r="B74" s="567" t="s">
        <v>2092</v>
      </c>
      <c r="C74" s="569" t="s">
        <v>2059</v>
      </c>
      <c r="D74" s="645">
        <v>45536</v>
      </c>
      <c r="E74" s="568"/>
      <c r="F74" s="568"/>
      <c r="G74" s="569"/>
      <c r="H74" s="572"/>
      <c r="I74" s="572"/>
      <c r="J74" s="580">
        <v>45583</v>
      </c>
      <c r="K74" s="569">
        <v>30.32</v>
      </c>
      <c r="L74" s="569">
        <v>0</v>
      </c>
      <c r="M74" s="569">
        <v>6.06</v>
      </c>
      <c r="N74" s="569">
        <v>2.04</v>
      </c>
      <c r="O74" s="569"/>
      <c r="P74" s="573" t="str">
        <f>IF(O74="","",IFERROR(O74/$O$178,""))</f>
        <v/>
      </c>
      <c r="Q74" s="577"/>
      <c r="R74" s="574"/>
      <c r="S74" s="574"/>
      <c r="T74" s="575" t="str">
        <f t="shared" si="30"/>
        <v/>
      </c>
      <c r="U74" s="574"/>
      <c r="V74" s="576"/>
      <c r="W74" s="573" t="str">
        <f t="shared" si="31"/>
        <v/>
      </c>
      <c r="X74" s="573" t="str">
        <f t="shared" si="32"/>
        <v/>
      </c>
      <c r="Y74" s="572"/>
    </row>
    <row r="75" spans="2:25" ht="15.05" customHeight="1" x14ac:dyDescent="0.35">
      <c r="B75" s="567" t="s">
        <v>2092</v>
      </c>
      <c r="C75" s="569" t="s">
        <v>2059</v>
      </c>
      <c r="D75" s="645">
        <v>45566</v>
      </c>
      <c r="E75" s="568"/>
      <c r="F75" s="568"/>
      <c r="G75" s="569"/>
      <c r="H75" s="572"/>
      <c r="I75" s="572"/>
      <c r="J75" s="580">
        <v>45615</v>
      </c>
      <c r="K75" s="569">
        <v>35.22</v>
      </c>
      <c r="L75" s="569">
        <v>0</v>
      </c>
      <c r="M75" s="569">
        <v>7.04</v>
      </c>
      <c r="N75" s="569">
        <v>2.09</v>
      </c>
      <c r="O75" s="569"/>
      <c r="P75" s="573" t="str">
        <f>IF(O75="","",IFERROR(O75/$O$178,""))</f>
        <v/>
      </c>
      <c r="Q75" s="577"/>
      <c r="R75" s="574"/>
      <c r="S75" s="574"/>
      <c r="T75" s="575" t="str">
        <f t="shared" si="30"/>
        <v/>
      </c>
      <c r="U75" s="574"/>
      <c r="V75" s="576"/>
      <c r="W75" s="573" t="str">
        <f t="shared" si="31"/>
        <v/>
      </c>
      <c r="X75" s="573" t="str">
        <f t="shared" si="32"/>
        <v/>
      </c>
      <c r="Y75" s="572"/>
    </row>
    <row r="76" spans="2:25" ht="15.05" customHeight="1" x14ac:dyDescent="0.35">
      <c r="B76" s="567" t="s">
        <v>2092</v>
      </c>
      <c r="C76" s="569" t="s">
        <v>2059</v>
      </c>
      <c r="D76" s="645">
        <v>45597</v>
      </c>
      <c r="E76" s="568"/>
      <c r="F76" s="568"/>
      <c r="G76" s="569"/>
      <c r="H76" s="572"/>
      <c r="I76" s="572"/>
      <c r="J76" s="580">
        <v>45646</v>
      </c>
      <c r="K76" s="569">
        <v>22.28</v>
      </c>
      <c r="L76" s="569">
        <v>0</v>
      </c>
      <c r="M76" s="569">
        <v>4.45</v>
      </c>
      <c r="N76" s="569">
        <v>1.1100000000000001</v>
      </c>
      <c r="O76" s="569"/>
      <c r="P76" s="573" t="str">
        <f>IF(O76="","",IFERROR(O76/$O$178,""))</f>
        <v/>
      </c>
      <c r="Q76" s="577"/>
      <c r="R76" s="574"/>
      <c r="S76" s="574"/>
      <c r="T76" s="575" t="str">
        <f t="shared" ref="T76:T80" si="33">IF(R76="","",IFERROR(R76-S76,""))</f>
        <v/>
      </c>
      <c r="U76" s="574"/>
      <c r="V76" s="576"/>
      <c r="W76" s="573" t="str">
        <f t="shared" ref="W76:W80" si="34">IFERROR(S76/R76,"")</f>
        <v/>
      </c>
      <c r="X76" s="573" t="str">
        <f t="shared" ref="X76:X80" si="35">IFERROR(100%-W76,"")</f>
        <v/>
      </c>
      <c r="Y76" s="572"/>
    </row>
    <row r="77" spans="2:25" ht="15.05" customHeight="1" x14ac:dyDescent="0.35">
      <c r="B77" s="567" t="s">
        <v>2092</v>
      </c>
      <c r="C77" s="569" t="s">
        <v>2059</v>
      </c>
      <c r="D77" s="645">
        <v>45627</v>
      </c>
      <c r="E77" s="568"/>
      <c r="F77" s="568"/>
      <c r="G77" s="569"/>
      <c r="H77" s="572"/>
      <c r="I77" s="572"/>
      <c r="J77" s="580">
        <v>45677</v>
      </c>
      <c r="K77" s="569">
        <v>24.21</v>
      </c>
      <c r="L77" s="569">
        <v>0</v>
      </c>
      <c r="M77" s="569">
        <v>4.84</v>
      </c>
      <c r="N77" s="569">
        <v>0.97</v>
      </c>
      <c r="O77" s="569"/>
      <c r="P77" s="573" t="str">
        <f>IF(O77="","",IFERROR(O77/$O$178,""))</f>
        <v/>
      </c>
      <c r="Q77" s="577"/>
      <c r="R77" s="574"/>
      <c r="S77" s="574"/>
      <c r="T77" s="575" t="str">
        <f t="shared" si="33"/>
        <v/>
      </c>
      <c r="U77" s="574"/>
      <c r="V77" s="576"/>
      <c r="W77" s="573" t="str">
        <f t="shared" si="34"/>
        <v/>
      </c>
      <c r="X77" s="573" t="str">
        <f t="shared" si="35"/>
        <v/>
      </c>
      <c r="Y77" s="572"/>
    </row>
    <row r="78" spans="2:25" ht="15.05" customHeight="1" x14ac:dyDescent="0.35">
      <c r="B78" s="567" t="s">
        <v>2092</v>
      </c>
      <c r="C78" s="569" t="s">
        <v>2059</v>
      </c>
      <c r="D78" s="645">
        <v>45658</v>
      </c>
      <c r="E78" s="568"/>
      <c r="F78" s="568"/>
      <c r="G78" s="569"/>
      <c r="H78" s="572"/>
      <c r="I78" s="572"/>
      <c r="J78" s="580">
        <v>45708</v>
      </c>
      <c r="K78" s="569">
        <v>24.39</v>
      </c>
      <c r="L78" s="569">
        <v>0</v>
      </c>
      <c r="M78" s="569">
        <v>4.87</v>
      </c>
      <c r="N78" s="569">
        <v>0.73</v>
      </c>
      <c r="O78" s="569"/>
      <c r="P78" s="573" t="str">
        <f>IF(O78="","",IFERROR(O78/$O$178,""))</f>
        <v/>
      </c>
      <c r="Q78" s="577"/>
      <c r="R78" s="574"/>
      <c r="S78" s="574"/>
      <c r="T78" s="575" t="str">
        <f t="shared" si="33"/>
        <v/>
      </c>
      <c r="U78" s="574"/>
      <c r="V78" s="576"/>
      <c r="W78" s="573" t="str">
        <f t="shared" si="34"/>
        <v/>
      </c>
      <c r="X78" s="573" t="str">
        <f t="shared" si="35"/>
        <v/>
      </c>
      <c r="Y78" s="572"/>
    </row>
    <row r="79" spans="2:25" ht="15.05" customHeight="1" x14ac:dyDescent="0.35">
      <c r="B79" s="567" t="s">
        <v>2092</v>
      </c>
      <c r="C79" s="569" t="s">
        <v>2059</v>
      </c>
      <c r="D79" s="645">
        <v>45689</v>
      </c>
      <c r="E79" s="568"/>
      <c r="F79" s="568"/>
      <c r="G79" s="569"/>
      <c r="H79" s="572"/>
      <c r="I79" s="572"/>
      <c r="J79" s="580">
        <v>45736</v>
      </c>
      <c r="K79" s="569">
        <v>18.399999999999999</v>
      </c>
      <c r="L79" s="569">
        <v>0</v>
      </c>
      <c r="M79" s="569">
        <v>2.97</v>
      </c>
      <c r="N79" s="569">
        <v>0.37</v>
      </c>
      <c r="O79" s="569"/>
      <c r="P79" s="573" t="str">
        <f>IF(O79="","",IFERROR(O79/$O$178,""))</f>
        <v/>
      </c>
      <c r="Q79" s="577"/>
      <c r="R79" s="574"/>
      <c r="S79" s="574"/>
      <c r="T79" s="575" t="str">
        <f t="shared" si="33"/>
        <v/>
      </c>
      <c r="U79" s="574"/>
      <c r="V79" s="576"/>
      <c r="W79" s="573" t="str">
        <f t="shared" si="34"/>
        <v/>
      </c>
      <c r="X79" s="573" t="str">
        <f t="shared" si="35"/>
        <v/>
      </c>
      <c r="Y79" s="572"/>
    </row>
    <row r="80" spans="2:25" ht="15.05" customHeight="1" x14ac:dyDescent="0.35">
      <c r="B80" s="567" t="s">
        <v>2092</v>
      </c>
      <c r="C80" s="569" t="s">
        <v>2059</v>
      </c>
      <c r="D80" s="645">
        <v>45717</v>
      </c>
      <c r="E80" s="568"/>
      <c r="F80" s="568"/>
      <c r="G80" s="569"/>
      <c r="H80" s="572"/>
      <c r="I80" s="572"/>
      <c r="J80" s="580">
        <v>45764</v>
      </c>
      <c r="K80" s="569">
        <v>14.42</v>
      </c>
      <c r="L80" s="569">
        <v>0</v>
      </c>
      <c r="M80" s="569">
        <v>0.8</v>
      </c>
      <c r="N80" s="569">
        <v>0.14000000000000001</v>
      </c>
      <c r="O80" s="569"/>
      <c r="P80" s="573" t="str">
        <f>IF(O80="","",IFERROR(O80/$O$178,""))</f>
        <v/>
      </c>
      <c r="Q80" s="577"/>
      <c r="R80" s="574"/>
      <c r="S80" s="574"/>
      <c r="T80" s="575" t="str">
        <f t="shared" si="33"/>
        <v/>
      </c>
      <c r="U80" s="574"/>
      <c r="V80" s="576"/>
      <c r="W80" s="573" t="str">
        <f t="shared" si="34"/>
        <v/>
      </c>
      <c r="X80" s="573" t="str">
        <f t="shared" si="35"/>
        <v/>
      </c>
      <c r="Y80" s="572"/>
    </row>
    <row r="81" spans="1:25" ht="15.05" customHeight="1" x14ac:dyDescent="0.35">
      <c r="B81" s="567" t="s">
        <v>2095</v>
      </c>
      <c r="C81" s="569" t="s">
        <v>2059</v>
      </c>
      <c r="D81" s="645" t="s">
        <v>2070</v>
      </c>
      <c r="E81" s="568"/>
      <c r="F81" s="568"/>
      <c r="G81" s="569"/>
      <c r="H81" s="572"/>
      <c r="I81" s="572"/>
      <c r="J81" s="580">
        <v>45646</v>
      </c>
      <c r="K81" s="569">
        <v>19.25</v>
      </c>
      <c r="L81" s="569">
        <v>0</v>
      </c>
      <c r="M81" s="569">
        <v>3.85</v>
      </c>
      <c r="N81" s="569">
        <v>0.96</v>
      </c>
      <c r="O81" s="569"/>
      <c r="P81" s="573" t="str">
        <f>IF(O81="","",IFERROR(O81/$O$178,""))</f>
        <v/>
      </c>
      <c r="Q81" s="577"/>
      <c r="R81" s="574"/>
      <c r="S81" s="574"/>
      <c r="T81" s="575" t="str">
        <f t="shared" ref="T81:T85" si="36">IF(R81="","",IFERROR(R81-S81,""))</f>
        <v/>
      </c>
      <c r="U81" s="574"/>
      <c r="V81" s="576"/>
      <c r="W81" s="573" t="str">
        <f t="shared" ref="W81:W85" si="37">IFERROR(S81/R81,"")</f>
        <v/>
      </c>
      <c r="X81" s="573" t="str">
        <f t="shared" ref="X81:X85" si="38">IFERROR(100%-W81,"")</f>
        <v/>
      </c>
      <c r="Y81" s="572"/>
    </row>
    <row r="82" spans="1:25" ht="15.05" customHeight="1" x14ac:dyDescent="0.35">
      <c r="B82" s="567" t="s">
        <v>2094</v>
      </c>
      <c r="C82" s="569" t="s">
        <v>2059</v>
      </c>
      <c r="D82" s="645">
        <v>45444</v>
      </c>
      <c r="E82" s="568"/>
      <c r="F82" s="568"/>
      <c r="G82" s="569"/>
      <c r="H82" s="572"/>
      <c r="I82" s="572"/>
      <c r="J82" s="580">
        <v>45492</v>
      </c>
      <c r="K82" s="569">
        <v>197.41</v>
      </c>
      <c r="L82" s="569">
        <v>0</v>
      </c>
      <c r="M82" s="569">
        <v>39.479999999999997</v>
      </c>
      <c r="N82" s="569">
        <v>18.510000000000002</v>
      </c>
      <c r="O82" s="569"/>
      <c r="P82" s="573" t="str">
        <f>IF(O82="","",IFERROR(O82/$O$178,""))</f>
        <v/>
      </c>
      <c r="Q82" s="577"/>
      <c r="R82" s="574"/>
      <c r="S82" s="574"/>
      <c r="T82" s="575" t="str">
        <f t="shared" si="36"/>
        <v/>
      </c>
      <c r="U82" s="574"/>
      <c r="V82" s="576"/>
      <c r="W82" s="573" t="str">
        <f t="shared" si="37"/>
        <v/>
      </c>
      <c r="X82" s="573" t="str">
        <f t="shared" si="38"/>
        <v/>
      </c>
      <c r="Y82" s="572"/>
    </row>
    <row r="83" spans="1:25" ht="15.05" customHeight="1" x14ac:dyDescent="0.35">
      <c r="B83" s="567" t="s">
        <v>2094</v>
      </c>
      <c r="C83" s="569" t="s">
        <v>2059</v>
      </c>
      <c r="D83" s="645">
        <v>45474</v>
      </c>
      <c r="E83" s="568"/>
      <c r="F83" s="568"/>
      <c r="G83" s="569"/>
      <c r="H83" s="572"/>
      <c r="I83" s="572"/>
      <c r="J83" s="580">
        <v>45524</v>
      </c>
      <c r="K83" s="569">
        <v>156.55000000000001</v>
      </c>
      <c r="L83" s="569">
        <v>0</v>
      </c>
      <c r="M83" s="569">
        <v>31.31</v>
      </c>
      <c r="N83" s="569">
        <v>13.32</v>
      </c>
      <c r="O83" s="569"/>
      <c r="P83" s="573" t="str">
        <f>IF(O83="","",IFERROR(O83/$O$178,""))</f>
        <v/>
      </c>
      <c r="Q83" s="577"/>
      <c r="R83" s="574"/>
      <c r="S83" s="574"/>
      <c r="T83" s="575" t="str">
        <f t="shared" si="36"/>
        <v/>
      </c>
      <c r="U83" s="574"/>
      <c r="V83" s="576"/>
      <c r="W83" s="573" t="str">
        <f t="shared" si="37"/>
        <v/>
      </c>
      <c r="X83" s="573" t="str">
        <f t="shared" si="38"/>
        <v/>
      </c>
      <c r="Y83" s="572"/>
    </row>
    <row r="84" spans="1:25" ht="15.05" customHeight="1" x14ac:dyDescent="0.35">
      <c r="B84" s="567" t="s">
        <v>2094</v>
      </c>
      <c r="C84" s="569" t="s">
        <v>2059</v>
      </c>
      <c r="D84" s="645">
        <v>45505</v>
      </c>
      <c r="E84" s="568"/>
      <c r="F84" s="568"/>
      <c r="G84" s="569"/>
      <c r="H84" s="572"/>
      <c r="I84" s="572"/>
      <c r="J84" s="580">
        <v>45555</v>
      </c>
      <c r="K84" s="569">
        <v>227.18</v>
      </c>
      <c r="L84" s="569">
        <v>0</v>
      </c>
      <c r="M84" s="569">
        <v>45.43</v>
      </c>
      <c r="N84" s="569">
        <v>17.420000000000002</v>
      </c>
      <c r="O84" s="569"/>
      <c r="P84" s="573" t="str">
        <f>IF(O84="","",IFERROR(O84/$O$178,""))</f>
        <v/>
      </c>
      <c r="Q84" s="577"/>
      <c r="R84" s="574"/>
      <c r="S84" s="574"/>
      <c r="T84" s="575" t="str">
        <f t="shared" si="36"/>
        <v/>
      </c>
      <c r="U84" s="574"/>
      <c r="V84" s="576"/>
      <c r="W84" s="573" t="str">
        <f t="shared" si="37"/>
        <v/>
      </c>
      <c r="X84" s="573" t="str">
        <f t="shared" si="38"/>
        <v/>
      </c>
      <c r="Y84" s="572"/>
    </row>
    <row r="85" spans="1:25" s="553" customFormat="1" ht="15.05" customHeight="1" x14ac:dyDescent="0.35">
      <c r="A85" s="15"/>
      <c r="B85" s="567" t="s">
        <v>2094</v>
      </c>
      <c r="C85" s="584" t="s">
        <v>2059</v>
      </c>
      <c r="D85" s="646">
        <v>45536</v>
      </c>
      <c r="E85" s="585"/>
      <c r="F85" s="585"/>
      <c r="G85" s="584"/>
      <c r="H85" s="578"/>
      <c r="I85" s="578"/>
      <c r="J85" s="586">
        <v>45583</v>
      </c>
      <c r="K85" s="584">
        <v>227.47</v>
      </c>
      <c r="L85" s="584">
        <v>0</v>
      </c>
      <c r="M85" s="584">
        <v>45.49</v>
      </c>
      <c r="N85" s="584">
        <v>15.33</v>
      </c>
      <c r="O85" s="584"/>
      <c r="P85" s="587" t="str">
        <f>IF(O85="","",IFERROR(O85/$O$178,""))</f>
        <v/>
      </c>
      <c r="Q85" s="588"/>
      <c r="R85" s="589"/>
      <c r="S85" s="589"/>
      <c r="T85" s="590" t="str">
        <f t="shared" si="36"/>
        <v/>
      </c>
      <c r="U85" s="589"/>
      <c r="V85" s="591"/>
      <c r="W85" s="587" t="str">
        <f t="shared" si="37"/>
        <v/>
      </c>
      <c r="X85" s="587" t="str">
        <f t="shared" si="38"/>
        <v/>
      </c>
      <c r="Y85" s="578"/>
    </row>
    <row r="86" spans="1:25" ht="15.05" customHeight="1" x14ac:dyDescent="0.35">
      <c r="B86" s="567" t="s">
        <v>2094</v>
      </c>
      <c r="C86" s="569" t="s">
        <v>2059</v>
      </c>
      <c r="D86" s="645">
        <v>45566</v>
      </c>
      <c r="E86" s="568"/>
      <c r="F86" s="568"/>
      <c r="G86" s="569"/>
      <c r="H86" s="572"/>
      <c r="I86" s="572"/>
      <c r="J86" s="580">
        <v>45615</v>
      </c>
      <c r="K86" s="569">
        <v>264.19</v>
      </c>
      <c r="L86" s="569">
        <v>0</v>
      </c>
      <c r="M86" s="569">
        <v>52.83</v>
      </c>
      <c r="N86" s="569">
        <v>15.71</v>
      </c>
      <c r="O86" s="569"/>
      <c r="P86" s="573" t="str">
        <f>IF(O86="","",IFERROR(O86/$O$178,""))</f>
        <v/>
      </c>
      <c r="Q86" s="577"/>
      <c r="R86" s="574"/>
      <c r="S86" s="574"/>
      <c r="T86" s="575" t="str">
        <f t="shared" ref="T86:T90" si="39">IF(R86="","",IFERROR(R86-S86,""))</f>
        <v/>
      </c>
      <c r="U86" s="574"/>
      <c r="V86" s="576"/>
      <c r="W86" s="573" t="str">
        <f t="shared" ref="W86:W90" si="40">IFERROR(S86/R86,"")</f>
        <v/>
      </c>
      <c r="X86" s="573" t="str">
        <f t="shared" ref="X86:X90" si="41">IFERROR(100%-W86,"")</f>
        <v/>
      </c>
      <c r="Y86" s="572"/>
    </row>
    <row r="87" spans="1:25" ht="15.05" customHeight="1" x14ac:dyDescent="0.35">
      <c r="B87" s="567" t="s">
        <v>2094</v>
      </c>
      <c r="C87" s="569" t="s">
        <v>2059</v>
      </c>
      <c r="D87" s="645">
        <v>45597</v>
      </c>
      <c r="E87" s="568"/>
      <c r="F87" s="568"/>
      <c r="G87" s="569"/>
      <c r="H87" s="572"/>
      <c r="I87" s="572"/>
      <c r="J87" s="580">
        <v>45646</v>
      </c>
      <c r="K87" s="569">
        <v>167.15</v>
      </c>
      <c r="L87" s="569">
        <v>0</v>
      </c>
      <c r="M87" s="569">
        <v>33.43</v>
      </c>
      <c r="N87" s="569">
        <v>8.39</v>
      </c>
      <c r="O87" s="569"/>
      <c r="P87" s="573" t="str">
        <f>IF(O87="","",IFERROR(O87/$O$178,""))</f>
        <v/>
      </c>
      <c r="Q87" s="577"/>
      <c r="R87" s="574"/>
      <c r="S87" s="574"/>
      <c r="T87" s="575" t="str">
        <f t="shared" si="39"/>
        <v/>
      </c>
      <c r="U87" s="574"/>
      <c r="V87" s="576"/>
      <c r="W87" s="573" t="str">
        <f t="shared" si="40"/>
        <v/>
      </c>
      <c r="X87" s="573" t="str">
        <f t="shared" si="41"/>
        <v/>
      </c>
      <c r="Y87" s="572"/>
    </row>
    <row r="88" spans="1:25" ht="15.05" customHeight="1" x14ac:dyDescent="0.35">
      <c r="B88" s="567" t="s">
        <v>2094</v>
      </c>
      <c r="C88" s="569" t="s">
        <v>2059</v>
      </c>
      <c r="D88" s="645">
        <v>45627</v>
      </c>
      <c r="E88" s="568"/>
      <c r="F88" s="568"/>
      <c r="G88" s="569"/>
      <c r="H88" s="572"/>
      <c r="I88" s="572"/>
      <c r="J88" s="580">
        <v>45677</v>
      </c>
      <c r="K88" s="569">
        <v>181.63</v>
      </c>
      <c r="L88" s="569">
        <v>0</v>
      </c>
      <c r="M88" s="569">
        <v>36.32</v>
      </c>
      <c r="N88" s="569">
        <v>7.28</v>
      </c>
      <c r="O88" s="569"/>
      <c r="P88" s="573" t="str">
        <f>IF(O88="","",IFERROR(O88/$O$178,""))</f>
        <v/>
      </c>
      <c r="Q88" s="577"/>
      <c r="R88" s="574"/>
      <c r="S88" s="574"/>
      <c r="T88" s="575" t="str">
        <f t="shared" si="39"/>
        <v/>
      </c>
      <c r="U88" s="574"/>
      <c r="V88" s="576"/>
      <c r="W88" s="573" t="str">
        <f t="shared" si="40"/>
        <v/>
      </c>
      <c r="X88" s="573" t="str">
        <f t="shared" si="41"/>
        <v/>
      </c>
      <c r="Y88" s="572"/>
    </row>
    <row r="89" spans="1:25" ht="15.05" customHeight="1" x14ac:dyDescent="0.35">
      <c r="B89" s="567" t="s">
        <v>2094</v>
      </c>
      <c r="C89" s="569" t="s">
        <v>2059</v>
      </c>
      <c r="D89" s="645">
        <v>45658</v>
      </c>
      <c r="E89" s="568"/>
      <c r="F89" s="568"/>
      <c r="G89" s="569"/>
      <c r="H89" s="572"/>
      <c r="I89" s="572"/>
      <c r="J89" s="580">
        <v>45708</v>
      </c>
      <c r="K89" s="569">
        <v>182.97</v>
      </c>
      <c r="L89" s="569">
        <v>0</v>
      </c>
      <c r="M89" s="569">
        <v>36.590000000000003</v>
      </c>
      <c r="N89" s="569">
        <v>5.52</v>
      </c>
      <c r="O89" s="569"/>
      <c r="P89" s="573" t="str">
        <f>IF(O89="","",IFERROR(O89/$O$178,""))</f>
        <v/>
      </c>
      <c r="Q89" s="577"/>
      <c r="R89" s="574"/>
      <c r="S89" s="574"/>
      <c r="T89" s="575" t="str">
        <f t="shared" si="39"/>
        <v/>
      </c>
      <c r="U89" s="574"/>
      <c r="V89" s="576"/>
      <c r="W89" s="573" t="str">
        <f t="shared" si="40"/>
        <v/>
      </c>
      <c r="X89" s="573" t="str">
        <f t="shared" si="41"/>
        <v/>
      </c>
      <c r="Y89" s="572"/>
    </row>
    <row r="90" spans="1:25" ht="15.05" customHeight="1" x14ac:dyDescent="0.35">
      <c r="B90" s="567" t="s">
        <v>2094</v>
      </c>
      <c r="C90" s="569" t="s">
        <v>2059</v>
      </c>
      <c r="D90" s="645">
        <v>45689</v>
      </c>
      <c r="E90" s="568"/>
      <c r="F90" s="568"/>
      <c r="G90" s="569"/>
      <c r="H90" s="572"/>
      <c r="I90" s="572"/>
      <c r="J90" s="580">
        <v>45736</v>
      </c>
      <c r="K90" s="569">
        <v>138.06</v>
      </c>
      <c r="L90" s="569">
        <v>0</v>
      </c>
      <c r="M90" s="569">
        <v>22.32</v>
      </c>
      <c r="N90" s="569">
        <v>2.84</v>
      </c>
      <c r="O90" s="569"/>
      <c r="P90" s="573" t="str">
        <f>IF(O90="","",IFERROR(O90/$O$178,""))</f>
        <v/>
      </c>
      <c r="Q90" s="577"/>
      <c r="R90" s="574"/>
      <c r="S90" s="574"/>
      <c r="T90" s="575" t="str">
        <f t="shared" si="39"/>
        <v/>
      </c>
      <c r="U90" s="574"/>
      <c r="V90" s="576"/>
      <c r="W90" s="573" t="str">
        <f t="shared" si="40"/>
        <v/>
      </c>
      <c r="X90" s="573" t="str">
        <f t="shared" si="41"/>
        <v/>
      </c>
      <c r="Y90" s="572"/>
    </row>
    <row r="91" spans="1:25" ht="15.05" customHeight="1" x14ac:dyDescent="0.35">
      <c r="B91" s="567" t="s">
        <v>2094</v>
      </c>
      <c r="C91" s="569" t="s">
        <v>2059</v>
      </c>
      <c r="D91" s="645">
        <v>45717</v>
      </c>
      <c r="E91" s="568"/>
      <c r="F91" s="568"/>
      <c r="G91" s="569"/>
      <c r="H91" s="572"/>
      <c r="I91" s="572"/>
      <c r="J91" s="580">
        <v>45764</v>
      </c>
      <c r="K91" s="569">
        <v>108.21</v>
      </c>
      <c r="L91" s="569">
        <v>0</v>
      </c>
      <c r="M91" s="569">
        <v>6.07</v>
      </c>
      <c r="N91" s="569">
        <v>1.08</v>
      </c>
      <c r="O91" s="569"/>
      <c r="P91" s="573" t="str">
        <f>IF(O91="","",IFERROR(O91/$O$178,""))</f>
        <v/>
      </c>
      <c r="Q91" s="577"/>
      <c r="R91" s="574"/>
      <c r="S91" s="574"/>
      <c r="T91" s="575" t="str">
        <f t="shared" ref="T91:T95" si="42">IF(R91="","",IFERROR(R91-S91,""))</f>
        <v/>
      </c>
      <c r="U91" s="574"/>
      <c r="V91" s="576"/>
      <c r="W91" s="573" t="str">
        <f t="shared" ref="W91:W95" si="43">IFERROR(S91/R91,"")</f>
        <v/>
      </c>
      <c r="X91" s="573" t="str">
        <f t="shared" ref="X91:X95" si="44">IFERROR(100%-W91,"")</f>
        <v/>
      </c>
      <c r="Y91" s="572"/>
    </row>
    <row r="92" spans="1:25" s="553" customFormat="1" ht="15.05" customHeight="1" x14ac:dyDescent="0.35">
      <c r="A92" s="15"/>
      <c r="B92" s="567" t="s">
        <v>2094</v>
      </c>
      <c r="C92" s="584" t="s">
        <v>2059</v>
      </c>
      <c r="D92" s="646" t="s">
        <v>2070</v>
      </c>
      <c r="E92" s="585"/>
      <c r="F92" s="585"/>
      <c r="G92" s="584"/>
      <c r="H92" s="578"/>
      <c r="I92" s="578"/>
      <c r="J92" s="586">
        <v>45646</v>
      </c>
      <c r="K92" s="584">
        <v>144.41999999999999</v>
      </c>
      <c r="L92" s="584">
        <v>0</v>
      </c>
      <c r="M92" s="584">
        <v>28.88</v>
      </c>
      <c r="N92" s="584">
        <v>7.24</v>
      </c>
      <c r="O92" s="584"/>
      <c r="P92" s="587" t="str">
        <f>IF(O92="","",IFERROR(O92/$O$178,""))</f>
        <v/>
      </c>
      <c r="Q92" s="588"/>
      <c r="R92" s="589"/>
      <c r="S92" s="589"/>
      <c r="T92" s="590" t="str">
        <f t="shared" si="42"/>
        <v/>
      </c>
      <c r="U92" s="589"/>
      <c r="V92" s="591"/>
      <c r="W92" s="587" t="str">
        <f t="shared" si="43"/>
        <v/>
      </c>
      <c r="X92" s="587" t="str">
        <f t="shared" si="44"/>
        <v/>
      </c>
      <c r="Y92" s="578"/>
    </row>
    <row r="93" spans="1:25" ht="15.05" customHeight="1" x14ac:dyDescent="0.35">
      <c r="B93" s="567" t="s">
        <v>2096</v>
      </c>
      <c r="C93" s="569" t="s">
        <v>2059</v>
      </c>
      <c r="D93" s="645">
        <v>45444</v>
      </c>
      <c r="E93" s="568"/>
      <c r="F93" s="568"/>
      <c r="G93" s="569"/>
      <c r="H93" s="572"/>
      <c r="I93" s="572"/>
      <c r="J93" s="580">
        <v>45492</v>
      </c>
      <c r="K93" s="569">
        <v>39.479999999999997</v>
      </c>
      <c r="L93" s="569">
        <v>0</v>
      </c>
      <c r="M93" s="569">
        <v>7.89</v>
      </c>
      <c r="N93" s="569">
        <v>3.7</v>
      </c>
      <c r="O93" s="569"/>
      <c r="P93" s="573" t="str">
        <f>IF(O93="","",IFERROR(O93/$O$178,""))</f>
        <v/>
      </c>
      <c r="Q93" s="577"/>
      <c r="R93" s="574"/>
      <c r="S93" s="574"/>
      <c r="T93" s="575" t="str">
        <f t="shared" si="42"/>
        <v/>
      </c>
      <c r="U93" s="574"/>
      <c r="V93" s="576"/>
      <c r="W93" s="573" t="str">
        <f t="shared" si="43"/>
        <v/>
      </c>
      <c r="X93" s="573" t="str">
        <f t="shared" si="44"/>
        <v/>
      </c>
      <c r="Y93" s="572"/>
    </row>
    <row r="94" spans="1:25" ht="15.05" customHeight="1" x14ac:dyDescent="0.35">
      <c r="B94" s="567" t="s">
        <v>2096</v>
      </c>
      <c r="C94" s="569" t="s">
        <v>2059</v>
      </c>
      <c r="D94" s="645">
        <v>45474</v>
      </c>
      <c r="E94" s="568"/>
      <c r="F94" s="568"/>
      <c r="G94" s="569"/>
      <c r="H94" s="572"/>
      <c r="I94" s="572"/>
      <c r="J94" s="580">
        <v>45524</v>
      </c>
      <c r="K94" s="569">
        <v>31.31</v>
      </c>
      <c r="L94" s="569">
        <v>0</v>
      </c>
      <c r="M94" s="569">
        <v>6.26</v>
      </c>
      <c r="N94" s="569">
        <v>2.66</v>
      </c>
      <c r="O94" s="569"/>
      <c r="P94" s="573" t="str">
        <f>IF(O94="","",IFERROR(O94/$O$178,""))</f>
        <v/>
      </c>
      <c r="Q94" s="577"/>
      <c r="R94" s="574"/>
      <c r="S94" s="574"/>
      <c r="T94" s="575" t="str">
        <f t="shared" si="42"/>
        <v/>
      </c>
      <c r="U94" s="574"/>
      <c r="V94" s="576"/>
      <c r="W94" s="573" t="str">
        <f t="shared" si="43"/>
        <v/>
      </c>
      <c r="X94" s="573" t="str">
        <f t="shared" si="44"/>
        <v/>
      </c>
      <c r="Y94" s="572"/>
    </row>
    <row r="95" spans="1:25" ht="15.05" customHeight="1" x14ac:dyDescent="0.35">
      <c r="B95" s="567" t="s">
        <v>2096</v>
      </c>
      <c r="C95" s="569" t="s">
        <v>2059</v>
      </c>
      <c r="D95" s="645">
        <v>45505</v>
      </c>
      <c r="E95" s="568"/>
      <c r="F95" s="568"/>
      <c r="G95" s="569"/>
      <c r="H95" s="572"/>
      <c r="I95" s="572"/>
      <c r="J95" s="580">
        <v>45555</v>
      </c>
      <c r="K95" s="569">
        <v>45.43</v>
      </c>
      <c r="L95" s="569">
        <v>0</v>
      </c>
      <c r="M95" s="569">
        <v>9.08</v>
      </c>
      <c r="N95" s="569">
        <v>3.48</v>
      </c>
      <c r="O95" s="569"/>
      <c r="P95" s="573" t="str">
        <f>IF(O95="","",IFERROR(O95/$O$178,""))</f>
        <v/>
      </c>
      <c r="Q95" s="577"/>
      <c r="R95" s="574"/>
      <c r="S95" s="574"/>
      <c r="T95" s="575" t="str">
        <f t="shared" si="42"/>
        <v/>
      </c>
      <c r="U95" s="574"/>
      <c r="V95" s="576"/>
      <c r="W95" s="573" t="str">
        <f t="shared" si="43"/>
        <v/>
      </c>
      <c r="X95" s="573" t="str">
        <f t="shared" si="44"/>
        <v/>
      </c>
      <c r="Y95" s="572"/>
    </row>
    <row r="96" spans="1:25" ht="15.05" customHeight="1" x14ac:dyDescent="0.35">
      <c r="B96" s="567" t="s">
        <v>2096</v>
      </c>
      <c r="C96" s="569" t="s">
        <v>2059</v>
      </c>
      <c r="D96" s="645">
        <v>45536</v>
      </c>
      <c r="E96" s="568"/>
      <c r="F96" s="568"/>
      <c r="G96" s="569"/>
      <c r="H96" s="572"/>
      <c r="I96" s="572"/>
      <c r="J96" s="580">
        <v>45583</v>
      </c>
      <c r="K96" s="569">
        <v>45.49</v>
      </c>
      <c r="L96" s="569">
        <v>0</v>
      </c>
      <c r="M96" s="569">
        <v>9.09</v>
      </c>
      <c r="N96" s="569">
        <v>3.06</v>
      </c>
      <c r="O96" s="569"/>
      <c r="P96" s="573" t="str">
        <f>IF(O96="","",IFERROR(O96/$O$178,""))</f>
        <v/>
      </c>
      <c r="Q96" s="577"/>
      <c r="R96" s="574"/>
      <c r="S96" s="574"/>
      <c r="T96" s="575" t="str">
        <f t="shared" ref="T96:T100" si="45">IF(R96="","",IFERROR(R96-S96,""))</f>
        <v/>
      </c>
      <c r="U96" s="574"/>
      <c r="V96" s="576"/>
      <c r="W96" s="573" t="str">
        <f t="shared" ref="W96:W100" si="46">IFERROR(S96/R96,"")</f>
        <v/>
      </c>
      <c r="X96" s="573" t="str">
        <f t="shared" ref="X96:X100" si="47">IFERROR(100%-W96,"")</f>
        <v/>
      </c>
      <c r="Y96" s="572"/>
    </row>
    <row r="97" spans="2:25" ht="15.05" customHeight="1" x14ac:dyDescent="0.35">
      <c r="B97" s="567" t="s">
        <v>2096</v>
      </c>
      <c r="C97" s="569" t="s">
        <v>2059</v>
      </c>
      <c r="D97" s="645">
        <v>45566</v>
      </c>
      <c r="E97" s="568"/>
      <c r="F97" s="568"/>
      <c r="G97" s="569"/>
      <c r="H97" s="572"/>
      <c r="I97" s="572"/>
      <c r="J97" s="580">
        <v>45615</v>
      </c>
      <c r="K97" s="569">
        <v>52.83</v>
      </c>
      <c r="L97" s="569">
        <v>0</v>
      </c>
      <c r="M97" s="569">
        <v>10.56</v>
      </c>
      <c r="N97" s="569">
        <v>3.14</v>
      </c>
      <c r="O97" s="569"/>
      <c r="P97" s="573" t="str">
        <f>IF(O97="","",IFERROR(O97/$O$178,""))</f>
        <v/>
      </c>
      <c r="Q97" s="577"/>
      <c r="R97" s="574"/>
      <c r="S97" s="574"/>
      <c r="T97" s="575" t="str">
        <f t="shared" si="45"/>
        <v/>
      </c>
      <c r="U97" s="574"/>
      <c r="V97" s="576"/>
      <c r="W97" s="573" t="str">
        <f t="shared" si="46"/>
        <v/>
      </c>
      <c r="X97" s="573" t="str">
        <f t="shared" si="47"/>
        <v/>
      </c>
      <c r="Y97" s="572"/>
    </row>
    <row r="98" spans="2:25" ht="15.05" customHeight="1" x14ac:dyDescent="0.35">
      <c r="B98" s="567" t="s">
        <v>2096</v>
      </c>
      <c r="C98" s="569" t="s">
        <v>2059</v>
      </c>
      <c r="D98" s="645">
        <v>45597</v>
      </c>
      <c r="E98" s="568"/>
      <c r="F98" s="568"/>
      <c r="G98" s="569"/>
      <c r="H98" s="572"/>
      <c r="I98" s="572"/>
      <c r="J98" s="580">
        <v>45646</v>
      </c>
      <c r="K98" s="569">
        <v>33.43</v>
      </c>
      <c r="L98" s="569">
        <v>0</v>
      </c>
      <c r="M98" s="569">
        <v>6.68</v>
      </c>
      <c r="N98" s="569">
        <v>1.67</v>
      </c>
      <c r="O98" s="569"/>
      <c r="P98" s="573" t="str">
        <f>IF(O98="","",IFERROR(O98/$O$178,""))</f>
        <v/>
      </c>
      <c r="Q98" s="577"/>
      <c r="R98" s="574"/>
      <c r="S98" s="574"/>
      <c r="T98" s="575" t="str">
        <f t="shared" si="45"/>
        <v/>
      </c>
      <c r="U98" s="574"/>
      <c r="V98" s="576"/>
      <c r="W98" s="573" t="str">
        <f t="shared" si="46"/>
        <v/>
      </c>
      <c r="X98" s="573" t="str">
        <f t="shared" si="47"/>
        <v/>
      </c>
      <c r="Y98" s="572"/>
    </row>
    <row r="99" spans="2:25" ht="15.05" customHeight="1" x14ac:dyDescent="0.35">
      <c r="B99" s="567" t="s">
        <v>2096</v>
      </c>
      <c r="C99" s="569" t="s">
        <v>2059</v>
      </c>
      <c r="D99" s="645">
        <v>45627</v>
      </c>
      <c r="E99" s="568"/>
      <c r="F99" s="568"/>
      <c r="G99" s="569"/>
      <c r="H99" s="572"/>
      <c r="I99" s="572"/>
      <c r="J99" s="580">
        <v>45677</v>
      </c>
      <c r="K99" s="569">
        <v>36.32</v>
      </c>
      <c r="L99" s="569">
        <v>0</v>
      </c>
      <c r="M99" s="569">
        <v>7.26</v>
      </c>
      <c r="N99" s="569">
        <v>1.45</v>
      </c>
      <c r="O99" s="569"/>
      <c r="P99" s="573" t="str">
        <f>IF(O99="","",IFERROR(O99/$O$178,""))</f>
        <v/>
      </c>
      <c r="Q99" s="577"/>
      <c r="R99" s="574"/>
      <c r="S99" s="574"/>
      <c r="T99" s="575" t="str">
        <f t="shared" si="45"/>
        <v/>
      </c>
      <c r="U99" s="574"/>
      <c r="V99" s="576"/>
      <c r="W99" s="573" t="str">
        <f t="shared" si="46"/>
        <v/>
      </c>
      <c r="X99" s="573" t="str">
        <f t="shared" si="47"/>
        <v/>
      </c>
      <c r="Y99" s="572"/>
    </row>
    <row r="100" spans="2:25" ht="15.05" customHeight="1" x14ac:dyDescent="0.35">
      <c r="B100" s="567" t="s">
        <v>2096</v>
      </c>
      <c r="C100" s="569" t="s">
        <v>2059</v>
      </c>
      <c r="D100" s="645">
        <v>45658</v>
      </c>
      <c r="E100" s="568"/>
      <c r="F100" s="568"/>
      <c r="G100" s="569"/>
      <c r="H100" s="572"/>
      <c r="I100" s="572"/>
      <c r="J100" s="580">
        <v>45708</v>
      </c>
      <c r="K100" s="569">
        <v>36.590000000000003</v>
      </c>
      <c r="L100" s="569">
        <v>0</v>
      </c>
      <c r="M100" s="569">
        <v>7.31</v>
      </c>
      <c r="N100" s="569">
        <v>1.1000000000000001</v>
      </c>
      <c r="O100" s="569"/>
      <c r="P100" s="573" t="str">
        <f>IF(O100="","",IFERROR(O100/$O$178,""))</f>
        <v/>
      </c>
      <c r="Q100" s="577"/>
      <c r="R100" s="574"/>
      <c r="S100" s="574"/>
      <c r="T100" s="575" t="str">
        <f t="shared" si="45"/>
        <v/>
      </c>
      <c r="U100" s="574"/>
      <c r="V100" s="576"/>
      <c r="W100" s="573" t="str">
        <f t="shared" si="46"/>
        <v/>
      </c>
      <c r="X100" s="573" t="str">
        <f t="shared" si="47"/>
        <v/>
      </c>
      <c r="Y100" s="572"/>
    </row>
    <row r="101" spans="2:25" ht="15.05" customHeight="1" x14ac:dyDescent="0.35">
      <c r="B101" s="567" t="s">
        <v>2096</v>
      </c>
      <c r="C101" s="569" t="s">
        <v>2059</v>
      </c>
      <c r="D101" s="645">
        <v>45689</v>
      </c>
      <c r="E101" s="568"/>
      <c r="F101" s="568"/>
      <c r="G101" s="569"/>
      <c r="H101" s="572"/>
      <c r="I101" s="572"/>
      <c r="J101" s="580">
        <v>45736</v>
      </c>
      <c r="K101" s="569">
        <v>27.61</v>
      </c>
      <c r="L101" s="569">
        <v>0</v>
      </c>
      <c r="M101" s="569">
        <v>4.46</v>
      </c>
      <c r="N101" s="569">
        <v>0.56000000000000005</v>
      </c>
      <c r="O101" s="569"/>
      <c r="P101" s="573" t="str">
        <f>IF(O101="","",IFERROR(O101/$O$178,""))</f>
        <v/>
      </c>
      <c r="Q101" s="577"/>
      <c r="R101" s="574"/>
      <c r="S101" s="574"/>
      <c r="T101" s="575" t="str">
        <f t="shared" ref="T101:T112" si="48">IF(R101="","",IFERROR(R101-S101,""))</f>
        <v/>
      </c>
      <c r="U101" s="574"/>
      <c r="V101" s="576"/>
      <c r="W101" s="573" t="str">
        <f t="shared" ref="W101:W112" si="49">IFERROR(S101/R101,"")</f>
        <v/>
      </c>
      <c r="X101" s="573" t="str">
        <f t="shared" ref="X101:X112" si="50">IFERROR(100%-W101,"")</f>
        <v/>
      </c>
      <c r="Y101" s="572"/>
    </row>
    <row r="102" spans="2:25" ht="15.05" customHeight="1" x14ac:dyDescent="0.35">
      <c r="B102" s="567" t="s">
        <v>2096</v>
      </c>
      <c r="C102" s="569" t="s">
        <v>2059</v>
      </c>
      <c r="D102" s="645">
        <v>45717</v>
      </c>
      <c r="E102" s="568"/>
      <c r="F102" s="568"/>
      <c r="G102" s="569"/>
      <c r="H102" s="572"/>
      <c r="I102" s="572"/>
      <c r="J102" s="580">
        <v>45764</v>
      </c>
      <c r="K102" s="569">
        <v>21.64</v>
      </c>
      <c r="L102" s="569">
        <v>0</v>
      </c>
      <c r="M102" s="569">
        <v>1.21</v>
      </c>
      <c r="N102" s="569">
        <v>0.21</v>
      </c>
      <c r="O102" s="569"/>
      <c r="P102" s="573" t="str">
        <f>IF(O102="","",IFERROR(O102/$O$178,""))</f>
        <v/>
      </c>
      <c r="Q102" s="577"/>
      <c r="R102" s="574"/>
      <c r="S102" s="574"/>
      <c r="T102" s="575" t="str">
        <f t="shared" si="48"/>
        <v/>
      </c>
      <c r="U102" s="574"/>
      <c r="V102" s="576"/>
      <c r="W102" s="573" t="str">
        <f t="shared" si="49"/>
        <v/>
      </c>
      <c r="X102" s="573" t="str">
        <f t="shared" si="50"/>
        <v/>
      </c>
      <c r="Y102" s="572"/>
    </row>
    <row r="103" spans="2:25" ht="15.05" customHeight="1" x14ac:dyDescent="0.35">
      <c r="B103" s="567" t="s">
        <v>2097</v>
      </c>
      <c r="C103" s="569" t="s">
        <v>2059</v>
      </c>
      <c r="D103" s="645" t="s">
        <v>2070</v>
      </c>
      <c r="E103" s="568"/>
      <c r="F103" s="568"/>
      <c r="G103" s="569"/>
      <c r="H103" s="572"/>
      <c r="I103" s="572"/>
      <c r="J103" s="580">
        <v>45646</v>
      </c>
      <c r="K103" s="569">
        <v>28.88</v>
      </c>
      <c r="L103" s="569">
        <v>0</v>
      </c>
      <c r="M103" s="569">
        <v>5.77</v>
      </c>
      <c r="N103" s="569">
        <v>1.44</v>
      </c>
      <c r="O103" s="569"/>
      <c r="P103" s="573" t="str">
        <f>IF(O103="","",IFERROR(O103/$O$178,""))</f>
        <v/>
      </c>
      <c r="Q103" s="577"/>
      <c r="R103" s="574"/>
      <c r="S103" s="574"/>
      <c r="T103" s="575" t="str">
        <f t="shared" si="48"/>
        <v/>
      </c>
      <c r="U103" s="574"/>
      <c r="V103" s="576"/>
      <c r="W103" s="573" t="str">
        <f t="shared" si="49"/>
        <v/>
      </c>
      <c r="X103" s="573" t="str">
        <f t="shared" si="50"/>
        <v/>
      </c>
      <c r="Y103" s="572"/>
    </row>
    <row r="104" spans="2:25" ht="30.05" customHeight="1" x14ac:dyDescent="0.35">
      <c r="B104" s="567" t="s">
        <v>2088</v>
      </c>
      <c r="C104" s="569" t="s">
        <v>2059</v>
      </c>
      <c r="D104" s="645">
        <v>45748</v>
      </c>
      <c r="E104" s="568" t="s">
        <v>1927</v>
      </c>
      <c r="F104" s="568"/>
      <c r="G104" s="569"/>
      <c r="H104" s="572"/>
      <c r="I104" s="572"/>
      <c r="J104" s="580">
        <v>45797</v>
      </c>
      <c r="K104" s="569">
        <v>294.47000000000003</v>
      </c>
      <c r="L104" s="569">
        <v>0</v>
      </c>
      <c r="M104" s="569">
        <v>0</v>
      </c>
      <c r="N104" s="569">
        <v>0</v>
      </c>
      <c r="O104" s="569"/>
      <c r="P104" s="573" t="str">
        <f>IF(O104="","",IFERROR(O104/$O$178,""))</f>
        <v/>
      </c>
      <c r="Q104" s="577"/>
      <c r="R104" s="574"/>
      <c r="S104" s="574"/>
      <c r="T104" s="575" t="str">
        <f t="shared" si="48"/>
        <v/>
      </c>
      <c r="U104" s="574"/>
      <c r="V104" s="576"/>
      <c r="W104" s="573" t="str">
        <f t="shared" si="49"/>
        <v/>
      </c>
      <c r="X104" s="573" t="str">
        <f t="shared" si="50"/>
        <v/>
      </c>
      <c r="Y104" s="572"/>
    </row>
    <row r="105" spans="2:25" ht="30.05" customHeight="1" x14ac:dyDescent="0.35">
      <c r="B105" s="567" t="s">
        <v>2069</v>
      </c>
      <c r="C105" s="569" t="s">
        <v>2059</v>
      </c>
      <c r="D105" s="645">
        <v>45748</v>
      </c>
      <c r="E105" s="568" t="s">
        <v>1927</v>
      </c>
      <c r="F105" s="568"/>
      <c r="G105" s="569"/>
      <c r="H105" s="572"/>
      <c r="I105" s="572"/>
      <c r="J105" s="580">
        <v>45800</v>
      </c>
      <c r="K105" s="569">
        <v>77.89</v>
      </c>
      <c r="L105" s="569">
        <v>0</v>
      </c>
      <c r="M105" s="569">
        <v>0</v>
      </c>
      <c r="N105" s="569">
        <v>0</v>
      </c>
      <c r="O105" s="569"/>
      <c r="P105" s="573" t="str">
        <f>IF(O105="","",IFERROR(O105/$O$178,""))</f>
        <v/>
      </c>
      <c r="Q105" s="577"/>
      <c r="R105" s="574"/>
      <c r="S105" s="574"/>
      <c r="T105" s="575" t="str">
        <f t="shared" si="48"/>
        <v/>
      </c>
      <c r="U105" s="574"/>
      <c r="V105" s="576"/>
      <c r="W105" s="573" t="str">
        <f t="shared" si="49"/>
        <v/>
      </c>
      <c r="X105" s="573" t="str">
        <f t="shared" si="50"/>
        <v/>
      </c>
      <c r="Y105" s="572"/>
    </row>
    <row r="106" spans="2:25" ht="30.05" customHeight="1" x14ac:dyDescent="0.35">
      <c r="B106" s="567" t="s">
        <v>2089</v>
      </c>
      <c r="C106" s="569" t="s">
        <v>2059</v>
      </c>
      <c r="D106" s="645">
        <v>45748</v>
      </c>
      <c r="E106" s="568" t="s">
        <v>1927</v>
      </c>
      <c r="F106" s="568"/>
      <c r="G106" s="569"/>
      <c r="H106" s="572"/>
      <c r="I106" s="572"/>
      <c r="J106" s="580">
        <v>45797</v>
      </c>
      <c r="K106" s="569">
        <v>718.38</v>
      </c>
      <c r="L106" s="569">
        <v>0</v>
      </c>
      <c r="M106" s="569">
        <v>0</v>
      </c>
      <c r="N106" s="569">
        <v>0</v>
      </c>
      <c r="O106" s="569"/>
      <c r="P106" s="573" t="str">
        <f>IF(O106="","",IFERROR(O106/$O$178,""))</f>
        <v/>
      </c>
      <c r="Q106" s="577"/>
      <c r="R106" s="574"/>
      <c r="S106" s="574"/>
      <c r="T106" s="575" t="str">
        <f t="shared" si="48"/>
        <v/>
      </c>
      <c r="U106" s="574"/>
      <c r="V106" s="576"/>
      <c r="W106" s="573" t="str">
        <f t="shared" si="49"/>
        <v/>
      </c>
      <c r="X106" s="573" t="str">
        <f t="shared" si="50"/>
        <v/>
      </c>
      <c r="Y106" s="572"/>
    </row>
    <row r="107" spans="2:25" ht="30.05" customHeight="1" x14ac:dyDescent="0.35">
      <c r="B107" s="567" t="s">
        <v>2090</v>
      </c>
      <c r="C107" s="569" t="s">
        <v>2059</v>
      </c>
      <c r="D107" s="645">
        <v>45748</v>
      </c>
      <c r="E107" s="568" t="s">
        <v>1927</v>
      </c>
      <c r="F107" s="568"/>
      <c r="G107" s="569"/>
      <c r="H107" s="572"/>
      <c r="I107" s="572"/>
      <c r="J107" s="580">
        <v>45797</v>
      </c>
      <c r="K107" s="569">
        <v>1557.89</v>
      </c>
      <c r="L107" s="569">
        <v>0</v>
      </c>
      <c r="M107" s="569">
        <v>0</v>
      </c>
      <c r="N107" s="569">
        <v>0</v>
      </c>
      <c r="O107" s="569"/>
      <c r="P107" s="573" t="str">
        <f>IF(O107="","",IFERROR(O107/$O$178,""))</f>
        <v/>
      </c>
      <c r="Q107" s="577"/>
      <c r="R107" s="574"/>
      <c r="S107" s="574"/>
      <c r="T107" s="575" t="str">
        <f t="shared" si="48"/>
        <v/>
      </c>
      <c r="U107" s="574"/>
      <c r="V107" s="576"/>
      <c r="W107" s="573" t="str">
        <f t="shared" si="49"/>
        <v/>
      </c>
      <c r="X107" s="573" t="str">
        <f t="shared" si="50"/>
        <v/>
      </c>
      <c r="Y107" s="572"/>
    </row>
    <row r="108" spans="2:25" ht="30.05" customHeight="1" x14ac:dyDescent="0.35">
      <c r="B108" s="567" t="s">
        <v>2098</v>
      </c>
      <c r="C108" s="569" t="s">
        <v>2059</v>
      </c>
      <c r="D108" s="645">
        <v>45748</v>
      </c>
      <c r="E108" s="568" t="s">
        <v>1927</v>
      </c>
      <c r="F108" s="568"/>
      <c r="G108" s="569"/>
      <c r="H108" s="572"/>
      <c r="I108" s="572"/>
      <c r="J108" s="580">
        <v>45797</v>
      </c>
      <c r="K108" s="569">
        <v>77.89</v>
      </c>
      <c r="L108" s="569">
        <v>0</v>
      </c>
      <c r="M108" s="569">
        <v>0</v>
      </c>
      <c r="N108" s="569">
        <v>0</v>
      </c>
      <c r="O108" s="569"/>
      <c r="P108" s="573" t="str">
        <f>IF(O108="","",IFERROR(O108/$O$178,""))</f>
        <v/>
      </c>
      <c r="Q108" s="577"/>
      <c r="R108" s="574"/>
      <c r="S108" s="574"/>
      <c r="T108" s="575" t="str">
        <f t="shared" si="48"/>
        <v/>
      </c>
      <c r="U108" s="574"/>
      <c r="V108" s="576"/>
      <c r="W108" s="573" t="str">
        <f t="shared" si="49"/>
        <v/>
      </c>
      <c r="X108" s="573" t="str">
        <f t="shared" si="50"/>
        <v/>
      </c>
      <c r="Y108" s="572"/>
    </row>
    <row r="109" spans="2:25" ht="30.05" customHeight="1" x14ac:dyDescent="0.35">
      <c r="B109" s="567" t="s">
        <v>2091</v>
      </c>
      <c r="C109" s="569" t="s">
        <v>2059</v>
      </c>
      <c r="D109" s="645">
        <v>45748</v>
      </c>
      <c r="E109" s="568" t="s">
        <v>1927</v>
      </c>
      <c r="F109" s="568"/>
      <c r="G109" s="569"/>
      <c r="H109" s="572"/>
      <c r="I109" s="572"/>
      <c r="J109" s="580">
        <v>45797</v>
      </c>
      <c r="K109" s="569">
        <v>194.73</v>
      </c>
      <c r="L109" s="569">
        <v>0</v>
      </c>
      <c r="M109" s="569">
        <v>0</v>
      </c>
      <c r="N109" s="569">
        <v>0</v>
      </c>
      <c r="O109" s="569"/>
      <c r="P109" s="573" t="str">
        <f>IF(O109="","",IFERROR(O109/$O$178,""))</f>
        <v/>
      </c>
      <c r="Q109" s="577"/>
      <c r="R109" s="574"/>
      <c r="S109" s="574"/>
      <c r="T109" s="575" t="str">
        <f t="shared" si="48"/>
        <v/>
      </c>
      <c r="U109" s="574"/>
      <c r="V109" s="576"/>
      <c r="W109" s="573" t="str">
        <f t="shared" si="49"/>
        <v/>
      </c>
      <c r="X109" s="573" t="str">
        <f t="shared" si="50"/>
        <v/>
      </c>
      <c r="Y109" s="572"/>
    </row>
    <row r="110" spans="2:25" ht="30.05" customHeight="1" x14ac:dyDescent="0.35">
      <c r="B110" s="567" t="s">
        <v>2092</v>
      </c>
      <c r="C110" s="569" t="s">
        <v>2059</v>
      </c>
      <c r="D110" s="645">
        <v>45748</v>
      </c>
      <c r="E110" s="568" t="s">
        <v>1927</v>
      </c>
      <c r="F110" s="568"/>
      <c r="G110" s="569"/>
      <c r="H110" s="572"/>
      <c r="I110" s="572"/>
      <c r="J110" s="580">
        <v>45797</v>
      </c>
      <c r="K110" s="569">
        <v>15.57</v>
      </c>
      <c r="L110" s="569">
        <v>0</v>
      </c>
      <c r="M110" s="569">
        <v>0</v>
      </c>
      <c r="N110" s="569">
        <v>0</v>
      </c>
      <c r="O110" s="569"/>
      <c r="P110" s="573" t="str">
        <f>IF(O110="","",IFERROR(O110/$O$178,""))</f>
        <v/>
      </c>
      <c r="Q110" s="577"/>
      <c r="R110" s="574"/>
      <c r="S110" s="574"/>
      <c r="T110" s="575" t="str">
        <f t="shared" si="48"/>
        <v/>
      </c>
      <c r="U110" s="574"/>
      <c r="V110" s="576"/>
      <c r="W110" s="573" t="str">
        <f t="shared" si="49"/>
        <v/>
      </c>
      <c r="X110" s="573" t="str">
        <f t="shared" si="50"/>
        <v/>
      </c>
      <c r="Y110" s="572"/>
    </row>
    <row r="111" spans="2:25" ht="30.05" customHeight="1" x14ac:dyDescent="0.35">
      <c r="B111" s="567" t="s">
        <v>2094</v>
      </c>
      <c r="C111" s="569" t="s">
        <v>2059</v>
      </c>
      <c r="D111" s="645">
        <v>45748</v>
      </c>
      <c r="E111" s="568" t="s">
        <v>1927</v>
      </c>
      <c r="F111" s="568"/>
      <c r="G111" s="569"/>
      <c r="H111" s="572"/>
      <c r="I111" s="572"/>
      <c r="J111" s="580">
        <v>45797</v>
      </c>
      <c r="K111" s="569">
        <v>116.84</v>
      </c>
      <c r="L111" s="569">
        <v>0</v>
      </c>
      <c r="M111" s="569">
        <v>0</v>
      </c>
      <c r="N111" s="569">
        <v>0</v>
      </c>
      <c r="O111" s="569"/>
      <c r="P111" s="573" t="str">
        <f>IF(O111="","",IFERROR(O111/$O$178,""))</f>
        <v/>
      </c>
      <c r="Q111" s="577"/>
      <c r="R111" s="574"/>
      <c r="S111" s="574"/>
      <c r="T111" s="575" t="str">
        <f t="shared" si="48"/>
        <v/>
      </c>
      <c r="U111" s="574"/>
      <c r="V111" s="576"/>
      <c r="W111" s="573" t="str">
        <f t="shared" si="49"/>
        <v/>
      </c>
      <c r="X111" s="573" t="str">
        <f t="shared" si="50"/>
        <v/>
      </c>
      <c r="Y111" s="572"/>
    </row>
    <row r="112" spans="2:25" ht="30.05" customHeight="1" x14ac:dyDescent="0.35">
      <c r="B112" s="567" t="s">
        <v>2096</v>
      </c>
      <c r="C112" s="569" t="s">
        <v>2059</v>
      </c>
      <c r="D112" s="645">
        <v>45748</v>
      </c>
      <c r="E112" s="568" t="s">
        <v>1927</v>
      </c>
      <c r="F112" s="568"/>
      <c r="G112" s="569"/>
      <c r="H112" s="572"/>
      <c r="I112" s="572"/>
      <c r="J112" s="580">
        <v>45797</v>
      </c>
      <c r="K112" s="569">
        <v>23.36</v>
      </c>
      <c r="L112" s="569">
        <v>0</v>
      </c>
      <c r="M112" s="569">
        <v>0</v>
      </c>
      <c r="N112" s="569">
        <v>0</v>
      </c>
      <c r="O112" s="569"/>
      <c r="P112" s="573" t="str">
        <f>IF(O112="","",IFERROR(O112/$O$178,""))</f>
        <v/>
      </c>
      <c r="Q112" s="577"/>
      <c r="R112" s="574"/>
      <c r="S112" s="574"/>
      <c r="T112" s="575" t="str">
        <f t="shared" si="48"/>
        <v/>
      </c>
      <c r="U112" s="574"/>
      <c r="V112" s="576"/>
      <c r="W112" s="573" t="str">
        <f t="shared" si="49"/>
        <v/>
      </c>
      <c r="X112" s="573" t="str">
        <f t="shared" si="50"/>
        <v/>
      </c>
      <c r="Y112" s="572"/>
    </row>
    <row r="113" spans="2:25" ht="15.05" customHeight="1" x14ac:dyDescent="0.35">
      <c r="B113" s="567" t="s">
        <v>2072</v>
      </c>
      <c r="C113" s="569" t="s">
        <v>2059</v>
      </c>
      <c r="D113" s="581">
        <v>45208</v>
      </c>
      <c r="E113" s="568" t="s">
        <v>2075</v>
      </c>
      <c r="F113" s="568" t="s">
        <v>1937</v>
      </c>
      <c r="G113" s="569" t="s">
        <v>2073</v>
      </c>
      <c r="H113" s="572"/>
      <c r="I113" s="635">
        <v>45785</v>
      </c>
      <c r="J113" s="580"/>
      <c r="K113" s="569"/>
      <c r="L113" s="569">
        <v>0</v>
      </c>
      <c r="M113" s="569">
        <v>0</v>
      </c>
      <c r="N113" s="569">
        <v>0</v>
      </c>
      <c r="O113" s="569"/>
      <c r="P113" s="573" t="str">
        <f>IF(O113="","",IFERROR(O113/$O$178,""))</f>
        <v/>
      </c>
      <c r="Q113" s="577"/>
      <c r="R113" s="574"/>
      <c r="S113" s="574"/>
      <c r="T113" s="634" t="str">
        <f>IF(R113="","",IFERROR(R113-S113,""))</f>
        <v/>
      </c>
      <c r="U113" s="574"/>
      <c r="V113" s="576"/>
      <c r="W113" s="573" t="str">
        <f>IFERROR(S113/R113,"")</f>
        <v/>
      </c>
      <c r="X113" s="573" t="str">
        <f>IFERROR(100%-W113,"")</f>
        <v/>
      </c>
      <c r="Y113" s="572"/>
    </row>
    <row r="114" spans="2:25" ht="15.05" customHeight="1" x14ac:dyDescent="0.35">
      <c r="B114" s="567" t="s">
        <v>2072</v>
      </c>
      <c r="C114" s="569" t="s">
        <v>2059</v>
      </c>
      <c r="D114" s="581">
        <v>45348</v>
      </c>
      <c r="E114" s="568" t="s">
        <v>2075</v>
      </c>
      <c r="F114" s="568" t="s">
        <v>1934</v>
      </c>
      <c r="G114" s="569" t="s">
        <v>2076</v>
      </c>
      <c r="H114" s="572"/>
      <c r="I114" s="635">
        <v>45785</v>
      </c>
      <c r="J114" s="580"/>
      <c r="K114" s="569"/>
      <c r="L114" s="569">
        <v>0</v>
      </c>
      <c r="M114" s="569">
        <v>0</v>
      </c>
      <c r="N114" s="569">
        <v>0</v>
      </c>
      <c r="O114" s="569"/>
      <c r="P114" s="573" t="str">
        <f>IF(O114="","",IFERROR(O114/$O$178,""))</f>
        <v/>
      </c>
      <c r="Q114" s="577"/>
      <c r="R114" s="574"/>
      <c r="S114" s="574"/>
      <c r="T114" s="634" t="str">
        <f>IF(R114="","",IFERROR(R114-S114,""))</f>
        <v/>
      </c>
      <c r="U114" s="574"/>
      <c r="V114" s="576"/>
      <c r="W114" s="573" t="str">
        <f>IFERROR(S114/R114,"")</f>
        <v/>
      </c>
      <c r="X114" s="573" t="str">
        <f>IFERROR(100%-W114,"")</f>
        <v/>
      </c>
      <c r="Y114" s="572"/>
    </row>
    <row r="115" spans="2:25" ht="15.05" customHeight="1" x14ac:dyDescent="0.35">
      <c r="B115" s="567" t="s">
        <v>2072</v>
      </c>
      <c r="C115" s="569" t="s">
        <v>2059</v>
      </c>
      <c r="D115" s="581">
        <v>45600</v>
      </c>
      <c r="E115" s="568" t="s">
        <v>2075</v>
      </c>
      <c r="F115" s="568" t="s">
        <v>1930</v>
      </c>
      <c r="G115" s="569" t="s">
        <v>2082</v>
      </c>
      <c r="H115" s="572"/>
      <c r="I115" s="635">
        <v>45785</v>
      </c>
      <c r="J115" s="580"/>
      <c r="K115" s="569"/>
      <c r="L115" s="569">
        <v>0</v>
      </c>
      <c r="M115" s="569">
        <v>0</v>
      </c>
      <c r="N115" s="569">
        <v>0</v>
      </c>
      <c r="O115" s="569"/>
      <c r="P115" s="573" t="str">
        <f>IF(O115="","",IFERROR(O115/$O$178,""))</f>
        <v/>
      </c>
      <c r="Q115" s="577"/>
      <c r="R115" s="574"/>
      <c r="S115" s="574"/>
      <c r="T115" s="634" t="str">
        <f>IF(R115="","",IFERROR(R115-S115,""))</f>
        <v/>
      </c>
      <c r="U115" s="574"/>
      <c r="V115" s="576"/>
      <c r="W115" s="573" t="str">
        <f>IFERROR(S115/R115,"")</f>
        <v/>
      </c>
      <c r="X115" s="573" t="str">
        <f>IFERROR(100%-W115,"")</f>
        <v/>
      </c>
      <c r="Y115" s="572"/>
    </row>
    <row r="116" spans="2:25" ht="15.05" customHeight="1" x14ac:dyDescent="0.35">
      <c r="B116" s="567" t="s">
        <v>2072</v>
      </c>
      <c r="C116" s="569" t="s">
        <v>2059</v>
      </c>
      <c r="D116" s="581">
        <v>45600</v>
      </c>
      <c r="E116" s="568" t="s">
        <v>2075</v>
      </c>
      <c r="F116" s="568" t="s">
        <v>1933</v>
      </c>
      <c r="G116" s="569" t="s">
        <v>2083</v>
      </c>
      <c r="H116" s="572"/>
      <c r="I116" s="635">
        <v>45785</v>
      </c>
      <c r="J116" s="580"/>
      <c r="K116" s="569"/>
      <c r="L116" s="569">
        <v>0</v>
      </c>
      <c r="M116" s="569">
        <v>0</v>
      </c>
      <c r="N116" s="569">
        <v>0</v>
      </c>
      <c r="O116" s="569"/>
      <c r="P116" s="573" t="str">
        <f>IF(O116="","",IFERROR(O116/$O$178,""))</f>
        <v/>
      </c>
      <c r="Q116" s="577"/>
      <c r="R116" s="574"/>
      <c r="S116" s="574"/>
      <c r="T116" s="634" t="str">
        <f>IF(R116="","",IFERROR(R116-S116,""))</f>
        <v/>
      </c>
      <c r="U116" s="574"/>
      <c r="V116" s="576"/>
      <c r="W116" s="573" t="str">
        <f>IFERROR(S116/R116,"")</f>
        <v/>
      </c>
      <c r="X116" s="573" t="str">
        <f>IFERROR(100%-W116,"")</f>
        <v/>
      </c>
      <c r="Y116" s="572"/>
    </row>
    <row r="117" spans="2:25" ht="15.05" customHeight="1" x14ac:dyDescent="0.35">
      <c r="B117" s="567" t="s">
        <v>2077</v>
      </c>
      <c r="C117" s="569" t="s">
        <v>2059</v>
      </c>
      <c r="D117" s="581">
        <v>45012</v>
      </c>
      <c r="E117" s="568" t="s">
        <v>2075</v>
      </c>
      <c r="F117" s="568" t="s">
        <v>1971</v>
      </c>
      <c r="G117" s="569" t="s">
        <v>2084</v>
      </c>
      <c r="H117" s="572"/>
      <c r="I117" s="635">
        <v>45785</v>
      </c>
      <c r="J117" s="580"/>
      <c r="K117" s="569"/>
      <c r="L117" s="569">
        <v>0</v>
      </c>
      <c r="M117" s="569">
        <v>0</v>
      </c>
      <c r="N117" s="569">
        <v>0</v>
      </c>
      <c r="O117" s="569"/>
      <c r="P117" s="573" t="str">
        <f>IF(O117="","",IFERROR(O117/$O$178,""))</f>
        <v/>
      </c>
      <c r="Q117" s="577"/>
      <c r="R117" s="574"/>
      <c r="S117" s="574"/>
      <c r="T117" s="634" t="str">
        <f>IF(R117="","",IFERROR(R117-S117,""))</f>
        <v/>
      </c>
      <c r="U117" s="574"/>
      <c r="V117" s="576"/>
      <c r="W117" s="573" t="str">
        <f>IFERROR(S117/R117,"")</f>
        <v/>
      </c>
      <c r="X117" s="573" t="str">
        <f>IFERROR(100%-W117,"")</f>
        <v/>
      </c>
      <c r="Y117" s="572"/>
    </row>
    <row r="118" spans="2:25" ht="15.05" customHeight="1" x14ac:dyDescent="0.35">
      <c r="B118" s="567" t="s">
        <v>2078</v>
      </c>
      <c r="C118" s="569" t="s">
        <v>2059</v>
      </c>
      <c r="D118" s="581">
        <v>45012</v>
      </c>
      <c r="E118" s="568" t="s">
        <v>2075</v>
      </c>
      <c r="F118" s="568" t="s">
        <v>1972</v>
      </c>
      <c r="G118" s="569" t="s">
        <v>2084</v>
      </c>
      <c r="H118" s="572"/>
      <c r="I118" s="635">
        <v>45785</v>
      </c>
      <c r="J118" s="580"/>
      <c r="K118" s="569"/>
      <c r="L118" s="569">
        <v>0</v>
      </c>
      <c r="M118" s="569">
        <v>0</v>
      </c>
      <c r="N118" s="569">
        <v>0</v>
      </c>
      <c r="O118" s="569"/>
      <c r="P118" s="573" t="str">
        <f>IF(O118="","",IFERROR(O118/$O$178,""))</f>
        <v/>
      </c>
      <c r="Q118" s="577"/>
      <c r="R118" s="574"/>
      <c r="S118" s="574"/>
      <c r="T118" s="634" t="str">
        <f>IF(R118="","",IFERROR(R118-S118,""))</f>
        <v/>
      </c>
      <c r="U118" s="574"/>
      <c r="V118" s="576"/>
      <c r="W118" s="573" t="str">
        <f>IFERROR(S118/R118,"")</f>
        <v/>
      </c>
      <c r="X118" s="573" t="str">
        <f>IFERROR(100%-W118,"")</f>
        <v/>
      </c>
      <c r="Y118" s="572"/>
    </row>
    <row r="119" spans="2:25" ht="15.05" customHeight="1" x14ac:dyDescent="0.35">
      <c r="B119" s="567" t="s">
        <v>2079</v>
      </c>
      <c r="C119" s="569" t="s">
        <v>2059</v>
      </c>
      <c r="D119" s="581">
        <v>45012</v>
      </c>
      <c r="E119" s="568" t="s">
        <v>2075</v>
      </c>
      <c r="F119" s="568" t="s">
        <v>1973</v>
      </c>
      <c r="G119" s="569" t="s">
        <v>2084</v>
      </c>
      <c r="H119" s="572"/>
      <c r="I119" s="635">
        <v>45785</v>
      </c>
      <c r="J119" s="580"/>
      <c r="K119" s="569"/>
      <c r="L119" s="569">
        <v>0</v>
      </c>
      <c r="M119" s="569">
        <v>0</v>
      </c>
      <c r="N119" s="569">
        <v>0</v>
      </c>
      <c r="O119" s="569"/>
      <c r="P119" s="573" t="str">
        <f>IF(O119="","",IFERROR(O119/$O$178,""))</f>
        <v/>
      </c>
      <c r="Q119" s="577"/>
      <c r="R119" s="574"/>
      <c r="S119" s="574"/>
      <c r="T119" s="634" t="str">
        <f>IF(R119="","",IFERROR(R119-S119,""))</f>
        <v/>
      </c>
      <c r="U119" s="574"/>
      <c r="V119" s="576"/>
      <c r="W119" s="573" t="str">
        <f>IFERROR(S119/R119,"")</f>
        <v/>
      </c>
      <c r="X119" s="573" t="str">
        <f>IFERROR(100%-W119,"")</f>
        <v/>
      </c>
      <c r="Y119" s="572"/>
    </row>
    <row r="120" spans="2:25" ht="15.05" customHeight="1" x14ac:dyDescent="0.35">
      <c r="B120" s="567" t="s">
        <v>2080</v>
      </c>
      <c r="C120" s="569" t="s">
        <v>2059</v>
      </c>
      <c r="D120" s="581">
        <v>45012</v>
      </c>
      <c r="E120" s="568" t="s">
        <v>2075</v>
      </c>
      <c r="F120" s="568" t="s">
        <v>1974</v>
      </c>
      <c r="G120" s="569" t="s">
        <v>2084</v>
      </c>
      <c r="H120" s="572"/>
      <c r="I120" s="635">
        <v>45785</v>
      </c>
      <c r="J120" s="580"/>
      <c r="K120" s="569"/>
      <c r="L120" s="569">
        <v>0</v>
      </c>
      <c r="M120" s="569">
        <v>0</v>
      </c>
      <c r="N120" s="569">
        <v>0</v>
      </c>
      <c r="O120" s="569"/>
      <c r="P120" s="573" t="str">
        <f>IF(O120="","",IFERROR(O120/$O$178,""))</f>
        <v/>
      </c>
      <c r="Q120" s="577"/>
      <c r="R120" s="574"/>
      <c r="S120" s="574"/>
      <c r="T120" s="634" t="str">
        <f>IF(R120="","",IFERROR(R120-S120,""))</f>
        <v/>
      </c>
      <c r="U120" s="574"/>
      <c r="V120" s="576"/>
      <c r="W120" s="573" t="str">
        <f>IFERROR(S120/R120,"")</f>
        <v/>
      </c>
      <c r="X120" s="573" t="str">
        <f>IFERROR(100%-W120,"")</f>
        <v/>
      </c>
      <c r="Y120" s="572"/>
    </row>
    <row r="121" spans="2:25" ht="15.05" customHeight="1" x14ac:dyDescent="0.35">
      <c r="B121" s="567" t="s">
        <v>2077</v>
      </c>
      <c r="C121" s="569" t="s">
        <v>2059</v>
      </c>
      <c r="D121" s="581">
        <v>45103</v>
      </c>
      <c r="E121" s="568" t="s">
        <v>2075</v>
      </c>
      <c r="F121" s="568" t="s">
        <v>1960</v>
      </c>
      <c r="G121" s="569" t="s">
        <v>2085</v>
      </c>
      <c r="H121" s="572"/>
      <c r="I121" s="635">
        <v>45785</v>
      </c>
      <c r="J121" s="580"/>
      <c r="K121" s="569"/>
      <c r="L121" s="569">
        <v>0</v>
      </c>
      <c r="M121" s="569">
        <v>0</v>
      </c>
      <c r="N121" s="569">
        <v>0</v>
      </c>
      <c r="O121" s="569"/>
      <c r="P121" s="573" t="str">
        <f>IF(O121="","",IFERROR(O121/$O$178,""))</f>
        <v/>
      </c>
      <c r="Q121" s="577"/>
      <c r="R121" s="574"/>
      <c r="S121" s="574"/>
      <c r="T121" s="634" t="str">
        <f>IF(R121="","",IFERROR(R121-S121,""))</f>
        <v/>
      </c>
      <c r="U121" s="574"/>
      <c r="V121" s="576"/>
      <c r="W121" s="573" t="str">
        <f>IFERROR(S121/R121,"")</f>
        <v/>
      </c>
      <c r="X121" s="573" t="str">
        <f>IFERROR(100%-W121,"")</f>
        <v/>
      </c>
      <c r="Y121" s="572"/>
    </row>
    <row r="122" spans="2:25" ht="15.05" customHeight="1" x14ac:dyDescent="0.35">
      <c r="B122" s="567" t="s">
        <v>2080</v>
      </c>
      <c r="C122" s="569" t="s">
        <v>2059</v>
      </c>
      <c r="D122" s="581">
        <v>45103</v>
      </c>
      <c r="E122" s="568" t="s">
        <v>2075</v>
      </c>
      <c r="F122" s="568" t="s">
        <v>1961</v>
      </c>
      <c r="G122" s="569" t="s">
        <v>2085</v>
      </c>
      <c r="H122" s="572"/>
      <c r="I122" s="635">
        <v>45785</v>
      </c>
      <c r="J122" s="580"/>
      <c r="K122" s="569"/>
      <c r="L122" s="569">
        <v>0</v>
      </c>
      <c r="M122" s="569">
        <v>0</v>
      </c>
      <c r="N122" s="569">
        <v>0</v>
      </c>
      <c r="O122" s="569"/>
      <c r="P122" s="573" t="str">
        <f>IF(O122="","",IFERROR(O122/$O$178,""))</f>
        <v/>
      </c>
      <c r="Q122" s="577"/>
      <c r="R122" s="574"/>
      <c r="S122" s="574"/>
      <c r="T122" s="634" t="str">
        <f>IF(R122="","",IFERROR(R122-S122,""))</f>
        <v/>
      </c>
      <c r="U122" s="574"/>
      <c r="V122" s="576"/>
      <c r="W122" s="573" t="str">
        <f>IFERROR(S122/R122,"")</f>
        <v/>
      </c>
      <c r="X122" s="573" t="str">
        <f>IFERROR(100%-W122,"")</f>
        <v/>
      </c>
      <c r="Y122" s="572"/>
    </row>
    <row r="123" spans="2:25" ht="15.05" customHeight="1" x14ac:dyDescent="0.35">
      <c r="B123" s="567" t="s">
        <v>2079</v>
      </c>
      <c r="C123" s="569" t="s">
        <v>2059</v>
      </c>
      <c r="D123" s="581">
        <v>45103</v>
      </c>
      <c r="E123" s="568" t="s">
        <v>2075</v>
      </c>
      <c r="F123" s="568" t="s">
        <v>1962</v>
      </c>
      <c r="G123" s="569" t="s">
        <v>2085</v>
      </c>
      <c r="H123" s="572"/>
      <c r="I123" s="635">
        <v>45785</v>
      </c>
      <c r="J123" s="580"/>
      <c r="K123" s="569"/>
      <c r="L123" s="569">
        <v>0</v>
      </c>
      <c r="M123" s="569">
        <v>0</v>
      </c>
      <c r="N123" s="569">
        <v>0</v>
      </c>
      <c r="O123" s="569"/>
      <c r="P123" s="573" t="str">
        <f>IF(O123="","",IFERROR(O123/$O$178,""))</f>
        <v/>
      </c>
      <c r="Q123" s="577"/>
      <c r="R123" s="574"/>
      <c r="S123" s="574"/>
      <c r="T123" s="634" t="str">
        <f>IF(R123="","",IFERROR(R123-S123,""))</f>
        <v/>
      </c>
      <c r="U123" s="574"/>
      <c r="V123" s="576"/>
      <c r="W123" s="573" t="str">
        <f>IFERROR(S123/R123,"")</f>
        <v/>
      </c>
      <c r="X123" s="573" t="str">
        <f>IFERROR(100%-W123,"")</f>
        <v/>
      </c>
      <c r="Y123" s="572"/>
    </row>
    <row r="124" spans="2:25" ht="15.05" customHeight="1" x14ac:dyDescent="0.35">
      <c r="B124" s="567" t="s">
        <v>2078</v>
      </c>
      <c r="C124" s="569" t="s">
        <v>2059</v>
      </c>
      <c r="D124" s="581">
        <v>45103</v>
      </c>
      <c r="E124" s="568" t="s">
        <v>2075</v>
      </c>
      <c r="F124" s="568" t="s">
        <v>1963</v>
      </c>
      <c r="G124" s="569" t="s">
        <v>2085</v>
      </c>
      <c r="H124" s="572"/>
      <c r="I124" s="635">
        <v>45785</v>
      </c>
      <c r="J124" s="580"/>
      <c r="K124" s="569"/>
      <c r="L124" s="569">
        <v>0</v>
      </c>
      <c r="M124" s="569">
        <v>0</v>
      </c>
      <c r="N124" s="569">
        <v>0</v>
      </c>
      <c r="O124" s="569"/>
      <c r="P124" s="573" t="str">
        <f>IF(O124="","",IFERROR(O124/$O$178,""))</f>
        <v/>
      </c>
      <c r="Q124" s="577"/>
      <c r="R124" s="574"/>
      <c r="S124" s="574"/>
      <c r="T124" s="634" t="str">
        <f>IF(R124="","",IFERROR(R124-S124,""))</f>
        <v/>
      </c>
      <c r="U124" s="574"/>
      <c r="V124" s="576"/>
      <c r="W124" s="573" t="str">
        <f>IFERROR(S124/R124,"")</f>
        <v/>
      </c>
      <c r="X124" s="573" t="str">
        <f>IFERROR(100%-W124,"")</f>
        <v/>
      </c>
      <c r="Y124" s="572"/>
    </row>
    <row r="125" spans="2:25" ht="15.05" customHeight="1" x14ac:dyDescent="0.35">
      <c r="B125" s="567" t="s">
        <v>2081</v>
      </c>
      <c r="C125" s="569" t="s">
        <v>2059</v>
      </c>
      <c r="D125" s="581">
        <v>45103</v>
      </c>
      <c r="E125" s="568" t="s">
        <v>2075</v>
      </c>
      <c r="F125" s="568" t="s">
        <v>1964</v>
      </c>
      <c r="G125" s="569" t="s">
        <v>2085</v>
      </c>
      <c r="H125" s="572"/>
      <c r="I125" s="635">
        <v>45785</v>
      </c>
      <c r="J125" s="580"/>
      <c r="K125" s="569"/>
      <c r="L125" s="569">
        <v>0</v>
      </c>
      <c r="M125" s="569">
        <v>0</v>
      </c>
      <c r="N125" s="569">
        <v>0</v>
      </c>
      <c r="O125" s="569"/>
      <c r="P125" s="573" t="str">
        <f>IF(O125="","",IFERROR(O125/$O$178,""))</f>
        <v/>
      </c>
      <c r="Q125" s="577"/>
      <c r="R125" s="574"/>
      <c r="S125" s="574"/>
      <c r="T125" s="634" t="str">
        <f>IF(R125="","",IFERROR(R125-S125,""))</f>
        <v/>
      </c>
      <c r="U125" s="574"/>
      <c r="V125" s="576"/>
      <c r="W125" s="573" t="str">
        <f>IFERROR(S125/R125,"")</f>
        <v/>
      </c>
      <c r="X125" s="573" t="str">
        <f>IFERROR(100%-W125,"")</f>
        <v/>
      </c>
      <c r="Y125" s="572"/>
    </row>
    <row r="126" spans="2:25" ht="15.05" customHeight="1" x14ac:dyDescent="0.35">
      <c r="B126" s="567" t="s">
        <v>2086</v>
      </c>
      <c r="C126" s="569" t="s">
        <v>2059</v>
      </c>
      <c r="D126" s="581">
        <v>45103</v>
      </c>
      <c r="E126" s="568" t="s">
        <v>2075</v>
      </c>
      <c r="F126" s="568" t="s">
        <v>1965</v>
      </c>
      <c r="G126" s="569" t="s">
        <v>2085</v>
      </c>
      <c r="H126" s="572"/>
      <c r="I126" s="635">
        <v>45785</v>
      </c>
      <c r="J126" s="580"/>
      <c r="K126" s="569"/>
      <c r="L126" s="569">
        <v>0</v>
      </c>
      <c r="M126" s="569">
        <v>0</v>
      </c>
      <c r="N126" s="569">
        <v>0</v>
      </c>
      <c r="O126" s="569"/>
      <c r="P126" s="573" t="str">
        <f>IF(O126="","",IFERROR(O126/$O$178,""))</f>
        <v/>
      </c>
      <c r="Q126" s="577"/>
      <c r="R126" s="574"/>
      <c r="S126" s="574"/>
      <c r="T126" s="634" t="str">
        <f>IF(R126="","",IFERROR(R126-S126,""))</f>
        <v/>
      </c>
      <c r="U126" s="574"/>
      <c r="V126" s="576"/>
      <c r="W126" s="573" t="str">
        <f>IFERROR(S126/R126,"")</f>
        <v/>
      </c>
      <c r="X126" s="573" t="str">
        <f>IFERROR(100%-W126,"")</f>
        <v/>
      </c>
      <c r="Y126" s="572"/>
    </row>
    <row r="127" spans="2:25" ht="15.05" customHeight="1" x14ac:dyDescent="0.35">
      <c r="B127" s="567" t="s">
        <v>2087</v>
      </c>
      <c r="C127" s="569" t="s">
        <v>2059</v>
      </c>
      <c r="D127" s="581">
        <v>45103</v>
      </c>
      <c r="E127" s="568" t="s">
        <v>2075</v>
      </c>
      <c r="F127" s="568" t="s">
        <v>1966</v>
      </c>
      <c r="G127" s="569" t="s">
        <v>2085</v>
      </c>
      <c r="H127" s="572"/>
      <c r="I127" s="635">
        <v>45785</v>
      </c>
      <c r="J127" s="580"/>
      <c r="K127" s="569"/>
      <c r="L127" s="569">
        <v>0</v>
      </c>
      <c r="M127" s="569">
        <v>0</v>
      </c>
      <c r="N127" s="569">
        <v>0</v>
      </c>
      <c r="O127" s="569"/>
      <c r="P127" s="573" t="str">
        <f>IF(O127="","",IFERROR(O127/$O$178,""))</f>
        <v/>
      </c>
      <c r="Q127" s="577"/>
      <c r="R127" s="574"/>
      <c r="S127" s="574"/>
      <c r="T127" s="634" t="str">
        <f>IF(R127="","",IFERROR(R127-S127,""))</f>
        <v/>
      </c>
      <c r="U127" s="574"/>
      <c r="V127" s="576"/>
      <c r="W127" s="573" t="str">
        <f>IFERROR(S127/R127,"")</f>
        <v/>
      </c>
      <c r="X127" s="573" t="str">
        <f>IFERROR(100%-W127,"")</f>
        <v/>
      </c>
      <c r="Y127" s="572"/>
    </row>
    <row r="128" spans="2:25" ht="15.05" customHeight="1" x14ac:dyDescent="0.35">
      <c r="B128" s="567" t="s">
        <v>2080</v>
      </c>
      <c r="C128" s="569" t="s">
        <v>2059</v>
      </c>
      <c r="D128" s="581">
        <v>45348</v>
      </c>
      <c r="E128" s="568" t="s">
        <v>2075</v>
      </c>
      <c r="F128" s="568" t="s">
        <v>1951</v>
      </c>
      <c r="G128" s="569" t="s">
        <v>2100</v>
      </c>
      <c r="H128" s="572"/>
      <c r="I128" s="635">
        <v>45785</v>
      </c>
      <c r="J128" s="580"/>
      <c r="K128" s="569"/>
      <c r="L128" s="569">
        <v>0</v>
      </c>
      <c r="M128" s="569">
        <v>0</v>
      </c>
      <c r="N128" s="569">
        <v>0</v>
      </c>
      <c r="O128" s="569"/>
      <c r="P128" s="573" t="str">
        <f>IF(O128="","",IFERROR(O128/$O$178,""))</f>
        <v/>
      </c>
      <c r="Q128" s="577"/>
      <c r="R128" s="574"/>
      <c r="S128" s="574"/>
      <c r="T128" s="634" t="str">
        <f>IF(R128="","",IFERROR(R128-S128,""))</f>
        <v/>
      </c>
      <c r="U128" s="574"/>
      <c r="V128" s="576"/>
      <c r="W128" s="573" t="str">
        <f>IFERROR(S128/R128,"")</f>
        <v/>
      </c>
      <c r="X128" s="573" t="str">
        <f>IFERROR(100%-W128,"")</f>
        <v/>
      </c>
      <c r="Y128" s="572"/>
    </row>
    <row r="129" spans="2:25" ht="15.05" customHeight="1" x14ac:dyDescent="0.35">
      <c r="B129" s="567" t="s">
        <v>2079</v>
      </c>
      <c r="C129" s="569" t="s">
        <v>2059</v>
      </c>
      <c r="D129" s="581">
        <v>45348</v>
      </c>
      <c r="E129" s="568" t="s">
        <v>2075</v>
      </c>
      <c r="F129" s="568" t="s">
        <v>1952</v>
      </c>
      <c r="G129" s="569" t="s">
        <v>2100</v>
      </c>
      <c r="H129" s="572"/>
      <c r="I129" s="635">
        <v>45785</v>
      </c>
      <c r="J129" s="580"/>
      <c r="K129" s="569"/>
      <c r="L129" s="569">
        <v>0</v>
      </c>
      <c r="M129" s="569">
        <v>0</v>
      </c>
      <c r="N129" s="569">
        <v>0</v>
      </c>
      <c r="O129" s="569"/>
      <c r="P129" s="573" t="str">
        <f>IF(O129="","",IFERROR(O129/$O$178,""))</f>
        <v/>
      </c>
      <c r="Q129" s="577"/>
      <c r="R129" s="574"/>
      <c r="S129" s="574"/>
      <c r="T129" s="634" t="str">
        <f>IF(R129="","",IFERROR(R129-S129,""))</f>
        <v/>
      </c>
      <c r="U129" s="574"/>
      <c r="V129" s="576"/>
      <c r="W129" s="573" t="str">
        <f>IFERROR(S129/R129,"")</f>
        <v/>
      </c>
      <c r="X129" s="573" t="str">
        <f>IFERROR(100%-W129,"")</f>
        <v/>
      </c>
      <c r="Y129" s="572"/>
    </row>
    <row r="130" spans="2:25" ht="15.05" customHeight="1" x14ac:dyDescent="0.35">
      <c r="B130" s="567" t="s">
        <v>2087</v>
      </c>
      <c r="C130" s="569" t="s">
        <v>2059</v>
      </c>
      <c r="D130" s="581">
        <v>45348</v>
      </c>
      <c r="E130" s="568" t="s">
        <v>2075</v>
      </c>
      <c r="F130" s="568" t="s">
        <v>1953</v>
      </c>
      <c r="G130" s="569" t="s">
        <v>2100</v>
      </c>
      <c r="H130" s="572"/>
      <c r="I130" s="635">
        <v>45785</v>
      </c>
      <c r="J130" s="580"/>
      <c r="K130" s="569"/>
      <c r="L130" s="569">
        <v>0</v>
      </c>
      <c r="M130" s="569">
        <v>0</v>
      </c>
      <c r="N130" s="569">
        <v>0</v>
      </c>
      <c r="O130" s="569"/>
      <c r="P130" s="573" t="str">
        <f>IF(O130="","",IFERROR(O130/$O$178,""))</f>
        <v/>
      </c>
      <c r="Q130" s="577"/>
      <c r="R130" s="574"/>
      <c r="S130" s="574"/>
      <c r="T130" s="634" t="str">
        <f>IF(R130="","",IFERROR(R130-S130,""))</f>
        <v/>
      </c>
      <c r="U130" s="574"/>
      <c r="V130" s="576"/>
      <c r="W130" s="573" t="str">
        <f>IFERROR(S130/R130,"")</f>
        <v/>
      </c>
      <c r="X130" s="573" t="str">
        <f>IFERROR(100%-W130,"")</f>
        <v/>
      </c>
      <c r="Y130" s="572"/>
    </row>
    <row r="131" spans="2:25" ht="15.05" customHeight="1" x14ac:dyDescent="0.35">
      <c r="B131" s="567" t="s">
        <v>2081</v>
      </c>
      <c r="C131" s="569" t="s">
        <v>2059</v>
      </c>
      <c r="D131" s="581">
        <v>45348</v>
      </c>
      <c r="E131" s="568" t="s">
        <v>2075</v>
      </c>
      <c r="F131" s="568" t="s">
        <v>1955</v>
      </c>
      <c r="G131" s="569" t="s">
        <v>2100</v>
      </c>
      <c r="H131" s="572"/>
      <c r="I131" s="635">
        <v>45785</v>
      </c>
      <c r="J131" s="580"/>
      <c r="K131" s="569"/>
      <c r="L131" s="569">
        <v>0</v>
      </c>
      <c r="M131" s="569">
        <v>0</v>
      </c>
      <c r="N131" s="569">
        <v>0</v>
      </c>
      <c r="O131" s="569"/>
      <c r="P131" s="573" t="str">
        <f>IF(O131="","",IFERROR(O131/$O$178,""))</f>
        <v/>
      </c>
      <c r="Q131" s="577"/>
      <c r="R131" s="574"/>
      <c r="S131" s="574"/>
      <c r="T131" s="634" t="str">
        <f>IF(R131="","",IFERROR(R131-S131,""))</f>
        <v/>
      </c>
      <c r="U131" s="574"/>
      <c r="V131" s="576"/>
      <c r="W131" s="573" t="str">
        <f>IFERROR(S131/R131,"")</f>
        <v/>
      </c>
      <c r="X131" s="573" t="str">
        <f>IFERROR(100%-W131,"")</f>
        <v/>
      </c>
      <c r="Y131" s="572"/>
    </row>
    <row r="132" spans="2:25" ht="15.05" customHeight="1" x14ac:dyDescent="0.35">
      <c r="B132" s="567" t="s">
        <v>2086</v>
      </c>
      <c r="C132" s="569" t="s">
        <v>2059</v>
      </c>
      <c r="D132" s="581">
        <v>45348</v>
      </c>
      <c r="E132" s="568" t="s">
        <v>2075</v>
      </c>
      <c r="F132" s="568" t="s">
        <v>1956</v>
      </c>
      <c r="G132" s="569" t="s">
        <v>2100</v>
      </c>
      <c r="H132" s="572"/>
      <c r="I132" s="635">
        <v>45785</v>
      </c>
      <c r="J132" s="580"/>
      <c r="K132" s="569"/>
      <c r="L132" s="569">
        <v>0</v>
      </c>
      <c r="M132" s="569">
        <v>0</v>
      </c>
      <c r="N132" s="569">
        <v>0</v>
      </c>
      <c r="O132" s="569"/>
      <c r="P132" s="573" t="str">
        <f>IF(O132="","",IFERROR(O132/$O$178,""))</f>
        <v/>
      </c>
      <c r="Q132" s="577"/>
      <c r="R132" s="574"/>
      <c r="S132" s="574"/>
      <c r="T132" s="634" t="str">
        <f>IF(R132="","",IFERROR(R132-S132,""))</f>
        <v/>
      </c>
      <c r="U132" s="574"/>
      <c r="V132" s="576"/>
      <c r="W132" s="573" t="str">
        <f>IFERROR(S132/R132,"")</f>
        <v/>
      </c>
      <c r="X132" s="573" t="str">
        <f>IFERROR(100%-W132,"")</f>
        <v/>
      </c>
      <c r="Y132" s="572"/>
    </row>
    <row r="133" spans="2:25" ht="15.05" customHeight="1" x14ac:dyDescent="0.35">
      <c r="B133" s="567" t="s">
        <v>2077</v>
      </c>
      <c r="C133" s="569" t="s">
        <v>2059</v>
      </c>
      <c r="D133" s="581">
        <v>45348</v>
      </c>
      <c r="E133" s="568" t="s">
        <v>2075</v>
      </c>
      <c r="F133" s="568" t="s">
        <v>1958</v>
      </c>
      <c r="G133" s="569" t="s">
        <v>2100</v>
      </c>
      <c r="H133" s="572"/>
      <c r="I133" s="635">
        <v>45785</v>
      </c>
      <c r="J133" s="580"/>
      <c r="K133" s="569"/>
      <c r="L133" s="569">
        <v>0</v>
      </c>
      <c r="M133" s="569">
        <v>0</v>
      </c>
      <c r="N133" s="569">
        <v>0</v>
      </c>
      <c r="O133" s="569"/>
      <c r="P133" s="573" t="str">
        <f>IF(O133="","",IFERROR(O133/$O$178,""))</f>
        <v/>
      </c>
      <c r="Q133" s="577"/>
      <c r="R133" s="574"/>
      <c r="S133" s="574"/>
      <c r="T133" s="634" t="str">
        <f>IF(R133="","",IFERROR(R133-S133,""))</f>
        <v/>
      </c>
      <c r="U133" s="574"/>
      <c r="V133" s="576"/>
      <c r="W133" s="573" t="str">
        <f>IFERROR(S133/R133,"")</f>
        <v/>
      </c>
      <c r="X133" s="573" t="str">
        <f>IFERROR(100%-W133,"")</f>
        <v/>
      </c>
      <c r="Y133" s="572"/>
    </row>
    <row r="134" spans="2:25" ht="15.05" customHeight="1" x14ac:dyDescent="0.35">
      <c r="B134" s="567" t="s">
        <v>2078</v>
      </c>
      <c r="C134" s="569" t="s">
        <v>2059</v>
      </c>
      <c r="D134" s="581">
        <v>45348</v>
      </c>
      <c r="E134" s="568" t="s">
        <v>2075</v>
      </c>
      <c r="F134" s="568" t="s">
        <v>2099</v>
      </c>
      <c r="G134" s="569" t="s">
        <v>2100</v>
      </c>
      <c r="H134" s="572"/>
      <c r="I134" s="635">
        <v>45785</v>
      </c>
      <c r="J134" s="580"/>
      <c r="K134" s="569"/>
      <c r="L134" s="569">
        <v>0</v>
      </c>
      <c r="M134" s="569">
        <v>0</v>
      </c>
      <c r="N134" s="569">
        <v>0</v>
      </c>
      <c r="O134" s="569"/>
      <c r="P134" s="573" t="str">
        <f>IF(O134="","",IFERROR(O134/$O$178,""))</f>
        <v/>
      </c>
      <c r="Q134" s="577"/>
      <c r="R134" s="574"/>
      <c r="S134" s="574"/>
      <c r="T134" s="634" t="str">
        <f>IF(R134="","",IFERROR(R134-S134,""))</f>
        <v/>
      </c>
      <c r="U134" s="574"/>
      <c r="V134" s="576"/>
      <c r="W134" s="573" t="str">
        <f>IFERROR(S134/R134,"")</f>
        <v/>
      </c>
      <c r="X134" s="573" t="str">
        <f>IFERROR(100%-W134,"")</f>
        <v/>
      </c>
      <c r="Y134" s="572"/>
    </row>
    <row r="135" spans="2:25" ht="15.05" customHeight="1" x14ac:dyDescent="0.35">
      <c r="B135" s="567" t="s">
        <v>2079</v>
      </c>
      <c r="C135" s="569" t="s">
        <v>2059</v>
      </c>
      <c r="D135" s="581">
        <v>45600</v>
      </c>
      <c r="E135" s="568" t="s">
        <v>2075</v>
      </c>
      <c r="F135" s="568" t="s">
        <v>1942</v>
      </c>
      <c r="G135" s="569" t="s">
        <v>2101</v>
      </c>
      <c r="H135" s="572"/>
      <c r="I135" s="635">
        <v>45785</v>
      </c>
      <c r="J135" s="580"/>
      <c r="K135" s="569"/>
      <c r="L135" s="569">
        <v>0</v>
      </c>
      <c r="M135" s="569">
        <v>0</v>
      </c>
      <c r="N135" s="569">
        <v>0</v>
      </c>
      <c r="O135" s="569"/>
      <c r="P135" s="573" t="str">
        <f>IF(O135="","",IFERROR(O135/$O$178,""))</f>
        <v/>
      </c>
      <c r="Q135" s="577"/>
      <c r="R135" s="574"/>
      <c r="S135" s="574"/>
      <c r="T135" s="634" t="str">
        <f>IF(R135="","",IFERROR(R135-S135,""))</f>
        <v/>
      </c>
      <c r="U135" s="574"/>
      <c r="V135" s="576"/>
      <c r="W135" s="573" t="str">
        <f>IFERROR(S135/R135,"")</f>
        <v/>
      </c>
      <c r="X135" s="573" t="str">
        <f>IFERROR(100%-W135,"")</f>
        <v/>
      </c>
      <c r="Y135" s="572"/>
    </row>
    <row r="136" spans="2:25" ht="15.05" customHeight="1" x14ac:dyDescent="0.35">
      <c r="B136" s="567" t="s">
        <v>2081</v>
      </c>
      <c r="C136" s="569" t="s">
        <v>2059</v>
      </c>
      <c r="D136" s="581">
        <v>45600</v>
      </c>
      <c r="E136" s="568" t="s">
        <v>2075</v>
      </c>
      <c r="F136" s="568" t="s">
        <v>1944</v>
      </c>
      <c r="G136" s="569" t="s">
        <v>2101</v>
      </c>
      <c r="H136" s="572"/>
      <c r="I136" s="635">
        <v>45785</v>
      </c>
      <c r="J136" s="580"/>
      <c r="K136" s="569"/>
      <c r="L136" s="569">
        <v>0</v>
      </c>
      <c r="M136" s="569">
        <v>0</v>
      </c>
      <c r="N136" s="569">
        <v>0</v>
      </c>
      <c r="O136" s="569"/>
      <c r="P136" s="573" t="str">
        <f>IF(O136="","",IFERROR(O136/$O$178,""))</f>
        <v/>
      </c>
      <c r="Q136" s="577"/>
      <c r="R136" s="574"/>
      <c r="S136" s="574"/>
      <c r="T136" s="634" t="str">
        <f>IF(R136="","",IFERROR(R136-S136,""))</f>
        <v/>
      </c>
      <c r="U136" s="574"/>
      <c r="V136" s="576"/>
      <c r="W136" s="573" t="str">
        <f>IFERROR(S136/R136,"")</f>
        <v/>
      </c>
      <c r="X136" s="573" t="str">
        <f>IFERROR(100%-W136,"")</f>
        <v/>
      </c>
      <c r="Y136" s="572"/>
    </row>
    <row r="137" spans="2:25" ht="15.05" customHeight="1" x14ac:dyDescent="0.35">
      <c r="B137" s="567" t="s">
        <v>2077</v>
      </c>
      <c r="C137" s="569" t="s">
        <v>2059</v>
      </c>
      <c r="D137" s="581">
        <v>45600</v>
      </c>
      <c r="E137" s="568" t="s">
        <v>2075</v>
      </c>
      <c r="F137" s="568" t="s">
        <v>1945</v>
      </c>
      <c r="G137" s="569" t="s">
        <v>2102</v>
      </c>
      <c r="H137" s="572"/>
      <c r="I137" s="635">
        <v>45785</v>
      </c>
      <c r="J137" s="580"/>
      <c r="K137" s="569"/>
      <c r="L137" s="569">
        <v>0</v>
      </c>
      <c r="M137" s="569">
        <v>0</v>
      </c>
      <c r="N137" s="569">
        <v>0</v>
      </c>
      <c r="O137" s="569"/>
      <c r="P137" s="573" t="str">
        <f>IF(O137="","",IFERROR(O137/$O$178,""))</f>
        <v/>
      </c>
      <c r="Q137" s="577"/>
      <c r="R137" s="574"/>
      <c r="S137" s="574"/>
      <c r="T137" s="634" t="str">
        <f>IF(R137="","",IFERROR(R137-S137,""))</f>
        <v/>
      </c>
      <c r="U137" s="574"/>
      <c r="V137" s="576"/>
      <c r="W137" s="573" t="str">
        <f>IFERROR(S137/R137,"")</f>
        <v/>
      </c>
      <c r="X137" s="573" t="str">
        <f>IFERROR(100%-W137,"")</f>
        <v/>
      </c>
      <c r="Y137" s="572"/>
    </row>
    <row r="138" spans="2:25" ht="15.05" customHeight="1" x14ac:dyDescent="0.35">
      <c r="B138" s="567" t="s">
        <v>2081</v>
      </c>
      <c r="C138" s="569" t="s">
        <v>2059</v>
      </c>
      <c r="D138" s="581">
        <v>45600</v>
      </c>
      <c r="E138" s="568" t="s">
        <v>2075</v>
      </c>
      <c r="F138" s="568" t="s">
        <v>1946</v>
      </c>
      <c r="G138" s="569" t="s">
        <v>2102</v>
      </c>
      <c r="H138" s="572"/>
      <c r="I138" s="635">
        <v>45785</v>
      </c>
      <c r="J138" s="580"/>
      <c r="K138" s="569"/>
      <c r="L138" s="569">
        <v>0</v>
      </c>
      <c r="M138" s="569">
        <v>0</v>
      </c>
      <c r="N138" s="569">
        <v>0</v>
      </c>
      <c r="O138" s="569"/>
      <c r="P138" s="573" t="str">
        <f>IF(O138="","",IFERROR(O138/$O$178,""))</f>
        <v/>
      </c>
      <c r="Q138" s="577"/>
      <c r="R138" s="574"/>
      <c r="S138" s="574"/>
      <c r="T138" s="634" t="str">
        <f>IF(R138="","",IFERROR(R138-S138,""))</f>
        <v/>
      </c>
      <c r="U138" s="574"/>
      <c r="V138" s="576"/>
      <c r="W138" s="573" t="str">
        <f>IFERROR(S138/R138,"")</f>
        <v/>
      </c>
      <c r="X138" s="573" t="str">
        <f>IFERROR(100%-W138,"")</f>
        <v/>
      </c>
      <c r="Y138" s="572"/>
    </row>
    <row r="139" spans="2:25" ht="15.05" customHeight="1" x14ac:dyDescent="0.35">
      <c r="B139" s="567" t="s">
        <v>2078</v>
      </c>
      <c r="C139" s="569" t="s">
        <v>2059</v>
      </c>
      <c r="D139" s="581">
        <v>45600</v>
      </c>
      <c r="E139" s="568" t="s">
        <v>2075</v>
      </c>
      <c r="F139" s="568" t="s">
        <v>1947</v>
      </c>
      <c r="G139" s="569" t="s">
        <v>2083</v>
      </c>
      <c r="H139" s="572"/>
      <c r="I139" s="635">
        <v>45785</v>
      </c>
      <c r="J139" s="580"/>
      <c r="K139" s="569"/>
      <c r="L139" s="569">
        <v>0</v>
      </c>
      <c r="M139" s="569">
        <v>0</v>
      </c>
      <c r="N139" s="569">
        <v>0</v>
      </c>
      <c r="O139" s="569"/>
      <c r="P139" s="573" t="str">
        <f>IF(O139="","",IFERROR(O139/$O$178,""))</f>
        <v/>
      </c>
      <c r="Q139" s="577"/>
      <c r="R139" s="574"/>
      <c r="S139" s="574"/>
      <c r="T139" s="634" t="str">
        <f>IF(R139="","",IFERROR(R139-S139,""))</f>
        <v/>
      </c>
      <c r="U139" s="574"/>
      <c r="V139" s="576"/>
      <c r="W139" s="573" t="str">
        <f>IFERROR(S139/R139,"")</f>
        <v/>
      </c>
      <c r="X139" s="573" t="str">
        <f>IFERROR(100%-W139,"")</f>
        <v/>
      </c>
      <c r="Y139" s="572"/>
    </row>
    <row r="140" spans="2:25" ht="15.05" customHeight="1" x14ac:dyDescent="0.35">
      <c r="B140" s="567" t="s">
        <v>2086</v>
      </c>
      <c r="C140" s="569" t="s">
        <v>2059</v>
      </c>
      <c r="D140" s="581">
        <v>45600</v>
      </c>
      <c r="E140" s="568" t="s">
        <v>2075</v>
      </c>
      <c r="F140" s="568" t="s">
        <v>1948</v>
      </c>
      <c r="G140" s="569" t="s">
        <v>2083</v>
      </c>
      <c r="H140" s="572"/>
      <c r="I140" s="635">
        <v>45785</v>
      </c>
      <c r="J140" s="580"/>
      <c r="K140" s="569"/>
      <c r="L140" s="569">
        <v>0</v>
      </c>
      <c r="M140" s="569">
        <v>0</v>
      </c>
      <c r="N140" s="569">
        <v>0</v>
      </c>
      <c r="O140" s="569"/>
      <c r="P140" s="573" t="str">
        <f>IF(O140="","",IFERROR(O140/$O$178,""))</f>
        <v/>
      </c>
      <c r="Q140" s="577"/>
      <c r="R140" s="574"/>
      <c r="S140" s="574"/>
      <c r="T140" s="634" t="str">
        <f>IF(R140="","",IFERROR(R140-S140,""))</f>
        <v/>
      </c>
      <c r="U140" s="574"/>
      <c r="V140" s="576"/>
      <c r="W140" s="573" t="str">
        <f>IFERROR(S140/R140,"")</f>
        <v/>
      </c>
      <c r="X140" s="573" t="str">
        <f>IFERROR(100%-W140,"")</f>
        <v/>
      </c>
      <c r="Y140" s="572"/>
    </row>
    <row r="141" spans="2:25" ht="15.05" customHeight="1" x14ac:dyDescent="0.35">
      <c r="B141" s="567" t="s">
        <v>2087</v>
      </c>
      <c r="C141" s="569" t="s">
        <v>2059</v>
      </c>
      <c r="D141" s="581">
        <v>45600</v>
      </c>
      <c r="E141" s="568" t="s">
        <v>2075</v>
      </c>
      <c r="F141" s="568" t="s">
        <v>1949</v>
      </c>
      <c r="G141" s="569" t="s">
        <v>2083</v>
      </c>
      <c r="H141" s="572"/>
      <c r="I141" s="635">
        <v>45785</v>
      </c>
      <c r="J141" s="580"/>
      <c r="K141" s="569"/>
      <c r="L141" s="569">
        <v>0</v>
      </c>
      <c r="M141" s="569">
        <v>0</v>
      </c>
      <c r="N141" s="569">
        <v>0</v>
      </c>
      <c r="O141" s="569"/>
      <c r="P141" s="573" t="str">
        <f>IF(O141="","",IFERROR(O141/$O$178,""))</f>
        <v/>
      </c>
      <c r="Q141" s="577"/>
      <c r="R141" s="574"/>
      <c r="S141" s="574"/>
      <c r="T141" s="634" t="str">
        <f>IF(R141="","",IFERROR(R141-S141,""))</f>
        <v/>
      </c>
      <c r="U141" s="574"/>
      <c r="V141" s="576"/>
      <c r="W141" s="573" t="str">
        <f>IFERROR(S141/R141,"")</f>
        <v/>
      </c>
      <c r="X141" s="573" t="str">
        <f>IFERROR(100%-W141,"")</f>
        <v/>
      </c>
      <c r="Y141" s="572"/>
    </row>
    <row r="142" spans="2:25" ht="15.05" customHeight="1" x14ac:dyDescent="0.35">
      <c r="B142" s="567" t="s">
        <v>2080</v>
      </c>
      <c r="C142" s="569" t="s">
        <v>2059</v>
      </c>
      <c r="D142" s="581">
        <v>45600</v>
      </c>
      <c r="E142" s="568" t="s">
        <v>2075</v>
      </c>
      <c r="F142" s="568" t="s">
        <v>1950</v>
      </c>
      <c r="G142" s="569" t="s">
        <v>2083</v>
      </c>
      <c r="H142" s="572"/>
      <c r="I142" s="635">
        <v>45785</v>
      </c>
      <c r="J142" s="580"/>
      <c r="K142" s="569"/>
      <c r="L142" s="569">
        <v>0</v>
      </c>
      <c r="M142" s="569">
        <v>0</v>
      </c>
      <c r="N142" s="569">
        <v>0</v>
      </c>
      <c r="O142" s="569"/>
      <c r="P142" s="573" t="str">
        <f>IF(O142="","",IFERROR(O142/$O$178,""))</f>
        <v/>
      </c>
      <c r="Q142" s="577"/>
      <c r="R142" s="574"/>
      <c r="S142" s="574"/>
      <c r="T142" s="634" t="str">
        <f>IF(R142="","",IFERROR(R142-S142,""))</f>
        <v/>
      </c>
      <c r="U142" s="574"/>
      <c r="V142" s="576"/>
      <c r="W142" s="573" t="str">
        <f>IFERROR(S142/R142,"")</f>
        <v/>
      </c>
      <c r="X142" s="573" t="str">
        <f>IFERROR(100%-W142,"")</f>
        <v/>
      </c>
      <c r="Y142" s="572"/>
    </row>
    <row r="143" spans="2:25" ht="15.05" customHeight="1" x14ac:dyDescent="0.35">
      <c r="B143" s="636" t="s">
        <v>2104</v>
      </c>
      <c r="C143" s="569" t="s">
        <v>2059</v>
      </c>
      <c r="D143" s="581">
        <v>45204</v>
      </c>
      <c r="E143" s="568" t="s">
        <v>2075</v>
      </c>
      <c r="F143" s="568" t="s">
        <v>1940</v>
      </c>
      <c r="G143" s="569" t="s">
        <v>2106</v>
      </c>
      <c r="H143" s="572"/>
      <c r="I143" s="635">
        <v>45785</v>
      </c>
      <c r="J143" s="580"/>
      <c r="K143" s="569"/>
      <c r="L143" s="569">
        <v>0</v>
      </c>
      <c r="M143" s="569">
        <v>0</v>
      </c>
      <c r="N143" s="569">
        <v>0</v>
      </c>
      <c r="O143" s="569"/>
      <c r="P143" s="573" t="str">
        <f>IF(O143="","",IFERROR(O143/$O$178,""))</f>
        <v/>
      </c>
      <c r="Q143" s="577"/>
      <c r="R143" s="574"/>
      <c r="S143" s="574"/>
      <c r="T143" s="634" t="str">
        <f>IF(R143="","",IFERROR(R143-S143,""))</f>
        <v/>
      </c>
      <c r="U143" s="574"/>
      <c r="V143" s="576"/>
      <c r="W143" s="573" t="str">
        <f>IFERROR(S143/R143,"")</f>
        <v/>
      </c>
      <c r="X143" s="573" t="str">
        <f>IFERROR(100%-W143,"")</f>
        <v/>
      </c>
      <c r="Y143" s="572"/>
    </row>
    <row r="144" spans="2:25" ht="15.05" customHeight="1" x14ac:dyDescent="0.35">
      <c r="B144" s="636" t="s">
        <v>2104</v>
      </c>
      <c r="C144" s="569" t="s">
        <v>2059</v>
      </c>
      <c r="D144" s="581">
        <v>45204</v>
      </c>
      <c r="E144" s="568" t="s">
        <v>2075</v>
      </c>
      <c r="F144" s="568" t="s">
        <v>1941</v>
      </c>
      <c r="G144" s="569" t="s">
        <v>2106</v>
      </c>
      <c r="H144" s="572"/>
      <c r="I144" s="635">
        <v>45785</v>
      </c>
      <c r="J144" s="580"/>
      <c r="K144" s="569"/>
      <c r="L144" s="569">
        <v>0</v>
      </c>
      <c r="M144" s="569">
        <v>0</v>
      </c>
      <c r="N144" s="569">
        <v>0</v>
      </c>
      <c r="O144" s="569"/>
      <c r="P144" s="573" t="str">
        <f>IF(O144="","",IFERROR(O144/$O$178,""))</f>
        <v/>
      </c>
      <c r="Q144" s="577"/>
      <c r="R144" s="574"/>
      <c r="S144" s="574"/>
      <c r="T144" s="634" t="str">
        <f>IF(R144="","",IFERROR(R144-S144,""))</f>
        <v/>
      </c>
      <c r="U144" s="574"/>
      <c r="V144" s="576"/>
      <c r="W144" s="573" t="str">
        <f>IFERROR(S144/R144,"")</f>
        <v/>
      </c>
      <c r="X144" s="573" t="str">
        <f>IFERROR(100%-W144,"")</f>
        <v/>
      </c>
      <c r="Y144" s="572"/>
    </row>
    <row r="145" spans="2:25" ht="15.05" customHeight="1" x14ac:dyDescent="0.35">
      <c r="B145" s="636" t="s">
        <v>2105</v>
      </c>
      <c r="C145" s="569" t="s">
        <v>2059</v>
      </c>
      <c r="D145" s="581">
        <v>45600</v>
      </c>
      <c r="E145" s="568" t="s">
        <v>2075</v>
      </c>
      <c r="F145" s="568" t="s">
        <v>1931</v>
      </c>
      <c r="G145" s="569" t="s">
        <v>2107</v>
      </c>
      <c r="H145" s="572"/>
      <c r="I145" s="635">
        <v>45785</v>
      </c>
      <c r="J145" s="580"/>
      <c r="K145" s="569"/>
      <c r="L145" s="569">
        <v>0</v>
      </c>
      <c r="M145" s="569">
        <v>0</v>
      </c>
      <c r="N145" s="569">
        <v>0</v>
      </c>
      <c r="O145" s="569"/>
      <c r="P145" s="573" t="str">
        <f>IF(O145="","",IFERROR(O145/$O$178,""))</f>
        <v/>
      </c>
      <c r="Q145" s="577"/>
      <c r="R145" s="574"/>
      <c r="S145" s="574"/>
      <c r="T145" s="634" t="str">
        <f>IF(R145="","",IFERROR(R145-S145,""))</f>
        <v/>
      </c>
      <c r="U145" s="574"/>
      <c r="V145" s="576"/>
      <c r="W145" s="573" t="str">
        <f>IFERROR(S145/R145,"")</f>
        <v/>
      </c>
      <c r="X145" s="573" t="str">
        <f>IFERROR(100%-W145,"")</f>
        <v/>
      </c>
      <c r="Y145" s="572"/>
    </row>
    <row r="146" spans="2:25" ht="15.05" customHeight="1" x14ac:dyDescent="0.35">
      <c r="B146" s="636" t="s">
        <v>2103</v>
      </c>
      <c r="C146" s="569" t="s">
        <v>2059</v>
      </c>
      <c r="D146" s="581">
        <v>45348</v>
      </c>
      <c r="E146" s="568" t="s">
        <v>2075</v>
      </c>
      <c r="F146" s="568" t="s">
        <v>1936</v>
      </c>
      <c r="G146" s="569" t="s">
        <v>2108</v>
      </c>
      <c r="H146" s="572"/>
      <c r="I146" s="635">
        <v>45785</v>
      </c>
      <c r="J146" s="580"/>
      <c r="K146" s="569"/>
      <c r="L146" s="569">
        <v>0</v>
      </c>
      <c r="M146" s="569">
        <v>0</v>
      </c>
      <c r="N146" s="569">
        <v>0</v>
      </c>
      <c r="O146" s="569"/>
      <c r="P146" s="573" t="str">
        <f>IF(O146="","",IFERROR(O146/$O$178,""))</f>
        <v/>
      </c>
      <c r="Q146" s="577"/>
      <c r="R146" s="574"/>
      <c r="S146" s="574"/>
      <c r="T146" s="634" t="str">
        <f>IF(R146="","",IFERROR(R146-S146,""))</f>
        <v/>
      </c>
      <c r="U146" s="574"/>
      <c r="V146" s="576"/>
      <c r="W146" s="573" t="str">
        <f>IFERROR(S146/R146,"")</f>
        <v/>
      </c>
      <c r="X146" s="573" t="str">
        <f>IFERROR(100%-W146,"")</f>
        <v/>
      </c>
      <c r="Y146" s="572"/>
    </row>
    <row r="147" spans="2:25" ht="15.05" customHeight="1" x14ac:dyDescent="0.35">
      <c r="B147" s="636" t="s">
        <v>2103</v>
      </c>
      <c r="C147" s="569" t="s">
        <v>2059</v>
      </c>
      <c r="D147" s="581">
        <v>45600</v>
      </c>
      <c r="E147" s="568" t="s">
        <v>2075</v>
      </c>
      <c r="F147" s="568" t="s">
        <v>1929</v>
      </c>
      <c r="G147" s="569" t="s">
        <v>2109</v>
      </c>
      <c r="H147" s="572"/>
      <c r="I147" s="635">
        <v>45785</v>
      </c>
      <c r="J147" s="580"/>
      <c r="K147" s="569"/>
      <c r="L147" s="569">
        <v>0</v>
      </c>
      <c r="M147" s="569">
        <v>0</v>
      </c>
      <c r="N147" s="569">
        <v>0</v>
      </c>
      <c r="O147" s="569"/>
      <c r="P147" s="573" t="str">
        <f>IF(O147="","",IFERROR(O147/$O$178,""))</f>
        <v/>
      </c>
      <c r="Q147" s="577"/>
      <c r="R147" s="574"/>
      <c r="S147" s="574"/>
      <c r="T147" s="634" t="str">
        <f>IF(R147="","",IFERROR(R147-S147,""))</f>
        <v/>
      </c>
      <c r="U147" s="574"/>
      <c r="V147" s="576"/>
      <c r="W147" s="573" t="str">
        <f>IFERROR(S147/R147,"")</f>
        <v/>
      </c>
      <c r="X147" s="573" t="str">
        <f>IFERROR(100%-W147,"")</f>
        <v/>
      </c>
      <c r="Y147" s="572"/>
    </row>
    <row r="148" spans="2:25" ht="15.05" customHeight="1" x14ac:dyDescent="0.35">
      <c r="B148" s="636" t="s">
        <v>2103</v>
      </c>
      <c r="C148" s="569" t="s">
        <v>2059</v>
      </c>
      <c r="D148" s="581">
        <v>45600</v>
      </c>
      <c r="E148" s="568" t="s">
        <v>2075</v>
      </c>
      <c r="F148" s="568" t="s">
        <v>1932</v>
      </c>
      <c r="G148" s="569" t="s">
        <v>2110</v>
      </c>
      <c r="H148" s="572"/>
      <c r="I148" s="635">
        <v>45785</v>
      </c>
      <c r="J148" s="580"/>
      <c r="K148" s="569"/>
      <c r="L148" s="569">
        <v>0</v>
      </c>
      <c r="M148" s="569">
        <v>0</v>
      </c>
      <c r="N148" s="569">
        <v>0</v>
      </c>
      <c r="O148" s="569"/>
      <c r="P148" s="573" t="str">
        <f>IF(O148="","",IFERROR(O148/$O$178,""))</f>
        <v/>
      </c>
      <c r="Q148" s="577"/>
      <c r="R148" s="574"/>
      <c r="S148" s="574"/>
      <c r="T148" s="634" t="str">
        <f>IF(R148="","",IFERROR(R148-S148,""))</f>
        <v/>
      </c>
      <c r="U148" s="574"/>
      <c r="V148" s="576"/>
      <c r="W148" s="573" t="str">
        <f>IFERROR(S148/R148,"")</f>
        <v/>
      </c>
      <c r="X148" s="573" t="str">
        <f>IFERROR(100%-W148,"")</f>
        <v/>
      </c>
      <c r="Y148" s="572"/>
    </row>
    <row r="149" spans="2:25" ht="15.05" customHeight="1" x14ac:dyDescent="0.35">
      <c r="B149" s="636" t="s">
        <v>2111</v>
      </c>
      <c r="C149" s="569" t="s">
        <v>2059</v>
      </c>
      <c r="D149" s="645">
        <v>43891</v>
      </c>
      <c r="E149" s="568" t="s">
        <v>2112</v>
      </c>
      <c r="F149" s="568"/>
      <c r="G149" s="569"/>
      <c r="H149" s="572"/>
      <c r="I149" s="635">
        <v>45742</v>
      </c>
      <c r="J149" s="580">
        <v>45747</v>
      </c>
      <c r="K149" s="569">
        <v>1176.31</v>
      </c>
      <c r="L149" s="569">
        <v>0</v>
      </c>
      <c r="M149" s="569">
        <v>2.4700000000000002</v>
      </c>
      <c r="N149" s="569">
        <v>2.39</v>
      </c>
      <c r="O149" s="569"/>
      <c r="P149" s="573" t="str">
        <f>IF(O149="","",IFERROR(O149/$O$178,""))</f>
        <v/>
      </c>
      <c r="Q149" s="577"/>
      <c r="R149" s="574"/>
      <c r="S149" s="574"/>
      <c r="T149" s="634" t="str">
        <f>IF(R149="","",IFERROR(R149-S149,""))</f>
        <v/>
      </c>
      <c r="U149" s="574"/>
      <c r="V149" s="576"/>
      <c r="W149" s="573" t="str">
        <f>IFERROR(S149/R149,"")</f>
        <v/>
      </c>
      <c r="X149" s="573" t="str">
        <f>IFERROR(100%-W149,"")</f>
        <v/>
      </c>
      <c r="Y149" s="572"/>
    </row>
    <row r="150" spans="2:25" ht="15.05" customHeight="1" x14ac:dyDescent="0.35">
      <c r="B150" s="636" t="s">
        <v>2111</v>
      </c>
      <c r="C150" s="569" t="s">
        <v>2059</v>
      </c>
      <c r="D150" s="645">
        <v>43922</v>
      </c>
      <c r="E150" s="568" t="s">
        <v>2113</v>
      </c>
      <c r="F150" s="568"/>
      <c r="G150" s="569"/>
      <c r="H150" s="572"/>
      <c r="I150" s="635">
        <v>45742</v>
      </c>
      <c r="J150" s="580">
        <v>45747</v>
      </c>
      <c r="K150" s="569">
        <v>665.27</v>
      </c>
      <c r="L150" s="569">
        <v>0</v>
      </c>
      <c r="M150" s="569">
        <v>1.33</v>
      </c>
      <c r="N150" s="569">
        <v>1.35</v>
      </c>
      <c r="O150" s="569"/>
      <c r="P150" s="573" t="str">
        <f>IF(O150="","",IFERROR(O150/$O$178,""))</f>
        <v/>
      </c>
      <c r="Q150" s="577"/>
      <c r="R150" s="574"/>
      <c r="S150" s="574"/>
      <c r="T150" s="634" t="str">
        <f>IF(R150="","",IFERROR(R150-S150,""))</f>
        <v/>
      </c>
      <c r="U150" s="574"/>
      <c r="V150" s="576"/>
      <c r="W150" s="573" t="str">
        <f>IFERROR(S150/R150,"")</f>
        <v/>
      </c>
      <c r="X150" s="573" t="str">
        <f>IFERROR(100%-W150,"")</f>
        <v/>
      </c>
      <c r="Y150" s="572"/>
    </row>
    <row r="151" spans="2:25" ht="15.05" customHeight="1" x14ac:dyDescent="0.35">
      <c r="B151" s="636" t="s">
        <v>2111</v>
      </c>
      <c r="C151" s="569" t="s">
        <v>2059</v>
      </c>
      <c r="D151" s="645">
        <v>43983</v>
      </c>
      <c r="E151" s="568" t="s">
        <v>2114</v>
      </c>
      <c r="F151" s="568"/>
      <c r="G151" s="569"/>
      <c r="H151" s="572"/>
      <c r="I151" s="635">
        <v>45742</v>
      </c>
      <c r="J151" s="580">
        <v>45747</v>
      </c>
      <c r="K151" s="569">
        <v>718.34</v>
      </c>
      <c r="L151" s="569">
        <v>0</v>
      </c>
      <c r="M151" s="569">
        <v>1.29</v>
      </c>
      <c r="N151" s="569">
        <v>1.46</v>
      </c>
      <c r="O151" s="569"/>
      <c r="P151" s="573" t="str">
        <f>IF(O151="","",IFERROR(O151/$O$178,""))</f>
        <v/>
      </c>
      <c r="Q151" s="577"/>
      <c r="R151" s="574"/>
      <c r="S151" s="574"/>
      <c r="T151" s="634" t="str">
        <f>IF(R151="","",IFERROR(R151-S151,""))</f>
        <v/>
      </c>
      <c r="U151" s="574"/>
      <c r="V151" s="576"/>
      <c r="W151" s="573" t="str">
        <f>IFERROR(S151/R151,"")</f>
        <v/>
      </c>
      <c r="X151" s="573" t="str">
        <f>IFERROR(100%-W151,"")</f>
        <v/>
      </c>
      <c r="Y151" s="572"/>
    </row>
    <row r="152" spans="2:25" ht="15.05" customHeight="1" x14ac:dyDescent="0.35">
      <c r="B152" s="636" t="s">
        <v>2115</v>
      </c>
      <c r="C152" s="569" t="s">
        <v>2059</v>
      </c>
      <c r="D152" s="645">
        <v>44562</v>
      </c>
      <c r="E152" s="568" t="s">
        <v>2116</v>
      </c>
      <c r="F152" s="568"/>
      <c r="G152" s="569"/>
      <c r="H152" s="572"/>
      <c r="I152" s="635">
        <v>45742</v>
      </c>
      <c r="J152" s="580">
        <v>45747</v>
      </c>
      <c r="K152" s="569">
        <v>267.55</v>
      </c>
      <c r="L152" s="569">
        <v>0</v>
      </c>
      <c r="M152" s="569">
        <v>0.02</v>
      </c>
      <c r="N152" s="569">
        <v>0.53</v>
      </c>
      <c r="O152" s="569"/>
      <c r="P152" s="573" t="str">
        <f>IF(O152="","",IFERROR(O152/$O$178,""))</f>
        <v/>
      </c>
      <c r="Q152" s="577"/>
      <c r="R152" s="574"/>
      <c r="S152" s="574"/>
      <c r="T152" s="634" t="str">
        <f>IF(R152="","",IFERROR(R152-S152,""))</f>
        <v/>
      </c>
      <c r="U152" s="574"/>
      <c r="V152" s="576"/>
      <c r="W152" s="573" t="str">
        <f>IFERROR(S152/R152,"")</f>
        <v/>
      </c>
      <c r="X152" s="573" t="str">
        <f>IFERROR(100%-W152,"")</f>
        <v/>
      </c>
      <c r="Y152" s="572"/>
    </row>
    <row r="153" spans="2:25" ht="15.05" customHeight="1" x14ac:dyDescent="0.35">
      <c r="B153" s="636" t="s">
        <v>2117</v>
      </c>
      <c r="C153" s="569" t="s">
        <v>2059</v>
      </c>
      <c r="D153" s="645" t="s">
        <v>2118</v>
      </c>
      <c r="E153" s="568" t="s">
        <v>2116</v>
      </c>
      <c r="F153" s="568"/>
      <c r="G153" s="569"/>
      <c r="H153" s="572"/>
      <c r="I153" s="635">
        <v>45742</v>
      </c>
      <c r="J153" s="580">
        <v>45747</v>
      </c>
      <c r="K153" s="569">
        <v>1691.13</v>
      </c>
      <c r="L153" s="569">
        <v>0</v>
      </c>
      <c r="M153" s="569">
        <v>0.16</v>
      </c>
      <c r="N153" s="569">
        <v>3.38</v>
      </c>
      <c r="O153" s="569"/>
      <c r="P153" s="573" t="str">
        <f>IF(O153="","",IFERROR(O153/$O$178,""))</f>
        <v/>
      </c>
      <c r="Q153" s="577"/>
      <c r="R153" s="574"/>
      <c r="S153" s="574"/>
      <c r="T153" s="634" t="str">
        <f>IF(R153="","",IFERROR(R153-S153,""))</f>
        <v/>
      </c>
      <c r="U153" s="574"/>
      <c r="V153" s="576"/>
      <c r="W153" s="573" t="str">
        <f>IFERROR(S153/R153,"")</f>
        <v/>
      </c>
      <c r="X153" s="573" t="str">
        <f>IFERROR(100%-W153,"")</f>
        <v/>
      </c>
      <c r="Y153" s="650"/>
    </row>
    <row r="154" spans="2:25" ht="15.05" customHeight="1" x14ac:dyDescent="0.35">
      <c r="B154" s="636" t="s">
        <v>2119</v>
      </c>
      <c r="C154" s="569" t="s">
        <v>2059</v>
      </c>
      <c r="D154" s="645" t="s">
        <v>2118</v>
      </c>
      <c r="E154" s="568" t="s">
        <v>2120</v>
      </c>
      <c r="F154" s="568"/>
      <c r="G154" s="569"/>
      <c r="H154" s="572"/>
      <c r="I154" s="635">
        <v>45742</v>
      </c>
      <c r="J154" s="580">
        <v>45747</v>
      </c>
      <c r="K154" s="569">
        <v>210.16</v>
      </c>
      <c r="L154" s="569">
        <v>0</v>
      </c>
      <c r="M154" s="569">
        <v>0.02</v>
      </c>
      <c r="N154" s="569">
        <v>0.42</v>
      </c>
      <c r="O154" s="569"/>
      <c r="P154" s="573" t="str">
        <f>IF(O154="","",IFERROR(O154/$O$178,""))</f>
        <v/>
      </c>
      <c r="Q154" s="577"/>
      <c r="R154" s="574"/>
      <c r="S154" s="574"/>
      <c r="T154" s="634" t="str">
        <f>IF(R154="","",IFERROR(R154-S154,""))</f>
        <v/>
      </c>
      <c r="U154" s="574"/>
      <c r="V154" s="576"/>
      <c r="W154" s="573" t="str">
        <f>IFERROR(S154/R154,"")</f>
        <v/>
      </c>
      <c r="X154" s="573" t="str">
        <f>IFERROR(100%-W154,"")</f>
        <v/>
      </c>
      <c r="Y154" s="650"/>
    </row>
    <row r="155" spans="2:25" ht="15.05" customHeight="1" x14ac:dyDescent="0.35">
      <c r="B155" s="636" t="s">
        <v>2121</v>
      </c>
      <c r="C155" s="569" t="s">
        <v>2059</v>
      </c>
      <c r="D155" s="645" t="s">
        <v>2118</v>
      </c>
      <c r="E155" s="568" t="s">
        <v>2120</v>
      </c>
      <c r="F155" s="568"/>
      <c r="G155" s="569"/>
      <c r="H155" s="572"/>
      <c r="I155" s="635">
        <v>45742</v>
      </c>
      <c r="J155" s="580">
        <v>45747</v>
      </c>
      <c r="K155" s="569">
        <v>499.98</v>
      </c>
      <c r="L155" s="569">
        <v>0</v>
      </c>
      <c r="M155" s="569">
        <v>0</v>
      </c>
      <c r="N155" s="569">
        <v>0</v>
      </c>
      <c r="O155" s="569"/>
      <c r="P155" s="573" t="str">
        <f>IF(O155="","",IFERROR(O155/$O$178,""))</f>
        <v/>
      </c>
      <c r="Q155" s="577"/>
      <c r="R155" s="574"/>
      <c r="S155" s="574"/>
      <c r="T155" s="634" t="str">
        <f>IF(R155="","",IFERROR(R155-S155,""))</f>
        <v/>
      </c>
      <c r="U155" s="574"/>
      <c r="V155" s="576"/>
      <c r="W155" s="573" t="str">
        <f>IFERROR(S155/R155,"")</f>
        <v/>
      </c>
      <c r="X155" s="573" t="str">
        <f>IFERROR(100%-W155,"")</f>
        <v/>
      </c>
      <c r="Y155" s="650"/>
    </row>
    <row r="156" spans="2:25" ht="15.05" customHeight="1" x14ac:dyDescent="0.35">
      <c r="B156" s="636" t="s">
        <v>2115</v>
      </c>
      <c r="C156" s="569" t="s">
        <v>2059</v>
      </c>
      <c r="D156" s="645">
        <v>44927</v>
      </c>
      <c r="E156" s="568" t="s">
        <v>2116</v>
      </c>
      <c r="F156" s="568"/>
      <c r="G156" s="569"/>
      <c r="H156" s="572"/>
      <c r="I156" s="635">
        <v>45742</v>
      </c>
      <c r="J156" s="580">
        <v>45747</v>
      </c>
      <c r="K156" s="641">
        <v>271.37</v>
      </c>
      <c r="L156" s="641">
        <v>0</v>
      </c>
      <c r="M156" s="641">
        <v>0.02</v>
      </c>
      <c r="N156" s="641">
        <v>0.54</v>
      </c>
      <c r="O156" s="569"/>
      <c r="P156" s="573" t="str">
        <f>IF(O156="","",IFERROR(O156/$O$178,""))</f>
        <v/>
      </c>
      <c r="Q156" s="577"/>
      <c r="R156" s="574"/>
      <c r="S156" s="574"/>
      <c r="T156" s="634" t="str">
        <f>IF(R156="","",IFERROR(R156-S156,""))</f>
        <v/>
      </c>
      <c r="U156" s="574"/>
      <c r="V156" s="576"/>
      <c r="W156" s="573" t="str">
        <f>IFERROR(S156/R156,"")</f>
        <v/>
      </c>
      <c r="X156" s="573" t="str">
        <f>IFERROR(100%-W156,"")</f>
        <v/>
      </c>
      <c r="Y156" s="650"/>
    </row>
    <row r="157" spans="2:25" ht="15.05" customHeight="1" x14ac:dyDescent="0.35">
      <c r="B157" s="636" t="s">
        <v>2117</v>
      </c>
      <c r="C157" s="569" t="s">
        <v>2059</v>
      </c>
      <c r="D157" s="645">
        <v>44927</v>
      </c>
      <c r="E157" s="568" t="s">
        <v>2120</v>
      </c>
      <c r="F157" s="568"/>
      <c r="G157" s="569"/>
      <c r="H157" s="572"/>
      <c r="I157" s="635">
        <v>45742</v>
      </c>
      <c r="J157" s="580">
        <v>45747</v>
      </c>
      <c r="K157" s="651">
        <v>359.58</v>
      </c>
      <c r="L157" s="651">
        <v>0</v>
      </c>
      <c r="M157" s="651">
        <v>0.03</v>
      </c>
      <c r="N157" s="651">
        <v>0.71</v>
      </c>
      <c r="O157" s="632"/>
      <c r="P157" s="633" t="str">
        <f>IF(O157="","",IFERROR(O157/$L$180,""))</f>
        <v/>
      </c>
      <c r="Q157" s="577"/>
      <c r="R157" s="574"/>
      <c r="S157" s="574"/>
      <c r="T157" s="634" t="str">
        <f>IF(R157="","",IFERROR(R157-S157,""))</f>
        <v/>
      </c>
      <c r="U157" s="574"/>
      <c r="V157" s="576"/>
      <c r="W157" s="573" t="str">
        <f>IFERROR(S157/R157,"")</f>
        <v/>
      </c>
      <c r="X157" s="573" t="str">
        <f>IFERROR(100%-W157,"")</f>
        <v/>
      </c>
      <c r="Y157" s="650"/>
    </row>
    <row r="158" spans="2:25" ht="15.05" customHeight="1" x14ac:dyDescent="0.35">
      <c r="B158" s="636" t="s">
        <v>2117</v>
      </c>
      <c r="C158" s="569" t="s">
        <v>2059</v>
      </c>
      <c r="D158" s="645">
        <v>44958</v>
      </c>
      <c r="E158" s="568" t="s">
        <v>2122</v>
      </c>
      <c r="F158" s="568"/>
      <c r="G158" s="569"/>
      <c r="H158" s="572"/>
      <c r="I158" s="635">
        <v>45742</v>
      </c>
      <c r="J158" s="580">
        <v>45747</v>
      </c>
      <c r="K158" s="651">
        <v>356.86</v>
      </c>
      <c r="L158" s="651">
        <v>0</v>
      </c>
      <c r="M158" s="651">
        <v>0.03</v>
      </c>
      <c r="N158" s="651">
        <v>0.71</v>
      </c>
      <c r="O158" s="632"/>
      <c r="P158" s="633" t="str">
        <f>IF(O158="","",IFERROR(O158/$L$180,""))</f>
        <v/>
      </c>
      <c r="Q158" s="577"/>
      <c r="R158" s="574"/>
      <c r="S158" s="574"/>
      <c r="T158" s="634" t="str">
        <f>IF(R158="","",IFERROR(R158-S158,""))</f>
        <v/>
      </c>
      <c r="U158" s="574"/>
      <c r="V158" s="576"/>
      <c r="W158" s="573" t="str">
        <f>IFERROR(S158/R158,"")</f>
        <v/>
      </c>
      <c r="X158" s="573" t="str">
        <f>IFERROR(100%-W158,"")</f>
        <v/>
      </c>
    </row>
    <row r="159" spans="2:25" ht="15.05" customHeight="1" x14ac:dyDescent="0.35">
      <c r="B159" s="636" t="s">
        <v>2117</v>
      </c>
      <c r="C159" s="569" t="s">
        <v>2059</v>
      </c>
      <c r="D159" s="645">
        <v>44986</v>
      </c>
      <c r="E159" s="568" t="s">
        <v>2112</v>
      </c>
      <c r="F159" s="568"/>
      <c r="G159" s="569"/>
      <c r="H159" s="572"/>
      <c r="I159" s="635">
        <v>45742</v>
      </c>
      <c r="J159" s="580">
        <v>45747</v>
      </c>
      <c r="K159" s="651">
        <v>353.54</v>
      </c>
      <c r="L159" s="651">
        <v>0</v>
      </c>
      <c r="M159" s="651">
        <v>0.03</v>
      </c>
      <c r="N159" s="651">
        <v>0.7</v>
      </c>
      <c r="O159" s="632"/>
      <c r="P159" s="633" t="str">
        <f>IF(O159="","",IFERROR(O159/$L$180,""))</f>
        <v/>
      </c>
      <c r="Q159" s="577"/>
      <c r="R159" s="574"/>
      <c r="S159" s="574"/>
      <c r="T159" s="634" t="str">
        <f>IF(R159="","",IFERROR(R159-S159,""))</f>
        <v/>
      </c>
      <c r="U159" s="574"/>
      <c r="V159" s="576"/>
      <c r="W159" s="573" t="str">
        <f>IFERROR(S159/R159,"")</f>
        <v/>
      </c>
      <c r="X159" s="573" t="str">
        <f>IFERROR(100%-W159,"")</f>
        <v/>
      </c>
    </row>
    <row r="160" spans="2:25" ht="15.05" customHeight="1" x14ac:dyDescent="0.35">
      <c r="B160" s="636" t="s">
        <v>2117</v>
      </c>
      <c r="C160" s="569" t="s">
        <v>2059</v>
      </c>
      <c r="D160" s="645">
        <v>45017</v>
      </c>
      <c r="E160" s="568" t="s">
        <v>2113</v>
      </c>
      <c r="F160" s="568"/>
      <c r="G160" s="569"/>
      <c r="H160" s="572"/>
      <c r="I160" s="635">
        <v>45742</v>
      </c>
      <c r="J160" s="580">
        <v>45747</v>
      </c>
      <c r="K160" s="651">
        <v>350.38</v>
      </c>
      <c r="L160" s="651">
        <v>0</v>
      </c>
      <c r="M160" s="651">
        <v>0.03</v>
      </c>
      <c r="N160" s="651">
        <v>0.7</v>
      </c>
      <c r="O160" s="632"/>
      <c r="P160" s="633" t="str">
        <f>IF(O160="","",IFERROR(O160/$L$180,""))</f>
        <v/>
      </c>
      <c r="Q160" s="577"/>
      <c r="R160" s="574"/>
      <c r="S160" s="574"/>
      <c r="T160" s="634" t="str">
        <f>IF(R160="","",IFERROR(R160-S160,""))</f>
        <v/>
      </c>
      <c r="U160" s="574"/>
      <c r="V160" s="576"/>
      <c r="W160" s="573" t="str">
        <f>IFERROR(S160/R160,"")</f>
        <v/>
      </c>
      <c r="X160" s="573" t="str">
        <f>IFERROR(100%-W160,"")</f>
        <v/>
      </c>
    </row>
    <row r="161" spans="2:24" ht="15.05" customHeight="1" x14ac:dyDescent="0.35">
      <c r="B161" s="636" t="s">
        <v>2115</v>
      </c>
      <c r="C161" s="569" t="s">
        <v>2059</v>
      </c>
      <c r="D161" s="645">
        <v>45292</v>
      </c>
      <c r="E161" s="568" t="s">
        <v>2116</v>
      </c>
      <c r="F161" s="568"/>
      <c r="G161" s="569"/>
      <c r="H161" s="572"/>
      <c r="I161" s="635">
        <v>45742</v>
      </c>
      <c r="J161" s="580">
        <v>45747</v>
      </c>
      <c r="K161" s="651">
        <v>275.35000000000002</v>
      </c>
      <c r="L161" s="651">
        <v>0</v>
      </c>
      <c r="M161" s="651">
        <v>0.02</v>
      </c>
      <c r="N161" s="651">
        <v>0.55000000000000004</v>
      </c>
      <c r="O161" s="652"/>
      <c r="P161" s="633" t="str">
        <f t="shared" ref="P161:P166" si="51">IF(O161="","",IFERROR(O161/$L$180,""))</f>
        <v/>
      </c>
      <c r="Q161" s="577"/>
      <c r="R161" s="574"/>
      <c r="S161" s="574"/>
      <c r="T161" s="634" t="str">
        <f t="shared" ref="T161:T166" si="52">IF(R161="","",IFERROR(R161-S161,""))</f>
        <v/>
      </c>
      <c r="U161" s="574"/>
      <c r="V161" s="576"/>
      <c r="W161" s="573" t="str">
        <f t="shared" ref="W161:W166" si="53">IFERROR(S161/R161,"")</f>
        <v/>
      </c>
      <c r="X161" s="573" t="str">
        <f t="shared" ref="X161:X166" si="54">IFERROR(100%-W161,"")</f>
        <v/>
      </c>
    </row>
    <row r="162" spans="2:24" ht="15.05" customHeight="1" x14ac:dyDescent="0.35">
      <c r="B162" s="636" t="s">
        <v>2117</v>
      </c>
      <c r="C162" s="569" t="s">
        <v>2059</v>
      </c>
      <c r="D162" s="645">
        <v>45292</v>
      </c>
      <c r="E162" s="568" t="s">
        <v>2120</v>
      </c>
      <c r="F162" s="568"/>
      <c r="G162" s="569"/>
      <c r="H162" s="572"/>
      <c r="I162" s="635">
        <v>45742</v>
      </c>
      <c r="J162" s="580">
        <v>45747</v>
      </c>
      <c r="K162" s="651">
        <v>368.46</v>
      </c>
      <c r="L162" s="651">
        <v>0</v>
      </c>
      <c r="M162" s="651">
        <v>0.03</v>
      </c>
      <c r="N162" s="651">
        <v>0.73</v>
      </c>
      <c r="O162" s="652"/>
      <c r="P162" s="633" t="str">
        <f t="shared" si="51"/>
        <v/>
      </c>
      <c r="Q162" s="577"/>
      <c r="R162" s="574"/>
      <c r="S162" s="574"/>
      <c r="T162" s="634" t="str">
        <f t="shared" si="52"/>
        <v/>
      </c>
      <c r="U162" s="574"/>
      <c r="V162" s="576"/>
      <c r="W162" s="573" t="str">
        <f t="shared" si="53"/>
        <v/>
      </c>
      <c r="X162" s="573" t="str">
        <f t="shared" si="54"/>
        <v/>
      </c>
    </row>
    <row r="163" spans="2:24" ht="15.05" customHeight="1" x14ac:dyDescent="0.35">
      <c r="B163" s="636" t="s">
        <v>2117</v>
      </c>
      <c r="C163" s="569" t="s">
        <v>2059</v>
      </c>
      <c r="D163" s="645">
        <v>45323</v>
      </c>
      <c r="E163" s="568" t="s">
        <v>2122</v>
      </c>
      <c r="F163" s="568"/>
      <c r="G163" s="569"/>
      <c r="H163" s="572"/>
      <c r="I163" s="635">
        <v>45742</v>
      </c>
      <c r="J163" s="580">
        <v>45747</v>
      </c>
      <c r="K163" s="651">
        <v>365.7</v>
      </c>
      <c r="L163" s="651">
        <v>0</v>
      </c>
      <c r="M163" s="651">
        <v>0.03</v>
      </c>
      <c r="N163" s="651">
        <v>0.73</v>
      </c>
      <c r="O163" s="652"/>
      <c r="P163" s="633" t="str">
        <f t="shared" si="51"/>
        <v/>
      </c>
      <c r="Q163" s="577"/>
      <c r="R163" s="574"/>
      <c r="S163" s="574"/>
      <c r="T163" s="634" t="str">
        <f t="shared" si="52"/>
        <v/>
      </c>
      <c r="U163" s="574"/>
      <c r="V163" s="576"/>
      <c r="W163" s="573" t="str">
        <f t="shared" si="53"/>
        <v/>
      </c>
      <c r="X163" s="573" t="str">
        <f t="shared" si="54"/>
        <v/>
      </c>
    </row>
    <row r="164" spans="2:24" ht="15.05" customHeight="1" x14ac:dyDescent="0.35">
      <c r="B164" s="636" t="s">
        <v>2117</v>
      </c>
      <c r="C164" s="569" t="s">
        <v>2059</v>
      </c>
      <c r="D164" s="645">
        <v>45352</v>
      </c>
      <c r="E164" s="568" t="s">
        <v>2112</v>
      </c>
      <c r="F164" s="568"/>
      <c r="G164" s="569"/>
      <c r="H164" s="572"/>
      <c r="I164" s="635">
        <v>45742</v>
      </c>
      <c r="J164" s="580">
        <v>45808</v>
      </c>
      <c r="K164" s="651">
        <v>362.73</v>
      </c>
      <c r="L164" s="651">
        <v>0</v>
      </c>
      <c r="M164" s="651">
        <v>0.03</v>
      </c>
      <c r="N164" s="651">
        <v>0.72</v>
      </c>
      <c r="O164" s="652"/>
      <c r="P164" s="633" t="str">
        <f t="shared" si="51"/>
        <v/>
      </c>
      <c r="Q164" s="577"/>
      <c r="R164" s="574"/>
      <c r="S164" s="574"/>
      <c r="T164" s="634" t="str">
        <f t="shared" si="52"/>
        <v/>
      </c>
      <c r="U164" s="574"/>
      <c r="V164" s="576"/>
      <c r="W164" s="573" t="str">
        <f t="shared" si="53"/>
        <v/>
      </c>
      <c r="X164" s="573" t="str">
        <f t="shared" si="54"/>
        <v/>
      </c>
    </row>
    <row r="165" spans="2:24" ht="15.05" customHeight="1" x14ac:dyDescent="0.35">
      <c r="B165" s="636" t="s">
        <v>2117</v>
      </c>
      <c r="C165" s="569" t="s">
        <v>2059</v>
      </c>
      <c r="D165" s="645">
        <v>45383</v>
      </c>
      <c r="E165" s="568" t="s">
        <v>2113</v>
      </c>
      <c r="F165" s="568"/>
      <c r="G165" s="569"/>
      <c r="H165" s="572"/>
      <c r="I165" s="635">
        <v>45742</v>
      </c>
      <c r="J165" s="580">
        <v>45808</v>
      </c>
      <c r="K165" s="651">
        <v>359.97</v>
      </c>
      <c r="L165" s="651">
        <v>0</v>
      </c>
      <c r="M165" s="651">
        <v>0.03</v>
      </c>
      <c r="N165" s="651">
        <v>0.71</v>
      </c>
      <c r="O165" s="652"/>
      <c r="P165" s="633" t="str">
        <f t="shared" si="51"/>
        <v/>
      </c>
      <c r="Q165" s="577"/>
      <c r="R165" s="574"/>
      <c r="S165" s="574"/>
      <c r="T165" s="634" t="str">
        <f t="shared" si="52"/>
        <v/>
      </c>
      <c r="U165" s="574"/>
      <c r="V165" s="576"/>
      <c r="W165" s="573" t="str">
        <f t="shared" si="53"/>
        <v/>
      </c>
      <c r="X165" s="573" t="str">
        <f t="shared" si="54"/>
        <v/>
      </c>
    </row>
    <row r="166" spans="2:24" ht="15.05" customHeight="1" x14ac:dyDescent="0.35">
      <c r="B166" s="636" t="s">
        <v>2123</v>
      </c>
      <c r="C166" s="569" t="s">
        <v>2059</v>
      </c>
      <c r="D166" s="645">
        <v>45017</v>
      </c>
      <c r="E166" s="568" t="s">
        <v>2113</v>
      </c>
      <c r="F166" s="568"/>
      <c r="G166" s="569"/>
      <c r="H166" s="572"/>
      <c r="I166" s="635">
        <v>45742</v>
      </c>
      <c r="J166" s="580">
        <v>45808</v>
      </c>
      <c r="K166" s="651">
        <v>656.23</v>
      </c>
      <c r="L166" s="651">
        <v>0</v>
      </c>
      <c r="M166" s="651">
        <v>7.0000000000000007E-2</v>
      </c>
      <c r="N166" s="651">
        <v>1.31</v>
      </c>
      <c r="O166" s="652"/>
      <c r="P166" s="633" t="str">
        <f t="shared" si="51"/>
        <v/>
      </c>
      <c r="Q166" s="577"/>
      <c r="R166" s="574"/>
      <c r="S166" s="574"/>
      <c r="T166" s="634" t="str">
        <f t="shared" si="52"/>
        <v/>
      </c>
      <c r="U166" s="574"/>
      <c r="V166" s="576"/>
      <c r="W166" s="573" t="str">
        <f t="shared" si="53"/>
        <v/>
      </c>
      <c r="X166" s="573" t="str">
        <f t="shared" si="54"/>
        <v/>
      </c>
    </row>
    <row r="167" spans="2:24" ht="15.05" customHeight="1" x14ac:dyDescent="0.35">
      <c r="B167" s="636" t="s">
        <v>2123</v>
      </c>
      <c r="C167" s="569" t="s">
        <v>2059</v>
      </c>
      <c r="D167" s="653">
        <v>45047</v>
      </c>
      <c r="E167" s="574" t="s">
        <v>2127</v>
      </c>
      <c r="F167" s="572"/>
      <c r="G167" s="572"/>
      <c r="H167" s="572"/>
      <c r="I167" s="635">
        <v>45742</v>
      </c>
      <c r="J167" s="580">
        <v>45808</v>
      </c>
      <c r="K167" s="654">
        <v>649.75</v>
      </c>
      <c r="L167" s="654">
        <v>0</v>
      </c>
      <c r="M167" s="654">
        <v>7.0000000000000007E-2</v>
      </c>
      <c r="N167" s="654">
        <v>1.3</v>
      </c>
      <c r="O167" s="655"/>
      <c r="P167" s="573" t="str">
        <f>IF(O167="","",IFERROR(O167/$O$178,""))</f>
        <v/>
      </c>
      <c r="Q167" s="577"/>
      <c r="R167" s="574"/>
      <c r="S167" s="574"/>
      <c r="T167" s="575" t="str">
        <f t="shared" si="0"/>
        <v/>
      </c>
      <c r="U167" s="574"/>
      <c r="V167" s="576"/>
      <c r="W167" s="573" t="str">
        <f t="shared" si="1"/>
        <v/>
      </c>
      <c r="X167" s="573" t="str">
        <f t="shared" si="2"/>
        <v/>
      </c>
    </row>
    <row r="168" spans="2:24" ht="15.05" customHeight="1" x14ac:dyDescent="0.35">
      <c r="B168" s="636" t="s">
        <v>2123</v>
      </c>
      <c r="C168" s="569" t="s">
        <v>2059</v>
      </c>
      <c r="D168" s="653">
        <v>45078</v>
      </c>
      <c r="E168" s="574" t="s">
        <v>2114</v>
      </c>
      <c r="F168" s="572"/>
      <c r="G168" s="572"/>
      <c r="H168" s="572"/>
      <c r="I168" s="635">
        <v>45742</v>
      </c>
      <c r="J168" s="580">
        <v>45808</v>
      </c>
      <c r="K168" s="654">
        <v>644.33000000000004</v>
      </c>
      <c r="L168" s="654">
        <v>0</v>
      </c>
      <c r="M168" s="654">
        <v>0.06</v>
      </c>
      <c r="N168" s="654">
        <v>1.29</v>
      </c>
      <c r="O168" s="655"/>
      <c r="P168" s="573" t="str">
        <f>IF(O168="","",IFERROR(O168/$O$178,""))</f>
        <v/>
      </c>
      <c r="Q168" s="577"/>
      <c r="R168" s="574"/>
      <c r="S168" s="574"/>
      <c r="T168" s="575" t="str">
        <f t="shared" si="0"/>
        <v/>
      </c>
      <c r="U168" s="574"/>
      <c r="V168" s="576"/>
      <c r="W168" s="573" t="str">
        <f t="shared" si="1"/>
        <v/>
      </c>
      <c r="X168" s="573" t="str">
        <f t="shared" si="2"/>
        <v/>
      </c>
    </row>
    <row r="169" spans="2:24" ht="15.05" customHeight="1" x14ac:dyDescent="0.35">
      <c r="B169" s="636" t="s">
        <v>2123</v>
      </c>
      <c r="C169" s="569" t="s">
        <v>2059</v>
      </c>
      <c r="D169" s="653">
        <v>45108</v>
      </c>
      <c r="E169" s="574" t="s">
        <v>2124</v>
      </c>
      <c r="F169" s="572"/>
      <c r="G169" s="572"/>
      <c r="H169" s="572"/>
      <c r="I169" s="635">
        <v>45742</v>
      </c>
      <c r="J169" s="580">
        <v>45808</v>
      </c>
      <c r="K169" s="654">
        <v>638.73</v>
      </c>
      <c r="L169" s="654">
        <v>0</v>
      </c>
      <c r="M169" s="654">
        <v>0.06</v>
      </c>
      <c r="N169" s="654">
        <v>1.28</v>
      </c>
      <c r="O169" s="655"/>
      <c r="P169" s="573" t="str">
        <f>IF(O169="","",IFERROR(O169/$O$178,""))</f>
        <v/>
      </c>
      <c r="Q169" s="577"/>
      <c r="R169" s="574"/>
      <c r="S169" s="574"/>
      <c r="T169" s="575" t="str">
        <f t="shared" si="0"/>
        <v/>
      </c>
      <c r="U169" s="574"/>
      <c r="V169" s="576"/>
      <c r="W169" s="573" t="str">
        <f t="shared" si="1"/>
        <v/>
      </c>
      <c r="X169" s="573" t="str">
        <f t="shared" si="2"/>
        <v/>
      </c>
    </row>
    <row r="170" spans="2:24" ht="15.05" customHeight="1" x14ac:dyDescent="0.35">
      <c r="B170" s="636" t="s">
        <v>2123</v>
      </c>
      <c r="C170" s="569" t="s">
        <v>2059</v>
      </c>
      <c r="D170" s="656">
        <v>45139</v>
      </c>
      <c r="E170" s="657" t="s">
        <v>2125</v>
      </c>
      <c r="F170" s="658"/>
      <c r="G170" s="658"/>
      <c r="H170" s="572"/>
      <c r="I170" s="635">
        <v>45742</v>
      </c>
      <c r="J170" s="580">
        <v>45808</v>
      </c>
      <c r="K170" s="654">
        <v>633.59</v>
      </c>
      <c r="L170" s="654">
        <v>0</v>
      </c>
      <c r="M170" s="654">
        <v>0.06</v>
      </c>
      <c r="N170" s="654">
        <v>1.27</v>
      </c>
      <c r="O170" s="655"/>
      <c r="P170" s="573" t="str">
        <f>IF(O170="","",IFERROR(O170/$O$178,""))</f>
        <v/>
      </c>
      <c r="Q170" s="577"/>
      <c r="R170" s="574"/>
      <c r="S170" s="574"/>
      <c r="T170" s="575" t="str">
        <f t="shared" si="0"/>
        <v/>
      </c>
      <c r="U170" s="574"/>
      <c r="V170" s="576"/>
      <c r="W170" s="573" t="str">
        <f t="shared" si="1"/>
        <v/>
      </c>
      <c r="X170" s="573" t="str">
        <f t="shared" si="2"/>
        <v/>
      </c>
    </row>
    <row r="171" spans="2:24" ht="15.05" customHeight="1" x14ac:dyDescent="0.35">
      <c r="B171" s="636" t="s">
        <v>2123</v>
      </c>
      <c r="C171" s="569" t="s">
        <v>2059</v>
      </c>
      <c r="D171" s="656">
        <v>45170</v>
      </c>
      <c r="E171" s="657" t="s">
        <v>2126</v>
      </c>
      <c r="F171" s="658"/>
      <c r="G171" s="658"/>
      <c r="H171" s="572"/>
      <c r="I171" s="635">
        <v>45742</v>
      </c>
      <c r="J171" s="580">
        <v>45808</v>
      </c>
      <c r="K171" s="654">
        <v>628.61</v>
      </c>
      <c r="L171" s="654">
        <v>0</v>
      </c>
      <c r="M171" s="654">
        <v>0.06</v>
      </c>
      <c r="N171" s="654">
        <v>1.26</v>
      </c>
      <c r="O171" s="655"/>
      <c r="P171" s="633" t="str">
        <f t="shared" ref="P171:P173" si="55">IF(O171="","",IFERROR(O171/$L$180,""))</f>
        <v/>
      </c>
      <c r="Q171" s="577"/>
      <c r="R171" s="574"/>
      <c r="S171" s="574"/>
      <c r="T171" s="634" t="str">
        <f t="shared" ref="T171:T173" si="56">IF(R171="","",IFERROR(R171-S171,""))</f>
        <v/>
      </c>
      <c r="U171" s="574"/>
      <c r="V171" s="576"/>
      <c r="W171" s="573" t="str">
        <f t="shared" ref="W171:W173" si="57">IFERROR(S171/R171,"")</f>
        <v/>
      </c>
      <c r="X171" s="573" t="str">
        <f t="shared" ref="X171:X173" si="58">IFERROR(100%-W171,"")</f>
        <v/>
      </c>
    </row>
    <row r="172" spans="2:24" ht="15.05" customHeight="1" x14ac:dyDescent="0.35">
      <c r="B172" s="636" t="s">
        <v>2123</v>
      </c>
      <c r="C172" s="569" t="s">
        <v>2059</v>
      </c>
      <c r="D172" s="656">
        <v>45444</v>
      </c>
      <c r="E172" s="657" t="s">
        <v>2114</v>
      </c>
      <c r="F172" s="658"/>
      <c r="G172" s="658"/>
      <c r="H172" s="572"/>
      <c r="I172" s="635">
        <v>45742</v>
      </c>
      <c r="J172" s="580">
        <v>45808</v>
      </c>
      <c r="K172" s="654">
        <v>497.24</v>
      </c>
      <c r="L172" s="654">
        <v>0</v>
      </c>
      <c r="M172" s="654">
        <v>0.05</v>
      </c>
      <c r="N172" s="654">
        <v>0.99</v>
      </c>
      <c r="O172" s="655"/>
      <c r="P172" s="633" t="str">
        <f t="shared" si="55"/>
        <v/>
      </c>
      <c r="Q172" s="577"/>
      <c r="R172" s="574"/>
      <c r="S172" s="574"/>
      <c r="T172" s="634" t="str">
        <f t="shared" si="56"/>
        <v/>
      </c>
      <c r="U172" s="574"/>
      <c r="V172" s="576"/>
      <c r="W172" s="573" t="str">
        <f t="shared" si="57"/>
        <v/>
      </c>
      <c r="X172" s="573" t="str">
        <f t="shared" si="58"/>
        <v/>
      </c>
    </row>
    <row r="173" spans="2:24" ht="15.05" customHeight="1" x14ac:dyDescent="0.35">
      <c r="B173" s="636" t="s">
        <v>2123</v>
      </c>
      <c r="C173" s="569" t="s">
        <v>2059</v>
      </c>
      <c r="D173" s="656">
        <v>45474</v>
      </c>
      <c r="E173" s="657" t="s">
        <v>2124</v>
      </c>
      <c r="F173" s="658"/>
      <c r="G173" s="658"/>
      <c r="H173" s="572"/>
      <c r="I173" s="635">
        <v>45742</v>
      </c>
      <c r="J173" s="580">
        <v>45808</v>
      </c>
      <c r="K173" s="654">
        <v>493.18</v>
      </c>
      <c r="L173" s="654">
        <v>0</v>
      </c>
      <c r="M173" s="654">
        <v>0.05</v>
      </c>
      <c r="N173" s="654">
        <v>0.99</v>
      </c>
      <c r="O173" s="655"/>
      <c r="P173" s="633" t="str">
        <f t="shared" si="55"/>
        <v/>
      </c>
      <c r="Q173" s="577"/>
      <c r="R173" s="574"/>
      <c r="S173" s="574"/>
      <c r="T173" s="634" t="str">
        <f t="shared" si="56"/>
        <v/>
      </c>
      <c r="U173" s="574"/>
      <c r="V173" s="576"/>
      <c r="W173" s="573" t="str">
        <f t="shared" si="57"/>
        <v/>
      </c>
      <c r="X173" s="573" t="str">
        <f t="shared" si="58"/>
        <v/>
      </c>
    </row>
    <row r="174" spans="2:24" ht="15.05" customHeight="1" x14ac:dyDescent="0.35">
      <c r="B174" s="636" t="s">
        <v>2123</v>
      </c>
      <c r="C174" s="569" t="s">
        <v>2059</v>
      </c>
      <c r="D174" s="653">
        <v>45505</v>
      </c>
      <c r="E174" s="574" t="s">
        <v>2125</v>
      </c>
      <c r="F174" s="572"/>
      <c r="G174" s="572"/>
      <c r="H174" s="572"/>
      <c r="I174" s="635">
        <v>45742</v>
      </c>
      <c r="J174" s="580">
        <v>45808</v>
      </c>
      <c r="K174" s="654">
        <v>489.25</v>
      </c>
      <c r="L174" s="654">
        <v>0</v>
      </c>
      <c r="M174" s="654">
        <v>0.05</v>
      </c>
      <c r="N174" s="654">
        <v>0.98</v>
      </c>
      <c r="O174" s="655"/>
      <c r="P174" s="573" t="str">
        <f>IF(O174="","",IFERROR(O174/$O$178,""))</f>
        <v/>
      </c>
      <c r="Q174" s="577"/>
      <c r="R174" s="574"/>
      <c r="S174" s="574"/>
      <c r="T174" s="575" t="str">
        <f t="shared" si="0"/>
        <v/>
      </c>
      <c r="U174" s="574"/>
      <c r="V174" s="576"/>
      <c r="W174" s="573" t="str">
        <f t="shared" si="1"/>
        <v/>
      </c>
      <c r="X174" s="573" t="str">
        <f t="shared" si="2"/>
        <v/>
      </c>
    </row>
    <row r="175" spans="2:24" ht="15.05" customHeight="1" x14ac:dyDescent="0.35">
      <c r="B175" s="636" t="s">
        <v>2123</v>
      </c>
      <c r="C175" s="569" t="s">
        <v>2059</v>
      </c>
      <c r="D175" s="653">
        <v>45536</v>
      </c>
      <c r="E175" s="574" t="s">
        <v>2126</v>
      </c>
      <c r="F175" s="572"/>
      <c r="G175" s="572"/>
      <c r="H175" s="572"/>
      <c r="I175" s="635">
        <v>45742</v>
      </c>
      <c r="J175" s="580">
        <v>45808</v>
      </c>
      <c r="K175" s="654">
        <v>484.9</v>
      </c>
      <c r="L175" s="654">
        <v>0</v>
      </c>
      <c r="M175" s="654">
        <v>0.05</v>
      </c>
      <c r="N175" s="654">
        <v>0.97</v>
      </c>
      <c r="O175" s="655"/>
      <c r="P175" s="573" t="str">
        <f>IF(O175="","",IFERROR(O175/$O$178,""))</f>
        <v/>
      </c>
      <c r="Q175" s="577"/>
      <c r="R175" s="574"/>
      <c r="S175" s="574"/>
      <c r="T175" s="575" t="str">
        <f t="shared" si="0"/>
        <v/>
      </c>
      <c r="U175" s="574"/>
      <c r="V175" s="576"/>
      <c r="W175" s="573" t="str">
        <f t="shared" si="1"/>
        <v/>
      </c>
      <c r="X175" s="573" t="str">
        <f t="shared" si="2"/>
        <v/>
      </c>
    </row>
    <row r="176" spans="2:24" ht="15.05" customHeight="1" x14ac:dyDescent="0.35">
      <c r="B176" s="636" t="s">
        <v>2123</v>
      </c>
      <c r="C176" s="569" t="s">
        <v>2059</v>
      </c>
      <c r="D176" s="653">
        <v>45566</v>
      </c>
      <c r="E176" s="574" t="s">
        <v>2128</v>
      </c>
      <c r="F176" s="572"/>
      <c r="G176" s="572"/>
      <c r="H176" s="572"/>
      <c r="I176" s="635">
        <v>45742</v>
      </c>
      <c r="J176" s="580">
        <v>45808</v>
      </c>
      <c r="K176" s="654">
        <v>481.21</v>
      </c>
      <c r="L176" s="654">
        <v>0</v>
      </c>
      <c r="M176" s="654">
        <v>0.05</v>
      </c>
      <c r="N176" s="654">
        <v>0.96</v>
      </c>
      <c r="O176" s="655"/>
      <c r="P176" s="573" t="str">
        <f>IF(O176="","",IFERROR(O176/$O$178,""))</f>
        <v/>
      </c>
      <c r="Q176" s="577"/>
      <c r="R176" s="574"/>
      <c r="S176" s="574"/>
      <c r="T176" s="575" t="str">
        <f t="shared" si="0"/>
        <v/>
      </c>
      <c r="U176" s="574"/>
      <c r="V176" s="576"/>
      <c r="W176" s="573" t="str">
        <f t="shared" si="1"/>
        <v/>
      </c>
      <c r="X176" s="573" t="str">
        <f t="shared" si="2"/>
        <v/>
      </c>
    </row>
    <row r="177" spans="2:24" ht="15.05" customHeight="1" x14ac:dyDescent="0.35">
      <c r="B177" s="636" t="s">
        <v>2123</v>
      </c>
      <c r="C177" s="569" t="s">
        <v>2059</v>
      </c>
      <c r="D177" s="653">
        <v>45597</v>
      </c>
      <c r="E177" s="574" t="s">
        <v>2129</v>
      </c>
      <c r="F177" s="572"/>
      <c r="G177" s="572"/>
      <c r="H177" s="572"/>
      <c r="I177" s="635">
        <v>45742</v>
      </c>
      <c r="J177" s="580">
        <v>45808</v>
      </c>
      <c r="K177" s="654">
        <v>476.86</v>
      </c>
      <c r="L177" s="654">
        <v>0</v>
      </c>
      <c r="M177" s="654">
        <v>0.05</v>
      </c>
      <c r="N177" s="654">
        <v>0.95</v>
      </c>
      <c r="O177" s="655"/>
      <c r="P177" s="573" t="str">
        <f>IF(O177="","",IFERROR(O177/$O$178,""))</f>
        <v/>
      </c>
      <c r="Q177" s="577"/>
      <c r="R177" s="574"/>
      <c r="S177" s="574"/>
      <c r="T177" s="575" t="str">
        <f t="shared" si="0"/>
        <v/>
      </c>
      <c r="U177" s="574"/>
      <c r="V177" s="576"/>
      <c r="W177" s="573" t="str">
        <f t="shared" si="1"/>
        <v/>
      </c>
      <c r="X177" s="573" t="str">
        <f t="shared" si="2"/>
        <v/>
      </c>
    </row>
    <row r="178" spans="2:24" ht="15.05" customHeight="1" x14ac:dyDescent="0.35">
      <c r="B178" s="558" t="s">
        <v>1063</v>
      </c>
      <c r="C178" s="558"/>
      <c r="D178" s="649"/>
      <c r="E178" s="559"/>
      <c r="F178" s="558"/>
      <c r="G178" s="558"/>
      <c r="H178" s="558"/>
      <c r="I178" s="558"/>
      <c r="J178" s="640"/>
      <c r="K178" s="559"/>
      <c r="L178" s="559"/>
      <c r="M178" s="559"/>
      <c r="N178" s="559"/>
      <c r="O178" s="564">
        <f>SUBTOTAL(109,Tabela1[Valor Total do contrato])</f>
        <v>0</v>
      </c>
      <c r="P178" s="560" t="e">
        <f>O178/$O$178</f>
        <v>#DIV/0!</v>
      </c>
      <c r="Q178" s="560"/>
      <c r="R178" s="561"/>
      <c r="S178" s="561"/>
      <c r="T178" s="561"/>
      <c r="U178" s="562"/>
      <c r="V178" s="563"/>
      <c r="W178" s="560"/>
      <c r="X178" s="560"/>
    </row>
    <row r="180" spans="2:24" ht="15.05" customHeight="1" x14ac:dyDescent="0.35">
      <c r="B180" s="552" t="s">
        <v>2050</v>
      </c>
      <c r="C180" s="555"/>
    </row>
    <row r="183" spans="2:24" ht="15.05" customHeight="1" x14ac:dyDescent="0.35">
      <c r="B183" s="254" t="s">
        <v>1169</v>
      </c>
      <c r="C183" t="s">
        <v>2051</v>
      </c>
      <c r="F183" s="254" t="s">
        <v>1169</v>
      </c>
      <c r="G183" t="s">
        <v>2052</v>
      </c>
    </row>
    <row r="184" spans="2:24" ht="15.05" customHeight="1" x14ac:dyDescent="0.35">
      <c r="B184" s="257" t="s">
        <v>1654</v>
      </c>
      <c r="C184" s="554">
        <v>0</v>
      </c>
      <c r="F184" s="257" t="s">
        <v>1654</v>
      </c>
      <c r="G184" s="556"/>
    </row>
    <row r="185" spans="2:24" ht="15.05" customHeight="1" x14ac:dyDescent="0.35">
      <c r="B185" s="257" t="s">
        <v>1769</v>
      </c>
      <c r="C185" s="554">
        <v>0</v>
      </c>
      <c r="F185" s="257" t="s">
        <v>1769</v>
      </c>
      <c r="G185" s="556"/>
    </row>
    <row r="186" spans="2:24" ht="15.05" customHeight="1" x14ac:dyDescent="0.35">
      <c r="B186" s="257" t="s">
        <v>1770</v>
      </c>
      <c r="C186" s="554">
        <v>0</v>
      </c>
      <c r="F186" s="257" t="s">
        <v>1770</v>
      </c>
      <c r="G186" s="556"/>
    </row>
    <row r="187" spans="2:24" ht="15.05" customHeight="1" x14ac:dyDescent="0.35">
      <c r="B187" s="257" t="s">
        <v>2059</v>
      </c>
      <c r="C187" s="554">
        <v>0</v>
      </c>
      <c r="F187" s="257" t="s">
        <v>2059</v>
      </c>
      <c r="G187" s="556"/>
    </row>
    <row r="188" spans="2:24" ht="15.05" customHeight="1" x14ac:dyDescent="0.35">
      <c r="B188" s="257" t="s">
        <v>1774</v>
      </c>
      <c r="C188" s="554">
        <v>0</v>
      </c>
      <c r="F188" s="257" t="s">
        <v>1774</v>
      </c>
      <c r="G188" s="556"/>
    </row>
    <row r="189" spans="2:24" ht="15.05" customHeight="1" x14ac:dyDescent="0.35">
      <c r="B189" s="257" t="s">
        <v>1760</v>
      </c>
      <c r="C189" s="554">
        <v>0</v>
      </c>
      <c r="F189" s="257" t="s">
        <v>1760</v>
      </c>
      <c r="G189" s="556"/>
    </row>
    <row r="190" spans="2:24" ht="15.05" customHeight="1" x14ac:dyDescent="0.35">
      <c r="B190" s="257" t="s">
        <v>1167</v>
      </c>
      <c r="C190" s="554">
        <v>0</v>
      </c>
      <c r="F190" s="257" t="s">
        <v>1167</v>
      </c>
      <c r="G190" s="556"/>
    </row>
    <row r="191" spans="2:24" ht="15.05" customHeight="1" x14ac:dyDescent="0.35">
      <c r="F191"/>
      <c r="G191"/>
    </row>
    <row r="192" spans="2:24" ht="15.05" customHeight="1" x14ac:dyDescent="0.35">
      <c r="F192"/>
      <c r="G192"/>
    </row>
    <row r="193" spans="6:7" ht="15.05" customHeight="1" x14ac:dyDescent="0.35">
      <c r="F193"/>
      <c r="G193"/>
    </row>
    <row r="194" spans="6:7" ht="15.05" customHeight="1" x14ac:dyDescent="0.35">
      <c r="F194"/>
      <c r="G194"/>
    </row>
  </sheetData>
  <sheetProtection insertRows="0" deleteRows="0" sort="0" autoFilter="0" pivotTables="0"/>
  <phoneticPr fontId="36" type="noConversion"/>
  <pageMargins left="0.511811024" right="0.511811024" top="0.78740157499999996" bottom="0.78740157499999996" header="0.31496062000000002" footer="0.31496062000000002"/>
  <pageSetup paperSize="9" scale="58" orientation="landscape" horizontalDpi="200" verticalDpi="2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5" r:id="rId6" name="Button 1">
              <controlPr defaultSize="0" print="0" autoFill="0" autoPict="0" macro="[0]!Atualizar">
                <anchor>
                  <from>
                    <xdr:col>7</xdr:col>
                    <xdr:colOff>973606</xdr:colOff>
                    <xdr:row>1</xdr:row>
                    <xdr:rowOff>26314</xdr:rowOff>
                  </from>
                  <to>
                    <xdr:col>8</xdr:col>
                    <xdr:colOff>624950</xdr:colOff>
                    <xdr:row>1</xdr:row>
                    <xdr:rowOff>210509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21">
    <tabColor theme="5"/>
  </sheetPr>
  <dimension ref="A1:BD1252"/>
  <sheetViews>
    <sheetView showGridLines="0" zoomScaleNormal="100" workbookViewId="0">
      <pane xSplit="5" ySplit="4" topLeftCell="G5" activePane="bottomRight" state="frozen"/>
      <selection pane="topRight" activeCell="G1" sqref="G1"/>
      <selection pane="bottomLeft" activeCell="A5" sqref="A5"/>
      <selection pane="bottomRight" activeCell="I5" sqref="I5"/>
    </sheetView>
  </sheetViews>
  <sheetFormatPr defaultColWidth="9.1796875" defaultRowHeight="30.05" customHeight="1" x14ac:dyDescent="0.35"/>
  <cols>
    <col min="1" max="1" width="0.7265625" style="28" customWidth="1"/>
    <col min="2" max="2" width="12.26953125" style="273" customWidth="1"/>
    <col min="3" max="3" width="32.453125" style="28" customWidth="1"/>
    <col min="4" max="4" width="12.26953125" style="28" customWidth="1"/>
    <col min="5" max="5" width="25.26953125" style="35" customWidth="1"/>
    <col min="6" max="6" width="29.26953125" customWidth="1"/>
    <col min="7" max="7" width="18.81640625" style="485" customWidth="1"/>
    <col min="8" max="8" width="9.54296875" style="29" customWidth="1"/>
    <col min="9" max="9" width="33.54296875" style="29" customWidth="1"/>
    <col min="10" max="10" width="18.26953125" style="266" bestFit="1" customWidth="1"/>
    <col min="11" max="11" width="15" style="266" customWidth="1"/>
    <col min="12" max="12" width="17.81640625" style="266" bestFit="1" customWidth="1"/>
    <col min="13" max="13" width="17.81640625" style="266" customWidth="1"/>
    <col min="14" max="14" width="17.81640625" style="367" bestFit="1" customWidth="1"/>
    <col min="15" max="15" width="13.453125" style="367" customWidth="1"/>
    <col min="16" max="16" width="16.1796875" style="367" customWidth="1"/>
    <col min="17" max="17" width="15.26953125" style="416" customWidth="1"/>
    <col min="18" max="18" width="20" style="110" customWidth="1"/>
    <col min="19" max="19" width="21.1796875" style="368" customWidth="1"/>
    <col min="20" max="20" width="18.26953125" style="111" customWidth="1"/>
    <col min="21" max="21" width="15.7265625" style="431" customWidth="1"/>
    <col min="22" max="22" width="18.7265625" style="111" customWidth="1"/>
    <col min="23" max="23" width="19.453125" style="111" hidden="1" customWidth="1"/>
    <col min="24" max="24" width="18.7265625" style="111" hidden="1" customWidth="1"/>
    <col min="25" max="25" width="11.453125" style="258" hidden="1" customWidth="1"/>
    <col min="26" max="26" width="14.1796875" style="112" hidden="1" customWidth="1"/>
    <col min="27" max="27" width="25" style="113" hidden="1" customWidth="1"/>
    <col min="28" max="28" width="22.54296875" style="113" hidden="1" customWidth="1"/>
    <col min="29" max="29" width="15.1796875" style="29" hidden="1" customWidth="1"/>
    <col min="30" max="30" width="14.81640625" style="113" hidden="1" customWidth="1"/>
    <col min="31" max="31" width="16" style="29" hidden="1" customWidth="1"/>
    <col min="32" max="32" width="8.26953125" style="29" hidden="1" customWidth="1"/>
    <col min="33" max="33" width="14.26953125" style="10" hidden="1" customWidth="1"/>
    <col min="34" max="34" width="12.81640625" style="10" hidden="1" customWidth="1"/>
    <col min="35" max="35" width="13.453125" style="10" hidden="1" customWidth="1"/>
    <col min="36" max="36" width="15.7265625" style="10" hidden="1" customWidth="1"/>
    <col min="37" max="37" width="14.54296875" style="9" hidden="1" customWidth="1"/>
    <col min="38" max="38" width="15.26953125" style="9" hidden="1" customWidth="1"/>
    <col min="39" max="39" width="12.26953125" style="432" customWidth="1"/>
    <col min="40" max="40" width="18.81640625" style="27" customWidth="1"/>
    <col min="41" max="41" width="21.81640625" style="27" customWidth="1"/>
    <col min="42" max="42" width="21.1796875" style="27" bestFit="1" customWidth="1"/>
    <col min="43" max="43" width="19.26953125" style="27" customWidth="1"/>
    <col min="44" max="44" width="15.1796875" style="27" bestFit="1" customWidth="1"/>
    <col min="45" max="56" width="9.1796875" style="27"/>
    <col min="57" max="16384" width="9.1796875" style="112"/>
  </cols>
  <sheetData>
    <row r="1" spans="1:56" s="31" customFormat="1" ht="24.75" customHeight="1" x14ac:dyDescent="0.35">
      <c r="B1" s="421"/>
      <c r="I1" s="399"/>
      <c r="O1" s="410"/>
      <c r="Q1" s="413"/>
    </row>
    <row r="2" spans="1:56" s="33" customFormat="1" ht="20.100000000000001" customHeight="1" x14ac:dyDescent="0.35">
      <c r="B2" s="422"/>
      <c r="I2" s="424"/>
      <c r="J2" s="277">
        <f>SUBTOTAL(9,LANÇ_MOV[VALOR BRUTO])</f>
        <v>2204077.2999999989</v>
      </c>
      <c r="K2" s="277"/>
      <c r="L2" s="393"/>
      <c r="M2" s="393"/>
      <c r="N2" s="277">
        <f>SUBTOTAL(9,LANÇ_MOV[VALOR LÍQUIDO])</f>
        <v>2218158.6199999992</v>
      </c>
      <c r="O2" s="411"/>
      <c r="P2" s="397"/>
      <c r="Q2" s="414"/>
      <c r="R2" s="393"/>
    </row>
    <row r="3" spans="1:56" s="26" customFormat="1" ht="3.75" customHeight="1" thickBot="1" x14ac:dyDescent="0.4">
      <c r="A3" s="307"/>
      <c r="B3" s="423"/>
      <c r="O3" s="412"/>
      <c r="Q3" s="415"/>
    </row>
    <row r="4" spans="1:56" s="113" customFormat="1" ht="30.05" customHeight="1" thickTop="1" thickBot="1" x14ac:dyDescent="0.4">
      <c r="A4" s="29"/>
      <c r="B4" s="378" t="s">
        <v>1581</v>
      </c>
      <c r="C4" s="371" t="s">
        <v>1203</v>
      </c>
      <c r="D4" s="371" t="s">
        <v>1474</v>
      </c>
      <c r="E4" s="371" t="s">
        <v>2</v>
      </c>
      <c r="F4" s="371" t="s">
        <v>1214</v>
      </c>
      <c r="G4" s="371" t="s">
        <v>2056</v>
      </c>
      <c r="H4" s="371" t="s">
        <v>1217</v>
      </c>
      <c r="I4" s="371" t="s">
        <v>1215</v>
      </c>
      <c r="J4" s="371" t="s">
        <v>1620</v>
      </c>
      <c r="K4" s="371" t="s">
        <v>1520</v>
      </c>
      <c r="L4" s="371" t="s">
        <v>1545</v>
      </c>
      <c r="M4" s="362" t="s">
        <v>1658</v>
      </c>
      <c r="N4" s="362" t="s">
        <v>1615</v>
      </c>
      <c r="O4" s="379" t="s">
        <v>1565</v>
      </c>
      <c r="P4" s="372" t="s">
        <v>1531</v>
      </c>
      <c r="Q4" s="372" t="s">
        <v>1138</v>
      </c>
      <c r="R4" s="371" t="s">
        <v>1179</v>
      </c>
      <c r="S4" s="371" t="s">
        <v>1569</v>
      </c>
      <c r="T4" s="371" t="s">
        <v>1180</v>
      </c>
      <c r="U4" s="373" t="s">
        <v>1619</v>
      </c>
      <c r="V4" s="337" t="s">
        <v>1148</v>
      </c>
      <c r="W4" s="337" t="s">
        <v>1158</v>
      </c>
      <c r="X4" s="337" t="s">
        <v>1159</v>
      </c>
      <c r="Y4" s="375" t="s">
        <v>1170</v>
      </c>
      <c r="Z4" s="362" t="s">
        <v>1583</v>
      </c>
      <c r="AA4" s="362" t="s">
        <v>1185</v>
      </c>
      <c r="AB4" s="362" t="s">
        <v>1151</v>
      </c>
      <c r="AC4" s="362" t="s">
        <v>1150</v>
      </c>
      <c r="AD4" s="362" t="s">
        <v>1149</v>
      </c>
      <c r="AE4" s="362" t="s">
        <v>1186</v>
      </c>
      <c r="AF4" s="362" t="s">
        <v>1154</v>
      </c>
      <c r="AG4" s="362" t="s">
        <v>1153</v>
      </c>
      <c r="AH4" s="362" t="s">
        <v>1152</v>
      </c>
      <c r="AI4" s="362" t="s">
        <v>1187</v>
      </c>
      <c r="AJ4" s="362" t="s">
        <v>1157</v>
      </c>
      <c r="AK4" s="362" t="s">
        <v>1156</v>
      </c>
      <c r="AL4" s="362" t="s">
        <v>1155</v>
      </c>
      <c r="AM4" s="29"/>
      <c r="AN4" s="376"/>
      <c r="AO4" s="253"/>
      <c r="AP4" s="377"/>
      <c r="AQ4" s="253"/>
      <c r="AR4" s="253"/>
      <c r="AS4" s="253"/>
      <c r="AT4" s="253"/>
      <c r="AU4" s="253"/>
      <c r="AV4" s="253"/>
      <c r="AW4" s="253"/>
      <c r="AX4" s="253"/>
      <c r="AY4" s="253"/>
      <c r="AZ4" s="253"/>
      <c r="BA4" s="253"/>
      <c r="BB4" s="253"/>
      <c r="BC4" s="253"/>
      <c r="BD4" s="253"/>
    </row>
    <row r="5" spans="1:56" ht="30.05" customHeight="1" thickTop="1" x14ac:dyDescent="0.35">
      <c r="B5" s="506">
        <v>45931</v>
      </c>
      <c r="C5" s="507" t="s">
        <v>1661</v>
      </c>
      <c r="D5" s="508" t="s">
        <v>1854</v>
      </c>
      <c r="E5" s="509" t="s">
        <v>1144</v>
      </c>
      <c r="F5" s="510" t="s">
        <v>1489</v>
      </c>
      <c r="G5" s="507"/>
      <c r="H5" s="511">
        <v>0</v>
      </c>
      <c r="I5" s="512" t="s">
        <v>1688</v>
      </c>
      <c r="J5" s="510">
        <v>330</v>
      </c>
      <c r="K5" s="513">
        <v>0</v>
      </c>
      <c r="L5" s="513">
        <v>0</v>
      </c>
      <c r="M5" s="513">
        <v>0</v>
      </c>
      <c r="N5" s="514">
        <f>LANÇ_MOV[[#This Row],[VALOR BRUTO]]-LANÇ_MOV[[#This Row],[DESCONTO]]+LANÇ_MOV[[#This Row],[JUROS]]+LANÇ_MOV[[#This Row],[MULTA]]</f>
        <v>330</v>
      </c>
      <c r="O5" s="515">
        <v>45931</v>
      </c>
      <c r="P5" s="516" t="str">
        <f t="shared" ref="P5:P68" ca="1" si="0">IF(O5="","",IF(Q5&lt;&gt;"","Pago",IF(O5-TODAY()&gt;30,"Prazo - Mais de 1 mês",IF(O5=TODAY(),"Hoje",IF(O5&lt;TODAY(),"Venceu",IF(O5-TODAY()&lt;10,"Prazo - Menos de 10 dias",IF(O5-TODAY()&lt;15,"Prazo - Menos de 15 dias","Prazo - Menos de 1 Mês")))))))</f>
        <v>Pago</v>
      </c>
      <c r="Q5" s="517">
        <v>45931</v>
      </c>
      <c r="R5" s="518" t="s">
        <v>1564</v>
      </c>
      <c r="S5" s="518"/>
      <c r="T5" s="518" t="s">
        <v>1776</v>
      </c>
      <c r="U5" s="519" t="s">
        <v>2007</v>
      </c>
      <c r="V5" s="520" t="str">
        <f>IFERROR(VLOOKUP(LANÇ_MOV[[#This Row],[PLANO DE CONTAS]],Plano_Contas[[PLANO DE CONTAS]:[R / D]],3,0),"")</f>
        <v>Despesa</v>
      </c>
      <c r="W5" s="521" t="str">
        <f>IF(LANÇ_MOV[[#This Row],[DATA DE PAGAMENTO]]&lt;&gt;"","Pago","Não Pago")</f>
        <v>Pago</v>
      </c>
      <c r="X5" s="522" t="str">
        <f>IFERROR(IF(LANÇ_MOV[[#This Row],[DATA DE PAGAMENTO]]="","",(UPPER(TEXT(LANÇ_MOV[[#This Row],[DATA DE PAGAMENTO]],"mmmm")))),"")</f>
        <v>OUTUBRO</v>
      </c>
      <c r="Y5" s="523" t="str">
        <f>IFERROR(VLOOKUP(LANÇ_MOV[[#This Row],[PLANO DE CONTAS]],Plano_Contas[[PLANO DE CONTAS]:[NOMES INTERVALOS]],2,0),"")</f>
        <v>Despesas_Administrativas</v>
      </c>
      <c r="Z5" s="523" t="str">
        <f>IF(LANÇ_MOV[[#This Row],[FORMA DE PAGAMENTO]]="","",VLOOKUP(LANÇ_MOV[[#This Row],[FORMA DE PAGAMENTO]],CAD_Forma_pagto[],2,0))</f>
        <v>PIX</v>
      </c>
      <c r="AA5" s="524" t="str">
        <f>IF(LANÇ_MOV[[#This Row],[DATA DE LANÇAMENTO]]="","",TEXT(LANÇ_MOV[[#This Row],[DATA DE LANÇAMENTO]],"AAAA"))</f>
        <v>2025</v>
      </c>
      <c r="AB5" s="524" t="str">
        <f>IF(LANÇ_MOV[[#This Row],[DATA DE LANÇAMENTO]]="","",UPPER(TEXT(LANÇ_MOV[[#This Row],[DATA DE LANÇAMENTO]],"MMMM")))</f>
        <v>OUTUBRO</v>
      </c>
      <c r="AC5" s="525" t="str">
        <f>IF(LANÇ_MOV[[#This Row],[DATA DE LANÇAMENTO]]="","",PROPER(TEXT(LANÇ_MOV[[#This Row],[DATA DE LANÇAMENTO]],"M")))</f>
        <v>10</v>
      </c>
      <c r="AD5" s="524" t="str">
        <f>IF(LANÇ_MOV[[#This Row],[DATA DE LANÇAMENTO]]="","",TEXT(LANÇ_MOV[[#This Row],[DATA DE LANÇAMENTO]],"D"))</f>
        <v>1</v>
      </c>
      <c r="AE5" s="526" t="str">
        <f>IF(LANÇ_MOV[[#This Row],[DATA DE VENCIMENTO]]="","",TEXT(LANÇ_MOV[[#This Row],[DATA DE VENCIMENTO]],"AAAA"))</f>
        <v>2025</v>
      </c>
      <c r="AF5" s="526" t="str">
        <f>IF(LANÇ_MOV[[#This Row],[DATA DE VENCIMENTO]]="","",UPPER(TEXT(LANÇ_MOV[[#This Row],[DATA DE VENCIMENTO]],"MMMM")))</f>
        <v>OUTUBRO</v>
      </c>
      <c r="AG5" s="526" t="str">
        <f>IF(LANÇ_MOV[[#This Row],[DATA DE VENCIMENTO]]="","",TEXT(LANÇ_MOV[[#This Row],[DATA DE VENCIMENTO]],"M"))</f>
        <v>10</v>
      </c>
      <c r="AH5" s="526" t="str">
        <f>IF(LANÇ_MOV[[#This Row],[DATA DE VENCIMENTO]]="","",TEXT(LANÇ_MOV[[#This Row],[DATA DE VENCIMENTO]],"D"))</f>
        <v>1</v>
      </c>
      <c r="AI5" s="526" t="str">
        <f>IF(LANÇ_MOV[[#This Row],[DATA DE PAGAMENTO]]="","",TEXT(LANÇ_MOV[[#This Row],[DATA DE PAGAMENTO]],"AAAA"))</f>
        <v>2025</v>
      </c>
      <c r="AJ5" s="527" t="str">
        <f>IF(LANÇ_MOV[[#This Row],[DATA DE PAGAMENTO]]="","",UPPER(TEXT(LANÇ_MOV[[#This Row],[DATA DE PAGAMENTO]],"MMMM")))</f>
        <v>OUTUBRO</v>
      </c>
      <c r="AK5" s="527" t="str">
        <f>IF(LANÇ_MOV[[#This Row],[DATA DE PAGAMENTO]]="","",TEXT(LANÇ_MOV[[#This Row],[DATA DE PAGAMENTO]],"M"))</f>
        <v>10</v>
      </c>
      <c r="AL5" s="526" t="str">
        <f>IF(LANÇ_MOV[[#This Row],[DATA DE PAGAMENTO]]="","",TEXT(LANÇ_MOV[[#This Row],[DATA DE PAGAMENTO]],"D"))</f>
        <v>1</v>
      </c>
      <c r="AM5" s="27"/>
      <c r="BA5" s="112"/>
      <c r="BB5" s="112"/>
      <c r="BC5" s="112"/>
      <c r="BD5" s="112"/>
    </row>
    <row r="6" spans="1:56" ht="30.05" customHeight="1" x14ac:dyDescent="0.35">
      <c r="B6" s="506">
        <v>45931</v>
      </c>
      <c r="C6" s="507" t="s">
        <v>1661</v>
      </c>
      <c r="D6" s="508" t="s">
        <v>1854</v>
      </c>
      <c r="E6" s="509" t="s">
        <v>1103</v>
      </c>
      <c r="F6" s="510" t="s">
        <v>1785</v>
      </c>
      <c r="G6" s="507" t="s">
        <v>1855</v>
      </c>
      <c r="H6" s="511"/>
      <c r="I6" s="512" t="s">
        <v>1713</v>
      </c>
      <c r="J6" s="510">
        <v>325.32</v>
      </c>
      <c r="K6" s="513">
        <v>0</v>
      </c>
      <c r="L6" s="513">
        <v>0</v>
      </c>
      <c r="M6" s="513">
        <v>0</v>
      </c>
      <c r="N6" s="514">
        <f>LANÇ_MOV[[#This Row],[VALOR BRUTO]]-LANÇ_MOV[[#This Row],[DESCONTO]]+LANÇ_MOV[[#This Row],[JUROS]]+LANÇ_MOV[[#This Row],[MULTA]]</f>
        <v>325.32</v>
      </c>
      <c r="O6" s="515">
        <v>45940</v>
      </c>
      <c r="P6" s="516" t="str">
        <f t="shared" ca="1" si="0"/>
        <v>Venceu</v>
      </c>
      <c r="Q6" s="528"/>
      <c r="R6" s="518" t="s">
        <v>1564</v>
      </c>
      <c r="S6" s="518"/>
      <c r="T6" s="518" t="s">
        <v>1776</v>
      </c>
      <c r="U6" s="519" t="s">
        <v>2008</v>
      </c>
      <c r="V6" s="520" t="str">
        <f>IFERROR(VLOOKUP(LANÇ_MOV[[#This Row],[PLANO DE CONTAS]],Plano_Contas[[PLANO DE CONTAS]:[R / D]],3,0),"")</f>
        <v>Receita</v>
      </c>
      <c r="W6" s="521" t="str">
        <f>IF(LANÇ_MOV[[#This Row],[DATA DE PAGAMENTO]]&lt;&gt;"","Pago","Não Pago")</f>
        <v>Não Pago</v>
      </c>
      <c r="X6" s="522" t="str">
        <f>IFERROR(IF(LANÇ_MOV[[#This Row],[DATA DE PAGAMENTO]]="","",(UPPER(TEXT(LANÇ_MOV[[#This Row],[DATA DE PAGAMENTO]],"mmmm")))),"")</f>
        <v/>
      </c>
      <c r="Y6" s="523" t="str">
        <f>IFERROR(VLOOKUP(LANÇ_MOV[[#This Row],[PLANO DE CONTAS]],Plano_Contas[[PLANO DE CONTAS]:[NOMES INTERVALOS]],2,0),"")</f>
        <v>Receitas_Operacionais</v>
      </c>
      <c r="Z6" s="523" t="str">
        <f>IF(LANÇ_MOV[[#This Row],[FORMA DE PAGAMENTO]]="","",VLOOKUP(LANÇ_MOV[[#This Row],[FORMA DE PAGAMENTO]],CAD_Forma_pagto[],2,0))</f>
        <v>PIX</v>
      </c>
      <c r="AA6" s="524" t="str">
        <f>IF(LANÇ_MOV[[#This Row],[DATA DE LANÇAMENTO]]="","",TEXT(LANÇ_MOV[[#This Row],[DATA DE LANÇAMENTO]],"AAAA"))</f>
        <v>2025</v>
      </c>
      <c r="AB6" s="524" t="str">
        <f>IF(LANÇ_MOV[[#This Row],[DATA DE LANÇAMENTO]]="","",UPPER(TEXT(LANÇ_MOV[[#This Row],[DATA DE LANÇAMENTO]],"MMMM")))</f>
        <v>OUTUBRO</v>
      </c>
      <c r="AC6" s="525" t="str">
        <f>IF(LANÇ_MOV[[#This Row],[DATA DE LANÇAMENTO]]="","",PROPER(TEXT(LANÇ_MOV[[#This Row],[DATA DE LANÇAMENTO]],"M")))</f>
        <v>10</v>
      </c>
      <c r="AD6" s="524" t="str">
        <f>IF(LANÇ_MOV[[#This Row],[DATA DE LANÇAMENTO]]="","",TEXT(LANÇ_MOV[[#This Row],[DATA DE LANÇAMENTO]],"D"))</f>
        <v>1</v>
      </c>
      <c r="AE6" s="526" t="str">
        <f>IF(LANÇ_MOV[[#This Row],[DATA DE VENCIMENTO]]="","",TEXT(LANÇ_MOV[[#This Row],[DATA DE VENCIMENTO]],"AAAA"))</f>
        <v>2025</v>
      </c>
      <c r="AF6" s="526" t="str">
        <f>IF(LANÇ_MOV[[#This Row],[DATA DE VENCIMENTO]]="","",UPPER(TEXT(LANÇ_MOV[[#This Row],[DATA DE VENCIMENTO]],"MMMM")))</f>
        <v>OUTUBRO</v>
      </c>
      <c r="AG6" s="526" t="str">
        <f>IF(LANÇ_MOV[[#This Row],[DATA DE VENCIMENTO]]="","",TEXT(LANÇ_MOV[[#This Row],[DATA DE VENCIMENTO]],"M"))</f>
        <v>10</v>
      </c>
      <c r="AH6" s="526" t="str">
        <f>IF(LANÇ_MOV[[#This Row],[DATA DE VENCIMENTO]]="","",TEXT(LANÇ_MOV[[#This Row],[DATA DE VENCIMENTO]],"D"))</f>
        <v>10</v>
      </c>
      <c r="AI6" s="526" t="str">
        <f>IF(LANÇ_MOV[[#This Row],[DATA DE PAGAMENTO]]="","",TEXT(LANÇ_MOV[[#This Row],[DATA DE PAGAMENTO]],"AAAA"))</f>
        <v/>
      </c>
      <c r="AJ6" s="527" t="str">
        <f>IF(LANÇ_MOV[[#This Row],[DATA DE PAGAMENTO]]="","",UPPER(TEXT(LANÇ_MOV[[#This Row],[DATA DE PAGAMENTO]],"MMMM")))</f>
        <v/>
      </c>
      <c r="AK6" s="527" t="str">
        <f>IF(LANÇ_MOV[[#This Row],[DATA DE PAGAMENTO]]="","",TEXT(LANÇ_MOV[[#This Row],[DATA DE PAGAMENTO]],"M"))</f>
        <v/>
      </c>
      <c r="AL6" s="526" t="str">
        <f>IF(LANÇ_MOV[[#This Row],[DATA DE PAGAMENTO]]="","",TEXT(LANÇ_MOV[[#This Row],[DATA DE PAGAMENTO]],"D"))</f>
        <v/>
      </c>
      <c r="AM6" s="27"/>
      <c r="BA6" s="112"/>
      <c r="BB6" s="112"/>
      <c r="BC6" s="112"/>
      <c r="BD6" s="112"/>
    </row>
    <row r="7" spans="1:56" ht="30.05" customHeight="1" x14ac:dyDescent="0.35">
      <c r="B7" s="506">
        <v>45931</v>
      </c>
      <c r="C7" s="507" t="s">
        <v>1661</v>
      </c>
      <c r="D7" s="508" t="s">
        <v>1854</v>
      </c>
      <c r="E7" s="509" t="s">
        <v>1103</v>
      </c>
      <c r="F7" s="510" t="s">
        <v>1785</v>
      </c>
      <c r="G7" s="507" t="s">
        <v>1856</v>
      </c>
      <c r="H7" s="511"/>
      <c r="I7" s="512" t="s">
        <v>1713</v>
      </c>
      <c r="J7" s="510">
        <v>325.32</v>
      </c>
      <c r="K7" s="513">
        <v>0</v>
      </c>
      <c r="L7" s="513">
        <v>0</v>
      </c>
      <c r="M7" s="513">
        <v>0</v>
      </c>
      <c r="N7" s="514">
        <f>LANÇ_MOV[[#This Row],[VALOR BRUTO]]-LANÇ_MOV[[#This Row],[DESCONTO]]+LANÇ_MOV[[#This Row],[JUROS]]+LANÇ_MOV[[#This Row],[MULTA]]</f>
        <v>325.32</v>
      </c>
      <c r="O7" s="515">
        <v>45971</v>
      </c>
      <c r="P7" s="516" t="str">
        <f t="shared" ca="1" si="0"/>
        <v>Venceu</v>
      </c>
      <c r="Q7" s="528"/>
      <c r="R7" s="529" t="s">
        <v>1564</v>
      </c>
      <c r="S7" s="518"/>
      <c r="T7" s="518" t="s">
        <v>1776</v>
      </c>
      <c r="U7" s="519" t="s">
        <v>2008</v>
      </c>
      <c r="V7" s="520" t="str">
        <f>IFERROR(VLOOKUP(LANÇ_MOV[[#This Row],[PLANO DE CONTAS]],Plano_Contas[[PLANO DE CONTAS]:[R / D]],3,0),"")</f>
        <v>Receita</v>
      </c>
      <c r="W7" s="521" t="str">
        <f>IF(LANÇ_MOV[[#This Row],[DATA DE PAGAMENTO]]&lt;&gt;"","Pago","Não Pago")</f>
        <v>Não Pago</v>
      </c>
      <c r="X7" s="522" t="str">
        <f>IFERROR(IF(LANÇ_MOV[[#This Row],[DATA DE PAGAMENTO]]="","",(UPPER(TEXT(LANÇ_MOV[[#This Row],[DATA DE PAGAMENTO]],"mmmm")))),"")</f>
        <v/>
      </c>
      <c r="Y7" s="523" t="str">
        <f>IFERROR(VLOOKUP(LANÇ_MOV[[#This Row],[PLANO DE CONTAS]],Plano_Contas[[PLANO DE CONTAS]:[NOMES INTERVALOS]],2,0),"")</f>
        <v>Receitas_Operacionais</v>
      </c>
      <c r="Z7" s="523" t="str">
        <f>IF(LANÇ_MOV[[#This Row],[FORMA DE PAGAMENTO]]="","",VLOOKUP(LANÇ_MOV[[#This Row],[FORMA DE PAGAMENTO]],CAD_Forma_pagto[],2,0))</f>
        <v>PIX</v>
      </c>
      <c r="AA7" s="524" t="str">
        <f>IF(LANÇ_MOV[[#This Row],[DATA DE LANÇAMENTO]]="","",TEXT(LANÇ_MOV[[#This Row],[DATA DE LANÇAMENTO]],"AAAA"))</f>
        <v>2025</v>
      </c>
      <c r="AB7" s="524" t="str">
        <f>IF(LANÇ_MOV[[#This Row],[DATA DE LANÇAMENTO]]="","",UPPER(TEXT(LANÇ_MOV[[#This Row],[DATA DE LANÇAMENTO]],"MMMM")))</f>
        <v>OUTUBRO</v>
      </c>
      <c r="AC7" s="525" t="str">
        <f>IF(LANÇ_MOV[[#This Row],[DATA DE LANÇAMENTO]]="","",PROPER(TEXT(LANÇ_MOV[[#This Row],[DATA DE LANÇAMENTO]],"M")))</f>
        <v>10</v>
      </c>
      <c r="AD7" s="524" t="str">
        <f>IF(LANÇ_MOV[[#This Row],[DATA DE LANÇAMENTO]]="","",TEXT(LANÇ_MOV[[#This Row],[DATA DE LANÇAMENTO]],"D"))</f>
        <v>1</v>
      </c>
      <c r="AE7" s="526" t="str">
        <f>IF(LANÇ_MOV[[#This Row],[DATA DE VENCIMENTO]]="","",TEXT(LANÇ_MOV[[#This Row],[DATA DE VENCIMENTO]],"AAAA"))</f>
        <v>2025</v>
      </c>
      <c r="AF7" s="526" t="str">
        <f>IF(LANÇ_MOV[[#This Row],[DATA DE VENCIMENTO]]="","",UPPER(TEXT(LANÇ_MOV[[#This Row],[DATA DE VENCIMENTO]],"MMMM")))</f>
        <v>NOVEMBRO</v>
      </c>
      <c r="AG7" s="526" t="str">
        <f>IF(LANÇ_MOV[[#This Row],[DATA DE VENCIMENTO]]="","",TEXT(LANÇ_MOV[[#This Row],[DATA DE VENCIMENTO]],"M"))</f>
        <v>11</v>
      </c>
      <c r="AH7" s="526" t="str">
        <f>IF(LANÇ_MOV[[#This Row],[DATA DE VENCIMENTO]]="","",TEXT(LANÇ_MOV[[#This Row],[DATA DE VENCIMENTO]],"D"))</f>
        <v>10</v>
      </c>
      <c r="AI7" s="526" t="str">
        <f>IF(LANÇ_MOV[[#This Row],[DATA DE PAGAMENTO]]="","",TEXT(LANÇ_MOV[[#This Row],[DATA DE PAGAMENTO]],"AAAA"))</f>
        <v/>
      </c>
      <c r="AJ7" s="527" t="str">
        <f>IF(LANÇ_MOV[[#This Row],[DATA DE PAGAMENTO]]="","",UPPER(TEXT(LANÇ_MOV[[#This Row],[DATA DE PAGAMENTO]],"MMMM")))</f>
        <v/>
      </c>
      <c r="AK7" s="527" t="str">
        <f>IF(LANÇ_MOV[[#This Row],[DATA DE PAGAMENTO]]="","",TEXT(LANÇ_MOV[[#This Row],[DATA DE PAGAMENTO]],"M"))</f>
        <v/>
      </c>
      <c r="AL7" s="526" t="str">
        <f>IF(LANÇ_MOV[[#This Row],[DATA DE PAGAMENTO]]="","",TEXT(LANÇ_MOV[[#This Row],[DATA DE PAGAMENTO]],"D"))</f>
        <v/>
      </c>
      <c r="AM7" s="27"/>
      <c r="BA7" s="112"/>
      <c r="BB7" s="112"/>
      <c r="BC7" s="112"/>
      <c r="BD7" s="112"/>
    </row>
    <row r="8" spans="1:56" ht="30.05" customHeight="1" x14ac:dyDescent="0.35">
      <c r="B8" s="506">
        <v>45931</v>
      </c>
      <c r="C8" s="507" t="s">
        <v>1661</v>
      </c>
      <c r="D8" s="508" t="s">
        <v>1854</v>
      </c>
      <c r="E8" s="509" t="s">
        <v>1103</v>
      </c>
      <c r="F8" s="510" t="s">
        <v>1785</v>
      </c>
      <c r="G8" s="507" t="s">
        <v>1857</v>
      </c>
      <c r="H8" s="511"/>
      <c r="I8" s="512" t="s">
        <v>1713</v>
      </c>
      <c r="J8" s="510">
        <v>325.32</v>
      </c>
      <c r="K8" s="513">
        <v>0</v>
      </c>
      <c r="L8" s="513">
        <v>0</v>
      </c>
      <c r="M8" s="513">
        <v>0</v>
      </c>
      <c r="N8" s="514">
        <f>LANÇ_MOV[[#This Row],[VALOR BRUTO]]-LANÇ_MOV[[#This Row],[DESCONTO]]+LANÇ_MOV[[#This Row],[JUROS]]+LANÇ_MOV[[#This Row],[MULTA]]</f>
        <v>325.32</v>
      </c>
      <c r="O8" s="515">
        <v>46001</v>
      </c>
      <c r="P8" s="516" t="str">
        <f t="shared" ca="1" si="0"/>
        <v>Prazo - Menos de 15 dias</v>
      </c>
      <c r="Q8" s="528"/>
      <c r="R8" s="529" t="s">
        <v>1564</v>
      </c>
      <c r="S8" s="518"/>
      <c r="T8" s="518" t="s">
        <v>1776</v>
      </c>
      <c r="U8" s="519" t="s">
        <v>2008</v>
      </c>
      <c r="V8" s="520" t="str">
        <f>IFERROR(VLOOKUP(LANÇ_MOV[[#This Row],[PLANO DE CONTAS]],Plano_Contas[[PLANO DE CONTAS]:[R / D]],3,0),"")</f>
        <v>Receita</v>
      </c>
      <c r="W8" s="521" t="str">
        <f>IF(LANÇ_MOV[[#This Row],[DATA DE PAGAMENTO]]&lt;&gt;"","Pago","Não Pago")</f>
        <v>Não Pago</v>
      </c>
      <c r="X8" s="522" t="str">
        <f>IFERROR(IF(LANÇ_MOV[[#This Row],[DATA DE PAGAMENTO]]="","",(UPPER(TEXT(LANÇ_MOV[[#This Row],[DATA DE PAGAMENTO]],"mmmm")))),"")</f>
        <v/>
      </c>
      <c r="Y8" s="523" t="str">
        <f>IFERROR(VLOOKUP(LANÇ_MOV[[#This Row],[PLANO DE CONTAS]],Plano_Contas[[PLANO DE CONTAS]:[NOMES INTERVALOS]],2,0),"")</f>
        <v>Receitas_Operacionais</v>
      </c>
      <c r="Z8" s="523" t="str">
        <f>IF(LANÇ_MOV[[#This Row],[FORMA DE PAGAMENTO]]="","",VLOOKUP(LANÇ_MOV[[#This Row],[FORMA DE PAGAMENTO]],CAD_Forma_pagto[],2,0))</f>
        <v>PIX</v>
      </c>
      <c r="AA8" s="524" t="str">
        <f>IF(LANÇ_MOV[[#This Row],[DATA DE LANÇAMENTO]]="","",TEXT(LANÇ_MOV[[#This Row],[DATA DE LANÇAMENTO]],"AAAA"))</f>
        <v>2025</v>
      </c>
      <c r="AB8" s="524" t="str">
        <f>IF(LANÇ_MOV[[#This Row],[DATA DE LANÇAMENTO]]="","",UPPER(TEXT(LANÇ_MOV[[#This Row],[DATA DE LANÇAMENTO]],"MMMM")))</f>
        <v>OUTUBRO</v>
      </c>
      <c r="AC8" s="525" t="str">
        <f>IF(LANÇ_MOV[[#This Row],[DATA DE LANÇAMENTO]]="","",PROPER(TEXT(LANÇ_MOV[[#This Row],[DATA DE LANÇAMENTO]],"M")))</f>
        <v>10</v>
      </c>
      <c r="AD8" s="524" t="str">
        <f>IF(LANÇ_MOV[[#This Row],[DATA DE LANÇAMENTO]]="","",TEXT(LANÇ_MOV[[#This Row],[DATA DE LANÇAMENTO]],"D"))</f>
        <v>1</v>
      </c>
      <c r="AE8" s="526" t="str">
        <f>IF(LANÇ_MOV[[#This Row],[DATA DE VENCIMENTO]]="","",TEXT(LANÇ_MOV[[#This Row],[DATA DE VENCIMENTO]],"AAAA"))</f>
        <v>2025</v>
      </c>
      <c r="AF8" s="526" t="str">
        <f>IF(LANÇ_MOV[[#This Row],[DATA DE VENCIMENTO]]="","",UPPER(TEXT(LANÇ_MOV[[#This Row],[DATA DE VENCIMENTO]],"MMMM")))</f>
        <v>DEZEMBRO</v>
      </c>
      <c r="AG8" s="526" t="str">
        <f>IF(LANÇ_MOV[[#This Row],[DATA DE VENCIMENTO]]="","",TEXT(LANÇ_MOV[[#This Row],[DATA DE VENCIMENTO]],"M"))</f>
        <v>12</v>
      </c>
      <c r="AH8" s="526" t="str">
        <f>IF(LANÇ_MOV[[#This Row],[DATA DE VENCIMENTO]]="","",TEXT(LANÇ_MOV[[#This Row],[DATA DE VENCIMENTO]],"D"))</f>
        <v>10</v>
      </c>
      <c r="AI8" s="526" t="str">
        <f>IF(LANÇ_MOV[[#This Row],[DATA DE PAGAMENTO]]="","",TEXT(LANÇ_MOV[[#This Row],[DATA DE PAGAMENTO]],"AAAA"))</f>
        <v/>
      </c>
      <c r="AJ8" s="527" t="str">
        <f>IF(LANÇ_MOV[[#This Row],[DATA DE PAGAMENTO]]="","",UPPER(TEXT(LANÇ_MOV[[#This Row],[DATA DE PAGAMENTO]],"MMMM")))</f>
        <v/>
      </c>
      <c r="AK8" s="527" t="str">
        <f>IF(LANÇ_MOV[[#This Row],[DATA DE PAGAMENTO]]="","",TEXT(LANÇ_MOV[[#This Row],[DATA DE PAGAMENTO]],"M"))</f>
        <v/>
      </c>
      <c r="AL8" s="526" t="str">
        <f>IF(LANÇ_MOV[[#This Row],[DATA DE PAGAMENTO]]="","",TEXT(LANÇ_MOV[[#This Row],[DATA DE PAGAMENTO]],"D"))</f>
        <v/>
      </c>
      <c r="AM8" s="27"/>
      <c r="BA8" s="112"/>
      <c r="BB8" s="112"/>
      <c r="BC8" s="112"/>
      <c r="BD8" s="112"/>
    </row>
    <row r="9" spans="1:56" ht="30.05" customHeight="1" x14ac:dyDescent="0.35">
      <c r="B9" s="506">
        <v>45931</v>
      </c>
      <c r="C9" s="507" t="s">
        <v>1661</v>
      </c>
      <c r="D9" s="508" t="s">
        <v>1854</v>
      </c>
      <c r="E9" s="509" t="s">
        <v>1103</v>
      </c>
      <c r="F9" s="510" t="s">
        <v>1785</v>
      </c>
      <c r="G9" s="507" t="s">
        <v>1858</v>
      </c>
      <c r="H9" s="511"/>
      <c r="I9" s="512" t="s">
        <v>1713</v>
      </c>
      <c r="J9" s="510">
        <v>325.32</v>
      </c>
      <c r="K9" s="513">
        <v>0</v>
      </c>
      <c r="L9" s="513">
        <v>0</v>
      </c>
      <c r="M9" s="513">
        <v>0</v>
      </c>
      <c r="N9" s="514">
        <f>LANÇ_MOV[[#This Row],[VALOR BRUTO]]-LANÇ_MOV[[#This Row],[DESCONTO]]+LANÇ_MOV[[#This Row],[JUROS]]+LANÇ_MOV[[#This Row],[MULTA]]</f>
        <v>325.32</v>
      </c>
      <c r="O9" s="528">
        <v>46032</v>
      </c>
      <c r="P9" s="516" t="str">
        <f t="shared" ca="1" si="0"/>
        <v>Prazo - Mais de 1 mês</v>
      </c>
      <c r="Q9" s="530"/>
      <c r="R9" s="529" t="s">
        <v>1564</v>
      </c>
      <c r="S9" s="518"/>
      <c r="T9" s="518" t="s">
        <v>1776</v>
      </c>
      <c r="U9" s="519" t="s">
        <v>2008</v>
      </c>
      <c r="V9" s="520" t="str">
        <f>IFERROR(VLOOKUP(LANÇ_MOV[[#This Row],[PLANO DE CONTAS]],Plano_Contas[[PLANO DE CONTAS]:[R / D]],3,0),"")</f>
        <v>Receita</v>
      </c>
      <c r="W9" s="521" t="str">
        <f>IF(LANÇ_MOV[[#This Row],[DATA DE PAGAMENTO]]&lt;&gt;"","Pago","Não Pago")</f>
        <v>Não Pago</v>
      </c>
      <c r="X9" s="522" t="str">
        <f>IFERROR(IF(LANÇ_MOV[[#This Row],[DATA DE PAGAMENTO]]="","",(UPPER(TEXT(LANÇ_MOV[[#This Row],[DATA DE PAGAMENTO]],"mmmm")))),"")</f>
        <v/>
      </c>
      <c r="Y9" s="523" t="str">
        <f>IFERROR(VLOOKUP(LANÇ_MOV[[#This Row],[PLANO DE CONTAS]],Plano_Contas[[PLANO DE CONTAS]:[NOMES INTERVALOS]],2,0),"")</f>
        <v>Receitas_Operacionais</v>
      </c>
      <c r="Z9" s="523" t="str">
        <f>IF(LANÇ_MOV[[#This Row],[FORMA DE PAGAMENTO]]="","",VLOOKUP(LANÇ_MOV[[#This Row],[FORMA DE PAGAMENTO]],CAD_Forma_pagto[],2,0))</f>
        <v>PIX</v>
      </c>
      <c r="AA9" s="524" t="str">
        <f>IF(LANÇ_MOV[[#This Row],[DATA DE LANÇAMENTO]]="","",TEXT(LANÇ_MOV[[#This Row],[DATA DE LANÇAMENTO]],"AAAA"))</f>
        <v>2025</v>
      </c>
      <c r="AB9" s="524" t="str">
        <f>IF(LANÇ_MOV[[#This Row],[DATA DE LANÇAMENTO]]="","",UPPER(TEXT(LANÇ_MOV[[#This Row],[DATA DE LANÇAMENTO]],"MMMM")))</f>
        <v>OUTUBRO</v>
      </c>
      <c r="AC9" s="525" t="str">
        <f>IF(LANÇ_MOV[[#This Row],[DATA DE LANÇAMENTO]]="","",PROPER(TEXT(LANÇ_MOV[[#This Row],[DATA DE LANÇAMENTO]],"M")))</f>
        <v>10</v>
      </c>
      <c r="AD9" s="524" t="str">
        <f>IF(LANÇ_MOV[[#This Row],[DATA DE LANÇAMENTO]]="","",TEXT(LANÇ_MOV[[#This Row],[DATA DE LANÇAMENTO]],"D"))</f>
        <v>1</v>
      </c>
      <c r="AE9" s="526" t="str">
        <f>IF(LANÇ_MOV[[#This Row],[DATA DE VENCIMENTO]]="","",TEXT(LANÇ_MOV[[#This Row],[DATA DE VENCIMENTO]],"AAAA"))</f>
        <v>2026</v>
      </c>
      <c r="AF9" s="526" t="str">
        <f>IF(LANÇ_MOV[[#This Row],[DATA DE VENCIMENTO]]="","",UPPER(TEXT(LANÇ_MOV[[#This Row],[DATA DE VENCIMENTO]],"MMMM")))</f>
        <v>JANEIRO</v>
      </c>
      <c r="AG9" s="526" t="str">
        <f>IF(LANÇ_MOV[[#This Row],[DATA DE VENCIMENTO]]="","",TEXT(LANÇ_MOV[[#This Row],[DATA DE VENCIMENTO]],"M"))</f>
        <v>1</v>
      </c>
      <c r="AH9" s="526" t="str">
        <f>IF(LANÇ_MOV[[#This Row],[DATA DE VENCIMENTO]]="","",TEXT(LANÇ_MOV[[#This Row],[DATA DE VENCIMENTO]],"D"))</f>
        <v>10</v>
      </c>
      <c r="AI9" s="526" t="str">
        <f>IF(LANÇ_MOV[[#This Row],[DATA DE PAGAMENTO]]="","",TEXT(LANÇ_MOV[[#This Row],[DATA DE PAGAMENTO]],"AAAA"))</f>
        <v/>
      </c>
      <c r="AJ9" s="527" t="str">
        <f>IF(LANÇ_MOV[[#This Row],[DATA DE PAGAMENTO]]="","",UPPER(TEXT(LANÇ_MOV[[#This Row],[DATA DE PAGAMENTO]],"MMMM")))</f>
        <v/>
      </c>
      <c r="AK9" s="527" t="str">
        <f>IF(LANÇ_MOV[[#This Row],[DATA DE PAGAMENTO]]="","",TEXT(LANÇ_MOV[[#This Row],[DATA DE PAGAMENTO]],"M"))</f>
        <v/>
      </c>
      <c r="AL9" s="526" t="str">
        <f>IF(LANÇ_MOV[[#This Row],[DATA DE PAGAMENTO]]="","",TEXT(LANÇ_MOV[[#This Row],[DATA DE PAGAMENTO]],"D"))</f>
        <v/>
      </c>
      <c r="AM9" s="27"/>
      <c r="BA9" s="112"/>
      <c r="BB9" s="112"/>
      <c r="BC9" s="112"/>
      <c r="BD9" s="112"/>
    </row>
    <row r="10" spans="1:56" ht="30.05" customHeight="1" x14ac:dyDescent="0.35">
      <c r="B10" s="506">
        <v>45931</v>
      </c>
      <c r="C10" s="507" t="s">
        <v>1661</v>
      </c>
      <c r="D10" s="508" t="s">
        <v>1854</v>
      </c>
      <c r="E10" s="509" t="s">
        <v>1103</v>
      </c>
      <c r="F10" s="510" t="s">
        <v>1785</v>
      </c>
      <c r="G10" s="507"/>
      <c r="H10" s="511">
        <v>0</v>
      </c>
      <c r="I10" s="512" t="s">
        <v>1707</v>
      </c>
      <c r="J10" s="510">
        <v>50</v>
      </c>
      <c r="K10" s="513">
        <v>0</v>
      </c>
      <c r="L10" s="513">
        <v>0</v>
      </c>
      <c r="M10" s="513">
        <v>0</v>
      </c>
      <c r="N10" s="514">
        <f>LANÇ_MOV[[#This Row],[VALOR BRUTO]]-LANÇ_MOV[[#This Row],[DESCONTO]]+LANÇ_MOV[[#This Row],[JUROS]]+LANÇ_MOV[[#This Row],[MULTA]]</f>
        <v>50</v>
      </c>
      <c r="O10" s="528">
        <v>45931</v>
      </c>
      <c r="P10" s="516" t="str">
        <f t="shared" ca="1" si="0"/>
        <v>Pago</v>
      </c>
      <c r="Q10" s="530">
        <v>45931</v>
      </c>
      <c r="R10" s="531" t="s">
        <v>1564</v>
      </c>
      <c r="S10" s="531"/>
      <c r="T10" s="531" t="s">
        <v>1776</v>
      </c>
      <c r="U10" s="519" t="s">
        <v>2008</v>
      </c>
      <c r="V10" s="520" t="str">
        <f>IFERROR(VLOOKUP(LANÇ_MOV[[#This Row],[PLANO DE CONTAS]],Plano_Contas[[PLANO DE CONTAS]:[R / D]],3,0),"")</f>
        <v>Receita</v>
      </c>
      <c r="W10" s="521" t="str">
        <f>IF(LANÇ_MOV[[#This Row],[DATA DE PAGAMENTO]]&lt;&gt;"","Pago","Não Pago")</f>
        <v>Pago</v>
      </c>
      <c r="X10" s="522" t="str">
        <f>IFERROR(IF(LANÇ_MOV[[#This Row],[DATA DE PAGAMENTO]]="","",(UPPER(TEXT(LANÇ_MOV[[#This Row],[DATA DE PAGAMENTO]],"mmmm")))),"")</f>
        <v>OUTUBRO</v>
      </c>
      <c r="Y10" s="523" t="str">
        <f>IFERROR(VLOOKUP(LANÇ_MOV[[#This Row],[PLANO DE CONTAS]],Plano_Contas[[PLANO DE CONTAS]:[NOMES INTERVALOS]],2,0),"")</f>
        <v>Receitas_Operacionais</v>
      </c>
      <c r="Z10" s="523" t="str">
        <f>IF(LANÇ_MOV[[#This Row],[FORMA DE PAGAMENTO]]="","",VLOOKUP(LANÇ_MOV[[#This Row],[FORMA DE PAGAMENTO]],CAD_Forma_pagto[],2,0))</f>
        <v>PIX</v>
      </c>
      <c r="AA10" s="524" t="str">
        <f>IF(LANÇ_MOV[[#This Row],[DATA DE LANÇAMENTO]]="","",TEXT(LANÇ_MOV[[#This Row],[DATA DE LANÇAMENTO]],"AAAA"))</f>
        <v>2025</v>
      </c>
      <c r="AB10" s="524" t="str">
        <f>IF(LANÇ_MOV[[#This Row],[DATA DE LANÇAMENTO]]="","",UPPER(TEXT(LANÇ_MOV[[#This Row],[DATA DE LANÇAMENTO]],"MMMM")))</f>
        <v>OUTUBRO</v>
      </c>
      <c r="AC10" s="525" t="str">
        <f>IF(LANÇ_MOV[[#This Row],[DATA DE LANÇAMENTO]]="","",PROPER(TEXT(LANÇ_MOV[[#This Row],[DATA DE LANÇAMENTO]],"M")))</f>
        <v>10</v>
      </c>
      <c r="AD10" s="524" t="str">
        <f>IF(LANÇ_MOV[[#This Row],[DATA DE LANÇAMENTO]]="","",TEXT(LANÇ_MOV[[#This Row],[DATA DE LANÇAMENTO]],"D"))</f>
        <v>1</v>
      </c>
      <c r="AE10" s="526" t="str">
        <f>IF(LANÇ_MOV[[#This Row],[DATA DE VENCIMENTO]]="","",TEXT(LANÇ_MOV[[#This Row],[DATA DE VENCIMENTO]],"AAAA"))</f>
        <v>2025</v>
      </c>
      <c r="AF10" s="526" t="str">
        <f>IF(LANÇ_MOV[[#This Row],[DATA DE VENCIMENTO]]="","",UPPER(TEXT(LANÇ_MOV[[#This Row],[DATA DE VENCIMENTO]],"MMMM")))</f>
        <v>OUTUBRO</v>
      </c>
      <c r="AG10" s="526" t="str">
        <f>IF(LANÇ_MOV[[#This Row],[DATA DE VENCIMENTO]]="","",TEXT(LANÇ_MOV[[#This Row],[DATA DE VENCIMENTO]],"M"))</f>
        <v>10</v>
      </c>
      <c r="AH10" s="526" t="str">
        <f>IF(LANÇ_MOV[[#This Row],[DATA DE VENCIMENTO]]="","",TEXT(LANÇ_MOV[[#This Row],[DATA DE VENCIMENTO]],"D"))</f>
        <v>1</v>
      </c>
      <c r="AI10" s="526" t="str">
        <f>IF(LANÇ_MOV[[#This Row],[DATA DE PAGAMENTO]]="","",TEXT(LANÇ_MOV[[#This Row],[DATA DE PAGAMENTO]],"AAAA"))</f>
        <v>2025</v>
      </c>
      <c r="AJ10" s="527" t="str">
        <f>IF(LANÇ_MOV[[#This Row],[DATA DE PAGAMENTO]]="","",UPPER(TEXT(LANÇ_MOV[[#This Row],[DATA DE PAGAMENTO]],"MMMM")))</f>
        <v>OUTUBRO</v>
      </c>
      <c r="AK10" s="527" t="str">
        <f>IF(LANÇ_MOV[[#This Row],[DATA DE PAGAMENTO]]="","",TEXT(LANÇ_MOV[[#This Row],[DATA DE PAGAMENTO]],"M"))</f>
        <v>10</v>
      </c>
      <c r="AL10" s="526" t="str">
        <f>IF(LANÇ_MOV[[#This Row],[DATA DE PAGAMENTO]]="","",TEXT(LANÇ_MOV[[#This Row],[DATA DE PAGAMENTO]],"D"))</f>
        <v>1</v>
      </c>
      <c r="AM10" s="27"/>
      <c r="BA10" s="112"/>
      <c r="BB10" s="112"/>
      <c r="BC10" s="112"/>
      <c r="BD10" s="112"/>
    </row>
    <row r="11" spans="1:56" ht="30.05" customHeight="1" x14ac:dyDescent="0.35">
      <c r="B11" s="506">
        <v>45931</v>
      </c>
      <c r="C11" s="507" t="s">
        <v>1661</v>
      </c>
      <c r="D11" s="508" t="s">
        <v>1854</v>
      </c>
      <c r="E11" s="509" t="s">
        <v>1103</v>
      </c>
      <c r="F11" s="510" t="s">
        <v>1785</v>
      </c>
      <c r="G11" s="507" t="s">
        <v>1855</v>
      </c>
      <c r="H11" s="511">
        <v>0</v>
      </c>
      <c r="I11" s="512" t="s">
        <v>1698</v>
      </c>
      <c r="J11" s="510">
        <v>375.38</v>
      </c>
      <c r="K11" s="513">
        <v>0</v>
      </c>
      <c r="L11" s="513">
        <v>0</v>
      </c>
      <c r="M11" s="513">
        <v>0</v>
      </c>
      <c r="N11" s="514">
        <f>LANÇ_MOV[[#This Row],[VALOR BRUTO]]-LANÇ_MOV[[#This Row],[DESCONTO]]+LANÇ_MOV[[#This Row],[JUROS]]+LANÇ_MOV[[#This Row],[MULTA]]</f>
        <v>375.38</v>
      </c>
      <c r="O11" s="528">
        <v>45931</v>
      </c>
      <c r="P11" s="516" t="str">
        <f t="shared" ca="1" si="0"/>
        <v>Pago</v>
      </c>
      <c r="Q11" s="530">
        <v>45931</v>
      </c>
      <c r="R11" s="531" t="s">
        <v>1564</v>
      </c>
      <c r="S11" s="518"/>
      <c r="T11" s="531" t="s">
        <v>1776</v>
      </c>
      <c r="U11" s="519" t="s">
        <v>2008</v>
      </c>
      <c r="V11" s="520" t="str">
        <f>IFERROR(VLOOKUP(LANÇ_MOV[[#This Row],[PLANO DE CONTAS]],Plano_Contas[[PLANO DE CONTAS]:[R / D]],3,0),"")</f>
        <v>Receita</v>
      </c>
      <c r="W11" s="521" t="str">
        <f>IF(LANÇ_MOV[[#This Row],[DATA DE PAGAMENTO]]&lt;&gt;"","Pago","Não Pago")</f>
        <v>Pago</v>
      </c>
      <c r="X11" s="522" t="str">
        <f>IFERROR(IF(LANÇ_MOV[[#This Row],[DATA DE PAGAMENTO]]="","",(UPPER(TEXT(LANÇ_MOV[[#This Row],[DATA DE PAGAMENTO]],"mmmm")))),"")</f>
        <v>OUTUBRO</v>
      </c>
      <c r="Y11" s="523" t="str">
        <f>IFERROR(VLOOKUP(LANÇ_MOV[[#This Row],[PLANO DE CONTAS]],Plano_Contas[[PLANO DE CONTAS]:[NOMES INTERVALOS]],2,0),"")</f>
        <v>Receitas_Operacionais</v>
      </c>
      <c r="Z11" s="523" t="str">
        <f>IF(LANÇ_MOV[[#This Row],[FORMA DE PAGAMENTO]]="","",VLOOKUP(LANÇ_MOV[[#This Row],[FORMA DE PAGAMENTO]],CAD_Forma_pagto[],2,0))</f>
        <v>PIX</v>
      </c>
      <c r="AA11" s="524" t="str">
        <f>IF(LANÇ_MOV[[#This Row],[DATA DE LANÇAMENTO]]="","",TEXT(LANÇ_MOV[[#This Row],[DATA DE LANÇAMENTO]],"AAAA"))</f>
        <v>2025</v>
      </c>
      <c r="AB11" s="524" t="str">
        <f>IF(LANÇ_MOV[[#This Row],[DATA DE LANÇAMENTO]]="","",UPPER(TEXT(LANÇ_MOV[[#This Row],[DATA DE LANÇAMENTO]],"MMMM")))</f>
        <v>OUTUBRO</v>
      </c>
      <c r="AC11" s="525" t="str">
        <f>IF(LANÇ_MOV[[#This Row],[DATA DE LANÇAMENTO]]="","",PROPER(TEXT(LANÇ_MOV[[#This Row],[DATA DE LANÇAMENTO]],"M")))</f>
        <v>10</v>
      </c>
      <c r="AD11" s="524" t="str">
        <f>IF(LANÇ_MOV[[#This Row],[DATA DE LANÇAMENTO]]="","",TEXT(LANÇ_MOV[[#This Row],[DATA DE LANÇAMENTO]],"D"))</f>
        <v>1</v>
      </c>
      <c r="AE11" s="526" t="str">
        <f>IF(LANÇ_MOV[[#This Row],[DATA DE VENCIMENTO]]="","",TEXT(LANÇ_MOV[[#This Row],[DATA DE VENCIMENTO]],"AAAA"))</f>
        <v>2025</v>
      </c>
      <c r="AF11" s="526" t="str">
        <f>IF(LANÇ_MOV[[#This Row],[DATA DE VENCIMENTO]]="","",UPPER(TEXT(LANÇ_MOV[[#This Row],[DATA DE VENCIMENTO]],"MMMM")))</f>
        <v>OUTUBRO</v>
      </c>
      <c r="AG11" s="526" t="str">
        <f>IF(LANÇ_MOV[[#This Row],[DATA DE VENCIMENTO]]="","",TEXT(LANÇ_MOV[[#This Row],[DATA DE VENCIMENTO]],"M"))</f>
        <v>10</v>
      </c>
      <c r="AH11" s="526" t="str">
        <f>IF(LANÇ_MOV[[#This Row],[DATA DE VENCIMENTO]]="","",TEXT(LANÇ_MOV[[#This Row],[DATA DE VENCIMENTO]],"D"))</f>
        <v>1</v>
      </c>
      <c r="AI11" s="526" t="str">
        <f>IF(LANÇ_MOV[[#This Row],[DATA DE PAGAMENTO]]="","",TEXT(LANÇ_MOV[[#This Row],[DATA DE PAGAMENTO]],"AAAA"))</f>
        <v>2025</v>
      </c>
      <c r="AJ11" s="527" t="str">
        <f>IF(LANÇ_MOV[[#This Row],[DATA DE PAGAMENTO]]="","",UPPER(TEXT(LANÇ_MOV[[#This Row],[DATA DE PAGAMENTO]],"MMMM")))</f>
        <v>OUTUBRO</v>
      </c>
      <c r="AK11" s="527" t="str">
        <f>IF(LANÇ_MOV[[#This Row],[DATA DE PAGAMENTO]]="","",TEXT(LANÇ_MOV[[#This Row],[DATA DE PAGAMENTO]],"M"))</f>
        <v>10</v>
      </c>
      <c r="AL11" s="526" t="str">
        <f>IF(LANÇ_MOV[[#This Row],[DATA DE PAGAMENTO]]="","",TEXT(LANÇ_MOV[[#This Row],[DATA DE PAGAMENTO]],"D"))</f>
        <v>1</v>
      </c>
      <c r="AM11" s="27"/>
      <c r="BA11" s="112"/>
      <c r="BB11" s="112"/>
      <c r="BC11" s="112"/>
      <c r="BD11" s="112"/>
    </row>
    <row r="12" spans="1:56" ht="30.05" customHeight="1" x14ac:dyDescent="0.35">
      <c r="B12" s="506">
        <v>45931</v>
      </c>
      <c r="C12" s="507" t="s">
        <v>1661</v>
      </c>
      <c r="D12" s="508" t="s">
        <v>1854</v>
      </c>
      <c r="E12" s="509" t="s">
        <v>1103</v>
      </c>
      <c r="F12" s="510" t="s">
        <v>1785</v>
      </c>
      <c r="G12" s="507" t="s">
        <v>1856</v>
      </c>
      <c r="H12" s="511">
        <v>0</v>
      </c>
      <c r="I12" s="512" t="s">
        <v>1698</v>
      </c>
      <c r="J12" s="510">
        <v>375.38</v>
      </c>
      <c r="K12" s="513">
        <v>0</v>
      </c>
      <c r="L12" s="513">
        <v>0</v>
      </c>
      <c r="M12" s="513">
        <v>0</v>
      </c>
      <c r="N12" s="514">
        <f>LANÇ_MOV[[#This Row],[VALOR BRUTO]]-LANÇ_MOV[[#This Row],[DESCONTO]]+LANÇ_MOV[[#This Row],[JUROS]]+LANÇ_MOV[[#This Row],[MULTA]]</f>
        <v>375.38</v>
      </c>
      <c r="O12" s="528">
        <v>45971</v>
      </c>
      <c r="P12" s="516" t="str">
        <f t="shared" ca="1" si="0"/>
        <v>Pago</v>
      </c>
      <c r="Q12" s="530">
        <v>45971</v>
      </c>
      <c r="R12" s="531" t="s">
        <v>1564</v>
      </c>
      <c r="S12" s="531"/>
      <c r="T12" s="531" t="s">
        <v>1776</v>
      </c>
      <c r="U12" s="519" t="s">
        <v>2008</v>
      </c>
      <c r="V12" s="520" t="str">
        <f>IFERROR(VLOOKUP(LANÇ_MOV[[#This Row],[PLANO DE CONTAS]],Plano_Contas[[PLANO DE CONTAS]:[R / D]],3,0),"")</f>
        <v>Receita</v>
      </c>
      <c r="W12" s="521" t="str">
        <f>IF(LANÇ_MOV[[#This Row],[DATA DE PAGAMENTO]]&lt;&gt;"","Pago","Não Pago")</f>
        <v>Pago</v>
      </c>
      <c r="X12" s="522" t="str">
        <f>IFERROR(IF(LANÇ_MOV[[#This Row],[DATA DE PAGAMENTO]]="","",(UPPER(TEXT(LANÇ_MOV[[#This Row],[DATA DE PAGAMENTO]],"mmmm")))),"")</f>
        <v>NOVEMBRO</v>
      </c>
      <c r="Y12" s="523" t="str">
        <f>IFERROR(VLOOKUP(LANÇ_MOV[[#This Row],[PLANO DE CONTAS]],Plano_Contas[[PLANO DE CONTAS]:[NOMES INTERVALOS]],2,0),"")</f>
        <v>Receitas_Operacionais</v>
      </c>
      <c r="Z12" s="523" t="str">
        <f>IF(LANÇ_MOV[[#This Row],[FORMA DE PAGAMENTO]]="","",VLOOKUP(LANÇ_MOV[[#This Row],[FORMA DE PAGAMENTO]],CAD_Forma_pagto[],2,0))</f>
        <v>PIX</v>
      </c>
      <c r="AA12" s="524" t="str">
        <f>IF(LANÇ_MOV[[#This Row],[DATA DE LANÇAMENTO]]="","",TEXT(LANÇ_MOV[[#This Row],[DATA DE LANÇAMENTO]],"AAAA"))</f>
        <v>2025</v>
      </c>
      <c r="AB12" s="524" t="str">
        <f>IF(LANÇ_MOV[[#This Row],[DATA DE LANÇAMENTO]]="","",UPPER(TEXT(LANÇ_MOV[[#This Row],[DATA DE LANÇAMENTO]],"MMMM")))</f>
        <v>OUTUBRO</v>
      </c>
      <c r="AC12" s="525" t="str">
        <f>IF(LANÇ_MOV[[#This Row],[DATA DE LANÇAMENTO]]="","",PROPER(TEXT(LANÇ_MOV[[#This Row],[DATA DE LANÇAMENTO]],"M")))</f>
        <v>10</v>
      </c>
      <c r="AD12" s="524" t="str">
        <f>IF(LANÇ_MOV[[#This Row],[DATA DE LANÇAMENTO]]="","",TEXT(LANÇ_MOV[[#This Row],[DATA DE LANÇAMENTO]],"D"))</f>
        <v>1</v>
      </c>
      <c r="AE12" s="526" t="str">
        <f>IF(LANÇ_MOV[[#This Row],[DATA DE VENCIMENTO]]="","",TEXT(LANÇ_MOV[[#This Row],[DATA DE VENCIMENTO]],"AAAA"))</f>
        <v>2025</v>
      </c>
      <c r="AF12" s="526" t="str">
        <f>IF(LANÇ_MOV[[#This Row],[DATA DE VENCIMENTO]]="","",UPPER(TEXT(LANÇ_MOV[[#This Row],[DATA DE VENCIMENTO]],"MMMM")))</f>
        <v>NOVEMBRO</v>
      </c>
      <c r="AG12" s="526" t="str">
        <f>IF(LANÇ_MOV[[#This Row],[DATA DE VENCIMENTO]]="","",TEXT(LANÇ_MOV[[#This Row],[DATA DE VENCIMENTO]],"M"))</f>
        <v>11</v>
      </c>
      <c r="AH12" s="526" t="str">
        <f>IF(LANÇ_MOV[[#This Row],[DATA DE VENCIMENTO]]="","",TEXT(LANÇ_MOV[[#This Row],[DATA DE VENCIMENTO]],"D"))</f>
        <v>10</v>
      </c>
      <c r="AI12" s="526" t="str">
        <f>IF(LANÇ_MOV[[#This Row],[DATA DE PAGAMENTO]]="","",TEXT(LANÇ_MOV[[#This Row],[DATA DE PAGAMENTO]],"AAAA"))</f>
        <v>2025</v>
      </c>
      <c r="AJ12" s="527" t="str">
        <f>IF(LANÇ_MOV[[#This Row],[DATA DE PAGAMENTO]]="","",UPPER(TEXT(LANÇ_MOV[[#This Row],[DATA DE PAGAMENTO]],"MMMM")))</f>
        <v>NOVEMBRO</v>
      </c>
      <c r="AK12" s="527" t="str">
        <f>IF(LANÇ_MOV[[#This Row],[DATA DE PAGAMENTO]]="","",TEXT(LANÇ_MOV[[#This Row],[DATA DE PAGAMENTO]],"M"))</f>
        <v>11</v>
      </c>
      <c r="AL12" s="526" t="str">
        <f>IF(LANÇ_MOV[[#This Row],[DATA DE PAGAMENTO]]="","",TEXT(LANÇ_MOV[[#This Row],[DATA DE PAGAMENTO]],"D"))</f>
        <v>10</v>
      </c>
      <c r="AM12" s="27"/>
      <c r="BA12" s="112"/>
      <c r="BB12" s="112"/>
      <c r="BC12" s="112"/>
      <c r="BD12" s="112"/>
    </row>
    <row r="13" spans="1:56" ht="30.05" customHeight="1" x14ac:dyDescent="0.35">
      <c r="B13" s="506">
        <v>45931</v>
      </c>
      <c r="C13" s="507" t="s">
        <v>1661</v>
      </c>
      <c r="D13" s="508" t="s">
        <v>1854</v>
      </c>
      <c r="E13" s="509" t="s">
        <v>1103</v>
      </c>
      <c r="F13" s="510" t="s">
        <v>1785</v>
      </c>
      <c r="G13" s="507" t="s">
        <v>1857</v>
      </c>
      <c r="H13" s="511">
        <v>0</v>
      </c>
      <c r="I13" s="512" t="s">
        <v>1698</v>
      </c>
      <c r="J13" s="510">
        <v>375.38</v>
      </c>
      <c r="K13" s="513">
        <v>0</v>
      </c>
      <c r="L13" s="513">
        <v>0</v>
      </c>
      <c r="M13" s="513">
        <v>0</v>
      </c>
      <c r="N13" s="514">
        <f>LANÇ_MOV[[#This Row],[VALOR BRUTO]]-LANÇ_MOV[[#This Row],[DESCONTO]]+LANÇ_MOV[[#This Row],[JUROS]]+LANÇ_MOV[[#This Row],[MULTA]]</f>
        <v>375.38</v>
      </c>
      <c r="O13" s="528">
        <v>46001</v>
      </c>
      <c r="P13" s="516" t="str">
        <f t="shared" ca="1" si="0"/>
        <v>Prazo - Menos de 15 dias</v>
      </c>
      <c r="Q13" s="530"/>
      <c r="R13" s="531" t="s">
        <v>1564</v>
      </c>
      <c r="S13" s="531"/>
      <c r="T13" s="531" t="s">
        <v>1776</v>
      </c>
      <c r="U13" s="519" t="s">
        <v>2008</v>
      </c>
      <c r="V13" s="520" t="str">
        <f>IFERROR(VLOOKUP(LANÇ_MOV[[#This Row],[PLANO DE CONTAS]],Plano_Contas[[PLANO DE CONTAS]:[R / D]],3,0),"")</f>
        <v>Receita</v>
      </c>
      <c r="W13" s="521" t="str">
        <f>IF(LANÇ_MOV[[#This Row],[DATA DE PAGAMENTO]]&lt;&gt;"","Pago","Não Pago")</f>
        <v>Não Pago</v>
      </c>
      <c r="X13" s="522" t="str">
        <f>IFERROR(IF(LANÇ_MOV[[#This Row],[DATA DE PAGAMENTO]]="","",(UPPER(TEXT(LANÇ_MOV[[#This Row],[DATA DE PAGAMENTO]],"mmmm")))),"")</f>
        <v/>
      </c>
      <c r="Y13" s="523" t="str">
        <f>IFERROR(VLOOKUP(LANÇ_MOV[[#This Row],[PLANO DE CONTAS]],Plano_Contas[[PLANO DE CONTAS]:[NOMES INTERVALOS]],2,0),"")</f>
        <v>Receitas_Operacionais</v>
      </c>
      <c r="Z13" s="523" t="str">
        <f>IF(LANÇ_MOV[[#This Row],[FORMA DE PAGAMENTO]]="","",VLOOKUP(LANÇ_MOV[[#This Row],[FORMA DE PAGAMENTO]],CAD_Forma_pagto[],2,0))</f>
        <v>PIX</v>
      </c>
      <c r="AA13" s="524" t="str">
        <f>IF(LANÇ_MOV[[#This Row],[DATA DE LANÇAMENTO]]="","",TEXT(LANÇ_MOV[[#This Row],[DATA DE LANÇAMENTO]],"AAAA"))</f>
        <v>2025</v>
      </c>
      <c r="AB13" s="524" t="str">
        <f>IF(LANÇ_MOV[[#This Row],[DATA DE LANÇAMENTO]]="","",UPPER(TEXT(LANÇ_MOV[[#This Row],[DATA DE LANÇAMENTO]],"MMMM")))</f>
        <v>OUTUBRO</v>
      </c>
      <c r="AC13" s="525" t="str">
        <f>IF(LANÇ_MOV[[#This Row],[DATA DE LANÇAMENTO]]="","",PROPER(TEXT(LANÇ_MOV[[#This Row],[DATA DE LANÇAMENTO]],"M")))</f>
        <v>10</v>
      </c>
      <c r="AD13" s="524" t="str">
        <f>IF(LANÇ_MOV[[#This Row],[DATA DE LANÇAMENTO]]="","",TEXT(LANÇ_MOV[[#This Row],[DATA DE LANÇAMENTO]],"D"))</f>
        <v>1</v>
      </c>
      <c r="AE13" s="526" t="str">
        <f>IF(LANÇ_MOV[[#This Row],[DATA DE VENCIMENTO]]="","",TEXT(LANÇ_MOV[[#This Row],[DATA DE VENCIMENTO]],"AAAA"))</f>
        <v>2025</v>
      </c>
      <c r="AF13" s="526" t="str">
        <f>IF(LANÇ_MOV[[#This Row],[DATA DE VENCIMENTO]]="","",UPPER(TEXT(LANÇ_MOV[[#This Row],[DATA DE VENCIMENTO]],"MMMM")))</f>
        <v>DEZEMBRO</v>
      </c>
      <c r="AG13" s="526" t="str">
        <f>IF(LANÇ_MOV[[#This Row],[DATA DE VENCIMENTO]]="","",TEXT(LANÇ_MOV[[#This Row],[DATA DE VENCIMENTO]],"M"))</f>
        <v>12</v>
      </c>
      <c r="AH13" s="526" t="str">
        <f>IF(LANÇ_MOV[[#This Row],[DATA DE VENCIMENTO]]="","",TEXT(LANÇ_MOV[[#This Row],[DATA DE VENCIMENTO]],"D"))</f>
        <v>10</v>
      </c>
      <c r="AI13" s="526" t="str">
        <f>IF(LANÇ_MOV[[#This Row],[DATA DE PAGAMENTO]]="","",TEXT(LANÇ_MOV[[#This Row],[DATA DE PAGAMENTO]],"AAAA"))</f>
        <v/>
      </c>
      <c r="AJ13" s="527" t="str">
        <f>IF(LANÇ_MOV[[#This Row],[DATA DE PAGAMENTO]]="","",UPPER(TEXT(LANÇ_MOV[[#This Row],[DATA DE PAGAMENTO]],"MMMM")))</f>
        <v/>
      </c>
      <c r="AK13" s="527" t="str">
        <f>IF(LANÇ_MOV[[#This Row],[DATA DE PAGAMENTO]]="","",TEXT(LANÇ_MOV[[#This Row],[DATA DE PAGAMENTO]],"M"))</f>
        <v/>
      </c>
      <c r="AL13" s="526" t="str">
        <f>IF(LANÇ_MOV[[#This Row],[DATA DE PAGAMENTO]]="","",TEXT(LANÇ_MOV[[#This Row],[DATA DE PAGAMENTO]],"D"))</f>
        <v/>
      </c>
      <c r="AM13" s="27"/>
      <c r="BA13" s="112"/>
      <c r="BB13" s="112"/>
      <c r="BC13" s="112"/>
      <c r="BD13" s="112"/>
    </row>
    <row r="14" spans="1:56" ht="30.05" customHeight="1" x14ac:dyDescent="0.35">
      <c r="B14" s="506">
        <v>45931</v>
      </c>
      <c r="C14" s="507" t="s">
        <v>1661</v>
      </c>
      <c r="D14" s="508" t="s">
        <v>1854</v>
      </c>
      <c r="E14" s="509" t="s">
        <v>1103</v>
      </c>
      <c r="F14" s="510" t="s">
        <v>1785</v>
      </c>
      <c r="G14" s="507" t="s">
        <v>1858</v>
      </c>
      <c r="H14" s="511">
        <v>0</v>
      </c>
      <c r="I14" s="512" t="s">
        <v>1698</v>
      </c>
      <c r="J14" s="510">
        <v>375.38</v>
      </c>
      <c r="K14" s="513">
        <v>0</v>
      </c>
      <c r="L14" s="513">
        <v>0</v>
      </c>
      <c r="M14" s="513">
        <v>0</v>
      </c>
      <c r="N14" s="514">
        <f>LANÇ_MOV[[#This Row],[VALOR BRUTO]]-LANÇ_MOV[[#This Row],[DESCONTO]]+LANÇ_MOV[[#This Row],[JUROS]]+LANÇ_MOV[[#This Row],[MULTA]]</f>
        <v>375.38</v>
      </c>
      <c r="O14" s="528">
        <v>46032</v>
      </c>
      <c r="P14" s="516" t="str">
        <f t="shared" ca="1" si="0"/>
        <v>Prazo - Mais de 1 mês</v>
      </c>
      <c r="Q14" s="530"/>
      <c r="R14" s="531" t="s">
        <v>1564</v>
      </c>
      <c r="S14" s="531"/>
      <c r="T14" s="531" t="s">
        <v>1776</v>
      </c>
      <c r="U14" s="519" t="s">
        <v>2008</v>
      </c>
      <c r="V14" s="520" t="str">
        <f>IFERROR(VLOOKUP(LANÇ_MOV[[#This Row],[PLANO DE CONTAS]],Plano_Contas[[PLANO DE CONTAS]:[R / D]],3,0),"")</f>
        <v>Receita</v>
      </c>
      <c r="W14" s="521" t="str">
        <f>IF(LANÇ_MOV[[#This Row],[DATA DE PAGAMENTO]]&lt;&gt;"","Pago","Não Pago")</f>
        <v>Não Pago</v>
      </c>
      <c r="X14" s="522" t="str">
        <f>IFERROR(IF(LANÇ_MOV[[#This Row],[DATA DE PAGAMENTO]]="","",(UPPER(TEXT(LANÇ_MOV[[#This Row],[DATA DE PAGAMENTO]],"mmmm")))),"")</f>
        <v/>
      </c>
      <c r="Y14" s="523" t="str">
        <f>IFERROR(VLOOKUP(LANÇ_MOV[[#This Row],[PLANO DE CONTAS]],Plano_Contas[[PLANO DE CONTAS]:[NOMES INTERVALOS]],2,0),"")</f>
        <v>Receitas_Operacionais</v>
      </c>
      <c r="Z14" s="523" t="str">
        <f>IF(LANÇ_MOV[[#This Row],[FORMA DE PAGAMENTO]]="","",VLOOKUP(LANÇ_MOV[[#This Row],[FORMA DE PAGAMENTO]],CAD_Forma_pagto[],2,0))</f>
        <v>PIX</v>
      </c>
      <c r="AA14" s="524" t="str">
        <f>IF(LANÇ_MOV[[#This Row],[DATA DE LANÇAMENTO]]="","",TEXT(LANÇ_MOV[[#This Row],[DATA DE LANÇAMENTO]],"AAAA"))</f>
        <v>2025</v>
      </c>
      <c r="AB14" s="524" t="str">
        <f>IF(LANÇ_MOV[[#This Row],[DATA DE LANÇAMENTO]]="","",UPPER(TEXT(LANÇ_MOV[[#This Row],[DATA DE LANÇAMENTO]],"MMMM")))</f>
        <v>OUTUBRO</v>
      </c>
      <c r="AC14" s="525" t="str">
        <f>IF(LANÇ_MOV[[#This Row],[DATA DE LANÇAMENTO]]="","",PROPER(TEXT(LANÇ_MOV[[#This Row],[DATA DE LANÇAMENTO]],"M")))</f>
        <v>10</v>
      </c>
      <c r="AD14" s="524" t="str">
        <f>IF(LANÇ_MOV[[#This Row],[DATA DE LANÇAMENTO]]="","",TEXT(LANÇ_MOV[[#This Row],[DATA DE LANÇAMENTO]],"D"))</f>
        <v>1</v>
      </c>
      <c r="AE14" s="526" t="str">
        <f>IF(LANÇ_MOV[[#This Row],[DATA DE VENCIMENTO]]="","",TEXT(LANÇ_MOV[[#This Row],[DATA DE VENCIMENTO]],"AAAA"))</f>
        <v>2026</v>
      </c>
      <c r="AF14" s="526" t="str">
        <f>IF(LANÇ_MOV[[#This Row],[DATA DE VENCIMENTO]]="","",UPPER(TEXT(LANÇ_MOV[[#This Row],[DATA DE VENCIMENTO]],"MMMM")))</f>
        <v>JANEIRO</v>
      </c>
      <c r="AG14" s="526" t="str">
        <f>IF(LANÇ_MOV[[#This Row],[DATA DE VENCIMENTO]]="","",TEXT(LANÇ_MOV[[#This Row],[DATA DE VENCIMENTO]],"M"))</f>
        <v>1</v>
      </c>
      <c r="AH14" s="526" t="str">
        <f>IF(LANÇ_MOV[[#This Row],[DATA DE VENCIMENTO]]="","",TEXT(LANÇ_MOV[[#This Row],[DATA DE VENCIMENTO]],"D"))</f>
        <v>10</v>
      </c>
      <c r="AI14" s="526" t="str">
        <f>IF(LANÇ_MOV[[#This Row],[DATA DE PAGAMENTO]]="","",TEXT(LANÇ_MOV[[#This Row],[DATA DE PAGAMENTO]],"AAAA"))</f>
        <v/>
      </c>
      <c r="AJ14" s="527" t="str">
        <f>IF(LANÇ_MOV[[#This Row],[DATA DE PAGAMENTO]]="","",UPPER(TEXT(LANÇ_MOV[[#This Row],[DATA DE PAGAMENTO]],"MMMM")))</f>
        <v/>
      </c>
      <c r="AK14" s="527" t="str">
        <f>IF(LANÇ_MOV[[#This Row],[DATA DE PAGAMENTO]]="","",TEXT(LANÇ_MOV[[#This Row],[DATA DE PAGAMENTO]],"M"))</f>
        <v/>
      </c>
      <c r="AL14" s="526" t="str">
        <f>IF(LANÇ_MOV[[#This Row],[DATA DE PAGAMENTO]]="","",TEXT(LANÇ_MOV[[#This Row],[DATA DE PAGAMENTO]],"D"))</f>
        <v/>
      </c>
      <c r="AM14" s="27"/>
      <c r="BA14" s="112"/>
      <c r="BB14" s="112"/>
      <c r="BC14" s="112"/>
      <c r="BD14" s="112"/>
    </row>
    <row r="15" spans="1:56" ht="30.05" customHeight="1" x14ac:dyDescent="0.35">
      <c r="B15" s="506">
        <v>45931</v>
      </c>
      <c r="C15" s="507" t="s">
        <v>1661</v>
      </c>
      <c r="D15" s="508" t="s">
        <v>1854</v>
      </c>
      <c r="E15" s="509" t="s">
        <v>228</v>
      </c>
      <c r="F15" s="510" t="s">
        <v>1492</v>
      </c>
      <c r="G15" s="507"/>
      <c r="H15" s="511">
        <v>0</v>
      </c>
      <c r="I15" s="512" t="s">
        <v>1771</v>
      </c>
      <c r="J15" s="510">
        <v>4162.2299999999996</v>
      </c>
      <c r="K15" s="513">
        <v>0</v>
      </c>
      <c r="L15" s="513">
        <v>0</v>
      </c>
      <c r="M15" s="513">
        <v>0</v>
      </c>
      <c r="N15" s="514">
        <f>LANÇ_MOV[[#This Row],[VALOR BRUTO]]-LANÇ_MOV[[#This Row],[DESCONTO]]+LANÇ_MOV[[#This Row],[JUROS]]+LANÇ_MOV[[#This Row],[MULTA]]</f>
        <v>4162.2299999999996</v>
      </c>
      <c r="O15" s="528">
        <v>45968</v>
      </c>
      <c r="P15" s="516" t="str">
        <f t="shared" ca="1" si="0"/>
        <v>Venceu</v>
      </c>
      <c r="Q15" s="530"/>
      <c r="R15" s="531" t="s">
        <v>1564</v>
      </c>
      <c r="S15" s="531"/>
      <c r="T15" s="531" t="s">
        <v>1776</v>
      </c>
      <c r="U15" s="519" t="s">
        <v>2008</v>
      </c>
      <c r="V15" s="520" t="str">
        <f>IFERROR(VLOOKUP(LANÇ_MOV[[#This Row],[PLANO DE CONTAS]],Plano_Contas[[PLANO DE CONTAS]:[R / D]],3,0),"")</f>
        <v>Despesa</v>
      </c>
      <c r="W15" s="521" t="str">
        <f>IF(LANÇ_MOV[[#This Row],[DATA DE PAGAMENTO]]&lt;&gt;"","Pago","Não Pago")</f>
        <v>Não Pago</v>
      </c>
      <c r="X15" s="522" t="str">
        <f>IFERROR(IF(LANÇ_MOV[[#This Row],[DATA DE PAGAMENTO]]="","",(UPPER(TEXT(LANÇ_MOV[[#This Row],[DATA DE PAGAMENTO]],"mmmm")))),"")</f>
        <v/>
      </c>
      <c r="Y15" s="523" t="str">
        <f>IFERROR(VLOOKUP(LANÇ_MOV[[#This Row],[PLANO DE CONTAS]],Plano_Contas[[PLANO DE CONTAS]:[NOMES INTERVALOS]],2,0),"")</f>
        <v>Despesas_Com_RH</v>
      </c>
      <c r="Z15" s="523" t="str">
        <f>IF(LANÇ_MOV[[#This Row],[FORMA DE PAGAMENTO]]="","",VLOOKUP(LANÇ_MOV[[#This Row],[FORMA DE PAGAMENTO]],CAD_Forma_pagto[],2,0))</f>
        <v>PIX</v>
      </c>
      <c r="AA15" s="524" t="str">
        <f>IF(LANÇ_MOV[[#This Row],[DATA DE LANÇAMENTO]]="","",TEXT(LANÇ_MOV[[#This Row],[DATA DE LANÇAMENTO]],"AAAA"))</f>
        <v>2025</v>
      </c>
      <c r="AB15" s="524" t="str">
        <f>IF(LANÇ_MOV[[#This Row],[DATA DE LANÇAMENTO]]="","",UPPER(TEXT(LANÇ_MOV[[#This Row],[DATA DE LANÇAMENTO]],"MMMM")))</f>
        <v>OUTUBRO</v>
      </c>
      <c r="AC15" s="525" t="str">
        <f>IF(LANÇ_MOV[[#This Row],[DATA DE LANÇAMENTO]]="","",PROPER(TEXT(LANÇ_MOV[[#This Row],[DATA DE LANÇAMENTO]],"M")))</f>
        <v>10</v>
      </c>
      <c r="AD15" s="524" t="str">
        <f>IF(LANÇ_MOV[[#This Row],[DATA DE LANÇAMENTO]]="","",TEXT(LANÇ_MOV[[#This Row],[DATA DE LANÇAMENTO]],"D"))</f>
        <v>1</v>
      </c>
      <c r="AE15" s="526" t="str">
        <f>IF(LANÇ_MOV[[#This Row],[DATA DE VENCIMENTO]]="","",TEXT(LANÇ_MOV[[#This Row],[DATA DE VENCIMENTO]],"AAAA"))</f>
        <v>2025</v>
      </c>
      <c r="AF15" s="526" t="str">
        <f>IF(LANÇ_MOV[[#This Row],[DATA DE VENCIMENTO]]="","",UPPER(TEXT(LANÇ_MOV[[#This Row],[DATA DE VENCIMENTO]],"MMMM")))</f>
        <v>NOVEMBRO</v>
      </c>
      <c r="AG15" s="526" t="str">
        <f>IF(LANÇ_MOV[[#This Row],[DATA DE VENCIMENTO]]="","",TEXT(LANÇ_MOV[[#This Row],[DATA DE VENCIMENTO]],"M"))</f>
        <v>11</v>
      </c>
      <c r="AH15" s="526" t="str">
        <f>IF(LANÇ_MOV[[#This Row],[DATA DE VENCIMENTO]]="","",TEXT(LANÇ_MOV[[#This Row],[DATA DE VENCIMENTO]],"D"))</f>
        <v>7</v>
      </c>
      <c r="AI15" s="526" t="str">
        <f>IF(LANÇ_MOV[[#This Row],[DATA DE PAGAMENTO]]="","",TEXT(LANÇ_MOV[[#This Row],[DATA DE PAGAMENTO]],"AAAA"))</f>
        <v/>
      </c>
      <c r="AJ15" s="527" t="str">
        <f>IF(LANÇ_MOV[[#This Row],[DATA DE PAGAMENTO]]="","",UPPER(TEXT(LANÇ_MOV[[#This Row],[DATA DE PAGAMENTO]],"MMMM")))</f>
        <v/>
      </c>
      <c r="AK15" s="527" t="str">
        <f>IF(LANÇ_MOV[[#This Row],[DATA DE PAGAMENTO]]="","",TEXT(LANÇ_MOV[[#This Row],[DATA DE PAGAMENTO]],"M"))</f>
        <v/>
      </c>
      <c r="AL15" s="526" t="str">
        <f>IF(LANÇ_MOV[[#This Row],[DATA DE PAGAMENTO]]="","",TEXT(LANÇ_MOV[[#This Row],[DATA DE PAGAMENTO]],"D"))</f>
        <v/>
      </c>
      <c r="AM15" s="27"/>
      <c r="BA15" s="112"/>
      <c r="BB15" s="112"/>
      <c r="BC15" s="112"/>
      <c r="BD15" s="112"/>
    </row>
    <row r="16" spans="1:56" ht="30.05" customHeight="1" x14ac:dyDescent="0.35">
      <c r="B16" s="506">
        <v>45931</v>
      </c>
      <c r="C16" s="507" t="s">
        <v>1661</v>
      </c>
      <c r="D16" s="508" t="s">
        <v>1854</v>
      </c>
      <c r="E16" s="509" t="s">
        <v>228</v>
      </c>
      <c r="F16" s="510" t="s">
        <v>1492</v>
      </c>
      <c r="G16" s="507"/>
      <c r="H16" s="511">
        <v>0</v>
      </c>
      <c r="I16" s="512" t="s">
        <v>1772</v>
      </c>
      <c r="J16" s="510">
        <v>132.63999999999999</v>
      </c>
      <c r="K16" s="513">
        <v>0</v>
      </c>
      <c r="L16" s="513">
        <v>0</v>
      </c>
      <c r="M16" s="513">
        <v>0</v>
      </c>
      <c r="N16" s="514">
        <f>LANÇ_MOV[[#This Row],[VALOR BRUTO]]-LANÇ_MOV[[#This Row],[DESCONTO]]+LANÇ_MOV[[#This Row],[JUROS]]+LANÇ_MOV[[#This Row],[MULTA]]</f>
        <v>132.63999999999999</v>
      </c>
      <c r="O16" s="528">
        <v>45968</v>
      </c>
      <c r="P16" s="516" t="str">
        <f t="shared" ca="1" si="0"/>
        <v>Venceu</v>
      </c>
      <c r="Q16" s="530"/>
      <c r="R16" s="531" t="s">
        <v>1564</v>
      </c>
      <c r="S16" s="531"/>
      <c r="T16" s="531" t="s">
        <v>1776</v>
      </c>
      <c r="U16" s="519" t="s">
        <v>2008</v>
      </c>
      <c r="V16" s="520" t="str">
        <f>IFERROR(VLOOKUP(LANÇ_MOV[[#This Row],[PLANO DE CONTAS]],Plano_Contas[[PLANO DE CONTAS]:[R / D]],3,0),"")</f>
        <v>Despesa</v>
      </c>
      <c r="W16" s="521" t="str">
        <f>IF(LANÇ_MOV[[#This Row],[DATA DE PAGAMENTO]]&lt;&gt;"","Pago","Não Pago")</f>
        <v>Não Pago</v>
      </c>
      <c r="X16" s="522" t="str">
        <f>IFERROR(IF(LANÇ_MOV[[#This Row],[DATA DE PAGAMENTO]]="","",(UPPER(TEXT(LANÇ_MOV[[#This Row],[DATA DE PAGAMENTO]],"mmmm")))),"")</f>
        <v/>
      </c>
      <c r="Y16" s="523" t="str">
        <f>IFERROR(VLOOKUP(LANÇ_MOV[[#This Row],[PLANO DE CONTAS]],Plano_Contas[[PLANO DE CONTAS]:[NOMES INTERVALOS]],2,0),"")</f>
        <v>Despesas_Com_RH</v>
      </c>
      <c r="Z16" s="523" t="str">
        <f>IF(LANÇ_MOV[[#This Row],[FORMA DE PAGAMENTO]]="","",VLOOKUP(LANÇ_MOV[[#This Row],[FORMA DE PAGAMENTO]],CAD_Forma_pagto[],2,0))</f>
        <v>PIX</v>
      </c>
      <c r="AA16" s="524" t="str">
        <f>IF(LANÇ_MOV[[#This Row],[DATA DE LANÇAMENTO]]="","",TEXT(LANÇ_MOV[[#This Row],[DATA DE LANÇAMENTO]],"AAAA"))</f>
        <v>2025</v>
      </c>
      <c r="AB16" s="524" t="str">
        <f>IF(LANÇ_MOV[[#This Row],[DATA DE LANÇAMENTO]]="","",UPPER(TEXT(LANÇ_MOV[[#This Row],[DATA DE LANÇAMENTO]],"MMMM")))</f>
        <v>OUTUBRO</v>
      </c>
      <c r="AC16" s="525" t="str">
        <f>IF(LANÇ_MOV[[#This Row],[DATA DE LANÇAMENTO]]="","",PROPER(TEXT(LANÇ_MOV[[#This Row],[DATA DE LANÇAMENTO]],"M")))</f>
        <v>10</v>
      </c>
      <c r="AD16" s="524" t="str">
        <f>IF(LANÇ_MOV[[#This Row],[DATA DE LANÇAMENTO]]="","",TEXT(LANÇ_MOV[[#This Row],[DATA DE LANÇAMENTO]],"D"))</f>
        <v>1</v>
      </c>
      <c r="AE16" s="526" t="str">
        <f>IF(LANÇ_MOV[[#This Row],[DATA DE VENCIMENTO]]="","",TEXT(LANÇ_MOV[[#This Row],[DATA DE VENCIMENTO]],"AAAA"))</f>
        <v>2025</v>
      </c>
      <c r="AF16" s="526" t="str">
        <f>IF(LANÇ_MOV[[#This Row],[DATA DE VENCIMENTO]]="","",UPPER(TEXT(LANÇ_MOV[[#This Row],[DATA DE VENCIMENTO]],"MMMM")))</f>
        <v>NOVEMBRO</v>
      </c>
      <c r="AG16" s="526" t="str">
        <f>IF(LANÇ_MOV[[#This Row],[DATA DE VENCIMENTO]]="","",TEXT(LANÇ_MOV[[#This Row],[DATA DE VENCIMENTO]],"M"))</f>
        <v>11</v>
      </c>
      <c r="AH16" s="526" t="str">
        <f>IF(LANÇ_MOV[[#This Row],[DATA DE VENCIMENTO]]="","",TEXT(LANÇ_MOV[[#This Row],[DATA DE VENCIMENTO]],"D"))</f>
        <v>7</v>
      </c>
      <c r="AI16" s="526" t="str">
        <f>IF(LANÇ_MOV[[#This Row],[DATA DE PAGAMENTO]]="","",TEXT(LANÇ_MOV[[#This Row],[DATA DE PAGAMENTO]],"AAAA"))</f>
        <v/>
      </c>
      <c r="AJ16" s="527" t="str">
        <f>IF(LANÇ_MOV[[#This Row],[DATA DE PAGAMENTO]]="","",UPPER(TEXT(LANÇ_MOV[[#This Row],[DATA DE PAGAMENTO]],"MMMM")))</f>
        <v/>
      </c>
      <c r="AK16" s="527" t="str">
        <f>IF(LANÇ_MOV[[#This Row],[DATA DE PAGAMENTO]]="","",TEXT(LANÇ_MOV[[#This Row],[DATA DE PAGAMENTO]],"M"))</f>
        <v/>
      </c>
      <c r="AL16" s="526" t="str">
        <f>IF(LANÇ_MOV[[#This Row],[DATA DE PAGAMENTO]]="","",TEXT(LANÇ_MOV[[#This Row],[DATA DE PAGAMENTO]],"D"))</f>
        <v/>
      </c>
      <c r="AM16" s="27"/>
      <c r="BA16" s="112"/>
      <c r="BB16" s="112"/>
      <c r="BC16" s="112"/>
      <c r="BD16" s="112"/>
    </row>
    <row r="17" spans="2:56" ht="30.05" customHeight="1" x14ac:dyDescent="0.35">
      <c r="B17" s="506">
        <v>45931</v>
      </c>
      <c r="C17" s="507" t="s">
        <v>1661</v>
      </c>
      <c r="D17" s="508" t="s">
        <v>1854</v>
      </c>
      <c r="E17" s="509" t="s">
        <v>228</v>
      </c>
      <c r="F17" s="510" t="s">
        <v>1492</v>
      </c>
      <c r="G17" s="507"/>
      <c r="H17" s="511">
        <v>0</v>
      </c>
      <c r="I17" s="512" t="s">
        <v>1758</v>
      </c>
      <c r="J17" s="510">
        <v>916.15</v>
      </c>
      <c r="K17" s="513">
        <v>0</v>
      </c>
      <c r="L17" s="513">
        <v>0</v>
      </c>
      <c r="M17" s="513">
        <v>0</v>
      </c>
      <c r="N17" s="514">
        <f>LANÇ_MOV[[#This Row],[VALOR BRUTO]]-LANÇ_MOV[[#This Row],[DESCONTO]]+LANÇ_MOV[[#This Row],[JUROS]]+LANÇ_MOV[[#This Row],[MULTA]]</f>
        <v>916.15</v>
      </c>
      <c r="O17" s="528">
        <v>45936</v>
      </c>
      <c r="P17" s="516" t="str">
        <f t="shared" ca="1" si="0"/>
        <v>Pago</v>
      </c>
      <c r="Q17" s="530">
        <v>45932</v>
      </c>
      <c r="R17" s="531" t="s">
        <v>1564</v>
      </c>
      <c r="S17" s="531"/>
      <c r="T17" s="531" t="s">
        <v>1776</v>
      </c>
      <c r="U17" s="519" t="s">
        <v>2008</v>
      </c>
      <c r="V17" s="520" t="str">
        <f>IFERROR(VLOOKUP(LANÇ_MOV[[#This Row],[PLANO DE CONTAS]],Plano_Contas[[PLANO DE CONTAS]:[R / D]],3,0),"")</f>
        <v>Despesa</v>
      </c>
      <c r="W17" s="521" t="str">
        <f>IF(LANÇ_MOV[[#This Row],[DATA DE PAGAMENTO]]&lt;&gt;"","Pago","Não Pago")</f>
        <v>Pago</v>
      </c>
      <c r="X17" s="522" t="str">
        <f>IFERROR(IF(LANÇ_MOV[[#This Row],[DATA DE PAGAMENTO]]="","",(UPPER(TEXT(LANÇ_MOV[[#This Row],[DATA DE PAGAMENTO]],"mmmm")))),"")</f>
        <v>OUTUBRO</v>
      </c>
      <c r="Y17" s="523" t="str">
        <f>IFERROR(VLOOKUP(LANÇ_MOV[[#This Row],[PLANO DE CONTAS]],Plano_Contas[[PLANO DE CONTAS]:[NOMES INTERVALOS]],2,0),"")</f>
        <v>Despesas_Com_RH</v>
      </c>
      <c r="Z17" s="523" t="str">
        <f>IF(LANÇ_MOV[[#This Row],[FORMA DE PAGAMENTO]]="","",VLOOKUP(LANÇ_MOV[[#This Row],[FORMA DE PAGAMENTO]],CAD_Forma_pagto[],2,0))</f>
        <v>PIX</v>
      </c>
      <c r="AA17" s="524" t="str">
        <f>IF(LANÇ_MOV[[#This Row],[DATA DE LANÇAMENTO]]="","",TEXT(LANÇ_MOV[[#This Row],[DATA DE LANÇAMENTO]],"AAAA"))</f>
        <v>2025</v>
      </c>
      <c r="AB17" s="524" t="str">
        <f>IF(LANÇ_MOV[[#This Row],[DATA DE LANÇAMENTO]]="","",UPPER(TEXT(LANÇ_MOV[[#This Row],[DATA DE LANÇAMENTO]],"MMMM")))</f>
        <v>OUTUBRO</v>
      </c>
      <c r="AC17" s="525" t="str">
        <f>IF(LANÇ_MOV[[#This Row],[DATA DE LANÇAMENTO]]="","",PROPER(TEXT(LANÇ_MOV[[#This Row],[DATA DE LANÇAMENTO]],"M")))</f>
        <v>10</v>
      </c>
      <c r="AD17" s="524" t="str">
        <f>IF(LANÇ_MOV[[#This Row],[DATA DE LANÇAMENTO]]="","",TEXT(LANÇ_MOV[[#This Row],[DATA DE LANÇAMENTO]],"D"))</f>
        <v>1</v>
      </c>
      <c r="AE17" s="526" t="str">
        <f>IF(LANÇ_MOV[[#This Row],[DATA DE VENCIMENTO]]="","",TEXT(LANÇ_MOV[[#This Row],[DATA DE VENCIMENTO]],"AAAA"))</f>
        <v>2025</v>
      </c>
      <c r="AF17" s="526" t="str">
        <f>IF(LANÇ_MOV[[#This Row],[DATA DE VENCIMENTO]]="","",UPPER(TEXT(LANÇ_MOV[[#This Row],[DATA DE VENCIMENTO]],"MMMM")))</f>
        <v>OUTUBRO</v>
      </c>
      <c r="AG17" s="526" t="str">
        <f>IF(LANÇ_MOV[[#This Row],[DATA DE VENCIMENTO]]="","",TEXT(LANÇ_MOV[[#This Row],[DATA DE VENCIMENTO]],"M"))</f>
        <v>10</v>
      </c>
      <c r="AH17" s="526" t="str">
        <f>IF(LANÇ_MOV[[#This Row],[DATA DE VENCIMENTO]]="","",TEXT(LANÇ_MOV[[#This Row],[DATA DE VENCIMENTO]],"D"))</f>
        <v>6</v>
      </c>
      <c r="AI17" s="526" t="str">
        <f>IF(LANÇ_MOV[[#This Row],[DATA DE PAGAMENTO]]="","",TEXT(LANÇ_MOV[[#This Row],[DATA DE PAGAMENTO]],"AAAA"))</f>
        <v>2025</v>
      </c>
      <c r="AJ17" s="527" t="str">
        <f>IF(LANÇ_MOV[[#This Row],[DATA DE PAGAMENTO]]="","",UPPER(TEXT(LANÇ_MOV[[#This Row],[DATA DE PAGAMENTO]],"MMMM")))</f>
        <v>OUTUBRO</v>
      </c>
      <c r="AK17" s="527" t="str">
        <f>IF(LANÇ_MOV[[#This Row],[DATA DE PAGAMENTO]]="","",TEXT(LANÇ_MOV[[#This Row],[DATA DE PAGAMENTO]],"M"))</f>
        <v>10</v>
      </c>
      <c r="AL17" s="526" t="str">
        <f>IF(LANÇ_MOV[[#This Row],[DATA DE PAGAMENTO]]="","",TEXT(LANÇ_MOV[[#This Row],[DATA DE PAGAMENTO]],"D"))</f>
        <v>2</v>
      </c>
      <c r="AM17" s="27"/>
      <c r="BA17" s="112"/>
      <c r="BB17" s="112"/>
      <c r="BC17" s="112"/>
      <c r="BD17" s="112"/>
    </row>
    <row r="18" spans="2:56" ht="30.05" customHeight="1" x14ac:dyDescent="0.35">
      <c r="B18" s="506">
        <v>45931</v>
      </c>
      <c r="C18" s="507" t="s">
        <v>1661</v>
      </c>
      <c r="D18" s="508" t="s">
        <v>1854</v>
      </c>
      <c r="E18" s="509" t="s">
        <v>228</v>
      </c>
      <c r="F18" s="510" t="s">
        <v>1492</v>
      </c>
      <c r="G18" s="507"/>
      <c r="H18" s="511">
        <v>0</v>
      </c>
      <c r="I18" s="512" t="s">
        <v>1758</v>
      </c>
      <c r="J18" s="518">
        <v>1093.48</v>
      </c>
      <c r="K18" s="513">
        <v>0</v>
      </c>
      <c r="L18" s="513">
        <v>0</v>
      </c>
      <c r="M18" s="513">
        <v>0</v>
      </c>
      <c r="N18" s="514">
        <f>LANÇ_MOV[[#This Row],[VALOR BRUTO]]-LANÇ_MOV[[#This Row],[DESCONTO]]+LANÇ_MOV[[#This Row],[JUROS]]+LANÇ_MOV[[#This Row],[MULTA]]</f>
        <v>1093.48</v>
      </c>
      <c r="O18" s="528">
        <v>45968</v>
      </c>
      <c r="P18" s="516" t="str">
        <f t="shared" ca="1" si="0"/>
        <v>Pago</v>
      </c>
      <c r="Q18" s="530">
        <v>45966</v>
      </c>
      <c r="R18" s="531" t="s">
        <v>1564</v>
      </c>
      <c r="S18" s="531"/>
      <c r="T18" s="531" t="s">
        <v>1776</v>
      </c>
      <c r="U18" s="519" t="s">
        <v>2008</v>
      </c>
      <c r="V18" s="520" t="str">
        <f>IFERROR(VLOOKUP(LANÇ_MOV[[#This Row],[PLANO DE CONTAS]],Plano_Contas[[PLANO DE CONTAS]:[R / D]],3,0),"")</f>
        <v>Despesa</v>
      </c>
      <c r="W18" s="521" t="str">
        <f>IF(LANÇ_MOV[[#This Row],[DATA DE PAGAMENTO]]&lt;&gt;"","Pago","Não Pago")</f>
        <v>Pago</v>
      </c>
      <c r="X18" s="522" t="str">
        <f>IFERROR(IF(LANÇ_MOV[[#This Row],[DATA DE PAGAMENTO]]="","",(UPPER(TEXT(LANÇ_MOV[[#This Row],[DATA DE PAGAMENTO]],"mmmm")))),"")</f>
        <v>NOVEMBRO</v>
      </c>
      <c r="Y18" s="523" t="str">
        <f>IFERROR(VLOOKUP(LANÇ_MOV[[#This Row],[PLANO DE CONTAS]],Plano_Contas[[PLANO DE CONTAS]:[NOMES INTERVALOS]],2,0),"")</f>
        <v>Despesas_Com_RH</v>
      </c>
      <c r="Z18" s="523" t="str">
        <f>IF(LANÇ_MOV[[#This Row],[FORMA DE PAGAMENTO]]="","",VLOOKUP(LANÇ_MOV[[#This Row],[FORMA DE PAGAMENTO]],CAD_Forma_pagto[],2,0))</f>
        <v>PIX</v>
      </c>
      <c r="AA18" s="524" t="str">
        <f>IF(LANÇ_MOV[[#This Row],[DATA DE LANÇAMENTO]]="","",TEXT(LANÇ_MOV[[#This Row],[DATA DE LANÇAMENTO]],"AAAA"))</f>
        <v>2025</v>
      </c>
      <c r="AB18" s="524" t="str">
        <f>IF(LANÇ_MOV[[#This Row],[DATA DE LANÇAMENTO]]="","",UPPER(TEXT(LANÇ_MOV[[#This Row],[DATA DE LANÇAMENTO]],"MMMM")))</f>
        <v>OUTUBRO</v>
      </c>
      <c r="AC18" s="525" t="str">
        <f>IF(LANÇ_MOV[[#This Row],[DATA DE LANÇAMENTO]]="","",PROPER(TEXT(LANÇ_MOV[[#This Row],[DATA DE LANÇAMENTO]],"M")))</f>
        <v>10</v>
      </c>
      <c r="AD18" s="524" t="str">
        <f>IF(LANÇ_MOV[[#This Row],[DATA DE LANÇAMENTO]]="","",TEXT(LANÇ_MOV[[#This Row],[DATA DE LANÇAMENTO]],"D"))</f>
        <v>1</v>
      </c>
      <c r="AE18" s="526" t="str">
        <f>IF(LANÇ_MOV[[#This Row],[DATA DE VENCIMENTO]]="","",TEXT(LANÇ_MOV[[#This Row],[DATA DE VENCIMENTO]],"AAAA"))</f>
        <v>2025</v>
      </c>
      <c r="AF18" s="526" t="str">
        <f>IF(LANÇ_MOV[[#This Row],[DATA DE VENCIMENTO]]="","",UPPER(TEXT(LANÇ_MOV[[#This Row],[DATA DE VENCIMENTO]],"MMMM")))</f>
        <v>NOVEMBRO</v>
      </c>
      <c r="AG18" s="526" t="str">
        <f>IF(LANÇ_MOV[[#This Row],[DATA DE VENCIMENTO]]="","",TEXT(LANÇ_MOV[[#This Row],[DATA DE VENCIMENTO]],"M"))</f>
        <v>11</v>
      </c>
      <c r="AH18" s="526" t="str">
        <f>IF(LANÇ_MOV[[#This Row],[DATA DE VENCIMENTO]]="","",TEXT(LANÇ_MOV[[#This Row],[DATA DE VENCIMENTO]],"D"))</f>
        <v>7</v>
      </c>
      <c r="AI18" s="526" t="str">
        <f>IF(LANÇ_MOV[[#This Row],[DATA DE PAGAMENTO]]="","",TEXT(LANÇ_MOV[[#This Row],[DATA DE PAGAMENTO]],"AAAA"))</f>
        <v>2025</v>
      </c>
      <c r="AJ18" s="527" t="str">
        <f>IF(LANÇ_MOV[[#This Row],[DATA DE PAGAMENTO]]="","",UPPER(TEXT(LANÇ_MOV[[#This Row],[DATA DE PAGAMENTO]],"MMMM")))</f>
        <v>NOVEMBRO</v>
      </c>
      <c r="AK18" s="527" t="str">
        <f>IF(LANÇ_MOV[[#This Row],[DATA DE PAGAMENTO]]="","",TEXT(LANÇ_MOV[[#This Row],[DATA DE PAGAMENTO]],"M"))</f>
        <v>11</v>
      </c>
      <c r="AL18" s="526" t="str">
        <f>IF(LANÇ_MOV[[#This Row],[DATA DE PAGAMENTO]]="","",TEXT(LANÇ_MOV[[#This Row],[DATA DE PAGAMENTO]],"D"))</f>
        <v>5</v>
      </c>
      <c r="AM18" s="27"/>
      <c r="BA18" s="112"/>
      <c r="BB18" s="112"/>
      <c r="BC18" s="112"/>
      <c r="BD18" s="112"/>
    </row>
    <row r="19" spans="2:56" ht="30.05" customHeight="1" x14ac:dyDescent="0.35">
      <c r="B19" s="506">
        <v>45931</v>
      </c>
      <c r="C19" s="507" t="s">
        <v>1661</v>
      </c>
      <c r="D19" s="508" t="s">
        <v>1854</v>
      </c>
      <c r="E19" s="509" t="s">
        <v>228</v>
      </c>
      <c r="F19" s="510" t="s">
        <v>1492</v>
      </c>
      <c r="G19" s="507"/>
      <c r="H19" s="511">
        <v>0</v>
      </c>
      <c r="I19" s="512" t="s">
        <v>1758</v>
      </c>
      <c r="J19" s="518">
        <v>1000</v>
      </c>
      <c r="K19" s="513">
        <v>0</v>
      </c>
      <c r="L19" s="513">
        <v>0</v>
      </c>
      <c r="M19" s="513">
        <v>0</v>
      </c>
      <c r="N19" s="514">
        <f>LANÇ_MOV[[#This Row],[VALOR BRUTO]]-LANÇ_MOV[[#This Row],[DESCONTO]]+LANÇ_MOV[[#This Row],[JUROS]]+LANÇ_MOV[[#This Row],[MULTA]]</f>
        <v>1000</v>
      </c>
      <c r="O19" s="528">
        <v>45996</v>
      </c>
      <c r="P19" s="516" t="str">
        <f t="shared" ca="1" si="0"/>
        <v>Prazo - Menos de 10 dias</v>
      </c>
      <c r="Q19" s="530"/>
      <c r="R19" s="531" t="s">
        <v>1564</v>
      </c>
      <c r="S19" s="531"/>
      <c r="T19" s="531" t="s">
        <v>1776</v>
      </c>
      <c r="U19" s="519" t="s">
        <v>2008</v>
      </c>
      <c r="V19" s="520" t="str">
        <f>IFERROR(VLOOKUP(LANÇ_MOV[[#This Row],[PLANO DE CONTAS]],Plano_Contas[[PLANO DE CONTAS]:[R / D]],3,0),"")</f>
        <v>Despesa</v>
      </c>
      <c r="W19" s="521" t="str">
        <f>IF(LANÇ_MOV[[#This Row],[DATA DE PAGAMENTO]]&lt;&gt;"","Pago","Não Pago")</f>
        <v>Não Pago</v>
      </c>
      <c r="X19" s="522" t="str">
        <f>IFERROR(IF(LANÇ_MOV[[#This Row],[DATA DE PAGAMENTO]]="","",(UPPER(TEXT(LANÇ_MOV[[#This Row],[DATA DE PAGAMENTO]],"mmmm")))),"")</f>
        <v/>
      </c>
      <c r="Y19" s="523" t="str">
        <f>IFERROR(VLOOKUP(LANÇ_MOV[[#This Row],[PLANO DE CONTAS]],Plano_Contas[[PLANO DE CONTAS]:[NOMES INTERVALOS]],2,0),"")</f>
        <v>Despesas_Com_RH</v>
      </c>
      <c r="Z19" s="523" t="str">
        <f>IF(LANÇ_MOV[[#This Row],[FORMA DE PAGAMENTO]]="","",VLOOKUP(LANÇ_MOV[[#This Row],[FORMA DE PAGAMENTO]],CAD_Forma_pagto[],2,0))</f>
        <v>PIX</v>
      </c>
      <c r="AA19" s="524" t="str">
        <f>IF(LANÇ_MOV[[#This Row],[DATA DE LANÇAMENTO]]="","",TEXT(LANÇ_MOV[[#This Row],[DATA DE LANÇAMENTO]],"AAAA"))</f>
        <v>2025</v>
      </c>
      <c r="AB19" s="524" t="str">
        <f>IF(LANÇ_MOV[[#This Row],[DATA DE LANÇAMENTO]]="","",UPPER(TEXT(LANÇ_MOV[[#This Row],[DATA DE LANÇAMENTO]],"MMMM")))</f>
        <v>OUTUBRO</v>
      </c>
      <c r="AC19" s="525" t="str">
        <f>IF(LANÇ_MOV[[#This Row],[DATA DE LANÇAMENTO]]="","",PROPER(TEXT(LANÇ_MOV[[#This Row],[DATA DE LANÇAMENTO]],"M")))</f>
        <v>10</v>
      </c>
      <c r="AD19" s="524" t="str">
        <f>IF(LANÇ_MOV[[#This Row],[DATA DE LANÇAMENTO]]="","",TEXT(LANÇ_MOV[[#This Row],[DATA DE LANÇAMENTO]],"D"))</f>
        <v>1</v>
      </c>
      <c r="AE19" s="526" t="str">
        <f>IF(LANÇ_MOV[[#This Row],[DATA DE VENCIMENTO]]="","",TEXT(LANÇ_MOV[[#This Row],[DATA DE VENCIMENTO]],"AAAA"))</f>
        <v>2025</v>
      </c>
      <c r="AF19" s="526" t="str">
        <f>IF(LANÇ_MOV[[#This Row],[DATA DE VENCIMENTO]]="","",UPPER(TEXT(LANÇ_MOV[[#This Row],[DATA DE VENCIMENTO]],"MMMM")))</f>
        <v>DEZEMBRO</v>
      </c>
      <c r="AG19" s="526" t="str">
        <f>IF(LANÇ_MOV[[#This Row],[DATA DE VENCIMENTO]]="","",TEXT(LANÇ_MOV[[#This Row],[DATA DE VENCIMENTO]],"M"))</f>
        <v>12</v>
      </c>
      <c r="AH19" s="526" t="str">
        <f>IF(LANÇ_MOV[[#This Row],[DATA DE VENCIMENTO]]="","",TEXT(LANÇ_MOV[[#This Row],[DATA DE VENCIMENTO]],"D"))</f>
        <v>5</v>
      </c>
      <c r="AI19" s="526" t="str">
        <f>IF(LANÇ_MOV[[#This Row],[DATA DE PAGAMENTO]]="","",TEXT(LANÇ_MOV[[#This Row],[DATA DE PAGAMENTO]],"AAAA"))</f>
        <v/>
      </c>
      <c r="AJ19" s="527" t="str">
        <f>IF(LANÇ_MOV[[#This Row],[DATA DE PAGAMENTO]]="","",UPPER(TEXT(LANÇ_MOV[[#This Row],[DATA DE PAGAMENTO]],"MMMM")))</f>
        <v/>
      </c>
      <c r="AK19" s="527" t="str">
        <f>IF(LANÇ_MOV[[#This Row],[DATA DE PAGAMENTO]]="","",TEXT(LANÇ_MOV[[#This Row],[DATA DE PAGAMENTO]],"M"))</f>
        <v/>
      </c>
      <c r="AL19" s="526" t="str">
        <f>IF(LANÇ_MOV[[#This Row],[DATA DE PAGAMENTO]]="","",TEXT(LANÇ_MOV[[#This Row],[DATA DE PAGAMENTO]],"D"))</f>
        <v/>
      </c>
      <c r="AM19" s="27"/>
      <c r="BA19" s="112"/>
      <c r="BB19" s="112"/>
      <c r="BC19" s="112"/>
      <c r="BD19" s="112"/>
    </row>
    <row r="20" spans="2:56" ht="30.05" customHeight="1" x14ac:dyDescent="0.35">
      <c r="B20" s="506">
        <v>45931</v>
      </c>
      <c r="C20" s="507" t="s">
        <v>1661</v>
      </c>
      <c r="D20" s="508" t="s">
        <v>1854</v>
      </c>
      <c r="E20" s="509" t="s">
        <v>228</v>
      </c>
      <c r="F20" s="510" t="s">
        <v>1641</v>
      </c>
      <c r="G20" s="507"/>
      <c r="H20" s="511">
        <v>0</v>
      </c>
      <c r="I20" s="512" t="s">
        <v>1758</v>
      </c>
      <c r="J20" s="518">
        <v>1000</v>
      </c>
      <c r="K20" s="513">
        <v>0</v>
      </c>
      <c r="L20" s="513">
        <v>0</v>
      </c>
      <c r="M20" s="513">
        <v>0</v>
      </c>
      <c r="N20" s="514">
        <f>LANÇ_MOV[[#This Row],[VALOR BRUTO]]-LANÇ_MOV[[#This Row],[DESCONTO]]+LANÇ_MOV[[#This Row],[JUROS]]+LANÇ_MOV[[#This Row],[MULTA]]</f>
        <v>1000</v>
      </c>
      <c r="O20" s="528">
        <v>45991</v>
      </c>
      <c r="P20" s="516" t="str">
        <f t="shared" ca="1" si="0"/>
        <v>Prazo - Menos de 10 dias</v>
      </c>
      <c r="Q20" s="530"/>
      <c r="R20" s="531" t="s">
        <v>1564</v>
      </c>
      <c r="S20" s="531"/>
      <c r="T20" s="531" t="s">
        <v>1776</v>
      </c>
      <c r="U20" s="519" t="s">
        <v>2008</v>
      </c>
      <c r="V20" s="520" t="str">
        <f>IFERROR(VLOOKUP(LANÇ_MOV[[#This Row],[PLANO DE CONTAS]],Plano_Contas[[PLANO DE CONTAS]:[R / D]],3,0),"")</f>
        <v>Despesa</v>
      </c>
      <c r="W20" s="521" t="str">
        <f>IF(LANÇ_MOV[[#This Row],[DATA DE PAGAMENTO]]&lt;&gt;"","Pago","Não Pago")</f>
        <v>Não Pago</v>
      </c>
      <c r="X20" s="522" t="str">
        <f>IFERROR(IF(LANÇ_MOV[[#This Row],[DATA DE PAGAMENTO]]="","",(UPPER(TEXT(LANÇ_MOV[[#This Row],[DATA DE PAGAMENTO]],"mmmm")))),"")</f>
        <v/>
      </c>
      <c r="Y20" s="523" t="str">
        <f>IFERROR(VLOOKUP(LANÇ_MOV[[#This Row],[PLANO DE CONTAS]],Plano_Contas[[PLANO DE CONTAS]:[NOMES INTERVALOS]],2,0),"")</f>
        <v>Despesas_Com_RH</v>
      </c>
      <c r="Z20" s="523" t="str">
        <f>IF(LANÇ_MOV[[#This Row],[FORMA DE PAGAMENTO]]="","",VLOOKUP(LANÇ_MOV[[#This Row],[FORMA DE PAGAMENTO]],CAD_Forma_pagto[],2,0))</f>
        <v>PIX</v>
      </c>
      <c r="AA20" s="524" t="str">
        <f>IF(LANÇ_MOV[[#This Row],[DATA DE LANÇAMENTO]]="","",TEXT(LANÇ_MOV[[#This Row],[DATA DE LANÇAMENTO]],"AAAA"))</f>
        <v>2025</v>
      </c>
      <c r="AB20" s="524" t="str">
        <f>IF(LANÇ_MOV[[#This Row],[DATA DE LANÇAMENTO]]="","",UPPER(TEXT(LANÇ_MOV[[#This Row],[DATA DE LANÇAMENTO]],"MMMM")))</f>
        <v>OUTUBRO</v>
      </c>
      <c r="AC20" s="525" t="str">
        <f>IF(LANÇ_MOV[[#This Row],[DATA DE LANÇAMENTO]]="","",PROPER(TEXT(LANÇ_MOV[[#This Row],[DATA DE LANÇAMENTO]],"M")))</f>
        <v>10</v>
      </c>
      <c r="AD20" s="524" t="str">
        <f>IF(LANÇ_MOV[[#This Row],[DATA DE LANÇAMENTO]]="","",TEXT(LANÇ_MOV[[#This Row],[DATA DE LANÇAMENTO]],"D"))</f>
        <v>1</v>
      </c>
      <c r="AE20" s="526" t="str">
        <f>IF(LANÇ_MOV[[#This Row],[DATA DE VENCIMENTO]]="","",TEXT(LANÇ_MOV[[#This Row],[DATA DE VENCIMENTO]],"AAAA"))</f>
        <v>2025</v>
      </c>
      <c r="AF20" s="526" t="str">
        <f>IF(LANÇ_MOV[[#This Row],[DATA DE VENCIMENTO]]="","",UPPER(TEXT(LANÇ_MOV[[#This Row],[DATA DE VENCIMENTO]],"MMMM")))</f>
        <v>NOVEMBRO</v>
      </c>
      <c r="AG20" s="526" t="str">
        <f>IF(LANÇ_MOV[[#This Row],[DATA DE VENCIMENTO]]="","",TEXT(LANÇ_MOV[[#This Row],[DATA DE VENCIMENTO]],"M"))</f>
        <v>11</v>
      </c>
      <c r="AH20" s="526" t="str">
        <f>IF(LANÇ_MOV[[#This Row],[DATA DE VENCIMENTO]]="","",TEXT(LANÇ_MOV[[#This Row],[DATA DE VENCIMENTO]],"D"))</f>
        <v>30</v>
      </c>
      <c r="AI20" s="526" t="str">
        <f>IF(LANÇ_MOV[[#This Row],[DATA DE PAGAMENTO]]="","",TEXT(LANÇ_MOV[[#This Row],[DATA DE PAGAMENTO]],"AAAA"))</f>
        <v/>
      </c>
      <c r="AJ20" s="527" t="str">
        <f>IF(LANÇ_MOV[[#This Row],[DATA DE PAGAMENTO]]="","",UPPER(TEXT(LANÇ_MOV[[#This Row],[DATA DE PAGAMENTO]],"MMMM")))</f>
        <v/>
      </c>
      <c r="AK20" s="527" t="str">
        <f>IF(LANÇ_MOV[[#This Row],[DATA DE PAGAMENTO]]="","",TEXT(LANÇ_MOV[[#This Row],[DATA DE PAGAMENTO]],"M"))</f>
        <v/>
      </c>
      <c r="AL20" s="526" t="str">
        <f>IF(LANÇ_MOV[[#This Row],[DATA DE PAGAMENTO]]="","",TEXT(LANÇ_MOV[[#This Row],[DATA DE PAGAMENTO]],"D"))</f>
        <v/>
      </c>
      <c r="AM20" s="27"/>
      <c r="BA20" s="112"/>
      <c r="BB20" s="112"/>
      <c r="BC20" s="112"/>
      <c r="BD20" s="112"/>
    </row>
    <row r="21" spans="2:56" ht="30.05" customHeight="1" x14ac:dyDescent="0.35">
      <c r="B21" s="506">
        <v>45931</v>
      </c>
      <c r="C21" s="507" t="s">
        <v>1661</v>
      </c>
      <c r="D21" s="508" t="s">
        <v>1854</v>
      </c>
      <c r="E21" s="509" t="s">
        <v>228</v>
      </c>
      <c r="F21" s="510" t="s">
        <v>1642</v>
      </c>
      <c r="G21" s="507"/>
      <c r="H21" s="511">
        <v>0</v>
      </c>
      <c r="I21" s="512" t="s">
        <v>1758</v>
      </c>
      <c r="J21" s="510">
        <v>1000</v>
      </c>
      <c r="K21" s="513">
        <v>0</v>
      </c>
      <c r="L21" s="513">
        <v>0</v>
      </c>
      <c r="M21" s="513">
        <v>0</v>
      </c>
      <c r="N21" s="514">
        <f>LANÇ_MOV[[#This Row],[VALOR BRUTO]]-LANÇ_MOV[[#This Row],[DESCONTO]]+LANÇ_MOV[[#This Row],[JUROS]]+LANÇ_MOV[[#This Row],[MULTA]]</f>
        <v>1000</v>
      </c>
      <c r="O21" s="528">
        <v>46011</v>
      </c>
      <c r="P21" s="516" t="str">
        <f t="shared" ca="1" si="0"/>
        <v>Prazo - Menos de 1 Mês</v>
      </c>
      <c r="Q21" s="530"/>
      <c r="R21" s="531" t="s">
        <v>1564</v>
      </c>
      <c r="S21" s="531"/>
      <c r="T21" s="531" t="s">
        <v>1776</v>
      </c>
      <c r="U21" s="519" t="s">
        <v>2008</v>
      </c>
      <c r="V21" s="520" t="str">
        <f>IFERROR(VLOOKUP(LANÇ_MOV[[#This Row],[PLANO DE CONTAS]],Plano_Contas[[PLANO DE CONTAS]:[R / D]],3,0),"")</f>
        <v>Despesa</v>
      </c>
      <c r="W21" s="521" t="str">
        <f>IF(LANÇ_MOV[[#This Row],[DATA DE PAGAMENTO]]&lt;&gt;"","Pago","Não Pago")</f>
        <v>Não Pago</v>
      </c>
      <c r="X21" s="522" t="str">
        <f>IFERROR(IF(LANÇ_MOV[[#This Row],[DATA DE PAGAMENTO]]="","",(UPPER(TEXT(LANÇ_MOV[[#This Row],[DATA DE PAGAMENTO]],"mmmm")))),"")</f>
        <v/>
      </c>
      <c r="Y21" s="523" t="str">
        <f>IFERROR(VLOOKUP(LANÇ_MOV[[#This Row],[PLANO DE CONTAS]],Plano_Contas[[PLANO DE CONTAS]:[NOMES INTERVALOS]],2,0),"")</f>
        <v>Despesas_Com_RH</v>
      </c>
      <c r="Z21" s="523" t="str">
        <f>IF(LANÇ_MOV[[#This Row],[FORMA DE PAGAMENTO]]="","",VLOOKUP(LANÇ_MOV[[#This Row],[FORMA DE PAGAMENTO]],CAD_Forma_pagto[],2,0))</f>
        <v>PIX</v>
      </c>
      <c r="AA21" s="524" t="str">
        <f>IF(LANÇ_MOV[[#This Row],[DATA DE LANÇAMENTO]]="","",TEXT(LANÇ_MOV[[#This Row],[DATA DE LANÇAMENTO]],"AAAA"))</f>
        <v>2025</v>
      </c>
      <c r="AB21" s="524" t="str">
        <f>IF(LANÇ_MOV[[#This Row],[DATA DE LANÇAMENTO]]="","",UPPER(TEXT(LANÇ_MOV[[#This Row],[DATA DE LANÇAMENTO]],"MMMM")))</f>
        <v>OUTUBRO</v>
      </c>
      <c r="AC21" s="525" t="str">
        <f>IF(LANÇ_MOV[[#This Row],[DATA DE LANÇAMENTO]]="","",PROPER(TEXT(LANÇ_MOV[[#This Row],[DATA DE LANÇAMENTO]],"M")))</f>
        <v>10</v>
      </c>
      <c r="AD21" s="524" t="str">
        <f>IF(LANÇ_MOV[[#This Row],[DATA DE LANÇAMENTO]]="","",TEXT(LANÇ_MOV[[#This Row],[DATA DE LANÇAMENTO]],"D"))</f>
        <v>1</v>
      </c>
      <c r="AE21" s="526" t="str">
        <f>IF(LANÇ_MOV[[#This Row],[DATA DE VENCIMENTO]]="","",TEXT(LANÇ_MOV[[#This Row],[DATA DE VENCIMENTO]],"AAAA"))</f>
        <v>2025</v>
      </c>
      <c r="AF21" s="526" t="str">
        <f>IF(LANÇ_MOV[[#This Row],[DATA DE VENCIMENTO]]="","",UPPER(TEXT(LANÇ_MOV[[#This Row],[DATA DE VENCIMENTO]],"MMMM")))</f>
        <v>DEZEMBRO</v>
      </c>
      <c r="AG21" s="526" t="str">
        <f>IF(LANÇ_MOV[[#This Row],[DATA DE VENCIMENTO]]="","",TEXT(LANÇ_MOV[[#This Row],[DATA DE VENCIMENTO]],"M"))</f>
        <v>12</v>
      </c>
      <c r="AH21" s="526" t="str">
        <f>IF(LANÇ_MOV[[#This Row],[DATA DE VENCIMENTO]]="","",TEXT(LANÇ_MOV[[#This Row],[DATA DE VENCIMENTO]],"D"))</f>
        <v>20</v>
      </c>
      <c r="AI21" s="526" t="str">
        <f>IF(LANÇ_MOV[[#This Row],[DATA DE PAGAMENTO]]="","",TEXT(LANÇ_MOV[[#This Row],[DATA DE PAGAMENTO]],"AAAA"))</f>
        <v/>
      </c>
      <c r="AJ21" s="527" t="str">
        <f>IF(LANÇ_MOV[[#This Row],[DATA DE PAGAMENTO]]="","",UPPER(TEXT(LANÇ_MOV[[#This Row],[DATA DE PAGAMENTO]],"MMMM")))</f>
        <v/>
      </c>
      <c r="AK21" s="527" t="str">
        <f>IF(LANÇ_MOV[[#This Row],[DATA DE PAGAMENTO]]="","",TEXT(LANÇ_MOV[[#This Row],[DATA DE PAGAMENTO]],"M"))</f>
        <v/>
      </c>
      <c r="AL21" s="526" t="str">
        <f>IF(LANÇ_MOV[[#This Row],[DATA DE PAGAMENTO]]="","",TEXT(LANÇ_MOV[[#This Row],[DATA DE PAGAMENTO]],"D"))</f>
        <v/>
      </c>
      <c r="AM21" s="27"/>
      <c r="BA21" s="112"/>
      <c r="BB21" s="112"/>
      <c r="BC21" s="112"/>
      <c r="BD21" s="112"/>
    </row>
    <row r="22" spans="2:56" ht="30.05" customHeight="1" x14ac:dyDescent="0.35">
      <c r="B22" s="506">
        <v>45931</v>
      </c>
      <c r="C22" s="507" t="s">
        <v>1661</v>
      </c>
      <c r="D22" s="508" t="s">
        <v>1854</v>
      </c>
      <c r="E22" s="509" t="s">
        <v>228</v>
      </c>
      <c r="F22" s="510" t="s">
        <v>1492</v>
      </c>
      <c r="G22" s="507"/>
      <c r="H22" s="511">
        <v>0</v>
      </c>
      <c r="I22" s="512" t="s">
        <v>1758</v>
      </c>
      <c r="J22" s="510">
        <v>1000</v>
      </c>
      <c r="K22" s="513">
        <v>0</v>
      </c>
      <c r="L22" s="513">
        <v>0</v>
      </c>
      <c r="M22" s="513">
        <v>0</v>
      </c>
      <c r="N22" s="514">
        <f>LANÇ_MOV[[#This Row],[VALOR BRUTO]]-LANÇ_MOV[[#This Row],[DESCONTO]]+LANÇ_MOV[[#This Row],[JUROS]]+LANÇ_MOV[[#This Row],[MULTA]]</f>
        <v>1000</v>
      </c>
      <c r="O22" s="528">
        <v>45996</v>
      </c>
      <c r="P22" s="516" t="str">
        <f t="shared" ca="1" si="0"/>
        <v>Prazo - Menos de 10 dias</v>
      </c>
      <c r="Q22" s="530"/>
      <c r="R22" s="531" t="s">
        <v>1564</v>
      </c>
      <c r="S22" s="531"/>
      <c r="T22" s="531" t="s">
        <v>1776</v>
      </c>
      <c r="U22" s="519" t="s">
        <v>2008</v>
      </c>
      <c r="V22" s="520" t="str">
        <f>IFERROR(VLOOKUP(LANÇ_MOV[[#This Row],[PLANO DE CONTAS]],Plano_Contas[[PLANO DE CONTAS]:[R / D]],3,0),"")</f>
        <v>Despesa</v>
      </c>
      <c r="W22" s="521" t="str">
        <f>IF(LANÇ_MOV[[#This Row],[DATA DE PAGAMENTO]]&lt;&gt;"","Pago","Não Pago")</f>
        <v>Não Pago</v>
      </c>
      <c r="X22" s="522" t="str">
        <f>IFERROR(IF(LANÇ_MOV[[#This Row],[DATA DE PAGAMENTO]]="","",(UPPER(TEXT(LANÇ_MOV[[#This Row],[DATA DE PAGAMENTO]],"mmmm")))),"")</f>
        <v/>
      </c>
      <c r="Y22" s="523" t="str">
        <f>IFERROR(VLOOKUP(LANÇ_MOV[[#This Row],[PLANO DE CONTAS]],Plano_Contas[[PLANO DE CONTAS]:[NOMES INTERVALOS]],2,0),"")</f>
        <v>Despesas_Com_RH</v>
      </c>
      <c r="Z22" s="523" t="str">
        <f>IF(LANÇ_MOV[[#This Row],[FORMA DE PAGAMENTO]]="","",VLOOKUP(LANÇ_MOV[[#This Row],[FORMA DE PAGAMENTO]],CAD_Forma_pagto[],2,0))</f>
        <v>PIX</v>
      </c>
      <c r="AA22" s="524" t="str">
        <f>IF(LANÇ_MOV[[#This Row],[DATA DE LANÇAMENTO]]="","",TEXT(LANÇ_MOV[[#This Row],[DATA DE LANÇAMENTO]],"AAAA"))</f>
        <v>2025</v>
      </c>
      <c r="AB22" s="524" t="str">
        <f>IF(LANÇ_MOV[[#This Row],[DATA DE LANÇAMENTO]]="","",UPPER(TEXT(LANÇ_MOV[[#This Row],[DATA DE LANÇAMENTO]],"MMMM")))</f>
        <v>OUTUBRO</v>
      </c>
      <c r="AC22" s="525" t="str">
        <f>IF(LANÇ_MOV[[#This Row],[DATA DE LANÇAMENTO]]="","",PROPER(TEXT(LANÇ_MOV[[#This Row],[DATA DE LANÇAMENTO]],"M")))</f>
        <v>10</v>
      </c>
      <c r="AD22" s="524" t="str">
        <f>IF(LANÇ_MOV[[#This Row],[DATA DE LANÇAMENTO]]="","",TEXT(LANÇ_MOV[[#This Row],[DATA DE LANÇAMENTO]],"D"))</f>
        <v>1</v>
      </c>
      <c r="AE22" s="526" t="str">
        <f>IF(LANÇ_MOV[[#This Row],[DATA DE VENCIMENTO]]="","",TEXT(LANÇ_MOV[[#This Row],[DATA DE VENCIMENTO]],"AAAA"))</f>
        <v>2025</v>
      </c>
      <c r="AF22" s="526" t="str">
        <f>IF(LANÇ_MOV[[#This Row],[DATA DE VENCIMENTO]]="","",UPPER(TEXT(LANÇ_MOV[[#This Row],[DATA DE VENCIMENTO]],"MMMM")))</f>
        <v>DEZEMBRO</v>
      </c>
      <c r="AG22" s="526" t="str">
        <f>IF(LANÇ_MOV[[#This Row],[DATA DE VENCIMENTO]]="","",TEXT(LANÇ_MOV[[#This Row],[DATA DE VENCIMENTO]],"M"))</f>
        <v>12</v>
      </c>
      <c r="AH22" s="526" t="str">
        <f>IF(LANÇ_MOV[[#This Row],[DATA DE VENCIMENTO]]="","",TEXT(LANÇ_MOV[[#This Row],[DATA DE VENCIMENTO]],"D"))</f>
        <v>5</v>
      </c>
      <c r="AI22" s="526" t="str">
        <f>IF(LANÇ_MOV[[#This Row],[DATA DE PAGAMENTO]]="","",TEXT(LANÇ_MOV[[#This Row],[DATA DE PAGAMENTO]],"AAAA"))</f>
        <v/>
      </c>
      <c r="AJ22" s="527" t="str">
        <f>IF(LANÇ_MOV[[#This Row],[DATA DE PAGAMENTO]]="","",UPPER(TEXT(LANÇ_MOV[[#This Row],[DATA DE PAGAMENTO]],"MMMM")))</f>
        <v/>
      </c>
      <c r="AK22" s="527" t="str">
        <f>IF(LANÇ_MOV[[#This Row],[DATA DE PAGAMENTO]]="","",TEXT(LANÇ_MOV[[#This Row],[DATA DE PAGAMENTO]],"M"))</f>
        <v/>
      </c>
      <c r="AL22" s="526" t="str">
        <f>IF(LANÇ_MOV[[#This Row],[DATA DE PAGAMENTO]]="","",TEXT(LANÇ_MOV[[#This Row],[DATA DE PAGAMENTO]],"D"))</f>
        <v/>
      </c>
      <c r="AM22" s="27"/>
      <c r="BA22" s="112"/>
      <c r="BB22" s="112"/>
      <c r="BC22" s="112"/>
      <c r="BD22" s="112"/>
    </row>
    <row r="23" spans="2:56" ht="30.05" customHeight="1" x14ac:dyDescent="0.35">
      <c r="B23" s="506">
        <v>45931</v>
      </c>
      <c r="C23" s="507" t="s">
        <v>1661</v>
      </c>
      <c r="D23" s="508" t="s">
        <v>1854</v>
      </c>
      <c r="E23" s="509" t="s">
        <v>228</v>
      </c>
      <c r="F23" s="510" t="s">
        <v>1492</v>
      </c>
      <c r="G23" s="507"/>
      <c r="H23" s="511">
        <v>0</v>
      </c>
      <c r="I23" s="512" t="s">
        <v>1758</v>
      </c>
      <c r="J23" s="510">
        <v>1000</v>
      </c>
      <c r="K23" s="513">
        <v>0</v>
      </c>
      <c r="L23" s="513">
        <v>0</v>
      </c>
      <c r="M23" s="513">
        <v>0</v>
      </c>
      <c r="N23" s="514">
        <f>LANÇ_MOV[[#This Row],[VALOR BRUTO]]-LANÇ_MOV[[#This Row],[DESCONTO]]+LANÇ_MOV[[#This Row],[JUROS]]+LANÇ_MOV[[#This Row],[MULTA]]</f>
        <v>1000</v>
      </c>
      <c r="O23" s="528">
        <v>46027</v>
      </c>
      <c r="P23" s="516" t="str">
        <f t="shared" ca="1" si="0"/>
        <v>Prazo - Mais de 1 mês</v>
      </c>
      <c r="Q23" s="530"/>
      <c r="R23" s="531" t="s">
        <v>1564</v>
      </c>
      <c r="S23" s="531"/>
      <c r="T23" s="531" t="s">
        <v>1776</v>
      </c>
      <c r="U23" s="519" t="s">
        <v>2008</v>
      </c>
      <c r="V23" s="520" t="str">
        <f>IFERROR(VLOOKUP(LANÇ_MOV[[#This Row],[PLANO DE CONTAS]],Plano_Contas[[PLANO DE CONTAS]:[R / D]],3,0),"")</f>
        <v>Despesa</v>
      </c>
      <c r="W23" s="521" t="str">
        <f>IF(LANÇ_MOV[[#This Row],[DATA DE PAGAMENTO]]&lt;&gt;"","Pago","Não Pago")</f>
        <v>Não Pago</v>
      </c>
      <c r="X23" s="522" t="str">
        <f>IFERROR(IF(LANÇ_MOV[[#This Row],[DATA DE PAGAMENTO]]="","",(UPPER(TEXT(LANÇ_MOV[[#This Row],[DATA DE PAGAMENTO]],"mmmm")))),"")</f>
        <v/>
      </c>
      <c r="Y23" s="523" t="str">
        <f>IFERROR(VLOOKUP(LANÇ_MOV[[#This Row],[PLANO DE CONTAS]],Plano_Contas[[PLANO DE CONTAS]:[NOMES INTERVALOS]],2,0),"")</f>
        <v>Despesas_Com_RH</v>
      </c>
      <c r="Z23" s="523" t="str">
        <f>IF(LANÇ_MOV[[#This Row],[FORMA DE PAGAMENTO]]="","",VLOOKUP(LANÇ_MOV[[#This Row],[FORMA DE PAGAMENTO]],CAD_Forma_pagto[],2,0))</f>
        <v>PIX</v>
      </c>
      <c r="AA23" s="524" t="str">
        <f>IF(LANÇ_MOV[[#This Row],[DATA DE LANÇAMENTO]]="","",TEXT(LANÇ_MOV[[#This Row],[DATA DE LANÇAMENTO]],"AAAA"))</f>
        <v>2025</v>
      </c>
      <c r="AB23" s="524" t="str">
        <f>IF(LANÇ_MOV[[#This Row],[DATA DE LANÇAMENTO]]="","",UPPER(TEXT(LANÇ_MOV[[#This Row],[DATA DE LANÇAMENTO]],"MMMM")))</f>
        <v>OUTUBRO</v>
      </c>
      <c r="AC23" s="525" t="str">
        <f>IF(LANÇ_MOV[[#This Row],[DATA DE LANÇAMENTO]]="","",PROPER(TEXT(LANÇ_MOV[[#This Row],[DATA DE LANÇAMENTO]],"M")))</f>
        <v>10</v>
      </c>
      <c r="AD23" s="524" t="str">
        <f>IF(LANÇ_MOV[[#This Row],[DATA DE LANÇAMENTO]]="","",TEXT(LANÇ_MOV[[#This Row],[DATA DE LANÇAMENTO]],"D"))</f>
        <v>1</v>
      </c>
      <c r="AE23" s="526" t="str">
        <f>IF(LANÇ_MOV[[#This Row],[DATA DE VENCIMENTO]]="","",TEXT(LANÇ_MOV[[#This Row],[DATA DE VENCIMENTO]],"AAAA"))</f>
        <v>2026</v>
      </c>
      <c r="AF23" s="526" t="str">
        <f>IF(LANÇ_MOV[[#This Row],[DATA DE VENCIMENTO]]="","",UPPER(TEXT(LANÇ_MOV[[#This Row],[DATA DE VENCIMENTO]],"MMMM")))</f>
        <v>JANEIRO</v>
      </c>
      <c r="AG23" s="526" t="str">
        <f>IF(LANÇ_MOV[[#This Row],[DATA DE VENCIMENTO]]="","",TEXT(LANÇ_MOV[[#This Row],[DATA DE VENCIMENTO]],"M"))</f>
        <v>1</v>
      </c>
      <c r="AH23" s="526" t="str">
        <f>IF(LANÇ_MOV[[#This Row],[DATA DE VENCIMENTO]]="","",TEXT(LANÇ_MOV[[#This Row],[DATA DE VENCIMENTO]],"D"))</f>
        <v>5</v>
      </c>
      <c r="AI23" s="526" t="str">
        <f>IF(LANÇ_MOV[[#This Row],[DATA DE PAGAMENTO]]="","",TEXT(LANÇ_MOV[[#This Row],[DATA DE PAGAMENTO]],"AAAA"))</f>
        <v/>
      </c>
      <c r="AJ23" s="527" t="str">
        <f>IF(LANÇ_MOV[[#This Row],[DATA DE PAGAMENTO]]="","",UPPER(TEXT(LANÇ_MOV[[#This Row],[DATA DE PAGAMENTO]],"MMMM")))</f>
        <v/>
      </c>
      <c r="AK23" s="527" t="str">
        <f>IF(LANÇ_MOV[[#This Row],[DATA DE PAGAMENTO]]="","",TEXT(LANÇ_MOV[[#This Row],[DATA DE PAGAMENTO]],"M"))</f>
        <v/>
      </c>
      <c r="AL23" s="526" t="str">
        <f>IF(LANÇ_MOV[[#This Row],[DATA DE PAGAMENTO]]="","",TEXT(LANÇ_MOV[[#This Row],[DATA DE PAGAMENTO]],"D"))</f>
        <v/>
      </c>
      <c r="AM23" s="27"/>
      <c r="BA23" s="112"/>
      <c r="BB23" s="112"/>
      <c r="BC23" s="112"/>
      <c r="BD23" s="112"/>
    </row>
    <row r="24" spans="2:56" ht="30.05" customHeight="1" x14ac:dyDescent="0.35">
      <c r="B24" s="506">
        <v>45931</v>
      </c>
      <c r="C24" s="507" t="s">
        <v>1661</v>
      </c>
      <c r="D24" s="508" t="s">
        <v>1854</v>
      </c>
      <c r="E24" s="509" t="s">
        <v>228</v>
      </c>
      <c r="F24" s="510" t="s">
        <v>1492</v>
      </c>
      <c r="G24" s="507"/>
      <c r="H24" s="511">
        <v>0</v>
      </c>
      <c r="I24" s="512" t="s">
        <v>1758</v>
      </c>
      <c r="J24" s="510">
        <v>1000</v>
      </c>
      <c r="K24" s="513">
        <v>0</v>
      </c>
      <c r="L24" s="513">
        <v>0</v>
      </c>
      <c r="M24" s="513">
        <v>0</v>
      </c>
      <c r="N24" s="514">
        <f>LANÇ_MOV[[#This Row],[VALOR BRUTO]]-LANÇ_MOV[[#This Row],[DESCONTO]]+LANÇ_MOV[[#This Row],[JUROS]]+LANÇ_MOV[[#This Row],[MULTA]]</f>
        <v>1000</v>
      </c>
      <c r="O24" s="528">
        <v>46058</v>
      </c>
      <c r="P24" s="516" t="str">
        <f t="shared" ca="1" si="0"/>
        <v>Prazo - Mais de 1 mês</v>
      </c>
      <c r="Q24" s="530"/>
      <c r="R24" s="531" t="s">
        <v>1564</v>
      </c>
      <c r="S24" s="531"/>
      <c r="T24" s="531" t="s">
        <v>1776</v>
      </c>
      <c r="U24" s="519" t="s">
        <v>2008</v>
      </c>
      <c r="V24" s="520" t="str">
        <f>IFERROR(VLOOKUP(LANÇ_MOV[[#This Row],[PLANO DE CONTAS]],Plano_Contas[[PLANO DE CONTAS]:[R / D]],3,0),"")</f>
        <v>Despesa</v>
      </c>
      <c r="W24" s="521" t="str">
        <f>IF(LANÇ_MOV[[#This Row],[DATA DE PAGAMENTO]]&lt;&gt;"","Pago","Não Pago")</f>
        <v>Não Pago</v>
      </c>
      <c r="X24" s="522" t="str">
        <f>IFERROR(IF(LANÇ_MOV[[#This Row],[DATA DE PAGAMENTO]]="","",(UPPER(TEXT(LANÇ_MOV[[#This Row],[DATA DE PAGAMENTO]],"mmmm")))),"")</f>
        <v/>
      </c>
      <c r="Y24" s="523" t="str">
        <f>IFERROR(VLOOKUP(LANÇ_MOV[[#This Row],[PLANO DE CONTAS]],Plano_Contas[[PLANO DE CONTAS]:[NOMES INTERVALOS]],2,0),"")</f>
        <v>Despesas_Com_RH</v>
      </c>
      <c r="Z24" s="523" t="str">
        <f>IF(LANÇ_MOV[[#This Row],[FORMA DE PAGAMENTO]]="","",VLOOKUP(LANÇ_MOV[[#This Row],[FORMA DE PAGAMENTO]],CAD_Forma_pagto[],2,0))</f>
        <v>PIX</v>
      </c>
      <c r="AA24" s="524" t="str">
        <f>IF(LANÇ_MOV[[#This Row],[DATA DE LANÇAMENTO]]="","",TEXT(LANÇ_MOV[[#This Row],[DATA DE LANÇAMENTO]],"AAAA"))</f>
        <v>2025</v>
      </c>
      <c r="AB24" s="524" t="str">
        <f>IF(LANÇ_MOV[[#This Row],[DATA DE LANÇAMENTO]]="","",UPPER(TEXT(LANÇ_MOV[[#This Row],[DATA DE LANÇAMENTO]],"MMMM")))</f>
        <v>OUTUBRO</v>
      </c>
      <c r="AC24" s="525" t="str">
        <f>IF(LANÇ_MOV[[#This Row],[DATA DE LANÇAMENTO]]="","",PROPER(TEXT(LANÇ_MOV[[#This Row],[DATA DE LANÇAMENTO]],"M")))</f>
        <v>10</v>
      </c>
      <c r="AD24" s="524" t="str">
        <f>IF(LANÇ_MOV[[#This Row],[DATA DE LANÇAMENTO]]="","",TEXT(LANÇ_MOV[[#This Row],[DATA DE LANÇAMENTO]],"D"))</f>
        <v>1</v>
      </c>
      <c r="AE24" s="526" t="str">
        <f>IF(LANÇ_MOV[[#This Row],[DATA DE VENCIMENTO]]="","",TEXT(LANÇ_MOV[[#This Row],[DATA DE VENCIMENTO]],"AAAA"))</f>
        <v>2026</v>
      </c>
      <c r="AF24" s="526" t="str">
        <f>IF(LANÇ_MOV[[#This Row],[DATA DE VENCIMENTO]]="","",UPPER(TEXT(LANÇ_MOV[[#This Row],[DATA DE VENCIMENTO]],"MMMM")))</f>
        <v>FEVEREIRO</v>
      </c>
      <c r="AG24" s="526" t="str">
        <f>IF(LANÇ_MOV[[#This Row],[DATA DE VENCIMENTO]]="","",TEXT(LANÇ_MOV[[#This Row],[DATA DE VENCIMENTO]],"M"))</f>
        <v>2</v>
      </c>
      <c r="AH24" s="526" t="str">
        <f>IF(LANÇ_MOV[[#This Row],[DATA DE VENCIMENTO]]="","",TEXT(LANÇ_MOV[[#This Row],[DATA DE VENCIMENTO]],"D"))</f>
        <v>5</v>
      </c>
      <c r="AI24" s="526" t="str">
        <f>IF(LANÇ_MOV[[#This Row],[DATA DE PAGAMENTO]]="","",TEXT(LANÇ_MOV[[#This Row],[DATA DE PAGAMENTO]],"AAAA"))</f>
        <v/>
      </c>
      <c r="AJ24" s="527" t="str">
        <f>IF(LANÇ_MOV[[#This Row],[DATA DE PAGAMENTO]]="","",UPPER(TEXT(LANÇ_MOV[[#This Row],[DATA DE PAGAMENTO]],"MMMM")))</f>
        <v/>
      </c>
      <c r="AK24" s="527" t="str">
        <f>IF(LANÇ_MOV[[#This Row],[DATA DE PAGAMENTO]]="","",TEXT(LANÇ_MOV[[#This Row],[DATA DE PAGAMENTO]],"M"))</f>
        <v/>
      </c>
      <c r="AL24" s="526" t="str">
        <f>IF(LANÇ_MOV[[#This Row],[DATA DE PAGAMENTO]]="","",TEXT(LANÇ_MOV[[#This Row],[DATA DE PAGAMENTO]],"D"))</f>
        <v/>
      </c>
      <c r="AM24" s="27"/>
      <c r="BA24" s="112"/>
      <c r="BB24" s="112"/>
      <c r="BC24" s="112"/>
      <c r="BD24" s="112"/>
    </row>
    <row r="25" spans="2:56" ht="30.05" customHeight="1" x14ac:dyDescent="0.35">
      <c r="B25" s="506">
        <v>45931</v>
      </c>
      <c r="C25" s="507" t="s">
        <v>1661</v>
      </c>
      <c r="D25" s="508" t="s">
        <v>1854</v>
      </c>
      <c r="E25" s="509" t="s">
        <v>228</v>
      </c>
      <c r="F25" s="510" t="s">
        <v>1492</v>
      </c>
      <c r="G25" s="507"/>
      <c r="H25" s="511">
        <v>0</v>
      </c>
      <c r="I25" s="512" t="s">
        <v>1758</v>
      </c>
      <c r="J25" s="510">
        <v>1000</v>
      </c>
      <c r="K25" s="513">
        <v>0</v>
      </c>
      <c r="L25" s="513">
        <v>0</v>
      </c>
      <c r="M25" s="513">
        <v>0</v>
      </c>
      <c r="N25" s="514">
        <f>LANÇ_MOV[[#This Row],[VALOR BRUTO]]-LANÇ_MOV[[#This Row],[DESCONTO]]+LANÇ_MOV[[#This Row],[JUROS]]+LANÇ_MOV[[#This Row],[MULTA]]</f>
        <v>1000</v>
      </c>
      <c r="O25" s="528">
        <v>46086</v>
      </c>
      <c r="P25" s="516" t="str">
        <f t="shared" ca="1" si="0"/>
        <v>Prazo - Mais de 1 mês</v>
      </c>
      <c r="Q25" s="530"/>
      <c r="R25" s="531" t="s">
        <v>1564</v>
      </c>
      <c r="S25" s="518"/>
      <c r="T25" s="531" t="s">
        <v>1776</v>
      </c>
      <c r="U25" s="519" t="s">
        <v>2008</v>
      </c>
      <c r="V25" s="520" t="str">
        <f>IFERROR(VLOOKUP(LANÇ_MOV[[#This Row],[PLANO DE CONTAS]],Plano_Contas[[PLANO DE CONTAS]:[R / D]],3,0),"")</f>
        <v>Despesa</v>
      </c>
      <c r="W25" s="521" t="str">
        <f>IF(LANÇ_MOV[[#This Row],[DATA DE PAGAMENTO]]&lt;&gt;"","Pago","Não Pago")</f>
        <v>Não Pago</v>
      </c>
      <c r="X25" s="522" t="str">
        <f>IFERROR(IF(LANÇ_MOV[[#This Row],[DATA DE PAGAMENTO]]="","",(UPPER(TEXT(LANÇ_MOV[[#This Row],[DATA DE PAGAMENTO]],"mmmm")))),"")</f>
        <v/>
      </c>
      <c r="Y25" s="523" t="str">
        <f>IFERROR(VLOOKUP(LANÇ_MOV[[#This Row],[PLANO DE CONTAS]],Plano_Contas[[PLANO DE CONTAS]:[NOMES INTERVALOS]],2,0),"")</f>
        <v>Despesas_Com_RH</v>
      </c>
      <c r="Z25" s="523" t="str">
        <f>IF(LANÇ_MOV[[#This Row],[FORMA DE PAGAMENTO]]="","",VLOOKUP(LANÇ_MOV[[#This Row],[FORMA DE PAGAMENTO]],CAD_Forma_pagto[],2,0))</f>
        <v>PIX</v>
      </c>
      <c r="AA25" s="524" t="str">
        <f>IF(LANÇ_MOV[[#This Row],[DATA DE LANÇAMENTO]]="","",TEXT(LANÇ_MOV[[#This Row],[DATA DE LANÇAMENTO]],"AAAA"))</f>
        <v>2025</v>
      </c>
      <c r="AB25" s="524" t="str">
        <f>IF(LANÇ_MOV[[#This Row],[DATA DE LANÇAMENTO]]="","",UPPER(TEXT(LANÇ_MOV[[#This Row],[DATA DE LANÇAMENTO]],"MMMM")))</f>
        <v>OUTUBRO</v>
      </c>
      <c r="AC25" s="525" t="str">
        <f>IF(LANÇ_MOV[[#This Row],[DATA DE LANÇAMENTO]]="","",PROPER(TEXT(LANÇ_MOV[[#This Row],[DATA DE LANÇAMENTO]],"M")))</f>
        <v>10</v>
      </c>
      <c r="AD25" s="524" t="str">
        <f>IF(LANÇ_MOV[[#This Row],[DATA DE LANÇAMENTO]]="","",TEXT(LANÇ_MOV[[#This Row],[DATA DE LANÇAMENTO]],"D"))</f>
        <v>1</v>
      </c>
      <c r="AE25" s="526" t="str">
        <f>IF(LANÇ_MOV[[#This Row],[DATA DE VENCIMENTO]]="","",TEXT(LANÇ_MOV[[#This Row],[DATA DE VENCIMENTO]],"AAAA"))</f>
        <v>2026</v>
      </c>
      <c r="AF25" s="526" t="str">
        <f>IF(LANÇ_MOV[[#This Row],[DATA DE VENCIMENTO]]="","",UPPER(TEXT(LANÇ_MOV[[#This Row],[DATA DE VENCIMENTO]],"MMMM")))</f>
        <v>MARÇO</v>
      </c>
      <c r="AG25" s="526" t="str">
        <f>IF(LANÇ_MOV[[#This Row],[DATA DE VENCIMENTO]]="","",TEXT(LANÇ_MOV[[#This Row],[DATA DE VENCIMENTO]],"M"))</f>
        <v>3</v>
      </c>
      <c r="AH25" s="526" t="str">
        <f>IF(LANÇ_MOV[[#This Row],[DATA DE VENCIMENTO]]="","",TEXT(LANÇ_MOV[[#This Row],[DATA DE VENCIMENTO]],"D"))</f>
        <v>5</v>
      </c>
      <c r="AI25" s="526" t="str">
        <f>IF(LANÇ_MOV[[#This Row],[DATA DE PAGAMENTO]]="","",TEXT(LANÇ_MOV[[#This Row],[DATA DE PAGAMENTO]],"AAAA"))</f>
        <v/>
      </c>
      <c r="AJ25" s="527" t="str">
        <f>IF(LANÇ_MOV[[#This Row],[DATA DE PAGAMENTO]]="","",UPPER(TEXT(LANÇ_MOV[[#This Row],[DATA DE PAGAMENTO]],"MMMM")))</f>
        <v/>
      </c>
      <c r="AK25" s="527" t="str">
        <f>IF(LANÇ_MOV[[#This Row],[DATA DE PAGAMENTO]]="","",TEXT(LANÇ_MOV[[#This Row],[DATA DE PAGAMENTO]],"M"))</f>
        <v/>
      </c>
      <c r="AL25" s="526" t="str">
        <f>IF(LANÇ_MOV[[#This Row],[DATA DE PAGAMENTO]]="","",TEXT(LANÇ_MOV[[#This Row],[DATA DE PAGAMENTO]],"D"))</f>
        <v/>
      </c>
      <c r="AM25" s="27"/>
      <c r="BA25" s="112"/>
      <c r="BB25" s="112"/>
      <c r="BC25" s="112"/>
      <c r="BD25" s="112"/>
    </row>
    <row r="26" spans="2:56" ht="30.05" customHeight="1" x14ac:dyDescent="0.35">
      <c r="B26" s="506">
        <v>45931</v>
      </c>
      <c r="C26" s="507" t="s">
        <v>1661</v>
      </c>
      <c r="D26" s="508" t="s">
        <v>1854</v>
      </c>
      <c r="E26" s="509" t="s">
        <v>228</v>
      </c>
      <c r="F26" s="510" t="s">
        <v>1492</v>
      </c>
      <c r="G26" s="507"/>
      <c r="H26" s="511">
        <v>0</v>
      </c>
      <c r="I26" s="512" t="s">
        <v>1758</v>
      </c>
      <c r="J26" s="510">
        <v>1000</v>
      </c>
      <c r="K26" s="513">
        <v>0</v>
      </c>
      <c r="L26" s="513">
        <v>0</v>
      </c>
      <c r="M26" s="513">
        <v>0</v>
      </c>
      <c r="N26" s="514">
        <f>LANÇ_MOV[[#This Row],[VALOR BRUTO]]-LANÇ_MOV[[#This Row],[DESCONTO]]+LANÇ_MOV[[#This Row],[JUROS]]+LANÇ_MOV[[#This Row],[MULTA]]</f>
        <v>1000</v>
      </c>
      <c r="O26" s="528">
        <v>46117</v>
      </c>
      <c r="P26" s="516" t="str">
        <f t="shared" ca="1" si="0"/>
        <v>Prazo - Mais de 1 mês</v>
      </c>
      <c r="Q26" s="530"/>
      <c r="R26" s="531" t="s">
        <v>1564</v>
      </c>
      <c r="S26" s="518"/>
      <c r="T26" s="531" t="s">
        <v>1776</v>
      </c>
      <c r="U26" s="519" t="s">
        <v>2008</v>
      </c>
      <c r="V26" s="520" t="str">
        <f>IFERROR(VLOOKUP(LANÇ_MOV[[#This Row],[PLANO DE CONTAS]],Plano_Contas[[PLANO DE CONTAS]:[R / D]],3,0),"")</f>
        <v>Despesa</v>
      </c>
      <c r="W26" s="521" t="str">
        <f>IF(LANÇ_MOV[[#This Row],[DATA DE PAGAMENTO]]&lt;&gt;"","Pago","Não Pago")</f>
        <v>Não Pago</v>
      </c>
      <c r="X26" s="522" t="str">
        <f>IFERROR(IF(LANÇ_MOV[[#This Row],[DATA DE PAGAMENTO]]="","",(UPPER(TEXT(LANÇ_MOV[[#This Row],[DATA DE PAGAMENTO]],"mmmm")))),"")</f>
        <v/>
      </c>
      <c r="Y26" s="523" t="str">
        <f>IFERROR(VLOOKUP(LANÇ_MOV[[#This Row],[PLANO DE CONTAS]],Plano_Contas[[PLANO DE CONTAS]:[NOMES INTERVALOS]],2,0),"")</f>
        <v>Despesas_Com_RH</v>
      </c>
      <c r="Z26" s="523" t="str">
        <f>IF(LANÇ_MOV[[#This Row],[FORMA DE PAGAMENTO]]="","",VLOOKUP(LANÇ_MOV[[#This Row],[FORMA DE PAGAMENTO]],CAD_Forma_pagto[],2,0))</f>
        <v>PIX</v>
      </c>
      <c r="AA26" s="524" t="str">
        <f>IF(LANÇ_MOV[[#This Row],[DATA DE LANÇAMENTO]]="","",TEXT(LANÇ_MOV[[#This Row],[DATA DE LANÇAMENTO]],"AAAA"))</f>
        <v>2025</v>
      </c>
      <c r="AB26" s="524" t="str">
        <f>IF(LANÇ_MOV[[#This Row],[DATA DE LANÇAMENTO]]="","",UPPER(TEXT(LANÇ_MOV[[#This Row],[DATA DE LANÇAMENTO]],"MMMM")))</f>
        <v>OUTUBRO</v>
      </c>
      <c r="AC26" s="525" t="str">
        <f>IF(LANÇ_MOV[[#This Row],[DATA DE LANÇAMENTO]]="","",PROPER(TEXT(LANÇ_MOV[[#This Row],[DATA DE LANÇAMENTO]],"M")))</f>
        <v>10</v>
      </c>
      <c r="AD26" s="524" t="str">
        <f>IF(LANÇ_MOV[[#This Row],[DATA DE LANÇAMENTO]]="","",TEXT(LANÇ_MOV[[#This Row],[DATA DE LANÇAMENTO]],"D"))</f>
        <v>1</v>
      </c>
      <c r="AE26" s="526" t="str">
        <f>IF(LANÇ_MOV[[#This Row],[DATA DE VENCIMENTO]]="","",TEXT(LANÇ_MOV[[#This Row],[DATA DE VENCIMENTO]],"AAAA"))</f>
        <v>2026</v>
      </c>
      <c r="AF26" s="526" t="str">
        <f>IF(LANÇ_MOV[[#This Row],[DATA DE VENCIMENTO]]="","",UPPER(TEXT(LANÇ_MOV[[#This Row],[DATA DE VENCIMENTO]],"MMMM")))</f>
        <v>ABRIL</v>
      </c>
      <c r="AG26" s="526" t="str">
        <f>IF(LANÇ_MOV[[#This Row],[DATA DE VENCIMENTO]]="","",TEXT(LANÇ_MOV[[#This Row],[DATA DE VENCIMENTO]],"M"))</f>
        <v>4</v>
      </c>
      <c r="AH26" s="526" t="str">
        <f>IF(LANÇ_MOV[[#This Row],[DATA DE VENCIMENTO]]="","",TEXT(LANÇ_MOV[[#This Row],[DATA DE VENCIMENTO]],"D"))</f>
        <v>5</v>
      </c>
      <c r="AI26" s="526" t="str">
        <f>IF(LANÇ_MOV[[#This Row],[DATA DE PAGAMENTO]]="","",TEXT(LANÇ_MOV[[#This Row],[DATA DE PAGAMENTO]],"AAAA"))</f>
        <v/>
      </c>
      <c r="AJ26" s="527" t="str">
        <f>IF(LANÇ_MOV[[#This Row],[DATA DE PAGAMENTO]]="","",UPPER(TEXT(LANÇ_MOV[[#This Row],[DATA DE PAGAMENTO]],"MMMM")))</f>
        <v/>
      </c>
      <c r="AK26" s="527" t="str">
        <f>IF(LANÇ_MOV[[#This Row],[DATA DE PAGAMENTO]]="","",TEXT(LANÇ_MOV[[#This Row],[DATA DE PAGAMENTO]],"M"))</f>
        <v/>
      </c>
      <c r="AL26" s="526" t="str">
        <f>IF(LANÇ_MOV[[#This Row],[DATA DE PAGAMENTO]]="","",TEXT(LANÇ_MOV[[#This Row],[DATA DE PAGAMENTO]],"D"))</f>
        <v/>
      </c>
      <c r="AM26" s="27"/>
      <c r="BA26" s="112"/>
      <c r="BB26" s="112"/>
      <c r="BC26" s="112"/>
      <c r="BD26" s="112"/>
    </row>
    <row r="27" spans="2:56" ht="30.05" customHeight="1" x14ac:dyDescent="0.35">
      <c r="B27" s="506">
        <v>45931</v>
      </c>
      <c r="C27" s="507" t="s">
        <v>1661</v>
      </c>
      <c r="D27" s="508" t="s">
        <v>1854</v>
      </c>
      <c r="E27" s="509" t="s">
        <v>228</v>
      </c>
      <c r="F27" s="510" t="s">
        <v>1492</v>
      </c>
      <c r="G27" s="507"/>
      <c r="H27" s="511">
        <v>0</v>
      </c>
      <c r="I27" s="512" t="s">
        <v>1758</v>
      </c>
      <c r="J27" s="510">
        <v>1000</v>
      </c>
      <c r="K27" s="513">
        <v>0</v>
      </c>
      <c r="L27" s="513">
        <v>0</v>
      </c>
      <c r="M27" s="513">
        <v>0</v>
      </c>
      <c r="N27" s="514">
        <f>LANÇ_MOV[[#This Row],[VALOR BRUTO]]-LANÇ_MOV[[#This Row],[DESCONTO]]+LANÇ_MOV[[#This Row],[JUROS]]+LANÇ_MOV[[#This Row],[MULTA]]</f>
        <v>1000</v>
      </c>
      <c r="O27" s="528">
        <v>46147</v>
      </c>
      <c r="P27" s="516" t="str">
        <f t="shared" ca="1" si="0"/>
        <v>Prazo - Mais de 1 mês</v>
      </c>
      <c r="Q27" s="530"/>
      <c r="R27" s="531" t="s">
        <v>1564</v>
      </c>
      <c r="S27" s="531"/>
      <c r="T27" s="531" t="s">
        <v>1776</v>
      </c>
      <c r="U27" s="519" t="s">
        <v>2008</v>
      </c>
      <c r="V27" s="520" t="str">
        <f>IFERROR(VLOOKUP(LANÇ_MOV[[#This Row],[PLANO DE CONTAS]],Plano_Contas[[PLANO DE CONTAS]:[R / D]],3,0),"")</f>
        <v>Despesa</v>
      </c>
      <c r="W27" s="521" t="str">
        <f>IF(LANÇ_MOV[[#This Row],[DATA DE PAGAMENTO]]&lt;&gt;"","Pago","Não Pago")</f>
        <v>Não Pago</v>
      </c>
      <c r="X27" s="522" t="str">
        <f>IFERROR(IF(LANÇ_MOV[[#This Row],[DATA DE PAGAMENTO]]="","",(UPPER(TEXT(LANÇ_MOV[[#This Row],[DATA DE PAGAMENTO]],"mmmm")))),"")</f>
        <v/>
      </c>
      <c r="Y27" s="523" t="str">
        <f>IFERROR(VLOOKUP(LANÇ_MOV[[#This Row],[PLANO DE CONTAS]],Plano_Contas[[PLANO DE CONTAS]:[NOMES INTERVALOS]],2,0),"")</f>
        <v>Despesas_Com_RH</v>
      </c>
      <c r="Z27" s="523" t="str">
        <f>IF(LANÇ_MOV[[#This Row],[FORMA DE PAGAMENTO]]="","",VLOOKUP(LANÇ_MOV[[#This Row],[FORMA DE PAGAMENTO]],CAD_Forma_pagto[],2,0))</f>
        <v>PIX</v>
      </c>
      <c r="AA27" s="524" t="str">
        <f>IF(LANÇ_MOV[[#This Row],[DATA DE LANÇAMENTO]]="","",TEXT(LANÇ_MOV[[#This Row],[DATA DE LANÇAMENTO]],"AAAA"))</f>
        <v>2025</v>
      </c>
      <c r="AB27" s="524" t="str">
        <f>IF(LANÇ_MOV[[#This Row],[DATA DE LANÇAMENTO]]="","",UPPER(TEXT(LANÇ_MOV[[#This Row],[DATA DE LANÇAMENTO]],"MMMM")))</f>
        <v>OUTUBRO</v>
      </c>
      <c r="AC27" s="525" t="str">
        <f>IF(LANÇ_MOV[[#This Row],[DATA DE LANÇAMENTO]]="","",PROPER(TEXT(LANÇ_MOV[[#This Row],[DATA DE LANÇAMENTO]],"M")))</f>
        <v>10</v>
      </c>
      <c r="AD27" s="524" t="str">
        <f>IF(LANÇ_MOV[[#This Row],[DATA DE LANÇAMENTO]]="","",TEXT(LANÇ_MOV[[#This Row],[DATA DE LANÇAMENTO]],"D"))</f>
        <v>1</v>
      </c>
      <c r="AE27" s="526" t="str">
        <f>IF(LANÇ_MOV[[#This Row],[DATA DE VENCIMENTO]]="","",TEXT(LANÇ_MOV[[#This Row],[DATA DE VENCIMENTO]],"AAAA"))</f>
        <v>2026</v>
      </c>
      <c r="AF27" s="526" t="str">
        <f>IF(LANÇ_MOV[[#This Row],[DATA DE VENCIMENTO]]="","",UPPER(TEXT(LANÇ_MOV[[#This Row],[DATA DE VENCIMENTO]],"MMMM")))</f>
        <v>MAIO</v>
      </c>
      <c r="AG27" s="526" t="str">
        <f>IF(LANÇ_MOV[[#This Row],[DATA DE VENCIMENTO]]="","",TEXT(LANÇ_MOV[[#This Row],[DATA DE VENCIMENTO]],"M"))</f>
        <v>5</v>
      </c>
      <c r="AH27" s="526" t="str">
        <f>IF(LANÇ_MOV[[#This Row],[DATA DE VENCIMENTO]]="","",TEXT(LANÇ_MOV[[#This Row],[DATA DE VENCIMENTO]],"D"))</f>
        <v>5</v>
      </c>
      <c r="AI27" s="526" t="str">
        <f>IF(LANÇ_MOV[[#This Row],[DATA DE PAGAMENTO]]="","",TEXT(LANÇ_MOV[[#This Row],[DATA DE PAGAMENTO]],"AAAA"))</f>
        <v/>
      </c>
      <c r="AJ27" s="527" t="str">
        <f>IF(LANÇ_MOV[[#This Row],[DATA DE PAGAMENTO]]="","",UPPER(TEXT(LANÇ_MOV[[#This Row],[DATA DE PAGAMENTO]],"MMMM")))</f>
        <v/>
      </c>
      <c r="AK27" s="527" t="str">
        <f>IF(LANÇ_MOV[[#This Row],[DATA DE PAGAMENTO]]="","",TEXT(LANÇ_MOV[[#This Row],[DATA DE PAGAMENTO]],"M"))</f>
        <v/>
      </c>
      <c r="AL27" s="526" t="str">
        <f>IF(LANÇ_MOV[[#This Row],[DATA DE PAGAMENTO]]="","",TEXT(LANÇ_MOV[[#This Row],[DATA DE PAGAMENTO]],"D"))</f>
        <v/>
      </c>
      <c r="AM27" s="27"/>
      <c r="BA27" s="112"/>
      <c r="BB27" s="112"/>
      <c r="BC27" s="112"/>
      <c r="BD27" s="112"/>
    </row>
    <row r="28" spans="2:56" ht="30.05" customHeight="1" x14ac:dyDescent="0.35">
      <c r="B28" s="506">
        <v>45931</v>
      </c>
      <c r="C28" s="507" t="s">
        <v>1661</v>
      </c>
      <c r="D28" s="508" t="s">
        <v>1854</v>
      </c>
      <c r="E28" s="509" t="s">
        <v>228</v>
      </c>
      <c r="F28" s="510" t="s">
        <v>1492</v>
      </c>
      <c r="G28" s="507"/>
      <c r="H28" s="511">
        <v>0</v>
      </c>
      <c r="I28" s="512" t="s">
        <v>1758</v>
      </c>
      <c r="J28" s="510">
        <v>1000</v>
      </c>
      <c r="K28" s="513">
        <v>0</v>
      </c>
      <c r="L28" s="513">
        <v>0</v>
      </c>
      <c r="M28" s="513">
        <v>0</v>
      </c>
      <c r="N28" s="514">
        <f>LANÇ_MOV[[#This Row],[VALOR BRUTO]]-LANÇ_MOV[[#This Row],[DESCONTO]]+LANÇ_MOV[[#This Row],[JUROS]]+LANÇ_MOV[[#This Row],[MULTA]]</f>
        <v>1000</v>
      </c>
      <c r="O28" s="528">
        <v>46178</v>
      </c>
      <c r="P28" s="516" t="str">
        <f t="shared" ca="1" si="0"/>
        <v>Prazo - Mais de 1 mês</v>
      </c>
      <c r="Q28" s="530"/>
      <c r="R28" s="531" t="s">
        <v>1564</v>
      </c>
      <c r="S28" s="531"/>
      <c r="T28" s="531" t="s">
        <v>1776</v>
      </c>
      <c r="U28" s="519" t="s">
        <v>2008</v>
      </c>
      <c r="V28" s="520" t="str">
        <f>IFERROR(VLOOKUP(LANÇ_MOV[[#This Row],[PLANO DE CONTAS]],Plano_Contas[[PLANO DE CONTAS]:[R / D]],3,0),"")</f>
        <v>Despesa</v>
      </c>
      <c r="W28" s="521" t="str">
        <f>IF(LANÇ_MOV[[#This Row],[DATA DE PAGAMENTO]]&lt;&gt;"","Pago","Não Pago")</f>
        <v>Não Pago</v>
      </c>
      <c r="X28" s="522" t="str">
        <f>IFERROR(IF(LANÇ_MOV[[#This Row],[DATA DE PAGAMENTO]]="","",(UPPER(TEXT(LANÇ_MOV[[#This Row],[DATA DE PAGAMENTO]],"mmmm")))),"")</f>
        <v/>
      </c>
      <c r="Y28" s="523" t="str">
        <f>IFERROR(VLOOKUP(LANÇ_MOV[[#This Row],[PLANO DE CONTAS]],Plano_Contas[[PLANO DE CONTAS]:[NOMES INTERVALOS]],2,0),"")</f>
        <v>Despesas_Com_RH</v>
      </c>
      <c r="Z28" s="523" t="str">
        <f>IF(LANÇ_MOV[[#This Row],[FORMA DE PAGAMENTO]]="","",VLOOKUP(LANÇ_MOV[[#This Row],[FORMA DE PAGAMENTO]],CAD_Forma_pagto[],2,0))</f>
        <v>PIX</v>
      </c>
      <c r="AA28" s="524" t="str">
        <f>IF(LANÇ_MOV[[#This Row],[DATA DE LANÇAMENTO]]="","",TEXT(LANÇ_MOV[[#This Row],[DATA DE LANÇAMENTO]],"AAAA"))</f>
        <v>2025</v>
      </c>
      <c r="AB28" s="524" t="str">
        <f>IF(LANÇ_MOV[[#This Row],[DATA DE LANÇAMENTO]]="","",UPPER(TEXT(LANÇ_MOV[[#This Row],[DATA DE LANÇAMENTO]],"MMMM")))</f>
        <v>OUTUBRO</v>
      </c>
      <c r="AC28" s="525" t="str">
        <f>IF(LANÇ_MOV[[#This Row],[DATA DE LANÇAMENTO]]="","",PROPER(TEXT(LANÇ_MOV[[#This Row],[DATA DE LANÇAMENTO]],"M")))</f>
        <v>10</v>
      </c>
      <c r="AD28" s="524" t="str">
        <f>IF(LANÇ_MOV[[#This Row],[DATA DE LANÇAMENTO]]="","",TEXT(LANÇ_MOV[[#This Row],[DATA DE LANÇAMENTO]],"D"))</f>
        <v>1</v>
      </c>
      <c r="AE28" s="526" t="str">
        <f>IF(LANÇ_MOV[[#This Row],[DATA DE VENCIMENTO]]="","",TEXT(LANÇ_MOV[[#This Row],[DATA DE VENCIMENTO]],"AAAA"))</f>
        <v>2026</v>
      </c>
      <c r="AF28" s="526" t="str">
        <f>IF(LANÇ_MOV[[#This Row],[DATA DE VENCIMENTO]]="","",UPPER(TEXT(LANÇ_MOV[[#This Row],[DATA DE VENCIMENTO]],"MMMM")))</f>
        <v>JUNHO</v>
      </c>
      <c r="AG28" s="526" t="str">
        <f>IF(LANÇ_MOV[[#This Row],[DATA DE VENCIMENTO]]="","",TEXT(LANÇ_MOV[[#This Row],[DATA DE VENCIMENTO]],"M"))</f>
        <v>6</v>
      </c>
      <c r="AH28" s="526" t="str">
        <f>IF(LANÇ_MOV[[#This Row],[DATA DE VENCIMENTO]]="","",TEXT(LANÇ_MOV[[#This Row],[DATA DE VENCIMENTO]],"D"))</f>
        <v>5</v>
      </c>
      <c r="AI28" s="526" t="str">
        <f>IF(LANÇ_MOV[[#This Row],[DATA DE PAGAMENTO]]="","",TEXT(LANÇ_MOV[[#This Row],[DATA DE PAGAMENTO]],"AAAA"))</f>
        <v/>
      </c>
      <c r="AJ28" s="527" t="str">
        <f>IF(LANÇ_MOV[[#This Row],[DATA DE PAGAMENTO]]="","",UPPER(TEXT(LANÇ_MOV[[#This Row],[DATA DE PAGAMENTO]],"MMMM")))</f>
        <v/>
      </c>
      <c r="AK28" s="527" t="str">
        <f>IF(LANÇ_MOV[[#This Row],[DATA DE PAGAMENTO]]="","",TEXT(LANÇ_MOV[[#This Row],[DATA DE PAGAMENTO]],"M"))</f>
        <v/>
      </c>
      <c r="AL28" s="526" t="str">
        <f>IF(LANÇ_MOV[[#This Row],[DATA DE PAGAMENTO]]="","",TEXT(LANÇ_MOV[[#This Row],[DATA DE PAGAMENTO]],"D"))</f>
        <v/>
      </c>
      <c r="AM28" s="27"/>
      <c r="BA28" s="112"/>
      <c r="BB28" s="112"/>
      <c r="BC28" s="112"/>
      <c r="BD28" s="112"/>
    </row>
    <row r="29" spans="2:56" ht="30.05" customHeight="1" x14ac:dyDescent="0.35">
      <c r="B29" s="506">
        <v>45931</v>
      </c>
      <c r="C29" s="507" t="s">
        <v>1661</v>
      </c>
      <c r="D29" s="508" t="s">
        <v>1854</v>
      </c>
      <c r="E29" s="509" t="s">
        <v>228</v>
      </c>
      <c r="F29" s="510" t="s">
        <v>1492</v>
      </c>
      <c r="G29" s="507"/>
      <c r="H29" s="511">
        <v>0</v>
      </c>
      <c r="I29" s="512" t="s">
        <v>1758</v>
      </c>
      <c r="J29" s="510">
        <v>1000</v>
      </c>
      <c r="K29" s="513">
        <v>0</v>
      </c>
      <c r="L29" s="513">
        <v>0</v>
      </c>
      <c r="M29" s="513">
        <v>0</v>
      </c>
      <c r="N29" s="514">
        <f>LANÇ_MOV[[#This Row],[VALOR BRUTO]]-LANÇ_MOV[[#This Row],[DESCONTO]]+LANÇ_MOV[[#This Row],[JUROS]]+LANÇ_MOV[[#This Row],[MULTA]]</f>
        <v>1000</v>
      </c>
      <c r="O29" s="528">
        <v>46208</v>
      </c>
      <c r="P29" s="516" t="str">
        <f t="shared" ca="1" si="0"/>
        <v>Prazo - Mais de 1 mês</v>
      </c>
      <c r="Q29" s="530"/>
      <c r="R29" s="531" t="s">
        <v>1564</v>
      </c>
      <c r="S29" s="531"/>
      <c r="T29" s="531" t="s">
        <v>1776</v>
      </c>
      <c r="U29" s="519" t="s">
        <v>2008</v>
      </c>
      <c r="V29" s="520" t="str">
        <f>IFERROR(VLOOKUP(LANÇ_MOV[[#This Row],[PLANO DE CONTAS]],Plano_Contas[[PLANO DE CONTAS]:[R / D]],3,0),"")</f>
        <v>Despesa</v>
      </c>
      <c r="W29" s="521" t="str">
        <f>IF(LANÇ_MOV[[#This Row],[DATA DE PAGAMENTO]]&lt;&gt;"","Pago","Não Pago")</f>
        <v>Não Pago</v>
      </c>
      <c r="X29" s="522" t="str">
        <f>IFERROR(IF(LANÇ_MOV[[#This Row],[DATA DE PAGAMENTO]]="","",(UPPER(TEXT(LANÇ_MOV[[#This Row],[DATA DE PAGAMENTO]],"mmmm")))),"")</f>
        <v/>
      </c>
      <c r="Y29" s="523" t="str">
        <f>IFERROR(VLOOKUP(LANÇ_MOV[[#This Row],[PLANO DE CONTAS]],Plano_Contas[[PLANO DE CONTAS]:[NOMES INTERVALOS]],2,0),"")</f>
        <v>Despesas_Com_RH</v>
      </c>
      <c r="Z29" s="523" t="str">
        <f>IF(LANÇ_MOV[[#This Row],[FORMA DE PAGAMENTO]]="","",VLOOKUP(LANÇ_MOV[[#This Row],[FORMA DE PAGAMENTO]],CAD_Forma_pagto[],2,0))</f>
        <v>PIX</v>
      </c>
      <c r="AA29" s="524" t="str">
        <f>IF(LANÇ_MOV[[#This Row],[DATA DE LANÇAMENTO]]="","",TEXT(LANÇ_MOV[[#This Row],[DATA DE LANÇAMENTO]],"AAAA"))</f>
        <v>2025</v>
      </c>
      <c r="AB29" s="524" t="str">
        <f>IF(LANÇ_MOV[[#This Row],[DATA DE LANÇAMENTO]]="","",UPPER(TEXT(LANÇ_MOV[[#This Row],[DATA DE LANÇAMENTO]],"MMMM")))</f>
        <v>OUTUBRO</v>
      </c>
      <c r="AC29" s="525" t="str">
        <f>IF(LANÇ_MOV[[#This Row],[DATA DE LANÇAMENTO]]="","",PROPER(TEXT(LANÇ_MOV[[#This Row],[DATA DE LANÇAMENTO]],"M")))</f>
        <v>10</v>
      </c>
      <c r="AD29" s="524" t="str">
        <f>IF(LANÇ_MOV[[#This Row],[DATA DE LANÇAMENTO]]="","",TEXT(LANÇ_MOV[[#This Row],[DATA DE LANÇAMENTO]],"D"))</f>
        <v>1</v>
      </c>
      <c r="AE29" s="526" t="str">
        <f>IF(LANÇ_MOV[[#This Row],[DATA DE VENCIMENTO]]="","",TEXT(LANÇ_MOV[[#This Row],[DATA DE VENCIMENTO]],"AAAA"))</f>
        <v>2026</v>
      </c>
      <c r="AF29" s="526" t="str">
        <f>IF(LANÇ_MOV[[#This Row],[DATA DE VENCIMENTO]]="","",UPPER(TEXT(LANÇ_MOV[[#This Row],[DATA DE VENCIMENTO]],"MMMM")))</f>
        <v>JULHO</v>
      </c>
      <c r="AG29" s="526" t="str">
        <f>IF(LANÇ_MOV[[#This Row],[DATA DE VENCIMENTO]]="","",TEXT(LANÇ_MOV[[#This Row],[DATA DE VENCIMENTO]],"M"))</f>
        <v>7</v>
      </c>
      <c r="AH29" s="526" t="str">
        <f>IF(LANÇ_MOV[[#This Row],[DATA DE VENCIMENTO]]="","",TEXT(LANÇ_MOV[[#This Row],[DATA DE VENCIMENTO]],"D"))</f>
        <v>5</v>
      </c>
      <c r="AI29" s="526" t="str">
        <f>IF(LANÇ_MOV[[#This Row],[DATA DE PAGAMENTO]]="","",TEXT(LANÇ_MOV[[#This Row],[DATA DE PAGAMENTO]],"AAAA"))</f>
        <v/>
      </c>
      <c r="AJ29" s="527" t="str">
        <f>IF(LANÇ_MOV[[#This Row],[DATA DE PAGAMENTO]]="","",UPPER(TEXT(LANÇ_MOV[[#This Row],[DATA DE PAGAMENTO]],"MMMM")))</f>
        <v/>
      </c>
      <c r="AK29" s="527" t="str">
        <f>IF(LANÇ_MOV[[#This Row],[DATA DE PAGAMENTO]]="","",TEXT(LANÇ_MOV[[#This Row],[DATA DE PAGAMENTO]],"M"))</f>
        <v/>
      </c>
      <c r="AL29" s="526" t="str">
        <f>IF(LANÇ_MOV[[#This Row],[DATA DE PAGAMENTO]]="","",TEXT(LANÇ_MOV[[#This Row],[DATA DE PAGAMENTO]],"D"))</f>
        <v/>
      </c>
      <c r="AM29" s="27"/>
      <c r="BA29" s="112"/>
      <c r="BB29" s="112"/>
      <c r="BC29" s="112"/>
      <c r="BD29" s="112"/>
    </row>
    <row r="30" spans="2:56" ht="30.05" customHeight="1" x14ac:dyDescent="0.35">
      <c r="B30" s="506">
        <v>45931</v>
      </c>
      <c r="C30" s="507" t="s">
        <v>1661</v>
      </c>
      <c r="D30" s="508" t="s">
        <v>1854</v>
      </c>
      <c r="E30" s="509" t="s">
        <v>228</v>
      </c>
      <c r="F30" s="510" t="s">
        <v>1492</v>
      </c>
      <c r="G30" s="507"/>
      <c r="H30" s="511">
        <v>0</v>
      </c>
      <c r="I30" s="512" t="s">
        <v>1758</v>
      </c>
      <c r="J30" s="510">
        <v>1000</v>
      </c>
      <c r="K30" s="513">
        <v>0</v>
      </c>
      <c r="L30" s="513">
        <v>0</v>
      </c>
      <c r="M30" s="513">
        <v>0</v>
      </c>
      <c r="N30" s="514">
        <f>LANÇ_MOV[[#This Row],[VALOR BRUTO]]-LANÇ_MOV[[#This Row],[DESCONTO]]+LANÇ_MOV[[#This Row],[JUROS]]+LANÇ_MOV[[#This Row],[MULTA]]</f>
        <v>1000</v>
      </c>
      <c r="O30" s="528">
        <v>46239</v>
      </c>
      <c r="P30" s="516" t="str">
        <f t="shared" ca="1" si="0"/>
        <v>Prazo - Mais de 1 mês</v>
      </c>
      <c r="Q30" s="530"/>
      <c r="R30" s="531" t="s">
        <v>1564</v>
      </c>
      <c r="S30" s="531"/>
      <c r="T30" s="531" t="s">
        <v>1776</v>
      </c>
      <c r="U30" s="519" t="s">
        <v>2008</v>
      </c>
      <c r="V30" s="520" t="str">
        <f>IFERROR(VLOOKUP(LANÇ_MOV[[#This Row],[PLANO DE CONTAS]],Plano_Contas[[PLANO DE CONTAS]:[R / D]],3,0),"")</f>
        <v>Despesa</v>
      </c>
      <c r="W30" s="521" t="str">
        <f>IF(LANÇ_MOV[[#This Row],[DATA DE PAGAMENTO]]&lt;&gt;"","Pago","Não Pago")</f>
        <v>Não Pago</v>
      </c>
      <c r="X30" s="522" t="str">
        <f>IFERROR(IF(LANÇ_MOV[[#This Row],[DATA DE PAGAMENTO]]="","",(UPPER(TEXT(LANÇ_MOV[[#This Row],[DATA DE PAGAMENTO]],"mmmm")))),"")</f>
        <v/>
      </c>
      <c r="Y30" s="523" t="str">
        <f>IFERROR(VLOOKUP(LANÇ_MOV[[#This Row],[PLANO DE CONTAS]],Plano_Contas[[PLANO DE CONTAS]:[NOMES INTERVALOS]],2,0),"")</f>
        <v>Despesas_Com_RH</v>
      </c>
      <c r="Z30" s="523" t="str">
        <f>IF(LANÇ_MOV[[#This Row],[FORMA DE PAGAMENTO]]="","",VLOOKUP(LANÇ_MOV[[#This Row],[FORMA DE PAGAMENTO]],CAD_Forma_pagto[],2,0))</f>
        <v>PIX</v>
      </c>
      <c r="AA30" s="524" t="str">
        <f>IF(LANÇ_MOV[[#This Row],[DATA DE LANÇAMENTO]]="","",TEXT(LANÇ_MOV[[#This Row],[DATA DE LANÇAMENTO]],"AAAA"))</f>
        <v>2025</v>
      </c>
      <c r="AB30" s="524" t="str">
        <f>IF(LANÇ_MOV[[#This Row],[DATA DE LANÇAMENTO]]="","",UPPER(TEXT(LANÇ_MOV[[#This Row],[DATA DE LANÇAMENTO]],"MMMM")))</f>
        <v>OUTUBRO</v>
      </c>
      <c r="AC30" s="525" t="str">
        <f>IF(LANÇ_MOV[[#This Row],[DATA DE LANÇAMENTO]]="","",PROPER(TEXT(LANÇ_MOV[[#This Row],[DATA DE LANÇAMENTO]],"M")))</f>
        <v>10</v>
      </c>
      <c r="AD30" s="524" t="str">
        <f>IF(LANÇ_MOV[[#This Row],[DATA DE LANÇAMENTO]]="","",TEXT(LANÇ_MOV[[#This Row],[DATA DE LANÇAMENTO]],"D"))</f>
        <v>1</v>
      </c>
      <c r="AE30" s="526" t="str">
        <f>IF(LANÇ_MOV[[#This Row],[DATA DE VENCIMENTO]]="","",TEXT(LANÇ_MOV[[#This Row],[DATA DE VENCIMENTO]],"AAAA"))</f>
        <v>2026</v>
      </c>
      <c r="AF30" s="526" t="str">
        <f>IF(LANÇ_MOV[[#This Row],[DATA DE VENCIMENTO]]="","",UPPER(TEXT(LANÇ_MOV[[#This Row],[DATA DE VENCIMENTO]],"MMMM")))</f>
        <v>AGOSTO</v>
      </c>
      <c r="AG30" s="526" t="str">
        <f>IF(LANÇ_MOV[[#This Row],[DATA DE VENCIMENTO]]="","",TEXT(LANÇ_MOV[[#This Row],[DATA DE VENCIMENTO]],"M"))</f>
        <v>8</v>
      </c>
      <c r="AH30" s="526" t="str">
        <f>IF(LANÇ_MOV[[#This Row],[DATA DE VENCIMENTO]]="","",TEXT(LANÇ_MOV[[#This Row],[DATA DE VENCIMENTO]],"D"))</f>
        <v>5</v>
      </c>
      <c r="AI30" s="526" t="str">
        <f>IF(LANÇ_MOV[[#This Row],[DATA DE PAGAMENTO]]="","",TEXT(LANÇ_MOV[[#This Row],[DATA DE PAGAMENTO]],"AAAA"))</f>
        <v/>
      </c>
      <c r="AJ30" s="527" t="str">
        <f>IF(LANÇ_MOV[[#This Row],[DATA DE PAGAMENTO]]="","",UPPER(TEXT(LANÇ_MOV[[#This Row],[DATA DE PAGAMENTO]],"MMMM")))</f>
        <v/>
      </c>
      <c r="AK30" s="527" t="str">
        <f>IF(LANÇ_MOV[[#This Row],[DATA DE PAGAMENTO]]="","",TEXT(LANÇ_MOV[[#This Row],[DATA DE PAGAMENTO]],"M"))</f>
        <v/>
      </c>
      <c r="AL30" s="526" t="str">
        <f>IF(LANÇ_MOV[[#This Row],[DATA DE PAGAMENTO]]="","",TEXT(LANÇ_MOV[[#This Row],[DATA DE PAGAMENTO]],"D"))</f>
        <v/>
      </c>
      <c r="AM30" s="27"/>
      <c r="BA30" s="112"/>
      <c r="BB30" s="112"/>
      <c r="BC30" s="112"/>
      <c r="BD30" s="112"/>
    </row>
    <row r="31" spans="2:56" ht="30.05" customHeight="1" x14ac:dyDescent="0.35">
      <c r="B31" s="506">
        <v>45931</v>
      </c>
      <c r="C31" s="507" t="s">
        <v>1661</v>
      </c>
      <c r="D31" s="508" t="s">
        <v>1854</v>
      </c>
      <c r="E31" s="509" t="s">
        <v>228</v>
      </c>
      <c r="F31" s="510" t="s">
        <v>1492</v>
      </c>
      <c r="G31" s="507"/>
      <c r="H31" s="511">
        <v>0</v>
      </c>
      <c r="I31" s="512" t="s">
        <v>1758</v>
      </c>
      <c r="J31" s="510">
        <v>1000</v>
      </c>
      <c r="K31" s="513">
        <v>0</v>
      </c>
      <c r="L31" s="513">
        <v>0</v>
      </c>
      <c r="M31" s="513">
        <v>0</v>
      </c>
      <c r="N31" s="514">
        <f>LANÇ_MOV[[#This Row],[VALOR BRUTO]]-LANÇ_MOV[[#This Row],[DESCONTO]]+LANÇ_MOV[[#This Row],[JUROS]]+LANÇ_MOV[[#This Row],[MULTA]]</f>
        <v>1000</v>
      </c>
      <c r="O31" s="528">
        <v>46270</v>
      </c>
      <c r="P31" s="516" t="str">
        <f t="shared" ca="1" si="0"/>
        <v>Prazo - Mais de 1 mês</v>
      </c>
      <c r="Q31" s="530"/>
      <c r="R31" s="531" t="s">
        <v>1564</v>
      </c>
      <c r="S31" s="531"/>
      <c r="T31" s="531" t="s">
        <v>1776</v>
      </c>
      <c r="U31" s="519" t="s">
        <v>2008</v>
      </c>
      <c r="V31" s="520" t="str">
        <f>IFERROR(VLOOKUP(LANÇ_MOV[[#This Row],[PLANO DE CONTAS]],Plano_Contas[[PLANO DE CONTAS]:[R / D]],3,0),"")</f>
        <v>Despesa</v>
      </c>
      <c r="W31" s="521" t="str">
        <f>IF(LANÇ_MOV[[#This Row],[DATA DE PAGAMENTO]]&lt;&gt;"","Pago","Não Pago")</f>
        <v>Não Pago</v>
      </c>
      <c r="X31" s="522" t="str">
        <f>IFERROR(IF(LANÇ_MOV[[#This Row],[DATA DE PAGAMENTO]]="","",(UPPER(TEXT(LANÇ_MOV[[#This Row],[DATA DE PAGAMENTO]],"mmmm")))),"")</f>
        <v/>
      </c>
      <c r="Y31" s="523" t="str">
        <f>IFERROR(VLOOKUP(LANÇ_MOV[[#This Row],[PLANO DE CONTAS]],Plano_Contas[[PLANO DE CONTAS]:[NOMES INTERVALOS]],2,0),"")</f>
        <v>Despesas_Com_RH</v>
      </c>
      <c r="Z31" s="523" t="str">
        <f>IF(LANÇ_MOV[[#This Row],[FORMA DE PAGAMENTO]]="","",VLOOKUP(LANÇ_MOV[[#This Row],[FORMA DE PAGAMENTO]],CAD_Forma_pagto[],2,0))</f>
        <v>PIX</v>
      </c>
      <c r="AA31" s="524" t="str">
        <f>IF(LANÇ_MOV[[#This Row],[DATA DE LANÇAMENTO]]="","",TEXT(LANÇ_MOV[[#This Row],[DATA DE LANÇAMENTO]],"AAAA"))</f>
        <v>2025</v>
      </c>
      <c r="AB31" s="524" t="str">
        <f>IF(LANÇ_MOV[[#This Row],[DATA DE LANÇAMENTO]]="","",UPPER(TEXT(LANÇ_MOV[[#This Row],[DATA DE LANÇAMENTO]],"MMMM")))</f>
        <v>OUTUBRO</v>
      </c>
      <c r="AC31" s="525" t="str">
        <f>IF(LANÇ_MOV[[#This Row],[DATA DE LANÇAMENTO]]="","",PROPER(TEXT(LANÇ_MOV[[#This Row],[DATA DE LANÇAMENTO]],"M")))</f>
        <v>10</v>
      </c>
      <c r="AD31" s="524" t="str">
        <f>IF(LANÇ_MOV[[#This Row],[DATA DE LANÇAMENTO]]="","",TEXT(LANÇ_MOV[[#This Row],[DATA DE LANÇAMENTO]],"D"))</f>
        <v>1</v>
      </c>
      <c r="AE31" s="526" t="str">
        <f>IF(LANÇ_MOV[[#This Row],[DATA DE VENCIMENTO]]="","",TEXT(LANÇ_MOV[[#This Row],[DATA DE VENCIMENTO]],"AAAA"))</f>
        <v>2026</v>
      </c>
      <c r="AF31" s="526" t="str">
        <f>IF(LANÇ_MOV[[#This Row],[DATA DE VENCIMENTO]]="","",UPPER(TEXT(LANÇ_MOV[[#This Row],[DATA DE VENCIMENTO]],"MMMM")))</f>
        <v>SETEMBRO</v>
      </c>
      <c r="AG31" s="526" t="str">
        <f>IF(LANÇ_MOV[[#This Row],[DATA DE VENCIMENTO]]="","",TEXT(LANÇ_MOV[[#This Row],[DATA DE VENCIMENTO]],"M"))</f>
        <v>9</v>
      </c>
      <c r="AH31" s="526" t="str">
        <f>IF(LANÇ_MOV[[#This Row],[DATA DE VENCIMENTO]]="","",TEXT(LANÇ_MOV[[#This Row],[DATA DE VENCIMENTO]],"D"))</f>
        <v>5</v>
      </c>
      <c r="AI31" s="526" t="str">
        <f>IF(LANÇ_MOV[[#This Row],[DATA DE PAGAMENTO]]="","",TEXT(LANÇ_MOV[[#This Row],[DATA DE PAGAMENTO]],"AAAA"))</f>
        <v/>
      </c>
      <c r="AJ31" s="527" t="str">
        <f>IF(LANÇ_MOV[[#This Row],[DATA DE PAGAMENTO]]="","",UPPER(TEXT(LANÇ_MOV[[#This Row],[DATA DE PAGAMENTO]],"MMMM")))</f>
        <v/>
      </c>
      <c r="AK31" s="527" t="str">
        <f>IF(LANÇ_MOV[[#This Row],[DATA DE PAGAMENTO]]="","",TEXT(LANÇ_MOV[[#This Row],[DATA DE PAGAMENTO]],"M"))</f>
        <v/>
      </c>
      <c r="AL31" s="526" t="str">
        <f>IF(LANÇ_MOV[[#This Row],[DATA DE PAGAMENTO]]="","",TEXT(LANÇ_MOV[[#This Row],[DATA DE PAGAMENTO]],"D"))</f>
        <v/>
      </c>
      <c r="AM31" s="27"/>
      <c r="BA31" s="112"/>
      <c r="BB31" s="112"/>
      <c r="BC31" s="112"/>
      <c r="BD31" s="112"/>
    </row>
    <row r="32" spans="2:56" ht="30.05" customHeight="1" x14ac:dyDescent="0.35">
      <c r="B32" s="506">
        <v>45931</v>
      </c>
      <c r="C32" s="507" t="s">
        <v>1661</v>
      </c>
      <c r="D32" s="508" t="s">
        <v>1854</v>
      </c>
      <c r="E32" s="509" t="s">
        <v>228</v>
      </c>
      <c r="F32" s="510" t="s">
        <v>1492</v>
      </c>
      <c r="G32" s="507"/>
      <c r="H32" s="511">
        <v>0</v>
      </c>
      <c r="I32" s="512" t="s">
        <v>1758</v>
      </c>
      <c r="J32" s="510">
        <v>1000</v>
      </c>
      <c r="K32" s="513">
        <v>0</v>
      </c>
      <c r="L32" s="513">
        <v>0</v>
      </c>
      <c r="M32" s="513">
        <v>0</v>
      </c>
      <c r="N32" s="514">
        <f>LANÇ_MOV[[#This Row],[VALOR BRUTO]]-LANÇ_MOV[[#This Row],[DESCONTO]]+LANÇ_MOV[[#This Row],[JUROS]]+LANÇ_MOV[[#This Row],[MULTA]]</f>
        <v>1000</v>
      </c>
      <c r="O32" s="528">
        <v>46300</v>
      </c>
      <c r="P32" s="516" t="str">
        <f t="shared" ca="1" si="0"/>
        <v>Prazo - Mais de 1 mês</v>
      </c>
      <c r="Q32" s="530"/>
      <c r="R32" s="531" t="s">
        <v>1564</v>
      </c>
      <c r="S32" s="531"/>
      <c r="T32" s="531" t="s">
        <v>1776</v>
      </c>
      <c r="U32" s="519" t="s">
        <v>2008</v>
      </c>
      <c r="V32" s="520" t="str">
        <f>IFERROR(VLOOKUP(LANÇ_MOV[[#This Row],[PLANO DE CONTAS]],Plano_Contas[[PLANO DE CONTAS]:[R / D]],3,0),"")</f>
        <v>Despesa</v>
      </c>
      <c r="W32" s="521" t="str">
        <f>IF(LANÇ_MOV[[#This Row],[DATA DE PAGAMENTO]]&lt;&gt;"","Pago","Não Pago")</f>
        <v>Não Pago</v>
      </c>
      <c r="X32" s="522" t="str">
        <f>IFERROR(IF(LANÇ_MOV[[#This Row],[DATA DE PAGAMENTO]]="","",(UPPER(TEXT(LANÇ_MOV[[#This Row],[DATA DE PAGAMENTO]],"mmmm")))),"")</f>
        <v/>
      </c>
      <c r="Y32" s="523" t="str">
        <f>IFERROR(VLOOKUP(LANÇ_MOV[[#This Row],[PLANO DE CONTAS]],Plano_Contas[[PLANO DE CONTAS]:[NOMES INTERVALOS]],2,0),"")</f>
        <v>Despesas_Com_RH</v>
      </c>
      <c r="Z32" s="523" t="str">
        <f>IF(LANÇ_MOV[[#This Row],[FORMA DE PAGAMENTO]]="","",VLOOKUP(LANÇ_MOV[[#This Row],[FORMA DE PAGAMENTO]],CAD_Forma_pagto[],2,0))</f>
        <v>PIX</v>
      </c>
      <c r="AA32" s="524" t="str">
        <f>IF(LANÇ_MOV[[#This Row],[DATA DE LANÇAMENTO]]="","",TEXT(LANÇ_MOV[[#This Row],[DATA DE LANÇAMENTO]],"AAAA"))</f>
        <v>2025</v>
      </c>
      <c r="AB32" s="524" t="str">
        <f>IF(LANÇ_MOV[[#This Row],[DATA DE LANÇAMENTO]]="","",UPPER(TEXT(LANÇ_MOV[[#This Row],[DATA DE LANÇAMENTO]],"MMMM")))</f>
        <v>OUTUBRO</v>
      </c>
      <c r="AC32" s="525" t="str">
        <f>IF(LANÇ_MOV[[#This Row],[DATA DE LANÇAMENTO]]="","",PROPER(TEXT(LANÇ_MOV[[#This Row],[DATA DE LANÇAMENTO]],"M")))</f>
        <v>10</v>
      </c>
      <c r="AD32" s="524" t="str">
        <f>IF(LANÇ_MOV[[#This Row],[DATA DE LANÇAMENTO]]="","",TEXT(LANÇ_MOV[[#This Row],[DATA DE LANÇAMENTO]],"D"))</f>
        <v>1</v>
      </c>
      <c r="AE32" s="526" t="str">
        <f>IF(LANÇ_MOV[[#This Row],[DATA DE VENCIMENTO]]="","",TEXT(LANÇ_MOV[[#This Row],[DATA DE VENCIMENTO]],"AAAA"))</f>
        <v>2026</v>
      </c>
      <c r="AF32" s="526" t="str">
        <f>IF(LANÇ_MOV[[#This Row],[DATA DE VENCIMENTO]]="","",UPPER(TEXT(LANÇ_MOV[[#This Row],[DATA DE VENCIMENTO]],"MMMM")))</f>
        <v>OUTUBRO</v>
      </c>
      <c r="AG32" s="526" t="str">
        <f>IF(LANÇ_MOV[[#This Row],[DATA DE VENCIMENTO]]="","",TEXT(LANÇ_MOV[[#This Row],[DATA DE VENCIMENTO]],"M"))</f>
        <v>10</v>
      </c>
      <c r="AH32" s="526" t="str">
        <f>IF(LANÇ_MOV[[#This Row],[DATA DE VENCIMENTO]]="","",TEXT(LANÇ_MOV[[#This Row],[DATA DE VENCIMENTO]],"D"))</f>
        <v>5</v>
      </c>
      <c r="AI32" s="526" t="str">
        <f>IF(LANÇ_MOV[[#This Row],[DATA DE PAGAMENTO]]="","",TEXT(LANÇ_MOV[[#This Row],[DATA DE PAGAMENTO]],"AAAA"))</f>
        <v/>
      </c>
      <c r="AJ32" s="527" t="str">
        <f>IF(LANÇ_MOV[[#This Row],[DATA DE PAGAMENTO]]="","",UPPER(TEXT(LANÇ_MOV[[#This Row],[DATA DE PAGAMENTO]],"MMMM")))</f>
        <v/>
      </c>
      <c r="AK32" s="527" t="str">
        <f>IF(LANÇ_MOV[[#This Row],[DATA DE PAGAMENTO]]="","",TEXT(LANÇ_MOV[[#This Row],[DATA DE PAGAMENTO]],"M"))</f>
        <v/>
      </c>
      <c r="AL32" s="526" t="str">
        <f>IF(LANÇ_MOV[[#This Row],[DATA DE PAGAMENTO]]="","",TEXT(LANÇ_MOV[[#This Row],[DATA DE PAGAMENTO]],"D"))</f>
        <v/>
      </c>
      <c r="AM32" s="27"/>
      <c r="BA32" s="112"/>
      <c r="BB32" s="112"/>
      <c r="BC32" s="112"/>
      <c r="BD32" s="112"/>
    </row>
    <row r="33" spans="1:56" ht="30.05" customHeight="1" x14ac:dyDescent="0.35">
      <c r="B33" s="506">
        <v>45931</v>
      </c>
      <c r="C33" s="507" t="s">
        <v>1661</v>
      </c>
      <c r="D33" s="508" t="s">
        <v>1854</v>
      </c>
      <c r="E33" s="509" t="s">
        <v>228</v>
      </c>
      <c r="F33" s="510" t="s">
        <v>1492</v>
      </c>
      <c r="G33" s="507"/>
      <c r="H33" s="511">
        <v>0</v>
      </c>
      <c r="I33" s="512" t="s">
        <v>1758</v>
      </c>
      <c r="J33" s="510">
        <v>1000</v>
      </c>
      <c r="K33" s="513">
        <v>0</v>
      </c>
      <c r="L33" s="513">
        <v>0</v>
      </c>
      <c r="M33" s="513">
        <v>0</v>
      </c>
      <c r="N33" s="514">
        <f>LANÇ_MOV[[#This Row],[VALOR BRUTO]]-LANÇ_MOV[[#This Row],[DESCONTO]]+LANÇ_MOV[[#This Row],[JUROS]]+LANÇ_MOV[[#This Row],[MULTA]]</f>
        <v>1000</v>
      </c>
      <c r="O33" s="528">
        <v>46331</v>
      </c>
      <c r="P33" s="516" t="str">
        <f t="shared" ca="1" si="0"/>
        <v>Prazo - Mais de 1 mês</v>
      </c>
      <c r="Q33" s="530"/>
      <c r="R33" s="531" t="s">
        <v>1564</v>
      </c>
      <c r="S33" s="531"/>
      <c r="T33" s="531" t="s">
        <v>1776</v>
      </c>
      <c r="U33" s="519" t="s">
        <v>2008</v>
      </c>
      <c r="V33" s="520" t="str">
        <f>IFERROR(VLOOKUP(LANÇ_MOV[[#This Row],[PLANO DE CONTAS]],Plano_Contas[[PLANO DE CONTAS]:[R / D]],3,0),"")</f>
        <v>Despesa</v>
      </c>
      <c r="W33" s="521" t="str">
        <f>IF(LANÇ_MOV[[#This Row],[DATA DE PAGAMENTO]]&lt;&gt;"","Pago","Não Pago")</f>
        <v>Não Pago</v>
      </c>
      <c r="X33" s="522" t="str">
        <f>IFERROR(IF(LANÇ_MOV[[#This Row],[DATA DE PAGAMENTO]]="","",(UPPER(TEXT(LANÇ_MOV[[#This Row],[DATA DE PAGAMENTO]],"mmmm")))),"")</f>
        <v/>
      </c>
      <c r="Y33" s="523" t="str">
        <f>IFERROR(VLOOKUP(LANÇ_MOV[[#This Row],[PLANO DE CONTAS]],Plano_Contas[[PLANO DE CONTAS]:[NOMES INTERVALOS]],2,0),"")</f>
        <v>Despesas_Com_RH</v>
      </c>
      <c r="Z33" s="523" t="str">
        <f>IF(LANÇ_MOV[[#This Row],[FORMA DE PAGAMENTO]]="","",VLOOKUP(LANÇ_MOV[[#This Row],[FORMA DE PAGAMENTO]],CAD_Forma_pagto[],2,0))</f>
        <v>PIX</v>
      </c>
      <c r="AA33" s="524" t="str">
        <f>IF(LANÇ_MOV[[#This Row],[DATA DE LANÇAMENTO]]="","",TEXT(LANÇ_MOV[[#This Row],[DATA DE LANÇAMENTO]],"AAAA"))</f>
        <v>2025</v>
      </c>
      <c r="AB33" s="524" t="str">
        <f>IF(LANÇ_MOV[[#This Row],[DATA DE LANÇAMENTO]]="","",UPPER(TEXT(LANÇ_MOV[[#This Row],[DATA DE LANÇAMENTO]],"MMMM")))</f>
        <v>OUTUBRO</v>
      </c>
      <c r="AC33" s="525" t="str">
        <f>IF(LANÇ_MOV[[#This Row],[DATA DE LANÇAMENTO]]="","",PROPER(TEXT(LANÇ_MOV[[#This Row],[DATA DE LANÇAMENTO]],"M")))</f>
        <v>10</v>
      </c>
      <c r="AD33" s="524" t="str">
        <f>IF(LANÇ_MOV[[#This Row],[DATA DE LANÇAMENTO]]="","",TEXT(LANÇ_MOV[[#This Row],[DATA DE LANÇAMENTO]],"D"))</f>
        <v>1</v>
      </c>
      <c r="AE33" s="526" t="str">
        <f>IF(LANÇ_MOV[[#This Row],[DATA DE VENCIMENTO]]="","",TEXT(LANÇ_MOV[[#This Row],[DATA DE VENCIMENTO]],"AAAA"))</f>
        <v>2026</v>
      </c>
      <c r="AF33" s="526" t="str">
        <f>IF(LANÇ_MOV[[#This Row],[DATA DE VENCIMENTO]]="","",UPPER(TEXT(LANÇ_MOV[[#This Row],[DATA DE VENCIMENTO]],"MMMM")))</f>
        <v>NOVEMBRO</v>
      </c>
      <c r="AG33" s="526" t="str">
        <f>IF(LANÇ_MOV[[#This Row],[DATA DE VENCIMENTO]]="","",TEXT(LANÇ_MOV[[#This Row],[DATA DE VENCIMENTO]],"M"))</f>
        <v>11</v>
      </c>
      <c r="AH33" s="526" t="str">
        <f>IF(LANÇ_MOV[[#This Row],[DATA DE VENCIMENTO]]="","",TEXT(LANÇ_MOV[[#This Row],[DATA DE VENCIMENTO]],"D"))</f>
        <v>5</v>
      </c>
      <c r="AI33" s="526" t="str">
        <f>IF(LANÇ_MOV[[#This Row],[DATA DE PAGAMENTO]]="","",TEXT(LANÇ_MOV[[#This Row],[DATA DE PAGAMENTO]],"AAAA"))</f>
        <v/>
      </c>
      <c r="AJ33" s="527" t="str">
        <f>IF(LANÇ_MOV[[#This Row],[DATA DE PAGAMENTO]]="","",UPPER(TEXT(LANÇ_MOV[[#This Row],[DATA DE PAGAMENTO]],"MMMM")))</f>
        <v/>
      </c>
      <c r="AK33" s="527" t="str">
        <f>IF(LANÇ_MOV[[#This Row],[DATA DE PAGAMENTO]]="","",TEXT(LANÇ_MOV[[#This Row],[DATA DE PAGAMENTO]],"M"))</f>
        <v/>
      </c>
      <c r="AL33" s="526" t="str">
        <f>IF(LANÇ_MOV[[#This Row],[DATA DE PAGAMENTO]]="","",TEXT(LANÇ_MOV[[#This Row],[DATA DE PAGAMENTO]],"D"))</f>
        <v/>
      </c>
      <c r="AM33" s="27"/>
      <c r="BA33" s="112"/>
      <c r="BB33" s="112"/>
      <c r="BC33" s="112"/>
      <c r="BD33" s="112"/>
    </row>
    <row r="34" spans="1:56" ht="30.05" customHeight="1" x14ac:dyDescent="0.35">
      <c r="B34" s="506">
        <v>45931</v>
      </c>
      <c r="C34" s="507" t="s">
        <v>1661</v>
      </c>
      <c r="D34" s="508" t="s">
        <v>1854</v>
      </c>
      <c r="E34" s="509" t="s">
        <v>228</v>
      </c>
      <c r="F34" s="510" t="s">
        <v>1641</v>
      </c>
      <c r="G34" s="507"/>
      <c r="H34" s="511">
        <v>0</v>
      </c>
      <c r="I34" s="512" t="s">
        <v>1758</v>
      </c>
      <c r="J34" s="510">
        <v>1000</v>
      </c>
      <c r="K34" s="513">
        <v>0</v>
      </c>
      <c r="L34" s="513">
        <v>0</v>
      </c>
      <c r="M34" s="513">
        <v>0</v>
      </c>
      <c r="N34" s="514">
        <f>LANÇ_MOV[[#This Row],[VALOR BRUTO]]-LANÇ_MOV[[#This Row],[DESCONTO]]+LANÇ_MOV[[#This Row],[JUROS]]+LANÇ_MOV[[#This Row],[MULTA]]</f>
        <v>1000</v>
      </c>
      <c r="O34" s="528">
        <v>46346</v>
      </c>
      <c r="P34" s="516" t="str">
        <f t="shared" ca="1" si="0"/>
        <v>Prazo - Mais de 1 mês</v>
      </c>
      <c r="Q34" s="530"/>
      <c r="R34" s="531" t="s">
        <v>1564</v>
      </c>
      <c r="S34" s="531"/>
      <c r="T34" s="531" t="s">
        <v>1776</v>
      </c>
      <c r="U34" s="519" t="s">
        <v>2008</v>
      </c>
      <c r="V34" s="520" t="str">
        <f>IFERROR(VLOOKUP(LANÇ_MOV[[#This Row],[PLANO DE CONTAS]],Plano_Contas[[PLANO DE CONTAS]:[R / D]],3,0),"")</f>
        <v>Despesa</v>
      </c>
      <c r="W34" s="521" t="str">
        <f>IF(LANÇ_MOV[[#This Row],[DATA DE PAGAMENTO]]&lt;&gt;"","Pago","Não Pago")</f>
        <v>Não Pago</v>
      </c>
      <c r="X34" s="522" t="str">
        <f>IFERROR(IF(LANÇ_MOV[[#This Row],[DATA DE PAGAMENTO]]="","",(UPPER(TEXT(LANÇ_MOV[[#This Row],[DATA DE PAGAMENTO]],"mmmm")))),"")</f>
        <v/>
      </c>
      <c r="Y34" s="523" t="str">
        <f>IFERROR(VLOOKUP(LANÇ_MOV[[#This Row],[PLANO DE CONTAS]],Plano_Contas[[PLANO DE CONTAS]:[NOMES INTERVALOS]],2,0),"")</f>
        <v>Despesas_Com_RH</v>
      </c>
      <c r="Z34" s="523" t="str">
        <f>IF(LANÇ_MOV[[#This Row],[FORMA DE PAGAMENTO]]="","",VLOOKUP(LANÇ_MOV[[#This Row],[FORMA DE PAGAMENTO]],CAD_Forma_pagto[],2,0))</f>
        <v>PIX</v>
      </c>
      <c r="AA34" s="524" t="str">
        <f>IF(LANÇ_MOV[[#This Row],[DATA DE LANÇAMENTO]]="","",TEXT(LANÇ_MOV[[#This Row],[DATA DE LANÇAMENTO]],"AAAA"))</f>
        <v>2025</v>
      </c>
      <c r="AB34" s="524" t="str">
        <f>IF(LANÇ_MOV[[#This Row],[DATA DE LANÇAMENTO]]="","",UPPER(TEXT(LANÇ_MOV[[#This Row],[DATA DE LANÇAMENTO]],"MMMM")))</f>
        <v>OUTUBRO</v>
      </c>
      <c r="AC34" s="525" t="str">
        <f>IF(LANÇ_MOV[[#This Row],[DATA DE LANÇAMENTO]]="","",PROPER(TEXT(LANÇ_MOV[[#This Row],[DATA DE LANÇAMENTO]],"M")))</f>
        <v>10</v>
      </c>
      <c r="AD34" s="524" t="str">
        <f>IF(LANÇ_MOV[[#This Row],[DATA DE LANÇAMENTO]]="","",TEXT(LANÇ_MOV[[#This Row],[DATA DE LANÇAMENTO]],"D"))</f>
        <v>1</v>
      </c>
      <c r="AE34" s="526" t="str">
        <f>IF(LANÇ_MOV[[#This Row],[DATA DE VENCIMENTO]]="","",TEXT(LANÇ_MOV[[#This Row],[DATA DE VENCIMENTO]],"AAAA"))</f>
        <v>2026</v>
      </c>
      <c r="AF34" s="526" t="str">
        <f>IF(LANÇ_MOV[[#This Row],[DATA DE VENCIMENTO]]="","",UPPER(TEXT(LANÇ_MOV[[#This Row],[DATA DE VENCIMENTO]],"MMMM")))</f>
        <v>NOVEMBRO</v>
      </c>
      <c r="AG34" s="526" t="str">
        <f>IF(LANÇ_MOV[[#This Row],[DATA DE VENCIMENTO]]="","",TEXT(LANÇ_MOV[[#This Row],[DATA DE VENCIMENTO]],"M"))</f>
        <v>11</v>
      </c>
      <c r="AH34" s="526" t="str">
        <f>IF(LANÇ_MOV[[#This Row],[DATA DE VENCIMENTO]]="","",TEXT(LANÇ_MOV[[#This Row],[DATA DE VENCIMENTO]],"D"))</f>
        <v>20</v>
      </c>
      <c r="AI34" s="526" t="str">
        <f>IF(LANÇ_MOV[[#This Row],[DATA DE PAGAMENTO]]="","",TEXT(LANÇ_MOV[[#This Row],[DATA DE PAGAMENTO]],"AAAA"))</f>
        <v/>
      </c>
      <c r="AJ34" s="527" t="str">
        <f>IF(LANÇ_MOV[[#This Row],[DATA DE PAGAMENTO]]="","",UPPER(TEXT(LANÇ_MOV[[#This Row],[DATA DE PAGAMENTO]],"MMMM")))</f>
        <v/>
      </c>
      <c r="AK34" s="527" t="str">
        <f>IF(LANÇ_MOV[[#This Row],[DATA DE PAGAMENTO]]="","",TEXT(LANÇ_MOV[[#This Row],[DATA DE PAGAMENTO]],"M"))</f>
        <v/>
      </c>
      <c r="AL34" s="526" t="str">
        <f>IF(LANÇ_MOV[[#This Row],[DATA DE PAGAMENTO]]="","",TEXT(LANÇ_MOV[[#This Row],[DATA DE PAGAMENTO]],"D"))</f>
        <v/>
      </c>
      <c r="AM34" s="27"/>
      <c r="BA34" s="112"/>
      <c r="BB34" s="112"/>
      <c r="BC34" s="112"/>
      <c r="BD34" s="112"/>
    </row>
    <row r="35" spans="1:56" ht="30.05" customHeight="1" x14ac:dyDescent="0.35">
      <c r="B35" s="506">
        <v>45931</v>
      </c>
      <c r="C35" s="507" t="s">
        <v>1661</v>
      </c>
      <c r="D35" s="508" t="s">
        <v>1854</v>
      </c>
      <c r="E35" s="509" t="s">
        <v>228</v>
      </c>
      <c r="F35" s="510" t="s">
        <v>1492</v>
      </c>
      <c r="G35" s="507"/>
      <c r="H35" s="511">
        <v>0</v>
      </c>
      <c r="I35" s="512" t="s">
        <v>1758</v>
      </c>
      <c r="J35" s="510">
        <v>1000</v>
      </c>
      <c r="K35" s="513">
        <v>0</v>
      </c>
      <c r="L35" s="513">
        <v>0</v>
      </c>
      <c r="M35" s="513">
        <v>0</v>
      </c>
      <c r="N35" s="514">
        <f>LANÇ_MOV[[#This Row],[VALOR BRUTO]]-LANÇ_MOV[[#This Row],[DESCONTO]]+LANÇ_MOV[[#This Row],[JUROS]]+LANÇ_MOV[[#This Row],[MULTA]]</f>
        <v>1000</v>
      </c>
      <c r="O35" s="528">
        <v>46361</v>
      </c>
      <c r="P35" s="516" t="str">
        <f t="shared" ca="1" si="0"/>
        <v>Prazo - Mais de 1 mês</v>
      </c>
      <c r="Q35" s="530"/>
      <c r="R35" s="531" t="s">
        <v>1564</v>
      </c>
      <c r="S35" s="531"/>
      <c r="T35" s="531" t="s">
        <v>1776</v>
      </c>
      <c r="U35" s="519" t="s">
        <v>2008</v>
      </c>
      <c r="V35" s="520" t="str">
        <f>IFERROR(VLOOKUP(LANÇ_MOV[[#This Row],[PLANO DE CONTAS]],Plano_Contas[[PLANO DE CONTAS]:[R / D]],3,0),"")</f>
        <v>Despesa</v>
      </c>
      <c r="W35" s="521" t="str">
        <f>IF(LANÇ_MOV[[#This Row],[DATA DE PAGAMENTO]]&lt;&gt;"","Pago","Não Pago")</f>
        <v>Não Pago</v>
      </c>
      <c r="X35" s="522" t="str">
        <f>IFERROR(IF(LANÇ_MOV[[#This Row],[DATA DE PAGAMENTO]]="","",(UPPER(TEXT(LANÇ_MOV[[#This Row],[DATA DE PAGAMENTO]],"mmmm")))),"")</f>
        <v/>
      </c>
      <c r="Y35" s="523" t="str">
        <f>IFERROR(VLOOKUP(LANÇ_MOV[[#This Row],[PLANO DE CONTAS]],Plano_Contas[[PLANO DE CONTAS]:[NOMES INTERVALOS]],2,0),"")</f>
        <v>Despesas_Com_RH</v>
      </c>
      <c r="Z35" s="523" t="str">
        <f>IF(LANÇ_MOV[[#This Row],[FORMA DE PAGAMENTO]]="","",VLOOKUP(LANÇ_MOV[[#This Row],[FORMA DE PAGAMENTO]],CAD_Forma_pagto[],2,0))</f>
        <v>PIX</v>
      </c>
      <c r="AA35" s="524" t="str">
        <f>IF(LANÇ_MOV[[#This Row],[DATA DE LANÇAMENTO]]="","",TEXT(LANÇ_MOV[[#This Row],[DATA DE LANÇAMENTO]],"AAAA"))</f>
        <v>2025</v>
      </c>
      <c r="AB35" s="524" t="str">
        <f>IF(LANÇ_MOV[[#This Row],[DATA DE LANÇAMENTO]]="","",UPPER(TEXT(LANÇ_MOV[[#This Row],[DATA DE LANÇAMENTO]],"MMMM")))</f>
        <v>OUTUBRO</v>
      </c>
      <c r="AC35" s="525" t="str">
        <f>IF(LANÇ_MOV[[#This Row],[DATA DE LANÇAMENTO]]="","",PROPER(TEXT(LANÇ_MOV[[#This Row],[DATA DE LANÇAMENTO]],"M")))</f>
        <v>10</v>
      </c>
      <c r="AD35" s="524" t="str">
        <f>IF(LANÇ_MOV[[#This Row],[DATA DE LANÇAMENTO]]="","",TEXT(LANÇ_MOV[[#This Row],[DATA DE LANÇAMENTO]],"D"))</f>
        <v>1</v>
      </c>
      <c r="AE35" s="526" t="str">
        <f>IF(LANÇ_MOV[[#This Row],[DATA DE VENCIMENTO]]="","",TEXT(LANÇ_MOV[[#This Row],[DATA DE VENCIMENTO]],"AAAA"))</f>
        <v>2026</v>
      </c>
      <c r="AF35" s="526" t="str">
        <f>IF(LANÇ_MOV[[#This Row],[DATA DE VENCIMENTO]]="","",UPPER(TEXT(LANÇ_MOV[[#This Row],[DATA DE VENCIMENTO]],"MMMM")))</f>
        <v>DEZEMBRO</v>
      </c>
      <c r="AG35" s="526" t="str">
        <f>IF(LANÇ_MOV[[#This Row],[DATA DE VENCIMENTO]]="","",TEXT(LANÇ_MOV[[#This Row],[DATA DE VENCIMENTO]],"M"))</f>
        <v>12</v>
      </c>
      <c r="AH35" s="526" t="str">
        <f>IF(LANÇ_MOV[[#This Row],[DATA DE VENCIMENTO]]="","",TEXT(LANÇ_MOV[[#This Row],[DATA DE VENCIMENTO]],"D"))</f>
        <v>5</v>
      </c>
      <c r="AI35" s="526" t="str">
        <f>IF(LANÇ_MOV[[#This Row],[DATA DE PAGAMENTO]]="","",TEXT(LANÇ_MOV[[#This Row],[DATA DE PAGAMENTO]],"AAAA"))</f>
        <v/>
      </c>
      <c r="AJ35" s="527" t="str">
        <f>IF(LANÇ_MOV[[#This Row],[DATA DE PAGAMENTO]]="","",UPPER(TEXT(LANÇ_MOV[[#This Row],[DATA DE PAGAMENTO]],"MMMM")))</f>
        <v/>
      </c>
      <c r="AK35" s="527" t="str">
        <f>IF(LANÇ_MOV[[#This Row],[DATA DE PAGAMENTO]]="","",TEXT(LANÇ_MOV[[#This Row],[DATA DE PAGAMENTO]],"M"))</f>
        <v/>
      </c>
      <c r="AL35" s="526" t="str">
        <f>IF(LANÇ_MOV[[#This Row],[DATA DE PAGAMENTO]]="","",TEXT(LANÇ_MOV[[#This Row],[DATA DE PAGAMENTO]],"D"))</f>
        <v/>
      </c>
      <c r="AM35" s="27"/>
      <c r="BA35" s="112"/>
      <c r="BB35" s="112"/>
      <c r="BC35" s="112"/>
      <c r="BD35" s="112"/>
    </row>
    <row r="36" spans="1:56" ht="30.05" customHeight="1" x14ac:dyDescent="0.35">
      <c r="B36" s="506">
        <v>45931</v>
      </c>
      <c r="C36" s="507" t="s">
        <v>1661</v>
      </c>
      <c r="D36" s="508" t="s">
        <v>1854</v>
      </c>
      <c r="E36" s="509" t="s">
        <v>228</v>
      </c>
      <c r="F36" s="510" t="s">
        <v>1642</v>
      </c>
      <c r="G36" s="507"/>
      <c r="H36" s="511">
        <v>0</v>
      </c>
      <c r="I36" s="512" t="s">
        <v>1758</v>
      </c>
      <c r="J36" s="510">
        <v>1000</v>
      </c>
      <c r="K36" s="513">
        <v>0</v>
      </c>
      <c r="L36" s="513">
        <v>0</v>
      </c>
      <c r="M36" s="513">
        <v>0</v>
      </c>
      <c r="N36" s="514">
        <f>LANÇ_MOV[[#This Row],[VALOR BRUTO]]-LANÇ_MOV[[#This Row],[DESCONTO]]+LANÇ_MOV[[#This Row],[JUROS]]+LANÇ_MOV[[#This Row],[MULTA]]</f>
        <v>1000</v>
      </c>
      <c r="O36" s="528">
        <v>46376</v>
      </c>
      <c r="P36" s="516" t="str">
        <f t="shared" ca="1" si="0"/>
        <v>Prazo - Mais de 1 mês</v>
      </c>
      <c r="Q36" s="530"/>
      <c r="R36" s="531" t="s">
        <v>1564</v>
      </c>
      <c r="S36" s="518"/>
      <c r="T36" s="531" t="s">
        <v>1776</v>
      </c>
      <c r="U36" s="519" t="s">
        <v>2008</v>
      </c>
      <c r="V36" s="520" t="str">
        <f>IFERROR(VLOOKUP(LANÇ_MOV[[#This Row],[PLANO DE CONTAS]],Plano_Contas[[PLANO DE CONTAS]:[R / D]],3,0),"")</f>
        <v>Despesa</v>
      </c>
      <c r="W36" s="521" t="str">
        <f>IF(LANÇ_MOV[[#This Row],[DATA DE PAGAMENTO]]&lt;&gt;"","Pago","Não Pago")</f>
        <v>Não Pago</v>
      </c>
      <c r="X36" s="522" t="str">
        <f>IFERROR(IF(LANÇ_MOV[[#This Row],[DATA DE PAGAMENTO]]="","",(UPPER(TEXT(LANÇ_MOV[[#This Row],[DATA DE PAGAMENTO]],"mmmm")))),"")</f>
        <v/>
      </c>
      <c r="Y36" s="523" t="str">
        <f>IFERROR(VLOOKUP(LANÇ_MOV[[#This Row],[PLANO DE CONTAS]],Plano_Contas[[PLANO DE CONTAS]:[NOMES INTERVALOS]],2,0),"")</f>
        <v>Despesas_Com_RH</v>
      </c>
      <c r="Z36" s="523" t="str">
        <f>IF(LANÇ_MOV[[#This Row],[FORMA DE PAGAMENTO]]="","",VLOOKUP(LANÇ_MOV[[#This Row],[FORMA DE PAGAMENTO]],CAD_Forma_pagto[],2,0))</f>
        <v>PIX</v>
      </c>
      <c r="AA36" s="524" t="str">
        <f>IF(LANÇ_MOV[[#This Row],[DATA DE LANÇAMENTO]]="","",TEXT(LANÇ_MOV[[#This Row],[DATA DE LANÇAMENTO]],"AAAA"))</f>
        <v>2025</v>
      </c>
      <c r="AB36" s="524" t="str">
        <f>IF(LANÇ_MOV[[#This Row],[DATA DE LANÇAMENTO]]="","",UPPER(TEXT(LANÇ_MOV[[#This Row],[DATA DE LANÇAMENTO]],"MMMM")))</f>
        <v>OUTUBRO</v>
      </c>
      <c r="AC36" s="525" t="str">
        <f>IF(LANÇ_MOV[[#This Row],[DATA DE LANÇAMENTO]]="","",PROPER(TEXT(LANÇ_MOV[[#This Row],[DATA DE LANÇAMENTO]],"M")))</f>
        <v>10</v>
      </c>
      <c r="AD36" s="524" t="str">
        <f>IF(LANÇ_MOV[[#This Row],[DATA DE LANÇAMENTO]]="","",TEXT(LANÇ_MOV[[#This Row],[DATA DE LANÇAMENTO]],"D"))</f>
        <v>1</v>
      </c>
      <c r="AE36" s="526" t="str">
        <f>IF(LANÇ_MOV[[#This Row],[DATA DE VENCIMENTO]]="","",TEXT(LANÇ_MOV[[#This Row],[DATA DE VENCIMENTO]],"AAAA"))</f>
        <v>2026</v>
      </c>
      <c r="AF36" s="526" t="str">
        <f>IF(LANÇ_MOV[[#This Row],[DATA DE VENCIMENTO]]="","",UPPER(TEXT(LANÇ_MOV[[#This Row],[DATA DE VENCIMENTO]],"MMMM")))</f>
        <v>DEZEMBRO</v>
      </c>
      <c r="AG36" s="526" t="str">
        <f>IF(LANÇ_MOV[[#This Row],[DATA DE VENCIMENTO]]="","",TEXT(LANÇ_MOV[[#This Row],[DATA DE VENCIMENTO]],"M"))</f>
        <v>12</v>
      </c>
      <c r="AH36" s="526" t="str">
        <f>IF(LANÇ_MOV[[#This Row],[DATA DE VENCIMENTO]]="","",TEXT(LANÇ_MOV[[#This Row],[DATA DE VENCIMENTO]],"D"))</f>
        <v>20</v>
      </c>
      <c r="AI36" s="526" t="str">
        <f>IF(LANÇ_MOV[[#This Row],[DATA DE PAGAMENTO]]="","",TEXT(LANÇ_MOV[[#This Row],[DATA DE PAGAMENTO]],"AAAA"))</f>
        <v/>
      </c>
      <c r="AJ36" s="527" t="str">
        <f>IF(LANÇ_MOV[[#This Row],[DATA DE PAGAMENTO]]="","",UPPER(TEXT(LANÇ_MOV[[#This Row],[DATA DE PAGAMENTO]],"MMMM")))</f>
        <v/>
      </c>
      <c r="AK36" s="527" t="str">
        <f>IF(LANÇ_MOV[[#This Row],[DATA DE PAGAMENTO]]="","",TEXT(LANÇ_MOV[[#This Row],[DATA DE PAGAMENTO]],"M"))</f>
        <v/>
      </c>
      <c r="AL36" s="526" t="str">
        <f>IF(LANÇ_MOV[[#This Row],[DATA DE PAGAMENTO]]="","",TEXT(LANÇ_MOV[[#This Row],[DATA DE PAGAMENTO]],"D"))</f>
        <v/>
      </c>
      <c r="AM36" s="27"/>
      <c r="BA36" s="112"/>
      <c r="BB36" s="112"/>
      <c r="BC36" s="112"/>
      <c r="BD36" s="112"/>
    </row>
    <row r="37" spans="1:56" ht="30.05" customHeight="1" x14ac:dyDescent="0.35">
      <c r="B37" s="506">
        <v>45931</v>
      </c>
      <c r="C37" s="507" t="s">
        <v>1661</v>
      </c>
      <c r="D37" s="508" t="s">
        <v>1854</v>
      </c>
      <c r="E37" s="509" t="s">
        <v>228</v>
      </c>
      <c r="F37" s="510" t="s">
        <v>1492</v>
      </c>
      <c r="G37" s="507"/>
      <c r="H37" s="511">
        <v>0</v>
      </c>
      <c r="I37" s="512" t="s">
        <v>1738</v>
      </c>
      <c r="J37" s="510">
        <v>1489.96</v>
      </c>
      <c r="K37" s="513">
        <v>0</v>
      </c>
      <c r="L37" s="513">
        <v>0</v>
      </c>
      <c r="M37" s="513">
        <v>0</v>
      </c>
      <c r="N37" s="514">
        <f>LANÇ_MOV[[#This Row],[VALOR BRUTO]]-LANÇ_MOV[[#This Row],[DESCONTO]]+LANÇ_MOV[[#This Row],[JUROS]]+LANÇ_MOV[[#This Row],[MULTA]]</f>
        <v>1489.96</v>
      </c>
      <c r="O37" s="528">
        <v>45936</v>
      </c>
      <c r="P37" s="516" t="str">
        <f t="shared" ca="1" si="0"/>
        <v>Pago</v>
      </c>
      <c r="Q37" s="530">
        <v>45936</v>
      </c>
      <c r="R37" s="529" t="s">
        <v>1564</v>
      </c>
      <c r="S37" s="531"/>
      <c r="T37" s="518" t="s">
        <v>1776</v>
      </c>
      <c r="U37" s="519" t="s">
        <v>2008</v>
      </c>
      <c r="V37" s="520" t="str">
        <f>IFERROR(VLOOKUP(LANÇ_MOV[[#This Row],[PLANO DE CONTAS]],Plano_Contas[[PLANO DE CONTAS]:[R / D]],3,0),"")</f>
        <v>Despesa</v>
      </c>
      <c r="W37" s="521" t="str">
        <f>IF(LANÇ_MOV[[#This Row],[DATA DE PAGAMENTO]]&lt;&gt;"","Pago","Não Pago")</f>
        <v>Pago</v>
      </c>
      <c r="X37" s="522" t="str">
        <f>IFERROR(IF(LANÇ_MOV[[#This Row],[DATA DE PAGAMENTO]]="","",(UPPER(TEXT(LANÇ_MOV[[#This Row],[DATA DE PAGAMENTO]],"mmmm")))),"")</f>
        <v>OUTUBRO</v>
      </c>
      <c r="Y37" s="523" t="str">
        <f>IFERROR(VLOOKUP(LANÇ_MOV[[#This Row],[PLANO DE CONTAS]],Plano_Contas[[PLANO DE CONTAS]:[NOMES INTERVALOS]],2,0),"")</f>
        <v>Despesas_Com_RH</v>
      </c>
      <c r="Z37" s="523" t="str">
        <f>IF(LANÇ_MOV[[#This Row],[FORMA DE PAGAMENTO]]="","",VLOOKUP(LANÇ_MOV[[#This Row],[FORMA DE PAGAMENTO]],CAD_Forma_pagto[],2,0))</f>
        <v>PIX</v>
      </c>
      <c r="AA37" s="524" t="str">
        <f>IF(LANÇ_MOV[[#This Row],[DATA DE LANÇAMENTO]]="","",TEXT(LANÇ_MOV[[#This Row],[DATA DE LANÇAMENTO]],"AAAA"))</f>
        <v>2025</v>
      </c>
      <c r="AB37" s="524" t="str">
        <f>IF(LANÇ_MOV[[#This Row],[DATA DE LANÇAMENTO]]="","",UPPER(TEXT(LANÇ_MOV[[#This Row],[DATA DE LANÇAMENTO]],"MMMM")))</f>
        <v>OUTUBRO</v>
      </c>
      <c r="AC37" s="525" t="str">
        <f>IF(LANÇ_MOV[[#This Row],[DATA DE LANÇAMENTO]]="","",PROPER(TEXT(LANÇ_MOV[[#This Row],[DATA DE LANÇAMENTO]],"M")))</f>
        <v>10</v>
      </c>
      <c r="AD37" s="524" t="str">
        <f>IF(LANÇ_MOV[[#This Row],[DATA DE LANÇAMENTO]]="","",TEXT(LANÇ_MOV[[#This Row],[DATA DE LANÇAMENTO]],"D"))</f>
        <v>1</v>
      </c>
      <c r="AE37" s="526" t="str">
        <f>IF(LANÇ_MOV[[#This Row],[DATA DE VENCIMENTO]]="","",TEXT(LANÇ_MOV[[#This Row],[DATA DE VENCIMENTO]],"AAAA"))</f>
        <v>2025</v>
      </c>
      <c r="AF37" s="526" t="str">
        <f>IF(LANÇ_MOV[[#This Row],[DATA DE VENCIMENTO]]="","",UPPER(TEXT(LANÇ_MOV[[#This Row],[DATA DE VENCIMENTO]],"MMMM")))</f>
        <v>OUTUBRO</v>
      </c>
      <c r="AG37" s="526" t="str">
        <f>IF(LANÇ_MOV[[#This Row],[DATA DE VENCIMENTO]]="","",TEXT(LANÇ_MOV[[#This Row],[DATA DE VENCIMENTO]],"M"))</f>
        <v>10</v>
      </c>
      <c r="AH37" s="526" t="str">
        <f>IF(LANÇ_MOV[[#This Row],[DATA DE VENCIMENTO]]="","",TEXT(LANÇ_MOV[[#This Row],[DATA DE VENCIMENTO]],"D"))</f>
        <v>6</v>
      </c>
      <c r="AI37" s="526" t="str">
        <f>IF(LANÇ_MOV[[#This Row],[DATA DE PAGAMENTO]]="","",TEXT(LANÇ_MOV[[#This Row],[DATA DE PAGAMENTO]],"AAAA"))</f>
        <v>2025</v>
      </c>
      <c r="AJ37" s="527" t="str">
        <f>IF(LANÇ_MOV[[#This Row],[DATA DE PAGAMENTO]]="","",UPPER(TEXT(LANÇ_MOV[[#This Row],[DATA DE PAGAMENTO]],"MMMM")))</f>
        <v>OUTUBRO</v>
      </c>
      <c r="AK37" s="527" t="str">
        <f>IF(LANÇ_MOV[[#This Row],[DATA DE PAGAMENTO]]="","",TEXT(LANÇ_MOV[[#This Row],[DATA DE PAGAMENTO]],"M"))</f>
        <v>10</v>
      </c>
      <c r="AL37" s="526" t="str">
        <f>IF(LANÇ_MOV[[#This Row],[DATA DE PAGAMENTO]]="","",TEXT(LANÇ_MOV[[#This Row],[DATA DE PAGAMENTO]],"D"))</f>
        <v>6</v>
      </c>
      <c r="AM37" s="27"/>
      <c r="BA37" s="112"/>
      <c r="BB37" s="112"/>
      <c r="BC37" s="112"/>
      <c r="BD37" s="112"/>
    </row>
    <row r="38" spans="1:56" ht="30.05" customHeight="1" x14ac:dyDescent="0.35">
      <c r="B38" s="506">
        <v>45931</v>
      </c>
      <c r="C38" s="507" t="s">
        <v>1661</v>
      </c>
      <c r="D38" s="508" t="s">
        <v>1854</v>
      </c>
      <c r="E38" s="509" t="s">
        <v>228</v>
      </c>
      <c r="F38" s="510" t="s">
        <v>1492</v>
      </c>
      <c r="G38" s="507"/>
      <c r="H38" s="511">
        <v>0</v>
      </c>
      <c r="I38" s="512" t="s">
        <v>1738</v>
      </c>
      <c r="J38" s="510">
        <v>1774.05</v>
      </c>
      <c r="K38" s="513">
        <v>0</v>
      </c>
      <c r="L38" s="513">
        <v>0</v>
      </c>
      <c r="M38" s="513">
        <v>0</v>
      </c>
      <c r="N38" s="514">
        <f>LANÇ_MOV[[#This Row],[VALOR BRUTO]]-LANÇ_MOV[[#This Row],[DESCONTO]]+LANÇ_MOV[[#This Row],[JUROS]]+LANÇ_MOV[[#This Row],[MULTA]]</f>
        <v>1774.05</v>
      </c>
      <c r="O38" s="528">
        <v>45968</v>
      </c>
      <c r="P38" s="516" t="str">
        <f t="shared" ca="1" si="0"/>
        <v>Pago</v>
      </c>
      <c r="Q38" s="530">
        <v>45966</v>
      </c>
      <c r="R38" s="529" t="s">
        <v>1564</v>
      </c>
      <c r="S38" s="531"/>
      <c r="T38" s="518" t="s">
        <v>1776</v>
      </c>
      <c r="U38" s="519" t="s">
        <v>2008</v>
      </c>
      <c r="V38" s="520" t="str">
        <f>IFERROR(VLOOKUP(LANÇ_MOV[[#This Row],[PLANO DE CONTAS]],Plano_Contas[[PLANO DE CONTAS]:[R / D]],3,0),"")</f>
        <v>Despesa</v>
      </c>
      <c r="W38" s="521" t="str">
        <f>IF(LANÇ_MOV[[#This Row],[DATA DE PAGAMENTO]]&lt;&gt;"","Pago","Não Pago")</f>
        <v>Pago</v>
      </c>
      <c r="X38" s="522" t="str">
        <f>IFERROR(IF(LANÇ_MOV[[#This Row],[DATA DE PAGAMENTO]]="","",(UPPER(TEXT(LANÇ_MOV[[#This Row],[DATA DE PAGAMENTO]],"mmmm")))),"")</f>
        <v>NOVEMBRO</v>
      </c>
      <c r="Y38" s="523" t="str">
        <f>IFERROR(VLOOKUP(LANÇ_MOV[[#This Row],[PLANO DE CONTAS]],Plano_Contas[[PLANO DE CONTAS]:[NOMES INTERVALOS]],2,0),"")</f>
        <v>Despesas_Com_RH</v>
      </c>
      <c r="Z38" s="523" t="str">
        <f>IF(LANÇ_MOV[[#This Row],[FORMA DE PAGAMENTO]]="","",VLOOKUP(LANÇ_MOV[[#This Row],[FORMA DE PAGAMENTO]],CAD_Forma_pagto[],2,0))</f>
        <v>PIX</v>
      </c>
      <c r="AA38" s="524" t="str">
        <f>IF(LANÇ_MOV[[#This Row],[DATA DE LANÇAMENTO]]="","",TEXT(LANÇ_MOV[[#This Row],[DATA DE LANÇAMENTO]],"AAAA"))</f>
        <v>2025</v>
      </c>
      <c r="AB38" s="524" t="str">
        <f>IF(LANÇ_MOV[[#This Row],[DATA DE LANÇAMENTO]]="","",UPPER(TEXT(LANÇ_MOV[[#This Row],[DATA DE LANÇAMENTO]],"MMMM")))</f>
        <v>OUTUBRO</v>
      </c>
      <c r="AC38" s="525" t="str">
        <f>IF(LANÇ_MOV[[#This Row],[DATA DE LANÇAMENTO]]="","",PROPER(TEXT(LANÇ_MOV[[#This Row],[DATA DE LANÇAMENTO]],"M")))</f>
        <v>10</v>
      </c>
      <c r="AD38" s="524" t="str">
        <f>IF(LANÇ_MOV[[#This Row],[DATA DE LANÇAMENTO]]="","",TEXT(LANÇ_MOV[[#This Row],[DATA DE LANÇAMENTO]],"D"))</f>
        <v>1</v>
      </c>
      <c r="AE38" s="526" t="str">
        <f>IF(LANÇ_MOV[[#This Row],[DATA DE VENCIMENTO]]="","",TEXT(LANÇ_MOV[[#This Row],[DATA DE VENCIMENTO]],"AAAA"))</f>
        <v>2025</v>
      </c>
      <c r="AF38" s="526" t="str">
        <f>IF(LANÇ_MOV[[#This Row],[DATA DE VENCIMENTO]]="","",UPPER(TEXT(LANÇ_MOV[[#This Row],[DATA DE VENCIMENTO]],"MMMM")))</f>
        <v>NOVEMBRO</v>
      </c>
      <c r="AG38" s="526" t="str">
        <f>IF(LANÇ_MOV[[#This Row],[DATA DE VENCIMENTO]]="","",TEXT(LANÇ_MOV[[#This Row],[DATA DE VENCIMENTO]],"M"))</f>
        <v>11</v>
      </c>
      <c r="AH38" s="526" t="str">
        <f>IF(LANÇ_MOV[[#This Row],[DATA DE VENCIMENTO]]="","",TEXT(LANÇ_MOV[[#This Row],[DATA DE VENCIMENTO]],"D"))</f>
        <v>7</v>
      </c>
      <c r="AI38" s="526" t="str">
        <f>IF(LANÇ_MOV[[#This Row],[DATA DE PAGAMENTO]]="","",TEXT(LANÇ_MOV[[#This Row],[DATA DE PAGAMENTO]],"AAAA"))</f>
        <v>2025</v>
      </c>
      <c r="AJ38" s="527" t="str">
        <f>IF(LANÇ_MOV[[#This Row],[DATA DE PAGAMENTO]]="","",UPPER(TEXT(LANÇ_MOV[[#This Row],[DATA DE PAGAMENTO]],"MMMM")))</f>
        <v>NOVEMBRO</v>
      </c>
      <c r="AK38" s="527" t="str">
        <f>IF(LANÇ_MOV[[#This Row],[DATA DE PAGAMENTO]]="","",TEXT(LANÇ_MOV[[#This Row],[DATA DE PAGAMENTO]],"M"))</f>
        <v>11</v>
      </c>
      <c r="AL38" s="526" t="str">
        <f>IF(LANÇ_MOV[[#This Row],[DATA DE PAGAMENTO]]="","",TEXT(LANÇ_MOV[[#This Row],[DATA DE PAGAMENTO]],"D"))</f>
        <v>5</v>
      </c>
      <c r="AM38" s="27"/>
      <c r="BA38" s="112"/>
      <c r="BB38" s="112"/>
      <c r="BC38" s="112"/>
      <c r="BD38" s="112"/>
    </row>
    <row r="39" spans="1:56" ht="30.05" customHeight="1" x14ac:dyDescent="0.35">
      <c r="B39" s="506">
        <v>45931</v>
      </c>
      <c r="C39" s="507" t="s">
        <v>1661</v>
      </c>
      <c r="D39" s="508" t="s">
        <v>1854</v>
      </c>
      <c r="E39" s="509" t="s">
        <v>228</v>
      </c>
      <c r="F39" s="510" t="s">
        <v>1492</v>
      </c>
      <c r="G39" s="507"/>
      <c r="H39" s="511">
        <v>0</v>
      </c>
      <c r="I39" s="512" t="s">
        <v>1738</v>
      </c>
      <c r="J39" s="510">
        <v>1500</v>
      </c>
      <c r="K39" s="513">
        <v>0</v>
      </c>
      <c r="L39" s="513">
        <v>0</v>
      </c>
      <c r="M39" s="513">
        <v>0</v>
      </c>
      <c r="N39" s="514">
        <f>LANÇ_MOV[[#This Row],[VALOR BRUTO]]-LANÇ_MOV[[#This Row],[DESCONTO]]+LANÇ_MOV[[#This Row],[JUROS]]+LANÇ_MOV[[#This Row],[MULTA]]</f>
        <v>1500</v>
      </c>
      <c r="O39" s="515">
        <v>45996</v>
      </c>
      <c r="P39" s="516" t="str">
        <f t="shared" ca="1" si="0"/>
        <v>Prazo - Menos de 10 dias</v>
      </c>
      <c r="Q39" s="517"/>
      <c r="R39" s="529" t="s">
        <v>1564</v>
      </c>
      <c r="S39" s="531"/>
      <c r="T39" s="518" t="s">
        <v>1776</v>
      </c>
      <c r="U39" s="519" t="s">
        <v>2008</v>
      </c>
      <c r="V39" s="520" t="str">
        <f>IFERROR(VLOOKUP(LANÇ_MOV[[#This Row],[PLANO DE CONTAS]],Plano_Contas[[PLANO DE CONTAS]:[R / D]],3,0),"")</f>
        <v>Despesa</v>
      </c>
      <c r="W39" s="521" t="str">
        <f>IF(LANÇ_MOV[[#This Row],[DATA DE PAGAMENTO]]&lt;&gt;"","Pago","Não Pago")</f>
        <v>Não Pago</v>
      </c>
      <c r="X39" s="522" t="str">
        <f>IFERROR(IF(LANÇ_MOV[[#This Row],[DATA DE PAGAMENTO]]="","",(UPPER(TEXT(LANÇ_MOV[[#This Row],[DATA DE PAGAMENTO]],"mmmm")))),"")</f>
        <v/>
      </c>
      <c r="Y39" s="523" t="str">
        <f>IFERROR(VLOOKUP(LANÇ_MOV[[#This Row],[PLANO DE CONTAS]],Plano_Contas[[PLANO DE CONTAS]:[NOMES INTERVALOS]],2,0),"")</f>
        <v>Despesas_Com_RH</v>
      </c>
      <c r="Z39" s="523" t="str">
        <f>IF(LANÇ_MOV[[#This Row],[FORMA DE PAGAMENTO]]="","",VLOOKUP(LANÇ_MOV[[#This Row],[FORMA DE PAGAMENTO]],CAD_Forma_pagto[],2,0))</f>
        <v>PIX</v>
      </c>
      <c r="AA39" s="524" t="str">
        <f>IF(LANÇ_MOV[[#This Row],[DATA DE LANÇAMENTO]]="","",TEXT(LANÇ_MOV[[#This Row],[DATA DE LANÇAMENTO]],"AAAA"))</f>
        <v>2025</v>
      </c>
      <c r="AB39" s="524" t="str">
        <f>IF(LANÇ_MOV[[#This Row],[DATA DE LANÇAMENTO]]="","",UPPER(TEXT(LANÇ_MOV[[#This Row],[DATA DE LANÇAMENTO]],"MMMM")))</f>
        <v>OUTUBRO</v>
      </c>
      <c r="AC39" s="525" t="str">
        <f>IF(LANÇ_MOV[[#This Row],[DATA DE LANÇAMENTO]]="","",PROPER(TEXT(LANÇ_MOV[[#This Row],[DATA DE LANÇAMENTO]],"M")))</f>
        <v>10</v>
      </c>
      <c r="AD39" s="524" t="str">
        <f>IF(LANÇ_MOV[[#This Row],[DATA DE LANÇAMENTO]]="","",TEXT(LANÇ_MOV[[#This Row],[DATA DE LANÇAMENTO]],"D"))</f>
        <v>1</v>
      </c>
      <c r="AE39" s="526" t="str">
        <f>IF(LANÇ_MOV[[#This Row],[DATA DE VENCIMENTO]]="","",TEXT(LANÇ_MOV[[#This Row],[DATA DE VENCIMENTO]],"AAAA"))</f>
        <v>2025</v>
      </c>
      <c r="AF39" s="526" t="str">
        <f>IF(LANÇ_MOV[[#This Row],[DATA DE VENCIMENTO]]="","",UPPER(TEXT(LANÇ_MOV[[#This Row],[DATA DE VENCIMENTO]],"MMMM")))</f>
        <v>DEZEMBRO</v>
      </c>
      <c r="AG39" s="526" t="str">
        <f>IF(LANÇ_MOV[[#This Row],[DATA DE VENCIMENTO]]="","",TEXT(LANÇ_MOV[[#This Row],[DATA DE VENCIMENTO]],"M"))</f>
        <v>12</v>
      </c>
      <c r="AH39" s="526" t="str">
        <f>IF(LANÇ_MOV[[#This Row],[DATA DE VENCIMENTO]]="","",TEXT(LANÇ_MOV[[#This Row],[DATA DE VENCIMENTO]],"D"))</f>
        <v>5</v>
      </c>
      <c r="AI39" s="526" t="str">
        <f>IF(LANÇ_MOV[[#This Row],[DATA DE PAGAMENTO]]="","",TEXT(LANÇ_MOV[[#This Row],[DATA DE PAGAMENTO]],"AAAA"))</f>
        <v/>
      </c>
      <c r="AJ39" s="527" t="str">
        <f>IF(LANÇ_MOV[[#This Row],[DATA DE PAGAMENTO]]="","",UPPER(TEXT(LANÇ_MOV[[#This Row],[DATA DE PAGAMENTO]],"MMMM")))</f>
        <v/>
      </c>
      <c r="AK39" s="527" t="str">
        <f>IF(LANÇ_MOV[[#This Row],[DATA DE PAGAMENTO]]="","",TEXT(LANÇ_MOV[[#This Row],[DATA DE PAGAMENTO]],"M"))</f>
        <v/>
      </c>
      <c r="AL39" s="526" t="str">
        <f>IF(LANÇ_MOV[[#This Row],[DATA DE PAGAMENTO]]="","",TEXT(LANÇ_MOV[[#This Row],[DATA DE PAGAMENTO]],"D"))</f>
        <v/>
      </c>
      <c r="AM39" s="27"/>
      <c r="BA39" s="112"/>
      <c r="BB39" s="112"/>
      <c r="BC39" s="112"/>
      <c r="BD39" s="112"/>
    </row>
    <row r="40" spans="1:56" ht="30.05" customHeight="1" x14ac:dyDescent="0.35">
      <c r="B40" s="506">
        <v>45931</v>
      </c>
      <c r="C40" s="507" t="s">
        <v>1661</v>
      </c>
      <c r="D40" s="508" t="s">
        <v>1854</v>
      </c>
      <c r="E40" s="509" t="s">
        <v>228</v>
      </c>
      <c r="F40" s="510" t="s">
        <v>1641</v>
      </c>
      <c r="G40" s="507"/>
      <c r="H40" s="511">
        <v>0</v>
      </c>
      <c r="I40" s="512" t="s">
        <v>1738</v>
      </c>
      <c r="J40" s="510">
        <v>1500</v>
      </c>
      <c r="K40" s="513">
        <v>0</v>
      </c>
      <c r="L40" s="513">
        <v>0</v>
      </c>
      <c r="M40" s="513">
        <v>0</v>
      </c>
      <c r="N40" s="514">
        <f>LANÇ_MOV[[#This Row],[VALOR BRUTO]]-LANÇ_MOV[[#This Row],[DESCONTO]]+LANÇ_MOV[[#This Row],[JUROS]]+LANÇ_MOV[[#This Row],[MULTA]]</f>
        <v>1500</v>
      </c>
      <c r="O40" s="515">
        <v>45991</v>
      </c>
      <c r="P40" s="516" t="str">
        <f t="shared" ca="1" si="0"/>
        <v>Prazo - Menos de 10 dias</v>
      </c>
      <c r="Q40" s="517"/>
      <c r="R40" s="531" t="s">
        <v>1564</v>
      </c>
      <c r="S40" s="531"/>
      <c r="T40" s="531" t="s">
        <v>1776</v>
      </c>
      <c r="U40" s="519" t="s">
        <v>2008</v>
      </c>
      <c r="V40" s="520" t="str">
        <f>IFERROR(VLOOKUP(LANÇ_MOV[[#This Row],[PLANO DE CONTAS]],Plano_Contas[[PLANO DE CONTAS]:[R / D]],3,0),"")</f>
        <v>Despesa</v>
      </c>
      <c r="W40" s="521" t="str">
        <f>IF(LANÇ_MOV[[#This Row],[DATA DE PAGAMENTO]]&lt;&gt;"","Pago","Não Pago")</f>
        <v>Não Pago</v>
      </c>
      <c r="X40" s="522" t="str">
        <f>IFERROR(IF(LANÇ_MOV[[#This Row],[DATA DE PAGAMENTO]]="","",(UPPER(TEXT(LANÇ_MOV[[#This Row],[DATA DE PAGAMENTO]],"mmmm")))),"")</f>
        <v/>
      </c>
      <c r="Y40" s="523" t="str">
        <f>IFERROR(VLOOKUP(LANÇ_MOV[[#This Row],[PLANO DE CONTAS]],Plano_Contas[[PLANO DE CONTAS]:[NOMES INTERVALOS]],2,0),"")</f>
        <v>Despesas_Com_RH</v>
      </c>
      <c r="Z40" s="523" t="str">
        <f>IF(LANÇ_MOV[[#This Row],[FORMA DE PAGAMENTO]]="","",VLOOKUP(LANÇ_MOV[[#This Row],[FORMA DE PAGAMENTO]],CAD_Forma_pagto[],2,0))</f>
        <v>PIX</v>
      </c>
      <c r="AA40" s="524" t="str">
        <f>IF(LANÇ_MOV[[#This Row],[DATA DE LANÇAMENTO]]="","",TEXT(LANÇ_MOV[[#This Row],[DATA DE LANÇAMENTO]],"AAAA"))</f>
        <v>2025</v>
      </c>
      <c r="AB40" s="524" t="str">
        <f>IF(LANÇ_MOV[[#This Row],[DATA DE LANÇAMENTO]]="","",UPPER(TEXT(LANÇ_MOV[[#This Row],[DATA DE LANÇAMENTO]],"MMMM")))</f>
        <v>OUTUBRO</v>
      </c>
      <c r="AC40" s="525" t="str">
        <f>IF(LANÇ_MOV[[#This Row],[DATA DE LANÇAMENTO]]="","",PROPER(TEXT(LANÇ_MOV[[#This Row],[DATA DE LANÇAMENTO]],"M")))</f>
        <v>10</v>
      </c>
      <c r="AD40" s="524" t="str">
        <f>IF(LANÇ_MOV[[#This Row],[DATA DE LANÇAMENTO]]="","",TEXT(LANÇ_MOV[[#This Row],[DATA DE LANÇAMENTO]],"D"))</f>
        <v>1</v>
      </c>
      <c r="AE40" s="526" t="str">
        <f>IF(LANÇ_MOV[[#This Row],[DATA DE VENCIMENTO]]="","",TEXT(LANÇ_MOV[[#This Row],[DATA DE VENCIMENTO]],"AAAA"))</f>
        <v>2025</v>
      </c>
      <c r="AF40" s="526" t="str">
        <f>IF(LANÇ_MOV[[#This Row],[DATA DE VENCIMENTO]]="","",UPPER(TEXT(LANÇ_MOV[[#This Row],[DATA DE VENCIMENTO]],"MMMM")))</f>
        <v>NOVEMBRO</v>
      </c>
      <c r="AG40" s="526" t="str">
        <f>IF(LANÇ_MOV[[#This Row],[DATA DE VENCIMENTO]]="","",TEXT(LANÇ_MOV[[#This Row],[DATA DE VENCIMENTO]],"M"))</f>
        <v>11</v>
      </c>
      <c r="AH40" s="526" t="str">
        <f>IF(LANÇ_MOV[[#This Row],[DATA DE VENCIMENTO]]="","",TEXT(LANÇ_MOV[[#This Row],[DATA DE VENCIMENTO]],"D"))</f>
        <v>30</v>
      </c>
      <c r="AI40" s="526" t="str">
        <f>IF(LANÇ_MOV[[#This Row],[DATA DE PAGAMENTO]]="","",TEXT(LANÇ_MOV[[#This Row],[DATA DE PAGAMENTO]],"AAAA"))</f>
        <v/>
      </c>
      <c r="AJ40" s="527" t="str">
        <f>IF(LANÇ_MOV[[#This Row],[DATA DE PAGAMENTO]]="","",UPPER(TEXT(LANÇ_MOV[[#This Row],[DATA DE PAGAMENTO]],"MMMM")))</f>
        <v/>
      </c>
      <c r="AK40" s="527" t="str">
        <f>IF(LANÇ_MOV[[#This Row],[DATA DE PAGAMENTO]]="","",TEXT(LANÇ_MOV[[#This Row],[DATA DE PAGAMENTO]],"M"))</f>
        <v/>
      </c>
      <c r="AL40" s="526" t="str">
        <f>IF(LANÇ_MOV[[#This Row],[DATA DE PAGAMENTO]]="","",TEXT(LANÇ_MOV[[#This Row],[DATA DE PAGAMENTO]],"D"))</f>
        <v/>
      </c>
      <c r="AM40" s="27"/>
      <c r="BA40" s="112"/>
      <c r="BB40" s="112"/>
      <c r="BC40" s="112"/>
      <c r="BD40" s="112"/>
    </row>
    <row r="41" spans="1:56" ht="30.05" customHeight="1" x14ac:dyDescent="0.35">
      <c r="B41" s="506">
        <v>45931</v>
      </c>
      <c r="C41" s="507" t="s">
        <v>1661</v>
      </c>
      <c r="D41" s="508" t="s">
        <v>1854</v>
      </c>
      <c r="E41" s="509" t="s">
        <v>228</v>
      </c>
      <c r="F41" s="510" t="s">
        <v>1642</v>
      </c>
      <c r="G41" s="507"/>
      <c r="H41" s="511">
        <v>0</v>
      </c>
      <c r="I41" s="512" t="s">
        <v>1738</v>
      </c>
      <c r="J41" s="510">
        <v>1500</v>
      </c>
      <c r="K41" s="513">
        <v>0</v>
      </c>
      <c r="L41" s="513">
        <v>0</v>
      </c>
      <c r="M41" s="513">
        <v>0</v>
      </c>
      <c r="N41" s="514">
        <f>LANÇ_MOV[[#This Row],[VALOR BRUTO]]-LANÇ_MOV[[#This Row],[DESCONTO]]+LANÇ_MOV[[#This Row],[JUROS]]+LANÇ_MOV[[#This Row],[MULTA]]</f>
        <v>1500</v>
      </c>
      <c r="O41" s="515">
        <v>46011</v>
      </c>
      <c r="P41" s="516" t="str">
        <f t="shared" ca="1" si="0"/>
        <v>Prazo - Menos de 1 Mês</v>
      </c>
      <c r="Q41" s="517"/>
      <c r="R41" s="529" t="s">
        <v>1564</v>
      </c>
      <c r="S41" s="531"/>
      <c r="T41" s="518" t="s">
        <v>1776</v>
      </c>
      <c r="U41" s="519" t="s">
        <v>2008</v>
      </c>
      <c r="V41" s="520" t="str">
        <f>IFERROR(VLOOKUP(LANÇ_MOV[[#This Row],[PLANO DE CONTAS]],Plano_Contas[[PLANO DE CONTAS]:[R / D]],3,0),"")</f>
        <v>Despesa</v>
      </c>
      <c r="W41" s="521" t="str">
        <f>IF(LANÇ_MOV[[#This Row],[DATA DE PAGAMENTO]]&lt;&gt;"","Pago","Não Pago")</f>
        <v>Não Pago</v>
      </c>
      <c r="X41" s="522" t="str">
        <f>IFERROR(IF(LANÇ_MOV[[#This Row],[DATA DE PAGAMENTO]]="","",(UPPER(TEXT(LANÇ_MOV[[#This Row],[DATA DE PAGAMENTO]],"mmmm")))),"")</f>
        <v/>
      </c>
      <c r="Y41" s="523" t="str">
        <f>IFERROR(VLOOKUP(LANÇ_MOV[[#This Row],[PLANO DE CONTAS]],Plano_Contas[[PLANO DE CONTAS]:[NOMES INTERVALOS]],2,0),"")</f>
        <v>Despesas_Com_RH</v>
      </c>
      <c r="Z41" s="523" t="str">
        <f>IF(LANÇ_MOV[[#This Row],[FORMA DE PAGAMENTO]]="","",VLOOKUP(LANÇ_MOV[[#This Row],[FORMA DE PAGAMENTO]],CAD_Forma_pagto[],2,0))</f>
        <v>PIX</v>
      </c>
      <c r="AA41" s="524" t="str">
        <f>IF(LANÇ_MOV[[#This Row],[DATA DE LANÇAMENTO]]="","",TEXT(LANÇ_MOV[[#This Row],[DATA DE LANÇAMENTO]],"AAAA"))</f>
        <v>2025</v>
      </c>
      <c r="AB41" s="524" t="str">
        <f>IF(LANÇ_MOV[[#This Row],[DATA DE LANÇAMENTO]]="","",UPPER(TEXT(LANÇ_MOV[[#This Row],[DATA DE LANÇAMENTO]],"MMMM")))</f>
        <v>OUTUBRO</v>
      </c>
      <c r="AC41" s="525" t="str">
        <f>IF(LANÇ_MOV[[#This Row],[DATA DE LANÇAMENTO]]="","",PROPER(TEXT(LANÇ_MOV[[#This Row],[DATA DE LANÇAMENTO]],"M")))</f>
        <v>10</v>
      </c>
      <c r="AD41" s="524" t="str">
        <f>IF(LANÇ_MOV[[#This Row],[DATA DE LANÇAMENTO]]="","",TEXT(LANÇ_MOV[[#This Row],[DATA DE LANÇAMENTO]],"D"))</f>
        <v>1</v>
      </c>
      <c r="AE41" s="526" t="str">
        <f>IF(LANÇ_MOV[[#This Row],[DATA DE VENCIMENTO]]="","",TEXT(LANÇ_MOV[[#This Row],[DATA DE VENCIMENTO]],"AAAA"))</f>
        <v>2025</v>
      </c>
      <c r="AF41" s="526" t="str">
        <f>IF(LANÇ_MOV[[#This Row],[DATA DE VENCIMENTO]]="","",UPPER(TEXT(LANÇ_MOV[[#This Row],[DATA DE VENCIMENTO]],"MMMM")))</f>
        <v>DEZEMBRO</v>
      </c>
      <c r="AG41" s="526" t="str">
        <f>IF(LANÇ_MOV[[#This Row],[DATA DE VENCIMENTO]]="","",TEXT(LANÇ_MOV[[#This Row],[DATA DE VENCIMENTO]],"M"))</f>
        <v>12</v>
      </c>
      <c r="AH41" s="526" t="str">
        <f>IF(LANÇ_MOV[[#This Row],[DATA DE VENCIMENTO]]="","",TEXT(LANÇ_MOV[[#This Row],[DATA DE VENCIMENTO]],"D"))</f>
        <v>20</v>
      </c>
      <c r="AI41" s="526" t="str">
        <f>IF(LANÇ_MOV[[#This Row],[DATA DE PAGAMENTO]]="","",TEXT(LANÇ_MOV[[#This Row],[DATA DE PAGAMENTO]],"AAAA"))</f>
        <v/>
      </c>
      <c r="AJ41" s="527" t="str">
        <f>IF(LANÇ_MOV[[#This Row],[DATA DE PAGAMENTO]]="","",UPPER(TEXT(LANÇ_MOV[[#This Row],[DATA DE PAGAMENTO]],"MMMM")))</f>
        <v/>
      </c>
      <c r="AK41" s="527" t="str">
        <f>IF(LANÇ_MOV[[#This Row],[DATA DE PAGAMENTO]]="","",TEXT(LANÇ_MOV[[#This Row],[DATA DE PAGAMENTO]],"M"))</f>
        <v/>
      </c>
      <c r="AL41" s="526" t="str">
        <f>IF(LANÇ_MOV[[#This Row],[DATA DE PAGAMENTO]]="","",TEXT(LANÇ_MOV[[#This Row],[DATA DE PAGAMENTO]],"D"))</f>
        <v/>
      </c>
      <c r="AM41" s="27"/>
      <c r="BA41" s="112"/>
      <c r="BB41" s="112"/>
      <c r="BC41" s="112"/>
      <c r="BD41" s="112"/>
    </row>
    <row r="42" spans="1:56" ht="30.05" customHeight="1" x14ac:dyDescent="0.35">
      <c r="B42" s="506">
        <v>45931</v>
      </c>
      <c r="C42" s="507" t="s">
        <v>1661</v>
      </c>
      <c r="D42" s="508" t="s">
        <v>1854</v>
      </c>
      <c r="E42" s="509" t="s">
        <v>228</v>
      </c>
      <c r="F42" s="510" t="s">
        <v>1492</v>
      </c>
      <c r="G42" s="507"/>
      <c r="H42" s="511">
        <v>0</v>
      </c>
      <c r="I42" s="512" t="s">
        <v>1738</v>
      </c>
      <c r="J42" s="510">
        <v>1500</v>
      </c>
      <c r="K42" s="513">
        <v>0</v>
      </c>
      <c r="L42" s="513">
        <v>0</v>
      </c>
      <c r="M42" s="513">
        <v>0</v>
      </c>
      <c r="N42" s="514">
        <f>LANÇ_MOV[[#This Row],[VALOR BRUTO]]-LANÇ_MOV[[#This Row],[DESCONTO]]+LANÇ_MOV[[#This Row],[JUROS]]+LANÇ_MOV[[#This Row],[MULTA]]</f>
        <v>1500</v>
      </c>
      <c r="O42" s="515">
        <v>45996</v>
      </c>
      <c r="P42" s="516" t="str">
        <f t="shared" ca="1" si="0"/>
        <v>Prazo - Menos de 10 dias</v>
      </c>
      <c r="Q42" s="517"/>
      <c r="R42" s="531" t="s">
        <v>1564</v>
      </c>
      <c r="S42" s="531"/>
      <c r="T42" s="531" t="s">
        <v>1776</v>
      </c>
      <c r="U42" s="519" t="s">
        <v>2008</v>
      </c>
      <c r="V42" s="520" t="str">
        <f>IFERROR(VLOOKUP(LANÇ_MOV[[#This Row],[PLANO DE CONTAS]],Plano_Contas[[PLANO DE CONTAS]:[R / D]],3,0),"")</f>
        <v>Despesa</v>
      </c>
      <c r="W42" s="521" t="str">
        <f>IF(LANÇ_MOV[[#This Row],[DATA DE PAGAMENTO]]&lt;&gt;"","Pago","Não Pago")</f>
        <v>Não Pago</v>
      </c>
      <c r="X42" s="522" t="str">
        <f>IFERROR(IF(LANÇ_MOV[[#This Row],[DATA DE PAGAMENTO]]="","",(UPPER(TEXT(LANÇ_MOV[[#This Row],[DATA DE PAGAMENTO]],"mmmm")))),"")</f>
        <v/>
      </c>
      <c r="Y42" s="523" t="str">
        <f>IFERROR(VLOOKUP(LANÇ_MOV[[#This Row],[PLANO DE CONTAS]],Plano_Contas[[PLANO DE CONTAS]:[NOMES INTERVALOS]],2,0),"")</f>
        <v>Despesas_Com_RH</v>
      </c>
      <c r="Z42" s="523" t="str">
        <f>IF(LANÇ_MOV[[#This Row],[FORMA DE PAGAMENTO]]="","",VLOOKUP(LANÇ_MOV[[#This Row],[FORMA DE PAGAMENTO]],CAD_Forma_pagto[],2,0))</f>
        <v>PIX</v>
      </c>
      <c r="AA42" s="524" t="str">
        <f>IF(LANÇ_MOV[[#This Row],[DATA DE LANÇAMENTO]]="","",TEXT(LANÇ_MOV[[#This Row],[DATA DE LANÇAMENTO]],"AAAA"))</f>
        <v>2025</v>
      </c>
      <c r="AB42" s="524" t="str">
        <f>IF(LANÇ_MOV[[#This Row],[DATA DE LANÇAMENTO]]="","",UPPER(TEXT(LANÇ_MOV[[#This Row],[DATA DE LANÇAMENTO]],"MMMM")))</f>
        <v>OUTUBRO</v>
      </c>
      <c r="AC42" s="525" t="str">
        <f>IF(LANÇ_MOV[[#This Row],[DATA DE LANÇAMENTO]]="","",PROPER(TEXT(LANÇ_MOV[[#This Row],[DATA DE LANÇAMENTO]],"M")))</f>
        <v>10</v>
      </c>
      <c r="AD42" s="524" t="str">
        <f>IF(LANÇ_MOV[[#This Row],[DATA DE LANÇAMENTO]]="","",TEXT(LANÇ_MOV[[#This Row],[DATA DE LANÇAMENTO]],"D"))</f>
        <v>1</v>
      </c>
      <c r="AE42" s="526" t="str">
        <f>IF(LANÇ_MOV[[#This Row],[DATA DE VENCIMENTO]]="","",TEXT(LANÇ_MOV[[#This Row],[DATA DE VENCIMENTO]],"AAAA"))</f>
        <v>2025</v>
      </c>
      <c r="AF42" s="526" t="str">
        <f>IF(LANÇ_MOV[[#This Row],[DATA DE VENCIMENTO]]="","",UPPER(TEXT(LANÇ_MOV[[#This Row],[DATA DE VENCIMENTO]],"MMMM")))</f>
        <v>DEZEMBRO</v>
      </c>
      <c r="AG42" s="526" t="str">
        <f>IF(LANÇ_MOV[[#This Row],[DATA DE VENCIMENTO]]="","",TEXT(LANÇ_MOV[[#This Row],[DATA DE VENCIMENTO]],"M"))</f>
        <v>12</v>
      </c>
      <c r="AH42" s="526" t="str">
        <f>IF(LANÇ_MOV[[#This Row],[DATA DE VENCIMENTO]]="","",TEXT(LANÇ_MOV[[#This Row],[DATA DE VENCIMENTO]],"D"))</f>
        <v>5</v>
      </c>
      <c r="AI42" s="526" t="str">
        <f>IF(LANÇ_MOV[[#This Row],[DATA DE PAGAMENTO]]="","",TEXT(LANÇ_MOV[[#This Row],[DATA DE PAGAMENTO]],"AAAA"))</f>
        <v/>
      </c>
      <c r="AJ42" s="527" t="str">
        <f>IF(LANÇ_MOV[[#This Row],[DATA DE PAGAMENTO]]="","",UPPER(TEXT(LANÇ_MOV[[#This Row],[DATA DE PAGAMENTO]],"MMMM")))</f>
        <v/>
      </c>
      <c r="AK42" s="527" t="str">
        <f>IF(LANÇ_MOV[[#This Row],[DATA DE PAGAMENTO]]="","",TEXT(LANÇ_MOV[[#This Row],[DATA DE PAGAMENTO]],"M"))</f>
        <v/>
      </c>
      <c r="AL42" s="526" t="str">
        <f>IF(LANÇ_MOV[[#This Row],[DATA DE PAGAMENTO]]="","",TEXT(LANÇ_MOV[[#This Row],[DATA DE PAGAMENTO]],"D"))</f>
        <v/>
      </c>
      <c r="AM42" s="210"/>
      <c r="BC42" s="112"/>
      <c r="BD42" s="112"/>
    </row>
    <row r="43" spans="1:56" ht="30.05" customHeight="1" x14ac:dyDescent="0.35">
      <c r="B43" s="506">
        <v>45931</v>
      </c>
      <c r="C43" s="507" t="s">
        <v>1661</v>
      </c>
      <c r="D43" s="508" t="s">
        <v>1854</v>
      </c>
      <c r="E43" s="509" t="s">
        <v>228</v>
      </c>
      <c r="F43" s="510" t="s">
        <v>1492</v>
      </c>
      <c r="G43" s="507"/>
      <c r="H43" s="511">
        <v>0</v>
      </c>
      <c r="I43" s="512" t="s">
        <v>1738</v>
      </c>
      <c r="J43" s="510">
        <v>1500</v>
      </c>
      <c r="K43" s="513">
        <v>0</v>
      </c>
      <c r="L43" s="513">
        <v>0</v>
      </c>
      <c r="M43" s="513">
        <v>0</v>
      </c>
      <c r="N43" s="514">
        <f>LANÇ_MOV[[#This Row],[VALOR BRUTO]]-LANÇ_MOV[[#This Row],[DESCONTO]]+LANÇ_MOV[[#This Row],[JUROS]]+LANÇ_MOV[[#This Row],[MULTA]]</f>
        <v>1500</v>
      </c>
      <c r="O43" s="515">
        <v>46027</v>
      </c>
      <c r="P43" s="516" t="str">
        <f t="shared" ca="1" si="0"/>
        <v>Prazo - Mais de 1 mês</v>
      </c>
      <c r="Q43" s="517"/>
      <c r="R43" s="529" t="s">
        <v>1564</v>
      </c>
      <c r="S43" s="531"/>
      <c r="T43" s="518" t="s">
        <v>1776</v>
      </c>
      <c r="U43" s="519" t="s">
        <v>2008</v>
      </c>
      <c r="V43" s="520" t="str">
        <f>IFERROR(VLOOKUP(LANÇ_MOV[[#This Row],[PLANO DE CONTAS]],Plano_Contas[[PLANO DE CONTAS]:[R / D]],3,0),"")</f>
        <v>Despesa</v>
      </c>
      <c r="W43" s="521" t="str">
        <f>IF(LANÇ_MOV[[#This Row],[DATA DE PAGAMENTO]]&lt;&gt;"","Pago","Não Pago")</f>
        <v>Não Pago</v>
      </c>
      <c r="X43" s="522" t="str">
        <f>IFERROR(IF(LANÇ_MOV[[#This Row],[DATA DE PAGAMENTO]]="","",(UPPER(TEXT(LANÇ_MOV[[#This Row],[DATA DE PAGAMENTO]],"mmmm")))),"")</f>
        <v/>
      </c>
      <c r="Y43" s="523" t="str">
        <f>IFERROR(VLOOKUP(LANÇ_MOV[[#This Row],[PLANO DE CONTAS]],Plano_Contas[[PLANO DE CONTAS]:[NOMES INTERVALOS]],2,0),"")</f>
        <v>Despesas_Com_RH</v>
      </c>
      <c r="Z43" s="523" t="str">
        <f>IF(LANÇ_MOV[[#This Row],[FORMA DE PAGAMENTO]]="","",VLOOKUP(LANÇ_MOV[[#This Row],[FORMA DE PAGAMENTO]],CAD_Forma_pagto[],2,0))</f>
        <v>PIX</v>
      </c>
      <c r="AA43" s="524" t="str">
        <f>IF(LANÇ_MOV[[#This Row],[DATA DE LANÇAMENTO]]="","",TEXT(LANÇ_MOV[[#This Row],[DATA DE LANÇAMENTO]],"AAAA"))</f>
        <v>2025</v>
      </c>
      <c r="AB43" s="524" t="str">
        <f>IF(LANÇ_MOV[[#This Row],[DATA DE LANÇAMENTO]]="","",UPPER(TEXT(LANÇ_MOV[[#This Row],[DATA DE LANÇAMENTO]],"MMMM")))</f>
        <v>OUTUBRO</v>
      </c>
      <c r="AC43" s="525" t="str">
        <f>IF(LANÇ_MOV[[#This Row],[DATA DE LANÇAMENTO]]="","",PROPER(TEXT(LANÇ_MOV[[#This Row],[DATA DE LANÇAMENTO]],"M")))</f>
        <v>10</v>
      </c>
      <c r="AD43" s="524" t="str">
        <f>IF(LANÇ_MOV[[#This Row],[DATA DE LANÇAMENTO]]="","",TEXT(LANÇ_MOV[[#This Row],[DATA DE LANÇAMENTO]],"D"))</f>
        <v>1</v>
      </c>
      <c r="AE43" s="526" t="str">
        <f>IF(LANÇ_MOV[[#This Row],[DATA DE VENCIMENTO]]="","",TEXT(LANÇ_MOV[[#This Row],[DATA DE VENCIMENTO]],"AAAA"))</f>
        <v>2026</v>
      </c>
      <c r="AF43" s="526" t="str">
        <f>IF(LANÇ_MOV[[#This Row],[DATA DE VENCIMENTO]]="","",UPPER(TEXT(LANÇ_MOV[[#This Row],[DATA DE VENCIMENTO]],"MMMM")))</f>
        <v>JANEIRO</v>
      </c>
      <c r="AG43" s="526" t="str">
        <f>IF(LANÇ_MOV[[#This Row],[DATA DE VENCIMENTO]]="","",TEXT(LANÇ_MOV[[#This Row],[DATA DE VENCIMENTO]],"M"))</f>
        <v>1</v>
      </c>
      <c r="AH43" s="526" t="str">
        <f>IF(LANÇ_MOV[[#This Row],[DATA DE VENCIMENTO]]="","",TEXT(LANÇ_MOV[[#This Row],[DATA DE VENCIMENTO]],"D"))</f>
        <v>5</v>
      </c>
      <c r="AI43" s="526" t="str">
        <f>IF(LANÇ_MOV[[#This Row],[DATA DE PAGAMENTO]]="","",TEXT(LANÇ_MOV[[#This Row],[DATA DE PAGAMENTO]],"AAAA"))</f>
        <v/>
      </c>
      <c r="AJ43" s="527" t="str">
        <f>IF(LANÇ_MOV[[#This Row],[DATA DE PAGAMENTO]]="","",UPPER(TEXT(LANÇ_MOV[[#This Row],[DATA DE PAGAMENTO]],"MMMM")))</f>
        <v/>
      </c>
      <c r="AK43" s="527" t="str">
        <f>IF(LANÇ_MOV[[#This Row],[DATA DE PAGAMENTO]]="","",TEXT(LANÇ_MOV[[#This Row],[DATA DE PAGAMENTO]],"M"))</f>
        <v/>
      </c>
      <c r="AL43" s="526" t="str">
        <f>IF(LANÇ_MOV[[#This Row],[DATA DE PAGAMENTO]]="","",TEXT(LANÇ_MOV[[#This Row],[DATA DE PAGAMENTO]],"D"))</f>
        <v/>
      </c>
      <c r="AM43" s="210"/>
      <c r="BC43" s="112"/>
      <c r="BD43" s="112"/>
    </row>
    <row r="44" spans="1:56" ht="30.05" customHeight="1" x14ac:dyDescent="0.35">
      <c r="B44" s="506">
        <v>45931</v>
      </c>
      <c r="C44" s="507" t="s">
        <v>1661</v>
      </c>
      <c r="D44" s="508" t="s">
        <v>1854</v>
      </c>
      <c r="E44" s="509" t="s">
        <v>228</v>
      </c>
      <c r="F44" s="510" t="s">
        <v>1492</v>
      </c>
      <c r="G44" s="507"/>
      <c r="H44" s="511">
        <v>0</v>
      </c>
      <c r="I44" s="512" t="s">
        <v>1738</v>
      </c>
      <c r="J44" s="518">
        <v>1500</v>
      </c>
      <c r="K44" s="513">
        <v>0</v>
      </c>
      <c r="L44" s="513">
        <v>0</v>
      </c>
      <c r="M44" s="513">
        <v>0</v>
      </c>
      <c r="N44" s="514">
        <f>LANÇ_MOV[[#This Row],[VALOR BRUTO]]-LANÇ_MOV[[#This Row],[DESCONTO]]+LANÇ_MOV[[#This Row],[JUROS]]+LANÇ_MOV[[#This Row],[MULTA]]</f>
        <v>1500</v>
      </c>
      <c r="O44" s="515">
        <v>46058</v>
      </c>
      <c r="P44" s="516" t="str">
        <f t="shared" ca="1" si="0"/>
        <v>Prazo - Mais de 1 mês</v>
      </c>
      <c r="Q44" s="517"/>
      <c r="R44" s="529" t="s">
        <v>1564</v>
      </c>
      <c r="S44" s="518"/>
      <c r="T44" s="518" t="s">
        <v>1776</v>
      </c>
      <c r="U44" s="519" t="s">
        <v>2008</v>
      </c>
      <c r="V44" s="520" t="str">
        <f>IFERROR(VLOOKUP(LANÇ_MOV[[#This Row],[PLANO DE CONTAS]],Plano_Contas[[PLANO DE CONTAS]:[R / D]],3,0),"")</f>
        <v>Despesa</v>
      </c>
      <c r="W44" s="521" t="str">
        <f>IF(LANÇ_MOV[[#This Row],[DATA DE PAGAMENTO]]&lt;&gt;"","Pago","Não Pago")</f>
        <v>Não Pago</v>
      </c>
      <c r="X44" s="522" t="str">
        <f>IFERROR(IF(LANÇ_MOV[[#This Row],[DATA DE PAGAMENTO]]="","",(UPPER(TEXT(LANÇ_MOV[[#This Row],[DATA DE PAGAMENTO]],"mmmm")))),"")</f>
        <v/>
      </c>
      <c r="Y44" s="523" t="str">
        <f>IFERROR(VLOOKUP(LANÇ_MOV[[#This Row],[PLANO DE CONTAS]],Plano_Contas[[PLANO DE CONTAS]:[NOMES INTERVALOS]],2,0),"")</f>
        <v>Despesas_Com_RH</v>
      </c>
      <c r="Z44" s="523" t="str">
        <f>IF(LANÇ_MOV[[#This Row],[FORMA DE PAGAMENTO]]="","",VLOOKUP(LANÇ_MOV[[#This Row],[FORMA DE PAGAMENTO]],CAD_Forma_pagto[],2,0))</f>
        <v>PIX</v>
      </c>
      <c r="AA44" s="524" t="str">
        <f>IF(LANÇ_MOV[[#This Row],[DATA DE LANÇAMENTO]]="","",TEXT(LANÇ_MOV[[#This Row],[DATA DE LANÇAMENTO]],"AAAA"))</f>
        <v>2025</v>
      </c>
      <c r="AB44" s="524" t="str">
        <f>IF(LANÇ_MOV[[#This Row],[DATA DE LANÇAMENTO]]="","",UPPER(TEXT(LANÇ_MOV[[#This Row],[DATA DE LANÇAMENTO]],"MMMM")))</f>
        <v>OUTUBRO</v>
      </c>
      <c r="AC44" s="525" t="str">
        <f>IF(LANÇ_MOV[[#This Row],[DATA DE LANÇAMENTO]]="","",PROPER(TEXT(LANÇ_MOV[[#This Row],[DATA DE LANÇAMENTO]],"M")))</f>
        <v>10</v>
      </c>
      <c r="AD44" s="524" t="str">
        <f>IF(LANÇ_MOV[[#This Row],[DATA DE LANÇAMENTO]]="","",TEXT(LANÇ_MOV[[#This Row],[DATA DE LANÇAMENTO]],"D"))</f>
        <v>1</v>
      </c>
      <c r="AE44" s="526" t="str">
        <f>IF(LANÇ_MOV[[#This Row],[DATA DE VENCIMENTO]]="","",TEXT(LANÇ_MOV[[#This Row],[DATA DE VENCIMENTO]],"AAAA"))</f>
        <v>2026</v>
      </c>
      <c r="AF44" s="526" t="str">
        <f>IF(LANÇ_MOV[[#This Row],[DATA DE VENCIMENTO]]="","",UPPER(TEXT(LANÇ_MOV[[#This Row],[DATA DE VENCIMENTO]],"MMMM")))</f>
        <v>FEVEREIRO</v>
      </c>
      <c r="AG44" s="526" t="str">
        <f>IF(LANÇ_MOV[[#This Row],[DATA DE VENCIMENTO]]="","",TEXT(LANÇ_MOV[[#This Row],[DATA DE VENCIMENTO]],"M"))</f>
        <v>2</v>
      </c>
      <c r="AH44" s="526" t="str">
        <f>IF(LANÇ_MOV[[#This Row],[DATA DE VENCIMENTO]]="","",TEXT(LANÇ_MOV[[#This Row],[DATA DE VENCIMENTO]],"D"))</f>
        <v>5</v>
      </c>
      <c r="AI44" s="526" t="str">
        <f>IF(LANÇ_MOV[[#This Row],[DATA DE PAGAMENTO]]="","",TEXT(LANÇ_MOV[[#This Row],[DATA DE PAGAMENTO]],"AAAA"))</f>
        <v/>
      </c>
      <c r="AJ44" s="527" t="str">
        <f>IF(LANÇ_MOV[[#This Row],[DATA DE PAGAMENTO]]="","",UPPER(TEXT(LANÇ_MOV[[#This Row],[DATA DE PAGAMENTO]],"MMMM")))</f>
        <v/>
      </c>
      <c r="AK44" s="527" t="str">
        <f>IF(LANÇ_MOV[[#This Row],[DATA DE PAGAMENTO]]="","",TEXT(LANÇ_MOV[[#This Row],[DATA DE PAGAMENTO]],"M"))</f>
        <v/>
      </c>
      <c r="AL44" s="526" t="str">
        <f>IF(LANÇ_MOV[[#This Row],[DATA DE PAGAMENTO]]="","",TEXT(LANÇ_MOV[[#This Row],[DATA DE PAGAMENTO]],"D"))</f>
        <v/>
      </c>
      <c r="AM44" s="27"/>
      <c r="BA44" s="112"/>
      <c r="BB44" s="112"/>
      <c r="BC44" s="112"/>
      <c r="BD44" s="112"/>
    </row>
    <row r="45" spans="1:56" ht="30.05" customHeight="1" x14ac:dyDescent="0.35">
      <c r="B45" s="506">
        <v>45931</v>
      </c>
      <c r="C45" s="507" t="s">
        <v>1661</v>
      </c>
      <c r="D45" s="508" t="s">
        <v>1854</v>
      </c>
      <c r="E45" s="509" t="s">
        <v>228</v>
      </c>
      <c r="F45" s="510" t="s">
        <v>1492</v>
      </c>
      <c r="G45" s="507"/>
      <c r="H45" s="511">
        <v>0</v>
      </c>
      <c r="I45" s="512" t="s">
        <v>1738</v>
      </c>
      <c r="J45" s="518">
        <v>1500</v>
      </c>
      <c r="K45" s="513">
        <v>0</v>
      </c>
      <c r="L45" s="513">
        <v>0</v>
      </c>
      <c r="M45" s="513">
        <v>0</v>
      </c>
      <c r="N45" s="514">
        <f>LANÇ_MOV[[#This Row],[VALOR BRUTO]]-LANÇ_MOV[[#This Row],[DESCONTO]]+LANÇ_MOV[[#This Row],[JUROS]]+LANÇ_MOV[[#This Row],[MULTA]]</f>
        <v>1500</v>
      </c>
      <c r="O45" s="528">
        <v>46086</v>
      </c>
      <c r="P45" s="516" t="str">
        <f t="shared" ca="1" si="0"/>
        <v>Prazo - Mais de 1 mês</v>
      </c>
      <c r="Q45" s="530"/>
      <c r="R45" s="529" t="s">
        <v>1564</v>
      </c>
      <c r="S45" s="518"/>
      <c r="T45" s="518" t="s">
        <v>1776</v>
      </c>
      <c r="U45" s="519" t="s">
        <v>2008</v>
      </c>
      <c r="V45" s="520" t="str">
        <f>IFERROR(VLOOKUP(LANÇ_MOV[[#This Row],[PLANO DE CONTAS]],Plano_Contas[[PLANO DE CONTAS]:[R / D]],3,0),"")</f>
        <v>Despesa</v>
      </c>
      <c r="W45" s="521" t="str">
        <f>IF(LANÇ_MOV[[#This Row],[DATA DE PAGAMENTO]]&lt;&gt;"","Pago","Não Pago")</f>
        <v>Não Pago</v>
      </c>
      <c r="X45" s="522" t="str">
        <f>IFERROR(IF(LANÇ_MOV[[#This Row],[DATA DE PAGAMENTO]]="","",(UPPER(TEXT(LANÇ_MOV[[#This Row],[DATA DE PAGAMENTO]],"mmmm")))),"")</f>
        <v/>
      </c>
      <c r="Y45" s="523" t="str">
        <f>IFERROR(VLOOKUP(LANÇ_MOV[[#This Row],[PLANO DE CONTAS]],Plano_Contas[[PLANO DE CONTAS]:[NOMES INTERVALOS]],2,0),"")</f>
        <v>Despesas_Com_RH</v>
      </c>
      <c r="Z45" s="523" t="str">
        <f>IF(LANÇ_MOV[[#This Row],[FORMA DE PAGAMENTO]]="","",VLOOKUP(LANÇ_MOV[[#This Row],[FORMA DE PAGAMENTO]],CAD_Forma_pagto[],2,0))</f>
        <v>PIX</v>
      </c>
      <c r="AA45" s="524" t="str">
        <f>IF(LANÇ_MOV[[#This Row],[DATA DE LANÇAMENTO]]="","",TEXT(LANÇ_MOV[[#This Row],[DATA DE LANÇAMENTO]],"AAAA"))</f>
        <v>2025</v>
      </c>
      <c r="AB45" s="524" t="str">
        <f>IF(LANÇ_MOV[[#This Row],[DATA DE LANÇAMENTO]]="","",UPPER(TEXT(LANÇ_MOV[[#This Row],[DATA DE LANÇAMENTO]],"MMMM")))</f>
        <v>OUTUBRO</v>
      </c>
      <c r="AC45" s="525" t="str">
        <f>IF(LANÇ_MOV[[#This Row],[DATA DE LANÇAMENTO]]="","",PROPER(TEXT(LANÇ_MOV[[#This Row],[DATA DE LANÇAMENTO]],"M")))</f>
        <v>10</v>
      </c>
      <c r="AD45" s="524" t="str">
        <f>IF(LANÇ_MOV[[#This Row],[DATA DE LANÇAMENTO]]="","",TEXT(LANÇ_MOV[[#This Row],[DATA DE LANÇAMENTO]],"D"))</f>
        <v>1</v>
      </c>
      <c r="AE45" s="526" t="str">
        <f>IF(LANÇ_MOV[[#This Row],[DATA DE VENCIMENTO]]="","",TEXT(LANÇ_MOV[[#This Row],[DATA DE VENCIMENTO]],"AAAA"))</f>
        <v>2026</v>
      </c>
      <c r="AF45" s="526" t="str">
        <f>IF(LANÇ_MOV[[#This Row],[DATA DE VENCIMENTO]]="","",UPPER(TEXT(LANÇ_MOV[[#This Row],[DATA DE VENCIMENTO]],"MMMM")))</f>
        <v>MARÇO</v>
      </c>
      <c r="AG45" s="526" t="str">
        <f>IF(LANÇ_MOV[[#This Row],[DATA DE VENCIMENTO]]="","",TEXT(LANÇ_MOV[[#This Row],[DATA DE VENCIMENTO]],"M"))</f>
        <v>3</v>
      </c>
      <c r="AH45" s="526" t="str">
        <f>IF(LANÇ_MOV[[#This Row],[DATA DE VENCIMENTO]]="","",TEXT(LANÇ_MOV[[#This Row],[DATA DE VENCIMENTO]],"D"))</f>
        <v>5</v>
      </c>
      <c r="AI45" s="526" t="str">
        <f>IF(LANÇ_MOV[[#This Row],[DATA DE PAGAMENTO]]="","",TEXT(LANÇ_MOV[[#This Row],[DATA DE PAGAMENTO]],"AAAA"))</f>
        <v/>
      </c>
      <c r="AJ45" s="527" t="str">
        <f>IF(LANÇ_MOV[[#This Row],[DATA DE PAGAMENTO]]="","",UPPER(TEXT(LANÇ_MOV[[#This Row],[DATA DE PAGAMENTO]],"MMMM")))</f>
        <v/>
      </c>
      <c r="AK45" s="527" t="str">
        <f>IF(LANÇ_MOV[[#This Row],[DATA DE PAGAMENTO]]="","",TEXT(LANÇ_MOV[[#This Row],[DATA DE PAGAMENTO]],"M"))</f>
        <v/>
      </c>
      <c r="AL45" s="526" t="str">
        <f>IF(LANÇ_MOV[[#This Row],[DATA DE PAGAMENTO]]="","",TEXT(LANÇ_MOV[[#This Row],[DATA DE PAGAMENTO]],"D"))</f>
        <v/>
      </c>
      <c r="AM45" s="210"/>
      <c r="BC45" s="112"/>
      <c r="BD45" s="112"/>
    </row>
    <row r="46" spans="1:56" ht="30.05" customHeight="1" x14ac:dyDescent="0.35">
      <c r="B46" s="506">
        <v>45931</v>
      </c>
      <c r="C46" s="507" t="s">
        <v>1661</v>
      </c>
      <c r="D46" s="508" t="s">
        <v>1854</v>
      </c>
      <c r="E46" s="509" t="s">
        <v>228</v>
      </c>
      <c r="F46" s="510" t="s">
        <v>1492</v>
      </c>
      <c r="G46" s="507"/>
      <c r="H46" s="511">
        <v>0</v>
      </c>
      <c r="I46" s="512" t="s">
        <v>1738</v>
      </c>
      <c r="J46" s="510">
        <v>1500</v>
      </c>
      <c r="K46" s="513">
        <v>0</v>
      </c>
      <c r="L46" s="513">
        <v>0</v>
      </c>
      <c r="M46" s="513">
        <v>0</v>
      </c>
      <c r="N46" s="514">
        <f>LANÇ_MOV[[#This Row],[VALOR BRUTO]]-LANÇ_MOV[[#This Row],[DESCONTO]]+LANÇ_MOV[[#This Row],[JUROS]]+LANÇ_MOV[[#This Row],[MULTA]]</f>
        <v>1500</v>
      </c>
      <c r="O46" s="528">
        <v>46117</v>
      </c>
      <c r="P46" s="516" t="str">
        <f t="shared" ca="1" si="0"/>
        <v>Prazo - Mais de 1 mês</v>
      </c>
      <c r="Q46" s="530"/>
      <c r="R46" s="531" t="s">
        <v>1564</v>
      </c>
      <c r="S46" s="531"/>
      <c r="T46" s="531" t="s">
        <v>1776</v>
      </c>
      <c r="U46" s="519" t="s">
        <v>2008</v>
      </c>
      <c r="V46" s="520" t="str">
        <f>IFERROR(VLOOKUP(LANÇ_MOV[[#This Row],[PLANO DE CONTAS]],Plano_Contas[[PLANO DE CONTAS]:[R / D]],3,0),"")</f>
        <v>Despesa</v>
      </c>
      <c r="W46" s="521" t="str">
        <f>IF(LANÇ_MOV[[#This Row],[DATA DE PAGAMENTO]]&lt;&gt;"","Pago","Não Pago")</f>
        <v>Não Pago</v>
      </c>
      <c r="X46" s="522" t="str">
        <f>IFERROR(IF(LANÇ_MOV[[#This Row],[DATA DE PAGAMENTO]]="","",(UPPER(TEXT(LANÇ_MOV[[#This Row],[DATA DE PAGAMENTO]],"mmmm")))),"")</f>
        <v/>
      </c>
      <c r="Y46" s="523" t="str">
        <f>IFERROR(VLOOKUP(LANÇ_MOV[[#This Row],[PLANO DE CONTAS]],Plano_Contas[[PLANO DE CONTAS]:[NOMES INTERVALOS]],2,0),"")</f>
        <v>Despesas_Com_RH</v>
      </c>
      <c r="Z46" s="523" t="str">
        <f>IF(LANÇ_MOV[[#This Row],[FORMA DE PAGAMENTO]]="","",VLOOKUP(LANÇ_MOV[[#This Row],[FORMA DE PAGAMENTO]],CAD_Forma_pagto[],2,0))</f>
        <v>PIX</v>
      </c>
      <c r="AA46" s="524" t="str">
        <f>IF(LANÇ_MOV[[#This Row],[DATA DE LANÇAMENTO]]="","",TEXT(LANÇ_MOV[[#This Row],[DATA DE LANÇAMENTO]],"AAAA"))</f>
        <v>2025</v>
      </c>
      <c r="AB46" s="524" t="str">
        <f>IF(LANÇ_MOV[[#This Row],[DATA DE LANÇAMENTO]]="","",UPPER(TEXT(LANÇ_MOV[[#This Row],[DATA DE LANÇAMENTO]],"MMMM")))</f>
        <v>OUTUBRO</v>
      </c>
      <c r="AC46" s="525" t="str">
        <f>IF(LANÇ_MOV[[#This Row],[DATA DE LANÇAMENTO]]="","",PROPER(TEXT(LANÇ_MOV[[#This Row],[DATA DE LANÇAMENTO]],"M")))</f>
        <v>10</v>
      </c>
      <c r="AD46" s="524" t="str">
        <f>IF(LANÇ_MOV[[#This Row],[DATA DE LANÇAMENTO]]="","",TEXT(LANÇ_MOV[[#This Row],[DATA DE LANÇAMENTO]],"D"))</f>
        <v>1</v>
      </c>
      <c r="AE46" s="526" t="str">
        <f>IF(LANÇ_MOV[[#This Row],[DATA DE VENCIMENTO]]="","",TEXT(LANÇ_MOV[[#This Row],[DATA DE VENCIMENTO]],"AAAA"))</f>
        <v>2026</v>
      </c>
      <c r="AF46" s="526" t="str">
        <f>IF(LANÇ_MOV[[#This Row],[DATA DE VENCIMENTO]]="","",UPPER(TEXT(LANÇ_MOV[[#This Row],[DATA DE VENCIMENTO]],"MMMM")))</f>
        <v>ABRIL</v>
      </c>
      <c r="AG46" s="526" t="str">
        <f>IF(LANÇ_MOV[[#This Row],[DATA DE VENCIMENTO]]="","",TEXT(LANÇ_MOV[[#This Row],[DATA DE VENCIMENTO]],"M"))</f>
        <v>4</v>
      </c>
      <c r="AH46" s="526" t="str">
        <f>IF(LANÇ_MOV[[#This Row],[DATA DE VENCIMENTO]]="","",TEXT(LANÇ_MOV[[#This Row],[DATA DE VENCIMENTO]],"D"))</f>
        <v>5</v>
      </c>
      <c r="AI46" s="526" t="str">
        <f>IF(LANÇ_MOV[[#This Row],[DATA DE PAGAMENTO]]="","",TEXT(LANÇ_MOV[[#This Row],[DATA DE PAGAMENTO]],"AAAA"))</f>
        <v/>
      </c>
      <c r="AJ46" s="527" t="str">
        <f>IF(LANÇ_MOV[[#This Row],[DATA DE PAGAMENTO]]="","",UPPER(TEXT(LANÇ_MOV[[#This Row],[DATA DE PAGAMENTO]],"MMMM")))</f>
        <v/>
      </c>
      <c r="AK46" s="527" t="str">
        <f>IF(LANÇ_MOV[[#This Row],[DATA DE PAGAMENTO]]="","",TEXT(LANÇ_MOV[[#This Row],[DATA DE PAGAMENTO]],"M"))</f>
        <v/>
      </c>
      <c r="AL46" s="526" t="str">
        <f>IF(LANÇ_MOV[[#This Row],[DATA DE PAGAMENTO]]="","",TEXT(LANÇ_MOV[[#This Row],[DATA DE PAGAMENTO]],"D"))</f>
        <v/>
      </c>
      <c r="AM46" s="210"/>
      <c r="BC46" s="112"/>
      <c r="BD46" s="112"/>
    </row>
    <row r="47" spans="1:56" ht="30.05" customHeight="1" x14ac:dyDescent="0.35">
      <c r="A47" s="281"/>
      <c r="B47" s="506">
        <v>45931</v>
      </c>
      <c r="C47" s="507" t="s">
        <v>1661</v>
      </c>
      <c r="D47" s="508" t="s">
        <v>1854</v>
      </c>
      <c r="E47" s="509" t="s">
        <v>228</v>
      </c>
      <c r="F47" s="510" t="s">
        <v>1492</v>
      </c>
      <c r="G47" s="507"/>
      <c r="H47" s="511">
        <v>0</v>
      </c>
      <c r="I47" s="512" t="s">
        <v>1738</v>
      </c>
      <c r="J47" s="510">
        <v>1500</v>
      </c>
      <c r="K47" s="513">
        <v>0</v>
      </c>
      <c r="L47" s="513">
        <v>0</v>
      </c>
      <c r="M47" s="513">
        <v>0</v>
      </c>
      <c r="N47" s="514">
        <f>LANÇ_MOV[[#This Row],[VALOR BRUTO]]-LANÇ_MOV[[#This Row],[DESCONTO]]+LANÇ_MOV[[#This Row],[JUROS]]+LANÇ_MOV[[#This Row],[MULTA]]</f>
        <v>1500</v>
      </c>
      <c r="O47" s="532">
        <v>46147</v>
      </c>
      <c r="P47" s="516" t="str">
        <f t="shared" ca="1" si="0"/>
        <v>Prazo - Mais de 1 mês</v>
      </c>
      <c r="Q47" s="533"/>
      <c r="R47" s="529" t="s">
        <v>1564</v>
      </c>
      <c r="S47" s="531"/>
      <c r="T47" s="518" t="s">
        <v>1776</v>
      </c>
      <c r="U47" s="519" t="s">
        <v>2008</v>
      </c>
      <c r="V47" s="520" t="str">
        <f>IFERROR(VLOOKUP(LANÇ_MOV[[#This Row],[PLANO DE CONTAS]],Plano_Contas[[PLANO DE CONTAS]:[R / D]],3,0),"")</f>
        <v>Despesa</v>
      </c>
      <c r="W47" s="521" t="str">
        <f>IF(LANÇ_MOV[[#This Row],[DATA DE PAGAMENTO]]&lt;&gt;"","Pago","Não Pago")</f>
        <v>Não Pago</v>
      </c>
      <c r="X47" s="522" t="str">
        <f>IFERROR(IF(LANÇ_MOV[[#This Row],[DATA DE PAGAMENTO]]="","",(UPPER(TEXT(LANÇ_MOV[[#This Row],[DATA DE PAGAMENTO]],"mmmm")))),"")</f>
        <v/>
      </c>
      <c r="Y47" s="523" t="str">
        <f>IFERROR(VLOOKUP(LANÇ_MOV[[#This Row],[PLANO DE CONTAS]],Plano_Contas[[PLANO DE CONTAS]:[NOMES INTERVALOS]],2,0),"")</f>
        <v>Despesas_Com_RH</v>
      </c>
      <c r="Z47" s="523" t="str">
        <f>IF(LANÇ_MOV[[#This Row],[FORMA DE PAGAMENTO]]="","",VLOOKUP(LANÇ_MOV[[#This Row],[FORMA DE PAGAMENTO]],CAD_Forma_pagto[],2,0))</f>
        <v>PIX</v>
      </c>
      <c r="AA47" s="524" t="str">
        <f>IF(LANÇ_MOV[[#This Row],[DATA DE LANÇAMENTO]]="","",TEXT(LANÇ_MOV[[#This Row],[DATA DE LANÇAMENTO]],"AAAA"))</f>
        <v>2025</v>
      </c>
      <c r="AB47" s="524" t="str">
        <f>IF(LANÇ_MOV[[#This Row],[DATA DE LANÇAMENTO]]="","",UPPER(TEXT(LANÇ_MOV[[#This Row],[DATA DE LANÇAMENTO]],"MMMM")))</f>
        <v>OUTUBRO</v>
      </c>
      <c r="AC47" s="525" t="str">
        <f>IF(LANÇ_MOV[[#This Row],[DATA DE LANÇAMENTO]]="","",PROPER(TEXT(LANÇ_MOV[[#This Row],[DATA DE LANÇAMENTO]],"M")))</f>
        <v>10</v>
      </c>
      <c r="AD47" s="524" t="str">
        <f>IF(LANÇ_MOV[[#This Row],[DATA DE LANÇAMENTO]]="","",TEXT(LANÇ_MOV[[#This Row],[DATA DE LANÇAMENTO]],"D"))</f>
        <v>1</v>
      </c>
      <c r="AE47" s="526" t="str">
        <f>IF(LANÇ_MOV[[#This Row],[DATA DE VENCIMENTO]]="","",TEXT(LANÇ_MOV[[#This Row],[DATA DE VENCIMENTO]],"AAAA"))</f>
        <v>2026</v>
      </c>
      <c r="AF47" s="526" t="str">
        <f>IF(LANÇ_MOV[[#This Row],[DATA DE VENCIMENTO]]="","",UPPER(TEXT(LANÇ_MOV[[#This Row],[DATA DE VENCIMENTO]],"MMMM")))</f>
        <v>MAIO</v>
      </c>
      <c r="AG47" s="526" t="str">
        <f>IF(LANÇ_MOV[[#This Row],[DATA DE VENCIMENTO]]="","",TEXT(LANÇ_MOV[[#This Row],[DATA DE VENCIMENTO]],"M"))</f>
        <v>5</v>
      </c>
      <c r="AH47" s="526" t="str">
        <f>IF(LANÇ_MOV[[#This Row],[DATA DE VENCIMENTO]]="","",TEXT(LANÇ_MOV[[#This Row],[DATA DE VENCIMENTO]],"D"))</f>
        <v>5</v>
      </c>
      <c r="AI47" s="526" t="str">
        <f>IF(LANÇ_MOV[[#This Row],[DATA DE PAGAMENTO]]="","",TEXT(LANÇ_MOV[[#This Row],[DATA DE PAGAMENTO]],"AAAA"))</f>
        <v/>
      </c>
      <c r="AJ47" s="527" t="str">
        <f>IF(LANÇ_MOV[[#This Row],[DATA DE PAGAMENTO]]="","",UPPER(TEXT(LANÇ_MOV[[#This Row],[DATA DE PAGAMENTO]],"MMMM")))</f>
        <v/>
      </c>
      <c r="AK47" s="527" t="str">
        <f>IF(LANÇ_MOV[[#This Row],[DATA DE PAGAMENTO]]="","",TEXT(LANÇ_MOV[[#This Row],[DATA DE PAGAMENTO]],"M"))</f>
        <v/>
      </c>
      <c r="AL47" s="526" t="str">
        <f>IF(LANÇ_MOV[[#This Row],[DATA DE PAGAMENTO]]="","",TEXT(LANÇ_MOV[[#This Row],[DATA DE PAGAMENTO]],"D"))</f>
        <v/>
      </c>
      <c r="AM47" s="210"/>
      <c r="BC47" s="112"/>
      <c r="BD47" s="112"/>
    </row>
    <row r="48" spans="1:56" ht="30.05" customHeight="1" x14ac:dyDescent="0.35">
      <c r="A48" s="281">
        <v>44353</v>
      </c>
      <c r="B48" s="506">
        <v>45931</v>
      </c>
      <c r="C48" s="507" t="s">
        <v>1661</v>
      </c>
      <c r="D48" s="508" t="s">
        <v>1854</v>
      </c>
      <c r="E48" s="509" t="s">
        <v>228</v>
      </c>
      <c r="F48" s="510" t="s">
        <v>1492</v>
      </c>
      <c r="G48" s="507"/>
      <c r="H48" s="511">
        <v>0</v>
      </c>
      <c r="I48" s="512" t="s">
        <v>1738</v>
      </c>
      <c r="J48" s="510">
        <v>1500</v>
      </c>
      <c r="K48" s="513">
        <v>0</v>
      </c>
      <c r="L48" s="513">
        <v>0</v>
      </c>
      <c r="M48" s="513">
        <v>0</v>
      </c>
      <c r="N48" s="514">
        <f>LANÇ_MOV[[#This Row],[VALOR BRUTO]]-LANÇ_MOV[[#This Row],[DESCONTO]]+LANÇ_MOV[[#This Row],[JUROS]]+LANÇ_MOV[[#This Row],[MULTA]]</f>
        <v>1500</v>
      </c>
      <c r="O48" s="515">
        <v>46178</v>
      </c>
      <c r="P48" s="516" t="str">
        <f t="shared" ca="1" si="0"/>
        <v>Prazo - Mais de 1 mês</v>
      </c>
      <c r="Q48" s="517"/>
      <c r="R48" s="529" t="s">
        <v>1564</v>
      </c>
      <c r="S48" s="531"/>
      <c r="T48" s="518" t="s">
        <v>1776</v>
      </c>
      <c r="U48" s="519" t="s">
        <v>2008</v>
      </c>
      <c r="V48" s="520" t="str">
        <f>IFERROR(VLOOKUP(LANÇ_MOV[[#This Row],[PLANO DE CONTAS]],Plano_Contas[[PLANO DE CONTAS]:[R / D]],3,0),"")</f>
        <v>Despesa</v>
      </c>
      <c r="W48" s="521" t="str">
        <f>IF(LANÇ_MOV[[#This Row],[DATA DE PAGAMENTO]]&lt;&gt;"","Pago","Não Pago")</f>
        <v>Não Pago</v>
      </c>
      <c r="X48" s="522" t="str">
        <f>IFERROR(IF(LANÇ_MOV[[#This Row],[DATA DE PAGAMENTO]]="","",(UPPER(TEXT(LANÇ_MOV[[#This Row],[DATA DE PAGAMENTO]],"mmmm")))),"")</f>
        <v/>
      </c>
      <c r="Y48" s="523" t="str">
        <f>IFERROR(VLOOKUP(LANÇ_MOV[[#This Row],[PLANO DE CONTAS]],Plano_Contas[[PLANO DE CONTAS]:[NOMES INTERVALOS]],2,0),"")</f>
        <v>Despesas_Com_RH</v>
      </c>
      <c r="Z48" s="523" t="str">
        <f>IF(LANÇ_MOV[[#This Row],[FORMA DE PAGAMENTO]]="","",VLOOKUP(LANÇ_MOV[[#This Row],[FORMA DE PAGAMENTO]],CAD_Forma_pagto[],2,0))</f>
        <v>PIX</v>
      </c>
      <c r="AA48" s="524" t="str">
        <f>IF(LANÇ_MOV[[#This Row],[DATA DE LANÇAMENTO]]="","",TEXT(LANÇ_MOV[[#This Row],[DATA DE LANÇAMENTO]],"AAAA"))</f>
        <v>2025</v>
      </c>
      <c r="AB48" s="524" t="str">
        <f>IF(LANÇ_MOV[[#This Row],[DATA DE LANÇAMENTO]]="","",UPPER(TEXT(LANÇ_MOV[[#This Row],[DATA DE LANÇAMENTO]],"MMMM")))</f>
        <v>OUTUBRO</v>
      </c>
      <c r="AC48" s="525" t="str">
        <f>IF(LANÇ_MOV[[#This Row],[DATA DE LANÇAMENTO]]="","",PROPER(TEXT(LANÇ_MOV[[#This Row],[DATA DE LANÇAMENTO]],"M")))</f>
        <v>10</v>
      </c>
      <c r="AD48" s="524" t="str">
        <f>IF(LANÇ_MOV[[#This Row],[DATA DE LANÇAMENTO]]="","",TEXT(LANÇ_MOV[[#This Row],[DATA DE LANÇAMENTO]],"D"))</f>
        <v>1</v>
      </c>
      <c r="AE48" s="526" t="str">
        <f>IF(LANÇ_MOV[[#This Row],[DATA DE VENCIMENTO]]="","",TEXT(LANÇ_MOV[[#This Row],[DATA DE VENCIMENTO]],"AAAA"))</f>
        <v>2026</v>
      </c>
      <c r="AF48" s="526" t="str">
        <f>IF(LANÇ_MOV[[#This Row],[DATA DE VENCIMENTO]]="","",UPPER(TEXT(LANÇ_MOV[[#This Row],[DATA DE VENCIMENTO]],"MMMM")))</f>
        <v>JUNHO</v>
      </c>
      <c r="AG48" s="526" t="str">
        <f>IF(LANÇ_MOV[[#This Row],[DATA DE VENCIMENTO]]="","",TEXT(LANÇ_MOV[[#This Row],[DATA DE VENCIMENTO]],"M"))</f>
        <v>6</v>
      </c>
      <c r="AH48" s="526" t="str">
        <f>IF(LANÇ_MOV[[#This Row],[DATA DE VENCIMENTO]]="","",TEXT(LANÇ_MOV[[#This Row],[DATA DE VENCIMENTO]],"D"))</f>
        <v>5</v>
      </c>
      <c r="AI48" s="526" t="str">
        <f>IF(LANÇ_MOV[[#This Row],[DATA DE PAGAMENTO]]="","",TEXT(LANÇ_MOV[[#This Row],[DATA DE PAGAMENTO]],"AAAA"))</f>
        <v/>
      </c>
      <c r="AJ48" s="527" t="str">
        <f>IF(LANÇ_MOV[[#This Row],[DATA DE PAGAMENTO]]="","",UPPER(TEXT(LANÇ_MOV[[#This Row],[DATA DE PAGAMENTO]],"MMMM")))</f>
        <v/>
      </c>
      <c r="AK48" s="527" t="str">
        <f>IF(LANÇ_MOV[[#This Row],[DATA DE PAGAMENTO]]="","",TEXT(LANÇ_MOV[[#This Row],[DATA DE PAGAMENTO]],"M"))</f>
        <v/>
      </c>
      <c r="AL48" s="526" t="str">
        <f>IF(LANÇ_MOV[[#This Row],[DATA DE PAGAMENTO]]="","",TEXT(LANÇ_MOV[[#This Row],[DATA DE PAGAMENTO]],"D"))</f>
        <v/>
      </c>
      <c r="AM48" s="210"/>
      <c r="BC48" s="112"/>
      <c r="BD48" s="112"/>
    </row>
    <row r="49" spans="1:56" ht="30.05" customHeight="1" x14ac:dyDescent="0.35">
      <c r="A49" s="281">
        <v>44353</v>
      </c>
      <c r="B49" s="506">
        <v>45931</v>
      </c>
      <c r="C49" s="507" t="s">
        <v>1661</v>
      </c>
      <c r="D49" s="508" t="s">
        <v>1854</v>
      </c>
      <c r="E49" s="509" t="s">
        <v>228</v>
      </c>
      <c r="F49" s="510" t="s">
        <v>1492</v>
      </c>
      <c r="G49" s="507"/>
      <c r="H49" s="511">
        <v>0</v>
      </c>
      <c r="I49" s="512" t="s">
        <v>1738</v>
      </c>
      <c r="J49" s="518">
        <v>1500</v>
      </c>
      <c r="K49" s="513">
        <v>0</v>
      </c>
      <c r="L49" s="513">
        <v>0</v>
      </c>
      <c r="M49" s="513">
        <v>0</v>
      </c>
      <c r="N49" s="514">
        <f>LANÇ_MOV[[#This Row],[VALOR BRUTO]]-LANÇ_MOV[[#This Row],[DESCONTO]]+LANÇ_MOV[[#This Row],[JUROS]]+LANÇ_MOV[[#This Row],[MULTA]]</f>
        <v>1500</v>
      </c>
      <c r="O49" s="528">
        <v>46208</v>
      </c>
      <c r="P49" s="516" t="str">
        <f t="shared" ca="1" si="0"/>
        <v>Prazo - Mais de 1 mês</v>
      </c>
      <c r="Q49" s="530"/>
      <c r="R49" s="529" t="s">
        <v>1564</v>
      </c>
      <c r="S49" s="531"/>
      <c r="T49" s="518" t="s">
        <v>1776</v>
      </c>
      <c r="U49" s="519" t="s">
        <v>2008</v>
      </c>
      <c r="V49" s="520" t="str">
        <f>IFERROR(VLOOKUP(LANÇ_MOV[[#This Row],[PLANO DE CONTAS]],Plano_Contas[[PLANO DE CONTAS]:[R / D]],3,0),"")</f>
        <v>Despesa</v>
      </c>
      <c r="W49" s="521" t="str">
        <f>IF(LANÇ_MOV[[#This Row],[DATA DE PAGAMENTO]]&lt;&gt;"","Pago","Não Pago")</f>
        <v>Não Pago</v>
      </c>
      <c r="X49" s="522" t="str">
        <f>IFERROR(IF(LANÇ_MOV[[#This Row],[DATA DE PAGAMENTO]]="","",(UPPER(TEXT(LANÇ_MOV[[#This Row],[DATA DE PAGAMENTO]],"mmmm")))),"")</f>
        <v/>
      </c>
      <c r="Y49" s="523" t="str">
        <f>IFERROR(VLOOKUP(LANÇ_MOV[[#This Row],[PLANO DE CONTAS]],Plano_Contas[[PLANO DE CONTAS]:[NOMES INTERVALOS]],2,0),"")</f>
        <v>Despesas_Com_RH</v>
      </c>
      <c r="Z49" s="523" t="str">
        <f>IF(LANÇ_MOV[[#This Row],[FORMA DE PAGAMENTO]]="","",VLOOKUP(LANÇ_MOV[[#This Row],[FORMA DE PAGAMENTO]],CAD_Forma_pagto[],2,0))</f>
        <v>PIX</v>
      </c>
      <c r="AA49" s="524" t="str">
        <f>IF(LANÇ_MOV[[#This Row],[DATA DE LANÇAMENTO]]="","",TEXT(LANÇ_MOV[[#This Row],[DATA DE LANÇAMENTO]],"AAAA"))</f>
        <v>2025</v>
      </c>
      <c r="AB49" s="524" t="str">
        <f>IF(LANÇ_MOV[[#This Row],[DATA DE LANÇAMENTO]]="","",UPPER(TEXT(LANÇ_MOV[[#This Row],[DATA DE LANÇAMENTO]],"MMMM")))</f>
        <v>OUTUBRO</v>
      </c>
      <c r="AC49" s="525" t="str">
        <f>IF(LANÇ_MOV[[#This Row],[DATA DE LANÇAMENTO]]="","",PROPER(TEXT(LANÇ_MOV[[#This Row],[DATA DE LANÇAMENTO]],"M")))</f>
        <v>10</v>
      </c>
      <c r="AD49" s="524" t="str">
        <f>IF(LANÇ_MOV[[#This Row],[DATA DE LANÇAMENTO]]="","",TEXT(LANÇ_MOV[[#This Row],[DATA DE LANÇAMENTO]],"D"))</f>
        <v>1</v>
      </c>
      <c r="AE49" s="526" t="str">
        <f>IF(LANÇ_MOV[[#This Row],[DATA DE VENCIMENTO]]="","",TEXT(LANÇ_MOV[[#This Row],[DATA DE VENCIMENTO]],"AAAA"))</f>
        <v>2026</v>
      </c>
      <c r="AF49" s="526" t="str">
        <f>IF(LANÇ_MOV[[#This Row],[DATA DE VENCIMENTO]]="","",UPPER(TEXT(LANÇ_MOV[[#This Row],[DATA DE VENCIMENTO]],"MMMM")))</f>
        <v>JULHO</v>
      </c>
      <c r="AG49" s="526" t="str">
        <f>IF(LANÇ_MOV[[#This Row],[DATA DE VENCIMENTO]]="","",TEXT(LANÇ_MOV[[#This Row],[DATA DE VENCIMENTO]],"M"))</f>
        <v>7</v>
      </c>
      <c r="AH49" s="526" t="str">
        <f>IF(LANÇ_MOV[[#This Row],[DATA DE VENCIMENTO]]="","",TEXT(LANÇ_MOV[[#This Row],[DATA DE VENCIMENTO]],"D"))</f>
        <v>5</v>
      </c>
      <c r="AI49" s="526" t="str">
        <f>IF(LANÇ_MOV[[#This Row],[DATA DE PAGAMENTO]]="","",TEXT(LANÇ_MOV[[#This Row],[DATA DE PAGAMENTO]],"AAAA"))</f>
        <v/>
      </c>
      <c r="AJ49" s="527" t="str">
        <f>IF(LANÇ_MOV[[#This Row],[DATA DE PAGAMENTO]]="","",UPPER(TEXT(LANÇ_MOV[[#This Row],[DATA DE PAGAMENTO]],"MMMM")))</f>
        <v/>
      </c>
      <c r="AK49" s="527" t="str">
        <f>IF(LANÇ_MOV[[#This Row],[DATA DE PAGAMENTO]]="","",TEXT(LANÇ_MOV[[#This Row],[DATA DE PAGAMENTO]],"M"))</f>
        <v/>
      </c>
      <c r="AL49" s="526" t="str">
        <f>IF(LANÇ_MOV[[#This Row],[DATA DE PAGAMENTO]]="","",TEXT(LANÇ_MOV[[#This Row],[DATA DE PAGAMENTO]],"D"))</f>
        <v/>
      </c>
      <c r="AM49" s="210"/>
      <c r="BC49" s="112"/>
      <c r="BD49" s="112"/>
    </row>
    <row r="50" spans="1:56" ht="30.05" customHeight="1" x14ac:dyDescent="0.35">
      <c r="A50" s="281"/>
      <c r="B50" s="506">
        <v>45931</v>
      </c>
      <c r="C50" s="507" t="s">
        <v>1661</v>
      </c>
      <c r="D50" s="508" t="s">
        <v>1854</v>
      </c>
      <c r="E50" s="509" t="s">
        <v>228</v>
      </c>
      <c r="F50" s="510" t="s">
        <v>1492</v>
      </c>
      <c r="G50" s="507"/>
      <c r="H50" s="511">
        <v>0</v>
      </c>
      <c r="I50" s="512" t="s">
        <v>1738</v>
      </c>
      <c r="J50" s="518">
        <v>1500</v>
      </c>
      <c r="K50" s="513">
        <v>0</v>
      </c>
      <c r="L50" s="513">
        <v>0</v>
      </c>
      <c r="M50" s="513">
        <v>0</v>
      </c>
      <c r="N50" s="514">
        <f>LANÇ_MOV[[#This Row],[VALOR BRUTO]]-LANÇ_MOV[[#This Row],[DESCONTO]]+LANÇ_MOV[[#This Row],[JUROS]]+LANÇ_MOV[[#This Row],[MULTA]]</f>
        <v>1500</v>
      </c>
      <c r="O50" s="528">
        <v>46239</v>
      </c>
      <c r="P50" s="516" t="str">
        <f t="shared" ca="1" si="0"/>
        <v>Prazo - Mais de 1 mês</v>
      </c>
      <c r="Q50" s="530"/>
      <c r="R50" s="529" t="s">
        <v>1564</v>
      </c>
      <c r="S50" s="531"/>
      <c r="T50" s="518" t="s">
        <v>1776</v>
      </c>
      <c r="U50" s="519" t="s">
        <v>2008</v>
      </c>
      <c r="V50" s="520" t="str">
        <f>IFERROR(VLOOKUP(LANÇ_MOV[[#This Row],[PLANO DE CONTAS]],Plano_Contas[[PLANO DE CONTAS]:[R / D]],3,0),"")</f>
        <v>Despesa</v>
      </c>
      <c r="W50" s="521" t="str">
        <f>IF(LANÇ_MOV[[#This Row],[DATA DE PAGAMENTO]]&lt;&gt;"","Pago","Não Pago")</f>
        <v>Não Pago</v>
      </c>
      <c r="X50" s="522" t="str">
        <f>IFERROR(IF(LANÇ_MOV[[#This Row],[DATA DE PAGAMENTO]]="","",(UPPER(TEXT(LANÇ_MOV[[#This Row],[DATA DE PAGAMENTO]],"mmmm")))),"")</f>
        <v/>
      </c>
      <c r="Y50" s="523" t="str">
        <f>IFERROR(VLOOKUP(LANÇ_MOV[[#This Row],[PLANO DE CONTAS]],Plano_Contas[[PLANO DE CONTAS]:[NOMES INTERVALOS]],2,0),"")</f>
        <v>Despesas_Com_RH</v>
      </c>
      <c r="Z50" s="523" t="str">
        <f>IF(LANÇ_MOV[[#This Row],[FORMA DE PAGAMENTO]]="","",VLOOKUP(LANÇ_MOV[[#This Row],[FORMA DE PAGAMENTO]],CAD_Forma_pagto[],2,0))</f>
        <v>PIX</v>
      </c>
      <c r="AA50" s="524" t="str">
        <f>IF(LANÇ_MOV[[#This Row],[DATA DE LANÇAMENTO]]="","",TEXT(LANÇ_MOV[[#This Row],[DATA DE LANÇAMENTO]],"AAAA"))</f>
        <v>2025</v>
      </c>
      <c r="AB50" s="524" t="str">
        <f>IF(LANÇ_MOV[[#This Row],[DATA DE LANÇAMENTO]]="","",UPPER(TEXT(LANÇ_MOV[[#This Row],[DATA DE LANÇAMENTO]],"MMMM")))</f>
        <v>OUTUBRO</v>
      </c>
      <c r="AC50" s="525" t="str">
        <f>IF(LANÇ_MOV[[#This Row],[DATA DE LANÇAMENTO]]="","",PROPER(TEXT(LANÇ_MOV[[#This Row],[DATA DE LANÇAMENTO]],"M")))</f>
        <v>10</v>
      </c>
      <c r="AD50" s="524" t="str">
        <f>IF(LANÇ_MOV[[#This Row],[DATA DE LANÇAMENTO]]="","",TEXT(LANÇ_MOV[[#This Row],[DATA DE LANÇAMENTO]],"D"))</f>
        <v>1</v>
      </c>
      <c r="AE50" s="526" t="str">
        <f>IF(LANÇ_MOV[[#This Row],[DATA DE VENCIMENTO]]="","",TEXT(LANÇ_MOV[[#This Row],[DATA DE VENCIMENTO]],"AAAA"))</f>
        <v>2026</v>
      </c>
      <c r="AF50" s="526" t="str">
        <f>IF(LANÇ_MOV[[#This Row],[DATA DE VENCIMENTO]]="","",UPPER(TEXT(LANÇ_MOV[[#This Row],[DATA DE VENCIMENTO]],"MMMM")))</f>
        <v>AGOSTO</v>
      </c>
      <c r="AG50" s="526" t="str">
        <f>IF(LANÇ_MOV[[#This Row],[DATA DE VENCIMENTO]]="","",TEXT(LANÇ_MOV[[#This Row],[DATA DE VENCIMENTO]],"M"))</f>
        <v>8</v>
      </c>
      <c r="AH50" s="526" t="str">
        <f>IF(LANÇ_MOV[[#This Row],[DATA DE VENCIMENTO]]="","",TEXT(LANÇ_MOV[[#This Row],[DATA DE VENCIMENTO]],"D"))</f>
        <v>5</v>
      </c>
      <c r="AI50" s="526" t="str">
        <f>IF(LANÇ_MOV[[#This Row],[DATA DE PAGAMENTO]]="","",TEXT(LANÇ_MOV[[#This Row],[DATA DE PAGAMENTO]],"AAAA"))</f>
        <v/>
      </c>
      <c r="AJ50" s="527" t="str">
        <f>IF(LANÇ_MOV[[#This Row],[DATA DE PAGAMENTO]]="","",UPPER(TEXT(LANÇ_MOV[[#This Row],[DATA DE PAGAMENTO]],"MMMM")))</f>
        <v/>
      </c>
      <c r="AK50" s="527" t="str">
        <f>IF(LANÇ_MOV[[#This Row],[DATA DE PAGAMENTO]]="","",TEXT(LANÇ_MOV[[#This Row],[DATA DE PAGAMENTO]],"M"))</f>
        <v/>
      </c>
      <c r="AL50" s="526" t="str">
        <f>IF(LANÇ_MOV[[#This Row],[DATA DE PAGAMENTO]]="","",TEXT(LANÇ_MOV[[#This Row],[DATA DE PAGAMENTO]],"D"))</f>
        <v/>
      </c>
      <c r="AM50" s="210"/>
      <c r="BC50" s="112"/>
      <c r="BD50" s="112"/>
    </row>
    <row r="51" spans="1:56" ht="30.05" customHeight="1" x14ac:dyDescent="0.35">
      <c r="B51" s="506">
        <v>45931</v>
      </c>
      <c r="C51" s="507" t="s">
        <v>1661</v>
      </c>
      <c r="D51" s="508" t="s">
        <v>1854</v>
      </c>
      <c r="E51" s="509" t="s">
        <v>228</v>
      </c>
      <c r="F51" s="510" t="s">
        <v>1492</v>
      </c>
      <c r="G51" s="507"/>
      <c r="H51" s="511">
        <v>0</v>
      </c>
      <c r="I51" s="512" t="s">
        <v>1738</v>
      </c>
      <c r="J51" s="510">
        <v>1500</v>
      </c>
      <c r="K51" s="513">
        <v>0</v>
      </c>
      <c r="L51" s="513">
        <v>0</v>
      </c>
      <c r="M51" s="513">
        <v>0</v>
      </c>
      <c r="N51" s="514">
        <f>LANÇ_MOV[[#This Row],[VALOR BRUTO]]-LANÇ_MOV[[#This Row],[DESCONTO]]+LANÇ_MOV[[#This Row],[JUROS]]+LANÇ_MOV[[#This Row],[MULTA]]</f>
        <v>1500</v>
      </c>
      <c r="O51" s="528">
        <v>46270</v>
      </c>
      <c r="P51" s="516" t="str">
        <f t="shared" ca="1" si="0"/>
        <v>Prazo - Mais de 1 mês</v>
      </c>
      <c r="Q51" s="517"/>
      <c r="R51" s="529" t="s">
        <v>1564</v>
      </c>
      <c r="S51" s="531"/>
      <c r="T51" s="518" t="s">
        <v>1776</v>
      </c>
      <c r="U51" s="519" t="s">
        <v>2008</v>
      </c>
      <c r="V51" s="520" t="str">
        <f>IFERROR(VLOOKUP(LANÇ_MOV[[#This Row],[PLANO DE CONTAS]],Plano_Contas[[PLANO DE CONTAS]:[R / D]],3,0),"")</f>
        <v>Despesa</v>
      </c>
      <c r="W51" s="521" t="str">
        <f>IF(LANÇ_MOV[[#This Row],[DATA DE PAGAMENTO]]&lt;&gt;"","Pago","Não Pago")</f>
        <v>Não Pago</v>
      </c>
      <c r="X51" s="522" t="str">
        <f>IFERROR(IF(LANÇ_MOV[[#This Row],[DATA DE PAGAMENTO]]="","",(UPPER(TEXT(LANÇ_MOV[[#This Row],[DATA DE PAGAMENTO]],"mmmm")))),"")</f>
        <v/>
      </c>
      <c r="Y51" s="523" t="str">
        <f>IFERROR(VLOOKUP(LANÇ_MOV[[#This Row],[PLANO DE CONTAS]],Plano_Contas[[PLANO DE CONTAS]:[NOMES INTERVALOS]],2,0),"")</f>
        <v>Despesas_Com_RH</v>
      </c>
      <c r="Z51" s="523" t="str">
        <f>IF(LANÇ_MOV[[#This Row],[FORMA DE PAGAMENTO]]="","",VLOOKUP(LANÇ_MOV[[#This Row],[FORMA DE PAGAMENTO]],CAD_Forma_pagto[],2,0))</f>
        <v>PIX</v>
      </c>
      <c r="AA51" s="524" t="str">
        <f>IF(LANÇ_MOV[[#This Row],[DATA DE LANÇAMENTO]]="","",TEXT(LANÇ_MOV[[#This Row],[DATA DE LANÇAMENTO]],"AAAA"))</f>
        <v>2025</v>
      </c>
      <c r="AB51" s="524" t="str">
        <f>IF(LANÇ_MOV[[#This Row],[DATA DE LANÇAMENTO]]="","",UPPER(TEXT(LANÇ_MOV[[#This Row],[DATA DE LANÇAMENTO]],"MMMM")))</f>
        <v>OUTUBRO</v>
      </c>
      <c r="AC51" s="525" t="str">
        <f>IF(LANÇ_MOV[[#This Row],[DATA DE LANÇAMENTO]]="","",PROPER(TEXT(LANÇ_MOV[[#This Row],[DATA DE LANÇAMENTO]],"M")))</f>
        <v>10</v>
      </c>
      <c r="AD51" s="524" t="str">
        <f>IF(LANÇ_MOV[[#This Row],[DATA DE LANÇAMENTO]]="","",TEXT(LANÇ_MOV[[#This Row],[DATA DE LANÇAMENTO]],"D"))</f>
        <v>1</v>
      </c>
      <c r="AE51" s="526" t="str">
        <f>IF(LANÇ_MOV[[#This Row],[DATA DE VENCIMENTO]]="","",TEXT(LANÇ_MOV[[#This Row],[DATA DE VENCIMENTO]],"AAAA"))</f>
        <v>2026</v>
      </c>
      <c r="AF51" s="526" t="str">
        <f>IF(LANÇ_MOV[[#This Row],[DATA DE VENCIMENTO]]="","",UPPER(TEXT(LANÇ_MOV[[#This Row],[DATA DE VENCIMENTO]],"MMMM")))</f>
        <v>SETEMBRO</v>
      </c>
      <c r="AG51" s="526" t="str">
        <f>IF(LANÇ_MOV[[#This Row],[DATA DE VENCIMENTO]]="","",TEXT(LANÇ_MOV[[#This Row],[DATA DE VENCIMENTO]],"M"))</f>
        <v>9</v>
      </c>
      <c r="AH51" s="526" t="str">
        <f>IF(LANÇ_MOV[[#This Row],[DATA DE VENCIMENTO]]="","",TEXT(LANÇ_MOV[[#This Row],[DATA DE VENCIMENTO]],"D"))</f>
        <v>5</v>
      </c>
      <c r="AI51" s="526" t="str">
        <f>IF(LANÇ_MOV[[#This Row],[DATA DE PAGAMENTO]]="","",TEXT(LANÇ_MOV[[#This Row],[DATA DE PAGAMENTO]],"AAAA"))</f>
        <v/>
      </c>
      <c r="AJ51" s="527" t="str">
        <f>IF(LANÇ_MOV[[#This Row],[DATA DE PAGAMENTO]]="","",UPPER(TEXT(LANÇ_MOV[[#This Row],[DATA DE PAGAMENTO]],"MMMM")))</f>
        <v/>
      </c>
      <c r="AK51" s="527" t="str">
        <f>IF(LANÇ_MOV[[#This Row],[DATA DE PAGAMENTO]]="","",TEXT(LANÇ_MOV[[#This Row],[DATA DE PAGAMENTO]],"M"))</f>
        <v/>
      </c>
      <c r="AL51" s="526" t="str">
        <f>IF(LANÇ_MOV[[#This Row],[DATA DE PAGAMENTO]]="","",TEXT(LANÇ_MOV[[#This Row],[DATA DE PAGAMENTO]],"D"))</f>
        <v/>
      </c>
      <c r="AM51" s="210"/>
      <c r="BC51" s="112"/>
      <c r="BD51" s="112"/>
    </row>
    <row r="52" spans="1:56" ht="30.05" customHeight="1" x14ac:dyDescent="0.35">
      <c r="B52" s="506">
        <v>45931</v>
      </c>
      <c r="C52" s="507" t="s">
        <v>1661</v>
      </c>
      <c r="D52" s="508" t="s">
        <v>1854</v>
      </c>
      <c r="E52" s="509" t="s">
        <v>228</v>
      </c>
      <c r="F52" s="510" t="s">
        <v>1492</v>
      </c>
      <c r="G52" s="507"/>
      <c r="H52" s="511">
        <v>0</v>
      </c>
      <c r="I52" s="512" t="s">
        <v>1738</v>
      </c>
      <c r="J52" s="518">
        <v>1500</v>
      </c>
      <c r="K52" s="513">
        <v>0</v>
      </c>
      <c r="L52" s="513">
        <v>0</v>
      </c>
      <c r="M52" s="513">
        <v>0</v>
      </c>
      <c r="N52" s="514">
        <f>LANÇ_MOV[[#This Row],[VALOR BRUTO]]-LANÇ_MOV[[#This Row],[DESCONTO]]+LANÇ_MOV[[#This Row],[JUROS]]+LANÇ_MOV[[#This Row],[MULTA]]</f>
        <v>1500</v>
      </c>
      <c r="O52" s="528">
        <v>46300</v>
      </c>
      <c r="P52" s="516" t="str">
        <f t="shared" ca="1" si="0"/>
        <v>Prazo - Mais de 1 mês</v>
      </c>
      <c r="Q52" s="530"/>
      <c r="R52" s="529" t="s">
        <v>1564</v>
      </c>
      <c r="S52" s="531"/>
      <c r="T52" s="518" t="s">
        <v>1776</v>
      </c>
      <c r="U52" s="519" t="s">
        <v>2008</v>
      </c>
      <c r="V52" s="520" t="str">
        <f>IFERROR(VLOOKUP(LANÇ_MOV[[#This Row],[PLANO DE CONTAS]],Plano_Contas[[PLANO DE CONTAS]:[R / D]],3,0),"")</f>
        <v>Despesa</v>
      </c>
      <c r="W52" s="521" t="str">
        <f>IF(LANÇ_MOV[[#This Row],[DATA DE PAGAMENTO]]&lt;&gt;"","Pago","Não Pago")</f>
        <v>Não Pago</v>
      </c>
      <c r="X52" s="522" t="str">
        <f>IFERROR(IF(LANÇ_MOV[[#This Row],[DATA DE PAGAMENTO]]="","",(UPPER(TEXT(LANÇ_MOV[[#This Row],[DATA DE PAGAMENTO]],"mmmm")))),"")</f>
        <v/>
      </c>
      <c r="Y52" s="523" t="str">
        <f>IFERROR(VLOOKUP(LANÇ_MOV[[#This Row],[PLANO DE CONTAS]],Plano_Contas[[PLANO DE CONTAS]:[NOMES INTERVALOS]],2,0),"")</f>
        <v>Despesas_Com_RH</v>
      </c>
      <c r="Z52" s="523" t="str">
        <f>IF(LANÇ_MOV[[#This Row],[FORMA DE PAGAMENTO]]="","",VLOOKUP(LANÇ_MOV[[#This Row],[FORMA DE PAGAMENTO]],CAD_Forma_pagto[],2,0))</f>
        <v>PIX</v>
      </c>
      <c r="AA52" s="524" t="str">
        <f>IF(LANÇ_MOV[[#This Row],[DATA DE LANÇAMENTO]]="","",TEXT(LANÇ_MOV[[#This Row],[DATA DE LANÇAMENTO]],"AAAA"))</f>
        <v>2025</v>
      </c>
      <c r="AB52" s="524" t="str">
        <f>IF(LANÇ_MOV[[#This Row],[DATA DE LANÇAMENTO]]="","",UPPER(TEXT(LANÇ_MOV[[#This Row],[DATA DE LANÇAMENTO]],"MMMM")))</f>
        <v>OUTUBRO</v>
      </c>
      <c r="AC52" s="525" t="str">
        <f>IF(LANÇ_MOV[[#This Row],[DATA DE LANÇAMENTO]]="","",PROPER(TEXT(LANÇ_MOV[[#This Row],[DATA DE LANÇAMENTO]],"M")))</f>
        <v>10</v>
      </c>
      <c r="AD52" s="524" t="str">
        <f>IF(LANÇ_MOV[[#This Row],[DATA DE LANÇAMENTO]]="","",TEXT(LANÇ_MOV[[#This Row],[DATA DE LANÇAMENTO]],"D"))</f>
        <v>1</v>
      </c>
      <c r="AE52" s="526" t="str">
        <f>IF(LANÇ_MOV[[#This Row],[DATA DE VENCIMENTO]]="","",TEXT(LANÇ_MOV[[#This Row],[DATA DE VENCIMENTO]],"AAAA"))</f>
        <v>2026</v>
      </c>
      <c r="AF52" s="526" t="str">
        <f>IF(LANÇ_MOV[[#This Row],[DATA DE VENCIMENTO]]="","",UPPER(TEXT(LANÇ_MOV[[#This Row],[DATA DE VENCIMENTO]],"MMMM")))</f>
        <v>OUTUBRO</v>
      </c>
      <c r="AG52" s="526" t="str">
        <f>IF(LANÇ_MOV[[#This Row],[DATA DE VENCIMENTO]]="","",TEXT(LANÇ_MOV[[#This Row],[DATA DE VENCIMENTO]],"M"))</f>
        <v>10</v>
      </c>
      <c r="AH52" s="526" t="str">
        <f>IF(LANÇ_MOV[[#This Row],[DATA DE VENCIMENTO]]="","",TEXT(LANÇ_MOV[[#This Row],[DATA DE VENCIMENTO]],"D"))</f>
        <v>5</v>
      </c>
      <c r="AI52" s="526" t="str">
        <f>IF(LANÇ_MOV[[#This Row],[DATA DE PAGAMENTO]]="","",TEXT(LANÇ_MOV[[#This Row],[DATA DE PAGAMENTO]],"AAAA"))</f>
        <v/>
      </c>
      <c r="AJ52" s="527" t="str">
        <f>IF(LANÇ_MOV[[#This Row],[DATA DE PAGAMENTO]]="","",UPPER(TEXT(LANÇ_MOV[[#This Row],[DATA DE PAGAMENTO]],"MMMM")))</f>
        <v/>
      </c>
      <c r="AK52" s="527" t="str">
        <f>IF(LANÇ_MOV[[#This Row],[DATA DE PAGAMENTO]]="","",TEXT(LANÇ_MOV[[#This Row],[DATA DE PAGAMENTO]],"M"))</f>
        <v/>
      </c>
      <c r="AL52" s="526" t="str">
        <f>IF(LANÇ_MOV[[#This Row],[DATA DE PAGAMENTO]]="","",TEXT(LANÇ_MOV[[#This Row],[DATA DE PAGAMENTO]],"D"))</f>
        <v/>
      </c>
      <c r="AM52" s="210"/>
      <c r="BC52" s="112"/>
      <c r="BD52" s="112"/>
    </row>
    <row r="53" spans="1:56" ht="30.05" customHeight="1" x14ac:dyDescent="0.35">
      <c r="B53" s="506">
        <v>45931</v>
      </c>
      <c r="C53" s="507" t="s">
        <v>1661</v>
      </c>
      <c r="D53" s="508" t="s">
        <v>1854</v>
      </c>
      <c r="E53" s="509" t="s">
        <v>228</v>
      </c>
      <c r="F53" s="510" t="s">
        <v>1492</v>
      </c>
      <c r="G53" s="507"/>
      <c r="H53" s="511">
        <v>0</v>
      </c>
      <c r="I53" s="512" t="s">
        <v>1738</v>
      </c>
      <c r="J53" s="518">
        <v>1500</v>
      </c>
      <c r="K53" s="513">
        <v>0</v>
      </c>
      <c r="L53" s="513">
        <v>0</v>
      </c>
      <c r="M53" s="513">
        <v>0</v>
      </c>
      <c r="N53" s="514">
        <f>LANÇ_MOV[[#This Row],[VALOR BRUTO]]-LANÇ_MOV[[#This Row],[DESCONTO]]+LANÇ_MOV[[#This Row],[JUROS]]+LANÇ_MOV[[#This Row],[MULTA]]</f>
        <v>1500</v>
      </c>
      <c r="O53" s="528">
        <v>46331</v>
      </c>
      <c r="P53" s="516" t="str">
        <f t="shared" ca="1" si="0"/>
        <v>Prazo - Mais de 1 mês</v>
      </c>
      <c r="Q53" s="530"/>
      <c r="R53" s="529" t="s">
        <v>1564</v>
      </c>
      <c r="S53" s="531"/>
      <c r="T53" s="518" t="s">
        <v>1776</v>
      </c>
      <c r="U53" s="519" t="s">
        <v>2008</v>
      </c>
      <c r="V53" s="520" t="str">
        <f>IFERROR(VLOOKUP(LANÇ_MOV[[#This Row],[PLANO DE CONTAS]],Plano_Contas[[PLANO DE CONTAS]:[R / D]],3,0),"")</f>
        <v>Despesa</v>
      </c>
      <c r="W53" s="521" t="str">
        <f>IF(LANÇ_MOV[[#This Row],[DATA DE PAGAMENTO]]&lt;&gt;"","Pago","Não Pago")</f>
        <v>Não Pago</v>
      </c>
      <c r="X53" s="522" t="str">
        <f>IFERROR(IF(LANÇ_MOV[[#This Row],[DATA DE PAGAMENTO]]="","",(UPPER(TEXT(LANÇ_MOV[[#This Row],[DATA DE PAGAMENTO]],"mmmm")))),"")</f>
        <v/>
      </c>
      <c r="Y53" s="523" t="str">
        <f>IFERROR(VLOOKUP(LANÇ_MOV[[#This Row],[PLANO DE CONTAS]],Plano_Contas[[PLANO DE CONTAS]:[NOMES INTERVALOS]],2,0),"")</f>
        <v>Despesas_Com_RH</v>
      </c>
      <c r="Z53" s="523" t="str">
        <f>IF(LANÇ_MOV[[#This Row],[FORMA DE PAGAMENTO]]="","",VLOOKUP(LANÇ_MOV[[#This Row],[FORMA DE PAGAMENTO]],CAD_Forma_pagto[],2,0))</f>
        <v>PIX</v>
      </c>
      <c r="AA53" s="524" t="str">
        <f>IF(LANÇ_MOV[[#This Row],[DATA DE LANÇAMENTO]]="","",TEXT(LANÇ_MOV[[#This Row],[DATA DE LANÇAMENTO]],"AAAA"))</f>
        <v>2025</v>
      </c>
      <c r="AB53" s="524" t="str">
        <f>IF(LANÇ_MOV[[#This Row],[DATA DE LANÇAMENTO]]="","",UPPER(TEXT(LANÇ_MOV[[#This Row],[DATA DE LANÇAMENTO]],"MMMM")))</f>
        <v>OUTUBRO</v>
      </c>
      <c r="AC53" s="525" t="str">
        <f>IF(LANÇ_MOV[[#This Row],[DATA DE LANÇAMENTO]]="","",PROPER(TEXT(LANÇ_MOV[[#This Row],[DATA DE LANÇAMENTO]],"M")))</f>
        <v>10</v>
      </c>
      <c r="AD53" s="524" t="str">
        <f>IF(LANÇ_MOV[[#This Row],[DATA DE LANÇAMENTO]]="","",TEXT(LANÇ_MOV[[#This Row],[DATA DE LANÇAMENTO]],"D"))</f>
        <v>1</v>
      </c>
      <c r="AE53" s="526" t="str">
        <f>IF(LANÇ_MOV[[#This Row],[DATA DE VENCIMENTO]]="","",TEXT(LANÇ_MOV[[#This Row],[DATA DE VENCIMENTO]],"AAAA"))</f>
        <v>2026</v>
      </c>
      <c r="AF53" s="526" t="str">
        <f>IF(LANÇ_MOV[[#This Row],[DATA DE VENCIMENTO]]="","",UPPER(TEXT(LANÇ_MOV[[#This Row],[DATA DE VENCIMENTO]],"MMMM")))</f>
        <v>NOVEMBRO</v>
      </c>
      <c r="AG53" s="526" t="str">
        <f>IF(LANÇ_MOV[[#This Row],[DATA DE VENCIMENTO]]="","",TEXT(LANÇ_MOV[[#This Row],[DATA DE VENCIMENTO]],"M"))</f>
        <v>11</v>
      </c>
      <c r="AH53" s="526" t="str">
        <f>IF(LANÇ_MOV[[#This Row],[DATA DE VENCIMENTO]]="","",TEXT(LANÇ_MOV[[#This Row],[DATA DE VENCIMENTO]],"D"))</f>
        <v>5</v>
      </c>
      <c r="AI53" s="526" t="str">
        <f>IF(LANÇ_MOV[[#This Row],[DATA DE PAGAMENTO]]="","",TEXT(LANÇ_MOV[[#This Row],[DATA DE PAGAMENTO]],"AAAA"))</f>
        <v/>
      </c>
      <c r="AJ53" s="527" t="str">
        <f>IF(LANÇ_MOV[[#This Row],[DATA DE PAGAMENTO]]="","",UPPER(TEXT(LANÇ_MOV[[#This Row],[DATA DE PAGAMENTO]],"MMMM")))</f>
        <v/>
      </c>
      <c r="AK53" s="527" t="str">
        <f>IF(LANÇ_MOV[[#This Row],[DATA DE PAGAMENTO]]="","",TEXT(LANÇ_MOV[[#This Row],[DATA DE PAGAMENTO]],"M"))</f>
        <v/>
      </c>
      <c r="AL53" s="526" t="str">
        <f>IF(LANÇ_MOV[[#This Row],[DATA DE PAGAMENTO]]="","",TEXT(LANÇ_MOV[[#This Row],[DATA DE PAGAMENTO]],"D"))</f>
        <v/>
      </c>
      <c r="AM53" s="210"/>
      <c r="BC53" s="112"/>
      <c r="BD53" s="112"/>
    </row>
    <row r="54" spans="1:56" ht="30.05" customHeight="1" x14ac:dyDescent="0.35">
      <c r="B54" s="506">
        <v>45931</v>
      </c>
      <c r="C54" s="507" t="s">
        <v>1661</v>
      </c>
      <c r="D54" s="508" t="s">
        <v>1854</v>
      </c>
      <c r="E54" s="509" t="s">
        <v>228</v>
      </c>
      <c r="F54" s="510" t="s">
        <v>1641</v>
      </c>
      <c r="G54" s="507"/>
      <c r="H54" s="511">
        <v>0</v>
      </c>
      <c r="I54" s="512" t="s">
        <v>1738</v>
      </c>
      <c r="J54" s="518">
        <v>1500</v>
      </c>
      <c r="K54" s="513">
        <v>0</v>
      </c>
      <c r="L54" s="513">
        <v>0</v>
      </c>
      <c r="M54" s="513">
        <v>0</v>
      </c>
      <c r="N54" s="514">
        <f>LANÇ_MOV[[#This Row],[VALOR BRUTO]]-LANÇ_MOV[[#This Row],[DESCONTO]]+LANÇ_MOV[[#This Row],[JUROS]]+LANÇ_MOV[[#This Row],[MULTA]]</f>
        <v>1500</v>
      </c>
      <c r="O54" s="528">
        <v>46346</v>
      </c>
      <c r="P54" s="516" t="str">
        <f t="shared" ca="1" si="0"/>
        <v>Prazo - Mais de 1 mês</v>
      </c>
      <c r="Q54" s="530"/>
      <c r="R54" s="529" t="s">
        <v>1564</v>
      </c>
      <c r="S54" s="531"/>
      <c r="T54" s="518" t="s">
        <v>1776</v>
      </c>
      <c r="U54" s="519" t="s">
        <v>2008</v>
      </c>
      <c r="V54" s="520" t="str">
        <f>IFERROR(VLOOKUP(LANÇ_MOV[[#This Row],[PLANO DE CONTAS]],Plano_Contas[[PLANO DE CONTAS]:[R / D]],3,0),"")</f>
        <v>Despesa</v>
      </c>
      <c r="W54" s="521" t="str">
        <f>IF(LANÇ_MOV[[#This Row],[DATA DE PAGAMENTO]]&lt;&gt;"","Pago","Não Pago")</f>
        <v>Não Pago</v>
      </c>
      <c r="X54" s="522" t="str">
        <f>IFERROR(IF(LANÇ_MOV[[#This Row],[DATA DE PAGAMENTO]]="","",(UPPER(TEXT(LANÇ_MOV[[#This Row],[DATA DE PAGAMENTO]],"mmmm")))),"")</f>
        <v/>
      </c>
      <c r="Y54" s="523" t="str">
        <f>IFERROR(VLOOKUP(LANÇ_MOV[[#This Row],[PLANO DE CONTAS]],Plano_Contas[[PLANO DE CONTAS]:[NOMES INTERVALOS]],2,0),"")</f>
        <v>Despesas_Com_RH</v>
      </c>
      <c r="Z54" s="523" t="str">
        <f>IF(LANÇ_MOV[[#This Row],[FORMA DE PAGAMENTO]]="","",VLOOKUP(LANÇ_MOV[[#This Row],[FORMA DE PAGAMENTO]],CAD_Forma_pagto[],2,0))</f>
        <v>PIX</v>
      </c>
      <c r="AA54" s="524" t="str">
        <f>IF(LANÇ_MOV[[#This Row],[DATA DE LANÇAMENTO]]="","",TEXT(LANÇ_MOV[[#This Row],[DATA DE LANÇAMENTO]],"AAAA"))</f>
        <v>2025</v>
      </c>
      <c r="AB54" s="524" t="str">
        <f>IF(LANÇ_MOV[[#This Row],[DATA DE LANÇAMENTO]]="","",UPPER(TEXT(LANÇ_MOV[[#This Row],[DATA DE LANÇAMENTO]],"MMMM")))</f>
        <v>OUTUBRO</v>
      </c>
      <c r="AC54" s="525" t="str">
        <f>IF(LANÇ_MOV[[#This Row],[DATA DE LANÇAMENTO]]="","",PROPER(TEXT(LANÇ_MOV[[#This Row],[DATA DE LANÇAMENTO]],"M")))</f>
        <v>10</v>
      </c>
      <c r="AD54" s="524" t="str">
        <f>IF(LANÇ_MOV[[#This Row],[DATA DE LANÇAMENTO]]="","",TEXT(LANÇ_MOV[[#This Row],[DATA DE LANÇAMENTO]],"D"))</f>
        <v>1</v>
      </c>
      <c r="AE54" s="526" t="str">
        <f>IF(LANÇ_MOV[[#This Row],[DATA DE VENCIMENTO]]="","",TEXT(LANÇ_MOV[[#This Row],[DATA DE VENCIMENTO]],"AAAA"))</f>
        <v>2026</v>
      </c>
      <c r="AF54" s="526" t="str">
        <f>IF(LANÇ_MOV[[#This Row],[DATA DE VENCIMENTO]]="","",UPPER(TEXT(LANÇ_MOV[[#This Row],[DATA DE VENCIMENTO]],"MMMM")))</f>
        <v>NOVEMBRO</v>
      </c>
      <c r="AG54" s="526" t="str">
        <f>IF(LANÇ_MOV[[#This Row],[DATA DE VENCIMENTO]]="","",TEXT(LANÇ_MOV[[#This Row],[DATA DE VENCIMENTO]],"M"))</f>
        <v>11</v>
      </c>
      <c r="AH54" s="526" t="str">
        <f>IF(LANÇ_MOV[[#This Row],[DATA DE VENCIMENTO]]="","",TEXT(LANÇ_MOV[[#This Row],[DATA DE VENCIMENTO]],"D"))</f>
        <v>20</v>
      </c>
      <c r="AI54" s="526" t="str">
        <f>IF(LANÇ_MOV[[#This Row],[DATA DE PAGAMENTO]]="","",TEXT(LANÇ_MOV[[#This Row],[DATA DE PAGAMENTO]],"AAAA"))</f>
        <v/>
      </c>
      <c r="AJ54" s="527" t="str">
        <f>IF(LANÇ_MOV[[#This Row],[DATA DE PAGAMENTO]]="","",UPPER(TEXT(LANÇ_MOV[[#This Row],[DATA DE PAGAMENTO]],"MMMM")))</f>
        <v/>
      </c>
      <c r="AK54" s="527" t="str">
        <f>IF(LANÇ_MOV[[#This Row],[DATA DE PAGAMENTO]]="","",TEXT(LANÇ_MOV[[#This Row],[DATA DE PAGAMENTO]],"M"))</f>
        <v/>
      </c>
      <c r="AL54" s="526" t="str">
        <f>IF(LANÇ_MOV[[#This Row],[DATA DE PAGAMENTO]]="","",TEXT(LANÇ_MOV[[#This Row],[DATA DE PAGAMENTO]],"D"))</f>
        <v/>
      </c>
      <c r="AM54" s="210"/>
      <c r="BC54" s="112"/>
      <c r="BD54" s="112"/>
    </row>
    <row r="55" spans="1:56" ht="30.05" customHeight="1" x14ac:dyDescent="0.35">
      <c r="B55" s="506">
        <v>45931</v>
      </c>
      <c r="C55" s="507" t="s">
        <v>1661</v>
      </c>
      <c r="D55" s="508" t="s">
        <v>1854</v>
      </c>
      <c r="E55" s="509" t="s">
        <v>228</v>
      </c>
      <c r="F55" s="510" t="s">
        <v>1492</v>
      </c>
      <c r="G55" s="507"/>
      <c r="H55" s="511">
        <v>0</v>
      </c>
      <c r="I55" s="512" t="s">
        <v>1738</v>
      </c>
      <c r="J55" s="518">
        <v>1500</v>
      </c>
      <c r="K55" s="513">
        <v>0</v>
      </c>
      <c r="L55" s="513">
        <v>0</v>
      </c>
      <c r="M55" s="513">
        <v>0</v>
      </c>
      <c r="N55" s="514">
        <f>LANÇ_MOV[[#This Row],[VALOR BRUTO]]-LANÇ_MOV[[#This Row],[DESCONTO]]+LANÇ_MOV[[#This Row],[JUROS]]+LANÇ_MOV[[#This Row],[MULTA]]</f>
        <v>1500</v>
      </c>
      <c r="O55" s="528">
        <v>46361</v>
      </c>
      <c r="P55" s="516" t="str">
        <f t="shared" ca="1" si="0"/>
        <v>Prazo - Mais de 1 mês</v>
      </c>
      <c r="Q55" s="530"/>
      <c r="R55" s="529" t="s">
        <v>1564</v>
      </c>
      <c r="S55" s="531"/>
      <c r="T55" s="518" t="s">
        <v>1776</v>
      </c>
      <c r="U55" s="519" t="s">
        <v>2008</v>
      </c>
      <c r="V55" s="520" t="str">
        <f>IFERROR(VLOOKUP(LANÇ_MOV[[#This Row],[PLANO DE CONTAS]],Plano_Contas[[PLANO DE CONTAS]:[R / D]],3,0),"")</f>
        <v>Despesa</v>
      </c>
      <c r="W55" s="521" t="str">
        <f>IF(LANÇ_MOV[[#This Row],[DATA DE PAGAMENTO]]&lt;&gt;"","Pago","Não Pago")</f>
        <v>Não Pago</v>
      </c>
      <c r="X55" s="522" t="str">
        <f>IFERROR(IF(LANÇ_MOV[[#This Row],[DATA DE PAGAMENTO]]="","",(UPPER(TEXT(LANÇ_MOV[[#This Row],[DATA DE PAGAMENTO]],"mmmm")))),"")</f>
        <v/>
      </c>
      <c r="Y55" s="523" t="str">
        <f>IFERROR(VLOOKUP(LANÇ_MOV[[#This Row],[PLANO DE CONTAS]],Plano_Contas[[PLANO DE CONTAS]:[NOMES INTERVALOS]],2,0),"")</f>
        <v>Despesas_Com_RH</v>
      </c>
      <c r="Z55" s="523" t="str">
        <f>IF(LANÇ_MOV[[#This Row],[FORMA DE PAGAMENTO]]="","",VLOOKUP(LANÇ_MOV[[#This Row],[FORMA DE PAGAMENTO]],CAD_Forma_pagto[],2,0))</f>
        <v>PIX</v>
      </c>
      <c r="AA55" s="524" t="str">
        <f>IF(LANÇ_MOV[[#This Row],[DATA DE LANÇAMENTO]]="","",TEXT(LANÇ_MOV[[#This Row],[DATA DE LANÇAMENTO]],"AAAA"))</f>
        <v>2025</v>
      </c>
      <c r="AB55" s="524" t="str">
        <f>IF(LANÇ_MOV[[#This Row],[DATA DE LANÇAMENTO]]="","",UPPER(TEXT(LANÇ_MOV[[#This Row],[DATA DE LANÇAMENTO]],"MMMM")))</f>
        <v>OUTUBRO</v>
      </c>
      <c r="AC55" s="525" t="str">
        <f>IF(LANÇ_MOV[[#This Row],[DATA DE LANÇAMENTO]]="","",PROPER(TEXT(LANÇ_MOV[[#This Row],[DATA DE LANÇAMENTO]],"M")))</f>
        <v>10</v>
      </c>
      <c r="AD55" s="524" t="str">
        <f>IF(LANÇ_MOV[[#This Row],[DATA DE LANÇAMENTO]]="","",TEXT(LANÇ_MOV[[#This Row],[DATA DE LANÇAMENTO]],"D"))</f>
        <v>1</v>
      </c>
      <c r="AE55" s="526" t="str">
        <f>IF(LANÇ_MOV[[#This Row],[DATA DE VENCIMENTO]]="","",TEXT(LANÇ_MOV[[#This Row],[DATA DE VENCIMENTO]],"AAAA"))</f>
        <v>2026</v>
      </c>
      <c r="AF55" s="526" t="str">
        <f>IF(LANÇ_MOV[[#This Row],[DATA DE VENCIMENTO]]="","",UPPER(TEXT(LANÇ_MOV[[#This Row],[DATA DE VENCIMENTO]],"MMMM")))</f>
        <v>DEZEMBRO</v>
      </c>
      <c r="AG55" s="526" t="str">
        <f>IF(LANÇ_MOV[[#This Row],[DATA DE VENCIMENTO]]="","",TEXT(LANÇ_MOV[[#This Row],[DATA DE VENCIMENTO]],"M"))</f>
        <v>12</v>
      </c>
      <c r="AH55" s="526" t="str">
        <f>IF(LANÇ_MOV[[#This Row],[DATA DE VENCIMENTO]]="","",TEXT(LANÇ_MOV[[#This Row],[DATA DE VENCIMENTO]],"D"))</f>
        <v>5</v>
      </c>
      <c r="AI55" s="526" t="str">
        <f>IF(LANÇ_MOV[[#This Row],[DATA DE PAGAMENTO]]="","",TEXT(LANÇ_MOV[[#This Row],[DATA DE PAGAMENTO]],"AAAA"))</f>
        <v/>
      </c>
      <c r="AJ55" s="527" t="str">
        <f>IF(LANÇ_MOV[[#This Row],[DATA DE PAGAMENTO]]="","",UPPER(TEXT(LANÇ_MOV[[#This Row],[DATA DE PAGAMENTO]],"MMMM")))</f>
        <v/>
      </c>
      <c r="AK55" s="527" t="str">
        <f>IF(LANÇ_MOV[[#This Row],[DATA DE PAGAMENTO]]="","",TEXT(LANÇ_MOV[[#This Row],[DATA DE PAGAMENTO]],"M"))</f>
        <v/>
      </c>
      <c r="AL55" s="526" t="str">
        <f>IF(LANÇ_MOV[[#This Row],[DATA DE PAGAMENTO]]="","",TEXT(LANÇ_MOV[[#This Row],[DATA DE PAGAMENTO]],"D"))</f>
        <v/>
      </c>
      <c r="AM55" s="210"/>
      <c r="BC55" s="112"/>
      <c r="BD55" s="112"/>
    </row>
    <row r="56" spans="1:56" ht="30.05" customHeight="1" x14ac:dyDescent="0.35">
      <c r="B56" s="506">
        <v>45931</v>
      </c>
      <c r="C56" s="507" t="s">
        <v>1661</v>
      </c>
      <c r="D56" s="508" t="s">
        <v>1854</v>
      </c>
      <c r="E56" s="509" t="s">
        <v>228</v>
      </c>
      <c r="F56" s="510" t="s">
        <v>1642</v>
      </c>
      <c r="G56" s="507"/>
      <c r="H56" s="511">
        <v>0</v>
      </c>
      <c r="I56" s="512" t="s">
        <v>1738</v>
      </c>
      <c r="J56" s="510">
        <v>1500</v>
      </c>
      <c r="K56" s="513">
        <v>0</v>
      </c>
      <c r="L56" s="513">
        <v>0</v>
      </c>
      <c r="M56" s="513">
        <v>0</v>
      </c>
      <c r="N56" s="514">
        <f>LANÇ_MOV[[#This Row],[VALOR BRUTO]]-LANÇ_MOV[[#This Row],[DESCONTO]]+LANÇ_MOV[[#This Row],[JUROS]]+LANÇ_MOV[[#This Row],[MULTA]]</f>
        <v>1500</v>
      </c>
      <c r="O56" s="528">
        <v>46376</v>
      </c>
      <c r="P56" s="516" t="str">
        <f t="shared" ca="1" si="0"/>
        <v>Prazo - Mais de 1 mês</v>
      </c>
      <c r="Q56" s="515"/>
      <c r="R56" s="529" t="s">
        <v>1564</v>
      </c>
      <c r="S56" s="518"/>
      <c r="T56" s="518" t="s">
        <v>1776</v>
      </c>
      <c r="U56" s="519" t="s">
        <v>2008</v>
      </c>
      <c r="V56" s="520" t="str">
        <f>IFERROR(VLOOKUP(LANÇ_MOV[[#This Row],[PLANO DE CONTAS]],Plano_Contas[[PLANO DE CONTAS]:[R / D]],3,0),"")</f>
        <v>Despesa</v>
      </c>
      <c r="W56" s="521" t="str">
        <f>IF(LANÇ_MOV[[#This Row],[DATA DE PAGAMENTO]]&lt;&gt;"","Pago","Não Pago")</f>
        <v>Não Pago</v>
      </c>
      <c r="X56" s="522" t="str">
        <f>IFERROR(IF(LANÇ_MOV[[#This Row],[DATA DE PAGAMENTO]]="","",(UPPER(TEXT(LANÇ_MOV[[#This Row],[DATA DE PAGAMENTO]],"mmmm")))),"")</f>
        <v/>
      </c>
      <c r="Y56" s="523" t="str">
        <f>IFERROR(VLOOKUP(LANÇ_MOV[[#This Row],[PLANO DE CONTAS]],Plano_Contas[[PLANO DE CONTAS]:[NOMES INTERVALOS]],2,0),"")</f>
        <v>Despesas_Com_RH</v>
      </c>
      <c r="Z56" s="523" t="str">
        <f>IF(LANÇ_MOV[[#This Row],[FORMA DE PAGAMENTO]]="","",VLOOKUP(LANÇ_MOV[[#This Row],[FORMA DE PAGAMENTO]],CAD_Forma_pagto[],2,0))</f>
        <v>PIX</v>
      </c>
      <c r="AA56" s="524" t="str">
        <f>IF(LANÇ_MOV[[#This Row],[DATA DE LANÇAMENTO]]="","",TEXT(LANÇ_MOV[[#This Row],[DATA DE LANÇAMENTO]],"AAAA"))</f>
        <v>2025</v>
      </c>
      <c r="AB56" s="524" t="str">
        <f>IF(LANÇ_MOV[[#This Row],[DATA DE LANÇAMENTO]]="","",UPPER(TEXT(LANÇ_MOV[[#This Row],[DATA DE LANÇAMENTO]],"MMMM")))</f>
        <v>OUTUBRO</v>
      </c>
      <c r="AC56" s="525" t="str">
        <f>IF(LANÇ_MOV[[#This Row],[DATA DE LANÇAMENTO]]="","",PROPER(TEXT(LANÇ_MOV[[#This Row],[DATA DE LANÇAMENTO]],"M")))</f>
        <v>10</v>
      </c>
      <c r="AD56" s="524" t="str">
        <f>IF(LANÇ_MOV[[#This Row],[DATA DE LANÇAMENTO]]="","",TEXT(LANÇ_MOV[[#This Row],[DATA DE LANÇAMENTO]],"D"))</f>
        <v>1</v>
      </c>
      <c r="AE56" s="526" t="str">
        <f>IF(LANÇ_MOV[[#This Row],[DATA DE VENCIMENTO]]="","",TEXT(LANÇ_MOV[[#This Row],[DATA DE VENCIMENTO]],"AAAA"))</f>
        <v>2026</v>
      </c>
      <c r="AF56" s="526" t="str">
        <f>IF(LANÇ_MOV[[#This Row],[DATA DE VENCIMENTO]]="","",UPPER(TEXT(LANÇ_MOV[[#This Row],[DATA DE VENCIMENTO]],"MMMM")))</f>
        <v>DEZEMBRO</v>
      </c>
      <c r="AG56" s="526" t="str">
        <f>IF(LANÇ_MOV[[#This Row],[DATA DE VENCIMENTO]]="","",TEXT(LANÇ_MOV[[#This Row],[DATA DE VENCIMENTO]],"M"))</f>
        <v>12</v>
      </c>
      <c r="AH56" s="526" t="str">
        <f>IF(LANÇ_MOV[[#This Row],[DATA DE VENCIMENTO]]="","",TEXT(LANÇ_MOV[[#This Row],[DATA DE VENCIMENTO]],"D"))</f>
        <v>20</v>
      </c>
      <c r="AI56" s="526" t="str">
        <f>IF(LANÇ_MOV[[#This Row],[DATA DE PAGAMENTO]]="","",TEXT(LANÇ_MOV[[#This Row],[DATA DE PAGAMENTO]],"AAAA"))</f>
        <v/>
      </c>
      <c r="AJ56" s="527" t="str">
        <f>IF(LANÇ_MOV[[#This Row],[DATA DE PAGAMENTO]]="","",UPPER(TEXT(LANÇ_MOV[[#This Row],[DATA DE PAGAMENTO]],"MMMM")))</f>
        <v/>
      </c>
      <c r="AK56" s="527" t="str">
        <f>IF(LANÇ_MOV[[#This Row],[DATA DE PAGAMENTO]]="","",TEXT(LANÇ_MOV[[#This Row],[DATA DE PAGAMENTO]],"M"))</f>
        <v/>
      </c>
      <c r="AL56" s="526" t="str">
        <f>IF(LANÇ_MOV[[#This Row],[DATA DE PAGAMENTO]]="","",TEXT(LANÇ_MOV[[#This Row],[DATA DE PAGAMENTO]],"D"))</f>
        <v/>
      </c>
      <c r="AM56" s="210"/>
      <c r="BC56" s="112"/>
      <c r="BD56" s="112"/>
    </row>
    <row r="57" spans="1:56" ht="30.05" customHeight="1" x14ac:dyDescent="0.35">
      <c r="B57" s="506">
        <v>45931</v>
      </c>
      <c r="C57" s="507" t="s">
        <v>1661</v>
      </c>
      <c r="D57" s="508" t="s">
        <v>1854</v>
      </c>
      <c r="E57" s="509" t="s">
        <v>228</v>
      </c>
      <c r="F57" s="510" t="s">
        <v>1511</v>
      </c>
      <c r="G57" s="507"/>
      <c r="H57" s="511">
        <v>0</v>
      </c>
      <c r="I57" s="512" t="s">
        <v>1759</v>
      </c>
      <c r="J57" s="518">
        <v>628.26</v>
      </c>
      <c r="K57" s="513">
        <v>0</v>
      </c>
      <c r="L57" s="513">
        <v>0</v>
      </c>
      <c r="M57" s="513">
        <v>0</v>
      </c>
      <c r="N57" s="514">
        <f>LANÇ_MOV[[#This Row],[VALOR BRUTO]]-LANÇ_MOV[[#This Row],[DESCONTO]]+LANÇ_MOV[[#This Row],[JUROS]]+LANÇ_MOV[[#This Row],[MULTA]]</f>
        <v>628.26</v>
      </c>
      <c r="O57" s="515">
        <v>45950</v>
      </c>
      <c r="P57" s="516" t="str">
        <f t="shared" ca="1" si="0"/>
        <v>Venceu</v>
      </c>
      <c r="Q57" s="517"/>
      <c r="R57" s="529" t="s">
        <v>1506</v>
      </c>
      <c r="S57" s="531"/>
      <c r="T57" s="518" t="s">
        <v>1776</v>
      </c>
      <c r="U57" s="519" t="s">
        <v>2008</v>
      </c>
      <c r="V57" s="520" t="str">
        <f>IFERROR(VLOOKUP(LANÇ_MOV[[#This Row],[PLANO DE CONTAS]],Plano_Contas[[PLANO DE CONTAS]:[R / D]],3,0),"")</f>
        <v>Despesa</v>
      </c>
      <c r="W57" s="521" t="str">
        <f>IF(LANÇ_MOV[[#This Row],[DATA DE PAGAMENTO]]&lt;&gt;"","Pago","Não Pago")</f>
        <v>Não Pago</v>
      </c>
      <c r="X57" s="522" t="str">
        <f>IFERROR(IF(LANÇ_MOV[[#This Row],[DATA DE PAGAMENTO]]="","",(UPPER(TEXT(LANÇ_MOV[[#This Row],[DATA DE PAGAMENTO]],"mmmm")))),"")</f>
        <v/>
      </c>
      <c r="Y57" s="523" t="str">
        <f>IFERROR(VLOOKUP(LANÇ_MOV[[#This Row],[PLANO DE CONTAS]],Plano_Contas[[PLANO DE CONTAS]:[NOMES INTERVALOS]],2,0),"")</f>
        <v>Despesas_Com_RH</v>
      </c>
      <c r="Z57" s="523" t="str">
        <f>IF(LANÇ_MOV[[#This Row],[FORMA DE PAGAMENTO]]="","",VLOOKUP(LANÇ_MOV[[#This Row],[FORMA DE PAGAMENTO]],CAD_Forma_pagto[],2,0))</f>
        <v>BOLETO</v>
      </c>
      <c r="AA57" s="524" t="str">
        <f>IF(LANÇ_MOV[[#This Row],[DATA DE LANÇAMENTO]]="","",TEXT(LANÇ_MOV[[#This Row],[DATA DE LANÇAMENTO]],"AAAA"))</f>
        <v>2025</v>
      </c>
      <c r="AB57" s="524" t="str">
        <f>IF(LANÇ_MOV[[#This Row],[DATA DE LANÇAMENTO]]="","",UPPER(TEXT(LANÇ_MOV[[#This Row],[DATA DE LANÇAMENTO]],"MMMM")))</f>
        <v>OUTUBRO</v>
      </c>
      <c r="AC57" s="525" t="str">
        <f>IF(LANÇ_MOV[[#This Row],[DATA DE LANÇAMENTO]]="","",PROPER(TEXT(LANÇ_MOV[[#This Row],[DATA DE LANÇAMENTO]],"M")))</f>
        <v>10</v>
      </c>
      <c r="AD57" s="524" t="str">
        <f>IF(LANÇ_MOV[[#This Row],[DATA DE LANÇAMENTO]]="","",TEXT(LANÇ_MOV[[#This Row],[DATA DE LANÇAMENTO]],"D"))</f>
        <v>1</v>
      </c>
      <c r="AE57" s="526" t="str">
        <f>IF(LANÇ_MOV[[#This Row],[DATA DE VENCIMENTO]]="","",TEXT(LANÇ_MOV[[#This Row],[DATA DE VENCIMENTO]],"AAAA"))</f>
        <v>2025</v>
      </c>
      <c r="AF57" s="526" t="str">
        <f>IF(LANÇ_MOV[[#This Row],[DATA DE VENCIMENTO]]="","",UPPER(TEXT(LANÇ_MOV[[#This Row],[DATA DE VENCIMENTO]],"MMMM")))</f>
        <v>OUTUBRO</v>
      </c>
      <c r="AG57" s="526" t="str">
        <f>IF(LANÇ_MOV[[#This Row],[DATA DE VENCIMENTO]]="","",TEXT(LANÇ_MOV[[#This Row],[DATA DE VENCIMENTO]],"M"))</f>
        <v>10</v>
      </c>
      <c r="AH57" s="526" t="str">
        <f>IF(LANÇ_MOV[[#This Row],[DATA DE VENCIMENTO]]="","",TEXT(LANÇ_MOV[[#This Row],[DATA DE VENCIMENTO]],"D"))</f>
        <v>20</v>
      </c>
      <c r="AI57" s="526" t="str">
        <f>IF(LANÇ_MOV[[#This Row],[DATA DE PAGAMENTO]]="","",TEXT(LANÇ_MOV[[#This Row],[DATA DE PAGAMENTO]],"AAAA"))</f>
        <v/>
      </c>
      <c r="AJ57" s="527" t="str">
        <f>IF(LANÇ_MOV[[#This Row],[DATA DE PAGAMENTO]]="","",UPPER(TEXT(LANÇ_MOV[[#This Row],[DATA DE PAGAMENTO]],"MMMM")))</f>
        <v/>
      </c>
      <c r="AK57" s="527" t="str">
        <f>IF(LANÇ_MOV[[#This Row],[DATA DE PAGAMENTO]]="","",TEXT(LANÇ_MOV[[#This Row],[DATA DE PAGAMENTO]],"M"))</f>
        <v/>
      </c>
      <c r="AL57" s="526" t="str">
        <f>IF(LANÇ_MOV[[#This Row],[DATA DE PAGAMENTO]]="","",TEXT(LANÇ_MOV[[#This Row],[DATA DE PAGAMENTO]],"D"))</f>
        <v/>
      </c>
      <c r="AM57" s="210"/>
      <c r="BC57" s="112"/>
      <c r="BD57" s="112"/>
    </row>
    <row r="58" spans="1:56" ht="30.05" customHeight="1" x14ac:dyDescent="0.35">
      <c r="B58" s="506">
        <v>45931</v>
      </c>
      <c r="C58" s="507" t="s">
        <v>1661</v>
      </c>
      <c r="D58" s="508" t="s">
        <v>1854</v>
      </c>
      <c r="E58" s="509" t="s">
        <v>228</v>
      </c>
      <c r="F58" s="510" t="s">
        <v>1511</v>
      </c>
      <c r="G58" s="507"/>
      <c r="H58" s="511">
        <v>0</v>
      </c>
      <c r="I58" s="512" t="s">
        <v>1759</v>
      </c>
      <c r="J58" s="510">
        <v>660.75</v>
      </c>
      <c r="K58" s="513">
        <v>0</v>
      </c>
      <c r="L58" s="513">
        <v>0</v>
      </c>
      <c r="M58" s="513">
        <v>0</v>
      </c>
      <c r="N58" s="514">
        <f>LANÇ_MOV[[#This Row],[VALOR BRUTO]]-LANÇ_MOV[[#This Row],[DESCONTO]]+LANÇ_MOV[[#This Row],[JUROS]]+LANÇ_MOV[[#This Row],[MULTA]]</f>
        <v>660.75</v>
      </c>
      <c r="O58" s="515">
        <v>45980</v>
      </c>
      <c r="P58" s="516" t="str">
        <f t="shared" ca="1" si="0"/>
        <v>Venceu</v>
      </c>
      <c r="Q58" s="515"/>
      <c r="R58" s="531" t="s">
        <v>1506</v>
      </c>
      <c r="S58" s="518"/>
      <c r="T58" s="531" t="s">
        <v>1776</v>
      </c>
      <c r="U58" s="519" t="s">
        <v>2008</v>
      </c>
      <c r="V58" s="520" t="str">
        <f>IFERROR(VLOOKUP(LANÇ_MOV[[#This Row],[PLANO DE CONTAS]],Plano_Contas[[PLANO DE CONTAS]:[R / D]],3,0),"")</f>
        <v>Despesa</v>
      </c>
      <c r="W58" s="521" t="str">
        <f>IF(LANÇ_MOV[[#This Row],[DATA DE PAGAMENTO]]&lt;&gt;"","Pago","Não Pago")</f>
        <v>Não Pago</v>
      </c>
      <c r="X58" s="522" t="str">
        <f>IFERROR(IF(LANÇ_MOV[[#This Row],[DATA DE PAGAMENTO]]="","",(UPPER(TEXT(LANÇ_MOV[[#This Row],[DATA DE PAGAMENTO]],"mmmm")))),"")</f>
        <v/>
      </c>
      <c r="Y58" s="523" t="str">
        <f>IFERROR(VLOOKUP(LANÇ_MOV[[#This Row],[PLANO DE CONTAS]],Plano_Contas[[PLANO DE CONTAS]:[NOMES INTERVALOS]],2,0),"")</f>
        <v>Despesas_Com_RH</v>
      </c>
      <c r="Z58" s="523" t="str">
        <f>IF(LANÇ_MOV[[#This Row],[FORMA DE PAGAMENTO]]="","",VLOOKUP(LANÇ_MOV[[#This Row],[FORMA DE PAGAMENTO]],CAD_Forma_pagto[],2,0))</f>
        <v>BOLETO</v>
      </c>
      <c r="AA58" s="524" t="str">
        <f>IF(LANÇ_MOV[[#This Row],[DATA DE LANÇAMENTO]]="","",TEXT(LANÇ_MOV[[#This Row],[DATA DE LANÇAMENTO]],"AAAA"))</f>
        <v>2025</v>
      </c>
      <c r="AB58" s="524" t="str">
        <f>IF(LANÇ_MOV[[#This Row],[DATA DE LANÇAMENTO]]="","",UPPER(TEXT(LANÇ_MOV[[#This Row],[DATA DE LANÇAMENTO]],"MMMM")))</f>
        <v>OUTUBRO</v>
      </c>
      <c r="AC58" s="525" t="str">
        <f>IF(LANÇ_MOV[[#This Row],[DATA DE LANÇAMENTO]]="","",PROPER(TEXT(LANÇ_MOV[[#This Row],[DATA DE LANÇAMENTO]],"M")))</f>
        <v>10</v>
      </c>
      <c r="AD58" s="524" t="str">
        <f>IF(LANÇ_MOV[[#This Row],[DATA DE LANÇAMENTO]]="","",TEXT(LANÇ_MOV[[#This Row],[DATA DE LANÇAMENTO]],"D"))</f>
        <v>1</v>
      </c>
      <c r="AE58" s="526" t="str">
        <f>IF(LANÇ_MOV[[#This Row],[DATA DE VENCIMENTO]]="","",TEXT(LANÇ_MOV[[#This Row],[DATA DE VENCIMENTO]],"AAAA"))</f>
        <v>2025</v>
      </c>
      <c r="AF58" s="526" t="str">
        <f>IF(LANÇ_MOV[[#This Row],[DATA DE VENCIMENTO]]="","",UPPER(TEXT(LANÇ_MOV[[#This Row],[DATA DE VENCIMENTO]],"MMMM")))</f>
        <v>NOVEMBRO</v>
      </c>
      <c r="AG58" s="526" t="str">
        <f>IF(LANÇ_MOV[[#This Row],[DATA DE VENCIMENTO]]="","",TEXT(LANÇ_MOV[[#This Row],[DATA DE VENCIMENTO]],"M"))</f>
        <v>11</v>
      </c>
      <c r="AH58" s="526" t="str">
        <f>IF(LANÇ_MOV[[#This Row],[DATA DE VENCIMENTO]]="","",TEXT(LANÇ_MOV[[#This Row],[DATA DE VENCIMENTO]],"D"))</f>
        <v>19</v>
      </c>
      <c r="AI58" s="526" t="str">
        <f>IF(LANÇ_MOV[[#This Row],[DATA DE PAGAMENTO]]="","",TEXT(LANÇ_MOV[[#This Row],[DATA DE PAGAMENTO]],"AAAA"))</f>
        <v/>
      </c>
      <c r="AJ58" s="527" t="str">
        <f>IF(LANÇ_MOV[[#This Row],[DATA DE PAGAMENTO]]="","",UPPER(TEXT(LANÇ_MOV[[#This Row],[DATA DE PAGAMENTO]],"MMMM")))</f>
        <v/>
      </c>
      <c r="AK58" s="527" t="str">
        <f>IF(LANÇ_MOV[[#This Row],[DATA DE PAGAMENTO]]="","",TEXT(LANÇ_MOV[[#This Row],[DATA DE PAGAMENTO]],"M"))</f>
        <v/>
      </c>
      <c r="AL58" s="526" t="str">
        <f>IF(LANÇ_MOV[[#This Row],[DATA DE PAGAMENTO]]="","",TEXT(LANÇ_MOV[[#This Row],[DATA DE PAGAMENTO]],"D"))</f>
        <v/>
      </c>
      <c r="AM58" s="210"/>
      <c r="BC58" s="112"/>
      <c r="BD58" s="112"/>
    </row>
    <row r="59" spans="1:56" ht="30.05" customHeight="1" x14ac:dyDescent="0.35">
      <c r="B59" s="506">
        <v>45931</v>
      </c>
      <c r="C59" s="507" t="s">
        <v>1661</v>
      </c>
      <c r="D59" s="508" t="s">
        <v>1854</v>
      </c>
      <c r="E59" s="509" t="s">
        <v>228</v>
      </c>
      <c r="F59" s="510" t="s">
        <v>1511</v>
      </c>
      <c r="G59" s="507"/>
      <c r="H59" s="511">
        <v>0</v>
      </c>
      <c r="I59" s="512" t="s">
        <v>1759</v>
      </c>
      <c r="J59" s="510">
        <v>700</v>
      </c>
      <c r="K59" s="513">
        <v>0</v>
      </c>
      <c r="L59" s="513">
        <v>0</v>
      </c>
      <c r="M59" s="513">
        <v>0</v>
      </c>
      <c r="N59" s="514">
        <f>LANÇ_MOV[[#This Row],[VALOR BRUTO]]-LANÇ_MOV[[#This Row],[DESCONTO]]+LANÇ_MOV[[#This Row],[JUROS]]+LANÇ_MOV[[#This Row],[MULTA]]</f>
        <v>700</v>
      </c>
      <c r="O59" s="515">
        <v>46011</v>
      </c>
      <c r="P59" s="516" t="str">
        <f t="shared" ca="1" si="0"/>
        <v>Prazo - Menos de 1 Mês</v>
      </c>
      <c r="Q59" s="515"/>
      <c r="R59" s="531" t="s">
        <v>1506</v>
      </c>
      <c r="S59" s="518"/>
      <c r="T59" s="531" t="s">
        <v>1776</v>
      </c>
      <c r="U59" s="519" t="s">
        <v>2008</v>
      </c>
      <c r="V59" s="520" t="str">
        <f>IFERROR(VLOOKUP(LANÇ_MOV[[#This Row],[PLANO DE CONTAS]],Plano_Contas[[PLANO DE CONTAS]:[R / D]],3,0),"")</f>
        <v>Despesa</v>
      </c>
      <c r="W59" s="521" t="str">
        <f>IF(LANÇ_MOV[[#This Row],[DATA DE PAGAMENTO]]&lt;&gt;"","Pago","Não Pago")</f>
        <v>Não Pago</v>
      </c>
      <c r="X59" s="522" t="str">
        <f>IFERROR(IF(LANÇ_MOV[[#This Row],[DATA DE PAGAMENTO]]="","",(UPPER(TEXT(LANÇ_MOV[[#This Row],[DATA DE PAGAMENTO]],"mmmm")))),"")</f>
        <v/>
      </c>
      <c r="Y59" s="523" t="str">
        <f>IFERROR(VLOOKUP(LANÇ_MOV[[#This Row],[PLANO DE CONTAS]],Plano_Contas[[PLANO DE CONTAS]:[NOMES INTERVALOS]],2,0),"")</f>
        <v>Despesas_Com_RH</v>
      </c>
      <c r="Z59" s="523" t="str">
        <f>IF(LANÇ_MOV[[#This Row],[FORMA DE PAGAMENTO]]="","",VLOOKUP(LANÇ_MOV[[#This Row],[FORMA DE PAGAMENTO]],CAD_Forma_pagto[],2,0))</f>
        <v>BOLETO</v>
      </c>
      <c r="AA59" s="524" t="str">
        <f>IF(LANÇ_MOV[[#This Row],[DATA DE LANÇAMENTO]]="","",TEXT(LANÇ_MOV[[#This Row],[DATA DE LANÇAMENTO]],"AAAA"))</f>
        <v>2025</v>
      </c>
      <c r="AB59" s="524" t="str">
        <f>IF(LANÇ_MOV[[#This Row],[DATA DE LANÇAMENTO]]="","",UPPER(TEXT(LANÇ_MOV[[#This Row],[DATA DE LANÇAMENTO]],"MMMM")))</f>
        <v>OUTUBRO</v>
      </c>
      <c r="AC59" s="525" t="str">
        <f>IF(LANÇ_MOV[[#This Row],[DATA DE LANÇAMENTO]]="","",PROPER(TEXT(LANÇ_MOV[[#This Row],[DATA DE LANÇAMENTO]],"M")))</f>
        <v>10</v>
      </c>
      <c r="AD59" s="524" t="str">
        <f>IF(LANÇ_MOV[[#This Row],[DATA DE LANÇAMENTO]]="","",TEXT(LANÇ_MOV[[#This Row],[DATA DE LANÇAMENTO]],"D"))</f>
        <v>1</v>
      </c>
      <c r="AE59" s="526" t="str">
        <f>IF(LANÇ_MOV[[#This Row],[DATA DE VENCIMENTO]]="","",TEXT(LANÇ_MOV[[#This Row],[DATA DE VENCIMENTO]],"AAAA"))</f>
        <v>2025</v>
      </c>
      <c r="AF59" s="526" t="str">
        <f>IF(LANÇ_MOV[[#This Row],[DATA DE VENCIMENTO]]="","",UPPER(TEXT(LANÇ_MOV[[#This Row],[DATA DE VENCIMENTO]],"MMMM")))</f>
        <v>DEZEMBRO</v>
      </c>
      <c r="AG59" s="526" t="str">
        <f>IF(LANÇ_MOV[[#This Row],[DATA DE VENCIMENTO]]="","",TEXT(LANÇ_MOV[[#This Row],[DATA DE VENCIMENTO]],"M"))</f>
        <v>12</v>
      </c>
      <c r="AH59" s="526" t="str">
        <f>IF(LANÇ_MOV[[#This Row],[DATA DE VENCIMENTO]]="","",TEXT(LANÇ_MOV[[#This Row],[DATA DE VENCIMENTO]],"D"))</f>
        <v>20</v>
      </c>
      <c r="AI59" s="526" t="str">
        <f>IF(LANÇ_MOV[[#This Row],[DATA DE PAGAMENTO]]="","",TEXT(LANÇ_MOV[[#This Row],[DATA DE PAGAMENTO]],"AAAA"))</f>
        <v/>
      </c>
      <c r="AJ59" s="527" t="str">
        <f>IF(LANÇ_MOV[[#This Row],[DATA DE PAGAMENTO]]="","",UPPER(TEXT(LANÇ_MOV[[#This Row],[DATA DE PAGAMENTO]],"MMMM")))</f>
        <v/>
      </c>
      <c r="AK59" s="527" t="str">
        <f>IF(LANÇ_MOV[[#This Row],[DATA DE PAGAMENTO]]="","",TEXT(LANÇ_MOV[[#This Row],[DATA DE PAGAMENTO]],"M"))</f>
        <v/>
      </c>
      <c r="AL59" s="526" t="str">
        <f>IF(LANÇ_MOV[[#This Row],[DATA DE PAGAMENTO]]="","",TEXT(LANÇ_MOV[[#This Row],[DATA DE PAGAMENTO]],"D"))</f>
        <v/>
      </c>
      <c r="AM59" s="210"/>
      <c r="BC59" s="112"/>
      <c r="BD59" s="112"/>
    </row>
    <row r="60" spans="1:56" ht="30.05" customHeight="1" x14ac:dyDescent="0.35">
      <c r="B60" s="506">
        <v>45931</v>
      </c>
      <c r="C60" s="507" t="s">
        <v>1661</v>
      </c>
      <c r="D60" s="508" t="s">
        <v>1854</v>
      </c>
      <c r="E60" s="509" t="s">
        <v>228</v>
      </c>
      <c r="F60" s="510" t="s">
        <v>1511</v>
      </c>
      <c r="G60" s="507"/>
      <c r="H60" s="511">
        <v>0</v>
      </c>
      <c r="I60" s="512" t="s">
        <v>1759</v>
      </c>
      <c r="J60" s="510">
        <v>700</v>
      </c>
      <c r="K60" s="513">
        <v>0</v>
      </c>
      <c r="L60" s="513">
        <v>0</v>
      </c>
      <c r="M60" s="513">
        <v>0</v>
      </c>
      <c r="N60" s="514">
        <f>LANÇ_MOV[[#This Row],[VALOR BRUTO]]-LANÇ_MOV[[#This Row],[DESCONTO]]+LANÇ_MOV[[#This Row],[JUROS]]+LANÇ_MOV[[#This Row],[MULTA]]</f>
        <v>700</v>
      </c>
      <c r="O60" s="515">
        <v>46042</v>
      </c>
      <c r="P60" s="516" t="str">
        <f t="shared" ca="1" si="0"/>
        <v>Prazo - Mais de 1 mês</v>
      </c>
      <c r="Q60" s="517"/>
      <c r="R60" s="531" t="s">
        <v>1506</v>
      </c>
      <c r="S60" s="518"/>
      <c r="T60" s="531" t="s">
        <v>1776</v>
      </c>
      <c r="U60" s="519" t="s">
        <v>2008</v>
      </c>
      <c r="V60" s="520" t="str">
        <f>IFERROR(VLOOKUP(LANÇ_MOV[[#This Row],[PLANO DE CONTAS]],Plano_Contas[[PLANO DE CONTAS]:[R / D]],3,0),"")</f>
        <v>Despesa</v>
      </c>
      <c r="W60" s="521" t="str">
        <f>IF(LANÇ_MOV[[#This Row],[DATA DE PAGAMENTO]]&lt;&gt;"","Pago","Não Pago")</f>
        <v>Não Pago</v>
      </c>
      <c r="X60" s="522" t="str">
        <f>IFERROR(IF(LANÇ_MOV[[#This Row],[DATA DE PAGAMENTO]]="","",(UPPER(TEXT(LANÇ_MOV[[#This Row],[DATA DE PAGAMENTO]],"mmmm")))),"")</f>
        <v/>
      </c>
      <c r="Y60" s="523" t="str">
        <f>IFERROR(VLOOKUP(LANÇ_MOV[[#This Row],[PLANO DE CONTAS]],Plano_Contas[[PLANO DE CONTAS]:[NOMES INTERVALOS]],2,0),"")</f>
        <v>Despesas_Com_RH</v>
      </c>
      <c r="Z60" s="523" t="str">
        <f>IF(LANÇ_MOV[[#This Row],[FORMA DE PAGAMENTO]]="","",VLOOKUP(LANÇ_MOV[[#This Row],[FORMA DE PAGAMENTO]],CAD_Forma_pagto[],2,0))</f>
        <v>BOLETO</v>
      </c>
      <c r="AA60" s="524" t="str">
        <f>IF(LANÇ_MOV[[#This Row],[DATA DE LANÇAMENTO]]="","",TEXT(LANÇ_MOV[[#This Row],[DATA DE LANÇAMENTO]],"AAAA"))</f>
        <v>2025</v>
      </c>
      <c r="AB60" s="524" t="str">
        <f>IF(LANÇ_MOV[[#This Row],[DATA DE LANÇAMENTO]]="","",UPPER(TEXT(LANÇ_MOV[[#This Row],[DATA DE LANÇAMENTO]],"MMMM")))</f>
        <v>OUTUBRO</v>
      </c>
      <c r="AC60" s="525" t="str">
        <f>IF(LANÇ_MOV[[#This Row],[DATA DE LANÇAMENTO]]="","",PROPER(TEXT(LANÇ_MOV[[#This Row],[DATA DE LANÇAMENTO]],"M")))</f>
        <v>10</v>
      </c>
      <c r="AD60" s="524" t="str">
        <f>IF(LANÇ_MOV[[#This Row],[DATA DE LANÇAMENTO]]="","",TEXT(LANÇ_MOV[[#This Row],[DATA DE LANÇAMENTO]],"D"))</f>
        <v>1</v>
      </c>
      <c r="AE60" s="526" t="str">
        <f>IF(LANÇ_MOV[[#This Row],[DATA DE VENCIMENTO]]="","",TEXT(LANÇ_MOV[[#This Row],[DATA DE VENCIMENTO]],"AAAA"))</f>
        <v>2026</v>
      </c>
      <c r="AF60" s="526" t="str">
        <f>IF(LANÇ_MOV[[#This Row],[DATA DE VENCIMENTO]]="","",UPPER(TEXT(LANÇ_MOV[[#This Row],[DATA DE VENCIMENTO]],"MMMM")))</f>
        <v>JANEIRO</v>
      </c>
      <c r="AG60" s="526" t="str">
        <f>IF(LANÇ_MOV[[#This Row],[DATA DE VENCIMENTO]]="","",TEXT(LANÇ_MOV[[#This Row],[DATA DE VENCIMENTO]],"M"))</f>
        <v>1</v>
      </c>
      <c r="AH60" s="526" t="str">
        <f>IF(LANÇ_MOV[[#This Row],[DATA DE VENCIMENTO]]="","",TEXT(LANÇ_MOV[[#This Row],[DATA DE VENCIMENTO]],"D"))</f>
        <v>20</v>
      </c>
      <c r="AI60" s="526" t="str">
        <f>IF(LANÇ_MOV[[#This Row],[DATA DE PAGAMENTO]]="","",TEXT(LANÇ_MOV[[#This Row],[DATA DE PAGAMENTO]],"AAAA"))</f>
        <v/>
      </c>
      <c r="AJ60" s="527" t="str">
        <f>IF(LANÇ_MOV[[#This Row],[DATA DE PAGAMENTO]]="","",UPPER(TEXT(LANÇ_MOV[[#This Row],[DATA DE PAGAMENTO]],"MMMM")))</f>
        <v/>
      </c>
      <c r="AK60" s="527" t="str">
        <f>IF(LANÇ_MOV[[#This Row],[DATA DE PAGAMENTO]]="","",TEXT(LANÇ_MOV[[#This Row],[DATA DE PAGAMENTO]],"M"))</f>
        <v/>
      </c>
      <c r="AL60" s="526" t="str">
        <f>IF(LANÇ_MOV[[#This Row],[DATA DE PAGAMENTO]]="","",TEXT(LANÇ_MOV[[#This Row],[DATA DE PAGAMENTO]],"D"))</f>
        <v/>
      </c>
      <c r="AM60" s="210"/>
      <c r="BC60" s="112"/>
      <c r="BD60" s="112"/>
    </row>
    <row r="61" spans="1:56" ht="30.05" customHeight="1" x14ac:dyDescent="0.35">
      <c r="B61" s="506">
        <v>45931</v>
      </c>
      <c r="C61" s="507" t="s">
        <v>1661</v>
      </c>
      <c r="D61" s="508" t="s">
        <v>1854</v>
      </c>
      <c r="E61" s="509" t="s">
        <v>228</v>
      </c>
      <c r="F61" s="510" t="s">
        <v>1511</v>
      </c>
      <c r="G61" s="507"/>
      <c r="H61" s="511">
        <v>0</v>
      </c>
      <c r="I61" s="512" t="s">
        <v>1759</v>
      </c>
      <c r="J61" s="510">
        <v>700</v>
      </c>
      <c r="K61" s="513">
        <v>0</v>
      </c>
      <c r="L61" s="513">
        <v>0</v>
      </c>
      <c r="M61" s="513">
        <v>0</v>
      </c>
      <c r="N61" s="514">
        <f>LANÇ_MOV[[#This Row],[VALOR BRUTO]]-LANÇ_MOV[[#This Row],[DESCONTO]]+LANÇ_MOV[[#This Row],[JUROS]]+LANÇ_MOV[[#This Row],[MULTA]]</f>
        <v>700</v>
      </c>
      <c r="O61" s="515">
        <v>46073</v>
      </c>
      <c r="P61" s="516" t="str">
        <f t="shared" ca="1" si="0"/>
        <v>Prazo - Mais de 1 mês</v>
      </c>
      <c r="Q61" s="517"/>
      <c r="R61" s="531" t="s">
        <v>1506</v>
      </c>
      <c r="S61" s="531"/>
      <c r="T61" s="531" t="s">
        <v>1776</v>
      </c>
      <c r="U61" s="519" t="s">
        <v>2008</v>
      </c>
      <c r="V61" s="520" t="str">
        <f>IFERROR(VLOOKUP(LANÇ_MOV[[#This Row],[PLANO DE CONTAS]],Plano_Contas[[PLANO DE CONTAS]:[R / D]],3,0),"")</f>
        <v>Despesa</v>
      </c>
      <c r="W61" s="521" t="str">
        <f>IF(LANÇ_MOV[[#This Row],[DATA DE PAGAMENTO]]&lt;&gt;"","Pago","Não Pago")</f>
        <v>Não Pago</v>
      </c>
      <c r="X61" s="522" t="str">
        <f>IFERROR(IF(LANÇ_MOV[[#This Row],[DATA DE PAGAMENTO]]="","",(UPPER(TEXT(LANÇ_MOV[[#This Row],[DATA DE PAGAMENTO]],"mmmm")))),"")</f>
        <v/>
      </c>
      <c r="Y61" s="523" t="str">
        <f>IFERROR(VLOOKUP(LANÇ_MOV[[#This Row],[PLANO DE CONTAS]],Plano_Contas[[PLANO DE CONTAS]:[NOMES INTERVALOS]],2,0),"")</f>
        <v>Despesas_Com_RH</v>
      </c>
      <c r="Z61" s="523" t="str">
        <f>IF(LANÇ_MOV[[#This Row],[FORMA DE PAGAMENTO]]="","",VLOOKUP(LANÇ_MOV[[#This Row],[FORMA DE PAGAMENTO]],CAD_Forma_pagto[],2,0))</f>
        <v>BOLETO</v>
      </c>
      <c r="AA61" s="524" t="str">
        <f>IF(LANÇ_MOV[[#This Row],[DATA DE LANÇAMENTO]]="","",TEXT(LANÇ_MOV[[#This Row],[DATA DE LANÇAMENTO]],"AAAA"))</f>
        <v>2025</v>
      </c>
      <c r="AB61" s="524" t="str">
        <f>IF(LANÇ_MOV[[#This Row],[DATA DE LANÇAMENTO]]="","",UPPER(TEXT(LANÇ_MOV[[#This Row],[DATA DE LANÇAMENTO]],"MMMM")))</f>
        <v>OUTUBRO</v>
      </c>
      <c r="AC61" s="525" t="str">
        <f>IF(LANÇ_MOV[[#This Row],[DATA DE LANÇAMENTO]]="","",PROPER(TEXT(LANÇ_MOV[[#This Row],[DATA DE LANÇAMENTO]],"M")))</f>
        <v>10</v>
      </c>
      <c r="AD61" s="524" t="str">
        <f>IF(LANÇ_MOV[[#This Row],[DATA DE LANÇAMENTO]]="","",TEXT(LANÇ_MOV[[#This Row],[DATA DE LANÇAMENTO]],"D"))</f>
        <v>1</v>
      </c>
      <c r="AE61" s="526" t="str">
        <f>IF(LANÇ_MOV[[#This Row],[DATA DE VENCIMENTO]]="","",TEXT(LANÇ_MOV[[#This Row],[DATA DE VENCIMENTO]],"AAAA"))</f>
        <v>2026</v>
      </c>
      <c r="AF61" s="526" t="str">
        <f>IF(LANÇ_MOV[[#This Row],[DATA DE VENCIMENTO]]="","",UPPER(TEXT(LANÇ_MOV[[#This Row],[DATA DE VENCIMENTO]],"MMMM")))</f>
        <v>FEVEREIRO</v>
      </c>
      <c r="AG61" s="526" t="str">
        <f>IF(LANÇ_MOV[[#This Row],[DATA DE VENCIMENTO]]="","",TEXT(LANÇ_MOV[[#This Row],[DATA DE VENCIMENTO]],"M"))</f>
        <v>2</v>
      </c>
      <c r="AH61" s="526" t="str">
        <f>IF(LANÇ_MOV[[#This Row],[DATA DE VENCIMENTO]]="","",TEXT(LANÇ_MOV[[#This Row],[DATA DE VENCIMENTO]],"D"))</f>
        <v>20</v>
      </c>
      <c r="AI61" s="526" t="str">
        <f>IF(LANÇ_MOV[[#This Row],[DATA DE PAGAMENTO]]="","",TEXT(LANÇ_MOV[[#This Row],[DATA DE PAGAMENTO]],"AAAA"))</f>
        <v/>
      </c>
      <c r="AJ61" s="527" t="str">
        <f>IF(LANÇ_MOV[[#This Row],[DATA DE PAGAMENTO]]="","",UPPER(TEXT(LANÇ_MOV[[#This Row],[DATA DE PAGAMENTO]],"MMMM")))</f>
        <v/>
      </c>
      <c r="AK61" s="527" t="str">
        <f>IF(LANÇ_MOV[[#This Row],[DATA DE PAGAMENTO]]="","",TEXT(LANÇ_MOV[[#This Row],[DATA DE PAGAMENTO]],"M"))</f>
        <v/>
      </c>
      <c r="AL61" s="526" t="str">
        <f>IF(LANÇ_MOV[[#This Row],[DATA DE PAGAMENTO]]="","",TEXT(LANÇ_MOV[[#This Row],[DATA DE PAGAMENTO]],"D"))</f>
        <v/>
      </c>
      <c r="AM61" s="210"/>
      <c r="BC61" s="112"/>
      <c r="BD61" s="112"/>
    </row>
    <row r="62" spans="1:56" ht="30.05" customHeight="1" x14ac:dyDescent="0.35">
      <c r="B62" s="506">
        <v>45931</v>
      </c>
      <c r="C62" s="507" t="s">
        <v>1661</v>
      </c>
      <c r="D62" s="508" t="s">
        <v>1854</v>
      </c>
      <c r="E62" s="509" t="s">
        <v>228</v>
      </c>
      <c r="F62" s="510" t="s">
        <v>1511</v>
      </c>
      <c r="G62" s="507"/>
      <c r="H62" s="511">
        <v>0</v>
      </c>
      <c r="I62" s="512" t="s">
        <v>1759</v>
      </c>
      <c r="J62" s="510">
        <v>700</v>
      </c>
      <c r="K62" s="513">
        <v>0</v>
      </c>
      <c r="L62" s="513">
        <v>0</v>
      </c>
      <c r="M62" s="513">
        <v>0</v>
      </c>
      <c r="N62" s="514">
        <f>LANÇ_MOV[[#This Row],[VALOR BRUTO]]-LANÇ_MOV[[#This Row],[DESCONTO]]+LANÇ_MOV[[#This Row],[JUROS]]+LANÇ_MOV[[#This Row],[MULTA]]</f>
        <v>700</v>
      </c>
      <c r="O62" s="515">
        <v>46048</v>
      </c>
      <c r="P62" s="516" t="str">
        <f t="shared" ca="1" si="0"/>
        <v>Prazo - Mais de 1 mês</v>
      </c>
      <c r="Q62" s="517"/>
      <c r="R62" s="531" t="s">
        <v>1506</v>
      </c>
      <c r="S62" s="518"/>
      <c r="T62" s="531" t="s">
        <v>1776</v>
      </c>
      <c r="U62" s="519" t="s">
        <v>2008</v>
      </c>
      <c r="V62" s="520" t="str">
        <f>IFERROR(VLOOKUP(LANÇ_MOV[[#This Row],[PLANO DE CONTAS]],Plano_Contas[[PLANO DE CONTAS]:[R / D]],3,0),"")</f>
        <v>Despesa</v>
      </c>
      <c r="W62" s="521" t="str">
        <f>IF(LANÇ_MOV[[#This Row],[DATA DE PAGAMENTO]]&lt;&gt;"","Pago","Não Pago")</f>
        <v>Não Pago</v>
      </c>
      <c r="X62" s="522" t="str">
        <f>IFERROR(IF(LANÇ_MOV[[#This Row],[DATA DE PAGAMENTO]]="","",(UPPER(TEXT(LANÇ_MOV[[#This Row],[DATA DE PAGAMENTO]],"mmmm")))),"")</f>
        <v/>
      </c>
      <c r="Y62" s="523" t="str">
        <f>IFERROR(VLOOKUP(LANÇ_MOV[[#This Row],[PLANO DE CONTAS]],Plano_Contas[[PLANO DE CONTAS]:[NOMES INTERVALOS]],2,0),"")</f>
        <v>Despesas_Com_RH</v>
      </c>
      <c r="Z62" s="523" t="str">
        <f>IF(LANÇ_MOV[[#This Row],[FORMA DE PAGAMENTO]]="","",VLOOKUP(LANÇ_MOV[[#This Row],[FORMA DE PAGAMENTO]],CAD_Forma_pagto[],2,0))</f>
        <v>BOLETO</v>
      </c>
      <c r="AA62" s="524" t="str">
        <f>IF(LANÇ_MOV[[#This Row],[DATA DE LANÇAMENTO]]="","",TEXT(LANÇ_MOV[[#This Row],[DATA DE LANÇAMENTO]],"AAAA"))</f>
        <v>2025</v>
      </c>
      <c r="AB62" s="524" t="str">
        <f>IF(LANÇ_MOV[[#This Row],[DATA DE LANÇAMENTO]]="","",UPPER(TEXT(LANÇ_MOV[[#This Row],[DATA DE LANÇAMENTO]],"MMMM")))</f>
        <v>OUTUBRO</v>
      </c>
      <c r="AC62" s="525" t="str">
        <f>IF(LANÇ_MOV[[#This Row],[DATA DE LANÇAMENTO]]="","",PROPER(TEXT(LANÇ_MOV[[#This Row],[DATA DE LANÇAMENTO]],"M")))</f>
        <v>10</v>
      </c>
      <c r="AD62" s="524" t="str">
        <f>IF(LANÇ_MOV[[#This Row],[DATA DE LANÇAMENTO]]="","",TEXT(LANÇ_MOV[[#This Row],[DATA DE LANÇAMENTO]],"D"))</f>
        <v>1</v>
      </c>
      <c r="AE62" s="526" t="str">
        <f>IF(LANÇ_MOV[[#This Row],[DATA DE VENCIMENTO]]="","",TEXT(LANÇ_MOV[[#This Row],[DATA DE VENCIMENTO]],"AAAA"))</f>
        <v>2026</v>
      </c>
      <c r="AF62" s="526" t="str">
        <f>IF(LANÇ_MOV[[#This Row],[DATA DE VENCIMENTO]]="","",UPPER(TEXT(LANÇ_MOV[[#This Row],[DATA DE VENCIMENTO]],"MMMM")))</f>
        <v>JANEIRO</v>
      </c>
      <c r="AG62" s="526" t="str">
        <f>IF(LANÇ_MOV[[#This Row],[DATA DE VENCIMENTO]]="","",TEXT(LANÇ_MOV[[#This Row],[DATA DE VENCIMENTO]],"M"))</f>
        <v>1</v>
      </c>
      <c r="AH62" s="526" t="str">
        <f>IF(LANÇ_MOV[[#This Row],[DATA DE VENCIMENTO]]="","",TEXT(LANÇ_MOV[[#This Row],[DATA DE VENCIMENTO]],"D"))</f>
        <v>26</v>
      </c>
      <c r="AI62" s="526" t="str">
        <f>IF(LANÇ_MOV[[#This Row],[DATA DE PAGAMENTO]]="","",TEXT(LANÇ_MOV[[#This Row],[DATA DE PAGAMENTO]],"AAAA"))</f>
        <v/>
      </c>
      <c r="AJ62" s="527" t="str">
        <f>IF(LANÇ_MOV[[#This Row],[DATA DE PAGAMENTO]]="","",UPPER(TEXT(LANÇ_MOV[[#This Row],[DATA DE PAGAMENTO]],"MMMM")))</f>
        <v/>
      </c>
      <c r="AK62" s="527" t="str">
        <f>IF(LANÇ_MOV[[#This Row],[DATA DE PAGAMENTO]]="","",TEXT(LANÇ_MOV[[#This Row],[DATA DE PAGAMENTO]],"M"))</f>
        <v/>
      </c>
      <c r="AL62" s="526" t="str">
        <f>IF(LANÇ_MOV[[#This Row],[DATA DE PAGAMENTO]]="","",TEXT(LANÇ_MOV[[#This Row],[DATA DE PAGAMENTO]],"D"))</f>
        <v/>
      </c>
      <c r="AM62" s="210"/>
      <c r="BC62" s="112"/>
      <c r="BD62" s="112"/>
    </row>
    <row r="63" spans="1:56" ht="30.05" customHeight="1" x14ac:dyDescent="0.35">
      <c r="B63" s="506">
        <v>45931</v>
      </c>
      <c r="C63" s="507" t="s">
        <v>1661</v>
      </c>
      <c r="D63" s="508" t="s">
        <v>1854</v>
      </c>
      <c r="E63" s="509" t="s">
        <v>228</v>
      </c>
      <c r="F63" s="510" t="s">
        <v>1511</v>
      </c>
      <c r="G63" s="507"/>
      <c r="H63" s="511">
        <v>0</v>
      </c>
      <c r="I63" s="512" t="s">
        <v>1759</v>
      </c>
      <c r="J63" s="510">
        <v>700</v>
      </c>
      <c r="K63" s="513">
        <v>0</v>
      </c>
      <c r="L63" s="513">
        <v>0</v>
      </c>
      <c r="M63" s="513">
        <v>0</v>
      </c>
      <c r="N63" s="514">
        <f>LANÇ_MOV[[#This Row],[VALOR BRUTO]]-LANÇ_MOV[[#This Row],[DESCONTO]]+LANÇ_MOV[[#This Row],[JUROS]]+LANÇ_MOV[[#This Row],[MULTA]]</f>
        <v>700</v>
      </c>
      <c r="O63" s="528">
        <v>46079</v>
      </c>
      <c r="P63" s="516" t="str">
        <f t="shared" ca="1" si="0"/>
        <v>Prazo - Mais de 1 mês</v>
      </c>
      <c r="Q63" s="530"/>
      <c r="R63" s="531" t="s">
        <v>1506</v>
      </c>
      <c r="S63" s="531"/>
      <c r="T63" s="531" t="s">
        <v>1776</v>
      </c>
      <c r="U63" s="519" t="s">
        <v>2008</v>
      </c>
      <c r="V63" s="520" t="str">
        <f>IFERROR(VLOOKUP(LANÇ_MOV[[#This Row],[PLANO DE CONTAS]],Plano_Contas[[PLANO DE CONTAS]:[R / D]],3,0),"")</f>
        <v>Despesa</v>
      </c>
      <c r="W63" s="521" t="str">
        <f>IF(LANÇ_MOV[[#This Row],[DATA DE PAGAMENTO]]&lt;&gt;"","Pago","Não Pago")</f>
        <v>Não Pago</v>
      </c>
      <c r="X63" s="522" t="str">
        <f>IFERROR(IF(LANÇ_MOV[[#This Row],[DATA DE PAGAMENTO]]="","",(UPPER(TEXT(LANÇ_MOV[[#This Row],[DATA DE PAGAMENTO]],"mmmm")))),"")</f>
        <v/>
      </c>
      <c r="Y63" s="523" t="str">
        <f>IFERROR(VLOOKUP(LANÇ_MOV[[#This Row],[PLANO DE CONTAS]],Plano_Contas[[PLANO DE CONTAS]:[NOMES INTERVALOS]],2,0),"")</f>
        <v>Despesas_Com_RH</v>
      </c>
      <c r="Z63" s="523" t="str">
        <f>IF(LANÇ_MOV[[#This Row],[FORMA DE PAGAMENTO]]="","",VLOOKUP(LANÇ_MOV[[#This Row],[FORMA DE PAGAMENTO]],CAD_Forma_pagto[],2,0))</f>
        <v>BOLETO</v>
      </c>
      <c r="AA63" s="524" t="str">
        <f>IF(LANÇ_MOV[[#This Row],[DATA DE LANÇAMENTO]]="","",TEXT(LANÇ_MOV[[#This Row],[DATA DE LANÇAMENTO]],"AAAA"))</f>
        <v>2025</v>
      </c>
      <c r="AB63" s="524" t="str">
        <f>IF(LANÇ_MOV[[#This Row],[DATA DE LANÇAMENTO]]="","",UPPER(TEXT(LANÇ_MOV[[#This Row],[DATA DE LANÇAMENTO]],"MMMM")))</f>
        <v>OUTUBRO</v>
      </c>
      <c r="AC63" s="525" t="str">
        <f>IF(LANÇ_MOV[[#This Row],[DATA DE LANÇAMENTO]]="","",PROPER(TEXT(LANÇ_MOV[[#This Row],[DATA DE LANÇAMENTO]],"M")))</f>
        <v>10</v>
      </c>
      <c r="AD63" s="524" t="str">
        <f>IF(LANÇ_MOV[[#This Row],[DATA DE LANÇAMENTO]]="","",TEXT(LANÇ_MOV[[#This Row],[DATA DE LANÇAMENTO]],"D"))</f>
        <v>1</v>
      </c>
      <c r="AE63" s="526" t="str">
        <f>IF(LANÇ_MOV[[#This Row],[DATA DE VENCIMENTO]]="","",TEXT(LANÇ_MOV[[#This Row],[DATA DE VENCIMENTO]],"AAAA"))</f>
        <v>2026</v>
      </c>
      <c r="AF63" s="526" t="str">
        <f>IF(LANÇ_MOV[[#This Row],[DATA DE VENCIMENTO]]="","",UPPER(TEXT(LANÇ_MOV[[#This Row],[DATA DE VENCIMENTO]],"MMMM")))</f>
        <v>FEVEREIRO</v>
      </c>
      <c r="AG63" s="526" t="str">
        <f>IF(LANÇ_MOV[[#This Row],[DATA DE VENCIMENTO]]="","",TEXT(LANÇ_MOV[[#This Row],[DATA DE VENCIMENTO]],"M"))</f>
        <v>2</v>
      </c>
      <c r="AH63" s="526" t="str">
        <f>IF(LANÇ_MOV[[#This Row],[DATA DE VENCIMENTO]]="","",TEXT(LANÇ_MOV[[#This Row],[DATA DE VENCIMENTO]],"D"))</f>
        <v>26</v>
      </c>
      <c r="AI63" s="526" t="str">
        <f>IF(LANÇ_MOV[[#This Row],[DATA DE PAGAMENTO]]="","",TEXT(LANÇ_MOV[[#This Row],[DATA DE PAGAMENTO]],"AAAA"))</f>
        <v/>
      </c>
      <c r="AJ63" s="527" t="str">
        <f>IF(LANÇ_MOV[[#This Row],[DATA DE PAGAMENTO]]="","",UPPER(TEXT(LANÇ_MOV[[#This Row],[DATA DE PAGAMENTO]],"MMMM")))</f>
        <v/>
      </c>
      <c r="AK63" s="527" t="str">
        <f>IF(LANÇ_MOV[[#This Row],[DATA DE PAGAMENTO]]="","",TEXT(LANÇ_MOV[[#This Row],[DATA DE PAGAMENTO]],"M"))</f>
        <v/>
      </c>
      <c r="AL63" s="526" t="str">
        <f>IF(LANÇ_MOV[[#This Row],[DATA DE PAGAMENTO]]="","",TEXT(LANÇ_MOV[[#This Row],[DATA DE PAGAMENTO]],"D"))</f>
        <v/>
      </c>
      <c r="AM63" s="210"/>
      <c r="BC63" s="112"/>
      <c r="BD63" s="112"/>
    </row>
    <row r="64" spans="1:56" ht="30.05" customHeight="1" x14ac:dyDescent="0.35">
      <c r="B64" s="506">
        <v>45931</v>
      </c>
      <c r="C64" s="507" t="s">
        <v>1661</v>
      </c>
      <c r="D64" s="508" t="s">
        <v>1854</v>
      </c>
      <c r="E64" s="509" t="s">
        <v>228</v>
      </c>
      <c r="F64" s="510" t="s">
        <v>1511</v>
      </c>
      <c r="G64" s="507"/>
      <c r="H64" s="511">
        <v>0</v>
      </c>
      <c r="I64" s="512" t="s">
        <v>1759</v>
      </c>
      <c r="J64" s="510">
        <v>700</v>
      </c>
      <c r="K64" s="513">
        <v>0</v>
      </c>
      <c r="L64" s="513">
        <v>0</v>
      </c>
      <c r="M64" s="513">
        <v>0</v>
      </c>
      <c r="N64" s="514">
        <f>LANÇ_MOV[[#This Row],[VALOR BRUTO]]-LANÇ_MOV[[#This Row],[DESCONTO]]+LANÇ_MOV[[#This Row],[JUROS]]+LANÇ_MOV[[#This Row],[MULTA]]</f>
        <v>700</v>
      </c>
      <c r="O64" s="528">
        <v>46107</v>
      </c>
      <c r="P64" s="516" t="str">
        <f t="shared" ca="1" si="0"/>
        <v>Prazo - Mais de 1 mês</v>
      </c>
      <c r="Q64" s="530"/>
      <c r="R64" s="531" t="s">
        <v>1506</v>
      </c>
      <c r="S64" s="531"/>
      <c r="T64" s="531" t="s">
        <v>1776</v>
      </c>
      <c r="U64" s="519" t="s">
        <v>2008</v>
      </c>
      <c r="V64" s="520" t="str">
        <f>IFERROR(VLOOKUP(LANÇ_MOV[[#This Row],[PLANO DE CONTAS]],Plano_Contas[[PLANO DE CONTAS]:[R / D]],3,0),"")</f>
        <v>Despesa</v>
      </c>
      <c r="W64" s="521" t="str">
        <f>IF(LANÇ_MOV[[#This Row],[DATA DE PAGAMENTO]]&lt;&gt;"","Pago","Não Pago")</f>
        <v>Não Pago</v>
      </c>
      <c r="X64" s="522" t="str">
        <f>IFERROR(IF(LANÇ_MOV[[#This Row],[DATA DE PAGAMENTO]]="","",(UPPER(TEXT(LANÇ_MOV[[#This Row],[DATA DE PAGAMENTO]],"mmmm")))),"")</f>
        <v/>
      </c>
      <c r="Y64" s="523" t="str">
        <f>IFERROR(VLOOKUP(LANÇ_MOV[[#This Row],[PLANO DE CONTAS]],Plano_Contas[[PLANO DE CONTAS]:[NOMES INTERVALOS]],2,0),"")</f>
        <v>Despesas_Com_RH</v>
      </c>
      <c r="Z64" s="523" t="str">
        <f>IF(LANÇ_MOV[[#This Row],[FORMA DE PAGAMENTO]]="","",VLOOKUP(LANÇ_MOV[[#This Row],[FORMA DE PAGAMENTO]],CAD_Forma_pagto[],2,0))</f>
        <v>BOLETO</v>
      </c>
      <c r="AA64" s="524" t="str">
        <f>IF(LANÇ_MOV[[#This Row],[DATA DE LANÇAMENTO]]="","",TEXT(LANÇ_MOV[[#This Row],[DATA DE LANÇAMENTO]],"AAAA"))</f>
        <v>2025</v>
      </c>
      <c r="AB64" s="524" t="str">
        <f>IF(LANÇ_MOV[[#This Row],[DATA DE LANÇAMENTO]]="","",UPPER(TEXT(LANÇ_MOV[[#This Row],[DATA DE LANÇAMENTO]],"MMMM")))</f>
        <v>OUTUBRO</v>
      </c>
      <c r="AC64" s="525" t="str">
        <f>IF(LANÇ_MOV[[#This Row],[DATA DE LANÇAMENTO]]="","",PROPER(TEXT(LANÇ_MOV[[#This Row],[DATA DE LANÇAMENTO]],"M")))</f>
        <v>10</v>
      </c>
      <c r="AD64" s="524" t="str">
        <f>IF(LANÇ_MOV[[#This Row],[DATA DE LANÇAMENTO]]="","",TEXT(LANÇ_MOV[[#This Row],[DATA DE LANÇAMENTO]],"D"))</f>
        <v>1</v>
      </c>
      <c r="AE64" s="526" t="str">
        <f>IF(LANÇ_MOV[[#This Row],[DATA DE VENCIMENTO]]="","",TEXT(LANÇ_MOV[[#This Row],[DATA DE VENCIMENTO]],"AAAA"))</f>
        <v>2026</v>
      </c>
      <c r="AF64" s="526" t="str">
        <f>IF(LANÇ_MOV[[#This Row],[DATA DE VENCIMENTO]]="","",UPPER(TEXT(LANÇ_MOV[[#This Row],[DATA DE VENCIMENTO]],"MMMM")))</f>
        <v>MARÇO</v>
      </c>
      <c r="AG64" s="526" t="str">
        <f>IF(LANÇ_MOV[[#This Row],[DATA DE VENCIMENTO]]="","",TEXT(LANÇ_MOV[[#This Row],[DATA DE VENCIMENTO]],"M"))</f>
        <v>3</v>
      </c>
      <c r="AH64" s="526" t="str">
        <f>IF(LANÇ_MOV[[#This Row],[DATA DE VENCIMENTO]]="","",TEXT(LANÇ_MOV[[#This Row],[DATA DE VENCIMENTO]],"D"))</f>
        <v>26</v>
      </c>
      <c r="AI64" s="526" t="str">
        <f>IF(LANÇ_MOV[[#This Row],[DATA DE PAGAMENTO]]="","",TEXT(LANÇ_MOV[[#This Row],[DATA DE PAGAMENTO]],"AAAA"))</f>
        <v/>
      </c>
      <c r="AJ64" s="527" t="str">
        <f>IF(LANÇ_MOV[[#This Row],[DATA DE PAGAMENTO]]="","",UPPER(TEXT(LANÇ_MOV[[#This Row],[DATA DE PAGAMENTO]],"MMMM")))</f>
        <v/>
      </c>
      <c r="AK64" s="527" t="str">
        <f>IF(LANÇ_MOV[[#This Row],[DATA DE PAGAMENTO]]="","",TEXT(LANÇ_MOV[[#This Row],[DATA DE PAGAMENTO]],"M"))</f>
        <v/>
      </c>
      <c r="AL64" s="526" t="str">
        <f>IF(LANÇ_MOV[[#This Row],[DATA DE PAGAMENTO]]="","",TEXT(LANÇ_MOV[[#This Row],[DATA DE PAGAMENTO]],"D"))</f>
        <v/>
      </c>
      <c r="AM64" s="210"/>
      <c r="BC64" s="112"/>
      <c r="BD64" s="112"/>
    </row>
    <row r="65" spans="2:56" ht="30.05" customHeight="1" x14ac:dyDescent="0.35">
      <c r="B65" s="534">
        <v>45931</v>
      </c>
      <c r="C65" s="507" t="s">
        <v>1661</v>
      </c>
      <c r="D65" s="508" t="s">
        <v>1854</v>
      </c>
      <c r="E65" s="509" t="s">
        <v>228</v>
      </c>
      <c r="F65" s="510" t="s">
        <v>1511</v>
      </c>
      <c r="G65" s="507"/>
      <c r="H65" s="511">
        <v>0</v>
      </c>
      <c r="I65" s="512" t="s">
        <v>1759</v>
      </c>
      <c r="J65" s="510">
        <v>700</v>
      </c>
      <c r="K65" s="513">
        <v>0</v>
      </c>
      <c r="L65" s="513">
        <v>0</v>
      </c>
      <c r="M65" s="513">
        <v>0</v>
      </c>
      <c r="N65" s="514">
        <f>LANÇ_MOV[[#This Row],[VALOR BRUTO]]-LANÇ_MOV[[#This Row],[DESCONTO]]+LANÇ_MOV[[#This Row],[JUROS]]+LANÇ_MOV[[#This Row],[MULTA]]</f>
        <v>700</v>
      </c>
      <c r="O65" s="528">
        <v>46138</v>
      </c>
      <c r="P65" s="516" t="str">
        <f t="shared" ca="1" si="0"/>
        <v>Prazo - Mais de 1 mês</v>
      </c>
      <c r="Q65" s="530"/>
      <c r="R65" s="531" t="s">
        <v>1506</v>
      </c>
      <c r="S65" s="531"/>
      <c r="T65" s="531" t="s">
        <v>1776</v>
      </c>
      <c r="U65" s="519" t="s">
        <v>2008</v>
      </c>
      <c r="V65" s="520" t="str">
        <f>IFERROR(VLOOKUP(LANÇ_MOV[[#This Row],[PLANO DE CONTAS]],Plano_Contas[[PLANO DE CONTAS]:[R / D]],3,0),"")</f>
        <v>Despesa</v>
      </c>
      <c r="W65" s="521" t="str">
        <f>IF(LANÇ_MOV[[#This Row],[DATA DE PAGAMENTO]]&lt;&gt;"","Pago","Não Pago")</f>
        <v>Não Pago</v>
      </c>
      <c r="X65" s="522" t="str">
        <f>IFERROR(IF(LANÇ_MOV[[#This Row],[DATA DE PAGAMENTO]]="","",(UPPER(TEXT(LANÇ_MOV[[#This Row],[DATA DE PAGAMENTO]],"mmmm")))),"")</f>
        <v/>
      </c>
      <c r="Y65" s="523" t="str">
        <f>IFERROR(VLOOKUP(LANÇ_MOV[[#This Row],[PLANO DE CONTAS]],Plano_Contas[[PLANO DE CONTAS]:[NOMES INTERVALOS]],2,0),"")</f>
        <v>Despesas_Com_RH</v>
      </c>
      <c r="Z65" s="523" t="str">
        <f>IF(LANÇ_MOV[[#This Row],[FORMA DE PAGAMENTO]]="","",VLOOKUP(LANÇ_MOV[[#This Row],[FORMA DE PAGAMENTO]],CAD_Forma_pagto[],2,0))</f>
        <v>BOLETO</v>
      </c>
      <c r="AA65" s="524" t="str">
        <f>IF(LANÇ_MOV[[#This Row],[DATA DE LANÇAMENTO]]="","",TEXT(LANÇ_MOV[[#This Row],[DATA DE LANÇAMENTO]],"AAAA"))</f>
        <v>2025</v>
      </c>
      <c r="AB65" s="524" t="str">
        <f>IF(LANÇ_MOV[[#This Row],[DATA DE LANÇAMENTO]]="","",UPPER(TEXT(LANÇ_MOV[[#This Row],[DATA DE LANÇAMENTO]],"MMMM")))</f>
        <v>OUTUBRO</v>
      </c>
      <c r="AC65" s="525" t="str">
        <f>IF(LANÇ_MOV[[#This Row],[DATA DE LANÇAMENTO]]="","",PROPER(TEXT(LANÇ_MOV[[#This Row],[DATA DE LANÇAMENTO]],"M")))</f>
        <v>10</v>
      </c>
      <c r="AD65" s="524" t="str">
        <f>IF(LANÇ_MOV[[#This Row],[DATA DE LANÇAMENTO]]="","",TEXT(LANÇ_MOV[[#This Row],[DATA DE LANÇAMENTO]],"D"))</f>
        <v>1</v>
      </c>
      <c r="AE65" s="526" t="str">
        <f>IF(LANÇ_MOV[[#This Row],[DATA DE VENCIMENTO]]="","",TEXT(LANÇ_MOV[[#This Row],[DATA DE VENCIMENTO]],"AAAA"))</f>
        <v>2026</v>
      </c>
      <c r="AF65" s="526" t="str">
        <f>IF(LANÇ_MOV[[#This Row],[DATA DE VENCIMENTO]]="","",UPPER(TEXT(LANÇ_MOV[[#This Row],[DATA DE VENCIMENTO]],"MMMM")))</f>
        <v>ABRIL</v>
      </c>
      <c r="AG65" s="526" t="str">
        <f>IF(LANÇ_MOV[[#This Row],[DATA DE VENCIMENTO]]="","",TEXT(LANÇ_MOV[[#This Row],[DATA DE VENCIMENTO]],"M"))</f>
        <v>4</v>
      </c>
      <c r="AH65" s="526" t="str">
        <f>IF(LANÇ_MOV[[#This Row],[DATA DE VENCIMENTO]]="","",TEXT(LANÇ_MOV[[#This Row],[DATA DE VENCIMENTO]],"D"))</f>
        <v>26</v>
      </c>
      <c r="AI65" s="526" t="str">
        <f>IF(LANÇ_MOV[[#This Row],[DATA DE PAGAMENTO]]="","",TEXT(LANÇ_MOV[[#This Row],[DATA DE PAGAMENTO]],"AAAA"))</f>
        <v/>
      </c>
      <c r="AJ65" s="527" t="str">
        <f>IF(LANÇ_MOV[[#This Row],[DATA DE PAGAMENTO]]="","",UPPER(TEXT(LANÇ_MOV[[#This Row],[DATA DE PAGAMENTO]],"MMMM")))</f>
        <v/>
      </c>
      <c r="AK65" s="527" t="str">
        <f>IF(LANÇ_MOV[[#This Row],[DATA DE PAGAMENTO]]="","",TEXT(LANÇ_MOV[[#This Row],[DATA DE PAGAMENTO]],"M"))</f>
        <v/>
      </c>
      <c r="AL65" s="526" t="str">
        <f>IF(LANÇ_MOV[[#This Row],[DATA DE PAGAMENTO]]="","",TEXT(LANÇ_MOV[[#This Row],[DATA DE PAGAMENTO]],"D"))</f>
        <v/>
      </c>
      <c r="AM65" s="210"/>
      <c r="BC65" s="112"/>
      <c r="BD65" s="112"/>
    </row>
    <row r="66" spans="2:56" ht="30.05" customHeight="1" x14ac:dyDescent="0.35">
      <c r="B66" s="534">
        <v>45931</v>
      </c>
      <c r="C66" s="507" t="s">
        <v>1661</v>
      </c>
      <c r="D66" s="508" t="s">
        <v>1854</v>
      </c>
      <c r="E66" s="509" t="s">
        <v>228</v>
      </c>
      <c r="F66" s="510" t="s">
        <v>1511</v>
      </c>
      <c r="G66" s="507"/>
      <c r="H66" s="511">
        <v>0</v>
      </c>
      <c r="I66" s="512" t="s">
        <v>1759</v>
      </c>
      <c r="J66" s="510">
        <v>700</v>
      </c>
      <c r="K66" s="513">
        <v>0</v>
      </c>
      <c r="L66" s="513">
        <v>0</v>
      </c>
      <c r="M66" s="513">
        <v>0</v>
      </c>
      <c r="N66" s="514">
        <f>LANÇ_MOV[[#This Row],[VALOR BRUTO]]-LANÇ_MOV[[#This Row],[DESCONTO]]+LANÇ_MOV[[#This Row],[JUROS]]+LANÇ_MOV[[#This Row],[MULTA]]</f>
        <v>700</v>
      </c>
      <c r="O66" s="528">
        <v>46138</v>
      </c>
      <c r="P66" s="516" t="str">
        <f t="shared" ca="1" si="0"/>
        <v>Prazo - Mais de 1 mês</v>
      </c>
      <c r="Q66" s="530"/>
      <c r="R66" s="531" t="s">
        <v>1506</v>
      </c>
      <c r="S66" s="531"/>
      <c r="T66" s="531" t="s">
        <v>1776</v>
      </c>
      <c r="U66" s="519" t="s">
        <v>2008</v>
      </c>
      <c r="V66" s="520" t="str">
        <f>IFERROR(VLOOKUP(LANÇ_MOV[[#This Row],[PLANO DE CONTAS]],Plano_Contas[[PLANO DE CONTAS]:[R / D]],3,0),"")</f>
        <v>Despesa</v>
      </c>
      <c r="W66" s="521" t="str">
        <f>IF(LANÇ_MOV[[#This Row],[DATA DE PAGAMENTO]]&lt;&gt;"","Pago","Não Pago")</f>
        <v>Não Pago</v>
      </c>
      <c r="X66" s="522" t="str">
        <f>IFERROR(IF(LANÇ_MOV[[#This Row],[DATA DE PAGAMENTO]]="","",(UPPER(TEXT(LANÇ_MOV[[#This Row],[DATA DE PAGAMENTO]],"mmmm")))),"")</f>
        <v/>
      </c>
      <c r="Y66" s="523" t="str">
        <f>IFERROR(VLOOKUP(LANÇ_MOV[[#This Row],[PLANO DE CONTAS]],Plano_Contas[[PLANO DE CONTAS]:[NOMES INTERVALOS]],2,0),"")</f>
        <v>Despesas_Com_RH</v>
      </c>
      <c r="Z66" s="523" t="str">
        <f>IF(LANÇ_MOV[[#This Row],[FORMA DE PAGAMENTO]]="","",VLOOKUP(LANÇ_MOV[[#This Row],[FORMA DE PAGAMENTO]],CAD_Forma_pagto[],2,0))</f>
        <v>BOLETO</v>
      </c>
      <c r="AA66" s="524" t="str">
        <f>IF(LANÇ_MOV[[#This Row],[DATA DE LANÇAMENTO]]="","",TEXT(LANÇ_MOV[[#This Row],[DATA DE LANÇAMENTO]],"AAAA"))</f>
        <v>2025</v>
      </c>
      <c r="AB66" s="524" t="str">
        <f>IF(LANÇ_MOV[[#This Row],[DATA DE LANÇAMENTO]]="","",UPPER(TEXT(LANÇ_MOV[[#This Row],[DATA DE LANÇAMENTO]],"MMMM")))</f>
        <v>OUTUBRO</v>
      </c>
      <c r="AC66" s="525" t="str">
        <f>IF(LANÇ_MOV[[#This Row],[DATA DE LANÇAMENTO]]="","",PROPER(TEXT(LANÇ_MOV[[#This Row],[DATA DE LANÇAMENTO]],"M")))</f>
        <v>10</v>
      </c>
      <c r="AD66" s="524" t="str">
        <f>IF(LANÇ_MOV[[#This Row],[DATA DE LANÇAMENTO]]="","",TEXT(LANÇ_MOV[[#This Row],[DATA DE LANÇAMENTO]],"D"))</f>
        <v>1</v>
      </c>
      <c r="AE66" s="526" t="str">
        <f>IF(LANÇ_MOV[[#This Row],[DATA DE VENCIMENTO]]="","",TEXT(LANÇ_MOV[[#This Row],[DATA DE VENCIMENTO]],"AAAA"))</f>
        <v>2026</v>
      </c>
      <c r="AF66" s="526" t="str">
        <f>IF(LANÇ_MOV[[#This Row],[DATA DE VENCIMENTO]]="","",UPPER(TEXT(LANÇ_MOV[[#This Row],[DATA DE VENCIMENTO]],"MMMM")))</f>
        <v>ABRIL</v>
      </c>
      <c r="AG66" s="526" t="str">
        <f>IF(LANÇ_MOV[[#This Row],[DATA DE VENCIMENTO]]="","",TEXT(LANÇ_MOV[[#This Row],[DATA DE VENCIMENTO]],"M"))</f>
        <v>4</v>
      </c>
      <c r="AH66" s="526" t="str">
        <f>IF(LANÇ_MOV[[#This Row],[DATA DE VENCIMENTO]]="","",TEXT(LANÇ_MOV[[#This Row],[DATA DE VENCIMENTO]],"D"))</f>
        <v>26</v>
      </c>
      <c r="AI66" s="526" t="str">
        <f>IF(LANÇ_MOV[[#This Row],[DATA DE PAGAMENTO]]="","",TEXT(LANÇ_MOV[[#This Row],[DATA DE PAGAMENTO]],"AAAA"))</f>
        <v/>
      </c>
      <c r="AJ66" s="527" t="str">
        <f>IF(LANÇ_MOV[[#This Row],[DATA DE PAGAMENTO]]="","",UPPER(TEXT(LANÇ_MOV[[#This Row],[DATA DE PAGAMENTO]],"MMMM")))</f>
        <v/>
      </c>
      <c r="AK66" s="527" t="str">
        <f>IF(LANÇ_MOV[[#This Row],[DATA DE PAGAMENTO]]="","",TEXT(LANÇ_MOV[[#This Row],[DATA DE PAGAMENTO]],"M"))</f>
        <v/>
      </c>
      <c r="AL66" s="526" t="str">
        <f>IF(LANÇ_MOV[[#This Row],[DATA DE PAGAMENTO]]="","",TEXT(LANÇ_MOV[[#This Row],[DATA DE PAGAMENTO]],"D"))</f>
        <v/>
      </c>
      <c r="AM66" s="210"/>
      <c r="BC66" s="112"/>
      <c r="BD66" s="112"/>
    </row>
    <row r="67" spans="2:56" ht="30.05" customHeight="1" x14ac:dyDescent="0.35">
      <c r="B67" s="534">
        <v>45931</v>
      </c>
      <c r="C67" s="507" t="s">
        <v>1661</v>
      </c>
      <c r="D67" s="508" t="s">
        <v>1854</v>
      </c>
      <c r="E67" s="509" t="s">
        <v>228</v>
      </c>
      <c r="F67" s="510" t="s">
        <v>1511</v>
      </c>
      <c r="G67" s="507"/>
      <c r="H67" s="511">
        <v>0</v>
      </c>
      <c r="I67" s="512" t="s">
        <v>1759</v>
      </c>
      <c r="J67" s="510">
        <v>700</v>
      </c>
      <c r="K67" s="513">
        <v>0</v>
      </c>
      <c r="L67" s="513">
        <v>0</v>
      </c>
      <c r="M67" s="513">
        <v>0</v>
      </c>
      <c r="N67" s="514">
        <f>LANÇ_MOV[[#This Row],[VALOR BRUTO]]-LANÇ_MOV[[#This Row],[DESCONTO]]+LANÇ_MOV[[#This Row],[JUROS]]+LANÇ_MOV[[#This Row],[MULTA]]</f>
        <v>700</v>
      </c>
      <c r="O67" s="528">
        <v>46229</v>
      </c>
      <c r="P67" s="516" t="str">
        <f t="shared" ca="1" si="0"/>
        <v>Prazo - Mais de 1 mês</v>
      </c>
      <c r="Q67" s="530"/>
      <c r="R67" s="531" t="s">
        <v>1506</v>
      </c>
      <c r="S67" s="531"/>
      <c r="T67" s="531" t="s">
        <v>1776</v>
      </c>
      <c r="U67" s="519" t="s">
        <v>2008</v>
      </c>
      <c r="V67" s="520" t="str">
        <f>IFERROR(VLOOKUP(LANÇ_MOV[[#This Row],[PLANO DE CONTAS]],Plano_Contas[[PLANO DE CONTAS]:[R / D]],3,0),"")</f>
        <v>Despesa</v>
      </c>
      <c r="W67" s="521" t="str">
        <f>IF(LANÇ_MOV[[#This Row],[DATA DE PAGAMENTO]]&lt;&gt;"","Pago","Não Pago")</f>
        <v>Não Pago</v>
      </c>
      <c r="X67" s="522" t="str">
        <f>IFERROR(IF(LANÇ_MOV[[#This Row],[DATA DE PAGAMENTO]]="","",(UPPER(TEXT(LANÇ_MOV[[#This Row],[DATA DE PAGAMENTO]],"mmmm")))),"")</f>
        <v/>
      </c>
      <c r="Y67" s="523" t="str">
        <f>IFERROR(VLOOKUP(LANÇ_MOV[[#This Row],[PLANO DE CONTAS]],Plano_Contas[[PLANO DE CONTAS]:[NOMES INTERVALOS]],2,0),"")</f>
        <v>Despesas_Com_RH</v>
      </c>
      <c r="Z67" s="523" t="str">
        <f>IF(LANÇ_MOV[[#This Row],[FORMA DE PAGAMENTO]]="","",VLOOKUP(LANÇ_MOV[[#This Row],[FORMA DE PAGAMENTO]],CAD_Forma_pagto[],2,0))</f>
        <v>BOLETO</v>
      </c>
      <c r="AA67" s="524" t="str">
        <f>IF(LANÇ_MOV[[#This Row],[DATA DE LANÇAMENTO]]="","",TEXT(LANÇ_MOV[[#This Row],[DATA DE LANÇAMENTO]],"AAAA"))</f>
        <v>2025</v>
      </c>
      <c r="AB67" s="524" t="str">
        <f>IF(LANÇ_MOV[[#This Row],[DATA DE LANÇAMENTO]]="","",UPPER(TEXT(LANÇ_MOV[[#This Row],[DATA DE LANÇAMENTO]],"MMMM")))</f>
        <v>OUTUBRO</v>
      </c>
      <c r="AC67" s="525" t="str">
        <f>IF(LANÇ_MOV[[#This Row],[DATA DE LANÇAMENTO]]="","",PROPER(TEXT(LANÇ_MOV[[#This Row],[DATA DE LANÇAMENTO]],"M")))</f>
        <v>10</v>
      </c>
      <c r="AD67" s="524" t="str">
        <f>IF(LANÇ_MOV[[#This Row],[DATA DE LANÇAMENTO]]="","",TEXT(LANÇ_MOV[[#This Row],[DATA DE LANÇAMENTO]],"D"))</f>
        <v>1</v>
      </c>
      <c r="AE67" s="526" t="str">
        <f>IF(LANÇ_MOV[[#This Row],[DATA DE VENCIMENTO]]="","",TEXT(LANÇ_MOV[[#This Row],[DATA DE VENCIMENTO]],"AAAA"))</f>
        <v>2026</v>
      </c>
      <c r="AF67" s="526" t="str">
        <f>IF(LANÇ_MOV[[#This Row],[DATA DE VENCIMENTO]]="","",UPPER(TEXT(LANÇ_MOV[[#This Row],[DATA DE VENCIMENTO]],"MMMM")))</f>
        <v>JULHO</v>
      </c>
      <c r="AG67" s="526" t="str">
        <f>IF(LANÇ_MOV[[#This Row],[DATA DE VENCIMENTO]]="","",TEXT(LANÇ_MOV[[#This Row],[DATA DE VENCIMENTO]],"M"))</f>
        <v>7</v>
      </c>
      <c r="AH67" s="526" t="str">
        <f>IF(LANÇ_MOV[[#This Row],[DATA DE VENCIMENTO]]="","",TEXT(LANÇ_MOV[[#This Row],[DATA DE VENCIMENTO]],"D"))</f>
        <v>26</v>
      </c>
      <c r="AI67" s="526" t="str">
        <f>IF(LANÇ_MOV[[#This Row],[DATA DE PAGAMENTO]]="","",TEXT(LANÇ_MOV[[#This Row],[DATA DE PAGAMENTO]],"AAAA"))</f>
        <v/>
      </c>
      <c r="AJ67" s="527" t="str">
        <f>IF(LANÇ_MOV[[#This Row],[DATA DE PAGAMENTO]]="","",UPPER(TEXT(LANÇ_MOV[[#This Row],[DATA DE PAGAMENTO]],"MMMM")))</f>
        <v/>
      </c>
      <c r="AK67" s="527" t="str">
        <f>IF(LANÇ_MOV[[#This Row],[DATA DE PAGAMENTO]]="","",TEXT(LANÇ_MOV[[#This Row],[DATA DE PAGAMENTO]],"M"))</f>
        <v/>
      </c>
      <c r="AL67" s="526" t="str">
        <f>IF(LANÇ_MOV[[#This Row],[DATA DE PAGAMENTO]]="","",TEXT(LANÇ_MOV[[#This Row],[DATA DE PAGAMENTO]],"D"))</f>
        <v/>
      </c>
      <c r="AM67" s="210"/>
      <c r="BC67" s="112"/>
      <c r="BD67" s="112"/>
    </row>
    <row r="68" spans="2:56" ht="30.05" customHeight="1" x14ac:dyDescent="0.35">
      <c r="B68" s="534">
        <v>45931</v>
      </c>
      <c r="C68" s="507" t="s">
        <v>1661</v>
      </c>
      <c r="D68" s="508" t="s">
        <v>1854</v>
      </c>
      <c r="E68" s="509" t="s">
        <v>228</v>
      </c>
      <c r="F68" s="510" t="s">
        <v>1511</v>
      </c>
      <c r="G68" s="507"/>
      <c r="H68" s="511">
        <v>0</v>
      </c>
      <c r="I68" s="512" t="s">
        <v>1759</v>
      </c>
      <c r="J68" s="510">
        <v>700</v>
      </c>
      <c r="K68" s="513">
        <v>0</v>
      </c>
      <c r="L68" s="513">
        <v>0</v>
      </c>
      <c r="M68" s="513">
        <v>0</v>
      </c>
      <c r="N68" s="514">
        <f>LANÇ_MOV[[#This Row],[VALOR BRUTO]]-LANÇ_MOV[[#This Row],[DESCONTO]]+LANÇ_MOV[[#This Row],[JUROS]]+LANÇ_MOV[[#This Row],[MULTA]]</f>
        <v>700</v>
      </c>
      <c r="O68" s="528">
        <v>46260</v>
      </c>
      <c r="P68" s="516" t="str">
        <f t="shared" ca="1" si="0"/>
        <v>Prazo - Mais de 1 mês</v>
      </c>
      <c r="Q68" s="530"/>
      <c r="R68" s="531" t="s">
        <v>1506</v>
      </c>
      <c r="S68" s="531"/>
      <c r="T68" s="531" t="s">
        <v>1776</v>
      </c>
      <c r="U68" s="519" t="s">
        <v>2008</v>
      </c>
      <c r="V68" s="520" t="str">
        <f>IFERROR(VLOOKUP(LANÇ_MOV[[#This Row],[PLANO DE CONTAS]],Plano_Contas[[PLANO DE CONTAS]:[R / D]],3,0),"")</f>
        <v>Despesa</v>
      </c>
      <c r="W68" s="521" t="str">
        <f>IF(LANÇ_MOV[[#This Row],[DATA DE PAGAMENTO]]&lt;&gt;"","Pago","Não Pago")</f>
        <v>Não Pago</v>
      </c>
      <c r="X68" s="522" t="str">
        <f>IFERROR(IF(LANÇ_MOV[[#This Row],[DATA DE PAGAMENTO]]="","",(UPPER(TEXT(LANÇ_MOV[[#This Row],[DATA DE PAGAMENTO]],"mmmm")))),"")</f>
        <v/>
      </c>
      <c r="Y68" s="523" t="str">
        <f>IFERROR(VLOOKUP(LANÇ_MOV[[#This Row],[PLANO DE CONTAS]],Plano_Contas[[PLANO DE CONTAS]:[NOMES INTERVALOS]],2,0),"")</f>
        <v>Despesas_Com_RH</v>
      </c>
      <c r="Z68" s="523" t="str">
        <f>IF(LANÇ_MOV[[#This Row],[FORMA DE PAGAMENTO]]="","",VLOOKUP(LANÇ_MOV[[#This Row],[FORMA DE PAGAMENTO]],CAD_Forma_pagto[],2,0))</f>
        <v>BOLETO</v>
      </c>
      <c r="AA68" s="524" t="str">
        <f>IF(LANÇ_MOV[[#This Row],[DATA DE LANÇAMENTO]]="","",TEXT(LANÇ_MOV[[#This Row],[DATA DE LANÇAMENTO]],"AAAA"))</f>
        <v>2025</v>
      </c>
      <c r="AB68" s="524" t="str">
        <f>IF(LANÇ_MOV[[#This Row],[DATA DE LANÇAMENTO]]="","",UPPER(TEXT(LANÇ_MOV[[#This Row],[DATA DE LANÇAMENTO]],"MMMM")))</f>
        <v>OUTUBRO</v>
      </c>
      <c r="AC68" s="525" t="str">
        <f>IF(LANÇ_MOV[[#This Row],[DATA DE LANÇAMENTO]]="","",PROPER(TEXT(LANÇ_MOV[[#This Row],[DATA DE LANÇAMENTO]],"M")))</f>
        <v>10</v>
      </c>
      <c r="AD68" s="524" t="str">
        <f>IF(LANÇ_MOV[[#This Row],[DATA DE LANÇAMENTO]]="","",TEXT(LANÇ_MOV[[#This Row],[DATA DE LANÇAMENTO]],"D"))</f>
        <v>1</v>
      </c>
      <c r="AE68" s="526" t="str">
        <f>IF(LANÇ_MOV[[#This Row],[DATA DE VENCIMENTO]]="","",TEXT(LANÇ_MOV[[#This Row],[DATA DE VENCIMENTO]],"AAAA"))</f>
        <v>2026</v>
      </c>
      <c r="AF68" s="526" t="str">
        <f>IF(LANÇ_MOV[[#This Row],[DATA DE VENCIMENTO]]="","",UPPER(TEXT(LANÇ_MOV[[#This Row],[DATA DE VENCIMENTO]],"MMMM")))</f>
        <v>AGOSTO</v>
      </c>
      <c r="AG68" s="526" t="str">
        <f>IF(LANÇ_MOV[[#This Row],[DATA DE VENCIMENTO]]="","",TEXT(LANÇ_MOV[[#This Row],[DATA DE VENCIMENTO]],"M"))</f>
        <v>8</v>
      </c>
      <c r="AH68" s="526" t="str">
        <f>IF(LANÇ_MOV[[#This Row],[DATA DE VENCIMENTO]]="","",TEXT(LANÇ_MOV[[#This Row],[DATA DE VENCIMENTO]],"D"))</f>
        <v>26</v>
      </c>
      <c r="AI68" s="526" t="str">
        <f>IF(LANÇ_MOV[[#This Row],[DATA DE PAGAMENTO]]="","",TEXT(LANÇ_MOV[[#This Row],[DATA DE PAGAMENTO]],"AAAA"))</f>
        <v/>
      </c>
      <c r="AJ68" s="527" t="str">
        <f>IF(LANÇ_MOV[[#This Row],[DATA DE PAGAMENTO]]="","",UPPER(TEXT(LANÇ_MOV[[#This Row],[DATA DE PAGAMENTO]],"MMMM")))</f>
        <v/>
      </c>
      <c r="AK68" s="527" t="str">
        <f>IF(LANÇ_MOV[[#This Row],[DATA DE PAGAMENTO]]="","",TEXT(LANÇ_MOV[[#This Row],[DATA DE PAGAMENTO]],"M"))</f>
        <v/>
      </c>
      <c r="AL68" s="526" t="str">
        <f>IF(LANÇ_MOV[[#This Row],[DATA DE PAGAMENTO]]="","",TEXT(LANÇ_MOV[[#This Row],[DATA DE PAGAMENTO]],"D"))</f>
        <v/>
      </c>
      <c r="AM68" s="210"/>
      <c r="BC68" s="112"/>
      <c r="BD68" s="112"/>
    </row>
    <row r="69" spans="2:56" ht="30.05" customHeight="1" x14ac:dyDescent="0.35">
      <c r="B69" s="534">
        <v>45931</v>
      </c>
      <c r="C69" s="507" t="s">
        <v>1661</v>
      </c>
      <c r="D69" s="508" t="s">
        <v>1854</v>
      </c>
      <c r="E69" s="509" t="s">
        <v>228</v>
      </c>
      <c r="F69" s="510" t="s">
        <v>1511</v>
      </c>
      <c r="G69" s="507"/>
      <c r="H69" s="511">
        <v>0</v>
      </c>
      <c r="I69" s="512" t="s">
        <v>1759</v>
      </c>
      <c r="J69" s="510">
        <v>700</v>
      </c>
      <c r="K69" s="513">
        <v>0</v>
      </c>
      <c r="L69" s="513">
        <v>0</v>
      </c>
      <c r="M69" s="513">
        <v>0</v>
      </c>
      <c r="N69" s="514">
        <f>LANÇ_MOV[[#This Row],[VALOR BRUTO]]-LANÇ_MOV[[#This Row],[DESCONTO]]+LANÇ_MOV[[#This Row],[JUROS]]+LANÇ_MOV[[#This Row],[MULTA]]</f>
        <v>700</v>
      </c>
      <c r="O69" s="528">
        <v>46291</v>
      </c>
      <c r="P69" s="516" t="str">
        <f t="shared" ref="P69:P132" ca="1" si="1">IF(O69="","",IF(Q69&lt;&gt;"","Pago",IF(O69-TODAY()&gt;30,"Prazo - Mais de 1 mês",IF(O69=TODAY(),"Hoje",IF(O69&lt;TODAY(),"Venceu",IF(O69-TODAY()&lt;10,"Prazo - Menos de 10 dias",IF(O69-TODAY()&lt;15,"Prazo - Menos de 15 dias","Prazo - Menos de 1 Mês")))))))</f>
        <v>Prazo - Mais de 1 mês</v>
      </c>
      <c r="Q69" s="530"/>
      <c r="R69" s="531" t="s">
        <v>1506</v>
      </c>
      <c r="S69" s="531"/>
      <c r="T69" s="531" t="s">
        <v>1776</v>
      </c>
      <c r="U69" s="519" t="s">
        <v>2008</v>
      </c>
      <c r="V69" s="520" t="str">
        <f>IFERROR(VLOOKUP(LANÇ_MOV[[#This Row],[PLANO DE CONTAS]],Plano_Contas[[PLANO DE CONTAS]:[R / D]],3,0),"")</f>
        <v>Despesa</v>
      </c>
      <c r="W69" s="521" t="str">
        <f>IF(LANÇ_MOV[[#This Row],[DATA DE PAGAMENTO]]&lt;&gt;"","Pago","Não Pago")</f>
        <v>Não Pago</v>
      </c>
      <c r="X69" s="522" t="str">
        <f>IFERROR(IF(LANÇ_MOV[[#This Row],[DATA DE PAGAMENTO]]="","",(UPPER(TEXT(LANÇ_MOV[[#This Row],[DATA DE PAGAMENTO]],"mmmm")))),"")</f>
        <v/>
      </c>
      <c r="Y69" s="523" t="str">
        <f>IFERROR(VLOOKUP(LANÇ_MOV[[#This Row],[PLANO DE CONTAS]],Plano_Contas[[PLANO DE CONTAS]:[NOMES INTERVALOS]],2,0),"")</f>
        <v>Despesas_Com_RH</v>
      </c>
      <c r="Z69" s="523" t="str">
        <f>IF(LANÇ_MOV[[#This Row],[FORMA DE PAGAMENTO]]="","",VLOOKUP(LANÇ_MOV[[#This Row],[FORMA DE PAGAMENTO]],CAD_Forma_pagto[],2,0))</f>
        <v>BOLETO</v>
      </c>
      <c r="AA69" s="524" t="str">
        <f>IF(LANÇ_MOV[[#This Row],[DATA DE LANÇAMENTO]]="","",TEXT(LANÇ_MOV[[#This Row],[DATA DE LANÇAMENTO]],"AAAA"))</f>
        <v>2025</v>
      </c>
      <c r="AB69" s="524" t="str">
        <f>IF(LANÇ_MOV[[#This Row],[DATA DE LANÇAMENTO]]="","",UPPER(TEXT(LANÇ_MOV[[#This Row],[DATA DE LANÇAMENTO]],"MMMM")))</f>
        <v>OUTUBRO</v>
      </c>
      <c r="AC69" s="525" t="str">
        <f>IF(LANÇ_MOV[[#This Row],[DATA DE LANÇAMENTO]]="","",PROPER(TEXT(LANÇ_MOV[[#This Row],[DATA DE LANÇAMENTO]],"M")))</f>
        <v>10</v>
      </c>
      <c r="AD69" s="524" t="str">
        <f>IF(LANÇ_MOV[[#This Row],[DATA DE LANÇAMENTO]]="","",TEXT(LANÇ_MOV[[#This Row],[DATA DE LANÇAMENTO]],"D"))</f>
        <v>1</v>
      </c>
      <c r="AE69" s="526" t="str">
        <f>IF(LANÇ_MOV[[#This Row],[DATA DE VENCIMENTO]]="","",TEXT(LANÇ_MOV[[#This Row],[DATA DE VENCIMENTO]],"AAAA"))</f>
        <v>2026</v>
      </c>
      <c r="AF69" s="526" t="str">
        <f>IF(LANÇ_MOV[[#This Row],[DATA DE VENCIMENTO]]="","",UPPER(TEXT(LANÇ_MOV[[#This Row],[DATA DE VENCIMENTO]],"MMMM")))</f>
        <v>SETEMBRO</v>
      </c>
      <c r="AG69" s="526" t="str">
        <f>IF(LANÇ_MOV[[#This Row],[DATA DE VENCIMENTO]]="","",TEXT(LANÇ_MOV[[#This Row],[DATA DE VENCIMENTO]],"M"))</f>
        <v>9</v>
      </c>
      <c r="AH69" s="526" t="str">
        <f>IF(LANÇ_MOV[[#This Row],[DATA DE VENCIMENTO]]="","",TEXT(LANÇ_MOV[[#This Row],[DATA DE VENCIMENTO]],"D"))</f>
        <v>26</v>
      </c>
      <c r="AI69" s="526" t="str">
        <f>IF(LANÇ_MOV[[#This Row],[DATA DE PAGAMENTO]]="","",TEXT(LANÇ_MOV[[#This Row],[DATA DE PAGAMENTO]],"AAAA"))</f>
        <v/>
      </c>
      <c r="AJ69" s="527" t="str">
        <f>IF(LANÇ_MOV[[#This Row],[DATA DE PAGAMENTO]]="","",UPPER(TEXT(LANÇ_MOV[[#This Row],[DATA DE PAGAMENTO]],"MMMM")))</f>
        <v/>
      </c>
      <c r="AK69" s="527" t="str">
        <f>IF(LANÇ_MOV[[#This Row],[DATA DE PAGAMENTO]]="","",TEXT(LANÇ_MOV[[#This Row],[DATA DE PAGAMENTO]],"M"))</f>
        <v/>
      </c>
      <c r="AL69" s="526" t="str">
        <f>IF(LANÇ_MOV[[#This Row],[DATA DE PAGAMENTO]]="","",TEXT(LANÇ_MOV[[#This Row],[DATA DE PAGAMENTO]],"D"))</f>
        <v/>
      </c>
      <c r="AM69" s="210"/>
      <c r="BC69" s="112"/>
      <c r="BD69" s="112"/>
    </row>
    <row r="70" spans="2:56" ht="30.05" customHeight="1" x14ac:dyDescent="0.35">
      <c r="B70" s="534">
        <v>45931</v>
      </c>
      <c r="C70" s="507" t="s">
        <v>1661</v>
      </c>
      <c r="D70" s="508" t="s">
        <v>1854</v>
      </c>
      <c r="E70" s="509" t="s">
        <v>228</v>
      </c>
      <c r="F70" s="510" t="s">
        <v>1511</v>
      </c>
      <c r="G70" s="507"/>
      <c r="H70" s="511">
        <v>0</v>
      </c>
      <c r="I70" s="512" t="s">
        <v>1759</v>
      </c>
      <c r="J70" s="510">
        <v>700</v>
      </c>
      <c r="K70" s="513">
        <v>0</v>
      </c>
      <c r="L70" s="513">
        <v>0</v>
      </c>
      <c r="M70" s="513">
        <v>0</v>
      </c>
      <c r="N70" s="514">
        <f>LANÇ_MOV[[#This Row],[VALOR BRUTO]]-LANÇ_MOV[[#This Row],[DESCONTO]]+LANÇ_MOV[[#This Row],[JUROS]]+LANÇ_MOV[[#This Row],[MULTA]]</f>
        <v>700</v>
      </c>
      <c r="O70" s="528">
        <v>46321</v>
      </c>
      <c r="P70" s="516" t="str">
        <f t="shared" ca="1" si="1"/>
        <v>Prazo - Mais de 1 mês</v>
      </c>
      <c r="Q70" s="517"/>
      <c r="R70" s="531" t="s">
        <v>1506</v>
      </c>
      <c r="S70" s="531"/>
      <c r="T70" s="531" t="s">
        <v>1776</v>
      </c>
      <c r="U70" s="519" t="s">
        <v>2008</v>
      </c>
      <c r="V70" s="520" t="str">
        <f>IFERROR(VLOOKUP(LANÇ_MOV[[#This Row],[PLANO DE CONTAS]],Plano_Contas[[PLANO DE CONTAS]:[R / D]],3,0),"")</f>
        <v>Despesa</v>
      </c>
      <c r="W70" s="521" t="str">
        <f>IF(LANÇ_MOV[[#This Row],[DATA DE PAGAMENTO]]&lt;&gt;"","Pago","Não Pago")</f>
        <v>Não Pago</v>
      </c>
      <c r="X70" s="522" t="str">
        <f>IFERROR(IF(LANÇ_MOV[[#This Row],[DATA DE PAGAMENTO]]="","",(UPPER(TEXT(LANÇ_MOV[[#This Row],[DATA DE PAGAMENTO]],"mmmm")))),"")</f>
        <v/>
      </c>
      <c r="Y70" s="523" t="str">
        <f>IFERROR(VLOOKUP(LANÇ_MOV[[#This Row],[PLANO DE CONTAS]],Plano_Contas[[PLANO DE CONTAS]:[NOMES INTERVALOS]],2,0),"")</f>
        <v>Despesas_Com_RH</v>
      </c>
      <c r="Z70" s="523" t="str">
        <f>IF(LANÇ_MOV[[#This Row],[FORMA DE PAGAMENTO]]="","",VLOOKUP(LANÇ_MOV[[#This Row],[FORMA DE PAGAMENTO]],CAD_Forma_pagto[],2,0))</f>
        <v>BOLETO</v>
      </c>
      <c r="AA70" s="524" t="str">
        <f>IF(LANÇ_MOV[[#This Row],[DATA DE LANÇAMENTO]]="","",TEXT(LANÇ_MOV[[#This Row],[DATA DE LANÇAMENTO]],"AAAA"))</f>
        <v>2025</v>
      </c>
      <c r="AB70" s="524" t="str">
        <f>IF(LANÇ_MOV[[#This Row],[DATA DE LANÇAMENTO]]="","",UPPER(TEXT(LANÇ_MOV[[#This Row],[DATA DE LANÇAMENTO]],"MMMM")))</f>
        <v>OUTUBRO</v>
      </c>
      <c r="AC70" s="525" t="str">
        <f>IF(LANÇ_MOV[[#This Row],[DATA DE LANÇAMENTO]]="","",PROPER(TEXT(LANÇ_MOV[[#This Row],[DATA DE LANÇAMENTO]],"M")))</f>
        <v>10</v>
      </c>
      <c r="AD70" s="524" t="str">
        <f>IF(LANÇ_MOV[[#This Row],[DATA DE LANÇAMENTO]]="","",TEXT(LANÇ_MOV[[#This Row],[DATA DE LANÇAMENTO]],"D"))</f>
        <v>1</v>
      </c>
      <c r="AE70" s="526" t="str">
        <f>IF(LANÇ_MOV[[#This Row],[DATA DE VENCIMENTO]]="","",TEXT(LANÇ_MOV[[#This Row],[DATA DE VENCIMENTO]],"AAAA"))</f>
        <v>2026</v>
      </c>
      <c r="AF70" s="526" t="str">
        <f>IF(LANÇ_MOV[[#This Row],[DATA DE VENCIMENTO]]="","",UPPER(TEXT(LANÇ_MOV[[#This Row],[DATA DE VENCIMENTO]],"MMMM")))</f>
        <v>OUTUBRO</v>
      </c>
      <c r="AG70" s="526" t="str">
        <f>IF(LANÇ_MOV[[#This Row],[DATA DE VENCIMENTO]]="","",TEXT(LANÇ_MOV[[#This Row],[DATA DE VENCIMENTO]],"M"))</f>
        <v>10</v>
      </c>
      <c r="AH70" s="526" t="str">
        <f>IF(LANÇ_MOV[[#This Row],[DATA DE VENCIMENTO]]="","",TEXT(LANÇ_MOV[[#This Row],[DATA DE VENCIMENTO]],"D"))</f>
        <v>26</v>
      </c>
      <c r="AI70" s="526" t="str">
        <f>IF(LANÇ_MOV[[#This Row],[DATA DE PAGAMENTO]]="","",TEXT(LANÇ_MOV[[#This Row],[DATA DE PAGAMENTO]],"AAAA"))</f>
        <v/>
      </c>
      <c r="AJ70" s="527" t="str">
        <f>IF(LANÇ_MOV[[#This Row],[DATA DE PAGAMENTO]]="","",UPPER(TEXT(LANÇ_MOV[[#This Row],[DATA DE PAGAMENTO]],"MMMM")))</f>
        <v/>
      </c>
      <c r="AK70" s="527" t="str">
        <f>IF(LANÇ_MOV[[#This Row],[DATA DE PAGAMENTO]]="","",TEXT(LANÇ_MOV[[#This Row],[DATA DE PAGAMENTO]],"M"))</f>
        <v/>
      </c>
      <c r="AL70" s="526" t="str">
        <f>IF(LANÇ_MOV[[#This Row],[DATA DE PAGAMENTO]]="","",TEXT(LANÇ_MOV[[#This Row],[DATA DE PAGAMENTO]],"D"))</f>
        <v/>
      </c>
      <c r="AM70" s="210"/>
      <c r="BC70" s="112"/>
      <c r="BD70" s="112"/>
    </row>
    <row r="71" spans="2:56" ht="30.05" customHeight="1" x14ac:dyDescent="0.35">
      <c r="B71" s="534">
        <v>45931</v>
      </c>
      <c r="C71" s="507" t="s">
        <v>1661</v>
      </c>
      <c r="D71" s="508" t="s">
        <v>1854</v>
      </c>
      <c r="E71" s="509" t="s">
        <v>228</v>
      </c>
      <c r="F71" s="510" t="s">
        <v>1511</v>
      </c>
      <c r="G71" s="507"/>
      <c r="H71" s="511">
        <v>0</v>
      </c>
      <c r="I71" s="512" t="s">
        <v>1759</v>
      </c>
      <c r="J71" s="510">
        <v>700</v>
      </c>
      <c r="K71" s="513">
        <v>0</v>
      </c>
      <c r="L71" s="513">
        <v>0</v>
      </c>
      <c r="M71" s="513">
        <v>0</v>
      </c>
      <c r="N71" s="514">
        <f>LANÇ_MOV[[#This Row],[VALOR BRUTO]]-LANÇ_MOV[[#This Row],[DESCONTO]]+LANÇ_MOV[[#This Row],[JUROS]]+LANÇ_MOV[[#This Row],[MULTA]]</f>
        <v>700</v>
      </c>
      <c r="O71" s="528">
        <v>46352</v>
      </c>
      <c r="P71" s="516" t="str">
        <f t="shared" ca="1" si="1"/>
        <v>Prazo - Mais de 1 mês</v>
      </c>
      <c r="Q71" s="530"/>
      <c r="R71" s="531" t="s">
        <v>1506</v>
      </c>
      <c r="S71" s="531"/>
      <c r="T71" s="531" t="s">
        <v>1776</v>
      </c>
      <c r="U71" s="519" t="s">
        <v>2008</v>
      </c>
      <c r="V71" s="520" t="str">
        <f>IFERROR(VLOOKUP(LANÇ_MOV[[#This Row],[PLANO DE CONTAS]],Plano_Contas[[PLANO DE CONTAS]:[R / D]],3,0),"")</f>
        <v>Despesa</v>
      </c>
      <c r="W71" s="521" t="str">
        <f>IF(LANÇ_MOV[[#This Row],[DATA DE PAGAMENTO]]&lt;&gt;"","Pago","Não Pago")</f>
        <v>Não Pago</v>
      </c>
      <c r="X71" s="522" t="str">
        <f>IFERROR(IF(LANÇ_MOV[[#This Row],[DATA DE PAGAMENTO]]="","",(UPPER(TEXT(LANÇ_MOV[[#This Row],[DATA DE PAGAMENTO]],"mmmm")))),"")</f>
        <v/>
      </c>
      <c r="Y71" s="523" t="str">
        <f>IFERROR(VLOOKUP(LANÇ_MOV[[#This Row],[PLANO DE CONTAS]],Plano_Contas[[PLANO DE CONTAS]:[NOMES INTERVALOS]],2,0),"")</f>
        <v>Despesas_Com_RH</v>
      </c>
      <c r="Z71" s="523" t="str">
        <f>IF(LANÇ_MOV[[#This Row],[FORMA DE PAGAMENTO]]="","",VLOOKUP(LANÇ_MOV[[#This Row],[FORMA DE PAGAMENTO]],CAD_Forma_pagto[],2,0))</f>
        <v>BOLETO</v>
      </c>
      <c r="AA71" s="524" t="str">
        <f>IF(LANÇ_MOV[[#This Row],[DATA DE LANÇAMENTO]]="","",TEXT(LANÇ_MOV[[#This Row],[DATA DE LANÇAMENTO]],"AAAA"))</f>
        <v>2025</v>
      </c>
      <c r="AB71" s="524" t="str">
        <f>IF(LANÇ_MOV[[#This Row],[DATA DE LANÇAMENTO]]="","",UPPER(TEXT(LANÇ_MOV[[#This Row],[DATA DE LANÇAMENTO]],"MMMM")))</f>
        <v>OUTUBRO</v>
      </c>
      <c r="AC71" s="525" t="str">
        <f>IF(LANÇ_MOV[[#This Row],[DATA DE LANÇAMENTO]]="","",PROPER(TEXT(LANÇ_MOV[[#This Row],[DATA DE LANÇAMENTO]],"M")))</f>
        <v>10</v>
      </c>
      <c r="AD71" s="524" t="str">
        <f>IF(LANÇ_MOV[[#This Row],[DATA DE LANÇAMENTO]]="","",TEXT(LANÇ_MOV[[#This Row],[DATA DE LANÇAMENTO]],"D"))</f>
        <v>1</v>
      </c>
      <c r="AE71" s="526" t="str">
        <f>IF(LANÇ_MOV[[#This Row],[DATA DE VENCIMENTO]]="","",TEXT(LANÇ_MOV[[#This Row],[DATA DE VENCIMENTO]],"AAAA"))</f>
        <v>2026</v>
      </c>
      <c r="AF71" s="526" t="str">
        <f>IF(LANÇ_MOV[[#This Row],[DATA DE VENCIMENTO]]="","",UPPER(TEXT(LANÇ_MOV[[#This Row],[DATA DE VENCIMENTO]],"MMMM")))</f>
        <v>NOVEMBRO</v>
      </c>
      <c r="AG71" s="526" t="str">
        <f>IF(LANÇ_MOV[[#This Row],[DATA DE VENCIMENTO]]="","",TEXT(LANÇ_MOV[[#This Row],[DATA DE VENCIMENTO]],"M"))</f>
        <v>11</v>
      </c>
      <c r="AH71" s="526" t="str">
        <f>IF(LANÇ_MOV[[#This Row],[DATA DE VENCIMENTO]]="","",TEXT(LANÇ_MOV[[#This Row],[DATA DE VENCIMENTO]],"D"))</f>
        <v>26</v>
      </c>
      <c r="AI71" s="526" t="str">
        <f>IF(LANÇ_MOV[[#This Row],[DATA DE PAGAMENTO]]="","",TEXT(LANÇ_MOV[[#This Row],[DATA DE PAGAMENTO]],"AAAA"))</f>
        <v/>
      </c>
      <c r="AJ71" s="527" t="str">
        <f>IF(LANÇ_MOV[[#This Row],[DATA DE PAGAMENTO]]="","",UPPER(TEXT(LANÇ_MOV[[#This Row],[DATA DE PAGAMENTO]],"MMMM")))</f>
        <v/>
      </c>
      <c r="AK71" s="527" t="str">
        <f>IF(LANÇ_MOV[[#This Row],[DATA DE PAGAMENTO]]="","",TEXT(LANÇ_MOV[[#This Row],[DATA DE PAGAMENTO]],"M"))</f>
        <v/>
      </c>
      <c r="AL71" s="526" t="str">
        <f>IF(LANÇ_MOV[[#This Row],[DATA DE PAGAMENTO]]="","",TEXT(LANÇ_MOV[[#This Row],[DATA DE PAGAMENTO]],"D"))</f>
        <v/>
      </c>
      <c r="AM71" s="210"/>
      <c r="BC71" s="112"/>
      <c r="BD71" s="112"/>
    </row>
    <row r="72" spans="2:56" ht="30.05" customHeight="1" x14ac:dyDescent="0.35">
      <c r="B72" s="534">
        <v>45931</v>
      </c>
      <c r="C72" s="507" t="s">
        <v>1661</v>
      </c>
      <c r="D72" s="508" t="s">
        <v>1854</v>
      </c>
      <c r="E72" s="509" t="s">
        <v>228</v>
      </c>
      <c r="F72" s="510" t="s">
        <v>1511</v>
      </c>
      <c r="G72" s="507"/>
      <c r="H72" s="511">
        <v>0</v>
      </c>
      <c r="I72" s="512" t="s">
        <v>1759</v>
      </c>
      <c r="J72" s="510">
        <v>700</v>
      </c>
      <c r="K72" s="513">
        <v>0</v>
      </c>
      <c r="L72" s="513">
        <v>0</v>
      </c>
      <c r="M72" s="513">
        <v>0</v>
      </c>
      <c r="N72" s="514">
        <f>LANÇ_MOV[[#This Row],[VALOR BRUTO]]-LANÇ_MOV[[#This Row],[DESCONTO]]+LANÇ_MOV[[#This Row],[JUROS]]+LANÇ_MOV[[#This Row],[MULTA]]</f>
        <v>700</v>
      </c>
      <c r="O72" s="528">
        <v>46382</v>
      </c>
      <c r="P72" s="516" t="str">
        <f t="shared" ca="1" si="1"/>
        <v>Prazo - Mais de 1 mês</v>
      </c>
      <c r="Q72" s="530"/>
      <c r="R72" s="531" t="s">
        <v>1506</v>
      </c>
      <c r="S72" s="531"/>
      <c r="T72" s="531" t="s">
        <v>1776</v>
      </c>
      <c r="U72" s="519" t="s">
        <v>2008</v>
      </c>
      <c r="V72" s="520" t="str">
        <f>IFERROR(VLOOKUP(LANÇ_MOV[[#This Row],[PLANO DE CONTAS]],Plano_Contas[[PLANO DE CONTAS]:[R / D]],3,0),"")</f>
        <v>Despesa</v>
      </c>
      <c r="W72" s="521" t="str">
        <f>IF(LANÇ_MOV[[#This Row],[DATA DE PAGAMENTO]]&lt;&gt;"","Pago","Não Pago")</f>
        <v>Não Pago</v>
      </c>
      <c r="X72" s="522" t="str">
        <f>IFERROR(IF(LANÇ_MOV[[#This Row],[DATA DE PAGAMENTO]]="","",(UPPER(TEXT(LANÇ_MOV[[#This Row],[DATA DE PAGAMENTO]],"mmmm")))),"")</f>
        <v/>
      </c>
      <c r="Y72" s="523" t="str">
        <f>IFERROR(VLOOKUP(LANÇ_MOV[[#This Row],[PLANO DE CONTAS]],Plano_Contas[[PLANO DE CONTAS]:[NOMES INTERVALOS]],2,0),"")</f>
        <v>Despesas_Com_RH</v>
      </c>
      <c r="Z72" s="523" t="str">
        <f>IF(LANÇ_MOV[[#This Row],[FORMA DE PAGAMENTO]]="","",VLOOKUP(LANÇ_MOV[[#This Row],[FORMA DE PAGAMENTO]],CAD_Forma_pagto[],2,0))</f>
        <v>BOLETO</v>
      </c>
      <c r="AA72" s="524" t="str">
        <f>IF(LANÇ_MOV[[#This Row],[DATA DE LANÇAMENTO]]="","",TEXT(LANÇ_MOV[[#This Row],[DATA DE LANÇAMENTO]],"AAAA"))</f>
        <v>2025</v>
      </c>
      <c r="AB72" s="524" t="str">
        <f>IF(LANÇ_MOV[[#This Row],[DATA DE LANÇAMENTO]]="","",UPPER(TEXT(LANÇ_MOV[[#This Row],[DATA DE LANÇAMENTO]],"MMMM")))</f>
        <v>OUTUBRO</v>
      </c>
      <c r="AC72" s="525" t="str">
        <f>IF(LANÇ_MOV[[#This Row],[DATA DE LANÇAMENTO]]="","",PROPER(TEXT(LANÇ_MOV[[#This Row],[DATA DE LANÇAMENTO]],"M")))</f>
        <v>10</v>
      </c>
      <c r="AD72" s="524" t="str">
        <f>IF(LANÇ_MOV[[#This Row],[DATA DE LANÇAMENTO]]="","",TEXT(LANÇ_MOV[[#This Row],[DATA DE LANÇAMENTO]],"D"))</f>
        <v>1</v>
      </c>
      <c r="AE72" s="526" t="str">
        <f>IF(LANÇ_MOV[[#This Row],[DATA DE VENCIMENTO]]="","",TEXT(LANÇ_MOV[[#This Row],[DATA DE VENCIMENTO]],"AAAA"))</f>
        <v>2026</v>
      </c>
      <c r="AF72" s="526" t="str">
        <f>IF(LANÇ_MOV[[#This Row],[DATA DE VENCIMENTO]]="","",UPPER(TEXT(LANÇ_MOV[[#This Row],[DATA DE VENCIMENTO]],"MMMM")))</f>
        <v>DEZEMBRO</v>
      </c>
      <c r="AG72" s="526" t="str">
        <f>IF(LANÇ_MOV[[#This Row],[DATA DE VENCIMENTO]]="","",TEXT(LANÇ_MOV[[#This Row],[DATA DE VENCIMENTO]],"M"))</f>
        <v>12</v>
      </c>
      <c r="AH72" s="526" t="str">
        <f>IF(LANÇ_MOV[[#This Row],[DATA DE VENCIMENTO]]="","",TEXT(LANÇ_MOV[[#This Row],[DATA DE VENCIMENTO]],"D"))</f>
        <v>26</v>
      </c>
      <c r="AI72" s="526" t="str">
        <f>IF(LANÇ_MOV[[#This Row],[DATA DE PAGAMENTO]]="","",TEXT(LANÇ_MOV[[#This Row],[DATA DE PAGAMENTO]],"AAAA"))</f>
        <v/>
      </c>
      <c r="AJ72" s="527" t="str">
        <f>IF(LANÇ_MOV[[#This Row],[DATA DE PAGAMENTO]]="","",UPPER(TEXT(LANÇ_MOV[[#This Row],[DATA DE PAGAMENTO]],"MMMM")))</f>
        <v/>
      </c>
      <c r="AK72" s="527" t="str">
        <f>IF(LANÇ_MOV[[#This Row],[DATA DE PAGAMENTO]]="","",TEXT(LANÇ_MOV[[#This Row],[DATA DE PAGAMENTO]],"M"))</f>
        <v/>
      </c>
      <c r="AL72" s="526" t="str">
        <f>IF(LANÇ_MOV[[#This Row],[DATA DE PAGAMENTO]]="","",TEXT(LANÇ_MOV[[#This Row],[DATA DE PAGAMENTO]],"D"))</f>
        <v/>
      </c>
      <c r="AM72" s="210"/>
      <c r="BC72" s="112"/>
      <c r="BD72" s="112"/>
    </row>
    <row r="73" spans="2:56" ht="30.05" customHeight="1" x14ac:dyDescent="0.35">
      <c r="B73" s="534">
        <v>45931</v>
      </c>
      <c r="C73" s="507" t="s">
        <v>1661</v>
      </c>
      <c r="D73" s="508" t="s">
        <v>1854</v>
      </c>
      <c r="E73" s="509" t="s">
        <v>228</v>
      </c>
      <c r="F73" s="510" t="s">
        <v>1822</v>
      </c>
      <c r="G73" s="507"/>
      <c r="H73" s="511">
        <v>0</v>
      </c>
      <c r="I73" s="512" t="s">
        <v>1760</v>
      </c>
      <c r="J73" s="510">
        <v>3023.92</v>
      </c>
      <c r="K73" s="513">
        <v>0</v>
      </c>
      <c r="L73" s="513">
        <v>0</v>
      </c>
      <c r="M73" s="513">
        <v>0</v>
      </c>
      <c r="N73" s="514">
        <f>LANÇ_MOV[[#This Row],[VALOR BRUTO]]-LANÇ_MOV[[#This Row],[DESCONTO]]+LANÇ_MOV[[#This Row],[JUROS]]+LANÇ_MOV[[#This Row],[MULTA]]</f>
        <v>3023.92</v>
      </c>
      <c r="O73" s="528">
        <v>45950</v>
      </c>
      <c r="P73" s="516" t="str">
        <f t="shared" ca="1" si="1"/>
        <v>Venceu</v>
      </c>
      <c r="Q73" s="530"/>
      <c r="R73" s="531" t="s">
        <v>1506</v>
      </c>
      <c r="S73" s="531"/>
      <c r="T73" s="531" t="s">
        <v>1776</v>
      </c>
      <c r="U73" s="519" t="s">
        <v>2008</v>
      </c>
      <c r="V73" s="520" t="str">
        <f>IFERROR(VLOOKUP(LANÇ_MOV[[#This Row],[PLANO DE CONTAS]],Plano_Contas[[PLANO DE CONTAS]:[R / D]],3,0),"")</f>
        <v>Despesa</v>
      </c>
      <c r="W73" s="521" t="str">
        <f>IF(LANÇ_MOV[[#This Row],[DATA DE PAGAMENTO]]&lt;&gt;"","Pago","Não Pago")</f>
        <v>Não Pago</v>
      </c>
      <c r="X73" s="522" t="str">
        <f>IFERROR(IF(LANÇ_MOV[[#This Row],[DATA DE PAGAMENTO]]="","",(UPPER(TEXT(LANÇ_MOV[[#This Row],[DATA DE PAGAMENTO]],"mmmm")))),"")</f>
        <v/>
      </c>
      <c r="Y73" s="523" t="str">
        <f>IFERROR(VLOOKUP(LANÇ_MOV[[#This Row],[PLANO DE CONTAS]],Plano_Contas[[PLANO DE CONTAS]:[NOMES INTERVALOS]],2,0),"")</f>
        <v>Despesas_Com_RH</v>
      </c>
      <c r="Z73" s="523" t="str">
        <f>IF(LANÇ_MOV[[#This Row],[FORMA DE PAGAMENTO]]="","",VLOOKUP(LANÇ_MOV[[#This Row],[FORMA DE PAGAMENTO]],CAD_Forma_pagto[],2,0))</f>
        <v>BOLETO</v>
      </c>
      <c r="AA73" s="524" t="str">
        <f>IF(LANÇ_MOV[[#This Row],[DATA DE LANÇAMENTO]]="","",TEXT(LANÇ_MOV[[#This Row],[DATA DE LANÇAMENTO]],"AAAA"))</f>
        <v>2025</v>
      </c>
      <c r="AB73" s="524" t="str">
        <f>IF(LANÇ_MOV[[#This Row],[DATA DE LANÇAMENTO]]="","",UPPER(TEXT(LANÇ_MOV[[#This Row],[DATA DE LANÇAMENTO]],"MMMM")))</f>
        <v>OUTUBRO</v>
      </c>
      <c r="AC73" s="525" t="str">
        <f>IF(LANÇ_MOV[[#This Row],[DATA DE LANÇAMENTO]]="","",PROPER(TEXT(LANÇ_MOV[[#This Row],[DATA DE LANÇAMENTO]],"M")))</f>
        <v>10</v>
      </c>
      <c r="AD73" s="524" t="str">
        <f>IF(LANÇ_MOV[[#This Row],[DATA DE LANÇAMENTO]]="","",TEXT(LANÇ_MOV[[#This Row],[DATA DE LANÇAMENTO]],"D"))</f>
        <v>1</v>
      </c>
      <c r="AE73" s="526" t="str">
        <f>IF(LANÇ_MOV[[#This Row],[DATA DE VENCIMENTO]]="","",TEXT(LANÇ_MOV[[#This Row],[DATA DE VENCIMENTO]],"AAAA"))</f>
        <v>2025</v>
      </c>
      <c r="AF73" s="526" t="str">
        <f>IF(LANÇ_MOV[[#This Row],[DATA DE VENCIMENTO]]="","",UPPER(TEXT(LANÇ_MOV[[#This Row],[DATA DE VENCIMENTO]],"MMMM")))</f>
        <v>OUTUBRO</v>
      </c>
      <c r="AG73" s="526" t="str">
        <f>IF(LANÇ_MOV[[#This Row],[DATA DE VENCIMENTO]]="","",TEXT(LANÇ_MOV[[#This Row],[DATA DE VENCIMENTO]],"M"))</f>
        <v>10</v>
      </c>
      <c r="AH73" s="526" t="str">
        <f>IF(LANÇ_MOV[[#This Row],[DATA DE VENCIMENTO]]="","",TEXT(LANÇ_MOV[[#This Row],[DATA DE VENCIMENTO]],"D"))</f>
        <v>20</v>
      </c>
      <c r="AI73" s="526" t="str">
        <f>IF(LANÇ_MOV[[#This Row],[DATA DE PAGAMENTO]]="","",TEXT(LANÇ_MOV[[#This Row],[DATA DE PAGAMENTO]],"AAAA"))</f>
        <v/>
      </c>
      <c r="AJ73" s="527" t="str">
        <f>IF(LANÇ_MOV[[#This Row],[DATA DE PAGAMENTO]]="","",UPPER(TEXT(LANÇ_MOV[[#This Row],[DATA DE PAGAMENTO]],"MMMM")))</f>
        <v/>
      </c>
      <c r="AK73" s="527" t="str">
        <f>IF(LANÇ_MOV[[#This Row],[DATA DE PAGAMENTO]]="","",TEXT(LANÇ_MOV[[#This Row],[DATA DE PAGAMENTO]],"M"))</f>
        <v/>
      </c>
      <c r="AL73" s="526" t="str">
        <f>IF(LANÇ_MOV[[#This Row],[DATA DE PAGAMENTO]]="","",TEXT(LANÇ_MOV[[#This Row],[DATA DE PAGAMENTO]],"D"))</f>
        <v/>
      </c>
      <c r="AM73" s="210"/>
      <c r="BC73" s="112"/>
      <c r="BD73" s="112"/>
    </row>
    <row r="74" spans="2:56" ht="30.05" customHeight="1" x14ac:dyDescent="0.35">
      <c r="B74" s="506">
        <v>45931</v>
      </c>
      <c r="C74" s="507" t="s">
        <v>1661</v>
      </c>
      <c r="D74" s="508" t="s">
        <v>1854</v>
      </c>
      <c r="E74" s="509" t="s">
        <v>228</v>
      </c>
      <c r="F74" s="510" t="s">
        <v>1822</v>
      </c>
      <c r="G74" s="507"/>
      <c r="H74" s="511">
        <v>0</v>
      </c>
      <c r="I74" s="512" t="s">
        <v>1760</v>
      </c>
      <c r="J74" s="510">
        <v>3118.52</v>
      </c>
      <c r="K74" s="513">
        <v>0</v>
      </c>
      <c r="L74" s="513">
        <v>0</v>
      </c>
      <c r="M74" s="513">
        <v>0</v>
      </c>
      <c r="N74" s="514">
        <f>LANÇ_MOV[[#This Row],[VALOR BRUTO]]-LANÇ_MOV[[#This Row],[DESCONTO]]+LANÇ_MOV[[#This Row],[JUROS]]+LANÇ_MOV[[#This Row],[MULTA]]</f>
        <v>3118.52</v>
      </c>
      <c r="O74" s="528">
        <v>45980</v>
      </c>
      <c r="P74" s="516" t="str">
        <f t="shared" ca="1" si="1"/>
        <v>Venceu</v>
      </c>
      <c r="Q74" s="517"/>
      <c r="R74" s="531" t="s">
        <v>1506</v>
      </c>
      <c r="S74" s="518"/>
      <c r="T74" s="531" t="s">
        <v>1776</v>
      </c>
      <c r="U74" s="519" t="s">
        <v>2008</v>
      </c>
      <c r="V74" s="520" t="str">
        <f>IFERROR(VLOOKUP(LANÇ_MOV[[#This Row],[PLANO DE CONTAS]],Plano_Contas[[PLANO DE CONTAS]:[R / D]],3,0),"")</f>
        <v>Despesa</v>
      </c>
      <c r="W74" s="521" t="str">
        <f>IF(LANÇ_MOV[[#This Row],[DATA DE PAGAMENTO]]&lt;&gt;"","Pago","Não Pago")</f>
        <v>Não Pago</v>
      </c>
      <c r="X74" s="522" t="str">
        <f>IFERROR(IF(LANÇ_MOV[[#This Row],[DATA DE PAGAMENTO]]="","",(UPPER(TEXT(LANÇ_MOV[[#This Row],[DATA DE PAGAMENTO]],"mmmm")))),"")</f>
        <v/>
      </c>
      <c r="Y74" s="523" t="str">
        <f>IFERROR(VLOOKUP(LANÇ_MOV[[#This Row],[PLANO DE CONTAS]],Plano_Contas[[PLANO DE CONTAS]:[NOMES INTERVALOS]],2,0),"")</f>
        <v>Despesas_Com_RH</v>
      </c>
      <c r="Z74" s="523" t="str">
        <f>IF(LANÇ_MOV[[#This Row],[FORMA DE PAGAMENTO]]="","",VLOOKUP(LANÇ_MOV[[#This Row],[FORMA DE PAGAMENTO]],CAD_Forma_pagto[],2,0))</f>
        <v>BOLETO</v>
      </c>
      <c r="AA74" s="524" t="str">
        <f>IF(LANÇ_MOV[[#This Row],[DATA DE LANÇAMENTO]]="","",TEXT(LANÇ_MOV[[#This Row],[DATA DE LANÇAMENTO]],"AAAA"))</f>
        <v>2025</v>
      </c>
      <c r="AB74" s="524" t="str">
        <f>IF(LANÇ_MOV[[#This Row],[DATA DE LANÇAMENTO]]="","",UPPER(TEXT(LANÇ_MOV[[#This Row],[DATA DE LANÇAMENTO]],"MMMM")))</f>
        <v>OUTUBRO</v>
      </c>
      <c r="AC74" s="525" t="str">
        <f>IF(LANÇ_MOV[[#This Row],[DATA DE LANÇAMENTO]]="","",PROPER(TEXT(LANÇ_MOV[[#This Row],[DATA DE LANÇAMENTO]],"M")))</f>
        <v>10</v>
      </c>
      <c r="AD74" s="524" t="str">
        <f>IF(LANÇ_MOV[[#This Row],[DATA DE LANÇAMENTO]]="","",TEXT(LANÇ_MOV[[#This Row],[DATA DE LANÇAMENTO]],"D"))</f>
        <v>1</v>
      </c>
      <c r="AE74" s="526" t="str">
        <f>IF(LANÇ_MOV[[#This Row],[DATA DE VENCIMENTO]]="","",TEXT(LANÇ_MOV[[#This Row],[DATA DE VENCIMENTO]],"AAAA"))</f>
        <v>2025</v>
      </c>
      <c r="AF74" s="526" t="str">
        <f>IF(LANÇ_MOV[[#This Row],[DATA DE VENCIMENTO]]="","",UPPER(TEXT(LANÇ_MOV[[#This Row],[DATA DE VENCIMENTO]],"MMMM")))</f>
        <v>NOVEMBRO</v>
      </c>
      <c r="AG74" s="526" t="str">
        <f>IF(LANÇ_MOV[[#This Row],[DATA DE VENCIMENTO]]="","",TEXT(LANÇ_MOV[[#This Row],[DATA DE VENCIMENTO]],"M"))</f>
        <v>11</v>
      </c>
      <c r="AH74" s="526" t="str">
        <f>IF(LANÇ_MOV[[#This Row],[DATA DE VENCIMENTO]]="","",TEXT(LANÇ_MOV[[#This Row],[DATA DE VENCIMENTO]],"D"))</f>
        <v>19</v>
      </c>
      <c r="AI74" s="526" t="str">
        <f>IF(LANÇ_MOV[[#This Row],[DATA DE PAGAMENTO]]="","",TEXT(LANÇ_MOV[[#This Row],[DATA DE PAGAMENTO]],"AAAA"))</f>
        <v/>
      </c>
      <c r="AJ74" s="527" t="str">
        <f>IF(LANÇ_MOV[[#This Row],[DATA DE PAGAMENTO]]="","",UPPER(TEXT(LANÇ_MOV[[#This Row],[DATA DE PAGAMENTO]],"MMMM")))</f>
        <v/>
      </c>
      <c r="AK74" s="527" t="str">
        <f>IF(LANÇ_MOV[[#This Row],[DATA DE PAGAMENTO]]="","",TEXT(LANÇ_MOV[[#This Row],[DATA DE PAGAMENTO]],"M"))</f>
        <v/>
      </c>
      <c r="AL74" s="526" t="str">
        <f>IF(LANÇ_MOV[[#This Row],[DATA DE PAGAMENTO]]="","",TEXT(LANÇ_MOV[[#This Row],[DATA DE PAGAMENTO]],"D"))</f>
        <v/>
      </c>
      <c r="AM74" s="210"/>
      <c r="BC74" s="112"/>
      <c r="BD74" s="112"/>
    </row>
    <row r="75" spans="2:56" ht="30.05" customHeight="1" x14ac:dyDescent="0.35">
      <c r="B75" s="506">
        <v>45931</v>
      </c>
      <c r="C75" s="507" t="s">
        <v>1661</v>
      </c>
      <c r="D75" s="508" t="s">
        <v>1854</v>
      </c>
      <c r="E75" s="509" t="s">
        <v>228</v>
      </c>
      <c r="F75" s="510" t="s">
        <v>1822</v>
      </c>
      <c r="G75" s="507"/>
      <c r="H75" s="511">
        <v>0</v>
      </c>
      <c r="I75" s="512" t="s">
        <v>1760</v>
      </c>
      <c r="J75" s="510">
        <v>3200</v>
      </c>
      <c r="K75" s="513">
        <v>0</v>
      </c>
      <c r="L75" s="513">
        <v>0</v>
      </c>
      <c r="M75" s="513">
        <v>0</v>
      </c>
      <c r="N75" s="514">
        <f>LANÇ_MOV[[#This Row],[VALOR BRUTO]]-LANÇ_MOV[[#This Row],[DESCONTO]]+LANÇ_MOV[[#This Row],[JUROS]]+LANÇ_MOV[[#This Row],[MULTA]]</f>
        <v>3200</v>
      </c>
      <c r="O75" s="528">
        <v>46011</v>
      </c>
      <c r="P75" s="516" t="str">
        <f t="shared" ca="1" si="1"/>
        <v>Prazo - Menos de 1 Mês</v>
      </c>
      <c r="Q75" s="530"/>
      <c r="R75" s="531" t="s">
        <v>1506</v>
      </c>
      <c r="S75" s="531"/>
      <c r="T75" s="531" t="s">
        <v>1776</v>
      </c>
      <c r="U75" s="519" t="s">
        <v>2008</v>
      </c>
      <c r="V75" s="520" t="str">
        <f>IFERROR(VLOOKUP(LANÇ_MOV[[#This Row],[PLANO DE CONTAS]],Plano_Contas[[PLANO DE CONTAS]:[R / D]],3,0),"")</f>
        <v>Despesa</v>
      </c>
      <c r="W75" s="521" t="str">
        <f>IF(LANÇ_MOV[[#This Row],[DATA DE PAGAMENTO]]&lt;&gt;"","Pago","Não Pago")</f>
        <v>Não Pago</v>
      </c>
      <c r="X75" s="522" t="str">
        <f>IFERROR(IF(LANÇ_MOV[[#This Row],[DATA DE PAGAMENTO]]="","",(UPPER(TEXT(LANÇ_MOV[[#This Row],[DATA DE PAGAMENTO]],"mmmm")))),"")</f>
        <v/>
      </c>
      <c r="Y75" s="523" t="str">
        <f>IFERROR(VLOOKUP(LANÇ_MOV[[#This Row],[PLANO DE CONTAS]],Plano_Contas[[PLANO DE CONTAS]:[NOMES INTERVALOS]],2,0),"")</f>
        <v>Despesas_Com_RH</v>
      </c>
      <c r="Z75" s="523" t="str">
        <f>IF(LANÇ_MOV[[#This Row],[FORMA DE PAGAMENTO]]="","",VLOOKUP(LANÇ_MOV[[#This Row],[FORMA DE PAGAMENTO]],CAD_Forma_pagto[],2,0))</f>
        <v>BOLETO</v>
      </c>
      <c r="AA75" s="524" t="str">
        <f>IF(LANÇ_MOV[[#This Row],[DATA DE LANÇAMENTO]]="","",TEXT(LANÇ_MOV[[#This Row],[DATA DE LANÇAMENTO]],"AAAA"))</f>
        <v>2025</v>
      </c>
      <c r="AB75" s="524" t="str">
        <f>IF(LANÇ_MOV[[#This Row],[DATA DE LANÇAMENTO]]="","",UPPER(TEXT(LANÇ_MOV[[#This Row],[DATA DE LANÇAMENTO]],"MMMM")))</f>
        <v>OUTUBRO</v>
      </c>
      <c r="AC75" s="525" t="str">
        <f>IF(LANÇ_MOV[[#This Row],[DATA DE LANÇAMENTO]]="","",PROPER(TEXT(LANÇ_MOV[[#This Row],[DATA DE LANÇAMENTO]],"M")))</f>
        <v>10</v>
      </c>
      <c r="AD75" s="524" t="str">
        <f>IF(LANÇ_MOV[[#This Row],[DATA DE LANÇAMENTO]]="","",TEXT(LANÇ_MOV[[#This Row],[DATA DE LANÇAMENTO]],"D"))</f>
        <v>1</v>
      </c>
      <c r="AE75" s="526" t="str">
        <f>IF(LANÇ_MOV[[#This Row],[DATA DE VENCIMENTO]]="","",TEXT(LANÇ_MOV[[#This Row],[DATA DE VENCIMENTO]],"AAAA"))</f>
        <v>2025</v>
      </c>
      <c r="AF75" s="526" t="str">
        <f>IF(LANÇ_MOV[[#This Row],[DATA DE VENCIMENTO]]="","",UPPER(TEXT(LANÇ_MOV[[#This Row],[DATA DE VENCIMENTO]],"MMMM")))</f>
        <v>DEZEMBRO</v>
      </c>
      <c r="AG75" s="526" t="str">
        <f>IF(LANÇ_MOV[[#This Row],[DATA DE VENCIMENTO]]="","",TEXT(LANÇ_MOV[[#This Row],[DATA DE VENCIMENTO]],"M"))</f>
        <v>12</v>
      </c>
      <c r="AH75" s="526" t="str">
        <f>IF(LANÇ_MOV[[#This Row],[DATA DE VENCIMENTO]]="","",TEXT(LANÇ_MOV[[#This Row],[DATA DE VENCIMENTO]],"D"))</f>
        <v>20</v>
      </c>
      <c r="AI75" s="526" t="str">
        <f>IF(LANÇ_MOV[[#This Row],[DATA DE PAGAMENTO]]="","",TEXT(LANÇ_MOV[[#This Row],[DATA DE PAGAMENTO]],"AAAA"))</f>
        <v/>
      </c>
      <c r="AJ75" s="527" t="str">
        <f>IF(LANÇ_MOV[[#This Row],[DATA DE PAGAMENTO]]="","",UPPER(TEXT(LANÇ_MOV[[#This Row],[DATA DE PAGAMENTO]],"MMMM")))</f>
        <v/>
      </c>
      <c r="AK75" s="527" t="str">
        <f>IF(LANÇ_MOV[[#This Row],[DATA DE PAGAMENTO]]="","",TEXT(LANÇ_MOV[[#This Row],[DATA DE PAGAMENTO]],"M"))</f>
        <v/>
      </c>
      <c r="AL75" s="526" t="str">
        <f>IF(LANÇ_MOV[[#This Row],[DATA DE PAGAMENTO]]="","",TEXT(LANÇ_MOV[[#This Row],[DATA DE PAGAMENTO]],"D"))</f>
        <v/>
      </c>
      <c r="AM75" s="210"/>
      <c r="BC75" s="112"/>
      <c r="BD75" s="112"/>
    </row>
    <row r="76" spans="2:56" ht="30.05" customHeight="1" x14ac:dyDescent="0.35">
      <c r="B76" s="506">
        <v>45931</v>
      </c>
      <c r="C76" s="507" t="s">
        <v>1661</v>
      </c>
      <c r="D76" s="508" t="s">
        <v>1854</v>
      </c>
      <c r="E76" s="509" t="s">
        <v>228</v>
      </c>
      <c r="F76" s="510" t="s">
        <v>1822</v>
      </c>
      <c r="G76" s="507"/>
      <c r="H76" s="511">
        <v>0</v>
      </c>
      <c r="I76" s="512" t="s">
        <v>1760</v>
      </c>
      <c r="J76" s="510">
        <v>3200</v>
      </c>
      <c r="K76" s="513">
        <v>0</v>
      </c>
      <c r="L76" s="513">
        <v>0</v>
      </c>
      <c r="M76" s="513">
        <v>0</v>
      </c>
      <c r="N76" s="514">
        <f>LANÇ_MOV[[#This Row],[VALOR BRUTO]]-LANÇ_MOV[[#This Row],[DESCONTO]]+LANÇ_MOV[[#This Row],[JUROS]]+LANÇ_MOV[[#This Row],[MULTA]]</f>
        <v>3200</v>
      </c>
      <c r="O76" s="515">
        <v>46042</v>
      </c>
      <c r="P76" s="516" t="str">
        <f t="shared" ca="1" si="1"/>
        <v>Prazo - Mais de 1 mês</v>
      </c>
      <c r="Q76" s="517"/>
      <c r="R76" s="531" t="s">
        <v>1506</v>
      </c>
      <c r="S76" s="531"/>
      <c r="T76" s="531" t="s">
        <v>1776</v>
      </c>
      <c r="U76" s="519" t="s">
        <v>2008</v>
      </c>
      <c r="V76" s="520" t="str">
        <f>IFERROR(VLOOKUP(LANÇ_MOV[[#This Row],[PLANO DE CONTAS]],Plano_Contas[[PLANO DE CONTAS]:[R / D]],3,0),"")</f>
        <v>Despesa</v>
      </c>
      <c r="W76" s="521" t="str">
        <f>IF(LANÇ_MOV[[#This Row],[DATA DE PAGAMENTO]]&lt;&gt;"","Pago","Não Pago")</f>
        <v>Não Pago</v>
      </c>
      <c r="X76" s="522" t="str">
        <f>IFERROR(IF(LANÇ_MOV[[#This Row],[DATA DE PAGAMENTO]]="","",(UPPER(TEXT(LANÇ_MOV[[#This Row],[DATA DE PAGAMENTO]],"mmmm")))),"")</f>
        <v/>
      </c>
      <c r="Y76" s="523" t="str">
        <f>IFERROR(VLOOKUP(LANÇ_MOV[[#This Row],[PLANO DE CONTAS]],Plano_Contas[[PLANO DE CONTAS]:[NOMES INTERVALOS]],2,0),"")</f>
        <v>Despesas_Com_RH</v>
      </c>
      <c r="Z76" s="523" t="str">
        <f>IF(LANÇ_MOV[[#This Row],[FORMA DE PAGAMENTO]]="","",VLOOKUP(LANÇ_MOV[[#This Row],[FORMA DE PAGAMENTO]],CAD_Forma_pagto[],2,0))</f>
        <v>BOLETO</v>
      </c>
      <c r="AA76" s="524" t="str">
        <f>IF(LANÇ_MOV[[#This Row],[DATA DE LANÇAMENTO]]="","",TEXT(LANÇ_MOV[[#This Row],[DATA DE LANÇAMENTO]],"AAAA"))</f>
        <v>2025</v>
      </c>
      <c r="AB76" s="524" t="str">
        <f>IF(LANÇ_MOV[[#This Row],[DATA DE LANÇAMENTO]]="","",UPPER(TEXT(LANÇ_MOV[[#This Row],[DATA DE LANÇAMENTO]],"MMMM")))</f>
        <v>OUTUBRO</v>
      </c>
      <c r="AC76" s="525" t="str">
        <f>IF(LANÇ_MOV[[#This Row],[DATA DE LANÇAMENTO]]="","",PROPER(TEXT(LANÇ_MOV[[#This Row],[DATA DE LANÇAMENTO]],"M")))</f>
        <v>10</v>
      </c>
      <c r="AD76" s="524" t="str">
        <f>IF(LANÇ_MOV[[#This Row],[DATA DE LANÇAMENTO]]="","",TEXT(LANÇ_MOV[[#This Row],[DATA DE LANÇAMENTO]],"D"))</f>
        <v>1</v>
      </c>
      <c r="AE76" s="526" t="str">
        <f>IF(LANÇ_MOV[[#This Row],[DATA DE VENCIMENTO]]="","",TEXT(LANÇ_MOV[[#This Row],[DATA DE VENCIMENTO]],"AAAA"))</f>
        <v>2026</v>
      </c>
      <c r="AF76" s="526" t="str">
        <f>IF(LANÇ_MOV[[#This Row],[DATA DE VENCIMENTO]]="","",UPPER(TEXT(LANÇ_MOV[[#This Row],[DATA DE VENCIMENTO]],"MMMM")))</f>
        <v>JANEIRO</v>
      </c>
      <c r="AG76" s="526" t="str">
        <f>IF(LANÇ_MOV[[#This Row],[DATA DE VENCIMENTO]]="","",TEXT(LANÇ_MOV[[#This Row],[DATA DE VENCIMENTO]],"M"))</f>
        <v>1</v>
      </c>
      <c r="AH76" s="526" t="str">
        <f>IF(LANÇ_MOV[[#This Row],[DATA DE VENCIMENTO]]="","",TEXT(LANÇ_MOV[[#This Row],[DATA DE VENCIMENTO]],"D"))</f>
        <v>20</v>
      </c>
      <c r="AI76" s="526" t="str">
        <f>IF(LANÇ_MOV[[#This Row],[DATA DE PAGAMENTO]]="","",TEXT(LANÇ_MOV[[#This Row],[DATA DE PAGAMENTO]],"AAAA"))</f>
        <v/>
      </c>
      <c r="AJ76" s="527" t="str">
        <f>IF(LANÇ_MOV[[#This Row],[DATA DE PAGAMENTO]]="","",UPPER(TEXT(LANÇ_MOV[[#This Row],[DATA DE PAGAMENTO]],"MMMM")))</f>
        <v/>
      </c>
      <c r="AK76" s="527" t="str">
        <f>IF(LANÇ_MOV[[#This Row],[DATA DE PAGAMENTO]]="","",TEXT(LANÇ_MOV[[#This Row],[DATA DE PAGAMENTO]],"M"))</f>
        <v/>
      </c>
      <c r="AL76" s="526" t="str">
        <f>IF(LANÇ_MOV[[#This Row],[DATA DE PAGAMENTO]]="","",TEXT(LANÇ_MOV[[#This Row],[DATA DE PAGAMENTO]],"D"))</f>
        <v/>
      </c>
      <c r="AM76" s="210"/>
      <c r="BC76" s="112"/>
      <c r="BD76" s="112"/>
    </row>
    <row r="77" spans="2:56" ht="30.05" customHeight="1" x14ac:dyDescent="0.35">
      <c r="B77" s="506">
        <v>45931</v>
      </c>
      <c r="C77" s="507" t="s">
        <v>1661</v>
      </c>
      <c r="D77" s="508" t="s">
        <v>1854</v>
      </c>
      <c r="E77" s="509" t="s">
        <v>228</v>
      </c>
      <c r="F77" s="510" t="s">
        <v>1822</v>
      </c>
      <c r="G77" s="507"/>
      <c r="H77" s="511">
        <v>0</v>
      </c>
      <c r="I77" s="512" t="s">
        <v>1760</v>
      </c>
      <c r="J77" s="510">
        <v>3200</v>
      </c>
      <c r="K77" s="513">
        <v>0</v>
      </c>
      <c r="L77" s="513">
        <v>0</v>
      </c>
      <c r="M77" s="513">
        <v>0</v>
      </c>
      <c r="N77" s="514">
        <f>LANÇ_MOV[[#This Row],[VALOR BRUTO]]-LANÇ_MOV[[#This Row],[DESCONTO]]+LANÇ_MOV[[#This Row],[JUROS]]+LANÇ_MOV[[#This Row],[MULTA]]</f>
        <v>3200</v>
      </c>
      <c r="O77" s="515">
        <v>46073</v>
      </c>
      <c r="P77" s="516" t="str">
        <f t="shared" ca="1" si="1"/>
        <v>Prazo - Mais de 1 mês</v>
      </c>
      <c r="Q77" s="517"/>
      <c r="R77" s="531" t="s">
        <v>1506</v>
      </c>
      <c r="S77" s="531"/>
      <c r="T77" s="531" t="s">
        <v>1776</v>
      </c>
      <c r="U77" s="519" t="s">
        <v>2008</v>
      </c>
      <c r="V77" s="520" t="str">
        <f>IFERROR(VLOOKUP(LANÇ_MOV[[#This Row],[PLANO DE CONTAS]],Plano_Contas[[PLANO DE CONTAS]:[R / D]],3,0),"")</f>
        <v>Despesa</v>
      </c>
      <c r="W77" s="521" t="str">
        <f>IF(LANÇ_MOV[[#This Row],[DATA DE PAGAMENTO]]&lt;&gt;"","Pago","Não Pago")</f>
        <v>Não Pago</v>
      </c>
      <c r="X77" s="522" t="str">
        <f>IFERROR(IF(LANÇ_MOV[[#This Row],[DATA DE PAGAMENTO]]="","",(UPPER(TEXT(LANÇ_MOV[[#This Row],[DATA DE PAGAMENTO]],"mmmm")))),"")</f>
        <v/>
      </c>
      <c r="Y77" s="523" t="str">
        <f>IFERROR(VLOOKUP(LANÇ_MOV[[#This Row],[PLANO DE CONTAS]],Plano_Contas[[PLANO DE CONTAS]:[NOMES INTERVALOS]],2,0),"")</f>
        <v>Despesas_Com_RH</v>
      </c>
      <c r="Z77" s="523" t="str">
        <f>IF(LANÇ_MOV[[#This Row],[FORMA DE PAGAMENTO]]="","",VLOOKUP(LANÇ_MOV[[#This Row],[FORMA DE PAGAMENTO]],CAD_Forma_pagto[],2,0))</f>
        <v>BOLETO</v>
      </c>
      <c r="AA77" s="524" t="str">
        <f>IF(LANÇ_MOV[[#This Row],[DATA DE LANÇAMENTO]]="","",TEXT(LANÇ_MOV[[#This Row],[DATA DE LANÇAMENTO]],"AAAA"))</f>
        <v>2025</v>
      </c>
      <c r="AB77" s="524" t="str">
        <f>IF(LANÇ_MOV[[#This Row],[DATA DE LANÇAMENTO]]="","",UPPER(TEXT(LANÇ_MOV[[#This Row],[DATA DE LANÇAMENTO]],"MMMM")))</f>
        <v>OUTUBRO</v>
      </c>
      <c r="AC77" s="525" t="str">
        <f>IF(LANÇ_MOV[[#This Row],[DATA DE LANÇAMENTO]]="","",PROPER(TEXT(LANÇ_MOV[[#This Row],[DATA DE LANÇAMENTO]],"M")))</f>
        <v>10</v>
      </c>
      <c r="AD77" s="524" t="str">
        <f>IF(LANÇ_MOV[[#This Row],[DATA DE LANÇAMENTO]]="","",TEXT(LANÇ_MOV[[#This Row],[DATA DE LANÇAMENTO]],"D"))</f>
        <v>1</v>
      </c>
      <c r="AE77" s="526" t="str">
        <f>IF(LANÇ_MOV[[#This Row],[DATA DE VENCIMENTO]]="","",TEXT(LANÇ_MOV[[#This Row],[DATA DE VENCIMENTO]],"AAAA"))</f>
        <v>2026</v>
      </c>
      <c r="AF77" s="526" t="str">
        <f>IF(LANÇ_MOV[[#This Row],[DATA DE VENCIMENTO]]="","",UPPER(TEXT(LANÇ_MOV[[#This Row],[DATA DE VENCIMENTO]],"MMMM")))</f>
        <v>FEVEREIRO</v>
      </c>
      <c r="AG77" s="526" t="str">
        <f>IF(LANÇ_MOV[[#This Row],[DATA DE VENCIMENTO]]="","",TEXT(LANÇ_MOV[[#This Row],[DATA DE VENCIMENTO]],"M"))</f>
        <v>2</v>
      </c>
      <c r="AH77" s="526" t="str">
        <f>IF(LANÇ_MOV[[#This Row],[DATA DE VENCIMENTO]]="","",TEXT(LANÇ_MOV[[#This Row],[DATA DE VENCIMENTO]],"D"))</f>
        <v>20</v>
      </c>
      <c r="AI77" s="526" t="str">
        <f>IF(LANÇ_MOV[[#This Row],[DATA DE PAGAMENTO]]="","",TEXT(LANÇ_MOV[[#This Row],[DATA DE PAGAMENTO]],"AAAA"))</f>
        <v/>
      </c>
      <c r="AJ77" s="527" t="str">
        <f>IF(LANÇ_MOV[[#This Row],[DATA DE PAGAMENTO]]="","",UPPER(TEXT(LANÇ_MOV[[#This Row],[DATA DE PAGAMENTO]],"MMMM")))</f>
        <v/>
      </c>
      <c r="AK77" s="527" t="str">
        <f>IF(LANÇ_MOV[[#This Row],[DATA DE PAGAMENTO]]="","",TEXT(LANÇ_MOV[[#This Row],[DATA DE PAGAMENTO]],"M"))</f>
        <v/>
      </c>
      <c r="AL77" s="526" t="str">
        <f>IF(LANÇ_MOV[[#This Row],[DATA DE PAGAMENTO]]="","",TEXT(LANÇ_MOV[[#This Row],[DATA DE PAGAMENTO]],"D"))</f>
        <v/>
      </c>
      <c r="AM77" s="210"/>
      <c r="BC77" s="112"/>
      <c r="BD77" s="112"/>
    </row>
    <row r="78" spans="2:56" ht="30.05" customHeight="1" x14ac:dyDescent="0.35">
      <c r="B78" s="506">
        <v>45931</v>
      </c>
      <c r="C78" s="507" t="s">
        <v>1661</v>
      </c>
      <c r="D78" s="508" t="s">
        <v>1854</v>
      </c>
      <c r="E78" s="509" t="s">
        <v>228</v>
      </c>
      <c r="F78" s="510" t="s">
        <v>1822</v>
      </c>
      <c r="G78" s="507"/>
      <c r="H78" s="511">
        <v>0</v>
      </c>
      <c r="I78" s="512" t="s">
        <v>1760</v>
      </c>
      <c r="J78" s="510">
        <v>3200</v>
      </c>
      <c r="K78" s="513">
        <v>0</v>
      </c>
      <c r="L78" s="513">
        <v>0</v>
      </c>
      <c r="M78" s="513">
        <v>0</v>
      </c>
      <c r="N78" s="514">
        <f>LANÇ_MOV[[#This Row],[VALOR BRUTO]]-LANÇ_MOV[[#This Row],[DESCONTO]]+LANÇ_MOV[[#This Row],[JUROS]]+LANÇ_MOV[[#This Row],[MULTA]]</f>
        <v>3200</v>
      </c>
      <c r="O78" s="515">
        <v>46101</v>
      </c>
      <c r="P78" s="516" t="str">
        <f t="shared" ca="1" si="1"/>
        <v>Prazo - Mais de 1 mês</v>
      </c>
      <c r="Q78" s="517"/>
      <c r="R78" s="531" t="s">
        <v>1506</v>
      </c>
      <c r="S78" s="531"/>
      <c r="T78" s="531" t="s">
        <v>1776</v>
      </c>
      <c r="U78" s="519" t="s">
        <v>2008</v>
      </c>
      <c r="V78" s="520" t="str">
        <f>IFERROR(VLOOKUP(LANÇ_MOV[[#This Row],[PLANO DE CONTAS]],Plano_Contas[[PLANO DE CONTAS]:[R / D]],3,0),"")</f>
        <v>Despesa</v>
      </c>
      <c r="W78" s="521" t="str">
        <f>IF(LANÇ_MOV[[#This Row],[DATA DE PAGAMENTO]]&lt;&gt;"","Pago","Não Pago")</f>
        <v>Não Pago</v>
      </c>
      <c r="X78" s="522" t="str">
        <f>IFERROR(IF(LANÇ_MOV[[#This Row],[DATA DE PAGAMENTO]]="","",(UPPER(TEXT(LANÇ_MOV[[#This Row],[DATA DE PAGAMENTO]],"mmmm")))),"")</f>
        <v/>
      </c>
      <c r="Y78" s="523" t="str">
        <f>IFERROR(VLOOKUP(LANÇ_MOV[[#This Row],[PLANO DE CONTAS]],Plano_Contas[[PLANO DE CONTAS]:[NOMES INTERVALOS]],2,0),"")</f>
        <v>Despesas_Com_RH</v>
      </c>
      <c r="Z78" s="523" t="str">
        <f>IF(LANÇ_MOV[[#This Row],[FORMA DE PAGAMENTO]]="","",VLOOKUP(LANÇ_MOV[[#This Row],[FORMA DE PAGAMENTO]],CAD_Forma_pagto[],2,0))</f>
        <v>BOLETO</v>
      </c>
      <c r="AA78" s="524" t="str">
        <f>IF(LANÇ_MOV[[#This Row],[DATA DE LANÇAMENTO]]="","",TEXT(LANÇ_MOV[[#This Row],[DATA DE LANÇAMENTO]],"AAAA"))</f>
        <v>2025</v>
      </c>
      <c r="AB78" s="524" t="str">
        <f>IF(LANÇ_MOV[[#This Row],[DATA DE LANÇAMENTO]]="","",UPPER(TEXT(LANÇ_MOV[[#This Row],[DATA DE LANÇAMENTO]],"MMMM")))</f>
        <v>OUTUBRO</v>
      </c>
      <c r="AC78" s="525" t="str">
        <f>IF(LANÇ_MOV[[#This Row],[DATA DE LANÇAMENTO]]="","",PROPER(TEXT(LANÇ_MOV[[#This Row],[DATA DE LANÇAMENTO]],"M")))</f>
        <v>10</v>
      </c>
      <c r="AD78" s="524" t="str">
        <f>IF(LANÇ_MOV[[#This Row],[DATA DE LANÇAMENTO]]="","",TEXT(LANÇ_MOV[[#This Row],[DATA DE LANÇAMENTO]],"D"))</f>
        <v>1</v>
      </c>
      <c r="AE78" s="526" t="str">
        <f>IF(LANÇ_MOV[[#This Row],[DATA DE VENCIMENTO]]="","",TEXT(LANÇ_MOV[[#This Row],[DATA DE VENCIMENTO]],"AAAA"))</f>
        <v>2026</v>
      </c>
      <c r="AF78" s="526" t="str">
        <f>IF(LANÇ_MOV[[#This Row],[DATA DE VENCIMENTO]]="","",UPPER(TEXT(LANÇ_MOV[[#This Row],[DATA DE VENCIMENTO]],"MMMM")))</f>
        <v>MARÇO</v>
      </c>
      <c r="AG78" s="526" t="str">
        <f>IF(LANÇ_MOV[[#This Row],[DATA DE VENCIMENTO]]="","",TEXT(LANÇ_MOV[[#This Row],[DATA DE VENCIMENTO]],"M"))</f>
        <v>3</v>
      </c>
      <c r="AH78" s="526" t="str">
        <f>IF(LANÇ_MOV[[#This Row],[DATA DE VENCIMENTO]]="","",TEXT(LANÇ_MOV[[#This Row],[DATA DE VENCIMENTO]],"D"))</f>
        <v>20</v>
      </c>
      <c r="AI78" s="526" t="str">
        <f>IF(LANÇ_MOV[[#This Row],[DATA DE PAGAMENTO]]="","",TEXT(LANÇ_MOV[[#This Row],[DATA DE PAGAMENTO]],"AAAA"))</f>
        <v/>
      </c>
      <c r="AJ78" s="527" t="str">
        <f>IF(LANÇ_MOV[[#This Row],[DATA DE PAGAMENTO]]="","",UPPER(TEXT(LANÇ_MOV[[#This Row],[DATA DE PAGAMENTO]],"MMMM")))</f>
        <v/>
      </c>
      <c r="AK78" s="527" t="str">
        <f>IF(LANÇ_MOV[[#This Row],[DATA DE PAGAMENTO]]="","",TEXT(LANÇ_MOV[[#This Row],[DATA DE PAGAMENTO]],"M"))</f>
        <v/>
      </c>
      <c r="AL78" s="526" t="str">
        <f>IF(LANÇ_MOV[[#This Row],[DATA DE PAGAMENTO]]="","",TEXT(LANÇ_MOV[[#This Row],[DATA DE PAGAMENTO]],"D"))</f>
        <v/>
      </c>
      <c r="AM78" s="210"/>
      <c r="BC78" s="112"/>
      <c r="BD78" s="112"/>
    </row>
    <row r="79" spans="2:56" ht="30.05" customHeight="1" x14ac:dyDescent="0.35">
      <c r="B79" s="506">
        <v>45931</v>
      </c>
      <c r="C79" s="507" t="s">
        <v>1661</v>
      </c>
      <c r="D79" s="508" t="s">
        <v>1854</v>
      </c>
      <c r="E79" s="509" t="s">
        <v>228</v>
      </c>
      <c r="F79" s="510" t="s">
        <v>1822</v>
      </c>
      <c r="G79" s="507"/>
      <c r="H79" s="511">
        <v>0</v>
      </c>
      <c r="I79" s="512" t="s">
        <v>1760</v>
      </c>
      <c r="J79" s="510">
        <v>3200</v>
      </c>
      <c r="K79" s="513">
        <v>0</v>
      </c>
      <c r="L79" s="513">
        <v>0</v>
      </c>
      <c r="M79" s="513">
        <v>0</v>
      </c>
      <c r="N79" s="514">
        <f>LANÇ_MOV[[#This Row],[VALOR BRUTO]]-LANÇ_MOV[[#This Row],[DESCONTO]]+LANÇ_MOV[[#This Row],[JUROS]]+LANÇ_MOV[[#This Row],[MULTA]]</f>
        <v>3200</v>
      </c>
      <c r="O79" s="515">
        <v>46132</v>
      </c>
      <c r="P79" s="516" t="str">
        <f t="shared" ca="1" si="1"/>
        <v>Prazo - Mais de 1 mês</v>
      </c>
      <c r="Q79" s="517"/>
      <c r="R79" s="531" t="s">
        <v>1506</v>
      </c>
      <c r="S79" s="531"/>
      <c r="T79" s="531" t="s">
        <v>1776</v>
      </c>
      <c r="U79" s="519" t="s">
        <v>2008</v>
      </c>
      <c r="V79" s="520" t="str">
        <f>IFERROR(VLOOKUP(LANÇ_MOV[[#This Row],[PLANO DE CONTAS]],Plano_Contas[[PLANO DE CONTAS]:[R / D]],3,0),"")</f>
        <v>Despesa</v>
      </c>
      <c r="W79" s="521" t="str">
        <f>IF(LANÇ_MOV[[#This Row],[DATA DE PAGAMENTO]]&lt;&gt;"","Pago","Não Pago")</f>
        <v>Não Pago</v>
      </c>
      <c r="X79" s="522" t="str">
        <f>IFERROR(IF(LANÇ_MOV[[#This Row],[DATA DE PAGAMENTO]]="","",(UPPER(TEXT(LANÇ_MOV[[#This Row],[DATA DE PAGAMENTO]],"mmmm")))),"")</f>
        <v/>
      </c>
      <c r="Y79" s="523" t="str">
        <f>IFERROR(VLOOKUP(LANÇ_MOV[[#This Row],[PLANO DE CONTAS]],Plano_Contas[[PLANO DE CONTAS]:[NOMES INTERVALOS]],2,0),"")</f>
        <v>Despesas_Com_RH</v>
      </c>
      <c r="Z79" s="523" t="str">
        <f>IF(LANÇ_MOV[[#This Row],[FORMA DE PAGAMENTO]]="","",VLOOKUP(LANÇ_MOV[[#This Row],[FORMA DE PAGAMENTO]],CAD_Forma_pagto[],2,0))</f>
        <v>BOLETO</v>
      </c>
      <c r="AA79" s="524" t="str">
        <f>IF(LANÇ_MOV[[#This Row],[DATA DE LANÇAMENTO]]="","",TEXT(LANÇ_MOV[[#This Row],[DATA DE LANÇAMENTO]],"AAAA"))</f>
        <v>2025</v>
      </c>
      <c r="AB79" s="524" t="str">
        <f>IF(LANÇ_MOV[[#This Row],[DATA DE LANÇAMENTO]]="","",UPPER(TEXT(LANÇ_MOV[[#This Row],[DATA DE LANÇAMENTO]],"MMMM")))</f>
        <v>OUTUBRO</v>
      </c>
      <c r="AC79" s="525" t="str">
        <f>IF(LANÇ_MOV[[#This Row],[DATA DE LANÇAMENTO]]="","",PROPER(TEXT(LANÇ_MOV[[#This Row],[DATA DE LANÇAMENTO]],"M")))</f>
        <v>10</v>
      </c>
      <c r="AD79" s="524" t="str">
        <f>IF(LANÇ_MOV[[#This Row],[DATA DE LANÇAMENTO]]="","",TEXT(LANÇ_MOV[[#This Row],[DATA DE LANÇAMENTO]],"D"))</f>
        <v>1</v>
      </c>
      <c r="AE79" s="526" t="str">
        <f>IF(LANÇ_MOV[[#This Row],[DATA DE VENCIMENTO]]="","",TEXT(LANÇ_MOV[[#This Row],[DATA DE VENCIMENTO]],"AAAA"))</f>
        <v>2026</v>
      </c>
      <c r="AF79" s="526" t="str">
        <f>IF(LANÇ_MOV[[#This Row],[DATA DE VENCIMENTO]]="","",UPPER(TEXT(LANÇ_MOV[[#This Row],[DATA DE VENCIMENTO]],"MMMM")))</f>
        <v>ABRIL</v>
      </c>
      <c r="AG79" s="526" t="str">
        <f>IF(LANÇ_MOV[[#This Row],[DATA DE VENCIMENTO]]="","",TEXT(LANÇ_MOV[[#This Row],[DATA DE VENCIMENTO]],"M"))</f>
        <v>4</v>
      </c>
      <c r="AH79" s="526" t="str">
        <f>IF(LANÇ_MOV[[#This Row],[DATA DE VENCIMENTO]]="","",TEXT(LANÇ_MOV[[#This Row],[DATA DE VENCIMENTO]],"D"))</f>
        <v>20</v>
      </c>
      <c r="AI79" s="526" t="str">
        <f>IF(LANÇ_MOV[[#This Row],[DATA DE PAGAMENTO]]="","",TEXT(LANÇ_MOV[[#This Row],[DATA DE PAGAMENTO]],"AAAA"))</f>
        <v/>
      </c>
      <c r="AJ79" s="527" t="str">
        <f>IF(LANÇ_MOV[[#This Row],[DATA DE PAGAMENTO]]="","",UPPER(TEXT(LANÇ_MOV[[#This Row],[DATA DE PAGAMENTO]],"MMMM")))</f>
        <v/>
      </c>
      <c r="AK79" s="527" t="str">
        <f>IF(LANÇ_MOV[[#This Row],[DATA DE PAGAMENTO]]="","",TEXT(LANÇ_MOV[[#This Row],[DATA DE PAGAMENTO]],"M"))</f>
        <v/>
      </c>
      <c r="AL79" s="526" t="str">
        <f>IF(LANÇ_MOV[[#This Row],[DATA DE PAGAMENTO]]="","",TEXT(LANÇ_MOV[[#This Row],[DATA DE PAGAMENTO]],"D"))</f>
        <v/>
      </c>
      <c r="AM79" s="210"/>
      <c r="BC79" s="112"/>
      <c r="BD79" s="112"/>
    </row>
    <row r="80" spans="2:56" ht="30.05" customHeight="1" x14ac:dyDescent="0.35">
      <c r="B80" s="506">
        <v>45931</v>
      </c>
      <c r="C80" s="507" t="s">
        <v>1661</v>
      </c>
      <c r="D80" s="508" t="s">
        <v>1854</v>
      </c>
      <c r="E80" s="509" t="s">
        <v>228</v>
      </c>
      <c r="F80" s="510" t="s">
        <v>1822</v>
      </c>
      <c r="G80" s="507"/>
      <c r="H80" s="511">
        <v>0</v>
      </c>
      <c r="I80" s="512" t="s">
        <v>1760</v>
      </c>
      <c r="J80" s="510">
        <v>3200</v>
      </c>
      <c r="K80" s="513">
        <v>0</v>
      </c>
      <c r="L80" s="513">
        <v>0</v>
      </c>
      <c r="M80" s="513">
        <v>0</v>
      </c>
      <c r="N80" s="514">
        <f>LANÇ_MOV[[#This Row],[VALOR BRUTO]]-LANÇ_MOV[[#This Row],[DESCONTO]]+LANÇ_MOV[[#This Row],[JUROS]]+LANÇ_MOV[[#This Row],[MULTA]]</f>
        <v>3200</v>
      </c>
      <c r="O80" s="515">
        <v>46162</v>
      </c>
      <c r="P80" s="516" t="str">
        <f t="shared" ca="1" si="1"/>
        <v>Prazo - Mais de 1 mês</v>
      </c>
      <c r="Q80" s="517"/>
      <c r="R80" s="531" t="s">
        <v>1506</v>
      </c>
      <c r="S80" s="518"/>
      <c r="T80" s="531" t="s">
        <v>1776</v>
      </c>
      <c r="U80" s="519" t="s">
        <v>2008</v>
      </c>
      <c r="V80" s="520" t="str">
        <f>IFERROR(VLOOKUP(LANÇ_MOV[[#This Row],[PLANO DE CONTAS]],Plano_Contas[[PLANO DE CONTAS]:[R / D]],3,0),"")</f>
        <v>Despesa</v>
      </c>
      <c r="W80" s="521" t="str">
        <f>IF(LANÇ_MOV[[#This Row],[DATA DE PAGAMENTO]]&lt;&gt;"","Pago","Não Pago")</f>
        <v>Não Pago</v>
      </c>
      <c r="X80" s="522" t="str">
        <f>IFERROR(IF(LANÇ_MOV[[#This Row],[DATA DE PAGAMENTO]]="","",(UPPER(TEXT(LANÇ_MOV[[#This Row],[DATA DE PAGAMENTO]],"mmmm")))),"")</f>
        <v/>
      </c>
      <c r="Y80" s="523" t="str">
        <f>IFERROR(VLOOKUP(LANÇ_MOV[[#This Row],[PLANO DE CONTAS]],Plano_Contas[[PLANO DE CONTAS]:[NOMES INTERVALOS]],2,0),"")</f>
        <v>Despesas_Com_RH</v>
      </c>
      <c r="Z80" s="523" t="str">
        <f>IF(LANÇ_MOV[[#This Row],[FORMA DE PAGAMENTO]]="","",VLOOKUP(LANÇ_MOV[[#This Row],[FORMA DE PAGAMENTO]],CAD_Forma_pagto[],2,0))</f>
        <v>BOLETO</v>
      </c>
      <c r="AA80" s="524" t="str">
        <f>IF(LANÇ_MOV[[#This Row],[DATA DE LANÇAMENTO]]="","",TEXT(LANÇ_MOV[[#This Row],[DATA DE LANÇAMENTO]],"AAAA"))</f>
        <v>2025</v>
      </c>
      <c r="AB80" s="524" t="str">
        <f>IF(LANÇ_MOV[[#This Row],[DATA DE LANÇAMENTO]]="","",UPPER(TEXT(LANÇ_MOV[[#This Row],[DATA DE LANÇAMENTO]],"MMMM")))</f>
        <v>OUTUBRO</v>
      </c>
      <c r="AC80" s="525" t="str">
        <f>IF(LANÇ_MOV[[#This Row],[DATA DE LANÇAMENTO]]="","",PROPER(TEXT(LANÇ_MOV[[#This Row],[DATA DE LANÇAMENTO]],"M")))</f>
        <v>10</v>
      </c>
      <c r="AD80" s="524" t="str">
        <f>IF(LANÇ_MOV[[#This Row],[DATA DE LANÇAMENTO]]="","",TEXT(LANÇ_MOV[[#This Row],[DATA DE LANÇAMENTO]],"D"))</f>
        <v>1</v>
      </c>
      <c r="AE80" s="526" t="str">
        <f>IF(LANÇ_MOV[[#This Row],[DATA DE VENCIMENTO]]="","",TEXT(LANÇ_MOV[[#This Row],[DATA DE VENCIMENTO]],"AAAA"))</f>
        <v>2026</v>
      </c>
      <c r="AF80" s="526" t="str">
        <f>IF(LANÇ_MOV[[#This Row],[DATA DE VENCIMENTO]]="","",UPPER(TEXT(LANÇ_MOV[[#This Row],[DATA DE VENCIMENTO]],"MMMM")))</f>
        <v>MAIO</v>
      </c>
      <c r="AG80" s="526" t="str">
        <f>IF(LANÇ_MOV[[#This Row],[DATA DE VENCIMENTO]]="","",TEXT(LANÇ_MOV[[#This Row],[DATA DE VENCIMENTO]],"M"))</f>
        <v>5</v>
      </c>
      <c r="AH80" s="526" t="str">
        <f>IF(LANÇ_MOV[[#This Row],[DATA DE VENCIMENTO]]="","",TEXT(LANÇ_MOV[[#This Row],[DATA DE VENCIMENTO]],"D"))</f>
        <v>20</v>
      </c>
      <c r="AI80" s="526" t="str">
        <f>IF(LANÇ_MOV[[#This Row],[DATA DE PAGAMENTO]]="","",TEXT(LANÇ_MOV[[#This Row],[DATA DE PAGAMENTO]],"AAAA"))</f>
        <v/>
      </c>
      <c r="AJ80" s="527" t="str">
        <f>IF(LANÇ_MOV[[#This Row],[DATA DE PAGAMENTO]]="","",UPPER(TEXT(LANÇ_MOV[[#This Row],[DATA DE PAGAMENTO]],"MMMM")))</f>
        <v/>
      </c>
      <c r="AK80" s="527" t="str">
        <f>IF(LANÇ_MOV[[#This Row],[DATA DE PAGAMENTO]]="","",TEXT(LANÇ_MOV[[#This Row],[DATA DE PAGAMENTO]],"M"))</f>
        <v/>
      </c>
      <c r="AL80" s="526" t="str">
        <f>IF(LANÇ_MOV[[#This Row],[DATA DE PAGAMENTO]]="","",TEXT(LANÇ_MOV[[#This Row],[DATA DE PAGAMENTO]],"D"))</f>
        <v/>
      </c>
      <c r="AM80" s="210"/>
      <c r="BC80" s="112"/>
      <c r="BD80" s="112"/>
    </row>
    <row r="81" spans="1:56" ht="30.05" customHeight="1" x14ac:dyDescent="0.35">
      <c r="B81" s="506">
        <v>45931</v>
      </c>
      <c r="C81" s="507" t="s">
        <v>1661</v>
      </c>
      <c r="D81" s="508" t="s">
        <v>1854</v>
      </c>
      <c r="E81" s="509" t="s">
        <v>228</v>
      </c>
      <c r="F81" s="510" t="s">
        <v>1822</v>
      </c>
      <c r="G81" s="507"/>
      <c r="H81" s="511">
        <v>0</v>
      </c>
      <c r="I81" s="512" t="s">
        <v>1760</v>
      </c>
      <c r="J81" s="510">
        <v>3200</v>
      </c>
      <c r="K81" s="513">
        <v>0</v>
      </c>
      <c r="L81" s="513">
        <v>0</v>
      </c>
      <c r="M81" s="513">
        <v>0</v>
      </c>
      <c r="N81" s="514">
        <f>LANÇ_MOV[[#This Row],[VALOR BRUTO]]-LANÇ_MOV[[#This Row],[DESCONTO]]+LANÇ_MOV[[#This Row],[JUROS]]+LANÇ_MOV[[#This Row],[MULTA]]</f>
        <v>3200</v>
      </c>
      <c r="O81" s="515">
        <v>46193</v>
      </c>
      <c r="P81" s="516" t="str">
        <f t="shared" ca="1" si="1"/>
        <v>Prazo - Mais de 1 mês</v>
      </c>
      <c r="Q81" s="517"/>
      <c r="R81" s="531" t="s">
        <v>1506</v>
      </c>
      <c r="S81" s="531"/>
      <c r="T81" s="531" t="s">
        <v>1776</v>
      </c>
      <c r="U81" s="519" t="s">
        <v>2008</v>
      </c>
      <c r="V81" s="520" t="str">
        <f>IFERROR(VLOOKUP(LANÇ_MOV[[#This Row],[PLANO DE CONTAS]],Plano_Contas[[PLANO DE CONTAS]:[R / D]],3,0),"")</f>
        <v>Despesa</v>
      </c>
      <c r="W81" s="521" t="str">
        <f>IF(LANÇ_MOV[[#This Row],[DATA DE PAGAMENTO]]&lt;&gt;"","Pago","Não Pago")</f>
        <v>Não Pago</v>
      </c>
      <c r="X81" s="522" t="str">
        <f>IFERROR(IF(LANÇ_MOV[[#This Row],[DATA DE PAGAMENTO]]="","",(UPPER(TEXT(LANÇ_MOV[[#This Row],[DATA DE PAGAMENTO]],"mmmm")))),"")</f>
        <v/>
      </c>
      <c r="Y81" s="523" t="str">
        <f>IFERROR(VLOOKUP(LANÇ_MOV[[#This Row],[PLANO DE CONTAS]],Plano_Contas[[PLANO DE CONTAS]:[NOMES INTERVALOS]],2,0),"")</f>
        <v>Despesas_Com_RH</v>
      </c>
      <c r="Z81" s="523" t="str">
        <f>IF(LANÇ_MOV[[#This Row],[FORMA DE PAGAMENTO]]="","",VLOOKUP(LANÇ_MOV[[#This Row],[FORMA DE PAGAMENTO]],CAD_Forma_pagto[],2,0))</f>
        <v>BOLETO</v>
      </c>
      <c r="AA81" s="524" t="str">
        <f>IF(LANÇ_MOV[[#This Row],[DATA DE LANÇAMENTO]]="","",TEXT(LANÇ_MOV[[#This Row],[DATA DE LANÇAMENTO]],"AAAA"))</f>
        <v>2025</v>
      </c>
      <c r="AB81" s="524" t="str">
        <f>IF(LANÇ_MOV[[#This Row],[DATA DE LANÇAMENTO]]="","",UPPER(TEXT(LANÇ_MOV[[#This Row],[DATA DE LANÇAMENTO]],"MMMM")))</f>
        <v>OUTUBRO</v>
      </c>
      <c r="AC81" s="525" t="str">
        <f>IF(LANÇ_MOV[[#This Row],[DATA DE LANÇAMENTO]]="","",PROPER(TEXT(LANÇ_MOV[[#This Row],[DATA DE LANÇAMENTO]],"M")))</f>
        <v>10</v>
      </c>
      <c r="AD81" s="524" t="str">
        <f>IF(LANÇ_MOV[[#This Row],[DATA DE LANÇAMENTO]]="","",TEXT(LANÇ_MOV[[#This Row],[DATA DE LANÇAMENTO]],"D"))</f>
        <v>1</v>
      </c>
      <c r="AE81" s="526" t="str">
        <f>IF(LANÇ_MOV[[#This Row],[DATA DE VENCIMENTO]]="","",TEXT(LANÇ_MOV[[#This Row],[DATA DE VENCIMENTO]],"AAAA"))</f>
        <v>2026</v>
      </c>
      <c r="AF81" s="526" t="str">
        <f>IF(LANÇ_MOV[[#This Row],[DATA DE VENCIMENTO]]="","",UPPER(TEXT(LANÇ_MOV[[#This Row],[DATA DE VENCIMENTO]],"MMMM")))</f>
        <v>JUNHO</v>
      </c>
      <c r="AG81" s="526" t="str">
        <f>IF(LANÇ_MOV[[#This Row],[DATA DE VENCIMENTO]]="","",TEXT(LANÇ_MOV[[#This Row],[DATA DE VENCIMENTO]],"M"))</f>
        <v>6</v>
      </c>
      <c r="AH81" s="526" t="str">
        <f>IF(LANÇ_MOV[[#This Row],[DATA DE VENCIMENTO]]="","",TEXT(LANÇ_MOV[[#This Row],[DATA DE VENCIMENTO]],"D"))</f>
        <v>20</v>
      </c>
      <c r="AI81" s="526" t="str">
        <f>IF(LANÇ_MOV[[#This Row],[DATA DE PAGAMENTO]]="","",TEXT(LANÇ_MOV[[#This Row],[DATA DE PAGAMENTO]],"AAAA"))</f>
        <v/>
      </c>
      <c r="AJ81" s="527" t="str">
        <f>IF(LANÇ_MOV[[#This Row],[DATA DE PAGAMENTO]]="","",UPPER(TEXT(LANÇ_MOV[[#This Row],[DATA DE PAGAMENTO]],"MMMM")))</f>
        <v/>
      </c>
      <c r="AK81" s="527" t="str">
        <f>IF(LANÇ_MOV[[#This Row],[DATA DE PAGAMENTO]]="","",TEXT(LANÇ_MOV[[#This Row],[DATA DE PAGAMENTO]],"M"))</f>
        <v/>
      </c>
      <c r="AL81" s="526" t="str">
        <f>IF(LANÇ_MOV[[#This Row],[DATA DE PAGAMENTO]]="","",TEXT(LANÇ_MOV[[#This Row],[DATA DE PAGAMENTO]],"D"))</f>
        <v/>
      </c>
      <c r="AM81" s="210"/>
      <c r="BC81" s="112"/>
      <c r="BD81" s="112"/>
    </row>
    <row r="82" spans="1:56" ht="30.05" customHeight="1" x14ac:dyDescent="0.35">
      <c r="B82" s="506">
        <v>45931</v>
      </c>
      <c r="C82" s="507" t="s">
        <v>1661</v>
      </c>
      <c r="D82" s="508" t="s">
        <v>1854</v>
      </c>
      <c r="E82" s="509" t="s">
        <v>228</v>
      </c>
      <c r="F82" s="510" t="s">
        <v>1822</v>
      </c>
      <c r="G82" s="507"/>
      <c r="H82" s="511">
        <v>0</v>
      </c>
      <c r="I82" s="512" t="s">
        <v>1760</v>
      </c>
      <c r="J82" s="510">
        <v>3200</v>
      </c>
      <c r="K82" s="513">
        <v>0</v>
      </c>
      <c r="L82" s="513">
        <v>0</v>
      </c>
      <c r="M82" s="513">
        <v>0</v>
      </c>
      <c r="N82" s="514">
        <f>LANÇ_MOV[[#This Row],[VALOR BRUTO]]-LANÇ_MOV[[#This Row],[DESCONTO]]+LANÇ_MOV[[#This Row],[JUROS]]+LANÇ_MOV[[#This Row],[MULTA]]</f>
        <v>3200</v>
      </c>
      <c r="O82" s="515">
        <v>46223</v>
      </c>
      <c r="P82" s="516" t="str">
        <f t="shared" ca="1" si="1"/>
        <v>Prazo - Mais de 1 mês</v>
      </c>
      <c r="Q82" s="517"/>
      <c r="R82" s="531" t="s">
        <v>1506</v>
      </c>
      <c r="S82" s="531"/>
      <c r="T82" s="531" t="s">
        <v>1776</v>
      </c>
      <c r="U82" s="519" t="s">
        <v>2008</v>
      </c>
      <c r="V82" s="520" t="str">
        <f>IFERROR(VLOOKUP(LANÇ_MOV[[#This Row],[PLANO DE CONTAS]],Plano_Contas[[PLANO DE CONTAS]:[R / D]],3,0),"")</f>
        <v>Despesa</v>
      </c>
      <c r="W82" s="521" t="str">
        <f>IF(LANÇ_MOV[[#This Row],[DATA DE PAGAMENTO]]&lt;&gt;"","Pago","Não Pago")</f>
        <v>Não Pago</v>
      </c>
      <c r="X82" s="522" t="str">
        <f>IFERROR(IF(LANÇ_MOV[[#This Row],[DATA DE PAGAMENTO]]="","",(UPPER(TEXT(LANÇ_MOV[[#This Row],[DATA DE PAGAMENTO]],"mmmm")))),"")</f>
        <v/>
      </c>
      <c r="Y82" s="523" t="str">
        <f>IFERROR(VLOOKUP(LANÇ_MOV[[#This Row],[PLANO DE CONTAS]],Plano_Contas[[PLANO DE CONTAS]:[NOMES INTERVALOS]],2,0),"")</f>
        <v>Despesas_Com_RH</v>
      </c>
      <c r="Z82" s="523" t="str">
        <f>IF(LANÇ_MOV[[#This Row],[FORMA DE PAGAMENTO]]="","",VLOOKUP(LANÇ_MOV[[#This Row],[FORMA DE PAGAMENTO]],CAD_Forma_pagto[],2,0))</f>
        <v>BOLETO</v>
      </c>
      <c r="AA82" s="524" t="str">
        <f>IF(LANÇ_MOV[[#This Row],[DATA DE LANÇAMENTO]]="","",TEXT(LANÇ_MOV[[#This Row],[DATA DE LANÇAMENTO]],"AAAA"))</f>
        <v>2025</v>
      </c>
      <c r="AB82" s="524" t="str">
        <f>IF(LANÇ_MOV[[#This Row],[DATA DE LANÇAMENTO]]="","",UPPER(TEXT(LANÇ_MOV[[#This Row],[DATA DE LANÇAMENTO]],"MMMM")))</f>
        <v>OUTUBRO</v>
      </c>
      <c r="AC82" s="525" t="str">
        <f>IF(LANÇ_MOV[[#This Row],[DATA DE LANÇAMENTO]]="","",PROPER(TEXT(LANÇ_MOV[[#This Row],[DATA DE LANÇAMENTO]],"M")))</f>
        <v>10</v>
      </c>
      <c r="AD82" s="524" t="str">
        <f>IF(LANÇ_MOV[[#This Row],[DATA DE LANÇAMENTO]]="","",TEXT(LANÇ_MOV[[#This Row],[DATA DE LANÇAMENTO]],"D"))</f>
        <v>1</v>
      </c>
      <c r="AE82" s="526" t="str">
        <f>IF(LANÇ_MOV[[#This Row],[DATA DE VENCIMENTO]]="","",TEXT(LANÇ_MOV[[#This Row],[DATA DE VENCIMENTO]],"AAAA"))</f>
        <v>2026</v>
      </c>
      <c r="AF82" s="526" t="str">
        <f>IF(LANÇ_MOV[[#This Row],[DATA DE VENCIMENTO]]="","",UPPER(TEXT(LANÇ_MOV[[#This Row],[DATA DE VENCIMENTO]],"MMMM")))</f>
        <v>JULHO</v>
      </c>
      <c r="AG82" s="526" t="str">
        <f>IF(LANÇ_MOV[[#This Row],[DATA DE VENCIMENTO]]="","",TEXT(LANÇ_MOV[[#This Row],[DATA DE VENCIMENTO]],"M"))</f>
        <v>7</v>
      </c>
      <c r="AH82" s="526" t="str">
        <f>IF(LANÇ_MOV[[#This Row],[DATA DE VENCIMENTO]]="","",TEXT(LANÇ_MOV[[#This Row],[DATA DE VENCIMENTO]],"D"))</f>
        <v>20</v>
      </c>
      <c r="AI82" s="526" t="str">
        <f>IF(LANÇ_MOV[[#This Row],[DATA DE PAGAMENTO]]="","",TEXT(LANÇ_MOV[[#This Row],[DATA DE PAGAMENTO]],"AAAA"))</f>
        <v/>
      </c>
      <c r="AJ82" s="527" t="str">
        <f>IF(LANÇ_MOV[[#This Row],[DATA DE PAGAMENTO]]="","",UPPER(TEXT(LANÇ_MOV[[#This Row],[DATA DE PAGAMENTO]],"MMMM")))</f>
        <v/>
      </c>
      <c r="AK82" s="527" t="str">
        <f>IF(LANÇ_MOV[[#This Row],[DATA DE PAGAMENTO]]="","",TEXT(LANÇ_MOV[[#This Row],[DATA DE PAGAMENTO]],"M"))</f>
        <v/>
      </c>
      <c r="AL82" s="526" t="str">
        <f>IF(LANÇ_MOV[[#This Row],[DATA DE PAGAMENTO]]="","",TEXT(LANÇ_MOV[[#This Row],[DATA DE PAGAMENTO]],"D"))</f>
        <v/>
      </c>
      <c r="AM82" s="210"/>
      <c r="BC82" s="112"/>
      <c r="BD82" s="112"/>
    </row>
    <row r="83" spans="1:56" ht="30.05" customHeight="1" x14ac:dyDescent="0.35">
      <c r="B83" s="506">
        <v>45931</v>
      </c>
      <c r="C83" s="507" t="s">
        <v>1661</v>
      </c>
      <c r="D83" s="508" t="s">
        <v>1854</v>
      </c>
      <c r="E83" s="509" t="s">
        <v>228</v>
      </c>
      <c r="F83" s="510" t="s">
        <v>1822</v>
      </c>
      <c r="G83" s="507"/>
      <c r="H83" s="511">
        <v>0</v>
      </c>
      <c r="I83" s="512" t="s">
        <v>1760</v>
      </c>
      <c r="J83" s="510">
        <v>3200</v>
      </c>
      <c r="K83" s="513">
        <v>0</v>
      </c>
      <c r="L83" s="513">
        <v>0</v>
      </c>
      <c r="M83" s="513">
        <v>0</v>
      </c>
      <c r="N83" s="514">
        <f>LANÇ_MOV[[#This Row],[VALOR BRUTO]]-LANÇ_MOV[[#This Row],[DESCONTO]]+LANÇ_MOV[[#This Row],[JUROS]]+LANÇ_MOV[[#This Row],[MULTA]]</f>
        <v>3200</v>
      </c>
      <c r="O83" s="528">
        <v>46254</v>
      </c>
      <c r="P83" s="516" t="str">
        <f t="shared" ca="1" si="1"/>
        <v>Prazo - Mais de 1 mês</v>
      </c>
      <c r="Q83" s="530"/>
      <c r="R83" s="531" t="s">
        <v>1506</v>
      </c>
      <c r="S83" s="531"/>
      <c r="T83" s="531" t="s">
        <v>1776</v>
      </c>
      <c r="U83" s="519" t="s">
        <v>2008</v>
      </c>
      <c r="V83" s="520" t="str">
        <f>IFERROR(VLOOKUP(LANÇ_MOV[[#This Row],[PLANO DE CONTAS]],Plano_Contas[[PLANO DE CONTAS]:[R / D]],3,0),"")</f>
        <v>Despesa</v>
      </c>
      <c r="W83" s="521" t="str">
        <f>IF(LANÇ_MOV[[#This Row],[DATA DE PAGAMENTO]]&lt;&gt;"","Pago","Não Pago")</f>
        <v>Não Pago</v>
      </c>
      <c r="X83" s="522" t="str">
        <f>IFERROR(IF(LANÇ_MOV[[#This Row],[DATA DE PAGAMENTO]]="","",(UPPER(TEXT(LANÇ_MOV[[#This Row],[DATA DE PAGAMENTO]],"mmmm")))),"")</f>
        <v/>
      </c>
      <c r="Y83" s="523" t="str">
        <f>IFERROR(VLOOKUP(LANÇ_MOV[[#This Row],[PLANO DE CONTAS]],Plano_Contas[[PLANO DE CONTAS]:[NOMES INTERVALOS]],2,0),"")</f>
        <v>Despesas_Com_RH</v>
      </c>
      <c r="Z83" s="523" t="str">
        <f>IF(LANÇ_MOV[[#This Row],[FORMA DE PAGAMENTO]]="","",VLOOKUP(LANÇ_MOV[[#This Row],[FORMA DE PAGAMENTO]],CAD_Forma_pagto[],2,0))</f>
        <v>BOLETO</v>
      </c>
      <c r="AA83" s="524" t="str">
        <f>IF(LANÇ_MOV[[#This Row],[DATA DE LANÇAMENTO]]="","",TEXT(LANÇ_MOV[[#This Row],[DATA DE LANÇAMENTO]],"AAAA"))</f>
        <v>2025</v>
      </c>
      <c r="AB83" s="524" t="str">
        <f>IF(LANÇ_MOV[[#This Row],[DATA DE LANÇAMENTO]]="","",UPPER(TEXT(LANÇ_MOV[[#This Row],[DATA DE LANÇAMENTO]],"MMMM")))</f>
        <v>OUTUBRO</v>
      </c>
      <c r="AC83" s="525" t="str">
        <f>IF(LANÇ_MOV[[#This Row],[DATA DE LANÇAMENTO]]="","",PROPER(TEXT(LANÇ_MOV[[#This Row],[DATA DE LANÇAMENTO]],"M")))</f>
        <v>10</v>
      </c>
      <c r="AD83" s="524" t="str">
        <f>IF(LANÇ_MOV[[#This Row],[DATA DE LANÇAMENTO]]="","",TEXT(LANÇ_MOV[[#This Row],[DATA DE LANÇAMENTO]],"D"))</f>
        <v>1</v>
      </c>
      <c r="AE83" s="526" t="str">
        <f>IF(LANÇ_MOV[[#This Row],[DATA DE VENCIMENTO]]="","",TEXT(LANÇ_MOV[[#This Row],[DATA DE VENCIMENTO]],"AAAA"))</f>
        <v>2026</v>
      </c>
      <c r="AF83" s="526" t="str">
        <f>IF(LANÇ_MOV[[#This Row],[DATA DE VENCIMENTO]]="","",UPPER(TEXT(LANÇ_MOV[[#This Row],[DATA DE VENCIMENTO]],"MMMM")))</f>
        <v>AGOSTO</v>
      </c>
      <c r="AG83" s="526" t="str">
        <f>IF(LANÇ_MOV[[#This Row],[DATA DE VENCIMENTO]]="","",TEXT(LANÇ_MOV[[#This Row],[DATA DE VENCIMENTO]],"M"))</f>
        <v>8</v>
      </c>
      <c r="AH83" s="526" t="str">
        <f>IF(LANÇ_MOV[[#This Row],[DATA DE VENCIMENTO]]="","",TEXT(LANÇ_MOV[[#This Row],[DATA DE VENCIMENTO]],"D"))</f>
        <v>20</v>
      </c>
      <c r="AI83" s="526" t="str">
        <f>IF(LANÇ_MOV[[#This Row],[DATA DE PAGAMENTO]]="","",TEXT(LANÇ_MOV[[#This Row],[DATA DE PAGAMENTO]],"AAAA"))</f>
        <v/>
      </c>
      <c r="AJ83" s="527" t="str">
        <f>IF(LANÇ_MOV[[#This Row],[DATA DE PAGAMENTO]]="","",UPPER(TEXT(LANÇ_MOV[[#This Row],[DATA DE PAGAMENTO]],"MMMM")))</f>
        <v/>
      </c>
      <c r="AK83" s="527" t="str">
        <f>IF(LANÇ_MOV[[#This Row],[DATA DE PAGAMENTO]]="","",TEXT(LANÇ_MOV[[#This Row],[DATA DE PAGAMENTO]],"M"))</f>
        <v/>
      </c>
      <c r="AL83" s="526" t="str">
        <f>IF(LANÇ_MOV[[#This Row],[DATA DE PAGAMENTO]]="","",TEXT(LANÇ_MOV[[#This Row],[DATA DE PAGAMENTO]],"D"))</f>
        <v/>
      </c>
      <c r="AM83" s="210"/>
      <c r="BC83" s="112"/>
      <c r="BD83" s="112"/>
    </row>
    <row r="84" spans="1:56" ht="30.05" customHeight="1" x14ac:dyDescent="0.35">
      <c r="B84" s="506">
        <v>45931</v>
      </c>
      <c r="C84" s="507" t="s">
        <v>1661</v>
      </c>
      <c r="D84" s="508" t="s">
        <v>1854</v>
      </c>
      <c r="E84" s="509" t="s">
        <v>228</v>
      </c>
      <c r="F84" s="510" t="s">
        <v>1822</v>
      </c>
      <c r="G84" s="507"/>
      <c r="H84" s="511">
        <v>0</v>
      </c>
      <c r="I84" s="512" t="s">
        <v>1760</v>
      </c>
      <c r="J84" s="510">
        <v>3200</v>
      </c>
      <c r="K84" s="513">
        <v>0</v>
      </c>
      <c r="L84" s="513">
        <v>0</v>
      </c>
      <c r="M84" s="513">
        <v>0</v>
      </c>
      <c r="N84" s="514">
        <f>LANÇ_MOV[[#This Row],[VALOR BRUTO]]-LANÇ_MOV[[#This Row],[DESCONTO]]+LANÇ_MOV[[#This Row],[JUROS]]+LANÇ_MOV[[#This Row],[MULTA]]</f>
        <v>3200</v>
      </c>
      <c r="O84" s="515">
        <v>46285</v>
      </c>
      <c r="P84" s="516" t="str">
        <f t="shared" ca="1" si="1"/>
        <v>Prazo - Mais de 1 mês</v>
      </c>
      <c r="Q84" s="517"/>
      <c r="R84" s="531" t="s">
        <v>1506</v>
      </c>
      <c r="S84" s="531"/>
      <c r="T84" s="531" t="s">
        <v>1776</v>
      </c>
      <c r="U84" s="519" t="s">
        <v>2008</v>
      </c>
      <c r="V84" s="520" t="str">
        <f>IFERROR(VLOOKUP(LANÇ_MOV[[#This Row],[PLANO DE CONTAS]],Plano_Contas[[PLANO DE CONTAS]:[R / D]],3,0),"")</f>
        <v>Despesa</v>
      </c>
      <c r="W84" s="521" t="str">
        <f>IF(LANÇ_MOV[[#This Row],[DATA DE PAGAMENTO]]&lt;&gt;"","Pago","Não Pago")</f>
        <v>Não Pago</v>
      </c>
      <c r="X84" s="522" t="str">
        <f>IFERROR(IF(LANÇ_MOV[[#This Row],[DATA DE PAGAMENTO]]="","",(UPPER(TEXT(LANÇ_MOV[[#This Row],[DATA DE PAGAMENTO]],"mmmm")))),"")</f>
        <v/>
      </c>
      <c r="Y84" s="523" t="str">
        <f>IFERROR(VLOOKUP(LANÇ_MOV[[#This Row],[PLANO DE CONTAS]],Plano_Contas[[PLANO DE CONTAS]:[NOMES INTERVALOS]],2,0),"")</f>
        <v>Despesas_Com_RH</v>
      </c>
      <c r="Z84" s="523" t="str">
        <f>IF(LANÇ_MOV[[#This Row],[FORMA DE PAGAMENTO]]="","",VLOOKUP(LANÇ_MOV[[#This Row],[FORMA DE PAGAMENTO]],CAD_Forma_pagto[],2,0))</f>
        <v>BOLETO</v>
      </c>
      <c r="AA84" s="524" t="str">
        <f>IF(LANÇ_MOV[[#This Row],[DATA DE LANÇAMENTO]]="","",TEXT(LANÇ_MOV[[#This Row],[DATA DE LANÇAMENTO]],"AAAA"))</f>
        <v>2025</v>
      </c>
      <c r="AB84" s="524" t="str">
        <f>IF(LANÇ_MOV[[#This Row],[DATA DE LANÇAMENTO]]="","",UPPER(TEXT(LANÇ_MOV[[#This Row],[DATA DE LANÇAMENTO]],"MMMM")))</f>
        <v>OUTUBRO</v>
      </c>
      <c r="AC84" s="525" t="str">
        <f>IF(LANÇ_MOV[[#This Row],[DATA DE LANÇAMENTO]]="","",PROPER(TEXT(LANÇ_MOV[[#This Row],[DATA DE LANÇAMENTO]],"M")))</f>
        <v>10</v>
      </c>
      <c r="AD84" s="524" t="str">
        <f>IF(LANÇ_MOV[[#This Row],[DATA DE LANÇAMENTO]]="","",TEXT(LANÇ_MOV[[#This Row],[DATA DE LANÇAMENTO]],"D"))</f>
        <v>1</v>
      </c>
      <c r="AE84" s="526" t="str">
        <f>IF(LANÇ_MOV[[#This Row],[DATA DE VENCIMENTO]]="","",TEXT(LANÇ_MOV[[#This Row],[DATA DE VENCIMENTO]],"AAAA"))</f>
        <v>2026</v>
      </c>
      <c r="AF84" s="526" t="str">
        <f>IF(LANÇ_MOV[[#This Row],[DATA DE VENCIMENTO]]="","",UPPER(TEXT(LANÇ_MOV[[#This Row],[DATA DE VENCIMENTO]],"MMMM")))</f>
        <v>SETEMBRO</v>
      </c>
      <c r="AG84" s="526" t="str">
        <f>IF(LANÇ_MOV[[#This Row],[DATA DE VENCIMENTO]]="","",TEXT(LANÇ_MOV[[#This Row],[DATA DE VENCIMENTO]],"M"))</f>
        <v>9</v>
      </c>
      <c r="AH84" s="526" t="str">
        <f>IF(LANÇ_MOV[[#This Row],[DATA DE VENCIMENTO]]="","",TEXT(LANÇ_MOV[[#This Row],[DATA DE VENCIMENTO]],"D"))</f>
        <v>20</v>
      </c>
      <c r="AI84" s="526" t="str">
        <f>IF(LANÇ_MOV[[#This Row],[DATA DE PAGAMENTO]]="","",TEXT(LANÇ_MOV[[#This Row],[DATA DE PAGAMENTO]],"AAAA"))</f>
        <v/>
      </c>
      <c r="AJ84" s="527" t="str">
        <f>IF(LANÇ_MOV[[#This Row],[DATA DE PAGAMENTO]]="","",UPPER(TEXT(LANÇ_MOV[[#This Row],[DATA DE PAGAMENTO]],"MMMM")))</f>
        <v/>
      </c>
      <c r="AK84" s="527" t="str">
        <f>IF(LANÇ_MOV[[#This Row],[DATA DE PAGAMENTO]]="","",TEXT(LANÇ_MOV[[#This Row],[DATA DE PAGAMENTO]],"M"))</f>
        <v/>
      </c>
      <c r="AL84" s="526" t="str">
        <f>IF(LANÇ_MOV[[#This Row],[DATA DE PAGAMENTO]]="","",TEXT(LANÇ_MOV[[#This Row],[DATA DE PAGAMENTO]],"D"))</f>
        <v/>
      </c>
      <c r="AM84" s="210"/>
      <c r="BC84" s="112"/>
      <c r="BD84" s="112"/>
    </row>
    <row r="85" spans="1:56" ht="30.05" customHeight="1" x14ac:dyDescent="0.35">
      <c r="B85" s="506">
        <v>45931</v>
      </c>
      <c r="C85" s="507" t="s">
        <v>1661</v>
      </c>
      <c r="D85" s="508" t="s">
        <v>1854</v>
      </c>
      <c r="E85" s="509" t="s">
        <v>228</v>
      </c>
      <c r="F85" s="510" t="s">
        <v>1822</v>
      </c>
      <c r="G85" s="507"/>
      <c r="H85" s="511">
        <v>0</v>
      </c>
      <c r="I85" s="512" t="s">
        <v>1760</v>
      </c>
      <c r="J85" s="510">
        <v>3200</v>
      </c>
      <c r="K85" s="513">
        <v>0</v>
      </c>
      <c r="L85" s="513">
        <v>0</v>
      </c>
      <c r="M85" s="513">
        <v>0</v>
      </c>
      <c r="N85" s="514">
        <f>LANÇ_MOV[[#This Row],[VALOR BRUTO]]-LANÇ_MOV[[#This Row],[DESCONTO]]+LANÇ_MOV[[#This Row],[JUROS]]+LANÇ_MOV[[#This Row],[MULTA]]</f>
        <v>3200</v>
      </c>
      <c r="O85" s="515">
        <v>46315</v>
      </c>
      <c r="P85" s="516" t="str">
        <f t="shared" ca="1" si="1"/>
        <v>Prazo - Mais de 1 mês</v>
      </c>
      <c r="Q85" s="517"/>
      <c r="R85" s="531" t="s">
        <v>1506</v>
      </c>
      <c r="S85" s="531"/>
      <c r="T85" s="531" t="s">
        <v>1776</v>
      </c>
      <c r="U85" s="519" t="s">
        <v>2008</v>
      </c>
      <c r="V85" s="520" t="str">
        <f>IFERROR(VLOOKUP(LANÇ_MOV[[#This Row],[PLANO DE CONTAS]],Plano_Contas[[PLANO DE CONTAS]:[R / D]],3,0),"")</f>
        <v>Despesa</v>
      </c>
      <c r="W85" s="521" t="str">
        <f>IF(LANÇ_MOV[[#This Row],[DATA DE PAGAMENTO]]&lt;&gt;"","Pago","Não Pago")</f>
        <v>Não Pago</v>
      </c>
      <c r="X85" s="522" t="str">
        <f>IFERROR(IF(LANÇ_MOV[[#This Row],[DATA DE PAGAMENTO]]="","",(UPPER(TEXT(LANÇ_MOV[[#This Row],[DATA DE PAGAMENTO]],"mmmm")))),"")</f>
        <v/>
      </c>
      <c r="Y85" s="523" t="str">
        <f>IFERROR(VLOOKUP(LANÇ_MOV[[#This Row],[PLANO DE CONTAS]],Plano_Contas[[PLANO DE CONTAS]:[NOMES INTERVALOS]],2,0),"")</f>
        <v>Despesas_Com_RH</v>
      </c>
      <c r="Z85" s="523" t="str">
        <f>IF(LANÇ_MOV[[#This Row],[FORMA DE PAGAMENTO]]="","",VLOOKUP(LANÇ_MOV[[#This Row],[FORMA DE PAGAMENTO]],CAD_Forma_pagto[],2,0))</f>
        <v>BOLETO</v>
      </c>
      <c r="AA85" s="524" t="str">
        <f>IF(LANÇ_MOV[[#This Row],[DATA DE LANÇAMENTO]]="","",TEXT(LANÇ_MOV[[#This Row],[DATA DE LANÇAMENTO]],"AAAA"))</f>
        <v>2025</v>
      </c>
      <c r="AB85" s="524" t="str">
        <f>IF(LANÇ_MOV[[#This Row],[DATA DE LANÇAMENTO]]="","",UPPER(TEXT(LANÇ_MOV[[#This Row],[DATA DE LANÇAMENTO]],"MMMM")))</f>
        <v>OUTUBRO</v>
      </c>
      <c r="AC85" s="525" t="str">
        <f>IF(LANÇ_MOV[[#This Row],[DATA DE LANÇAMENTO]]="","",PROPER(TEXT(LANÇ_MOV[[#This Row],[DATA DE LANÇAMENTO]],"M")))</f>
        <v>10</v>
      </c>
      <c r="AD85" s="524" t="str">
        <f>IF(LANÇ_MOV[[#This Row],[DATA DE LANÇAMENTO]]="","",TEXT(LANÇ_MOV[[#This Row],[DATA DE LANÇAMENTO]],"D"))</f>
        <v>1</v>
      </c>
      <c r="AE85" s="526" t="str">
        <f>IF(LANÇ_MOV[[#This Row],[DATA DE VENCIMENTO]]="","",TEXT(LANÇ_MOV[[#This Row],[DATA DE VENCIMENTO]],"AAAA"))</f>
        <v>2026</v>
      </c>
      <c r="AF85" s="526" t="str">
        <f>IF(LANÇ_MOV[[#This Row],[DATA DE VENCIMENTO]]="","",UPPER(TEXT(LANÇ_MOV[[#This Row],[DATA DE VENCIMENTO]],"MMMM")))</f>
        <v>OUTUBRO</v>
      </c>
      <c r="AG85" s="526" t="str">
        <f>IF(LANÇ_MOV[[#This Row],[DATA DE VENCIMENTO]]="","",TEXT(LANÇ_MOV[[#This Row],[DATA DE VENCIMENTO]],"M"))</f>
        <v>10</v>
      </c>
      <c r="AH85" s="526" t="str">
        <f>IF(LANÇ_MOV[[#This Row],[DATA DE VENCIMENTO]]="","",TEXT(LANÇ_MOV[[#This Row],[DATA DE VENCIMENTO]],"D"))</f>
        <v>20</v>
      </c>
      <c r="AI85" s="526" t="str">
        <f>IF(LANÇ_MOV[[#This Row],[DATA DE PAGAMENTO]]="","",TEXT(LANÇ_MOV[[#This Row],[DATA DE PAGAMENTO]],"AAAA"))</f>
        <v/>
      </c>
      <c r="AJ85" s="527" t="str">
        <f>IF(LANÇ_MOV[[#This Row],[DATA DE PAGAMENTO]]="","",UPPER(TEXT(LANÇ_MOV[[#This Row],[DATA DE PAGAMENTO]],"MMMM")))</f>
        <v/>
      </c>
      <c r="AK85" s="527" t="str">
        <f>IF(LANÇ_MOV[[#This Row],[DATA DE PAGAMENTO]]="","",TEXT(LANÇ_MOV[[#This Row],[DATA DE PAGAMENTO]],"M"))</f>
        <v/>
      </c>
      <c r="AL85" s="526" t="str">
        <f>IF(LANÇ_MOV[[#This Row],[DATA DE PAGAMENTO]]="","",TEXT(LANÇ_MOV[[#This Row],[DATA DE PAGAMENTO]],"D"))</f>
        <v/>
      </c>
      <c r="AM85" s="210"/>
      <c r="BC85" s="112"/>
      <c r="BD85" s="112"/>
    </row>
    <row r="86" spans="1:56" ht="30.05" customHeight="1" x14ac:dyDescent="0.35">
      <c r="B86" s="534">
        <v>45931</v>
      </c>
      <c r="C86" s="507" t="s">
        <v>1661</v>
      </c>
      <c r="D86" s="508" t="s">
        <v>1854</v>
      </c>
      <c r="E86" s="509" t="s">
        <v>228</v>
      </c>
      <c r="F86" s="510" t="s">
        <v>1822</v>
      </c>
      <c r="G86" s="507"/>
      <c r="H86" s="511">
        <v>0</v>
      </c>
      <c r="I86" s="512" t="s">
        <v>1760</v>
      </c>
      <c r="J86" s="510">
        <v>3200</v>
      </c>
      <c r="K86" s="513">
        <v>0</v>
      </c>
      <c r="L86" s="513">
        <v>0</v>
      </c>
      <c r="M86" s="513">
        <v>0</v>
      </c>
      <c r="N86" s="514">
        <f>LANÇ_MOV[[#This Row],[VALOR BRUTO]]-LANÇ_MOV[[#This Row],[DESCONTO]]+LANÇ_MOV[[#This Row],[JUROS]]+LANÇ_MOV[[#This Row],[MULTA]]</f>
        <v>3200</v>
      </c>
      <c r="O86" s="528">
        <v>46346</v>
      </c>
      <c r="P86" s="516" t="str">
        <f t="shared" ca="1" si="1"/>
        <v>Prazo - Mais de 1 mês</v>
      </c>
      <c r="Q86" s="530"/>
      <c r="R86" s="531" t="s">
        <v>1506</v>
      </c>
      <c r="S86" s="518"/>
      <c r="T86" s="531" t="s">
        <v>1776</v>
      </c>
      <c r="U86" s="519" t="s">
        <v>2008</v>
      </c>
      <c r="V86" s="520" t="str">
        <f>IFERROR(VLOOKUP(LANÇ_MOV[[#This Row],[PLANO DE CONTAS]],Plano_Contas[[PLANO DE CONTAS]:[R / D]],3,0),"")</f>
        <v>Despesa</v>
      </c>
      <c r="W86" s="521" t="str">
        <f>IF(LANÇ_MOV[[#This Row],[DATA DE PAGAMENTO]]&lt;&gt;"","Pago","Não Pago")</f>
        <v>Não Pago</v>
      </c>
      <c r="X86" s="522" t="str">
        <f>IFERROR(IF(LANÇ_MOV[[#This Row],[DATA DE PAGAMENTO]]="","",(UPPER(TEXT(LANÇ_MOV[[#This Row],[DATA DE PAGAMENTO]],"mmmm")))),"")</f>
        <v/>
      </c>
      <c r="Y86" s="523" t="str">
        <f>IFERROR(VLOOKUP(LANÇ_MOV[[#This Row],[PLANO DE CONTAS]],Plano_Contas[[PLANO DE CONTAS]:[NOMES INTERVALOS]],2,0),"")</f>
        <v>Despesas_Com_RH</v>
      </c>
      <c r="Z86" s="523" t="str">
        <f>IF(LANÇ_MOV[[#This Row],[FORMA DE PAGAMENTO]]="","",VLOOKUP(LANÇ_MOV[[#This Row],[FORMA DE PAGAMENTO]],CAD_Forma_pagto[],2,0))</f>
        <v>BOLETO</v>
      </c>
      <c r="AA86" s="524" t="str">
        <f>IF(LANÇ_MOV[[#This Row],[DATA DE LANÇAMENTO]]="","",TEXT(LANÇ_MOV[[#This Row],[DATA DE LANÇAMENTO]],"AAAA"))</f>
        <v>2025</v>
      </c>
      <c r="AB86" s="524" t="str">
        <f>IF(LANÇ_MOV[[#This Row],[DATA DE LANÇAMENTO]]="","",UPPER(TEXT(LANÇ_MOV[[#This Row],[DATA DE LANÇAMENTO]],"MMMM")))</f>
        <v>OUTUBRO</v>
      </c>
      <c r="AC86" s="525" t="str">
        <f>IF(LANÇ_MOV[[#This Row],[DATA DE LANÇAMENTO]]="","",PROPER(TEXT(LANÇ_MOV[[#This Row],[DATA DE LANÇAMENTO]],"M")))</f>
        <v>10</v>
      </c>
      <c r="AD86" s="524" t="str">
        <f>IF(LANÇ_MOV[[#This Row],[DATA DE LANÇAMENTO]]="","",TEXT(LANÇ_MOV[[#This Row],[DATA DE LANÇAMENTO]],"D"))</f>
        <v>1</v>
      </c>
      <c r="AE86" s="526" t="str">
        <f>IF(LANÇ_MOV[[#This Row],[DATA DE VENCIMENTO]]="","",TEXT(LANÇ_MOV[[#This Row],[DATA DE VENCIMENTO]],"AAAA"))</f>
        <v>2026</v>
      </c>
      <c r="AF86" s="526" t="str">
        <f>IF(LANÇ_MOV[[#This Row],[DATA DE VENCIMENTO]]="","",UPPER(TEXT(LANÇ_MOV[[#This Row],[DATA DE VENCIMENTO]],"MMMM")))</f>
        <v>NOVEMBRO</v>
      </c>
      <c r="AG86" s="526" t="str">
        <f>IF(LANÇ_MOV[[#This Row],[DATA DE VENCIMENTO]]="","",TEXT(LANÇ_MOV[[#This Row],[DATA DE VENCIMENTO]],"M"))</f>
        <v>11</v>
      </c>
      <c r="AH86" s="526" t="str">
        <f>IF(LANÇ_MOV[[#This Row],[DATA DE VENCIMENTO]]="","",TEXT(LANÇ_MOV[[#This Row],[DATA DE VENCIMENTO]],"D"))</f>
        <v>20</v>
      </c>
      <c r="AI86" s="526" t="str">
        <f>IF(LANÇ_MOV[[#This Row],[DATA DE PAGAMENTO]]="","",TEXT(LANÇ_MOV[[#This Row],[DATA DE PAGAMENTO]],"AAAA"))</f>
        <v/>
      </c>
      <c r="AJ86" s="527" t="str">
        <f>IF(LANÇ_MOV[[#This Row],[DATA DE PAGAMENTO]]="","",UPPER(TEXT(LANÇ_MOV[[#This Row],[DATA DE PAGAMENTO]],"MMMM")))</f>
        <v/>
      </c>
      <c r="AK86" s="527" t="str">
        <f>IF(LANÇ_MOV[[#This Row],[DATA DE PAGAMENTO]]="","",TEXT(LANÇ_MOV[[#This Row],[DATA DE PAGAMENTO]],"M"))</f>
        <v/>
      </c>
      <c r="AL86" s="526" t="str">
        <f>IF(LANÇ_MOV[[#This Row],[DATA DE PAGAMENTO]]="","",TEXT(LANÇ_MOV[[#This Row],[DATA DE PAGAMENTO]],"D"))</f>
        <v/>
      </c>
      <c r="AM86" s="210"/>
      <c r="BC86" s="112"/>
      <c r="BD86" s="112"/>
    </row>
    <row r="87" spans="1:56" ht="30.05" customHeight="1" x14ac:dyDescent="0.35">
      <c r="B87" s="506">
        <v>45931</v>
      </c>
      <c r="C87" s="507" t="s">
        <v>1661</v>
      </c>
      <c r="D87" s="508" t="s">
        <v>1854</v>
      </c>
      <c r="E87" s="509" t="s">
        <v>228</v>
      </c>
      <c r="F87" s="510" t="s">
        <v>1822</v>
      </c>
      <c r="G87" s="507"/>
      <c r="H87" s="511">
        <v>0</v>
      </c>
      <c r="I87" s="512" t="s">
        <v>1760</v>
      </c>
      <c r="J87" s="510">
        <v>3200</v>
      </c>
      <c r="K87" s="513">
        <v>0</v>
      </c>
      <c r="L87" s="513">
        <v>0</v>
      </c>
      <c r="M87" s="513">
        <v>0</v>
      </c>
      <c r="N87" s="514">
        <f>LANÇ_MOV[[#This Row],[VALOR BRUTO]]-LANÇ_MOV[[#This Row],[DESCONTO]]+LANÇ_MOV[[#This Row],[JUROS]]+LANÇ_MOV[[#This Row],[MULTA]]</f>
        <v>3200</v>
      </c>
      <c r="O87" s="515">
        <v>46376</v>
      </c>
      <c r="P87" s="516" t="str">
        <f t="shared" ca="1" si="1"/>
        <v>Prazo - Mais de 1 mês</v>
      </c>
      <c r="Q87" s="517"/>
      <c r="R87" s="531" t="s">
        <v>1506</v>
      </c>
      <c r="S87" s="531"/>
      <c r="T87" s="531" t="s">
        <v>1776</v>
      </c>
      <c r="U87" s="519" t="s">
        <v>2008</v>
      </c>
      <c r="V87" s="520" t="str">
        <f>IFERROR(VLOOKUP(LANÇ_MOV[[#This Row],[PLANO DE CONTAS]],Plano_Contas[[PLANO DE CONTAS]:[R / D]],3,0),"")</f>
        <v>Despesa</v>
      </c>
      <c r="W87" s="521" t="str">
        <f>IF(LANÇ_MOV[[#This Row],[DATA DE PAGAMENTO]]&lt;&gt;"","Pago","Não Pago")</f>
        <v>Não Pago</v>
      </c>
      <c r="X87" s="522" t="str">
        <f>IFERROR(IF(LANÇ_MOV[[#This Row],[DATA DE PAGAMENTO]]="","",(UPPER(TEXT(LANÇ_MOV[[#This Row],[DATA DE PAGAMENTO]],"mmmm")))),"")</f>
        <v/>
      </c>
      <c r="Y87" s="523" t="str">
        <f>IFERROR(VLOOKUP(LANÇ_MOV[[#This Row],[PLANO DE CONTAS]],Plano_Contas[[PLANO DE CONTAS]:[NOMES INTERVALOS]],2,0),"")</f>
        <v>Despesas_Com_RH</v>
      </c>
      <c r="Z87" s="523" t="str">
        <f>IF(LANÇ_MOV[[#This Row],[FORMA DE PAGAMENTO]]="","",VLOOKUP(LANÇ_MOV[[#This Row],[FORMA DE PAGAMENTO]],CAD_Forma_pagto[],2,0))</f>
        <v>BOLETO</v>
      </c>
      <c r="AA87" s="524" t="str">
        <f>IF(LANÇ_MOV[[#This Row],[DATA DE LANÇAMENTO]]="","",TEXT(LANÇ_MOV[[#This Row],[DATA DE LANÇAMENTO]],"AAAA"))</f>
        <v>2025</v>
      </c>
      <c r="AB87" s="524" t="str">
        <f>IF(LANÇ_MOV[[#This Row],[DATA DE LANÇAMENTO]]="","",UPPER(TEXT(LANÇ_MOV[[#This Row],[DATA DE LANÇAMENTO]],"MMMM")))</f>
        <v>OUTUBRO</v>
      </c>
      <c r="AC87" s="525" t="str">
        <f>IF(LANÇ_MOV[[#This Row],[DATA DE LANÇAMENTO]]="","",PROPER(TEXT(LANÇ_MOV[[#This Row],[DATA DE LANÇAMENTO]],"M")))</f>
        <v>10</v>
      </c>
      <c r="AD87" s="524" t="str">
        <f>IF(LANÇ_MOV[[#This Row],[DATA DE LANÇAMENTO]]="","",TEXT(LANÇ_MOV[[#This Row],[DATA DE LANÇAMENTO]],"D"))</f>
        <v>1</v>
      </c>
      <c r="AE87" s="526" t="str">
        <f>IF(LANÇ_MOV[[#This Row],[DATA DE VENCIMENTO]]="","",TEXT(LANÇ_MOV[[#This Row],[DATA DE VENCIMENTO]],"AAAA"))</f>
        <v>2026</v>
      </c>
      <c r="AF87" s="526" t="str">
        <f>IF(LANÇ_MOV[[#This Row],[DATA DE VENCIMENTO]]="","",UPPER(TEXT(LANÇ_MOV[[#This Row],[DATA DE VENCIMENTO]],"MMMM")))</f>
        <v>DEZEMBRO</v>
      </c>
      <c r="AG87" s="526" t="str">
        <f>IF(LANÇ_MOV[[#This Row],[DATA DE VENCIMENTO]]="","",TEXT(LANÇ_MOV[[#This Row],[DATA DE VENCIMENTO]],"M"))</f>
        <v>12</v>
      </c>
      <c r="AH87" s="526" t="str">
        <f>IF(LANÇ_MOV[[#This Row],[DATA DE VENCIMENTO]]="","",TEXT(LANÇ_MOV[[#This Row],[DATA DE VENCIMENTO]],"D"))</f>
        <v>20</v>
      </c>
      <c r="AI87" s="526" t="str">
        <f>IF(LANÇ_MOV[[#This Row],[DATA DE PAGAMENTO]]="","",TEXT(LANÇ_MOV[[#This Row],[DATA DE PAGAMENTO]],"AAAA"))</f>
        <v/>
      </c>
      <c r="AJ87" s="527" t="str">
        <f>IF(LANÇ_MOV[[#This Row],[DATA DE PAGAMENTO]]="","",UPPER(TEXT(LANÇ_MOV[[#This Row],[DATA DE PAGAMENTO]],"MMMM")))</f>
        <v/>
      </c>
      <c r="AK87" s="527" t="str">
        <f>IF(LANÇ_MOV[[#This Row],[DATA DE PAGAMENTO]]="","",TEXT(LANÇ_MOV[[#This Row],[DATA DE PAGAMENTO]],"M"))</f>
        <v/>
      </c>
      <c r="AL87" s="526" t="str">
        <f>IF(LANÇ_MOV[[#This Row],[DATA DE PAGAMENTO]]="","",TEXT(LANÇ_MOV[[#This Row],[DATA DE PAGAMENTO]],"D"))</f>
        <v/>
      </c>
      <c r="AM87" s="210"/>
      <c r="BC87" s="112"/>
      <c r="BD87" s="112"/>
    </row>
    <row r="88" spans="1:56" ht="30.05" customHeight="1" x14ac:dyDescent="0.35">
      <c r="B88" s="506">
        <v>45931</v>
      </c>
      <c r="C88" s="507" t="s">
        <v>1661</v>
      </c>
      <c r="D88" s="508" t="s">
        <v>1854</v>
      </c>
      <c r="E88" s="509" t="s">
        <v>1144</v>
      </c>
      <c r="F88" s="510" t="s">
        <v>1488</v>
      </c>
      <c r="G88" s="507"/>
      <c r="H88" s="511">
        <v>0</v>
      </c>
      <c r="I88" s="512" t="s">
        <v>1746</v>
      </c>
      <c r="J88" s="510">
        <v>85.5</v>
      </c>
      <c r="K88" s="513">
        <v>0</v>
      </c>
      <c r="L88" s="513">
        <v>0</v>
      </c>
      <c r="M88" s="513">
        <v>0</v>
      </c>
      <c r="N88" s="514">
        <f>LANÇ_MOV[[#This Row],[VALOR BRUTO]]-LANÇ_MOV[[#This Row],[DESCONTO]]+LANÇ_MOV[[#This Row],[JUROS]]+LANÇ_MOV[[#This Row],[MULTA]]</f>
        <v>85.5</v>
      </c>
      <c r="O88" s="515">
        <v>45945</v>
      </c>
      <c r="P88" s="516" t="str">
        <f t="shared" ca="1" si="1"/>
        <v>Pago</v>
      </c>
      <c r="Q88" s="517">
        <v>45945</v>
      </c>
      <c r="R88" s="531" t="s">
        <v>1506</v>
      </c>
      <c r="S88" s="531"/>
      <c r="T88" s="531" t="s">
        <v>1776</v>
      </c>
      <c r="U88" s="519" t="s">
        <v>2008</v>
      </c>
      <c r="V88" s="520" t="str">
        <f>IFERROR(VLOOKUP(LANÇ_MOV[[#This Row],[PLANO DE CONTAS]],Plano_Contas[[PLANO DE CONTAS]:[R / D]],3,0),"")</f>
        <v>Despesa</v>
      </c>
      <c r="W88" s="521" t="str">
        <f>IF(LANÇ_MOV[[#This Row],[DATA DE PAGAMENTO]]&lt;&gt;"","Pago","Não Pago")</f>
        <v>Pago</v>
      </c>
      <c r="X88" s="522" t="str">
        <f>IFERROR(IF(LANÇ_MOV[[#This Row],[DATA DE PAGAMENTO]]="","",(UPPER(TEXT(LANÇ_MOV[[#This Row],[DATA DE PAGAMENTO]],"mmmm")))),"")</f>
        <v>OUTUBRO</v>
      </c>
      <c r="Y88" s="523" t="str">
        <f>IFERROR(VLOOKUP(LANÇ_MOV[[#This Row],[PLANO DE CONTAS]],Plano_Contas[[PLANO DE CONTAS]:[NOMES INTERVALOS]],2,0),"")</f>
        <v>Despesas_Administrativas</v>
      </c>
      <c r="Z88" s="523" t="str">
        <f>IF(LANÇ_MOV[[#This Row],[FORMA DE PAGAMENTO]]="","",VLOOKUP(LANÇ_MOV[[#This Row],[FORMA DE PAGAMENTO]],CAD_Forma_pagto[],2,0))</f>
        <v>BOLETO</v>
      </c>
      <c r="AA88" s="524" t="str">
        <f>IF(LANÇ_MOV[[#This Row],[DATA DE LANÇAMENTO]]="","",TEXT(LANÇ_MOV[[#This Row],[DATA DE LANÇAMENTO]],"AAAA"))</f>
        <v>2025</v>
      </c>
      <c r="AB88" s="524" t="str">
        <f>IF(LANÇ_MOV[[#This Row],[DATA DE LANÇAMENTO]]="","",UPPER(TEXT(LANÇ_MOV[[#This Row],[DATA DE LANÇAMENTO]],"MMMM")))</f>
        <v>OUTUBRO</v>
      </c>
      <c r="AC88" s="525" t="str">
        <f>IF(LANÇ_MOV[[#This Row],[DATA DE LANÇAMENTO]]="","",PROPER(TEXT(LANÇ_MOV[[#This Row],[DATA DE LANÇAMENTO]],"M")))</f>
        <v>10</v>
      </c>
      <c r="AD88" s="524" t="str">
        <f>IF(LANÇ_MOV[[#This Row],[DATA DE LANÇAMENTO]]="","",TEXT(LANÇ_MOV[[#This Row],[DATA DE LANÇAMENTO]],"D"))</f>
        <v>1</v>
      </c>
      <c r="AE88" s="526" t="str">
        <f>IF(LANÇ_MOV[[#This Row],[DATA DE VENCIMENTO]]="","",TEXT(LANÇ_MOV[[#This Row],[DATA DE VENCIMENTO]],"AAAA"))</f>
        <v>2025</v>
      </c>
      <c r="AF88" s="526" t="str">
        <f>IF(LANÇ_MOV[[#This Row],[DATA DE VENCIMENTO]]="","",UPPER(TEXT(LANÇ_MOV[[#This Row],[DATA DE VENCIMENTO]],"MMMM")))</f>
        <v>OUTUBRO</v>
      </c>
      <c r="AG88" s="526" t="str">
        <f>IF(LANÇ_MOV[[#This Row],[DATA DE VENCIMENTO]]="","",TEXT(LANÇ_MOV[[#This Row],[DATA DE VENCIMENTO]],"M"))</f>
        <v>10</v>
      </c>
      <c r="AH88" s="526" t="str">
        <f>IF(LANÇ_MOV[[#This Row],[DATA DE VENCIMENTO]]="","",TEXT(LANÇ_MOV[[#This Row],[DATA DE VENCIMENTO]],"D"))</f>
        <v>15</v>
      </c>
      <c r="AI88" s="526" t="str">
        <f>IF(LANÇ_MOV[[#This Row],[DATA DE PAGAMENTO]]="","",TEXT(LANÇ_MOV[[#This Row],[DATA DE PAGAMENTO]],"AAAA"))</f>
        <v>2025</v>
      </c>
      <c r="AJ88" s="527" t="str">
        <f>IF(LANÇ_MOV[[#This Row],[DATA DE PAGAMENTO]]="","",UPPER(TEXT(LANÇ_MOV[[#This Row],[DATA DE PAGAMENTO]],"MMMM")))</f>
        <v>OUTUBRO</v>
      </c>
      <c r="AK88" s="527" t="str">
        <f>IF(LANÇ_MOV[[#This Row],[DATA DE PAGAMENTO]]="","",TEXT(LANÇ_MOV[[#This Row],[DATA DE PAGAMENTO]],"M"))</f>
        <v>10</v>
      </c>
      <c r="AL88" s="526" t="str">
        <f>IF(LANÇ_MOV[[#This Row],[DATA DE PAGAMENTO]]="","",TEXT(LANÇ_MOV[[#This Row],[DATA DE PAGAMENTO]],"D"))</f>
        <v>15</v>
      </c>
      <c r="AM88" s="210"/>
      <c r="BC88" s="112"/>
      <c r="BD88" s="112"/>
    </row>
    <row r="89" spans="1:56" ht="30.05" customHeight="1" x14ac:dyDescent="0.35">
      <c r="B89" s="506">
        <v>45931</v>
      </c>
      <c r="C89" s="507" t="s">
        <v>1661</v>
      </c>
      <c r="D89" s="508" t="s">
        <v>1854</v>
      </c>
      <c r="E89" s="509" t="s">
        <v>1144</v>
      </c>
      <c r="F89" s="510" t="s">
        <v>1488</v>
      </c>
      <c r="G89" s="507"/>
      <c r="H89" s="511">
        <v>0</v>
      </c>
      <c r="I89" s="512" t="s">
        <v>1746</v>
      </c>
      <c r="J89" s="510">
        <v>35.24</v>
      </c>
      <c r="K89" s="513">
        <v>0</v>
      </c>
      <c r="L89" s="513">
        <v>0</v>
      </c>
      <c r="M89" s="513">
        <v>0</v>
      </c>
      <c r="N89" s="514">
        <f>LANÇ_MOV[[#This Row],[VALOR BRUTO]]-LANÇ_MOV[[#This Row],[DESCONTO]]+LANÇ_MOV[[#This Row],[JUROS]]+LANÇ_MOV[[#This Row],[MULTA]]</f>
        <v>35.24</v>
      </c>
      <c r="O89" s="528">
        <v>45945</v>
      </c>
      <c r="P89" s="516" t="str">
        <f t="shared" ca="1" si="1"/>
        <v>Pago</v>
      </c>
      <c r="Q89" s="530">
        <v>45945</v>
      </c>
      <c r="R89" s="531" t="s">
        <v>1506</v>
      </c>
      <c r="S89" s="531"/>
      <c r="T89" s="531" t="s">
        <v>1776</v>
      </c>
      <c r="U89" s="519" t="s">
        <v>2008</v>
      </c>
      <c r="V89" s="520" t="str">
        <f>IFERROR(VLOOKUP(LANÇ_MOV[[#This Row],[PLANO DE CONTAS]],Plano_Contas[[PLANO DE CONTAS]:[R / D]],3,0),"")</f>
        <v>Despesa</v>
      </c>
      <c r="W89" s="521" t="str">
        <f>IF(LANÇ_MOV[[#This Row],[DATA DE PAGAMENTO]]&lt;&gt;"","Pago","Não Pago")</f>
        <v>Pago</v>
      </c>
      <c r="X89" s="522" t="str">
        <f>IFERROR(IF(LANÇ_MOV[[#This Row],[DATA DE PAGAMENTO]]="","",(UPPER(TEXT(LANÇ_MOV[[#This Row],[DATA DE PAGAMENTO]],"mmmm")))),"")</f>
        <v>OUTUBRO</v>
      </c>
      <c r="Y89" s="523" t="str">
        <f>IFERROR(VLOOKUP(LANÇ_MOV[[#This Row],[PLANO DE CONTAS]],Plano_Contas[[PLANO DE CONTAS]:[NOMES INTERVALOS]],2,0),"")</f>
        <v>Despesas_Administrativas</v>
      </c>
      <c r="Z89" s="523" t="str">
        <f>IF(LANÇ_MOV[[#This Row],[FORMA DE PAGAMENTO]]="","",VLOOKUP(LANÇ_MOV[[#This Row],[FORMA DE PAGAMENTO]],CAD_Forma_pagto[],2,0))</f>
        <v>BOLETO</v>
      </c>
      <c r="AA89" s="524" t="str">
        <f>IF(LANÇ_MOV[[#This Row],[DATA DE LANÇAMENTO]]="","",TEXT(LANÇ_MOV[[#This Row],[DATA DE LANÇAMENTO]],"AAAA"))</f>
        <v>2025</v>
      </c>
      <c r="AB89" s="524" t="str">
        <f>IF(LANÇ_MOV[[#This Row],[DATA DE LANÇAMENTO]]="","",UPPER(TEXT(LANÇ_MOV[[#This Row],[DATA DE LANÇAMENTO]],"MMMM")))</f>
        <v>OUTUBRO</v>
      </c>
      <c r="AC89" s="525" t="str">
        <f>IF(LANÇ_MOV[[#This Row],[DATA DE LANÇAMENTO]]="","",PROPER(TEXT(LANÇ_MOV[[#This Row],[DATA DE LANÇAMENTO]],"M")))</f>
        <v>10</v>
      </c>
      <c r="AD89" s="524" t="str">
        <f>IF(LANÇ_MOV[[#This Row],[DATA DE LANÇAMENTO]]="","",TEXT(LANÇ_MOV[[#This Row],[DATA DE LANÇAMENTO]],"D"))</f>
        <v>1</v>
      </c>
      <c r="AE89" s="526" t="str">
        <f>IF(LANÇ_MOV[[#This Row],[DATA DE VENCIMENTO]]="","",TEXT(LANÇ_MOV[[#This Row],[DATA DE VENCIMENTO]],"AAAA"))</f>
        <v>2025</v>
      </c>
      <c r="AF89" s="526" t="str">
        <f>IF(LANÇ_MOV[[#This Row],[DATA DE VENCIMENTO]]="","",UPPER(TEXT(LANÇ_MOV[[#This Row],[DATA DE VENCIMENTO]],"MMMM")))</f>
        <v>OUTUBRO</v>
      </c>
      <c r="AG89" s="526" t="str">
        <f>IF(LANÇ_MOV[[#This Row],[DATA DE VENCIMENTO]]="","",TEXT(LANÇ_MOV[[#This Row],[DATA DE VENCIMENTO]],"M"))</f>
        <v>10</v>
      </c>
      <c r="AH89" s="526" t="str">
        <f>IF(LANÇ_MOV[[#This Row],[DATA DE VENCIMENTO]]="","",TEXT(LANÇ_MOV[[#This Row],[DATA DE VENCIMENTO]],"D"))</f>
        <v>15</v>
      </c>
      <c r="AI89" s="526" t="str">
        <f>IF(LANÇ_MOV[[#This Row],[DATA DE PAGAMENTO]]="","",TEXT(LANÇ_MOV[[#This Row],[DATA DE PAGAMENTO]],"AAAA"))</f>
        <v>2025</v>
      </c>
      <c r="AJ89" s="527" t="str">
        <f>IF(LANÇ_MOV[[#This Row],[DATA DE PAGAMENTO]]="","",UPPER(TEXT(LANÇ_MOV[[#This Row],[DATA DE PAGAMENTO]],"MMMM")))</f>
        <v>OUTUBRO</v>
      </c>
      <c r="AK89" s="527" t="str">
        <f>IF(LANÇ_MOV[[#This Row],[DATA DE PAGAMENTO]]="","",TEXT(LANÇ_MOV[[#This Row],[DATA DE PAGAMENTO]],"M"))</f>
        <v>10</v>
      </c>
      <c r="AL89" s="526" t="str">
        <f>IF(LANÇ_MOV[[#This Row],[DATA DE PAGAMENTO]]="","",TEXT(LANÇ_MOV[[#This Row],[DATA DE PAGAMENTO]],"D"))</f>
        <v>15</v>
      </c>
      <c r="AM89" s="210"/>
      <c r="BC89" s="112"/>
      <c r="BD89" s="112"/>
    </row>
    <row r="90" spans="1:56" ht="30.05" customHeight="1" x14ac:dyDescent="0.35">
      <c r="B90" s="506">
        <v>45931</v>
      </c>
      <c r="C90" s="507" t="s">
        <v>1661</v>
      </c>
      <c r="D90" s="508" t="s">
        <v>1854</v>
      </c>
      <c r="E90" s="509" t="s">
        <v>1144</v>
      </c>
      <c r="F90" s="510" t="s">
        <v>1488</v>
      </c>
      <c r="G90" s="507"/>
      <c r="H90" s="511">
        <v>0</v>
      </c>
      <c r="I90" s="512" t="s">
        <v>1746</v>
      </c>
      <c r="J90" s="510">
        <v>23.08</v>
      </c>
      <c r="K90" s="513">
        <v>0</v>
      </c>
      <c r="L90" s="513">
        <v>0</v>
      </c>
      <c r="M90" s="513">
        <v>0</v>
      </c>
      <c r="N90" s="514">
        <f>LANÇ_MOV[[#This Row],[VALOR BRUTO]]-LANÇ_MOV[[#This Row],[DESCONTO]]+LANÇ_MOV[[#This Row],[JUROS]]+LANÇ_MOV[[#This Row],[MULTA]]</f>
        <v>23.08</v>
      </c>
      <c r="O90" s="528">
        <v>45945</v>
      </c>
      <c r="P90" s="516" t="str">
        <f t="shared" ca="1" si="1"/>
        <v>Pago</v>
      </c>
      <c r="Q90" s="530">
        <v>45945</v>
      </c>
      <c r="R90" s="531" t="s">
        <v>1506</v>
      </c>
      <c r="S90" s="531"/>
      <c r="T90" s="531" t="s">
        <v>1776</v>
      </c>
      <c r="U90" s="519" t="s">
        <v>2008</v>
      </c>
      <c r="V90" s="520" t="str">
        <f>IFERROR(VLOOKUP(LANÇ_MOV[[#This Row],[PLANO DE CONTAS]],Plano_Contas[[PLANO DE CONTAS]:[R / D]],3,0),"")</f>
        <v>Despesa</v>
      </c>
      <c r="W90" s="521" t="str">
        <f>IF(LANÇ_MOV[[#This Row],[DATA DE PAGAMENTO]]&lt;&gt;"","Pago","Não Pago")</f>
        <v>Pago</v>
      </c>
      <c r="X90" s="522" t="str">
        <f>IFERROR(IF(LANÇ_MOV[[#This Row],[DATA DE PAGAMENTO]]="","",(UPPER(TEXT(LANÇ_MOV[[#This Row],[DATA DE PAGAMENTO]],"mmmm")))),"")</f>
        <v>OUTUBRO</v>
      </c>
      <c r="Y90" s="523" t="str">
        <f>IFERROR(VLOOKUP(LANÇ_MOV[[#This Row],[PLANO DE CONTAS]],Plano_Contas[[PLANO DE CONTAS]:[NOMES INTERVALOS]],2,0),"")</f>
        <v>Despesas_Administrativas</v>
      </c>
      <c r="Z90" s="523" t="str">
        <f>IF(LANÇ_MOV[[#This Row],[FORMA DE PAGAMENTO]]="","",VLOOKUP(LANÇ_MOV[[#This Row],[FORMA DE PAGAMENTO]],CAD_Forma_pagto[],2,0))</f>
        <v>BOLETO</v>
      </c>
      <c r="AA90" s="524" t="str">
        <f>IF(LANÇ_MOV[[#This Row],[DATA DE LANÇAMENTO]]="","",TEXT(LANÇ_MOV[[#This Row],[DATA DE LANÇAMENTO]],"AAAA"))</f>
        <v>2025</v>
      </c>
      <c r="AB90" s="524" t="str">
        <f>IF(LANÇ_MOV[[#This Row],[DATA DE LANÇAMENTO]]="","",UPPER(TEXT(LANÇ_MOV[[#This Row],[DATA DE LANÇAMENTO]],"MMMM")))</f>
        <v>OUTUBRO</v>
      </c>
      <c r="AC90" s="525" t="str">
        <f>IF(LANÇ_MOV[[#This Row],[DATA DE LANÇAMENTO]]="","",PROPER(TEXT(LANÇ_MOV[[#This Row],[DATA DE LANÇAMENTO]],"M")))</f>
        <v>10</v>
      </c>
      <c r="AD90" s="524" t="str">
        <f>IF(LANÇ_MOV[[#This Row],[DATA DE LANÇAMENTO]]="","",TEXT(LANÇ_MOV[[#This Row],[DATA DE LANÇAMENTO]],"D"))</f>
        <v>1</v>
      </c>
      <c r="AE90" s="526" t="str">
        <f>IF(LANÇ_MOV[[#This Row],[DATA DE VENCIMENTO]]="","",TEXT(LANÇ_MOV[[#This Row],[DATA DE VENCIMENTO]],"AAAA"))</f>
        <v>2025</v>
      </c>
      <c r="AF90" s="526" t="str">
        <f>IF(LANÇ_MOV[[#This Row],[DATA DE VENCIMENTO]]="","",UPPER(TEXT(LANÇ_MOV[[#This Row],[DATA DE VENCIMENTO]],"MMMM")))</f>
        <v>OUTUBRO</v>
      </c>
      <c r="AG90" s="526" t="str">
        <f>IF(LANÇ_MOV[[#This Row],[DATA DE VENCIMENTO]]="","",TEXT(LANÇ_MOV[[#This Row],[DATA DE VENCIMENTO]],"M"))</f>
        <v>10</v>
      </c>
      <c r="AH90" s="526" t="str">
        <f>IF(LANÇ_MOV[[#This Row],[DATA DE VENCIMENTO]]="","",TEXT(LANÇ_MOV[[#This Row],[DATA DE VENCIMENTO]],"D"))</f>
        <v>15</v>
      </c>
      <c r="AI90" s="526" t="str">
        <f>IF(LANÇ_MOV[[#This Row],[DATA DE PAGAMENTO]]="","",TEXT(LANÇ_MOV[[#This Row],[DATA DE PAGAMENTO]],"AAAA"))</f>
        <v>2025</v>
      </c>
      <c r="AJ90" s="527" t="str">
        <f>IF(LANÇ_MOV[[#This Row],[DATA DE PAGAMENTO]]="","",UPPER(TEXT(LANÇ_MOV[[#This Row],[DATA DE PAGAMENTO]],"MMMM")))</f>
        <v>OUTUBRO</v>
      </c>
      <c r="AK90" s="527" t="str">
        <f>IF(LANÇ_MOV[[#This Row],[DATA DE PAGAMENTO]]="","",TEXT(LANÇ_MOV[[#This Row],[DATA DE PAGAMENTO]],"M"))</f>
        <v>10</v>
      </c>
      <c r="AL90" s="526" t="str">
        <f>IF(LANÇ_MOV[[#This Row],[DATA DE PAGAMENTO]]="","",TEXT(LANÇ_MOV[[#This Row],[DATA DE PAGAMENTO]],"D"))</f>
        <v>15</v>
      </c>
      <c r="AM90" s="210"/>
      <c r="BC90" s="112"/>
      <c r="BD90" s="112"/>
    </row>
    <row r="91" spans="1:56" ht="30.05" customHeight="1" x14ac:dyDescent="0.35">
      <c r="B91" s="506">
        <v>45931</v>
      </c>
      <c r="C91" s="507" t="s">
        <v>1661</v>
      </c>
      <c r="D91" s="508" t="s">
        <v>1854</v>
      </c>
      <c r="E91" s="509" t="s">
        <v>1144</v>
      </c>
      <c r="F91" s="510" t="s">
        <v>1488</v>
      </c>
      <c r="G91" s="507"/>
      <c r="H91" s="511"/>
      <c r="I91" s="512" t="s">
        <v>1746</v>
      </c>
      <c r="J91" s="510">
        <v>85.5</v>
      </c>
      <c r="K91" s="513">
        <v>0</v>
      </c>
      <c r="L91" s="513">
        <v>0</v>
      </c>
      <c r="M91" s="513">
        <v>0</v>
      </c>
      <c r="N91" s="514">
        <f>LANÇ_MOV[[#This Row],[VALOR BRUTO]]-LANÇ_MOV[[#This Row],[DESCONTO]]+LANÇ_MOV[[#This Row],[JUROS]]+LANÇ_MOV[[#This Row],[MULTA]]</f>
        <v>85.5</v>
      </c>
      <c r="O91" s="515">
        <v>45976</v>
      </c>
      <c r="P91" s="516" t="str">
        <f t="shared" ca="1" si="1"/>
        <v>Venceu</v>
      </c>
      <c r="Q91" s="517"/>
      <c r="R91" s="531" t="s">
        <v>1506</v>
      </c>
      <c r="S91" s="518"/>
      <c r="T91" s="531" t="s">
        <v>1776</v>
      </c>
      <c r="U91" s="519" t="s">
        <v>2008</v>
      </c>
      <c r="V91" s="520" t="str">
        <f>IFERROR(VLOOKUP(LANÇ_MOV[[#This Row],[PLANO DE CONTAS]],Plano_Contas[[PLANO DE CONTAS]:[R / D]],3,0),"")</f>
        <v>Despesa</v>
      </c>
      <c r="W91" s="521" t="str">
        <f>IF(LANÇ_MOV[[#This Row],[DATA DE PAGAMENTO]]&lt;&gt;"","Pago","Não Pago")</f>
        <v>Não Pago</v>
      </c>
      <c r="X91" s="522" t="str">
        <f>IFERROR(IF(LANÇ_MOV[[#This Row],[DATA DE PAGAMENTO]]="","",(UPPER(TEXT(LANÇ_MOV[[#This Row],[DATA DE PAGAMENTO]],"mmmm")))),"")</f>
        <v/>
      </c>
      <c r="Y91" s="523" t="str">
        <f>IFERROR(VLOOKUP(LANÇ_MOV[[#This Row],[PLANO DE CONTAS]],Plano_Contas[[PLANO DE CONTAS]:[NOMES INTERVALOS]],2,0),"")</f>
        <v>Despesas_Administrativas</v>
      </c>
      <c r="Z91" s="523" t="str">
        <f>IF(LANÇ_MOV[[#This Row],[FORMA DE PAGAMENTO]]="","",VLOOKUP(LANÇ_MOV[[#This Row],[FORMA DE PAGAMENTO]],CAD_Forma_pagto[],2,0))</f>
        <v>BOLETO</v>
      </c>
      <c r="AA91" s="524" t="str">
        <f>IF(LANÇ_MOV[[#This Row],[DATA DE LANÇAMENTO]]="","",TEXT(LANÇ_MOV[[#This Row],[DATA DE LANÇAMENTO]],"AAAA"))</f>
        <v>2025</v>
      </c>
      <c r="AB91" s="524" t="str">
        <f>IF(LANÇ_MOV[[#This Row],[DATA DE LANÇAMENTO]]="","",UPPER(TEXT(LANÇ_MOV[[#This Row],[DATA DE LANÇAMENTO]],"MMMM")))</f>
        <v>OUTUBRO</v>
      </c>
      <c r="AC91" s="525" t="str">
        <f>IF(LANÇ_MOV[[#This Row],[DATA DE LANÇAMENTO]]="","",PROPER(TEXT(LANÇ_MOV[[#This Row],[DATA DE LANÇAMENTO]],"M")))</f>
        <v>10</v>
      </c>
      <c r="AD91" s="524" t="str">
        <f>IF(LANÇ_MOV[[#This Row],[DATA DE LANÇAMENTO]]="","",TEXT(LANÇ_MOV[[#This Row],[DATA DE LANÇAMENTO]],"D"))</f>
        <v>1</v>
      </c>
      <c r="AE91" s="526" t="str">
        <f>IF(LANÇ_MOV[[#This Row],[DATA DE VENCIMENTO]]="","",TEXT(LANÇ_MOV[[#This Row],[DATA DE VENCIMENTO]],"AAAA"))</f>
        <v>2025</v>
      </c>
      <c r="AF91" s="526" t="str">
        <f>IF(LANÇ_MOV[[#This Row],[DATA DE VENCIMENTO]]="","",UPPER(TEXT(LANÇ_MOV[[#This Row],[DATA DE VENCIMENTO]],"MMMM")))</f>
        <v>NOVEMBRO</v>
      </c>
      <c r="AG91" s="526" t="str">
        <f>IF(LANÇ_MOV[[#This Row],[DATA DE VENCIMENTO]]="","",TEXT(LANÇ_MOV[[#This Row],[DATA DE VENCIMENTO]],"M"))</f>
        <v>11</v>
      </c>
      <c r="AH91" s="526" t="str">
        <f>IF(LANÇ_MOV[[#This Row],[DATA DE VENCIMENTO]]="","",TEXT(LANÇ_MOV[[#This Row],[DATA DE VENCIMENTO]],"D"))</f>
        <v>15</v>
      </c>
      <c r="AI91" s="526" t="str">
        <f>IF(LANÇ_MOV[[#This Row],[DATA DE PAGAMENTO]]="","",TEXT(LANÇ_MOV[[#This Row],[DATA DE PAGAMENTO]],"AAAA"))</f>
        <v/>
      </c>
      <c r="AJ91" s="527" t="str">
        <f>IF(LANÇ_MOV[[#This Row],[DATA DE PAGAMENTO]]="","",UPPER(TEXT(LANÇ_MOV[[#This Row],[DATA DE PAGAMENTO]],"MMMM")))</f>
        <v/>
      </c>
      <c r="AK91" s="527" t="str">
        <f>IF(LANÇ_MOV[[#This Row],[DATA DE PAGAMENTO]]="","",TEXT(LANÇ_MOV[[#This Row],[DATA DE PAGAMENTO]],"M"))</f>
        <v/>
      </c>
      <c r="AL91" s="526" t="str">
        <f>IF(LANÇ_MOV[[#This Row],[DATA DE PAGAMENTO]]="","",TEXT(LANÇ_MOV[[#This Row],[DATA DE PAGAMENTO]],"D"))</f>
        <v/>
      </c>
      <c r="AM91" s="210"/>
      <c r="BC91" s="112"/>
      <c r="BD91" s="112"/>
    </row>
    <row r="92" spans="1:56" ht="30.05" customHeight="1" x14ac:dyDescent="0.35">
      <c r="B92" s="506">
        <v>45931</v>
      </c>
      <c r="C92" s="507" t="s">
        <v>1661</v>
      </c>
      <c r="D92" s="508" t="s">
        <v>1854</v>
      </c>
      <c r="E92" s="509" t="s">
        <v>1144</v>
      </c>
      <c r="F92" s="510" t="s">
        <v>1488</v>
      </c>
      <c r="G92" s="507"/>
      <c r="H92" s="511"/>
      <c r="I92" s="512" t="s">
        <v>1746</v>
      </c>
      <c r="J92" s="510">
        <v>85.5</v>
      </c>
      <c r="K92" s="513">
        <v>0</v>
      </c>
      <c r="L92" s="513">
        <v>0</v>
      </c>
      <c r="M92" s="513">
        <v>0</v>
      </c>
      <c r="N92" s="514">
        <f>LANÇ_MOV[[#This Row],[VALOR BRUTO]]-LANÇ_MOV[[#This Row],[DESCONTO]]+LANÇ_MOV[[#This Row],[JUROS]]+LANÇ_MOV[[#This Row],[MULTA]]</f>
        <v>85.5</v>
      </c>
      <c r="O92" s="515">
        <v>46006</v>
      </c>
      <c r="P92" s="516" t="str">
        <f t="shared" ca="1" si="1"/>
        <v>Prazo - Menos de 1 Mês</v>
      </c>
      <c r="Q92" s="517"/>
      <c r="R92" s="531" t="s">
        <v>1506</v>
      </c>
      <c r="S92" s="531"/>
      <c r="T92" s="531" t="s">
        <v>1776</v>
      </c>
      <c r="U92" s="519" t="s">
        <v>2008</v>
      </c>
      <c r="V92" s="520" t="str">
        <f>IFERROR(VLOOKUP(LANÇ_MOV[[#This Row],[PLANO DE CONTAS]],Plano_Contas[[PLANO DE CONTAS]:[R / D]],3,0),"")</f>
        <v>Despesa</v>
      </c>
      <c r="W92" s="521" t="str">
        <f>IF(LANÇ_MOV[[#This Row],[DATA DE PAGAMENTO]]&lt;&gt;"","Pago","Não Pago")</f>
        <v>Não Pago</v>
      </c>
      <c r="X92" s="522" t="str">
        <f>IFERROR(IF(LANÇ_MOV[[#This Row],[DATA DE PAGAMENTO]]="","",(UPPER(TEXT(LANÇ_MOV[[#This Row],[DATA DE PAGAMENTO]],"mmmm")))),"")</f>
        <v/>
      </c>
      <c r="Y92" s="523" t="str">
        <f>IFERROR(VLOOKUP(LANÇ_MOV[[#This Row],[PLANO DE CONTAS]],Plano_Contas[[PLANO DE CONTAS]:[NOMES INTERVALOS]],2,0),"")</f>
        <v>Despesas_Administrativas</v>
      </c>
      <c r="Z92" s="523" t="str">
        <f>IF(LANÇ_MOV[[#This Row],[FORMA DE PAGAMENTO]]="","",VLOOKUP(LANÇ_MOV[[#This Row],[FORMA DE PAGAMENTO]],CAD_Forma_pagto[],2,0))</f>
        <v>BOLETO</v>
      </c>
      <c r="AA92" s="524" t="str">
        <f>IF(LANÇ_MOV[[#This Row],[DATA DE LANÇAMENTO]]="","",TEXT(LANÇ_MOV[[#This Row],[DATA DE LANÇAMENTO]],"AAAA"))</f>
        <v>2025</v>
      </c>
      <c r="AB92" s="524" t="str">
        <f>IF(LANÇ_MOV[[#This Row],[DATA DE LANÇAMENTO]]="","",UPPER(TEXT(LANÇ_MOV[[#This Row],[DATA DE LANÇAMENTO]],"MMMM")))</f>
        <v>OUTUBRO</v>
      </c>
      <c r="AC92" s="525" t="str">
        <f>IF(LANÇ_MOV[[#This Row],[DATA DE LANÇAMENTO]]="","",PROPER(TEXT(LANÇ_MOV[[#This Row],[DATA DE LANÇAMENTO]],"M")))</f>
        <v>10</v>
      </c>
      <c r="AD92" s="524" t="str">
        <f>IF(LANÇ_MOV[[#This Row],[DATA DE LANÇAMENTO]]="","",TEXT(LANÇ_MOV[[#This Row],[DATA DE LANÇAMENTO]],"D"))</f>
        <v>1</v>
      </c>
      <c r="AE92" s="526" t="str">
        <f>IF(LANÇ_MOV[[#This Row],[DATA DE VENCIMENTO]]="","",TEXT(LANÇ_MOV[[#This Row],[DATA DE VENCIMENTO]],"AAAA"))</f>
        <v>2025</v>
      </c>
      <c r="AF92" s="526" t="str">
        <f>IF(LANÇ_MOV[[#This Row],[DATA DE VENCIMENTO]]="","",UPPER(TEXT(LANÇ_MOV[[#This Row],[DATA DE VENCIMENTO]],"MMMM")))</f>
        <v>DEZEMBRO</v>
      </c>
      <c r="AG92" s="526" t="str">
        <f>IF(LANÇ_MOV[[#This Row],[DATA DE VENCIMENTO]]="","",TEXT(LANÇ_MOV[[#This Row],[DATA DE VENCIMENTO]],"M"))</f>
        <v>12</v>
      </c>
      <c r="AH92" s="526" t="str">
        <f>IF(LANÇ_MOV[[#This Row],[DATA DE VENCIMENTO]]="","",TEXT(LANÇ_MOV[[#This Row],[DATA DE VENCIMENTO]],"D"))</f>
        <v>15</v>
      </c>
      <c r="AI92" s="526" t="str">
        <f>IF(LANÇ_MOV[[#This Row],[DATA DE PAGAMENTO]]="","",TEXT(LANÇ_MOV[[#This Row],[DATA DE PAGAMENTO]],"AAAA"))</f>
        <v/>
      </c>
      <c r="AJ92" s="527" t="str">
        <f>IF(LANÇ_MOV[[#This Row],[DATA DE PAGAMENTO]]="","",UPPER(TEXT(LANÇ_MOV[[#This Row],[DATA DE PAGAMENTO]],"MMMM")))</f>
        <v/>
      </c>
      <c r="AK92" s="527" t="str">
        <f>IF(LANÇ_MOV[[#This Row],[DATA DE PAGAMENTO]]="","",TEXT(LANÇ_MOV[[#This Row],[DATA DE PAGAMENTO]],"M"))</f>
        <v/>
      </c>
      <c r="AL92" s="526" t="str">
        <f>IF(LANÇ_MOV[[#This Row],[DATA DE PAGAMENTO]]="","",TEXT(LANÇ_MOV[[#This Row],[DATA DE PAGAMENTO]],"D"))</f>
        <v/>
      </c>
      <c r="AM92" s="210"/>
      <c r="BC92" s="112"/>
      <c r="BD92" s="112"/>
    </row>
    <row r="93" spans="1:56" ht="30.05" customHeight="1" x14ac:dyDescent="0.35">
      <c r="B93" s="506">
        <v>45931</v>
      </c>
      <c r="C93" s="507" t="s">
        <v>1661</v>
      </c>
      <c r="D93" s="508" t="s">
        <v>1854</v>
      </c>
      <c r="E93" s="509" t="s">
        <v>1144</v>
      </c>
      <c r="F93" s="510" t="s">
        <v>1488</v>
      </c>
      <c r="G93" s="507"/>
      <c r="H93" s="511"/>
      <c r="I93" s="512" t="s">
        <v>1746</v>
      </c>
      <c r="J93" s="510">
        <v>85.5</v>
      </c>
      <c r="K93" s="513">
        <v>0</v>
      </c>
      <c r="L93" s="513">
        <v>0</v>
      </c>
      <c r="M93" s="513">
        <v>0</v>
      </c>
      <c r="N93" s="514">
        <f>LANÇ_MOV[[#This Row],[VALOR BRUTO]]-LANÇ_MOV[[#This Row],[DESCONTO]]+LANÇ_MOV[[#This Row],[JUROS]]+LANÇ_MOV[[#This Row],[MULTA]]</f>
        <v>85.5</v>
      </c>
      <c r="O93" s="515">
        <v>46037</v>
      </c>
      <c r="P93" s="516" t="str">
        <f t="shared" ca="1" si="1"/>
        <v>Prazo - Mais de 1 mês</v>
      </c>
      <c r="Q93" s="517"/>
      <c r="R93" s="531" t="s">
        <v>1506</v>
      </c>
      <c r="S93" s="531"/>
      <c r="T93" s="531" t="s">
        <v>1776</v>
      </c>
      <c r="U93" s="519" t="s">
        <v>2008</v>
      </c>
      <c r="V93" s="520" t="str">
        <f>IFERROR(VLOOKUP(LANÇ_MOV[[#This Row],[PLANO DE CONTAS]],Plano_Contas[[PLANO DE CONTAS]:[R / D]],3,0),"")</f>
        <v>Despesa</v>
      </c>
      <c r="W93" s="521" t="str">
        <f>IF(LANÇ_MOV[[#This Row],[DATA DE PAGAMENTO]]&lt;&gt;"","Pago","Não Pago")</f>
        <v>Não Pago</v>
      </c>
      <c r="X93" s="522" t="str">
        <f>IFERROR(IF(LANÇ_MOV[[#This Row],[DATA DE PAGAMENTO]]="","",(UPPER(TEXT(LANÇ_MOV[[#This Row],[DATA DE PAGAMENTO]],"mmmm")))),"")</f>
        <v/>
      </c>
      <c r="Y93" s="523" t="str">
        <f>IFERROR(VLOOKUP(LANÇ_MOV[[#This Row],[PLANO DE CONTAS]],Plano_Contas[[PLANO DE CONTAS]:[NOMES INTERVALOS]],2,0),"")</f>
        <v>Despesas_Administrativas</v>
      </c>
      <c r="Z93" s="523" t="str">
        <f>IF(LANÇ_MOV[[#This Row],[FORMA DE PAGAMENTO]]="","",VLOOKUP(LANÇ_MOV[[#This Row],[FORMA DE PAGAMENTO]],CAD_Forma_pagto[],2,0))</f>
        <v>BOLETO</v>
      </c>
      <c r="AA93" s="524" t="str">
        <f>IF(LANÇ_MOV[[#This Row],[DATA DE LANÇAMENTO]]="","",TEXT(LANÇ_MOV[[#This Row],[DATA DE LANÇAMENTO]],"AAAA"))</f>
        <v>2025</v>
      </c>
      <c r="AB93" s="524" t="str">
        <f>IF(LANÇ_MOV[[#This Row],[DATA DE LANÇAMENTO]]="","",UPPER(TEXT(LANÇ_MOV[[#This Row],[DATA DE LANÇAMENTO]],"MMMM")))</f>
        <v>OUTUBRO</v>
      </c>
      <c r="AC93" s="525" t="str">
        <f>IF(LANÇ_MOV[[#This Row],[DATA DE LANÇAMENTO]]="","",PROPER(TEXT(LANÇ_MOV[[#This Row],[DATA DE LANÇAMENTO]],"M")))</f>
        <v>10</v>
      </c>
      <c r="AD93" s="524" t="str">
        <f>IF(LANÇ_MOV[[#This Row],[DATA DE LANÇAMENTO]]="","",TEXT(LANÇ_MOV[[#This Row],[DATA DE LANÇAMENTO]],"D"))</f>
        <v>1</v>
      </c>
      <c r="AE93" s="526" t="str">
        <f>IF(LANÇ_MOV[[#This Row],[DATA DE VENCIMENTO]]="","",TEXT(LANÇ_MOV[[#This Row],[DATA DE VENCIMENTO]],"AAAA"))</f>
        <v>2026</v>
      </c>
      <c r="AF93" s="526" t="str">
        <f>IF(LANÇ_MOV[[#This Row],[DATA DE VENCIMENTO]]="","",UPPER(TEXT(LANÇ_MOV[[#This Row],[DATA DE VENCIMENTO]],"MMMM")))</f>
        <v>JANEIRO</v>
      </c>
      <c r="AG93" s="526" t="str">
        <f>IF(LANÇ_MOV[[#This Row],[DATA DE VENCIMENTO]]="","",TEXT(LANÇ_MOV[[#This Row],[DATA DE VENCIMENTO]],"M"))</f>
        <v>1</v>
      </c>
      <c r="AH93" s="526" t="str">
        <f>IF(LANÇ_MOV[[#This Row],[DATA DE VENCIMENTO]]="","",TEXT(LANÇ_MOV[[#This Row],[DATA DE VENCIMENTO]],"D"))</f>
        <v>15</v>
      </c>
      <c r="AI93" s="526" t="str">
        <f>IF(LANÇ_MOV[[#This Row],[DATA DE PAGAMENTO]]="","",TEXT(LANÇ_MOV[[#This Row],[DATA DE PAGAMENTO]],"AAAA"))</f>
        <v/>
      </c>
      <c r="AJ93" s="527" t="str">
        <f>IF(LANÇ_MOV[[#This Row],[DATA DE PAGAMENTO]]="","",UPPER(TEXT(LANÇ_MOV[[#This Row],[DATA DE PAGAMENTO]],"MMMM")))</f>
        <v/>
      </c>
      <c r="AK93" s="527" t="str">
        <f>IF(LANÇ_MOV[[#This Row],[DATA DE PAGAMENTO]]="","",TEXT(LANÇ_MOV[[#This Row],[DATA DE PAGAMENTO]],"M"))</f>
        <v/>
      </c>
      <c r="AL93" s="526" t="str">
        <f>IF(LANÇ_MOV[[#This Row],[DATA DE PAGAMENTO]]="","",TEXT(LANÇ_MOV[[#This Row],[DATA DE PAGAMENTO]],"D"))</f>
        <v/>
      </c>
      <c r="AM93" s="210"/>
      <c r="BC93" s="112"/>
      <c r="BD93" s="112"/>
    </row>
    <row r="94" spans="1:56" ht="30.05" customHeight="1" x14ac:dyDescent="0.35">
      <c r="B94" s="506">
        <v>45931</v>
      </c>
      <c r="C94" s="507" t="s">
        <v>1661</v>
      </c>
      <c r="D94" s="508" t="s">
        <v>1854</v>
      </c>
      <c r="E94" s="509" t="s">
        <v>1144</v>
      </c>
      <c r="F94" s="510" t="s">
        <v>1488</v>
      </c>
      <c r="G94" s="507"/>
      <c r="H94" s="511"/>
      <c r="I94" s="512" t="s">
        <v>1746</v>
      </c>
      <c r="J94" s="510">
        <v>85.5</v>
      </c>
      <c r="K94" s="513">
        <v>0</v>
      </c>
      <c r="L94" s="513">
        <v>0</v>
      </c>
      <c r="M94" s="513">
        <v>0</v>
      </c>
      <c r="N94" s="514">
        <f>LANÇ_MOV[[#This Row],[VALOR BRUTO]]-LANÇ_MOV[[#This Row],[DESCONTO]]+LANÇ_MOV[[#This Row],[JUROS]]+LANÇ_MOV[[#This Row],[MULTA]]</f>
        <v>85.5</v>
      </c>
      <c r="O94" s="515">
        <v>46068</v>
      </c>
      <c r="P94" s="516" t="str">
        <f t="shared" ca="1" si="1"/>
        <v>Prazo - Mais de 1 mês</v>
      </c>
      <c r="Q94" s="517"/>
      <c r="R94" s="531" t="s">
        <v>1506</v>
      </c>
      <c r="S94" s="531"/>
      <c r="T94" s="531" t="s">
        <v>1776</v>
      </c>
      <c r="U94" s="519" t="s">
        <v>2008</v>
      </c>
      <c r="V94" s="520" t="str">
        <f>IFERROR(VLOOKUP(LANÇ_MOV[[#This Row],[PLANO DE CONTAS]],Plano_Contas[[PLANO DE CONTAS]:[R / D]],3,0),"")</f>
        <v>Despesa</v>
      </c>
      <c r="W94" s="521" t="str">
        <f>IF(LANÇ_MOV[[#This Row],[DATA DE PAGAMENTO]]&lt;&gt;"","Pago","Não Pago")</f>
        <v>Não Pago</v>
      </c>
      <c r="X94" s="522" t="str">
        <f>IFERROR(IF(LANÇ_MOV[[#This Row],[DATA DE PAGAMENTO]]="","",(UPPER(TEXT(LANÇ_MOV[[#This Row],[DATA DE PAGAMENTO]],"mmmm")))),"")</f>
        <v/>
      </c>
      <c r="Y94" s="523" t="str">
        <f>IFERROR(VLOOKUP(LANÇ_MOV[[#This Row],[PLANO DE CONTAS]],Plano_Contas[[PLANO DE CONTAS]:[NOMES INTERVALOS]],2,0),"")</f>
        <v>Despesas_Administrativas</v>
      </c>
      <c r="Z94" s="523" t="str">
        <f>IF(LANÇ_MOV[[#This Row],[FORMA DE PAGAMENTO]]="","",VLOOKUP(LANÇ_MOV[[#This Row],[FORMA DE PAGAMENTO]],CAD_Forma_pagto[],2,0))</f>
        <v>BOLETO</v>
      </c>
      <c r="AA94" s="524" t="str">
        <f>IF(LANÇ_MOV[[#This Row],[DATA DE LANÇAMENTO]]="","",TEXT(LANÇ_MOV[[#This Row],[DATA DE LANÇAMENTO]],"AAAA"))</f>
        <v>2025</v>
      </c>
      <c r="AB94" s="524" t="str">
        <f>IF(LANÇ_MOV[[#This Row],[DATA DE LANÇAMENTO]]="","",UPPER(TEXT(LANÇ_MOV[[#This Row],[DATA DE LANÇAMENTO]],"MMMM")))</f>
        <v>OUTUBRO</v>
      </c>
      <c r="AC94" s="525" t="str">
        <f>IF(LANÇ_MOV[[#This Row],[DATA DE LANÇAMENTO]]="","",PROPER(TEXT(LANÇ_MOV[[#This Row],[DATA DE LANÇAMENTO]],"M")))</f>
        <v>10</v>
      </c>
      <c r="AD94" s="524" t="str">
        <f>IF(LANÇ_MOV[[#This Row],[DATA DE LANÇAMENTO]]="","",TEXT(LANÇ_MOV[[#This Row],[DATA DE LANÇAMENTO]],"D"))</f>
        <v>1</v>
      </c>
      <c r="AE94" s="526" t="str">
        <f>IF(LANÇ_MOV[[#This Row],[DATA DE VENCIMENTO]]="","",TEXT(LANÇ_MOV[[#This Row],[DATA DE VENCIMENTO]],"AAAA"))</f>
        <v>2026</v>
      </c>
      <c r="AF94" s="526" t="str">
        <f>IF(LANÇ_MOV[[#This Row],[DATA DE VENCIMENTO]]="","",UPPER(TEXT(LANÇ_MOV[[#This Row],[DATA DE VENCIMENTO]],"MMMM")))</f>
        <v>FEVEREIRO</v>
      </c>
      <c r="AG94" s="526" t="str">
        <f>IF(LANÇ_MOV[[#This Row],[DATA DE VENCIMENTO]]="","",TEXT(LANÇ_MOV[[#This Row],[DATA DE VENCIMENTO]],"M"))</f>
        <v>2</v>
      </c>
      <c r="AH94" s="526" t="str">
        <f>IF(LANÇ_MOV[[#This Row],[DATA DE VENCIMENTO]]="","",TEXT(LANÇ_MOV[[#This Row],[DATA DE VENCIMENTO]],"D"))</f>
        <v>15</v>
      </c>
      <c r="AI94" s="526" t="str">
        <f>IF(LANÇ_MOV[[#This Row],[DATA DE PAGAMENTO]]="","",TEXT(LANÇ_MOV[[#This Row],[DATA DE PAGAMENTO]],"AAAA"))</f>
        <v/>
      </c>
      <c r="AJ94" s="527" t="str">
        <f>IF(LANÇ_MOV[[#This Row],[DATA DE PAGAMENTO]]="","",UPPER(TEXT(LANÇ_MOV[[#This Row],[DATA DE PAGAMENTO]],"MMMM")))</f>
        <v/>
      </c>
      <c r="AK94" s="527" t="str">
        <f>IF(LANÇ_MOV[[#This Row],[DATA DE PAGAMENTO]]="","",TEXT(LANÇ_MOV[[#This Row],[DATA DE PAGAMENTO]],"M"))</f>
        <v/>
      </c>
      <c r="AL94" s="526" t="str">
        <f>IF(LANÇ_MOV[[#This Row],[DATA DE PAGAMENTO]]="","",TEXT(LANÇ_MOV[[#This Row],[DATA DE PAGAMENTO]],"D"))</f>
        <v/>
      </c>
      <c r="AM94" s="210"/>
      <c r="BC94" s="112"/>
      <c r="BD94" s="112"/>
    </row>
    <row r="95" spans="1:56" ht="30.05" customHeight="1" x14ac:dyDescent="0.35">
      <c r="A95" s="386">
        <v>44410</v>
      </c>
      <c r="B95" s="506">
        <v>45931</v>
      </c>
      <c r="C95" s="507" t="s">
        <v>1661</v>
      </c>
      <c r="D95" s="508" t="s">
        <v>1854</v>
      </c>
      <c r="E95" s="509" t="s">
        <v>1144</v>
      </c>
      <c r="F95" s="510" t="s">
        <v>1488</v>
      </c>
      <c r="G95" s="507"/>
      <c r="H95" s="511"/>
      <c r="I95" s="512" t="s">
        <v>1746</v>
      </c>
      <c r="J95" s="510">
        <v>85.5</v>
      </c>
      <c r="K95" s="513">
        <v>0</v>
      </c>
      <c r="L95" s="513">
        <v>0</v>
      </c>
      <c r="M95" s="513">
        <v>0</v>
      </c>
      <c r="N95" s="514">
        <f>LANÇ_MOV[[#This Row],[VALOR BRUTO]]-LANÇ_MOV[[#This Row],[DESCONTO]]+LANÇ_MOV[[#This Row],[JUROS]]+LANÇ_MOV[[#This Row],[MULTA]]</f>
        <v>85.5</v>
      </c>
      <c r="O95" s="515">
        <v>46096</v>
      </c>
      <c r="P95" s="516" t="str">
        <f t="shared" ca="1" si="1"/>
        <v>Prazo - Mais de 1 mês</v>
      </c>
      <c r="Q95" s="517"/>
      <c r="R95" s="531" t="s">
        <v>1506</v>
      </c>
      <c r="S95" s="531"/>
      <c r="T95" s="531" t="s">
        <v>1776</v>
      </c>
      <c r="U95" s="519" t="s">
        <v>2008</v>
      </c>
      <c r="V95" s="520" t="str">
        <f>IFERROR(VLOOKUP(LANÇ_MOV[[#This Row],[PLANO DE CONTAS]],Plano_Contas[[PLANO DE CONTAS]:[R / D]],3,0),"")</f>
        <v>Despesa</v>
      </c>
      <c r="W95" s="521" t="str">
        <f>IF(LANÇ_MOV[[#This Row],[DATA DE PAGAMENTO]]&lt;&gt;"","Pago","Não Pago")</f>
        <v>Não Pago</v>
      </c>
      <c r="X95" s="522" t="str">
        <f>IFERROR(IF(LANÇ_MOV[[#This Row],[DATA DE PAGAMENTO]]="","",(UPPER(TEXT(LANÇ_MOV[[#This Row],[DATA DE PAGAMENTO]],"mmmm")))),"")</f>
        <v/>
      </c>
      <c r="Y95" s="523" t="str">
        <f>IFERROR(VLOOKUP(LANÇ_MOV[[#This Row],[PLANO DE CONTAS]],Plano_Contas[[PLANO DE CONTAS]:[NOMES INTERVALOS]],2,0),"")</f>
        <v>Despesas_Administrativas</v>
      </c>
      <c r="Z95" s="523" t="str">
        <f>IF(LANÇ_MOV[[#This Row],[FORMA DE PAGAMENTO]]="","",VLOOKUP(LANÇ_MOV[[#This Row],[FORMA DE PAGAMENTO]],CAD_Forma_pagto[],2,0))</f>
        <v>BOLETO</v>
      </c>
      <c r="AA95" s="524" t="str">
        <f>IF(LANÇ_MOV[[#This Row],[DATA DE LANÇAMENTO]]="","",TEXT(LANÇ_MOV[[#This Row],[DATA DE LANÇAMENTO]],"AAAA"))</f>
        <v>2025</v>
      </c>
      <c r="AB95" s="524" t="str">
        <f>IF(LANÇ_MOV[[#This Row],[DATA DE LANÇAMENTO]]="","",UPPER(TEXT(LANÇ_MOV[[#This Row],[DATA DE LANÇAMENTO]],"MMMM")))</f>
        <v>OUTUBRO</v>
      </c>
      <c r="AC95" s="525" t="str">
        <f>IF(LANÇ_MOV[[#This Row],[DATA DE LANÇAMENTO]]="","",PROPER(TEXT(LANÇ_MOV[[#This Row],[DATA DE LANÇAMENTO]],"M")))</f>
        <v>10</v>
      </c>
      <c r="AD95" s="524" t="str">
        <f>IF(LANÇ_MOV[[#This Row],[DATA DE LANÇAMENTO]]="","",TEXT(LANÇ_MOV[[#This Row],[DATA DE LANÇAMENTO]],"D"))</f>
        <v>1</v>
      </c>
      <c r="AE95" s="526" t="str">
        <f>IF(LANÇ_MOV[[#This Row],[DATA DE VENCIMENTO]]="","",TEXT(LANÇ_MOV[[#This Row],[DATA DE VENCIMENTO]],"AAAA"))</f>
        <v>2026</v>
      </c>
      <c r="AF95" s="526" t="str">
        <f>IF(LANÇ_MOV[[#This Row],[DATA DE VENCIMENTO]]="","",UPPER(TEXT(LANÇ_MOV[[#This Row],[DATA DE VENCIMENTO]],"MMMM")))</f>
        <v>MARÇO</v>
      </c>
      <c r="AG95" s="526" t="str">
        <f>IF(LANÇ_MOV[[#This Row],[DATA DE VENCIMENTO]]="","",TEXT(LANÇ_MOV[[#This Row],[DATA DE VENCIMENTO]],"M"))</f>
        <v>3</v>
      </c>
      <c r="AH95" s="526" t="str">
        <f>IF(LANÇ_MOV[[#This Row],[DATA DE VENCIMENTO]]="","",TEXT(LANÇ_MOV[[#This Row],[DATA DE VENCIMENTO]],"D"))</f>
        <v>15</v>
      </c>
      <c r="AI95" s="526" t="str">
        <f>IF(LANÇ_MOV[[#This Row],[DATA DE PAGAMENTO]]="","",TEXT(LANÇ_MOV[[#This Row],[DATA DE PAGAMENTO]],"AAAA"))</f>
        <v/>
      </c>
      <c r="AJ95" s="527" t="str">
        <f>IF(LANÇ_MOV[[#This Row],[DATA DE PAGAMENTO]]="","",UPPER(TEXT(LANÇ_MOV[[#This Row],[DATA DE PAGAMENTO]],"MMMM")))</f>
        <v/>
      </c>
      <c r="AK95" s="527" t="str">
        <f>IF(LANÇ_MOV[[#This Row],[DATA DE PAGAMENTO]]="","",TEXT(LANÇ_MOV[[#This Row],[DATA DE PAGAMENTO]],"M"))</f>
        <v/>
      </c>
      <c r="AL95" s="526" t="str">
        <f>IF(LANÇ_MOV[[#This Row],[DATA DE PAGAMENTO]]="","",TEXT(LANÇ_MOV[[#This Row],[DATA DE PAGAMENTO]],"D"))</f>
        <v/>
      </c>
      <c r="AM95" s="210"/>
      <c r="BC95" s="112"/>
      <c r="BD95" s="112"/>
    </row>
    <row r="96" spans="1:56" ht="30.05" customHeight="1" x14ac:dyDescent="0.35">
      <c r="A96" s="386">
        <v>44410</v>
      </c>
      <c r="B96" s="506">
        <v>45931</v>
      </c>
      <c r="C96" s="507" t="s">
        <v>1661</v>
      </c>
      <c r="D96" s="508" t="s">
        <v>1854</v>
      </c>
      <c r="E96" s="509" t="s">
        <v>1144</v>
      </c>
      <c r="F96" s="510" t="s">
        <v>1488</v>
      </c>
      <c r="G96" s="507"/>
      <c r="H96" s="511"/>
      <c r="I96" s="512" t="s">
        <v>1746</v>
      </c>
      <c r="J96" s="510">
        <v>85.5</v>
      </c>
      <c r="K96" s="513">
        <v>0</v>
      </c>
      <c r="L96" s="513">
        <v>0</v>
      </c>
      <c r="M96" s="513">
        <v>0</v>
      </c>
      <c r="N96" s="514">
        <f>LANÇ_MOV[[#This Row],[VALOR BRUTO]]-LANÇ_MOV[[#This Row],[DESCONTO]]+LANÇ_MOV[[#This Row],[JUROS]]+LANÇ_MOV[[#This Row],[MULTA]]</f>
        <v>85.5</v>
      </c>
      <c r="O96" s="515">
        <v>46127</v>
      </c>
      <c r="P96" s="516" t="str">
        <f t="shared" ca="1" si="1"/>
        <v>Prazo - Mais de 1 mês</v>
      </c>
      <c r="Q96" s="517"/>
      <c r="R96" s="531" t="s">
        <v>1506</v>
      </c>
      <c r="S96" s="531"/>
      <c r="T96" s="531" t="s">
        <v>1776</v>
      </c>
      <c r="U96" s="519" t="s">
        <v>2008</v>
      </c>
      <c r="V96" s="520" t="str">
        <f>IFERROR(VLOOKUP(LANÇ_MOV[[#This Row],[PLANO DE CONTAS]],Plano_Contas[[PLANO DE CONTAS]:[R / D]],3,0),"")</f>
        <v>Despesa</v>
      </c>
      <c r="W96" s="521" t="str">
        <f>IF(LANÇ_MOV[[#This Row],[DATA DE PAGAMENTO]]&lt;&gt;"","Pago","Não Pago")</f>
        <v>Não Pago</v>
      </c>
      <c r="X96" s="522" t="str">
        <f>IFERROR(IF(LANÇ_MOV[[#This Row],[DATA DE PAGAMENTO]]="","",(UPPER(TEXT(LANÇ_MOV[[#This Row],[DATA DE PAGAMENTO]],"mmmm")))),"")</f>
        <v/>
      </c>
      <c r="Y96" s="523" t="str">
        <f>IFERROR(VLOOKUP(LANÇ_MOV[[#This Row],[PLANO DE CONTAS]],Plano_Contas[[PLANO DE CONTAS]:[NOMES INTERVALOS]],2,0),"")</f>
        <v>Despesas_Administrativas</v>
      </c>
      <c r="Z96" s="523" t="str">
        <f>IF(LANÇ_MOV[[#This Row],[FORMA DE PAGAMENTO]]="","",VLOOKUP(LANÇ_MOV[[#This Row],[FORMA DE PAGAMENTO]],CAD_Forma_pagto[],2,0))</f>
        <v>BOLETO</v>
      </c>
      <c r="AA96" s="524" t="str">
        <f>IF(LANÇ_MOV[[#This Row],[DATA DE LANÇAMENTO]]="","",TEXT(LANÇ_MOV[[#This Row],[DATA DE LANÇAMENTO]],"AAAA"))</f>
        <v>2025</v>
      </c>
      <c r="AB96" s="524" t="str">
        <f>IF(LANÇ_MOV[[#This Row],[DATA DE LANÇAMENTO]]="","",UPPER(TEXT(LANÇ_MOV[[#This Row],[DATA DE LANÇAMENTO]],"MMMM")))</f>
        <v>OUTUBRO</v>
      </c>
      <c r="AC96" s="525" t="str">
        <f>IF(LANÇ_MOV[[#This Row],[DATA DE LANÇAMENTO]]="","",PROPER(TEXT(LANÇ_MOV[[#This Row],[DATA DE LANÇAMENTO]],"M")))</f>
        <v>10</v>
      </c>
      <c r="AD96" s="524" t="str">
        <f>IF(LANÇ_MOV[[#This Row],[DATA DE LANÇAMENTO]]="","",TEXT(LANÇ_MOV[[#This Row],[DATA DE LANÇAMENTO]],"D"))</f>
        <v>1</v>
      </c>
      <c r="AE96" s="526" t="str">
        <f>IF(LANÇ_MOV[[#This Row],[DATA DE VENCIMENTO]]="","",TEXT(LANÇ_MOV[[#This Row],[DATA DE VENCIMENTO]],"AAAA"))</f>
        <v>2026</v>
      </c>
      <c r="AF96" s="526" t="str">
        <f>IF(LANÇ_MOV[[#This Row],[DATA DE VENCIMENTO]]="","",UPPER(TEXT(LANÇ_MOV[[#This Row],[DATA DE VENCIMENTO]],"MMMM")))</f>
        <v>ABRIL</v>
      </c>
      <c r="AG96" s="526" t="str">
        <f>IF(LANÇ_MOV[[#This Row],[DATA DE VENCIMENTO]]="","",TEXT(LANÇ_MOV[[#This Row],[DATA DE VENCIMENTO]],"M"))</f>
        <v>4</v>
      </c>
      <c r="AH96" s="526" t="str">
        <f>IF(LANÇ_MOV[[#This Row],[DATA DE VENCIMENTO]]="","",TEXT(LANÇ_MOV[[#This Row],[DATA DE VENCIMENTO]],"D"))</f>
        <v>15</v>
      </c>
      <c r="AI96" s="526" t="str">
        <f>IF(LANÇ_MOV[[#This Row],[DATA DE PAGAMENTO]]="","",TEXT(LANÇ_MOV[[#This Row],[DATA DE PAGAMENTO]],"AAAA"))</f>
        <v/>
      </c>
      <c r="AJ96" s="527" t="str">
        <f>IF(LANÇ_MOV[[#This Row],[DATA DE PAGAMENTO]]="","",UPPER(TEXT(LANÇ_MOV[[#This Row],[DATA DE PAGAMENTO]],"MMMM")))</f>
        <v/>
      </c>
      <c r="AK96" s="527" t="str">
        <f>IF(LANÇ_MOV[[#This Row],[DATA DE PAGAMENTO]]="","",TEXT(LANÇ_MOV[[#This Row],[DATA DE PAGAMENTO]],"M"))</f>
        <v/>
      </c>
      <c r="AL96" s="526" t="str">
        <f>IF(LANÇ_MOV[[#This Row],[DATA DE PAGAMENTO]]="","",TEXT(LANÇ_MOV[[#This Row],[DATA DE PAGAMENTO]],"D"))</f>
        <v/>
      </c>
      <c r="AM96" s="210"/>
      <c r="BC96" s="112"/>
      <c r="BD96" s="112"/>
    </row>
    <row r="97" spans="1:56" ht="30.05" customHeight="1" x14ac:dyDescent="0.35">
      <c r="B97" s="534">
        <v>45931</v>
      </c>
      <c r="C97" s="507" t="s">
        <v>1661</v>
      </c>
      <c r="D97" s="508" t="s">
        <v>1854</v>
      </c>
      <c r="E97" s="509" t="s">
        <v>1144</v>
      </c>
      <c r="F97" s="510" t="s">
        <v>1488</v>
      </c>
      <c r="G97" s="507"/>
      <c r="H97" s="511"/>
      <c r="I97" s="512" t="s">
        <v>1746</v>
      </c>
      <c r="J97" s="510">
        <v>85.5</v>
      </c>
      <c r="K97" s="513">
        <v>0</v>
      </c>
      <c r="L97" s="513">
        <v>0</v>
      </c>
      <c r="M97" s="513">
        <v>0</v>
      </c>
      <c r="N97" s="514">
        <f>LANÇ_MOV[[#This Row],[VALOR BRUTO]]-LANÇ_MOV[[#This Row],[DESCONTO]]+LANÇ_MOV[[#This Row],[JUROS]]+LANÇ_MOV[[#This Row],[MULTA]]</f>
        <v>85.5</v>
      </c>
      <c r="O97" s="528">
        <v>46157</v>
      </c>
      <c r="P97" s="516" t="str">
        <f t="shared" ca="1" si="1"/>
        <v>Prazo - Mais de 1 mês</v>
      </c>
      <c r="Q97" s="528"/>
      <c r="R97" s="531" t="s">
        <v>1506</v>
      </c>
      <c r="S97" s="518"/>
      <c r="T97" s="531" t="s">
        <v>1776</v>
      </c>
      <c r="U97" s="519" t="s">
        <v>2008</v>
      </c>
      <c r="V97" s="520" t="str">
        <f>IFERROR(VLOOKUP(LANÇ_MOV[[#This Row],[PLANO DE CONTAS]],Plano_Contas[[PLANO DE CONTAS]:[R / D]],3,0),"")</f>
        <v>Despesa</v>
      </c>
      <c r="W97" s="521" t="str">
        <f>IF(LANÇ_MOV[[#This Row],[DATA DE PAGAMENTO]]&lt;&gt;"","Pago","Não Pago")</f>
        <v>Não Pago</v>
      </c>
      <c r="X97" s="522" t="str">
        <f>IFERROR(IF(LANÇ_MOV[[#This Row],[DATA DE PAGAMENTO]]="","",(UPPER(TEXT(LANÇ_MOV[[#This Row],[DATA DE PAGAMENTO]],"mmmm")))),"")</f>
        <v/>
      </c>
      <c r="Y97" s="523" t="str">
        <f>IFERROR(VLOOKUP(LANÇ_MOV[[#This Row],[PLANO DE CONTAS]],Plano_Contas[[PLANO DE CONTAS]:[NOMES INTERVALOS]],2,0),"")</f>
        <v>Despesas_Administrativas</v>
      </c>
      <c r="Z97" s="523" t="str">
        <f>IF(LANÇ_MOV[[#This Row],[FORMA DE PAGAMENTO]]="","",VLOOKUP(LANÇ_MOV[[#This Row],[FORMA DE PAGAMENTO]],CAD_Forma_pagto[],2,0))</f>
        <v>BOLETO</v>
      </c>
      <c r="AA97" s="524" t="str">
        <f>IF(LANÇ_MOV[[#This Row],[DATA DE LANÇAMENTO]]="","",TEXT(LANÇ_MOV[[#This Row],[DATA DE LANÇAMENTO]],"AAAA"))</f>
        <v>2025</v>
      </c>
      <c r="AB97" s="524" t="str">
        <f>IF(LANÇ_MOV[[#This Row],[DATA DE LANÇAMENTO]]="","",UPPER(TEXT(LANÇ_MOV[[#This Row],[DATA DE LANÇAMENTO]],"MMMM")))</f>
        <v>OUTUBRO</v>
      </c>
      <c r="AC97" s="525" t="str">
        <f>IF(LANÇ_MOV[[#This Row],[DATA DE LANÇAMENTO]]="","",PROPER(TEXT(LANÇ_MOV[[#This Row],[DATA DE LANÇAMENTO]],"M")))</f>
        <v>10</v>
      </c>
      <c r="AD97" s="524" t="str">
        <f>IF(LANÇ_MOV[[#This Row],[DATA DE LANÇAMENTO]]="","",TEXT(LANÇ_MOV[[#This Row],[DATA DE LANÇAMENTO]],"D"))</f>
        <v>1</v>
      </c>
      <c r="AE97" s="526" t="str">
        <f>IF(LANÇ_MOV[[#This Row],[DATA DE VENCIMENTO]]="","",TEXT(LANÇ_MOV[[#This Row],[DATA DE VENCIMENTO]],"AAAA"))</f>
        <v>2026</v>
      </c>
      <c r="AF97" s="526" t="str">
        <f>IF(LANÇ_MOV[[#This Row],[DATA DE VENCIMENTO]]="","",UPPER(TEXT(LANÇ_MOV[[#This Row],[DATA DE VENCIMENTO]],"MMMM")))</f>
        <v>MAIO</v>
      </c>
      <c r="AG97" s="526" t="str">
        <f>IF(LANÇ_MOV[[#This Row],[DATA DE VENCIMENTO]]="","",TEXT(LANÇ_MOV[[#This Row],[DATA DE VENCIMENTO]],"M"))</f>
        <v>5</v>
      </c>
      <c r="AH97" s="526" t="str">
        <f>IF(LANÇ_MOV[[#This Row],[DATA DE VENCIMENTO]]="","",TEXT(LANÇ_MOV[[#This Row],[DATA DE VENCIMENTO]],"D"))</f>
        <v>15</v>
      </c>
      <c r="AI97" s="526" t="str">
        <f>IF(LANÇ_MOV[[#This Row],[DATA DE PAGAMENTO]]="","",TEXT(LANÇ_MOV[[#This Row],[DATA DE PAGAMENTO]],"AAAA"))</f>
        <v/>
      </c>
      <c r="AJ97" s="527" t="str">
        <f>IF(LANÇ_MOV[[#This Row],[DATA DE PAGAMENTO]]="","",UPPER(TEXT(LANÇ_MOV[[#This Row],[DATA DE PAGAMENTO]],"MMMM")))</f>
        <v/>
      </c>
      <c r="AK97" s="527" t="str">
        <f>IF(LANÇ_MOV[[#This Row],[DATA DE PAGAMENTO]]="","",TEXT(LANÇ_MOV[[#This Row],[DATA DE PAGAMENTO]],"M"))</f>
        <v/>
      </c>
      <c r="AL97" s="526" t="str">
        <f>IF(LANÇ_MOV[[#This Row],[DATA DE PAGAMENTO]]="","",TEXT(LANÇ_MOV[[#This Row],[DATA DE PAGAMENTO]],"D"))</f>
        <v/>
      </c>
      <c r="AM97" s="210"/>
      <c r="BC97" s="112"/>
      <c r="BD97" s="112"/>
    </row>
    <row r="98" spans="1:56" ht="30.05" customHeight="1" x14ac:dyDescent="0.35">
      <c r="B98" s="534">
        <v>45931</v>
      </c>
      <c r="C98" s="507" t="s">
        <v>1661</v>
      </c>
      <c r="D98" s="508" t="s">
        <v>1854</v>
      </c>
      <c r="E98" s="509" t="s">
        <v>1144</v>
      </c>
      <c r="F98" s="510" t="s">
        <v>1488</v>
      </c>
      <c r="G98" s="507"/>
      <c r="H98" s="511"/>
      <c r="I98" s="512" t="s">
        <v>1746</v>
      </c>
      <c r="J98" s="510">
        <v>85.5</v>
      </c>
      <c r="K98" s="513">
        <v>0</v>
      </c>
      <c r="L98" s="513">
        <v>0</v>
      </c>
      <c r="M98" s="513">
        <v>0</v>
      </c>
      <c r="N98" s="514">
        <f>LANÇ_MOV[[#This Row],[VALOR BRUTO]]-LANÇ_MOV[[#This Row],[DESCONTO]]+LANÇ_MOV[[#This Row],[JUROS]]+LANÇ_MOV[[#This Row],[MULTA]]</f>
        <v>85.5</v>
      </c>
      <c r="O98" s="528">
        <v>46188</v>
      </c>
      <c r="P98" s="516" t="str">
        <f t="shared" ca="1" si="1"/>
        <v>Prazo - Mais de 1 mês</v>
      </c>
      <c r="Q98" s="530"/>
      <c r="R98" s="531" t="s">
        <v>1506</v>
      </c>
      <c r="S98" s="531"/>
      <c r="T98" s="531" t="s">
        <v>1776</v>
      </c>
      <c r="U98" s="519" t="s">
        <v>2008</v>
      </c>
      <c r="V98" s="520" t="str">
        <f>IFERROR(VLOOKUP(LANÇ_MOV[[#This Row],[PLANO DE CONTAS]],Plano_Contas[[PLANO DE CONTAS]:[R / D]],3,0),"")</f>
        <v>Despesa</v>
      </c>
      <c r="W98" s="521" t="str">
        <f>IF(LANÇ_MOV[[#This Row],[DATA DE PAGAMENTO]]&lt;&gt;"","Pago","Não Pago")</f>
        <v>Não Pago</v>
      </c>
      <c r="X98" s="522" t="str">
        <f>IFERROR(IF(LANÇ_MOV[[#This Row],[DATA DE PAGAMENTO]]="","",(UPPER(TEXT(LANÇ_MOV[[#This Row],[DATA DE PAGAMENTO]],"mmmm")))),"")</f>
        <v/>
      </c>
      <c r="Y98" s="523" t="str">
        <f>IFERROR(VLOOKUP(LANÇ_MOV[[#This Row],[PLANO DE CONTAS]],Plano_Contas[[PLANO DE CONTAS]:[NOMES INTERVALOS]],2,0),"")</f>
        <v>Despesas_Administrativas</v>
      </c>
      <c r="Z98" s="523" t="str">
        <f>IF(LANÇ_MOV[[#This Row],[FORMA DE PAGAMENTO]]="","",VLOOKUP(LANÇ_MOV[[#This Row],[FORMA DE PAGAMENTO]],CAD_Forma_pagto[],2,0))</f>
        <v>BOLETO</v>
      </c>
      <c r="AA98" s="524" t="str">
        <f>IF(LANÇ_MOV[[#This Row],[DATA DE LANÇAMENTO]]="","",TEXT(LANÇ_MOV[[#This Row],[DATA DE LANÇAMENTO]],"AAAA"))</f>
        <v>2025</v>
      </c>
      <c r="AB98" s="524" t="str">
        <f>IF(LANÇ_MOV[[#This Row],[DATA DE LANÇAMENTO]]="","",UPPER(TEXT(LANÇ_MOV[[#This Row],[DATA DE LANÇAMENTO]],"MMMM")))</f>
        <v>OUTUBRO</v>
      </c>
      <c r="AC98" s="525" t="str">
        <f>IF(LANÇ_MOV[[#This Row],[DATA DE LANÇAMENTO]]="","",PROPER(TEXT(LANÇ_MOV[[#This Row],[DATA DE LANÇAMENTO]],"M")))</f>
        <v>10</v>
      </c>
      <c r="AD98" s="524" t="str">
        <f>IF(LANÇ_MOV[[#This Row],[DATA DE LANÇAMENTO]]="","",TEXT(LANÇ_MOV[[#This Row],[DATA DE LANÇAMENTO]],"D"))</f>
        <v>1</v>
      </c>
      <c r="AE98" s="526" t="str">
        <f>IF(LANÇ_MOV[[#This Row],[DATA DE VENCIMENTO]]="","",TEXT(LANÇ_MOV[[#This Row],[DATA DE VENCIMENTO]],"AAAA"))</f>
        <v>2026</v>
      </c>
      <c r="AF98" s="526" t="str">
        <f>IF(LANÇ_MOV[[#This Row],[DATA DE VENCIMENTO]]="","",UPPER(TEXT(LANÇ_MOV[[#This Row],[DATA DE VENCIMENTO]],"MMMM")))</f>
        <v>JUNHO</v>
      </c>
      <c r="AG98" s="526" t="str">
        <f>IF(LANÇ_MOV[[#This Row],[DATA DE VENCIMENTO]]="","",TEXT(LANÇ_MOV[[#This Row],[DATA DE VENCIMENTO]],"M"))</f>
        <v>6</v>
      </c>
      <c r="AH98" s="526" t="str">
        <f>IF(LANÇ_MOV[[#This Row],[DATA DE VENCIMENTO]]="","",TEXT(LANÇ_MOV[[#This Row],[DATA DE VENCIMENTO]],"D"))</f>
        <v>15</v>
      </c>
      <c r="AI98" s="526" t="str">
        <f>IF(LANÇ_MOV[[#This Row],[DATA DE PAGAMENTO]]="","",TEXT(LANÇ_MOV[[#This Row],[DATA DE PAGAMENTO]],"AAAA"))</f>
        <v/>
      </c>
      <c r="AJ98" s="527" t="str">
        <f>IF(LANÇ_MOV[[#This Row],[DATA DE PAGAMENTO]]="","",UPPER(TEXT(LANÇ_MOV[[#This Row],[DATA DE PAGAMENTO]],"MMMM")))</f>
        <v/>
      </c>
      <c r="AK98" s="527" t="str">
        <f>IF(LANÇ_MOV[[#This Row],[DATA DE PAGAMENTO]]="","",TEXT(LANÇ_MOV[[#This Row],[DATA DE PAGAMENTO]],"M"))</f>
        <v/>
      </c>
      <c r="AL98" s="526" t="str">
        <f>IF(LANÇ_MOV[[#This Row],[DATA DE PAGAMENTO]]="","",TEXT(LANÇ_MOV[[#This Row],[DATA DE PAGAMENTO]],"D"))</f>
        <v/>
      </c>
      <c r="AM98" s="210"/>
      <c r="BC98" s="112"/>
      <c r="BD98" s="112"/>
    </row>
    <row r="99" spans="1:56" ht="30.05" customHeight="1" x14ac:dyDescent="0.35">
      <c r="B99" s="506">
        <v>45931</v>
      </c>
      <c r="C99" s="507" t="s">
        <v>1661</v>
      </c>
      <c r="D99" s="508" t="s">
        <v>1854</v>
      </c>
      <c r="E99" s="509" t="s">
        <v>1144</v>
      </c>
      <c r="F99" s="510" t="s">
        <v>1488</v>
      </c>
      <c r="G99" s="507"/>
      <c r="H99" s="511"/>
      <c r="I99" s="512" t="s">
        <v>1746</v>
      </c>
      <c r="J99" s="510">
        <v>85.5</v>
      </c>
      <c r="K99" s="513">
        <v>0</v>
      </c>
      <c r="L99" s="513">
        <v>0</v>
      </c>
      <c r="M99" s="513">
        <v>0</v>
      </c>
      <c r="N99" s="514">
        <f>LANÇ_MOV[[#This Row],[VALOR BRUTO]]-LANÇ_MOV[[#This Row],[DESCONTO]]+LANÇ_MOV[[#This Row],[JUROS]]+LANÇ_MOV[[#This Row],[MULTA]]</f>
        <v>85.5</v>
      </c>
      <c r="O99" s="515">
        <v>46218</v>
      </c>
      <c r="P99" s="516" t="str">
        <f t="shared" ca="1" si="1"/>
        <v>Prazo - Mais de 1 mês</v>
      </c>
      <c r="Q99" s="517"/>
      <c r="R99" s="531" t="s">
        <v>1506</v>
      </c>
      <c r="S99" s="531"/>
      <c r="T99" s="531" t="s">
        <v>1776</v>
      </c>
      <c r="U99" s="519" t="s">
        <v>2008</v>
      </c>
      <c r="V99" s="520" t="str">
        <f>IFERROR(VLOOKUP(LANÇ_MOV[[#This Row],[PLANO DE CONTAS]],Plano_Contas[[PLANO DE CONTAS]:[R / D]],3,0),"")</f>
        <v>Despesa</v>
      </c>
      <c r="W99" s="521" t="str">
        <f>IF(LANÇ_MOV[[#This Row],[DATA DE PAGAMENTO]]&lt;&gt;"","Pago","Não Pago")</f>
        <v>Não Pago</v>
      </c>
      <c r="X99" s="522" t="str">
        <f>IFERROR(IF(LANÇ_MOV[[#This Row],[DATA DE PAGAMENTO]]="","",(UPPER(TEXT(LANÇ_MOV[[#This Row],[DATA DE PAGAMENTO]],"mmmm")))),"")</f>
        <v/>
      </c>
      <c r="Y99" s="523" t="str">
        <f>IFERROR(VLOOKUP(LANÇ_MOV[[#This Row],[PLANO DE CONTAS]],Plano_Contas[[PLANO DE CONTAS]:[NOMES INTERVALOS]],2,0),"")</f>
        <v>Despesas_Administrativas</v>
      </c>
      <c r="Z99" s="523" t="str">
        <f>IF(LANÇ_MOV[[#This Row],[FORMA DE PAGAMENTO]]="","",VLOOKUP(LANÇ_MOV[[#This Row],[FORMA DE PAGAMENTO]],CAD_Forma_pagto[],2,0))</f>
        <v>BOLETO</v>
      </c>
      <c r="AA99" s="524" t="str">
        <f>IF(LANÇ_MOV[[#This Row],[DATA DE LANÇAMENTO]]="","",TEXT(LANÇ_MOV[[#This Row],[DATA DE LANÇAMENTO]],"AAAA"))</f>
        <v>2025</v>
      </c>
      <c r="AB99" s="524" t="str">
        <f>IF(LANÇ_MOV[[#This Row],[DATA DE LANÇAMENTO]]="","",UPPER(TEXT(LANÇ_MOV[[#This Row],[DATA DE LANÇAMENTO]],"MMMM")))</f>
        <v>OUTUBRO</v>
      </c>
      <c r="AC99" s="525" t="str">
        <f>IF(LANÇ_MOV[[#This Row],[DATA DE LANÇAMENTO]]="","",PROPER(TEXT(LANÇ_MOV[[#This Row],[DATA DE LANÇAMENTO]],"M")))</f>
        <v>10</v>
      </c>
      <c r="AD99" s="524" t="str">
        <f>IF(LANÇ_MOV[[#This Row],[DATA DE LANÇAMENTO]]="","",TEXT(LANÇ_MOV[[#This Row],[DATA DE LANÇAMENTO]],"D"))</f>
        <v>1</v>
      </c>
      <c r="AE99" s="526" t="str">
        <f>IF(LANÇ_MOV[[#This Row],[DATA DE VENCIMENTO]]="","",TEXT(LANÇ_MOV[[#This Row],[DATA DE VENCIMENTO]],"AAAA"))</f>
        <v>2026</v>
      </c>
      <c r="AF99" s="526" t="str">
        <f>IF(LANÇ_MOV[[#This Row],[DATA DE VENCIMENTO]]="","",UPPER(TEXT(LANÇ_MOV[[#This Row],[DATA DE VENCIMENTO]],"MMMM")))</f>
        <v>JULHO</v>
      </c>
      <c r="AG99" s="526" t="str">
        <f>IF(LANÇ_MOV[[#This Row],[DATA DE VENCIMENTO]]="","",TEXT(LANÇ_MOV[[#This Row],[DATA DE VENCIMENTO]],"M"))</f>
        <v>7</v>
      </c>
      <c r="AH99" s="526" t="str">
        <f>IF(LANÇ_MOV[[#This Row],[DATA DE VENCIMENTO]]="","",TEXT(LANÇ_MOV[[#This Row],[DATA DE VENCIMENTO]],"D"))</f>
        <v>15</v>
      </c>
      <c r="AI99" s="526" t="str">
        <f>IF(LANÇ_MOV[[#This Row],[DATA DE PAGAMENTO]]="","",TEXT(LANÇ_MOV[[#This Row],[DATA DE PAGAMENTO]],"AAAA"))</f>
        <v/>
      </c>
      <c r="AJ99" s="527" t="str">
        <f>IF(LANÇ_MOV[[#This Row],[DATA DE PAGAMENTO]]="","",UPPER(TEXT(LANÇ_MOV[[#This Row],[DATA DE PAGAMENTO]],"MMMM")))</f>
        <v/>
      </c>
      <c r="AK99" s="527" t="str">
        <f>IF(LANÇ_MOV[[#This Row],[DATA DE PAGAMENTO]]="","",TEXT(LANÇ_MOV[[#This Row],[DATA DE PAGAMENTO]],"M"))</f>
        <v/>
      </c>
      <c r="AL99" s="526" t="str">
        <f>IF(LANÇ_MOV[[#This Row],[DATA DE PAGAMENTO]]="","",TEXT(LANÇ_MOV[[#This Row],[DATA DE PAGAMENTO]],"D"))</f>
        <v/>
      </c>
      <c r="AM99" s="210"/>
      <c r="BC99" s="112"/>
      <c r="BD99" s="112"/>
    </row>
    <row r="100" spans="1:56" ht="30.05" customHeight="1" x14ac:dyDescent="0.35">
      <c r="B100" s="506">
        <v>45931</v>
      </c>
      <c r="C100" s="507" t="s">
        <v>1661</v>
      </c>
      <c r="D100" s="508" t="s">
        <v>1854</v>
      </c>
      <c r="E100" s="509" t="s">
        <v>1144</v>
      </c>
      <c r="F100" s="510" t="s">
        <v>1488</v>
      </c>
      <c r="G100" s="507"/>
      <c r="H100" s="511"/>
      <c r="I100" s="512" t="s">
        <v>1746</v>
      </c>
      <c r="J100" s="510">
        <v>85.5</v>
      </c>
      <c r="K100" s="513">
        <v>0</v>
      </c>
      <c r="L100" s="513">
        <v>0</v>
      </c>
      <c r="M100" s="513">
        <v>0</v>
      </c>
      <c r="N100" s="514">
        <f>LANÇ_MOV[[#This Row],[VALOR BRUTO]]-LANÇ_MOV[[#This Row],[DESCONTO]]+LANÇ_MOV[[#This Row],[JUROS]]+LANÇ_MOV[[#This Row],[MULTA]]</f>
        <v>85.5</v>
      </c>
      <c r="O100" s="515">
        <v>46249</v>
      </c>
      <c r="P100" s="516" t="str">
        <f t="shared" ca="1" si="1"/>
        <v>Prazo - Mais de 1 mês</v>
      </c>
      <c r="Q100" s="515"/>
      <c r="R100" s="531" t="s">
        <v>1506</v>
      </c>
      <c r="S100" s="518"/>
      <c r="T100" s="531" t="s">
        <v>1776</v>
      </c>
      <c r="U100" s="519" t="s">
        <v>2008</v>
      </c>
      <c r="V100" s="520" t="str">
        <f>IFERROR(VLOOKUP(LANÇ_MOV[[#This Row],[PLANO DE CONTAS]],Plano_Contas[[PLANO DE CONTAS]:[R / D]],3,0),"")</f>
        <v>Despesa</v>
      </c>
      <c r="W100" s="521" t="str">
        <f>IF(LANÇ_MOV[[#This Row],[DATA DE PAGAMENTO]]&lt;&gt;"","Pago","Não Pago")</f>
        <v>Não Pago</v>
      </c>
      <c r="X100" s="522" t="str">
        <f>IFERROR(IF(LANÇ_MOV[[#This Row],[DATA DE PAGAMENTO]]="","",(UPPER(TEXT(LANÇ_MOV[[#This Row],[DATA DE PAGAMENTO]],"mmmm")))),"")</f>
        <v/>
      </c>
      <c r="Y100" s="523" t="str">
        <f>IFERROR(VLOOKUP(LANÇ_MOV[[#This Row],[PLANO DE CONTAS]],Plano_Contas[[PLANO DE CONTAS]:[NOMES INTERVALOS]],2,0),"")</f>
        <v>Despesas_Administrativas</v>
      </c>
      <c r="Z100" s="523" t="str">
        <f>IF(LANÇ_MOV[[#This Row],[FORMA DE PAGAMENTO]]="","",VLOOKUP(LANÇ_MOV[[#This Row],[FORMA DE PAGAMENTO]],CAD_Forma_pagto[],2,0))</f>
        <v>BOLETO</v>
      </c>
      <c r="AA100" s="524" t="str">
        <f>IF(LANÇ_MOV[[#This Row],[DATA DE LANÇAMENTO]]="","",TEXT(LANÇ_MOV[[#This Row],[DATA DE LANÇAMENTO]],"AAAA"))</f>
        <v>2025</v>
      </c>
      <c r="AB100" s="524" t="str">
        <f>IF(LANÇ_MOV[[#This Row],[DATA DE LANÇAMENTO]]="","",UPPER(TEXT(LANÇ_MOV[[#This Row],[DATA DE LANÇAMENTO]],"MMMM")))</f>
        <v>OUTUBRO</v>
      </c>
      <c r="AC100" s="525" t="str">
        <f>IF(LANÇ_MOV[[#This Row],[DATA DE LANÇAMENTO]]="","",PROPER(TEXT(LANÇ_MOV[[#This Row],[DATA DE LANÇAMENTO]],"M")))</f>
        <v>10</v>
      </c>
      <c r="AD100" s="524" t="str">
        <f>IF(LANÇ_MOV[[#This Row],[DATA DE LANÇAMENTO]]="","",TEXT(LANÇ_MOV[[#This Row],[DATA DE LANÇAMENTO]],"D"))</f>
        <v>1</v>
      </c>
      <c r="AE100" s="526" t="str">
        <f>IF(LANÇ_MOV[[#This Row],[DATA DE VENCIMENTO]]="","",TEXT(LANÇ_MOV[[#This Row],[DATA DE VENCIMENTO]],"AAAA"))</f>
        <v>2026</v>
      </c>
      <c r="AF100" s="526" t="str">
        <f>IF(LANÇ_MOV[[#This Row],[DATA DE VENCIMENTO]]="","",UPPER(TEXT(LANÇ_MOV[[#This Row],[DATA DE VENCIMENTO]],"MMMM")))</f>
        <v>AGOSTO</v>
      </c>
      <c r="AG100" s="526" t="str">
        <f>IF(LANÇ_MOV[[#This Row],[DATA DE VENCIMENTO]]="","",TEXT(LANÇ_MOV[[#This Row],[DATA DE VENCIMENTO]],"M"))</f>
        <v>8</v>
      </c>
      <c r="AH100" s="526" t="str">
        <f>IF(LANÇ_MOV[[#This Row],[DATA DE VENCIMENTO]]="","",TEXT(LANÇ_MOV[[#This Row],[DATA DE VENCIMENTO]],"D"))</f>
        <v>15</v>
      </c>
      <c r="AI100" s="526" t="str">
        <f>IF(LANÇ_MOV[[#This Row],[DATA DE PAGAMENTO]]="","",TEXT(LANÇ_MOV[[#This Row],[DATA DE PAGAMENTO]],"AAAA"))</f>
        <v/>
      </c>
      <c r="AJ100" s="527" t="str">
        <f>IF(LANÇ_MOV[[#This Row],[DATA DE PAGAMENTO]]="","",UPPER(TEXT(LANÇ_MOV[[#This Row],[DATA DE PAGAMENTO]],"MMMM")))</f>
        <v/>
      </c>
      <c r="AK100" s="527" t="str">
        <f>IF(LANÇ_MOV[[#This Row],[DATA DE PAGAMENTO]]="","",TEXT(LANÇ_MOV[[#This Row],[DATA DE PAGAMENTO]],"M"))</f>
        <v/>
      </c>
      <c r="AL100" s="526" t="str">
        <f>IF(LANÇ_MOV[[#This Row],[DATA DE PAGAMENTO]]="","",TEXT(LANÇ_MOV[[#This Row],[DATA DE PAGAMENTO]],"D"))</f>
        <v/>
      </c>
      <c r="AM100" s="210"/>
      <c r="BC100" s="112"/>
      <c r="BD100" s="112"/>
    </row>
    <row r="101" spans="1:56" ht="30.05" customHeight="1" x14ac:dyDescent="0.35">
      <c r="B101" s="506">
        <v>45931</v>
      </c>
      <c r="C101" s="507" t="s">
        <v>1661</v>
      </c>
      <c r="D101" s="508" t="s">
        <v>1854</v>
      </c>
      <c r="E101" s="509" t="s">
        <v>1144</v>
      </c>
      <c r="F101" s="510" t="s">
        <v>1488</v>
      </c>
      <c r="G101" s="507"/>
      <c r="H101" s="511"/>
      <c r="I101" s="512" t="s">
        <v>1746</v>
      </c>
      <c r="J101" s="510">
        <v>85.5</v>
      </c>
      <c r="K101" s="513">
        <v>0</v>
      </c>
      <c r="L101" s="513">
        <v>0</v>
      </c>
      <c r="M101" s="513">
        <v>0</v>
      </c>
      <c r="N101" s="514">
        <f>LANÇ_MOV[[#This Row],[VALOR BRUTO]]-LANÇ_MOV[[#This Row],[DESCONTO]]+LANÇ_MOV[[#This Row],[JUROS]]+LANÇ_MOV[[#This Row],[MULTA]]</f>
        <v>85.5</v>
      </c>
      <c r="O101" s="515">
        <v>46280</v>
      </c>
      <c r="P101" s="516" t="str">
        <f t="shared" ca="1" si="1"/>
        <v>Prazo - Mais de 1 mês</v>
      </c>
      <c r="Q101" s="517"/>
      <c r="R101" s="531" t="s">
        <v>1506</v>
      </c>
      <c r="S101" s="531"/>
      <c r="T101" s="531" t="s">
        <v>1776</v>
      </c>
      <c r="U101" s="519" t="s">
        <v>2008</v>
      </c>
      <c r="V101" s="520" t="str">
        <f>IFERROR(VLOOKUP(LANÇ_MOV[[#This Row],[PLANO DE CONTAS]],Plano_Contas[[PLANO DE CONTAS]:[R / D]],3,0),"")</f>
        <v>Despesa</v>
      </c>
      <c r="W101" s="521" t="str">
        <f>IF(LANÇ_MOV[[#This Row],[DATA DE PAGAMENTO]]&lt;&gt;"","Pago","Não Pago")</f>
        <v>Não Pago</v>
      </c>
      <c r="X101" s="522" t="str">
        <f>IFERROR(IF(LANÇ_MOV[[#This Row],[DATA DE PAGAMENTO]]="","",(UPPER(TEXT(LANÇ_MOV[[#This Row],[DATA DE PAGAMENTO]],"mmmm")))),"")</f>
        <v/>
      </c>
      <c r="Y101" s="523" t="str">
        <f>IFERROR(VLOOKUP(LANÇ_MOV[[#This Row],[PLANO DE CONTAS]],Plano_Contas[[PLANO DE CONTAS]:[NOMES INTERVALOS]],2,0),"")</f>
        <v>Despesas_Administrativas</v>
      </c>
      <c r="Z101" s="523" t="str">
        <f>IF(LANÇ_MOV[[#This Row],[FORMA DE PAGAMENTO]]="","",VLOOKUP(LANÇ_MOV[[#This Row],[FORMA DE PAGAMENTO]],CAD_Forma_pagto[],2,0))</f>
        <v>BOLETO</v>
      </c>
      <c r="AA101" s="524" t="str">
        <f>IF(LANÇ_MOV[[#This Row],[DATA DE LANÇAMENTO]]="","",TEXT(LANÇ_MOV[[#This Row],[DATA DE LANÇAMENTO]],"AAAA"))</f>
        <v>2025</v>
      </c>
      <c r="AB101" s="524" t="str">
        <f>IF(LANÇ_MOV[[#This Row],[DATA DE LANÇAMENTO]]="","",UPPER(TEXT(LANÇ_MOV[[#This Row],[DATA DE LANÇAMENTO]],"MMMM")))</f>
        <v>OUTUBRO</v>
      </c>
      <c r="AC101" s="525" t="str">
        <f>IF(LANÇ_MOV[[#This Row],[DATA DE LANÇAMENTO]]="","",PROPER(TEXT(LANÇ_MOV[[#This Row],[DATA DE LANÇAMENTO]],"M")))</f>
        <v>10</v>
      </c>
      <c r="AD101" s="524" t="str">
        <f>IF(LANÇ_MOV[[#This Row],[DATA DE LANÇAMENTO]]="","",TEXT(LANÇ_MOV[[#This Row],[DATA DE LANÇAMENTO]],"D"))</f>
        <v>1</v>
      </c>
      <c r="AE101" s="526" t="str">
        <f>IF(LANÇ_MOV[[#This Row],[DATA DE VENCIMENTO]]="","",TEXT(LANÇ_MOV[[#This Row],[DATA DE VENCIMENTO]],"AAAA"))</f>
        <v>2026</v>
      </c>
      <c r="AF101" s="526" t="str">
        <f>IF(LANÇ_MOV[[#This Row],[DATA DE VENCIMENTO]]="","",UPPER(TEXT(LANÇ_MOV[[#This Row],[DATA DE VENCIMENTO]],"MMMM")))</f>
        <v>SETEMBRO</v>
      </c>
      <c r="AG101" s="526" t="str">
        <f>IF(LANÇ_MOV[[#This Row],[DATA DE VENCIMENTO]]="","",TEXT(LANÇ_MOV[[#This Row],[DATA DE VENCIMENTO]],"M"))</f>
        <v>9</v>
      </c>
      <c r="AH101" s="526" t="str">
        <f>IF(LANÇ_MOV[[#This Row],[DATA DE VENCIMENTO]]="","",TEXT(LANÇ_MOV[[#This Row],[DATA DE VENCIMENTO]],"D"))</f>
        <v>15</v>
      </c>
      <c r="AI101" s="526" t="str">
        <f>IF(LANÇ_MOV[[#This Row],[DATA DE PAGAMENTO]]="","",TEXT(LANÇ_MOV[[#This Row],[DATA DE PAGAMENTO]],"AAAA"))</f>
        <v/>
      </c>
      <c r="AJ101" s="527" t="str">
        <f>IF(LANÇ_MOV[[#This Row],[DATA DE PAGAMENTO]]="","",UPPER(TEXT(LANÇ_MOV[[#This Row],[DATA DE PAGAMENTO]],"MMMM")))</f>
        <v/>
      </c>
      <c r="AK101" s="527" t="str">
        <f>IF(LANÇ_MOV[[#This Row],[DATA DE PAGAMENTO]]="","",TEXT(LANÇ_MOV[[#This Row],[DATA DE PAGAMENTO]],"M"))</f>
        <v/>
      </c>
      <c r="AL101" s="526" t="str">
        <f>IF(LANÇ_MOV[[#This Row],[DATA DE PAGAMENTO]]="","",TEXT(LANÇ_MOV[[#This Row],[DATA DE PAGAMENTO]],"D"))</f>
        <v/>
      </c>
      <c r="AM101" s="210"/>
      <c r="BC101" s="112"/>
      <c r="BD101" s="112"/>
    </row>
    <row r="102" spans="1:56" ht="30.05" customHeight="1" x14ac:dyDescent="0.35">
      <c r="B102" s="506">
        <v>45931</v>
      </c>
      <c r="C102" s="507" t="s">
        <v>1661</v>
      </c>
      <c r="D102" s="508" t="s">
        <v>1854</v>
      </c>
      <c r="E102" s="509" t="s">
        <v>1144</v>
      </c>
      <c r="F102" s="510" t="s">
        <v>1488</v>
      </c>
      <c r="G102" s="507"/>
      <c r="H102" s="511"/>
      <c r="I102" s="512" t="s">
        <v>1746</v>
      </c>
      <c r="J102" s="510">
        <v>85.5</v>
      </c>
      <c r="K102" s="513">
        <v>0</v>
      </c>
      <c r="L102" s="513">
        <v>0</v>
      </c>
      <c r="M102" s="513">
        <v>0</v>
      </c>
      <c r="N102" s="514">
        <f>LANÇ_MOV[[#This Row],[VALOR BRUTO]]-LANÇ_MOV[[#This Row],[DESCONTO]]+LANÇ_MOV[[#This Row],[JUROS]]+LANÇ_MOV[[#This Row],[MULTA]]</f>
        <v>85.5</v>
      </c>
      <c r="O102" s="515">
        <v>46310</v>
      </c>
      <c r="P102" s="516" t="str">
        <f t="shared" ca="1" si="1"/>
        <v>Prazo - Mais de 1 mês</v>
      </c>
      <c r="Q102" s="517"/>
      <c r="R102" s="531" t="s">
        <v>1506</v>
      </c>
      <c r="S102" s="531"/>
      <c r="T102" s="531" t="s">
        <v>1776</v>
      </c>
      <c r="U102" s="519" t="s">
        <v>2008</v>
      </c>
      <c r="V102" s="520" t="str">
        <f>IFERROR(VLOOKUP(LANÇ_MOV[[#This Row],[PLANO DE CONTAS]],Plano_Contas[[PLANO DE CONTAS]:[R / D]],3,0),"")</f>
        <v>Despesa</v>
      </c>
      <c r="W102" s="521" t="str">
        <f>IF(LANÇ_MOV[[#This Row],[DATA DE PAGAMENTO]]&lt;&gt;"","Pago","Não Pago")</f>
        <v>Não Pago</v>
      </c>
      <c r="X102" s="522" t="str">
        <f>IFERROR(IF(LANÇ_MOV[[#This Row],[DATA DE PAGAMENTO]]="","",(UPPER(TEXT(LANÇ_MOV[[#This Row],[DATA DE PAGAMENTO]],"mmmm")))),"")</f>
        <v/>
      </c>
      <c r="Y102" s="523" t="str">
        <f>IFERROR(VLOOKUP(LANÇ_MOV[[#This Row],[PLANO DE CONTAS]],Plano_Contas[[PLANO DE CONTAS]:[NOMES INTERVALOS]],2,0),"")</f>
        <v>Despesas_Administrativas</v>
      </c>
      <c r="Z102" s="523" t="str">
        <f>IF(LANÇ_MOV[[#This Row],[FORMA DE PAGAMENTO]]="","",VLOOKUP(LANÇ_MOV[[#This Row],[FORMA DE PAGAMENTO]],CAD_Forma_pagto[],2,0))</f>
        <v>BOLETO</v>
      </c>
      <c r="AA102" s="524" t="str">
        <f>IF(LANÇ_MOV[[#This Row],[DATA DE LANÇAMENTO]]="","",TEXT(LANÇ_MOV[[#This Row],[DATA DE LANÇAMENTO]],"AAAA"))</f>
        <v>2025</v>
      </c>
      <c r="AB102" s="524" t="str">
        <f>IF(LANÇ_MOV[[#This Row],[DATA DE LANÇAMENTO]]="","",UPPER(TEXT(LANÇ_MOV[[#This Row],[DATA DE LANÇAMENTO]],"MMMM")))</f>
        <v>OUTUBRO</v>
      </c>
      <c r="AC102" s="525" t="str">
        <f>IF(LANÇ_MOV[[#This Row],[DATA DE LANÇAMENTO]]="","",PROPER(TEXT(LANÇ_MOV[[#This Row],[DATA DE LANÇAMENTO]],"M")))</f>
        <v>10</v>
      </c>
      <c r="AD102" s="524" t="str">
        <f>IF(LANÇ_MOV[[#This Row],[DATA DE LANÇAMENTO]]="","",TEXT(LANÇ_MOV[[#This Row],[DATA DE LANÇAMENTO]],"D"))</f>
        <v>1</v>
      </c>
      <c r="AE102" s="526" t="str">
        <f>IF(LANÇ_MOV[[#This Row],[DATA DE VENCIMENTO]]="","",TEXT(LANÇ_MOV[[#This Row],[DATA DE VENCIMENTO]],"AAAA"))</f>
        <v>2026</v>
      </c>
      <c r="AF102" s="526" t="str">
        <f>IF(LANÇ_MOV[[#This Row],[DATA DE VENCIMENTO]]="","",UPPER(TEXT(LANÇ_MOV[[#This Row],[DATA DE VENCIMENTO]],"MMMM")))</f>
        <v>OUTUBRO</v>
      </c>
      <c r="AG102" s="526" t="str">
        <f>IF(LANÇ_MOV[[#This Row],[DATA DE VENCIMENTO]]="","",TEXT(LANÇ_MOV[[#This Row],[DATA DE VENCIMENTO]],"M"))</f>
        <v>10</v>
      </c>
      <c r="AH102" s="526" t="str">
        <f>IF(LANÇ_MOV[[#This Row],[DATA DE VENCIMENTO]]="","",TEXT(LANÇ_MOV[[#This Row],[DATA DE VENCIMENTO]],"D"))</f>
        <v>15</v>
      </c>
      <c r="AI102" s="526" t="str">
        <f>IF(LANÇ_MOV[[#This Row],[DATA DE PAGAMENTO]]="","",TEXT(LANÇ_MOV[[#This Row],[DATA DE PAGAMENTO]],"AAAA"))</f>
        <v/>
      </c>
      <c r="AJ102" s="527" t="str">
        <f>IF(LANÇ_MOV[[#This Row],[DATA DE PAGAMENTO]]="","",UPPER(TEXT(LANÇ_MOV[[#This Row],[DATA DE PAGAMENTO]],"MMMM")))</f>
        <v/>
      </c>
      <c r="AK102" s="527" t="str">
        <f>IF(LANÇ_MOV[[#This Row],[DATA DE PAGAMENTO]]="","",TEXT(LANÇ_MOV[[#This Row],[DATA DE PAGAMENTO]],"M"))</f>
        <v/>
      </c>
      <c r="AL102" s="526" t="str">
        <f>IF(LANÇ_MOV[[#This Row],[DATA DE PAGAMENTO]]="","",TEXT(LANÇ_MOV[[#This Row],[DATA DE PAGAMENTO]],"D"))</f>
        <v/>
      </c>
      <c r="AM102" s="210"/>
      <c r="BC102" s="112"/>
      <c r="BD102" s="112"/>
    </row>
    <row r="103" spans="1:56" ht="30.05" customHeight="1" x14ac:dyDescent="0.35">
      <c r="B103" s="506">
        <v>45931</v>
      </c>
      <c r="C103" s="507" t="s">
        <v>1661</v>
      </c>
      <c r="D103" s="508" t="s">
        <v>1854</v>
      </c>
      <c r="E103" s="509" t="s">
        <v>1144</v>
      </c>
      <c r="F103" s="510" t="s">
        <v>1813</v>
      </c>
      <c r="G103" s="507"/>
      <c r="H103" s="511"/>
      <c r="I103" s="512" t="s">
        <v>1761</v>
      </c>
      <c r="J103" s="510">
        <v>704.72</v>
      </c>
      <c r="K103" s="513">
        <v>0</v>
      </c>
      <c r="L103" s="513">
        <v>0</v>
      </c>
      <c r="M103" s="513">
        <v>0</v>
      </c>
      <c r="N103" s="514">
        <f>LANÇ_MOV[[#This Row],[VALOR BRUTO]]-LANÇ_MOV[[#This Row],[DESCONTO]]+LANÇ_MOV[[#This Row],[JUROS]]+LANÇ_MOV[[#This Row],[MULTA]]</f>
        <v>704.72</v>
      </c>
      <c r="O103" s="515">
        <v>45964</v>
      </c>
      <c r="P103" s="516" t="str">
        <f t="shared" ca="1" si="1"/>
        <v>Venceu</v>
      </c>
      <c r="Q103" s="517"/>
      <c r="R103" s="531" t="s">
        <v>1506</v>
      </c>
      <c r="S103" s="518"/>
      <c r="T103" s="531" t="s">
        <v>1776</v>
      </c>
      <c r="U103" s="519" t="s">
        <v>2008</v>
      </c>
      <c r="V103" s="520" t="str">
        <f>IFERROR(VLOOKUP(LANÇ_MOV[[#This Row],[PLANO DE CONTAS]],Plano_Contas[[PLANO DE CONTAS]:[R / D]],3,0),"")</f>
        <v>Despesa</v>
      </c>
      <c r="W103" s="521" t="str">
        <f>IF(LANÇ_MOV[[#This Row],[DATA DE PAGAMENTO]]&lt;&gt;"","Pago","Não Pago")</f>
        <v>Não Pago</v>
      </c>
      <c r="X103" s="522" t="str">
        <f>IFERROR(IF(LANÇ_MOV[[#This Row],[DATA DE PAGAMENTO]]="","",(UPPER(TEXT(LANÇ_MOV[[#This Row],[DATA DE PAGAMENTO]],"mmmm")))),"")</f>
        <v/>
      </c>
      <c r="Y103" s="523" t="str">
        <f>IFERROR(VLOOKUP(LANÇ_MOV[[#This Row],[PLANO DE CONTAS]],Plano_Contas[[PLANO DE CONTAS]:[NOMES INTERVALOS]],2,0),"")</f>
        <v>Despesas_Administrativas</v>
      </c>
      <c r="Z103" s="523" t="str">
        <f>IF(LANÇ_MOV[[#This Row],[FORMA DE PAGAMENTO]]="","",VLOOKUP(LANÇ_MOV[[#This Row],[FORMA DE PAGAMENTO]],CAD_Forma_pagto[],2,0))</f>
        <v>BOLETO</v>
      </c>
      <c r="AA103" s="524" t="str">
        <f>IF(LANÇ_MOV[[#This Row],[DATA DE LANÇAMENTO]]="","",TEXT(LANÇ_MOV[[#This Row],[DATA DE LANÇAMENTO]],"AAAA"))</f>
        <v>2025</v>
      </c>
      <c r="AB103" s="524" t="str">
        <f>IF(LANÇ_MOV[[#This Row],[DATA DE LANÇAMENTO]]="","",UPPER(TEXT(LANÇ_MOV[[#This Row],[DATA DE LANÇAMENTO]],"MMMM")))</f>
        <v>OUTUBRO</v>
      </c>
      <c r="AC103" s="525" t="str">
        <f>IF(LANÇ_MOV[[#This Row],[DATA DE LANÇAMENTO]]="","",PROPER(TEXT(LANÇ_MOV[[#This Row],[DATA DE LANÇAMENTO]],"M")))</f>
        <v>10</v>
      </c>
      <c r="AD103" s="524" t="str">
        <f>IF(LANÇ_MOV[[#This Row],[DATA DE LANÇAMENTO]]="","",TEXT(LANÇ_MOV[[#This Row],[DATA DE LANÇAMENTO]],"D"))</f>
        <v>1</v>
      </c>
      <c r="AE103" s="526" t="str">
        <f>IF(LANÇ_MOV[[#This Row],[DATA DE VENCIMENTO]]="","",TEXT(LANÇ_MOV[[#This Row],[DATA DE VENCIMENTO]],"AAAA"))</f>
        <v>2025</v>
      </c>
      <c r="AF103" s="526" t="str">
        <f>IF(LANÇ_MOV[[#This Row],[DATA DE VENCIMENTO]]="","",UPPER(TEXT(LANÇ_MOV[[#This Row],[DATA DE VENCIMENTO]],"MMMM")))</f>
        <v>NOVEMBRO</v>
      </c>
      <c r="AG103" s="526" t="str">
        <f>IF(LANÇ_MOV[[#This Row],[DATA DE VENCIMENTO]]="","",TEXT(LANÇ_MOV[[#This Row],[DATA DE VENCIMENTO]],"M"))</f>
        <v>11</v>
      </c>
      <c r="AH103" s="526" t="str">
        <f>IF(LANÇ_MOV[[#This Row],[DATA DE VENCIMENTO]]="","",TEXT(LANÇ_MOV[[#This Row],[DATA DE VENCIMENTO]],"D"))</f>
        <v>3</v>
      </c>
      <c r="AI103" s="526" t="str">
        <f>IF(LANÇ_MOV[[#This Row],[DATA DE PAGAMENTO]]="","",TEXT(LANÇ_MOV[[#This Row],[DATA DE PAGAMENTO]],"AAAA"))</f>
        <v/>
      </c>
      <c r="AJ103" s="527" t="str">
        <f>IF(LANÇ_MOV[[#This Row],[DATA DE PAGAMENTO]]="","",UPPER(TEXT(LANÇ_MOV[[#This Row],[DATA DE PAGAMENTO]],"MMMM")))</f>
        <v/>
      </c>
      <c r="AK103" s="527" t="str">
        <f>IF(LANÇ_MOV[[#This Row],[DATA DE PAGAMENTO]]="","",TEXT(LANÇ_MOV[[#This Row],[DATA DE PAGAMENTO]],"M"))</f>
        <v/>
      </c>
      <c r="AL103" s="526" t="str">
        <f>IF(LANÇ_MOV[[#This Row],[DATA DE PAGAMENTO]]="","",TEXT(LANÇ_MOV[[#This Row],[DATA DE PAGAMENTO]],"D"))</f>
        <v/>
      </c>
      <c r="AM103" s="210"/>
      <c r="BC103" s="112"/>
      <c r="BD103" s="112"/>
    </row>
    <row r="104" spans="1:56" ht="30.05" customHeight="1" x14ac:dyDescent="0.35">
      <c r="B104" s="506">
        <v>45931</v>
      </c>
      <c r="C104" s="507" t="s">
        <v>1661</v>
      </c>
      <c r="D104" s="508" t="s">
        <v>1854</v>
      </c>
      <c r="E104" s="509" t="s">
        <v>1144</v>
      </c>
      <c r="F104" s="510" t="s">
        <v>1813</v>
      </c>
      <c r="G104" s="507"/>
      <c r="H104" s="511"/>
      <c r="I104" s="512" t="s">
        <v>1761</v>
      </c>
      <c r="J104" s="510">
        <v>704.72</v>
      </c>
      <c r="K104" s="513">
        <v>0</v>
      </c>
      <c r="L104" s="513">
        <v>0</v>
      </c>
      <c r="M104" s="513">
        <v>0</v>
      </c>
      <c r="N104" s="514">
        <f>LANÇ_MOV[[#This Row],[VALOR BRUTO]]-LANÇ_MOV[[#This Row],[DESCONTO]]+LANÇ_MOV[[#This Row],[JUROS]]+LANÇ_MOV[[#This Row],[MULTA]]</f>
        <v>704.72</v>
      </c>
      <c r="O104" s="528">
        <v>45994</v>
      </c>
      <c r="P104" s="516" t="str">
        <f t="shared" ca="1" si="1"/>
        <v>Prazo - Menos de 10 dias</v>
      </c>
      <c r="Q104" s="530"/>
      <c r="R104" s="531" t="s">
        <v>1506</v>
      </c>
      <c r="S104" s="531"/>
      <c r="T104" s="531" t="s">
        <v>1776</v>
      </c>
      <c r="U104" s="519" t="s">
        <v>2008</v>
      </c>
      <c r="V104" s="520" t="str">
        <f>IFERROR(VLOOKUP(LANÇ_MOV[[#This Row],[PLANO DE CONTAS]],Plano_Contas[[PLANO DE CONTAS]:[R / D]],3,0),"")</f>
        <v>Despesa</v>
      </c>
      <c r="W104" s="521" t="str">
        <f>IF(LANÇ_MOV[[#This Row],[DATA DE PAGAMENTO]]&lt;&gt;"","Pago","Não Pago")</f>
        <v>Não Pago</v>
      </c>
      <c r="X104" s="522" t="str">
        <f>IFERROR(IF(LANÇ_MOV[[#This Row],[DATA DE PAGAMENTO]]="","",(UPPER(TEXT(LANÇ_MOV[[#This Row],[DATA DE PAGAMENTO]],"mmmm")))),"")</f>
        <v/>
      </c>
      <c r="Y104" s="523" t="str">
        <f>IFERROR(VLOOKUP(LANÇ_MOV[[#This Row],[PLANO DE CONTAS]],Plano_Contas[[PLANO DE CONTAS]:[NOMES INTERVALOS]],2,0),"")</f>
        <v>Despesas_Administrativas</v>
      </c>
      <c r="Z104" s="523" t="str">
        <f>IF(LANÇ_MOV[[#This Row],[FORMA DE PAGAMENTO]]="","",VLOOKUP(LANÇ_MOV[[#This Row],[FORMA DE PAGAMENTO]],CAD_Forma_pagto[],2,0))</f>
        <v>BOLETO</v>
      </c>
      <c r="AA104" s="524" t="str">
        <f>IF(LANÇ_MOV[[#This Row],[DATA DE LANÇAMENTO]]="","",TEXT(LANÇ_MOV[[#This Row],[DATA DE LANÇAMENTO]],"AAAA"))</f>
        <v>2025</v>
      </c>
      <c r="AB104" s="524" t="str">
        <f>IF(LANÇ_MOV[[#This Row],[DATA DE LANÇAMENTO]]="","",UPPER(TEXT(LANÇ_MOV[[#This Row],[DATA DE LANÇAMENTO]],"MMMM")))</f>
        <v>OUTUBRO</v>
      </c>
      <c r="AC104" s="525" t="str">
        <f>IF(LANÇ_MOV[[#This Row],[DATA DE LANÇAMENTO]]="","",PROPER(TEXT(LANÇ_MOV[[#This Row],[DATA DE LANÇAMENTO]],"M")))</f>
        <v>10</v>
      </c>
      <c r="AD104" s="524" t="str">
        <f>IF(LANÇ_MOV[[#This Row],[DATA DE LANÇAMENTO]]="","",TEXT(LANÇ_MOV[[#This Row],[DATA DE LANÇAMENTO]],"D"))</f>
        <v>1</v>
      </c>
      <c r="AE104" s="526" t="str">
        <f>IF(LANÇ_MOV[[#This Row],[DATA DE VENCIMENTO]]="","",TEXT(LANÇ_MOV[[#This Row],[DATA DE VENCIMENTO]],"AAAA"))</f>
        <v>2025</v>
      </c>
      <c r="AF104" s="526" t="str">
        <f>IF(LANÇ_MOV[[#This Row],[DATA DE VENCIMENTO]]="","",UPPER(TEXT(LANÇ_MOV[[#This Row],[DATA DE VENCIMENTO]],"MMMM")))</f>
        <v>DEZEMBRO</v>
      </c>
      <c r="AG104" s="526" t="str">
        <f>IF(LANÇ_MOV[[#This Row],[DATA DE VENCIMENTO]]="","",TEXT(LANÇ_MOV[[#This Row],[DATA DE VENCIMENTO]],"M"))</f>
        <v>12</v>
      </c>
      <c r="AH104" s="526" t="str">
        <f>IF(LANÇ_MOV[[#This Row],[DATA DE VENCIMENTO]]="","",TEXT(LANÇ_MOV[[#This Row],[DATA DE VENCIMENTO]],"D"))</f>
        <v>3</v>
      </c>
      <c r="AI104" s="526" t="str">
        <f>IF(LANÇ_MOV[[#This Row],[DATA DE PAGAMENTO]]="","",TEXT(LANÇ_MOV[[#This Row],[DATA DE PAGAMENTO]],"AAAA"))</f>
        <v/>
      </c>
      <c r="AJ104" s="527" t="str">
        <f>IF(LANÇ_MOV[[#This Row],[DATA DE PAGAMENTO]]="","",UPPER(TEXT(LANÇ_MOV[[#This Row],[DATA DE PAGAMENTO]],"MMMM")))</f>
        <v/>
      </c>
      <c r="AK104" s="527" t="str">
        <f>IF(LANÇ_MOV[[#This Row],[DATA DE PAGAMENTO]]="","",TEXT(LANÇ_MOV[[#This Row],[DATA DE PAGAMENTO]],"M"))</f>
        <v/>
      </c>
      <c r="AL104" s="526" t="str">
        <f>IF(LANÇ_MOV[[#This Row],[DATA DE PAGAMENTO]]="","",TEXT(LANÇ_MOV[[#This Row],[DATA DE PAGAMENTO]],"D"))</f>
        <v/>
      </c>
      <c r="AM104" s="210"/>
      <c r="BC104" s="112"/>
      <c r="BD104" s="112"/>
    </row>
    <row r="105" spans="1:56" ht="30.05" customHeight="1" x14ac:dyDescent="0.35">
      <c r="B105" s="506">
        <v>45931</v>
      </c>
      <c r="C105" s="507" t="s">
        <v>1661</v>
      </c>
      <c r="D105" s="508" t="s">
        <v>1854</v>
      </c>
      <c r="E105" s="509" t="s">
        <v>1144</v>
      </c>
      <c r="F105" s="510" t="s">
        <v>1813</v>
      </c>
      <c r="G105" s="507"/>
      <c r="H105" s="511"/>
      <c r="I105" s="512" t="s">
        <v>1761</v>
      </c>
      <c r="J105" s="510">
        <v>704.72</v>
      </c>
      <c r="K105" s="513">
        <v>0</v>
      </c>
      <c r="L105" s="513">
        <v>0</v>
      </c>
      <c r="M105" s="513">
        <v>0</v>
      </c>
      <c r="N105" s="514">
        <f>LANÇ_MOV[[#This Row],[VALOR BRUTO]]-LANÇ_MOV[[#This Row],[DESCONTO]]+LANÇ_MOV[[#This Row],[JUROS]]+LANÇ_MOV[[#This Row],[MULTA]]</f>
        <v>704.72</v>
      </c>
      <c r="O105" s="528">
        <v>46025</v>
      </c>
      <c r="P105" s="516" t="str">
        <f t="shared" ca="1" si="1"/>
        <v>Prazo - Mais de 1 mês</v>
      </c>
      <c r="Q105" s="530"/>
      <c r="R105" s="529" t="s">
        <v>1506</v>
      </c>
      <c r="S105" s="531"/>
      <c r="T105" s="518" t="s">
        <v>1776</v>
      </c>
      <c r="U105" s="519" t="s">
        <v>2008</v>
      </c>
      <c r="V105" s="520" t="str">
        <f>IFERROR(VLOOKUP(LANÇ_MOV[[#This Row],[PLANO DE CONTAS]],Plano_Contas[[PLANO DE CONTAS]:[R / D]],3,0),"")</f>
        <v>Despesa</v>
      </c>
      <c r="W105" s="521" t="str">
        <f>IF(LANÇ_MOV[[#This Row],[DATA DE PAGAMENTO]]&lt;&gt;"","Pago","Não Pago")</f>
        <v>Não Pago</v>
      </c>
      <c r="X105" s="522" t="str">
        <f>IFERROR(IF(LANÇ_MOV[[#This Row],[DATA DE PAGAMENTO]]="","",(UPPER(TEXT(LANÇ_MOV[[#This Row],[DATA DE PAGAMENTO]],"mmmm")))),"")</f>
        <v/>
      </c>
      <c r="Y105" s="523" t="str">
        <f>IFERROR(VLOOKUP(LANÇ_MOV[[#This Row],[PLANO DE CONTAS]],Plano_Contas[[PLANO DE CONTAS]:[NOMES INTERVALOS]],2,0),"")</f>
        <v>Despesas_Administrativas</v>
      </c>
      <c r="Z105" s="523" t="str">
        <f>IF(LANÇ_MOV[[#This Row],[FORMA DE PAGAMENTO]]="","",VLOOKUP(LANÇ_MOV[[#This Row],[FORMA DE PAGAMENTO]],CAD_Forma_pagto[],2,0))</f>
        <v>BOLETO</v>
      </c>
      <c r="AA105" s="524" t="str">
        <f>IF(LANÇ_MOV[[#This Row],[DATA DE LANÇAMENTO]]="","",TEXT(LANÇ_MOV[[#This Row],[DATA DE LANÇAMENTO]],"AAAA"))</f>
        <v>2025</v>
      </c>
      <c r="AB105" s="524" t="str">
        <f>IF(LANÇ_MOV[[#This Row],[DATA DE LANÇAMENTO]]="","",UPPER(TEXT(LANÇ_MOV[[#This Row],[DATA DE LANÇAMENTO]],"MMMM")))</f>
        <v>OUTUBRO</v>
      </c>
      <c r="AC105" s="525" t="str">
        <f>IF(LANÇ_MOV[[#This Row],[DATA DE LANÇAMENTO]]="","",PROPER(TEXT(LANÇ_MOV[[#This Row],[DATA DE LANÇAMENTO]],"M")))</f>
        <v>10</v>
      </c>
      <c r="AD105" s="524" t="str">
        <f>IF(LANÇ_MOV[[#This Row],[DATA DE LANÇAMENTO]]="","",TEXT(LANÇ_MOV[[#This Row],[DATA DE LANÇAMENTO]],"D"))</f>
        <v>1</v>
      </c>
      <c r="AE105" s="526" t="str">
        <f>IF(LANÇ_MOV[[#This Row],[DATA DE VENCIMENTO]]="","",TEXT(LANÇ_MOV[[#This Row],[DATA DE VENCIMENTO]],"AAAA"))</f>
        <v>2026</v>
      </c>
      <c r="AF105" s="526" t="str">
        <f>IF(LANÇ_MOV[[#This Row],[DATA DE VENCIMENTO]]="","",UPPER(TEXT(LANÇ_MOV[[#This Row],[DATA DE VENCIMENTO]],"MMMM")))</f>
        <v>JANEIRO</v>
      </c>
      <c r="AG105" s="526" t="str">
        <f>IF(LANÇ_MOV[[#This Row],[DATA DE VENCIMENTO]]="","",TEXT(LANÇ_MOV[[#This Row],[DATA DE VENCIMENTO]],"M"))</f>
        <v>1</v>
      </c>
      <c r="AH105" s="526" t="str">
        <f>IF(LANÇ_MOV[[#This Row],[DATA DE VENCIMENTO]]="","",TEXT(LANÇ_MOV[[#This Row],[DATA DE VENCIMENTO]],"D"))</f>
        <v>3</v>
      </c>
      <c r="AI105" s="526" t="str">
        <f>IF(LANÇ_MOV[[#This Row],[DATA DE PAGAMENTO]]="","",TEXT(LANÇ_MOV[[#This Row],[DATA DE PAGAMENTO]],"AAAA"))</f>
        <v/>
      </c>
      <c r="AJ105" s="527" t="str">
        <f>IF(LANÇ_MOV[[#This Row],[DATA DE PAGAMENTO]]="","",UPPER(TEXT(LANÇ_MOV[[#This Row],[DATA DE PAGAMENTO]],"MMMM")))</f>
        <v/>
      </c>
      <c r="AK105" s="527" t="str">
        <f>IF(LANÇ_MOV[[#This Row],[DATA DE PAGAMENTO]]="","",TEXT(LANÇ_MOV[[#This Row],[DATA DE PAGAMENTO]],"M"))</f>
        <v/>
      </c>
      <c r="AL105" s="526" t="str">
        <f>IF(LANÇ_MOV[[#This Row],[DATA DE PAGAMENTO]]="","",TEXT(LANÇ_MOV[[#This Row],[DATA DE PAGAMENTO]],"D"))</f>
        <v/>
      </c>
      <c r="AM105" s="210"/>
      <c r="BC105" s="112"/>
      <c r="BD105" s="112"/>
    </row>
    <row r="106" spans="1:56" ht="30.05" customHeight="1" x14ac:dyDescent="0.35">
      <c r="B106" s="506">
        <v>45931</v>
      </c>
      <c r="C106" s="507" t="s">
        <v>1661</v>
      </c>
      <c r="D106" s="508" t="s">
        <v>1854</v>
      </c>
      <c r="E106" s="509" t="s">
        <v>1144</v>
      </c>
      <c r="F106" s="510" t="s">
        <v>1813</v>
      </c>
      <c r="G106" s="507"/>
      <c r="H106" s="511"/>
      <c r="I106" s="512" t="s">
        <v>1761</v>
      </c>
      <c r="J106" s="510">
        <v>704.72</v>
      </c>
      <c r="K106" s="513">
        <v>0</v>
      </c>
      <c r="L106" s="513">
        <v>0</v>
      </c>
      <c r="M106" s="513">
        <v>0</v>
      </c>
      <c r="N106" s="514">
        <f>LANÇ_MOV[[#This Row],[VALOR BRUTO]]-LANÇ_MOV[[#This Row],[DESCONTO]]+LANÇ_MOV[[#This Row],[JUROS]]+LANÇ_MOV[[#This Row],[MULTA]]</f>
        <v>704.72</v>
      </c>
      <c r="O106" s="515">
        <v>46056</v>
      </c>
      <c r="P106" s="516" t="str">
        <f t="shared" ca="1" si="1"/>
        <v>Prazo - Mais de 1 mês</v>
      </c>
      <c r="Q106" s="517"/>
      <c r="R106" s="531" t="s">
        <v>1506</v>
      </c>
      <c r="S106" s="531"/>
      <c r="T106" s="531" t="s">
        <v>1776</v>
      </c>
      <c r="U106" s="519" t="s">
        <v>2008</v>
      </c>
      <c r="V106" s="520" t="str">
        <f>IFERROR(VLOOKUP(LANÇ_MOV[[#This Row],[PLANO DE CONTAS]],Plano_Contas[[PLANO DE CONTAS]:[R / D]],3,0),"")</f>
        <v>Despesa</v>
      </c>
      <c r="W106" s="521" t="str">
        <f>IF(LANÇ_MOV[[#This Row],[DATA DE PAGAMENTO]]&lt;&gt;"","Pago","Não Pago")</f>
        <v>Não Pago</v>
      </c>
      <c r="X106" s="522" t="str">
        <f>IFERROR(IF(LANÇ_MOV[[#This Row],[DATA DE PAGAMENTO]]="","",(UPPER(TEXT(LANÇ_MOV[[#This Row],[DATA DE PAGAMENTO]],"mmmm")))),"")</f>
        <v/>
      </c>
      <c r="Y106" s="523" t="str">
        <f>IFERROR(VLOOKUP(LANÇ_MOV[[#This Row],[PLANO DE CONTAS]],Plano_Contas[[PLANO DE CONTAS]:[NOMES INTERVALOS]],2,0),"")</f>
        <v>Despesas_Administrativas</v>
      </c>
      <c r="Z106" s="523" t="str">
        <f>IF(LANÇ_MOV[[#This Row],[FORMA DE PAGAMENTO]]="","",VLOOKUP(LANÇ_MOV[[#This Row],[FORMA DE PAGAMENTO]],CAD_Forma_pagto[],2,0))</f>
        <v>BOLETO</v>
      </c>
      <c r="AA106" s="524" t="str">
        <f>IF(LANÇ_MOV[[#This Row],[DATA DE LANÇAMENTO]]="","",TEXT(LANÇ_MOV[[#This Row],[DATA DE LANÇAMENTO]],"AAAA"))</f>
        <v>2025</v>
      </c>
      <c r="AB106" s="524" t="str">
        <f>IF(LANÇ_MOV[[#This Row],[DATA DE LANÇAMENTO]]="","",UPPER(TEXT(LANÇ_MOV[[#This Row],[DATA DE LANÇAMENTO]],"MMMM")))</f>
        <v>OUTUBRO</v>
      </c>
      <c r="AC106" s="525" t="str">
        <f>IF(LANÇ_MOV[[#This Row],[DATA DE LANÇAMENTO]]="","",PROPER(TEXT(LANÇ_MOV[[#This Row],[DATA DE LANÇAMENTO]],"M")))</f>
        <v>10</v>
      </c>
      <c r="AD106" s="524" t="str">
        <f>IF(LANÇ_MOV[[#This Row],[DATA DE LANÇAMENTO]]="","",TEXT(LANÇ_MOV[[#This Row],[DATA DE LANÇAMENTO]],"D"))</f>
        <v>1</v>
      </c>
      <c r="AE106" s="526" t="str">
        <f>IF(LANÇ_MOV[[#This Row],[DATA DE VENCIMENTO]]="","",TEXT(LANÇ_MOV[[#This Row],[DATA DE VENCIMENTO]],"AAAA"))</f>
        <v>2026</v>
      </c>
      <c r="AF106" s="526" t="str">
        <f>IF(LANÇ_MOV[[#This Row],[DATA DE VENCIMENTO]]="","",UPPER(TEXT(LANÇ_MOV[[#This Row],[DATA DE VENCIMENTO]],"MMMM")))</f>
        <v>FEVEREIRO</v>
      </c>
      <c r="AG106" s="526" t="str">
        <f>IF(LANÇ_MOV[[#This Row],[DATA DE VENCIMENTO]]="","",TEXT(LANÇ_MOV[[#This Row],[DATA DE VENCIMENTO]],"M"))</f>
        <v>2</v>
      </c>
      <c r="AH106" s="526" t="str">
        <f>IF(LANÇ_MOV[[#This Row],[DATA DE VENCIMENTO]]="","",TEXT(LANÇ_MOV[[#This Row],[DATA DE VENCIMENTO]],"D"))</f>
        <v>3</v>
      </c>
      <c r="AI106" s="526" t="str">
        <f>IF(LANÇ_MOV[[#This Row],[DATA DE PAGAMENTO]]="","",TEXT(LANÇ_MOV[[#This Row],[DATA DE PAGAMENTO]],"AAAA"))</f>
        <v/>
      </c>
      <c r="AJ106" s="527" t="str">
        <f>IF(LANÇ_MOV[[#This Row],[DATA DE PAGAMENTO]]="","",UPPER(TEXT(LANÇ_MOV[[#This Row],[DATA DE PAGAMENTO]],"MMMM")))</f>
        <v/>
      </c>
      <c r="AK106" s="527" t="str">
        <f>IF(LANÇ_MOV[[#This Row],[DATA DE PAGAMENTO]]="","",TEXT(LANÇ_MOV[[#This Row],[DATA DE PAGAMENTO]],"M"))</f>
        <v/>
      </c>
      <c r="AL106" s="526" t="str">
        <f>IF(LANÇ_MOV[[#This Row],[DATA DE PAGAMENTO]]="","",TEXT(LANÇ_MOV[[#This Row],[DATA DE PAGAMENTO]],"D"))</f>
        <v/>
      </c>
      <c r="AM106" s="210"/>
      <c r="BC106" s="112"/>
      <c r="BD106" s="112"/>
    </row>
    <row r="107" spans="1:56" ht="30.05" customHeight="1" x14ac:dyDescent="0.35">
      <c r="B107" s="506">
        <v>45931</v>
      </c>
      <c r="C107" s="507" t="s">
        <v>1661</v>
      </c>
      <c r="D107" s="508" t="s">
        <v>1854</v>
      </c>
      <c r="E107" s="509" t="s">
        <v>1144</v>
      </c>
      <c r="F107" s="510" t="s">
        <v>1813</v>
      </c>
      <c r="G107" s="507"/>
      <c r="H107" s="511"/>
      <c r="I107" s="512" t="s">
        <v>1761</v>
      </c>
      <c r="J107" s="510">
        <v>704.72</v>
      </c>
      <c r="K107" s="513">
        <v>0</v>
      </c>
      <c r="L107" s="513">
        <v>0</v>
      </c>
      <c r="M107" s="513">
        <v>0</v>
      </c>
      <c r="N107" s="514">
        <f>LANÇ_MOV[[#This Row],[VALOR BRUTO]]-LANÇ_MOV[[#This Row],[DESCONTO]]+LANÇ_MOV[[#This Row],[JUROS]]+LANÇ_MOV[[#This Row],[MULTA]]</f>
        <v>704.72</v>
      </c>
      <c r="O107" s="515">
        <v>46084</v>
      </c>
      <c r="P107" s="516" t="str">
        <f t="shared" ca="1" si="1"/>
        <v>Prazo - Mais de 1 mês</v>
      </c>
      <c r="Q107" s="517"/>
      <c r="R107" s="531" t="s">
        <v>1506</v>
      </c>
      <c r="S107" s="531"/>
      <c r="T107" s="531" t="s">
        <v>1776</v>
      </c>
      <c r="U107" s="519" t="s">
        <v>2008</v>
      </c>
      <c r="V107" s="520" t="str">
        <f>IFERROR(VLOOKUP(LANÇ_MOV[[#This Row],[PLANO DE CONTAS]],Plano_Contas[[PLANO DE CONTAS]:[R / D]],3,0),"")</f>
        <v>Despesa</v>
      </c>
      <c r="W107" s="521" t="str">
        <f>IF(LANÇ_MOV[[#This Row],[DATA DE PAGAMENTO]]&lt;&gt;"","Pago","Não Pago")</f>
        <v>Não Pago</v>
      </c>
      <c r="X107" s="522" t="str">
        <f>IFERROR(IF(LANÇ_MOV[[#This Row],[DATA DE PAGAMENTO]]="","",(UPPER(TEXT(LANÇ_MOV[[#This Row],[DATA DE PAGAMENTO]],"mmmm")))),"")</f>
        <v/>
      </c>
      <c r="Y107" s="523" t="str">
        <f>IFERROR(VLOOKUP(LANÇ_MOV[[#This Row],[PLANO DE CONTAS]],Plano_Contas[[PLANO DE CONTAS]:[NOMES INTERVALOS]],2,0),"")</f>
        <v>Despesas_Administrativas</v>
      </c>
      <c r="Z107" s="523" t="str">
        <f>IF(LANÇ_MOV[[#This Row],[FORMA DE PAGAMENTO]]="","",VLOOKUP(LANÇ_MOV[[#This Row],[FORMA DE PAGAMENTO]],CAD_Forma_pagto[],2,0))</f>
        <v>BOLETO</v>
      </c>
      <c r="AA107" s="524" t="str">
        <f>IF(LANÇ_MOV[[#This Row],[DATA DE LANÇAMENTO]]="","",TEXT(LANÇ_MOV[[#This Row],[DATA DE LANÇAMENTO]],"AAAA"))</f>
        <v>2025</v>
      </c>
      <c r="AB107" s="524" t="str">
        <f>IF(LANÇ_MOV[[#This Row],[DATA DE LANÇAMENTO]]="","",UPPER(TEXT(LANÇ_MOV[[#This Row],[DATA DE LANÇAMENTO]],"MMMM")))</f>
        <v>OUTUBRO</v>
      </c>
      <c r="AC107" s="525" t="str">
        <f>IF(LANÇ_MOV[[#This Row],[DATA DE LANÇAMENTO]]="","",PROPER(TEXT(LANÇ_MOV[[#This Row],[DATA DE LANÇAMENTO]],"M")))</f>
        <v>10</v>
      </c>
      <c r="AD107" s="524" t="str">
        <f>IF(LANÇ_MOV[[#This Row],[DATA DE LANÇAMENTO]]="","",TEXT(LANÇ_MOV[[#This Row],[DATA DE LANÇAMENTO]],"D"))</f>
        <v>1</v>
      </c>
      <c r="AE107" s="526" t="str">
        <f>IF(LANÇ_MOV[[#This Row],[DATA DE VENCIMENTO]]="","",TEXT(LANÇ_MOV[[#This Row],[DATA DE VENCIMENTO]],"AAAA"))</f>
        <v>2026</v>
      </c>
      <c r="AF107" s="526" t="str">
        <f>IF(LANÇ_MOV[[#This Row],[DATA DE VENCIMENTO]]="","",UPPER(TEXT(LANÇ_MOV[[#This Row],[DATA DE VENCIMENTO]],"MMMM")))</f>
        <v>MARÇO</v>
      </c>
      <c r="AG107" s="526" t="str">
        <f>IF(LANÇ_MOV[[#This Row],[DATA DE VENCIMENTO]]="","",TEXT(LANÇ_MOV[[#This Row],[DATA DE VENCIMENTO]],"M"))</f>
        <v>3</v>
      </c>
      <c r="AH107" s="526" t="str">
        <f>IF(LANÇ_MOV[[#This Row],[DATA DE VENCIMENTO]]="","",TEXT(LANÇ_MOV[[#This Row],[DATA DE VENCIMENTO]],"D"))</f>
        <v>3</v>
      </c>
      <c r="AI107" s="526" t="str">
        <f>IF(LANÇ_MOV[[#This Row],[DATA DE PAGAMENTO]]="","",TEXT(LANÇ_MOV[[#This Row],[DATA DE PAGAMENTO]],"AAAA"))</f>
        <v/>
      </c>
      <c r="AJ107" s="527" t="str">
        <f>IF(LANÇ_MOV[[#This Row],[DATA DE PAGAMENTO]]="","",UPPER(TEXT(LANÇ_MOV[[#This Row],[DATA DE PAGAMENTO]],"MMMM")))</f>
        <v/>
      </c>
      <c r="AK107" s="527" t="str">
        <f>IF(LANÇ_MOV[[#This Row],[DATA DE PAGAMENTO]]="","",TEXT(LANÇ_MOV[[#This Row],[DATA DE PAGAMENTO]],"M"))</f>
        <v/>
      </c>
      <c r="AL107" s="526" t="str">
        <f>IF(LANÇ_MOV[[#This Row],[DATA DE PAGAMENTO]]="","",TEXT(LANÇ_MOV[[#This Row],[DATA DE PAGAMENTO]],"D"))</f>
        <v/>
      </c>
      <c r="AM107" s="210"/>
      <c r="BC107" s="112"/>
      <c r="BD107" s="112"/>
    </row>
    <row r="108" spans="1:56" ht="30.05" customHeight="1" x14ac:dyDescent="0.35">
      <c r="B108" s="506">
        <v>45931</v>
      </c>
      <c r="C108" s="507" t="s">
        <v>1661</v>
      </c>
      <c r="D108" s="508" t="s">
        <v>1854</v>
      </c>
      <c r="E108" s="509" t="s">
        <v>1144</v>
      </c>
      <c r="F108" s="510" t="s">
        <v>1813</v>
      </c>
      <c r="G108" s="507"/>
      <c r="H108" s="511"/>
      <c r="I108" s="512" t="s">
        <v>1761</v>
      </c>
      <c r="J108" s="510">
        <v>704.72</v>
      </c>
      <c r="K108" s="513">
        <v>0</v>
      </c>
      <c r="L108" s="513">
        <v>0</v>
      </c>
      <c r="M108" s="513">
        <v>0</v>
      </c>
      <c r="N108" s="514">
        <f>LANÇ_MOV[[#This Row],[VALOR BRUTO]]-LANÇ_MOV[[#This Row],[DESCONTO]]+LANÇ_MOV[[#This Row],[JUROS]]+LANÇ_MOV[[#This Row],[MULTA]]</f>
        <v>704.72</v>
      </c>
      <c r="O108" s="515">
        <v>46115</v>
      </c>
      <c r="P108" s="516" t="str">
        <f t="shared" ca="1" si="1"/>
        <v>Prazo - Mais de 1 mês</v>
      </c>
      <c r="Q108" s="517"/>
      <c r="R108" s="531" t="s">
        <v>1506</v>
      </c>
      <c r="S108" s="531"/>
      <c r="T108" s="531" t="s">
        <v>1776</v>
      </c>
      <c r="U108" s="519" t="s">
        <v>2008</v>
      </c>
      <c r="V108" s="520" t="str">
        <f>IFERROR(VLOOKUP(LANÇ_MOV[[#This Row],[PLANO DE CONTAS]],Plano_Contas[[PLANO DE CONTAS]:[R / D]],3,0),"")</f>
        <v>Despesa</v>
      </c>
      <c r="W108" s="521" t="str">
        <f>IF(LANÇ_MOV[[#This Row],[DATA DE PAGAMENTO]]&lt;&gt;"","Pago","Não Pago")</f>
        <v>Não Pago</v>
      </c>
      <c r="X108" s="522" t="str">
        <f>IFERROR(IF(LANÇ_MOV[[#This Row],[DATA DE PAGAMENTO]]="","",(UPPER(TEXT(LANÇ_MOV[[#This Row],[DATA DE PAGAMENTO]],"mmmm")))),"")</f>
        <v/>
      </c>
      <c r="Y108" s="523" t="str">
        <f>IFERROR(VLOOKUP(LANÇ_MOV[[#This Row],[PLANO DE CONTAS]],Plano_Contas[[PLANO DE CONTAS]:[NOMES INTERVALOS]],2,0),"")</f>
        <v>Despesas_Administrativas</v>
      </c>
      <c r="Z108" s="523" t="str">
        <f>IF(LANÇ_MOV[[#This Row],[FORMA DE PAGAMENTO]]="","",VLOOKUP(LANÇ_MOV[[#This Row],[FORMA DE PAGAMENTO]],CAD_Forma_pagto[],2,0))</f>
        <v>BOLETO</v>
      </c>
      <c r="AA108" s="524" t="str">
        <f>IF(LANÇ_MOV[[#This Row],[DATA DE LANÇAMENTO]]="","",TEXT(LANÇ_MOV[[#This Row],[DATA DE LANÇAMENTO]],"AAAA"))</f>
        <v>2025</v>
      </c>
      <c r="AB108" s="524" t="str">
        <f>IF(LANÇ_MOV[[#This Row],[DATA DE LANÇAMENTO]]="","",UPPER(TEXT(LANÇ_MOV[[#This Row],[DATA DE LANÇAMENTO]],"MMMM")))</f>
        <v>OUTUBRO</v>
      </c>
      <c r="AC108" s="525" t="str">
        <f>IF(LANÇ_MOV[[#This Row],[DATA DE LANÇAMENTO]]="","",PROPER(TEXT(LANÇ_MOV[[#This Row],[DATA DE LANÇAMENTO]],"M")))</f>
        <v>10</v>
      </c>
      <c r="AD108" s="524" t="str">
        <f>IF(LANÇ_MOV[[#This Row],[DATA DE LANÇAMENTO]]="","",TEXT(LANÇ_MOV[[#This Row],[DATA DE LANÇAMENTO]],"D"))</f>
        <v>1</v>
      </c>
      <c r="AE108" s="526" t="str">
        <f>IF(LANÇ_MOV[[#This Row],[DATA DE VENCIMENTO]]="","",TEXT(LANÇ_MOV[[#This Row],[DATA DE VENCIMENTO]],"AAAA"))</f>
        <v>2026</v>
      </c>
      <c r="AF108" s="526" t="str">
        <f>IF(LANÇ_MOV[[#This Row],[DATA DE VENCIMENTO]]="","",UPPER(TEXT(LANÇ_MOV[[#This Row],[DATA DE VENCIMENTO]],"MMMM")))</f>
        <v>ABRIL</v>
      </c>
      <c r="AG108" s="526" t="str">
        <f>IF(LANÇ_MOV[[#This Row],[DATA DE VENCIMENTO]]="","",TEXT(LANÇ_MOV[[#This Row],[DATA DE VENCIMENTO]],"M"))</f>
        <v>4</v>
      </c>
      <c r="AH108" s="526" t="str">
        <f>IF(LANÇ_MOV[[#This Row],[DATA DE VENCIMENTO]]="","",TEXT(LANÇ_MOV[[#This Row],[DATA DE VENCIMENTO]],"D"))</f>
        <v>3</v>
      </c>
      <c r="AI108" s="526" t="str">
        <f>IF(LANÇ_MOV[[#This Row],[DATA DE PAGAMENTO]]="","",TEXT(LANÇ_MOV[[#This Row],[DATA DE PAGAMENTO]],"AAAA"))</f>
        <v/>
      </c>
      <c r="AJ108" s="527" t="str">
        <f>IF(LANÇ_MOV[[#This Row],[DATA DE PAGAMENTO]]="","",UPPER(TEXT(LANÇ_MOV[[#This Row],[DATA DE PAGAMENTO]],"MMMM")))</f>
        <v/>
      </c>
      <c r="AK108" s="527" t="str">
        <f>IF(LANÇ_MOV[[#This Row],[DATA DE PAGAMENTO]]="","",TEXT(LANÇ_MOV[[#This Row],[DATA DE PAGAMENTO]],"M"))</f>
        <v/>
      </c>
      <c r="AL108" s="526" t="str">
        <f>IF(LANÇ_MOV[[#This Row],[DATA DE PAGAMENTO]]="","",TEXT(LANÇ_MOV[[#This Row],[DATA DE PAGAMENTO]],"D"))</f>
        <v/>
      </c>
      <c r="AM108" s="210"/>
      <c r="BC108" s="112"/>
      <c r="BD108" s="112"/>
    </row>
    <row r="109" spans="1:56" ht="30.05" customHeight="1" x14ac:dyDescent="0.35">
      <c r="A109" s="386">
        <v>44410</v>
      </c>
      <c r="B109" s="506">
        <v>45931</v>
      </c>
      <c r="C109" s="507" t="s">
        <v>1661</v>
      </c>
      <c r="D109" s="508" t="s">
        <v>1854</v>
      </c>
      <c r="E109" s="509" t="s">
        <v>1144</v>
      </c>
      <c r="F109" s="510" t="s">
        <v>1813</v>
      </c>
      <c r="G109" s="507"/>
      <c r="H109" s="511"/>
      <c r="I109" s="512" t="s">
        <v>1761</v>
      </c>
      <c r="J109" s="510">
        <v>704.72</v>
      </c>
      <c r="K109" s="513">
        <v>0</v>
      </c>
      <c r="L109" s="513">
        <v>0</v>
      </c>
      <c r="M109" s="513">
        <v>0</v>
      </c>
      <c r="N109" s="514">
        <f>LANÇ_MOV[[#This Row],[VALOR BRUTO]]-LANÇ_MOV[[#This Row],[DESCONTO]]+LANÇ_MOV[[#This Row],[JUROS]]+LANÇ_MOV[[#This Row],[MULTA]]</f>
        <v>704.72</v>
      </c>
      <c r="O109" s="515">
        <v>46145</v>
      </c>
      <c r="P109" s="516" t="str">
        <f t="shared" ca="1" si="1"/>
        <v>Prazo - Mais de 1 mês</v>
      </c>
      <c r="Q109" s="517"/>
      <c r="R109" s="531" t="s">
        <v>1506</v>
      </c>
      <c r="S109" s="531"/>
      <c r="T109" s="531" t="s">
        <v>1776</v>
      </c>
      <c r="U109" s="519" t="s">
        <v>2008</v>
      </c>
      <c r="V109" s="520" t="str">
        <f>IFERROR(VLOOKUP(LANÇ_MOV[[#This Row],[PLANO DE CONTAS]],Plano_Contas[[PLANO DE CONTAS]:[R / D]],3,0),"")</f>
        <v>Despesa</v>
      </c>
      <c r="W109" s="521" t="str">
        <f>IF(LANÇ_MOV[[#This Row],[DATA DE PAGAMENTO]]&lt;&gt;"","Pago","Não Pago")</f>
        <v>Não Pago</v>
      </c>
      <c r="X109" s="522" t="str">
        <f>IFERROR(IF(LANÇ_MOV[[#This Row],[DATA DE PAGAMENTO]]="","",(UPPER(TEXT(LANÇ_MOV[[#This Row],[DATA DE PAGAMENTO]],"mmmm")))),"")</f>
        <v/>
      </c>
      <c r="Y109" s="523" t="str">
        <f>IFERROR(VLOOKUP(LANÇ_MOV[[#This Row],[PLANO DE CONTAS]],Plano_Contas[[PLANO DE CONTAS]:[NOMES INTERVALOS]],2,0),"")</f>
        <v>Despesas_Administrativas</v>
      </c>
      <c r="Z109" s="523" t="str">
        <f>IF(LANÇ_MOV[[#This Row],[FORMA DE PAGAMENTO]]="","",VLOOKUP(LANÇ_MOV[[#This Row],[FORMA DE PAGAMENTO]],CAD_Forma_pagto[],2,0))</f>
        <v>BOLETO</v>
      </c>
      <c r="AA109" s="524" t="str">
        <f>IF(LANÇ_MOV[[#This Row],[DATA DE LANÇAMENTO]]="","",TEXT(LANÇ_MOV[[#This Row],[DATA DE LANÇAMENTO]],"AAAA"))</f>
        <v>2025</v>
      </c>
      <c r="AB109" s="524" t="str">
        <f>IF(LANÇ_MOV[[#This Row],[DATA DE LANÇAMENTO]]="","",UPPER(TEXT(LANÇ_MOV[[#This Row],[DATA DE LANÇAMENTO]],"MMMM")))</f>
        <v>OUTUBRO</v>
      </c>
      <c r="AC109" s="525" t="str">
        <f>IF(LANÇ_MOV[[#This Row],[DATA DE LANÇAMENTO]]="","",PROPER(TEXT(LANÇ_MOV[[#This Row],[DATA DE LANÇAMENTO]],"M")))</f>
        <v>10</v>
      </c>
      <c r="AD109" s="524" t="str">
        <f>IF(LANÇ_MOV[[#This Row],[DATA DE LANÇAMENTO]]="","",TEXT(LANÇ_MOV[[#This Row],[DATA DE LANÇAMENTO]],"D"))</f>
        <v>1</v>
      </c>
      <c r="AE109" s="526" t="str">
        <f>IF(LANÇ_MOV[[#This Row],[DATA DE VENCIMENTO]]="","",TEXT(LANÇ_MOV[[#This Row],[DATA DE VENCIMENTO]],"AAAA"))</f>
        <v>2026</v>
      </c>
      <c r="AF109" s="526" t="str">
        <f>IF(LANÇ_MOV[[#This Row],[DATA DE VENCIMENTO]]="","",UPPER(TEXT(LANÇ_MOV[[#This Row],[DATA DE VENCIMENTO]],"MMMM")))</f>
        <v>MAIO</v>
      </c>
      <c r="AG109" s="526" t="str">
        <f>IF(LANÇ_MOV[[#This Row],[DATA DE VENCIMENTO]]="","",TEXT(LANÇ_MOV[[#This Row],[DATA DE VENCIMENTO]],"M"))</f>
        <v>5</v>
      </c>
      <c r="AH109" s="526" t="str">
        <f>IF(LANÇ_MOV[[#This Row],[DATA DE VENCIMENTO]]="","",TEXT(LANÇ_MOV[[#This Row],[DATA DE VENCIMENTO]],"D"))</f>
        <v>3</v>
      </c>
      <c r="AI109" s="526" t="str">
        <f>IF(LANÇ_MOV[[#This Row],[DATA DE PAGAMENTO]]="","",TEXT(LANÇ_MOV[[#This Row],[DATA DE PAGAMENTO]],"AAAA"))</f>
        <v/>
      </c>
      <c r="AJ109" s="527" t="str">
        <f>IF(LANÇ_MOV[[#This Row],[DATA DE PAGAMENTO]]="","",UPPER(TEXT(LANÇ_MOV[[#This Row],[DATA DE PAGAMENTO]],"MMMM")))</f>
        <v/>
      </c>
      <c r="AK109" s="527" t="str">
        <f>IF(LANÇ_MOV[[#This Row],[DATA DE PAGAMENTO]]="","",TEXT(LANÇ_MOV[[#This Row],[DATA DE PAGAMENTO]],"M"))</f>
        <v/>
      </c>
      <c r="AL109" s="526" t="str">
        <f>IF(LANÇ_MOV[[#This Row],[DATA DE PAGAMENTO]]="","",TEXT(LANÇ_MOV[[#This Row],[DATA DE PAGAMENTO]],"D"))</f>
        <v/>
      </c>
      <c r="AM109" s="210"/>
      <c r="BC109" s="112"/>
      <c r="BD109" s="112"/>
    </row>
    <row r="110" spans="1:56" ht="30.05" customHeight="1" x14ac:dyDescent="0.35">
      <c r="A110" s="386">
        <v>44410</v>
      </c>
      <c r="B110" s="506">
        <v>45931</v>
      </c>
      <c r="C110" s="507" t="s">
        <v>1661</v>
      </c>
      <c r="D110" s="508" t="s">
        <v>1854</v>
      </c>
      <c r="E110" s="509" t="s">
        <v>1144</v>
      </c>
      <c r="F110" s="510" t="s">
        <v>1813</v>
      </c>
      <c r="G110" s="507"/>
      <c r="H110" s="511"/>
      <c r="I110" s="512" t="s">
        <v>1761</v>
      </c>
      <c r="J110" s="510">
        <v>704.72</v>
      </c>
      <c r="K110" s="513">
        <v>0</v>
      </c>
      <c r="L110" s="513">
        <v>0</v>
      </c>
      <c r="M110" s="513">
        <v>0</v>
      </c>
      <c r="N110" s="514">
        <f>LANÇ_MOV[[#This Row],[VALOR BRUTO]]-LANÇ_MOV[[#This Row],[DESCONTO]]+LANÇ_MOV[[#This Row],[JUROS]]+LANÇ_MOV[[#This Row],[MULTA]]</f>
        <v>704.72</v>
      </c>
      <c r="O110" s="515">
        <v>46176</v>
      </c>
      <c r="P110" s="516" t="str">
        <f t="shared" ca="1" si="1"/>
        <v>Prazo - Mais de 1 mês</v>
      </c>
      <c r="Q110" s="517"/>
      <c r="R110" s="531" t="s">
        <v>1506</v>
      </c>
      <c r="S110" s="531"/>
      <c r="T110" s="531" t="s">
        <v>1776</v>
      </c>
      <c r="U110" s="519" t="s">
        <v>2008</v>
      </c>
      <c r="V110" s="520" t="str">
        <f>IFERROR(VLOOKUP(LANÇ_MOV[[#This Row],[PLANO DE CONTAS]],Plano_Contas[[PLANO DE CONTAS]:[R / D]],3,0),"")</f>
        <v>Despesa</v>
      </c>
      <c r="W110" s="521" t="str">
        <f>IF(LANÇ_MOV[[#This Row],[DATA DE PAGAMENTO]]&lt;&gt;"","Pago","Não Pago")</f>
        <v>Não Pago</v>
      </c>
      <c r="X110" s="522" t="str">
        <f>IFERROR(IF(LANÇ_MOV[[#This Row],[DATA DE PAGAMENTO]]="","",(UPPER(TEXT(LANÇ_MOV[[#This Row],[DATA DE PAGAMENTO]],"mmmm")))),"")</f>
        <v/>
      </c>
      <c r="Y110" s="523" t="str">
        <f>IFERROR(VLOOKUP(LANÇ_MOV[[#This Row],[PLANO DE CONTAS]],Plano_Contas[[PLANO DE CONTAS]:[NOMES INTERVALOS]],2,0),"")</f>
        <v>Despesas_Administrativas</v>
      </c>
      <c r="Z110" s="523" t="str">
        <f>IF(LANÇ_MOV[[#This Row],[FORMA DE PAGAMENTO]]="","",VLOOKUP(LANÇ_MOV[[#This Row],[FORMA DE PAGAMENTO]],CAD_Forma_pagto[],2,0))</f>
        <v>BOLETO</v>
      </c>
      <c r="AA110" s="524" t="str">
        <f>IF(LANÇ_MOV[[#This Row],[DATA DE LANÇAMENTO]]="","",TEXT(LANÇ_MOV[[#This Row],[DATA DE LANÇAMENTO]],"AAAA"))</f>
        <v>2025</v>
      </c>
      <c r="AB110" s="524" t="str">
        <f>IF(LANÇ_MOV[[#This Row],[DATA DE LANÇAMENTO]]="","",UPPER(TEXT(LANÇ_MOV[[#This Row],[DATA DE LANÇAMENTO]],"MMMM")))</f>
        <v>OUTUBRO</v>
      </c>
      <c r="AC110" s="525" t="str">
        <f>IF(LANÇ_MOV[[#This Row],[DATA DE LANÇAMENTO]]="","",PROPER(TEXT(LANÇ_MOV[[#This Row],[DATA DE LANÇAMENTO]],"M")))</f>
        <v>10</v>
      </c>
      <c r="AD110" s="524" t="str">
        <f>IF(LANÇ_MOV[[#This Row],[DATA DE LANÇAMENTO]]="","",TEXT(LANÇ_MOV[[#This Row],[DATA DE LANÇAMENTO]],"D"))</f>
        <v>1</v>
      </c>
      <c r="AE110" s="526" t="str">
        <f>IF(LANÇ_MOV[[#This Row],[DATA DE VENCIMENTO]]="","",TEXT(LANÇ_MOV[[#This Row],[DATA DE VENCIMENTO]],"AAAA"))</f>
        <v>2026</v>
      </c>
      <c r="AF110" s="526" t="str">
        <f>IF(LANÇ_MOV[[#This Row],[DATA DE VENCIMENTO]]="","",UPPER(TEXT(LANÇ_MOV[[#This Row],[DATA DE VENCIMENTO]],"MMMM")))</f>
        <v>JUNHO</v>
      </c>
      <c r="AG110" s="526" t="str">
        <f>IF(LANÇ_MOV[[#This Row],[DATA DE VENCIMENTO]]="","",TEXT(LANÇ_MOV[[#This Row],[DATA DE VENCIMENTO]],"M"))</f>
        <v>6</v>
      </c>
      <c r="AH110" s="526" t="str">
        <f>IF(LANÇ_MOV[[#This Row],[DATA DE VENCIMENTO]]="","",TEXT(LANÇ_MOV[[#This Row],[DATA DE VENCIMENTO]],"D"))</f>
        <v>3</v>
      </c>
      <c r="AI110" s="526" t="str">
        <f>IF(LANÇ_MOV[[#This Row],[DATA DE PAGAMENTO]]="","",TEXT(LANÇ_MOV[[#This Row],[DATA DE PAGAMENTO]],"AAAA"))</f>
        <v/>
      </c>
      <c r="AJ110" s="527" t="str">
        <f>IF(LANÇ_MOV[[#This Row],[DATA DE PAGAMENTO]]="","",UPPER(TEXT(LANÇ_MOV[[#This Row],[DATA DE PAGAMENTO]],"MMMM")))</f>
        <v/>
      </c>
      <c r="AK110" s="527" t="str">
        <f>IF(LANÇ_MOV[[#This Row],[DATA DE PAGAMENTO]]="","",TEXT(LANÇ_MOV[[#This Row],[DATA DE PAGAMENTO]],"M"))</f>
        <v/>
      </c>
      <c r="AL110" s="526" t="str">
        <f>IF(LANÇ_MOV[[#This Row],[DATA DE PAGAMENTO]]="","",TEXT(LANÇ_MOV[[#This Row],[DATA DE PAGAMENTO]],"D"))</f>
        <v/>
      </c>
      <c r="AM110" s="210"/>
      <c r="BC110" s="112"/>
      <c r="BD110" s="112"/>
    </row>
    <row r="111" spans="1:56" ht="30.05" customHeight="1" x14ac:dyDescent="0.35">
      <c r="A111" s="386">
        <v>44410</v>
      </c>
      <c r="B111" s="506">
        <v>45931</v>
      </c>
      <c r="C111" s="507" t="s">
        <v>1661</v>
      </c>
      <c r="D111" s="508" t="s">
        <v>1854</v>
      </c>
      <c r="E111" s="509" t="s">
        <v>1144</v>
      </c>
      <c r="F111" s="510" t="s">
        <v>1813</v>
      </c>
      <c r="G111" s="507"/>
      <c r="H111" s="511"/>
      <c r="I111" s="512" t="s">
        <v>1761</v>
      </c>
      <c r="J111" s="510">
        <v>704.72</v>
      </c>
      <c r="K111" s="513">
        <v>0</v>
      </c>
      <c r="L111" s="513">
        <v>0</v>
      </c>
      <c r="M111" s="513">
        <v>0</v>
      </c>
      <c r="N111" s="514">
        <f>LANÇ_MOV[[#This Row],[VALOR BRUTO]]-LANÇ_MOV[[#This Row],[DESCONTO]]+LANÇ_MOV[[#This Row],[JUROS]]+LANÇ_MOV[[#This Row],[MULTA]]</f>
        <v>704.72</v>
      </c>
      <c r="O111" s="515">
        <v>46206</v>
      </c>
      <c r="P111" s="516" t="str">
        <f t="shared" ca="1" si="1"/>
        <v>Prazo - Mais de 1 mês</v>
      </c>
      <c r="Q111" s="517"/>
      <c r="R111" s="531" t="s">
        <v>1506</v>
      </c>
      <c r="S111" s="531"/>
      <c r="T111" s="531" t="s">
        <v>1776</v>
      </c>
      <c r="U111" s="519" t="s">
        <v>2008</v>
      </c>
      <c r="V111" s="520" t="str">
        <f>IFERROR(VLOOKUP(LANÇ_MOV[[#This Row],[PLANO DE CONTAS]],Plano_Contas[[PLANO DE CONTAS]:[R / D]],3,0),"")</f>
        <v>Despesa</v>
      </c>
      <c r="W111" s="521" t="str">
        <f>IF(LANÇ_MOV[[#This Row],[DATA DE PAGAMENTO]]&lt;&gt;"","Pago","Não Pago")</f>
        <v>Não Pago</v>
      </c>
      <c r="X111" s="522" t="str">
        <f>IFERROR(IF(LANÇ_MOV[[#This Row],[DATA DE PAGAMENTO]]="","",(UPPER(TEXT(LANÇ_MOV[[#This Row],[DATA DE PAGAMENTO]],"mmmm")))),"")</f>
        <v/>
      </c>
      <c r="Y111" s="523" t="str">
        <f>IFERROR(VLOOKUP(LANÇ_MOV[[#This Row],[PLANO DE CONTAS]],Plano_Contas[[PLANO DE CONTAS]:[NOMES INTERVALOS]],2,0),"")</f>
        <v>Despesas_Administrativas</v>
      </c>
      <c r="Z111" s="523" t="str">
        <f>IF(LANÇ_MOV[[#This Row],[FORMA DE PAGAMENTO]]="","",VLOOKUP(LANÇ_MOV[[#This Row],[FORMA DE PAGAMENTO]],CAD_Forma_pagto[],2,0))</f>
        <v>BOLETO</v>
      </c>
      <c r="AA111" s="524" t="str">
        <f>IF(LANÇ_MOV[[#This Row],[DATA DE LANÇAMENTO]]="","",TEXT(LANÇ_MOV[[#This Row],[DATA DE LANÇAMENTO]],"AAAA"))</f>
        <v>2025</v>
      </c>
      <c r="AB111" s="524" t="str">
        <f>IF(LANÇ_MOV[[#This Row],[DATA DE LANÇAMENTO]]="","",UPPER(TEXT(LANÇ_MOV[[#This Row],[DATA DE LANÇAMENTO]],"MMMM")))</f>
        <v>OUTUBRO</v>
      </c>
      <c r="AC111" s="525" t="str">
        <f>IF(LANÇ_MOV[[#This Row],[DATA DE LANÇAMENTO]]="","",PROPER(TEXT(LANÇ_MOV[[#This Row],[DATA DE LANÇAMENTO]],"M")))</f>
        <v>10</v>
      </c>
      <c r="AD111" s="524" t="str">
        <f>IF(LANÇ_MOV[[#This Row],[DATA DE LANÇAMENTO]]="","",TEXT(LANÇ_MOV[[#This Row],[DATA DE LANÇAMENTO]],"D"))</f>
        <v>1</v>
      </c>
      <c r="AE111" s="526" t="str">
        <f>IF(LANÇ_MOV[[#This Row],[DATA DE VENCIMENTO]]="","",TEXT(LANÇ_MOV[[#This Row],[DATA DE VENCIMENTO]],"AAAA"))</f>
        <v>2026</v>
      </c>
      <c r="AF111" s="526" t="str">
        <f>IF(LANÇ_MOV[[#This Row],[DATA DE VENCIMENTO]]="","",UPPER(TEXT(LANÇ_MOV[[#This Row],[DATA DE VENCIMENTO]],"MMMM")))</f>
        <v>JULHO</v>
      </c>
      <c r="AG111" s="526" t="str">
        <f>IF(LANÇ_MOV[[#This Row],[DATA DE VENCIMENTO]]="","",TEXT(LANÇ_MOV[[#This Row],[DATA DE VENCIMENTO]],"M"))</f>
        <v>7</v>
      </c>
      <c r="AH111" s="526" t="str">
        <f>IF(LANÇ_MOV[[#This Row],[DATA DE VENCIMENTO]]="","",TEXT(LANÇ_MOV[[#This Row],[DATA DE VENCIMENTO]],"D"))</f>
        <v>3</v>
      </c>
      <c r="AI111" s="526" t="str">
        <f>IF(LANÇ_MOV[[#This Row],[DATA DE PAGAMENTO]]="","",TEXT(LANÇ_MOV[[#This Row],[DATA DE PAGAMENTO]],"AAAA"))</f>
        <v/>
      </c>
      <c r="AJ111" s="527" t="str">
        <f>IF(LANÇ_MOV[[#This Row],[DATA DE PAGAMENTO]]="","",UPPER(TEXT(LANÇ_MOV[[#This Row],[DATA DE PAGAMENTO]],"MMMM")))</f>
        <v/>
      </c>
      <c r="AK111" s="527" t="str">
        <f>IF(LANÇ_MOV[[#This Row],[DATA DE PAGAMENTO]]="","",TEXT(LANÇ_MOV[[#This Row],[DATA DE PAGAMENTO]],"M"))</f>
        <v/>
      </c>
      <c r="AL111" s="526" t="str">
        <f>IF(LANÇ_MOV[[#This Row],[DATA DE PAGAMENTO]]="","",TEXT(LANÇ_MOV[[#This Row],[DATA DE PAGAMENTO]],"D"))</f>
        <v/>
      </c>
      <c r="AM111" s="210"/>
      <c r="BC111" s="112"/>
      <c r="BD111" s="112"/>
    </row>
    <row r="112" spans="1:56" ht="30.05" customHeight="1" x14ac:dyDescent="0.35">
      <c r="B112" s="506">
        <v>45931</v>
      </c>
      <c r="C112" s="507" t="s">
        <v>1661</v>
      </c>
      <c r="D112" s="508" t="s">
        <v>1854</v>
      </c>
      <c r="E112" s="509" t="s">
        <v>1144</v>
      </c>
      <c r="F112" s="510" t="s">
        <v>1813</v>
      </c>
      <c r="G112" s="507"/>
      <c r="H112" s="511"/>
      <c r="I112" s="512" t="s">
        <v>1761</v>
      </c>
      <c r="J112" s="510">
        <v>704.72</v>
      </c>
      <c r="K112" s="513">
        <v>0</v>
      </c>
      <c r="L112" s="513">
        <v>0</v>
      </c>
      <c r="M112" s="513">
        <v>0</v>
      </c>
      <c r="N112" s="514">
        <f>LANÇ_MOV[[#This Row],[VALOR BRUTO]]-LANÇ_MOV[[#This Row],[DESCONTO]]+LANÇ_MOV[[#This Row],[JUROS]]+LANÇ_MOV[[#This Row],[MULTA]]</f>
        <v>704.72</v>
      </c>
      <c r="O112" s="515">
        <v>46237</v>
      </c>
      <c r="P112" s="516" t="str">
        <f t="shared" ca="1" si="1"/>
        <v>Prazo - Mais de 1 mês</v>
      </c>
      <c r="Q112" s="517"/>
      <c r="R112" s="531" t="s">
        <v>1506</v>
      </c>
      <c r="S112" s="531"/>
      <c r="T112" s="531" t="s">
        <v>1776</v>
      </c>
      <c r="U112" s="519" t="s">
        <v>2008</v>
      </c>
      <c r="V112" s="520" t="str">
        <f>IFERROR(VLOOKUP(LANÇ_MOV[[#This Row],[PLANO DE CONTAS]],Plano_Contas[[PLANO DE CONTAS]:[R / D]],3,0),"")</f>
        <v>Despesa</v>
      </c>
      <c r="W112" s="521" t="str">
        <f>IF(LANÇ_MOV[[#This Row],[DATA DE PAGAMENTO]]&lt;&gt;"","Pago","Não Pago")</f>
        <v>Não Pago</v>
      </c>
      <c r="X112" s="522" t="str">
        <f>IFERROR(IF(LANÇ_MOV[[#This Row],[DATA DE PAGAMENTO]]="","",(UPPER(TEXT(LANÇ_MOV[[#This Row],[DATA DE PAGAMENTO]],"mmmm")))),"")</f>
        <v/>
      </c>
      <c r="Y112" s="523" t="str">
        <f>IFERROR(VLOOKUP(LANÇ_MOV[[#This Row],[PLANO DE CONTAS]],Plano_Contas[[PLANO DE CONTAS]:[NOMES INTERVALOS]],2,0),"")</f>
        <v>Despesas_Administrativas</v>
      </c>
      <c r="Z112" s="523" t="str">
        <f>IF(LANÇ_MOV[[#This Row],[FORMA DE PAGAMENTO]]="","",VLOOKUP(LANÇ_MOV[[#This Row],[FORMA DE PAGAMENTO]],CAD_Forma_pagto[],2,0))</f>
        <v>BOLETO</v>
      </c>
      <c r="AA112" s="524" t="str">
        <f>IF(LANÇ_MOV[[#This Row],[DATA DE LANÇAMENTO]]="","",TEXT(LANÇ_MOV[[#This Row],[DATA DE LANÇAMENTO]],"AAAA"))</f>
        <v>2025</v>
      </c>
      <c r="AB112" s="524" t="str">
        <f>IF(LANÇ_MOV[[#This Row],[DATA DE LANÇAMENTO]]="","",UPPER(TEXT(LANÇ_MOV[[#This Row],[DATA DE LANÇAMENTO]],"MMMM")))</f>
        <v>OUTUBRO</v>
      </c>
      <c r="AC112" s="525" t="str">
        <f>IF(LANÇ_MOV[[#This Row],[DATA DE LANÇAMENTO]]="","",PROPER(TEXT(LANÇ_MOV[[#This Row],[DATA DE LANÇAMENTO]],"M")))</f>
        <v>10</v>
      </c>
      <c r="AD112" s="524" t="str">
        <f>IF(LANÇ_MOV[[#This Row],[DATA DE LANÇAMENTO]]="","",TEXT(LANÇ_MOV[[#This Row],[DATA DE LANÇAMENTO]],"D"))</f>
        <v>1</v>
      </c>
      <c r="AE112" s="526" t="str">
        <f>IF(LANÇ_MOV[[#This Row],[DATA DE VENCIMENTO]]="","",TEXT(LANÇ_MOV[[#This Row],[DATA DE VENCIMENTO]],"AAAA"))</f>
        <v>2026</v>
      </c>
      <c r="AF112" s="526" t="str">
        <f>IF(LANÇ_MOV[[#This Row],[DATA DE VENCIMENTO]]="","",UPPER(TEXT(LANÇ_MOV[[#This Row],[DATA DE VENCIMENTO]],"MMMM")))</f>
        <v>AGOSTO</v>
      </c>
      <c r="AG112" s="526" t="str">
        <f>IF(LANÇ_MOV[[#This Row],[DATA DE VENCIMENTO]]="","",TEXT(LANÇ_MOV[[#This Row],[DATA DE VENCIMENTO]],"M"))</f>
        <v>8</v>
      </c>
      <c r="AH112" s="526" t="str">
        <f>IF(LANÇ_MOV[[#This Row],[DATA DE VENCIMENTO]]="","",TEXT(LANÇ_MOV[[#This Row],[DATA DE VENCIMENTO]],"D"))</f>
        <v>3</v>
      </c>
      <c r="AI112" s="526" t="str">
        <f>IF(LANÇ_MOV[[#This Row],[DATA DE PAGAMENTO]]="","",TEXT(LANÇ_MOV[[#This Row],[DATA DE PAGAMENTO]],"AAAA"))</f>
        <v/>
      </c>
      <c r="AJ112" s="527" t="str">
        <f>IF(LANÇ_MOV[[#This Row],[DATA DE PAGAMENTO]]="","",UPPER(TEXT(LANÇ_MOV[[#This Row],[DATA DE PAGAMENTO]],"MMMM")))</f>
        <v/>
      </c>
      <c r="AK112" s="527" t="str">
        <f>IF(LANÇ_MOV[[#This Row],[DATA DE PAGAMENTO]]="","",TEXT(LANÇ_MOV[[#This Row],[DATA DE PAGAMENTO]],"M"))</f>
        <v/>
      </c>
      <c r="AL112" s="526" t="str">
        <f>IF(LANÇ_MOV[[#This Row],[DATA DE PAGAMENTO]]="","",TEXT(LANÇ_MOV[[#This Row],[DATA DE PAGAMENTO]],"D"))</f>
        <v/>
      </c>
      <c r="AM112" s="210"/>
      <c r="BC112" s="112"/>
      <c r="BD112" s="112"/>
    </row>
    <row r="113" spans="1:56" ht="30.05" customHeight="1" x14ac:dyDescent="0.35">
      <c r="A113" s="386">
        <v>44410</v>
      </c>
      <c r="B113" s="506">
        <v>45931</v>
      </c>
      <c r="C113" s="507" t="s">
        <v>1661</v>
      </c>
      <c r="D113" s="508" t="s">
        <v>1854</v>
      </c>
      <c r="E113" s="509" t="s">
        <v>1144</v>
      </c>
      <c r="F113" s="510" t="s">
        <v>1813</v>
      </c>
      <c r="G113" s="507"/>
      <c r="H113" s="511"/>
      <c r="I113" s="512" t="s">
        <v>1761</v>
      </c>
      <c r="J113" s="510">
        <v>704.72</v>
      </c>
      <c r="K113" s="513">
        <v>0</v>
      </c>
      <c r="L113" s="513">
        <v>0</v>
      </c>
      <c r="M113" s="513">
        <v>0</v>
      </c>
      <c r="N113" s="514">
        <f>LANÇ_MOV[[#This Row],[VALOR BRUTO]]-LANÇ_MOV[[#This Row],[DESCONTO]]+LANÇ_MOV[[#This Row],[JUROS]]+LANÇ_MOV[[#This Row],[MULTA]]</f>
        <v>704.72</v>
      </c>
      <c r="O113" s="515">
        <v>46268</v>
      </c>
      <c r="P113" s="516" t="str">
        <f t="shared" ca="1" si="1"/>
        <v>Prazo - Mais de 1 mês</v>
      </c>
      <c r="Q113" s="517"/>
      <c r="R113" s="531" t="s">
        <v>1506</v>
      </c>
      <c r="S113" s="531"/>
      <c r="T113" s="531" t="s">
        <v>1776</v>
      </c>
      <c r="U113" s="519" t="s">
        <v>2008</v>
      </c>
      <c r="V113" s="520" t="str">
        <f>IFERROR(VLOOKUP(LANÇ_MOV[[#This Row],[PLANO DE CONTAS]],Plano_Contas[[PLANO DE CONTAS]:[R / D]],3,0),"")</f>
        <v>Despesa</v>
      </c>
      <c r="W113" s="521" t="str">
        <f>IF(LANÇ_MOV[[#This Row],[DATA DE PAGAMENTO]]&lt;&gt;"","Pago","Não Pago")</f>
        <v>Não Pago</v>
      </c>
      <c r="X113" s="522" t="str">
        <f>IFERROR(IF(LANÇ_MOV[[#This Row],[DATA DE PAGAMENTO]]="","",(UPPER(TEXT(LANÇ_MOV[[#This Row],[DATA DE PAGAMENTO]],"mmmm")))),"")</f>
        <v/>
      </c>
      <c r="Y113" s="523" t="str">
        <f>IFERROR(VLOOKUP(LANÇ_MOV[[#This Row],[PLANO DE CONTAS]],Plano_Contas[[PLANO DE CONTAS]:[NOMES INTERVALOS]],2,0),"")</f>
        <v>Despesas_Administrativas</v>
      </c>
      <c r="Z113" s="523" t="str">
        <f>IF(LANÇ_MOV[[#This Row],[FORMA DE PAGAMENTO]]="","",VLOOKUP(LANÇ_MOV[[#This Row],[FORMA DE PAGAMENTO]],CAD_Forma_pagto[],2,0))</f>
        <v>BOLETO</v>
      </c>
      <c r="AA113" s="524" t="str">
        <f>IF(LANÇ_MOV[[#This Row],[DATA DE LANÇAMENTO]]="","",TEXT(LANÇ_MOV[[#This Row],[DATA DE LANÇAMENTO]],"AAAA"))</f>
        <v>2025</v>
      </c>
      <c r="AB113" s="524" t="str">
        <f>IF(LANÇ_MOV[[#This Row],[DATA DE LANÇAMENTO]]="","",UPPER(TEXT(LANÇ_MOV[[#This Row],[DATA DE LANÇAMENTO]],"MMMM")))</f>
        <v>OUTUBRO</v>
      </c>
      <c r="AC113" s="525" t="str">
        <f>IF(LANÇ_MOV[[#This Row],[DATA DE LANÇAMENTO]]="","",PROPER(TEXT(LANÇ_MOV[[#This Row],[DATA DE LANÇAMENTO]],"M")))</f>
        <v>10</v>
      </c>
      <c r="AD113" s="524" t="str">
        <f>IF(LANÇ_MOV[[#This Row],[DATA DE LANÇAMENTO]]="","",TEXT(LANÇ_MOV[[#This Row],[DATA DE LANÇAMENTO]],"D"))</f>
        <v>1</v>
      </c>
      <c r="AE113" s="526" t="str">
        <f>IF(LANÇ_MOV[[#This Row],[DATA DE VENCIMENTO]]="","",TEXT(LANÇ_MOV[[#This Row],[DATA DE VENCIMENTO]],"AAAA"))</f>
        <v>2026</v>
      </c>
      <c r="AF113" s="526" t="str">
        <f>IF(LANÇ_MOV[[#This Row],[DATA DE VENCIMENTO]]="","",UPPER(TEXT(LANÇ_MOV[[#This Row],[DATA DE VENCIMENTO]],"MMMM")))</f>
        <v>SETEMBRO</v>
      </c>
      <c r="AG113" s="526" t="str">
        <f>IF(LANÇ_MOV[[#This Row],[DATA DE VENCIMENTO]]="","",TEXT(LANÇ_MOV[[#This Row],[DATA DE VENCIMENTO]],"M"))</f>
        <v>9</v>
      </c>
      <c r="AH113" s="526" t="str">
        <f>IF(LANÇ_MOV[[#This Row],[DATA DE VENCIMENTO]]="","",TEXT(LANÇ_MOV[[#This Row],[DATA DE VENCIMENTO]],"D"))</f>
        <v>3</v>
      </c>
      <c r="AI113" s="526" t="str">
        <f>IF(LANÇ_MOV[[#This Row],[DATA DE PAGAMENTO]]="","",TEXT(LANÇ_MOV[[#This Row],[DATA DE PAGAMENTO]],"AAAA"))</f>
        <v/>
      </c>
      <c r="AJ113" s="527" t="str">
        <f>IF(LANÇ_MOV[[#This Row],[DATA DE PAGAMENTO]]="","",UPPER(TEXT(LANÇ_MOV[[#This Row],[DATA DE PAGAMENTO]],"MMMM")))</f>
        <v/>
      </c>
      <c r="AK113" s="527" t="str">
        <f>IF(LANÇ_MOV[[#This Row],[DATA DE PAGAMENTO]]="","",TEXT(LANÇ_MOV[[#This Row],[DATA DE PAGAMENTO]],"M"))</f>
        <v/>
      </c>
      <c r="AL113" s="526" t="str">
        <f>IF(LANÇ_MOV[[#This Row],[DATA DE PAGAMENTO]]="","",TEXT(LANÇ_MOV[[#This Row],[DATA DE PAGAMENTO]],"D"))</f>
        <v/>
      </c>
      <c r="AM113" s="210"/>
      <c r="BC113" s="112"/>
      <c r="BD113" s="112"/>
    </row>
    <row r="114" spans="1:56" ht="30.05" customHeight="1" x14ac:dyDescent="0.35">
      <c r="A114" s="386">
        <v>44410</v>
      </c>
      <c r="B114" s="506">
        <v>45931</v>
      </c>
      <c r="C114" s="507" t="s">
        <v>1661</v>
      </c>
      <c r="D114" s="508" t="s">
        <v>1854</v>
      </c>
      <c r="E114" s="509" t="s">
        <v>1144</v>
      </c>
      <c r="F114" s="510" t="s">
        <v>1813</v>
      </c>
      <c r="G114" s="507"/>
      <c r="H114" s="511"/>
      <c r="I114" s="512" t="s">
        <v>1761</v>
      </c>
      <c r="J114" s="510">
        <v>704.72</v>
      </c>
      <c r="K114" s="513">
        <v>0</v>
      </c>
      <c r="L114" s="513">
        <v>0</v>
      </c>
      <c r="M114" s="513">
        <v>0</v>
      </c>
      <c r="N114" s="514">
        <f>LANÇ_MOV[[#This Row],[VALOR BRUTO]]-LANÇ_MOV[[#This Row],[DESCONTO]]+LANÇ_MOV[[#This Row],[JUROS]]+LANÇ_MOV[[#This Row],[MULTA]]</f>
        <v>704.72</v>
      </c>
      <c r="O114" s="515">
        <v>46298</v>
      </c>
      <c r="P114" s="516" t="str">
        <f t="shared" ca="1" si="1"/>
        <v>Prazo - Mais de 1 mês</v>
      </c>
      <c r="Q114" s="517"/>
      <c r="R114" s="531" t="s">
        <v>1506</v>
      </c>
      <c r="S114" s="531"/>
      <c r="T114" s="531" t="s">
        <v>1776</v>
      </c>
      <c r="U114" s="519" t="s">
        <v>2008</v>
      </c>
      <c r="V114" s="520" t="str">
        <f>IFERROR(VLOOKUP(LANÇ_MOV[[#This Row],[PLANO DE CONTAS]],Plano_Contas[[PLANO DE CONTAS]:[R / D]],3,0),"")</f>
        <v>Despesa</v>
      </c>
      <c r="W114" s="521" t="str">
        <f>IF(LANÇ_MOV[[#This Row],[DATA DE PAGAMENTO]]&lt;&gt;"","Pago","Não Pago")</f>
        <v>Não Pago</v>
      </c>
      <c r="X114" s="522" t="str">
        <f>IFERROR(IF(LANÇ_MOV[[#This Row],[DATA DE PAGAMENTO]]="","",(UPPER(TEXT(LANÇ_MOV[[#This Row],[DATA DE PAGAMENTO]],"mmmm")))),"")</f>
        <v/>
      </c>
      <c r="Y114" s="523" t="str">
        <f>IFERROR(VLOOKUP(LANÇ_MOV[[#This Row],[PLANO DE CONTAS]],Plano_Contas[[PLANO DE CONTAS]:[NOMES INTERVALOS]],2,0),"")</f>
        <v>Despesas_Administrativas</v>
      </c>
      <c r="Z114" s="523" t="str">
        <f>IF(LANÇ_MOV[[#This Row],[FORMA DE PAGAMENTO]]="","",VLOOKUP(LANÇ_MOV[[#This Row],[FORMA DE PAGAMENTO]],CAD_Forma_pagto[],2,0))</f>
        <v>BOLETO</v>
      </c>
      <c r="AA114" s="524" t="str">
        <f>IF(LANÇ_MOV[[#This Row],[DATA DE LANÇAMENTO]]="","",TEXT(LANÇ_MOV[[#This Row],[DATA DE LANÇAMENTO]],"AAAA"))</f>
        <v>2025</v>
      </c>
      <c r="AB114" s="524" t="str">
        <f>IF(LANÇ_MOV[[#This Row],[DATA DE LANÇAMENTO]]="","",UPPER(TEXT(LANÇ_MOV[[#This Row],[DATA DE LANÇAMENTO]],"MMMM")))</f>
        <v>OUTUBRO</v>
      </c>
      <c r="AC114" s="525" t="str">
        <f>IF(LANÇ_MOV[[#This Row],[DATA DE LANÇAMENTO]]="","",PROPER(TEXT(LANÇ_MOV[[#This Row],[DATA DE LANÇAMENTO]],"M")))</f>
        <v>10</v>
      </c>
      <c r="AD114" s="524" t="str">
        <f>IF(LANÇ_MOV[[#This Row],[DATA DE LANÇAMENTO]]="","",TEXT(LANÇ_MOV[[#This Row],[DATA DE LANÇAMENTO]],"D"))</f>
        <v>1</v>
      </c>
      <c r="AE114" s="526" t="str">
        <f>IF(LANÇ_MOV[[#This Row],[DATA DE VENCIMENTO]]="","",TEXT(LANÇ_MOV[[#This Row],[DATA DE VENCIMENTO]],"AAAA"))</f>
        <v>2026</v>
      </c>
      <c r="AF114" s="526" t="str">
        <f>IF(LANÇ_MOV[[#This Row],[DATA DE VENCIMENTO]]="","",UPPER(TEXT(LANÇ_MOV[[#This Row],[DATA DE VENCIMENTO]],"MMMM")))</f>
        <v>OUTUBRO</v>
      </c>
      <c r="AG114" s="526" t="str">
        <f>IF(LANÇ_MOV[[#This Row],[DATA DE VENCIMENTO]]="","",TEXT(LANÇ_MOV[[#This Row],[DATA DE VENCIMENTO]],"M"))</f>
        <v>10</v>
      </c>
      <c r="AH114" s="526" t="str">
        <f>IF(LANÇ_MOV[[#This Row],[DATA DE VENCIMENTO]]="","",TEXT(LANÇ_MOV[[#This Row],[DATA DE VENCIMENTO]],"D"))</f>
        <v>3</v>
      </c>
      <c r="AI114" s="526" t="str">
        <f>IF(LANÇ_MOV[[#This Row],[DATA DE PAGAMENTO]]="","",TEXT(LANÇ_MOV[[#This Row],[DATA DE PAGAMENTO]],"AAAA"))</f>
        <v/>
      </c>
      <c r="AJ114" s="527" t="str">
        <f>IF(LANÇ_MOV[[#This Row],[DATA DE PAGAMENTO]]="","",UPPER(TEXT(LANÇ_MOV[[#This Row],[DATA DE PAGAMENTO]],"MMMM")))</f>
        <v/>
      </c>
      <c r="AK114" s="527" t="str">
        <f>IF(LANÇ_MOV[[#This Row],[DATA DE PAGAMENTO]]="","",TEXT(LANÇ_MOV[[#This Row],[DATA DE PAGAMENTO]],"M"))</f>
        <v/>
      </c>
      <c r="AL114" s="526" t="str">
        <f>IF(LANÇ_MOV[[#This Row],[DATA DE PAGAMENTO]]="","",TEXT(LANÇ_MOV[[#This Row],[DATA DE PAGAMENTO]],"D"))</f>
        <v/>
      </c>
      <c r="AM114" s="210"/>
      <c r="BC114" s="112"/>
      <c r="BD114" s="112"/>
    </row>
    <row r="115" spans="1:56" ht="30.05" customHeight="1" x14ac:dyDescent="0.35">
      <c r="A115" s="386">
        <v>44410</v>
      </c>
      <c r="B115" s="506">
        <v>45931</v>
      </c>
      <c r="C115" s="507" t="s">
        <v>1661</v>
      </c>
      <c r="D115" s="508" t="s">
        <v>1854</v>
      </c>
      <c r="E115" s="509" t="s">
        <v>1144</v>
      </c>
      <c r="F115" s="510" t="s">
        <v>1813</v>
      </c>
      <c r="G115" s="507"/>
      <c r="H115" s="511"/>
      <c r="I115" s="512" t="s">
        <v>1761</v>
      </c>
      <c r="J115" s="510">
        <v>704.72</v>
      </c>
      <c r="K115" s="513">
        <v>0</v>
      </c>
      <c r="L115" s="513">
        <v>0</v>
      </c>
      <c r="M115" s="513">
        <v>0</v>
      </c>
      <c r="N115" s="514">
        <f>LANÇ_MOV[[#This Row],[VALOR BRUTO]]-LANÇ_MOV[[#This Row],[DESCONTO]]+LANÇ_MOV[[#This Row],[JUROS]]+LANÇ_MOV[[#This Row],[MULTA]]</f>
        <v>704.72</v>
      </c>
      <c r="O115" s="515">
        <v>46329</v>
      </c>
      <c r="P115" s="516" t="str">
        <f t="shared" ca="1" si="1"/>
        <v>Prazo - Mais de 1 mês</v>
      </c>
      <c r="Q115" s="517"/>
      <c r="R115" s="531" t="s">
        <v>1506</v>
      </c>
      <c r="S115" s="531"/>
      <c r="T115" s="531" t="s">
        <v>1776</v>
      </c>
      <c r="U115" s="519" t="s">
        <v>2008</v>
      </c>
      <c r="V115" s="520" t="str">
        <f>IFERROR(VLOOKUP(LANÇ_MOV[[#This Row],[PLANO DE CONTAS]],Plano_Contas[[PLANO DE CONTAS]:[R / D]],3,0),"")</f>
        <v>Despesa</v>
      </c>
      <c r="W115" s="521" t="str">
        <f>IF(LANÇ_MOV[[#This Row],[DATA DE PAGAMENTO]]&lt;&gt;"","Pago","Não Pago")</f>
        <v>Não Pago</v>
      </c>
      <c r="X115" s="522" t="str">
        <f>IFERROR(IF(LANÇ_MOV[[#This Row],[DATA DE PAGAMENTO]]="","",(UPPER(TEXT(LANÇ_MOV[[#This Row],[DATA DE PAGAMENTO]],"mmmm")))),"")</f>
        <v/>
      </c>
      <c r="Y115" s="523" t="str">
        <f>IFERROR(VLOOKUP(LANÇ_MOV[[#This Row],[PLANO DE CONTAS]],Plano_Contas[[PLANO DE CONTAS]:[NOMES INTERVALOS]],2,0),"")</f>
        <v>Despesas_Administrativas</v>
      </c>
      <c r="Z115" s="523" t="str">
        <f>IF(LANÇ_MOV[[#This Row],[FORMA DE PAGAMENTO]]="","",VLOOKUP(LANÇ_MOV[[#This Row],[FORMA DE PAGAMENTO]],CAD_Forma_pagto[],2,0))</f>
        <v>BOLETO</v>
      </c>
      <c r="AA115" s="524" t="str">
        <f>IF(LANÇ_MOV[[#This Row],[DATA DE LANÇAMENTO]]="","",TEXT(LANÇ_MOV[[#This Row],[DATA DE LANÇAMENTO]],"AAAA"))</f>
        <v>2025</v>
      </c>
      <c r="AB115" s="524" t="str">
        <f>IF(LANÇ_MOV[[#This Row],[DATA DE LANÇAMENTO]]="","",UPPER(TEXT(LANÇ_MOV[[#This Row],[DATA DE LANÇAMENTO]],"MMMM")))</f>
        <v>OUTUBRO</v>
      </c>
      <c r="AC115" s="525" t="str">
        <f>IF(LANÇ_MOV[[#This Row],[DATA DE LANÇAMENTO]]="","",PROPER(TEXT(LANÇ_MOV[[#This Row],[DATA DE LANÇAMENTO]],"M")))</f>
        <v>10</v>
      </c>
      <c r="AD115" s="524" t="str">
        <f>IF(LANÇ_MOV[[#This Row],[DATA DE LANÇAMENTO]]="","",TEXT(LANÇ_MOV[[#This Row],[DATA DE LANÇAMENTO]],"D"))</f>
        <v>1</v>
      </c>
      <c r="AE115" s="526" t="str">
        <f>IF(LANÇ_MOV[[#This Row],[DATA DE VENCIMENTO]]="","",TEXT(LANÇ_MOV[[#This Row],[DATA DE VENCIMENTO]],"AAAA"))</f>
        <v>2026</v>
      </c>
      <c r="AF115" s="526" t="str">
        <f>IF(LANÇ_MOV[[#This Row],[DATA DE VENCIMENTO]]="","",UPPER(TEXT(LANÇ_MOV[[#This Row],[DATA DE VENCIMENTO]],"MMMM")))</f>
        <v>NOVEMBRO</v>
      </c>
      <c r="AG115" s="526" t="str">
        <f>IF(LANÇ_MOV[[#This Row],[DATA DE VENCIMENTO]]="","",TEXT(LANÇ_MOV[[#This Row],[DATA DE VENCIMENTO]],"M"))</f>
        <v>11</v>
      </c>
      <c r="AH115" s="526" t="str">
        <f>IF(LANÇ_MOV[[#This Row],[DATA DE VENCIMENTO]]="","",TEXT(LANÇ_MOV[[#This Row],[DATA DE VENCIMENTO]],"D"))</f>
        <v>3</v>
      </c>
      <c r="AI115" s="526" t="str">
        <f>IF(LANÇ_MOV[[#This Row],[DATA DE PAGAMENTO]]="","",TEXT(LANÇ_MOV[[#This Row],[DATA DE PAGAMENTO]],"AAAA"))</f>
        <v/>
      </c>
      <c r="AJ115" s="527" t="str">
        <f>IF(LANÇ_MOV[[#This Row],[DATA DE PAGAMENTO]]="","",UPPER(TEXT(LANÇ_MOV[[#This Row],[DATA DE PAGAMENTO]],"MMMM")))</f>
        <v/>
      </c>
      <c r="AK115" s="527" t="str">
        <f>IF(LANÇ_MOV[[#This Row],[DATA DE PAGAMENTO]]="","",TEXT(LANÇ_MOV[[#This Row],[DATA DE PAGAMENTO]],"M"))</f>
        <v/>
      </c>
      <c r="AL115" s="526" t="str">
        <f>IF(LANÇ_MOV[[#This Row],[DATA DE PAGAMENTO]]="","",TEXT(LANÇ_MOV[[#This Row],[DATA DE PAGAMENTO]],"D"))</f>
        <v/>
      </c>
      <c r="AM115" s="210"/>
      <c r="BC115" s="112"/>
      <c r="BD115" s="112"/>
    </row>
    <row r="116" spans="1:56" ht="30.05" customHeight="1" x14ac:dyDescent="0.35">
      <c r="B116" s="506">
        <v>45931</v>
      </c>
      <c r="C116" s="507" t="s">
        <v>1661</v>
      </c>
      <c r="D116" s="508" t="s">
        <v>1854</v>
      </c>
      <c r="E116" s="509" t="s">
        <v>1144</v>
      </c>
      <c r="F116" s="510" t="s">
        <v>1813</v>
      </c>
      <c r="G116" s="507"/>
      <c r="H116" s="511"/>
      <c r="I116" s="512" t="s">
        <v>1761</v>
      </c>
      <c r="J116" s="510">
        <v>704.72</v>
      </c>
      <c r="K116" s="513">
        <v>0</v>
      </c>
      <c r="L116" s="513">
        <v>0</v>
      </c>
      <c r="M116" s="513">
        <v>0</v>
      </c>
      <c r="N116" s="514">
        <f>LANÇ_MOV[[#This Row],[VALOR BRUTO]]-LANÇ_MOV[[#This Row],[DESCONTO]]+LANÇ_MOV[[#This Row],[JUROS]]+LANÇ_MOV[[#This Row],[MULTA]]</f>
        <v>704.72</v>
      </c>
      <c r="O116" s="515">
        <v>46359</v>
      </c>
      <c r="P116" s="516" t="str">
        <f t="shared" ca="1" si="1"/>
        <v>Prazo - Mais de 1 mês</v>
      </c>
      <c r="Q116" s="517"/>
      <c r="R116" s="531" t="s">
        <v>1506</v>
      </c>
      <c r="S116" s="531"/>
      <c r="T116" s="531" t="s">
        <v>1776</v>
      </c>
      <c r="U116" s="519" t="s">
        <v>2008</v>
      </c>
      <c r="V116" s="520" t="str">
        <f>IFERROR(VLOOKUP(LANÇ_MOV[[#This Row],[PLANO DE CONTAS]],Plano_Contas[[PLANO DE CONTAS]:[R / D]],3,0),"")</f>
        <v>Despesa</v>
      </c>
      <c r="W116" s="521" t="str">
        <f>IF(LANÇ_MOV[[#This Row],[DATA DE PAGAMENTO]]&lt;&gt;"","Pago","Não Pago")</f>
        <v>Não Pago</v>
      </c>
      <c r="X116" s="522" t="str">
        <f>IFERROR(IF(LANÇ_MOV[[#This Row],[DATA DE PAGAMENTO]]="","",(UPPER(TEXT(LANÇ_MOV[[#This Row],[DATA DE PAGAMENTO]],"mmmm")))),"")</f>
        <v/>
      </c>
      <c r="Y116" s="523" t="str">
        <f>IFERROR(VLOOKUP(LANÇ_MOV[[#This Row],[PLANO DE CONTAS]],Plano_Contas[[PLANO DE CONTAS]:[NOMES INTERVALOS]],2,0),"")</f>
        <v>Despesas_Administrativas</v>
      </c>
      <c r="Z116" s="523" t="str">
        <f>IF(LANÇ_MOV[[#This Row],[FORMA DE PAGAMENTO]]="","",VLOOKUP(LANÇ_MOV[[#This Row],[FORMA DE PAGAMENTO]],CAD_Forma_pagto[],2,0))</f>
        <v>BOLETO</v>
      </c>
      <c r="AA116" s="524" t="str">
        <f>IF(LANÇ_MOV[[#This Row],[DATA DE LANÇAMENTO]]="","",TEXT(LANÇ_MOV[[#This Row],[DATA DE LANÇAMENTO]],"AAAA"))</f>
        <v>2025</v>
      </c>
      <c r="AB116" s="524" t="str">
        <f>IF(LANÇ_MOV[[#This Row],[DATA DE LANÇAMENTO]]="","",UPPER(TEXT(LANÇ_MOV[[#This Row],[DATA DE LANÇAMENTO]],"MMMM")))</f>
        <v>OUTUBRO</v>
      </c>
      <c r="AC116" s="525" t="str">
        <f>IF(LANÇ_MOV[[#This Row],[DATA DE LANÇAMENTO]]="","",PROPER(TEXT(LANÇ_MOV[[#This Row],[DATA DE LANÇAMENTO]],"M")))</f>
        <v>10</v>
      </c>
      <c r="AD116" s="524" t="str">
        <f>IF(LANÇ_MOV[[#This Row],[DATA DE LANÇAMENTO]]="","",TEXT(LANÇ_MOV[[#This Row],[DATA DE LANÇAMENTO]],"D"))</f>
        <v>1</v>
      </c>
      <c r="AE116" s="526" t="str">
        <f>IF(LANÇ_MOV[[#This Row],[DATA DE VENCIMENTO]]="","",TEXT(LANÇ_MOV[[#This Row],[DATA DE VENCIMENTO]],"AAAA"))</f>
        <v>2026</v>
      </c>
      <c r="AF116" s="526" t="str">
        <f>IF(LANÇ_MOV[[#This Row],[DATA DE VENCIMENTO]]="","",UPPER(TEXT(LANÇ_MOV[[#This Row],[DATA DE VENCIMENTO]],"MMMM")))</f>
        <v>DEZEMBRO</v>
      </c>
      <c r="AG116" s="526" t="str">
        <f>IF(LANÇ_MOV[[#This Row],[DATA DE VENCIMENTO]]="","",TEXT(LANÇ_MOV[[#This Row],[DATA DE VENCIMENTO]],"M"))</f>
        <v>12</v>
      </c>
      <c r="AH116" s="526" t="str">
        <f>IF(LANÇ_MOV[[#This Row],[DATA DE VENCIMENTO]]="","",TEXT(LANÇ_MOV[[#This Row],[DATA DE VENCIMENTO]],"D"))</f>
        <v>3</v>
      </c>
      <c r="AI116" s="526" t="str">
        <f>IF(LANÇ_MOV[[#This Row],[DATA DE PAGAMENTO]]="","",TEXT(LANÇ_MOV[[#This Row],[DATA DE PAGAMENTO]],"AAAA"))</f>
        <v/>
      </c>
      <c r="AJ116" s="527" t="str">
        <f>IF(LANÇ_MOV[[#This Row],[DATA DE PAGAMENTO]]="","",UPPER(TEXT(LANÇ_MOV[[#This Row],[DATA DE PAGAMENTO]],"MMMM")))</f>
        <v/>
      </c>
      <c r="AK116" s="527" t="str">
        <f>IF(LANÇ_MOV[[#This Row],[DATA DE PAGAMENTO]]="","",TEXT(LANÇ_MOV[[#This Row],[DATA DE PAGAMENTO]],"M"))</f>
        <v/>
      </c>
      <c r="AL116" s="526" t="str">
        <f>IF(LANÇ_MOV[[#This Row],[DATA DE PAGAMENTO]]="","",TEXT(LANÇ_MOV[[#This Row],[DATA DE PAGAMENTO]],"D"))</f>
        <v/>
      </c>
      <c r="AM116" s="210"/>
      <c r="BC116" s="112"/>
      <c r="BD116" s="112"/>
    </row>
    <row r="117" spans="1:56" ht="30.05" customHeight="1" x14ac:dyDescent="0.35">
      <c r="B117" s="506">
        <v>45931</v>
      </c>
      <c r="C117" s="507" t="s">
        <v>1661</v>
      </c>
      <c r="D117" s="508" t="s">
        <v>1854</v>
      </c>
      <c r="E117" s="509" t="s">
        <v>1144</v>
      </c>
      <c r="F117" s="510" t="s">
        <v>1530</v>
      </c>
      <c r="G117" s="507"/>
      <c r="H117" s="511">
        <v>148827</v>
      </c>
      <c r="I117" s="512" t="s">
        <v>1764</v>
      </c>
      <c r="J117" s="510">
        <v>707.87</v>
      </c>
      <c r="K117" s="513">
        <v>0</v>
      </c>
      <c r="L117" s="513">
        <v>0</v>
      </c>
      <c r="M117" s="513">
        <v>0</v>
      </c>
      <c r="N117" s="514">
        <f>LANÇ_MOV[[#This Row],[VALOR BRUTO]]-LANÇ_MOV[[#This Row],[DESCONTO]]+LANÇ_MOV[[#This Row],[JUROS]]+LANÇ_MOV[[#This Row],[MULTA]]</f>
        <v>707.87</v>
      </c>
      <c r="O117" s="506">
        <v>45960</v>
      </c>
      <c r="P117" s="516" t="str">
        <f t="shared" ca="1" si="1"/>
        <v>Venceu</v>
      </c>
      <c r="Q117" s="517"/>
      <c r="R117" s="529" t="s">
        <v>1506</v>
      </c>
      <c r="S117" s="531"/>
      <c r="T117" s="518" t="s">
        <v>1776</v>
      </c>
      <c r="U117" s="519" t="s">
        <v>2008</v>
      </c>
      <c r="V117" s="520" t="str">
        <f>IFERROR(VLOOKUP(LANÇ_MOV[[#This Row],[PLANO DE CONTAS]],Plano_Contas[[PLANO DE CONTAS]:[R / D]],3,0),"")</f>
        <v>Despesa</v>
      </c>
      <c r="W117" s="521" t="str">
        <f>IF(LANÇ_MOV[[#This Row],[DATA DE PAGAMENTO]]&lt;&gt;"","Pago","Não Pago")</f>
        <v>Não Pago</v>
      </c>
      <c r="X117" s="522" t="str">
        <f>IFERROR(IF(LANÇ_MOV[[#This Row],[DATA DE PAGAMENTO]]="","",(UPPER(TEXT(LANÇ_MOV[[#This Row],[DATA DE PAGAMENTO]],"mmmm")))),"")</f>
        <v/>
      </c>
      <c r="Y117" s="523" t="str">
        <f>IFERROR(VLOOKUP(LANÇ_MOV[[#This Row],[PLANO DE CONTAS]],Plano_Contas[[PLANO DE CONTAS]:[NOMES INTERVALOS]],2,0),"")</f>
        <v>Despesas_Administrativas</v>
      </c>
      <c r="Z117" s="523" t="str">
        <f>IF(LANÇ_MOV[[#This Row],[FORMA DE PAGAMENTO]]="","",VLOOKUP(LANÇ_MOV[[#This Row],[FORMA DE PAGAMENTO]],CAD_Forma_pagto[],2,0))</f>
        <v>BOLETO</v>
      </c>
      <c r="AA117" s="524" t="str">
        <f>IF(LANÇ_MOV[[#This Row],[DATA DE LANÇAMENTO]]="","",TEXT(LANÇ_MOV[[#This Row],[DATA DE LANÇAMENTO]],"AAAA"))</f>
        <v>2025</v>
      </c>
      <c r="AB117" s="524" t="str">
        <f>IF(LANÇ_MOV[[#This Row],[DATA DE LANÇAMENTO]]="","",UPPER(TEXT(LANÇ_MOV[[#This Row],[DATA DE LANÇAMENTO]],"MMMM")))</f>
        <v>OUTUBRO</v>
      </c>
      <c r="AC117" s="525" t="str">
        <f>IF(LANÇ_MOV[[#This Row],[DATA DE LANÇAMENTO]]="","",PROPER(TEXT(LANÇ_MOV[[#This Row],[DATA DE LANÇAMENTO]],"M")))</f>
        <v>10</v>
      </c>
      <c r="AD117" s="524" t="str">
        <f>IF(LANÇ_MOV[[#This Row],[DATA DE LANÇAMENTO]]="","",TEXT(LANÇ_MOV[[#This Row],[DATA DE LANÇAMENTO]],"D"))</f>
        <v>1</v>
      </c>
      <c r="AE117" s="526" t="str">
        <f>IF(LANÇ_MOV[[#This Row],[DATA DE VENCIMENTO]]="","",TEXT(LANÇ_MOV[[#This Row],[DATA DE VENCIMENTO]],"AAAA"))</f>
        <v>2025</v>
      </c>
      <c r="AF117" s="526" t="str">
        <f>IF(LANÇ_MOV[[#This Row],[DATA DE VENCIMENTO]]="","",UPPER(TEXT(LANÇ_MOV[[#This Row],[DATA DE VENCIMENTO]],"MMMM")))</f>
        <v>OUTUBRO</v>
      </c>
      <c r="AG117" s="526" t="str">
        <f>IF(LANÇ_MOV[[#This Row],[DATA DE VENCIMENTO]]="","",TEXT(LANÇ_MOV[[#This Row],[DATA DE VENCIMENTO]],"M"))</f>
        <v>10</v>
      </c>
      <c r="AH117" s="526" t="str">
        <f>IF(LANÇ_MOV[[#This Row],[DATA DE VENCIMENTO]]="","",TEXT(LANÇ_MOV[[#This Row],[DATA DE VENCIMENTO]],"D"))</f>
        <v>30</v>
      </c>
      <c r="AI117" s="526" t="str">
        <f>IF(LANÇ_MOV[[#This Row],[DATA DE PAGAMENTO]]="","",TEXT(LANÇ_MOV[[#This Row],[DATA DE PAGAMENTO]],"AAAA"))</f>
        <v/>
      </c>
      <c r="AJ117" s="527" t="str">
        <f>IF(LANÇ_MOV[[#This Row],[DATA DE PAGAMENTO]]="","",UPPER(TEXT(LANÇ_MOV[[#This Row],[DATA DE PAGAMENTO]],"MMMM")))</f>
        <v/>
      </c>
      <c r="AK117" s="527" t="str">
        <f>IF(LANÇ_MOV[[#This Row],[DATA DE PAGAMENTO]]="","",TEXT(LANÇ_MOV[[#This Row],[DATA DE PAGAMENTO]],"M"))</f>
        <v/>
      </c>
      <c r="AL117" s="526" t="str">
        <f>IF(LANÇ_MOV[[#This Row],[DATA DE PAGAMENTO]]="","",TEXT(LANÇ_MOV[[#This Row],[DATA DE PAGAMENTO]],"D"))</f>
        <v/>
      </c>
      <c r="AM117" s="210"/>
      <c r="BC117" s="112"/>
      <c r="BD117" s="112"/>
    </row>
    <row r="118" spans="1:56" ht="30.05" customHeight="1" x14ac:dyDescent="0.35">
      <c r="B118" s="506">
        <v>45931</v>
      </c>
      <c r="C118" s="507" t="s">
        <v>1661</v>
      </c>
      <c r="D118" s="508" t="s">
        <v>1854</v>
      </c>
      <c r="E118" s="509" t="s">
        <v>1144</v>
      </c>
      <c r="F118" s="510" t="s">
        <v>1530</v>
      </c>
      <c r="G118" s="507"/>
      <c r="H118" s="511"/>
      <c r="I118" s="512" t="s">
        <v>1764</v>
      </c>
      <c r="J118" s="510">
        <v>707.87</v>
      </c>
      <c r="K118" s="513">
        <v>0</v>
      </c>
      <c r="L118" s="513">
        <v>0</v>
      </c>
      <c r="M118" s="513">
        <v>0</v>
      </c>
      <c r="N118" s="514">
        <f>LANÇ_MOV[[#This Row],[VALOR BRUTO]]-LANÇ_MOV[[#This Row],[DESCONTO]]+LANÇ_MOV[[#This Row],[JUROS]]+LANÇ_MOV[[#This Row],[MULTA]]</f>
        <v>707.87</v>
      </c>
      <c r="O118" s="528">
        <v>45991</v>
      </c>
      <c r="P118" s="516" t="str">
        <f t="shared" ca="1" si="1"/>
        <v>Prazo - Menos de 10 dias</v>
      </c>
      <c r="Q118" s="530"/>
      <c r="R118" s="529" t="s">
        <v>1506</v>
      </c>
      <c r="S118" s="531"/>
      <c r="T118" s="518" t="s">
        <v>1776</v>
      </c>
      <c r="U118" s="519" t="s">
        <v>2008</v>
      </c>
      <c r="V118" s="520" t="str">
        <f>IFERROR(VLOOKUP(LANÇ_MOV[[#This Row],[PLANO DE CONTAS]],Plano_Contas[[PLANO DE CONTAS]:[R / D]],3,0),"")</f>
        <v>Despesa</v>
      </c>
      <c r="W118" s="521" t="str">
        <f>IF(LANÇ_MOV[[#This Row],[DATA DE PAGAMENTO]]&lt;&gt;"","Pago","Não Pago")</f>
        <v>Não Pago</v>
      </c>
      <c r="X118" s="522" t="str">
        <f>IFERROR(IF(LANÇ_MOV[[#This Row],[DATA DE PAGAMENTO]]="","",(UPPER(TEXT(LANÇ_MOV[[#This Row],[DATA DE PAGAMENTO]],"mmmm")))),"")</f>
        <v/>
      </c>
      <c r="Y118" s="523" t="str">
        <f>IFERROR(VLOOKUP(LANÇ_MOV[[#This Row],[PLANO DE CONTAS]],Plano_Contas[[PLANO DE CONTAS]:[NOMES INTERVALOS]],2,0),"")</f>
        <v>Despesas_Administrativas</v>
      </c>
      <c r="Z118" s="523" t="str">
        <f>IF(LANÇ_MOV[[#This Row],[FORMA DE PAGAMENTO]]="","",VLOOKUP(LANÇ_MOV[[#This Row],[FORMA DE PAGAMENTO]],CAD_Forma_pagto[],2,0))</f>
        <v>BOLETO</v>
      </c>
      <c r="AA118" s="524" t="str">
        <f>IF(LANÇ_MOV[[#This Row],[DATA DE LANÇAMENTO]]="","",TEXT(LANÇ_MOV[[#This Row],[DATA DE LANÇAMENTO]],"AAAA"))</f>
        <v>2025</v>
      </c>
      <c r="AB118" s="524" t="str">
        <f>IF(LANÇ_MOV[[#This Row],[DATA DE LANÇAMENTO]]="","",UPPER(TEXT(LANÇ_MOV[[#This Row],[DATA DE LANÇAMENTO]],"MMMM")))</f>
        <v>OUTUBRO</v>
      </c>
      <c r="AC118" s="525" t="str">
        <f>IF(LANÇ_MOV[[#This Row],[DATA DE LANÇAMENTO]]="","",PROPER(TEXT(LANÇ_MOV[[#This Row],[DATA DE LANÇAMENTO]],"M")))</f>
        <v>10</v>
      </c>
      <c r="AD118" s="524" t="str">
        <f>IF(LANÇ_MOV[[#This Row],[DATA DE LANÇAMENTO]]="","",TEXT(LANÇ_MOV[[#This Row],[DATA DE LANÇAMENTO]],"D"))</f>
        <v>1</v>
      </c>
      <c r="AE118" s="526" t="str">
        <f>IF(LANÇ_MOV[[#This Row],[DATA DE VENCIMENTO]]="","",TEXT(LANÇ_MOV[[#This Row],[DATA DE VENCIMENTO]],"AAAA"))</f>
        <v>2025</v>
      </c>
      <c r="AF118" s="526" t="str">
        <f>IF(LANÇ_MOV[[#This Row],[DATA DE VENCIMENTO]]="","",UPPER(TEXT(LANÇ_MOV[[#This Row],[DATA DE VENCIMENTO]],"MMMM")))</f>
        <v>NOVEMBRO</v>
      </c>
      <c r="AG118" s="526" t="str">
        <f>IF(LANÇ_MOV[[#This Row],[DATA DE VENCIMENTO]]="","",TEXT(LANÇ_MOV[[#This Row],[DATA DE VENCIMENTO]],"M"))</f>
        <v>11</v>
      </c>
      <c r="AH118" s="526" t="str">
        <f>IF(LANÇ_MOV[[#This Row],[DATA DE VENCIMENTO]]="","",TEXT(LANÇ_MOV[[#This Row],[DATA DE VENCIMENTO]],"D"))</f>
        <v>30</v>
      </c>
      <c r="AI118" s="526" t="str">
        <f>IF(LANÇ_MOV[[#This Row],[DATA DE PAGAMENTO]]="","",TEXT(LANÇ_MOV[[#This Row],[DATA DE PAGAMENTO]],"AAAA"))</f>
        <v/>
      </c>
      <c r="AJ118" s="527" t="str">
        <f>IF(LANÇ_MOV[[#This Row],[DATA DE PAGAMENTO]]="","",UPPER(TEXT(LANÇ_MOV[[#This Row],[DATA DE PAGAMENTO]],"MMMM")))</f>
        <v/>
      </c>
      <c r="AK118" s="527" t="str">
        <f>IF(LANÇ_MOV[[#This Row],[DATA DE PAGAMENTO]]="","",TEXT(LANÇ_MOV[[#This Row],[DATA DE PAGAMENTO]],"M"))</f>
        <v/>
      </c>
      <c r="AL118" s="526" t="str">
        <f>IF(LANÇ_MOV[[#This Row],[DATA DE PAGAMENTO]]="","",TEXT(LANÇ_MOV[[#This Row],[DATA DE PAGAMENTO]],"D"))</f>
        <v/>
      </c>
      <c r="AM118" s="210"/>
      <c r="BC118" s="112"/>
      <c r="BD118" s="112"/>
    </row>
    <row r="119" spans="1:56" ht="30.05" customHeight="1" x14ac:dyDescent="0.35">
      <c r="B119" s="506">
        <v>45931</v>
      </c>
      <c r="C119" s="507" t="s">
        <v>1661</v>
      </c>
      <c r="D119" s="508" t="s">
        <v>1854</v>
      </c>
      <c r="E119" s="509" t="s">
        <v>1144</v>
      </c>
      <c r="F119" s="510" t="s">
        <v>1530</v>
      </c>
      <c r="G119" s="507"/>
      <c r="H119" s="511"/>
      <c r="I119" s="512" t="s">
        <v>1764</v>
      </c>
      <c r="J119" s="510">
        <v>707.87</v>
      </c>
      <c r="K119" s="513">
        <v>0</v>
      </c>
      <c r="L119" s="513">
        <v>0</v>
      </c>
      <c r="M119" s="513">
        <v>0</v>
      </c>
      <c r="N119" s="514">
        <f>LANÇ_MOV[[#This Row],[VALOR BRUTO]]-LANÇ_MOV[[#This Row],[DESCONTO]]+LANÇ_MOV[[#This Row],[JUROS]]+LANÇ_MOV[[#This Row],[MULTA]]</f>
        <v>707.87</v>
      </c>
      <c r="O119" s="506">
        <v>46021</v>
      </c>
      <c r="P119" s="516" t="str">
        <f t="shared" ca="1" si="1"/>
        <v>Prazo - Mais de 1 mês</v>
      </c>
      <c r="Q119" s="506"/>
      <c r="R119" s="518" t="s">
        <v>1506</v>
      </c>
      <c r="S119" s="531"/>
      <c r="T119" s="518" t="s">
        <v>1776</v>
      </c>
      <c r="U119" s="519" t="s">
        <v>2008</v>
      </c>
      <c r="V119" s="520" t="str">
        <f>IFERROR(VLOOKUP(LANÇ_MOV[[#This Row],[PLANO DE CONTAS]],Plano_Contas[[PLANO DE CONTAS]:[R / D]],3,0),"")</f>
        <v>Despesa</v>
      </c>
      <c r="W119" s="521" t="str">
        <f>IF(LANÇ_MOV[[#This Row],[DATA DE PAGAMENTO]]&lt;&gt;"","Pago","Não Pago")</f>
        <v>Não Pago</v>
      </c>
      <c r="X119" s="522" t="str">
        <f>IFERROR(IF(LANÇ_MOV[[#This Row],[DATA DE PAGAMENTO]]="","",(UPPER(TEXT(LANÇ_MOV[[#This Row],[DATA DE PAGAMENTO]],"mmmm")))),"")</f>
        <v/>
      </c>
      <c r="Y119" s="523" t="str">
        <f>IFERROR(VLOOKUP(LANÇ_MOV[[#This Row],[PLANO DE CONTAS]],Plano_Contas[[PLANO DE CONTAS]:[NOMES INTERVALOS]],2,0),"")</f>
        <v>Despesas_Administrativas</v>
      </c>
      <c r="Z119" s="523" t="str">
        <f>IF(LANÇ_MOV[[#This Row],[FORMA DE PAGAMENTO]]="","",VLOOKUP(LANÇ_MOV[[#This Row],[FORMA DE PAGAMENTO]],CAD_Forma_pagto[],2,0))</f>
        <v>BOLETO</v>
      </c>
      <c r="AA119" s="524" t="str">
        <f>IF(LANÇ_MOV[[#This Row],[DATA DE LANÇAMENTO]]="","",TEXT(LANÇ_MOV[[#This Row],[DATA DE LANÇAMENTO]],"AAAA"))</f>
        <v>2025</v>
      </c>
      <c r="AB119" s="524" t="str">
        <f>IF(LANÇ_MOV[[#This Row],[DATA DE LANÇAMENTO]]="","",UPPER(TEXT(LANÇ_MOV[[#This Row],[DATA DE LANÇAMENTO]],"MMMM")))</f>
        <v>OUTUBRO</v>
      </c>
      <c r="AC119" s="525" t="str">
        <f>IF(LANÇ_MOV[[#This Row],[DATA DE LANÇAMENTO]]="","",PROPER(TEXT(LANÇ_MOV[[#This Row],[DATA DE LANÇAMENTO]],"M")))</f>
        <v>10</v>
      </c>
      <c r="AD119" s="524" t="str">
        <f>IF(LANÇ_MOV[[#This Row],[DATA DE LANÇAMENTO]]="","",TEXT(LANÇ_MOV[[#This Row],[DATA DE LANÇAMENTO]],"D"))</f>
        <v>1</v>
      </c>
      <c r="AE119" s="526" t="str">
        <f>IF(LANÇ_MOV[[#This Row],[DATA DE VENCIMENTO]]="","",TEXT(LANÇ_MOV[[#This Row],[DATA DE VENCIMENTO]],"AAAA"))</f>
        <v>2025</v>
      </c>
      <c r="AF119" s="526" t="str">
        <f>IF(LANÇ_MOV[[#This Row],[DATA DE VENCIMENTO]]="","",UPPER(TEXT(LANÇ_MOV[[#This Row],[DATA DE VENCIMENTO]],"MMMM")))</f>
        <v>DEZEMBRO</v>
      </c>
      <c r="AG119" s="526" t="str">
        <f>IF(LANÇ_MOV[[#This Row],[DATA DE VENCIMENTO]]="","",TEXT(LANÇ_MOV[[#This Row],[DATA DE VENCIMENTO]],"M"))</f>
        <v>12</v>
      </c>
      <c r="AH119" s="526" t="str">
        <f>IF(LANÇ_MOV[[#This Row],[DATA DE VENCIMENTO]]="","",TEXT(LANÇ_MOV[[#This Row],[DATA DE VENCIMENTO]],"D"))</f>
        <v>30</v>
      </c>
      <c r="AI119" s="526" t="str">
        <f>IF(LANÇ_MOV[[#This Row],[DATA DE PAGAMENTO]]="","",TEXT(LANÇ_MOV[[#This Row],[DATA DE PAGAMENTO]],"AAAA"))</f>
        <v/>
      </c>
      <c r="AJ119" s="527" t="str">
        <f>IF(LANÇ_MOV[[#This Row],[DATA DE PAGAMENTO]]="","",UPPER(TEXT(LANÇ_MOV[[#This Row],[DATA DE PAGAMENTO]],"MMMM")))</f>
        <v/>
      </c>
      <c r="AK119" s="527" t="str">
        <f>IF(LANÇ_MOV[[#This Row],[DATA DE PAGAMENTO]]="","",TEXT(LANÇ_MOV[[#This Row],[DATA DE PAGAMENTO]],"M"))</f>
        <v/>
      </c>
      <c r="AL119" s="526" t="str">
        <f>IF(LANÇ_MOV[[#This Row],[DATA DE PAGAMENTO]]="","",TEXT(LANÇ_MOV[[#This Row],[DATA DE PAGAMENTO]],"D"))</f>
        <v/>
      </c>
      <c r="AM119" s="210"/>
      <c r="BC119" s="112"/>
      <c r="BD119" s="112"/>
    </row>
    <row r="120" spans="1:56" ht="30.05" customHeight="1" x14ac:dyDescent="0.35">
      <c r="B120" s="534">
        <v>45931</v>
      </c>
      <c r="C120" s="507" t="s">
        <v>1661</v>
      </c>
      <c r="D120" s="508" t="s">
        <v>1854</v>
      </c>
      <c r="E120" s="509" t="s">
        <v>1144</v>
      </c>
      <c r="F120" s="510" t="s">
        <v>1530</v>
      </c>
      <c r="G120" s="507"/>
      <c r="H120" s="511"/>
      <c r="I120" s="512" t="s">
        <v>1764</v>
      </c>
      <c r="J120" s="510">
        <v>707.87</v>
      </c>
      <c r="K120" s="513">
        <v>0</v>
      </c>
      <c r="L120" s="513">
        <v>0</v>
      </c>
      <c r="M120" s="513">
        <v>0</v>
      </c>
      <c r="N120" s="514">
        <f>LANÇ_MOV[[#This Row],[VALOR BRUTO]]-LANÇ_MOV[[#This Row],[DESCONTO]]+LANÇ_MOV[[#This Row],[JUROS]]+LANÇ_MOV[[#This Row],[MULTA]]</f>
        <v>707.87</v>
      </c>
      <c r="O120" s="528">
        <v>46052</v>
      </c>
      <c r="P120" s="516" t="str">
        <f t="shared" ca="1" si="1"/>
        <v>Prazo - Mais de 1 mês</v>
      </c>
      <c r="Q120" s="530"/>
      <c r="R120" s="529" t="s">
        <v>1506</v>
      </c>
      <c r="S120" s="531"/>
      <c r="T120" s="518" t="s">
        <v>1776</v>
      </c>
      <c r="U120" s="519" t="s">
        <v>2008</v>
      </c>
      <c r="V120" s="520" t="str">
        <f>IFERROR(VLOOKUP(LANÇ_MOV[[#This Row],[PLANO DE CONTAS]],Plano_Contas[[PLANO DE CONTAS]:[R / D]],3,0),"")</f>
        <v>Despesa</v>
      </c>
      <c r="W120" s="521" t="str">
        <f>IF(LANÇ_MOV[[#This Row],[DATA DE PAGAMENTO]]&lt;&gt;"","Pago","Não Pago")</f>
        <v>Não Pago</v>
      </c>
      <c r="X120" s="522" t="str">
        <f>IFERROR(IF(LANÇ_MOV[[#This Row],[DATA DE PAGAMENTO]]="","",(UPPER(TEXT(LANÇ_MOV[[#This Row],[DATA DE PAGAMENTO]],"mmmm")))),"")</f>
        <v/>
      </c>
      <c r="Y120" s="523" t="str">
        <f>IFERROR(VLOOKUP(LANÇ_MOV[[#This Row],[PLANO DE CONTAS]],Plano_Contas[[PLANO DE CONTAS]:[NOMES INTERVALOS]],2,0),"")</f>
        <v>Despesas_Administrativas</v>
      </c>
      <c r="Z120" s="523" t="str">
        <f>IF(LANÇ_MOV[[#This Row],[FORMA DE PAGAMENTO]]="","",VLOOKUP(LANÇ_MOV[[#This Row],[FORMA DE PAGAMENTO]],CAD_Forma_pagto[],2,0))</f>
        <v>BOLETO</v>
      </c>
      <c r="AA120" s="524" t="str">
        <f>IF(LANÇ_MOV[[#This Row],[DATA DE LANÇAMENTO]]="","",TEXT(LANÇ_MOV[[#This Row],[DATA DE LANÇAMENTO]],"AAAA"))</f>
        <v>2025</v>
      </c>
      <c r="AB120" s="524" t="str">
        <f>IF(LANÇ_MOV[[#This Row],[DATA DE LANÇAMENTO]]="","",UPPER(TEXT(LANÇ_MOV[[#This Row],[DATA DE LANÇAMENTO]],"MMMM")))</f>
        <v>OUTUBRO</v>
      </c>
      <c r="AC120" s="525" t="str">
        <f>IF(LANÇ_MOV[[#This Row],[DATA DE LANÇAMENTO]]="","",PROPER(TEXT(LANÇ_MOV[[#This Row],[DATA DE LANÇAMENTO]],"M")))</f>
        <v>10</v>
      </c>
      <c r="AD120" s="524" t="str">
        <f>IF(LANÇ_MOV[[#This Row],[DATA DE LANÇAMENTO]]="","",TEXT(LANÇ_MOV[[#This Row],[DATA DE LANÇAMENTO]],"D"))</f>
        <v>1</v>
      </c>
      <c r="AE120" s="526" t="str">
        <f>IF(LANÇ_MOV[[#This Row],[DATA DE VENCIMENTO]]="","",TEXT(LANÇ_MOV[[#This Row],[DATA DE VENCIMENTO]],"AAAA"))</f>
        <v>2026</v>
      </c>
      <c r="AF120" s="526" t="str">
        <f>IF(LANÇ_MOV[[#This Row],[DATA DE VENCIMENTO]]="","",UPPER(TEXT(LANÇ_MOV[[#This Row],[DATA DE VENCIMENTO]],"MMMM")))</f>
        <v>JANEIRO</v>
      </c>
      <c r="AG120" s="526" t="str">
        <f>IF(LANÇ_MOV[[#This Row],[DATA DE VENCIMENTO]]="","",TEXT(LANÇ_MOV[[#This Row],[DATA DE VENCIMENTO]],"M"))</f>
        <v>1</v>
      </c>
      <c r="AH120" s="526" t="str">
        <f>IF(LANÇ_MOV[[#This Row],[DATA DE VENCIMENTO]]="","",TEXT(LANÇ_MOV[[#This Row],[DATA DE VENCIMENTO]],"D"))</f>
        <v>30</v>
      </c>
      <c r="AI120" s="526" t="str">
        <f>IF(LANÇ_MOV[[#This Row],[DATA DE PAGAMENTO]]="","",TEXT(LANÇ_MOV[[#This Row],[DATA DE PAGAMENTO]],"AAAA"))</f>
        <v/>
      </c>
      <c r="AJ120" s="527" t="str">
        <f>IF(LANÇ_MOV[[#This Row],[DATA DE PAGAMENTO]]="","",UPPER(TEXT(LANÇ_MOV[[#This Row],[DATA DE PAGAMENTO]],"MMMM")))</f>
        <v/>
      </c>
      <c r="AK120" s="527" t="str">
        <f>IF(LANÇ_MOV[[#This Row],[DATA DE PAGAMENTO]]="","",TEXT(LANÇ_MOV[[#This Row],[DATA DE PAGAMENTO]],"M"))</f>
        <v/>
      </c>
      <c r="AL120" s="526" t="str">
        <f>IF(LANÇ_MOV[[#This Row],[DATA DE PAGAMENTO]]="","",TEXT(LANÇ_MOV[[#This Row],[DATA DE PAGAMENTO]],"D"))</f>
        <v/>
      </c>
      <c r="AM120" s="210"/>
      <c r="BC120" s="112"/>
      <c r="BD120" s="112"/>
    </row>
    <row r="121" spans="1:56" ht="30.05" customHeight="1" x14ac:dyDescent="0.35">
      <c r="B121" s="506">
        <v>45931</v>
      </c>
      <c r="C121" s="507" t="s">
        <v>1661</v>
      </c>
      <c r="D121" s="508" t="s">
        <v>1854</v>
      </c>
      <c r="E121" s="509" t="s">
        <v>1144</v>
      </c>
      <c r="F121" s="510" t="s">
        <v>1530</v>
      </c>
      <c r="G121" s="507"/>
      <c r="H121" s="511"/>
      <c r="I121" s="512" t="s">
        <v>1764</v>
      </c>
      <c r="J121" s="510">
        <v>707.87</v>
      </c>
      <c r="K121" s="513">
        <v>0</v>
      </c>
      <c r="L121" s="513">
        <v>0</v>
      </c>
      <c r="M121" s="513">
        <v>0</v>
      </c>
      <c r="N121" s="514">
        <f>LANÇ_MOV[[#This Row],[VALOR BRUTO]]-LANÇ_MOV[[#This Row],[DESCONTO]]+LANÇ_MOV[[#This Row],[JUROS]]+LANÇ_MOV[[#This Row],[MULTA]]</f>
        <v>707.87</v>
      </c>
      <c r="O121" s="506">
        <v>46081</v>
      </c>
      <c r="P121" s="516" t="str">
        <f t="shared" ca="1" si="1"/>
        <v>Prazo - Mais de 1 mês</v>
      </c>
      <c r="Q121" s="530"/>
      <c r="R121" s="529" t="s">
        <v>1506</v>
      </c>
      <c r="S121" s="531"/>
      <c r="T121" s="518" t="s">
        <v>1776</v>
      </c>
      <c r="U121" s="519" t="s">
        <v>2008</v>
      </c>
      <c r="V121" s="520" t="str">
        <f>IFERROR(VLOOKUP(LANÇ_MOV[[#This Row],[PLANO DE CONTAS]],Plano_Contas[[PLANO DE CONTAS]:[R / D]],3,0),"")</f>
        <v>Despesa</v>
      </c>
      <c r="W121" s="521" t="str">
        <f>IF(LANÇ_MOV[[#This Row],[DATA DE PAGAMENTO]]&lt;&gt;"","Pago","Não Pago")</f>
        <v>Não Pago</v>
      </c>
      <c r="X121" s="522" t="str">
        <f>IFERROR(IF(LANÇ_MOV[[#This Row],[DATA DE PAGAMENTO]]="","",(UPPER(TEXT(LANÇ_MOV[[#This Row],[DATA DE PAGAMENTO]],"mmmm")))),"")</f>
        <v/>
      </c>
      <c r="Y121" s="523" t="str">
        <f>IFERROR(VLOOKUP(LANÇ_MOV[[#This Row],[PLANO DE CONTAS]],Plano_Contas[[PLANO DE CONTAS]:[NOMES INTERVALOS]],2,0),"")</f>
        <v>Despesas_Administrativas</v>
      </c>
      <c r="Z121" s="523" t="str">
        <f>IF(LANÇ_MOV[[#This Row],[FORMA DE PAGAMENTO]]="","",VLOOKUP(LANÇ_MOV[[#This Row],[FORMA DE PAGAMENTO]],CAD_Forma_pagto[],2,0))</f>
        <v>BOLETO</v>
      </c>
      <c r="AA121" s="524" t="str">
        <f>IF(LANÇ_MOV[[#This Row],[DATA DE LANÇAMENTO]]="","",TEXT(LANÇ_MOV[[#This Row],[DATA DE LANÇAMENTO]],"AAAA"))</f>
        <v>2025</v>
      </c>
      <c r="AB121" s="524" t="str">
        <f>IF(LANÇ_MOV[[#This Row],[DATA DE LANÇAMENTO]]="","",UPPER(TEXT(LANÇ_MOV[[#This Row],[DATA DE LANÇAMENTO]],"MMMM")))</f>
        <v>OUTUBRO</v>
      </c>
      <c r="AC121" s="525" t="str">
        <f>IF(LANÇ_MOV[[#This Row],[DATA DE LANÇAMENTO]]="","",PROPER(TEXT(LANÇ_MOV[[#This Row],[DATA DE LANÇAMENTO]],"M")))</f>
        <v>10</v>
      </c>
      <c r="AD121" s="524" t="str">
        <f>IF(LANÇ_MOV[[#This Row],[DATA DE LANÇAMENTO]]="","",TEXT(LANÇ_MOV[[#This Row],[DATA DE LANÇAMENTO]],"D"))</f>
        <v>1</v>
      </c>
      <c r="AE121" s="526" t="str">
        <f>IF(LANÇ_MOV[[#This Row],[DATA DE VENCIMENTO]]="","",TEXT(LANÇ_MOV[[#This Row],[DATA DE VENCIMENTO]],"AAAA"))</f>
        <v>2026</v>
      </c>
      <c r="AF121" s="526" t="str">
        <f>IF(LANÇ_MOV[[#This Row],[DATA DE VENCIMENTO]]="","",UPPER(TEXT(LANÇ_MOV[[#This Row],[DATA DE VENCIMENTO]],"MMMM")))</f>
        <v>FEVEREIRO</v>
      </c>
      <c r="AG121" s="526" t="str">
        <f>IF(LANÇ_MOV[[#This Row],[DATA DE VENCIMENTO]]="","",TEXT(LANÇ_MOV[[#This Row],[DATA DE VENCIMENTO]],"M"))</f>
        <v>2</v>
      </c>
      <c r="AH121" s="526" t="str">
        <f>IF(LANÇ_MOV[[#This Row],[DATA DE VENCIMENTO]]="","",TEXT(LANÇ_MOV[[#This Row],[DATA DE VENCIMENTO]],"D"))</f>
        <v>28</v>
      </c>
      <c r="AI121" s="526" t="str">
        <f>IF(LANÇ_MOV[[#This Row],[DATA DE PAGAMENTO]]="","",TEXT(LANÇ_MOV[[#This Row],[DATA DE PAGAMENTO]],"AAAA"))</f>
        <v/>
      </c>
      <c r="AJ121" s="527" t="str">
        <f>IF(LANÇ_MOV[[#This Row],[DATA DE PAGAMENTO]]="","",UPPER(TEXT(LANÇ_MOV[[#This Row],[DATA DE PAGAMENTO]],"MMMM")))</f>
        <v/>
      </c>
      <c r="AK121" s="527" t="str">
        <f>IF(LANÇ_MOV[[#This Row],[DATA DE PAGAMENTO]]="","",TEXT(LANÇ_MOV[[#This Row],[DATA DE PAGAMENTO]],"M"))</f>
        <v/>
      </c>
      <c r="AL121" s="526" t="str">
        <f>IF(LANÇ_MOV[[#This Row],[DATA DE PAGAMENTO]]="","",TEXT(LANÇ_MOV[[#This Row],[DATA DE PAGAMENTO]],"D"))</f>
        <v/>
      </c>
      <c r="AM121" s="210"/>
      <c r="BC121" s="112"/>
      <c r="BD121" s="112"/>
    </row>
    <row r="122" spans="1:56" ht="30.05" customHeight="1" x14ac:dyDescent="0.35">
      <c r="B122" s="506">
        <v>45931</v>
      </c>
      <c r="C122" s="507" t="s">
        <v>1661</v>
      </c>
      <c r="D122" s="508" t="s">
        <v>1854</v>
      </c>
      <c r="E122" s="509" t="s">
        <v>1144</v>
      </c>
      <c r="F122" s="510" t="s">
        <v>1530</v>
      </c>
      <c r="G122" s="507"/>
      <c r="H122" s="511"/>
      <c r="I122" s="512" t="s">
        <v>1764</v>
      </c>
      <c r="J122" s="518">
        <v>707.87</v>
      </c>
      <c r="K122" s="513">
        <v>0</v>
      </c>
      <c r="L122" s="513">
        <v>0</v>
      </c>
      <c r="M122" s="513">
        <v>0</v>
      </c>
      <c r="N122" s="514">
        <f>LANÇ_MOV[[#This Row],[VALOR BRUTO]]-LANÇ_MOV[[#This Row],[DESCONTO]]+LANÇ_MOV[[#This Row],[JUROS]]+LANÇ_MOV[[#This Row],[MULTA]]</f>
        <v>707.87</v>
      </c>
      <c r="O122" s="506">
        <v>46111</v>
      </c>
      <c r="P122" s="516" t="str">
        <f t="shared" ca="1" si="1"/>
        <v>Prazo - Mais de 1 mês</v>
      </c>
      <c r="Q122" s="506"/>
      <c r="R122" s="518" t="s">
        <v>1506</v>
      </c>
      <c r="S122" s="531"/>
      <c r="T122" s="518" t="s">
        <v>1776</v>
      </c>
      <c r="U122" s="519" t="s">
        <v>2008</v>
      </c>
      <c r="V122" s="520" t="str">
        <f>IFERROR(VLOOKUP(LANÇ_MOV[[#This Row],[PLANO DE CONTAS]],Plano_Contas[[PLANO DE CONTAS]:[R / D]],3,0),"")</f>
        <v>Despesa</v>
      </c>
      <c r="W122" s="521" t="str">
        <f>IF(LANÇ_MOV[[#This Row],[DATA DE PAGAMENTO]]&lt;&gt;"","Pago","Não Pago")</f>
        <v>Não Pago</v>
      </c>
      <c r="X122" s="522" t="str">
        <f>IFERROR(IF(LANÇ_MOV[[#This Row],[DATA DE PAGAMENTO]]="","",(UPPER(TEXT(LANÇ_MOV[[#This Row],[DATA DE PAGAMENTO]],"mmmm")))),"")</f>
        <v/>
      </c>
      <c r="Y122" s="523" t="str">
        <f>IFERROR(VLOOKUP(LANÇ_MOV[[#This Row],[PLANO DE CONTAS]],Plano_Contas[[PLANO DE CONTAS]:[NOMES INTERVALOS]],2,0),"")</f>
        <v>Despesas_Administrativas</v>
      </c>
      <c r="Z122" s="523" t="str">
        <f>IF(LANÇ_MOV[[#This Row],[FORMA DE PAGAMENTO]]="","",VLOOKUP(LANÇ_MOV[[#This Row],[FORMA DE PAGAMENTO]],CAD_Forma_pagto[],2,0))</f>
        <v>BOLETO</v>
      </c>
      <c r="AA122" s="524" t="str">
        <f>IF(LANÇ_MOV[[#This Row],[DATA DE LANÇAMENTO]]="","",TEXT(LANÇ_MOV[[#This Row],[DATA DE LANÇAMENTO]],"AAAA"))</f>
        <v>2025</v>
      </c>
      <c r="AB122" s="524" t="str">
        <f>IF(LANÇ_MOV[[#This Row],[DATA DE LANÇAMENTO]]="","",UPPER(TEXT(LANÇ_MOV[[#This Row],[DATA DE LANÇAMENTO]],"MMMM")))</f>
        <v>OUTUBRO</v>
      </c>
      <c r="AC122" s="525" t="str">
        <f>IF(LANÇ_MOV[[#This Row],[DATA DE LANÇAMENTO]]="","",PROPER(TEXT(LANÇ_MOV[[#This Row],[DATA DE LANÇAMENTO]],"M")))</f>
        <v>10</v>
      </c>
      <c r="AD122" s="524" t="str">
        <f>IF(LANÇ_MOV[[#This Row],[DATA DE LANÇAMENTO]]="","",TEXT(LANÇ_MOV[[#This Row],[DATA DE LANÇAMENTO]],"D"))</f>
        <v>1</v>
      </c>
      <c r="AE122" s="526" t="str">
        <f>IF(LANÇ_MOV[[#This Row],[DATA DE VENCIMENTO]]="","",TEXT(LANÇ_MOV[[#This Row],[DATA DE VENCIMENTO]],"AAAA"))</f>
        <v>2026</v>
      </c>
      <c r="AF122" s="526" t="str">
        <f>IF(LANÇ_MOV[[#This Row],[DATA DE VENCIMENTO]]="","",UPPER(TEXT(LANÇ_MOV[[#This Row],[DATA DE VENCIMENTO]],"MMMM")))</f>
        <v>MARÇO</v>
      </c>
      <c r="AG122" s="526" t="str">
        <f>IF(LANÇ_MOV[[#This Row],[DATA DE VENCIMENTO]]="","",TEXT(LANÇ_MOV[[#This Row],[DATA DE VENCIMENTO]],"M"))</f>
        <v>3</v>
      </c>
      <c r="AH122" s="526" t="str">
        <f>IF(LANÇ_MOV[[#This Row],[DATA DE VENCIMENTO]]="","",TEXT(LANÇ_MOV[[#This Row],[DATA DE VENCIMENTO]],"D"))</f>
        <v>30</v>
      </c>
      <c r="AI122" s="526" t="str">
        <f>IF(LANÇ_MOV[[#This Row],[DATA DE PAGAMENTO]]="","",TEXT(LANÇ_MOV[[#This Row],[DATA DE PAGAMENTO]],"AAAA"))</f>
        <v/>
      </c>
      <c r="AJ122" s="527" t="str">
        <f>IF(LANÇ_MOV[[#This Row],[DATA DE PAGAMENTO]]="","",UPPER(TEXT(LANÇ_MOV[[#This Row],[DATA DE PAGAMENTO]],"MMMM")))</f>
        <v/>
      </c>
      <c r="AK122" s="527" t="str">
        <f>IF(LANÇ_MOV[[#This Row],[DATA DE PAGAMENTO]]="","",TEXT(LANÇ_MOV[[#This Row],[DATA DE PAGAMENTO]],"M"))</f>
        <v/>
      </c>
      <c r="AL122" s="526" t="str">
        <f>IF(LANÇ_MOV[[#This Row],[DATA DE PAGAMENTO]]="","",TEXT(LANÇ_MOV[[#This Row],[DATA DE PAGAMENTO]],"D"))</f>
        <v/>
      </c>
      <c r="AM122" s="210"/>
      <c r="BC122" s="112"/>
      <c r="BD122" s="112"/>
    </row>
    <row r="123" spans="1:56" ht="30.05" customHeight="1" x14ac:dyDescent="0.35">
      <c r="B123" s="515">
        <v>45931</v>
      </c>
      <c r="C123" s="507" t="s">
        <v>1661</v>
      </c>
      <c r="D123" s="508" t="s">
        <v>1854</v>
      </c>
      <c r="E123" s="509" t="s">
        <v>1144</v>
      </c>
      <c r="F123" s="510" t="s">
        <v>1530</v>
      </c>
      <c r="G123" s="507"/>
      <c r="H123" s="511"/>
      <c r="I123" s="512" t="s">
        <v>1764</v>
      </c>
      <c r="J123" s="510">
        <v>707.87</v>
      </c>
      <c r="K123" s="513">
        <v>0</v>
      </c>
      <c r="L123" s="513">
        <v>0</v>
      </c>
      <c r="M123" s="513">
        <v>0</v>
      </c>
      <c r="N123" s="514">
        <f>LANÇ_MOV[[#This Row],[VALOR BRUTO]]-LANÇ_MOV[[#This Row],[DESCONTO]]+LANÇ_MOV[[#This Row],[JUROS]]+LANÇ_MOV[[#This Row],[MULTA]]</f>
        <v>707.87</v>
      </c>
      <c r="O123" s="528">
        <v>46142</v>
      </c>
      <c r="P123" s="516" t="str">
        <f t="shared" ca="1" si="1"/>
        <v>Prazo - Mais de 1 mês</v>
      </c>
      <c r="Q123" s="528"/>
      <c r="R123" s="518" t="s">
        <v>1506</v>
      </c>
      <c r="S123" s="531"/>
      <c r="T123" s="518" t="s">
        <v>1776</v>
      </c>
      <c r="U123" s="519" t="s">
        <v>2008</v>
      </c>
      <c r="V123" s="520" t="str">
        <f>IFERROR(VLOOKUP(LANÇ_MOV[[#This Row],[PLANO DE CONTAS]],Plano_Contas[[PLANO DE CONTAS]:[R / D]],3,0),"")</f>
        <v>Despesa</v>
      </c>
      <c r="W123" s="521" t="str">
        <f>IF(LANÇ_MOV[[#This Row],[DATA DE PAGAMENTO]]&lt;&gt;"","Pago","Não Pago")</f>
        <v>Não Pago</v>
      </c>
      <c r="X123" s="522" t="str">
        <f>IFERROR(IF(LANÇ_MOV[[#This Row],[DATA DE PAGAMENTO]]="","",(UPPER(TEXT(LANÇ_MOV[[#This Row],[DATA DE PAGAMENTO]],"mmmm")))),"")</f>
        <v/>
      </c>
      <c r="Y123" s="523" t="str">
        <f>IFERROR(VLOOKUP(LANÇ_MOV[[#This Row],[PLANO DE CONTAS]],Plano_Contas[[PLANO DE CONTAS]:[NOMES INTERVALOS]],2,0),"")</f>
        <v>Despesas_Administrativas</v>
      </c>
      <c r="Z123" s="523" t="str">
        <f>IF(LANÇ_MOV[[#This Row],[FORMA DE PAGAMENTO]]="","",VLOOKUP(LANÇ_MOV[[#This Row],[FORMA DE PAGAMENTO]],CAD_Forma_pagto[],2,0))</f>
        <v>BOLETO</v>
      </c>
      <c r="AA123" s="524" t="str">
        <f>IF(LANÇ_MOV[[#This Row],[DATA DE LANÇAMENTO]]="","",TEXT(LANÇ_MOV[[#This Row],[DATA DE LANÇAMENTO]],"AAAA"))</f>
        <v>2025</v>
      </c>
      <c r="AB123" s="524" t="str">
        <f>IF(LANÇ_MOV[[#This Row],[DATA DE LANÇAMENTO]]="","",UPPER(TEXT(LANÇ_MOV[[#This Row],[DATA DE LANÇAMENTO]],"MMMM")))</f>
        <v>OUTUBRO</v>
      </c>
      <c r="AC123" s="525" t="str">
        <f>IF(LANÇ_MOV[[#This Row],[DATA DE LANÇAMENTO]]="","",PROPER(TEXT(LANÇ_MOV[[#This Row],[DATA DE LANÇAMENTO]],"M")))</f>
        <v>10</v>
      </c>
      <c r="AD123" s="524" t="str">
        <f>IF(LANÇ_MOV[[#This Row],[DATA DE LANÇAMENTO]]="","",TEXT(LANÇ_MOV[[#This Row],[DATA DE LANÇAMENTO]],"D"))</f>
        <v>1</v>
      </c>
      <c r="AE123" s="526" t="str">
        <f>IF(LANÇ_MOV[[#This Row],[DATA DE VENCIMENTO]]="","",TEXT(LANÇ_MOV[[#This Row],[DATA DE VENCIMENTO]],"AAAA"))</f>
        <v>2026</v>
      </c>
      <c r="AF123" s="526" t="str">
        <f>IF(LANÇ_MOV[[#This Row],[DATA DE VENCIMENTO]]="","",UPPER(TEXT(LANÇ_MOV[[#This Row],[DATA DE VENCIMENTO]],"MMMM")))</f>
        <v>ABRIL</v>
      </c>
      <c r="AG123" s="526" t="str">
        <f>IF(LANÇ_MOV[[#This Row],[DATA DE VENCIMENTO]]="","",TEXT(LANÇ_MOV[[#This Row],[DATA DE VENCIMENTO]],"M"))</f>
        <v>4</v>
      </c>
      <c r="AH123" s="526" t="str">
        <f>IF(LANÇ_MOV[[#This Row],[DATA DE VENCIMENTO]]="","",TEXT(LANÇ_MOV[[#This Row],[DATA DE VENCIMENTO]],"D"))</f>
        <v>30</v>
      </c>
      <c r="AI123" s="526" t="str">
        <f>IF(LANÇ_MOV[[#This Row],[DATA DE PAGAMENTO]]="","",TEXT(LANÇ_MOV[[#This Row],[DATA DE PAGAMENTO]],"AAAA"))</f>
        <v/>
      </c>
      <c r="AJ123" s="527" t="str">
        <f>IF(LANÇ_MOV[[#This Row],[DATA DE PAGAMENTO]]="","",UPPER(TEXT(LANÇ_MOV[[#This Row],[DATA DE PAGAMENTO]],"MMMM")))</f>
        <v/>
      </c>
      <c r="AK123" s="527" t="str">
        <f>IF(LANÇ_MOV[[#This Row],[DATA DE PAGAMENTO]]="","",TEXT(LANÇ_MOV[[#This Row],[DATA DE PAGAMENTO]],"M"))</f>
        <v/>
      </c>
      <c r="AL123" s="526" t="str">
        <f>IF(LANÇ_MOV[[#This Row],[DATA DE PAGAMENTO]]="","",TEXT(LANÇ_MOV[[#This Row],[DATA DE PAGAMENTO]],"D"))</f>
        <v/>
      </c>
      <c r="AM123" s="210"/>
      <c r="BC123" s="112"/>
      <c r="BD123" s="112"/>
    </row>
    <row r="124" spans="1:56" ht="30.05" customHeight="1" x14ac:dyDescent="0.35">
      <c r="B124" s="517">
        <v>45931</v>
      </c>
      <c r="C124" s="507" t="s">
        <v>1661</v>
      </c>
      <c r="D124" s="508" t="s">
        <v>1854</v>
      </c>
      <c r="E124" s="509" t="s">
        <v>1144</v>
      </c>
      <c r="F124" s="510" t="s">
        <v>1530</v>
      </c>
      <c r="G124" s="507"/>
      <c r="H124" s="511"/>
      <c r="I124" s="512" t="s">
        <v>1764</v>
      </c>
      <c r="J124" s="510">
        <v>707.87</v>
      </c>
      <c r="K124" s="513">
        <v>0</v>
      </c>
      <c r="L124" s="513">
        <v>0</v>
      </c>
      <c r="M124" s="513">
        <v>0</v>
      </c>
      <c r="N124" s="514">
        <f>LANÇ_MOV[[#This Row],[VALOR BRUTO]]-LANÇ_MOV[[#This Row],[DESCONTO]]+LANÇ_MOV[[#This Row],[JUROS]]+LANÇ_MOV[[#This Row],[MULTA]]</f>
        <v>707.87</v>
      </c>
      <c r="O124" s="528">
        <v>46172</v>
      </c>
      <c r="P124" s="516" t="str">
        <f t="shared" ca="1" si="1"/>
        <v>Prazo - Mais de 1 mês</v>
      </c>
      <c r="Q124" s="530"/>
      <c r="R124" s="529" t="s">
        <v>1506</v>
      </c>
      <c r="S124" s="531"/>
      <c r="T124" s="518" t="s">
        <v>1776</v>
      </c>
      <c r="U124" s="519" t="s">
        <v>2008</v>
      </c>
      <c r="V124" s="520" t="str">
        <f>IFERROR(VLOOKUP(LANÇ_MOV[[#This Row],[PLANO DE CONTAS]],Plano_Contas[[PLANO DE CONTAS]:[R / D]],3,0),"")</f>
        <v>Despesa</v>
      </c>
      <c r="W124" s="521" t="str">
        <f>IF(LANÇ_MOV[[#This Row],[DATA DE PAGAMENTO]]&lt;&gt;"","Pago","Não Pago")</f>
        <v>Não Pago</v>
      </c>
      <c r="X124" s="522" t="str">
        <f>IFERROR(IF(LANÇ_MOV[[#This Row],[DATA DE PAGAMENTO]]="","",(UPPER(TEXT(LANÇ_MOV[[#This Row],[DATA DE PAGAMENTO]],"mmmm")))),"")</f>
        <v/>
      </c>
      <c r="Y124" s="523" t="str">
        <f>IFERROR(VLOOKUP(LANÇ_MOV[[#This Row],[PLANO DE CONTAS]],Plano_Contas[[PLANO DE CONTAS]:[NOMES INTERVALOS]],2,0),"")</f>
        <v>Despesas_Administrativas</v>
      </c>
      <c r="Z124" s="523" t="str">
        <f>IF(LANÇ_MOV[[#This Row],[FORMA DE PAGAMENTO]]="","",VLOOKUP(LANÇ_MOV[[#This Row],[FORMA DE PAGAMENTO]],CAD_Forma_pagto[],2,0))</f>
        <v>BOLETO</v>
      </c>
      <c r="AA124" s="524" t="str">
        <f>IF(LANÇ_MOV[[#This Row],[DATA DE LANÇAMENTO]]="","",TEXT(LANÇ_MOV[[#This Row],[DATA DE LANÇAMENTO]],"AAAA"))</f>
        <v>2025</v>
      </c>
      <c r="AB124" s="524" t="str">
        <f>IF(LANÇ_MOV[[#This Row],[DATA DE LANÇAMENTO]]="","",UPPER(TEXT(LANÇ_MOV[[#This Row],[DATA DE LANÇAMENTO]],"MMMM")))</f>
        <v>OUTUBRO</v>
      </c>
      <c r="AC124" s="525" t="str">
        <f>IF(LANÇ_MOV[[#This Row],[DATA DE LANÇAMENTO]]="","",PROPER(TEXT(LANÇ_MOV[[#This Row],[DATA DE LANÇAMENTO]],"M")))</f>
        <v>10</v>
      </c>
      <c r="AD124" s="524" t="str">
        <f>IF(LANÇ_MOV[[#This Row],[DATA DE LANÇAMENTO]]="","",TEXT(LANÇ_MOV[[#This Row],[DATA DE LANÇAMENTO]],"D"))</f>
        <v>1</v>
      </c>
      <c r="AE124" s="526" t="str">
        <f>IF(LANÇ_MOV[[#This Row],[DATA DE VENCIMENTO]]="","",TEXT(LANÇ_MOV[[#This Row],[DATA DE VENCIMENTO]],"AAAA"))</f>
        <v>2026</v>
      </c>
      <c r="AF124" s="526" t="str">
        <f>IF(LANÇ_MOV[[#This Row],[DATA DE VENCIMENTO]]="","",UPPER(TEXT(LANÇ_MOV[[#This Row],[DATA DE VENCIMENTO]],"MMMM")))</f>
        <v>MAIO</v>
      </c>
      <c r="AG124" s="526" t="str">
        <f>IF(LANÇ_MOV[[#This Row],[DATA DE VENCIMENTO]]="","",TEXT(LANÇ_MOV[[#This Row],[DATA DE VENCIMENTO]],"M"))</f>
        <v>5</v>
      </c>
      <c r="AH124" s="526" t="str">
        <f>IF(LANÇ_MOV[[#This Row],[DATA DE VENCIMENTO]]="","",TEXT(LANÇ_MOV[[#This Row],[DATA DE VENCIMENTO]],"D"))</f>
        <v>30</v>
      </c>
      <c r="AI124" s="526" t="str">
        <f>IF(LANÇ_MOV[[#This Row],[DATA DE PAGAMENTO]]="","",TEXT(LANÇ_MOV[[#This Row],[DATA DE PAGAMENTO]],"AAAA"))</f>
        <v/>
      </c>
      <c r="AJ124" s="527" t="str">
        <f>IF(LANÇ_MOV[[#This Row],[DATA DE PAGAMENTO]]="","",UPPER(TEXT(LANÇ_MOV[[#This Row],[DATA DE PAGAMENTO]],"MMMM")))</f>
        <v/>
      </c>
      <c r="AK124" s="527" t="str">
        <f>IF(LANÇ_MOV[[#This Row],[DATA DE PAGAMENTO]]="","",TEXT(LANÇ_MOV[[#This Row],[DATA DE PAGAMENTO]],"M"))</f>
        <v/>
      </c>
      <c r="AL124" s="526" t="str">
        <f>IF(LANÇ_MOV[[#This Row],[DATA DE PAGAMENTO]]="","",TEXT(LANÇ_MOV[[#This Row],[DATA DE PAGAMENTO]],"D"))</f>
        <v/>
      </c>
      <c r="AM124" s="210"/>
      <c r="BC124" s="112"/>
      <c r="BD124" s="112"/>
    </row>
    <row r="125" spans="1:56" ht="30.05" customHeight="1" x14ac:dyDescent="0.35">
      <c r="B125" s="517">
        <v>45931</v>
      </c>
      <c r="C125" s="535" t="s">
        <v>1661</v>
      </c>
      <c r="D125" s="508" t="s">
        <v>1854</v>
      </c>
      <c r="E125" s="509" t="s">
        <v>1144</v>
      </c>
      <c r="F125" s="510" t="s">
        <v>1530</v>
      </c>
      <c r="G125" s="507"/>
      <c r="H125" s="511"/>
      <c r="I125" s="512" t="s">
        <v>1764</v>
      </c>
      <c r="J125" s="510">
        <v>707.87</v>
      </c>
      <c r="K125" s="513">
        <v>0</v>
      </c>
      <c r="L125" s="513">
        <v>0</v>
      </c>
      <c r="M125" s="513">
        <v>0</v>
      </c>
      <c r="N125" s="514">
        <f>LANÇ_MOV[[#This Row],[VALOR BRUTO]]-LANÇ_MOV[[#This Row],[DESCONTO]]+LANÇ_MOV[[#This Row],[JUROS]]+LANÇ_MOV[[#This Row],[MULTA]]</f>
        <v>707.87</v>
      </c>
      <c r="O125" s="528">
        <v>46203</v>
      </c>
      <c r="P125" s="516" t="str">
        <f t="shared" ca="1" si="1"/>
        <v>Prazo - Mais de 1 mês</v>
      </c>
      <c r="Q125" s="530"/>
      <c r="R125" s="529" t="s">
        <v>1506</v>
      </c>
      <c r="S125" s="531"/>
      <c r="T125" s="518" t="s">
        <v>1776</v>
      </c>
      <c r="U125" s="519" t="s">
        <v>2008</v>
      </c>
      <c r="V125" s="520" t="str">
        <f>IFERROR(VLOOKUP(LANÇ_MOV[[#This Row],[PLANO DE CONTAS]],Plano_Contas[[PLANO DE CONTAS]:[R / D]],3,0),"")</f>
        <v>Despesa</v>
      </c>
      <c r="W125" s="521" t="str">
        <f>IF(LANÇ_MOV[[#This Row],[DATA DE PAGAMENTO]]&lt;&gt;"","Pago","Não Pago")</f>
        <v>Não Pago</v>
      </c>
      <c r="X125" s="522" t="str">
        <f>IFERROR(IF(LANÇ_MOV[[#This Row],[DATA DE PAGAMENTO]]="","",(UPPER(TEXT(LANÇ_MOV[[#This Row],[DATA DE PAGAMENTO]],"mmmm")))),"")</f>
        <v/>
      </c>
      <c r="Y125" s="523" t="str">
        <f>IFERROR(VLOOKUP(LANÇ_MOV[[#This Row],[PLANO DE CONTAS]],Plano_Contas[[PLANO DE CONTAS]:[NOMES INTERVALOS]],2,0),"")</f>
        <v>Despesas_Administrativas</v>
      </c>
      <c r="Z125" s="523" t="str">
        <f>IF(LANÇ_MOV[[#This Row],[FORMA DE PAGAMENTO]]="","",VLOOKUP(LANÇ_MOV[[#This Row],[FORMA DE PAGAMENTO]],CAD_Forma_pagto[],2,0))</f>
        <v>BOLETO</v>
      </c>
      <c r="AA125" s="524" t="str">
        <f>IF(LANÇ_MOV[[#This Row],[DATA DE LANÇAMENTO]]="","",TEXT(LANÇ_MOV[[#This Row],[DATA DE LANÇAMENTO]],"AAAA"))</f>
        <v>2025</v>
      </c>
      <c r="AB125" s="524" t="str">
        <f>IF(LANÇ_MOV[[#This Row],[DATA DE LANÇAMENTO]]="","",UPPER(TEXT(LANÇ_MOV[[#This Row],[DATA DE LANÇAMENTO]],"MMMM")))</f>
        <v>OUTUBRO</v>
      </c>
      <c r="AC125" s="525" t="str">
        <f>IF(LANÇ_MOV[[#This Row],[DATA DE LANÇAMENTO]]="","",PROPER(TEXT(LANÇ_MOV[[#This Row],[DATA DE LANÇAMENTO]],"M")))</f>
        <v>10</v>
      </c>
      <c r="AD125" s="524" t="str">
        <f>IF(LANÇ_MOV[[#This Row],[DATA DE LANÇAMENTO]]="","",TEXT(LANÇ_MOV[[#This Row],[DATA DE LANÇAMENTO]],"D"))</f>
        <v>1</v>
      </c>
      <c r="AE125" s="526" t="str">
        <f>IF(LANÇ_MOV[[#This Row],[DATA DE VENCIMENTO]]="","",TEXT(LANÇ_MOV[[#This Row],[DATA DE VENCIMENTO]],"AAAA"))</f>
        <v>2026</v>
      </c>
      <c r="AF125" s="526" t="str">
        <f>IF(LANÇ_MOV[[#This Row],[DATA DE VENCIMENTO]]="","",UPPER(TEXT(LANÇ_MOV[[#This Row],[DATA DE VENCIMENTO]],"MMMM")))</f>
        <v>JUNHO</v>
      </c>
      <c r="AG125" s="526" t="str">
        <f>IF(LANÇ_MOV[[#This Row],[DATA DE VENCIMENTO]]="","",TEXT(LANÇ_MOV[[#This Row],[DATA DE VENCIMENTO]],"M"))</f>
        <v>6</v>
      </c>
      <c r="AH125" s="526" t="str">
        <f>IF(LANÇ_MOV[[#This Row],[DATA DE VENCIMENTO]]="","",TEXT(LANÇ_MOV[[#This Row],[DATA DE VENCIMENTO]],"D"))</f>
        <v>30</v>
      </c>
      <c r="AI125" s="526" t="str">
        <f>IF(LANÇ_MOV[[#This Row],[DATA DE PAGAMENTO]]="","",TEXT(LANÇ_MOV[[#This Row],[DATA DE PAGAMENTO]],"AAAA"))</f>
        <v/>
      </c>
      <c r="AJ125" s="527" t="str">
        <f>IF(LANÇ_MOV[[#This Row],[DATA DE PAGAMENTO]]="","",UPPER(TEXT(LANÇ_MOV[[#This Row],[DATA DE PAGAMENTO]],"MMMM")))</f>
        <v/>
      </c>
      <c r="AK125" s="527" t="str">
        <f>IF(LANÇ_MOV[[#This Row],[DATA DE PAGAMENTO]]="","",TEXT(LANÇ_MOV[[#This Row],[DATA DE PAGAMENTO]],"M"))</f>
        <v/>
      </c>
      <c r="AL125" s="526" t="str">
        <f>IF(LANÇ_MOV[[#This Row],[DATA DE PAGAMENTO]]="","",TEXT(LANÇ_MOV[[#This Row],[DATA DE PAGAMENTO]],"D"))</f>
        <v/>
      </c>
      <c r="AM125" s="210"/>
      <c r="BC125" s="112"/>
      <c r="BD125" s="112"/>
    </row>
    <row r="126" spans="1:56" ht="30.05" customHeight="1" x14ac:dyDescent="0.35">
      <c r="B126" s="517">
        <v>45931</v>
      </c>
      <c r="C126" s="535" t="s">
        <v>1661</v>
      </c>
      <c r="D126" s="508" t="s">
        <v>1854</v>
      </c>
      <c r="E126" s="509" t="s">
        <v>1144</v>
      </c>
      <c r="F126" s="510" t="s">
        <v>1530</v>
      </c>
      <c r="G126" s="507"/>
      <c r="H126" s="511"/>
      <c r="I126" s="512" t="s">
        <v>1764</v>
      </c>
      <c r="J126" s="510">
        <v>707.87</v>
      </c>
      <c r="K126" s="513">
        <v>0</v>
      </c>
      <c r="L126" s="513">
        <v>0</v>
      </c>
      <c r="M126" s="513">
        <v>0</v>
      </c>
      <c r="N126" s="514">
        <f>LANÇ_MOV[[#This Row],[VALOR BRUTO]]-LANÇ_MOV[[#This Row],[DESCONTO]]+LANÇ_MOV[[#This Row],[JUROS]]+LANÇ_MOV[[#This Row],[MULTA]]</f>
        <v>707.87</v>
      </c>
      <c r="O126" s="528">
        <v>46233</v>
      </c>
      <c r="P126" s="516" t="str">
        <f t="shared" ca="1" si="1"/>
        <v>Prazo - Mais de 1 mês</v>
      </c>
      <c r="Q126" s="530"/>
      <c r="R126" s="529" t="s">
        <v>1506</v>
      </c>
      <c r="S126" s="531"/>
      <c r="T126" s="518" t="s">
        <v>1776</v>
      </c>
      <c r="U126" s="519" t="s">
        <v>2008</v>
      </c>
      <c r="V126" s="520" t="str">
        <f>IFERROR(VLOOKUP(LANÇ_MOV[[#This Row],[PLANO DE CONTAS]],Plano_Contas[[PLANO DE CONTAS]:[R / D]],3,0),"")</f>
        <v>Despesa</v>
      </c>
      <c r="W126" s="521" t="str">
        <f>IF(LANÇ_MOV[[#This Row],[DATA DE PAGAMENTO]]&lt;&gt;"","Pago","Não Pago")</f>
        <v>Não Pago</v>
      </c>
      <c r="X126" s="522" t="str">
        <f>IFERROR(IF(LANÇ_MOV[[#This Row],[DATA DE PAGAMENTO]]="","",(UPPER(TEXT(LANÇ_MOV[[#This Row],[DATA DE PAGAMENTO]],"mmmm")))),"")</f>
        <v/>
      </c>
      <c r="Y126" s="523" t="str">
        <f>IFERROR(VLOOKUP(LANÇ_MOV[[#This Row],[PLANO DE CONTAS]],Plano_Contas[[PLANO DE CONTAS]:[NOMES INTERVALOS]],2,0),"")</f>
        <v>Despesas_Administrativas</v>
      </c>
      <c r="Z126" s="523" t="str">
        <f>IF(LANÇ_MOV[[#This Row],[FORMA DE PAGAMENTO]]="","",VLOOKUP(LANÇ_MOV[[#This Row],[FORMA DE PAGAMENTO]],CAD_Forma_pagto[],2,0))</f>
        <v>BOLETO</v>
      </c>
      <c r="AA126" s="524" t="str">
        <f>IF(LANÇ_MOV[[#This Row],[DATA DE LANÇAMENTO]]="","",TEXT(LANÇ_MOV[[#This Row],[DATA DE LANÇAMENTO]],"AAAA"))</f>
        <v>2025</v>
      </c>
      <c r="AB126" s="524" t="str">
        <f>IF(LANÇ_MOV[[#This Row],[DATA DE LANÇAMENTO]]="","",UPPER(TEXT(LANÇ_MOV[[#This Row],[DATA DE LANÇAMENTO]],"MMMM")))</f>
        <v>OUTUBRO</v>
      </c>
      <c r="AC126" s="525" t="str">
        <f>IF(LANÇ_MOV[[#This Row],[DATA DE LANÇAMENTO]]="","",PROPER(TEXT(LANÇ_MOV[[#This Row],[DATA DE LANÇAMENTO]],"M")))</f>
        <v>10</v>
      </c>
      <c r="AD126" s="524" t="str">
        <f>IF(LANÇ_MOV[[#This Row],[DATA DE LANÇAMENTO]]="","",TEXT(LANÇ_MOV[[#This Row],[DATA DE LANÇAMENTO]],"D"))</f>
        <v>1</v>
      </c>
      <c r="AE126" s="526" t="str">
        <f>IF(LANÇ_MOV[[#This Row],[DATA DE VENCIMENTO]]="","",TEXT(LANÇ_MOV[[#This Row],[DATA DE VENCIMENTO]],"AAAA"))</f>
        <v>2026</v>
      </c>
      <c r="AF126" s="526" t="str">
        <f>IF(LANÇ_MOV[[#This Row],[DATA DE VENCIMENTO]]="","",UPPER(TEXT(LANÇ_MOV[[#This Row],[DATA DE VENCIMENTO]],"MMMM")))</f>
        <v>JULHO</v>
      </c>
      <c r="AG126" s="526" t="str">
        <f>IF(LANÇ_MOV[[#This Row],[DATA DE VENCIMENTO]]="","",TEXT(LANÇ_MOV[[#This Row],[DATA DE VENCIMENTO]],"M"))</f>
        <v>7</v>
      </c>
      <c r="AH126" s="526" t="str">
        <f>IF(LANÇ_MOV[[#This Row],[DATA DE VENCIMENTO]]="","",TEXT(LANÇ_MOV[[#This Row],[DATA DE VENCIMENTO]],"D"))</f>
        <v>30</v>
      </c>
      <c r="AI126" s="526" t="str">
        <f>IF(LANÇ_MOV[[#This Row],[DATA DE PAGAMENTO]]="","",TEXT(LANÇ_MOV[[#This Row],[DATA DE PAGAMENTO]],"AAAA"))</f>
        <v/>
      </c>
      <c r="AJ126" s="527" t="str">
        <f>IF(LANÇ_MOV[[#This Row],[DATA DE PAGAMENTO]]="","",UPPER(TEXT(LANÇ_MOV[[#This Row],[DATA DE PAGAMENTO]],"MMMM")))</f>
        <v/>
      </c>
      <c r="AK126" s="527" t="str">
        <f>IF(LANÇ_MOV[[#This Row],[DATA DE PAGAMENTO]]="","",TEXT(LANÇ_MOV[[#This Row],[DATA DE PAGAMENTO]],"M"))</f>
        <v/>
      </c>
      <c r="AL126" s="526" t="str">
        <f>IF(LANÇ_MOV[[#This Row],[DATA DE PAGAMENTO]]="","",TEXT(LANÇ_MOV[[#This Row],[DATA DE PAGAMENTO]],"D"))</f>
        <v/>
      </c>
      <c r="AM126" s="210"/>
      <c r="BC126" s="112"/>
      <c r="BD126" s="112"/>
    </row>
    <row r="127" spans="1:56" ht="30.05" customHeight="1" x14ac:dyDescent="0.35">
      <c r="B127" s="517">
        <v>45931</v>
      </c>
      <c r="C127" s="535" t="s">
        <v>1661</v>
      </c>
      <c r="D127" s="508" t="s">
        <v>1854</v>
      </c>
      <c r="E127" s="509" t="s">
        <v>1144</v>
      </c>
      <c r="F127" s="510" t="s">
        <v>1530</v>
      </c>
      <c r="G127" s="507"/>
      <c r="H127" s="511"/>
      <c r="I127" s="512" t="s">
        <v>1764</v>
      </c>
      <c r="J127" s="510">
        <v>707.87</v>
      </c>
      <c r="K127" s="513">
        <v>0</v>
      </c>
      <c r="L127" s="513">
        <v>0</v>
      </c>
      <c r="M127" s="513">
        <v>0</v>
      </c>
      <c r="N127" s="514">
        <f>LANÇ_MOV[[#This Row],[VALOR BRUTO]]-LANÇ_MOV[[#This Row],[DESCONTO]]+LANÇ_MOV[[#This Row],[JUROS]]+LANÇ_MOV[[#This Row],[MULTA]]</f>
        <v>707.87</v>
      </c>
      <c r="O127" s="528">
        <v>46264</v>
      </c>
      <c r="P127" s="516" t="str">
        <f t="shared" ca="1" si="1"/>
        <v>Prazo - Mais de 1 mês</v>
      </c>
      <c r="Q127" s="530"/>
      <c r="R127" s="529" t="s">
        <v>1506</v>
      </c>
      <c r="S127" s="531"/>
      <c r="T127" s="518" t="s">
        <v>1776</v>
      </c>
      <c r="U127" s="519" t="s">
        <v>2008</v>
      </c>
      <c r="V127" s="520" t="str">
        <f>IFERROR(VLOOKUP(LANÇ_MOV[[#This Row],[PLANO DE CONTAS]],Plano_Contas[[PLANO DE CONTAS]:[R / D]],3,0),"")</f>
        <v>Despesa</v>
      </c>
      <c r="W127" s="521" t="str">
        <f>IF(LANÇ_MOV[[#This Row],[DATA DE PAGAMENTO]]&lt;&gt;"","Pago","Não Pago")</f>
        <v>Não Pago</v>
      </c>
      <c r="X127" s="522" t="str">
        <f>IFERROR(IF(LANÇ_MOV[[#This Row],[DATA DE PAGAMENTO]]="","",(UPPER(TEXT(LANÇ_MOV[[#This Row],[DATA DE PAGAMENTO]],"mmmm")))),"")</f>
        <v/>
      </c>
      <c r="Y127" s="523" t="str">
        <f>IFERROR(VLOOKUP(LANÇ_MOV[[#This Row],[PLANO DE CONTAS]],Plano_Contas[[PLANO DE CONTAS]:[NOMES INTERVALOS]],2,0),"")</f>
        <v>Despesas_Administrativas</v>
      </c>
      <c r="Z127" s="523" t="str">
        <f>IF(LANÇ_MOV[[#This Row],[FORMA DE PAGAMENTO]]="","",VLOOKUP(LANÇ_MOV[[#This Row],[FORMA DE PAGAMENTO]],CAD_Forma_pagto[],2,0))</f>
        <v>BOLETO</v>
      </c>
      <c r="AA127" s="524" t="str">
        <f>IF(LANÇ_MOV[[#This Row],[DATA DE LANÇAMENTO]]="","",TEXT(LANÇ_MOV[[#This Row],[DATA DE LANÇAMENTO]],"AAAA"))</f>
        <v>2025</v>
      </c>
      <c r="AB127" s="524" t="str">
        <f>IF(LANÇ_MOV[[#This Row],[DATA DE LANÇAMENTO]]="","",UPPER(TEXT(LANÇ_MOV[[#This Row],[DATA DE LANÇAMENTO]],"MMMM")))</f>
        <v>OUTUBRO</v>
      </c>
      <c r="AC127" s="525" t="str">
        <f>IF(LANÇ_MOV[[#This Row],[DATA DE LANÇAMENTO]]="","",PROPER(TEXT(LANÇ_MOV[[#This Row],[DATA DE LANÇAMENTO]],"M")))</f>
        <v>10</v>
      </c>
      <c r="AD127" s="524" t="str">
        <f>IF(LANÇ_MOV[[#This Row],[DATA DE LANÇAMENTO]]="","",TEXT(LANÇ_MOV[[#This Row],[DATA DE LANÇAMENTO]],"D"))</f>
        <v>1</v>
      </c>
      <c r="AE127" s="526" t="str">
        <f>IF(LANÇ_MOV[[#This Row],[DATA DE VENCIMENTO]]="","",TEXT(LANÇ_MOV[[#This Row],[DATA DE VENCIMENTO]],"AAAA"))</f>
        <v>2026</v>
      </c>
      <c r="AF127" s="526" t="str">
        <f>IF(LANÇ_MOV[[#This Row],[DATA DE VENCIMENTO]]="","",UPPER(TEXT(LANÇ_MOV[[#This Row],[DATA DE VENCIMENTO]],"MMMM")))</f>
        <v>AGOSTO</v>
      </c>
      <c r="AG127" s="526" t="str">
        <f>IF(LANÇ_MOV[[#This Row],[DATA DE VENCIMENTO]]="","",TEXT(LANÇ_MOV[[#This Row],[DATA DE VENCIMENTO]],"M"))</f>
        <v>8</v>
      </c>
      <c r="AH127" s="526" t="str">
        <f>IF(LANÇ_MOV[[#This Row],[DATA DE VENCIMENTO]]="","",TEXT(LANÇ_MOV[[#This Row],[DATA DE VENCIMENTO]],"D"))</f>
        <v>30</v>
      </c>
      <c r="AI127" s="526" t="str">
        <f>IF(LANÇ_MOV[[#This Row],[DATA DE PAGAMENTO]]="","",TEXT(LANÇ_MOV[[#This Row],[DATA DE PAGAMENTO]],"AAAA"))</f>
        <v/>
      </c>
      <c r="AJ127" s="527" t="str">
        <f>IF(LANÇ_MOV[[#This Row],[DATA DE PAGAMENTO]]="","",UPPER(TEXT(LANÇ_MOV[[#This Row],[DATA DE PAGAMENTO]],"MMMM")))</f>
        <v/>
      </c>
      <c r="AK127" s="527" t="str">
        <f>IF(LANÇ_MOV[[#This Row],[DATA DE PAGAMENTO]]="","",TEXT(LANÇ_MOV[[#This Row],[DATA DE PAGAMENTO]],"M"))</f>
        <v/>
      </c>
      <c r="AL127" s="526" t="str">
        <f>IF(LANÇ_MOV[[#This Row],[DATA DE PAGAMENTO]]="","",TEXT(LANÇ_MOV[[#This Row],[DATA DE PAGAMENTO]],"D"))</f>
        <v/>
      </c>
      <c r="AM127" s="210"/>
      <c r="BC127" s="112"/>
      <c r="BD127" s="112"/>
    </row>
    <row r="128" spans="1:56" ht="30.05" customHeight="1" x14ac:dyDescent="0.35">
      <c r="B128" s="517">
        <v>45931</v>
      </c>
      <c r="C128" s="535" t="s">
        <v>1661</v>
      </c>
      <c r="D128" s="508" t="s">
        <v>1854</v>
      </c>
      <c r="E128" s="509" t="s">
        <v>1144</v>
      </c>
      <c r="F128" s="510" t="s">
        <v>1530</v>
      </c>
      <c r="G128" s="507"/>
      <c r="H128" s="511"/>
      <c r="I128" s="512" t="s">
        <v>1764</v>
      </c>
      <c r="J128" s="510">
        <v>707.87</v>
      </c>
      <c r="K128" s="513">
        <v>0</v>
      </c>
      <c r="L128" s="513">
        <v>0</v>
      </c>
      <c r="M128" s="513">
        <v>0</v>
      </c>
      <c r="N128" s="514">
        <f>LANÇ_MOV[[#This Row],[VALOR BRUTO]]-LANÇ_MOV[[#This Row],[DESCONTO]]+LANÇ_MOV[[#This Row],[JUROS]]+LANÇ_MOV[[#This Row],[MULTA]]</f>
        <v>707.87</v>
      </c>
      <c r="O128" s="528">
        <v>46295</v>
      </c>
      <c r="P128" s="516" t="str">
        <f t="shared" ca="1" si="1"/>
        <v>Prazo - Mais de 1 mês</v>
      </c>
      <c r="Q128" s="530"/>
      <c r="R128" s="529" t="s">
        <v>1506</v>
      </c>
      <c r="S128" s="518"/>
      <c r="T128" s="518" t="s">
        <v>1776</v>
      </c>
      <c r="U128" s="519" t="s">
        <v>2008</v>
      </c>
      <c r="V128" s="520" t="str">
        <f>IFERROR(VLOOKUP(LANÇ_MOV[[#This Row],[PLANO DE CONTAS]],Plano_Contas[[PLANO DE CONTAS]:[R / D]],3,0),"")</f>
        <v>Despesa</v>
      </c>
      <c r="W128" s="521" t="str">
        <f>IF(LANÇ_MOV[[#This Row],[DATA DE PAGAMENTO]]&lt;&gt;"","Pago","Não Pago")</f>
        <v>Não Pago</v>
      </c>
      <c r="X128" s="522" t="str">
        <f>IFERROR(IF(LANÇ_MOV[[#This Row],[DATA DE PAGAMENTO]]="","",(UPPER(TEXT(LANÇ_MOV[[#This Row],[DATA DE PAGAMENTO]],"mmmm")))),"")</f>
        <v/>
      </c>
      <c r="Y128" s="523" t="str">
        <f>IFERROR(VLOOKUP(LANÇ_MOV[[#This Row],[PLANO DE CONTAS]],Plano_Contas[[PLANO DE CONTAS]:[NOMES INTERVALOS]],2,0),"")</f>
        <v>Despesas_Administrativas</v>
      </c>
      <c r="Z128" s="523" t="str">
        <f>IF(LANÇ_MOV[[#This Row],[FORMA DE PAGAMENTO]]="","",VLOOKUP(LANÇ_MOV[[#This Row],[FORMA DE PAGAMENTO]],CAD_Forma_pagto[],2,0))</f>
        <v>BOLETO</v>
      </c>
      <c r="AA128" s="524" t="str">
        <f>IF(LANÇ_MOV[[#This Row],[DATA DE LANÇAMENTO]]="","",TEXT(LANÇ_MOV[[#This Row],[DATA DE LANÇAMENTO]],"AAAA"))</f>
        <v>2025</v>
      </c>
      <c r="AB128" s="524" t="str">
        <f>IF(LANÇ_MOV[[#This Row],[DATA DE LANÇAMENTO]]="","",UPPER(TEXT(LANÇ_MOV[[#This Row],[DATA DE LANÇAMENTO]],"MMMM")))</f>
        <v>OUTUBRO</v>
      </c>
      <c r="AC128" s="525" t="str">
        <f>IF(LANÇ_MOV[[#This Row],[DATA DE LANÇAMENTO]]="","",PROPER(TEXT(LANÇ_MOV[[#This Row],[DATA DE LANÇAMENTO]],"M")))</f>
        <v>10</v>
      </c>
      <c r="AD128" s="524" t="str">
        <f>IF(LANÇ_MOV[[#This Row],[DATA DE LANÇAMENTO]]="","",TEXT(LANÇ_MOV[[#This Row],[DATA DE LANÇAMENTO]],"D"))</f>
        <v>1</v>
      </c>
      <c r="AE128" s="526" t="str">
        <f>IF(LANÇ_MOV[[#This Row],[DATA DE VENCIMENTO]]="","",TEXT(LANÇ_MOV[[#This Row],[DATA DE VENCIMENTO]],"AAAA"))</f>
        <v>2026</v>
      </c>
      <c r="AF128" s="526" t="str">
        <f>IF(LANÇ_MOV[[#This Row],[DATA DE VENCIMENTO]]="","",UPPER(TEXT(LANÇ_MOV[[#This Row],[DATA DE VENCIMENTO]],"MMMM")))</f>
        <v>SETEMBRO</v>
      </c>
      <c r="AG128" s="526" t="str">
        <f>IF(LANÇ_MOV[[#This Row],[DATA DE VENCIMENTO]]="","",TEXT(LANÇ_MOV[[#This Row],[DATA DE VENCIMENTO]],"M"))</f>
        <v>9</v>
      </c>
      <c r="AH128" s="526" t="str">
        <f>IF(LANÇ_MOV[[#This Row],[DATA DE VENCIMENTO]]="","",TEXT(LANÇ_MOV[[#This Row],[DATA DE VENCIMENTO]],"D"))</f>
        <v>30</v>
      </c>
      <c r="AI128" s="526" t="str">
        <f>IF(LANÇ_MOV[[#This Row],[DATA DE PAGAMENTO]]="","",TEXT(LANÇ_MOV[[#This Row],[DATA DE PAGAMENTO]],"AAAA"))</f>
        <v/>
      </c>
      <c r="AJ128" s="527" t="str">
        <f>IF(LANÇ_MOV[[#This Row],[DATA DE PAGAMENTO]]="","",UPPER(TEXT(LANÇ_MOV[[#This Row],[DATA DE PAGAMENTO]],"MMMM")))</f>
        <v/>
      </c>
      <c r="AK128" s="527" t="str">
        <f>IF(LANÇ_MOV[[#This Row],[DATA DE PAGAMENTO]]="","",TEXT(LANÇ_MOV[[#This Row],[DATA DE PAGAMENTO]],"M"))</f>
        <v/>
      </c>
      <c r="AL128" s="526" t="str">
        <f>IF(LANÇ_MOV[[#This Row],[DATA DE PAGAMENTO]]="","",TEXT(LANÇ_MOV[[#This Row],[DATA DE PAGAMENTO]],"D"))</f>
        <v/>
      </c>
      <c r="AM128" s="210"/>
      <c r="BC128" s="112"/>
      <c r="BD128" s="112"/>
    </row>
    <row r="129" spans="2:56" ht="30.05" customHeight="1" x14ac:dyDescent="0.35">
      <c r="B129" s="517">
        <v>45931</v>
      </c>
      <c r="C129" s="535" t="s">
        <v>1661</v>
      </c>
      <c r="D129" s="508" t="s">
        <v>1854</v>
      </c>
      <c r="E129" s="509" t="s">
        <v>1144</v>
      </c>
      <c r="F129" s="510" t="s">
        <v>1530</v>
      </c>
      <c r="G129" s="507"/>
      <c r="H129" s="511"/>
      <c r="I129" s="512" t="s">
        <v>1764</v>
      </c>
      <c r="J129" s="510">
        <v>707.87</v>
      </c>
      <c r="K129" s="513">
        <v>0</v>
      </c>
      <c r="L129" s="513">
        <v>0</v>
      </c>
      <c r="M129" s="513">
        <v>0</v>
      </c>
      <c r="N129" s="514">
        <f>LANÇ_MOV[[#This Row],[VALOR BRUTO]]-LANÇ_MOV[[#This Row],[DESCONTO]]+LANÇ_MOV[[#This Row],[JUROS]]+LANÇ_MOV[[#This Row],[MULTA]]</f>
        <v>707.87</v>
      </c>
      <c r="O129" s="528">
        <v>46325</v>
      </c>
      <c r="P129" s="516" t="str">
        <f t="shared" ca="1" si="1"/>
        <v>Prazo - Mais de 1 mês</v>
      </c>
      <c r="Q129" s="530"/>
      <c r="R129" s="529" t="s">
        <v>1506</v>
      </c>
      <c r="S129" s="531"/>
      <c r="T129" s="518" t="s">
        <v>1776</v>
      </c>
      <c r="U129" s="519" t="s">
        <v>2008</v>
      </c>
      <c r="V129" s="520" t="str">
        <f>IFERROR(VLOOKUP(LANÇ_MOV[[#This Row],[PLANO DE CONTAS]],Plano_Contas[[PLANO DE CONTAS]:[R / D]],3,0),"")</f>
        <v>Despesa</v>
      </c>
      <c r="W129" s="521" t="str">
        <f>IF(LANÇ_MOV[[#This Row],[DATA DE PAGAMENTO]]&lt;&gt;"","Pago","Não Pago")</f>
        <v>Não Pago</v>
      </c>
      <c r="X129" s="522" t="str">
        <f>IFERROR(IF(LANÇ_MOV[[#This Row],[DATA DE PAGAMENTO]]="","",(UPPER(TEXT(LANÇ_MOV[[#This Row],[DATA DE PAGAMENTO]],"mmmm")))),"")</f>
        <v/>
      </c>
      <c r="Y129" s="523" t="str">
        <f>IFERROR(VLOOKUP(LANÇ_MOV[[#This Row],[PLANO DE CONTAS]],Plano_Contas[[PLANO DE CONTAS]:[NOMES INTERVALOS]],2,0),"")</f>
        <v>Despesas_Administrativas</v>
      </c>
      <c r="Z129" s="523" t="str">
        <f>IF(LANÇ_MOV[[#This Row],[FORMA DE PAGAMENTO]]="","",VLOOKUP(LANÇ_MOV[[#This Row],[FORMA DE PAGAMENTO]],CAD_Forma_pagto[],2,0))</f>
        <v>BOLETO</v>
      </c>
      <c r="AA129" s="524" t="str">
        <f>IF(LANÇ_MOV[[#This Row],[DATA DE LANÇAMENTO]]="","",TEXT(LANÇ_MOV[[#This Row],[DATA DE LANÇAMENTO]],"AAAA"))</f>
        <v>2025</v>
      </c>
      <c r="AB129" s="524" t="str">
        <f>IF(LANÇ_MOV[[#This Row],[DATA DE LANÇAMENTO]]="","",UPPER(TEXT(LANÇ_MOV[[#This Row],[DATA DE LANÇAMENTO]],"MMMM")))</f>
        <v>OUTUBRO</v>
      </c>
      <c r="AC129" s="525" t="str">
        <f>IF(LANÇ_MOV[[#This Row],[DATA DE LANÇAMENTO]]="","",PROPER(TEXT(LANÇ_MOV[[#This Row],[DATA DE LANÇAMENTO]],"M")))</f>
        <v>10</v>
      </c>
      <c r="AD129" s="524" t="str">
        <f>IF(LANÇ_MOV[[#This Row],[DATA DE LANÇAMENTO]]="","",TEXT(LANÇ_MOV[[#This Row],[DATA DE LANÇAMENTO]],"D"))</f>
        <v>1</v>
      </c>
      <c r="AE129" s="526" t="str">
        <f>IF(LANÇ_MOV[[#This Row],[DATA DE VENCIMENTO]]="","",TEXT(LANÇ_MOV[[#This Row],[DATA DE VENCIMENTO]],"AAAA"))</f>
        <v>2026</v>
      </c>
      <c r="AF129" s="526" t="str">
        <f>IF(LANÇ_MOV[[#This Row],[DATA DE VENCIMENTO]]="","",UPPER(TEXT(LANÇ_MOV[[#This Row],[DATA DE VENCIMENTO]],"MMMM")))</f>
        <v>OUTUBRO</v>
      </c>
      <c r="AG129" s="526" t="str">
        <f>IF(LANÇ_MOV[[#This Row],[DATA DE VENCIMENTO]]="","",TEXT(LANÇ_MOV[[#This Row],[DATA DE VENCIMENTO]],"M"))</f>
        <v>10</v>
      </c>
      <c r="AH129" s="526" t="str">
        <f>IF(LANÇ_MOV[[#This Row],[DATA DE VENCIMENTO]]="","",TEXT(LANÇ_MOV[[#This Row],[DATA DE VENCIMENTO]],"D"))</f>
        <v>30</v>
      </c>
      <c r="AI129" s="526" t="str">
        <f>IF(LANÇ_MOV[[#This Row],[DATA DE PAGAMENTO]]="","",TEXT(LANÇ_MOV[[#This Row],[DATA DE PAGAMENTO]],"AAAA"))</f>
        <v/>
      </c>
      <c r="AJ129" s="527" t="str">
        <f>IF(LANÇ_MOV[[#This Row],[DATA DE PAGAMENTO]]="","",UPPER(TEXT(LANÇ_MOV[[#This Row],[DATA DE PAGAMENTO]],"MMMM")))</f>
        <v/>
      </c>
      <c r="AK129" s="527" t="str">
        <f>IF(LANÇ_MOV[[#This Row],[DATA DE PAGAMENTO]]="","",TEXT(LANÇ_MOV[[#This Row],[DATA DE PAGAMENTO]],"M"))</f>
        <v/>
      </c>
      <c r="AL129" s="526" t="str">
        <f>IF(LANÇ_MOV[[#This Row],[DATA DE PAGAMENTO]]="","",TEXT(LANÇ_MOV[[#This Row],[DATA DE PAGAMENTO]],"D"))</f>
        <v/>
      </c>
      <c r="AM129" s="210"/>
      <c r="BC129" s="112"/>
      <c r="BD129" s="112"/>
    </row>
    <row r="130" spans="2:56" ht="30.05" customHeight="1" x14ac:dyDescent="0.35">
      <c r="B130" s="517">
        <v>45931</v>
      </c>
      <c r="C130" s="535" t="s">
        <v>1661</v>
      </c>
      <c r="D130" s="508" t="s">
        <v>1854</v>
      </c>
      <c r="E130" s="509" t="s">
        <v>1144</v>
      </c>
      <c r="F130" s="510" t="s">
        <v>1530</v>
      </c>
      <c r="G130" s="507"/>
      <c r="H130" s="511"/>
      <c r="I130" s="512" t="s">
        <v>1764</v>
      </c>
      <c r="J130" s="510">
        <v>707.87</v>
      </c>
      <c r="K130" s="513">
        <v>0</v>
      </c>
      <c r="L130" s="513">
        <v>0</v>
      </c>
      <c r="M130" s="513">
        <v>0</v>
      </c>
      <c r="N130" s="514">
        <f>LANÇ_MOV[[#This Row],[VALOR BRUTO]]-LANÇ_MOV[[#This Row],[DESCONTO]]+LANÇ_MOV[[#This Row],[JUROS]]+LANÇ_MOV[[#This Row],[MULTA]]</f>
        <v>707.87</v>
      </c>
      <c r="O130" s="528">
        <v>46356</v>
      </c>
      <c r="P130" s="516" t="str">
        <f t="shared" ca="1" si="1"/>
        <v>Prazo - Mais de 1 mês</v>
      </c>
      <c r="Q130" s="530"/>
      <c r="R130" s="529" t="s">
        <v>1506</v>
      </c>
      <c r="S130" s="531"/>
      <c r="T130" s="518" t="s">
        <v>1776</v>
      </c>
      <c r="U130" s="519" t="s">
        <v>2008</v>
      </c>
      <c r="V130" s="520" t="str">
        <f>IFERROR(VLOOKUP(LANÇ_MOV[[#This Row],[PLANO DE CONTAS]],Plano_Contas[[PLANO DE CONTAS]:[R / D]],3,0),"")</f>
        <v>Despesa</v>
      </c>
      <c r="W130" s="521" t="str">
        <f>IF(LANÇ_MOV[[#This Row],[DATA DE PAGAMENTO]]&lt;&gt;"","Pago","Não Pago")</f>
        <v>Não Pago</v>
      </c>
      <c r="X130" s="522" t="str">
        <f>IFERROR(IF(LANÇ_MOV[[#This Row],[DATA DE PAGAMENTO]]="","",(UPPER(TEXT(LANÇ_MOV[[#This Row],[DATA DE PAGAMENTO]],"mmmm")))),"")</f>
        <v/>
      </c>
      <c r="Y130" s="523" t="str">
        <f>IFERROR(VLOOKUP(LANÇ_MOV[[#This Row],[PLANO DE CONTAS]],Plano_Contas[[PLANO DE CONTAS]:[NOMES INTERVALOS]],2,0),"")</f>
        <v>Despesas_Administrativas</v>
      </c>
      <c r="Z130" s="523" t="str">
        <f>IF(LANÇ_MOV[[#This Row],[FORMA DE PAGAMENTO]]="","",VLOOKUP(LANÇ_MOV[[#This Row],[FORMA DE PAGAMENTO]],CAD_Forma_pagto[],2,0))</f>
        <v>BOLETO</v>
      </c>
      <c r="AA130" s="524" t="str">
        <f>IF(LANÇ_MOV[[#This Row],[DATA DE LANÇAMENTO]]="","",TEXT(LANÇ_MOV[[#This Row],[DATA DE LANÇAMENTO]],"AAAA"))</f>
        <v>2025</v>
      </c>
      <c r="AB130" s="524" t="str">
        <f>IF(LANÇ_MOV[[#This Row],[DATA DE LANÇAMENTO]]="","",UPPER(TEXT(LANÇ_MOV[[#This Row],[DATA DE LANÇAMENTO]],"MMMM")))</f>
        <v>OUTUBRO</v>
      </c>
      <c r="AC130" s="525" t="str">
        <f>IF(LANÇ_MOV[[#This Row],[DATA DE LANÇAMENTO]]="","",PROPER(TEXT(LANÇ_MOV[[#This Row],[DATA DE LANÇAMENTO]],"M")))</f>
        <v>10</v>
      </c>
      <c r="AD130" s="524" t="str">
        <f>IF(LANÇ_MOV[[#This Row],[DATA DE LANÇAMENTO]]="","",TEXT(LANÇ_MOV[[#This Row],[DATA DE LANÇAMENTO]],"D"))</f>
        <v>1</v>
      </c>
      <c r="AE130" s="526" t="str">
        <f>IF(LANÇ_MOV[[#This Row],[DATA DE VENCIMENTO]]="","",TEXT(LANÇ_MOV[[#This Row],[DATA DE VENCIMENTO]],"AAAA"))</f>
        <v>2026</v>
      </c>
      <c r="AF130" s="526" t="str">
        <f>IF(LANÇ_MOV[[#This Row],[DATA DE VENCIMENTO]]="","",UPPER(TEXT(LANÇ_MOV[[#This Row],[DATA DE VENCIMENTO]],"MMMM")))</f>
        <v>NOVEMBRO</v>
      </c>
      <c r="AG130" s="526" t="str">
        <f>IF(LANÇ_MOV[[#This Row],[DATA DE VENCIMENTO]]="","",TEXT(LANÇ_MOV[[#This Row],[DATA DE VENCIMENTO]],"M"))</f>
        <v>11</v>
      </c>
      <c r="AH130" s="526" t="str">
        <f>IF(LANÇ_MOV[[#This Row],[DATA DE VENCIMENTO]]="","",TEXT(LANÇ_MOV[[#This Row],[DATA DE VENCIMENTO]],"D"))</f>
        <v>30</v>
      </c>
      <c r="AI130" s="526" t="str">
        <f>IF(LANÇ_MOV[[#This Row],[DATA DE PAGAMENTO]]="","",TEXT(LANÇ_MOV[[#This Row],[DATA DE PAGAMENTO]],"AAAA"))</f>
        <v/>
      </c>
      <c r="AJ130" s="527" t="str">
        <f>IF(LANÇ_MOV[[#This Row],[DATA DE PAGAMENTO]]="","",UPPER(TEXT(LANÇ_MOV[[#This Row],[DATA DE PAGAMENTO]],"MMMM")))</f>
        <v/>
      </c>
      <c r="AK130" s="527" t="str">
        <f>IF(LANÇ_MOV[[#This Row],[DATA DE PAGAMENTO]]="","",TEXT(LANÇ_MOV[[#This Row],[DATA DE PAGAMENTO]],"M"))</f>
        <v/>
      </c>
      <c r="AL130" s="526" t="str">
        <f>IF(LANÇ_MOV[[#This Row],[DATA DE PAGAMENTO]]="","",TEXT(LANÇ_MOV[[#This Row],[DATA DE PAGAMENTO]],"D"))</f>
        <v/>
      </c>
      <c r="AM130" s="210"/>
      <c r="BC130" s="112"/>
      <c r="BD130" s="112"/>
    </row>
    <row r="131" spans="2:56" ht="30.05" customHeight="1" x14ac:dyDescent="0.35">
      <c r="B131" s="517">
        <v>45931</v>
      </c>
      <c r="C131" s="535" t="s">
        <v>1661</v>
      </c>
      <c r="D131" s="508" t="s">
        <v>1854</v>
      </c>
      <c r="E131" s="509" t="s">
        <v>1144</v>
      </c>
      <c r="F131" s="510" t="s">
        <v>1530</v>
      </c>
      <c r="G131" s="507"/>
      <c r="H131" s="511"/>
      <c r="I131" s="512" t="s">
        <v>1764</v>
      </c>
      <c r="J131" s="510">
        <v>707.87</v>
      </c>
      <c r="K131" s="513">
        <v>0</v>
      </c>
      <c r="L131" s="513">
        <v>0</v>
      </c>
      <c r="M131" s="513">
        <v>0</v>
      </c>
      <c r="N131" s="514">
        <f>LANÇ_MOV[[#This Row],[VALOR BRUTO]]-LANÇ_MOV[[#This Row],[DESCONTO]]+LANÇ_MOV[[#This Row],[JUROS]]+LANÇ_MOV[[#This Row],[MULTA]]</f>
        <v>707.87</v>
      </c>
      <c r="O131" s="528">
        <v>46386</v>
      </c>
      <c r="P131" s="516" t="str">
        <f t="shared" ca="1" si="1"/>
        <v>Prazo - Mais de 1 mês</v>
      </c>
      <c r="Q131" s="530"/>
      <c r="R131" s="529" t="s">
        <v>1506</v>
      </c>
      <c r="S131" s="531"/>
      <c r="T131" s="518" t="s">
        <v>1776</v>
      </c>
      <c r="U131" s="519" t="s">
        <v>2008</v>
      </c>
      <c r="V131" s="520" t="str">
        <f>IFERROR(VLOOKUP(LANÇ_MOV[[#This Row],[PLANO DE CONTAS]],Plano_Contas[[PLANO DE CONTAS]:[R / D]],3,0),"")</f>
        <v>Despesa</v>
      </c>
      <c r="W131" s="521" t="str">
        <f>IF(LANÇ_MOV[[#This Row],[DATA DE PAGAMENTO]]&lt;&gt;"","Pago","Não Pago")</f>
        <v>Não Pago</v>
      </c>
      <c r="X131" s="522" t="str">
        <f>IFERROR(IF(LANÇ_MOV[[#This Row],[DATA DE PAGAMENTO]]="","",(UPPER(TEXT(LANÇ_MOV[[#This Row],[DATA DE PAGAMENTO]],"mmmm")))),"")</f>
        <v/>
      </c>
      <c r="Y131" s="523" t="str">
        <f>IFERROR(VLOOKUP(LANÇ_MOV[[#This Row],[PLANO DE CONTAS]],Plano_Contas[[PLANO DE CONTAS]:[NOMES INTERVALOS]],2,0),"")</f>
        <v>Despesas_Administrativas</v>
      </c>
      <c r="Z131" s="523" t="str">
        <f>IF(LANÇ_MOV[[#This Row],[FORMA DE PAGAMENTO]]="","",VLOOKUP(LANÇ_MOV[[#This Row],[FORMA DE PAGAMENTO]],CAD_Forma_pagto[],2,0))</f>
        <v>BOLETO</v>
      </c>
      <c r="AA131" s="524" t="str">
        <f>IF(LANÇ_MOV[[#This Row],[DATA DE LANÇAMENTO]]="","",TEXT(LANÇ_MOV[[#This Row],[DATA DE LANÇAMENTO]],"AAAA"))</f>
        <v>2025</v>
      </c>
      <c r="AB131" s="524" t="str">
        <f>IF(LANÇ_MOV[[#This Row],[DATA DE LANÇAMENTO]]="","",UPPER(TEXT(LANÇ_MOV[[#This Row],[DATA DE LANÇAMENTO]],"MMMM")))</f>
        <v>OUTUBRO</v>
      </c>
      <c r="AC131" s="525" t="str">
        <f>IF(LANÇ_MOV[[#This Row],[DATA DE LANÇAMENTO]]="","",PROPER(TEXT(LANÇ_MOV[[#This Row],[DATA DE LANÇAMENTO]],"M")))</f>
        <v>10</v>
      </c>
      <c r="AD131" s="524" t="str">
        <f>IF(LANÇ_MOV[[#This Row],[DATA DE LANÇAMENTO]]="","",TEXT(LANÇ_MOV[[#This Row],[DATA DE LANÇAMENTO]],"D"))</f>
        <v>1</v>
      </c>
      <c r="AE131" s="526" t="str">
        <f>IF(LANÇ_MOV[[#This Row],[DATA DE VENCIMENTO]]="","",TEXT(LANÇ_MOV[[#This Row],[DATA DE VENCIMENTO]],"AAAA"))</f>
        <v>2026</v>
      </c>
      <c r="AF131" s="526" t="str">
        <f>IF(LANÇ_MOV[[#This Row],[DATA DE VENCIMENTO]]="","",UPPER(TEXT(LANÇ_MOV[[#This Row],[DATA DE VENCIMENTO]],"MMMM")))</f>
        <v>DEZEMBRO</v>
      </c>
      <c r="AG131" s="526" t="str">
        <f>IF(LANÇ_MOV[[#This Row],[DATA DE VENCIMENTO]]="","",TEXT(LANÇ_MOV[[#This Row],[DATA DE VENCIMENTO]],"M"))</f>
        <v>12</v>
      </c>
      <c r="AH131" s="526" t="str">
        <f>IF(LANÇ_MOV[[#This Row],[DATA DE VENCIMENTO]]="","",TEXT(LANÇ_MOV[[#This Row],[DATA DE VENCIMENTO]],"D"))</f>
        <v>30</v>
      </c>
      <c r="AI131" s="526" t="str">
        <f>IF(LANÇ_MOV[[#This Row],[DATA DE PAGAMENTO]]="","",TEXT(LANÇ_MOV[[#This Row],[DATA DE PAGAMENTO]],"AAAA"))</f>
        <v/>
      </c>
      <c r="AJ131" s="527" t="str">
        <f>IF(LANÇ_MOV[[#This Row],[DATA DE PAGAMENTO]]="","",UPPER(TEXT(LANÇ_MOV[[#This Row],[DATA DE PAGAMENTO]],"MMMM")))</f>
        <v/>
      </c>
      <c r="AK131" s="527" t="str">
        <f>IF(LANÇ_MOV[[#This Row],[DATA DE PAGAMENTO]]="","",TEXT(LANÇ_MOV[[#This Row],[DATA DE PAGAMENTO]],"M"))</f>
        <v/>
      </c>
      <c r="AL131" s="526" t="str">
        <f>IF(LANÇ_MOV[[#This Row],[DATA DE PAGAMENTO]]="","",TEXT(LANÇ_MOV[[#This Row],[DATA DE PAGAMENTO]],"D"))</f>
        <v/>
      </c>
      <c r="AM131" s="210"/>
      <c r="BC131" s="112"/>
      <c r="BD131" s="112"/>
    </row>
    <row r="132" spans="2:56" ht="30.05" customHeight="1" x14ac:dyDescent="0.35">
      <c r="B132" s="517">
        <v>45931</v>
      </c>
      <c r="C132" s="535" t="s">
        <v>1661</v>
      </c>
      <c r="D132" s="508" t="s">
        <v>1854</v>
      </c>
      <c r="E132" s="509" t="s">
        <v>1144</v>
      </c>
      <c r="F132" s="510" t="s">
        <v>1552</v>
      </c>
      <c r="G132" s="507"/>
      <c r="H132" s="511"/>
      <c r="I132" s="512" t="s">
        <v>1767</v>
      </c>
      <c r="J132" s="510">
        <v>100</v>
      </c>
      <c r="K132" s="513">
        <v>0</v>
      </c>
      <c r="L132" s="513">
        <v>0</v>
      </c>
      <c r="M132" s="513">
        <v>0</v>
      </c>
      <c r="N132" s="514">
        <f>LANÇ_MOV[[#This Row],[VALOR BRUTO]]-LANÇ_MOV[[#This Row],[DESCONTO]]+LANÇ_MOV[[#This Row],[JUROS]]+LANÇ_MOV[[#This Row],[MULTA]]</f>
        <v>100</v>
      </c>
      <c r="O132" s="528">
        <v>45986</v>
      </c>
      <c r="P132" s="516" t="str">
        <f t="shared" ca="1" si="1"/>
        <v>Venceu</v>
      </c>
      <c r="Q132" s="530"/>
      <c r="R132" s="529" t="s">
        <v>1506</v>
      </c>
      <c r="S132" s="531"/>
      <c r="T132" s="518" t="s">
        <v>1776</v>
      </c>
      <c r="U132" s="519" t="s">
        <v>2008</v>
      </c>
      <c r="V132" s="520" t="str">
        <f>IFERROR(VLOOKUP(LANÇ_MOV[[#This Row],[PLANO DE CONTAS]],Plano_Contas[[PLANO DE CONTAS]:[R / D]],3,0),"")</f>
        <v>Despesa</v>
      </c>
      <c r="W132" s="521" t="str">
        <f>IF(LANÇ_MOV[[#This Row],[DATA DE PAGAMENTO]]&lt;&gt;"","Pago","Não Pago")</f>
        <v>Não Pago</v>
      </c>
      <c r="X132" s="522" t="str">
        <f>IFERROR(IF(LANÇ_MOV[[#This Row],[DATA DE PAGAMENTO]]="","",(UPPER(TEXT(LANÇ_MOV[[#This Row],[DATA DE PAGAMENTO]],"mmmm")))),"")</f>
        <v/>
      </c>
      <c r="Y132" s="523" t="str">
        <f>IFERROR(VLOOKUP(LANÇ_MOV[[#This Row],[PLANO DE CONTAS]],Plano_Contas[[PLANO DE CONTAS]:[NOMES INTERVALOS]],2,0),"")</f>
        <v>Despesas_Administrativas</v>
      </c>
      <c r="Z132" s="523" t="str">
        <f>IF(LANÇ_MOV[[#This Row],[FORMA DE PAGAMENTO]]="","",VLOOKUP(LANÇ_MOV[[#This Row],[FORMA DE PAGAMENTO]],CAD_Forma_pagto[],2,0))</f>
        <v>BOLETO</v>
      </c>
      <c r="AA132" s="524" t="str">
        <f>IF(LANÇ_MOV[[#This Row],[DATA DE LANÇAMENTO]]="","",TEXT(LANÇ_MOV[[#This Row],[DATA DE LANÇAMENTO]],"AAAA"))</f>
        <v>2025</v>
      </c>
      <c r="AB132" s="524" t="str">
        <f>IF(LANÇ_MOV[[#This Row],[DATA DE LANÇAMENTO]]="","",UPPER(TEXT(LANÇ_MOV[[#This Row],[DATA DE LANÇAMENTO]],"MMMM")))</f>
        <v>OUTUBRO</v>
      </c>
      <c r="AC132" s="525" t="str">
        <f>IF(LANÇ_MOV[[#This Row],[DATA DE LANÇAMENTO]]="","",PROPER(TEXT(LANÇ_MOV[[#This Row],[DATA DE LANÇAMENTO]],"M")))</f>
        <v>10</v>
      </c>
      <c r="AD132" s="524" t="str">
        <f>IF(LANÇ_MOV[[#This Row],[DATA DE LANÇAMENTO]]="","",TEXT(LANÇ_MOV[[#This Row],[DATA DE LANÇAMENTO]],"D"))</f>
        <v>1</v>
      </c>
      <c r="AE132" s="526" t="str">
        <f>IF(LANÇ_MOV[[#This Row],[DATA DE VENCIMENTO]]="","",TEXT(LANÇ_MOV[[#This Row],[DATA DE VENCIMENTO]],"AAAA"))</f>
        <v>2025</v>
      </c>
      <c r="AF132" s="526" t="str">
        <f>IF(LANÇ_MOV[[#This Row],[DATA DE VENCIMENTO]]="","",UPPER(TEXT(LANÇ_MOV[[#This Row],[DATA DE VENCIMENTO]],"MMMM")))</f>
        <v>NOVEMBRO</v>
      </c>
      <c r="AG132" s="526" t="str">
        <f>IF(LANÇ_MOV[[#This Row],[DATA DE VENCIMENTO]]="","",TEXT(LANÇ_MOV[[#This Row],[DATA DE VENCIMENTO]],"M"))</f>
        <v>11</v>
      </c>
      <c r="AH132" s="526" t="str">
        <f>IF(LANÇ_MOV[[#This Row],[DATA DE VENCIMENTO]]="","",TEXT(LANÇ_MOV[[#This Row],[DATA DE VENCIMENTO]],"D"))</f>
        <v>25</v>
      </c>
      <c r="AI132" s="526" t="str">
        <f>IF(LANÇ_MOV[[#This Row],[DATA DE PAGAMENTO]]="","",TEXT(LANÇ_MOV[[#This Row],[DATA DE PAGAMENTO]],"AAAA"))</f>
        <v/>
      </c>
      <c r="AJ132" s="527" t="str">
        <f>IF(LANÇ_MOV[[#This Row],[DATA DE PAGAMENTO]]="","",UPPER(TEXT(LANÇ_MOV[[#This Row],[DATA DE PAGAMENTO]],"MMMM")))</f>
        <v/>
      </c>
      <c r="AK132" s="527" t="str">
        <f>IF(LANÇ_MOV[[#This Row],[DATA DE PAGAMENTO]]="","",TEXT(LANÇ_MOV[[#This Row],[DATA DE PAGAMENTO]],"M"))</f>
        <v/>
      </c>
      <c r="AL132" s="526" t="str">
        <f>IF(LANÇ_MOV[[#This Row],[DATA DE PAGAMENTO]]="","",TEXT(LANÇ_MOV[[#This Row],[DATA DE PAGAMENTO]],"D"))</f>
        <v/>
      </c>
      <c r="AM132" s="210"/>
      <c r="BC132" s="112"/>
      <c r="BD132" s="112"/>
    </row>
    <row r="133" spans="2:56" ht="30.05" customHeight="1" x14ac:dyDescent="0.35">
      <c r="B133" s="517">
        <v>45931</v>
      </c>
      <c r="C133" s="535" t="s">
        <v>1661</v>
      </c>
      <c r="D133" s="508" t="s">
        <v>1854</v>
      </c>
      <c r="E133" s="509" t="s">
        <v>1144</v>
      </c>
      <c r="F133" s="510" t="s">
        <v>1552</v>
      </c>
      <c r="G133" s="507"/>
      <c r="H133" s="511"/>
      <c r="I133" s="512" t="s">
        <v>1767</v>
      </c>
      <c r="J133" s="510">
        <v>100</v>
      </c>
      <c r="K133" s="513">
        <v>0</v>
      </c>
      <c r="L133" s="513">
        <v>0</v>
      </c>
      <c r="M133" s="513">
        <v>0</v>
      </c>
      <c r="N133" s="514">
        <f>LANÇ_MOV[[#This Row],[VALOR BRUTO]]-LANÇ_MOV[[#This Row],[DESCONTO]]+LANÇ_MOV[[#This Row],[JUROS]]+LANÇ_MOV[[#This Row],[MULTA]]</f>
        <v>100</v>
      </c>
      <c r="O133" s="528">
        <v>46016</v>
      </c>
      <c r="P133" s="516" t="str">
        <f t="shared" ref="P133:P196" ca="1" si="2">IF(O133="","",IF(Q133&lt;&gt;"","Pago",IF(O133-TODAY()&gt;30,"Prazo - Mais de 1 mês",IF(O133=TODAY(),"Hoje",IF(O133&lt;TODAY(),"Venceu",IF(O133-TODAY()&lt;10,"Prazo - Menos de 10 dias",IF(O133-TODAY()&lt;15,"Prazo - Menos de 15 dias","Prazo - Menos de 1 Mês")))))))</f>
        <v>Prazo - Menos de 1 Mês</v>
      </c>
      <c r="Q133" s="530"/>
      <c r="R133" s="529" t="s">
        <v>1646</v>
      </c>
      <c r="S133" s="531"/>
      <c r="T133" s="518" t="s">
        <v>1767</v>
      </c>
      <c r="U133" s="519" t="s">
        <v>2008</v>
      </c>
      <c r="V133" s="520" t="str">
        <f>IFERROR(VLOOKUP(LANÇ_MOV[[#This Row],[PLANO DE CONTAS]],Plano_Contas[[PLANO DE CONTAS]:[R / D]],3,0),"")</f>
        <v>Despesa</v>
      </c>
      <c r="W133" s="521" t="str">
        <f>IF(LANÇ_MOV[[#This Row],[DATA DE PAGAMENTO]]&lt;&gt;"","Pago","Não Pago")</f>
        <v>Não Pago</v>
      </c>
      <c r="X133" s="522" t="str">
        <f>IFERROR(IF(LANÇ_MOV[[#This Row],[DATA DE PAGAMENTO]]="","",(UPPER(TEXT(LANÇ_MOV[[#This Row],[DATA DE PAGAMENTO]],"mmmm")))),"")</f>
        <v/>
      </c>
      <c r="Y133" s="523" t="str">
        <f>IFERROR(VLOOKUP(LANÇ_MOV[[#This Row],[PLANO DE CONTAS]],Plano_Contas[[PLANO DE CONTAS]:[NOMES INTERVALOS]],2,0),"")</f>
        <v>Despesas_Administrativas</v>
      </c>
      <c r="Z133" s="523" t="str">
        <f>IF(LANÇ_MOV[[#This Row],[FORMA DE PAGAMENTO]]="","",VLOOKUP(LANÇ_MOV[[#This Row],[FORMA DE PAGAMENTO]],CAD_Forma_pagto[],2,0))</f>
        <v>DÉBITO EM CONTA</v>
      </c>
      <c r="AA133" s="524" t="str">
        <f>IF(LANÇ_MOV[[#This Row],[DATA DE LANÇAMENTO]]="","",TEXT(LANÇ_MOV[[#This Row],[DATA DE LANÇAMENTO]],"AAAA"))</f>
        <v>2025</v>
      </c>
      <c r="AB133" s="524" t="str">
        <f>IF(LANÇ_MOV[[#This Row],[DATA DE LANÇAMENTO]]="","",UPPER(TEXT(LANÇ_MOV[[#This Row],[DATA DE LANÇAMENTO]],"MMMM")))</f>
        <v>OUTUBRO</v>
      </c>
      <c r="AC133" s="525" t="str">
        <f>IF(LANÇ_MOV[[#This Row],[DATA DE LANÇAMENTO]]="","",PROPER(TEXT(LANÇ_MOV[[#This Row],[DATA DE LANÇAMENTO]],"M")))</f>
        <v>10</v>
      </c>
      <c r="AD133" s="524" t="str">
        <f>IF(LANÇ_MOV[[#This Row],[DATA DE LANÇAMENTO]]="","",TEXT(LANÇ_MOV[[#This Row],[DATA DE LANÇAMENTO]],"D"))</f>
        <v>1</v>
      </c>
      <c r="AE133" s="526" t="str">
        <f>IF(LANÇ_MOV[[#This Row],[DATA DE VENCIMENTO]]="","",TEXT(LANÇ_MOV[[#This Row],[DATA DE VENCIMENTO]],"AAAA"))</f>
        <v>2025</v>
      </c>
      <c r="AF133" s="526" t="str">
        <f>IF(LANÇ_MOV[[#This Row],[DATA DE VENCIMENTO]]="","",UPPER(TEXT(LANÇ_MOV[[#This Row],[DATA DE VENCIMENTO]],"MMMM")))</f>
        <v>DEZEMBRO</v>
      </c>
      <c r="AG133" s="526" t="str">
        <f>IF(LANÇ_MOV[[#This Row],[DATA DE VENCIMENTO]]="","",TEXT(LANÇ_MOV[[#This Row],[DATA DE VENCIMENTO]],"M"))</f>
        <v>12</v>
      </c>
      <c r="AH133" s="526" t="str">
        <f>IF(LANÇ_MOV[[#This Row],[DATA DE VENCIMENTO]]="","",TEXT(LANÇ_MOV[[#This Row],[DATA DE VENCIMENTO]],"D"))</f>
        <v>25</v>
      </c>
      <c r="AI133" s="526" t="str">
        <f>IF(LANÇ_MOV[[#This Row],[DATA DE PAGAMENTO]]="","",TEXT(LANÇ_MOV[[#This Row],[DATA DE PAGAMENTO]],"AAAA"))</f>
        <v/>
      </c>
      <c r="AJ133" s="527" t="str">
        <f>IF(LANÇ_MOV[[#This Row],[DATA DE PAGAMENTO]]="","",UPPER(TEXT(LANÇ_MOV[[#This Row],[DATA DE PAGAMENTO]],"MMMM")))</f>
        <v/>
      </c>
      <c r="AK133" s="527" t="str">
        <f>IF(LANÇ_MOV[[#This Row],[DATA DE PAGAMENTO]]="","",TEXT(LANÇ_MOV[[#This Row],[DATA DE PAGAMENTO]],"M"))</f>
        <v/>
      </c>
      <c r="AL133" s="526" t="str">
        <f>IF(LANÇ_MOV[[#This Row],[DATA DE PAGAMENTO]]="","",TEXT(LANÇ_MOV[[#This Row],[DATA DE PAGAMENTO]],"D"))</f>
        <v/>
      </c>
      <c r="AM133" s="210"/>
      <c r="BC133" s="112"/>
      <c r="BD133" s="112"/>
    </row>
    <row r="134" spans="2:56" ht="30.05" customHeight="1" x14ac:dyDescent="0.35">
      <c r="B134" s="517">
        <v>45931</v>
      </c>
      <c r="C134" s="535" t="s">
        <v>1661</v>
      </c>
      <c r="D134" s="508" t="s">
        <v>1854</v>
      </c>
      <c r="E134" s="509" t="s">
        <v>1144</v>
      </c>
      <c r="F134" s="510" t="s">
        <v>1552</v>
      </c>
      <c r="G134" s="507"/>
      <c r="H134" s="511"/>
      <c r="I134" s="512" t="s">
        <v>1767</v>
      </c>
      <c r="J134" s="510">
        <v>100</v>
      </c>
      <c r="K134" s="513">
        <v>0</v>
      </c>
      <c r="L134" s="513">
        <v>0</v>
      </c>
      <c r="M134" s="513">
        <v>0</v>
      </c>
      <c r="N134" s="514">
        <f>LANÇ_MOV[[#This Row],[VALOR BRUTO]]-LANÇ_MOV[[#This Row],[DESCONTO]]+LANÇ_MOV[[#This Row],[JUROS]]+LANÇ_MOV[[#This Row],[MULTA]]</f>
        <v>100</v>
      </c>
      <c r="O134" s="528">
        <v>46047</v>
      </c>
      <c r="P134" s="516" t="str">
        <f t="shared" ca="1" si="2"/>
        <v>Prazo - Mais de 1 mês</v>
      </c>
      <c r="Q134" s="530"/>
      <c r="R134" s="529" t="s">
        <v>1646</v>
      </c>
      <c r="S134" s="531"/>
      <c r="T134" s="518" t="s">
        <v>1767</v>
      </c>
      <c r="U134" s="519" t="s">
        <v>2008</v>
      </c>
      <c r="V134" s="520" t="str">
        <f>IFERROR(VLOOKUP(LANÇ_MOV[[#This Row],[PLANO DE CONTAS]],Plano_Contas[[PLANO DE CONTAS]:[R / D]],3,0),"")</f>
        <v>Despesa</v>
      </c>
      <c r="W134" s="521" t="str">
        <f>IF(LANÇ_MOV[[#This Row],[DATA DE PAGAMENTO]]&lt;&gt;"","Pago","Não Pago")</f>
        <v>Não Pago</v>
      </c>
      <c r="X134" s="522" t="str">
        <f>IFERROR(IF(LANÇ_MOV[[#This Row],[DATA DE PAGAMENTO]]="","",(UPPER(TEXT(LANÇ_MOV[[#This Row],[DATA DE PAGAMENTO]],"mmmm")))),"")</f>
        <v/>
      </c>
      <c r="Y134" s="523" t="str">
        <f>IFERROR(VLOOKUP(LANÇ_MOV[[#This Row],[PLANO DE CONTAS]],Plano_Contas[[PLANO DE CONTAS]:[NOMES INTERVALOS]],2,0),"")</f>
        <v>Despesas_Administrativas</v>
      </c>
      <c r="Z134" s="523" t="str">
        <f>IF(LANÇ_MOV[[#This Row],[FORMA DE PAGAMENTO]]="","",VLOOKUP(LANÇ_MOV[[#This Row],[FORMA DE PAGAMENTO]],CAD_Forma_pagto[],2,0))</f>
        <v>DÉBITO EM CONTA</v>
      </c>
      <c r="AA134" s="524" t="str">
        <f>IF(LANÇ_MOV[[#This Row],[DATA DE LANÇAMENTO]]="","",TEXT(LANÇ_MOV[[#This Row],[DATA DE LANÇAMENTO]],"AAAA"))</f>
        <v>2025</v>
      </c>
      <c r="AB134" s="524" t="str">
        <f>IF(LANÇ_MOV[[#This Row],[DATA DE LANÇAMENTO]]="","",UPPER(TEXT(LANÇ_MOV[[#This Row],[DATA DE LANÇAMENTO]],"MMMM")))</f>
        <v>OUTUBRO</v>
      </c>
      <c r="AC134" s="525" t="str">
        <f>IF(LANÇ_MOV[[#This Row],[DATA DE LANÇAMENTO]]="","",PROPER(TEXT(LANÇ_MOV[[#This Row],[DATA DE LANÇAMENTO]],"M")))</f>
        <v>10</v>
      </c>
      <c r="AD134" s="524" t="str">
        <f>IF(LANÇ_MOV[[#This Row],[DATA DE LANÇAMENTO]]="","",TEXT(LANÇ_MOV[[#This Row],[DATA DE LANÇAMENTO]],"D"))</f>
        <v>1</v>
      </c>
      <c r="AE134" s="526" t="str">
        <f>IF(LANÇ_MOV[[#This Row],[DATA DE VENCIMENTO]]="","",TEXT(LANÇ_MOV[[#This Row],[DATA DE VENCIMENTO]],"AAAA"))</f>
        <v>2026</v>
      </c>
      <c r="AF134" s="526" t="str">
        <f>IF(LANÇ_MOV[[#This Row],[DATA DE VENCIMENTO]]="","",UPPER(TEXT(LANÇ_MOV[[#This Row],[DATA DE VENCIMENTO]],"MMMM")))</f>
        <v>JANEIRO</v>
      </c>
      <c r="AG134" s="526" t="str">
        <f>IF(LANÇ_MOV[[#This Row],[DATA DE VENCIMENTO]]="","",TEXT(LANÇ_MOV[[#This Row],[DATA DE VENCIMENTO]],"M"))</f>
        <v>1</v>
      </c>
      <c r="AH134" s="526" t="str">
        <f>IF(LANÇ_MOV[[#This Row],[DATA DE VENCIMENTO]]="","",TEXT(LANÇ_MOV[[#This Row],[DATA DE VENCIMENTO]],"D"))</f>
        <v>25</v>
      </c>
      <c r="AI134" s="526" t="str">
        <f>IF(LANÇ_MOV[[#This Row],[DATA DE PAGAMENTO]]="","",TEXT(LANÇ_MOV[[#This Row],[DATA DE PAGAMENTO]],"AAAA"))</f>
        <v/>
      </c>
      <c r="AJ134" s="527" t="str">
        <f>IF(LANÇ_MOV[[#This Row],[DATA DE PAGAMENTO]]="","",UPPER(TEXT(LANÇ_MOV[[#This Row],[DATA DE PAGAMENTO]],"MMMM")))</f>
        <v/>
      </c>
      <c r="AK134" s="527" t="str">
        <f>IF(LANÇ_MOV[[#This Row],[DATA DE PAGAMENTO]]="","",TEXT(LANÇ_MOV[[#This Row],[DATA DE PAGAMENTO]],"M"))</f>
        <v/>
      </c>
      <c r="AL134" s="526" t="str">
        <f>IF(LANÇ_MOV[[#This Row],[DATA DE PAGAMENTO]]="","",TEXT(LANÇ_MOV[[#This Row],[DATA DE PAGAMENTO]],"D"))</f>
        <v/>
      </c>
      <c r="AM134" s="210"/>
      <c r="BC134" s="112"/>
      <c r="BD134" s="112"/>
    </row>
    <row r="135" spans="2:56" ht="30.05" customHeight="1" x14ac:dyDescent="0.35">
      <c r="B135" s="517">
        <v>45931</v>
      </c>
      <c r="C135" s="535" t="s">
        <v>1661</v>
      </c>
      <c r="D135" s="508" t="s">
        <v>1854</v>
      </c>
      <c r="E135" s="509" t="s">
        <v>1144</v>
      </c>
      <c r="F135" s="510" t="s">
        <v>1552</v>
      </c>
      <c r="G135" s="507"/>
      <c r="H135" s="511"/>
      <c r="I135" s="512" t="s">
        <v>1767</v>
      </c>
      <c r="J135" s="510">
        <v>100</v>
      </c>
      <c r="K135" s="513">
        <v>0</v>
      </c>
      <c r="L135" s="513">
        <v>0</v>
      </c>
      <c r="M135" s="513">
        <v>0</v>
      </c>
      <c r="N135" s="514">
        <f>LANÇ_MOV[[#This Row],[VALOR BRUTO]]-LANÇ_MOV[[#This Row],[DESCONTO]]+LANÇ_MOV[[#This Row],[JUROS]]+LANÇ_MOV[[#This Row],[MULTA]]</f>
        <v>100</v>
      </c>
      <c r="O135" s="528">
        <v>46078</v>
      </c>
      <c r="P135" s="516" t="str">
        <f t="shared" ca="1" si="2"/>
        <v>Prazo - Mais de 1 mês</v>
      </c>
      <c r="Q135" s="530"/>
      <c r="R135" s="529" t="s">
        <v>1646</v>
      </c>
      <c r="S135" s="531"/>
      <c r="T135" s="518" t="s">
        <v>1767</v>
      </c>
      <c r="U135" s="519" t="s">
        <v>2008</v>
      </c>
      <c r="V135" s="520" t="str">
        <f>IFERROR(VLOOKUP(LANÇ_MOV[[#This Row],[PLANO DE CONTAS]],Plano_Contas[[PLANO DE CONTAS]:[R / D]],3,0),"")</f>
        <v>Despesa</v>
      </c>
      <c r="W135" s="521" t="str">
        <f>IF(LANÇ_MOV[[#This Row],[DATA DE PAGAMENTO]]&lt;&gt;"","Pago","Não Pago")</f>
        <v>Não Pago</v>
      </c>
      <c r="X135" s="522" t="str">
        <f>IFERROR(IF(LANÇ_MOV[[#This Row],[DATA DE PAGAMENTO]]="","",(UPPER(TEXT(LANÇ_MOV[[#This Row],[DATA DE PAGAMENTO]],"mmmm")))),"")</f>
        <v/>
      </c>
      <c r="Y135" s="523" t="str">
        <f>IFERROR(VLOOKUP(LANÇ_MOV[[#This Row],[PLANO DE CONTAS]],Plano_Contas[[PLANO DE CONTAS]:[NOMES INTERVALOS]],2,0),"")</f>
        <v>Despesas_Administrativas</v>
      </c>
      <c r="Z135" s="523" t="str">
        <f>IF(LANÇ_MOV[[#This Row],[FORMA DE PAGAMENTO]]="","",VLOOKUP(LANÇ_MOV[[#This Row],[FORMA DE PAGAMENTO]],CAD_Forma_pagto[],2,0))</f>
        <v>DÉBITO EM CONTA</v>
      </c>
      <c r="AA135" s="524" t="str">
        <f>IF(LANÇ_MOV[[#This Row],[DATA DE LANÇAMENTO]]="","",TEXT(LANÇ_MOV[[#This Row],[DATA DE LANÇAMENTO]],"AAAA"))</f>
        <v>2025</v>
      </c>
      <c r="AB135" s="524" t="str">
        <f>IF(LANÇ_MOV[[#This Row],[DATA DE LANÇAMENTO]]="","",UPPER(TEXT(LANÇ_MOV[[#This Row],[DATA DE LANÇAMENTO]],"MMMM")))</f>
        <v>OUTUBRO</v>
      </c>
      <c r="AC135" s="525" t="str">
        <f>IF(LANÇ_MOV[[#This Row],[DATA DE LANÇAMENTO]]="","",PROPER(TEXT(LANÇ_MOV[[#This Row],[DATA DE LANÇAMENTO]],"M")))</f>
        <v>10</v>
      </c>
      <c r="AD135" s="524" t="str">
        <f>IF(LANÇ_MOV[[#This Row],[DATA DE LANÇAMENTO]]="","",TEXT(LANÇ_MOV[[#This Row],[DATA DE LANÇAMENTO]],"D"))</f>
        <v>1</v>
      </c>
      <c r="AE135" s="526" t="str">
        <f>IF(LANÇ_MOV[[#This Row],[DATA DE VENCIMENTO]]="","",TEXT(LANÇ_MOV[[#This Row],[DATA DE VENCIMENTO]],"AAAA"))</f>
        <v>2026</v>
      </c>
      <c r="AF135" s="526" t="str">
        <f>IF(LANÇ_MOV[[#This Row],[DATA DE VENCIMENTO]]="","",UPPER(TEXT(LANÇ_MOV[[#This Row],[DATA DE VENCIMENTO]],"MMMM")))</f>
        <v>FEVEREIRO</v>
      </c>
      <c r="AG135" s="526" t="str">
        <f>IF(LANÇ_MOV[[#This Row],[DATA DE VENCIMENTO]]="","",TEXT(LANÇ_MOV[[#This Row],[DATA DE VENCIMENTO]],"M"))</f>
        <v>2</v>
      </c>
      <c r="AH135" s="526" t="str">
        <f>IF(LANÇ_MOV[[#This Row],[DATA DE VENCIMENTO]]="","",TEXT(LANÇ_MOV[[#This Row],[DATA DE VENCIMENTO]],"D"))</f>
        <v>25</v>
      </c>
      <c r="AI135" s="526" t="str">
        <f>IF(LANÇ_MOV[[#This Row],[DATA DE PAGAMENTO]]="","",TEXT(LANÇ_MOV[[#This Row],[DATA DE PAGAMENTO]],"AAAA"))</f>
        <v/>
      </c>
      <c r="AJ135" s="527" t="str">
        <f>IF(LANÇ_MOV[[#This Row],[DATA DE PAGAMENTO]]="","",UPPER(TEXT(LANÇ_MOV[[#This Row],[DATA DE PAGAMENTO]],"MMMM")))</f>
        <v/>
      </c>
      <c r="AK135" s="527" t="str">
        <f>IF(LANÇ_MOV[[#This Row],[DATA DE PAGAMENTO]]="","",TEXT(LANÇ_MOV[[#This Row],[DATA DE PAGAMENTO]],"M"))</f>
        <v/>
      </c>
      <c r="AL135" s="526" t="str">
        <f>IF(LANÇ_MOV[[#This Row],[DATA DE PAGAMENTO]]="","",TEXT(LANÇ_MOV[[#This Row],[DATA DE PAGAMENTO]],"D"))</f>
        <v/>
      </c>
      <c r="AM135" s="210"/>
      <c r="BC135" s="112"/>
      <c r="BD135" s="112"/>
    </row>
    <row r="136" spans="2:56" ht="30.05" customHeight="1" x14ac:dyDescent="0.35">
      <c r="B136" s="506">
        <v>45931</v>
      </c>
      <c r="C136" s="535" t="s">
        <v>1661</v>
      </c>
      <c r="D136" s="508" t="s">
        <v>1854</v>
      </c>
      <c r="E136" s="509" t="s">
        <v>1144</v>
      </c>
      <c r="F136" s="510" t="s">
        <v>1552</v>
      </c>
      <c r="G136" s="507"/>
      <c r="H136" s="511"/>
      <c r="I136" s="512" t="s">
        <v>1767</v>
      </c>
      <c r="J136" s="510">
        <v>100</v>
      </c>
      <c r="K136" s="513">
        <v>0</v>
      </c>
      <c r="L136" s="513">
        <v>0</v>
      </c>
      <c r="M136" s="513">
        <v>0</v>
      </c>
      <c r="N136" s="514">
        <f>LANÇ_MOV[[#This Row],[VALOR BRUTO]]-LANÇ_MOV[[#This Row],[DESCONTO]]+LANÇ_MOV[[#This Row],[JUROS]]+LANÇ_MOV[[#This Row],[MULTA]]</f>
        <v>100</v>
      </c>
      <c r="O136" s="528">
        <v>46106</v>
      </c>
      <c r="P136" s="516" t="str">
        <f t="shared" ca="1" si="2"/>
        <v>Prazo - Mais de 1 mês</v>
      </c>
      <c r="Q136" s="530"/>
      <c r="R136" s="529" t="s">
        <v>1646</v>
      </c>
      <c r="S136" s="531"/>
      <c r="T136" s="518" t="s">
        <v>1767</v>
      </c>
      <c r="U136" s="519" t="s">
        <v>2008</v>
      </c>
      <c r="V136" s="520" t="str">
        <f>IFERROR(VLOOKUP(LANÇ_MOV[[#This Row],[PLANO DE CONTAS]],Plano_Contas[[PLANO DE CONTAS]:[R / D]],3,0),"")</f>
        <v>Despesa</v>
      </c>
      <c r="W136" s="521" t="str">
        <f>IF(LANÇ_MOV[[#This Row],[DATA DE PAGAMENTO]]&lt;&gt;"","Pago","Não Pago")</f>
        <v>Não Pago</v>
      </c>
      <c r="X136" s="522" t="str">
        <f>IFERROR(IF(LANÇ_MOV[[#This Row],[DATA DE PAGAMENTO]]="","",(UPPER(TEXT(LANÇ_MOV[[#This Row],[DATA DE PAGAMENTO]],"mmmm")))),"")</f>
        <v/>
      </c>
      <c r="Y136" s="523" t="str">
        <f>IFERROR(VLOOKUP(LANÇ_MOV[[#This Row],[PLANO DE CONTAS]],Plano_Contas[[PLANO DE CONTAS]:[NOMES INTERVALOS]],2,0),"")</f>
        <v>Despesas_Administrativas</v>
      </c>
      <c r="Z136" s="523" t="str">
        <f>IF(LANÇ_MOV[[#This Row],[FORMA DE PAGAMENTO]]="","",VLOOKUP(LANÇ_MOV[[#This Row],[FORMA DE PAGAMENTO]],CAD_Forma_pagto[],2,0))</f>
        <v>DÉBITO EM CONTA</v>
      </c>
      <c r="AA136" s="524" t="str">
        <f>IF(LANÇ_MOV[[#This Row],[DATA DE LANÇAMENTO]]="","",TEXT(LANÇ_MOV[[#This Row],[DATA DE LANÇAMENTO]],"AAAA"))</f>
        <v>2025</v>
      </c>
      <c r="AB136" s="524" t="str">
        <f>IF(LANÇ_MOV[[#This Row],[DATA DE LANÇAMENTO]]="","",UPPER(TEXT(LANÇ_MOV[[#This Row],[DATA DE LANÇAMENTO]],"MMMM")))</f>
        <v>OUTUBRO</v>
      </c>
      <c r="AC136" s="525" t="str">
        <f>IF(LANÇ_MOV[[#This Row],[DATA DE LANÇAMENTO]]="","",PROPER(TEXT(LANÇ_MOV[[#This Row],[DATA DE LANÇAMENTO]],"M")))</f>
        <v>10</v>
      </c>
      <c r="AD136" s="524" t="str">
        <f>IF(LANÇ_MOV[[#This Row],[DATA DE LANÇAMENTO]]="","",TEXT(LANÇ_MOV[[#This Row],[DATA DE LANÇAMENTO]],"D"))</f>
        <v>1</v>
      </c>
      <c r="AE136" s="526" t="str">
        <f>IF(LANÇ_MOV[[#This Row],[DATA DE VENCIMENTO]]="","",TEXT(LANÇ_MOV[[#This Row],[DATA DE VENCIMENTO]],"AAAA"))</f>
        <v>2026</v>
      </c>
      <c r="AF136" s="526" t="str">
        <f>IF(LANÇ_MOV[[#This Row],[DATA DE VENCIMENTO]]="","",UPPER(TEXT(LANÇ_MOV[[#This Row],[DATA DE VENCIMENTO]],"MMMM")))</f>
        <v>MARÇO</v>
      </c>
      <c r="AG136" s="526" t="str">
        <f>IF(LANÇ_MOV[[#This Row],[DATA DE VENCIMENTO]]="","",TEXT(LANÇ_MOV[[#This Row],[DATA DE VENCIMENTO]],"M"))</f>
        <v>3</v>
      </c>
      <c r="AH136" s="526" t="str">
        <f>IF(LANÇ_MOV[[#This Row],[DATA DE VENCIMENTO]]="","",TEXT(LANÇ_MOV[[#This Row],[DATA DE VENCIMENTO]],"D"))</f>
        <v>25</v>
      </c>
      <c r="AI136" s="526" t="str">
        <f>IF(LANÇ_MOV[[#This Row],[DATA DE PAGAMENTO]]="","",TEXT(LANÇ_MOV[[#This Row],[DATA DE PAGAMENTO]],"AAAA"))</f>
        <v/>
      </c>
      <c r="AJ136" s="527" t="str">
        <f>IF(LANÇ_MOV[[#This Row],[DATA DE PAGAMENTO]]="","",UPPER(TEXT(LANÇ_MOV[[#This Row],[DATA DE PAGAMENTO]],"MMMM")))</f>
        <v/>
      </c>
      <c r="AK136" s="527" t="str">
        <f>IF(LANÇ_MOV[[#This Row],[DATA DE PAGAMENTO]]="","",TEXT(LANÇ_MOV[[#This Row],[DATA DE PAGAMENTO]],"M"))</f>
        <v/>
      </c>
      <c r="AL136" s="526" t="str">
        <f>IF(LANÇ_MOV[[#This Row],[DATA DE PAGAMENTO]]="","",TEXT(LANÇ_MOV[[#This Row],[DATA DE PAGAMENTO]],"D"))</f>
        <v/>
      </c>
      <c r="AM136" s="210"/>
      <c r="BC136" s="112"/>
      <c r="BD136" s="112"/>
    </row>
    <row r="137" spans="2:56" ht="30.05" customHeight="1" x14ac:dyDescent="0.35">
      <c r="B137" s="506">
        <v>45931</v>
      </c>
      <c r="C137" s="507" t="s">
        <v>1661</v>
      </c>
      <c r="D137" s="508" t="s">
        <v>1854</v>
      </c>
      <c r="E137" s="509" t="s">
        <v>1144</v>
      </c>
      <c r="F137" s="510" t="s">
        <v>1552</v>
      </c>
      <c r="G137" s="507"/>
      <c r="H137" s="511"/>
      <c r="I137" s="512" t="s">
        <v>1767</v>
      </c>
      <c r="J137" s="510">
        <v>100</v>
      </c>
      <c r="K137" s="513">
        <v>0</v>
      </c>
      <c r="L137" s="513">
        <v>0</v>
      </c>
      <c r="M137" s="513">
        <v>0</v>
      </c>
      <c r="N137" s="514">
        <f>LANÇ_MOV[[#This Row],[VALOR BRUTO]]-LANÇ_MOV[[#This Row],[DESCONTO]]+LANÇ_MOV[[#This Row],[JUROS]]+LANÇ_MOV[[#This Row],[MULTA]]</f>
        <v>100</v>
      </c>
      <c r="O137" s="528">
        <v>46137</v>
      </c>
      <c r="P137" s="516" t="str">
        <f t="shared" ca="1" si="2"/>
        <v>Prazo - Mais de 1 mês</v>
      </c>
      <c r="Q137" s="530"/>
      <c r="R137" s="529" t="s">
        <v>1646</v>
      </c>
      <c r="S137" s="531"/>
      <c r="T137" s="518" t="s">
        <v>1767</v>
      </c>
      <c r="U137" s="519" t="s">
        <v>2008</v>
      </c>
      <c r="V137" s="520" t="str">
        <f>IFERROR(VLOOKUP(LANÇ_MOV[[#This Row],[PLANO DE CONTAS]],Plano_Contas[[PLANO DE CONTAS]:[R / D]],3,0),"")</f>
        <v>Despesa</v>
      </c>
      <c r="W137" s="521" t="str">
        <f>IF(LANÇ_MOV[[#This Row],[DATA DE PAGAMENTO]]&lt;&gt;"","Pago","Não Pago")</f>
        <v>Não Pago</v>
      </c>
      <c r="X137" s="522" t="str">
        <f>IFERROR(IF(LANÇ_MOV[[#This Row],[DATA DE PAGAMENTO]]="","",(UPPER(TEXT(LANÇ_MOV[[#This Row],[DATA DE PAGAMENTO]],"mmmm")))),"")</f>
        <v/>
      </c>
      <c r="Y137" s="523" t="str">
        <f>IFERROR(VLOOKUP(LANÇ_MOV[[#This Row],[PLANO DE CONTAS]],Plano_Contas[[PLANO DE CONTAS]:[NOMES INTERVALOS]],2,0),"")</f>
        <v>Despesas_Administrativas</v>
      </c>
      <c r="Z137" s="523" t="str">
        <f>IF(LANÇ_MOV[[#This Row],[FORMA DE PAGAMENTO]]="","",VLOOKUP(LANÇ_MOV[[#This Row],[FORMA DE PAGAMENTO]],CAD_Forma_pagto[],2,0))</f>
        <v>DÉBITO EM CONTA</v>
      </c>
      <c r="AA137" s="524" t="str">
        <f>IF(LANÇ_MOV[[#This Row],[DATA DE LANÇAMENTO]]="","",TEXT(LANÇ_MOV[[#This Row],[DATA DE LANÇAMENTO]],"AAAA"))</f>
        <v>2025</v>
      </c>
      <c r="AB137" s="524" t="str">
        <f>IF(LANÇ_MOV[[#This Row],[DATA DE LANÇAMENTO]]="","",UPPER(TEXT(LANÇ_MOV[[#This Row],[DATA DE LANÇAMENTO]],"MMMM")))</f>
        <v>OUTUBRO</v>
      </c>
      <c r="AC137" s="525" t="str">
        <f>IF(LANÇ_MOV[[#This Row],[DATA DE LANÇAMENTO]]="","",PROPER(TEXT(LANÇ_MOV[[#This Row],[DATA DE LANÇAMENTO]],"M")))</f>
        <v>10</v>
      </c>
      <c r="AD137" s="524" t="str">
        <f>IF(LANÇ_MOV[[#This Row],[DATA DE LANÇAMENTO]]="","",TEXT(LANÇ_MOV[[#This Row],[DATA DE LANÇAMENTO]],"D"))</f>
        <v>1</v>
      </c>
      <c r="AE137" s="526" t="str">
        <f>IF(LANÇ_MOV[[#This Row],[DATA DE VENCIMENTO]]="","",TEXT(LANÇ_MOV[[#This Row],[DATA DE VENCIMENTO]],"AAAA"))</f>
        <v>2026</v>
      </c>
      <c r="AF137" s="526" t="str">
        <f>IF(LANÇ_MOV[[#This Row],[DATA DE VENCIMENTO]]="","",UPPER(TEXT(LANÇ_MOV[[#This Row],[DATA DE VENCIMENTO]],"MMMM")))</f>
        <v>ABRIL</v>
      </c>
      <c r="AG137" s="526" t="str">
        <f>IF(LANÇ_MOV[[#This Row],[DATA DE VENCIMENTO]]="","",TEXT(LANÇ_MOV[[#This Row],[DATA DE VENCIMENTO]],"M"))</f>
        <v>4</v>
      </c>
      <c r="AH137" s="526" t="str">
        <f>IF(LANÇ_MOV[[#This Row],[DATA DE VENCIMENTO]]="","",TEXT(LANÇ_MOV[[#This Row],[DATA DE VENCIMENTO]],"D"))</f>
        <v>25</v>
      </c>
      <c r="AI137" s="526" t="str">
        <f>IF(LANÇ_MOV[[#This Row],[DATA DE PAGAMENTO]]="","",TEXT(LANÇ_MOV[[#This Row],[DATA DE PAGAMENTO]],"AAAA"))</f>
        <v/>
      </c>
      <c r="AJ137" s="527" t="str">
        <f>IF(LANÇ_MOV[[#This Row],[DATA DE PAGAMENTO]]="","",UPPER(TEXT(LANÇ_MOV[[#This Row],[DATA DE PAGAMENTO]],"MMMM")))</f>
        <v/>
      </c>
      <c r="AK137" s="527" t="str">
        <f>IF(LANÇ_MOV[[#This Row],[DATA DE PAGAMENTO]]="","",TEXT(LANÇ_MOV[[#This Row],[DATA DE PAGAMENTO]],"M"))</f>
        <v/>
      </c>
      <c r="AL137" s="526" t="str">
        <f>IF(LANÇ_MOV[[#This Row],[DATA DE PAGAMENTO]]="","",TEXT(LANÇ_MOV[[#This Row],[DATA DE PAGAMENTO]],"D"))</f>
        <v/>
      </c>
      <c r="AM137" s="210"/>
      <c r="BC137" s="112"/>
      <c r="BD137" s="112"/>
    </row>
    <row r="138" spans="2:56" ht="30.05" customHeight="1" x14ac:dyDescent="0.35">
      <c r="B138" s="506">
        <v>45931</v>
      </c>
      <c r="C138" s="507" t="s">
        <v>1661</v>
      </c>
      <c r="D138" s="508" t="s">
        <v>1854</v>
      </c>
      <c r="E138" s="509" t="s">
        <v>1144</v>
      </c>
      <c r="F138" s="510" t="s">
        <v>1552</v>
      </c>
      <c r="G138" s="507"/>
      <c r="H138" s="511"/>
      <c r="I138" s="512" t="s">
        <v>1767</v>
      </c>
      <c r="J138" s="510">
        <v>100</v>
      </c>
      <c r="K138" s="513">
        <v>0</v>
      </c>
      <c r="L138" s="513">
        <v>0</v>
      </c>
      <c r="M138" s="513">
        <v>0</v>
      </c>
      <c r="N138" s="514">
        <f>LANÇ_MOV[[#This Row],[VALOR BRUTO]]-LANÇ_MOV[[#This Row],[DESCONTO]]+LANÇ_MOV[[#This Row],[JUROS]]+LANÇ_MOV[[#This Row],[MULTA]]</f>
        <v>100</v>
      </c>
      <c r="O138" s="528">
        <v>46167</v>
      </c>
      <c r="P138" s="516" t="str">
        <f t="shared" ca="1" si="2"/>
        <v>Prazo - Mais de 1 mês</v>
      </c>
      <c r="Q138" s="530"/>
      <c r="R138" s="529" t="s">
        <v>1646</v>
      </c>
      <c r="S138" s="531"/>
      <c r="T138" s="518" t="s">
        <v>1767</v>
      </c>
      <c r="U138" s="519" t="s">
        <v>2008</v>
      </c>
      <c r="V138" s="520" t="str">
        <f>IFERROR(VLOOKUP(LANÇ_MOV[[#This Row],[PLANO DE CONTAS]],Plano_Contas[[PLANO DE CONTAS]:[R / D]],3,0),"")</f>
        <v>Despesa</v>
      </c>
      <c r="W138" s="521" t="str">
        <f>IF(LANÇ_MOV[[#This Row],[DATA DE PAGAMENTO]]&lt;&gt;"","Pago","Não Pago")</f>
        <v>Não Pago</v>
      </c>
      <c r="X138" s="522" t="str">
        <f>IFERROR(IF(LANÇ_MOV[[#This Row],[DATA DE PAGAMENTO]]="","",(UPPER(TEXT(LANÇ_MOV[[#This Row],[DATA DE PAGAMENTO]],"mmmm")))),"")</f>
        <v/>
      </c>
      <c r="Y138" s="523" t="str">
        <f>IFERROR(VLOOKUP(LANÇ_MOV[[#This Row],[PLANO DE CONTAS]],Plano_Contas[[PLANO DE CONTAS]:[NOMES INTERVALOS]],2,0),"")</f>
        <v>Despesas_Administrativas</v>
      </c>
      <c r="Z138" s="523" t="str">
        <f>IF(LANÇ_MOV[[#This Row],[FORMA DE PAGAMENTO]]="","",VLOOKUP(LANÇ_MOV[[#This Row],[FORMA DE PAGAMENTO]],CAD_Forma_pagto[],2,0))</f>
        <v>DÉBITO EM CONTA</v>
      </c>
      <c r="AA138" s="524" t="str">
        <f>IF(LANÇ_MOV[[#This Row],[DATA DE LANÇAMENTO]]="","",TEXT(LANÇ_MOV[[#This Row],[DATA DE LANÇAMENTO]],"AAAA"))</f>
        <v>2025</v>
      </c>
      <c r="AB138" s="524" t="str">
        <f>IF(LANÇ_MOV[[#This Row],[DATA DE LANÇAMENTO]]="","",UPPER(TEXT(LANÇ_MOV[[#This Row],[DATA DE LANÇAMENTO]],"MMMM")))</f>
        <v>OUTUBRO</v>
      </c>
      <c r="AC138" s="525" t="str">
        <f>IF(LANÇ_MOV[[#This Row],[DATA DE LANÇAMENTO]]="","",PROPER(TEXT(LANÇ_MOV[[#This Row],[DATA DE LANÇAMENTO]],"M")))</f>
        <v>10</v>
      </c>
      <c r="AD138" s="524" t="str">
        <f>IF(LANÇ_MOV[[#This Row],[DATA DE LANÇAMENTO]]="","",TEXT(LANÇ_MOV[[#This Row],[DATA DE LANÇAMENTO]],"D"))</f>
        <v>1</v>
      </c>
      <c r="AE138" s="526" t="str">
        <f>IF(LANÇ_MOV[[#This Row],[DATA DE VENCIMENTO]]="","",TEXT(LANÇ_MOV[[#This Row],[DATA DE VENCIMENTO]],"AAAA"))</f>
        <v>2026</v>
      </c>
      <c r="AF138" s="526" t="str">
        <f>IF(LANÇ_MOV[[#This Row],[DATA DE VENCIMENTO]]="","",UPPER(TEXT(LANÇ_MOV[[#This Row],[DATA DE VENCIMENTO]],"MMMM")))</f>
        <v>MAIO</v>
      </c>
      <c r="AG138" s="526" t="str">
        <f>IF(LANÇ_MOV[[#This Row],[DATA DE VENCIMENTO]]="","",TEXT(LANÇ_MOV[[#This Row],[DATA DE VENCIMENTO]],"M"))</f>
        <v>5</v>
      </c>
      <c r="AH138" s="526" t="str">
        <f>IF(LANÇ_MOV[[#This Row],[DATA DE VENCIMENTO]]="","",TEXT(LANÇ_MOV[[#This Row],[DATA DE VENCIMENTO]],"D"))</f>
        <v>25</v>
      </c>
      <c r="AI138" s="526" t="str">
        <f>IF(LANÇ_MOV[[#This Row],[DATA DE PAGAMENTO]]="","",TEXT(LANÇ_MOV[[#This Row],[DATA DE PAGAMENTO]],"AAAA"))</f>
        <v/>
      </c>
      <c r="AJ138" s="527" t="str">
        <f>IF(LANÇ_MOV[[#This Row],[DATA DE PAGAMENTO]]="","",UPPER(TEXT(LANÇ_MOV[[#This Row],[DATA DE PAGAMENTO]],"MMMM")))</f>
        <v/>
      </c>
      <c r="AK138" s="527" t="str">
        <f>IF(LANÇ_MOV[[#This Row],[DATA DE PAGAMENTO]]="","",TEXT(LANÇ_MOV[[#This Row],[DATA DE PAGAMENTO]],"M"))</f>
        <v/>
      </c>
      <c r="AL138" s="526" t="str">
        <f>IF(LANÇ_MOV[[#This Row],[DATA DE PAGAMENTO]]="","",TEXT(LANÇ_MOV[[#This Row],[DATA DE PAGAMENTO]],"D"))</f>
        <v/>
      </c>
      <c r="AM138" s="210"/>
      <c r="BC138" s="112"/>
      <c r="BD138" s="112"/>
    </row>
    <row r="139" spans="2:56" ht="30.05" customHeight="1" x14ac:dyDescent="0.35">
      <c r="B139" s="517">
        <v>45931</v>
      </c>
      <c r="C139" s="507" t="s">
        <v>1661</v>
      </c>
      <c r="D139" s="508" t="s">
        <v>1854</v>
      </c>
      <c r="E139" s="509" t="s">
        <v>1144</v>
      </c>
      <c r="F139" s="510" t="s">
        <v>1552</v>
      </c>
      <c r="G139" s="507"/>
      <c r="H139" s="511"/>
      <c r="I139" s="512" t="s">
        <v>1767</v>
      </c>
      <c r="J139" s="510">
        <v>100</v>
      </c>
      <c r="K139" s="513">
        <v>0</v>
      </c>
      <c r="L139" s="513">
        <v>0</v>
      </c>
      <c r="M139" s="513">
        <v>0</v>
      </c>
      <c r="N139" s="514">
        <f>LANÇ_MOV[[#This Row],[VALOR BRUTO]]-LANÇ_MOV[[#This Row],[DESCONTO]]+LANÇ_MOV[[#This Row],[JUROS]]+LANÇ_MOV[[#This Row],[MULTA]]</f>
        <v>100</v>
      </c>
      <c r="O139" s="528">
        <v>46198</v>
      </c>
      <c r="P139" s="516" t="str">
        <f t="shared" ca="1" si="2"/>
        <v>Prazo - Mais de 1 mês</v>
      </c>
      <c r="Q139" s="530"/>
      <c r="R139" s="529" t="s">
        <v>1646</v>
      </c>
      <c r="S139" s="531"/>
      <c r="T139" s="518" t="s">
        <v>1767</v>
      </c>
      <c r="U139" s="519" t="s">
        <v>2008</v>
      </c>
      <c r="V139" s="520" t="str">
        <f>IFERROR(VLOOKUP(LANÇ_MOV[[#This Row],[PLANO DE CONTAS]],Plano_Contas[[PLANO DE CONTAS]:[R / D]],3,0),"")</f>
        <v>Despesa</v>
      </c>
      <c r="W139" s="521" t="str">
        <f>IF(LANÇ_MOV[[#This Row],[DATA DE PAGAMENTO]]&lt;&gt;"","Pago","Não Pago")</f>
        <v>Não Pago</v>
      </c>
      <c r="X139" s="522" t="str">
        <f>IFERROR(IF(LANÇ_MOV[[#This Row],[DATA DE PAGAMENTO]]="","",(UPPER(TEXT(LANÇ_MOV[[#This Row],[DATA DE PAGAMENTO]],"mmmm")))),"")</f>
        <v/>
      </c>
      <c r="Y139" s="523" t="str">
        <f>IFERROR(VLOOKUP(LANÇ_MOV[[#This Row],[PLANO DE CONTAS]],Plano_Contas[[PLANO DE CONTAS]:[NOMES INTERVALOS]],2,0),"")</f>
        <v>Despesas_Administrativas</v>
      </c>
      <c r="Z139" s="523" t="str">
        <f>IF(LANÇ_MOV[[#This Row],[FORMA DE PAGAMENTO]]="","",VLOOKUP(LANÇ_MOV[[#This Row],[FORMA DE PAGAMENTO]],CAD_Forma_pagto[],2,0))</f>
        <v>DÉBITO EM CONTA</v>
      </c>
      <c r="AA139" s="524" t="str">
        <f>IF(LANÇ_MOV[[#This Row],[DATA DE LANÇAMENTO]]="","",TEXT(LANÇ_MOV[[#This Row],[DATA DE LANÇAMENTO]],"AAAA"))</f>
        <v>2025</v>
      </c>
      <c r="AB139" s="524" t="str">
        <f>IF(LANÇ_MOV[[#This Row],[DATA DE LANÇAMENTO]]="","",UPPER(TEXT(LANÇ_MOV[[#This Row],[DATA DE LANÇAMENTO]],"MMMM")))</f>
        <v>OUTUBRO</v>
      </c>
      <c r="AC139" s="525" t="str">
        <f>IF(LANÇ_MOV[[#This Row],[DATA DE LANÇAMENTO]]="","",PROPER(TEXT(LANÇ_MOV[[#This Row],[DATA DE LANÇAMENTO]],"M")))</f>
        <v>10</v>
      </c>
      <c r="AD139" s="524" t="str">
        <f>IF(LANÇ_MOV[[#This Row],[DATA DE LANÇAMENTO]]="","",TEXT(LANÇ_MOV[[#This Row],[DATA DE LANÇAMENTO]],"D"))</f>
        <v>1</v>
      </c>
      <c r="AE139" s="526" t="str">
        <f>IF(LANÇ_MOV[[#This Row],[DATA DE VENCIMENTO]]="","",TEXT(LANÇ_MOV[[#This Row],[DATA DE VENCIMENTO]],"AAAA"))</f>
        <v>2026</v>
      </c>
      <c r="AF139" s="526" t="str">
        <f>IF(LANÇ_MOV[[#This Row],[DATA DE VENCIMENTO]]="","",UPPER(TEXT(LANÇ_MOV[[#This Row],[DATA DE VENCIMENTO]],"MMMM")))</f>
        <v>JUNHO</v>
      </c>
      <c r="AG139" s="526" t="str">
        <f>IF(LANÇ_MOV[[#This Row],[DATA DE VENCIMENTO]]="","",TEXT(LANÇ_MOV[[#This Row],[DATA DE VENCIMENTO]],"M"))</f>
        <v>6</v>
      </c>
      <c r="AH139" s="526" t="str">
        <f>IF(LANÇ_MOV[[#This Row],[DATA DE VENCIMENTO]]="","",TEXT(LANÇ_MOV[[#This Row],[DATA DE VENCIMENTO]],"D"))</f>
        <v>25</v>
      </c>
      <c r="AI139" s="526" t="str">
        <f>IF(LANÇ_MOV[[#This Row],[DATA DE PAGAMENTO]]="","",TEXT(LANÇ_MOV[[#This Row],[DATA DE PAGAMENTO]],"AAAA"))</f>
        <v/>
      </c>
      <c r="AJ139" s="527" t="str">
        <f>IF(LANÇ_MOV[[#This Row],[DATA DE PAGAMENTO]]="","",UPPER(TEXT(LANÇ_MOV[[#This Row],[DATA DE PAGAMENTO]],"MMMM")))</f>
        <v/>
      </c>
      <c r="AK139" s="527" t="str">
        <f>IF(LANÇ_MOV[[#This Row],[DATA DE PAGAMENTO]]="","",TEXT(LANÇ_MOV[[#This Row],[DATA DE PAGAMENTO]],"M"))</f>
        <v/>
      </c>
      <c r="AL139" s="526" t="str">
        <f>IF(LANÇ_MOV[[#This Row],[DATA DE PAGAMENTO]]="","",TEXT(LANÇ_MOV[[#This Row],[DATA DE PAGAMENTO]],"D"))</f>
        <v/>
      </c>
      <c r="AM139" s="27"/>
      <c r="BB139" s="112"/>
      <c r="BC139" s="112"/>
      <c r="BD139" s="112"/>
    </row>
    <row r="140" spans="2:56" ht="30.05" customHeight="1" x14ac:dyDescent="0.35">
      <c r="B140" s="506">
        <v>45931</v>
      </c>
      <c r="C140" s="507" t="s">
        <v>1661</v>
      </c>
      <c r="D140" s="508" t="s">
        <v>1854</v>
      </c>
      <c r="E140" s="509" t="s">
        <v>1144</v>
      </c>
      <c r="F140" s="510" t="s">
        <v>1552</v>
      </c>
      <c r="G140" s="507"/>
      <c r="H140" s="511"/>
      <c r="I140" s="512" t="s">
        <v>1767</v>
      </c>
      <c r="J140" s="510">
        <v>100</v>
      </c>
      <c r="K140" s="513">
        <v>0</v>
      </c>
      <c r="L140" s="513">
        <v>0</v>
      </c>
      <c r="M140" s="513">
        <v>0</v>
      </c>
      <c r="N140" s="514">
        <f>LANÇ_MOV[[#This Row],[VALOR BRUTO]]-LANÇ_MOV[[#This Row],[DESCONTO]]+LANÇ_MOV[[#This Row],[JUROS]]+LANÇ_MOV[[#This Row],[MULTA]]</f>
        <v>100</v>
      </c>
      <c r="O140" s="528">
        <v>46228</v>
      </c>
      <c r="P140" s="516" t="str">
        <f t="shared" ca="1" si="2"/>
        <v>Prazo - Mais de 1 mês</v>
      </c>
      <c r="Q140" s="530"/>
      <c r="R140" s="529" t="s">
        <v>1646</v>
      </c>
      <c r="S140" s="531"/>
      <c r="T140" s="518" t="s">
        <v>1767</v>
      </c>
      <c r="U140" s="519" t="s">
        <v>2008</v>
      </c>
      <c r="V140" s="520" t="str">
        <f>IFERROR(VLOOKUP(LANÇ_MOV[[#This Row],[PLANO DE CONTAS]],Plano_Contas[[PLANO DE CONTAS]:[R / D]],3,0),"")</f>
        <v>Despesa</v>
      </c>
      <c r="W140" s="521" t="str">
        <f>IF(LANÇ_MOV[[#This Row],[DATA DE PAGAMENTO]]&lt;&gt;"","Pago","Não Pago")</f>
        <v>Não Pago</v>
      </c>
      <c r="X140" s="522" t="str">
        <f>IFERROR(IF(LANÇ_MOV[[#This Row],[DATA DE PAGAMENTO]]="","",(UPPER(TEXT(LANÇ_MOV[[#This Row],[DATA DE PAGAMENTO]],"mmmm")))),"")</f>
        <v/>
      </c>
      <c r="Y140" s="523" t="str">
        <f>IFERROR(VLOOKUP(LANÇ_MOV[[#This Row],[PLANO DE CONTAS]],Plano_Contas[[PLANO DE CONTAS]:[NOMES INTERVALOS]],2,0),"")</f>
        <v>Despesas_Administrativas</v>
      </c>
      <c r="Z140" s="523" t="str">
        <f>IF(LANÇ_MOV[[#This Row],[FORMA DE PAGAMENTO]]="","",VLOOKUP(LANÇ_MOV[[#This Row],[FORMA DE PAGAMENTO]],CAD_Forma_pagto[],2,0))</f>
        <v>DÉBITO EM CONTA</v>
      </c>
      <c r="AA140" s="524" t="str">
        <f>IF(LANÇ_MOV[[#This Row],[DATA DE LANÇAMENTO]]="","",TEXT(LANÇ_MOV[[#This Row],[DATA DE LANÇAMENTO]],"AAAA"))</f>
        <v>2025</v>
      </c>
      <c r="AB140" s="524" t="str">
        <f>IF(LANÇ_MOV[[#This Row],[DATA DE LANÇAMENTO]]="","",UPPER(TEXT(LANÇ_MOV[[#This Row],[DATA DE LANÇAMENTO]],"MMMM")))</f>
        <v>OUTUBRO</v>
      </c>
      <c r="AC140" s="525" t="str">
        <f>IF(LANÇ_MOV[[#This Row],[DATA DE LANÇAMENTO]]="","",PROPER(TEXT(LANÇ_MOV[[#This Row],[DATA DE LANÇAMENTO]],"M")))</f>
        <v>10</v>
      </c>
      <c r="AD140" s="524" t="str">
        <f>IF(LANÇ_MOV[[#This Row],[DATA DE LANÇAMENTO]]="","",TEXT(LANÇ_MOV[[#This Row],[DATA DE LANÇAMENTO]],"D"))</f>
        <v>1</v>
      </c>
      <c r="AE140" s="526" t="str">
        <f>IF(LANÇ_MOV[[#This Row],[DATA DE VENCIMENTO]]="","",TEXT(LANÇ_MOV[[#This Row],[DATA DE VENCIMENTO]],"AAAA"))</f>
        <v>2026</v>
      </c>
      <c r="AF140" s="526" t="str">
        <f>IF(LANÇ_MOV[[#This Row],[DATA DE VENCIMENTO]]="","",UPPER(TEXT(LANÇ_MOV[[#This Row],[DATA DE VENCIMENTO]],"MMMM")))</f>
        <v>JULHO</v>
      </c>
      <c r="AG140" s="526" t="str">
        <f>IF(LANÇ_MOV[[#This Row],[DATA DE VENCIMENTO]]="","",TEXT(LANÇ_MOV[[#This Row],[DATA DE VENCIMENTO]],"M"))</f>
        <v>7</v>
      </c>
      <c r="AH140" s="526" t="str">
        <f>IF(LANÇ_MOV[[#This Row],[DATA DE VENCIMENTO]]="","",TEXT(LANÇ_MOV[[#This Row],[DATA DE VENCIMENTO]],"D"))</f>
        <v>25</v>
      </c>
      <c r="AI140" s="526" t="str">
        <f>IF(LANÇ_MOV[[#This Row],[DATA DE PAGAMENTO]]="","",TEXT(LANÇ_MOV[[#This Row],[DATA DE PAGAMENTO]],"AAAA"))</f>
        <v/>
      </c>
      <c r="AJ140" s="527" t="str">
        <f>IF(LANÇ_MOV[[#This Row],[DATA DE PAGAMENTO]]="","",UPPER(TEXT(LANÇ_MOV[[#This Row],[DATA DE PAGAMENTO]],"MMMM")))</f>
        <v/>
      </c>
      <c r="AK140" s="527" t="str">
        <f>IF(LANÇ_MOV[[#This Row],[DATA DE PAGAMENTO]]="","",TEXT(LANÇ_MOV[[#This Row],[DATA DE PAGAMENTO]],"M"))</f>
        <v/>
      </c>
      <c r="AL140" s="526" t="str">
        <f>IF(LANÇ_MOV[[#This Row],[DATA DE PAGAMENTO]]="","",TEXT(LANÇ_MOV[[#This Row],[DATA DE PAGAMENTO]],"D"))</f>
        <v/>
      </c>
      <c r="AM140" s="27"/>
      <c r="BB140" s="112"/>
      <c r="BC140" s="112"/>
      <c r="BD140" s="112"/>
    </row>
    <row r="141" spans="2:56" ht="30.05" customHeight="1" x14ac:dyDescent="0.35">
      <c r="B141" s="506">
        <v>45931</v>
      </c>
      <c r="C141" s="507" t="s">
        <v>1661</v>
      </c>
      <c r="D141" s="508" t="s">
        <v>1854</v>
      </c>
      <c r="E141" s="509" t="s">
        <v>1144</v>
      </c>
      <c r="F141" s="510" t="s">
        <v>1552</v>
      </c>
      <c r="G141" s="507"/>
      <c r="H141" s="511"/>
      <c r="I141" s="512" t="s">
        <v>1767</v>
      </c>
      <c r="J141" s="510">
        <v>100</v>
      </c>
      <c r="K141" s="513">
        <v>0</v>
      </c>
      <c r="L141" s="513">
        <v>0</v>
      </c>
      <c r="M141" s="513">
        <v>0</v>
      </c>
      <c r="N141" s="514">
        <f>LANÇ_MOV[[#This Row],[VALOR BRUTO]]-LANÇ_MOV[[#This Row],[DESCONTO]]+LANÇ_MOV[[#This Row],[JUROS]]+LANÇ_MOV[[#This Row],[MULTA]]</f>
        <v>100</v>
      </c>
      <c r="O141" s="528">
        <v>46259</v>
      </c>
      <c r="P141" s="516" t="str">
        <f t="shared" ca="1" si="2"/>
        <v>Prazo - Mais de 1 mês</v>
      </c>
      <c r="Q141" s="528"/>
      <c r="R141" s="529" t="s">
        <v>1646</v>
      </c>
      <c r="S141" s="518"/>
      <c r="T141" s="518" t="s">
        <v>1767</v>
      </c>
      <c r="U141" s="519" t="s">
        <v>2008</v>
      </c>
      <c r="V141" s="520" t="str">
        <f>IFERROR(VLOOKUP(LANÇ_MOV[[#This Row],[PLANO DE CONTAS]],Plano_Contas[[PLANO DE CONTAS]:[R / D]],3,0),"")</f>
        <v>Despesa</v>
      </c>
      <c r="W141" s="521" t="str">
        <f>IF(LANÇ_MOV[[#This Row],[DATA DE PAGAMENTO]]&lt;&gt;"","Pago","Não Pago")</f>
        <v>Não Pago</v>
      </c>
      <c r="X141" s="522" t="str">
        <f>IFERROR(IF(LANÇ_MOV[[#This Row],[DATA DE PAGAMENTO]]="","",(UPPER(TEXT(LANÇ_MOV[[#This Row],[DATA DE PAGAMENTO]],"mmmm")))),"")</f>
        <v/>
      </c>
      <c r="Y141" s="523" t="str">
        <f>IFERROR(VLOOKUP(LANÇ_MOV[[#This Row],[PLANO DE CONTAS]],Plano_Contas[[PLANO DE CONTAS]:[NOMES INTERVALOS]],2,0),"")</f>
        <v>Despesas_Administrativas</v>
      </c>
      <c r="Z141" s="523" t="str">
        <f>IF(LANÇ_MOV[[#This Row],[FORMA DE PAGAMENTO]]="","",VLOOKUP(LANÇ_MOV[[#This Row],[FORMA DE PAGAMENTO]],CAD_Forma_pagto[],2,0))</f>
        <v>DÉBITO EM CONTA</v>
      </c>
      <c r="AA141" s="524" t="str">
        <f>IF(LANÇ_MOV[[#This Row],[DATA DE LANÇAMENTO]]="","",TEXT(LANÇ_MOV[[#This Row],[DATA DE LANÇAMENTO]],"AAAA"))</f>
        <v>2025</v>
      </c>
      <c r="AB141" s="524" t="str">
        <f>IF(LANÇ_MOV[[#This Row],[DATA DE LANÇAMENTO]]="","",UPPER(TEXT(LANÇ_MOV[[#This Row],[DATA DE LANÇAMENTO]],"MMMM")))</f>
        <v>OUTUBRO</v>
      </c>
      <c r="AC141" s="525" t="str">
        <f>IF(LANÇ_MOV[[#This Row],[DATA DE LANÇAMENTO]]="","",PROPER(TEXT(LANÇ_MOV[[#This Row],[DATA DE LANÇAMENTO]],"M")))</f>
        <v>10</v>
      </c>
      <c r="AD141" s="524" t="str">
        <f>IF(LANÇ_MOV[[#This Row],[DATA DE LANÇAMENTO]]="","",TEXT(LANÇ_MOV[[#This Row],[DATA DE LANÇAMENTO]],"D"))</f>
        <v>1</v>
      </c>
      <c r="AE141" s="526" t="str">
        <f>IF(LANÇ_MOV[[#This Row],[DATA DE VENCIMENTO]]="","",TEXT(LANÇ_MOV[[#This Row],[DATA DE VENCIMENTO]],"AAAA"))</f>
        <v>2026</v>
      </c>
      <c r="AF141" s="526" t="str">
        <f>IF(LANÇ_MOV[[#This Row],[DATA DE VENCIMENTO]]="","",UPPER(TEXT(LANÇ_MOV[[#This Row],[DATA DE VENCIMENTO]],"MMMM")))</f>
        <v>AGOSTO</v>
      </c>
      <c r="AG141" s="526" t="str">
        <f>IF(LANÇ_MOV[[#This Row],[DATA DE VENCIMENTO]]="","",TEXT(LANÇ_MOV[[#This Row],[DATA DE VENCIMENTO]],"M"))</f>
        <v>8</v>
      </c>
      <c r="AH141" s="526" t="str">
        <f>IF(LANÇ_MOV[[#This Row],[DATA DE VENCIMENTO]]="","",TEXT(LANÇ_MOV[[#This Row],[DATA DE VENCIMENTO]],"D"))</f>
        <v>25</v>
      </c>
      <c r="AI141" s="526" t="str">
        <f>IF(LANÇ_MOV[[#This Row],[DATA DE PAGAMENTO]]="","",TEXT(LANÇ_MOV[[#This Row],[DATA DE PAGAMENTO]],"AAAA"))</f>
        <v/>
      </c>
      <c r="AJ141" s="527" t="str">
        <f>IF(LANÇ_MOV[[#This Row],[DATA DE PAGAMENTO]]="","",UPPER(TEXT(LANÇ_MOV[[#This Row],[DATA DE PAGAMENTO]],"MMMM")))</f>
        <v/>
      </c>
      <c r="AK141" s="527" t="str">
        <f>IF(LANÇ_MOV[[#This Row],[DATA DE PAGAMENTO]]="","",TEXT(LANÇ_MOV[[#This Row],[DATA DE PAGAMENTO]],"M"))</f>
        <v/>
      </c>
      <c r="AL141" s="526" t="str">
        <f>IF(LANÇ_MOV[[#This Row],[DATA DE PAGAMENTO]]="","",TEXT(LANÇ_MOV[[#This Row],[DATA DE PAGAMENTO]],"D"))</f>
        <v/>
      </c>
      <c r="AM141" s="27"/>
      <c r="BB141" s="112"/>
      <c r="BC141" s="112"/>
      <c r="BD141" s="112"/>
    </row>
    <row r="142" spans="2:56" ht="30.05" customHeight="1" x14ac:dyDescent="0.35">
      <c r="B142" s="506">
        <v>45931</v>
      </c>
      <c r="C142" s="507" t="s">
        <v>1661</v>
      </c>
      <c r="D142" s="508" t="s">
        <v>1854</v>
      </c>
      <c r="E142" s="509" t="s">
        <v>1144</v>
      </c>
      <c r="F142" s="510" t="s">
        <v>1552</v>
      </c>
      <c r="G142" s="507"/>
      <c r="H142" s="511"/>
      <c r="I142" s="512" t="s">
        <v>1767</v>
      </c>
      <c r="J142" s="510">
        <v>100</v>
      </c>
      <c r="K142" s="513">
        <v>0</v>
      </c>
      <c r="L142" s="513">
        <v>0</v>
      </c>
      <c r="M142" s="513">
        <v>0</v>
      </c>
      <c r="N142" s="514">
        <f>LANÇ_MOV[[#This Row],[VALOR BRUTO]]-LANÇ_MOV[[#This Row],[DESCONTO]]+LANÇ_MOV[[#This Row],[JUROS]]+LANÇ_MOV[[#This Row],[MULTA]]</f>
        <v>100</v>
      </c>
      <c r="O142" s="528">
        <v>46290</v>
      </c>
      <c r="P142" s="516" t="str">
        <f t="shared" ca="1" si="2"/>
        <v>Prazo - Mais de 1 mês</v>
      </c>
      <c r="Q142" s="528"/>
      <c r="R142" s="529" t="s">
        <v>1646</v>
      </c>
      <c r="S142" s="518"/>
      <c r="T142" s="518" t="s">
        <v>1767</v>
      </c>
      <c r="U142" s="519" t="s">
        <v>2008</v>
      </c>
      <c r="V142" s="520" t="str">
        <f>IFERROR(VLOOKUP(LANÇ_MOV[[#This Row],[PLANO DE CONTAS]],Plano_Contas[[PLANO DE CONTAS]:[R / D]],3,0),"")</f>
        <v>Despesa</v>
      </c>
      <c r="W142" s="521" t="str">
        <f>IF(LANÇ_MOV[[#This Row],[DATA DE PAGAMENTO]]&lt;&gt;"","Pago","Não Pago")</f>
        <v>Não Pago</v>
      </c>
      <c r="X142" s="522" t="str">
        <f>IFERROR(IF(LANÇ_MOV[[#This Row],[DATA DE PAGAMENTO]]="","",(UPPER(TEXT(LANÇ_MOV[[#This Row],[DATA DE PAGAMENTO]],"mmmm")))),"")</f>
        <v/>
      </c>
      <c r="Y142" s="523" t="str">
        <f>IFERROR(VLOOKUP(LANÇ_MOV[[#This Row],[PLANO DE CONTAS]],Plano_Contas[[PLANO DE CONTAS]:[NOMES INTERVALOS]],2,0),"")</f>
        <v>Despesas_Administrativas</v>
      </c>
      <c r="Z142" s="523" t="str">
        <f>IF(LANÇ_MOV[[#This Row],[FORMA DE PAGAMENTO]]="","",VLOOKUP(LANÇ_MOV[[#This Row],[FORMA DE PAGAMENTO]],CAD_Forma_pagto[],2,0))</f>
        <v>DÉBITO EM CONTA</v>
      </c>
      <c r="AA142" s="524" t="str">
        <f>IF(LANÇ_MOV[[#This Row],[DATA DE LANÇAMENTO]]="","",TEXT(LANÇ_MOV[[#This Row],[DATA DE LANÇAMENTO]],"AAAA"))</f>
        <v>2025</v>
      </c>
      <c r="AB142" s="524" t="str">
        <f>IF(LANÇ_MOV[[#This Row],[DATA DE LANÇAMENTO]]="","",UPPER(TEXT(LANÇ_MOV[[#This Row],[DATA DE LANÇAMENTO]],"MMMM")))</f>
        <v>OUTUBRO</v>
      </c>
      <c r="AC142" s="525" t="str">
        <f>IF(LANÇ_MOV[[#This Row],[DATA DE LANÇAMENTO]]="","",PROPER(TEXT(LANÇ_MOV[[#This Row],[DATA DE LANÇAMENTO]],"M")))</f>
        <v>10</v>
      </c>
      <c r="AD142" s="524" t="str">
        <f>IF(LANÇ_MOV[[#This Row],[DATA DE LANÇAMENTO]]="","",TEXT(LANÇ_MOV[[#This Row],[DATA DE LANÇAMENTO]],"D"))</f>
        <v>1</v>
      </c>
      <c r="AE142" s="526" t="str">
        <f>IF(LANÇ_MOV[[#This Row],[DATA DE VENCIMENTO]]="","",TEXT(LANÇ_MOV[[#This Row],[DATA DE VENCIMENTO]],"AAAA"))</f>
        <v>2026</v>
      </c>
      <c r="AF142" s="526" t="str">
        <f>IF(LANÇ_MOV[[#This Row],[DATA DE VENCIMENTO]]="","",UPPER(TEXT(LANÇ_MOV[[#This Row],[DATA DE VENCIMENTO]],"MMMM")))</f>
        <v>SETEMBRO</v>
      </c>
      <c r="AG142" s="526" t="str">
        <f>IF(LANÇ_MOV[[#This Row],[DATA DE VENCIMENTO]]="","",TEXT(LANÇ_MOV[[#This Row],[DATA DE VENCIMENTO]],"M"))</f>
        <v>9</v>
      </c>
      <c r="AH142" s="526" t="str">
        <f>IF(LANÇ_MOV[[#This Row],[DATA DE VENCIMENTO]]="","",TEXT(LANÇ_MOV[[#This Row],[DATA DE VENCIMENTO]],"D"))</f>
        <v>25</v>
      </c>
      <c r="AI142" s="526" t="str">
        <f>IF(LANÇ_MOV[[#This Row],[DATA DE PAGAMENTO]]="","",TEXT(LANÇ_MOV[[#This Row],[DATA DE PAGAMENTO]],"AAAA"))</f>
        <v/>
      </c>
      <c r="AJ142" s="527" t="str">
        <f>IF(LANÇ_MOV[[#This Row],[DATA DE PAGAMENTO]]="","",UPPER(TEXT(LANÇ_MOV[[#This Row],[DATA DE PAGAMENTO]],"MMMM")))</f>
        <v/>
      </c>
      <c r="AK142" s="527" t="str">
        <f>IF(LANÇ_MOV[[#This Row],[DATA DE PAGAMENTO]]="","",TEXT(LANÇ_MOV[[#This Row],[DATA DE PAGAMENTO]],"M"))</f>
        <v/>
      </c>
      <c r="AL142" s="526" t="str">
        <f>IF(LANÇ_MOV[[#This Row],[DATA DE PAGAMENTO]]="","",TEXT(LANÇ_MOV[[#This Row],[DATA DE PAGAMENTO]],"D"))</f>
        <v/>
      </c>
      <c r="AM142" s="27"/>
      <c r="BB142" s="112"/>
      <c r="BC142" s="112"/>
      <c r="BD142" s="112"/>
    </row>
    <row r="143" spans="2:56" ht="30.05" customHeight="1" x14ac:dyDescent="0.35">
      <c r="B143" s="506">
        <v>45931</v>
      </c>
      <c r="C143" s="507" t="s">
        <v>1661</v>
      </c>
      <c r="D143" s="508" t="s">
        <v>1854</v>
      </c>
      <c r="E143" s="509" t="s">
        <v>1144</v>
      </c>
      <c r="F143" s="510" t="s">
        <v>1552</v>
      </c>
      <c r="G143" s="507"/>
      <c r="H143" s="511"/>
      <c r="I143" s="512" t="s">
        <v>1767</v>
      </c>
      <c r="J143" s="510">
        <v>100</v>
      </c>
      <c r="K143" s="513">
        <v>0</v>
      </c>
      <c r="L143" s="513">
        <v>0</v>
      </c>
      <c r="M143" s="513">
        <v>0</v>
      </c>
      <c r="N143" s="514">
        <f>LANÇ_MOV[[#This Row],[VALOR BRUTO]]-LANÇ_MOV[[#This Row],[DESCONTO]]+LANÇ_MOV[[#This Row],[JUROS]]+LANÇ_MOV[[#This Row],[MULTA]]</f>
        <v>100</v>
      </c>
      <c r="O143" s="528">
        <v>46320</v>
      </c>
      <c r="P143" s="516" t="str">
        <f t="shared" ca="1" si="2"/>
        <v>Prazo - Mais de 1 mês</v>
      </c>
      <c r="Q143" s="528"/>
      <c r="R143" s="529" t="s">
        <v>1646</v>
      </c>
      <c r="S143" s="531"/>
      <c r="T143" s="518" t="s">
        <v>1767</v>
      </c>
      <c r="U143" s="519" t="s">
        <v>2008</v>
      </c>
      <c r="V143" s="520" t="str">
        <f>IFERROR(VLOOKUP(LANÇ_MOV[[#This Row],[PLANO DE CONTAS]],Plano_Contas[[PLANO DE CONTAS]:[R / D]],3,0),"")</f>
        <v>Despesa</v>
      </c>
      <c r="W143" s="521" t="str">
        <f>IF(LANÇ_MOV[[#This Row],[DATA DE PAGAMENTO]]&lt;&gt;"","Pago","Não Pago")</f>
        <v>Não Pago</v>
      </c>
      <c r="X143" s="522" t="str">
        <f>IFERROR(IF(LANÇ_MOV[[#This Row],[DATA DE PAGAMENTO]]="","",(UPPER(TEXT(LANÇ_MOV[[#This Row],[DATA DE PAGAMENTO]],"mmmm")))),"")</f>
        <v/>
      </c>
      <c r="Y143" s="523" t="str">
        <f>IFERROR(VLOOKUP(LANÇ_MOV[[#This Row],[PLANO DE CONTAS]],Plano_Contas[[PLANO DE CONTAS]:[NOMES INTERVALOS]],2,0),"")</f>
        <v>Despesas_Administrativas</v>
      </c>
      <c r="Z143" s="523" t="str">
        <f>IF(LANÇ_MOV[[#This Row],[FORMA DE PAGAMENTO]]="","",VLOOKUP(LANÇ_MOV[[#This Row],[FORMA DE PAGAMENTO]],CAD_Forma_pagto[],2,0))</f>
        <v>DÉBITO EM CONTA</v>
      </c>
      <c r="AA143" s="524" t="str">
        <f>IF(LANÇ_MOV[[#This Row],[DATA DE LANÇAMENTO]]="","",TEXT(LANÇ_MOV[[#This Row],[DATA DE LANÇAMENTO]],"AAAA"))</f>
        <v>2025</v>
      </c>
      <c r="AB143" s="524" t="str">
        <f>IF(LANÇ_MOV[[#This Row],[DATA DE LANÇAMENTO]]="","",UPPER(TEXT(LANÇ_MOV[[#This Row],[DATA DE LANÇAMENTO]],"MMMM")))</f>
        <v>OUTUBRO</v>
      </c>
      <c r="AC143" s="525" t="str">
        <f>IF(LANÇ_MOV[[#This Row],[DATA DE LANÇAMENTO]]="","",PROPER(TEXT(LANÇ_MOV[[#This Row],[DATA DE LANÇAMENTO]],"M")))</f>
        <v>10</v>
      </c>
      <c r="AD143" s="524" t="str">
        <f>IF(LANÇ_MOV[[#This Row],[DATA DE LANÇAMENTO]]="","",TEXT(LANÇ_MOV[[#This Row],[DATA DE LANÇAMENTO]],"D"))</f>
        <v>1</v>
      </c>
      <c r="AE143" s="526" t="str">
        <f>IF(LANÇ_MOV[[#This Row],[DATA DE VENCIMENTO]]="","",TEXT(LANÇ_MOV[[#This Row],[DATA DE VENCIMENTO]],"AAAA"))</f>
        <v>2026</v>
      </c>
      <c r="AF143" s="526" t="str">
        <f>IF(LANÇ_MOV[[#This Row],[DATA DE VENCIMENTO]]="","",UPPER(TEXT(LANÇ_MOV[[#This Row],[DATA DE VENCIMENTO]],"MMMM")))</f>
        <v>OUTUBRO</v>
      </c>
      <c r="AG143" s="526" t="str">
        <f>IF(LANÇ_MOV[[#This Row],[DATA DE VENCIMENTO]]="","",TEXT(LANÇ_MOV[[#This Row],[DATA DE VENCIMENTO]],"M"))</f>
        <v>10</v>
      </c>
      <c r="AH143" s="526" t="str">
        <f>IF(LANÇ_MOV[[#This Row],[DATA DE VENCIMENTO]]="","",TEXT(LANÇ_MOV[[#This Row],[DATA DE VENCIMENTO]],"D"))</f>
        <v>25</v>
      </c>
      <c r="AI143" s="526" t="str">
        <f>IF(LANÇ_MOV[[#This Row],[DATA DE PAGAMENTO]]="","",TEXT(LANÇ_MOV[[#This Row],[DATA DE PAGAMENTO]],"AAAA"))</f>
        <v/>
      </c>
      <c r="AJ143" s="527" t="str">
        <f>IF(LANÇ_MOV[[#This Row],[DATA DE PAGAMENTO]]="","",UPPER(TEXT(LANÇ_MOV[[#This Row],[DATA DE PAGAMENTO]],"MMMM")))</f>
        <v/>
      </c>
      <c r="AK143" s="527" t="str">
        <f>IF(LANÇ_MOV[[#This Row],[DATA DE PAGAMENTO]]="","",TEXT(LANÇ_MOV[[#This Row],[DATA DE PAGAMENTO]],"M"))</f>
        <v/>
      </c>
      <c r="AL143" s="526" t="str">
        <f>IF(LANÇ_MOV[[#This Row],[DATA DE PAGAMENTO]]="","",TEXT(LANÇ_MOV[[#This Row],[DATA DE PAGAMENTO]],"D"))</f>
        <v/>
      </c>
      <c r="AM143" s="27"/>
      <c r="BB143" s="112"/>
      <c r="BC143" s="112"/>
      <c r="BD143" s="112"/>
    </row>
    <row r="144" spans="2:56" ht="30.05" customHeight="1" x14ac:dyDescent="0.35">
      <c r="B144" s="506">
        <v>45931</v>
      </c>
      <c r="C144" s="507" t="s">
        <v>1661</v>
      </c>
      <c r="D144" s="508" t="s">
        <v>1854</v>
      </c>
      <c r="E144" s="509" t="s">
        <v>1144</v>
      </c>
      <c r="F144" s="510" t="s">
        <v>1552</v>
      </c>
      <c r="G144" s="507"/>
      <c r="H144" s="511"/>
      <c r="I144" s="512" t="s">
        <v>1767</v>
      </c>
      <c r="J144" s="510">
        <v>100</v>
      </c>
      <c r="K144" s="513">
        <v>0</v>
      </c>
      <c r="L144" s="513">
        <v>0</v>
      </c>
      <c r="M144" s="513">
        <v>0</v>
      </c>
      <c r="N144" s="514">
        <f>LANÇ_MOV[[#This Row],[VALOR BRUTO]]-LANÇ_MOV[[#This Row],[DESCONTO]]+LANÇ_MOV[[#This Row],[JUROS]]+LANÇ_MOV[[#This Row],[MULTA]]</f>
        <v>100</v>
      </c>
      <c r="O144" s="528">
        <v>46351</v>
      </c>
      <c r="P144" s="516" t="str">
        <f t="shared" ca="1" si="2"/>
        <v>Prazo - Mais de 1 mês</v>
      </c>
      <c r="Q144" s="528"/>
      <c r="R144" s="529" t="s">
        <v>1646</v>
      </c>
      <c r="S144" s="531"/>
      <c r="T144" s="518" t="s">
        <v>1767</v>
      </c>
      <c r="U144" s="519" t="s">
        <v>2008</v>
      </c>
      <c r="V144" s="520" t="str">
        <f>IFERROR(VLOOKUP(LANÇ_MOV[[#This Row],[PLANO DE CONTAS]],Plano_Contas[[PLANO DE CONTAS]:[R / D]],3,0),"")</f>
        <v>Despesa</v>
      </c>
      <c r="W144" s="521" t="str">
        <f>IF(LANÇ_MOV[[#This Row],[DATA DE PAGAMENTO]]&lt;&gt;"","Pago","Não Pago")</f>
        <v>Não Pago</v>
      </c>
      <c r="X144" s="522" t="str">
        <f>IFERROR(IF(LANÇ_MOV[[#This Row],[DATA DE PAGAMENTO]]="","",(UPPER(TEXT(LANÇ_MOV[[#This Row],[DATA DE PAGAMENTO]],"mmmm")))),"")</f>
        <v/>
      </c>
      <c r="Y144" s="523" t="str">
        <f>IFERROR(VLOOKUP(LANÇ_MOV[[#This Row],[PLANO DE CONTAS]],Plano_Contas[[PLANO DE CONTAS]:[NOMES INTERVALOS]],2,0),"")</f>
        <v>Despesas_Administrativas</v>
      </c>
      <c r="Z144" s="523" t="str">
        <f>IF(LANÇ_MOV[[#This Row],[FORMA DE PAGAMENTO]]="","",VLOOKUP(LANÇ_MOV[[#This Row],[FORMA DE PAGAMENTO]],CAD_Forma_pagto[],2,0))</f>
        <v>DÉBITO EM CONTA</v>
      </c>
      <c r="AA144" s="524" t="str">
        <f>IF(LANÇ_MOV[[#This Row],[DATA DE LANÇAMENTO]]="","",TEXT(LANÇ_MOV[[#This Row],[DATA DE LANÇAMENTO]],"AAAA"))</f>
        <v>2025</v>
      </c>
      <c r="AB144" s="524" t="str">
        <f>IF(LANÇ_MOV[[#This Row],[DATA DE LANÇAMENTO]]="","",UPPER(TEXT(LANÇ_MOV[[#This Row],[DATA DE LANÇAMENTO]],"MMMM")))</f>
        <v>OUTUBRO</v>
      </c>
      <c r="AC144" s="525" t="str">
        <f>IF(LANÇ_MOV[[#This Row],[DATA DE LANÇAMENTO]]="","",PROPER(TEXT(LANÇ_MOV[[#This Row],[DATA DE LANÇAMENTO]],"M")))</f>
        <v>10</v>
      </c>
      <c r="AD144" s="524" t="str">
        <f>IF(LANÇ_MOV[[#This Row],[DATA DE LANÇAMENTO]]="","",TEXT(LANÇ_MOV[[#This Row],[DATA DE LANÇAMENTO]],"D"))</f>
        <v>1</v>
      </c>
      <c r="AE144" s="526" t="str">
        <f>IF(LANÇ_MOV[[#This Row],[DATA DE VENCIMENTO]]="","",TEXT(LANÇ_MOV[[#This Row],[DATA DE VENCIMENTO]],"AAAA"))</f>
        <v>2026</v>
      </c>
      <c r="AF144" s="526" t="str">
        <f>IF(LANÇ_MOV[[#This Row],[DATA DE VENCIMENTO]]="","",UPPER(TEXT(LANÇ_MOV[[#This Row],[DATA DE VENCIMENTO]],"MMMM")))</f>
        <v>NOVEMBRO</v>
      </c>
      <c r="AG144" s="526" t="str">
        <f>IF(LANÇ_MOV[[#This Row],[DATA DE VENCIMENTO]]="","",TEXT(LANÇ_MOV[[#This Row],[DATA DE VENCIMENTO]],"M"))</f>
        <v>11</v>
      </c>
      <c r="AH144" s="526" t="str">
        <f>IF(LANÇ_MOV[[#This Row],[DATA DE VENCIMENTO]]="","",TEXT(LANÇ_MOV[[#This Row],[DATA DE VENCIMENTO]],"D"))</f>
        <v>25</v>
      </c>
      <c r="AI144" s="526" t="str">
        <f>IF(LANÇ_MOV[[#This Row],[DATA DE PAGAMENTO]]="","",TEXT(LANÇ_MOV[[#This Row],[DATA DE PAGAMENTO]],"AAAA"))</f>
        <v/>
      </c>
      <c r="AJ144" s="527" t="str">
        <f>IF(LANÇ_MOV[[#This Row],[DATA DE PAGAMENTO]]="","",UPPER(TEXT(LANÇ_MOV[[#This Row],[DATA DE PAGAMENTO]],"MMMM")))</f>
        <v/>
      </c>
      <c r="AK144" s="527" t="str">
        <f>IF(LANÇ_MOV[[#This Row],[DATA DE PAGAMENTO]]="","",TEXT(LANÇ_MOV[[#This Row],[DATA DE PAGAMENTO]],"M"))</f>
        <v/>
      </c>
      <c r="AL144" s="526" t="str">
        <f>IF(LANÇ_MOV[[#This Row],[DATA DE PAGAMENTO]]="","",TEXT(LANÇ_MOV[[#This Row],[DATA DE PAGAMENTO]],"D"))</f>
        <v/>
      </c>
      <c r="AM144" s="27"/>
      <c r="BB144" s="112"/>
      <c r="BC144" s="112"/>
      <c r="BD144" s="112"/>
    </row>
    <row r="145" spans="2:56" ht="30.05" customHeight="1" x14ac:dyDescent="0.35">
      <c r="B145" s="506">
        <v>45931</v>
      </c>
      <c r="C145" s="507" t="s">
        <v>1661</v>
      </c>
      <c r="D145" s="508" t="s">
        <v>1854</v>
      </c>
      <c r="E145" s="509" t="s">
        <v>1144</v>
      </c>
      <c r="F145" s="510" t="s">
        <v>1552</v>
      </c>
      <c r="G145" s="507"/>
      <c r="H145" s="511"/>
      <c r="I145" s="512" t="s">
        <v>1767</v>
      </c>
      <c r="J145" s="510">
        <v>100</v>
      </c>
      <c r="K145" s="513">
        <v>0</v>
      </c>
      <c r="L145" s="513">
        <v>0</v>
      </c>
      <c r="M145" s="513">
        <v>0</v>
      </c>
      <c r="N145" s="514">
        <f>LANÇ_MOV[[#This Row],[VALOR BRUTO]]-LANÇ_MOV[[#This Row],[DESCONTO]]+LANÇ_MOV[[#This Row],[JUROS]]+LANÇ_MOV[[#This Row],[MULTA]]</f>
        <v>100</v>
      </c>
      <c r="O145" s="528">
        <v>46381</v>
      </c>
      <c r="P145" s="516" t="str">
        <f t="shared" ca="1" si="2"/>
        <v>Prazo - Mais de 1 mês</v>
      </c>
      <c r="Q145" s="528"/>
      <c r="R145" s="529" t="s">
        <v>1646</v>
      </c>
      <c r="S145" s="531"/>
      <c r="T145" s="518" t="s">
        <v>1767</v>
      </c>
      <c r="U145" s="519" t="s">
        <v>2008</v>
      </c>
      <c r="V145" s="520" t="str">
        <f>IFERROR(VLOOKUP(LANÇ_MOV[[#This Row],[PLANO DE CONTAS]],Plano_Contas[[PLANO DE CONTAS]:[R / D]],3,0),"")</f>
        <v>Despesa</v>
      </c>
      <c r="W145" s="521" t="str">
        <f>IF(LANÇ_MOV[[#This Row],[DATA DE PAGAMENTO]]&lt;&gt;"","Pago","Não Pago")</f>
        <v>Não Pago</v>
      </c>
      <c r="X145" s="522" t="str">
        <f>IFERROR(IF(LANÇ_MOV[[#This Row],[DATA DE PAGAMENTO]]="","",(UPPER(TEXT(LANÇ_MOV[[#This Row],[DATA DE PAGAMENTO]],"mmmm")))),"")</f>
        <v/>
      </c>
      <c r="Y145" s="523" t="str">
        <f>IFERROR(VLOOKUP(LANÇ_MOV[[#This Row],[PLANO DE CONTAS]],Plano_Contas[[PLANO DE CONTAS]:[NOMES INTERVALOS]],2,0),"")</f>
        <v>Despesas_Administrativas</v>
      </c>
      <c r="Z145" s="523" t="str">
        <f>IF(LANÇ_MOV[[#This Row],[FORMA DE PAGAMENTO]]="","",VLOOKUP(LANÇ_MOV[[#This Row],[FORMA DE PAGAMENTO]],CAD_Forma_pagto[],2,0))</f>
        <v>DÉBITO EM CONTA</v>
      </c>
      <c r="AA145" s="524" t="str">
        <f>IF(LANÇ_MOV[[#This Row],[DATA DE LANÇAMENTO]]="","",TEXT(LANÇ_MOV[[#This Row],[DATA DE LANÇAMENTO]],"AAAA"))</f>
        <v>2025</v>
      </c>
      <c r="AB145" s="524" t="str">
        <f>IF(LANÇ_MOV[[#This Row],[DATA DE LANÇAMENTO]]="","",UPPER(TEXT(LANÇ_MOV[[#This Row],[DATA DE LANÇAMENTO]],"MMMM")))</f>
        <v>OUTUBRO</v>
      </c>
      <c r="AC145" s="525" t="str">
        <f>IF(LANÇ_MOV[[#This Row],[DATA DE LANÇAMENTO]]="","",PROPER(TEXT(LANÇ_MOV[[#This Row],[DATA DE LANÇAMENTO]],"M")))</f>
        <v>10</v>
      </c>
      <c r="AD145" s="524" t="str">
        <f>IF(LANÇ_MOV[[#This Row],[DATA DE LANÇAMENTO]]="","",TEXT(LANÇ_MOV[[#This Row],[DATA DE LANÇAMENTO]],"D"))</f>
        <v>1</v>
      </c>
      <c r="AE145" s="526" t="str">
        <f>IF(LANÇ_MOV[[#This Row],[DATA DE VENCIMENTO]]="","",TEXT(LANÇ_MOV[[#This Row],[DATA DE VENCIMENTO]],"AAAA"))</f>
        <v>2026</v>
      </c>
      <c r="AF145" s="526" t="str">
        <f>IF(LANÇ_MOV[[#This Row],[DATA DE VENCIMENTO]]="","",UPPER(TEXT(LANÇ_MOV[[#This Row],[DATA DE VENCIMENTO]],"MMMM")))</f>
        <v>DEZEMBRO</v>
      </c>
      <c r="AG145" s="526" t="str">
        <f>IF(LANÇ_MOV[[#This Row],[DATA DE VENCIMENTO]]="","",TEXT(LANÇ_MOV[[#This Row],[DATA DE VENCIMENTO]],"M"))</f>
        <v>12</v>
      </c>
      <c r="AH145" s="526" t="str">
        <f>IF(LANÇ_MOV[[#This Row],[DATA DE VENCIMENTO]]="","",TEXT(LANÇ_MOV[[#This Row],[DATA DE VENCIMENTO]],"D"))</f>
        <v>25</v>
      </c>
      <c r="AI145" s="526" t="str">
        <f>IF(LANÇ_MOV[[#This Row],[DATA DE PAGAMENTO]]="","",TEXT(LANÇ_MOV[[#This Row],[DATA DE PAGAMENTO]],"AAAA"))</f>
        <v/>
      </c>
      <c r="AJ145" s="527" t="str">
        <f>IF(LANÇ_MOV[[#This Row],[DATA DE PAGAMENTO]]="","",UPPER(TEXT(LANÇ_MOV[[#This Row],[DATA DE PAGAMENTO]],"MMMM")))</f>
        <v/>
      </c>
      <c r="AK145" s="527" t="str">
        <f>IF(LANÇ_MOV[[#This Row],[DATA DE PAGAMENTO]]="","",TEXT(LANÇ_MOV[[#This Row],[DATA DE PAGAMENTO]],"M"))</f>
        <v/>
      </c>
      <c r="AL145" s="526" t="str">
        <f>IF(LANÇ_MOV[[#This Row],[DATA DE PAGAMENTO]]="","",TEXT(LANÇ_MOV[[#This Row],[DATA DE PAGAMENTO]],"D"))</f>
        <v/>
      </c>
      <c r="AM145" s="27"/>
      <c r="BB145" s="112"/>
      <c r="BC145" s="112"/>
      <c r="BD145" s="112"/>
    </row>
    <row r="146" spans="2:56" ht="30.05" customHeight="1" x14ac:dyDescent="0.35">
      <c r="B146" s="506">
        <v>45931</v>
      </c>
      <c r="C146" s="507" t="s">
        <v>1661</v>
      </c>
      <c r="D146" s="508" t="s">
        <v>1854</v>
      </c>
      <c r="E146" s="509" t="s">
        <v>1144</v>
      </c>
      <c r="F146" s="510" t="s">
        <v>1487</v>
      </c>
      <c r="G146" s="507"/>
      <c r="H146" s="511">
        <v>0</v>
      </c>
      <c r="I146" s="512" t="s">
        <v>1744</v>
      </c>
      <c r="J146" s="510">
        <v>1300</v>
      </c>
      <c r="K146" s="513">
        <v>0</v>
      </c>
      <c r="L146" s="513">
        <v>0</v>
      </c>
      <c r="M146" s="513">
        <v>0</v>
      </c>
      <c r="N146" s="514">
        <f>LANÇ_MOV[[#This Row],[VALOR BRUTO]]-LANÇ_MOV[[#This Row],[DESCONTO]]+LANÇ_MOV[[#This Row],[JUROS]]+LANÇ_MOV[[#This Row],[MULTA]]</f>
        <v>1300</v>
      </c>
      <c r="O146" s="528">
        <v>45940</v>
      </c>
      <c r="P146" s="516" t="str">
        <f t="shared" ca="1" si="2"/>
        <v>Pago</v>
      </c>
      <c r="Q146" s="528">
        <v>45940</v>
      </c>
      <c r="R146" s="529" t="s">
        <v>1564</v>
      </c>
      <c r="S146" s="531"/>
      <c r="T146" s="518" t="s">
        <v>1776</v>
      </c>
      <c r="U146" s="519" t="s">
        <v>2008</v>
      </c>
      <c r="V146" s="520" t="str">
        <f>IFERROR(VLOOKUP(LANÇ_MOV[[#This Row],[PLANO DE CONTAS]],Plano_Contas[[PLANO DE CONTAS]:[R / D]],3,0),"")</f>
        <v>Despesa</v>
      </c>
      <c r="W146" s="521" t="str">
        <f>IF(LANÇ_MOV[[#This Row],[DATA DE PAGAMENTO]]&lt;&gt;"","Pago","Não Pago")</f>
        <v>Pago</v>
      </c>
      <c r="X146" s="522" t="str">
        <f>IFERROR(IF(LANÇ_MOV[[#This Row],[DATA DE PAGAMENTO]]="","",(UPPER(TEXT(LANÇ_MOV[[#This Row],[DATA DE PAGAMENTO]],"mmmm")))),"")</f>
        <v>OUTUBRO</v>
      </c>
      <c r="Y146" s="523" t="str">
        <f>IFERROR(VLOOKUP(LANÇ_MOV[[#This Row],[PLANO DE CONTAS]],Plano_Contas[[PLANO DE CONTAS]:[NOMES INTERVALOS]],2,0),"")</f>
        <v>Despesas_Administrativas</v>
      </c>
      <c r="Z146" s="523" t="str">
        <f>IF(LANÇ_MOV[[#This Row],[FORMA DE PAGAMENTO]]="","",VLOOKUP(LANÇ_MOV[[#This Row],[FORMA DE PAGAMENTO]],CAD_Forma_pagto[],2,0))</f>
        <v>PIX</v>
      </c>
      <c r="AA146" s="524" t="str">
        <f>IF(LANÇ_MOV[[#This Row],[DATA DE LANÇAMENTO]]="","",TEXT(LANÇ_MOV[[#This Row],[DATA DE LANÇAMENTO]],"AAAA"))</f>
        <v>2025</v>
      </c>
      <c r="AB146" s="524" t="str">
        <f>IF(LANÇ_MOV[[#This Row],[DATA DE LANÇAMENTO]]="","",UPPER(TEXT(LANÇ_MOV[[#This Row],[DATA DE LANÇAMENTO]],"MMMM")))</f>
        <v>OUTUBRO</v>
      </c>
      <c r="AC146" s="525" t="str">
        <f>IF(LANÇ_MOV[[#This Row],[DATA DE LANÇAMENTO]]="","",PROPER(TEXT(LANÇ_MOV[[#This Row],[DATA DE LANÇAMENTO]],"M")))</f>
        <v>10</v>
      </c>
      <c r="AD146" s="524" t="str">
        <f>IF(LANÇ_MOV[[#This Row],[DATA DE LANÇAMENTO]]="","",TEXT(LANÇ_MOV[[#This Row],[DATA DE LANÇAMENTO]],"D"))</f>
        <v>1</v>
      </c>
      <c r="AE146" s="526" t="str">
        <f>IF(LANÇ_MOV[[#This Row],[DATA DE VENCIMENTO]]="","",TEXT(LANÇ_MOV[[#This Row],[DATA DE VENCIMENTO]],"AAAA"))</f>
        <v>2025</v>
      </c>
      <c r="AF146" s="526" t="str">
        <f>IF(LANÇ_MOV[[#This Row],[DATA DE VENCIMENTO]]="","",UPPER(TEXT(LANÇ_MOV[[#This Row],[DATA DE VENCIMENTO]],"MMMM")))</f>
        <v>OUTUBRO</v>
      </c>
      <c r="AG146" s="526" t="str">
        <f>IF(LANÇ_MOV[[#This Row],[DATA DE VENCIMENTO]]="","",TEXT(LANÇ_MOV[[#This Row],[DATA DE VENCIMENTO]],"M"))</f>
        <v>10</v>
      </c>
      <c r="AH146" s="526" t="str">
        <f>IF(LANÇ_MOV[[#This Row],[DATA DE VENCIMENTO]]="","",TEXT(LANÇ_MOV[[#This Row],[DATA DE VENCIMENTO]],"D"))</f>
        <v>10</v>
      </c>
      <c r="AI146" s="526" t="str">
        <f>IF(LANÇ_MOV[[#This Row],[DATA DE PAGAMENTO]]="","",TEXT(LANÇ_MOV[[#This Row],[DATA DE PAGAMENTO]],"AAAA"))</f>
        <v>2025</v>
      </c>
      <c r="AJ146" s="527" t="str">
        <f>IF(LANÇ_MOV[[#This Row],[DATA DE PAGAMENTO]]="","",UPPER(TEXT(LANÇ_MOV[[#This Row],[DATA DE PAGAMENTO]],"MMMM")))</f>
        <v>OUTUBRO</v>
      </c>
      <c r="AK146" s="527" t="str">
        <f>IF(LANÇ_MOV[[#This Row],[DATA DE PAGAMENTO]]="","",TEXT(LANÇ_MOV[[#This Row],[DATA DE PAGAMENTO]],"M"))</f>
        <v>10</v>
      </c>
      <c r="AL146" s="526" t="str">
        <f>IF(LANÇ_MOV[[#This Row],[DATA DE PAGAMENTO]]="","",TEXT(LANÇ_MOV[[#This Row],[DATA DE PAGAMENTO]],"D"))</f>
        <v>10</v>
      </c>
      <c r="AM146" s="27"/>
      <c r="BB146" s="112"/>
      <c r="BC146" s="112"/>
      <c r="BD146" s="112"/>
    </row>
    <row r="147" spans="2:56" ht="30.05" customHeight="1" x14ac:dyDescent="0.35">
      <c r="B147" s="506">
        <v>45931</v>
      </c>
      <c r="C147" s="507" t="s">
        <v>1661</v>
      </c>
      <c r="D147" s="508" t="s">
        <v>1854</v>
      </c>
      <c r="E147" s="509" t="s">
        <v>1144</v>
      </c>
      <c r="F147" s="510" t="s">
        <v>1487</v>
      </c>
      <c r="G147" s="507" t="s">
        <v>1859</v>
      </c>
      <c r="H147" s="511">
        <v>0</v>
      </c>
      <c r="I147" s="512" t="s">
        <v>1744</v>
      </c>
      <c r="J147" s="510">
        <v>1300</v>
      </c>
      <c r="K147" s="513">
        <v>0</v>
      </c>
      <c r="L147" s="513">
        <v>0</v>
      </c>
      <c r="M147" s="513">
        <v>0</v>
      </c>
      <c r="N147" s="514">
        <f>LANÇ_MOV[[#This Row],[VALOR BRUTO]]-LANÇ_MOV[[#This Row],[DESCONTO]]+LANÇ_MOV[[#This Row],[JUROS]]+LANÇ_MOV[[#This Row],[MULTA]]</f>
        <v>1300</v>
      </c>
      <c r="O147" s="528">
        <v>45971</v>
      </c>
      <c r="P147" s="516" t="str">
        <f t="shared" ca="1" si="2"/>
        <v>Pago</v>
      </c>
      <c r="Q147" s="528">
        <v>45971</v>
      </c>
      <c r="R147" s="529" t="s">
        <v>1564</v>
      </c>
      <c r="S147" s="531"/>
      <c r="T147" s="518" t="s">
        <v>1776</v>
      </c>
      <c r="U147" s="519" t="s">
        <v>2008</v>
      </c>
      <c r="V147" s="520" t="str">
        <f>IFERROR(VLOOKUP(LANÇ_MOV[[#This Row],[PLANO DE CONTAS]],Plano_Contas[[PLANO DE CONTAS]:[R / D]],3,0),"")</f>
        <v>Despesa</v>
      </c>
      <c r="W147" s="521" t="str">
        <f>IF(LANÇ_MOV[[#This Row],[DATA DE PAGAMENTO]]&lt;&gt;"","Pago","Não Pago")</f>
        <v>Pago</v>
      </c>
      <c r="X147" s="522" t="str">
        <f>IFERROR(IF(LANÇ_MOV[[#This Row],[DATA DE PAGAMENTO]]="","",(UPPER(TEXT(LANÇ_MOV[[#This Row],[DATA DE PAGAMENTO]],"mmmm")))),"")</f>
        <v>NOVEMBRO</v>
      </c>
      <c r="Y147" s="523" t="str">
        <f>IFERROR(VLOOKUP(LANÇ_MOV[[#This Row],[PLANO DE CONTAS]],Plano_Contas[[PLANO DE CONTAS]:[NOMES INTERVALOS]],2,0),"")</f>
        <v>Despesas_Administrativas</v>
      </c>
      <c r="Z147" s="523" t="str">
        <f>IF(LANÇ_MOV[[#This Row],[FORMA DE PAGAMENTO]]="","",VLOOKUP(LANÇ_MOV[[#This Row],[FORMA DE PAGAMENTO]],CAD_Forma_pagto[],2,0))</f>
        <v>PIX</v>
      </c>
      <c r="AA147" s="524" t="str">
        <f>IF(LANÇ_MOV[[#This Row],[DATA DE LANÇAMENTO]]="","",TEXT(LANÇ_MOV[[#This Row],[DATA DE LANÇAMENTO]],"AAAA"))</f>
        <v>2025</v>
      </c>
      <c r="AB147" s="524" t="str">
        <f>IF(LANÇ_MOV[[#This Row],[DATA DE LANÇAMENTO]]="","",UPPER(TEXT(LANÇ_MOV[[#This Row],[DATA DE LANÇAMENTO]],"MMMM")))</f>
        <v>OUTUBRO</v>
      </c>
      <c r="AC147" s="525" t="str">
        <f>IF(LANÇ_MOV[[#This Row],[DATA DE LANÇAMENTO]]="","",PROPER(TEXT(LANÇ_MOV[[#This Row],[DATA DE LANÇAMENTO]],"M")))</f>
        <v>10</v>
      </c>
      <c r="AD147" s="524" t="str">
        <f>IF(LANÇ_MOV[[#This Row],[DATA DE LANÇAMENTO]]="","",TEXT(LANÇ_MOV[[#This Row],[DATA DE LANÇAMENTO]],"D"))</f>
        <v>1</v>
      </c>
      <c r="AE147" s="526" t="str">
        <f>IF(LANÇ_MOV[[#This Row],[DATA DE VENCIMENTO]]="","",TEXT(LANÇ_MOV[[#This Row],[DATA DE VENCIMENTO]],"AAAA"))</f>
        <v>2025</v>
      </c>
      <c r="AF147" s="526" t="str">
        <f>IF(LANÇ_MOV[[#This Row],[DATA DE VENCIMENTO]]="","",UPPER(TEXT(LANÇ_MOV[[#This Row],[DATA DE VENCIMENTO]],"MMMM")))</f>
        <v>NOVEMBRO</v>
      </c>
      <c r="AG147" s="526" t="str">
        <f>IF(LANÇ_MOV[[#This Row],[DATA DE VENCIMENTO]]="","",TEXT(LANÇ_MOV[[#This Row],[DATA DE VENCIMENTO]],"M"))</f>
        <v>11</v>
      </c>
      <c r="AH147" s="526" t="str">
        <f>IF(LANÇ_MOV[[#This Row],[DATA DE VENCIMENTO]]="","",TEXT(LANÇ_MOV[[#This Row],[DATA DE VENCIMENTO]],"D"))</f>
        <v>10</v>
      </c>
      <c r="AI147" s="526" t="str">
        <f>IF(LANÇ_MOV[[#This Row],[DATA DE PAGAMENTO]]="","",TEXT(LANÇ_MOV[[#This Row],[DATA DE PAGAMENTO]],"AAAA"))</f>
        <v>2025</v>
      </c>
      <c r="AJ147" s="527" t="str">
        <f>IF(LANÇ_MOV[[#This Row],[DATA DE PAGAMENTO]]="","",UPPER(TEXT(LANÇ_MOV[[#This Row],[DATA DE PAGAMENTO]],"MMMM")))</f>
        <v>NOVEMBRO</v>
      </c>
      <c r="AK147" s="527" t="str">
        <f>IF(LANÇ_MOV[[#This Row],[DATA DE PAGAMENTO]]="","",TEXT(LANÇ_MOV[[#This Row],[DATA DE PAGAMENTO]],"M"))</f>
        <v>11</v>
      </c>
      <c r="AL147" s="526" t="str">
        <f>IF(LANÇ_MOV[[#This Row],[DATA DE PAGAMENTO]]="","",TEXT(LANÇ_MOV[[#This Row],[DATA DE PAGAMENTO]],"D"))</f>
        <v>10</v>
      </c>
      <c r="AM147" s="27"/>
      <c r="BB147" s="112"/>
      <c r="BC147" s="112"/>
      <c r="BD147" s="112"/>
    </row>
    <row r="148" spans="2:56" ht="30.05" customHeight="1" x14ac:dyDescent="0.35">
      <c r="B148" s="506">
        <v>45931</v>
      </c>
      <c r="C148" s="507" t="s">
        <v>1661</v>
      </c>
      <c r="D148" s="508" t="s">
        <v>1854</v>
      </c>
      <c r="E148" s="509" t="s">
        <v>1144</v>
      </c>
      <c r="F148" s="510" t="s">
        <v>1487</v>
      </c>
      <c r="G148" s="507"/>
      <c r="H148" s="511">
        <v>0</v>
      </c>
      <c r="I148" s="512" t="s">
        <v>1744</v>
      </c>
      <c r="J148" s="510">
        <v>1300</v>
      </c>
      <c r="K148" s="513">
        <v>0</v>
      </c>
      <c r="L148" s="513">
        <v>0</v>
      </c>
      <c r="M148" s="513">
        <v>0</v>
      </c>
      <c r="N148" s="514">
        <f>LANÇ_MOV[[#This Row],[VALOR BRUTO]]-LANÇ_MOV[[#This Row],[DESCONTO]]+LANÇ_MOV[[#This Row],[JUROS]]+LANÇ_MOV[[#This Row],[MULTA]]</f>
        <v>1300</v>
      </c>
      <c r="O148" s="528">
        <v>46001</v>
      </c>
      <c r="P148" s="516" t="str">
        <f t="shared" ca="1" si="2"/>
        <v>Prazo - Menos de 15 dias</v>
      </c>
      <c r="Q148" s="528"/>
      <c r="R148" s="529" t="s">
        <v>1564</v>
      </c>
      <c r="S148" s="531"/>
      <c r="T148" s="518" t="s">
        <v>1776</v>
      </c>
      <c r="U148" s="519" t="s">
        <v>2008</v>
      </c>
      <c r="V148" s="520" t="str">
        <f>IFERROR(VLOOKUP(LANÇ_MOV[[#This Row],[PLANO DE CONTAS]],Plano_Contas[[PLANO DE CONTAS]:[R / D]],3,0),"")</f>
        <v>Despesa</v>
      </c>
      <c r="W148" s="521" t="str">
        <f>IF(LANÇ_MOV[[#This Row],[DATA DE PAGAMENTO]]&lt;&gt;"","Pago","Não Pago")</f>
        <v>Não Pago</v>
      </c>
      <c r="X148" s="522" t="str">
        <f>IFERROR(IF(LANÇ_MOV[[#This Row],[DATA DE PAGAMENTO]]="","",(UPPER(TEXT(LANÇ_MOV[[#This Row],[DATA DE PAGAMENTO]],"mmmm")))),"")</f>
        <v/>
      </c>
      <c r="Y148" s="523" t="str">
        <f>IFERROR(VLOOKUP(LANÇ_MOV[[#This Row],[PLANO DE CONTAS]],Plano_Contas[[PLANO DE CONTAS]:[NOMES INTERVALOS]],2,0),"")</f>
        <v>Despesas_Administrativas</v>
      </c>
      <c r="Z148" s="523" t="str">
        <f>IF(LANÇ_MOV[[#This Row],[FORMA DE PAGAMENTO]]="","",VLOOKUP(LANÇ_MOV[[#This Row],[FORMA DE PAGAMENTO]],CAD_Forma_pagto[],2,0))</f>
        <v>PIX</v>
      </c>
      <c r="AA148" s="524" t="str">
        <f>IF(LANÇ_MOV[[#This Row],[DATA DE LANÇAMENTO]]="","",TEXT(LANÇ_MOV[[#This Row],[DATA DE LANÇAMENTO]],"AAAA"))</f>
        <v>2025</v>
      </c>
      <c r="AB148" s="524" t="str">
        <f>IF(LANÇ_MOV[[#This Row],[DATA DE LANÇAMENTO]]="","",UPPER(TEXT(LANÇ_MOV[[#This Row],[DATA DE LANÇAMENTO]],"MMMM")))</f>
        <v>OUTUBRO</v>
      </c>
      <c r="AC148" s="525" t="str">
        <f>IF(LANÇ_MOV[[#This Row],[DATA DE LANÇAMENTO]]="","",PROPER(TEXT(LANÇ_MOV[[#This Row],[DATA DE LANÇAMENTO]],"M")))</f>
        <v>10</v>
      </c>
      <c r="AD148" s="524" t="str">
        <f>IF(LANÇ_MOV[[#This Row],[DATA DE LANÇAMENTO]]="","",TEXT(LANÇ_MOV[[#This Row],[DATA DE LANÇAMENTO]],"D"))</f>
        <v>1</v>
      </c>
      <c r="AE148" s="526" t="str">
        <f>IF(LANÇ_MOV[[#This Row],[DATA DE VENCIMENTO]]="","",TEXT(LANÇ_MOV[[#This Row],[DATA DE VENCIMENTO]],"AAAA"))</f>
        <v>2025</v>
      </c>
      <c r="AF148" s="526" t="str">
        <f>IF(LANÇ_MOV[[#This Row],[DATA DE VENCIMENTO]]="","",UPPER(TEXT(LANÇ_MOV[[#This Row],[DATA DE VENCIMENTO]],"MMMM")))</f>
        <v>DEZEMBRO</v>
      </c>
      <c r="AG148" s="526" t="str">
        <f>IF(LANÇ_MOV[[#This Row],[DATA DE VENCIMENTO]]="","",TEXT(LANÇ_MOV[[#This Row],[DATA DE VENCIMENTO]],"M"))</f>
        <v>12</v>
      </c>
      <c r="AH148" s="526" t="str">
        <f>IF(LANÇ_MOV[[#This Row],[DATA DE VENCIMENTO]]="","",TEXT(LANÇ_MOV[[#This Row],[DATA DE VENCIMENTO]],"D"))</f>
        <v>10</v>
      </c>
      <c r="AI148" s="526" t="str">
        <f>IF(LANÇ_MOV[[#This Row],[DATA DE PAGAMENTO]]="","",TEXT(LANÇ_MOV[[#This Row],[DATA DE PAGAMENTO]],"AAAA"))</f>
        <v/>
      </c>
      <c r="AJ148" s="527" t="str">
        <f>IF(LANÇ_MOV[[#This Row],[DATA DE PAGAMENTO]]="","",UPPER(TEXT(LANÇ_MOV[[#This Row],[DATA DE PAGAMENTO]],"MMMM")))</f>
        <v/>
      </c>
      <c r="AK148" s="527" t="str">
        <f>IF(LANÇ_MOV[[#This Row],[DATA DE PAGAMENTO]]="","",TEXT(LANÇ_MOV[[#This Row],[DATA DE PAGAMENTO]],"M"))</f>
        <v/>
      </c>
      <c r="AL148" s="526" t="str">
        <f>IF(LANÇ_MOV[[#This Row],[DATA DE PAGAMENTO]]="","",TEXT(LANÇ_MOV[[#This Row],[DATA DE PAGAMENTO]],"D"))</f>
        <v/>
      </c>
      <c r="AM148" s="27"/>
      <c r="BB148" s="112"/>
      <c r="BC148" s="112"/>
      <c r="BD148" s="112"/>
    </row>
    <row r="149" spans="2:56" ht="30.05" customHeight="1" x14ac:dyDescent="0.35">
      <c r="B149" s="506">
        <v>45931</v>
      </c>
      <c r="C149" s="507" t="s">
        <v>1661</v>
      </c>
      <c r="D149" s="508" t="s">
        <v>1854</v>
      </c>
      <c r="E149" s="509" t="s">
        <v>1144</v>
      </c>
      <c r="F149" s="510" t="s">
        <v>1487</v>
      </c>
      <c r="G149" s="507"/>
      <c r="H149" s="511">
        <v>0</v>
      </c>
      <c r="I149" s="512" t="s">
        <v>1744</v>
      </c>
      <c r="J149" s="510">
        <v>1300</v>
      </c>
      <c r="K149" s="513">
        <v>0</v>
      </c>
      <c r="L149" s="513">
        <v>0</v>
      </c>
      <c r="M149" s="513">
        <v>0</v>
      </c>
      <c r="N149" s="514">
        <f>LANÇ_MOV[[#This Row],[VALOR BRUTO]]-LANÇ_MOV[[#This Row],[DESCONTO]]+LANÇ_MOV[[#This Row],[JUROS]]+LANÇ_MOV[[#This Row],[MULTA]]</f>
        <v>1300</v>
      </c>
      <c r="O149" s="528">
        <v>46011</v>
      </c>
      <c r="P149" s="516" t="str">
        <f t="shared" ca="1" si="2"/>
        <v>Prazo - Menos de 1 Mês</v>
      </c>
      <c r="Q149" s="528"/>
      <c r="R149" s="529" t="s">
        <v>1564</v>
      </c>
      <c r="S149" s="518"/>
      <c r="T149" s="518" t="s">
        <v>1776</v>
      </c>
      <c r="U149" s="519" t="s">
        <v>2008</v>
      </c>
      <c r="V149" s="520" t="str">
        <f>IFERROR(VLOOKUP(LANÇ_MOV[[#This Row],[PLANO DE CONTAS]],Plano_Contas[[PLANO DE CONTAS]:[R / D]],3,0),"")</f>
        <v>Despesa</v>
      </c>
      <c r="W149" s="521" t="str">
        <f>IF(LANÇ_MOV[[#This Row],[DATA DE PAGAMENTO]]&lt;&gt;"","Pago","Não Pago")</f>
        <v>Não Pago</v>
      </c>
      <c r="X149" s="522" t="str">
        <f>IFERROR(IF(LANÇ_MOV[[#This Row],[DATA DE PAGAMENTO]]="","",(UPPER(TEXT(LANÇ_MOV[[#This Row],[DATA DE PAGAMENTO]],"mmmm")))),"")</f>
        <v/>
      </c>
      <c r="Y149" s="523" t="str">
        <f>IFERROR(VLOOKUP(LANÇ_MOV[[#This Row],[PLANO DE CONTAS]],Plano_Contas[[PLANO DE CONTAS]:[NOMES INTERVALOS]],2,0),"")</f>
        <v>Despesas_Administrativas</v>
      </c>
      <c r="Z149" s="523" t="str">
        <f>IF(LANÇ_MOV[[#This Row],[FORMA DE PAGAMENTO]]="","",VLOOKUP(LANÇ_MOV[[#This Row],[FORMA DE PAGAMENTO]],CAD_Forma_pagto[],2,0))</f>
        <v>PIX</v>
      </c>
      <c r="AA149" s="524" t="str">
        <f>IF(LANÇ_MOV[[#This Row],[DATA DE LANÇAMENTO]]="","",TEXT(LANÇ_MOV[[#This Row],[DATA DE LANÇAMENTO]],"AAAA"))</f>
        <v>2025</v>
      </c>
      <c r="AB149" s="524" t="str">
        <f>IF(LANÇ_MOV[[#This Row],[DATA DE LANÇAMENTO]]="","",UPPER(TEXT(LANÇ_MOV[[#This Row],[DATA DE LANÇAMENTO]],"MMMM")))</f>
        <v>OUTUBRO</v>
      </c>
      <c r="AC149" s="525" t="str">
        <f>IF(LANÇ_MOV[[#This Row],[DATA DE LANÇAMENTO]]="","",PROPER(TEXT(LANÇ_MOV[[#This Row],[DATA DE LANÇAMENTO]],"M")))</f>
        <v>10</v>
      </c>
      <c r="AD149" s="524" t="str">
        <f>IF(LANÇ_MOV[[#This Row],[DATA DE LANÇAMENTO]]="","",TEXT(LANÇ_MOV[[#This Row],[DATA DE LANÇAMENTO]],"D"))</f>
        <v>1</v>
      </c>
      <c r="AE149" s="526" t="str">
        <f>IF(LANÇ_MOV[[#This Row],[DATA DE VENCIMENTO]]="","",TEXT(LANÇ_MOV[[#This Row],[DATA DE VENCIMENTO]],"AAAA"))</f>
        <v>2025</v>
      </c>
      <c r="AF149" s="526" t="str">
        <f>IF(LANÇ_MOV[[#This Row],[DATA DE VENCIMENTO]]="","",UPPER(TEXT(LANÇ_MOV[[#This Row],[DATA DE VENCIMENTO]],"MMMM")))</f>
        <v>DEZEMBRO</v>
      </c>
      <c r="AG149" s="526" t="str">
        <f>IF(LANÇ_MOV[[#This Row],[DATA DE VENCIMENTO]]="","",TEXT(LANÇ_MOV[[#This Row],[DATA DE VENCIMENTO]],"M"))</f>
        <v>12</v>
      </c>
      <c r="AH149" s="526" t="str">
        <f>IF(LANÇ_MOV[[#This Row],[DATA DE VENCIMENTO]]="","",TEXT(LANÇ_MOV[[#This Row],[DATA DE VENCIMENTO]],"D"))</f>
        <v>20</v>
      </c>
      <c r="AI149" s="526" t="str">
        <f>IF(LANÇ_MOV[[#This Row],[DATA DE PAGAMENTO]]="","",TEXT(LANÇ_MOV[[#This Row],[DATA DE PAGAMENTO]],"AAAA"))</f>
        <v/>
      </c>
      <c r="AJ149" s="527" t="str">
        <f>IF(LANÇ_MOV[[#This Row],[DATA DE PAGAMENTO]]="","",UPPER(TEXT(LANÇ_MOV[[#This Row],[DATA DE PAGAMENTO]],"MMMM")))</f>
        <v/>
      </c>
      <c r="AK149" s="527" t="str">
        <f>IF(LANÇ_MOV[[#This Row],[DATA DE PAGAMENTO]]="","",TEXT(LANÇ_MOV[[#This Row],[DATA DE PAGAMENTO]],"M"))</f>
        <v/>
      </c>
      <c r="AL149" s="526" t="str">
        <f>IF(LANÇ_MOV[[#This Row],[DATA DE PAGAMENTO]]="","",TEXT(LANÇ_MOV[[#This Row],[DATA DE PAGAMENTO]],"D"))</f>
        <v/>
      </c>
      <c r="AM149" s="27"/>
      <c r="BB149" s="112"/>
      <c r="BC149" s="112"/>
      <c r="BD149" s="112"/>
    </row>
    <row r="150" spans="2:56" ht="30.05" customHeight="1" x14ac:dyDescent="0.35">
      <c r="B150" s="506">
        <v>45931</v>
      </c>
      <c r="C150" s="507" t="s">
        <v>1661</v>
      </c>
      <c r="D150" s="508" t="s">
        <v>1854</v>
      </c>
      <c r="E150" s="509" t="s">
        <v>1144</v>
      </c>
      <c r="F150" s="510" t="s">
        <v>1487</v>
      </c>
      <c r="G150" s="507"/>
      <c r="H150" s="511">
        <v>0</v>
      </c>
      <c r="I150" s="512" t="s">
        <v>1744</v>
      </c>
      <c r="J150" s="510">
        <v>1300</v>
      </c>
      <c r="K150" s="513">
        <v>0</v>
      </c>
      <c r="L150" s="513">
        <v>0</v>
      </c>
      <c r="M150" s="513">
        <v>0</v>
      </c>
      <c r="N150" s="514">
        <f>LANÇ_MOV[[#This Row],[VALOR BRUTO]]-LANÇ_MOV[[#This Row],[DESCONTO]]+LANÇ_MOV[[#This Row],[JUROS]]+LANÇ_MOV[[#This Row],[MULTA]]</f>
        <v>1300</v>
      </c>
      <c r="O150" s="528">
        <v>46032</v>
      </c>
      <c r="P150" s="516" t="str">
        <f t="shared" ca="1" si="2"/>
        <v>Prazo - Mais de 1 mês</v>
      </c>
      <c r="Q150" s="528"/>
      <c r="R150" s="529" t="s">
        <v>1564</v>
      </c>
      <c r="S150" s="518"/>
      <c r="T150" s="518" t="s">
        <v>1776</v>
      </c>
      <c r="U150" s="519" t="s">
        <v>2008</v>
      </c>
      <c r="V150" s="520" t="str">
        <f>IFERROR(VLOOKUP(LANÇ_MOV[[#This Row],[PLANO DE CONTAS]],Plano_Contas[[PLANO DE CONTAS]:[R / D]],3,0),"")</f>
        <v>Despesa</v>
      </c>
      <c r="W150" s="521" t="str">
        <f>IF(LANÇ_MOV[[#This Row],[DATA DE PAGAMENTO]]&lt;&gt;"","Pago","Não Pago")</f>
        <v>Não Pago</v>
      </c>
      <c r="X150" s="522" t="str">
        <f>IFERROR(IF(LANÇ_MOV[[#This Row],[DATA DE PAGAMENTO]]="","",(UPPER(TEXT(LANÇ_MOV[[#This Row],[DATA DE PAGAMENTO]],"mmmm")))),"")</f>
        <v/>
      </c>
      <c r="Y150" s="523" t="str">
        <f>IFERROR(VLOOKUP(LANÇ_MOV[[#This Row],[PLANO DE CONTAS]],Plano_Contas[[PLANO DE CONTAS]:[NOMES INTERVALOS]],2,0),"")</f>
        <v>Despesas_Administrativas</v>
      </c>
      <c r="Z150" s="523" t="str">
        <f>IF(LANÇ_MOV[[#This Row],[FORMA DE PAGAMENTO]]="","",VLOOKUP(LANÇ_MOV[[#This Row],[FORMA DE PAGAMENTO]],CAD_Forma_pagto[],2,0))</f>
        <v>PIX</v>
      </c>
      <c r="AA150" s="524" t="str">
        <f>IF(LANÇ_MOV[[#This Row],[DATA DE LANÇAMENTO]]="","",TEXT(LANÇ_MOV[[#This Row],[DATA DE LANÇAMENTO]],"AAAA"))</f>
        <v>2025</v>
      </c>
      <c r="AB150" s="524" t="str">
        <f>IF(LANÇ_MOV[[#This Row],[DATA DE LANÇAMENTO]]="","",UPPER(TEXT(LANÇ_MOV[[#This Row],[DATA DE LANÇAMENTO]],"MMMM")))</f>
        <v>OUTUBRO</v>
      </c>
      <c r="AC150" s="525" t="str">
        <f>IF(LANÇ_MOV[[#This Row],[DATA DE LANÇAMENTO]]="","",PROPER(TEXT(LANÇ_MOV[[#This Row],[DATA DE LANÇAMENTO]],"M")))</f>
        <v>10</v>
      </c>
      <c r="AD150" s="524" t="str">
        <f>IF(LANÇ_MOV[[#This Row],[DATA DE LANÇAMENTO]]="","",TEXT(LANÇ_MOV[[#This Row],[DATA DE LANÇAMENTO]],"D"))</f>
        <v>1</v>
      </c>
      <c r="AE150" s="526" t="str">
        <f>IF(LANÇ_MOV[[#This Row],[DATA DE VENCIMENTO]]="","",TEXT(LANÇ_MOV[[#This Row],[DATA DE VENCIMENTO]],"AAAA"))</f>
        <v>2026</v>
      </c>
      <c r="AF150" s="526" t="str">
        <f>IF(LANÇ_MOV[[#This Row],[DATA DE VENCIMENTO]]="","",UPPER(TEXT(LANÇ_MOV[[#This Row],[DATA DE VENCIMENTO]],"MMMM")))</f>
        <v>JANEIRO</v>
      </c>
      <c r="AG150" s="526" t="str">
        <f>IF(LANÇ_MOV[[#This Row],[DATA DE VENCIMENTO]]="","",TEXT(LANÇ_MOV[[#This Row],[DATA DE VENCIMENTO]],"M"))</f>
        <v>1</v>
      </c>
      <c r="AH150" s="526" t="str">
        <f>IF(LANÇ_MOV[[#This Row],[DATA DE VENCIMENTO]]="","",TEXT(LANÇ_MOV[[#This Row],[DATA DE VENCIMENTO]],"D"))</f>
        <v>10</v>
      </c>
      <c r="AI150" s="526" t="str">
        <f>IF(LANÇ_MOV[[#This Row],[DATA DE PAGAMENTO]]="","",TEXT(LANÇ_MOV[[#This Row],[DATA DE PAGAMENTO]],"AAAA"))</f>
        <v/>
      </c>
      <c r="AJ150" s="527" t="str">
        <f>IF(LANÇ_MOV[[#This Row],[DATA DE PAGAMENTO]]="","",UPPER(TEXT(LANÇ_MOV[[#This Row],[DATA DE PAGAMENTO]],"MMMM")))</f>
        <v/>
      </c>
      <c r="AK150" s="527" t="str">
        <f>IF(LANÇ_MOV[[#This Row],[DATA DE PAGAMENTO]]="","",TEXT(LANÇ_MOV[[#This Row],[DATA DE PAGAMENTO]],"M"))</f>
        <v/>
      </c>
      <c r="AL150" s="526" t="str">
        <f>IF(LANÇ_MOV[[#This Row],[DATA DE PAGAMENTO]]="","",TEXT(LANÇ_MOV[[#This Row],[DATA DE PAGAMENTO]],"D"))</f>
        <v/>
      </c>
      <c r="AM150" s="27"/>
      <c r="BB150" s="112"/>
      <c r="BC150" s="112"/>
      <c r="BD150" s="112"/>
    </row>
    <row r="151" spans="2:56" ht="30.05" customHeight="1" x14ac:dyDescent="0.35">
      <c r="B151" s="506">
        <v>45931</v>
      </c>
      <c r="C151" s="507" t="s">
        <v>1661</v>
      </c>
      <c r="D151" s="508" t="s">
        <v>1854</v>
      </c>
      <c r="E151" s="509" t="s">
        <v>1144</v>
      </c>
      <c r="F151" s="510" t="s">
        <v>1487</v>
      </c>
      <c r="G151" s="507"/>
      <c r="H151" s="511">
        <v>0</v>
      </c>
      <c r="I151" s="512" t="s">
        <v>1744</v>
      </c>
      <c r="J151" s="510">
        <v>1300</v>
      </c>
      <c r="K151" s="513">
        <v>0</v>
      </c>
      <c r="L151" s="513">
        <v>0</v>
      </c>
      <c r="M151" s="513">
        <v>0</v>
      </c>
      <c r="N151" s="514">
        <f>LANÇ_MOV[[#This Row],[VALOR BRUTO]]-LANÇ_MOV[[#This Row],[DESCONTO]]+LANÇ_MOV[[#This Row],[JUROS]]+LANÇ_MOV[[#This Row],[MULTA]]</f>
        <v>1300</v>
      </c>
      <c r="O151" s="528">
        <v>46063</v>
      </c>
      <c r="P151" s="516" t="str">
        <f t="shared" ca="1" si="2"/>
        <v>Prazo - Mais de 1 mês</v>
      </c>
      <c r="Q151" s="528"/>
      <c r="R151" s="529" t="s">
        <v>1564</v>
      </c>
      <c r="S151" s="531"/>
      <c r="T151" s="518" t="s">
        <v>1776</v>
      </c>
      <c r="U151" s="519" t="s">
        <v>2008</v>
      </c>
      <c r="V151" s="520" t="str">
        <f>IFERROR(VLOOKUP(LANÇ_MOV[[#This Row],[PLANO DE CONTAS]],Plano_Contas[[PLANO DE CONTAS]:[R / D]],3,0),"")</f>
        <v>Despesa</v>
      </c>
      <c r="W151" s="521" t="str">
        <f>IF(LANÇ_MOV[[#This Row],[DATA DE PAGAMENTO]]&lt;&gt;"","Pago","Não Pago")</f>
        <v>Não Pago</v>
      </c>
      <c r="X151" s="522" t="str">
        <f>IFERROR(IF(LANÇ_MOV[[#This Row],[DATA DE PAGAMENTO]]="","",(UPPER(TEXT(LANÇ_MOV[[#This Row],[DATA DE PAGAMENTO]],"mmmm")))),"")</f>
        <v/>
      </c>
      <c r="Y151" s="523" t="str">
        <f>IFERROR(VLOOKUP(LANÇ_MOV[[#This Row],[PLANO DE CONTAS]],Plano_Contas[[PLANO DE CONTAS]:[NOMES INTERVALOS]],2,0),"")</f>
        <v>Despesas_Administrativas</v>
      </c>
      <c r="Z151" s="523" t="str">
        <f>IF(LANÇ_MOV[[#This Row],[FORMA DE PAGAMENTO]]="","",VLOOKUP(LANÇ_MOV[[#This Row],[FORMA DE PAGAMENTO]],CAD_Forma_pagto[],2,0))</f>
        <v>PIX</v>
      </c>
      <c r="AA151" s="524" t="str">
        <f>IF(LANÇ_MOV[[#This Row],[DATA DE LANÇAMENTO]]="","",TEXT(LANÇ_MOV[[#This Row],[DATA DE LANÇAMENTO]],"AAAA"))</f>
        <v>2025</v>
      </c>
      <c r="AB151" s="524" t="str">
        <f>IF(LANÇ_MOV[[#This Row],[DATA DE LANÇAMENTO]]="","",UPPER(TEXT(LANÇ_MOV[[#This Row],[DATA DE LANÇAMENTO]],"MMMM")))</f>
        <v>OUTUBRO</v>
      </c>
      <c r="AC151" s="525" t="str">
        <f>IF(LANÇ_MOV[[#This Row],[DATA DE LANÇAMENTO]]="","",PROPER(TEXT(LANÇ_MOV[[#This Row],[DATA DE LANÇAMENTO]],"M")))</f>
        <v>10</v>
      </c>
      <c r="AD151" s="524" t="str">
        <f>IF(LANÇ_MOV[[#This Row],[DATA DE LANÇAMENTO]]="","",TEXT(LANÇ_MOV[[#This Row],[DATA DE LANÇAMENTO]],"D"))</f>
        <v>1</v>
      </c>
      <c r="AE151" s="526" t="str">
        <f>IF(LANÇ_MOV[[#This Row],[DATA DE VENCIMENTO]]="","",TEXT(LANÇ_MOV[[#This Row],[DATA DE VENCIMENTO]],"AAAA"))</f>
        <v>2026</v>
      </c>
      <c r="AF151" s="526" t="str">
        <f>IF(LANÇ_MOV[[#This Row],[DATA DE VENCIMENTO]]="","",UPPER(TEXT(LANÇ_MOV[[#This Row],[DATA DE VENCIMENTO]],"MMMM")))</f>
        <v>FEVEREIRO</v>
      </c>
      <c r="AG151" s="526" t="str">
        <f>IF(LANÇ_MOV[[#This Row],[DATA DE VENCIMENTO]]="","",TEXT(LANÇ_MOV[[#This Row],[DATA DE VENCIMENTO]],"M"))</f>
        <v>2</v>
      </c>
      <c r="AH151" s="526" t="str">
        <f>IF(LANÇ_MOV[[#This Row],[DATA DE VENCIMENTO]]="","",TEXT(LANÇ_MOV[[#This Row],[DATA DE VENCIMENTO]],"D"))</f>
        <v>10</v>
      </c>
      <c r="AI151" s="526" t="str">
        <f>IF(LANÇ_MOV[[#This Row],[DATA DE PAGAMENTO]]="","",TEXT(LANÇ_MOV[[#This Row],[DATA DE PAGAMENTO]],"AAAA"))</f>
        <v/>
      </c>
      <c r="AJ151" s="527" t="str">
        <f>IF(LANÇ_MOV[[#This Row],[DATA DE PAGAMENTO]]="","",UPPER(TEXT(LANÇ_MOV[[#This Row],[DATA DE PAGAMENTO]],"MMMM")))</f>
        <v/>
      </c>
      <c r="AK151" s="527" t="str">
        <f>IF(LANÇ_MOV[[#This Row],[DATA DE PAGAMENTO]]="","",TEXT(LANÇ_MOV[[#This Row],[DATA DE PAGAMENTO]],"M"))</f>
        <v/>
      </c>
      <c r="AL151" s="526" t="str">
        <f>IF(LANÇ_MOV[[#This Row],[DATA DE PAGAMENTO]]="","",TEXT(LANÇ_MOV[[#This Row],[DATA DE PAGAMENTO]],"D"))</f>
        <v/>
      </c>
      <c r="AM151" s="27"/>
      <c r="BB151" s="112"/>
      <c r="BC151" s="112"/>
      <c r="BD151" s="112"/>
    </row>
    <row r="152" spans="2:56" ht="30.05" customHeight="1" x14ac:dyDescent="0.35">
      <c r="B152" s="506">
        <v>45931</v>
      </c>
      <c r="C152" s="507" t="s">
        <v>1661</v>
      </c>
      <c r="D152" s="508" t="s">
        <v>1854</v>
      </c>
      <c r="E152" s="509" t="s">
        <v>1144</v>
      </c>
      <c r="F152" s="510" t="s">
        <v>1487</v>
      </c>
      <c r="G152" s="507"/>
      <c r="H152" s="511">
        <v>0</v>
      </c>
      <c r="I152" s="512" t="s">
        <v>1744</v>
      </c>
      <c r="J152" s="510">
        <v>1300</v>
      </c>
      <c r="K152" s="513">
        <v>0</v>
      </c>
      <c r="L152" s="513">
        <v>0</v>
      </c>
      <c r="M152" s="513">
        <v>0</v>
      </c>
      <c r="N152" s="514">
        <f>LANÇ_MOV[[#This Row],[VALOR BRUTO]]-LANÇ_MOV[[#This Row],[DESCONTO]]+LANÇ_MOV[[#This Row],[JUROS]]+LANÇ_MOV[[#This Row],[MULTA]]</f>
        <v>1300</v>
      </c>
      <c r="O152" s="528">
        <v>46091</v>
      </c>
      <c r="P152" s="516" t="str">
        <f t="shared" ca="1" si="2"/>
        <v>Prazo - Mais de 1 mês</v>
      </c>
      <c r="Q152" s="528"/>
      <c r="R152" s="529" t="s">
        <v>1564</v>
      </c>
      <c r="S152" s="531"/>
      <c r="T152" s="518" t="s">
        <v>1776</v>
      </c>
      <c r="U152" s="519" t="s">
        <v>2008</v>
      </c>
      <c r="V152" s="520" t="str">
        <f>IFERROR(VLOOKUP(LANÇ_MOV[[#This Row],[PLANO DE CONTAS]],Plano_Contas[[PLANO DE CONTAS]:[R / D]],3,0),"")</f>
        <v>Despesa</v>
      </c>
      <c r="W152" s="521" t="str">
        <f>IF(LANÇ_MOV[[#This Row],[DATA DE PAGAMENTO]]&lt;&gt;"","Pago","Não Pago")</f>
        <v>Não Pago</v>
      </c>
      <c r="X152" s="522" t="str">
        <f>IFERROR(IF(LANÇ_MOV[[#This Row],[DATA DE PAGAMENTO]]="","",(UPPER(TEXT(LANÇ_MOV[[#This Row],[DATA DE PAGAMENTO]],"mmmm")))),"")</f>
        <v/>
      </c>
      <c r="Y152" s="523" t="str">
        <f>IFERROR(VLOOKUP(LANÇ_MOV[[#This Row],[PLANO DE CONTAS]],Plano_Contas[[PLANO DE CONTAS]:[NOMES INTERVALOS]],2,0),"")</f>
        <v>Despesas_Administrativas</v>
      </c>
      <c r="Z152" s="523" t="str">
        <f>IF(LANÇ_MOV[[#This Row],[FORMA DE PAGAMENTO]]="","",VLOOKUP(LANÇ_MOV[[#This Row],[FORMA DE PAGAMENTO]],CAD_Forma_pagto[],2,0))</f>
        <v>PIX</v>
      </c>
      <c r="AA152" s="524" t="str">
        <f>IF(LANÇ_MOV[[#This Row],[DATA DE LANÇAMENTO]]="","",TEXT(LANÇ_MOV[[#This Row],[DATA DE LANÇAMENTO]],"AAAA"))</f>
        <v>2025</v>
      </c>
      <c r="AB152" s="524" t="str">
        <f>IF(LANÇ_MOV[[#This Row],[DATA DE LANÇAMENTO]]="","",UPPER(TEXT(LANÇ_MOV[[#This Row],[DATA DE LANÇAMENTO]],"MMMM")))</f>
        <v>OUTUBRO</v>
      </c>
      <c r="AC152" s="525" t="str">
        <f>IF(LANÇ_MOV[[#This Row],[DATA DE LANÇAMENTO]]="","",PROPER(TEXT(LANÇ_MOV[[#This Row],[DATA DE LANÇAMENTO]],"M")))</f>
        <v>10</v>
      </c>
      <c r="AD152" s="524" t="str">
        <f>IF(LANÇ_MOV[[#This Row],[DATA DE LANÇAMENTO]]="","",TEXT(LANÇ_MOV[[#This Row],[DATA DE LANÇAMENTO]],"D"))</f>
        <v>1</v>
      </c>
      <c r="AE152" s="526" t="str">
        <f>IF(LANÇ_MOV[[#This Row],[DATA DE VENCIMENTO]]="","",TEXT(LANÇ_MOV[[#This Row],[DATA DE VENCIMENTO]],"AAAA"))</f>
        <v>2026</v>
      </c>
      <c r="AF152" s="526" t="str">
        <f>IF(LANÇ_MOV[[#This Row],[DATA DE VENCIMENTO]]="","",UPPER(TEXT(LANÇ_MOV[[#This Row],[DATA DE VENCIMENTO]],"MMMM")))</f>
        <v>MARÇO</v>
      </c>
      <c r="AG152" s="526" t="str">
        <f>IF(LANÇ_MOV[[#This Row],[DATA DE VENCIMENTO]]="","",TEXT(LANÇ_MOV[[#This Row],[DATA DE VENCIMENTO]],"M"))</f>
        <v>3</v>
      </c>
      <c r="AH152" s="526" t="str">
        <f>IF(LANÇ_MOV[[#This Row],[DATA DE VENCIMENTO]]="","",TEXT(LANÇ_MOV[[#This Row],[DATA DE VENCIMENTO]],"D"))</f>
        <v>10</v>
      </c>
      <c r="AI152" s="526" t="str">
        <f>IF(LANÇ_MOV[[#This Row],[DATA DE PAGAMENTO]]="","",TEXT(LANÇ_MOV[[#This Row],[DATA DE PAGAMENTO]],"AAAA"))</f>
        <v/>
      </c>
      <c r="AJ152" s="527" t="str">
        <f>IF(LANÇ_MOV[[#This Row],[DATA DE PAGAMENTO]]="","",UPPER(TEXT(LANÇ_MOV[[#This Row],[DATA DE PAGAMENTO]],"MMMM")))</f>
        <v/>
      </c>
      <c r="AK152" s="527" t="str">
        <f>IF(LANÇ_MOV[[#This Row],[DATA DE PAGAMENTO]]="","",TEXT(LANÇ_MOV[[#This Row],[DATA DE PAGAMENTO]],"M"))</f>
        <v/>
      </c>
      <c r="AL152" s="526" t="str">
        <f>IF(LANÇ_MOV[[#This Row],[DATA DE PAGAMENTO]]="","",TEXT(LANÇ_MOV[[#This Row],[DATA DE PAGAMENTO]],"D"))</f>
        <v/>
      </c>
      <c r="AM152" s="27"/>
      <c r="BB152" s="112"/>
      <c r="BC152" s="112"/>
      <c r="BD152" s="112"/>
    </row>
    <row r="153" spans="2:56" ht="30.05" customHeight="1" x14ac:dyDescent="0.35">
      <c r="B153" s="506">
        <v>45931</v>
      </c>
      <c r="C153" s="507" t="s">
        <v>1661</v>
      </c>
      <c r="D153" s="508" t="s">
        <v>1854</v>
      </c>
      <c r="E153" s="509" t="s">
        <v>1144</v>
      </c>
      <c r="F153" s="510" t="s">
        <v>1487</v>
      </c>
      <c r="G153" s="507"/>
      <c r="H153" s="511">
        <v>0</v>
      </c>
      <c r="I153" s="512" t="s">
        <v>1744</v>
      </c>
      <c r="J153" s="510">
        <v>1300</v>
      </c>
      <c r="K153" s="513">
        <v>0</v>
      </c>
      <c r="L153" s="513">
        <v>0</v>
      </c>
      <c r="M153" s="513">
        <v>0</v>
      </c>
      <c r="N153" s="514">
        <f>LANÇ_MOV[[#This Row],[VALOR BRUTO]]-LANÇ_MOV[[#This Row],[DESCONTO]]+LANÇ_MOV[[#This Row],[JUROS]]+LANÇ_MOV[[#This Row],[MULTA]]</f>
        <v>1300</v>
      </c>
      <c r="O153" s="528">
        <v>46122</v>
      </c>
      <c r="P153" s="516" t="str">
        <f t="shared" ca="1" si="2"/>
        <v>Prazo - Mais de 1 mês</v>
      </c>
      <c r="Q153" s="528"/>
      <c r="R153" s="529" t="s">
        <v>1564</v>
      </c>
      <c r="S153" s="531"/>
      <c r="T153" s="518" t="s">
        <v>1776</v>
      </c>
      <c r="U153" s="519" t="s">
        <v>2008</v>
      </c>
      <c r="V153" s="520" t="str">
        <f>IFERROR(VLOOKUP(LANÇ_MOV[[#This Row],[PLANO DE CONTAS]],Plano_Contas[[PLANO DE CONTAS]:[R / D]],3,0),"")</f>
        <v>Despesa</v>
      </c>
      <c r="W153" s="521" t="str">
        <f>IF(LANÇ_MOV[[#This Row],[DATA DE PAGAMENTO]]&lt;&gt;"","Pago","Não Pago")</f>
        <v>Não Pago</v>
      </c>
      <c r="X153" s="522" t="str">
        <f>IFERROR(IF(LANÇ_MOV[[#This Row],[DATA DE PAGAMENTO]]="","",(UPPER(TEXT(LANÇ_MOV[[#This Row],[DATA DE PAGAMENTO]],"mmmm")))),"")</f>
        <v/>
      </c>
      <c r="Y153" s="523" t="str">
        <f>IFERROR(VLOOKUP(LANÇ_MOV[[#This Row],[PLANO DE CONTAS]],Plano_Contas[[PLANO DE CONTAS]:[NOMES INTERVALOS]],2,0),"")</f>
        <v>Despesas_Administrativas</v>
      </c>
      <c r="Z153" s="523" t="str">
        <f>IF(LANÇ_MOV[[#This Row],[FORMA DE PAGAMENTO]]="","",VLOOKUP(LANÇ_MOV[[#This Row],[FORMA DE PAGAMENTO]],CAD_Forma_pagto[],2,0))</f>
        <v>PIX</v>
      </c>
      <c r="AA153" s="524" t="str">
        <f>IF(LANÇ_MOV[[#This Row],[DATA DE LANÇAMENTO]]="","",TEXT(LANÇ_MOV[[#This Row],[DATA DE LANÇAMENTO]],"AAAA"))</f>
        <v>2025</v>
      </c>
      <c r="AB153" s="524" t="str">
        <f>IF(LANÇ_MOV[[#This Row],[DATA DE LANÇAMENTO]]="","",UPPER(TEXT(LANÇ_MOV[[#This Row],[DATA DE LANÇAMENTO]],"MMMM")))</f>
        <v>OUTUBRO</v>
      </c>
      <c r="AC153" s="525" t="str">
        <f>IF(LANÇ_MOV[[#This Row],[DATA DE LANÇAMENTO]]="","",PROPER(TEXT(LANÇ_MOV[[#This Row],[DATA DE LANÇAMENTO]],"M")))</f>
        <v>10</v>
      </c>
      <c r="AD153" s="524" t="str">
        <f>IF(LANÇ_MOV[[#This Row],[DATA DE LANÇAMENTO]]="","",TEXT(LANÇ_MOV[[#This Row],[DATA DE LANÇAMENTO]],"D"))</f>
        <v>1</v>
      </c>
      <c r="AE153" s="526" t="str">
        <f>IF(LANÇ_MOV[[#This Row],[DATA DE VENCIMENTO]]="","",TEXT(LANÇ_MOV[[#This Row],[DATA DE VENCIMENTO]],"AAAA"))</f>
        <v>2026</v>
      </c>
      <c r="AF153" s="526" t="str">
        <f>IF(LANÇ_MOV[[#This Row],[DATA DE VENCIMENTO]]="","",UPPER(TEXT(LANÇ_MOV[[#This Row],[DATA DE VENCIMENTO]],"MMMM")))</f>
        <v>ABRIL</v>
      </c>
      <c r="AG153" s="526" t="str">
        <f>IF(LANÇ_MOV[[#This Row],[DATA DE VENCIMENTO]]="","",TEXT(LANÇ_MOV[[#This Row],[DATA DE VENCIMENTO]],"M"))</f>
        <v>4</v>
      </c>
      <c r="AH153" s="526" t="str">
        <f>IF(LANÇ_MOV[[#This Row],[DATA DE VENCIMENTO]]="","",TEXT(LANÇ_MOV[[#This Row],[DATA DE VENCIMENTO]],"D"))</f>
        <v>10</v>
      </c>
      <c r="AI153" s="526" t="str">
        <f>IF(LANÇ_MOV[[#This Row],[DATA DE PAGAMENTO]]="","",TEXT(LANÇ_MOV[[#This Row],[DATA DE PAGAMENTO]],"AAAA"))</f>
        <v/>
      </c>
      <c r="AJ153" s="527" t="str">
        <f>IF(LANÇ_MOV[[#This Row],[DATA DE PAGAMENTO]]="","",UPPER(TEXT(LANÇ_MOV[[#This Row],[DATA DE PAGAMENTO]],"MMMM")))</f>
        <v/>
      </c>
      <c r="AK153" s="527" t="str">
        <f>IF(LANÇ_MOV[[#This Row],[DATA DE PAGAMENTO]]="","",TEXT(LANÇ_MOV[[#This Row],[DATA DE PAGAMENTO]],"M"))</f>
        <v/>
      </c>
      <c r="AL153" s="526" t="str">
        <f>IF(LANÇ_MOV[[#This Row],[DATA DE PAGAMENTO]]="","",TEXT(LANÇ_MOV[[#This Row],[DATA DE PAGAMENTO]],"D"))</f>
        <v/>
      </c>
      <c r="AM153" s="27"/>
      <c r="BB153" s="112"/>
      <c r="BC153" s="112"/>
      <c r="BD153" s="112"/>
    </row>
    <row r="154" spans="2:56" ht="30.05" customHeight="1" x14ac:dyDescent="0.35">
      <c r="B154" s="506">
        <v>45931</v>
      </c>
      <c r="C154" s="507" t="s">
        <v>1661</v>
      </c>
      <c r="D154" s="508" t="s">
        <v>1854</v>
      </c>
      <c r="E154" s="509" t="s">
        <v>1144</v>
      </c>
      <c r="F154" s="510" t="s">
        <v>1487</v>
      </c>
      <c r="G154" s="507"/>
      <c r="H154" s="511">
        <v>0</v>
      </c>
      <c r="I154" s="512" t="s">
        <v>1744</v>
      </c>
      <c r="J154" s="510">
        <v>1300</v>
      </c>
      <c r="K154" s="513">
        <v>0</v>
      </c>
      <c r="L154" s="513">
        <v>0</v>
      </c>
      <c r="M154" s="513">
        <v>0</v>
      </c>
      <c r="N154" s="514">
        <f>LANÇ_MOV[[#This Row],[VALOR BRUTO]]-LANÇ_MOV[[#This Row],[DESCONTO]]+LANÇ_MOV[[#This Row],[JUROS]]+LANÇ_MOV[[#This Row],[MULTA]]</f>
        <v>1300</v>
      </c>
      <c r="O154" s="528">
        <v>46152</v>
      </c>
      <c r="P154" s="516" t="str">
        <f t="shared" ca="1" si="2"/>
        <v>Prazo - Mais de 1 mês</v>
      </c>
      <c r="Q154" s="528"/>
      <c r="R154" s="529" t="s">
        <v>1564</v>
      </c>
      <c r="S154" s="531"/>
      <c r="T154" s="518" t="s">
        <v>1776</v>
      </c>
      <c r="U154" s="519" t="s">
        <v>2008</v>
      </c>
      <c r="V154" s="520" t="str">
        <f>IFERROR(VLOOKUP(LANÇ_MOV[[#This Row],[PLANO DE CONTAS]],Plano_Contas[[PLANO DE CONTAS]:[R / D]],3,0),"")</f>
        <v>Despesa</v>
      </c>
      <c r="W154" s="521" t="str">
        <f>IF(LANÇ_MOV[[#This Row],[DATA DE PAGAMENTO]]&lt;&gt;"","Pago","Não Pago")</f>
        <v>Não Pago</v>
      </c>
      <c r="X154" s="522" t="str">
        <f>IFERROR(IF(LANÇ_MOV[[#This Row],[DATA DE PAGAMENTO]]="","",(UPPER(TEXT(LANÇ_MOV[[#This Row],[DATA DE PAGAMENTO]],"mmmm")))),"")</f>
        <v/>
      </c>
      <c r="Y154" s="523" t="str">
        <f>IFERROR(VLOOKUP(LANÇ_MOV[[#This Row],[PLANO DE CONTAS]],Plano_Contas[[PLANO DE CONTAS]:[NOMES INTERVALOS]],2,0),"")</f>
        <v>Despesas_Administrativas</v>
      </c>
      <c r="Z154" s="523" t="str">
        <f>IF(LANÇ_MOV[[#This Row],[FORMA DE PAGAMENTO]]="","",VLOOKUP(LANÇ_MOV[[#This Row],[FORMA DE PAGAMENTO]],CAD_Forma_pagto[],2,0))</f>
        <v>PIX</v>
      </c>
      <c r="AA154" s="524" t="str">
        <f>IF(LANÇ_MOV[[#This Row],[DATA DE LANÇAMENTO]]="","",TEXT(LANÇ_MOV[[#This Row],[DATA DE LANÇAMENTO]],"AAAA"))</f>
        <v>2025</v>
      </c>
      <c r="AB154" s="524" t="str">
        <f>IF(LANÇ_MOV[[#This Row],[DATA DE LANÇAMENTO]]="","",UPPER(TEXT(LANÇ_MOV[[#This Row],[DATA DE LANÇAMENTO]],"MMMM")))</f>
        <v>OUTUBRO</v>
      </c>
      <c r="AC154" s="525" t="str">
        <f>IF(LANÇ_MOV[[#This Row],[DATA DE LANÇAMENTO]]="","",PROPER(TEXT(LANÇ_MOV[[#This Row],[DATA DE LANÇAMENTO]],"M")))</f>
        <v>10</v>
      </c>
      <c r="AD154" s="524" t="str">
        <f>IF(LANÇ_MOV[[#This Row],[DATA DE LANÇAMENTO]]="","",TEXT(LANÇ_MOV[[#This Row],[DATA DE LANÇAMENTO]],"D"))</f>
        <v>1</v>
      </c>
      <c r="AE154" s="526" t="str">
        <f>IF(LANÇ_MOV[[#This Row],[DATA DE VENCIMENTO]]="","",TEXT(LANÇ_MOV[[#This Row],[DATA DE VENCIMENTO]],"AAAA"))</f>
        <v>2026</v>
      </c>
      <c r="AF154" s="526" t="str">
        <f>IF(LANÇ_MOV[[#This Row],[DATA DE VENCIMENTO]]="","",UPPER(TEXT(LANÇ_MOV[[#This Row],[DATA DE VENCIMENTO]],"MMMM")))</f>
        <v>MAIO</v>
      </c>
      <c r="AG154" s="526" t="str">
        <f>IF(LANÇ_MOV[[#This Row],[DATA DE VENCIMENTO]]="","",TEXT(LANÇ_MOV[[#This Row],[DATA DE VENCIMENTO]],"M"))</f>
        <v>5</v>
      </c>
      <c r="AH154" s="526" t="str">
        <f>IF(LANÇ_MOV[[#This Row],[DATA DE VENCIMENTO]]="","",TEXT(LANÇ_MOV[[#This Row],[DATA DE VENCIMENTO]],"D"))</f>
        <v>10</v>
      </c>
      <c r="AI154" s="526" t="str">
        <f>IF(LANÇ_MOV[[#This Row],[DATA DE PAGAMENTO]]="","",TEXT(LANÇ_MOV[[#This Row],[DATA DE PAGAMENTO]],"AAAA"))</f>
        <v/>
      </c>
      <c r="AJ154" s="527" t="str">
        <f>IF(LANÇ_MOV[[#This Row],[DATA DE PAGAMENTO]]="","",UPPER(TEXT(LANÇ_MOV[[#This Row],[DATA DE PAGAMENTO]],"MMMM")))</f>
        <v/>
      </c>
      <c r="AK154" s="527" t="str">
        <f>IF(LANÇ_MOV[[#This Row],[DATA DE PAGAMENTO]]="","",TEXT(LANÇ_MOV[[#This Row],[DATA DE PAGAMENTO]],"M"))</f>
        <v/>
      </c>
      <c r="AL154" s="526" t="str">
        <f>IF(LANÇ_MOV[[#This Row],[DATA DE PAGAMENTO]]="","",TEXT(LANÇ_MOV[[#This Row],[DATA DE PAGAMENTO]],"D"))</f>
        <v/>
      </c>
      <c r="AM154" s="27"/>
      <c r="BB154" s="112"/>
      <c r="BC154" s="112"/>
      <c r="BD154" s="112"/>
    </row>
    <row r="155" spans="2:56" ht="30.05" customHeight="1" x14ac:dyDescent="0.35">
      <c r="B155" s="506">
        <v>45931</v>
      </c>
      <c r="C155" s="507" t="s">
        <v>1661</v>
      </c>
      <c r="D155" s="508" t="s">
        <v>1854</v>
      </c>
      <c r="E155" s="509" t="s">
        <v>1144</v>
      </c>
      <c r="F155" s="510" t="s">
        <v>1487</v>
      </c>
      <c r="G155" s="507"/>
      <c r="H155" s="511">
        <v>0</v>
      </c>
      <c r="I155" s="512" t="s">
        <v>1744</v>
      </c>
      <c r="J155" s="510">
        <v>1300</v>
      </c>
      <c r="K155" s="513">
        <v>0</v>
      </c>
      <c r="L155" s="513">
        <v>0</v>
      </c>
      <c r="M155" s="513">
        <v>0</v>
      </c>
      <c r="N155" s="514">
        <f>LANÇ_MOV[[#This Row],[VALOR BRUTO]]-LANÇ_MOV[[#This Row],[DESCONTO]]+LANÇ_MOV[[#This Row],[JUROS]]+LANÇ_MOV[[#This Row],[MULTA]]</f>
        <v>1300</v>
      </c>
      <c r="O155" s="528">
        <v>46213</v>
      </c>
      <c r="P155" s="516" t="str">
        <f t="shared" ca="1" si="2"/>
        <v>Prazo - Mais de 1 mês</v>
      </c>
      <c r="Q155" s="528"/>
      <c r="R155" s="529" t="s">
        <v>1564</v>
      </c>
      <c r="S155" s="531"/>
      <c r="T155" s="518" t="s">
        <v>1776</v>
      </c>
      <c r="U155" s="519" t="s">
        <v>2008</v>
      </c>
      <c r="V155" s="520" t="str">
        <f>IFERROR(VLOOKUP(LANÇ_MOV[[#This Row],[PLANO DE CONTAS]],Plano_Contas[[PLANO DE CONTAS]:[R / D]],3,0),"")</f>
        <v>Despesa</v>
      </c>
      <c r="W155" s="521" t="str">
        <f>IF(LANÇ_MOV[[#This Row],[DATA DE PAGAMENTO]]&lt;&gt;"","Pago","Não Pago")</f>
        <v>Não Pago</v>
      </c>
      <c r="X155" s="522" t="str">
        <f>IFERROR(IF(LANÇ_MOV[[#This Row],[DATA DE PAGAMENTO]]="","",(UPPER(TEXT(LANÇ_MOV[[#This Row],[DATA DE PAGAMENTO]],"mmmm")))),"")</f>
        <v/>
      </c>
      <c r="Y155" s="523" t="str">
        <f>IFERROR(VLOOKUP(LANÇ_MOV[[#This Row],[PLANO DE CONTAS]],Plano_Contas[[PLANO DE CONTAS]:[NOMES INTERVALOS]],2,0),"")</f>
        <v>Despesas_Administrativas</v>
      </c>
      <c r="Z155" s="523" t="str">
        <f>IF(LANÇ_MOV[[#This Row],[FORMA DE PAGAMENTO]]="","",VLOOKUP(LANÇ_MOV[[#This Row],[FORMA DE PAGAMENTO]],CAD_Forma_pagto[],2,0))</f>
        <v>PIX</v>
      </c>
      <c r="AA155" s="524" t="str">
        <f>IF(LANÇ_MOV[[#This Row],[DATA DE LANÇAMENTO]]="","",TEXT(LANÇ_MOV[[#This Row],[DATA DE LANÇAMENTO]],"AAAA"))</f>
        <v>2025</v>
      </c>
      <c r="AB155" s="524" t="str">
        <f>IF(LANÇ_MOV[[#This Row],[DATA DE LANÇAMENTO]]="","",UPPER(TEXT(LANÇ_MOV[[#This Row],[DATA DE LANÇAMENTO]],"MMMM")))</f>
        <v>OUTUBRO</v>
      </c>
      <c r="AC155" s="525" t="str">
        <f>IF(LANÇ_MOV[[#This Row],[DATA DE LANÇAMENTO]]="","",PROPER(TEXT(LANÇ_MOV[[#This Row],[DATA DE LANÇAMENTO]],"M")))</f>
        <v>10</v>
      </c>
      <c r="AD155" s="524" t="str">
        <f>IF(LANÇ_MOV[[#This Row],[DATA DE LANÇAMENTO]]="","",TEXT(LANÇ_MOV[[#This Row],[DATA DE LANÇAMENTO]],"D"))</f>
        <v>1</v>
      </c>
      <c r="AE155" s="526" t="str">
        <f>IF(LANÇ_MOV[[#This Row],[DATA DE VENCIMENTO]]="","",TEXT(LANÇ_MOV[[#This Row],[DATA DE VENCIMENTO]],"AAAA"))</f>
        <v>2026</v>
      </c>
      <c r="AF155" s="526" t="str">
        <f>IF(LANÇ_MOV[[#This Row],[DATA DE VENCIMENTO]]="","",UPPER(TEXT(LANÇ_MOV[[#This Row],[DATA DE VENCIMENTO]],"MMMM")))</f>
        <v>JULHO</v>
      </c>
      <c r="AG155" s="526" t="str">
        <f>IF(LANÇ_MOV[[#This Row],[DATA DE VENCIMENTO]]="","",TEXT(LANÇ_MOV[[#This Row],[DATA DE VENCIMENTO]],"M"))</f>
        <v>7</v>
      </c>
      <c r="AH155" s="526" t="str">
        <f>IF(LANÇ_MOV[[#This Row],[DATA DE VENCIMENTO]]="","",TEXT(LANÇ_MOV[[#This Row],[DATA DE VENCIMENTO]],"D"))</f>
        <v>10</v>
      </c>
      <c r="AI155" s="526" t="str">
        <f>IF(LANÇ_MOV[[#This Row],[DATA DE PAGAMENTO]]="","",TEXT(LANÇ_MOV[[#This Row],[DATA DE PAGAMENTO]],"AAAA"))</f>
        <v/>
      </c>
      <c r="AJ155" s="527" t="str">
        <f>IF(LANÇ_MOV[[#This Row],[DATA DE PAGAMENTO]]="","",UPPER(TEXT(LANÇ_MOV[[#This Row],[DATA DE PAGAMENTO]],"MMMM")))</f>
        <v/>
      </c>
      <c r="AK155" s="527" t="str">
        <f>IF(LANÇ_MOV[[#This Row],[DATA DE PAGAMENTO]]="","",TEXT(LANÇ_MOV[[#This Row],[DATA DE PAGAMENTO]],"M"))</f>
        <v/>
      </c>
      <c r="AL155" s="526" t="str">
        <f>IF(LANÇ_MOV[[#This Row],[DATA DE PAGAMENTO]]="","",TEXT(LANÇ_MOV[[#This Row],[DATA DE PAGAMENTO]],"D"))</f>
        <v/>
      </c>
      <c r="AM155" s="27"/>
      <c r="BB155" s="112"/>
      <c r="BC155" s="112"/>
      <c r="BD155" s="112"/>
    </row>
    <row r="156" spans="2:56" ht="30.05" customHeight="1" x14ac:dyDescent="0.35">
      <c r="B156" s="506">
        <v>45931</v>
      </c>
      <c r="C156" s="507" t="s">
        <v>1661</v>
      </c>
      <c r="D156" s="508" t="s">
        <v>1854</v>
      </c>
      <c r="E156" s="509" t="s">
        <v>1144</v>
      </c>
      <c r="F156" s="510" t="s">
        <v>1487</v>
      </c>
      <c r="G156" s="507"/>
      <c r="H156" s="511">
        <v>0</v>
      </c>
      <c r="I156" s="512" t="s">
        <v>1744</v>
      </c>
      <c r="J156" s="510">
        <v>1300</v>
      </c>
      <c r="K156" s="513">
        <v>0</v>
      </c>
      <c r="L156" s="513">
        <v>0</v>
      </c>
      <c r="M156" s="513">
        <v>0</v>
      </c>
      <c r="N156" s="514">
        <f>LANÇ_MOV[[#This Row],[VALOR BRUTO]]-LANÇ_MOV[[#This Row],[DESCONTO]]+LANÇ_MOV[[#This Row],[JUROS]]+LANÇ_MOV[[#This Row],[MULTA]]</f>
        <v>1300</v>
      </c>
      <c r="O156" s="528">
        <v>46244</v>
      </c>
      <c r="P156" s="516" t="str">
        <f t="shared" ca="1" si="2"/>
        <v>Prazo - Mais de 1 mês</v>
      </c>
      <c r="Q156" s="528"/>
      <c r="R156" s="529" t="s">
        <v>1564</v>
      </c>
      <c r="S156" s="531"/>
      <c r="T156" s="518" t="s">
        <v>1776</v>
      </c>
      <c r="U156" s="519" t="s">
        <v>2008</v>
      </c>
      <c r="V156" s="520" t="str">
        <f>IFERROR(VLOOKUP(LANÇ_MOV[[#This Row],[PLANO DE CONTAS]],Plano_Contas[[PLANO DE CONTAS]:[R / D]],3,0),"")</f>
        <v>Despesa</v>
      </c>
      <c r="W156" s="521" t="str">
        <f>IF(LANÇ_MOV[[#This Row],[DATA DE PAGAMENTO]]&lt;&gt;"","Pago","Não Pago")</f>
        <v>Não Pago</v>
      </c>
      <c r="X156" s="522" t="str">
        <f>IFERROR(IF(LANÇ_MOV[[#This Row],[DATA DE PAGAMENTO]]="","",(UPPER(TEXT(LANÇ_MOV[[#This Row],[DATA DE PAGAMENTO]],"mmmm")))),"")</f>
        <v/>
      </c>
      <c r="Y156" s="523" t="str">
        <f>IFERROR(VLOOKUP(LANÇ_MOV[[#This Row],[PLANO DE CONTAS]],Plano_Contas[[PLANO DE CONTAS]:[NOMES INTERVALOS]],2,0),"")</f>
        <v>Despesas_Administrativas</v>
      </c>
      <c r="Z156" s="523" t="str">
        <f>IF(LANÇ_MOV[[#This Row],[FORMA DE PAGAMENTO]]="","",VLOOKUP(LANÇ_MOV[[#This Row],[FORMA DE PAGAMENTO]],CAD_Forma_pagto[],2,0))</f>
        <v>PIX</v>
      </c>
      <c r="AA156" s="524" t="str">
        <f>IF(LANÇ_MOV[[#This Row],[DATA DE LANÇAMENTO]]="","",TEXT(LANÇ_MOV[[#This Row],[DATA DE LANÇAMENTO]],"AAAA"))</f>
        <v>2025</v>
      </c>
      <c r="AB156" s="524" t="str">
        <f>IF(LANÇ_MOV[[#This Row],[DATA DE LANÇAMENTO]]="","",UPPER(TEXT(LANÇ_MOV[[#This Row],[DATA DE LANÇAMENTO]],"MMMM")))</f>
        <v>OUTUBRO</v>
      </c>
      <c r="AC156" s="525" t="str">
        <f>IF(LANÇ_MOV[[#This Row],[DATA DE LANÇAMENTO]]="","",PROPER(TEXT(LANÇ_MOV[[#This Row],[DATA DE LANÇAMENTO]],"M")))</f>
        <v>10</v>
      </c>
      <c r="AD156" s="524" t="str">
        <f>IF(LANÇ_MOV[[#This Row],[DATA DE LANÇAMENTO]]="","",TEXT(LANÇ_MOV[[#This Row],[DATA DE LANÇAMENTO]],"D"))</f>
        <v>1</v>
      </c>
      <c r="AE156" s="526" t="str">
        <f>IF(LANÇ_MOV[[#This Row],[DATA DE VENCIMENTO]]="","",TEXT(LANÇ_MOV[[#This Row],[DATA DE VENCIMENTO]],"AAAA"))</f>
        <v>2026</v>
      </c>
      <c r="AF156" s="526" t="str">
        <f>IF(LANÇ_MOV[[#This Row],[DATA DE VENCIMENTO]]="","",UPPER(TEXT(LANÇ_MOV[[#This Row],[DATA DE VENCIMENTO]],"MMMM")))</f>
        <v>AGOSTO</v>
      </c>
      <c r="AG156" s="526" t="str">
        <f>IF(LANÇ_MOV[[#This Row],[DATA DE VENCIMENTO]]="","",TEXT(LANÇ_MOV[[#This Row],[DATA DE VENCIMENTO]],"M"))</f>
        <v>8</v>
      </c>
      <c r="AH156" s="526" t="str">
        <f>IF(LANÇ_MOV[[#This Row],[DATA DE VENCIMENTO]]="","",TEXT(LANÇ_MOV[[#This Row],[DATA DE VENCIMENTO]],"D"))</f>
        <v>10</v>
      </c>
      <c r="AI156" s="526" t="str">
        <f>IF(LANÇ_MOV[[#This Row],[DATA DE PAGAMENTO]]="","",TEXT(LANÇ_MOV[[#This Row],[DATA DE PAGAMENTO]],"AAAA"))</f>
        <v/>
      </c>
      <c r="AJ156" s="527" t="str">
        <f>IF(LANÇ_MOV[[#This Row],[DATA DE PAGAMENTO]]="","",UPPER(TEXT(LANÇ_MOV[[#This Row],[DATA DE PAGAMENTO]],"MMMM")))</f>
        <v/>
      </c>
      <c r="AK156" s="527" t="str">
        <f>IF(LANÇ_MOV[[#This Row],[DATA DE PAGAMENTO]]="","",TEXT(LANÇ_MOV[[#This Row],[DATA DE PAGAMENTO]],"M"))</f>
        <v/>
      </c>
      <c r="AL156" s="526" t="str">
        <f>IF(LANÇ_MOV[[#This Row],[DATA DE PAGAMENTO]]="","",TEXT(LANÇ_MOV[[#This Row],[DATA DE PAGAMENTO]],"D"))</f>
        <v/>
      </c>
      <c r="AM156" s="27"/>
      <c r="BB156" s="112"/>
      <c r="BC156" s="112"/>
      <c r="BD156" s="112"/>
    </row>
    <row r="157" spans="2:56" ht="30.05" customHeight="1" x14ac:dyDescent="0.35">
      <c r="B157" s="506">
        <v>45931</v>
      </c>
      <c r="C157" s="507" t="s">
        <v>1661</v>
      </c>
      <c r="D157" s="508" t="s">
        <v>1854</v>
      </c>
      <c r="E157" s="509" t="s">
        <v>1144</v>
      </c>
      <c r="F157" s="510" t="s">
        <v>1487</v>
      </c>
      <c r="G157" s="507"/>
      <c r="H157" s="511">
        <v>0</v>
      </c>
      <c r="I157" s="512" t="s">
        <v>1744</v>
      </c>
      <c r="J157" s="510">
        <v>1300</v>
      </c>
      <c r="K157" s="513">
        <v>0</v>
      </c>
      <c r="L157" s="513">
        <v>0</v>
      </c>
      <c r="M157" s="513">
        <v>0</v>
      </c>
      <c r="N157" s="514">
        <f>LANÇ_MOV[[#This Row],[VALOR BRUTO]]-LANÇ_MOV[[#This Row],[DESCONTO]]+LANÇ_MOV[[#This Row],[JUROS]]+LANÇ_MOV[[#This Row],[MULTA]]</f>
        <v>1300</v>
      </c>
      <c r="O157" s="528">
        <v>46275</v>
      </c>
      <c r="P157" s="516" t="str">
        <f t="shared" ca="1" si="2"/>
        <v>Prazo - Mais de 1 mês</v>
      </c>
      <c r="Q157" s="528"/>
      <c r="R157" s="529" t="s">
        <v>1564</v>
      </c>
      <c r="S157" s="531"/>
      <c r="T157" s="518" t="s">
        <v>1776</v>
      </c>
      <c r="U157" s="519" t="s">
        <v>2008</v>
      </c>
      <c r="V157" s="520" t="str">
        <f>IFERROR(VLOOKUP(LANÇ_MOV[[#This Row],[PLANO DE CONTAS]],Plano_Contas[[PLANO DE CONTAS]:[R / D]],3,0),"")</f>
        <v>Despesa</v>
      </c>
      <c r="W157" s="521" t="str">
        <f>IF(LANÇ_MOV[[#This Row],[DATA DE PAGAMENTO]]&lt;&gt;"","Pago","Não Pago")</f>
        <v>Não Pago</v>
      </c>
      <c r="X157" s="522" t="str">
        <f>IFERROR(IF(LANÇ_MOV[[#This Row],[DATA DE PAGAMENTO]]="","",(UPPER(TEXT(LANÇ_MOV[[#This Row],[DATA DE PAGAMENTO]],"mmmm")))),"")</f>
        <v/>
      </c>
      <c r="Y157" s="523" t="str">
        <f>IFERROR(VLOOKUP(LANÇ_MOV[[#This Row],[PLANO DE CONTAS]],Plano_Contas[[PLANO DE CONTAS]:[NOMES INTERVALOS]],2,0),"")</f>
        <v>Despesas_Administrativas</v>
      </c>
      <c r="Z157" s="523" t="str">
        <f>IF(LANÇ_MOV[[#This Row],[FORMA DE PAGAMENTO]]="","",VLOOKUP(LANÇ_MOV[[#This Row],[FORMA DE PAGAMENTO]],CAD_Forma_pagto[],2,0))</f>
        <v>PIX</v>
      </c>
      <c r="AA157" s="524" t="str">
        <f>IF(LANÇ_MOV[[#This Row],[DATA DE LANÇAMENTO]]="","",TEXT(LANÇ_MOV[[#This Row],[DATA DE LANÇAMENTO]],"AAAA"))</f>
        <v>2025</v>
      </c>
      <c r="AB157" s="524" t="str">
        <f>IF(LANÇ_MOV[[#This Row],[DATA DE LANÇAMENTO]]="","",UPPER(TEXT(LANÇ_MOV[[#This Row],[DATA DE LANÇAMENTO]],"MMMM")))</f>
        <v>OUTUBRO</v>
      </c>
      <c r="AC157" s="525" t="str">
        <f>IF(LANÇ_MOV[[#This Row],[DATA DE LANÇAMENTO]]="","",PROPER(TEXT(LANÇ_MOV[[#This Row],[DATA DE LANÇAMENTO]],"M")))</f>
        <v>10</v>
      </c>
      <c r="AD157" s="524" t="str">
        <f>IF(LANÇ_MOV[[#This Row],[DATA DE LANÇAMENTO]]="","",TEXT(LANÇ_MOV[[#This Row],[DATA DE LANÇAMENTO]],"D"))</f>
        <v>1</v>
      </c>
      <c r="AE157" s="526" t="str">
        <f>IF(LANÇ_MOV[[#This Row],[DATA DE VENCIMENTO]]="","",TEXT(LANÇ_MOV[[#This Row],[DATA DE VENCIMENTO]],"AAAA"))</f>
        <v>2026</v>
      </c>
      <c r="AF157" s="526" t="str">
        <f>IF(LANÇ_MOV[[#This Row],[DATA DE VENCIMENTO]]="","",UPPER(TEXT(LANÇ_MOV[[#This Row],[DATA DE VENCIMENTO]],"MMMM")))</f>
        <v>SETEMBRO</v>
      </c>
      <c r="AG157" s="526" t="str">
        <f>IF(LANÇ_MOV[[#This Row],[DATA DE VENCIMENTO]]="","",TEXT(LANÇ_MOV[[#This Row],[DATA DE VENCIMENTO]],"M"))</f>
        <v>9</v>
      </c>
      <c r="AH157" s="526" t="str">
        <f>IF(LANÇ_MOV[[#This Row],[DATA DE VENCIMENTO]]="","",TEXT(LANÇ_MOV[[#This Row],[DATA DE VENCIMENTO]],"D"))</f>
        <v>10</v>
      </c>
      <c r="AI157" s="526" t="str">
        <f>IF(LANÇ_MOV[[#This Row],[DATA DE PAGAMENTO]]="","",TEXT(LANÇ_MOV[[#This Row],[DATA DE PAGAMENTO]],"AAAA"))</f>
        <v/>
      </c>
      <c r="AJ157" s="527" t="str">
        <f>IF(LANÇ_MOV[[#This Row],[DATA DE PAGAMENTO]]="","",UPPER(TEXT(LANÇ_MOV[[#This Row],[DATA DE PAGAMENTO]],"MMMM")))</f>
        <v/>
      </c>
      <c r="AK157" s="527" t="str">
        <f>IF(LANÇ_MOV[[#This Row],[DATA DE PAGAMENTO]]="","",TEXT(LANÇ_MOV[[#This Row],[DATA DE PAGAMENTO]],"M"))</f>
        <v/>
      </c>
      <c r="AL157" s="526" t="str">
        <f>IF(LANÇ_MOV[[#This Row],[DATA DE PAGAMENTO]]="","",TEXT(LANÇ_MOV[[#This Row],[DATA DE PAGAMENTO]],"D"))</f>
        <v/>
      </c>
      <c r="AM157" s="27"/>
      <c r="BB157" s="112"/>
      <c r="BC157" s="112"/>
      <c r="BD157" s="112"/>
    </row>
    <row r="158" spans="2:56" ht="30.05" customHeight="1" x14ac:dyDescent="0.35">
      <c r="B158" s="506">
        <v>45931</v>
      </c>
      <c r="C158" s="507" t="s">
        <v>1661</v>
      </c>
      <c r="D158" s="508" t="s">
        <v>1854</v>
      </c>
      <c r="E158" s="509" t="s">
        <v>1144</v>
      </c>
      <c r="F158" s="510" t="s">
        <v>1487</v>
      </c>
      <c r="G158" s="507"/>
      <c r="H158" s="511">
        <v>0</v>
      </c>
      <c r="I158" s="512" t="s">
        <v>1744</v>
      </c>
      <c r="J158" s="510">
        <v>1300</v>
      </c>
      <c r="K158" s="513">
        <v>0</v>
      </c>
      <c r="L158" s="513">
        <v>0</v>
      </c>
      <c r="M158" s="513">
        <v>0</v>
      </c>
      <c r="N158" s="514">
        <f>LANÇ_MOV[[#This Row],[VALOR BRUTO]]-LANÇ_MOV[[#This Row],[DESCONTO]]+LANÇ_MOV[[#This Row],[JUROS]]+LANÇ_MOV[[#This Row],[MULTA]]</f>
        <v>1300</v>
      </c>
      <c r="O158" s="528">
        <v>46305</v>
      </c>
      <c r="P158" s="516" t="str">
        <f t="shared" ca="1" si="2"/>
        <v>Prazo - Mais de 1 mês</v>
      </c>
      <c r="Q158" s="528"/>
      <c r="R158" s="529" t="s">
        <v>1564</v>
      </c>
      <c r="S158" s="531"/>
      <c r="T158" s="518" t="s">
        <v>1776</v>
      </c>
      <c r="U158" s="519" t="s">
        <v>2008</v>
      </c>
      <c r="V158" s="520" t="str">
        <f>IFERROR(VLOOKUP(LANÇ_MOV[[#This Row],[PLANO DE CONTAS]],Plano_Contas[[PLANO DE CONTAS]:[R / D]],3,0),"")</f>
        <v>Despesa</v>
      </c>
      <c r="W158" s="521" t="str">
        <f>IF(LANÇ_MOV[[#This Row],[DATA DE PAGAMENTO]]&lt;&gt;"","Pago","Não Pago")</f>
        <v>Não Pago</v>
      </c>
      <c r="X158" s="522" t="str">
        <f>IFERROR(IF(LANÇ_MOV[[#This Row],[DATA DE PAGAMENTO]]="","",(UPPER(TEXT(LANÇ_MOV[[#This Row],[DATA DE PAGAMENTO]],"mmmm")))),"")</f>
        <v/>
      </c>
      <c r="Y158" s="523" t="str">
        <f>IFERROR(VLOOKUP(LANÇ_MOV[[#This Row],[PLANO DE CONTAS]],Plano_Contas[[PLANO DE CONTAS]:[NOMES INTERVALOS]],2,0),"")</f>
        <v>Despesas_Administrativas</v>
      </c>
      <c r="Z158" s="523" t="str">
        <f>IF(LANÇ_MOV[[#This Row],[FORMA DE PAGAMENTO]]="","",VLOOKUP(LANÇ_MOV[[#This Row],[FORMA DE PAGAMENTO]],CAD_Forma_pagto[],2,0))</f>
        <v>PIX</v>
      </c>
      <c r="AA158" s="524" t="str">
        <f>IF(LANÇ_MOV[[#This Row],[DATA DE LANÇAMENTO]]="","",TEXT(LANÇ_MOV[[#This Row],[DATA DE LANÇAMENTO]],"AAAA"))</f>
        <v>2025</v>
      </c>
      <c r="AB158" s="524" t="str">
        <f>IF(LANÇ_MOV[[#This Row],[DATA DE LANÇAMENTO]]="","",UPPER(TEXT(LANÇ_MOV[[#This Row],[DATA DE LANÇAMENTO]],"MMMM")))</f>
        <v>OUTUBRO</v>
      </c>
      <c r="AC158" s="525" t="str">
        <f>IF(LANÇ_MOV[[#This Row],[DATA DE LANÇAMENTO]]="","",PROPER(TEXT(LANÇ_MOV[[#This Row],[DATA DE LANÇAMENTO]],"M")))</f>
        <v>10</v>
      </c>
      <c r="AD158" s="524" t="str">
        <f>IF(LANÇ_MOV[[#This Row],[DATA DE LANÇAMENTO]]="","",TEXT(LANÇ_MOV[[#This Row],[DATA DE LANÇAMENTO]],"D"))</f>
        <v>1</v>
      </c>
      <c r="AE158" s="526" t="str">
        <f>IF(LANÇ_MOV[[#This Row],[DATA DE VENCIMENTO]]="","",TEXT(LANÇ_MOV[[#This Row],[DATA DE VENCIMENTO]],"AAAA"))</f>
        <v>2026</v>
      </c>
      <c r="AF158" s="526" t="str">
        <f>IF(LANÇ_MOV[[#This Row],[DATA DE VENCIMENTO]]="","",UPPER(TEXT(LANÇ_MOV[[#This Row],[DATA DE VENCIMENTO]],"MMMM")))</f>
        <v>OUTUBRO</v>
      </c>
      <c r="AG158" s="526" t="str">
        <f>IF(LANÇ_MOV[[#This Row],[DATA DE VENCIMENTO]]="","",TEXT(LANÇ_MOV[[#This Row],[DATA DE VENCIMENTO]],"M"))</f>
        <v>10</v>
      </c>
      <c r="AH158" s="526" t="str">
        <f>IF(LANÇ_MOV[[#This Row],[DATA DE VENCIMENTO]]="","",TEXT(LANÇ_MOV[[#This Row],[DATA DE VENCIMENTO]],"D"))</f>
        <v>10</v>
      </c>
      <c r="AI158" s="526" t="str">
        <f>IF(LANÇ_MOV[[#This Row],[DATA DE PAGAMENTO]]="","",TEXT(LANÇ_MOV[[#This Row],[DATA DE PAGAMENTO]],"AAAA"))</f>
        <v/>
      </c>
      <c r="AJ158" s="527" t="str">
        <f>IF(LANÇ_MOV[[#This Row],[DATA DE PAGAMENTO]]="","",UPPER(TEXT(LANÇ_MOV[[#This Row],[DATA DE PAGAMENTO]],"MMMM")))</f>
        <v/>
      </c>
      <c r="AK158" s="527" t="str">
        <f>IF(LANÇ_MOV[[#This Row],[DATA DE PAGAMENTO]]="","",TEXT(LANÇ_MOV[[#This Row],[DATA DE PAGAMENTO]],"M"))</f>
        <v/>
      </c>
      <c r="AL158" s="526" t="str">
        <f>IF(LANÇ_MOV[[#This Row],[DATA DE PAGAMENTO]]="","",TEXT(LANÇ_MOV[[#This Row],[DATA DE PAGAMENTO]],"D"))</f>
        <v/>
      </c>
      <c r="AM158" s="27"/>
      <c r="BB158" s="112"/>
      <c r="BC158" s="112"/>
      <c r="BD158" s="112"/>
    </row>
    <row r="159" spans="2:56" ht="30.05" customHeight="1" x14ac:dyDescent="0.35">
      <c r="B159" s="506">
        <v>45931</v>
      </c>
      <c r="C159" s="507" t="s">
        <v>1661</v>
      </c>
      <c r="D159" s="508" t="s">
        <v>1854</v>
      </c>
      <c r="E159" s="509" t="s">
        <v>1144</v>
      </c>
      <c r="F159" s="510" t="s">
        <v>1487</v>
      </c>
      <c r="G159" s="507"/>
      <c r="H159" s="511">
        <v>0</v>
      </c>
      <c r="I159" s="512" t="s">
        <v>1744</v>
      </c>
      <c r="J159" s="510">
        <v>1300</v>
      </c>
      <c r="K159" s="513">
        <v>0</v>
      </c>
      <c r="L159" s="513">
        <v>0</v>
      </c>
      <c r="M159" s="513">
        <v>0</v>
      </c>
      <c r="N159" s="514">
        <f>LANÇ_MOV[[#This Row],[VALOR BRUTO]]-LANÇ_MOV[[#This Row],[DESCONTO]]+LANÇ_MOV[[#This Row],[JUROS]]+LANÇ_MOV[[#This Row],[MULTA]]</f>
        <v>1300</v>
      </c>
      <c r="O159" s="528">
        <v>46336</v>
      </c>
      <c r="P159" s="516" t="str">
        <f t="shared" ca="1" si="2"/>
        <v>Prazo - Mais de 1 mês</v>
      </c>
      <c r="Q159" s="528"/>
      <c r="R159" s="529" t="s">
        <v>1564</v>
      </c>
      <c r="S159" s="531"/>
      <c r="T159" s="518" t="s">
        <v>1776</v>
      </c>
      <c r="U159" s="519" t="s">
        <v>2008</v>
      </c>
      <c r="V159" s="520" t="str">
        <f>IFERROR(VLOOKUP(LANÇ_MOV[[#This Row],[PLANO DE CONTAS]],Plano_Contas[[PLANO DE CONTAS]:[R / D]],3,0),"")</f>
        <v>Despesa</v>
      </c>
      <c r="W159" s="521" t="str">
        <f>IF(LANÇ_MOV[[#This Row],[DATA DE PAGAMENTO]]&lt;&gt;"","Pago","Não Pago")</f>
        <v>Não Pago</v>
      </c>
      <c r="X159" s="522" t="str">
        <f>IFERROR(IF(LANÇ_MOV[[#This Row],[DATA DE PAGAMENTO]]="","",(UPPER(TEXT(LANÇ_MOV[[#This Row],[DATA DE PAGAMENTO]],"mmmm")))),"")</f>
        <v/>
      </c>
      <c r="Y159" s="523" t="str">
        <f>IFERROR(VLOOKUP(LANÇ_MOV[[#This Row],[PLANO DE CONTAS]],Plano_Contas[[PLANO DE CONTAS]:[NOMES INTERVALOS]],2,0),"")</f>
        <v>Despesas_Administrativas</v>
      </c>
      <c r="Z159" s="523" t="str">
        <f>IF(LANÇ_MOV[[#This Row],[FORMA DE PAGAMENTO]]="","",VLOOKUP(LANÇ_MOV[[#This Row],[FORMA DE PAGAMENTO]],CAD_Forma_pagto[],2,0))</f>
        <v>PIX</v>
      </c>
      <c r="AA159" s="524" t="str">
        <f>IF(LANÇ_MOV[[#This Row],[DATA DE LANÇAMENTO]]="","",TEXT(LANÇ_MOV[[#This Row],[DATA DE LANÇAMENTO]],"AAAA"))</f>
        <v>2025</v>
      </c>
      <c r="AB159" s="524" t="str">
        <f>IF(LANÇ_MOV[[#This Row],[DATA DE LANÇAMENTO]]="","",UPPER(TEXT(LANÇ_MOV[[#This Row],[DATA DE LANÇAMENTO]],"MMMM")))</f>
        <v>OUTUBRO</v>
      </c>
      <c r="AC159" s="525" t="str">
        <f>IF(LANÇ_MOV[[#This Row],[DATA DE LANÇAMENTO]]="","",PROPER(TEXT(LANÇ_MOV[[#This Row],[DATA DE LANÇAMENTO]],"M")))</f>
        <v>10</v>
      </c>
      <c r="AD159" s="524" t="str">
        <f>IF(LANÇ_MOV[[#This Row],[DATA DE LANÇAMENTO]]="","",TEXT(LANÇ_MOV[[#This Row],[DATA DE LANÇAMENTO]],"D"))</f>
        <v>1</v>
      </c>
      <c r="AE159" s="526" t="str">
        <f>IF(LANÇ_MOV[[#This Row],[DATA DE VENCIMENTO]]="","",TEXT(LANÇ_MOV[[#This Row],[DATA DE VENCIMENTO]],"AAAA"))</f>
        <v>2026</v>
      </c>
      <c r="AF159" s="526" t="str">
        <f>IF(LANÇ_MOV[[#This Row],[DATA DE VENCIMENTO]]="","",UPPER(TEXT(LANÇ_MOV[[#This Row],[DATA DE VENCIMENTO]],"MMMM")))</f>
        <v>NOVEMBRO</v>
      </c>
      <c r="AG159" s="526" t="str">
        <f>IF(LANÇ_MOV[[#This Row],[DATA DE VENCIMENTO]]="","",TEXT(LANÇ_MOV[[#This Row],[DATA DE VENCIMENTO]],"M"))</f>
        <v>11</v>
      </c>
      <c r="AH159" s="526" t="str">
        <f>IF(LANÇ_MOV[[#This Row],[DATA DE VENCIMENTO]]="","",TEXT(LANÇ_MOV[[#This Row],[DATA DE VENCIMENTO]],"D"))</f>
        <v>10</v>
      </c>
      <c r="AI159" s="526" t="str">
        <f>IF(LANÇ_MOV[[#This Row],[DATA DE PAGAMENTO]]="","",TEXT(LANÇ_MOV[[#This Row],[DATA DE PAGAMENTO]],"AAAA"))</f>
        <v/>
      </c>
      <c r="AJ159" s="527" t="str">
        <f>IF(LANÇ_MOV[[#This Row],[DATA DE PAGAMENTO]]="","",UPPER(TEXT(LANÇ_MOV[[#This Row],[DATA DE PAGAMENTO]],"MMMM")))</f>
        <v/>
      </c>
      <c r="AK159" s="527" t="str">
        <f>IF(LANÇ_MOV[[#This Row],[DATA DE PAGAMENTO]]="","",TEXT(LANÇ_MOV[[#This Row],[DATA DE PAGAMENTO]],"M"))</f>
        <v/>
      </c>
      <c r="AL159" s="526" t="str">
        <f>IF(LANÇ_MOV[[#This Row],[DATA DE PAGAMENTO]]="","",TEXT(LANÇ_MOV[[#This Row],[DATA DE PAGAMENTO]],"D"))</f>
        <v/>
      </c>
      <c r="AM159" s="27"/>
      <c r="BB159" s="112"/>
      <c r="BC159" s="112"/>
      <c r="BD159" s="112"/>
    </row>
    <row r="160" spans="2:56" ht="30.05" customHeight="1" x14ac:dyDescent="0.35">
      <c r="B160" s="506">
        <v>45931</v>
      </c>
      <c r="C160" s="507" t="s">
        <v>1661</v>
      </c>
      <c r="D160" s="508" t="s">
        <v>1854</v>
      </c>
      <c r="E160" s="509" t="s">
        <v>1144</v>
      </c>
      <c r="F160" s="510" t="s">
        <v>1487</v>
      </c>
      <c r="G160" s="507"/>
      <c r="H160" s="511">
        <v>0</v>
      </c>
      <c r="I160" s="512" t="s">
        <v>1744</v>
      </c>
      <c r="J160" s="510">
        <v>1300</v>
      </c>
      <c r="K160" s="513">
        <v>0</v>
      </c>
      <c r="L160" s="513">
        <v>0</v>
      </c>
      <c r="M160" s="513">
        <v>0</v>
      </c>
      <c r="N160" s="514">
        <f>LANÇ_MOV[[#This Row],[VALOR BRUTO]]-LANÇ_MOV[[#This Row],[DESCONTO]]+LANÇ_MOV[[#This Row],[JUROS]]+LANÇ_MOV[[#This Row],[MULTA]]</f>
        <v>1300</v>
      </c>
      <c r="O160" s="528">
        <v>46366</v>
      </c>
      <c r="P160" s="516" t="str">
        <f t="shared" ca="1" si="2"/>
        <v>Prazo - Mais de 1 mês</v>
      </c>
      <c r="Q160" s="528"/>
      <c r="R160" s="529" t="s">
        <v>1564</v>
      </c>
      <c r="S160" s="531"/>
      <c r="T160" s="518" t="s">
        <v>1776</v>
      </c>
      <c r="U160" s="519" t="s">
        <v>2008</v>
      </c>
      <c r="V160" s="520" t="str">
        <f>IFERROR(VLOOKUP(LANÇ_MOV[[#This Row],[PLANO DE CONTAS]],Plano_Contas[[PLANO DE CONTAS]:[R / D]],3,0),"")</f>
        <v>Despesa</v>
      </c>
      <c r="W160" s="521" t="str">
        <f>IF(LANÇ_MOV[[#This Row],[DATA DE PAGAMENTO]]&lt;&gt;"","Pago","Não Pago")</f>
        <v>Não Pago</v>
      </c>
      <c r="X160" s="522" t="str">
        <f>IFERROR(IF(LANÇ_MOV[[#This Row],[DATA DE PAGAMENTO]]="","",(UPPER(TEXT(LANÇ_MOV[[#This Row],[DATA DE PAGAMENTO]],"mmmm")))),"")</f>
        <v/>
      </c>
      <c r="Y160" s="523" t="str">
        <f>IFERROR(VLOOKUP(LANÇ_MOV[[#This Row],[PLANO DE CONTAS]],Plano_Contas[[PLANO DE CONTAS]:[NOMES INTERVALOS]],2,0),"")</f>
        <v>Despesas_Administrativas</v>
      </c>
      <c r="Z160" s="523" t="str">
        <f>IF(LANÇ_MOV[[#This Row],[FORMA DE PAGAMENTO]]="","",VLOOKUP(LANÇ_MOV[[#This Row],[FORMA DE PAGAMENTO]],CAD_Forma_pagto[],2,0))</f>
        <v>PIX</v>
      </c>
      <c r="AA160" s="524" t="str">
        <f>IF(LANÇ_MOV[[#This Row],[DATA DE LANÇAMENTO]]="","",TEXT(LANÇ_MOV[[#This Row],[DATA DE LANÇAMENTO]],"AAAA"))</f>
        <v>2025</v>
      </c>
      <c r="AB160" s="524" t="str">
        <f>IF(LANÇ_MOV[[#This Row],[DATA DE LANÇAMENTO]]="","",UPPER(TEXT(LANÇ_MOV[[#This Row],[DATA DE LANÇAMENTO]],"MMMM")))</f>
        <v>OUTUBRO</v>
      </c>
      <c r="AC160" s="525" t="str">
        <f>IF(LANÇ_MOV[[#This Row],[DATA DE LANÇAMENTO]]="","",PROPER(TEXT(LANÇ_MOV[[#This Row],[DATA DE LANÇAMENTO]],"M")))</f>
        <v>10</v>
      </c>
      <c r="AD160" s="524" t="str">
        <f>IF(LANÇ_MOV[[#This Row],[DATA DE LANÇAMENTO]]="","",TEXT(LANÇ_MOV[[#This Row],[DATA DE LANÇAMENTO]],"D"))</f>
        <v>1</v>
      </c>
      <c r="AE160" s="526" t="str">
        <f>IF(LANÇ_MOV[[#This Row],[DATA DE VENCIMENTO]]="","",TEXT(LANÇ_MOV[[#This Row],[DATA DE VENCIMENTO]],"AAAA"))</f>
        <v>2026</v>
      </c>
      <c r="AF160" s="526" t="str">
        <f>IF(LANÇ_MOV[[#This Row],[DATA DE VENCIMENTO]]="","",UPPER(TEXT(LANÇ_MOV[[#This Row],[DATA DE VENCIMENTO]],"MMMM")))</f>
        <v>DEZEMBRO</v>
      </c>
      <c r="AG160" s="526" t="str">
        <f>IF(LANÇ_MOV[[#This Row],[DATA DE VENCIMENTO]]="","",TEXT(LANÇ_MOV[[#This Row],[DATA DE VENCIMENTO]],"M"))</f>
        <v>12</v>
      </c>
      <c r="AH160" s="526" t="str">
        <f>IF(LANÇ_MOV[[#This Row],[DATA DE VENCIMENTO]]="","",TEXT(LANÇ_MOV[[#This Row],[DATA DE VENCIMENTO]],"D"))</f>
        <v>10</v>
      </c>
      <c r="AI160" s="526" t="str">
        <f>IF(LANÇ_MOV[[#This Row],[DATA DE PAGAMENTO]]="","",TEXT(LANÇ_MOV[[#This Row],[DATA DE PAGAMENTO]],"AAAA"))</f>
        <v/>
      </c>
      <c r="AJ160" s="527" t="str">
        <f>IF(LANÇ_MOV[[#This Row],[DATA DE PAGAMENTO]]="","",UPPER(TEXT(LANÇ_MOV[[#This Row],[DATA DE PAGAMENTO]],"MMMM")))</f>
        <v/>
      </c>
      <c r="AK160" s="527" t="str">
        <f>IF(LANÇ_MOV[[#This Row],[DATA DE PAGAMENTO]]="","",TEXT(LANÇ_MOV[[#This Row],[DATA DE PAGAMENTO]],"M"))</f>
        <v/>
      </c>
      <c r="AL160" s="526" t="str">
        <f>IF(LANÇ_MOV[[#This Row],[DATA DE PAGAMENTO]]="","",TEXT(LANÇ_MOV[[#This Row],[DATA DE PAGAMENTO]],"D"))</f>
        <v/>
      </c>
      <c r="AM160" s="27"/>
      <c r="BB160" s="112"/>
      <c r="BC160" s="112"/>
      <c r="BD160" s="112"/>
    </row>
    <row r="161" spans="2:56" ht="30.05" customHeight="1" x14ac:dyDescent="0.35">
      <c r="B161" s="506">
        <v>45931</v>
      </c>
      <c r="C161" s="507" t="s">
        <v>1661</v>
      </c>
      <c r="D161" s="508" t="s">
        <v>1854</v>
      </c>
      <c r="E161" s="509" t="s">
        <v>1144</v>
      </c>
      <c r="F161" s="510" t="s">
        <v>1487</v>
      </c>
      <c r="G161" s="507"/>
      <c r="H161" s="511">
        <v>0</v>
      </c>
      <c r="I161" s="512" t="s">
        <v>1744</v>
      </c>
      <c r="J161" s="510">
        <v>1300</v>
      </c>
      <c r="K161" s="513">
        <v>0</v>
      </c>
      <c r="L161" s="513">
        <v>0</v>
      </c>
      <c r="M161" s="513">
        <v>0</v>
      </c>
      <c r="N161" s="514">
        <f>LANÇ_MOV[[#This Row],[VALOR BRUTO]]-LANÇ_MOV[[#This Row],[DESCONTO]]+LANÇ_MOV[[#This Row],[JUROS]]+LANÇ_MOV[[#This Row],[MULTA]]</f>
        <v>1300</v>
      </c>
      <c r="O161" s="528">
        <v>46376</v>
      </c>
      <c r="P161" s="516" t="str">
        <f t="shared" ca="1" si="2"/>
        <v>Prazo - Mais de 1 mês</v>
      </c>
      <c r="Q161" s="528"/>
      <c r="R161" s="529" t="s">
        <v>1564</v>
      </c>
      <c r="S161" s="531"/>
      <c r="T161" s="518" t="s">
        <v>1776</v>
      </c>
      <c r="U161" s="519" t="s">
        <v>2008</v>
      </c>
      <c r="V161" s="520" t="str">
        <f>IFERROR(VLOOKUP(LANÇ_MOV[[#This Row],[PLANO DE CONTAS]],Plano_Contas[[PLANO DE CONTAS]:[R / D]],3,0),"")</f>
        <v>Despesa</v>
      </c>
      <c r="W161" s="521" t="str">
        <f>IF(LANÇ_MOV[[#This Row],[DATA DE PAGAMENTO]]&lt;&gt;"","Pago","Não Pago")</f>
        <v>Não Pago</v>
      </c>
      <c r="X161" s="522" t="str">
        <f>IFERROR(IF(LANÇ_MOV[[#This Row],[DATA DE PAGAMENTO]]="","",(UPPER(TEXT(LANÇ_MOV[[#This Row],[DATA DE PAGAMENTO]],"mmmm")))),"")</f>
        <v/>
      </c>
      <c r="Y161" s="523" t="str">
        <f>IFERROR(VLOOKUP(LANÇ_MOV[[#This Row],[PLANO DE CONTAS]],Plano_Contas[[PLANO DE CONTAS]:[NOMES INTERVALOS]],2,0),"")</f>
        <v>Despesas_Administrativas</v>
      </c>
      <c r="Z161" s="523" t="str">
        <f>IF(LANÇ_MOV[[#This Row],[FORMA DE PAGAMENTO]]="","",VLOOKUP(LANÇ_MOV[[#This Row],[FORMA DE PAGAMENTO]],CAD_Forma_pagto[],2,0))</f>
        <v>PIX</v>
      </c>
      <c r="AA161" s="524" t="str">
        <f>IF(LANÇ_MOV[[#This Row],[DATA DE LANÇAMENTO]]="","",TEXT(LANÇ_MOV[[#This Row],[DATA DE LANÇAMENTO]],"AAAA"))</f>
        <v>2025</v>
      </c>
      <c r="AB161" s="524" t="str">
        <f>IF(LANÇ_MOV[[#This Row],[DATA DE LANÇAMENTO]]="","",UPPER(TEXT(LANÇ_MOV[[#This Row],[DATA DE LANÇAMENTO]],"MMMM")))</f>
        <v>OUTUBRO</v>
      </c>
      <c r="AC161" s="525" t="str">
        <f>IF(LANÇ_MOV[[#This Row],[DATA DE LANÇAMENTO]]="","",PROPER(TEXT(LANÇ_MOV[[#This Row],[DATA DE LANÇAMENTO]],"M")))</f>
        <v>10</v>
      </c>
      <c r="AD161" s="524" t="str">
        <f>IF(LANÇ_MOV[[#This Row],[DATA DE LANÇAMENTO]]="","",TEXT(LANÇ_MOV[[#This Row],[DATA DE LANÇAMENTO]],"D"))</f>
        <v>1</v>
      </c>
      <c r="AE161" s="526" t="str">
        <f>IF(LANÇ_MOV[[#This Row],[DATA DE VENCIMENTO]]="","",TEXT(LANÇ_MOV[[#This Row],[DATA DE VENCIMENTO]],"AAAA"))</f>
        <v>2026</v>
      </c>
      <c r="AF161" s="526" t="str">
        <f>IF(LANÇ_MOV[[#This Row],[DATA DE VENCIMENTO]]="","",UPPER(TEXT(LANÇ_MOV[[#This Row],[DATA DE VENCIMENTO]],"MMMM")))</f>
        <v>DEZEMBRO</v>
      </c>
      <c r="AG161" s="526" t="str">
        <f>IF(LANÇ_MOV[[#This Row],[DATA DE VENCIMENTO]]="","",TEXT(LANÇ_MOV[[#This Row],[DATA DE VENCIMENTO]],"M"))</f>
        <v>12</v>
      </c>
      <c r="AH161" s="526" t="str">
        <f>IF(LANÇ_MOV[[#This Row],[DATA DE VENCIMENTO]]="","",TEXT(LANÇ_MOV[[#This Row],[DATA DE VENCIMENTO]],"D"))</f>
        <v>20</v>
      </c>
      <c r="AI161" s="526" t="str">
        <f>IF(LANÇ_MOV[[#This Row],[DATA DE PAGAMENTO]]="","",TEXT(LANÇ_MOV[[#This Row],[DATA DE PAGAMENTO]],"AAAA"))</f>
        <v/>
      </c>
      <c r="AJ161" s="527" t="str">
        <f>IF(LANÇ_MOV[[#This Row],[DATA DE PAGAMENTO]]="","",UPPER(TEXT(LANÇ_MOV[[#This Row],[DATA DE PAGAMENTO]],"MMMM")))</f>
        <v/>
      </c>
      <c r="AK161" s="527" t="str">
        <f>IF(LANÇ_MOV[[#This Row],[DATA DE PAGAMENTO]]="","",TEXT(LANÇ_MOV[[#This Row],[DATA DE PAGAMENTO]],"M"))</f>
        <v/>
      </c>
      <c r="AL161" s="526" t="str">
        <f>IF(LANÇ_MOV[[#This Row],[DATA DE PAGAMENTO]]="","",TEXT(LANÇ_MOV[[#This Row],[DATA DE PAGAMENTO]],"D"))</f>
        <v/>
      </c>
      <c r="AM161" s="27"/>
      <c r="BB161" s="112"/>
      <c r="BC161" s="112"/>
      <c r="BD161" s="112"/>
    </row>
    <row r="162" spans="2:56" ht="30.05" customHeight="1" x14ac:dyDescent="0.35">
      <c r="B162" s="506">
        <v>45931</v>
      </c>
      <c r="C162" s="507" t="s">
        <v>1661</v>
      </c>
      <c r="D162" s="508" t="s">
        <v>1854</v>
      </c>
      <c r="E162" s="509" t="s">
        <v>1144</v>
      </c>
      <c r="F162" s="510" t="s">
        <v>1814</v>
      </c>
      <c r="G162" s="536"/>
      <c r="H162" s="511">
        <v>0</v>
      </c>
      <c r="I162" s="512" t="s">
        <v>1749</v>
      </c>
      <c r="J162" s="510">
        <v>1200</v>
      </c>
      <c r="K162" s="513">
        <v>0</v>
      </c>
      <c r="L162" s="513">
        <v>0</v>
      </c>
      <c r="M162" s="513">
        <v>0</v>
      </c>
      <c r="N162" s="514">
        <f>LANÇ_MOV[[#This Row],[VALOR BRUTO]]-LANÇ_MOV[[#This Row],[DESCONTO]]+LANÇ_MOV[[#This Row],[JUROS]]+LANÇ_MOV[[#This Row],[MULTA]]</f>
        <v>1200</v>
      </c>
      <c r="O162" s="528">
        <v>45952</v>
      </c>
      <c r="P162" s="516" t="str">
        <f t="shared" ca="1" si="2"/>
        <v>Pago</v>
      </c>
      <c r="Q162" s="528">
        <v>45966</v>
      </c>
      <c r="R162" s="529" t="s">
        <v>1564</v>
      </c>
      <c r="S162" s="531"/>
      <c r="T162" s="518" t="s">
        <v>1776</v>
      </c>
      <c r="U162" s="519" t="s">
        <v>2008</v>
      </c>
      <c r="V162" s="520" t="str">
        <f>IFERROR(VLOOKUP(LANÇ_MOV[[#This Row],[PLANO DE CONTAS]],Plano_Contas[[PLANO DE CONTAS]:[R / D]],3,0),"")</f>
        <v>Despesa</v>
      </c>
      <c r="W162" s="521" t="str">
        <f>IF(LANÇ_MOV[[#This Row],[DATA DE PAGAMENTO]]&lt;&gt;"","Pago","Não Pago")</f>
        <v>Pago</v>
      </c>
      <c r="X162" s="522" t="str">
        <f>IFERROR(IF(LANÇ_MOV[[#This Row],[DATA DE PAGAMENTO]]="","",(UPPER(TEXT(LANÇ_MOV[[#This Row],[DATA DE PAGAMENTO]],"mmmm")))),"")</f>
        <v>NOVEMBRO</v>
      </c>
      <c r="Y162" s="523" t="str">
        <f>IFERROR(VLOOKUP(LANÇ_MOV[[#This Row],[PLANO DE CONTAS]],Plano_Contas[[PLANO DE CONTAS]:[NOMES INTERVALOS]],2,0),"")</f>
        <v>Despesas_Administrativas</v>
      </c>
      <c r="Z162" s="523" t="str">
        <f>IF(LANÇ_MOV[[#This Row],[FORMA DE PAGAMENTO]]="","",VLOOKUP(LANÇ_MOV[[#This Row],[FORMA DE PAGAMENTO]],CAD_Forma_pagto[],2,0))</f>
        <v>PIX</v>
      </c>
      <c r="AA162" s="524" t="str">
        <f>IF(LANÇ_MOV[[#This Row],[DATA DE LANÇAMENTO]]="","",TEXT(LANÇ_MOV[[#This Row],[DATA DE LANÇAMENTO]],"AAAA"))</f>
        <v>2025</v>
      </c>
      <c r="AB162" s="524" t="str">
        <f>IF(LANÇ_MOV[[#This Row],[DATA DE LANÇAMENTO]]="","",UPPER(TEXT(LANÇ_MOV[[#This Row],[DATA DE LANÇAMENTO]],"MMMM")))</f>
        <v>OUTUBRO</v>
      </c>
      <c r="AC162" s="525" t="str">
        <f>IF(LANÇ_MOV[[#This Row],[DATA DE LANÇAMENTO]]="","",PROPER(TEXT(LANÇ_MOV[[#This Row],[DATA DE LANÇAMENTO]],"M")))</f>
        <v>10</v>
      </c>
      <c r="AD162" s="524" t="str">
        <f>IF(LANÇ_MOV[[#This Row],[DATA DE LANÇAMENTO]]="","",TEXT(LANÇ_MOV[[#This Row],[DATA DE LANÇAMENTO]],"D"))</f>
        <v>1</v>
      </c>
      <c r="AE162" s="526" t="str">
        <f>IF(LANÇ_MOV[[#This Row],[DATA DE VENCIMENTO]]="","",TEXT(LANÇ_MOV[[#This Row],[DATA DE VENCIMENTO]],"AAAA"))</f>
        <v>2025</v>
      </c>
      <c r="AF162" s="526" t="str">
        <f>IF(LANÇ_MOV[[#This Row],[DATA DE VENCIMENTO]]="","",UPPER(TEXT(LANÇ_MOV[[#This Row],[DATA DE VENCIMENTO]],"MMMM")))</f>
        <v>OUTUBRO</v>
      </c>
      <c r="AG162" s="526" t="str">
        <f>IF(LANÇ_MOV[[#This Row],[DATA DE VENCIMENTO]]="","",TEXT(LANÇ_MOV[[#This Row],[DATA DE VENCIMENTO]],"M"))</f>
        <v>10</v>
      </c>
      <c r="AH162" s="526" t="str">
        <f>IF(LANÇ_MOV[[#This Row],[DATA DE VENCIMENTO]]="","",TEXT(LANÇ_MOV[[#This Row],[DATA DE VENCIMENTO]],"D"))</f>
        <v>22</v>
      </c>
      <c r="AI162" s="526" t="str">
        <f>IF(LANÇ_MOV[[#This Row],[DATA DE PAGAMENTO]]="","",TEXT(LANÇ_MOV[[#This Row],[DATA DE PAGAMENTO]],"AAAA"))</f>
        <v>2025</v>
      </c>
      <c r="AJ162" s="527" t="str">
        <f>IF(LANÇ_MOV[[#This Row],[DATA DE PAGAMENTO]]="","",UPPER(TEXT(LANÇ_MOV[[#This Row],[DATA DE PAGAMENTO]],"MMMM")))</f>
        <v>NOVEMBRO</v>
      </c>
      <c r="AK162" s="527" t="str">
        <f>IF(LANÇ_MOV[[#This Row],[DATA DE PAGAMENTO]]="","",TEXT(LANÇ_MOV[[#This Row],[DATA DE PAGAMENTO]],"M"))</f>
        <v>11</v>
      </c>
      <c r="AL162" s="526" t="str">
        <f>IF(LANÇ_MOV[[#This Row],[DATA DE PAGAMENTO]]="","",TEXT(LANÇ_MOV[[#This Row],[DATA DE PAGAMENTO]],"D"))</f>
        <v>5</v>
      </c>
      <c r="AM162" s="27"/>
      <c r="BB162" s="112"/>
      <c r="BC162" s="112"/>
      <c r="BD162" s="112"/>
    </row>
    <row r="163" spans="2:56" ht="30.05" customHeight="1" x14ac:dyDescent="0.35">
      <c r="B163" s="506">
        <v>45931</v>
      </c>
      <c r="C163" s="507" t="s">
        <v>1661</v>
      </c>
      <c r="D163" s="508" t="s">
        <v>1854</v>
      </c>
      <c r="E163" s="509" t="s">
        <v>1144</v>
      </c>
      <c r="F163" s="510" t="s">
        <v>1814</v>
      </c>
      <c r="G163" s="507"/>
      <c r="H163" s="511">
        <v>0</v>
      </c>
      <c r="I163" s="512" t="s">
        <v>1749</v>
      </c>
      <c r="J163" s="510">
        <v>1200</v>
      </c>
      <c r="K163" s="513">
        <v>0</v>
      </c>
      <c r="L163" s="513">
        <v>0</v>
      </c>
      <c r="M163" s="513">
        <v>0</v>
      </c>
      <c r="N163" s="514">
        <f>LANÇ_MOV[[#This Row],[VALOR BRUTO]]-LANÇ_MOV[[#This Row],[DESCONTO]]+LANÇ_MOV[[#This Row],[JUROS]]+LANÇ_MOV[[#This Row],[MULTA]]</f>
        <v>1200</v>
      </c>
      <c r="O163" s="528">
        <v>45983</v>
      </c>
      <c r="P163" s="516" t="str">
        <f t="shared" ca="1" si="2"/>
        <v>Venceu</v>
      </c>
      <c r="Q163" s="528"/>
      <c r="R163" s="529" t="s">
        <v>1564</v>
      </c>
      <c r="S163" s="531"/>
      <c r="T163" s="518" t="s">
        <v>1776</v>
      </c>
      <c r="U163" s="519" t="s">
        <v>2008</v>
      </c>
      <c r="V163" s="520" t="str">
        <f>IFERROR(VLOOKUP(LANÇ_MOV[[#This Row],[PLANO DE CONTAS]],Plano_Contas[[PLANO DE CONTAS]:[R / D]],3,0),"")</f>
        <v>Despesa</v>
      </c>
      <c r="W163" s="521" t="str">
        <f>IF(LANÇ_MOV[[#This Row],[DATA DE PAGAMENTO]]&lt;&gt;"","Pago","Não Pago")</f>
        <v>Não Pago</v>
      </c>
      <c r="X163" s="522" t="str">
        <f>IFERROR(IF(LANÇ_MOV[[#This Row],[DATA DE PAGAMENTO]]="","",(UPPER(TEXT(LANÇ_MOV[[#This Row],[DATA DE PAGAMENTO]],"mmmm")))),"")</f>
        <v/>
      </c>
      <c r="Y163" s="523" t="str">
        <f>IFERROR(VLOOKUP(LANÇ_MOV[[#This Row],[PLANO DE CONTAS]],Plano_Contas[[PLANO DE CONTAS]:[NOMES INTERVALOS]],2,0),"")</f>
        <v>Despesas_Administrativas</v>
      </c>
      <c r="Z163" s="523" t="str">
        <f>IF(LANÇ_MOV[[#This Row],[FORMA DE PAGAMENTO]]="","",VLOOKUP(LANÇ_MOV[[#This Row],[FORMA DE PAGAMENTO]],CAD_Forma_pagto[],2,0))</f>
        <v>PIX</v>
      </c>
      <c r="AA163" s="524" t="str">
        <f>IF(LANÇ_MOV[[#This Row],[DATA DE LANÇAMENTO]]="","",TEXT(LANÇ_MOV[[#This Row],[DATA DE LANÇAMENTO]],"AAAA"))</f>
        <v>2025</v>
      </c>
      <c r="AB163" s="524" t="str">
        <f>IF(LANÇ_MOV[[#This Row],[DATA DE LANÇAMENTO]]="","",UPPER(TEXT(LANÇ_MOV[[#This Row],[DATA DE LANÇAMENTO]],"MMMM")))</f>
        <v>OUTUBRO</v>
      </c>
      <c r="AC163" s="525" t="str">
        <f>IF(LANÇ_MOV[[#This Row],[DATA DE LANÇAMENTO]]="","",PROPER(TEXT(LANÇ_MOV[[#This Row],[DATA DE LANÇAMENTO]],"M")))</f>
        <v>10</v>
      </c>
      <c r="AD163" s="524" t="str">
        <f>IF(LANÇ_MOV[[#This Row],[DATA DE LANÇAMENTO]]="","",TEXT(LANÇ_MOV[[#This Row],[DATA DE LANÇAMENTO]],"D"))</f>
        <v>1</v>
      </c>
      <c r="AE163" s="526" t="str">
        <f>IF(LANÇ_MOV[[#This Row],[DATA DE VENCIMENTO]]="","",TEXT(LANÇ_MOV[[#This Row],[DATA DE VENCIMENTO]],"AAAA"))</f>
        <v>2025</v>
      </c>
      <c r="AF163" s="526" t="str">
        <f>IF(LANÇ_MOV[[#This Row],[DATA DE VENCIMENTO]]="","",UPPER(TEXT(LANÇ_MOV[[#This Row],[DATA DE VENCIMENTO]],"MMMM")))</f>
        <v>NOVEMBRO</v>
      </c>
      <c r="AG163" s="526" t="str">
        <f>IF(LANÇ_MOV[[#This Row],[DATA DE VENCIMENTO]]="","",TEXT(LANÇ_MOV[[#This Row],[DATA DE VENCIMENTO]],"M"))</f>
        <v>11</v>
      </c>
      <c r="AH163" s="526" t="str">
        <f>IF(LANÇ_MOV[[#This Row],[DATA DE VENCIMENTO]]="","",TEXT(LANÇ_MOV[[#This Row],[DATA DE VENCIMENTO]],"D"))</f>
        <v>22</v>
      </c>
      <c r="AI163" s="526" t="str">
        <f>IF(LANÇ_MOV[[#This Row],[DATA DE PAGAMENTO]]="","",TEXT(LANÇ_MOV[[#This Row],[DATA DE PAGAMENTO]],"AAAA"))</f>
        <v/>
      </c>
      <c r="AJ163" s="527" t="str">
        <f>IF(LANÇ_MOV[[#This Row],[DATA DE PAGAMENTO]]="","",UPPER(TEXT(LANÇ_MOV[[#This Row],[DATA DE PAGAMENTO]],"MMMM")))</f>
        <v/>
      </c>
      <c r="AK163" s="527" t="str">
        <f>IF(LANÇ_MOV[[#This Row],[DATA DE PAGAMENTO]]="","",TEXT(LANÇ_MOV[[#This Row],[DATA DE PAGAMENTO]],"M"))</f>
        <v/>
      </c>
      <c r="AL163" s="526" t="str">
        <f>IF(LANÇ_MOV[[#This Row],[DATA DE PAGAMENTO]]="","",TEXT(LANÇ_MOV[[#This Row],[DATA DE PAGAMENTO]],"D"))</f>
        <v/>
      </c>
      <c r="AM163" s="27"/>
      <c r="BB163" s="112"/>
      <c r="BC163" s="112"/>
      <c r="BD163" s="112"/>
    </row>
    <row r="164" spans="2:56" ht="30.05" customHeight="1" x14ac:dyDescent="0.35">
      <c r="B164" s="506">
        <v>45931</v>
      </c>
      <c r="C164" s="507" t="s">
        <v>1661</v>
      </c>
      <c r="D164" s="508" t="s">
        <v>1854</v>
      </c>
      <c r="E164" s="509" t="s">
        <v>1144</v>
      </c>
      <c r="F164" s="510" t="s">
        <v>1814</v>
      </c>
      <c r="G164" s="507"/>
      <c r="H164" s="511">
        <v>0</v>
      </c>
      <c r="I164" s="512" t="s">
        <v>1749</v>
      </c>
      <c r="J164" s="510">
        <v>1200</v>
      </c>
      <c r="K164" s="513">
        <v>0</v>
      </c>
      <c r="L164" s="513">
        <v>0</v>
      </c>
      <c r="M164" s="513">
        <v>0</v>
      </c>
      <c r="N164" s="514">
        <f>LANÇ_MOV[[#This Row],[VALOR BRUTO]]-LANÇ_MOV[[#This Row],[DESCONTO]]+LANÇ_MOV[[#This Row],[JUROS]]+LANÇ_MOV[[#This Row],[MULTA]]</f>
        <v>1200</v>
      </c>
      <c r="O164" s="528">
        <v>46013</v>
      </c>
      <c r="P164" s="516" t="str">
        <f t="shared" ca="1" si="2"/>
        <v>Prazo - Menos de 1 Mês</v>
      </c>
      <c r="Q164" s="528"/>
      <c r="R164" s="529" t="s">
        <v>1564</v>
      </c>
      <c r="S164" s="531"/>
      <c r="T164" s="518" t="s">
        <v>1776</v>
      </c>
      <c r="U164" s="519" t="s">
        <v>2008</v>
      </c>
      <c r="V164" s="520" t="str">
        <f>IFERROR(VLOOKUP(LANÇ_MOV[[#This Row],[PLANO DE CONTAS]],Plano_Contas[[PLANO DE CONTAS]:[R / D]],3,0),"")</f>
        <v>Despesa</v>
      </c>
      <c r="W164" s="521" t="str">
        <f>IF(LANÇ_MOV[[#This Row],[DATA DE PAGAMENTO]]&lt;&gt;"","Pago","Não Pago")</f>
        <v>Não Pago</v>
      </c>
      <c r="X164" s="522" t="str">
        <f>IFERROR(IF(LANÇ_MOV[[#This Row],[DATA DE PAGAMENTO]]="","",(UPPER(TEXT(LANÇ_MOV[[#This Row],[DATA DE PAGAMENTO]],"mmmm")))),"")</f>
        <v/>
      </c>
      <c r="Y164" s="523" t="str">
        <f>IFERROR(VLOOKUP(LANÇ_MOV[[#This Row],[PLANO DE CONTAS]],Plano_Contas[[PLANO DE CONTAS]:[NOMES INTERVALOS]],2,0),"")</f>
        <v>Despesas_Administrativas</v>
      </c>
      <c r="Z164" s="523" t="str">
        <f>IF(LANÇ_MOV[[#This Row],[FORMA DE PAGAMENTO]]="","",VLOOKUP(LANÇ_MOV[[#This Row],[FORMA DE PAGAMENTO]],CAD_Forma_pagto[],2,0))</f>
        <v>PIX</v>
      </c>
      <c r="AA164" s="524" t="str">
        <f>IF(LANÇ_MOV[[#This Row],[DATA DE LANÇAMENTO]]="","",TEXT(LANÇ_MOV[[#This Row],[DATA DE LANÇAMENTO]],"AAAA"))</f>
        <v>2025</v>
      </c>
      <c r="AB164" s="524" t="str">
        <f>IF(LANÇ_MOV[[#This Row],[DATA DE LANÇAMENTO]]="","",UPPER(TEXT(LANÇ_MOV[[#This Row],[DATA DE LANÇAMENTO]],"MMMM")))</f>
        <v>OUTUBRO</v>
      </c>
      <c r="AC164" s="525" t="str">
        <f>IF(LANÇ_MOV[[#This Row],[DATA DE LANÇAMENTO]]="","",PROPER(TEXT(LANÇ_MOV[[#This Row],[DATA DE LANÇAMENTO]],"M")))</f>
        <v>10</v>
      </c>
      <c r="AD164" s="524" t="str">
        <f>IF(LANÇ_MOV[[#This Row],[DATA DE LANÇAMENTO]]="","",TEXT(LANÇ_MOV[[#This Row],[DATA DE LANÇAMENTO]],"D"))</f>
        <v>1</v>
      </c>
      <c r="AE164" s="526" t="str">
        <f>IF(LANÇ_MOV[[#This Row],[DATA DE VENCIMENTO]]="","",TEXT(LANÇ_MOV[[#This Row],[DATA DE VENCIMENTO]],"AAAA"))</f>
        <v>2025</v>
      </c>
      <c r="AF164" s="526" t="str">
        <f>IF(LANÇ_MOV[[#This Row],[DATA DE VENCIMENTO]]="","",UPPER(TEXT(LANÇ_MOV[[#This Row],[DATA DE VENCIMENTO]],"MMMM")))</f>
        <v>DEZEMBRO</v>
      </c>
      <c r="AG164" s="526" t="str">
        <f>IF(LANÇ_MOV[[#This Row],[DATA DE VENCIMENTO]]="","",TEXT(LANÇ_MOV[[#This Row],[DATA DE VENCIMENTO]],"M"))</f>
        <v>12</v>
      </c>
      <c r="AH164" s="526" t="str">
        <f>IF(LANÇ_MOV[[#This Row],[DATA DE VENCIMENTO]]="","",TEXT(LANÇ_MOV[[#This Row],[DATA DE VENCIMENTO]],"D"))</f>
        <v>22</v>
      </c>
      <c r="AI164" s="526" t="str">
        <f>IF(LANÇ_MOV[[#This Row],[DATA DE PAGAMENTO]]="","",TEXT(LANÇ_MOV[[#This Row],[DATA DE PAGAMENTO]],"AAAA"))</f>
        <v/>
      </c>
      <c r="AJ164" s="527" t="str">
        <f>IF(LANÇ_MOV[[#This Row],[DATA DE PAGAMENTO]]="","",UPPER(TEXT(LANÇ_MOV[[#This Row],[DATA DE PAGAMENTO]],"MMMM")))</f>
        <v/>
      </c>
      <c r="AK164" s="527" t="str">
        <f>IF(LANÇ_MOV[[#This Row],[DATA DE PAGAMENTO]]="","",TEXT(LANÇ_MOV[[#This Row],[DATA DE PAGAMENTO]],"M"))</f>
        <v/>
      </c>
      <c r="AL164" s="526" t="str">
        <f>IF(LANÇ_MOV[[#This Row],[DATA DE PAGAMENTO]]="","",TEXT(LANÇ_MOV[[#This Row],[DATA DE PAGAMENTO]],"D"))</f>
        <v/>
      </c>
      <c r="AM164" s="27"/>
      <c r="BB164" s="112"/>
      <c r="BC164" s="112"/>
      <c r="BD164" s="112"/>
    </row>
    <row r="165" spans="2:56" ht="30.05" customHeight="1" x14ac:dyDescent="0.35">
      <c r="B165" s="506">
        <v>45931</v>
      </c>
      <c r="C165" s="507" t="s">
        <v>1661</v>
      </c>
      <c r="D165" s="508" t="s">
        <v>1854</v>
      </c>
      <c r="E165" s="509" t="s">
        <v>1144</v>
      </c>
      <c r="F165" s="510" t="s">
        <v>1814</v>
      </c>
      <c r="G165" s="507"/>
      <c r="H165" s="511">
        <v>0</v>
      </c>
      <c r="I165" s="512" t="s">
        <v>1749</v>
      </c>
      <c r="J165" s="510">
        <v>1200</v>
      </c>
      <c r="K165" s="513">
        <v>0</v>
      </c>
      <c r="L165" s="513">
        <v>0</v>
      </c>
      <c r="M165" s="513">
        <v>0</v>
      </c>
      <c r="N165" s="514">
        <f>LANÇ_MOV[[#This Row],[VALOR BRUTO]]-LANÇ_MOV[[#This Row],[DESCONTO]]+LANÇ_MOV[[#This Row],[JUROS]]+LANÇ_MOV[[#This Row],[MULTA]]</f>
        <v>1200</v>
      </c>
      <c r="O165" s="528">
        <v>46044</v>
      </c>
      <c r="P165" s="516" t="str">
        <f t="shared" ca="1" si="2"/>
        <v>Prazo - Mais de 1 mês</v>
      </c>
      <c r="Q165" s="528"/>
      <c r="R165" s="529" t="s">
        <v>1564</v>
      </c>
      <c r="S165" s="531"/>
      <c r="T165" s="518" t="s">
        <v>1776</v>
      </c>
      <c r="U165" s="519" t="s">
        <v>2008</v>
      </c>
      <c r="V165" s="520" t="str">
        <f>IFERROR(VLOOKUP(LANÇ_MOV[[#This Row],[PLANO DE CONTAS]],Plano_Contas[[PLANO DE CONTAS]:[R / D]],3,0),"")</f>
        <v>Despesa</v>
      </c>
      <c r="W165" s="521" t="str">
        <f>IF(LANÇ_MOV[[#This Row],[DATA DE PAGAMENTO]]&lt;&gt;"","Pago","Não Pago")</f>
        <v>Não Pago</v>
      </c>
      <c r="X165" s="522" t="str">
        <f>IFERROR(IF(LANÇ_MOV[[#This Row],[DATA DE PAGAMENTO]]="","",(UPPER(TEXT(LANÇ_MOV[[#This Row],[DATA DE PAGAMENTO]],"mmmm")))),"")</f>
        <v/>
      </c>
      <c r="Y165" s="523" t="str">
        <f>IFERROR(VLOOKUP(LANÇ_MOV[[#This Row],[PLANO DE CONTAS]],Plano_Contas[[PLANO DE CONTAS]:[NOMES INTERVALOS]],2,0),"")</f>
        <v>Despesas_Administrativas</v>
      </c>
      <c r="Z165" s="523" t="str">
        <f>IF(LANÇ_MOV[[#This Row],[FORMA DE PAGAMENTO]]="","",VLOOKUP(LANÇ_MOV[[#This Row],[FORMA DE PAGAMENTO]],CAD_Forma_pagto[],2,0))</f>
        <v>PIX</v>
      </c>
      <c r="AA165" s="524" t="str">
        <f>IF(LANÇ_MOV[[#This Row],[DATA DE LANÇAMENTO]]="","",TEXT(LANÇ_MOV[[#This Row],[DATA DE LANÇAMENTO]],"AAAA"))</f>
        <v>2025</v>
      </c>
      <c r="AB165" s="524" t="str">
        <f>IF(LANÇ_MOV[[#This Row],[DATA DE LANÇAMENTO]]="","",UPPER(TEXT(LANÇ_MOV[[#This Row],[DATA DE LANÇAMENTO]],"MMMM")))</f>
        <v>OUTUBRO</v>
      </c>
      <c r="AC165" s="525" t="str">
        <f>IF(LANÇ_MOV[[#This Row],[DATA DE LANÇAMENTO]]="","",PROPER(TEXT(LANÇ_MOV[[#This Row],[DATA DE LANÇAMENTO]],"M")))</f>
        <v>10</v>
      </c>
      <c r="AD165" s="524" t="str">
        <f>IF(LANÇ_MOV[[#This Row],[DATA DE LANÇAMENTO]]="","",TEXT(LANÇ_MOV[[#This Row],[DATA DE LANÇAMENTO]],"D"))</f>
        <v>1</v>
      </c>
      <c r="AE165" s="526" t="str">
        <f>IF(LANÇ_MOV[[#This Row],[DATA DE VENCIMENTO]]="","",TEXT(LANÇ_MOV[[#This Row],[DATA DE VENCIMENTO]],"AAAA"))</f>
        <v>2026</v>
      </c>
      <c r="AF165" s="526" t="str">
        <f>IF(LANÇ_MOV[[#This Row],[DATA DE VENCIMENTO]]="","",UPPER(TEXT(LANÇ_MOV[[#This Row],[DATA DE VENCIMENTO]],"MMMM")))</f>
        <v>JANEIRO</v>
      </c>
      <c r="AG165" s="526" t="str">
        <f>IF(LANÇ_MOV[[#This Row],[DATA DE VENCIMENTO]]="","",TEXT(LANÇ_MOV[[#This Row],[DATA DE VENCIMENTO]],"M"))</f>
        <v>1</v>
      </c>
      <c r="AH165" s="526" t="str">
        <f>IF(LANÇ_MOV[[#This Row],[DATA DE VENCIMENTO]]="","",TEXT(LANÇ_MOV[[#This Row],[DATA DE VENCIMENTO]],"D"))</f>
        <v>22</v>
      </c>
      <c r="AI165" s="526" t="str">
        <f>IF(LANÇ_MOV[[#This Row],[DATA DE PAGAMENTO]]="","",TEXT(LANÇ_MOV[[#This Row],[DATA DE PAGAMENTO]],"AAAA"))</f>
        <v/>
      </c>
      <c r="AJ165" s="527" t="str">
        <f>IF(LANÇ_MOV[[#This Row],[DATA DE PAGAMENTO]]="","",UPPER(TEXT(LANÇ_MOV[[#This Row],[DATA DE PAGAMENTO]],"MMMM")))</f>
        <v/>
      </c>
      <c r="AK165" s="527" t="str">
        <f>IF(LANÇ_MOV[[#This Row],[DATA DE PAGAMENTO]]="","",TEXT(LANÇ_MOV[[#This Row],[DATA DE PAGAMENTO]],"M"))</f>
        <v/>
      </c>
      <c r="AL165" s="526" t="str">
        <f>IF(LANÇ_MOV[[#This Row],[DATA DE PAGAMENTO]]="","",TEXT(LANÇ_MOV[[#This Row],[DATA DE PAGAMENTO]],"D"))</f>
        <v/>
      </c>
      <c r="AM165" s="27"/>
      <c r="BB165" s="112"/>
      <c r="BC165" s="112"/>
      <c r="BD165" s="112"/>
    </row>
    <row r="166" spans="2:56" ht="30.05" customHeight="1" x14ac:dyDescent="0.35">
      <c r="B166" s="506">
        <v>45931</v>
      </c>
      <c r="C166" s="507" t="s">
        <v>1661</v>
      </c>
      <c r="D166" s="508" t="s">
        <v>1854</v>
      </c>
      <c r="E166" s="509" t="s">
        <v>1144</v>
      </c>
      <c r="F166" s="510" t="s">
        <v>1814</v>
      </c>
      <c r="G166" s="507"/>
      <c r="H166" s="511">
        <v>0</v>
      </c>
      <c r="I166" s="512" t="s">
        <v>1749</v>
      </c>
      <c r="J166" s="510">
        <v>1200</v>
      </c>
      <c r="K166" s="513">
        <v>0</v>
      </c>
      <c r="L166" s="513">
        <v>0</v>
      </c>
      <c r="M166" s="513">
        <v>0</v>
      </c>
      <c r="N166" s="514">
        <f>LANÇ_MOV[[#This Row],[VALOR BRUTO]]-LANÇ_MOV[[#This Row],[DESCONTO]]+LANÇ_MOV[[#This Row],[JUROS]]+LANÇ_MOV[[#This Row],[MULTA]]</f>
        <v>1200</v>
      </c>
      <c r="O166" s="528">
        <v>46075</v>
      </c>
      <c r="P166" s="516" t="str">
        <f t="shared" ca="1" si="2"/>
        <v>Prazo - Mais de 1 mês</v>
      </c>
      <c r="Q166" s="528"/>
      <c r="R166" s="529" t="s">
        <v>1564</v>
      </c>
      <c r="S166" s="531"/>
      <c r="T166" s="518" t="s">
        <v>1776</v>
      </c>
      <c r="U166" s="519" t="s">
        <v>2008</v>
      </c>
      <c r="V166" s="520" t="str">
        <f>IFERROR(VLOOKUP(LANÇ_MOV[[#This Row],[PLANO DE CONTAS]],Plano_Contas[[PLANO DE CONTAS]:[R / D]],3,0),"")</f>
        <v>Despesa</v>
      </c>
      <c r="W166" s="521" t="str">
        <f>IF(LANÇ_MOV[[#This Row],[DATA DE PAGAMENTO]]&lt;&gt;"","Pago","Não Pago")</f>
        <v>Não Pago</v>
      </c>
      <c r="X166" s="522" t="str">
        <f>IFERROR(IF(LANÇ_MOV[[#This Row],[DATA DE PAGAMENTO]]="","",(UPPER(TEXT(LANÇ_MOV[[#This Row],[DATA DE PAGAMENTO]],"mmmm")))),"")</f>
        <v/>
      </c>
      <c r="Y166" s="523" t="str">
        <f>IFERROR(VLOOKUP(LANÇ_MOV[[#This Row],[PLANO DE CONTAS]],Plano_Contas[[PLANO DE CONTAS]:[NOMES INTERVALOS]],2,0),"")</f>
        <v>Despesas_Administrativas</v>
      </c>
      <c r="Z166" s="523" t="str">
        <f>IF(LANÇ_MOV[[#This Row],[FORMA DE PAGAMENTO]]="","",VLOOKUP(LANÇ_MOV[[#This Row],[FORMA DE PAGAMENTO]],CAD_Forma_pagto[],2,0))</f>
        <v>PIX</v>
      </c>
      <c r="AA166" s="524" t="str">
        <f>IF(LANÇ_MOV[[#This Row],[DATA DE LANÇAMENTO]]="","",TEXT(LANÇ_MOV[[#This Row],[DATA DE LANÇAMENTO]],"AAAA"))</f>
        <v>2025</v>
      </c>
      <c r="AB166" s="524" t="str">
        <f>IF(LANÇ_MOV[[#This Row],[DATA DE LANÇAMENTO]]="","",UPPER(TEXT(LANÇ_MOV[[#This Row],[DATA DE LANÇAMENTO]],"MMMM")))</f>
        <v>OUTUBRO</v>
      </c>
      <c r="AC166" s="525" t="str">
        <f>IF(LANÇ_MOV[[#This Row],[DATA DE LANÇAMENTO]]="","",PROPER(TEXT(LANÇ_MOV[[#This Row],[DATA DE LANÇAMENTO]],"M")))</f>
        <v>10</v>
      </c>
      <c r="AD166" s="524" t="str">
        <f>IF(LANÇ_MOV[[#This Row],[DATA DE LANÇAMENTO]]="","",TEXT(LANÇ_MOV[[#This Row],[DATA DE LANÇAMENTO]],"D"))</f>
        <v>1</v>
      </c>
      <c r="AE166" s="526" t="str">
        <f>IF(LANÇ_MOV[[#This Row],[DATA DE VENCIMENTO]]="","",TEXT(LANÇ_MOV[[#This Row],[DATA DE VENCIMENTO]],"AAAA"))</f>
        <v>2026</v>
      </c>
      <c r="AF166" s="526" t="str">
        <f>IF(LANÇ_MOV[[#This Row],[DATA DE VENCIMENTO]]="","",UPPER(TEXT(LANÇ_MOV[[#This Row],[DATA DE VENCIMENTO]],"MMMM")))</f>
        <v>FEVEREIRO</v>
      </c>
      <c r="AG166" s="526" t="str">
        <f>IF(LANÇ_MOV[[#This Row],[DATA DE VENCIMENTO]]="","",TEXT(LANÇ_MOV[[#This Row],[DATA DE VENCIMENTO]],"M"))</f>
        <v>2</v>
      </c>
      <c r="AH166" s="526" t="str">
        <f>IF(LANÇ_MOV[[#This Row],[DATA DE VENCIMENTO]]="","",TEXT(LANÇ_MOV[[#This Row],[DATA DE VENCIMENTO]],"D"))</f>
        <v>22</v>
      </c>
      <c r="AI166" s="526" t="str">
        <f>IF(LANÇ_MOV[[#This Row],[DATA DE PAGAMENTO]]="","",TEXT(LANÇ_MOV[[#This Row],[DATA DE PAGAMENTO]],"AAAA"))</f>
        <v/>
      </c>
      <c r="AJ166" s="527" t="str">
        <f>IF(LANÇ_MOV[[#This Row],[DATA DE PAGAMENTO]]="","",UPPER(TEXT(LANÇ_MOV[[#This Row],[DATA DE PAGAMENTO]],"MMMM")))</f>
        <v/>
      </c>
      <c r="AK166" s="527" t="str">
        <f>IF(LANÇ_MOV[[#This Row],[DATA DE PAGAMENTO]]="","",TEXT(LANÇ_MOV[[#This Row],[DATA DE PAGAMENTO]],"M"))</f>
        <v/>
      </c>
      <c r="AL166" s="526" t="str">
        <f>IF(LANÇ_MOV[[#This Row],[DATA DE PAGAMENTO]]="","",TEXT(LANÇ_MOV[[#This Row],[DATA DE PAGAMENTO]],"D"))</f>
        <v/>
      </c>
      <c r="AM166" s="27"/>
      <c r="BB166" s="112"/>
      <c r="BC166" s="112"/>
      <c r="BD166" s="112"/>
    </row>
    <row r="167" spans="2:56" ht="30.05" customHeight="1" x14ac:dyDescent="0.35">
      <c r="B167" s="506">
        <v>45931</v>
      </c>
      <c r="C167" s="507" t="s">
        <v>1661</v>
      </c>
      <c r="D167" s="508" t="s">
        <v>1854</v>
      </c>
      <c r="E167" s="509" t="s">
        <v>1144</v>
      </c>
      <c r="F167" s="510" t="s">
        <v>1814</v>
      </c>
      <c r="G167" s="507"/>
      <c r="H167" s="511">
        <v>0</v>
      </c>
      <c r="I167" s="512" t="s">
        <v>1749</v>
      </c>
      <c r="J167" s="510">
        <v>1200</v>
      </c>
      <c r="K167" s="513">
        <v>0</v>
      </c>
      <c r="L167" s="513">
        <v>0</v>
      </c>
      <c r="M167" s="513">
        <v>0</v>
      </c>
      <c r="N167" s="514">
        <f>LANÇ_MOV[[#This Row],[VALOR BRUTO]]-LANÇ_MOV[[#This Row],[DESCONTO]]+LANÇ_MOV[[#This Row],[JUROS]]+LANÇ_MOV[[#This Row],[MULTA]]</f>
        <v>1200</v>
      </c>
      <c r="O167" s="528">
        <v>46103</v>
      </c>
      <c r="P167" s="516" t="str">
        <f t="shared" ca="1" si="2"/>
        <v>Prazo - Mais de 1 mês</v>
      </c>
      <c r="Q167" s="528"/>
      <c r="R167" s="529" t="s">
        <v>1564</v>
      </c>
      <c r="S167" s="518"/>
      <c r="T167" s="518" t="s">
        <v>1776</v>
      </c>
      <c r="U167" s="519" t="s">
        <v>2008</v>
      </c>
      <c r="V167" s="520" t="str">
        <f>IFERROR(VLOOKUP(LANÇ_MOV[[#This Row],[PLANO DE CONTAS]],Plano_Contas[[PLANO DE CONTAS]:[R / D]],3,0),"")</f>
        <v>Despesa</v>
      </c>
      <c r="W167" s="521" t="str">
        <f>IF(LANÇ_MOV[[#This Row],[DATA DE PAGAMENTO]]&lt;&gt;"","Pago","Não Pago")</f>
        <v>Não Pago</v>
      </c>
      <c r="X167" s="522" t="str">
        <f>IFERROR(IF(LANÇ_MOV[[#This Row],[DATA DE PAGAMENTO]]="","",(UPPER(TEXT(LANÇ_MOV[[#This Row],[DATA DE PAGAMENTO]],"mmmm")))),"")</f>
        <v/>
      </c>
      <c r="Y167" s="523" t="str">
        <f>IFERROR(VLOOKUP(LANÇ_MOV[[#This Row],[PLANO DE CONTAS]],Plano_Contas[[PLANO DE CONTAS]:[NOMES INTERVALOS]],2,0),"")</f>
        <v>Despesas_Administrativas</v>
      </c>
      <c r="Z167" s="523" t="str">
        <f>IF(LANÇ_MOV[[#This Row],[FORMA DE PAGAMENTO]]="","",VLOOKUP(LANÇ_MOV[[#This Row],[FORMA DE PAGAMENTO]],CAD_Forma_pagto[],2,0))</f>
        <v>PIX</v>
      </c>
      <c r="AA167" s="524" t="str">
        <f>IF(LANÇ_MOV[[#This Row],[DATA DE LANÇAMENTO]]="","",TEXT(LANÇ_MOV[[#This Row],[DATA DE LANÇAMENTO]],"AAAA"))</f>
        <v>2025</v>
      </c>
      <c r="AB167" s="524" t="str">
        <f>IF(LANÇ_MOV[[#This Row],[DATA DE LANÇAMENTO]]="","",UPPER(TEXT(LANÇ_MOV[[#This Row],[DATA DE LANÇAMENTO]],"MMMM")))</f>
        <v>OUTUBRO</v>
      </c>
      <c r="AC167" s="525" t="str">
        <f>IF(LANÇ_MOV[[#This Row],[DATA DE LANÇAMENTO]]="","",PROPER(TEXT(LANÇ_MOV[[#This Row],[DATA DE LANÇAMENTO]],"M")))</f>
        <v>10</v>
      </c>
      <c r="AD167" s="524" t="str">
        <f>IF(LANÇ_MOV[[#This Row],[DATA DE LANÇAMENTO]]="","",TEXT(LANÇ_MOV[[#This Row],[DATA DE LANÇAMENTO]],"D"))</f>
        <v>1</v>
      </c>
      <c r="AE167" s="526" t="str">
        <f>IF(LANÇ_MOV[[#This Row],[DATA DE VENCIMENTO]]="","",TEXT(LANÇ_MOV[[#This Row],[DATA DE VENCIMENTO]],"AAAA"))</f>
        <v>2026</v>
      </c>
      <c r="AF167" s="526" t="str">
        <f>IF(LANÇ_MOV[[#This Row],[DATA DE VENCIMENTO]]="","",UPPER(TEXT(LANÇ_MOV[[#This Row],[DATA DE VENCIMENTO]],"MMMM")))</f>
        <v>MARÇO</v>
      </c>
      <c r="AG167" s="526" t="str">
        <f>IF(LANÇ_MOV[[#This Row],[DATA DE VENCIMENTO]]="","",TEXT(LANÇ_MOV[[#This Row],[DATA DE VENCIMENTO]],"M"))</f>
        <v>3</v>
      </c>
      <c r="AH167" s="526" t="str">
        <f>IF(LANÇ_MOV[[#This Row],[DATA DE VENCIMENTO]]="","",TEXT(LANÇ_MOV[[#This Row],[DATA DE VENCIMENTO]],"D"))</f>
        <v>22</v>
      </c>
      <c r="AI167" s="526" t="str">
        <f>IF(LANÇ_MOV[[#This Row],[DATA DE PAGAMENTO]]="","",TEXT(LANÇ_MOV[[#This Row],[DATA DE PAGAMENTO]],"AAAA"))</f>
        <v/>
      </c>
      <c r="AJ167" s="527" t="str">
        <f>IF(LANÇ_MOV[[#This Row],[DATA DE PAGAMENTO]]="","",UPPER(TEXT(LANÇ_MOV[[#This Row],[DATA DE PAGAMENTO]],"MMMM")))</f>
        <v/>
      </c>
      <c r="AK167" s="527" t="str">
        <f>IF(LANÇ_MOV[[#This Row],[DATA DE PAGAMENTO]]="","",TEXT(LANÇ_MOV[[#This Row],[DATA DE PAGAMENTO]],"M"))</f>
        <v/>
      </c>
      <c r="AL167" s="526" t="str">
        <f>IF(LANÇ_MOV[[#This Row],[DATA DE PAGAMENTO]]="","",TEXT(LANÇ_MOV[[#This Row],[DATA DE PAGAMENTO]],"D"))</f>
        <v/>
      </c>
      <c r="AM167" s="27"/>
      <c r="BB167" s="112"/>
      <c r="BC167" s="112"/>
      <c r="BD167" s="112"/>
    </row>
    <row r="168" spans="2:56" ht="30.05" customHeight="1" x14ac:dyDescent="0.35">
      <c r="B168" s="506">
        <v>45931</v>
      </c>
      <c r="C168" s="507" t="s">
        <v>1661</v>
      </c>
      <c r="D168" s="508" t="s">
        <v>1854</v>
      </c>
      <c r="E168" s="509" t="s">
        <v>1144</v>
      </c>
      <c r="F168" s="510" t="s">
        <v>1814</v>
      </c>
      <c r="G168" s="507"/>
      <c r="H168" s="511">
        <v>0</v>
      </c>
      <c r="I168" s="512" t="s">
        <v>1749</v>
      </c>
      <c r="J168" s="510">
        <v>1200</v>
      </c>
      <c r="K168" s="513">
        <v>0</v>
      </c>
      <c r="L168" s="513">
        <v>0</v>
      </c>
      <c r="M168" s="513">
        <v>0</v>
      </c>
      <c r="N168" s="514">
        <f>LANÇ_MOV[[#This Row],[VALOR BRUTO]]-LANÇ_MOV[[#This Row],[DESCONTO]]+LANÇ_MOV[[#This Row],[JUROS]]+LANÇ_MOV[[#This Row],[MULTA]]</f>
        <v>1200</v>
      </c>
      <c r="O168" s="528">
        <v>46134</v>
      </c>
      <c r="P168" s="516" t="str">
        <f t="shared" ca="1" si="2"/>
        <v>Prazo - Mais de 1 mês</v>
      </c>
      <c r="Q168" s="528"/>
      <c r="R168" s="529" t="s">
        <v>1564</v>
      </c>
      <c r="S168" s="518"/>
      <c r="T168" s="518" t="s">
        <v>1776</v>
      </c>
      <c r="U168" s="519" t="s">
        <v>2008</v>
      </c>
      <c r="V168" s="520" t="str">
        <f>IFERROR(VLOOKUP(LANÇ_MOV[[#This Row],[PLANO DE CONTAS]],Plano_Contas[[PLANO DE CONTAS]:[R / D]],3,0),"")</f>
        <v>Despesa</v>
      </c>
      <c r="W168" s="521" t="str">
        <f>IF(LANÇ_MOV[[#This Row],[DATA DE PAGAMENTO]]&lt;&gt;"","Pago","Não Pago")</f>
        <v>Não Pago</v>
      </c>
      <c r="X168" s="522" t="str">
        <f>IFERROR(IF(LANÇ_MOV[[#This Row],[DATA DE PAGAMENTO]]="","",(UPPER(TEXT(LANÇ_MOV[[#This Row],[DATA DE PAGAMENTO]],"mmmm")))),"")</f>
        <v/>
      </c>
      <c r="Y168" s="523" t="str">
        <f>IFERROR(VLOOKUP(LANÇ_MOV[[#This Row],[PLANO DE CONTAS]],Plano_Contas[[PLANO DE CONTAS]:[NOMES INTERVALOS]],2,0),"")</f>
        <v>Despesas_Administrativas</v>
      </c>
      <c r="Z168" s="523" t="str">
        <f>IF(LANÇ_MOV[[#This Row],[FORMA DE PAGAMENTO]]="","",VLOOKUP(LANÇ_MOV[[#This Row],[FORMA DE PAGAMENTO]],CAD_Forma_pagto[],2,0))</f>
        <v>PIX</v>
      </c>
      <c r="AA168" s="524" t="str">
        <f>IF(LANÇ_MOV[[#This Row],[DATA DE LANÇAMENTO]]="","",TEXT(LANÇ_MOV[[#This Row],[DATA DE LANÇAMENTO]],"AAAA"))</f>
        <v>2025</v>
      </c>
      <c r="AB168" s="524" t="str">
        <f>IF(LANÇ_MOV[[#This Row],[DATA DE LANÇAMENTO]]="","",UPPER(TEXT(LANÇ_MOV[[#This Row],[DATA DE LANÇAMENTO]],"MMMM")))</f>
        <v>OUTUBRO</v>
      </c>
      <c r="AC168" s="525" t="str">
        <f>IF(LANÇ_MOV[[#This Row],[DATA DE LANÇAMENTO]]="","",PROPER(TEXT(LANÇ_MOV[[#This Row],[DATA DE LANÇAMENTO]],"M")))</f>
        <v>10</v>
      </c>
      <c r="AD168" s="524" t="str">
        <f>IF(LANÇ_MOV[[#This Row],[DATA DE LANÇAMENTO]]="","",TEXT(LANÇ_MOV[[#This Row],[DATA DE LANÇAMENTO]],"D"))</f>
        <v>1</v>
      </c>
      <c r="AE168" s="526" t="str">
        <f>IF(LANÇ_MOV[[#This Row],[DATA DE VENCIMENTO]]="","",TEXT(LANÇ_MOV[[#This Row],[DATA DE VENCIMENTO]],"AAAA"))</f>
        <v>2026</v>
      </c>
      <c r="AF168" s="526" t="str">
        <f>IF(LANÇ_MOV[[#This Row],[DATA DE VENCIMENTO]]="","",UPPER(TEXT(LANÇ_MOV[[#This Row],[DATA DE VENCIMENTO]],"MMMM")))</f>
        <v>ABRIL</v>
      </c>
      <c r="AG168" s="526" t="str">
        <f>IF(LANÇ_MOV[[#This Row],[DATA DE VENCIMENTO]]="","",TEXT(LANÇ_MOV[[#This Row],[DATA DE VENCIMENTO]],"M"))</f>
        <v>4</v>
      </c>
      <c r="AH168" s="526" t="str">
        <f>IF(LANÇ_MOV[[#This Row],[DATA DE VENCIMENTO]]="","",TEXT(LANÇ_MOV[[#This Row],[DATA DE VENCIMENTO]],"D"))</f>
        <v>22</v>
      </c>
      <c r="AI168" s="526" t="str">
        <f>IF(LANÇ_MOV[[#This Row],[DATA DE PAGAMENTO]]="","",TEXT(LANÇ_MOV[[#This Row],[DATA DE PAGAMENTO]],"AAAA"))</f>
        <v/>
      </c>
      <c r="AJ168" s="527" t="str">
        <f>IF(LANÇ_MOV[[#This Row],[DATA DE PAGAMENTO]]="","",UPPER(TEXT(LANÇ_MOV[[#This Row],[DATA DE PAGAMENTO]],"MMMM")))</f>
        <v/>
      </c>
      <c r="AK168" s="527" t="str">
        <f>IF(LANÇ_MOV[[#This Row],[DATA DE PAGAMENTO]]="","",TEXT(LANÇ_MOV[[#This Row],[DATA DE PAGAMENTO]],"M"))</f>
        <v/>
      </c>
      <c r="AL168" s="526" t="str">
        <f>IF(LANÇ_MOV[[#This Row],[DATA DE PAGAMENTO]]="","",TEXT(LANÇ_MOV[[#This Row],[DATA DE PAGAMENTO]],"D"))</f>
        <v/>
      </c>
      <c r="AM168" s="27"/>
      <c r="BB168" s="112"/>
      <c r="BC168" s="112"/>
      <c r="BD168" s="112"/>
    </row>
    <row r="169" spans="2:56" ht="30.05" customHeight="1" x14ac:dyDescent="0.35">
      <c r="B169" s="506">
        <v>45931</v>
      </c>
      <c r="C169" s="507" t="s">
        <v>1661</v>
      </c>
      <c r="D169" s="508" t="s">
        <v>1854</v>
      </c>
      <c r="E169" s="509" t="s">
        <v>1144</v>
      </c>
      <c r="F169" s="510" t="s">
        <v>1814</v>
      </c>
      <c r="G169" s="507"/>
      <c r="H169" s="511">
        <v>0</v>
      </c>
      <c r="I169" s="512" t="s">
        <v>1749</v>
      </c>
      <c r="J169" s="510">
        <v>1200</v>
      </c>
      <c r="K169" s="513">
        <v>0</v>
      </c>
      <c r="L169" s="513">
        <v>0</v>
      </c>
      <c r="M169" s="513">
        <v>0</v>
      </c>
      <c r="N169" s="514">
        <f>LANÇ_MOV[[#This Row],[VALOR BRUTO]]-LANÇ_MOV[[#This Row],[DESCONTO]]+LANÇ_MOV[[#This Row],[JUROS]]+LANÇ_MOV[[#This Row],[MULTA]]</f>
        <v>1200</v>
      </c>
      <c r="O169" s="528">
        <v>46164</v>
      </c>
      <c r="P169" s="516" t="str">
        <f t="shared" ca="1" si="2"/>
        <v>Prazo - Mais de 1 mês</v>
      </c>
      <c r="Q169" s="528"/>
      <c r="R169" s="529" t="s">
        <v>1564</v>
      </c>
      <c r="S169" s="518"/>
      <c r="T169" s="518" t="s">
        <v>1776</v>
      </c>
      <c r="U169" s="519" t="s">
        <v>2008</v>
      </c>
      <c r="V169" s="520" t="str">
        <f>IFERROR(VLOOKUP(LANÇ_MOV[[#This Row],[PLANO DE CONTAS]],Plano_Contas[[PLANO DE CONTAS]:[R / D]],3,0),"")</f>
        <v>Despesa</v>
      </c>
      <c r="W169" s="521" t="str">
        <f>IF(LANÇ_MOV[[#This Row],[DATA DE PAGAMENTO]]&lt;&gt;"","Pago","Não Pago")</f>
        <v>Não Pago</v>
      </c>
      <c r="X169" s="522" t="str">
        <f>IFERROR(IF(LANÇ_MOV[[#This Row],[DATA DE PAGAMENTO]]="","",(UPPER(TEXT(LANÇ_MOV[[#This Row],[DATA DE PAGAMENTO]],"mmmm")))),"")</f>
        <v/>
      </c>
      <c r="Y169" s="523" t="str">
        <f>IFERROR(VLOOKUP(LANÇ_MOV[[#This Row],[PLANO DE CONTAS]],Plano_Contas[[PLANO DE CONTAS]:[NOMES INTERVALOS]],2,0),"")</f>
        <v>Despesas_Administrativas</v>
      </c>
      <c r="Z169" s="523" t="str">
        <f>IF(LANÇ_MOV[[#This Row],[FORMA DE PAGAMENTO]]="","",VLOOKUP(LANÇ_MOV[[#This Row],[FORMA DE PAGAMENTO]],CAD_Forma_pagto[],2,0))</f>
        <v>PIX</v>
      </c>
      <c r="AA169" s="524" t="str">
        <f>IF(LANÇ_MOV[[#This Row],[DATA DE LANÇAMENTO]]="","",TEXT(LANÇ_MOV[[#This Row],[DATA DE LANÇAMENTO]],"AAAA"))</f>
        <v>2025</v>
      </c>
      <c r="AB169" s="524" t="str">
        <f>IF(LANÇ_MOV[[#This Row],[DATA DE LANÇAMENTO]]="","",UPPER(TEXT(LANÇ_MOV[[#This Row],[DATA DE LANÇAMENTO]],"MMMM")))</f>
        <v>OUTUBRO</v>
      </c>
      <c r="AC169" s="525" t="str">
        <f>IF(LANÇ_MOV[[#This Row],[DATA DE LANÇAMENTO]]="","",PROPER(TEXT(LANÇ_MOV[[#This Row],[DATA DE LANÇAMENTO]],"M")))</f>
        <v>10</v>
      </c>
      <c r="AD169" s="524" t="str">
        <f>IF(LANÇ_MOV[[#This Row],[DATA DE LANÇAMENTO]]="","",TEXT(LANÇ_MOV[[#This Row],[DATA DE LANÇAMENTO]],"D"))</f>
        <v>1</v>
      </c>
      <c r="AE169" s="526" t="str">
        <f>IF(LANÇ_MOV[[#This Row],[DATA DE VENCIMENTO]]="","",TEXT(LANÇ_MOV[[#This Row],[DATA DE VENCIMENTO]],"AAAA"))</f>
        <v>2026</v>
      </c>
      <c r="AF169" s="526" t="str">
        <f>IF(LANÇ_MOV[[#This Row],[DATA DE VENCIMENTO]]="","",UPPER(TEXT(LANÇ_MOV[[#This Row],[DATA DE VENCIMENTO]],"MMMM")))</f>
        <v>MAIO</v>
      </c>
      <c r="AG169" s="526" t="str">
        <f>IF(LANÇ_MOV[[#This Row],[DATA DE VENCIMENTO]]="","",TEXT(LANÇ_MOV[[#This Row],[DATA DE VENCIMENTO]],"M"))</f>
        <v>5</v>
      </c>
      <c r="AH169" s="526" t="str">
        <f>IF(LANÇ_MOV[[#This Row],[DATA DE VENCIMENTO]]="","",TEXT(LANÇ_MOV[[#This Row],[DATA DE VENCIMENTO]],"D"))</f>
        <v>22</v>
      </c>
      <c r="AI169" s="526" t="str">
        <f>IF(LANÇ_MOV[[#This Row],[DATA DE PAGAMENTO]]="","",TEXT(LANÇ_MOV[[#This Row],[DATA DE PAGAMENTO]],"AAAA"))</f>
        <v/>
      </c>
      <c r="AJ169" s="527" t="str">
        <f>IF(LANÇ_MOV[[#This Row],[DATA DE PAGAMENTO]]="","",UPPER(TEXT(LANÇ_MOV[[#This Row],[DATA DE PAGAMENTO]],"MMMM")))</f>
        <v/>
      </c>
      <c r="AK169" s="527" t="str">
        <f>IF(LANÇ_MOV[[#This Row],[DATA DE PAGAMENTO]]="","",TEXT(LANÇ_MOV[[#This Row],[DATA DE PAGAMENTO]],"M"))</f>
        <v/>
      </c>
      <c r="AL169" s="526" t="str">
        <f>IF(LANÇ_MOV[[#This Row],[DATA DE PAGAMENTO]]="","",TEXT(LANÇ_MOV[[#This Row],[DATA DE PAGAMENTO]],"D"))</f>
        <v/>
      </c>
      <c r="AM169" s="27"/>
      <c r="BB169" s="112"/>
      <c r="BC169" s="112"/>
      <c r="BD169" s="112"/>
    </row>
    <row r="170" spans="2:56" ht="30.05" customHeight="1" x14ac:dyDescent="0.35">
      <c r="B170" s="506">
        <v>45931</v>
      </c>
      <c r="C170" s="507" t="s">
        <v>1661</v>
      </c>
      <c r="D170" s="508" t="s">
        <v>1854</v>
      </c>
      <c r="E170" s="509" t="s">
        <v>1144</v>
      </c>
      <c r="F170" s="510" t="s">
        <v>1814</v>
      </c>
      <c r="G170" s="507"/>
      <c r="H170" s="511">
        <v>0</v>
      </c>
      <c r="I170" s="512" t="s">
        <v>1749</v>
      </c>
      <c r="J170" s="510">
        <v>1200</v>
      </c>
      <c r="K170" s="513">
        <v>0</v>
      </c>
      <c r="L170" s="513">
        <v>0</v>
      </c>
      <c r="M170" s="513">
        <v>0</v>
      </c>
      <c r="N170" s="514">
        <f>LANÇ_MOV[[#This Row],[VALOR BRUTO]]-LANÇ_MOV[[#This Row],[DESCONTO]]+LANÇ_MOV[[#This Row],[JUROS]]+LANÇ_MOV[[#This Row],[MULTA]]</f>
        <v>1200</v>
      </c>
      <c r="O170" s="528">
        <v>46195</v>
      </c>
      <c r="P170" s="516" t="str">
        <f t="shared" ca="1" si="2"/>
        <v>Prazo - Mais de 1 mês</v>
      </c>
      <c r="Q170" s="528"/>
      <c r="R170" s="529" t="s">
        <v>1564</v>
      </c>
      <c r="S170" s="518"/>
      <c r="T170" s="518" t="s">
        <v>1776</v>
      </c>
      <c r="U170" s="519" t="s">
        <v>2008</v>
      </c>
      <c r="V170" s="520" t="str">
        <f>IFERROR(VLOOKUP(LANÇ_MOV[[#This Row],[PLANO DE CONTAS]],Plano_Contas[[PLANO DE CONTAS]:[R / D]],3,0),"")</f>
        <v>Despesa</v>
      </c>
      <c r="W170" s="521" t="str">
        <f>IF(LANÇ_MOV[[#This Row],[DATA DE PAGAMENTO]]&lt;&gt;"","Pago","Não Pago")</f>
        <v>Não Pago</v>
      </c>
      <c r="X170" s="522" t="str">
        <f>IFERROR(IF(LANÇ_MOV[[#This Row],[DATA DE PAGAMENTO]]="","",(UPPER(TEXT(LANÇ_MOV[[#This Row],[DATA DE PAGAMENTO]],"mmmm")))),"")</f>
        <v/>
      </c>
      <c r="Y170" s="523" t="str">
        <f>IFERROR(VLOOKUP(LANÇ_MOV[[#This Row],[PLANO DE CONTAS]],Plano_Contas[[PLANO DE CONTAS]:[NOMES INTERVALOS]],2,0),"")</f>
        <v>Despesas_Administrativas</v>
      </c>
      <c r="Z170" s="523" t="str">
        <f>IF(LANÇ_MOV[[#This Row],[FORMA DE PAGAMENTO]]="","",VLOOKUP(LANÇ_MOV[[#This Row],[FORMA DE PAGAMENTO]],CAD_Forma_pagto[],2,0))</f>
        <v>PIX</v>
      </c>
      <c r="AA170" s="524" t="str">
        <f>IF(LANÇ_MOV[[#This Row],[DATA DE LANÇAMENTO]]="","",TEXT(LANÇ_MOV[[#This Row],[DATA DE LANÇAMENTO]],"AAAA"))</f>
        <v>2025</v>
      </c>
      <c r="AB170" s="524" t="str">
        <f>IF(LANÇ_MOV[[#This Row],[DATA DE LANÇAMENTO]]="","",UPPER(TEXT(LANÇ_MOV[[#This Row],[DATA DE LANÇAMENTO]],"MMMM")))</f>
        <v>OUTUBRO</v>
      </c>
      <c r="AC170" s="525" t="str">
        <f>IF(LANÇ_MOV[[#This Row],[DATA DE LANÇAMENTO]]="","",PROPER(TEXT(LANÇ_MOV[[#This Row],[DATA DE LANÇAMENTO]],"M")))</f>
        <v>10</v>
      </c>
      <c r="AD170" s="524" t="str">
        <f>IF(LANÇ_MOV[[#This Row],[DATA DE LANÇAMENTO]]="","",TEXT(LANÇ_MOV[[#This Row],[DATA DE LANÇAMENTO]],"D"))</f>
        <v>1</v>
      </c>
      <c r="AE170" s="526" t="str">
        <f>IF(LANÇ_MOV[[#This Row],[DATA DE VENCIMENTO]]="","",TEXT(LANÇ_MOV[[#This Row],[DATA DE VENCIMENTO]],"AAAA"))</f>
        <v>2026</v>
      </c>
      <c r="AF170" s="526" t="str">
        <f>IF(LANÇ_MOV[[#This Row],[DATA DE VENCIMENTO]]="","",UPPER(TEXT(LANÇ_MOV[[#This Row],[DATA DE VENCIMENTO]],"MMMM")))</f>
        <v>JUNHO</v>
      </c>
      <c r="AG170" s="526" t="str">
        <f>IF(LANÇ_MOV[[#This Row],[DATA DE VENCIMENTO]]="","",TEXT(LANÇ_MOV[[#This Row],[DATA DE VENCIMENTO]],"M"))</f>
        <v>6</v>
      </c>
      <c r="AH170" s="526" t="str">
        <f>IF(LANÇ_MOV[[#This Row],[DATA DE VENCIMENTO]]="","",TEXT(LANÇ_MOV[[#This Row],[DATA DE VENCIMENTO]],"D"))</f>
        <v>22</v>
      </c>
      <c r="AI170" s="526" t="str">
        <f>IF(LANÇ_MOV[[#This Row],[DATA DE PAGAMENTO]]="","",TEXT(LANÇ_MOV[[#This Row],[DATA DE PAGAMENTO]],"AAAA"))</f>
        <v/>
      </c>
      <c r="AJ170" s="527" t="str">
        <f>IF(LANÇ_MOV[[#This Row],[DATA DE PAGAMENTO]]="","",UPPER(TEXT(LANÇ_MOV[[#This Row],[DATA DE PAGAMENTO]],"MMMM")))</f>
        <v/>
      </c>
      <c r="AK170" s="527" t="str">
        <f>IF(LANÇ_MOV[[#This Row],[DATA DE PAGAMENTO]]="","",TEXT(LANÇ_MOV[[#This Row],[DATA DE PAGAMENTO]],"M"))</f>
        <v/>
      </c>
      <c r="AL170" s="526" t="str">
        <f>IF(LANÇ_MOV[[#This Row],[DATA DE PAGAMENTO]]="","",TEXT(LANÇ_MOV[[#This Row],[DATA DE PAGAMENTO]],"D"))</f>
        <v/>
      </c>
      <c r="AM170" s="27"/>
      <c r="BB170" s="112"/>
      <c r="BC170" s="112"/>
      <c r="BD170" s="112"/>
    </row>
    <row r="171" spans="2:56" ht="30.05" customHeight="1" x14ac:dyDescent="0.35">
      <c r="B171" s="506">
        <v>45931</v>
      </c>
      <c r="C171" s="507" t="s">
        <v>1661</v>
      </c>
      <c r="D171" s="508" t="s">
        <v>1854</v>
      </c>
      <c r="E171" s="509" t="s">
        <v>1144</v>
      </c>
      <c r="F171" s="510" t="s">
        <v>1814</v>
      </c>
      <c r="G171" s="507"/>
      <c r="H171" s="511">
        <v>0</v>
      </c>
      <c r="I171" s="512" t="s">
        <v>1749</v>
      </c>
      <c r="J171" s="510">
        <v>1200</v>
      </c>
      <c r="K171" s="513">
        <v>0</v>
      </c>
      <c r="L171" s="513">
        <v>0</v>
      </c>
      <c r="M171" s="513">
        <v>0</v>
      </c>
      <c r="N171" s="514">
        <f>LANÇ_MOV[[#This Row],[VALOR BRUTO]]-LANÇ_MOV[[#This Row],[DESCONTO]]+LANÇ_MOV[[#This Row],[JUROS]]+LANÇ_MOV[[#This Row],[MULTA]]</f>
        <v>1200</v>
      </c>
      <c r="O171" s="528">
        <v>46225</v>
      </c>
      <c r="P171" s="516" t="str">
        <f t="shared" ca="1" si="2"/>
        <v>Prazo - Mais de 1 mês</v>
      </c>
      <c r="Q171" s="528"/>
      <c r="R171" s="529" t="s">
        <v>1564</v>
      </c>
      <c r="S171" s="531"/>
      <c r="T171" s="518" t="s">
        <v>1776</v>
      </c>
      <c r="U171" s="519" t="s">
        <v>2008</v>
      </c>
      <c r="V171" s="520" t="str">
        <f>IFERROR(VLOOKUP(LANÇ_MOV[[#This Row],[PLANO DE CONTAS]],Plano_Contas[[PLANO DE CONTAS]:[R / D]],3,0),"")</f>
        <v>Despesa</v>
      </c>
      <c r="W171" s="521" t="str">
        <f>IF(LANÇ_MOV[[#This Row],[DATA DE PAGAMENTO]]&lt;&gt;"","Pago","Não Pago")</f>
        <v>Não Pago</v>
      </c>
      <c r="X171" s="522" t="str">
        <f>IFERROR(IF(LANÇ_MOV[[#This Row],[DATA DE PAGAMENTO]]="","",(UPPER(TEXT(LANÇ_MOV[[#This Row],[DATA DE PAGAMENTO]],"mmmm")))),"")</f>
        <v/>
      </c>
      <c r="Y171" s="523" t="str">
        <f>IFERROR(VLOOKUP(LANÇ_MOV[[#This Row],[PLANO DE CONTAS]],Plano_Contas[[PLANO DE CONTAS]:[NOMES INTERVALOS]],2,0),"")</f>
        <v>Despesas_Administrativas</v>
      </c>
      <c r="Z171" s="523" t="str">
        <f>IF(LANÇ_MOV[[#This Row],[FORMA DE PAGAMENTO]]="","",VLOOKUP(LANÇ_MOV[[#This Row],[FORMA DE PAGAMENTO]],CAD_Forma_pagto[],2,0))</f>
        <v>PIX</v>
      </c>
      <c r="AA171" s="524" t="str">
        <f>IF(LANÇ_MOV[[#This Row],[DATA DE LANÇAMENTO]]="","",TEXT(LANÇ_MOV[[#This Row],[DATA DE LANÇAMENTO]],"AAAA"))</f>
        <v>2025</v>
      </c>
      <c r="AB171" s="524" t="str">
        <f>IF(LANÇ_MOV[[#This Row],[DATA DE LANÇAMENTO]]="","",UPPER(TEXT(LANÇ_MOV[[#This Row],[DATA DE LANÇAMENTO]],"MMMM")))</f>
        <v>OUTUBRO</v>
      </c>
      <c r="AC171" s="525" t="str">
        <f>IF(LANÇ_MOV[[#This Row],[DATA DE LANÇAMENTO]]="","",PROPER(TEXT(LANÇ_MOV[[#This Row],[DATA DE LANÇAMENTO]],"M")))</f>
        <v>10</v>
      </c>
      <c r="AD171" s="524" t="str">
        <f>IF(LANÇ_MOV[[#This Row],[DATA DE LANÇAMENTO]]="","",TEXT(LANÇ_MOV[[#This Row],[DATA DE LANÇAMENTO]],"D"))</f>
        <v>1</v>
      </c>
      <c r="AE171" s="526" t="str">
        <f>IF(LANÇ_MOV[[#This Row],[DATA DE VENCIMENTO]]="","",TEXT(LANÇ_MOV[[#This Row],[DATA DE VENCIMENTO]],"AAAA"))</f>
        <v>2026</v>
      </c>
      <c r="AF171" s="526" t="str">
        <f>IF(LANÇ_MOV[[#This Row],[DATA DE VENCIMENTO]]="","",UPPER(TEXT(LANÇ_MOV[[#This Row],[DATA DE VENCIMENTO]],"MMMM")))</f>
        <v>JULHO</v>
      </c>
      <c r="AG171" s="526" t="str">
        <f>IF(LANÇ_MOV[[#This Row],[DATA DE VENCIMENTO]]="","",TEXT(LANÇ_MOV[[#This Row],[DATA DE VENCIMENTO]],"M"))</f>
        <v>7</v>
      </c>
      <c r="AH171" s="526" t="str">
        <f>IF(LANÇ_MOV[[#This Row],[DATA DE VENCIMENTO]]="","",TEXT(LANÇ_MOV[[#This Row],[DATA DE VENCIMENTO]],"D"))</f>
        <v>22</v>
      </c>
      <c r="AI171" s="526" t="str">
        <f>IF(LANÇ_MOV[[#This Row],[DATA DE PAGAMENTO]]="","",TEXT(LANÇ_MOV[[#This Row],[DATA DE PAGAMENTO]],"AAAA"))</f>
        <v/>
      </c>
      <c r="AJ171" s="527" t="str">
        <f>IF(LANÇ_MOV[[#This Row],[DATA DE PAGAMENTO]]="","",UPPER(TEXT(LANÇ_MOV[[#This Row],[DATA DE PAGAMENTO]],"MMMM")))</f>
        <v/>
      </c>
      <c r="AK171" s="527" t="str">
        <f>IF(LANÇ_MOV[[#This Row],[DATA DE PAGAMENTO]]="","",TEXT(LANÇ_MOV[[#This Row],[DATA DE PAGAMENTO]],"M"))</f>
        <v/>
      </c>
      <c r="AL171" s="526" t="str">
        <f>IF(LANÇ_MOV[[#This Row],[DATA DE PAGAMENTO]]="","",TEXT(LANÇ_MOV[[#This Row],[DATA DE PAGAMENTO]],"D"))</f>
        <v/>
      </c>
      <c r="AM171" s="27"/>
      <c r="BB171" s="112"/>
      <c r="BC171" s="112"/>
      <c r="BD171" s="112"/>
    </row>
    <row r="172" spans="2:56" ht="30.05" customHeight="1" x14ac:dyDescent="0.35">
      <c r="B172" s="506">
        <v>45931</v>
      </c>
      <c r="C172" s="507" t="s">
        <v>1661</v>
      </c>
      <c r="D172" s="508" t="s">
        <v>1854</v>
      </c>
      <c r="E172" s="509" t="s">
        <v>1144</v>
      </c>
      <c r="F172" s="510" t="s">
        <v>1814</v>
      </c>
      <c r="G172" s="507"/>
      <c r="H172" s="511">
        <v>0</v>
      </c>
      <c r="I172" s="512" t="s">
        <v>1749</v>
      </c>
      <c r="J172" s="510">
        <v>1200</v>
      </c>
      <c r="K172" s="513">
        <v>0</v>
      </c>
      <c r="L172" s="513">
        <v>0</v>
      </c>
      <c r="M172" s="513">
        <v>0</v>
      </c>
      <c r="N172" s="514">
        <f>LANÇ_MOV[[#This Row],[VALOR BRUTO]]-LANÇ_MOV[[#This Row],[DESCONTO]]+LANÇ_MOV[[#This Row],[JUROS]]+LANÇ_MOV[[#This Row],[MULTA]]</f>
        <v>1200</v>
      </c>
      <c r="O172" s="528">
        <v>46256</v>
      </c>
      <c r="P172" s="516" t="str">
        <f t="shared" ca="1" si="2"/>
        <v>Prazo - Mais de 1 mês</v>
      </c>
      <c r="Q172" s="528"/>
      <c r="R172" s="529" t="s">
        <v>1564</v>
      </c>
      <c r="S172" s="531"/>
      <c r="T172" s="518" t="s">
        <v>1776</v>
      </c>
      <c r="U172" s="519" t="s">
        <v>2008</v>
      </c>
      <c r="V172" s="520" t="str">
        <f>IFERROR(VLOOKUP(LANÇ_MOV[[#This Row],[PLANO DE CONTAS]],Plano_Contas[[PLANO DE CONTAS]:[R / D]],3,0),"")</f>
        <v>Despesa</v>
      </c>
      <c r="W172" s="521" t="str">
        <f>IF(LANÇ_MOV[[#This Row],[DATA DE PAGAMENTO]]&lt;&gt;"","Pago","Não Pago")</f>
        <v>Não Pago</v>
      </c>
      <c r="X172" s="522" t="str">
        <f>IFERROR(IF(LANÇ_MOV[[#This Row],[DATA DE PAGAMENTO]]="","",(UPPER(TEXT(LANÇ_MOV[[#This Row],[DATA DE PAGAMENTO]],"mmmm")))),"")</f>
        <v/>
      </c>
      <c r="Y172" s="523" t="str">
        <f>IFERROR(VLOOKUP(LANÇ_MOV[[#This Row],[PLANO DE CONTAS]],Plano_Contas[[PLANO DE CONTAS]:[NOMES INTERVALOS]],2,0),"")</f>
        <v>Despesas_Administrativas</v>
      </c>
      <c r="Z172" s="523" t="str">
        <f>IF(LANÇ_MOV[[#This Row],[FORMA DE PAGAMENTO]]="","",VLOOKUP(LANÇ_MOV[[#This Row],[FORMA DE PAGAMENTO]],CAD_Forma_pagto[],2,0))</f>
        <v>PIX</v>
      </c>
      <c r="AA172" s="524" t="str">
        <f>IF(LANÇ_MOV[[#This Row],[DATA DE LANÇAMENTO]]="","",TEXT(LANÇ_MOV[[#This Row],[DATA DE LANÇAMENTO]],"AAAA"))</f>
        <v>2025</v>
      </c>
      <c r="AB172" s="524" t="str">
        <f>IF(LANÇ_MOV[[#This Row],[DATA DE LANÇAMENTO]]="","",UPPER(TEXT(LANÇ_MOV[[#This Row],[DATA DE LANÇAMENTO]],"MMMM")))</f>
        <v>OUTUBRO</v>
      </c>
      <c r="AC172" s="525" t="str">
        <f>IF(LANÇ_MOV[[#This Row],[DATA DE LANÇAMENTO]]="","",PROPER(TEXT(LANÇ_MOV[[#This Row],[DATA DE LANÇAMENTO]],"M")))</f>
        <v>10</v>
      </c>
      <c r="AD172" s="524" t="str">
        <f>IF(LANÇ_MOV[[#This Row],[DATA DE LANÇAMENTO]]="","",TEXT(LANÇ_MOV[[#This Row],[DATA DE LANÇAMENTO]],"D"))</f>
        <v>1</v>
      </c>
      <c r="AE172" s="526" t="str">
        <f>IF(LANÇ_MOV[[#This Row],[DATA DE VENCIMENTO]]="","",TEXT(LANÇ_MOV[[#This Row],[DATA DE VENCIMENTO]],"AAAA"))</f>
        <v>2026</v>
      </c>
      <c r="AF172" s="526" t="str">
        <f>IF(LANÇ_MOV[[#This Row],[DATA DE VENCIMENTO]]="","",UPPER(TEXT(LANÇ_MOV[[#This Row],[DATA DE VENCIMENTO]],"MMMM")))</f>
        <v>AGOSTO</v>
      </c>
      <c r="AG172" s="526" t="str">
        <f>IF(LANÇ_MOV[[#This Row],[DATA DE VENCIMENTO]]="","",TEXT(LANÇ_MOV[[#This Row],[DATA DE VENCIMENTO]],"M"))</f>
        <v>8</v>
      </c>
      <c r="AH172" s="526" t="str">
        <f>IF(LANÇ_MOV[[#This Row],[DATA DE VENCIMENTO]]="","",TEXT(LANÇ_MOV[[#This Row],[DATA DE VENCIMENTO]],"D"))</f>
        <v>22</v>
      </c>
      <c r="AI172" s="526" t="str">
        <f>IF(LANÇ_MOV[[#This Row],[DATA DE PAGAMENTO]]="","",TEXT(LANÇ_MOV[[#This Row],[DATA DE PAGAMENTO]],"AAAA"))</f>
        <v/>
      </c>
      <c r="AJ172" s="527" t="str">
        <f>IF(LANÇ_MOV[[#This Row],[DATA DE PAGAMENTO]]="","",UPPER(TEXT(LANÇ_MOV[[#This Row],[DATA DE PAGAMENTO]],"MMMM")))</f>
        <v/>
      </c>
      <c r="AK172" s="527" t="str">
        <f>IF(LANÇ_MOV[[#This Row],[DATA DE PAGAMENTO]]="","",TEXT(LANÇ_MOV[[#This Row],[DATA DE PAGAMENTO]],"M"))</f>
        <v/>
      </c>
      <c r="AL172" s="526" t="str">
        <f>IF(LANÇ_MOV[[#This Row],[DATA DE PAGAMENTO]]="","",TEXT(LANÇ_MOV[[#This Row],[DATA DE PAGAMENTO]],"D"))</f>
        <v/>
      </c>
      <c r="AM172" s="27"/>
      <c r="BB172" s="112"/>
      <c r="BC172" s="112"/>
      <c r="BD172" s="112"/>
    </row>
    <row r="173" spans="2:56" ht="30.05" customHeight="1" x14ac:dyDescent="0.35">
      <c r="B173" s="506">
        <v>45931</v>
      </c>
      <c r="C173" s="507" t="s">
        <v>1661</v>
      </c>
      <c r="D173" s="508" t="s">
        <v>1854</v>
      </c>
      <c r="E173" s="509" t="s">
        <v>1144</v>
      </c>
      <c r="F173" s="510" t="s">
        <v>1814</v>
      </c>
      <c r="G173" s="507"/>
      <c r="H173" s="511">
        <v>0</v>
      </c>
      <c r="I173" s="512" t="s">
        <v>1749</v>
      </c>
      <c r="J173" s="510">
        <v>1200</v>
      </c>
      <c r="K173" s="513">
        <v>0</v>
      </c>
      <c r="L173" s="513">
        <v>0</v>
      </c>
      <c r="M173" s="513">
        <v>0</v>
      </c>
      <c r="N173" s="514">
        <f>LANÇ_MOV[[#This Row],[VALOR BRUTO]]-LANÇ_MOV[[#This Row],[DESCONTO]]+LANÇ_MOV[[#This Row],[JUROS]]+LANÇ_MOV[[#This Row],[MULTA]]</f>
        <v>1200</v>
      </c>
      <c r="O173" s="528">
        <v>46287</v>
      </c>
      <c r="P173" s="516" t="str">
        <f t="shared" ca="1" si="2"/>
        <v>Prazo - Mais de 1 mês</v>
      </c>
      <c r="Q173" s="528"/>
      <c r="R173" s="529" t="s">
        <v>1564</v>
      </c>
      <c r="S173" s="531"/>
      <c r="T173" s="518" t="s">
        <v>1776</v>
      </c>
      <c r="U173" s="519" t="s">
        <v>2008</v>
      </c>
      <c r="V173" s="520" t="str">
        <f>IFERROR(VLOOKUP(LANÇ_MOV[[#This Row],[PLANO DE CONTAS]],Plano_Contas[[PLANO DE CONTAS]:[R / D]],3,0),"")</f>
        <v>Despesa</v>
      </c>
      <c r="W173" s="521" t="str">
        <f>IF(LANÇ_MOV[[#This Row],[DATA DE PAGAMENTO]]&lt;&gt;"","Pago","Não Pago")</f>
        <v>Não Pago</v>
      </c>
      <c r="X173" s="522" t="str">
        <f>IFERROR(IF(LANÇ_MOV[[#This Row],[DATA DE PAGAMENTO]]="","",(UPPER(TEXT(LANÇ_MOV[[#This Row],[DATA DE PAGAMENTO]],"mmmm")))),"")</f>
        <v/>
      </c>
      <c r="Y173" s="523" t="str">
        <f>IFERROR(VLOOKUP(LANÇ_MOV[[#This Row],[PLANO DE CONTAS]],Plano_Contas[[PLANO DE CONTAS]:[NOMES INTERVALOS]],2,0),"")</f>
        <v>Despesas_Administrativas</v>
      </c>
      <c r="Z173" s="523" t="str">
        <f>IF(LANÇ_MOV[[#This Row],[FORMA DE PAGAMENTO]]="","",VLOOKUP(LANÇ_MOV[[#This Row],[FORMA DE PAGAMENTO]],CAD_Forma_pagto[],2,0))</f>
        <v>PIX</v>
      </c>
      <c r="AA173" s="524" t="str">
        <f>IF(LANÇ_MOV[[#This Row],[DATA DE LANÇAMENTO]]="","",TEXT(LANÇ_MOV[[#This Row],[DATA DE LANÇAMENTO]],"AAAA"))</f>
        <v>2025</v>
      </c>
      <c r="AB173" s="524" t="str">
        <f>IF(LANÇ_MOV[[#This Row],[DATA DE LANÇAMENTO]]="","",UPPER(TEXT(LANÇ_MOV[[#This Row],[DATA DE LANÇAMENTO]],"MMMM")))</f>
        <v>OUTUBRO</v>
      </c>
      <c r="AC173" s="525" t="str">
        <f>IF(LANÇ_MOV[[#This Row],[DATA DE LANÇAMENTO]]="","",PROPER(TEXT(LANÇ_MOV[[#This Row],[DATA DE LANÇAMENTO]],"M")))</f>
        <v>10</v>
      </c>
      <c r="AD173" s="524" t="str">
        <f>IF(LANÇ_MOV[[#This Row],[DATA DE LANÇAMENTO]]="","",TEXT(LANÇ_MOV[[#This Row],[DATA DE LANÇAMENTO]],"D"))</f>
        <v>1</v>
      </c>
      <c r="AE173" s="526" t="str">
        <f>IF(LANÇ_MOV[[#This Row],[DATA DE VENCIMENTO]]="","",TEXT(LANÇ_MOV[[#This Row],[DATA DE VENCIMENTO]],"AAAA"))</f>
        <v>2026</v>
      </c>
      <c r="AF173" s="526" t="str">
        <f>IF(LANÇ_MOV[[#This Row],[DATA DE VENCIMENTO]]="","",UPPER(TEXT(LANÇ_MOV[[#This Row],[DATA DE VENCIMENTO]],"MMMM")))</f>
        <v>SETEMBRO</v>
      </c>
      <c r="AG173" s="526" t="str">
        <f>IF(LANÇ_MOV[[#This Row],[DATA DE VENCIMENTO]]="","",TEXT(LANÇ_MOV[[#This Row],[DATA DE VENCIMENTO]],"M"))</f>
        <v>9</v>
      </c>
      <c r="AH173" s="526" t="str">
        <f>IF(LANÇ_MOV[[#This Row],[DATA DE VENCIMENTO]]="","",TEXT(LANÇ_MOV[[#This Row],[DATA DE VENCIMENTO]],"D"))</f>
        <v>22</v>
      </c>
      <c r="AI173" s="526" t="str">
        <f>IF(LANÇ_MOV[[#This Row],[DATA DE PAGAMENTO]]="","",TEXT(LANÇ_MOV[[#This Row],[DATA DE PAGAMENTO]],"AAAA"))</f>
        <v/>
      </c>
      <c r="AJ173" s="527" t="str">
        <f>IF(LANÇ_MOV[[#This Row],[DATA DE PAGAMENTO]]="","",UPPER(TEXT(LANÇ_MOV[[#This Row],[DATA DE PAGAMENTO]],"MMMM")))</f>
        <v/>
      </c>
      <c r="AK173" s="527" t="str">
        <f>IF(LANÇ_MOV[[#This Row],[DATA DE PAGAMENTO]]="","",TEXT(LANÇ_MOV[[#This Row],[DATA DE PAGAMENTO]],"M"))</f>
        <v/>
      </c>
      <c r="AL173" s="526" t="str">
        <f>IF(LANÇ_MOV[[#This Row],[DATA DE PAGAMENTO]]="","",TEXT(LANÇ_MOV[[#This Row],[DATA DE PAGAMENTO]],"D"))</f>
        <v/>
      </c>
      <c r="AM173" s="27"/>
      <c r="BB173" s="112"/>
      <c r="BC173" s="112"/>
      <c r="BD173" s="112"/>
    </row>
    <row r="174" spans="2:56" ht="30.05" customHeight="1" x14ac:dyDescent="0.35">
      <c r="B174" s="506">
        <v>45931</v>
      </c>
      <c r="C174" s="507" t="s">
        <v>1661</v>
      </c>
      <c r="D174" s="508" t="s">
        <v>1854</v>
      </c>
      <c r="E174" s="509" t="s">
        <v>1144</v>
      </c>
      <c r="F174" s="510" t="s">
        <v>1814</v>
      </c>
      <c r="G174" s="507"/>
      <c r="H174" s="511">
        <v>0</v>
      </c>
      <c r="I174" s="512" t="s">
        <v>1749</v>
      </c>
      <c r="J174" s="510">
        <v>1200</v>
      </c>
      <c r="K174" s="513">
        <v>0</v>
      </c>
      <c r="L174" s="513">
        <v>0</v>
      </c>
      <c r="M174" s="513">
        <v>0</v>
      </c>
      <c r="N174" s="514">
        <f>LANÇ_MOV[[#This Row],[VALOR BRUTO]]-LANÇ_MOV[[#This Row],[DESCONTO]]+LANÇ_MOV[[#This Row],[JUROS]]+LANÇ_MOV[[#This Row],[MULTA]]</f>
        <v>1200</v>
      </c>
      <c r="O174" s="528">
        <v>46317</v>
      </c>
      <c r="P174" s="516" t="str">
        <f t="shared" ca="1" si="2"/>
        <v>Prazo - Mais de 1 mês</v>
      </c>
      <c r="Q174" s="528"/>
      <c r="R174" s="529" t="s">
        <v>1564</v>
      </c>
      <c r="S174" s="531"/>
      <c r="T174" s="518" t="s">
        <v>1776</v>
      </c>
      <c r="U174" s="519" t="s">
        <v>2008</v>
      </c>
      <c r="V174" s="520" t="str">
        <f>IFERROR(VLOOKUP(LANÇ_MOV[[#This Row],[PLANO DE CONTAS]],Plano_Contas[[PLANO DE CONTAS]:[R / D]],3,0),"")</f>
        <v>Despesa</v>
      </c>
      <c r="W174" s="521" t="str">
        <f>IF(LANÇ_MOV[[#This Row],[DATA DE PAGAMENTO]]&lt;&gt;"","Pago","Não Pago")</f>
        <v>Não Pago</v>
      </c>
      <c r="X174" s="522" t="str">
        <f>IFERROR(IF(LANÇ_MOV[[#This Row],[DATA DE PAGAMENTO]]="","",(UPPER(TEXT(LANÇ_MOV[[#This Row],[DATA DE PAGAMENTO]],"mmmm")))),"")</f>
        <v/>
      </c>
      <c r="Y174" s="523" t="str">
        <f>IFERROR(VLOOKUP(LANÇ_MOV[[#This Row],[PLANO DE CONTAS]],Plano_Contas[[PLANO DE CONTAS]:[NOMES INTERVALOS]],2,0),"")</f>
        <v>Despesas_Administrativas</v>
      </c>
      <c r="Z174" s="523" t="str">
        <f>IF(LANÇ_MOV[[#This Row],[FORMA DE PAGAMENTO]]="","",VLOOKUP(LANÇ_MOV[[#This Row],[FORMA DE PAGAMENTO]],CAD_Forma_pagto[],2,0))</f>
        <v>PIX</v>
      </c>
      <c r="AA174" s="524" t="str">
        <f>IF(LANÇ_MOV[[#This Row],[DATA DE LANÇAMENTO]]="","",TEXT(LANÇ_MOV[[#This Row],[DATA DE LANÇAMENTO]],"AAAA"))</f>
        <v>2025</v>
      </c>
      <c r="AB174" s="524" t="str">
        <f>IF(LANÇ_MOV[[#This Row],[DATA DE LANÇAMENTO]]="","",UPPER(TEXT(LANÇ_MOV[[#This Row],[DATA DE LANÇAMENTO]],"MMMM")))</f>
        <v>OUTUBRO</v>
      </c>
      <c r="AC174" s="525" t="str">
        <f>IF(LANÇ_MOV[[#This Row],[DATA DE LANÇAMENTO]]="","",PROPER(TEXT(LANÇ_MOV[[#This Row],[DATA DE LANÇAMENTO]],"M")))</f>
        <v>10</v>
      </c>
      <c r="AD174" s="524" t="str">
        <f>IF(LANÇ_MOV[[#This Row],[DATA DE LANÇAMENTO]]="","",TEXT(LANÇ_MOV[[#This Row],[DATA DE LANÇAMENTO]],"D"))</f>
        <v>1</v>
      </c>
      <c r="AE174" s="526" t="str">
        <f>IF(LANÇ_MOV[[#This Row],[DATA DE VENCIMENTO]]="","",TEXT(LANÇ_MOV[[#This Row],[DATA DE VENCIMENTO]],"AAAA"))</f>
        <v>2026</v>
      </c>
      <c r="AF174" s="526" t="str">
        <f>IF(LANÇ_MOV[[#This Row],[DATA DE VENCIMENTO]]="","",UPPER(TEXT(LANÇ_MOV[[#This Row],[DATA DE VENCIMENTO]],"MMMM")))</f>
        <v>OUTUBRO</v>
      </c>
      <c r="AG174" s="526" t="str">
        <f>IF(LANÇ_MOV[[#This Row],[DATA DE VENCIMENTO]]="","",TEXT(LANÇ_MOV[[#This Row],[DATA DE VENCIMENTO]],"M"))</f>
        <v>10</v>
      </c>
      <c r="AH174" s="526" t="str">
        <f>IF(LANÇ_MOV[[#This Row],[DATA DE VENCIMENTO]]="","",TEXT(LANÇ_MOV[[#This Row],[DATA DE VENCIMENTO]],"D"))</f>
        <v>22</v>
      </c>
      <c r="AI174" s="526" t="str">
        <f>IF(LANÇ_MOV[[#This Row],[DATA DE PAGAMENTO]]="","",TEXT(LANÇ_MOV[[#This Row],[DATA DE PAGAMENTO]],"AAAA"))</f>
        <v/>
      </c>
      <c r="AJ174" s="527" t="str">
        <f>IF(LANÇ_MOV[[#This Row],[DATA DE PAGAMENTO]]="","",UPPER(TEXT(LANÇ_MOV[[#This Row],[DATA DE PAGAMENTO]],"MMMM")))</f>
        <v/>
      </c>
      <c r="AK174" s="527" t="str">
        <f>IF(LANÇ_MOV[[#This Row],[DATA DE PAGAMENTO]]="","",TEXT(LANÇ_MOV[[#This Row],[DATA DE PAGAMENTO]],"M"))</f>
        <v/>
      </c>
      <c r="AL174" s="526" t="str">
        <f>IF(LANÇ_MOV[[#This Row],[DATA DE PAGAMENTO]]="","",TEXT(LANÇ_MOV[[#This Row],[DATA DE PAGAMENTO]],"D"))</f>
        <v/>
      </c>
      <c r="AM174" s="27"/>
      <c r="BB174" s="112"/>
      <c r="BC174" s="112"/>
      <c r="BD174" s="112"/>
    </row>
    <row r="175" spans="2:56" ht="30.05" customHeight="1" x14ac:dyDescent="0.35">
      <c r="B175" s="506">
        <v>45931</v>
      </c>
      <c r="C175" s="507" t="s">
        <v>1661</v>
      </c>
      <c r="D175" s="508" t="s">
        <v>1854</v>
      </c>
      <c r="E175" s="509" t="s">
        <v>1144</v>
      </c>
      <c r="F175" s="510" t="s">
        <v>1814</v>
      </c>
      <c r="G175" s="507"/>
      <c r="H175" s="511">
        <v>0</v>
      </c>
      <c r="I175" s="512" t="s">
        <v>1749</v>
      </c>
      <c r="J175" s="510">
        <v>1200</v>
      </c>
      <c r="K175" s="513">
        <v>0</v>
      </c>
      <c r="L175" s="513">
        <v>0</v>
      </c>
      <c r="M175" s="513">
        <v>0</v>
      </c>
      <c r="N175" s="514">
        <f>LANÇ_MOV[[#This Row],[VALOR BRUTO]]-LANÇ_MOV[[#This Row],[DESCONTO]]+LANÇ_MOV[[#This Row],[JUROS]]+LANÇ_MOV[[#This Row],[MULTA]]</f>
        <v>1200</v>
      </c>
      <c r="O175" s="528">
        <v>46348</v>
      </c>
      <c r="P175" s="516" t="str">
        <f t="shared" ca="1" si="2"/>
        <v>Prazo - Mais de 1 mês</v>
      </c>
      <c r="Q175" s="528"/>
      <c r="R175" s="529" t="s">
        <v>1564</v>
      </c>
      <c r="S175" s="518"/>
      <c r="T175" s="518" t="s">
        <v>1776</v>
      </c>
      <c r="U175" s="519" t="s">
        <v>2008</v>
      </c>
      <c r="V175" s="520" t="str">
        <f>IFERROR(VLOOKUP(LANÇ_MOV[[#This Row],[PLANO DE CONTAS]],Plano_Contas[[PLANO DE CONTAS]:[R / D]],3,0),"")</f>
        <v>Despesa</v>
      </c>
      <c r="W175" s="521" t="str">
        <f>IF(LANÇ_MOV[[#This Row],[DATA DE PAGAMENTO]]&lt;&gt;"","Pago","Não Pago")</f>
        <v>Não Pago</v>
      </c>
      <c r="X175" s="522" t="str">
        <f>IFERROR(IF(LANÇ_MOV[[#This Row],[DATA DE PAGAMENTO]]="","",(UPPER(TEXT(LANÇ_MOV[[#This Row],[DATA DE PAGAMENTO]],"mmmm")))),"")</f>
        <v/>
      </c>
      <c r="Y175" s="523" t="str">
        <f>IFERROR(VLOOKUP(LANÇ_MOV[[#This Row],[PLANO DE CONTAS]],Plano_Contas[[PLANO DE CONTAS]:[NOMES INTERVALOS]],2,0),"")</f>
        <v>Despesas_Administrativas</v>
      </c>
      <c r="Z175" s="523" t="str">
        <f>IF(LANÇ_MOV[[#This Row],[FORMA DE PAGAMENTO]]="","",VLOOKUP(LANÇ_MOV[[#This Row],[FORMA DE PAGAMENTO]],CAD_Forma_pagto[],2,0))</f>
        <v>PIX</v>
      </c>
      <c r="AA175" s="524" t="str">
        <f>IF(LANÇ_MOV[[#This Row],[DATA DE LANÇAMENTO]]="","",TEXT(LANÇ_MOV[[#This Row],[DATA DE LANÇAMENTO]],"AAAA"))</f>
        <v>2025</v>
      </c>
      <c r="AB175" s="524" t="str">
        <f>IF(LANÇ_MOV[[#This Row],[DATA DE LANÇAMENTO]]="","",UPPER(TEXT(LANÇ_MOV[[#This Row],[DATA DE LANÇAMENTO]],"MMMM")))</f>
        <v>OUTUBRO</v>
      </c>
      <c r="AC175" s="525" t="str">
        <f>IF(LANÇ_MOV[[#This Row],[DATA DE LANÇAMENTO]]="","",PROPER(TEXT(LANÇ_MOV[[#This Row],[DATA DE LANÇAMENTO]],"M")))</f>
        <v>10</v>
      </c>
      <c r="AD175" s="524" t="str">
        <f>IF(LANÇ_MOV[[#This Row],[DATA DE LANÇAMENTO]]="","",TEXT(LANÇ_MOV[[#This Row],[DATA DE LANÇAMENTO]],"D"))</f>
        <v>1</v>
      </c>
      <c r="AE175" s="526" t="str">
        <f>IF(LANÇ_MOV[[#This Row],[DATA DE VENCIMENTO]]="","",TEXT(LANÇ_MOV[[#This Row],[DATA DE VENCIMENTO]],"AAAA"))</f>
        <v>2026</v>
      </c>
      <c r="AF175" s="526" t="str">
        <f>IF(LANÇ_MOV[[#This Row],[DATA DE VENCIMENTO]]="","",UPPER(TEXT(LANÇ_MOV[[#This Row],[DATA DE VENCIMENTO]],"MMMM")))</f>
        <v>NOVEMBRO</v>
      </c>
      <c r="AG175" s="526" t="str">
        <f>IF(LANÇ_MOV[[#This Row],[DATA DE VENCIMENTO]]="","",TEXT(LANÇ_MOV[[#This Row],[DATA DE VENCIMENTO]],"M"))</f>
        <v>11</v>
      </c>
      <c r="AH175" s="526" t="str">
        <f>IF(LANÇ_MOV[[#This Row],[DATA DE VENCIMENTO]]="","",TEXT(LANÇ_MOV[[#This Row],[DATA DE VENCIMENTO]],"D"))</f>
        <v>22</v>
      </c>
      <c r="AI175" s="526" t="str">
        <f>IF(LANÇ_MOV[[#This Row],[DATA DE PAGAMENTO]]="","",TEXT(LANÇ_MOV[[#This Row],[DATA DE PAGAMENTO]],"AAAA"))</f>
        <v/>
      </c>
      <c r="AJ175" s="527" t="str">
        <f>IF(LANÇ_MOV[[#This Row],[DATA DE PAGAMENTO]]="","",UPPER(TEXT(LANÇ_MOV[[#This Row],[DATA DE PAGAMENTO]],"MMMM")))</f>
        <v/>
      </c>
      <c r="AK175" s="527" t="str">
        <f>IF(LANÇ_MOV[[#This Row],[DATA DE PAGAMENTO]]="","",TEXT(LANÇ_MOV[[#This Row],[DATA DE PAGAMENTO]],"M"))</f>
        <v/>
      </c>
      <c r="AL175" s="526" t="str">
        <f>IF(LANÇ_MOV[[#This Row],[DATA DE PAGAMENTO]]="","",TEXT(LANÇ_MOV[[#This Row],[DATA DE PAGAMENTO]],"D"))</f>
        <v/>
      </c>
      <c r="AM175" s="27"/>
      <c r="BB175" s="112"/>
      <c r="BC175" s="112"/>
      <c r="BD175" s="112"/>
    </row>
    <row r="176" spans="2:56" ht="30.05" customHeight="1" x14ac:dyDescent="0.35">
      <c r="B176" s="506">
        <v>45931</v>
      </c>
      <c r="C176" s="507" t="s">
        <v>1661</v>
      </c>
      <c r="D176" s="508" t="s">
        <v>1854</v>
      </c>
      <c r="E176" s="509" t="s">
        <v>1144</v>
      </c>
      <c r="F176" s="510" t="s">
        <v>1814</v>
      </c>
      <c r="G176" s="507"/>
      <c r="H176" s="511">
        <v>0</v>
      </c>
      <c r="I176" s="512" t="s">
        <v>1749</v>
      </c>
      <c r="J176" s="510">
        <v>1200</v>
      </c>
      <c r="K176" s="513">
        <v>0</v>
      </c>
      <c r="L176" s="513">
        <v>0</v>
      </c>
      <c r="M176" s="513">
        <v>0</v>
      </c>
      <c r="N176" s="514">
        <f>LANÇ_MOV[[#This Row],[VALOR BRUTO]]-LANÇ_MOV[[#This Row],[DESCONTO]]+LANÇ_MOV[[#This Row],[JUROS]]+LANÇ_MOV[[#This Row],[MULTA]]</f>
        <v>1200</v>
      </c>
      <c r="O176" s="528">
        <v>46378</v>
      </c>
      <c r="P176" s="516" t="str">
        <f t="shared" ca="1" si="2"/>
        <v>Prazo - Mais de 1 mês</v>
      </c>
      <c r="Q176" s="528"/>
      <c r="R176" s="529" t="s">
        <v>1564</v>
      </c>
      <c r="S176" s="531"/>
      <c r="T176" s="518" t="s">
        <v>1776</v>
      </c>
      <c r="U176" s="519" t="s">
        <v>2008</v>
      </c>
      <c r="V176" s="520" t="str">
        <f>IFERROR(VLOOKUP(LANÇ_MOV[[#This Row],[PLANO DE CONTAS]],Plano_Contas[[PLANO DE CONTAS]:[R / D]],3,0),"")</f>
        <v>Despesa</v>
      </c>
      <c r="W176" s="521" t="str">
        <f>IF(LANÇ_MOV[[#This Row],[DATA DE PAGAMENTO]]&lt;&gt;"","Pago","Não Pago")</f>
        <v>Não Pago</v>
      </c>
      <c r="X176" s="522" t="str">
        <f>IFERROR(IF(LANÇ_MOV[[#This Row],[DATA DE PAGAMENTO]]="","",(UPPER(TEXT(LANÇ_MOV[[#This Row],[DATA DE PAGAMENTO]],"mmmm")))),"")</f>
        <v/>
      </c>
      <c r="Y176" s="523" t="str">
        <f>IFERROR(VLOOKUP(LANÇ_MOV[[#This Row],[PLANO DE CONTAS]],Plano_Contas[[PLANO DE CONTAS]:[NOMES INTERVALOS]],2,0),"")</f>
        <v>Despesas_Administrativas</v>
      </c>
      <c r="Z176" s="523" t="str">
        <f>IF(LANÇ_MOV[[#This Row],[FORMA DE PAGAMENTO]]="","",VLOOKUP(LANÇ_MOV[[#This Row],[FORMA DE PAGAMENTO]],CAD_Forma_pagto[],2,0))</f>
        <v>PIX</v>
      </c>
      <c r="AA176" s="524" t="str">
        <f>IF(LANÇ_MOV[[#This Row],[DATA DE LANÇAMENTO]]="","",TEXT(LANÇ_MOV[[#This Row],[DATA DE LANÇAMENTO]],"AAAA"))</f>
        <v>2025</v>
      </c>
      <c r="AB176" s="524" t="str">
        <f>IF(LANÇ_MOV[[#This Row],[DATA DE LANÇAMENTO]]="","",UPPER(TEXT(LANÇ_MOV[[#This Row],[DATA DE LANÇAMENTO]],"MMMM")))</f>
        <v>OUTUBRO</v>
      </c>
      <c r="AC176" s="525" t="str">
        <f>IF(LANÇ_MOV[[#This Row],[DATA DE LANÇAMENTO]]="","",PROPER(TEXT(LANÇ_MOV[[#This Row],[DATA DE LANÇAMENTO]],"M")))</f>
        <v>10</v>
      </c>
      <c r="AD176" s="524" t="str">
        <f>IF(LANÇ_MOV[[#This Row],[DATA DE LANÇAMENTO]]="","",TEXT(LANÇ_MOV[[#This Row],[DATA DE LANÇAMENTO]],"D"))</f>
        <v>1</v>
      </c>
      <c r="AE176" s="526" t="str">
        <f>IF(LANÇ_MOV[[#This Row],[DATA DE VENCIMENTO]]="","",TEXT(LANÇ_MOV[[#This Row],[DATA DE VENCIMENTO]],"AAAA"))</f>
        <v>2026</v>
      </c>
      <c r="AF176" s="526" t="str">
        <f>IF(LANÇ_MOV[[#This Row],[DATA DE VENCIMENTO]]="","",UPPER(TEXT(LANÇ_MOV[[#This Row],[DATA DE VENCIMENTO]],"MMMM")))</f>
        <v>DEZEMBRO</v>
      </c>
      <c r="AG176" s="526" t="str">
        <f>IF(LANÇ_MOV[[#This Row],[DATA DE VENCIMENTO]]="","",TEXT(LANÇ_MOV[[#This Row],[DATA DE VENCIMENTO]],"M"))</f>
        <v>12</v>
      </c>
      <c r="AH176" s="526" t="str">
        <f>IF(LANÇ_MOV[[#This Row],[DATA DE VENCIMENTO]]="","",TEXT(LANÇ_MOV[[#This Row],[DATA DE VENCIMENTO]],"D"))</f>
        <v>22</v>
      </c>
      <c r="AI176" s="526" t="str">
        <f>IF(LANÇ_MOV[[#This Row],[DATA DE PAGAMENTO]]="","",TEXT(LANÇ_MOV[[#This Row],[DATA DE PAGAMENTO]],"AAAA"))</f>
        <v/>
      </c>
      <c r="AJ176" s="527" t="str">
        <f>IF(LANÇ_MOV[[#This Row],[DATA DE PAGAMENTO]]="","",UPPER(TEXT(LANÇ_MOV[[#This Row],[DATA DE PAGAMENTO]],"MMMM")))</f>
        <v/>
      </c>
      <c r="AK176" s="527" t="str">
        <f>IF(LANÇ_MOV[[#This Row],[DATA DE PAGAMENTO]]="","",TEXT(LANÇ_MOV[[#This Row],[DATA DE PAGAMENTO]],"M"))</f>
        <v/>
      </c>
      <c r="AL176" s="526" t="str">
        <f>IF(LANÇ_MOV[[#This Row],[DATA DE PAGAMENTO]]="","",TEXT(LANÇ_MOV[[#This Row],[DATA DE PAGAMENTO]],"D"))</f>
        <v/>
      </c>
      <c r="AM176" s="27"/>
      <c r="BB176" s="112"/>
      <c r="BC176" s="112"/>
      <c r="BD176" s="112"/>
    </row>
    <row r="177" spans="2:56" ht="30.05" customHeight="1" x14ac:dyDescent="0.35">
      <c r="B177" s="506">
        <v>45931</v>
      </c>
      <c r="C177" s="507" t="s">
        <v>1661</v>
      </c>
      <c r="D177" s="508" t="s">
        <v>1854</v>
      </c>
      <c r="E177" s="509" t="s">
        <v>228</v>
      </c>
      <c r="F177" s="510" t="s">
        <v>1818</v>
      </c>
      <c r="G177" s="507" t="s">
        <v>1860</v>
      </c>
      <c r="H177" s="511">
        <v>0</v>
      </c>
      <c r="I177" s="512" t="s">
        <v>1747</v>
      </c>
      <c r="J177" s="510">
        <v>875</v>
      </c>
      <c r="K177" s="513">
        <v>0</v>
      </c>
      <c r="L177" s="513">
        <v>0</v>
      </c>
      <c r="M177" s="513">
        <v>0</v>
      </c>
      <c r="N177" s="514">
        <f>LANÇ_MOV[[#This Row],[VALOR BRUTO]]-LANÇ_MOV[[#This Row],[DESCONTO]]+LANÇ_MOV[[#This Row],[JUROS]]+LANÇ_MOV[[#This Row],[MULTA]]</f>
        <v>875</v>
      </c>
      <c r="O177" s="528">
        <v>45952</v>
      </c>
      <c r="P177" s="516" t="str">
        <f t="shared" ca="1" si="2"/>
        <v>Pago</v>
      </c>
      <c r="Q177" s="528">
        <v>45952</v>
      </c>
      <c r="R177" s="529" t="s">
        <v>1564</v>
      </c>
      <c r="S177" s="518"/>
      <c r="T177" s="518" t="s">
        <v>1776</v>
      </c>
      <c r="U177" s="519" t="s">
        <v>2008</v>
      </c>
      <c r="V177" s="520" t="str">
        <f>IFERROR(VLOOKUP(LANÇ_MOV[[#This Row],[PLANO DE CONTAS]],Plano_Contas[[PLANO DE CONTAS]:[R / D]],3,0),"")</f>
        <v>Despesa</v>
      </c>
      <c r="W177" s="521" t="str">
        <f>IF(LANÇ_MOV[[#This Row],[DATA DE PAGAMENTO]]&lt;&gt;"","Pago","Não Pago")</f>
        <v>Pago</v>
      </c>
      <c r="X177" s="522" t="str">
        <f>IFERROR(IF(LANÇ_MOV[[#This Row],[DATA DE PAGAMENTO]]="","",(UPPER(TEXT(LANÇ_MOV[[#This Row],[DATA DE PAGAMENTO]],"mmmm")))),"")</f>
        <v>OUTUBRO</v>
      </c>
      <c r="Y177" s="523" t="str">
        <f>IFERROR(VLOOKUP(LANÇ_MOV[[#This Row],[PLANO DE CONTAS]],Plano_Contas[[PLANO DE CONTAS]:[NOMES INTERVALOS]],2,0),"")</f>
        <v>Despesas_Com_RH</v>
      </c>
      <c r="Z177" s="523" t="str">
        <f>IF(LANÇ_MOV[[#This Row],[FORMA DE PAGAMENTO]]="","",VLOOKUP(LANÇ_MOV[[#This Row],[FORMA DE PAGAMENTO]],CAD_Forma_pagto[],2,0))</f>
        <v>PIX</v>
      </c>
      <c r="AA177" s="524" t="str">
        <f>IF(LANÇ_MOV[[#This Row],[DATA DE LANÇAMENTO]]="","",TEXT(LANÇ_MOV[[#This Row],[DATA DE LANÇAMENTO]],"AAAA"))</f>
        <v>2025</v>
      </c>
      <c r="AB177" s="524" t="str">
        <f>IF(LANÇ_MOV[[#This Row],[DATA DE LANÇAMENTO]]="","",UPPER(TEXT(LANÇ_MOV[[#This Row],[DATA DE LANÇAMENTO]],"MMMM")))</f>
        <v>OUTUBRO</v>
      </c>
      <c r="AC177" s="525" t="str">
        <f>IF(LANÇ_MOV[[#This Row],[DATA DE LANÇAMENTO]]="","",PROPER(TEXT(LANÇ_MOV[[#This Row],[DATA DE LANÇAMENTO]],"M")))</f>
        <v>10</v>
      </c>
      <c r="AD177" s="524" t="str">
        <f>IF(LANÇ_MOV[[#This Row],[DATA DE LANÇAMENTO]]="","",TEXT(LANÇ_MOV[[#This Row],[DATA DE LANÇAMENTO]],"D"))</f>
        <v>1</v>
      </c>
      <c r="AE177" s="526" t="str">
        <f>IF(LANÇ_MOV[[#This Row],[DATA DE VENCIMENTO]]="","",TEXT(LANÇ_MOV[[#This Row],[DATA DE VENCIMENTO]],"AAAA"))</f>
        <v>2025</v>
      </c>
      <c r="AF177" s="526" t="str">
        <f>IF(LANÇ_MOV[[#This Row],[DATA DE VENCIMENTO]]="","",UPPER(TEXT(LANÇ_MOV[[#This Row],[DATA DE VENCIMENTO]],"MMMM")))</f>
        <v>OUTUBRO</v>
      </c>
      <c r="AG177" s="526" t="str">
        <f>IF(LANÇ_MOV[[#This Row],[DATA DE VENCIMENTO]]="","",TEXT(LANÇ_MOV[[#This Row],[DATA DE VENCIMENTO]],"M"))</f>
        <v>10</v>
      </c>
      <c r="AH177" s="526" t="str">
        <f>IF(LANÇ_MOV[[#This Row],[DATA DE VENCIMENTO]]="","",TEXT(LANÇ_MOV[[#This Row],[DATA DE VENCIMENTO]],"D"))</f>
        <v>22</v>
      </c>
      <c r="AI177" s="526" t="str">
        <f>IF(LANÇ_MOV[[#This Row],[DATA DE PAGAMENTO]]="","",TEXT(LANÇ_MOV[[#This Row],[DATA DE PAGAMENTO]],"AAAA"))</f>
        <v>2025</v>
      </c>
      <c r="AJ177" s="527" t="str">
        <f>IF(LANÇ_MOV[[#This Row],[DATA DE PAGAMENTO]]="","",UPPER(TEXT(LANÇ_MOV[[#This Row],[DATA DE PAGAMENTO]],"MMMM")))</f>
        <v>OUTUBRO</v>
      </c>
      <c r="AK177" s="527" t="str">
        <f>IF(LANÇ_MOV[[#This Row],[DATA DE PAGAMENTO]]="","",TEXT(LANÇ_MOV[[#This Row],[DATA DE PAGAMENTO]],"M"))</f>
        <v>10</v>
      </c>
      <c r="AL177" s="526" t="str">
        <f>IF(LANÇ_MOV[[#This Row],[DATA DE PAGAMENTO]]="","",TEXT(LANÇ_MOV[[#This Row],[DATA DE PAGAMENTO]],"D"))</f>
        <v>22</v>
      </c>
      <c r="AM177" s="27"/>
      <c r="BB177" s="112"/>
      <c r="BC177" s="112"/>
      <c r="BD177" s="112"/>
    </row>
    <row r="178" spans="2:56" ht="30.05" customHeight="1" x14ac:dyDescent="0.35">
      <c r="B178" s="506">
        <v>45931</v>
      </c>
      <c r="C178" s="507" t="s">
        <v>1661</v>
      </c>
      <c r="D178" s="508" t="s">
        <v>1854</v>
      </c>
      <c r="E178" s="509" t="s">
        <v>228</v>
      </c>
      <c r="F178" s="510" t="s">
        <v>1818</v>
      </c>
      <c r="G178" s="507" t="s">
        <v>1861</v>
      </c>
      <c r="H178" s="511">
        <v>0</v>
      </c>
      <c r="I178" s="512" t="s">
        <v>1747</v>
      </c>
      <c r="J178" s="510">
        <v>875</v>
      </c>
      <c r="K178" s="513">
        <v>0</v>
      </c>
      <c r="L178" s="513">
        <v>0</v>
      </c>
      <c r="M178" s="513">
        <v>0</v>
      </c>
      <c r="N178" s="514">
        <f>LANÇ_MOV[[#This Row],[VALOR BRUTO]]-LANÇ_MOV[[#This Row],[DESCONTO]]+LANÇ_MOV[[#This Row],[JUROS]]+LANÇ_MOV[[#This Row],[MULTA]]</f>
        <v>875</v>
      </c>
      <c r="O178" s="528">
        <v>45983</v>
      </c>
      <c r="P178" s="516" t="str">
        <f t="shared" ca="1" si="2"/>
        <v>Venceu</v>
      </c>
      <c r="Q178" s="528"/>
      <c r="R178" s="529" t="s">
        <v>1564</v>
      </c>
      <c r="S178" s="531"/>
      <c r="T178" s="518" t="s">
        <v>1776</v>
      </c>
      <c r="U178" s="519" t="s">
        <v>2008</v>
      </c>
      <c r="V178" s="520" t="str">
        <f>IFERROR(VLOOKUP(LANÇ_MOV[[#This Row],[PLANO DE CONTAS]],Plano_Contas[[PLANO DE CONTAS]:[R / D]],3,0),"")</f>
        <v>Despesa</v>
      </c>
      <c r="W178" s="521" t="str">
        <f>IF(LANÇ_MOV[[#This Row],[DATA DE PAGAMENTO]]&lt;&gt;"","Pago","Não Pago")</f>
        <v>Não Pago</v>
      </c>
      <c r="X178" s="522" t="str">
        <f>IFERROR(IF(LANÇ_MOV[[#This Row],[DATA DE PAGAMENTO]]="","",(UPPER(TEXT(LANÇ_MOV[[#This Row],[DATA DE PAGAMENTO]],"mmmm")))),"")</f>
        <v/>
      </c>
      <c r="Y178" s="523" t="str">
        <f>IFERROR(VLOOKUP(LANÇ_MOV[[#This Row],[PLANO DE CONTAS]],Plano_Contas[[PLANO DE CONTAS]:[NOMES INTERVALOS]],2,0),"")</f>
        <v>Despesas_Com_RH</v>
      </c>
      <c r="Z178" s="523" t="str">
        <f>IF(LANÇ_MOV[[#This Row],[FORMA DE PAGAMENTO]]="","",VLOOKUP(LANÇ_MOV[[#This Row],[FORMA DE PAGAMENTO]],CAD_Forma_pagto[],2,0))</f>
        <v>PIX</v>
      </c>
      <c r="AA178" s="524" t="str">
        <f>IF(LANÇ_MOV[[#This Row],[DATA DE LANÇAMENTO]]="","",TEXT(LANÇ_MOV[[#This Row],[DATA DE LANÇAMENTO]],"AAAA"))</f>
        <v>2025</v>
      </c>
      <c r="AB178" s="524" t="str">
        <f>IF(LANÇ_MOV[[#This Row],[DATA DE LANÇAMENTO]]="","",UPPER(TEXT(LANÇ_MOV[[#This Row],[DATA DE LANÇAMENTO]],"MMMM")))</f>
        <v>OUTUBRO</v>
      </c>
      <c r="AC178" s="525" t="str">
        <f>IF(LANÇ_MOV[[#This Row],[DATA DE LANÇAMENTO]]="","",PROPER(TEXT(LANÇ_MOV[[#This Row],[DATA DE LANÇAMENTO]],"M")))</f>
        <v>10</v>
      </c>
      <c r="AD178" s="524" t="str">
        <f>IF(LANÇ_MOV[[#This Row],[DATA DE LANÇAMENTO]]="","",TEXT(LANÇ_MOV[[#This Row],[DATA DE LANÇAMENTO]],"D"))</f>
        <v>1</v>
      </c>
      <c r="AE178" s="526" t="str">
        <f>IF(LANÇ_MOV[[#This Row],[DATA DE VENCIMENTO]]="","",TEXT(LANÇ_MOV[[#This Row],[DATA DE VENCIMENTO]],"AAAA"))</f>
        <v>2025</v>
      </c>
      <c r="AF178" s="526" t="str">
        <f>IF(LANÇ_MOV[[#This Row],[DATA DE VENCIMENTO]]="","",UPPER(TEXT(LANÇ_MOV[[#This Row],[DATA DE VENCIMENTO]],"MMMM")))</f>
        <v>NOVEMBRO</v>
      </c>
      <c r="AG178" s="526" t="str">
        <f>IF(LANÇ_MOV[[#This Row],[DATA DE VENCIMENTO]]="","",TEXT(LANÇ_MOV[[#This Row],[DATA DE VENCIMENTO]],"M"))</f>
        <v>11</v>
      </c>
      <c r="AH178" s="526" t="str">
        <f>IF(LANÇ_MOV[[#This Row],[DATA DE VENCIMENTO]]="","",TEXT(LANÇ_MOV[[#This Row],[DATA DE VENCIMENTO]],"D"))</f>
        <v>22</v>
      </c>
      <c r="AI178" s="526" t="str">
        <f>IF(LANÇ_MOV[[#This Row],[DATA DE PAGAMENTO]]="","",TEXT(LANÇ_MOV[[#This Row],[DATA DE PAGAMENTO]],"AAAA"))</f>
        <v/>
      </c>
      <c r="AJ178" s="527" t="str">
        <f>IF(LANÇ_MOV[[#This Row],[DATA DE PAGAMENTO]]="","",UPPER(TEXT(LANÇ_MOV[[#This Row],[DATA DE PAGAMENTO]],"MMMM")))</f>
        <v/>
      </c>
      <c r="AK178" s="527" t="str">
        <f>IF(LANÇ_MOV[[#This Row],[DATA DE PAGAMENTO]]="","",TEXT(LANÇ_MOV[[#This Row],[DATA DE PAGAMENTO]],"M"))</f>
        <v/>
      </c>
      <c r="AL178" s="526" t="str">
        <f>IF(LANÇ_MOV[[#This Row],[DATA DE PAGAMENTO]]="","",TEXT(LANÇ_MOV[[#This Row],[DATA DE PAGAMENTO]],"D"))</f>
        <v/>
      </c>
      <c r="AM178" s="27"/>
      <c r="BB178" s="112"/>
      <c r="BC178" s="112"/>
      <c r="BD178" s="112"/>
    </row>
    <row r="179" spans="2:56" ht="30.05" customHeight="1" x14ac:dyDescent="0.35">
      <c r="B179" s="506">
        <v>45931</v>
      </c>
      <c r="C179" s="507" t="s">
        <v>1661</v>
      </c>
      <c r="D179" s="508" t="s">
        <v>1854</v>
      </c>
      <c r="E179" s="509" t="s">
        <v>228</v>
      </c>
      <c r="F179" s="510" t="s">
        <v>1818</v>
      </c>
      <c r="G179" s="507" t="s">
        <v>1862</v>
      </c>
      <c r="H179" s="511">
        <v>0</v>
      </c>
      <c r="I179" s="512" t="s">
        <v>1747</v>
      </c>
      <c r="J179" s="510">
        <v>875</v>
      </c>
      <c r="K179" s="513">
        <v>0</v>
      </c>
      <c r="L179" s="513">
        <v>0</v>
      </c>
      <c r="M179" s="513">
        <v>0</v>
      </c>
      <c r="N179" s="514">
        <f>LANÇ_MOV[[#This Row],[VALOR BRUTO]]-LANÇ_MOV[[#This Row],[DESCONTO]]+LANÇ_MOV[[#This Row],[JUROS]]+LANÇ_MOV[[#This Row],[MULTA]]</f>
        <v>875</v>
      </c>
      <c r="O179" s="528">
        <v>46013</v>
      </c>
      <c r="P179" s="516" t="str">
        <f t="shared" ca="1" si="2"/>
        <v>Prazo - Menos de 1 Mês</v>
      </c>
      <c r="Q179" s="528"/>
      <c r="R179" s="529" t="s">
        <v>1564</v>
      </c>
      <c r="S179" s="531"/>
      <c r="T179" s="518" t="s">
        <v>1776</v>
      </c>
      <c r="U179" s="519" t="s">
        <v>2008</v>
      </c>
      <c r="V179" s="520" t="str">
        <f>IFERROR(VLOOKUP(LANÇ_MOV[[#This Row],[PLANO DE CONTAS]],Plano_Contas[[PLANO DE CONTAS]:[R / D]],3,0),"")</f>
        <v>Despesa</v>
      </c>
      <c r="W179" s="521" t="str">
        <f>IF(LANÇ_MOV[[#This Row],[DATA DE PAGAMENTO]]&lt;&gt;"","Pago","Não Pago")</f>
        <v>Não Pago</v>
      </c>
      <c r="X179" s="522" t="str">
        <f>IFERROR(IF(LANÇ_MOV[[#This Row],[DATA DE PAGAMENTO]]="","",(UPPER(TEXT(LANÇ_MOV[[#This Row],[DATA DE PAGAMENTO]],"mmmm")))),"")</f>
        <v/>
      </c>
      <c r="Y179" s="523" t="str">
        <f>IFERROR(VLOOKUP(LANÇ_MOV[[#This Row],[PLANO DE CONTAS]],Plano_Contas[[PLANO DE CONTAS]:[NOMES INTERVALOS]],2,0),"")</f>
        <v>Despesas_Com_RH</v>
      </c>
      <c r="Z179" s="523" t="str">
        <f>IF(LANÇ_MOV[[#This Row],[FORMA DE PAGAMENTO]]="","",VLOOKUP(LANÇ_MOV[[#This Row],[FORMA DE PAGAMENTO]],CAD_Forma_pagto[],2,0))</f>
        <v>PIX</v>
      </c>
      <c r="AA179" s="524" t="str">
        <f>IF(LANÇ_MOV[[#This Row],[DATA DE LANÇAMENTO]]="","",TEXT(LANÇ_MOV[[#This Row],[DATA DE LANÇAMENTO]],"AAAA"))</f>
        <v>2025</v>
      </c>
      <c r="AB179" s="524" t="str">
        <f>IF(LANÇ_MOV[[#This Row],[DATA DE LANÇAMENTO]]="","",UPPER(TEXT(LANÇ_MOV[[#This Row],[DATA DE LANÇAMENTO]],"MMMM")))</f>
        <v>OUTUBRO</v>
      </c>
      <c r="AC179" s="525" t="str">
        <f>IF(LANÇ_MOV[[#This Row],[DATA DE LANÇAMENTO]]="","",PROPER(TEXT(LANÇ_MOV[[#This Row],[DATA DE LANÇAMENTO]],"M")))</f>
        <v>10</v>
      </c>
      <c r="AD179" s="524" t="str">
        <f>IF(LANÇ_MOV[[#This Row],[DATA DE LANÇAMENTO]]="","",TEXT(LANÇ_MOV[[#This Row],[DATA DE LANÇAMENTO]],"D"))</f>
        <v>1</v>
      </c>
      <c r="AE179" s="526" t="str">
        <f>IF(LANÇ_MOV[[#This Row],[DATA DE VENCIMENTO]]="","",TEXT(LANÇ_MOV[[#This Row],[DATA DE VENCIMENTO]],"AAAA"))</f>
        <v>2025</v>
      </c>
      <c r="AF179" s="526" t="str">
        <f>IF(LANÇ_MOV[[#This Row],[DATA DE VENCIMENTO]]="","",UPPER(TEXT(LANÇ_MOV[[#This Row],[DATA DE VENCIMENTO]],"MMMM")))</f>
        <v>DEZEMBRO</v>
      </c>
      <c r="AG179" s="526" t="str">
        <f>IF(LANÇ_MOV[[#This Row],[DATA DE VENCIMENTO]]="","",TEXT(LANÇ_MOV[[#This Row],[DATA DE VENCIMENTO]],"M"))</f>
        <v>12</v>
      </c>
      <c r="AH179" s="526" t="str">
        <f>IF(LANÇ_MOV[[#This Row],[DATA DE VENCIMENTO]]="","",TEXT(LANÇ_MOV[[#This Row],[DATA DE VENCIMENTO]],"D"))</f>
        <v>22</v>
      </c>
      <c r="AI179" s="526" t="str">
        <f>IF(LANÇ_MOV[[#This Row],[DATA DE PAGAMENTO]]="","",TEXT(LANÇ_MOV[[#This Row],[DATA DE PAGAMENTO]],"AAAA"))</f>
        <v/>
      </c>
      <c r="AJ179" s="527" t="str">
        <f>IF(LANÇ_MOV[[#This Row],[DATA DE PAGAMENTO]]="","",UPPER(TEXT(LANÇ_MOV[[#This Row],[DATA DE PAGAMENTO]],"MMMM")))</f>
        <v/>
      </c>
      <c r="AK179" s="527" t="str">
        <f>IF(LANÇ_MOV[[#This Row],[DATA DE PAGAMENTO]]="","",TEXT(LANÇ_MOV[[#This Row],[DATA DE PAGAMENTO]],"M"))</f>
        <v/>
      </c>
      <c r="AL179" s="526" t="str">
        <f>IF(LANÇ_MOV[[#This Row],[DATA DE PAGAMENTO]]="","",TEXT(LANÇ_MOV[[#This Row],[DATA DE PAGAMENTO]],"D"))</f>
        <v/>
      </c>
      <c r="AM179" s="27"/>
      <c r="BB179" s="112"/>
      <c r="BC179" s="112"/>
      <c r="BD179" s="112"/>
    </row>
    <row r="180" spans="2:56" ht="30.05" customHeight="1" x14ac:dyDescent="0.35">
      <c r="B180" s="506">
        <v>45931</v>
      </c>
      <c r="C180" s="507" t="s">
        <v>1661</v>
      </c>
      <c r="D180" s="508" t="s">
        <v>1854</v>
      </c>
      <c r="E180" s="509" t="s">
        <v>228</v>
      </c>
      <c r="F180" s="510" t="s">
        <v>1818</v>
      </c>
      <c r="G180" s="507" t="s">
        <v>1863</v>
      </c>
      <c r="H180" s="511">
        <v>0</v>
      </c>
      <c r="I180" s="512" t="s">
        <v>1747</v>
      </c>
      <c r="J180" s="510">
        <v>875</v>
      </c>
      <c r="K180" s="513">
        <v>0</v>
      </c>
      <c r="L180" s="513">
        <v>0</v>
      </c>
      <c r="M180" s="513">
        <v>0</v>
      </c>
      <c r="N180" s="514">
        <f>LANÇ_MOV[[#This Row],[VALOR BRUTO]]-LANÇ_MOV[[#This Row],[DESCONTO]]+LANÇ_MOV[[#This Row],[JUROS]]+LANÇ_MOV[[#This Row],[MULTA]]</f>
        <v>875</v>
      </c>
      <c r="O180" s="528">
        <v>46044</v>
      </c>
      <c r="P180" s="516" t="str">
        <f t="shared" ca="1" si="2"/>
        <v>Prazo - Mais de 1 mês</v>
      </c>
      <c r="Q180" s="528"/>
      <c r="R180" s="529" t="s">
        <v>1564</v>
      </c>
      <c r="S180" s="531"/>
      <c r="T180" s="518" t="s">
        <v>1776</v>
      </c>
      <c r="U180" s="519" t="s">
        <v>2008</v>
      </c>
      <c r="V180" s="520" t="str">
        <f>IFERROR(VLOOKUP(LANÇ_MOV[[#This Row],[PLANO DE CONTAS]],Plano_Contas[[PLANO DE CONTAS]:[R / D]],3,0),"")</f>
        <v>Despesa</v>
      </c>
      <c r="W180" s="521" t="str">
        <f>IF(LANÇ_MOV[[#This Row],[DATA DE PAGAMENTO]]&lt;&gt;"","Pago","Não Pago")</f>
        <v>Não Pago</v>
      </c>
      <c r="X180" s="522" t="str">
        <f>IFERROR(IF(LANÇ_MOV[[#This Row],[DATA DE PAGAMENTO]]="","",(UPPER(TEXT(LANÇ_MOV[[#This Row],[DATA DE PAGAMENTO]],"mmmm")))),"")</f>
        <v/>
      </c>
      <c r="Y180" s="523" t="str">
        <f>IFERROR(VLOOKUP(LANÇ_MOV[[#This Row],[PLANO DE CONTAS]],Plano_Contas[[PLANO DE CONTAS]:[NOMES INTERVALOS]],2,0),"")</f>
        <v>Despesas_Com_RH</v>
      </c>
      <c r="Z180" s="523" t="str">
        <f>IF(LANÇ_MOV[[#This Row],[FORMA DE PAGAMENTO]]="","",VLOOKUP(LANÇ_MOV[[#This Row],[FORMA DE PAGAMENTO]],CAD_Forma_pagto[],2,0))</f>
        <v>PIX</v>
      </c>
      <c r="AA180" s="524" t="str">
        <f>IF(LANÇ_MOV[[#This Row],[DATA DE LANÇAMENTO]]="","",TEXT(LANÇ_MOV[[#This Row],[DATA DE LANÇAMENTO]],"AAAA"))</f>
        <v>2025</v>
      </c>
      <c r="AB180" s="524" t="str">
        <f>IF(LANÇ_MOV[[#This Row],[DATA DE LANÇAMENTO]]="","",UPPER(TEXT(LANÇ_MOV[[#This Row],[DATA DE LANÇAMENTO]],"MMMM")))</f>
        <v>OUTUBRO</v>
      </c>
      <c r="AC180" s="525" t="str">
        <f>IF(LANÇ_MOV[[#This Row],[DATA DE LANÇAMENTO]]="","",PROPER(TEXT(LANÇ_MOV[[#This Row],[DATA DE LANÇAMENTO]],"M")))</f>
        <v>10</v>
      </c>
      <c r="AD180" s="524" t="str">
        <f>IF(LANÇ_MOV[[#This Row],[DATA DE LANÇAMENTO]]="","",TEXT(LANÇ_MOV[[#This Row],[DATA DE LANÇAMENTO]],"D"))</f>
        <v>1</v>
      </c>
      <c r="AE180" s="526" t="str">
        <f>IF(LANÇ_MOV[[#This Row],[DATA DE VENCIMENTO]]="","",TEXT(LANÇ_MOV[[#This Row],[DATA DE VENCIMENTO]],"AAAA"))</f>
        <v>2026</v>
      </c>
      <c r="AF180" s="526" t="str">
        <f>IF(LANÇ_MOV[[#This Row],[DATA DE VENCIMENTO]]="","",UPPER(TEXT(LANÇ_MOV[[#This Row],[DATA DE VENCIMENTO]],"MMMM")))</f>
        <v>JANEIRO</v>
      </c>
      <c r="AG180" s="526" t="str">
        <f>IF(LANÇ_MOV[[#This Row],[DATA DE VENCIMENTO]]="","",TEXT(LANÇ_MOV[[#This Row],[DATA DE VENCIMENTO]],"M"))</f>
        <v>1</v>
      </c>
      <c r="AH180" s="526" t="str">
        <f>IF(LANÇ_MOV[[#This Row],[DATA DE VENCIMENTO]]="","",TEXT(LANÇ_MOV[[#This Row],[DATA DE VENCIMENTO]],"D"))</f>
        <v>22</v>
      </c>
      <c r="AI180" s="526" t="str">
        <f>IF(LANÇ_MOV[[#This Row],[DATA DE PAGAMENTO]]="","",TEXT(LANÇ_MOV[[#This Row],[DATA DE PAGAMENTO]],"AAAA"))</f>
        <v/>
      </c>
      <c r="AJ180" s="527" t="str">
        <f>IF(LANÇ_MOV[[#This Row],[DATA DE PAGAMENTO]]="","",UPPER(TEXT(LANÇ_MOV[[#This Row],[DATA DE PAGAMENTO]],"MMMM")))</f>
        <v/>
      </c>
      <c r="AK180" s="527" t="str">
        <f>IF(LANÇ_MOV[[#This Row],[DATA DE PAGAMENTO]]="","",TEXT(LANÇ_MOV[[#This Row],[DATA DE PAGAMENTO]],"M"))</f>
        <v/>
      </c>
      <c r="AL180" s="526" t="str">
        <f>IF(LANÇ_MOV[[#This Row],[DATA DE PAGAMENTO]]="","",TEXT(LANÇ_MOV[[#This Row],[DATA DE PAGAMENTO]],"D"))</f>
        <v/>
      </c>
      <c r="AM180" s="27"/>
      <c r="BB180" s="112"/>
      <c r="BC180" s="112"/>
      <c r="BD180" s="112"/>
    </row>
    <row r="181" spans="2:56" ht="30.05" customHeight="1" x14ac:dyDescent="0.35">
      <c r="B181" s="506">
        <v>45931</v>
      </c>
      <c r="C181" s="507" t="s">
        <v>1661</v>
      </c>
      <c r="D181" s="508" t="s">
        <v>1854</v>
      </c>
      <c r="E181" s="509" t="s">
        <v>228</v>
      </c>
      <c r="F181" s="510" t="s">
        <v>1818</v>
      </c>
      <c r="G181" s="507" t="s">
        <v>1864</v>
      </c>
      <c r="H181" s="511">
        <v>0</v>
      </c>
      <c r="I181" s="512" t="s">
        <v>1747</v>
      </c>
      <c r="J181" s="510">
        <v>875</v>
      </c>
      <c r="K181" s="513">
        <v>0</v>
      </c>
      <c r="L181" s="513">
        <v>0</v>
      </c>
      <c r="M181" s="513">
        <v>0</v>
      </c>
      <c r="N181" s="514">
        <f>LANÇ_MOV[[#This Row],[VALOR BRUTO]]-LANÇ_MOV[[#This Row],[DESCONTO]]+LANÇ_MOV[[#This Row],[JUROS]]+LANÇ_MOV[[#This Row],[MULTA]]</f>
        <v>875</v>
      </c>
      <c r="O181" s="528">
        <v>46075</v>
      </c>
      <c r="P181" s="516" t="str">
        <f t="shared" ca="1" si="2"/>
        <v>Prazo - Mais de 1 mês</v>
      </c>
      <c r="Q181" s="528"/>
      <c r="R181" s="529" t="s">
        <v>1564</v>
      </c>
      <c r="S181" s="518"/>
      <c r="T181" s="518" t="s">
        <v>1776</v>
      </c>
      <c r="U181" s="519" t="s">
        <v>2008</v>
      </c>
      <c r="V181" s="520" t="str">
        <f>IFERROR(VLOOKUP(LANÇ_MOV[[#This Row],[PLANO DE CONTAS]],Plano_Contas[[PLANO DE CONTAS]:[R / D]],3,0),"")</f>
        <v>Despesa</v>
      </c>
      <c r="W181" s="521" t="str">
        <f>IF(LANÇ_MOV[[#This Row],[DATA DE PAGAMENTO]]&lt;&gt;"","Pago","Não Pago")</f>
        <v>Não Pago</v>
      </c>
      <c r="X181" s="522" t="str">
        <f>IFERROR(IF(LANÇ_MOV[[#This Row],[DATA DE PAGAMENTO]]="","",(UPPER(TEXT(LANÇ_MOV[[#This Row],[DATA DE PAGAMENTO]],"mmmm")))),"")</f>
        <v/>
      </c>
      <c r="Y181" s="523" t="str">
        <f>IFERROR(VLOOKUP(LANÇ_MOV[[#This Row],[PLANO DE CONTAS]],Plano_Contas[[PLANO DE CONTAS]:[NOMES INTERVALOS]],2,0),"")</f>
        <v>Despesas_Com_RH</v>
      </c>
      <c r="Z181" s="523" t="str">
        <f>IF(LANÇ_MOV[[#This Row],[FORMA DE PAGAMENTO]]="","",VLOOKUP(LANÇ_MOV[[#This Row],[FORMA DE PAGAMENTO]],CAD_Forma_pagto[],2,0))</f>
        <v>PIX</v>
      </c>
      <c r="AA181" s="524" t="str">
        <f>IF(LANÇ_MOV[[#This Row],[DATA DE LANÇAMENTO]]="","",TEXT(LANÇ_MOV[[#This Row],[DATA DE LANÇAMENTO]],"AAAA"))</f>
        <v>2025</v>
      </c>
      <c r="AB181" s="524" t="str">
        <f>IF(LANÇ_MOV[[#This Row],[DATA DE LANÇAMENTO]]="","",UPPER(TEXT(LANÇ_MOV[[#This Row],[DATA DE LANÇAMENTO]],"MMMM")))</f>
        <v>OUTUBRO</v>
      </c>
      <c r="AC181" s="525" t="str">
        <f>IF(LANÇ_MOV[[#This Row],[DATA DE LANÇAMENTO]]="","",PROPER(TEXT(LANÇ_MOV[[#This Row],[DATA DE LANÇAMENTO]],"M")))</f>
        <v>10</v>
      </c>
      <c r="AD181" s="524" t="str">
        <f>IF(LANÇ_MOV[[#This Row],[DATA DE LANÇAMENTO]]="","",TEXT(LANÇ_MOV[[#This Row],[DATA DE LANÇAMENTO]],"D"))</f>
        <v>1</v>
      </c>
      <c r="AE181" s="526" t="str">
        <f>IF(LANÇ_MOV[[#This Row],[DATA DE VENCIMENTO]]="","",TEXT(LANÇ_MOV[[#This Row],[DATA DE VENCIMENTO]],"AAAA"))</f>
        <v>2026</v>
      </c>
      <c r="AF181" s="526" t="str">
        <f>IF(LANÇ_MOV[[#This Row],[DATA DE VENCIMENTO]]="","",UPPER(TEXT(LANÇ_MOV[[#This Row],[DATA DE VENCIMENTO]],"MMMM")))</f>
        <v>FEVEREIRO</v>
      </c>
      <c r="AG181" s="526" t="str">
        <f>IF(LANÇ_MOV[[#This Row],[DATA DE VENCIMENTO]]="","",TEXT(LANÇ_MOV[[#This Row],[DATA DE VENCIMENTO]],"M"))</f>
        <v>2</v>
      </c>
      <c r="AH181" s="526" t="str">
        <f>IF(LANÇ_MOV[[#This Row],[DATA DE VENCIMENTO]]="","",TEXT(LANÇ_MOV[[#This Row],[DATA DE VENCIMENTO]],"D"))</f>
        <v>22</v>
      </c>
      <c r="AI181" s="526" t="str">
        <f>IF(LANÇ_MOV[[#This Row],[DATA DE PAGAMENTO]]="","",TEXT(LANÇ_MOV[[#This Row],[DATA DE PAGAMENTO]],"AAAA"))</f>
        <v/>
      </c>
      <c r="AJ181" s="527" t="str">
        <f>IF(LANÇ_MOV[[#This Row],[DATA DE PAGAMENTO]]="","",UPPER(TEXT(LANÇ_MOV[[#This Row],[DATA DE PAGAMENTO]],"MMMM")))</f>
        <v/>
      </c>
      <c r="AK181" s="527" t="str">
        <f>IF(LANÇ_MOV[[#This Row],[DATA DE PAGAMENTO]]="","",TEXT(LANÇ_MOV[[#This Row],[DATA DE PAGAMENTO]],"M"))</f>
        <v/>
      </c>
      <c r="AL181" s="526" t="str">
        <f>IF(LANÇ_MOV[[#This Row],[DATA DE PAGAMENTO]]="","",TEXT(LANÇ_MOV[[#This Row],[DATA DE PAGAMENTO]],"D"))</f>
        <v/>
      </c>
      <c r="AM181" s="27"/>
      <c r="BB181" s="112"/>
      <c r="BC181" s="112"/>
      <c r="BD181" s="112"/>
    </row>
    <row r="182" spans="2:56" ht="30.05" customHeight="1" x14ac:dyDescent="0.35">
      <c r="B182" s="506">
        <v>45931</v>
      </c>
      <c r="C182" s="507" t="s">
        <v>1661</v>
      </c>
      <c r="D182" s="508" t="s">
        <v>1854</v>
      </c>
      <c r="E182" s="509" t="s">
        <v>228</v>
      </c>
      <c r="F182" s="510" t="s">
        <v>1818</v>
      </c>
      <c r="G182" s="507" t="s">
        <v>1865</v>
      </c>
      <c r="H182" s="511">
        <v>0</v>
      </c>
      <c r="I182" s="512" t="s">
        <v>1752</v>
      </c>
      <c r="J182" s="510">
        <v>2000</v>
      </c>
      <c r="K182" s="513">
        <v>0</v>
      </c>
      <c r="L182" s="513">
        <v>0</v>
      </c>
      <c r="M182" s="513">
        <v>0</v>
      </c>
      <c r="N182" s="514">
        <f>LANÇ_MOV[[#This Row],[VALOR BRUTO]]-LANÇ_MOV[[#This Row],[DESCONTO]]+LANÇ_MOV[[#This Row],[JUROS]]+LANÇ_MOV[[#This Row],[MULTA]]</f>
        <v>2000</v>
      </c>
      <c r="O182" s="528">
        <v>45943</v>
      </c>
      <c r="P182" s="516" t="str">
        <f t="shared" ca="1" si="2"/>
        <v>Pago</v>
      </c>
      <c r="Q182" s="528">
        <v>45939</v>
      </c>
      <c r="R182" s="529" t="s">
        <v>1564</v>
      </c>
      <c r="S182" s="531"/>
      <c r="T182" s="518" t="s">
        <v>1776</v>
      </c>
      <c r="U182" s="519" t="s">
        <v>2008</v>
      </c>
      <c r="V182" s="520" t="str">
        <f>IFERROR(VLOOKUP(LANÇ_MOV[[#This Row],[PLANO DE CONTAS]],Plano_Contas[[PLANO DE CONTAS]:[R / D]],3,0),"")</f>
        <v>Despesa</v>
      </c>
      <c r="W182" s="521" t="str">
        <f>IF(LANÇ_MOV[[#This Row],[DATA DE PAGAMENTO]]&lt;&gt;"","Pago","Não Pago")</f>
        <v>Pago</v>
      </c>
      <c r="X182" s="522" t="str">
        <f>IFERROR(IF(LANÇ_MOV[[#This Row],[DATA DE PAGAMENTO]]="","",(UPPER(TEXT(LANÇ_MOV[[#This Row],[DATA DE PAGAMENTO]],"mmmm")))),"")</f>
        <v>OUTUBRO</v>
      </c>
      <c r="Y182" s="523" t="str">
        <f>IFERROR(VLOOKUP(LANÇ_MOV[[#This Row],[PLANO DE CONTAS]],Plano_Contas[[PLANO DE CONTAS]:[NOMES INTERVALOS]],2,0),"")</f>
        <v>Despesas_Com_RH</v>
      </c>
      <c r="Z182" s="523" t="str">
        <f>IF(LANÇ_MOV[[#This Row],[FORMA DE PAGAMENTO]]="","",VLOOKUP(LANÇ_MOV[[#This Row],[FORMA DE PAGAMENTO]],CAD_Forma_pagto[],2,0))</f>
        <v>PIX</v>
      </c>
      <c r="AA182" s="524" t="str">
        <f>IF(LANÇ_MOV[[#This Row],[DATA DE LANÇAMENTO]]="","",TEXT(LANÇ_MOV[[#This Row],[DATA DE LANÇAMENTO]],"AAAA"))</f>
        <v>2025</v>
      </c>
      <c r="AB182" s="524" t="str">
        <f>IF(LANÇ_MOV[[#This Row],[DATA DE LANÇAMENTO]]="","",UPPER(TEXT(LANÇ_MOV[[#This Row],[DATA DE LANÇAMENTO]],"MMMM")))</f>
        <v>OUTUBRO</v>
      </c>
      <c r="AC182" s="525" t="str">
        <f>IF(LANÇ_MOV[[#This Row],[DATA DE LANÇAMENTO]]="","",PROPER(TEXT(LANÇ_MOV[[#This Row],[DATA DE LANÇAMENTO]],"M")))</f>
        <v>10</v>
      </c>
      <c r="AD182" s="524" t="str">
        <f>IF(LANÇ_MOV[[#This Row],[DATA DE LANÇAMENTO]]="","",TEXT(LANÇ_MOV[[#This Row],[DATA DE LANÇAMENTO]],"D"))</f>
        <v>1</v>
      </c>
      <c r="AE182" s="526" t="str">
        <f>IF(LANÇ_MOV[[#This Row],[DATA DE VENCIMENTO]]="","",TEXT(LANÇ_MOV[[#This Row],[DATA DE VENCIMENTO]],"AAAA"))</f>
        <v>2025</v>
      </c>
      <c r="AF182" s="526" t="str">
        <f>IF(LANÇ_MOV[[#This Row],[DATA DE VENCIMENTO]]="","",UPPER(TEXT(LANÇ_MOV[[#This Row],[DATA DE VENCIMENTO]],"MMMM")))</f>
        <v>OUTUBRO</v>
      </c>
      <c r="AG182" s="526" t="str">
        <f>IF(LANÇ_MOV[[#This Row],[DATA DE VENCIMENTO]]="","",TEXT(LANÇ_MOV[[#This Row],[DATA DE VENCIMENTO]],"M"))</f>
        <v>10</v>
      </c>
      <c r="AH182" s="526" t="str">
        <f>IF(LANÇ_MOV[[#This Row],[DATA DE VENCIMENTO]]="","",TEXT(LANÇ_MOV[[#This Row],[DATA DE VENCIMENTO]],"D"))</f>
        <v>13</v>
      </c>
      <c r="AI182" s="526" t="str">
        <f>IF(LANÇ_MOV[[#This Row],[DATA DE PAGAMENTO]]="","",TEXT(LANÇ_MOV[[#This Row],[DATA DE PAGAMENTO]],"AAAA"))</f>
        <v>2025</v>
      </c>
      <c r="AJ182" s="527" t="str">
        <f>IF(LANÇ_MOV[[#This Row],[DATA DE PAGAMENTO]]="","",UPPER(TEXT(LANÇ_MOV[[#This Row],[DATA DE PAGAMENTO]],"MMMM")))</f>
        <v>OUTUBRO</v>
      </c>
      <c r="AK182" s="527" t="str">
        <f>IF(LANÇ_MOV[[#This Row],[DATA DE PAGAMENTO]]="","",TEXT(LANÇ_MOV[[#This Row],[DATA DE PAGAMENTO]],"M"))</f>
        <v>10</v>
      </c>
      <c r="AL182" s="526" t="str">
        <f>IF(LANÇ_MOV[[#This Row],[DATA DE PAGAMENTO]]="","",TEXT(LANÇ_MOV[[#This Row],[DATA DE PAGAMENTO]],"D"))</f>
        <v>9</v>
      </c>
      <c r="AM182" s="27"/>
      <c r="BB182" s="112"/>
      <c r="BC182" s="112"/>
      <c r="BD182" s="112"/>
    </row>
    <row r="183" spans="2:56" ht="30.05" customHeight="1" x14ac:dyDescent="0.35">
      <c r="B183" s="506">
        <v>45931</v>
      </c>
      <c r="C183" s="507" t="s">
        <v>1661</v>
      </c>
      <c r="D183" s="508" t="s">
        <v>1854</v>
      </c>
      <c r="E183" s="509" t="s">
        <v>228</v>
      </c>
      <c r="F183" s="510" t="s">
        <v>1818</v>
      </c>
      <c r="G183" s="507" t="s">
        <v>1866</v>
      </c>
      <c r="H183" s="511">
        <v>0</v>
      </c>
      <c r="I183" s="512" t="s">
        <v>1752</v>
      </c>
      <c r="J183" s="510">
        <v>2000</v>
      </c>
      <c r="K183" s="513">
        <v>0</v>
      </c>
      <c r="L183" s="513">
        <v>0</v>
      </c>
      <c r="M183" s="513">
        <v>0</v>
      </c>
      <c r="N183" s="514">
        <f>LANÇ_MOV[[#This Row],[VALOR BRUTO]]-LANÇ_MOV[[#This Row],[DESCONTO]]+LANÇ_MOV[[#This Row],[JUROS]]+LANÇ_MOV[[#This Row],[MULTA]]</f>
        <v>2000</v>
      </c>
      <c r="O183" s="528">
        <v>45974</v>
      </c>
      <c r="P183" s="516" t="str">
        <f t="shared" ca="1" si="2"/>
        <v>Pago</v>
      </c>
      <c r="Q183" s="528">
        <v>45952</v>
      </c>
      <c r="R183" s="529" t="s">
        <v>1564</v>
      </c>
      <c r="S183" s="531"/>
      <c r="T183" s="518" t="s">
        <v>1776</v>
      </c>
      <c r="U183" s="519" t="s">
        <v>2008</v>
      </c>
      <c r="V183" s="520" t="str">
        <f>IFERROR(VLOOKUP(LANÇ_MOV[[#This Row],[PLANO DE CONTAS]],Plano_Contas[[PLANO DE CONTAS]:[R / D]],3,0),"")</f>
        <v>Despesa</v>
      </c>
      <c r="W183" s="521" t="str">
        <f>IF(LANÇ_MOV[[#This Row],[DATA DE PAGAMENTO]]&lt;&gt;"","Pago","Não Pago")</f>
        <v>Pago</v>
      </c>
      <c r="X183" s="522" t="str">
        <f>IFERROR(IF(LANÇ_MOV[[#This Row],[DATA DE PAGAMENTO]]="","",(UPPER(TEXT(LANÇ_MOV[[#This Row],[DATA DE PAGAMENTO]],"mmmm")))),"")</f>
        <v>OUTUBRO</v>
      </c>
      <c r="Y183" s="523" t="str">
        <f>IFERROR(VLOOKUP(LANÇ_MOV[[#This Row],[PLANO DE CONTAS]],Plano_Contas[[PLANO DE CONTAS]:[NOMES INTERVALOS]],2,0),"")</f>
        <v>Despesas_Com_RH</v>
      </c>
      <c r="Z183" s="523" t="str">
        <f>IF(LANÇ_MOV[[#This Row],[FORMA DE PAGAMENTO]]="","",VLOOKUP(LANÇ_MOV[[#This Row],[FORMA DE PAGAMENTO]],CAD_Forma_pagto[],2,0))</f>
        <v>PIX</v>
      </c>
      <c r="AA183" s="524" t="str">
        <f>IF(LANÇ_MOV[[#This Row],[DATA DE LANÇAMENTO]]="","",TEXT(LANÇ_MOV[[#This Row],[DATA DE LANÇAMENTO]],"AAAA"))</f>
        <v>2025</v>
      </c>
      <c r="AB183" s="524" t="str">
        <f>IF(LANÇ_MOV[[#This Row],[DATA DE LANÇAMENTO]]="","",UPPER(TEXT(LANÇ_MOV[[#This Row],[DATA DE LANÇAMENTO]],"MMMM")))</f>
        <v>OUTUBRO</v>
      </c>
      <c r="AC183" s="525" t="str">
        <f>IF(LANÇ_MOV[[#This Row],[DATA DE LANÇAMENTO]]="","",PROPER(TEXT(LANÇ_MOV[[#This Row],[DATA DE LANÇAMENTO]],"M")))</f>
        <v>10</v>
      </c>
      <c r="AD183" s="524" t="str">
        <f>IF(LANÇ_MOV[[#This Row],[DATA DE LANÇAMENTO]]="","",TEXT(LANÇ_MOV[[#This Row],[DATA DE LANÇAMENTO]],"D"))</f>
        <v>1</v>
      </c>
      <c r="AE183" s="526" t="str">
        <f>IF(LANÇ_MOV[[#This Row],[DATA DE VENCIMENTO]]="","",TEXT(LANÇ_MOV[[#This Row],[DATA DE VENCIMENTO]],"AAAA"))</f>
        <v>2025</v>
      </c>
      <c r="AF183" s="526" t="str">
        <f>IF(LANÇ_MOV[[#This Row],[DATA DE VENCIMENTO]]="","",UPPER(TEXT(LANÇ_MOV[[#This Row],[DATA DE VENCIMENTO]],"MMMM")))</f>
        <v>NOVEMBRO</v>
      </c>
      <c r="AG183" s="526" t="str">
        <f>IF(LANÇ_MOV[[#This Row],[DATA DE VENCIMENTO]]="","",TEXT(LANÇ_MOV[[#This Row],[DATA DE VENCIMENTO]],"M"))</f>
        <v>11</v>
      </c>
      <c r="AH183" s="526" t="str">
        <f>IF(LANÇ_MOV[[#This Row],[DATA DE VENCIMENTO]]="","",TEXT(LANÇ_MOV[[#This Row],[DATA DE VENCIMENTO]],"D"))</f>
        <v>13</v>
      </c>
      <c r="AI183" s="526" t="str">
        <f>IF(LANÇ_MOV[[#This Row],[DATA DE PAGAMENTO]]="","",TEXT(LANÇ_MOV[[#This Row],[DATA DE PAGAMENTO]],"AAAA"))</f>
        <v>2025</v>
      </c>
      <c r="AJ183" s="527" t="str">
        <f>IF(LANÇ_MOV[[#This Row],[DATA DE PAGAMENTO]]="","",UPPER(TEXT(LANÇ_MOV[[#This Row],[DATA DE PAGAMENTO]],"MMMM")))</f>
        <v>OUTUBRO</v>
      </c>
      <c r="AK183" s="527" t="str">
        <f>IF(LANÇ_MOV[[#This Row],[DATA DE PAGAMENTO]]="","",TEXT(LANÇ_MOV[[#This Row],[DATA DE PAGAMENTO]],"M"))</f>
        <v>10</v>
      </c>
      <c r="AL183" s="526" t="str">
        <f>IF(LANÇ_MOV[[#This Row],[DATA DE PAGAMENTO]]="","",TEXT(LANÇ_MOV[[#This Row],[DATA DE PAGAMENTO]],"D"))</f>
        <v>22</v>
      </c>
      <c r="AM183" s="27"/>
      <c r="BB183" s="112"/>
      <c r="BC183" s="112"/>
      <c r="BD183" s="112"/>
    </row>
    <row r="184" spans="2:56" ht="30.05" customHeight="1" x14ac:dyDescent="0.35">
      <c r="B184" s="506">
        <v>45931</v>
      </c>
      <c r="C184" s="507" t="s">
        <v>1661</v>
      </c>
      <c r="D184" s="508" t="s">
        <v>1854</v>
      </c>
      <c r="E184" s="509" t="s">
        <v>228</v>
      </c>
      <c r="F184" s="510" t="s">
        <v>1818</v>
      </c>
      <c r="G184" s="507" t="s">
        <v>1867</v>
      </c>
      <c r="H184" s="511">
        <v>0</v>
      </c>
      <c r="I184" s="512" t="s">
        <v>1752</v>
      </c>
      <c r="J184" s="510">
        <v>2000</v>
      </c>
      <c r="K184" s="513">
        <v>0</v>
      </c>
      <c r="L184" s="513">
        <v>0</v>
      </c>
      <c r="M184" s="513">
        <v>0</v>
      </c>
      <c r="N184" s="514">
        <f>LANÇ_MOV[[#This Row],[VALOR BRUTO]]-LANÇ_MOV[[#This Row],[DESCONTO]]+LANÇ_MOV[[#This Row],[JUROS]]+LANÇ_MOV[[#This Row],[MULTA]]</f>
        <v>2000</v>
      </c>
      <c r="O184" s="528">
        <v>46004</v>
      </c>
      <c r="P184" s="516" t="str">
        <f t="shared" ca="1" si="2"/>
        <v>Prazo - Menos de 1 Mês</v>
      </c>
      <c r="Q184" s="528"/>
      <c r="R184" s="529" t="s">
        <v>1564</v>
      </c>
      <c r="S184" s="531"/>
      <c r="T184" s="518" t="s">
        <v>1776</v>
      </c>
      <c r="U184" s="519" t="s">
        <v>2008</v>
      </c>
      <c r="V184" s="520" t="str">
        <f>IFERROR(VLOOKUP(LANÇ_MOV[[#This Row],[PLANO DE CONTAS]],Plano_Contas[[PLANO DE CONTAS]:[R / D]],3,0),"")</f>
        <v>Despesa</v>
      </c>
      <c r="W184" s="521" t="str">
        <f>IF(LANÇ_MOV[[#This Row],[DATA DE PAGAMENTO]]&lt;&gt;"","Pago","Não Pago")</f>
        <v>Não Pago</v>
      </c>
      <c r="X184" s="522" t="str">
        <f>IFERROR(IF(LANÇ_MOV[[#This Row],[DATA DE PAGAMENTO]]="","",(UPPER(TEXT(LANÇ_MOV[[#This Row],[DATA DE PAGAMENTO]],"mmmm")))),"")</f>
        <v/>
      </c>
      <c r="Y184" s="523" t="str">
        <f>IFERROR(VLOOKUP(LANÇ_MOV[[#This Row],[PLANO DE CONTAS]],Plano_Contas[[PLANO DE CONTAS]:[NOMES INTERVALOS]],2,0),"")</f>
        <v>Despesas_Com_RH</v>
      </c>
      <c r="Z184" s="523" t="str">
        <f>IF(LANÇ_MOV[[#This Row],[FORMA DE PAGAMENTO]]="","",VLOOKUP(LANÇ_MOV[[#This Row],[FORMA DE PAGAMENTO]],CAD_Forma_pagto[],2,0))</f>
        <v>PIX</v>
      </c>
      <c r="AA184" s="524" t="str">
        <f>IF(LANÇ_MOV[[#This Row],[DATA DE LANÇAMENTO]]="","",TEXT(LANÇ_MOV[[#This Row],[DATA DE LANÇAMENTO]],"AAAA"))</f>
        <v>2025</v>
      </c>
      <c r="AB184" s="524" t="str">
        <f>IF(LANÇ_MOV[[#This Row],[DATA DE LANÇAMENTO]]="","",UPPER(TEXT(LANÇ_MOV[[#This Row],[DATA DE LANÇAMENTO]],"MMMM")))</f>
        <v>OUTUBRO</v>
      </c>
      <c r="AC184" s="525" t="str">
        <f>IF(LANÇ_MOV[[#This Row],[DATA DE LANÇAMENTO]]="","",PROPER(TEXT(LANÇ_MOV[[#This Row],[DATA DE LANÇAMENTO]],"M")))</f>
        <v>10</v>
      </c>
      <c r="AD184" s="524" t="str">
        <f>IF(LANÇ_MOV[[#This Row],[DATA DE LANÇAMENTO]]="","",TEXT(LANÇ_MOV[[#This Row],[DATA DE LANÇAMENTO]],"D"))</f>
        <v>1</v>
      </c>
      <c r="AE184" s="526" t="str">
        <f>IF(LANÇ_MOV[[#This Row],[DATA DE VENCIMENTO]]="","",TEXT(LANÇ_MOV[[#This Row],[DATA DE VENCIMENTO]],"AAAA"))</f>
        <v>2025</v>
      </c>
      <c r="AF184" s="526" t="str">
        <f>IF(LANÇ_MOV[[#This Row],[DATA DE VENCIMENTO]]="","",UPPER(TEXT(LANÇ_MOV[[#This Row],[DATA DE VENCIMENTO]],"MMMM")))</f>
        <v>DEZEMBRO</v>
      </c>
      <c r="AG184" s="526" t="str">
        <f>IF(LANÇ_MOV[[#This Row],[DATA DE VENCIMENTO]]="","",TEXT(LANÇ_MOV[[#This Row],[DATA DE VENCIMENTO]],"M"))</f>
        <v>12</v>
      </c>
      <c r="AH184" s="526" t="str">
        <f>IF(LANÇ_MOV[[#This Row],[DATA DE VENCIMENTO]]="","",TEXT(LANÇ_MOV[[#This Row],[DATA DE VENCIMENTO]],"D"))</f>
        <v>13</v>
      </c>
      <c r="AI184" s="526" t="str">
        <f>IF(LANÇ_MOV[[#This Row],[DATA DE PAGAMENTO]]="","",TEXT(LANÇ_MOV[[#This Row],[DATA DE PAGAMENTO]],"AAAA"))</f>
        <v/>
      </c>
      <c r="AJ184" s="527" t="str">
        <f>IF(LANÇ_MOV[[#This Row],[DATA DE PAGAMENTO]]="","",UPPER(TEXT(LANÇ_MOV[[#This Row],[DATA DE PAGAMENTO]],"MMMM")))</f>
        <v/>
      </c>
      <c r="AK184" s="527" t="str">
        <f>IF(LANÇ_MOV[[#This Row],[DATA DE PAGAMENTO]]="","",TEXT(LANÇ_MOV[[#This Row],[DATA DE PAGAMENTO]],"M"))</f>
        <v/>
      </c>
      <c r="AL184" s="526" t="str">
        <f>IF(LANÇ_MOV[[#This Row],[DATA DE PAGAMENTO]]="","",TEXT(LANÇ_MOV[[#This Row],[DATA DE PAGAMENTO]],"D"))</f>
        <v/>
      </c>
      <c r="AM184" s="27"/>
      <c r="BB184" s="112"/>
      <c r="BC184" s="112"/>
      <c r="BD184" s="112"/>
    </row>
    <row r="185" spans="2:56" ht="30.05" customHeight="1" x14ac:dyDescent="0.35">
      <c r="B185" s="506">
        <v>45931</v>
      </c>
      <c r="C185" s="507" t="s">
        <v>1661</v>
      </c>
      <c r="D185" s="508" t="s">
        <v>1854</v>
      </c>
      <c r="E185" s="509" t="s">
        <v>228</v>
      </c>
      <c r="F185" s="510" t="s">
        <v>1818</v>
      </c>
      <c r="G185" s="507" t="s">
        <v>1868</v>
      </c>
      <c r="H185" s="511">
        <v>0</v>
      </c>
      <c r="I185" s="512" t="s">
        <v>1752</v>
      </c>
      <c r="J185" s="510">
        <v>2000</v>
      </c>
      <c r="K185" s="513">
        <v>0</v>
      </c>
      <c r="L185" s="513">
        <v>0</v>
      </c>
      <c r="M185" s="513">
        <v>0</v>
      </c>
      <c r="N185" s="514">
        <f>LANÇ_MOV[[#This Row],[VALOR BRUTO]]-LANÇ_MOV[[#This Row],[DESCONTO]]+LANÇ_MOV[[#This Row],[JUROS]]+LANÇ_MOV[[#This Row],[MULTA]]</f>
        <v>2000</v>
      </c>
      <c r="O185" s="528">
        <v>46035</v>
      </c>
      <c r="P185" s="516" t="str">
        <f t="shared" ca="1" si="2"/>
        <v>Prazo - Mais de 1 mês</v>
      </c>
      <c r="Q185" s="528"/>
      <c r="R185" s="529" t="s">
        <v>1564</v>
      </c>
      <c r="S185" s="531"/>
      <c r="T185" s="518" t="s">
        <v>1776</v>
      </c>
      <c r="U185" s="519" t="s">
        <v>2008</v>
      </c>
      <c r="V185" s="520" t="str">
        <f>IFERROR(VLOOKUP(LANÇ_MOV[[#This Row],[PLANO DE CONTAS]],Plano_Contas[[PLANO DE CONTAS]:[R / D]],3,0),"")</f>
        <v>Despesa</v>
      </c>
      <c r="W185" s="521" t="str">
        <f>IF(LANÇ_MOV[[#This Row],[DATA DE PAGAMENTO]]&lt;&gt;"","Pago","Não Pago")</f>
        <v>Não Pago</v>
      </c>
      <c r="X185" s="522" t="str">
        <f>IFERROR(IF(LANÇ_MOV[[#This Row],[DATA DE PAGAMENTO]]="","",(UPPER(TEXT(LANÇ_MOV[[#This Row],[DATA DE PAGAMENTO]],"mmmm")))),"")</f>
        <v/>
      </c>
      <c r="Y185" s="523" t="str">
        <f>IFERROR(VLOOKUP(LANÇ_MOV[[#This Row],[PLANO DE CONTAS]],Plano_Contas[[PLANO DE CONTAS]:[NOMES INTERVALOS]],2,0),"")</f>
        <v>Despesas_Com_RH</v>
      </c>
      <c r="Z185" s="523" t="str">
        <f>IF(LANÇ_MOV[[#This Row],[FORMA DE PAGAMENTO]]="","",VLOOKUP(LANÇ_MOV[[#This Row],[FORMA DE PAGAMENTO]],CAD_Forma_pagto[],2,0))</f>
        <v>PIX</v>
      </c>
      <c r="AA185" s="524" t="str">
        <f>IF(LANÇ_MOV[[#This Row],[DATA DE LANÇAMENTO]]="","",TEXT(LANÇ_MOV[[#This Row],[DATA DE LANÇAMENTO]],"AAAA"))</f>
        <v>2025</v>
      </c>
      <c r="AB185" s="524" t="str">
        <f>IF(LANÇ_MOV[[#This Row],[DATA DE LANÇAMENTO]]="","",UPPER(TEXT(LANÇ_MOV[[#This Row],[DATA DE LANÇAMENTO]],"MMMM")))</f>
        <v>OUTUBRO</v>
      </c>
      <c r="AC185" s="525" t="str">
        <f>IF(LANÇ_MOV[[#This Row],[DATA DE LANÇAMENTO]]="","",PROPER(TEXT(LANÇ_MOV[[#This Row],[DATA DE LANÇAMENTO]],"M")))</f>
        <v>10</v>
      </c>
      <c r="AD185" s="524" t="str">
        <f>IF(LANÇ_MOV[[#This Row],[DATA DE LANÇAMENTO]]="","",TEXT(LANÇ_MOV[[#This Row],[DATA DE LANÇAMENTO]],"D"))</f>
        <v>1</v>
      </c>
      <c r="AE185" s="526" t="str">
        <f>IF(LANÇ_MOV[[#This Row],[DATA DE VENCIMENTO]]="","",TEXT(LANÇ_MOV[[#This Row],[DATA DE VENCIMENTO]],"AAAA"))</f>
        <v>2026</v>
      </c>
      <c r="AF185" s="526" t="str">
        <f>IF(LANÇ_MOV[[#This Row],[DATA DE VENCIMENTO]]="","",UPPER(TEXT(LANÇ_MOV[[#This Row],[DATA DE VENCIMENTO]],"MMMM")))</f>
        <v>JANEIRO</v>
      </c>
      <c r="AG185" s="526" t="str">
        <f>IF(LANÇ_MOV[[#This Row],[DATA DE VENCIMENTO]]="","",TEXT(LANÇ_MOV[[#This Row],[DATA DE VENCIMENTO]],"M"))</f>
        <v>1</v>
      </c>
      <c r="AH185" s="526" t="str">
        <f>IF(LANÇ_MOV[[#This Row],[DATA DE VENCIMENTO]]="","",TEXT(LANÇ_MOV[[#This Row],[DATA DE VENCIMENTO]],"D"))</f>
        <v>13</v>
      </c>
      <c r="AI185" s="526" t="str">
        <f>IF(LANÇ_MOV[[#This Row],[DATA DE PAGAMENTO]]="","",TEXT(LANÇ_MOV[[#This Row],[DATA DE PAGAMENTO]],"AAAA"))</f>
        <v/>
      </c>
      <c r="AJ185" s="527" t="str">
        <f>IF(LANÇ_MOV[[#This Row],[DATA DE PAGAMENTO]]="","",UPPER(TEXT(LANÇ_MOV[[#This Row],[DATA DE PAGAMENTO]],"MMMM")))</f>
        <v/>
      </c>
      <c r="AK185" s="527" t="str">
        <f>IF(LANÇ_MOV[[#This Row],[DATA DE PAGAMENTO]]="","",TEXT(LANÇ_MOV[[#This Row],[DATA DE PAGAMENTO]],"M"))</f>
        <v/>
      </c>
      <c r="AL185" s="526" t="str">
        <f>IF(LANÇ_MOV[[#This Row],[DATA DE PAGAMENTO]]="","",TEXT(LANÇ_MOV[[#This Row],[DATA DE PAGAMENTO]],"D"))</f>
        <v/>
      </c>
      <c r="AM185" s="27"/>
      <c r="BB185" s="112"/>
      <c r="BC185" s="112"/>
      <c r="BD185" s="112"/>
    </row>
    <row r="186" spans="2:56" ht="30.05" customHeight="1" x14ac:dyDescent="0.35">
      <c r="B186" s="506">
        <v>45931</v>
      </c>
      <c r="C186" s="507" t="s">
        <v>1661</v>
      </c>
      <c r="D186" s="508" t="s">
        <v>1854</v>
      </c>
      <c r="E186" s="509" t="s">
        <v>228</v>
      </c>
      <c r="F186" s="510" t="s">
        <v>1818</v>
      </c>
      <c r="G186" s="507" t="s">
        <v>1869</v>
      </c>
      <c r="H186" s="511">
        <v>0</v>
      </c>
      <c r="I186" s="512" t="s">
        <v>1752</v>
      </c>
      <c r="J186" s="510">
        <v>2000</v>
      </c>
      <c r="K186" s="513">
        <v>0</v>
      </c>
      <c r="L186" s="513">
        <v>0</v>
      </c>
      <c r="M186" s="513">
        <v>0</v>
      </c>
      <c r="N186" s="514">
        <f>LANÇ_MOV[[#This Row],[VALOR BRUTO]]-LANÇ_MOV[[#This Row],[DESCONTO]]+LANÇ_MOV[[#This Row],[JUROS]]+LANÇ_MOV[[#This Row],[MULTA]]</f>
        <v>2000</v>
      </c>
      <c r="O186" s="528">
        <v>46066</v>
      </c>
      <c r="P186" s="516" t="str">
        <f t="shared" ca="1" si="2"/>
        <v>Prazo - Mais de 1 mês</v>
      </c>
      <c r="Q186" s="528"/>
      <c r="R186" s="529" t="s">
        <v>1564</v>
      </c>
      <c r="S186" s="531"/>
      <c r="T186" s="518" t="s">
        <v>1776</v>
      </c>
      <c r="U186" s="519" t="s">
        <v>2008</v>
      </c>
      <c r="V186" s="520" t="str">
        <f>IFERROR(VLOOKUP(LANÇ_MOV[[#This Row],[PLANO DE CONTAS]],Plano_Contas[[PLANO DE CONTAS]:[R / D]],3,0),"")</f>
        <v>Despesa</v>
      </c>
      <c r="W186" s="521" t="str">
        <f>IF(LANÇ_MOV[[#This Row],[DATA DE PAGAMENTO]]&lt;&gt;"","Pago","Não Pago")</f>
        <v>Não Pago</v>
      </c>
      <c r="X186" s="522" t="str">
        <f>IFERROR(IF(LANÇ_MOV[[#This Row],[DATA DE PAGAMENTO]]="","",(UPPER(TEXT(LANÇ_MOV[[#This Row],[DATA DE PAGAMENTO]],"mmmm")))),"")</f>
        <v/>
      </c>
      <c r="Y186" s="523" t="str">
        <f>IFERROR(VLOOKUP(LANÇ_MOV[[#This Row],[PLANO DE CONTAS]],Plano_Contas[[PLANO DE CONTAS]:[NOMES INTERVALOS]],2,0),"")</f>
        <v>Despesas_Com_RH</v>
      </c>
      <c r="Z186" s="523" t="str">
        <f>IF(LANÇ_MOV[[#This Row],[FORMA DE PAGAMENTO]]="","",VLOOKUP(LANÇ_MOV[[#This Row],[FORMA DE PAGAMENTO]],CAD_Forma_pagto[],2,0))</f>
        <v>PIX</v>
      </c>
      <c r="AA186" s="524" t="str">
        <f>IF(LANÇ_MOV[[#This Row],[DATA DE LANÇAMENTO]]="","",TEXT(LANÇ_MOV[[#This Row],[DATA DE LANÇAMENTO]],"AAAA"))</f>
        <v>2025</v>
      </c>
      <c r="AB186" s="524" t="str">
        <f>IF(LANÇ_MOV[[#This Row],[DATA DE LANÇAMENTO]]="","",UPPER(TEXT(LANÇ_MOV[[#This Row],[DATA DE LANÇAMENTO]],"MMMM")))</f>
        <v>OUTUBRO</v>
      </c>
      <c r="AC186" s="525" t="str">
        <f>IF(LANÇ_MOV[[#This Row],[DATA DE LANÇAMENTO]]="","",PROPER(TEXT(LANÇ_MOV[[#This Row],[DATA DE LANÇAMENTO]],"M")))</f>
        <v>10</v>
      </c>
      <c r="AD186" s="524" t="str">
        <f>IF(LANÇ_MOV[[#This Row],[DATA DE LANÇAMENTO]]="","",TEXT(LANÇ_MOV[[#This Row],[DATA DE LANÇAMENTO]],"D"))</f>
        <v>1</v>
      </c>
      <c r="AE186" s="526" t="str">
        <f>IF(LANÇ_MOV[[#This Row],[DATA DE VENCIMENTO]]="","",TEXT(LANÇ_MOV[[#This Row],[DATA DE VENCIMENTO]],"AAAA"))</f>
        <v>2026</v>
      </c>
      <c r="AF186" s="526" t="str">
        <f>IF(LANÇ_MOV[[#This Row],[DATA DE VENCIMENTO]]="","",UPPER(TEXT(LANÇ_MOV[[#This Row],[DATA DE VENCIMENTO]],"MMMM")))</f>
        <v>FEVEREIRO</v>
      </c>
      <c r="AG186" s="526" t="str">
        <f>IF(LANÇ_MOV[[#This Row],[DATA DE VENCIMENTO]]="","",TEXT(LANÇ_MOV[[#This Row],[DATA DE VENCIMENTO]],"M"))</f>
        <v>2</v>
      </c>
      <c r="AH186" s="526" t="str">
        <f>IF(LANÇ_MOV[[#This Row],[DATA DE VENCIMENTO]]="","",TEXT(LANÇ_MOV[[#This Row],[DATA DE VENCIMENTO]],"D"))</f>
        <v>13</v>
      </c>
      <c r="AI186" s="526" t="str">
        <f>IF(LANÇ_MOV[[#This Row],[DATA DE PAGAMENTO]]="","",TEXT(LANÇ_MOV[[#This Row],[DATA DE PAGAMENTO]],"AAAA"))</f>
        <v/>
      </c>
      <c r="AJ186" s="527" t="str">
        <f>IF(LANÇ_MOV[[#This Row],[DATA DE PAGAMENTO]]="","",UPPER(TEXT(LANÇ_MOV[[#This Row],[DATA DE PAGAMENTO]],"MMMM")))</f>
        <v/>
      </c>
      <c r="AK186" s="527" t="str">
        <f>IF(LANÇ_MOV[[#This Row],[DATA DE PAGAMENTO]]="","",TEXT(LANÇ_MOV[[#This Row],[DATA DE PAGAMENTO]],"M"))</f>
        <v/>
      </c>
      <c r="AL186" s="526" t="str">
        <f>IF(LANÇ_MOV[[#This Row],[DATA DE PAGAMENTO]]="","",TEXT(LANÇ_MOV[[#This Row],[DATA DE PAGAMENTO]],"D"))</f>
        <v/>
      </c>
      <c r="AM186" s="27"/>
      <c r="BB186" s="112"/>
      <c r="BC186" s="112"/>
      <c r="BD186" s="112"/>
    </row>
    <row r="187" spans="2:56" ht="30.05" customHeight="1" x14ac:dyDescent="0.35">
      <c r="B187" s="506">
        <v>45931</v>
      </c>
      <c r="C187" s="507" t="s">
        <v>1661</v>
      </c>
      <c r="D187" s="508" t="s">
        <v>1854</v>
      </c>
      <c r="E187" s="509" t="s">
        <v>228</v>
      </c>
      <c r="F187" s="510" t="s">
        <v>1818</v>
      </c>
      <c r="G187" s="507" t="s">
        <v>1870</v>
      </c>
      <c r="H187" s="511">
        <v>0</v>
      </c>
      <c r="I187" s="512" t="s">
        <v>1752</v>
      </c>
      <c r="J187" s="510">
        <v>2000</v>
      </c>
      <c r="K187" s="513">
        <v>0</v>
      </c>
      <c r="L187" s="513">
        <v>0</v>
      </c>
      <c r="M187" s="513">
        <v>0</v>
      </c>
      <c r="N187" s="514">
        <f>LANÇ_MOV[[#This Row],[VALOR BRUTO]]-LANÇ_MOV[[#This Row],[DESCONTO]]+LANÇ_MOV[[#This Row],[JUROS]]+LANÇ_MOV[[#This Row],[MULTA]]</f>
        <v>2000</v>
      </c>
      <c r="O187" s="528">
        <v>46094</v>
      </c>
      <c r="P187" s="516" t="str">
        <f t="shared" ca="1" si="2"/>
        <v>Prazo - Mais de 1 mês</v>
      </c>
      <c r="Q187" s="528"/>
      <c r="R187" s="529" t="s">
        <v>1564</v>
      </c>
      <c r="S187" s="531"/>
      <c r="T187" s="518" t="s">
        <v>1776</v>
      </c>
      <c r="U187" s="519" t="s">
        <v>2008</v>
      </c>
      <c r="V187" s="520" t="str">
        <f>IFERROR(VLOOKUP(LANÇ_MOV[[#This Row],[PLANO DE CONTAS]],Plano_Contas[[PLANO DE CONTAS]:[R / D]],3,0),"")</f>
        <v>Despesa</v>
      </c>
      <c r="W187" s="521" t="str">
        <f>IF(LANÇ_MOV[[#This Row],[DATA DE PAGAMENTO]]&lt;&gt;"","Pago","Não Pago")</f>
        <v>Não Pago</v>
      </c>
      <c r="X187" s="522" t="str">
        <f>IFERROR(IF(LANÇ_MOV[[#This Row],[DATA DE PAGAMENTO]]="","",(UPPER(TEXT(LANÇ_MOV[[#This Row],[DATA DE PAGAMENTO]],"mmmm")))),"")</f>
        <v/>
      </c>
      <c r="Y187" s="523" t="str">
        <f>IFERROR(VLOOKUP(LANÇ_MOV[[#This Row],[PLANO DE CONTAS]],Plano_Contas[[PLANO DE CONTAS]:[NOMES INTERVALOS]],2,0),"")</f>
        <v>Despesas_Com_RH</v>
      </c>
      <c r="Z187" s="523" t="str">
        <f>IF(LANÇ_MOV[[#This Row],[FORMA DE PAGAMENTO]]="","",VLOOKUP(LANÇ_MOV[[#This Row],[FORMA DE PAGAMENTO]],CAD_Forma_pagto[],2,0))</f>
        <v>PIX</v>
      </c>
      <c r="AA187" s="524" t="str">
        <f>IF(LANÇ_MOV[[#This Row],[DATA DE LANÇAMENTO]]="","",TEXT(LANÇ_MOV[[#This Row],[DATA DE LANÇAMENTO]],"AAAA"))</f>
        <v>2025</v>
      </c>
      <c r="AB187" s="524" t="str">
        <f>IF(LANÇ_MOV[[#This Row],[DATA DE LANÇAMENTO]]="","",UPPER(TEXT(LANÇ_MOV[[#This Row],[DATA DE LANÇAMENTO]],"MMMM")))</f>
        <v>OUTUBRO</v>
      </c>
      <c r="AC187" s="525" t="str">
        <f>IF(LANÇ_MOV[[#This Row],[DATA DE LANÇAMENTO]]="","",PROPER(TEXT(LANÇ_MOV[[#This Row],[DATA DE LANÇAMENTO]],"M")))</f>
        <v>10</v>
      </c>
      <c r="AD187" s="524" t="str">
        <f>IF(LANÇ_MOV[[#This Row],[DATA DE LANÇAMENTO]]="","",TEXT(LANÇ_MOV[[#This Row],[DATA DE LANÇAMENTO]],"D"))</f>
        <v>1</v>
      </c>
      <c r="AE187" s="526" t="str">
        <f>IF(LANÇ_MOV[[#This Row],[DATA DE VENCIMENTO]]="","",TEXT(LANÇ_MOV[[#This Row],[DATA DE VENCIMENTO]],"AAAA"))</f>
        <v>2026</v>
      </c>
      <c r="AF187" s="526" t="str">
        <f>IF(LANÇ_MOV[[#This Row],[DATA DE VENCIMENTO]]="","",UPPER(TEXT(LANÇ_MOV[[#This Row],[DATA DE VENCIMENTO]],"MMMM")))</f>
        <v>MARÇO</v>
      </c>
      <c r="AG187" s="526" t="str">
        <f>IF(LANÇ_MOV[[#This Row],[DATA DE VENCIMENTO]]="","",TEXT(LANÇ_MOV[[#This Row],[DATA DE VENCIMENTO]],"M"))</f>
        <v>3</v>
      </c>
      <c r="AH187" s="526" t="str">
        <f>IF(LANÇ_MOV[[#This Row],[DATA DE VENCIMENTO]]="","",TEXT(LANÇ_MOV[[#This Row],[DATA DE VENCIMENTO]],"D"))</f>
        <v>13</v>
      </c>
      <c r="AI187" s="526" t="str">
        <f>IF(LANÇ_MOV[[#This Row],[DATA DE PAGAMENTO]]="","",TEXT(LANÇ_MOV[[#This Row],[DATA DE PAGAMENTO]],"AAAA"))</f>
        <v/>
      </c>
      <c r="AJ187" s="527" t="str">
        <f>IF(LANÇ_MOV[[#This Row],[DATA DE PAGAMENTO]]="","",UPPER(TEXT(LANÇ_MOV[[#This Row],[DATA DE PAGAMENTO]],"MMMM")))</f>
        <v/>
      </c>
      <c r="AK187" s="527" t="str">
        <f>IF(LANÇ_MOV[[#This Row],[DATA DE PAGAMENTO]]="","",TEXT(LANÇ_MOV[[#This Row],[DATA DE PAGAMENTO]],"M"))</f>
        <v/>
      </c>
      <c r="AL187" s="526" t="str">
        <f>IF(LANÇ_MOV[[#This Row],[DATA DE PAGAMENTO]]="","",TEXT(LANÇ_MOV[[#This Row],[DATA DE PAGAMENTO]],"D"))</f>
        <v/>
      </c>
      <c r="AM187" s="27"/>
      <c r="BB187" s="112"/>
      <c r="BC187" s="112"/>
      <c r="BD187" s="112"/>
    </row>
    <row r="188" spans="2:56" ht="30.05" customHeight="1" x14ac:dyDescent="0.35">
      <c r="B188" s="506">
        <v>45931</v>
      </c>
      <c r="C188" s="507" t="s">
        <v>1661</v>
      </c>
      <c r="D188" s="508" t="s">
        <v>1854</v>
      </c>
      <c r="E188" s="509" t="s">
        <v>228</v>
      </c>
      <c r="F188" s="510" t="s">
        <v>1818</v>
      </c>
      <c r="G188" s="507" t="s">
        <v>1871</v>
      </c>
      <c r="H188" s="511">
        <v>0</v>
      </c>
      <c r="I188" s="512" t="s">
        <v>1752</v>
      </c>
      <c r="J188" s="510">
        <v>2000</v>
      </c>
      <c r="K188" s="513">
        <v>0</v>
      </c>
      <c r="L188" s="513">
        <v>0</v>
      </c>
      <c r="M188" s="513">
        <v>0</v>
      </c>
      <c r="N188" s="514">
        <f>LANÇ_MOV[[#This Row],[VALOR BRUTO]]-LANÇ_MOV[[#This Row],[DESCONTO]]+LANÇ_MOV[[#This Row],[JUROS]]+LANÇ_MOV[[#This Row],[MULTA]]</f>
        <v>2000</v>
      </c>
      <c r="O188" s="528">
        <v>46125</v>
      </c>
      <c r="P188" s="516" t="str">
        <f t="shared" ca="1" si="2"/>
        <v>Prazo - Mais de 1 mês</v>
      </c>
      <c r="Q188" s="528"/>
      <c r="R188" s="529" t="s">
        <v>1564</v>
      </c>
      <c r="S188" s="531"/>
      <c r="T188" s="518" t="s">
        <v>1776</v>
      </c>
      <c r="U188" s="519" t="s">
        <v>2008</v>
      </c>
      <c r="V188" s="520" t="str">
        <f>IFERROR(VLOOKUP(LANÇ_MOV[[#This Row],[PLANO DE CONTAS]],Plano_Contas[[PLANO DE CONTAS]:[R / D]],3,0),"")</f>
        <v>Despesa</v>
      </c>
      <c r="W188" s="521" t="str">
        <f>IF(LANÇ_MOV[[#This Row],[DATA DE PAGAMENTO]]&lt;&gt;"","Pago","Não Pago")</f>
        <v>Não Pago</v>
      </c>
      <c r="X188" s="522" t="str">
        <f>IFERROR(IF(LANÇ_MOV[[#This Row],[DATA DE PAGAMENTO]]="","",(UPPER(TEXT(LANÇ_MOV[[#This Row],[DATA DE PAGAMENTO]],"mmmm")))),"")</f>
        <v/>
      </c>
      <c r="Y188" s="523" t="str">
        <f>IFERROR(VLOOKUP(LANÇ_MOV[[#This Row],[PLANO DE CONTAS]],Plano_Contas[[PLANO DE CONTAS]:[NOMES INTERVALOS]],2,0),"")</f>
        <v>Despesas_Com_RH</v>
      </c>
      <c r="Z188" s="523" t="str">
        <f>IF(LANÇ_MOV[[#This Row],[FORMA DE PAGAMENTO]]="","",VLOOKUP(LANÇ_MOV[[#This Row],[FORMA DE PAGAMENTO]],CAD_Forma_pagto[],2,0))</f>
        <v>PIX</v>
      </c>
      <c r="AA188" s="524" t="str">
        <f>IF(LANÇ_MOV[[#This Row],[DATA DE LANÇAMENTO]]="","",TEXT(LANÇ_MOV[[#This Row],[DATA DE LANÇAMENTO]],"AAAA"))</f>
        <v>2025</v>
      </c>
      <c r="AB188" s="524" t="str">
        <f>IF(LANÇ_MOV[[#This Row],[DATA DE LANÇAMENTO]]="","",UPPER(TEXT(LANÇ_MOV[[#This Row],[DATA DE LANÇAMENTO]],"MMMM")))</f>
        <v>OUTUBRO</v>
      </c>
      <c r="AC188" s="525" t="str">
        <f>IF(LANÇ_MOV[[#This Row],[DATA DE LANÇAMENTO]]="","",PROPER(TEXT(LANÇ_MOV[[#This Row],[DATA DE LANÇAMENTO]],"M")))</f>
        <v>10</v>
      </c>
      <c r="AD188" s="524" t="str">
        <f>IF(LANÇ_MOV[[#This Row],[DATA DE LANÇAMENTO]]="","",TEXT(LANÇ_MOV[[#This Row],[DATA DE LANÇAMENTO]],"D"))</f>
        <v>1</v>
      </c>
      <c r="AE188" s="526" t="str">
        <f>IF(LANÇ_MOV[[#This Row],[DATA DE VENCIMENTO]]="","",TEXT(LANÇ_MOV[[#This Row],[DATA DE VENCIMENTO]],"AAAA"))</f>
        <v>2026</v>
      </c>
      <c r="AF188" s="526" t="str">
        <f>IF(LANÇ_MOV[[#This Row],[DATA DE VENCIMENTO]]="","",UPPER(TEXT(LANÇ_MOV[[#This Row],[DATA DE VENCIMENTO]],"MMMM")))</f>
        <v>ABRIL</v>
      </c>
      <c r="AG188" s="526" t="str">
        <f>IF(LANÇ_MOV[[#This Row],[DATA DE VENCIMENTO]]="","",TEXT(LANÇ_MOV[[#This Row],[DATA DE VENCIMENTO]],"M"))</f>
        <v>4</v>
      </c>
      <c r="AH188" s="526" t="str">
        <f>IF(LANÇ_MOV[[#This Row],[DATA DE VENCIMENTO]]="","",TEXT(LANÇ_MOV[[#This Row],[DATA DE VENCIMENTO]],"D"))</f>
        <v>13</v>
      </c>
      <c r="AI188" s="526" t="str">
        <f>IF(LANÇ_MOV[[#This Row],[DATA DE PAGAMENTO]]="","",TEXT(LANÇ_MOV[[#This Row],[DATA DE PAGAMENTO]],"AAAA"))</f>
        <v/>
      </c>
      <c r="AJ188" s="527" t="str">
        <f>IF(LANÇ_MOV[[#This Row],[DATA DE PAGAMENTO]]="","",UPPER(TEXT(LANÇ_MOV[[#This Row],[DATA DE PAGAMENTO]],"MMMM")))</f>
        <v/>
      </c>
      <c r="AK188" s="527" t="str">
        <f>IF(LANÇ_MOV[[#This Row],[DATA DE PAGAMENTO]]="","",TEXT(LANÇ_MOV[[#This Row],[DATA DE PAGAMENTO]],"M"))</f>
        <v/>
      </c>
      <c r="AL188" s="526" t="str">
        <f>IF(LANÇ_MOV[[#This Row],[DATA DE PAGAMENTO]]="","",TEXT(LANÇ_MOV[[#This Row],[DATA DE PAGAMENTO]],"D"))</f>
        <v/>
      </c>
      <c r="AM188" s="27"/>
      <c r="BB188" s="112"/>
      <c r="BC188" s="112"/>
      <c r="BD188" s="112"/>
    </row>
    <row r="189" spans="2:56" ht="30.05" customHeight="1" x14ac:dyDescent="0.35">
      <c r="B189" s="506">
        <v>45931</v>
      </c>
      <c r="C189" s="507" t="s">
        <v>1661</v>
      </c>
      <c r="D189" s="508" t="s">
        <v>1854</v>
      </c>
      <c r="E189" s="509" t="s">
        <v>228</v>
      </c>
      <c r="F189" s="510" t="s">
        <v>1818</v>
      </c>
      <c r="G189" s="507" t="s">
        <v>1872</v>
      </c>
      <c r="H189" s="511">
        <v>0</v>
      </c>
      <c r="I189" s="512" t="s">
        <v>1752</v>
      </c>
      <c r="J189" s="510">
        <v>2000</v>
      </c>
      <c r="K189" s="513">
        <v>0</v>
      </c>
      <c r="L189" s="513">
        <v>0</v>
      </c>
      <c r="M189" s="513">
        <v>0</v>
      </c>
      <c r="N189" s="514">
        <f>LANÇ_MOV[[#This Row],[VALOR BRUTO]]-LANÇ_MOV[[#This Row],[DESCONTO]]+LANÇ_MOV[[#This Row],[JUROS]]+LANÇ_MOV[[#This Row],[MULTA]]</f>
        <v>2000</v>
      </c>
      <c r="O189" s="528">
        <v>46155</v>
      </c>
      <c r="P189" s="516" t="str">
        <f t="shared" ca="1" si="2"/>
        <v>Prazo - Mais de 1 mês</v>
      </c>
      <c r="Q189" s="528"/>
      <c r="R189" s="529" t="s">
        <v>1564</v>
      </c>
      <c r="S189" s="531"/>
      <c r="T189" s="518" t="s">
        <v>1776</v>
      </c>
      <c r="U189" s="519" t="s">
        <v>2008</v>
      </c>
      <c r="V189" s="520" t="str">
        <f>IFERROR(VLOOKUP(LANÇ_MOV[[#This Row],[PLANO DE CONTAS]],Plano_Contas[[PLANO DE CONTAS]:[R / D]],3,0),"")</f>
        <v>Despesa</v>
      </c>
      <c r="W189" s="521" t="str">
        <f>IF(LANÇ_MOV[[#This Row],[DATA DE PAGAMENTO]]&lt;&gt;"","Pago","Não Pago")</f>
        <v>Não Pago</v>
      </c>
      <c r="X189" s="522" t="str">
        <f>IFERROR(IF(LANÇ_MOV[[#This Row],[DATA DE PAGAMENTO]]="","",(UPPER(TEXT(LANÇ_MOV[[#This Row],[DATA DE PAGAMENTO]],"mmmm")))),"")</f>
        <v/>
      </c>
      <c r="Y189" s="523" t="str">
        <f>IFERROR(VLOOKUP(LANÇ_MOV[[#This Row],[PLANO DE CONTAS]],Plano_Contas[[PLANO DE CONTAS]:[NOMES INTERVALOS]],2,0),"")</f>
        <v>Despesas_Com_RH</v>
      </c>
      <c r="Z189" s="523" t="str">
        <f>IF(LANÇ_MOV[[#This Row],[FORMA DE PAGAMENTO]]="","",VLOOKUP(LANÇ_MOV[[#This Row],[FORMA DE PAGAMENTO]],CAD_Forma_pagto[],2,0))</f>
        <v>PIX</v>
      </c>
      <c r="AA189" s="524" t="str">
        <f>IF(LANÇ_MOV[[#This Row],[DATA DE LANÇAMENTO]]="","",TEXT(LANÇ_MOV[[#This Row],[DATA DE LANÇAMENTO]],"AAAA"))</f>
        <v>2025</v>
      </c>
      <c r="AB189" s="524" t="str">
        <f>IF(LANÇ_MOV[[#This Row],[DATA DE LANÇAMENTO]]="","",UPPER(TEXT(LANÇ_MOV[[#This Row],[DATA DE LANÇAMENTO]],"MMMM")))</f>
        <v>OUTUBRO</v>
      </c>
      <c r="AC189" s="525" t="str">
        <f>IF(LANÇ_MOV[[#This Row],[DATA DE LANÇAMENTO]]="","",PROPER(TEXT(LANÇ_MOV[[#This Row],[DATA DE LANÇAMENTO]],"M")))</f>
        <v>10</v>
      </c>
      <c r="AD189" s="524" t="str">
        <f>IF(LANÇ_MOV[[#This Row],[DATA DE LANÇAMENTO]]="","",TEXT(LANÇ_MOV[[#This Row],[DATA DE LANÇAMENTO]],"D"))</f>
        <v>1</v>
      </c>
      <c r="AE189" s="526" t="str">
        <f>IF(LANÇ_MOV[[#This Row],[DATA DE VENCIMENTO]]="","",TEXT(LANÇ_MOV[[#This Row],[DATA DE VENCIMENTO]],"AAAA"))</f>
        <v>2026</v>
      </c>
      <c r="AF189" s="526" t="str">
        <f>IF(LANÇ_MOV[[#This Row],[DATA DE VENCIMENTO]]="","",UPPER(TEXT(LANÇ_MOV[[#This Row],[DATA DE VENCIMENTO]],"MMMM")))</f>
        <v>MAIO</v>
      </c>
      <c r="AG189" s="526" t="str">
        <f>IF(LANÇ_MOV[[#This Row],[DATA DE VENCIMENTO]]="","",TEXT(LANÇ_MOV[[#This Row],[DATA DE VENCIMENTO]],"M"))</f>
        <v>5</v>
      </c>
      <c r="AH189" s="526" t="str">
        <f>IF(LANÇ_MOV[[#This Row],[DATA DE VENCIMENTO]]="","",TEXT(LANÇ_MOV[[#This Row],[DATA DE VENCIMENTO]],"D"))</f>
        <v>13</v>
      </c>
      <c r="AI189" s="526" t="str">
        <f>IF(LANÇ_MOV[[#This Row],[DATA DE PAGAMENTO]]="","",TEXT(LANÇ_MOV[[#This Row],[DATA DE PAGAMENTO]],"AAAA"))</f>
        <v/>
      </c>
      <c r="AJ189" s="527" t="str">
        <f>IF(LANÇ_MOV[[#This Row],[DATA DE PAGAMENTO]]="","",UPPER(TEXT(LANÇ_MOV[[#This Row],[DATA DE PAGAMENTO]],"MMMM")))</f>
        <v/>
      </c>
      <c r="AK189" s="527" t="str">
        <f>IF(LANÇ_MOV[[#This Row],[DATA DE PAGAMENTO]]="","",TEXT(LANÇ_MOV[[#This Row],[DATA DE PAGAMENTO]],"M"))</f>
        <v/>
      </c>
      <c r="AL189" s="526" t="str">
        <f>IF(LANÇ_MOV[[#This Row],[DATA DE PAGAMENTO]]="","",TEXT(LANÇ_MOV[[#This Row],[DATA DE PAGAMENTO]],"D"))</f>
        <v/>
      </c>
      <c r="AM189" s="27"/>
      <c r="BB189" s="112"/>
      <c r="BC189" s="112"/>
      <c r="BD189" s="112"/>
    </row>
    <row r="190" spans="2:56" ht="30.05" customHeight="1" x14ac:dyDescent="0.35">
      <c r="B190" s="506">
        <v>45931</v>
      </c>
      <c r="C190" s="507" t="s">
        <v>1661</v>
      </c>
      <c r="D190" s="508" t="s">
        <v>1854</v>
      </c>
      <c r="E190" s="509" t="s">
        <v>228</v>
      </c>
      <c r="F190" s="510" t="s">
        <v>1818</v>
      </c>
      <c r="G190" s="507" t="s">
        <v>1873</v>
      </c>
      <c r="H190" s="511">
        <v>0</v>
      </c>
      <c r="I190" s="512" t="s">
        <v>1752</v>
      </c>
      <c r="J190" s="510">
        <v>2000</v>
      </c>
      <c r="K190" s="513">
        <v>0</v>
      </c>
      <c r="L190" s="513">
        <v>0</v>
      </c>
      <c r="M190" s="513">
        <v>0</v>
      </c>
      <c r="N190" s="514">
        <f>LANÇ_MOV[[#This Row],[VALOR BRUTO]]-LANÇ_MOV[[#This Row],[DESCONTO]]+LANÇ_MOV[[#This Row],[JUROS]]+LANÇ_MOV[[#This Row],[MULTA]]</f>
        <v>2000</v>
      </c>
      <c r="O190" s="528">
        <v>46186</v>
      </c>
      <c r="P190" s="516" t="str">
        <f t="shared" ca="1" si="2"/>
        <v>Prazo - Mais de 1 mês</v>
      </c>
      <c r="Q190" s="528"/>
      <c r="R190" s="529" t="s">
        <v>1564</v>
      </c>
      <c r="S190" s="531"/>
      <c r="T190" s="518" t="s">
        <v>1776</v>
      </c>
      <c r="U190" s="519" t="s">
        <v>2008</v>
      </c>
      <c r="V190" s="520" t="str">
        <f>IFERROR(VLOOKUP(LANÇ_MOV[[#This Row],[PLANO DE CONTAS]],Plano_Contas[[PLANO DE CONTAS]:[R / D]],3,0),"")</f>
        <v>Despesa</v>
      </c>
      <c r="W190" s="521" t="str">
        <f>IF(LANÇ_MOV[[#This Row],[DATA DE PAGAMENTO]]&lt;&gt;"","Pago","Não Pago")</f>
        <v>Não Pago</v>
      </c>
      <c r="X190" s="522" t="str">
        <f>IFERROR(IF(LANÇ_MOV[[#This Row],[DATA DE PAGAMENTO]]="","",(UPPER(TEXT(LANÇ_MOV[[#This Row],[DATA DE PAGAMENTO]],"mmmm")))),"")</f>
        <v/>
      </c>
      <c r="Y190" s="523" t="str">
        <f>IFERROR(VLOOKUP(LANÇ_MOV[[#This Row],[PLANO DE CONTAS]],Plano_Contas[[PLANO DE CONTAS]:[NOMES INTERVALOS]],2,0),"")</f>
        <v>Despesas_Com_RH</v>
      </c>
      <c r="Z190" s="523" t="str">
        <f>IF(LANÇ_MOV[[#This Row],[FORMA DE PAGAMENTO]]="","",VLOOKUP(LANÇ_MOV[[#This Row],[FORMA DE PAGAMENTO]],CAD_Forma_pagto[],2,0))</f>
        <v>PIX</v>
      </c>
      <c r="AA190" s="524" t="str">
        <f>IF(LANÇ_MOV[[#This Row],[DATA DE LANÇAMENTO]]="","",TEXT(LANÇ_MOV[[#This Row],[DATA DE LANÇAMENTO]],"AAAA"))</f>
        <v>2025</v>
      </c>
      <c r="AB190" s="524" t="str">
        <f>IF(LANÇ_MOV[[#This Row],[DATA DE LANÇAMENTO]]="","",UPPER(TEXT(LANÇ_MOV[[#This Row],[DATA DE LANÇAMENTO]],"MMMM")))</f>
        <v>OUTUBRO</v>
      </c>
      <c r="AC190" s="525" t="str">
        <f>IF(LANÇ_MOV[[#This Row],[DATA DE LANÇAMENTO]]="","",PROPER(TEXT(LANÇ_MOV[[#This Row],[DATA DE LANÇAMENTO]],"M")))</f>
        <v>10</v>
      </c>
      <c r="AD190" s="524" t="str">
        <f>IF(LANÇ_MOV[[#This Row],[DATA DE LANÇAMENTO]]="","",TEXT(LANÇ_MOV[[#This Row],[DATA DE LANÇAMENTO]],"D"))</f>
        <v>1</v>
      </c>
      <c r="AE190" s="526" t="str">
        <f>IF(LANÇ_MOV[[#This Row],[DATA DE VENCIMENTO]]="","",TEXT(LANÇ_MOV[[#This Row],[DATA DE VENCIMENTO]],"AAAA"))</f>
        <v>2026</v>
      </c>
      <c r="AF190" s="526" t="str">
        <f>IF(LANÇ_MOV[[#This Row],[DATA DE VENCIMENTO]]="","",UPPER(TEXT(LANÇ_MOV[[#This Row],[DATA DE VENCIMENTO]],"MMMM")))</f>
        <v>JUNHO</v>
      </c>
      <c r="AG190" s="526" t="str">
        <f>IF(LANÇ_MOV[[#This Row],[DATA DE VENCIMENTO]]="","",TEXT(LANÇ_MOV[[#This Row],[DATA DE VENCIMENTO]],"M"))</f>
        <v>6</v>
      </c>
      <c r="AH190" s="526" t="str">
        <f>IF(LANÇ_MOV[[#This Row],[DATA DE VENCIMENTO]]="","",TEXT(LANÇ_MOV[[#This Row],[DATA DE VENCIMENTO]],"D"))</f>
        <v>13</v>
      </c>
      <c r="AI190" s="526" t="str">
        <f>IF(LANÇ_MOV[[#This Row],[DATA DE PAGAMENTO]]="","",TEXT(LANÇ_MOV[[#This Row],[DATA DE PAGAMENTO]],"AAAA"))</f>
        <v/>
      </c>
      <c r="AJ190" s="527" t="str">
        <f>IF(LANÇ_MOV[[#This Row],[DATA DE PAGAMENTO]]="","",UPPER(TEXT(LANÇ_MOV[[#This Row],[DATA DE PAGAMENTO]],"MMMM")))</f>
        <v/>
      </c>
      <c r="AK190" s="527" t="str">
        <f>IF(LANÇ_MOV[[#This Row],[DATA DE PAGAMENTO]]="","",TEXT(LANÇ_MOV[[#This Row],[DATA DE PAGAMENTO]],"M"))</f>
        <v/>
      </c>
      <c r="AL190" s="526" t="str">
        <f>IF(LANÇ_MOV[[#This Row],[DATA DE PAGAMENTO]]="","",TEXT(LANÇ_MOV[[#This Row],[DATA DE PAGAMENTO]],"D"))</f>
        <v/>
      </c>
      <c r="AM190" s="27"/>
      <c r="BB190" s="112"/>
      <c r="BC190" s="112"/>
      <c r="BD190" s="112"/>
    </row>
    <row r="191" spans="2:56" ht="30.05" customHeight="1" x14ac:dyDescent="0.35">
      <c r="B191" s="506">
        <v>45931</v>
      </c>
      <c r="C191" s="507" t="s">
        <v>1661</v>
      </c>
      <c r="D191" s="508" t="s">
        <v>1854</v>
      </c>
      <c r="E191" s="509" t="s">
        <v>228</v>
      </c>
      <c r="F191" s="510" t="s">
        <v>1818</v>
      </c>
      <c r="G191" s="507" t="s">
        <v>1874</v>
      </c>
      <c r="H191" s="511">
        <v>0</v>
      </c>
      <c r="I191" s="512" t="s">
        <v>1752</v>
      </c>
      <c r="J191" s="510">
        <v>2000</v>
      </c>
      <c r="K191" s="513">
        <v>0</v>
      </c>
      <c r="L191" s="513">
        <v>0</v>
      </c>
      <c r="M191" s="513">
        <v>0</v>
      </c>
      <c r="N191" s="514">
        <f>LANÇ_MOV[[#This Row],[VALOR BRUTO]]-LANÇ_MOV[[#This Row],[DESCONTO]]+LANÇ_MOV[[#This Row],[JUROS]]+LANÇ_MOV[[#This Row],[MULTA]]</f>
        <v>2000</v>
      </c>
      <c r="O191" s="528">
        <v>46216</v>
      </c>
      <c r="P191" s="516" t="str">
        <f t="shared" ca="1" si="2"/>
        <v>Prazo - Mais de 1 mês</v>
      </c>
      <c r="Q191" s="528"/>
      <c r="R191" s="529" t="s">
        <v>1564</v>
      </c>
      <c r="S191" s="531"/>
      <c r="T191" s="518" t="s">
        <v>1776</v>
      </c>
      <c r="U191" s="519" t="s">
        <v>2008</v>
      </c>
      <c r="V191" s="520" t="str">
        <f>IFERROR(VLOOKUP(LANÇ_MOV[[#This Row],[PLANO DE CONTAS]],Plano_Contas[[PLANO DE CONTAS]:[R / D]],3,0),"")</f>
        <v>Despesa</v>
      </c>
      <c r="W191" s="521" t="str">
        <f>IF(LANÇ_MOV[[#This Row],[DATA DE PAGAMENTO]]&lt;&gt;"","Pago","Não Pago")</f>
        <v>Não Pago</v>
      </c>
      <c r="X191" s="522" t="str">
        <f>IFERROR(IF(LANÇ_MOV[[#This Row],[DATA DE PAGAMENTO]]="","",(UPPER(TEXT(LANÇ_MOV[[#This Row],[DATA DE PAGAMENTO]],"mmmm")))),"")</f>
        <v/>
      </c>
      <c r="Y191" s="523" t="str">
        <f>IFERROR(VLOOKUP(LANÇ_MOV[[#This Row],[PLANO DE CONTAS]],Plano_Contas[[PLANO DE CONTAS]:[NOMES INTERVALOS]],2,0),"")</f>
        <v>Despesas_Com_RH</v>
      </c>
      <c r="Z191" s="523" t="str">
        <f>IF(LANÇ_MOV[[#This Row],[FORMA DE PAGAMENTO]]="","",VLOOKUP(LANÇ_MOV[[#This Row],[FORMA DE PAGAMENTO]],CAD_Forma_pagto[],2,0))</f>
        <v>PIX</v>
      </c>
      <c r="AA191" s="524" t="str">
        <f>IF(LANÇ_MOV[[#This Row],[DATA DE LANÇAMENTO]]="","",TEXT(LANÇ_MOV[[#This Row],[DATA DE LANÇAMENTO]],"AAAA"))</f>
        <v>2025</v>
      </c>
      <c r="AB191" s="524" t="str">
        <f>IF(LANÇ_MOV[[#This Row],[DATA DE LANÇAMENTO]]="","",UPPER(TEXT(LANÇ_MOV[[#This Row],[DATA DE LANÇAMENTO]],"MMMM")))</f>
        <v>OUTUBRO</v>
      </c>
      <c r="AC191" s="525" t="str">
        <f>IF(LANÇ_MOV[[#This Row],[DATA DE LANÇAMENTO]]="","",PROPER(TEXT(LANÇ_MOV[[#This Row],[DATA DE LANÇAMENTO]],"M")))</f>
        <v>10</v>
      </c>
      <c r="AD191" s="524" t="str">
        <f>IF(LANÇ_MOV[[#This Row],[DATA DE LANÇAMENTO]]="","",TEXT(LANÇ_MOV[[#This Row],[DATA DE LANÇAMENTO]],"D"))</f>
        <v>1</v>
      </c>
      <c r="AE191" s="526" t="str">
        <f>IF(LANÇ_MOV[[#This Row],[DATA DE VENCIMENTO]]="","",TEXT(LANÇ_MOV[[#This Row],[DATA DE VENCIMENTO]],"AAAA"))</f>
        <v>2026</v>
      </c>
      <c r="AF191" s="526" t="str">
        <f>IF(LANÇ_MOV[[#This Row],[DATA DE VENCIMENTO]]="","",UPPER(TEXT(LANÇ_MOV[[#This Row],[DATA DE VENCIMENTO]],"MMMM")))</f>
        <v>JULHO</v>
      </c>
      <c r="AG191" s="526" t="str">
        <f>IF(LANÇ_MOV[[#This Row],[DATA DE VENCIMENTO]]="","",TEXT(LANÇ_MOV[[#This Row],[DATA DE VENCIMENTO]],"M"))</f>
        <v>7</v>
      </c>
      <c r="AH191" s="526" t="str">
        <f>IF(LANÇ_MOV[[#This Row],[DATA DE VENCIMENTO]]="","",TEXT(LANÇ_MOV[[#This Row],[DATA DE VENCIMENTO]],"D"))</f>
        <v>13</v>
      </c>
      <c r="AI191" s="526" t="str">
        <f>IF(LANÇ_MOV[[#This Row],[DATA DE PAGAMENTO]]="","",TEXT(LANÇ_MOV[[#This Row],[DATA DE PAGAMENTO]],"AAAA"))</f>
        <v/>
      </c>
      <c r="AJ191" s="527" t="str">
        <f>IF(LANÇ_MOV[[#This Row],[DATA DE PAGAMENTO]]="","",UPPER(TEXT(LANÇ_MOV[[#This Row],[DATA DE PAGAMENTO]],"MMMM")))</f>
        <v/>
      </c>
      <c r="AK191" s="527" t="str">
        <f>IF(LANÇ_MOV[[#This Row],[DATA DE PAGAMENTO]]="","",TEXT(LANÇ_MOV[[#This Row],[DATA DE PAGAMENTO]],"M"))</f>
        <v/>
      </c>
      <c r="AL191" s="526" t="str">
        <f>IF(LANÇ_MOV[[#This Row],[DATA DE PAGAMENTO]]="","",TEXT(LANÇ_MOV[[#This Row],[DATA DE PAGAMENTO]],"D"))</f>
        <v/>
      </c>
      <c r="AM191" s="27"/>
      <c r="BB191" s="112"/>
      <c r="BC191" s="112"/>
      <c r="BD191" s="112"/>
    </row>
    <row r="192" spans="2:56" ht="30.05" customHeight="1" x14ac:dyDescent="0.35">
      <c r="B192" s="506">
        <v>45931</v>
      </c>
      <c r="C192" s="507" t="s">
        <v>1661</v>
      </c>
      <c r="D192" s="508" t="s">
        <v>1854</v>
      </c>
      <c r="E192" s="509" t="s">
        <v>228</v>
      </c>
      <c r="F192" s="510" t="s">
        <v>1818</v>
      </c>
      <c r="G192" s="507" t="s">
        <v>1875</v>
      </c>
      <c r="H192" s="511">
        <v>0</v>
      </c>
      <c r="I192" s="512" t="s">
        <v>1752</v>
      </c>
      <c r="J192" s="510">
        <v>2000</v>
      </c>
      <c r="K192" s="513">
        <v>0</v>
      </c>
      <c r="L192" s="513">
        <v>0</v>
      </c>
      <c r="M192" s="513">
        <v>0</v>
      </c>
      <c r="N192" s="514">
        <f>LANÇ_MOV[[#This Row],[VALOR BRUTO]]-LANÇ_MOV[[#This Row],[DESCONTO]]+LANÇ_MOV[[#This Row],[JUROS]]+LANÇ_MOV[[#This Row],[MULTA]]</f>
        <v>2000</v>
      </c>
      <c r="O192" s="528">
        <v>46247</v>
      </c>
      <c r="P192" s="516" t="str">
        <f t="shared" ca="1" si="2"/>
        <v>Prazo - Mais de 1 mês</v>
      </c>
      <c r="Q192" s="528"/>
      <c r="R192" s="529" t="s">
        <v>1564</v>
      </c>
      <c r="S192" s="531"/>
      <c r="T192" s="518" t="s">
        <v>1776</v>
      </c>
      <c r="U192" s="519" t="s">
        <v>2008</v>
      </c>
      <c r="V192" s="520" t="str">
        <f>IFERROR(VLOOKUP(LANÇ_MOV[[#This Row],[PLANO DE CONTAS]],Plano_Contas[[PLANO DE CONTAS]:[R / D]],3,0),"")</f>
        <v>Despesa</v>
      </c>
      <c r="W192" s="521" t="str">
        <f>IF(LANÇ_MOV[[#This Row],[DATA DE PAGAMENTO]]&lt;&gt;"","Pago","Não Pago")</f>
        <v>Não Pago</v>
      </c>
      <c r="X192" s="522" t="str">
        <f>IFERROR(IF(LANÇ_MOV[[#This Row],[DATA DE PAGAMENTO]]="","",(UPPER(TEXT(LANÇ_MOV[[#This Row],[DATA DE PAGAMENTO]],"mmmm")))),"")</f>
        <v/>
      </c>
      <c r="Y192" s="523" t="str">
        <f>IFERROR(VLOOKUP(LANÇ_MOV[[#This Row],[PLANO DE CONTAS]],Plano_Contas[[PLANO DE CONTAS]:[NOMES INTERVALOS]],2,0),"")</f>
        <v>Despesas_Com_RH</v>
      </c>
      <c r="Z192" s="523" t="str">
        <f>IF(LANÇ_MOV[[#This Row],[FORMA DE PAGAMENTO]]="","",VLOOKUP(LANÇ_MOV[[#This Row],[FORMA DE PAGAMENTO]],CAD_Forma_pagto[],2,0))</f>
        <v>PIX</v>
      </c>
      <c r="AA192" s="524" t="str">
        <f>IF(LANÇ_MOV[[#This Row],[DATA DE LANÇAMENTO]]="","",TEXT(LANÇ_MOV[[#This Row],[DATA DE LANÇAMENTO]],"AAAA"))</f>
        <v>2025</v>
      </c>
      <c r="AB192" s="524" t="str">
        <f>IF(LANÇ_MOV[[#This Row],[DATA DE LANÇAMENTO]]="","",UPPER(TEXT(LANÇ_MOV[[#This Row],[DATA DE LANÇAMENTO]],"MMMM")))</f>
        <v>OUTUBRO</v>
      </c>
      <c r="AC192" s="525" t="str">
        <f>IF(LANÇ_MOV[[#This Row],[DATA DE LANÇAMENTO]]="","",PROPER(TEXT(LANÇ_MOV[[#This Row],[DATA DE LANÇAMENTO]],"M")))</f>
        <v>10</v>
      </c>
      <c r="AD192" s="524" t="str">
        <f>IF(LANÇ_MOV[[#This Row],[DATA DE LANÇAMENTO]]="","",TEXT(LANÇ_MOV[[#This Row],[DATA DE LANÇAMENTO]],"D"))</f>
        <v>1</v>
      </c>
      <c r="AE192" s="526" t="str">
        <f>IF(LANÇ_MOV[[#This Row],[DATA DE VENCIMENTO]]="","",TEXT(LANÇ_MOV[[#This Row],[DATA DE VENCIMENTO]],"AAAA"))</f>
        <v>2026</v>
      </c>
      <c r="AF192" s="526" t="str">
        <f>IF(LANÇ_MOV[[#This Row],[DATA DE VENCIMENTO]]="","",UPPER(TEXT(LANÇ_MOV[[#This Row],[DATA DE VENCIMENTO]],"MMMM")))</f>
        <v>AGOSTO</v>
      </c>
      <c r="AG192" s="526" t="str">
        <f>IF(LANÇ_MOV[[#This Row],[DATA DE VENCIMENTO]]="","",TEXT(LANÇ_MOV[[#This Row],[DATA DE VENCIMENTO]],"M"))</f>
        <v>8</v>
      </c>
      <c r="AH192" s="526" t="str">
        <f>IF(LANÇ_MOV[[#This Row],[DATA DE VENCIMENTO]]="","",TEXT(LANÇ_MOV[[#This Row],[DATA DE VENCIMENTO]],"D"))</f>
        <v>13</v>
      </c>
      <c r="AI192" s="526" t="str">
        <f>IF(LANÇ_MOV[[#This Row],[DATA DE PAGAMENTO]]="","",TEXT(LANÇ_MOV[[#This Row],[DATA DE PAGAMENTO]],"AAAA"))</f>
        <v/>
      </c>
      <c r="AJ192" s="527" t="str">
        <f>IF(LANÇ_MOV[[#This Row],[DATA DE PAGAMENTO]]="","",UPPER(TEXT(LANÇ_MOV[[#This Row],[DATA DE PAGAMENTO]],"MMMM")))</f>
        <v/>
      </c>
      <c r="AK192" s="527" t="str">
        <f>IF(LANÇ_MOV[[#This Row],[DATA DE PAGAMENTO]]="","",TEXT(LANÇ_MOV[[#This Row],[DATA DE PAGAMENTO]],"M"))</f>
        <v/>
      </c>
      <c r="AL192" s="526" t="str">
        <f>IF(LANÇ_MOV[[#This Row],[DATA DE PAGAMENTO]]="","",TEXT(LANÇ_MOV[[#This Row],[DATA DE PAGAMENTO]],"D"))</f>
        <v/>
      </c>
      <c r="AM192" s="27"/>
      <c r="BB192" s="112"/>
      <c r="BC192" s="112"/>
      <c r="BD192" s="112"/>
    </row>
    <row r="193" spans="2:56" ht="30.05" customHeight="1" x14ac:dyDescent="0.35">
      <c r="B193" s="506">
        <v>45931</v>
      </c>
      <c r="C193" s="507" t="s">
        <v>1661</v>
      </c>
      <c r="D193" s="508" t="s">
        <v>1854</v>
      </c>
      <c r="E193" s="509" t="s">
        <v>228</v>
      </c>
      <c r="F193" s="510" t="s">
        <v>1818</v>
      </c>
      <c r="G193" s="507" t="s">
        <v>1876</v>
      </c>
      <c r="H193" s="511">
        <v>0</v>
      </c>
      <c r="I193" s="512" t="s">
        <v>1752</v>
      </c>
      <c r="J193" s="510">
        <v>2000</v>
      </c>
      <c r="K193" s="513">
        <v>0</v>
      </c>
      <c r="L193" s="513">
        <v>0</v>
      </c>
      <c r="M193" s="513">
        <v>0</v>
      </c>
      <c r="N193" s="514">
        <f>LANÇ_MOV[[#This Row],[VALOR BRUTO]]-LANÇ_MOV[[#This Row],[DESCONTO]]+LANÇ_MOV[[#This Row],[JUROS]]+LANÇ_MOV[[#This Row],[MULTA]]</f>
        <v>2000</v>
      </c>
      <c r="O193" s="528">
        <v>46278</v>
      </c>
      <c r="P193" s="516" t="str">
        <f t="shared" ca="1" si="2"/>
        <v>Prazo - Mais de 1 mês</v>
      </c>
      <c r="Q193" s="528"/>
      <c r="R193" s="529" t="s">
        <v>1564</v>
      </c>
      <c r="S193" s="531"/>
      <c r="T193" s="518" t="s">
        <v>1776</v>
      </c>
      <c r="U193" s="519" t="s">
        <v>2008</v>
      </c>
      <c r="V193" s="520" t="str">
        <f>IFERROR(VLOOKUP(LANÇ_MOV[[#This Row],[PLANO DE CONTAS]],Plano_Contas[[PLANO DE CONTAS]:[R / D]],3,0),"")</f>
        <v>Despesa</v>
      </c>
      <c r="W193" s="521" t="str">
        <f>IF(LANÇ_MOV[[#This Row],[DATA DE PAGAMENTO]]&lt;&gt;"","Pago","Não Pago")</f>
        <v>Não Pago</v>
      </c>
      <c r="X193" s="522" t="str">
        <f>IFERROR(IF(LANÇ_MOV[[#This Row],[DATA DE PAGAMENTO]]="","",(UPPER(TEXT(LANÇ_MOV[[#This Row],[DATA DE PAGAMENTO]],"mmmm")))),"")</f>
        <v/>
      </c>
      <c r="Y193" s="523" t="str">
        <f>IFERROR(VLOOKUP(LANÇ_MOV[[#This Row],[PLANO DE CONTAS]],Plano_Contas[[PLANO DE CONTAS]:[NOMES INTERVALOS]],2,0),"")</f>
        <v>Despesas_Com_RH</v>
      </c>
      <c r="Z193" s="523" t="str">
        <f>IF(LANÇ_MOV[[#This Row],[FORMA DE PAGAMENTO]]="","",VLOOKUP(LANÇ_MOV[[#This Row],[FORMA DE PAGAMENTO]],CAD_Forma_pagto[],2,0))</f>
        <v>PIX</v>
      </c>
      <c r="AA193" s="524" t="str">
        <f>IF(LANÇ_MOV[[#This Row],[DATA DE LANÇAMENTO]]="","",TEXT(LANÇ_MOV[[#This Row],[DATA DE LANÇAMENTO]],"AAAA"))</f>
        <v>2025</v>
      </c>
      <c r="AB193" s="524" t="str">
        <f>IF(LANÇ_MOV[[#This Row],[DATA DE LANÇAMENTO]]="","",UPPER(TEXT(LANÇ_MOV[[#This Row],[DATA DE LANÇAMENTO]],"MMMM")))</f>
        <v>OUTUBRO</v>
      </c>
      <c r="AC193" s="525" t="str">
        <f>IF(LANÇ_MOV[[#This Row],[DATA DE LANÇAMENTO]]="","",PROPER(TEXT(LANÇ_MOV[[#This Row],[DATA DE LANÇAMENTO]],"M")))</f>
        <v>10</v>
      </c>
      <c r="AD193" s="524" t="str">
        <f>IF(LANÇ_MOV[[#This Row],[DATA DE LANÇAMENTO]]="","",TEXT(LANÇ_MOV[[#This Row],[DATA DE LANÇAMENTO]],"D"))</f>
        <v>1</v>
      </c>
      <c r="AE193" s="526" t="str">
        <f>IF(LANÇ_MOV[[#This Row],[DATA DE VENCIMENTO]]="","",TEXT(LANÇ_MOV[[#This Row],[DATA DE VENCIMENTO]],"AAAA"))</f>
        <v>2026</v>
      </c>
      <c r="AF193" s="526" t="str">
        <f>IF(LANÇ_MOV[[#This Row],[DATA DE VENCIMENTO]]="","",UPPER(TEXT(LANÇ_MOV[[#This Row],[DATA DE VENCIMENTO]],"MMMM")))</f>
        <v>SETEMBRO</v>
      </c>
      <c r="AG193" s="526" t="str">
        <f>IF(LANÇ_MOV[[#This Row],[DATA DE VENCIMENTO]]="","",TEXT(LANÇ_MOV[[#This Row],[DATA DE VENCIMENTO]],"M"))</f>
        <v>9</v>
      </c>
      <c r="AH193" s="526" t="str">
        <f>IF(LANÇ_MOV[[#This Row],[DATA DE VENCIMENTO]]="","",TEXT(LANÇ_MOV[[#This Row],[DATA DE VENCIMENTO]],"D"))</f>
        <v>13</v>
      </c>
      <c r="AI193" s="526" t="str">
        <f>IF(LANÇ_MOV[[#This Row],[DATA DE PAGAMENTO]]="","",TEXT(LANÇ_MOV[[#This Row],[DATA DE PAGAMENTO]],"AAAA"))</f>
        <v/>
      </c>
      <c r="AJ193" s="527" t="str">
        <f>IF(LANÇ_MOV[[#This Row],[DATA DE PAGAMENTO]]="","",UPPER(TEXT(LANÇ_MOV[[#This Row],[DATA DE PAGAMENTO]],"MMMM")))</f>
        <v/>
      </c>
      <c r="AK193" s="527" t="str">
        <f>IF(LANÇ_MOV[[#This Row],[DATA DE PAGAMENTO]]="","",TEXT(LANÇ_MOV[[#This Row],[DATA DE PAGAMENTO]],"M"))</f>
        <v/>
      </c>
      <c r="AL193" s="526" t="str">
        <f>IF(LANÇ_MOV[[#This Row],[DATA DE PAGAMENTO]]="","",TEXT(LANÇ_MOV[[#This Row],[DATA DE PAGAMENTO]],"D"))</f>
        <v/>
      </c>
      <c r="AM193" s="27"/>
      <c r="BB193" s="112"/>
      <c r="BC193" s="112"/>
      <c r="BD193" s="112"/>
    </row>
    <row r="194" spans="2:56" ht="30.05" customHeight="1" x14ac:dyDescent="0.35">
      <c r="B194" s="506">
        <v>45931</v>
      </c>
      <c r="C194" s="507" t="s">
        <v>1661</v>
      </c>
      <c r="D194" s="508" t="s">
        <v>1854</v>
      </c>
      <c r="E194" s="509" t="s">
        <v>228</v>
      </c>
      <c r="F194" s="510" t="s">
        <v>1818</v>
      </c>
      <c r="G194" s="507" t="s">
        <v>1877</v>
      </c>
      <c r="H194" s="511">
        <v>0</v>
      </c>
      <c r="I194" s="512" t="s">
        <v>1752</v>
      </c>
      <c r="J194" s="510">
        <v>2000</v>
      </c>
      <c r="K194" s="513">
        <v>0</v>
      </c>
      <c r="L194" s="513">
        <v>0</v>
      </c>
      <c r="M194" s="513">
        <v>0</v>
      </c>
      <c r="N194" s="514">
        <f>LANÇ_MOV[[#This Row],[VALOR BRUTO]]-LANÇ_MOV[[#This Row],[DESCONTO]]+LANÇ_MOV[[#This Row],[JUROS]]+LANÇ_MOV[[#This Row],[MULTA]]</f>
        <v>2000</v>
      </c>
      <c r="O194" s="528">
        <v>46308</v>
      </c>
      <c r="P194" s="516" t="str">
        <f t="shared" ca="1" si="2"/>
        <v>Prazo - Mais de 1 mês</v>
      </c>
      <c r="Q194" s="528"/>
      <c r="R194" s="529" t="s">
        <v>1564</v>
      </c>
      <c r="S194" s="518"/>
      <c r="T194" s="518" t="s">
        <v>1776</v>
      </c>
      <c r="U194" s="519" t="s">
        <v>2008</v>
      </c>
      <c r="V194" s="520" t="str">
        <f>IFERROR(VLOOKUP(LANÇ_MOV[[#This Row],[PLANO DE CONTAS]],Plano_Contas[[PLANO DE CONTAS]:[R / D]],3,0),"")</f>
        <v>Despesa</v>
      </c>
      <c r="W194" s="521" t="str">
        <f>IF(LANÇ_MOV[[#This Row],[DATA DE PAGAMENTO]]&lt;&gt;"","Pago","Não Pago")</f>
        <v>Não Pago</v>
      </c>
      <c r="X194" s="522" t="str">
        <f>IFERROR(IF(LANÇ_MOV[[#This Row],[DATA DE PAGAMENTO]]="","",(UPPER(TEXT(LANÇ_MOV[[#This Row],[DATA DE PAGAMENTO]],"mmmm")))),"")</f>
        <v/>
      </c>
      <c r="Y194" s="523" t="str">
        <f>IFERROR(VLOOKUP(LANÇ_MOV[[#This Row],[PLANO DE CONTAS]],Plano_Contas[[PLANO DE CONTAS]:[NOMES INTERVALOS]],2,0),"")</f>
        <v>Despesas_Com_RH</v>
      </c>
      <c r="Z194" s="523" t="str">
        <f>IF(LANÇ_MOV[[#This Row],[FORMA DE PAGAMENTO]]="","",VLOOKUP(LANÇ_MOV[[#This Row],[FORMA DE PAGAMENTO]],CAD_Forma_pagto[],2,0))</f>
        <v>PIX</v>
      </c>
      <c r="AA194" s="524" t="str">
        <f>IF(LANÇ_MOV[[#This Row],[DATA DE LANÇAMENTO]]="","",TEXT(LANÇ_MOV[[#This Row],[DATA DE LANÇAMENTO]],"AAAA"))</f>
        <v>2025</v>
      </c>
      <c r="AB194" s="524" t="str">
        <f>IF(LANÇ_MOV[[#This Row],[DATA DE LANÇAMENTO]]="","",UPPER(TEXT(LANÇ_MOV[[#This Row],[DATA DE LANÇAMENTO]],"MMMM")))</f>
        <v>OUTUBRO</v>
      </c>
      <c r="AC194" s="525" t="str">
        <f>IF(LANÇ_MOV[[#This Row],[DATA DE LANÇAMENTO]]="","",PROPER(TEXT(LANÇ_MOV[[#This Row],[DATA DE LANÇAMENTO]],"M")))</f>
        <v>10</v>
      </c>
      <c r="AD194" s="524" t="str">
        <f>IF(LANÇ_MOV[[#This Row],[DATA DE LANÇAMENTO]]="","",TEXT(LANÇ_MOV[[#This Row],[DATA DE LANÇAMENTO]],"D"))</f>
        <v>1</v>
      </c>
      <c r="AE194" s="526" t="str">
        <f>IF(LANÇ_MOV[[#This Row],[DATA DE VENCIMENTO]]="","",TEXT(LANÇ_MOV[[#This Row],[DATA DE VENCIMENTO]],"AAAA"))</f>
        <v>2026</v>
      </c>
      <c r="AF194" s="526" t="str">
        <f>IF(LANÇ_MOV[[#This Row],[DATA DE VENCIMENTO]]="","",UPPER(TEXT(LANÇ_MOV[[#This Row],[DATA DE VENCIMENTO]],"MMMM")))</f>
        <v>OUTUBRO</v>
      </c>
      <c r="AG194" s="526" t="str">
        <f>IF(LANÇ_MOV[[#This Row],[DATA DE VENCIMENTO]]="","",TEXT(LANÇ_MOV[[#This Row],[DATA DE VENCIMENTO]],"M"))</f>
        <v>10</v>
      </c>
      <c r="AH194" s="526" t="str">
        <f>IF(LANÇ_MOV[[#This Row],[DATA DE VENCIMENTO]]="","",TEXT(LANÇ_MOV[[#This Row],[DATA DE VENCIMENTO]],"D"))</f>
        <v>13</v>
      </c>
      <c r="AI194" s="526" t="str">
        <f>IF(LANÇ_MOV[[#This Row],[DATA DE PAGAMENTO]]="","",TEXT(LANÇ_MOV[[#This Row],[DATA DE PAGAMENTO]],"AAAA"))</f>
        <v/>
      </c>
      <c r="AJ194" s="527" t="str">
        <f>IF(LANÇ_MOV[[#This Row],[DATA DE PAGAMENTO]]="","",UPPER(TEXT(LANÇ_MOV[[#This Row],[DATA DE PAGAMENTO]],"MMMM")))</f>
        <v/>
      </c>
      <c r="AK194" s="527" t="str">
        <f>IF(LANÇ_MOV[[#This Row],[DATA DE PAGAMENTO]]="","",TEXT(LANÇ_MOV[[#This Row],[DATA DE PAGAMENTO]],"M"))</f>
        <v/>
      </c>
      <c r="AL194" s="526" t="str">
        <f>IF(LANÇ_MOV[[#This Row],[DATA DE PAGAMENTO]]="","",TEXT(LANÇ_MOV[[#This Row],[DATA DE PAGAMENTO]],"D"))</f>
        <v/>
      </c>
      <c r="AM194" s="27"/>
      <c r="BB194" s="112"/>
      <c r="BC194" s="112"/>
      <c r="BD194" s="112"/>
    </row>
    <row r="195" spans="2:56" ht="30.05" customHeight="1" x14ac:dyDescent="0.35">
      <c r="B195" s="506">
        <v>45931</v>
      </c>
      <c r="C195" s="507" t="s">
        <v>1661</v>
      </c>
      <c r="D195" s="508" t="s">
        <v>1854</v>
      </c>
      <c r="E195" s="509" t="s">
        <v>228</v>
      </c>
      <c r="F195" s="510" t="s">
        <v>1818</v>
      </c>
      <c r="G195" s="507" t="s">
        <v>1878</v>
      </c>
      <c r="H195" s="537">
        <v>0</v>
      </c>
      <c r="I195" s="512" t="s">
        <v>1752</v>
      </c>
      <c r="J195" s="510">
        <v>2000</v>
      </c>
      <c r="K195" s="513">
        <v>0</v>
      </c>
      <c r="L195" s="513">
        <v>0</v>
      </c>
      <c r="M195" s="513">
        <v>0</v>
      </c>
      <c r="N195" s="514">
        <f>LANÇ_MOV[[#This Row],[VALOR BRUTO]]-LANÇ_MOV[[#This Row],[DESCONTO]]+LANÇ_MOV[[#This Row],[JUROS]]+LANÇ_MOV[[#This Row],[MULTA]]</f>
        <v>2000</v>
      </c>
      <c r="O195" s="528">
        <v>46339</v>
      </c>
      <c r="P195" s="516" t="str">
        <f t="shared" ca="1" si="2"/>
        <v>Prazo - Mais de 1 mês</v>
      </c>
      <c r="Q195" s="528"/>
      <c r="R195" s="529" t="s">
        <v>1564</v>
      </c>
      <c r="S195" s="531"/>
      <c r="T195" s="518" t="s">
        <v>1776</v>
      </c>
      <c r="U195" s="519" t="s">
        <v>2008</v>
      </c>
      <c r="V195" s="520" t="str">
        <f>IFERROR(VLOOKUP(LANÇ_MOV[[#This Row],[PLANO DE CONTAS]],Plano_Contas[[PLANO DE CONTAS]:[R / D]],3,0),"")</f>
        <v>Despesa</v>
      </c>
      <c r="W195" s="521" t="str">
        <f>IF(LANÇ_MOV[[#This Row],[DATA DE PAGAMENTO]]&lt;&gt;"","Pago","Não Pago")</f>
        <v>Não Pago</v>
      </c>
      <c r="X195" s="522" t="str">
        <f>IFERROR(IF(LANÇ_MOV[[#This Row],[DATA DE PAGAMENTO]]="","",(UPPER(TEXT(LANÇ_MOV[[#This Row],[DATA DE PAGAMENTO]],"mmmm")))),"")</f>
        <v/>
      </c>
      <c r="Y195" s="523" t="str">
        <f>IFERROR(VLOOKUP(LANÇ_MOV[[#This Row],[PLANO DE CONTAS]],Plano_Contas[[PLANO DE CONTAS]:[NOMES INTERVALOS]],2,0),"")</f>
        <v>Despesas_Com_RH</v>
      </c>
      <c r="Z195" s="523" t="str">
        <f>IF(LANÇ_MOV[[#This Row],[FORMA DE PAGAMENTO]]="","",VLOOKUP(LANÇ_MOV[[#This Row],[FORMA DE PAGAMENTO]],CAD_Forma_pagto[],2,0))</f>
        <v>PIX</v>
      </c>
      <c r="AA195" s="524" t="str">
        <f>IF(LANÇ_MOV[[#This Row],[DATA DE LANÇAMENTO]]="","",TEXT(LANÇ_MOV[[#This Row],[DATA DE LANÇAMENTO]],"AAAA"))</f>
        <v>2025</v>
      </c>
      <c r="AB195" s="524" t="str">
        <f>IF(LANÇ_MOV[[#This Row],[DATA DE LANÇAMENTO]]="","",UPPER(TEXT(LANÇ_MOV[[#This Row],[DATA DE LANÇAMENTO]],"MMMM")))</f>
        <v>OUTUBRO</v>
      </c>
      <c r="AC195" s="525" t="str">
        <f>IF(LANÇ_MOV[[#This Row],[DATA DE LANÇAMENTO]]="","",PROPER(TEXT(LANÇ_MOV[[#This Row],[DATA DE LANÇAMENTO]],"M")))</f>
        <v>10</v>
      </c>
      <c r="AD195" s="524" t="str">
        <f>IF(LANÇ_MOV[[#This Row],[DATA DE LANÇAMENTO]]="","",TEXT(LANÇ_MOV[[#This Row],[DATA DE LANÇAMENTO]],"D"))</f>
        <v>1</v>
      </c>
      <c r="AE195" s="526" t="str">
        <f>IF(LANÇ_MOV[[#This Row],[DATA DE VENCIMENTO]]="","",TEXT(LANÇ_MOV[[#This Row],[DATA DE VENCIMENTO]],"AAAA"))</f>
        <v>2026</v>
      </c>
      <c r="AF195" s="526" t="str">
        <f>IF(LANÇ_MOV[[#This Row],[DATA DE VENCIMENTO]]="","",UPPER(TEXT(LANÇ_MOV[[#This Row],[DATA DE VENCIMENTO]],"MMMM")))</f>
        <v>NOVEMBRO</v>
      </c>
      <c r="AG195" s="526" t="str">
        <f>IF(LANÇ_MOV[[#This Row],[DATA DE VENCIMENTO]]="","",TEXT(LANÇ_MOV[[#This Row],[DATA DE VENCIMENTO]],"M"))</f>
        <v>11</v>
      </c>
      <c r="AH195" s="526" t="str">
        <f>IF(LANÇ_MOV[[#This Row],[DATA DE VENCIMENTO]]="","",TEXT(LANÇ_MOV[[#This Row],[DATA DE VENCIMENTO]],"D"))</f>
        <v>13</v>
      </c>
      <c r="AI195" s="526" t="str">
        <f>IF(LANÇ_MOV[[#This Row],[DATA DE PAGAMENTO]]="","",TEXT(LANÇ_MOV[[#This Row],[DATA DE PAGAMENTO]],"AAAA"))</f>
        <v/>
      </c>
      <c r="AJ195" s="527" t="str">
        <f>IF(LANÇ_MOV[[#This Row],[DATA DE PAGAMENTO]]="","",UPPER(TEXT(LANÇ_MOV[[#This Row],[DATA DE PAGAMENTO]],"MMMM")))</f>
        <v/>
      </c>
      <c r="AK195" s="527" t="str">
        <f>IF(LANÇ_MOV[[#This Row],[DATA DE PAGAMENTO]]="","",TEXT(LANÇ_MOV[[#This Row],[DATA DE PAGAMENTO]],"M"))</f>
        <v/>
      </c>
      <c r="AL195" s="526" t="str">
        <f>IF(LANÇ_MOV[[#This Row],[DATA DE PAGAMENTO]]="","",TEXT(LANÇ_MOV[[#This Row],[DATA DE PAGAMENTO]],"D"))</f>
        <v/>
      </c>
      <c r="AM195" s="27"/>
      <c r="BB195" s="112"/>
      <c r="BC195" s="112"/>
      <c r="BD195" s="112"/>
    </row>
    <row r="196" spans="2:56" ht="30.05" customHeight="1" x14ac:dyDescent="0.35">
      <c r="B196" s="506">
        <v>45931</v>
      </c>
      <c r="C196" s="507" t="s">
        <v>1661</v>
      </c>
      <c r="D196" s="508" t="s">
        <v>1854</v>
      </c>
      <c r="E196" s="509" t="s">
        <v>228</v>
      </c>
      <c r="F196" s="510" t="s">
        <v>1818</v>
      </c>
      <c r="G196" s="507" t="s">
        <v>1879</v>
      </c>
      <c r="H196" s="537">
        <v>0</v>
      </c>
      <c r="I196" s="512" t="s">
        <v>1752</v>
      </c>
      <c r="J196" s="510">
        <v>2000</v>
      </c>
      <c r="K196" s="513">
        <v>0</v>
      </c>
      <c r="L196" s="513">
        <v>0</v>
      </c>
      <c r="M196" s="513">
        <v>0</v>
      </c>
      <c r="N196" s="514">
        <f>LANÇ_MOV[[#This Row],[VALOR BRUTO]]-LANÇ_MOV[[#This Row],[DESCONTO]]+LANÇ_MOV[[#This Row],[JUROS]]+LANÇ_MOV[[#This Row],[MULTA]]</f>
        <v>2000</v>
      </c>
      <c r="O196" s="528">
        <v>46369</v>
      </c>
      <c r="P196" s="516" t="str">
        <f t="shared" ca="1" si="2"/>
        <v>Prazo - Mais de 1 mês</v>
      </c>
      <c r="Q196" s="528"/>
      <c r="R196" s="529" t="s">
        <v>1564</v>
      </c>
      <c r="S196" s="531"/>
      <c r="T196" s="518" t="s">
        <v>1776</v>
      </c>
      <c r="U196" s="519" t="s">
        <v>2008</v>
      </c>
      <c r="V196" s="520" t="str">
        <f>IFERROR(VLOOKUP(LANÇ_MOV[[#This Row],[PLANO DE CONTAS]],Plano_Contas[[PLANO DE CONTAS]:[R / D]],3,0),"")</f>
        <v>Despesa</v>
      </c>
      <c r="W196" s="521" t="str">
        <f>IF(LANÇ_MOV[[#This Row],[DATA DE PAGAMENTO]]&lt;&gt;"","Pago","Não Pago")</f>
        <v>Não Pago</v>
      </c>
      <c r="X196" s="522" t="str">
        <f>IFERROR(IF(LANÇ_MOV[[#This Row],[DATA DE PAGAMENTO]]="","",(UPPER(TEXT(LANÇ_MOV[[#This Row],[DATA DE PAGAMENTO]],"mmmm")))),"")</f>
        <v/>
      </c>
      <c r="Y196" s="523" t="str">
        <f>IFERROR(VLOOKUP(LANÇ_MOV[[#This Row],[PLANO DE CONTAS]],Plano_Contas[[PLANO DE CONTAS]:[NOMES INTERVALOS]],2,0),"")</f>
        <v>Despesas_Com_RH</v>
      </c>
      <c r="Z196" s="523" t="str">
        <f>IF(LANÇ_MOV[[#This Row],[FORMA DE PAGAMENTO]]="","",VLOOKUP(LANÇ_MOV[[#This Row],[FORMA DE PAGAMENTO]],CAD_Forma_pagto[],2,0))</f>
        <v>PIX</v>
      </c>
      <c r="AA196" s="524" t="str">
        <f>IF(LANÇ_MOV[[#This Row],[DATA DE LANÇAMENTO]]="","",TEXT(LANÇ_MOV[[#This Row],[DATA DE LANÇAMENTO]],"AAAA"))</f>
        <v>2025</v>
      </c>
      <c r="AB196" s="524" t="str">
        <f>IF(LANÇ_MOV[[#This Row],[DATA DE LANÇAMENTO]]="","",UPPER(TEXT(LANÇ_MOV[[#This Row],[DATA DE LANÇAMENTO]],"MMMM")))</f>
        <v>OUTUBRO</v>
      </c>
      <c r="AC196" s="525" t="str">
        <f>IF(LANÇ_MOV[[#This Row],[DATA DE LANÇAMENTO]]="","",PROPER(TEXT(LANÇ_MOV[[#This Row],[DATA DE LANÇAMENTO]],"M")))</f>
        <v>10</v>
      </c>
      <c r="AD196" s="524" t="str">
        <f>IF(LANÇ_MOV[[#This Row],[DATA DE LANÇAMENTO]]="","",TEXT(LANÇ_MOV[[#This Row],[DATA DE LANÇAMENTO]],"D"))</f>
        <v>1</v>
      </c>
      <c r="AE196" s="526" t="str">
        <f>IF(LANÇ_MOV[[#This Row],[DATA DE VENCIMENTO]]="","",TEXT(LANÇ_MOV[[#This Row],[DATA DE VENCIMENTO]],"AAAA"))</f>
        <v>2026</v>
      </c>
      <c r="AF196" s="526" t="str">
        <f>IF(LANÇ_MOV[[#This Row],[DATA DE VENCIMENTO]]="","",UPPER(TEXT(LANÇ_MOV[[#This Row],[DATA DE VENCIMENTO]],"MMMM")))</f>
        <v>DEZEMBRO</v>
      </c>
      <c r="AG196" s="526" t="str">
        <f>IF(LANÇ_MOV[[#This Row],[DATA DE VENCIMENTO]]="","",TEXT(LANÇ_MOV[[#This Row],[DATA DE VENCIMENTO]],"M"))</f>
        <v>12</v>
      </c>
      <c r="AH196" s="526" t="str">
        <f>IF(LANÇ_MOV[[#This Row],[DATA DE VENCIMENTO]]="","",TEXT(LANÇ_MOV[[#This Row],[DATA DE VENCIMENTO]],"D"))</f>
        <v>13</v>
      </c>
      <c r="AI196" s="526" t="str">
        <f>IF(LANÇ_MOV[[#This Row],[DATA DE PAGAMENTO]]="","",TEXT(LANÇ_MOV[[#This Row],[DATA DE PAGAMENTO]],"AAAA"))</f>
        <v/>
      </c>
      <c r="AJ196" s="527" t="str">
        <f>IF(LANÇ_MOV[[#This Row],[DATA DE PAGAMENTO]]="","",UPPER(TEXT(LANÇ_MOV[[#This Row],[DATA DE PAGAMENTO]],"MMMM")))</f>
        <v/>
      </c>
      <c r="AK196" s="527" t="str">
        <f>IF(LANÇ_MOV[[#This Row],[DATA DE PAGAMENTO]]="","",TEXT(LANÇ_MOV[[#This Row],[DATA DE PAGAMENTO]],"M"))</f>
        <v/>
      </c>
      <c r="AL196" s="526" t="str">
        <f>IF(LANÇ_MOV[[#This Row],[DATA DE PAGAMENTO]]="","",TEXT(LANÇ_MOV[[#This Row],[DATA DE PAGAMENTO]],"D"))</f>
        <v/>
      </c>
      <c r="AM196" s="27"/>
      <c r="BB196" s="112"/>
      <c r="BC196" s="112"/>
      <c r="BD196" s="112"/>
    </row>
    <row r="197" spans="2:56" ht="30.05" customHeight="1" x14ac:dyDescent="0.35">
      <c r="B197" s="506">
        <v>45931</v>
      </c>
      <c r="C197" s="507" t="s">
        <v>1661</v>
      </c>
      <c r="D197" s="508" t="s">
        <v>1854</v>
      </c>
      <c r="E197" s="509" t="s">
        <v>228</v>
      </c>
      <c r="F197" s="510" t="s">
        <v>1818</v>
      </c>
      <c r="G197" s="507" t="s">
        <v>1880</v>
      </c>
      <c r="H197" s="511">
        <v>0</v>
      </c>
      <c r="I197" s="512" t="s">
        <v>1752</v>
      </c>
      <c r="J197" s="510">
        <v>2000</v>
      </c>
      <c r="K197" s="513">
        <v>0</v>
      </c>
      <c r="L197" s="513">
        <v>0</v>
      </c>
      <c r="M197" s="513">
        <v>0</v>
      </c>
      <c r="N197" s="514">
        <f>LANÇ_MOV[[#This Row],[VALOR BRUTO]]-LANÇ_MOV[[#This Row],[DESCONTO]]+LANÇ_MOV[[#This Row],[JUROS]]+LANÇ_MOV[[#This Row],[MULTA]]</f>
        <v>2000</v>
      </c>
      <c r="O197" s="528">
        <v>46400</v>
      </c>
      <c r="P197" s="516" t="str">
        <f t="shared" ref="P197:P260" ca="1" si="3">IF(O197="","",IF(Q197&lt;&gt;"","Pago",IF(O197-TODAY()&gt;30,"Prazo - Mais de 1 mês",IF(O197=TODAY(),"Hoje",IF(O197&lt;TODAY(),"Venceu",IF(O197-TODAY()&lt;10,"Prazo - Menos de 10 dias",IF(O197-TODAY()&lt;15,"Prazo - Menos de 15 dias","Prazo - Menos de 1 Mês")))))))</f>
        <v>Prazo - Mais de 1 mês</v>
      </c>
      <c r="Q197" s="528"/>
      <c r="R197" s="529" t="s">
        <v>1564</v>
      </c>
      <c r="S197" s="531"/>
      <c r="T197" s="518" t="s">
        <v>1776</v>
      </c>
      <c r="U197" s="519" t="s">
        <v>2008</v>
      </c>
      <c r="V197" s="520" t="str">
        <f>IFERROR(VLOOKUP(LANÇ_MOV[[#This Row],[PLANO DE CONTAS]],Plano_Contas[[PLANO DE CONTAS]:[R / D]],3,0),"")</f>
        <v>Despesa</v>
      </c>
      <c r="W197" s="521" t="str">
        <f>IF(LANÇ_MOV[[#This Row],[DATA DE PAGAMENTO]]&lt;&gt;"","Pago","Não Pago")</f>
        <v>Não Pago</v>
      </c>
      <c r="X197" s="522" t="str">
        <f>IFERROR(IF(LANÇ_MOV[[#This Row],[DATA DE PAGAMENTO]]="","",(UPPER(TEXT(LANÇ_MOV[[#This Row],[DATA DE PAGAMENTO]],"mmmm")))),"")</f>
        <v/>
      </c>
      <c r="Y197" s="523" t="str">
        <f>IFERROR(VLOOKUP(LANÇ_MOV[[#This Row],[PLANO DE CONTAS]],Plano_Contas[[PLANO DE CONTAS]:[NOMES INTERVALOS]],2,0),"")</f>
        <v>Despesas_Com_RH</v>
      </c>
      <c r="Z197" s="523" t="str">
        <f>IF(LANÇ_MOV[[#This Row],[FORMA DE PAGAMENTO]]="","",VLOOKUP(LANÇ_MOV[[#This Row],[FORMA DE PAGAMENTO]],CAD_Forma_pagto[],2,0))</f>
        <v>PIX</v>
      </c>
      <c r="AA197" s="524" t="str">
        <f>IF(LANÇ_MOV[[#This Row],[DATA DE LANÇAMENTO]]="","",TEXT(LANÇ_MOV[[#This Row],[DATA DE LANÇAMENTO]],"AAAA"))</f>
        <v>2025</v>
      </c>
      <c r="AB197" s="524" t="str">
        <f>IF(LANÇ_MOV[[#This Row],[DATA DE LANÇAMENTO]]="","",UPPER(TEXT(LANÇ_MOV[[#This Row],[DATA DE LANÇAMENTO]],"MMMM")))</f>
        <v>OUTUBRO</v>
      </c>
      <c r="AC197" s="525" t="str">
        <f>IF(LANÇ_MOV[[#This Row],[DATA DE LANÇAMENTO]]="","",PROPER(TEXT(LANÇ_MOV[[#This Row],[DATA DE LANÇAMENTO]],"M")))</f>
        <v>10</v>
      </c>
      <c r="AD197" s="524" t="str">
        <f>IF(LANÇ_MOV[[#This Row],[DATA DE LANÇAMENTO]]="","",TEXT(LANÇ_MOV[[#This Row],[DATA DE LANÇAMENTO]],"D"))</f>
        <v>1</v>
      </c>
      <c r="AE197" s="526" t="str">
        <f>IF(LANÇ_MOV[[#This Row],[DATA DE VENCIMENTO]]="","",TEXT(LANÇ_MOV[[#This Row],[DATA DE VENCIMENTO]],"AAAA"))</f>
        <v>2027</v>
      </c>
      <c r="AF197" s="526" t="str">
        <f>IF(LANÇ_MOV[[#This Row],[DATA DE VENCIMENTO]]="","",UPPER(TEXT(LANÇ_MOV[[#This Row],[DATA DE VENCIMENTO]],"MMMM")))</f>
        <v>JANEIRO</v>
      </c>
      <c r="AG197" s="526" t="str">
        <f>IF(LANÇ_MOV[[#This Row],[DATA DE VENCIMENTO]]="","",TEXT(LANÇ_MOV[[#This Row],[DATA DE VENCIMENTO]],"M"))</f>
        <v>1</v>
      </c>
      <c r="AH197" s="526" t="str">
        <f>IF(LANÇ_MOV[[#This Row],[DATA DE VENCIMENTO]]="","",TEXT(LANÇ_MOV[[#This Row],[DATA DE VENCIMENTO]],"D"))</f>
        <v>13</v>
      </c>
      <c r="AI197" s="526" t="str">
        <f>IF(LANÇ_MOV[[#This Row],[DATA DE PAGAMENTO]]="","",TEXT(LANÇ_MOV[[#This Row],[DATA DE PAGAMENTO]],"AAAA"))</f>
        <v/>
      </c>
      <c r="AJ197" s="527" t="str">
        <f>IF(LANÇ_MOV[[#This Row],[DATA DE PAGAMENTO]]="","",UPPER(TEXT(LANÇ_MOV[[#This Row],[DATA DE PAGAMENTO]],"MMMM")))</f>
        <v/>
      </c>
      <c r="AK197" s="527" t="str">
        <f>IF(LANÇ_MOV[[#This Row],[DATA DE PAGAMENTO]]="","",TEXT(LANÇ_MOV[[#This Row],[DATA DE PAGAMENTO]],"M"))</f>
        <v/>
      </c>
      <c r="AL197" s="526" t="str">
        <f>IF(LANÇ_MOV[[#This Row],[DATA DE PAGAMENTO]]="","",TEXT(LANÇ_MOV[[#This Row],[DATA DE PAGAMENTO]],"D"))</f>
        <v/>
      </c>
      <c r="AM197" s="27"/>
      <c r="BB197" s="112"/>
      <c r="BC197" s="112"/>
      <c r="BD197" s="112"/>
    </row>
    <row r="198" spans="2:56" ht="30.05" customHeight="1" x14ac:dyDescent="0.35">
      <c r="B198" s="506">
        <v>45931</v>
      </c>
      <c r="C198" s="507" t="s">
        <v>1661</v>
      </c>
      <c r="D198" s="508" t="s">
        <v>1854</v>
      </c>
      <c r="E198" s="509" t="s">
        <v>228</v>
      </c>
      <c r="F198" s="510" t="s">
        <v>1818</v>
      </c>
      <c r="G198" s="507" t="s">
        <v>1881</v>
      </c>
      <c r="H198" s="537">
        <v>0</v>
      </c>
      <c r="I198" s="512" t="s">
        <v>1752</v>
      </c>
      <c r="J198" s="510">
        <v>2000</v>
      </c>
      <c r="K198" s="513">
        <v>0</v>
      </c>
      <c r="L198" s="513">
        <v>0</v>
      </c>
      <c r="M198" s="513">
        <v>0</v>
      </c>
      <c r="N198" s="514">
        <f>LANÇ_MOV[[#This Row],[VALOR BRUTO]]-LANÇ_MOV[[#This Row],[DESCONTO]]+LANÇ_MOV[[#This Row],[JUROS]]+LANÇ_MOV[[#This Row],[MULTA]]</f>
        <v>2000</v>
      </c>
      <c r="O198" s="528">
        <v>46431</v>
      </c>
      <c r="P198" s="516" t="str">
        <f t="shared" ca="1" si="3"/>
        <v>Prazo - Mais de 1 mês</v>
      </c>
      <c r="Q198" s="528"/>
      <c r="R198" s="529" t="s">
        <v>1564</v>
      </c>
      <c r="S198" s="531"/>
      <c r="T198" s="518" t="s">
        <v>1776</v>
      </c>
      <c r="U198" s="519" t="s">
        <v>2008</v>
      </c>
      <c r="V198" s="520" t="str">
        <f>IFERROR(VLOOKUP(LANÇ_MOV[[#This Row],[PLANO DE CONTAS]],Plano_Contas[[PLANO DE CONTAS]:[R / D]],3,0),"")</f>
        <v>Despesa</v>
      </c>
      <c r="W198" s="521" t="str">
        <f>IF(LANÇ_MOV[[#This Row],[DATA DE PAGAMENTO]]&lt;&gt;"","Pago","Não Pago")</f>
        <v>Não Pago</v>
      </c>
      <c r="X198" s="522" t="str">
        <f>IFERROR(IF(LANÇ_MOV[[#This Row],[DATA DE PAGAMENTO]]="","",(UPPER(TEXT(LANÇ_MOV[[#This Row],[DATA DE PAGAMENTO]],"mmmm")))),"")</f>
        <v/>
      </c>
      <c r="Y198" s="523" t="str">
        <f>IFERROR(VLOOKUP(LANÇ_MOV[[#This Row],[PLANO DE CONTAS]],Plano_Contas[[PLANO DE CONTAS]:[NOMES INTERVALOS]],2,0),"")</f>
        <v>Despesas_Com_RH</v>
      </c>
      <c r="Z198" s="523" t="str">
        <f>IF(LANÇ_MOV[[#This Row],[FORMA DE PAGAMENTO]]="","",VLOOKUP(LANÇ_MOV[[#This Row],[FORMA DE PAGAMENTO]],CAD_Forma_pagto[],2,0))</f>
        <v>PIX</v>
      </c>
      <c r="AA198" s="524" t="str">
        <f>IF(LANÇ_MOV[[#This Row],[DATA DE LANÇAMENTO]]="","",TEXT(LANÇ_MOV[[#This Row],[DATA DE LANÇAMENTO]],"AAAA"))</f>
        <v>2025</v>
      </c>
      <c r="AB198" s="524" t="str">
        <f>IF(LANÇ_MOV[[#This Row],[DATA DE LANÇAMENTO]]="","",UPPER(TEXT(LANÇ_MOV[[#This Row],[DATA DE LANÇAMENTO]],"MMMM")))</f>
        <v>OUTUBRO</v>
      </c>
      <c r="AC198" s="525" t="str">
        <f>IF(LANÇ_MOV[[#This Row],[DATA DE LANÇAMENTO]]="","",PROPER(TEXT(LANÇ_MOV[[#This Row],[DATA DE LANÇAMENTO]],"M")))</f>
        <v>10</v>
      </c>
      <c r="AD198" s="524" t="str">
        <f>IF(LANÇ_MOV[[#This Row],[DATA DE LANÇAMENTO]]="","",TEXT(LANÇ_MOV[[#This Row],[DATA DE LANÇAMENTO]],"D"))</f>
        <v>1</v>
      </c>
      <c r="AE198" s="526" t="str">
        <f>IF(LANÇ_MOV[[#This Row],[DATA DE VENCIMENTO]]="","",TEXT(LANÇ_MOV[[#This Row],[DATA DE VENCIMENTO]],"AAAA"))</f>
        <v>2027</v>
      </c>
      <c r="AF198" s="526" t="str">
        <f>IF(LANÇ_MOV[[#This Row],[DATA DE VENCIMENTO]]="","",UPPER(TEXT(LANÇ_MOV[[#This Row],[DATA DE VENCIMENTO]],"MMMM")))</f>
        <v>FEVEREIRO</v>
      </c>
      <c r="AG198" s="526" t="str">
        <f>IF(LANÇ_MOV[[#This Row],[DATA DE VENCIMENTO]]="","",TEXT(LANÇ_MOV[[#This Row],[DATA DE VENCIMENTO]],"M"))</f>
        <v>2</v>
      </c>
      <c r="AH198" s="526" t="str">
        <f>IF(LANÇ_MOV[[#This Row],[DATA DE VENCIMENTO]]="","",TEXT(LANÇ_MOV[[#This Row],[DATA DE VENCIMENTO]],"D"))</f>
        <v>13</v>
      </c>
      <c r="AI198" s="526" t="str">
        <f>IF(LANÇ_MOV[[#This Row],[DATA DE PAGAMENTO]]="","",TEXT(LANÇ_MOV[[#This Row],[DATA DE PAGAMENTO]],"AAAA"))</f>
        <v/>
      </c>
      <c r="AJ198" s="527" t="str">
        <f>IF(LANÇ_MOV[[#This Row],[DATA DE PAGAMENTO]]="","",UPPER(TEXT(LANÇ_MOV[[#This Row],[DATA DE PAGAMENTO]],"MMMM")))</f>
        <v/>
      </c>
      <c r="AK198" s="527" t="str">
        <f>IF(LANÇ_MOV[[#This Row],[DATA DE PAGAMENTO]]="","",TEXT(LANÇ_MOV[[#This Row],[DATA DE PAGAMENTO]],"M"))</f>
        <v/>
      </c>
      <c r="AL198" s="526" t="str">
        <f>IF(LANÇ_MOV[[#This Row],[DATA DE PAGAMENTO]]="","",TEXT(LANÇ_MOV[[#This Row],[DATA DE PAGAMENTO]],"D"))</f>
        <v/>
      </c>
      <c r="AM198" s="27"/>
      <c r="BB198" s="112"/>
      <c r="BC198" s="112"/>
      <c r="BD198" s="112"/>
    </row>
    <row r="199" spans="2:56" ht="30.05" customHeight="1" x14ac:dyDescent="0.35">
      <c r="B199" s="506">
        <v>45931</v>
      </c>
      <c r="C199" s="507" t="s">
        <v>1661</v>
      </c>
      <c r="D199" s="508" t="s">
        <v>1854</v>
      </c>
      <c r="E199" s="509" t="s">
        <v>228</v>
      </c>
      <c r="F199" s="510" t="s">
        <v>1818</v>
      </c>
      <c r="G199" s="536" t="s">
        <v>1882</v>
      </c>
      <c r="H199" s="537">
        <v>0</v>
      </c>
      <c r="I199" s="512" t="s">
        <v>1752</v>
      </c>
      <c r="J199" s="510">
        <v>2000</v>
      </c>
      <c r="K199" s="513">
        <v>0</v>
      </c>
      <c r="L199" s="513">
        <v>0</v>
      </c>
      <c r="M199" s="513">
        <v>0</v>
      </c>
      <c r="N199" s="514">
        <f>LANÇ_MOV[[#This Row],[VALOR BRUTO]]-LANÇ_MOV[[#This Row],[DESCONTO]]+LANÇ_MOV[[#This Row],[JUROS]]+LANÇ_MOV[[#This Row],[MULTA]]</f>
        <v>2000</v>
      </c>
      <c r="O199" s="528">
        <v>46459</v>
      </c>
      <c r="P199" s="516" t="str">
        <f t="shared" ca="1" si="3"/>
        <v>Prazo - Mais de 1 mês</v>
      </c>
      <c r="Q199" s="528"/>
      <c r="R199" s="529" t="s">
        <v>1564</v>
      </c>
      <c r="S199" s="531"/>
      <c r="T199" s="518" t="s">
        <v>1776</v>
      </c>
      <c r="U199" s="519" t="s">
        <v>2008</v>
      </c>
      <c r="V199" s="520" t="str">
        <f>IFERROR(VLOOKUP(LANÇ_MOV[[#This Row],[PLANO DE CONTAS]],Plano_Contas[[PLANO DE CONTAS]:[R / D]],3,0),"")</f>
        <v>Despesa</v>
      </c>
      <c r="W199" s="521" t="str">
        <f>IF(LANÇ_MOV[[#This Row],[DATA DE PAGAMENTO]]&lt;&gt;"","Pago","Não Pago")</f>
        <v>Não Pago</v>
      </c>
      <c r="X199" s="522" t="str">
        <f>IFERROR(IF(LANÇ_MOV[[#This Row],[DATA DE PAGAMENTO]]="","",(UPPER(TEXT(LANÇ_MOV[[#This Row],[DATA DE PAGAMENTO]],"mmmm")))),"")</f>
        <v/>
      </c>
      <c r="Y199" s="523" t="str">
        <f>IFERROR(VLOOKUP(LANÇ_MOV[[#This Row],[PLANO DE CONTAS]],Plano_Contas[[PLANO DE CONTAS]:[NOMES INTERVALOS]],2,0),"")</f>
        <v>Despesas_Com_RH</v>
      </c>
      <c r="Z199" s="523" t="str">
        <f>IF(LANÇ_MOV[[#This Row],[FORMA DE PAGAMENTO]]="","",VLOOKUP(LANÇ_MOV[[#This Row],[FORMA DE PAGAMENTO]],CAD_Forma_pagto[],2,0))</f>
        <v>PIX</v>
      </c>
      <c r="AA199" s="524" t="str">
        <f>IF(LANÇ_MOV[[#This Row],[DATA DE LANÇAMENTO]]="","",TEXT(LANÇ_MOV[[#This Row],[DATA DE LANÇAMENTO]],"AAAA"))</f>
        <v>2025</v>
      </c>
      <c r="AB199" s="524" t="str">
        <f>IF(LANÇ_MOV[[#This Row],[DATA DE LANÇAMENTO]]="","",UPPER(TEXT(LANÇ_MOV[[#This Row],[DATA DE LANÇAMENTO]],"MMMM")))</f>
        <v>OUTUBRO</v>
      </c>
      <c r="AC199" s="525" t="str">
        <f>IF(LANÇ_MOV[[#This Row],[DATA DE LANÇAMENTO]]="","",PROPER(TEXT(LANÇ_MOV[[#This Row],[DATA DE LANÇAMENTO]],"M")))</f>
        <v>10</v>
      </c>
      <c r="AD199" s="524" t="str">
        <f>IF(LANÇ_MOV[[#This Row],[DATA DE LANÇAMENTO]]="","",TEXT(LANÇ_MOV[[#This Row],[DATA DE LANÇAMENTO]],"D"))</f>
        <v>1</v>
      </c>
      <c r="AE199" s="526" t="str">
        <f>IF(LANÇ_MOV[[#This Row],[DATA DE VENCIMENTO]]="","",TEXT(LANÇ_MOV[[#This Row],[DATA DE VENCIMENTO]],"AAAA"))</f>
        <v>2027</v>
      </c>
      <c r="AF199" s="526" t="str">
        <f>IF(LANÇ_MOV[[#This Row],[DATA DE VENCIMENTO]]="","",UPPER(TEXT(LANÇ_MOV[[#This Row],[DATA DE VENCIMENTO]],"MMMM")))</f>
        <v>MARÇO</v>
      </c>
      <c r="AG199" s="526" t="str">
        <f>IF(LANÇ_MOV[[#This Row],[DATA DE VENCIMENTO]]="","",TEXT(LANÇ_MOV[[#This Row],[DATA DE VENCIMENTO]],"M"))</f>
        <v>3</v>
      </c>
      <c r="AH199" s="526" t="str">
        <f>IF(LANÇ_MOV[[#This Row],[DATA DE VENCIMENTO]]="","",TEXT(LANÇ_MOV[[#This Row],[DATA DE VENCIMENTO]],"D"))</f>
        <v>13</v>
      </c>
      <c r="AI199" s="526" t="str">
        <f>IF(LANÇ_MOV[[#This Row],[DATA DE PAGAMENTO]]="","",TEXT(LANÇ_MOV[[#This Row],[DATA DE PAGAMENTO]],"AAAA"))</f>
        <v/>
      </c>
      <c r="AJ199" s="527" t="str">
        <f>IF(LANÇ_MOV[[#This Row],[DATA DE PAGAMENTO]]="","",UPPER(TEXT(LANÇ_MOV[[#This Row],[DATA DE PAGAMENTO]],"MMMM")))</f>
        <v/>
      </c>
      <c r="AK199" s="527" t="str">
        <f>IF(LANÇ_MOV[[#This Row],[DATA DE PAGAMENTO]]="","",TEXT(LANÇ_MOV[[#This Row],[DATA DE PAGAMENTO]],"M"))</f>
        <v/>
      </c>
      <c r="AL199" s="526" t="str">
        <f>IF(LANÇ_MOV[[#This Row],[DATA DE PAGAMENTO]]="","",TEXT(LANÇ_MOV[[#This Row],[DATA DE PAGAMENTO]],"D"))</f>
        <v/>
      </c>
      <c r="AM199" s="27"/>
      <c r="BB199" s="112"/>
      <c r="BC199" s="112"/>
      <c r="BD199" s="112"/>
    </row>
    <row r="200" spans="2:56" ht="30.05" customHeight="1" x14ac:dyDescent="0.35">
      <c r="B200" s="506">
        <v>45931</v>
      </c>
      <c r="C200" s="507" t="s">
        <v>1661</v>
      </c>
      <c r="D200" s="508" t="s">
        <v>1854</v>
      </c>
      <c r="E200" s="509" t="s">
        <v>228</v>
      </c>
      <c r="F200" s="510" t="s">
        <v>1818</v>
      </c>
      <c r="G200" s="507" t="s">
        <v>1883</v>
      </c>
      <c r="H200" s="537">
        <v>0</v>
      </c>
      <c r="I200" s="512" t="s">
        <v>1752</v>
      </c>
      <c r="J200" s="510">
        <v>2000</v>
      </c>
      <c r="K200" s="513">
        <v>0</v>
      </c>
      <c r="L200" s="513">
        <v>0</v>
      </c>
      <c r="M200" s="513">
        <v>0</v>
      </c>
      <c r="N200" s="514">
        <f>LANÇ_MOV[[#This Row],[VALOR BRUTO]]-LANÇ_MOV[[#This Row],[DESCONTO]]+LANÇ_MOV[[#This Row],[JUROS]]+LANÇ_MOV[[#This Row],[MULTA]]</f>
        <v>2000</v>
      </c>
      <c r="O200" s="528">
        <v>46490</v>
      </c>
      <c r="P200" s="516" t="str">
        <f t="shared" ca="1" si="3"/>
        <v>Prazo - Mais de 1 mês</v>
      </c>
      <c r="Q200" s="528"/>
      <c r="R200" s="529" t="s">
        <v>1564</v>
      </c>
      <c r="S200" s="531"/>
      <c r="T200" s="518" t="s">
        <v>1776</v>
      </c>
      <c r="U200" s="519" t="s">
        <v>2008</v>
      </c>
      <c r="V200" s="520" t="str">
        <f>IFERROR(VLOOKUP(LANÇ_MOV[[#This Row],[PLANO DE CONTAS]],Plano_Contas[[PLANO DE CONTAS]:[R / D]],3,0),"")</f>
        <v>Despesa</v>
      </c>
      <c r="W200" s="521" t="str">
        <f>IF(LANÇ_MOV[[#This Row],[DATA DE PAGAMENTO]]&lt;&gt;"","Pago","Não Pago")</f>
        <v>Não Pago</v>
      </c>
      <c r="X200" s="522" t="str">
        <f>IFERROR(IF(LANÇ_MOV[[#This Row],[DATA DE PAGAMENTO]]="","",(UPPER(TEXT(LANÇ_MOV[[#This Row],[DATA DE PAGAMENTO]],"mmmm")))),"")</f>
        <v/>
      </c>
      <c r="Y200" s="523" t="str">
        <f>IFERROR(VLOOKUP(LANÇ_MOV[[#This Row],[PLANO DE CONTAS]],Plano_Contas[[PLANO DE CONTAS]:[NOMES INTERVALOS]],2,0),"")</f>
        <v>Despesas_Com_RH</v>
      </c>
      <c r="Z200" s="523" t="str">
        <f>IF(LANÇ_MOV[[#This Row],[FORMA DE PAGAMENTO]]="","",VLOOKUP(LANÇ_MOV[[#This Row],[FORMA DE PAGAMENTO]],CAD_Forma_pagto[],2,0))</f>
        <v>PIX</v>
      </c>
      <c r="AA200" s="524" t="str">
        <f>IF(LANÇ_MOV[[#This Row],[DATA DE LANÇAMENTO]]="","",TEXT(LANÇ_MOV[[#This Row],[DATA DE LANÇAMENTO]],"AAAA"))</f>
        <v>2025</v>
      </c>
      <c r="AB200" s="524" t="str">
        <f>IF(LANÇ_MOV[[#This Row],[DATA DE LANÇAMENTO]]="","",UPPER(TEXT(LANÇ_MOV[[#This Row],[DATA DE LANÇAMENTO]],"MMMM")))</f>
        <v>OUTUBRO</v>
      </c>
      <c r="AC200" s="525" t="str">
        <f>IF(LANÇ_MOV[[#This Row],[DATA DE LANÇAMENTO]]="","",PROPER(TEXT(LANÇ_MOV[[#This Row],[DATA DE LANÇAMENTO]],"M")))</f>
        <v>10</v>
      </c>
      <c r="AD200" s="524" t="str">
        <f>IF(LANÇ_MOV[[#This Row],[DATA DE LANÇAMENTO]]="","",TEXT(LANÇ_MOV[[#This Row],[DATA DE LANÇAMENTO]],"D"))</f>
        <v>1</v>
      </c>
      <c r="AE200" s="526" t="str">
        <f>IF(LANÇ_MOV[[#This Row],[DATA DE VENCIMENTO]]="","",TEXT(LANÇ_MOV[[#This Row],[DATA DE VENCIMENTO]],"AAAA"))</f>
        <v>2027</v>
      </c>
      <c r="AF200" s="526" t="str">
        <f>IF(LANÇ_MOV[[#This Row],[DATA DE VENCIMENTO]]="","",UPPER(TEXT(LANÇ_MOV[[#This Row],[DATA DE VENCIMENTO]],"MMMM")))</f>
        <v>ABRIL</v>
      </c>
      <c r="AG200" s="526" t="str">
        <f>IF(LANÇ_MOV[[#This Row],[DATA DE VENCIMENTO]]="","",TEXT(LANÇ_MOV[[#This Row],[DATA DE VENCIMENTO]],"M"))</f>
        <v>4</v>
      </c>
      <c r="AH200" s="526" t="str">
        <f>IF(LANÇ_MOV[[#This Row],[DATA DE VENCIMENTO]]="","",TEXT(LANÇ_MOV[[#This Row],[DATA DE VENCIMENTO]],"D"))</f>
        <v>13</v>
      </c>
      <c r="AI200" s="526" t="str">
        <f>IF(LANÇ_MOV[[#This Row],[DATA DE PAGAMENTO]]="","",TEXT(LANÇ_MOV[[#This Row],[DATA DE PAGAMENTO]],"AAAA"))</f>
        <v/>
      </c>
      <c r="AJ200" s="527" t="str">
        <f>IF(LANÇ_MOV[[#This Row],[DATA DE PAGAMENTO]]="","",UPPER(TEXT(LANÇ_MOV[[#This Row],[DATA DE PAGAMENTO]],"MMMM")))</f>
        <v/>
      </c>
      <c r="AK200" s="527" t="str">
        <f>IF(LANÇ_MOV[[#This Row],[DATA DE PAGAMENTO]]="","",TEXT(LANÇ_MOV[[#This Row],[DATA DE PAGAMENTO]],"M"))</f>
        <v/>
      </c>
      <c r="AL200" s="526" t="str">
        <f>IF(LANÇ_MOV[[#This Row],[DATA DE PAGAMENTO]]="","",TEXT(LANÇ_MOV[[#This Row],[DATA DE PAGAMENTO]],"D"))</f>
        <v/>
      </c>
      <c r="AM200" s="27"/>
      <c r="BB200" s="112"/>
      <c r="BC200" s="112"/>
      <c r="BD200" s="112"/>
    </row>
    <row r="201" spans="2:56" ht="30.05" customHeight="1" x14ac:dyDescent="0.35">
      <c r="B201" s="506">
        <v>45931</v>
      </c>
      <c r="C201" s="507" t="s">
        <v>1661</v>
      </c>
      <c r="D201" s="508" t="s">
        <v>1854</v>
      </c>
      <c r="E201" s="509" t="s">
        <v>228</v>
      </c>
      <c r="F201" s="510" t="s">
        <v>1818</v>
      </c>
      <c r="G201" s="507" t="s">
        <v>1884</v>
      </c>
      <c r="H201" s="537">
        <v>0</v>
      </c>
      <c r="I201" s="512" t="s">
        <v>1752</v>
      </c>
      <c r="J201" s="510">
        <v>2000</v>
      </c>
      <c r="K201" s="513">
        <v>0</v>
      </c>
      <c r="L201" s="513">
        <v>0</v>
      </c>
      <c r="M201" s="513">
        <v>0</v>
      </c>
      <c r="N201" s="514">
        <f>LANÇ_MOV[[#This Row],[VALOR BRUTO]]-LANÇ_MOV[[#This Row],[DESCONTO]]+LANÇ_MOV[[#This Row],[JUROS]]+LANÇ_MOV[[#This Row],[MULTA]]</f>
        <v>2000</v>
      </c>
      <c r="O201" s="528">
        <v>46520</v>
      </c>
      <c r="P201" s="516" t="str">
        <f t="shared" ca="1" si="3"/>
        <v>Prazo - Mais de 1 mês</v>
      </c>
      <c r="Q201" s="528"/>
      <c r="R201" s="529" t="s">
        <v>1564</v>
      </c>
      <c r="S201" s="518"/>
      <c r="T201" s="518" t="s">
        <v>1776</v>
      </c>
      <c r="U201" s="519" t="s">
        <v>2008</v>
      </c>
      <c r="V201" s="520" t="str">
        <f>IFERROR(VLOOKUP(LANÇ_MOV[[#This Row],[PLANO DE CONTAS]],Plano_Contas[[PLANO DE CONTAS]:[R / D]],3,0),"")</f>
        <v>Despesa</v>
      </c>
      <c r="W201" s="521" t="str">
        <f>IF(LANÇ_MOV[[#This Row],[DATA DE PAGAMENTO]]&lt;&gt;"","Pago","Não Pago")</f>
        <v>Não Pago</v>
      </c>
      <c r="X201" s="522" t="str">
        <f>IFERROR(IF(LANÇ_MOV[[#This Row],[DATA DE PAGAMENTO]]="","",(UPPER(TEXT(LANÇ_MOV[[#This Row],[DATA DE PAGAMENTO]],"mmmm")))),"")</f>
        <v/>
      </c>
      <c r="Y201" s="523" t="str">
        <f>IFERROR(VLOOKUP(LANÇ_MOV[[#This Row],[PLANO DE CONTAS]],Plano_Contas[[PLANO DE CONTAS]:[NOMES INTERVALOS]],2,0),"")</f>
        <v>Despesas_Com_RH</v>
      </c>
      <c r="Z201" s="523" t="str">
        <f>IF(LANÇ_MOV[[#This Row],[FORMA DE PAGAMENTO]]="","",VLOOKUP(LANÇ_MOV[[#This Row],[FORMA DE PAGAMENTO]],CAD_Forma_pagto[],2,0))</f>
        <v>PIX</v>
      </c>
      <c r="AA201" s="524" t="str">
        <f>IF(LANÇ_MOV[[#This Row],[DATA DE LANÇAMENTO]]="","",TEXT(LANÇ_MOV[[#This Row],[DATA DE LANÇAMENTO]],"AAAA"))</f>
        <v>2025</v>
      </c>
      <c r="AB201" s="524" t="str">
        <f>IF(LANÇ_MOV[[#This Row],[DATA DE LANÇAMENTO]]="","",UPPER(TEXT(LANÇ_MOV[[#This Row],[DATA DE LANÇAMENTO]],"MMMM")))</f>
        <v>OUTUBRO</v>
      </c>
      <c r="AC201" s="525" t="str">
        <f>IF(LANÇ_MOV[[#This Row],[DATA DE LANÇAMENTO]]="","",PROPER(TEXT(LANÇ_MOV[[#This Row],[DATA DE LANÇAMENTO]],"M")))</f>
        <v>10</v>
      </c>
      <c r="AD201" s="524" t="str">
        <f>IF(LANÇ_MOV[[#This Row],[DATA DE LANÇAMENTO]]="","",TEXT(LANÇ_MOV[[#This Row],[DATA DE LANÇAMENTO]],"D"))</f>
        <v>1</v>
      </c>
      <c r="AE201" s="526" t="str">
        <f>IF(LANÇ_MOV[[#This Row],[DATA DE VENCIMENTO]]="","",TEXT(LANÇ_MOV[[#This Row],[DATA DE VENCIMENTO]],"AAAA"))</f>
        <v>2027</v>
      </c>
      <c r="AF201" s="526" t="str">
        <f>IF(LANÇ_MOV[[#This Row],[DATA DE VENCIMENTO]]="","",UPPER(TEXT(LANÇ_MOV[[#This Row],[DATA DE VENCIMENTO]],"MMMM")))</f>
        <v>MAIO</v>
      </c>
      <c r="AG201" s="526" t="str">
        <f>IF(LANÇ_MOV[[#This Row],[DATA DE VENCIMENTO]]="","",TEXT(LANÇ_MOV[[#This Row],[DATA DE VENCIMENTO]],"M"))</f>
        <v>5</v>
      </c>
      <c r="AH201" s="526" t="str">
        <f>IF(LANÇ_MOV[[#This Row],[DATA DE VENCIMENTO]]="","",TEXT(LANÇ_MOV[[#This Row],[DATA DE VENCIMENTO]],"D"))</f>
        <v>13</v>
      </c>
      <c r="AI201" s="526" t="str">
        <f>IF(LANÇ_MOV[[#This Row],[DATA DE PAGAMENTO]]="","",TEXT(LANÇ_MOV[[#This Row],[DATA DE PAGAMENTO]],"AAAA"))</f>
        <v/>
      </c>
      <c r="AJ201" s="527" t="str">
        <f>IF(LANÇ_MOV[[#This Row],[DATA DE PAGAMENTO]]="","",UPPER(TEXT(LANÇ_MOV[[#This Row],[DATA DE PAGAMENTO]],"MMMM")))</f>
        <v/>
      </c>
      <c r="AK201" s="527" t="str">
        <f>IF(LANÇ_MOV[[#This Row],[DATA DE PAGAMENTO]]="","",TEXT(LANÇ_MOV[[#This Row],[DATA DE PAGAMENTO]],"M"))</f>
        <v/>
      </c>
      <c r="AL201" s="526" t="str">
        <f>IF(LANÇ_MOV[[#This Row],[DATA DE PAGAMENTO]]="","",TEXT(LANÇ_MOV[[#This Row],[DATA DE PAGAMENTO]],"D"))</f>
        <v/>
      </c>
      <c r="AM201" s="27"/>
      <c r="BB201" s="112"/>
      <c r="BC201" s="112"/>
      <c r="BD201" s="112"/>
    </row>
    <row r="202" spans="2:56" ht="30.05" customHeight="1" x14ac:dyDescent="0.35">
      <c r="B202" s="506">
        <v>45931</v>
      </c>
      <c r="C202" s="507" t="s">
        <v>1661</v>
      </c>
      <c r="D202" s="508" t="s">
        <v>1854</v>
      </c>
      <c r="E202" s="509" t="s">
        <v>228</v>
      </c>
      <c r="F202" s="510" t="s">
        <v>1818</v>
      </c>
      <c r="G202" s="507" t="s">
        <v>1885</v>
      </c>
      <c r="H202" s="537">
        <v>0</v>
      </c>
      <c r="I202" s="512" t="s">
        <v>1752</v>
      </c>
      <c r="J202" s="510">
        <v>2000</v>
      </c>
      <c r="K202" s="513">
        <v>0</v>
      </c>
      <c r="L202" s="513">
        <v>0</v>
      </c>
      <c r="M202" s="513">
        <v>0</v>
      </c>
      <c r="N202" s="514">
        <f>LANÇ_MOV[[#This Row],[VALOR BRUTO]]-LANÇ_MOV[[#This Row],[DESCONTO]]+LANÇ_MOV[[#This Row],[JUROS]]+LANÇ_MOV[[#This Row],[MULTA]]</f>
        <v>2000</v>
      </c>
      <c r="O202" s="528">
        <v>46551</v>
      </c>
      <c r="P202" s="516" t="str">
        <f t="shared" ca="1" si="3"/>
        <v>Prazo - Mais de 1 mês</v>
      </c>
      <c r="Q202" s="528"/>
      <c r="R202" s="529" t="s">
        <v>1564</v>
      </c>
      <c r="S202" s="531"/>
      <c r="T202" s="518" t="s">
        <v>1776</v>
      </c>
      <c r="U202" s="519" t="s">
        <v>2008</v>
      </c>
      <c r="V202" s="520" t="str">
        <f>IFERROR(VLOOKUP(LANÇ_MOV[[#This Row],[PLANO DE CONTAS]],Plano_Contas[[PLANO DE CONTAS]:[R / D]],3,0),"")</f>
        <v>Despesa</v>
      </c>
      <c r="W202" s="521" t="str">
        <f>IF(LANÇ_MOV[[#This Row],[DATA DE PAGAMENTO]]&lt;&gt;"","Pago","Não Pago")</f>
        <v>Não Pago</v>
      </c>
      <c r="X202" s="522" t="str">
        <f>IFERROR(IF(LANÇ_MOV[[#This Row],[DATA DE PAGAMENTO]]="","",(UPPER(TEXT(LANÇ_MOV[[#This Row],[DATA DE PAGAMENTO]],"mmmm")))),"")</f>
        <v/>
      </c>
      <c r="Y202" s="523" t="str">
        <f>IFERROR(VLOOKUP(LANÇ_MOV[[#This Row],[PLANO DE CONTAS]],Plano_Contas[[PLANO DE CONTAS]:[NOMES INTERVALOS]],2,0),"")</f>
        <v>Despesas_Com_RH</v>
      </c>
      <c r="Z202" s="523" t="str">
        <f>IF(LANÇ_MOV[[#This Row],[FORMA DE PAGAMENTO]]="","",VLOOKUP(LANÇ_MOV[[#This Row],[FORMA DE PAGAMENTO]],CAD_Forma_pagto[],2,0))</f>
        <v>PIX</v>
      </c>
      <c r="AA202" s="524" t="str">
        <f>IF(LANÇ_MOV[[#This Row],[DATA DE LANÇAMENTO]]="","",TEXT(LANÇ_MOV[[#This Row],[DATA DE LANÇAMENTO]],"AAAA"))</f>
        <v>2025</v>
      </c>
      <c r="AB202" s="524" t="str">
        <f>IF(LANÇ_MOV[[#This Row],[DATA DE LANÇAMENTO]]="","",UPPER(TEXT(LANÇ_MOV[[#This Row],[DATA DE LANÇAMENTO]],"MMMM")))</f>
        <v>OUTUBRO</v>
      </c>
      <c r="AC202" s="525" t="str">
        <f>IF(LANÇ_MOV[[#This Row],[DATA DE LANÇAMENTO]]="","",PROPER(TEXT(LANÇ_MOV[[#This Row],[DATA DE LANÇAMENTO]],"M")))</f>
        <v>10</v>
      </c>
      <c r="AD202" s="524" t="str">
        <f>IF(LANÇ_MOV[[#This Row],[DATA DE LANÇAMENTO]]="","",TEXT(LANÇ_MOV[[#This Row],[DATA DE LANÇAMENTO]],"D"))</f>
        <v>1</v>
      </c>
      <c r="AE202" s="526" t="str">
        <f>IF(LANÇ_MOV[[#This Row],[DATA DE VENCIMENTO]]="","",TEXT(LANÇ_MOV[[#This Row],[DATA DE VENCIMENTO]],"AAAA"))</f>
        <v>2027</v>
      </c>
      <c r="AF202" s="526" t="str">
        <f>IF(LANÇ_MOV[[#This Row],[DATA DE VENCIMENTO]]="","",UPPER(TEXT(LANÇ_MOV[[#This Row],[DATA DE VENCIMENTO]],"MMMM")))</f>
        <v>JUNHO</v>
      </c>
      <c r="AG202" s="526" t="str">
        <f>IF(LANÇ_MOV[[#This Row],[DATA DE VENCIMENTO]]="","",TEXT(LANÇ_MOV[[#This Row],[DATA DE VENCIMENTO]],"M"))</f>
        <v>6</v>
      </c>
      <c r="AH202" s="526" t="str">
        <f>IF(LANÇ_MOV[[#This Row],[DATA DE VENCIMENTO]]="","",TEXT(LANÇ_MOV[[#This Row],[DATA DE VENCIMENTO]],"D"))</f>
        <v>13</v>
      </c>
      <c r="AI202" s="526" t="str">
        <f>IF(LANÇ_MOV[[#This Row],[DATA DE PAGAMENTO]]="","",TEXT(LANÇ_MOV[[#This Row],[DATA DE PAGAMENTO]],"AAAA"))</f>
        <v/>
      </c>
      <c r="AJ202" s="527" t="str">
        <f>IF(LANÇ_MOV[[#This Row],[DATA DE PAGAMENTO]]="","",UPPER(TEXT(LANÇ_MOV[[#This Row],[DATA DE PAGAMENTO]],"MMMM")))</f>
        <v/>
      </c>
      <c r="AK202" s="527" t="str">
        <f>IF(LANÇ_MOV[[#This Row],[DATA DE PAGAMENTO]]="","",TEXT(LANÇ_MOV[[#This Row],[DATA DE PAGAMENTO]],"M"))</f>
        <v/>
      </c>
      <c r="AL202" s="526" t="str">
        <f>IF(LANÇ_MOV[[#This Row],[DATA DE PAGAMENTO]]="","",TEXT(LANÇ_MOV[[#This Row],[DATA DE PAGAMENTO]],"D"))</f>
        <v/>
      </c>
      <c r="AM202" s="27"/>
      <c r="BB202" s="112"/>
      <c r="BC202" s="112"/>
      <c r="BD202" s="112"/>
    </row>
    <row r="203" spans="2:56" ht="30.05" customHeight="1" x14ac:dyDescent="0.35">
      <c r="B203" s="506">
        <v>45931</v>
      </c>
      <c r="C203" s="507" t="s">
        <v>1661</v>
      </c>
      <c r="D203" s="508" t="s">
        <v>1854</v>
      </c>
      <c r="E203" s="509" t="s">
        <v>228</v>
      </c>
      <c r="F203" s="510" t="s">
        <v>1818</v>
      </c>
      <c r="G203" s="507" t="s">
        <v>1886</v>
      </c>
      <c r="H203" s="511">
        <v>0</v>
      </c>
      <c r="I203" s="512" t="s">
        <v>1752</v>
      </c>
      <c r="J203" s="510">
        <v>2000</v>
      </c>
      <c r="K203" s="513">
        <v>0</v>
      </c>
      <c r="L203" s="513">
        <v>0</v>
      </c>
      <c r="M203" s="513">
        <v>0</v>
      </c>
      <c r="N203" s="514">
        <f>LANÇ_MOV[[#This Row],[VALOR BRUTO]]-LANÇ_MOV[[#This Row],[DESCONTO]]+LANÇ_MOV[[#This Row],[JUROS]]+LANÇ_MOV[[#This Row],[MULTA]]</f>
        <v>2000</v>
      </c>
      <c r="O203" s="528">
        <v>46581</v>
      </c>
      <c r="P203" s="516" t="str">
        <f t="shared" ca="1" si="3"/>
        <v>Prazo - Mais de 1 mês</v>
      </c>
      <c r="Q203" s="528"/>
      <c r="R203" s="529" t="s">
        <v>1564</v>
      </c>
      <c r="S203" s="531"/>
      <c r="T203" s="518" t="s">
        <v>1776</v>
      </c>
      <c r="U203" s="519" t="s">
        <v>2008</v>
      </c>
      <c r="V203" s="520" t="str">
        <f>IFERROR(VLOOKUP(LANÇ_MOV[[#This Row],[PLANO DE CONTAS]],Plano_Contas[[PLANO DE CONTAS]:[R / D]],3,0),"")</f>
        <v>Despesa</v>
      </c>
      <c r="W203" s="521" t="str">
        <f>IF(LANÇ_MOV[[#This Row],[DATA DE PAGAMENTO]]&lt;&gt;"","Pago","Não Pago")</f>
        <v>Não Pago</v>
      </c>
      <c r="X203" s="522" t="str">
        <f>IFERROR(IF(LANÇ_MOV[[#This Row],[DATA DE PAGAMENTO]]="","",(UPPER(TEXT(LANÇ_MOV[[#This Row],[DATA DE PAGAMENTO]],"mmmm")))),"")</f>
        <v/>
      </c>
      <c r="Y203" s="523" t="str">
        <f>IFERROR(VLOOKUP(LANÇ_MOV[[#This Row],[PLANO DE CONTAS]],Plano_Contas[[PLANO DE CONTAS]:[NOMES INTERVALOS]],2,0),"")</f>
        <v>Despesas_Com_RH</v>
      </c>
      <c r="Z203" s="523" t="str">
        <f>IF(LANÇ_MOV[[#This Row],[FORMA DE PAGAMENTO]]="","",VLOOKUP(LANÇ_MOV[[#This Row],[FORMA DE PAGAMENTO]],CAD_Forma_pagto[],2,0))</f>
        <v>PIX</v>
      </c>
      <c r="AA203" s="524" t="str">
        <f>IF(LANÇ_MOV[[#This Row],[DATA DE LANÇAMENTO]]="","",TEXT(LANÇ_MOV[[#This Row],[DATA DE LANÇAMENTO]],"AAAA"))</f>
        <v>2025</v>
      </c>
      <c r="AB203" s="524" t="str">
        <f>IF(LANÇ_MOV[[#This Row],[DATA DE LANÇAMENTO]]="","",UPPER(TEXT(LANÇ_MOV[[#This Row],[DATA DE LANÇAMENTO]],"MMMM")))</f>
        <v>OUTUBRO</v>
      </c>
      <c r="AC203" s="525" t="str">
        <f>IF(LANÇ_MOV[[#This Row],[DATA DE LANÇAMENTO]]="","",PROPER(TEXT(LANÇ_MOV[[#This Row],[DATA DE LANÇAMENTO]],"M")))</f>
        <v>10</v>
      </c>
      <c r="AD203" s="524" t="str">
        <f>IF(LANÇ_MOV[[#This Row],[DATA DE LANÇAMENTO]]="","",TEXT(LANÇ_MOV[[#This Row],[DATA DE LANÇAMENTO]],"D"))</f>
        <v>1</v>
      </c>
      <c r="AE203" s="526" t="str">
        <f>IF(LANÇ_MOV[[#This Row],[DATA DE VENCIMENTO]]="","",TEXT(LANÇ_MOV[[#This Row],[DATA DE VENCIMENTO]],"AAAA"))</f>
        <v>2027</v>
      </c>
      <c r="AF203" s="526" t="str">
        <f>IF(LANÇ_MOV[[#This Row],[DATA DE VENCIMENTO]]="","",UPPER(TEXT(LANÇ_MOV[[#This Row],[DATA DE VENCIMENTO]],"MMMM")))</f>
        <v>JULHO</v>
      </c>
      <c r="AG203" s="526" t="str">
        <f>IF(LANÇ_MOV[[#This Row],[DATA DE VENCIMENTO]]="","",TEXT(LANÇ_MOV[[#This Row],[DATA DE VENCIMENTO]],"M"))</f>
        <v>7</v>
      </c>
      <c r="AH203" s="526" t="str">
        <f>IF(LANÇ_MOV[[#This Row],[DATA DE VENCIMENTO]]="","",TEXT(LANÇ_MOV[[#This Row],[DATA DE VENCIMENTO]],"D"))</f>
        <v>13</v>
      </c>
      <c r="AI203" s="526" t="str">
        <f>IF(LANÇ_MOV[[#This Row],[DATA DE PAGAMENTO]]="","",TEXT(LANÇ_MOV[[#This Row],[DATA DE PAGAMENTO]],"AAAA"))</f>
        <v/>
      </c>
      <c r="AJ203" s="527" t="str">
        <f>IF(LANÇ_MOV[[#This Row],[DATA DE PAGAMENTO]]="","",UPPER(TEXT(LANÇ_MOV[[#This Row],[DATA DE PAGAMENTO]],"MMMM")))</f>
        <v/>
      </c>
      <c r="AK203" s="527" t="str">
        <f>IF(LANÇ_MOV[[#This Row],[DATA DE PAGAMENTO]]="","",TEXT(LANÇ_MOV[[#This Row],[DATA DE PAGAMENTO]],"M"))</f>
        <v/>
      </c>
      <c r="AL203" s="526" t="str">
        <f>IF(LANÇ_MOV[[#This Row],[DATA DE PAGAMENTO]]="","",TEXT(LANÇ_MOV[[#This Row],[DATA DE PAGAMENTO]],"D"))</f>
        <v/>
      </c>
      <c r="AM203" s="27"/>
      <c r="BB203" s="112"/>
      <c r="BC203" s="112"/>
      <c r="BD203" s="112"/>
    </row>
    <row r="204" spans="2:56" ht="30.05" customHeight="1" x14ac:dyDescent="0.35">
      <c r="B204" s="506">
        <v>45931</v>
      </c>
      <c r="C204" s="507" t="s">
        <v>1661</v>
      </c>
      <c r="D204" s="508" t="s">
        <v>1854</v>
      </c>
      <c r="E204" s="509" t="s">
        <v>228</v>
      </c>
      <c r="F204" s="510" t="s">
        <v>1818</v>
      </c>
      <c r="G204" s="507" t="s">
        <v>1887</v>
      </c>
      <c r="H204" s="511">
        <v>0</v>
      </c>
      <c r="I204" s="512" t="s">
        <v>1752</v>
      </c>
      <c r="J204" s="510">
        <v>2000</v>
      </c>
      <c r="K204" s="513">
        <v>0</v>
      </c>
      <c r="L204" s="513">
        <v>0</v>
      </c>
      <c r="M204" s="513">
        <v>0</v>
      </c>
      <c r="N204" s="514">
        <f>LANÇ_MOV[[#This Row],[VALOR BRUTO]]-LANÇ_MOV[[#This Row],[DESCONTO]]+LANÇ_MOV[[#This Row],[JUROS]]+LANÇ_MOV[[#This Row],[MULTA]]</f>
        <v>2000</v>
      </c>
      <c r="O204" s="528">
        <v>46612</v>
      </c>
      <c r="P204" s="516" t="str">
        <f t="shared" ca="1" si="3"/>
        <v>Prazo - Mais de 1 mês</v>
      </c>
      <c r="Q204" s="528"/>
      <c r="R204" s="529" t="s">
        <v>1564</v>
      </c>
      <c r="S204" s="531"/>
      <c r="T204" s="518" t="s">
        <v>1776</v>
      </c>
      <c r="U204" s="519" t="s">
        <v>2008</v>
      </c>
      <c r="V204" s="520" t="str">
        <f>IFERROR(VLOOKUP(LANÇ_MOV[[#This Row],[PLANO DE CONTAS]],Plano_Contas[[PLANO DE CONTAS]:[R / D]],3,0),"")</f>
        <v>Despesa</v>
      </c>
      <c r="W204" s="521" t="str">
        <f>IF(LANÇ_MOV[[#This Row],[DATA DE PAGAMENTO]]&lt;&gt;"","Pago","Não Pago")</f>
        <v>Não Pago</v>
      </c>
      <c r="X204" s="522" t="str">
        <f>IFERROR(IF(LANÇ_MOV[[#This Row],[DATA DE PAGAMENTO]]="","",(UPPER(TEXT(LANÇ_MOV[[#This Row],[DATA DE PAGAMENTO]],"mmmm")))),"")</f>
        <v/>
      </c>
      <c r="Y204" s="523" t="str">
        <f>IFERROR(VLOOKUP(LANÇ_MOV[[#This Row],[PLANO DE CONTAS]],Plano_Contas[[PLANO DE CONTAS]:[NOMES INTERVALOS]],2,0),"")</f>
        <v>Despesas_Com_RH</v>
      </c>
      <c r="Z204" s="523" t="str">
        <f>IF(LANÇ_MOV[[#This Row],[FORMA DE PAGAMENTO]]="","",VLOOKUP(LANÇ_MOV[[#This Row],[FORMA DE PAGAMENTO]],CAD_Forma_pagto[],2,0))</f>
        <v>PIX</v>
      </c>
      <c r="AA204" s="524" t="str">
        <f>IF(LANÇ_MOV[[#This Row],[DATA DE LANÇAMENTO]]="","",TEXT(LANÇ_MOV[[#This Row],[DATA DE LANÇAMENTO]],"AAAA"))</f>
        <v>2025</v>
      </c>
      <c r="AB204" s="524" t="str">
        <f>IF(LANÇ_MOV[[#This Row],[DATA DE LANÇAMENTO]]="","",UPPER(TEXT(LANÇ_MOV[[#This Row],[DATA DE LANÇAMENTO]],"MMMM")))</f>
        <v>OUTUBRO</v>
      </c>
      <c r="AC204" s="525" t="str">
        <f>IF(LANÇ_MOV[[#This Row],[DATA DE LANÇAMENTO]]="","",PROPER(TEXT(LANÇ_MOV[[#This Row],[DATA DE LANÇAMENTO]],"M")))</f>
        <v>10</v>
      </c>
      <c r="AD204" s="524" t="str">
        <f>IF(LANÇ_MOV[[#This Row],[DATA DE LANÇAMENTO]]="","",TEXT(LANÇ_MOV[[#This Row],[DATA DE LANÇAMENTO]],"D"))</f>
        <v>1</v>
      </c>
      <c r="AE204" s="526" t="str">
        <f>IF(LANÇ_MOV[[#This Row],[DATA DE VENCIMENTO]]="","",TEXT(LANÇ_MOV[[#This Row],[DATA DE VENCIMENTO]],"AAAA"))</f>
        <v>2027</v>
      </c>
      <c r="AF204" s="526" t="str">
        <f>IF(LANÇ_MOV[[#This Row],[DATA DE VENCIMENTO]]="","",UPPER(TEXT(LANÇ_MOV[[#This Row],[DATA DE VENCIMENTO]],"MMMM")))</f>
        <v>AGOSTO</v>
      </c>
      <c r="AG204" s="526" t="str">
        <f>IF(LANÇ_MOV[[#This Row],[DATA DE VENCIMENTO]]="","",TEXT(LANÇ_MOV[[#This Row],[DATA DE VENCIMENTO]],"M"))</f>
        <v>8</v>
      </c>
      <c r="AH204" s="526" t="str">
        <f>IF(LANÇ_MOV[[#This Row],[DATA DE VENCIMENTO]]="","",TEXT(LANÇ_MOV[[#This Row],[DATA DE VENCIMENTO]],"D"))</f>
        <v>13</v>
      </c>
      <c r="AI204" s="526" t="str">
        <f>IF(LANÇ_MOV[[#This Row],[DATA DE PAGAMENTO]]="","",TEXT(LANÇ_MOV[[#This Row],[DATA DE PAGAMENTO]],"AAAA"))</f>
        <v/>
      </c>
      <c r="AJ204" s="527" t="str">
        <f>IF(LANÇ_MOV[[#This Row],[DATA DE PAGAMENTO]]="","",UPPER(TEXT(LANÇ_MOV[[#This Row],[DATA DE PAGAMENTO]],"MMMM")))</f>
        <v/>
      </c>
      <c r="AK204" s="527" t="str">
        <f>IF(LANÇ_MOV[[#This Row],[DATA DE PAGAMENTO]]="","",TEXT(LANÇ_MOV[[#This Row],[DATA DE PAGAMENTO]],"M"))</f>
        <v/>
      </c>
      <c r="AL204" s="526" t="str">
        <f>IF(LANÇ_MOV[[#This Row],[DATA DE PAGAMENTO]]="","",TEXT(LANÇ_MOV[[#This Row],[DATA DE PAGAMENTO]],"D"))</f>
        <v/>
      </c>
      <c r="AM204" s="27"/>
      <c r="BB204" s="112"/>
      <c r="BC204" s="112"/>
      <c r="BD204" s="112"/>
    </row>
    <row r="205" spans="2:56" ht="30.05" customHeight="1" x14ac:dyDescent="0.35">
      <c r="B205" s="506">
        <v>45931</v>
      </c>
      <c r="C205" s="507" t="s">
        <v>1661</v>
      </c>
      <c r="D205" s="508" t="s">
        <v>1854</v>
      </c>
      <c r="E205" s="509" t="s">
        <v>228</v>
      </c>
      <c r="F205" s="510" t="s">
        <v>1818</v>
      </c>
      <c r="G205" s="507" t="s">
        <v>1888</v>
      </c>
      <c r="H205" s="511">
        <v>0</v>
      </c>
      <c r="I205" s="512" t="s">
        <v>1752</v>
      </c>
      <c r="J205" s="510">
        <v>2000</v>
      </c>
      <c r="K205" s="513">
        <v>0</v>
      </c>
      <c r="L205" s="513">
        <v>0</v>
      </c>
      <c r="M205" s="513">
        <v>0</v>
      </c>
      <c r="N205" s="514">
        <f>LANÇ_MOV[[#This Row],[VALOR BRUTO]]-LANÇ_MOV[[#This Row],[DESCONTO]]+LANÇ_MOV[[#This Row],[JUROS]]+LANÇ_MOV[[#This Row],[MULTA]]</f>
        <v>2000</v>
      </c>
      <c r="O205" s="528">
        <v>46643</v>
      </c>
      <c r="P205" s="516" t="str">
        <f t="shared" ca="1" si="3"/>
        <v>Prazo - Mais de 1 mês</v>
      </c>
      <c r="Q205" s="528"/>
      <c r="R205" s="529" t="s">
        <v>1564</v>
      </c>
      <c r="S205" s="531"/>
      <c r="T205" s="518" t="s">
        <v>1776</v>
      </c>
      <c r="U205" s="519" t="s">
        <v>2008</v>
      </c>
      <c r="V205" s="520" t="str">
        <f>IFERROR(VLOOKUP(LANÇ_MOV[[#This Row],[PLANO DE CONTAS]],Plano_Contas[[PLANO DE CONTAS]:[R / D]],3,0),"")</f>
        <v>Despesa</v>
      </c>
      <c r="W205" s="521" t="str">
        <f>IF(LANÇ_MOV[[#This Row],[DATA DE PAGAMENTO]]&lt;&gt;"","Pago","Não Pago")</f>
        <v>Não Pago</v>
      </c>
      <c r="X205" s="522" t="str">
        <f>IFERROR(IF(LANÇ_MOV[[#This Row],[DATA DE PAGAMENTO]]="","",(UPPER(TEXT(LANÇ_MOV[[#This Row],[DATA DE PAGAMENTO]],"mmmm")))),"")</f>
        <v/>
      </c>
      <c r="Y205" s="523" t="str">
        <f>IFERROR(VLOOKUP(LANÇ_MOV[[#This Row],[PLANO DE CONTAS]],Plano_Contas[[PLANO DE CONTAS]:[NOMES INTERVALOS]],2,0),"")</f>
        <v>Despesas_Com_RH</v>
      </c>
      <c r="Z205" s="523" t="str">
        <f>IF(LANÇ_MOV[[#This Row],[FORMA DE PAGAMENTO]]="","",VLOOKUP(LANÇ_MOV[[#This Row],[FORMA DE PAGAMENTO]],CAD_Forma_pagto[],2,0))</f>
        <v>PIX</v>
      </c>
      <c r="AA205" s="524" t="str">
        <f>IF(LANÇ_MOV[[#This Row],[DATA DE LANÇAMENTO]]="","",TEXT(LANÇ_MOV[[#This Row],[DATA DE LANÇAMENTO]],"AAAA"))</f>
        <v>2025</v>
      </c>
      <c r="AB205" s="524" t="str">
        <f>IF(LANÇ_MOV[[#This Row],[DATA DE LANÇAMENTO]]="","",UPPER(TEXT(LANÇ_MOV[[#This Row],[DATA DE LANÇAMENTO]],"MMMM")))</f>
        <v>OUTUBRO</v>
      </c>
      <c r="AC205" s="525" t="str">
        <f>IF(LANÇ_MOV[[#This Row],[DATA DE LANÇAMENTO]]="","",PROPER(TEXT(LANÇ_MOV[[#This Row],[DATA DE LANÇAMENTO]],"M")))</f>
        <v>10</v>
      </c>
      <c r="AD205" s="524" t="str">
        <f>IF(LANÇ_MOV[[#This Row],[DATA DE LANÇAMENTO]]="","",TEXT(LANÇ_MOV[[#This Row],[DATA DE LANÇAMENTO]],"D"))</f>
        <v>1</v>
      </c>
      <c r="AE205" s="526" t="str">
        <f>IF(LANÇ_MOV[[#This Row],[DATA DE VENCIMENTO]]="","",TEXT(LANÇ_MOV[[#This Row],[DATA DE VENCIMENTO]],"AAAA"))</f>
        <v>2027</v>
      </c>
      <c r="AF205" s="526" t="str">
        <f>IF(LANÇ_MOV[[#This Row],[DATA DE VENCIMENTO]]="","",UPPER(TEXT(LANÇ_MOV[[#This Row],[DATA DE VENCIMENTO]],"MMMM")))</f>
        <v>SETEMBRO</v>
      </c>
      <c r="AG205" s="526" t="str">
        <f>IF(LANÇ_MOV[[#This Row],[DATA DE VENCIMENTO]]="","",TEXT(LANÇ_MOV[[#This Row],[DATA DE VENCIMENTO]],"M"))</f>
        <v>9</v>
      </c>
      <c r="AH205" s="526" t="str">
        <f>IF(LANÇ_MOV[[#This Row],[DATA DE VENCIMENTO]]="","",TEXT(LANÇ_MOV[[#This Row],[DATA DE VENCIMENTO]],"D"))</f>
        <v>13</v>
      </c>
      <c r="AI205" s="526" t="str">
        <f>IF(LANÇ_MOV[[#This Row],[DATA DE PAGAMENTO]]="","",TEXT(LANÇ_MOV[[#This Row],[DATA DE PAGAMENTO]],"AAAA"))</f>
        <v/>
      </c>
      <c r="AJ205" s="527" t="str">
        <f>IF(LANÇ_MOV[[#This Row],[DATA DE PAGAMENTO]]="","",UPPER(TEXT(LANÇ_MOV[[#This Row],[DATA DE PAGAMENTO]],"MMMM")))</f>
        <v/>
      </c>
      <c r="AK205" s="527" t="str">
        <f>IF(LANÇ_MOV[[#This Row],[DATA DE PAGAMENTO]]="","",TEXT(LANÇ_MOV[[#This Row],[DATA DE PAGAMENTO]],"M"))</f>
        <v/>
      </c>
      <c r="AL205" s="526" t="str">
        <f>IF(LANÇ_MOV[[#This Row],[DATA DE PAGAMENTO]]="","",TEXT(LANÇ_MOV[[#This Row],[DATA DE PAGAMENTO]],"D"))</f>
        <v/>
      </c>
      <c r="AM205" s="27"/>
      <c r="BB205" s="112"/>
      <c r="BC205" s="112"/>
      <c r="BD205" s="112"/>
    </row>
    <row r="206" spans="2:56" ht="30.05" customHeight="1" x14ac:dyDescent="0.35">
      <c r="B206" s="506">
        <v>45931</v>
      </c>
      <c r="C206" s="507" t="s">
        <v>1661</v>
      </c>
      <c r="D206" s="508" t="s">
        <v>1854</v>
      </c>
      <c r="E206" s="509" t="s">
        <v>228</v>
      </c>
      <c r="F206" s="510" t="s">
        <v>1818</v>
      </c>
      <c r="G206" s="507" t="s">
        <v>1889</v>
      </c>
      <c r="H206" s="511">
        <v>0</v>
      </c>
      <c r="I206" s="512" t="s">
        <v>1752</v>
      </c>
      <c r="J206" s="510">
        <v>2000</v>
      </c>
      <c r="K206" s="513">
        <v>0</v>
      </c>
      <c r="L206" s="513">
        <v>0</v>
      </c>
      <c r="M206" s="513">
        <v>0</v>
      </c>
      <c r="N206" s="514">
        <f>LANÇ_MOV[[#This Row],[VALOR BRUTO]]-LANÇ_MOV[[#This Row],[DESCONTO]]+LANÇ_MOV[[#This Row],[JUROS]]+LANÇ_MOV[[#This Row],[MULTA]]</f>
        <v>2000</v>
      </c>
      <c r="O206" s="528">
        <v>46673</v>
      </c>
      <c r="P206" s="516" t="str">
        <f t="shared" ca="1" si="3"/>
        <v>Prazo - Mais de 1 mês</v>
      </c>
      <c r="Q206" s="528"/>
      <c r="R206" s="529" t="s">
        <v>1564</v>
      </c>
      <c r="S206" s="531"/>
      <c r="T206" s="518" t="s">
        <v>1776</v>
      </c>
      <c r="U206" s="519" t="s">
        <v>2008</v>
      </c>
      <c r="V206" s="520" t="str">
        <f>IFERROR(VLOOKUP(LANÇ_MOV[[#This Row],[PLANO DE CONTAS]],Plano_Contas[[PLANO DE CONTAS]:[R / D]],3,0),"")</f>
        <v>Despesa</v>
      </c>
      <c r="W206" s="521" t="str">
        <f>IF(LANÇ_MOV[[#This Row],[DATA DE PAGAMENTO]]&lt;&gt;"","Pago","Não Pago")</f>
        <v>Não Pago</v>
      </c>
      <c r="X206" s="522" t="str">
        <f>IFERROR(IF(LANÇ_MOV[[#This Row],[DATA DE PAGAMENTO]]="","",(UPPER(TEXT(LANÇ_MOV[[#This Row],[DATA DE PAGAMENTO]],"mmmm")))),"")</f>
        <v/>
      </c>
      <c r="Y206" s="523" t="str">
        <f>IFERROR(VLOOKUP(LANÇ_MOV[[#This Row],[PLANO DE CONTAS]],Plano_Contas[[PLANO DE CONTAS]:[NOMES INTERVALOS]],2,0),"")</f>
        <v>Despesas_Com_RH</v>
      </c>
      <c r="Z206" s="523" t="str">
        <f>IF(LANÇ_MOV[[#This Row],[FORMA DE PAGAMENTO]]="","",VLOOKUP(LANÇ_MOV[[#This Row],[FORMA DE PAGAMENTO]],CAD_Forma_pagto[],2,0))</f>
        <v>PIX</v>
      </c>
      <c r="AA206" s="524" t="str">
        <f>IF(LANÇ_MOV[[#This Row],[DATA DE LANÇAMENTO]]="","",TEXT(LANÇ_MOV[[#This Row],[DATA DE LANÇAMENTO]],"AAAA"))</f>
        <v>2025</v>
      </c>
      <c r="AB206" s="524" t="str">
        <f>IF(LANÇ_MOV[[#This Row],[DATA DE LANÇAMENTO]]="","",UPPER(TEXT(LANÇ_MOV[[#This Row],[DATA DE LANÇAMENTO]],"MMMM")))</f>
        <v>OUTUBRO</v>
      </c>
      <c r="AC206" s="525" t="str">
        <f>IF(LANÇ_MOV[[#This Row],[DATA DE LANÇAMENTO]]="","",PROPER(TEXT(LANÇ_MOV[[#This Row],[DATA DE LANÇAMENTO]],"M")))</f>
        <v>10</v>
      </c>
      <c r="AD206" s="524" t="str">
        <f>IF(LANÇ_MOV[[#This Row],[DATA DE LANÇAMENTO]]="","",TEXT(LANÇ_MOV[[#This Row],[DATA DE LANÇAMENTO]],"D"))</f>
        <v>1</v>
      </c>
      <c r="AE206" s="526" t="str">
        <f>IF(LANÇ_MOV[[#This Row],[DATA DE VENCIMENTO]]="","",TEXT(LANÇ_MOV[[#This Row],[DATA DE VENCIMENTO]],"AAAA"))</f>
        <v>2027</v>
      </c>
      <c r="AF206" s="526" t="str">
        <f>IF(LANÇ_MOV[[#This Row],[DATA DE VENCIMENTO]]="","",UPPER(TEXT(LANÇ_MOV[[#This Row],[DATA DE VENCIMENTO]],"MMMM")))</f>
        <v>OUTUBRO</v>
      </c>
      <c r="AG206" s="526" t="str">
        <f>IF(LANÇ_MOV[[#This Row],[DATA DE VENCIMENTO]]="","",TEXT(LANÇ_MOV[[#This Row],[DATA DE VENCIMENTO]],"M"))</f>
        <v>10</v>
      </c>
      <c r="AH206" s="526" t="str">
        <f>IF(LANÇ_MOV[[#This Row],[DATA DE VENCIMENTO]]="","",TEXT(LANÇ_MOV[[#This Row],[DATA DE VENCIMENTO]],"D"))</f>
        <v>13</v>
      </c>
      <c r="AI206" s="526" t="str">
        <f>IF(LANÇ_MOV[[#This Row],[DATA DE PAGAMENTO]]="","",TEXT(LANÇ_MOV[[#This Row],[DATA DE PAGAMENTO]],"AAAA"))</f>
        <v/>
      </c>
      <c r="AJ206" s="527" t="str">
        <f>IF(LANÇ_MOV[[#This Row],[DATA DE PAGAMENTO]]="","",UPPER(TEXT(LANÇ_MOV[[#This Row],[DATA DE PAGAMENTO]],"MMMM")))</f>
        <v/>
      </c>
      <c r="AK206" s="527" t="str">
        <f>IF(LANÇ_MOV[[#This Row],[DATA DE PAGAMENTO]]="","",TEXT(LANÇ_MOV[[#This Row],[DATA DE PAGAMENTO]],"M"))</f>
        <v/>
      </c>
      <c r="AL206" s="526" t="str">
        <f>IF(LANÇ_MOV[[#This Row],[DATA DE PAGAMENTO]]="","",TEXT(LANÇ_MOV[[#This Row],[DATA DE PAGAMENTO]],"D"))</f>
        <v/>
      </c>
      <c r="AM206" s="27"/>
      <c r="BB206" s="112"/>
      <c r="BC206" s="112"/>
      <c r="BD206" s="112"/>
    </row>
    <row r="207" spans="2:56" ht="30.05" customHeight="1" x14ac:dyDescent="0.35">
      <c r="B207" s="506">
        <v>45931</v>
      </c>
      <c r="C207" s="507" t="s">
        <v>1661</v>
      </c>
      <c r="D207" s="508" t="s">
        <v>1854</v>
      </c>
      <c r="E207" s="509" t="s">
        <v>228</v>
      </c>
      <c r="F207" s="510" t="s">
        <v>1818</v>
      </c>
      <c r="G207" s="507" t="s">
        <v>1890</v>
      </c>
      <c r="H207" s="511">
        <v>0</v>
      </c>
      <c r="I207" s="512" t="s">
        <v>1752</v>
      </c>
      <c r="J207" s="510">
        <v>2000</v>
      </c>
      <c r="K207" s="513">
        <v>0</v>
      </c>
      <c r="L207" s="513">
        <v>0</v>
      </c>
      <c r="M207" s="513">
        <v>0</v>
      </c>
      <c r="N207" s="514">
        <f>LANÇ_MOV[[#This Row],[VALOR BRUTO]]-LANÇ_MOV[[#This Row],[DESCONTO]]+LANÇ_MOV[[#This Row],[JUROS]]+LANÇ_MOV[[#This Row],[MULTA]]</f>
        <v>2000</v>
      </c>
      <c r="O207" s="528">
        <v>46704</v>
      </c>
      <c r="P207" s="516" t="str">
        <f t="shared" ca="1" si="3"/>
        <v>Prazo - Mais de 1 mês</v>
      </c>
      <c r="Q207" s="528"/>
      <c r="R207" s="529" t="s">
        <v>1564</v>
      </c>
      <c r="S207" s="531"/>
      <c r="T207" s="518" t="s">
        <v>1776</v>
      </c>
      <c r="U207" s="519" t="s">
        <v>2008</v>
      </c>
      <c r="V207" s="520" t="str">
        <f>IFERROR(VLOOKUP(LANÇ_MOV[[#This Row],[PLANO DE CONTAS]],Plano_Contas[[PLANO DE CONTAS]:[R / D]],3,0),"")</f>
        <v>Despesa</v>
      </c>
      <c r="W207" s="521" t="str">
        <f>IF(LANÇ_MOV[[#This Row],[DATA DE PAGAMENTO]]&lt;&gt;"","Pago","Não Pago")</f>
        <v>Não Pago</v>
      </c>
      <c r="X207" s="522" t="str">
        <f>IFERROR(IF(LANÇ_MOV[[#This Row],[DATA DE PAGAMENTO]]="","",(UPPER(TEXT(LANÇ_MOV[[#This Row],[DATA DE PAGAMENTO]],"mmmm")))),"")</f>
        <v/>
      </c>
      <c r="Y207" s="523" t="str">
        <f>IFERROR(VLOOKUP(LANÇ_MOV[[#This Row],[PLANO DE CONTAS]],Plano_Contas[[PLANO DE CONTAS]:[NOMES INTERVALOS]],2,0),"")</f>
        <v>Despesas_Com_RH</v>
      </c>
      <c r="Z207" s="523" t="str">
        <f>IF(LANÇ_MOV[[#This Row],[FORMA DE PAGAMENTO]]="","",VLOOKUP(LANÇ_MOV[[#This Row],[FORMA DE PAGAMENTO]],CAD_Forma_pagto[],2,0))</f>
        <v>PIX</v>
      </c>
      <c r="AA207" s="524" t="str">
        <f>IF(LANÇ_MOV[[#This Row],[DATA DE LANÇAMENTO]]="","",TEXT(LANÇ_MOV[[#This Row],[DATA DE LANÇAMENTO]],"AAAA"))</f>
        <v>2025</v>
      </c>
      <c r="AB207" s="524" t="str">
        <f>IF(LANÇ_MOV[[#This Row],[DATA DE LANÇAMENTO]]="","",UPPER(TEXT(LANÇ_MOV[[#This Row],[DATA DE LANÇAMENTO]],"MMMM")))</f>
        <v>OUTUBRO</v>
      </c>
      <c r="AC207" s="525" t="str">
        <f>IF(LANÇ_MOV[[#This Row],[DATA DE LANÇAMENTO]]="","",PROPER(TEXT(LANÇ_MOV[[#This Row],[DATA DE LANÇAMENTO]],"M")))</f>
        <v>10</v>
      </c>
      <c r="AD207" s="524" t="str">
        <f>IF(LANÇ_MOV[[#This Row],[DATA DE LANÇAMENTO]]="","",TEXT(LANÇ_MOV[[#This Row],[DATA DE LANÇAMENTO]],"D"))</f>
        <v>1</v>
      </c>
      <c r="AE207" s="526" t="str">
        <f>IF(LANÇ_MOV[[#This Row],[DATA DE VENCIMENTO]]="","",TEXT(LANÇ_MOV[[#This Row],[DATA DE VENCIMENTO]],"AAAA"))</f>
        <v>2027</v>
      </c>
      <c r="AF207" s="526" t="str">
        <f>IF(LANÇ_MOV[[#This Row],[DATA DE VENCIMENTO]]="","",UPPER(TEXT(LANÇ_MOV[[#This Row],[DATA DE VENCIMENTO]],"MMMM")))</f>
        <v>NOVEMBRO</v>
      </c>
      <c r="AG207" s="526" t="str">
        <f>IF(LANÇ_MOV[[#This Row],[DATA DE VENCIMENTO]]="","",TEXT(LANÇ_MOV[[#This Row],[DATA DE VENCIMENTO]],"M"))</f>
        <v>11</v>
      </c>
      <c r="AH207" s="526" t="str">
        <f>IF(LANÇ_MOV[[#This Row],[DATA DE VENCIMENTO]]="","",TEXT(LANÇ_MOV[[#This Row],[DATA DE VENCIMENTO]],"D"))</f>
        <v>13</v>
      </c>
      <c r="AI207" s="526" t="str">
        <f>IF(LANÇ_MOV[[#This Row],[DATA DE PAGAMENTO]]="","",TEXT(LANÇ_MOV[[#This Row],[DATA DE PAGAMENTO]],"AAAA"))</f>
        <v/>
      </c>
      <c r="AJ207" s="527" t="str">
        <f>IF(LANÇ_MOV[[#This Row],[DATA DE PAGAMENTO]]="","",UPPER(TEXT(LANÇ_MOV[[#This Row],[DATA DE PAGAMENTO]],"MMMM")))</f>
        <v/>
      </c>
      <c r="AK207" s="527" t="str">
        <f>IF(LANÇ_MOV[[#This Row],[DATA DE PAGAMENTO]]="","",TEXT(LANÇ_MOV[[#This Row],[DATA DE PAGAMENTO]],"M"))</f>
        <v/>
      </c>
      <c r="AL207" s="526" t="str">
        <f>IF(LANÇ_MOV[[#This Row],[DATA DE PAGAMENTO]]="","",TEXT(LANÇ_MOV[[#This Row],[DATA DE PAGAMENTO]],"D"))</f>
        <v/>
      </c>
      <c r="AM207" s="27"/>
      <c r="BB207" s="112"/>
      <c r="BC207" s="112"/>
      <c r="BD207" s="112"/>
    </row>
    <row r="208" spans="2:56" ht="30.05" customHeight="1" x14ac:dyDescent="0.35">
      <c r="B208" s="506">
        <v>45931</v>
      </c>
      <c r="C208" s="507" t="s">
        <v>1661</v>
      </c>
      <c r="D208" s="508" t="s">
        <v>1854</v>
      </c>
      <c r="E208" s="509" t="s">
        <v>228</v>
      </c>
      <c r="F208" s="510" t="s">
        <v>1818</v>
      </c>
      <c r="G208" s="507" t="s">
        <v>1891</v>
      </c>
      <c r="H208" s="511">
        <v>0</v>
      </c>
      <c r="I208" s="512" t="s">
        <v>1752</v>
      </c>
      <c r="J208" s="510">
        <v>2000</v>
      </c>
      <c r="K208" s="513">
        <v>0</v>
      </c>
      <c r="L208" s="513">
        <v>0</v>
      </c>
      <c r="M208" s="513">
        <v>0</v>
      </c>
      <c r="N208" s="514">
        <f>LANÇ_MOV[[#This Row],[VALOR BRUTO]]-LANÇ_MOV[[#This Row],[DESCONTO]]+LANÇ_MOV[[#This Row],[JUROS]]+LANÇ_MOV[[#This Row],[MULTA]]</f>
        <v>2000</v>
      </c>
      <c r="O208" s="528">
        <v>46734</v>
      </c>
      <c r="P208" s="516" t="str">
        <f t="shared" ca="1" si="3"/>
        <v>Prazo - Mais de 1 mês</v>
      </c>
      <c r="Q208" s="528"/>
      <c r="R208" s="529" t="s">
        <v>1564</v>
      </c>
      <c r="S208" s="531"/>
      <c r="T208" s="518" t="s">
        <v>1776</v>
      </c>
      <c r="U208" s="519" t="s">
        <v>2008</v>
      </c>
      <c r="V208" s="520" t="str">
        <f>IFERROR(VLOOKUP(LANÇ_MOV[[#This Row],[PLANO DE CONTAS]],Plano_Contas[[PLANO DE CONTAS]:[R / D]],3,0),"")</f>
        <v>Despesa</v>
      </c>
      <c r="W208" s="521" t="str">
        <f>IF(LANÇ_MOV[[#This Row],[DATA DE PAGAMENTO]]&lt;&gt;"","Pago","Não Pago")</f>
        <v>Não Pago</v>
      </c>
      <c r="X208" s="522" t="str">
        <f>IFERROR(IF(LANÇ_MOV[[#This Row],[DATA DE PAGAMENTO]]="","",(UPPER(TEXT(LANÇ_MOV[[#This Row],[DATA DE PAGAMENTO]],"mmmm")))),"")</f>
        <v/>
      </c>
      <c r="Y208" s="523" t="str">
        <f>IFERROR(VLOOKUP(LANÇ_MOV[[#This Row],[PLANO DE CONTAS]],Plano_Contas[[PLANO DE CONTAS]:[NOMES INTERVALOS]],2,0),"")</f>
        <v>Despesas_Com_RH</v>
      </c>
      <c r="Z208" s="523" t="str">
        <f>IF(LANÇ_MOV[[#This Row],[FORMA DE PAGAMENTO]]="","",VLOOKUP(LANÇ_MOV[[#This Row],[FORMA DE PAGAMENTO]],CAD_Forma_pagto[],2,0))</f>
        <v>PIX</v>
      </c>
      <c r="AA208" s="524" t="str">
        <f>IF(LANÇ_MOV[[#This Row],[DATA DE LANÇAMENTO]]="","",TEXT(LANÇ_MOV[[#This Row],[DATA DE LANÇAMENTO]],"AAAA"))</f>
        <v>2025</v>
      </c>
      <c r="AB208" s="524" t="str">
        <f>IF(LANÇ_MOV[[#This Row],[DATA DE LANÇAMENTO]]="","",UPPER(TEXT(LANÇ_MOV[[#This Row],[DATA DE LANÇAMENTO]],"MMMM")))</f>
        <v>OUTUBRO</v>
      </c>
      <c r="AC208" s="525" t="str">
        <f>IF(LANÇ_MOV[[#This Row],[DATA DE LANÇAMENTO]]="","",PROPER(TEXT(LANÇ_MOV[[#This Row],[DATA DE LANÇAMENTO]],"M")))</f>
        <v>10</v>
      </c>
      <c r="AD208" s="524" t="str">
        <f>IF(LANÇ_MOV[[#This Row],[DATA DE LANÇAMENTO]]="","",TEXT(LANÇ_MOV[[#This Row],[DATA DE LANÇAMENTO]],"D"))</f>
        <v>1</v>
      </c>
      <c r="AE208" s="526" t="str">
        <f>IF(LANÇ_MOV[[#This Row],[DATA DE VENCIMENTO]]="","",TEXT(LANÇ_MOV[[#This Row],[DATA DE VENCIMENTO]],"AAAA"))</f>
        <v>2027</v>
      </c>
      <c r="AF208" s="526" t="str">
        <f>IF(LANÇ_MOV[[#This Row],[DATA DE VENCIMENTO]]="","",UPPER(TEXT(LANÇ_MOV[[#This Row],[DATA DE VENCIMENTO]],"MMMM")))</f>
        <v>DEZEMBRO</v>
      </c>
      <c r="AG208" s="526" t="str">
        <f>IF(LANÇ_MOV[[#This Row],[DATA DE VENCIMENTO]]="","",TEXT(LANÇ_MOV[[#This Row],[DATA DE VENCIMENTO]],"M"))</f>
        <v>12</v>
      </c>
      <c r="AH208" s="526" t="str">
        <f>IF(LANÇ_MOV[[#This Row],[DATA DE VENCIMENTO]]="","",TEXT(LANÇ_MOV[[#This Row],[DATA DE VENCIMENTO]],"D"))</f>
        <v>13</v>
      </c>
      <c r="AI208" s="526" t="str">
        <f>IF(LANÇ_MOV[[#This Row],[DATA DE PAGAMENTO]]="","",TEXT(LANÇ_MOV[[#This Row],[DATA DE PAGAMENTO]],"AAAA"))</f>
        <v/>
      </c>
      <c r="AJ208" s="527" t="str">
        <f>IF(LANÇ_MOV[[#This Row],[DATA DE PAGAMENTO]]="","",UPPER(TEXT(LANÇ_MOV[[#This Row],[DATA DE PAGAMENTO]],"MMMM")))</f>
        <v/>
      </c>
      <c r="AK208" s="527" t="str">
        <f>IF(LANÇ_MOV[[#This Row],[DATA DE PAGAMENTO]]="","",TEXT(LANÇ_MOV[[#This Row],[DATA DE PAGAMENTO]],"M"))</f>
        <v/>
      </c>
      <c r="AL208" s="526" t="str">
        <f>IF(LANÇ_MOV[[#This Row],[DATA DE PAGAMENTO]]="","",TEXT(LANÇ_MOV[[#This Row],[DATA DE PAGAMENTO]],"D"))</f>
        <v/>
      </c>
      <c r="AM208" s="27"/>
      <c r="BB208" s="112"/>
      <c r="BC208" s="112"/>
      <c r="BD208" s="112"/>
    </row>
    <row r="209" spans="2:56" ht="30.05" customHeight="1" x14ac:dyDescent="0.35">
      <c r="B209" s="506">
        <v>45931</v>
      </c>
      <c r="C209" s="507" t="s">
        <v>1661</v>
      </c>
      <c r="D209" s="508" t="s">
        <v>1854</v>
      </c>
      <c r="E209" s="509" t="s">
        <v>228</v>
      </c>
      <c r="F209" s="510" t="s">
        <v>1818</v>
      </c>
      <c r="G209" s="507" t="s">
        <v>1892</v>
      </c>
      <c r="H209" s="511">
        <v>0</v>
      </c>
      <c r="I209" s="512" t="s">
        <v>1752</v>
      </c>
      <c r="J209" s="510">
        <v>2000</v>
      </c>
      <c r="K209" s="513">
        <v>0</v>
      </c>
      <c r="L209" s="513">
        <v>0</v>
      </c>
      <c r="M209" s="513">
        <v>0</v>
      </c>
      <c r="N209" s="514">
        <f>LANÇ_MOV[[#This Row],[VALOR BRUTO]]-LANÇ_MOV[[#This Row],[DESCONTO]]+LANÇ_MOV[[#This Row],[JUROS]]+LANÇ_MOV[[#This Row],[MULTA]]</f>
        <v>2000</v>
      </c>
      <c r="O209" s="528">
        <v>46765</v>
      </c>
      <c r="P209" s="516" t="str">
        <f t="shared" ca="1" si="3"/>
        <v>Prazo - Mais de 1 mês</v>
      </c>
      <c r="Q209" s="528"/>
      <c r="R209" s="529" t="s">
        <v>1564</v>
      </c>
      <c r="S209" s="531"/>
      <c r="T209" s="518" t="s">
        <v>1776</v>
      </c>
      <c r="U209" s="519" t="s">
        <v>2008</v>
      </c>
      <c r="V209" s="520" t="str">
        <f>IFERROR(VLOOKUP(LANÇ_MOV[[#This Row],[PLANO DE CONTAS]],Plano_Contas[[PLANO DE CONTAS]:[R / D]],3,0),"")</f>
        <v>Despesa</v>
      </c>
      <c r="W209" s="521" t="str">
        <f>IF(LANÇ_MOV[[#This Row],[DATA DE PAGAMENTO]]&lt;&gt;"","Pago","Não Pago")</f>
        <v>Não Pago</v>
      </c>
      <c r="X209" s="522" t="str">
        <f>IFERROR(IF(LANÇ_MOV[[#This Row],[DATA DE PAGAMENTO]]="","",(UPPER(TEXT(LANÇ_MOV[[#This Row],[DATA DE PAGAMENTO]],"mmmm")))),"")</f>
        <v/>
      </c>
      <c r="Y209" s="523" t="str">
        <f>IFERROR(VLOOKUP(LANÇ_MOV[[#This Row],[PLANO DE CONTAS]],Plano_Contas[[PLANO DE CONTAS]:[NOMES INTERVALOS]],2,0),"")</f>
        <v>Despesas_Com_RH</v>
      </c>
      <c r="Z209" s="523" t="str">
        <f>IF(LANÇ_MOV[[#This Row],[FORMA DE PAGAMENTO]]="","",VLOOKUP(LANÇ_MOV[[#This Row],[FORMA DE PAGAMENTO]],CAD_Forma_pagto[],2,0))</f>
        <v>PIX</v>
      </c>
      <c r="AA209" s="524" t="str">
        <f>IF(LANÇ_MOV[[#This Row],[DATA DE LANÇAMENTO]]="","",TEXT(LANÇ_MOV[[#This Row],[DATA DE LANÇAMENTO]],"AAAA"))</f>
        <v>2025</v>
      </c>
      <c r="AB209" s="524" t="str">
        <f>IF(LANÇ_MOV[[#This Row],[DATA DE LANÇAMENTO]]="","",UPPER(TEXT(LANÇ_MOV[[#This Row],[DATA DE LANÇAMENTO]],"MMMM")))</f>
        <v>OUTUBRO</v>
      </c>
      <c r="AC209" s="525" t="str">
        <f>IF(LANÇ_MOV[[#This Row],[DATA DE LANÇAMENTO]]="","",PROPER(TEXT(LANÇ_MOV[[#This Row],[DATA DE LANÇAMENTO]],"M")))</f>
        <v>10</v>
      </c>
      <c r="AD209" s="524" t="str">
        <f>IF(LANÇ_MOV[[#This Row],[DATA DE LANÇAMENTO]]="","",TEXT(LANÇ_MOV[[#This Row],[DATA DE LANÇAMENTO]],"D"))</f>
        <v>1</v>
      </c>
      <c r="AE209" s="526" t="str">
        <f>IF(LANÇ_MOV[[#This Row],[DATA DE VENCIMENTO]]="","",TEXT(LANÇ_MOV[[#This Row],[DATA DE VENCIMENTO]],"AAAA"))</f>
        <v>2028</v>
      </c>
      <c r="AF209" s="526" t="str">
        <f>IF(LANÇ_MOV[[#This Row],[DATA DE VENCIMENTO]]="","",UPPER(TEXT(LANÇ_MOV[[#This Row],[DATA DE VENCIMENTO]],"MMMM")))</f>
        <v>JANEIRO</v>
      </c>
      <c r="AG209" s="526" t="str">
        <f>IF(LANÇ_MOV[[#This Row],[DATA DE VENCIMENTO]]="","",TEXT(LANÇ_MOV[[#This Row],[DATA DE VENCIMENTO]],"M"))</f>
        <v>1</v>
      </c>
      <c r="AH209" s="526" t="str">
        <f>IF(LANÇ_MOV[[#This Row],[DATA DE VENCIMENTO]]="","",TEXT(LANÇ_MOV[[#This Row],[DATA DE VENCIMENTO]],"D"))</f>
        <v>13</v>
      </c>
      <c r="AI209" s="526" t="str">
        <f>IF(LANÇ_MOV[[#This Row],[DATA DE PAGAMENTO]]="","",TEXT(LANÇ_MOV[[#This Row],[DATA DE PAGAMENTO]],"AAAA"))</f>
        <v/>
      </c>
      <c r="AJ209" s="527" t="str">
        <f>IF(LANÇ_MOV[[#This Row],[DATA DE PAGAMENTO]]="","",UPPER(TEXT(LANÇ_MOV[[#This Row],[DATA DE PAGAMENTO]],"MMMM")))</f>
        <v/>
      </c>
      <c r="AK209" s="527" t="str">
        <f>IF(LANÇ_MOV[[#This Row],[DATA DE PAGAMENTO]]="","",TEXT(LANÇ_MOV[[#This Row],[DATA DE PAGAMENTO]],"M"))</f>
        <v/>
      </c>
      <c r="AL209" s="526" t="str">
        <f>IF(LANÇ_MOV[[#This Row],[DATA DE PAGAMENTO]]="","",TEXT(LANÇ_MOV[[#This Row],[DATA DE PAGAMENTO]],"D"))</f>
        <v/>
      </c>
      <c r="AM209" s="27"/>
      <c r="BB209" s="112"/>
      <c r="BC209" s="112"/>
      <c r="BD209" s="112"/>
    </row>
    <row r="210" spans="2:56" ht="30.05" customHeight="1" x14ac:dyDescent="0.35">
      <c r="B210" s="506">
        <v>45931</v>
      </c>
      <c r="C210" s="507" t="s">
        <v>1661</v>
      </c>
      <c r="D210" s="508" t="s">
        <v>1854</v>
      </c>
      <c r="E210" s="509" t="s">
        <v>228</v>
      </c>
      <c r="F210" s="510" t="s">
        <v>1818</v>
      </c>
      <c r="G210" s="507" t="s">
        <v>1893</v>
      </c>
      <c r="H210" s="511">
        <v>0</v>
      </c>
      <c r="I210" s="512" t="s">
        <v>1752</v>
      </c>
      <c r="J210" s="510">
        <v>2000</v>
      </c>
      <c r="K210" s="513">
        <v>0</v>
      </c>
      <c r="L210" s="513">
        <v>0</v>
      </c>
      <c r="M210" s="513">
        <v>0</v>
      </c>
      <c r="N210" s="514">
        <f>LANÇ_MOV[[#This Row],[VALOR BRUTO]]-LANÇ_MOV[[#This Row],[DESCONTO]]+LANÇ_MOV[[#This Row],[JUROS]]+LANÇ_MOV[[#This Row],[MULTA]]</f>
        <v>2000</v>
      </c>
      <c r="O210" s="528">
        <v>46796</v>
      </c>
      <c r="P210" s="516" t="str">
        <f t="shared" ca="1" si="3"/>
        <v>Prazo - Mais de 1 mês</v>
      </c>
      <c r="Q210" s="528"/>
      <c r="R210" s="529" t="s">
        <v>1564</v>
      </c>
      <c r="S210" s="531"/>
      <c r="T210" s="518" t="s">
        <v>1776</v>
      </c>
      <c r="U210" s="519" t="s">
        <v>2008</v>
      </c>
      <c r="V210" s="520" t="str">
        <f>IFERROR(VLOOKUP(LANÇ_MOV[[#This Row],[PLANO DE CONTAS]],Plano_Contas[[PLANO DE CONTAS]:[R / D]],3,0),"")</f>
        <v>Despesa</v>
      </c>
      <c r="W210" s="521" t="str">
        <f>IF(LANÇ_MOV[[#This Row],[DATA DE PAGAMENTO]]&lt;&gt;"","Pago","Não Pago")</f>
        <v>Não Pago</v>
      </c>
      <c r="X210" s="522" t="str">
        <f>IFERROR(IF(LANÇ_MOV[[#This Row],[DATA DE PAGAMENTO]]="","",(UPPER(TEXT(LANÇ_MOV[[#This Row],[DATA DE PAGAMENTO]],"mmmm")))),"")</f>
        <v/>
      </c>
      <c r="Y210" s="523" t="str">
        <f>IFERROR(VLOOKUP(LANÇ_MOV[[#This Row],[PLANO DE CONTAS]],Plano_Contas[[PLANO DE CONTAS]:[NOMES INTERVALOS]],2,0),"")</f>
        <v>Despesas_Com_RH</v>
      </c>
      <c r="Z210" s="523" t="str">
        <f>IF(LANÇ_MOV[[#This Row],[FORMA DE PAGAMENTO]]="","",VLOOKUP(LANÇ_MOV[[#This Row],[FORMA DE PAGAMENTO]],CAD_Forma_pagto[],2,0))</f>
        <v>PIX</v>
      </c>
      <c r="AA210" s="524" t="str">
        <f>IF(LANÇ_MOV[[#This Row],[DATA DE LANÇAMENTO]]="","",TEXT(LANÇ_MOV[[#This Row],[DATA DE LANÇAMENTO]],"AAAA"))</f>
        <v>2025</v>
      </c>
      <c r="AB210" s="524" t="str">
        <f>IF(LANÇ_MOV[[#This Row],[DATA DE LANÇAMENTO]]="","",UPPER(TEXT(LANÇ_MOV[[#This Row],[DATA DE LANÇAMENTO]],"MMMM")))</f>
        <v>OUTUBRO</v>
      </c>
      <c r="AC210" s="525" t="str">
        <f>IF(LANÇ_MOV[[#This Row],[DATA DE LANÇAMENTO]]="","",PROPER(TEXT(LANÇ_MOV[[#This Row],[DATA DE LANÇAMENTO]],"M")))</f>
        <v>10</v>
      </c>
      <c r="AD210" s="524" t="str">
        <f>IF(LANÇ_MOV[[#This Row],[DATA DE LANÇAMENTO]]="","",TEXT(LANÇ_MOV[[#This Row],[DATA DE LANÇAMENTO]],"D"))</f>
        <v>1</v>
      </c>
      <c r="AE210" s="526" t="str">
        <f>IF(LANÇ_MOV[[#This Row],[DATA DE VENCIMENTO]]="","",TEXT(LANÇ_MOV[[#This Row],[DATA DE VENCIMENTO]],"AAAA"))</f>
        <v>2028</v>
      </c>
      <c r="AF210" s="526" t="str">
        <f>IF(LANÇ_MOV[[#This Row],[DATA DE VENCIMENTO]]="","",UPPER(TEXT(LANÇ_MOV[[#This Row],[DATA DE VENCIMENTO]],"MMMM")))</f>
        <v>FEVEREIRO</v>
      </c>
      <c r="AG210" s="526" t="str">
        <f>IF(LANÇ_MOV[[#This Row],[DATA DE VENCIMENTO]]="","",TEXT(LANÇ_MOV[[#This Row],[DATA DE VENCIMENTO]],"M"))</f>
        <v>2</v>
      </c>
      <c r="AH210" s="526" t="str">
        <f>IF(LANÇ_MOV[[#This Row],[DATA DE VENCIMENTO]]="","",TEXT(LANÇ_MOV[[#This Row],[DATA DE VENCIMENTO]],"D"))</f>
        <v>13</v>
      </c>
      <c r="AI210" s="526" t="str">
        <f>IF(LANÇ_MOV[[#This Row],[DATA DE PAGAMENTO]]="","",TEXT(LANÇ_MOV[[#This Row],[DATA DE PAGAMENTO]],"AAAA"))</f>
        <v/>
      </c>
      <c r="AJ210" s="527" t="str">
        <f>IF(LANÇ_MOV[[#This Row],[DATA DE PAGAMENTO]]="","",UPPER(TEXT(LANÇ_MOV[[#This Row],[DATA DE PAGAMENTO]],"MMMM")))</f>
        <v/>
      </c>
      <c r="AK210" s="527" t="str">
        <f>IF(LANÇ_MOV[[#This Row],[DATA DE PAGAMENTO]]="","",TEXT(LANÇ_MOV[[#This Row],[DATA DE PAGAMENTO]],"M"))</f>
        <v/>
      </c>
      <c r="AL210" s="526" t="str">
        <f>IF(LANÇ_MOV[[#This Row],[DATA DE PAGAMENTO]]="","",TEXT(LANÇ_MOV[[#This Row],[DATA DE PAGAMENTO]],"D"))</f>
        <v/>
      </c>
      <c r="AM210" s="27"/>
      <c r="BB210" s="112"/>
      <c r="BC210" s="112"/>
      <c r="BD210" s="112"/>
    </row>
    <row r="211" spans="2:56" ht="30.05" customHeight="1" x14ac:dyDescent="0.35">
      <c r="B211" s="506">
        <v>45931</v>
      </c>
      <c r="C211" s="507" t="s">
        <v>1661</v>
      </c>
      <c r="D211" s="508" t="s">
        <v>1854</v>
      </c>
      <c r="E211" s="509" t="s">
        <v>228</v>
      </c>
      <c r="F211" s="510" t="s">
        <v>1818</v>
      </c>
      <c r="G211" s="507" t="s">
        <v>1894</v>
      </c>
      <c r="H211" s="511">
        <v>0</v>
      </c>
      <c r="I211" s="512" t="s">
        <v>1752</v>
      </c>
      <c r="J211" s="510">
        <v>2000</v>
      </c>
      <c r="K211" s="513">
        <v>0</v>
      </c>
      <c r="L211" s="513">
        <v>0</v>
      </c>
      <c r="M211" s="513">
        <v>0</v>
      </c>
      <c r="N211" s="514">
        <f>LANÇ_MOV[[#This Row],[VALOR BRUTO]]-LANÇ_MOV[[#This Row],[DESCONTO]]+LANÇ_MOV[[#This Row],[JUROS]]+LANÇ_MOV[[#This Row],[MULTA]]</f>
        <v>2000</v>
      </c>
      <c r="O211" s="528">
        <v>46825</v>
      </c>
      <c r="P211" s="516" t="str">
        <f t="shared" ca="1" si="3"/>
        <v>Prazo - Mais de 1 mês</v>
      </c>
      <c r="Q211" s="528"/>
      <c r="R211" s="529" t="s">
        <v>1564</v>
      </c>
      <c r="S211" s="531"/>
      <c r="T211" s="518" t="s">
        <v>1776</v>
      </c>
      <c r="U211" s="519" t="s">
        <v>2008</v>
      </c>
      <c r="V211" s="520" t="str">
        <f>IFERROR(VLOOKUP(LANÇ_MOV[[#This Row],[PLANO DE CONTAS]],Plano_Contas[[PLANO DE CONTAS]:[R / D]],3,0),"")</f>
        <v>Despesa</v>
      </c>
      <c r="W211" s="521" t="str">
        <f>IF(LANÇ_MOV[[#This Row],[DATA DE PAGAMENTO]]&lt;&gt;"","Pago","Não Pago")</f>
        <v>Não Pago</v>
      </c>
      <c r="X211" s="522" t="str">
        <f>IFERROR(IF(LANÇ_MOV[[#This Row],[DATA DE PAGAMENTO]]="","",(UPPER(TEXT(LANÇ_MOV[[#This Row],[DATA DE PAGAMENTO]],"mmmm")))),"")</f>
        <v/>
      </c>
      <c r="Y211" s="523" t="str">
        <f>IFERROR(VLOOKUP(LANÇ_MOV[[#This Row],[PLANO DE CONTAS]],Plano_Contas[[PLANO DE CONTAS]:[NOMES INTERVALOS]],2,0),"")</f>
        <v>Despesas_Com_RH</v>
      </c>
      <c r="Z211" s="523" t="str">
        <f>IF(LANÇ_MOV[[#This Row],[FORMA DE PAGAMENTO]]="","",VLOOKUP(LANÇ_MOV[[#This Row],[FORMA DE PAGAMENTO]],CAD_Forma_pagto[],2,0))</f>
        <v>PIX</v>
      </c>
      <c r="AA211" s="524" t="str">
        <f>IF(LANÇ_MOV[[#This Row],[DATA DE LANÇAMENTO]]="","",TEXT(LANÇ_MOV[[#This Row],[DATA DE LANÇAMENTO]],"AAAA"))</f>
        <v>2025</v>
      </c>
      <c r="AB211" s="524" t="str">
        <f>IF(LANÇ_MOV[[#This Row],[DATA DE LANÇAMENTO]]="","",UPPER(TEXT(LANÇ_MOV[[#This Row],[DATA DE LANÇAMENTO]],"MMMM")))</f>
        <v>OUTUBRO</v>
      </c>
      <c r="AC211" s="525" t="str">
        <f>IF(LANÇ_MOV[[#This Row],[DATA DE LANÇAMENTO]]="","",PROPER(TEXT(LANÇ_MOV[[#This Row],[DATA DE LANÇAMENTO]],"M")))</f>
        <v>10</v>
      </c>
      <c r="AD211" s="524" t="str">
        <f>IF(LANÇ_MOV[[#This Row],[DATA DE LANÇAMENTO]]="","",TEXT(LANÇ_MOV[[#This Row],[DATA DE LANÇAMENTO]],"D"))</f>
        <v>1</v>
      </c>
      <c r="AE211" s="526" t="str">
        <f>IF(LANÇ_MOV[[#This Row],[DATA DE VENCIMENTO]]="","",TEXT(LANÇ_MOV[[#This Row],[DATA DE VENCIMENTO]],"AAAA"))</f>
        <v>2028</v>
      </c>
      <c r="AF211" s="526" t="str">
        <f>IF(LANÇ_MOV[[#This Row],[DATA DE VENCIMENTO]]="","",UPPER(TEXT(LANÇ_MOV[[#This Row],[DATA DE VENCIMENTO]],"MMMM")))</f>
        <v>MARÇO</v>
      </c>
      <c r="AG211" s="526" t="str">
        <f>IF(LANÇ_MOV[[#This Row],[DATA DE VENCIMENTO]]="","",TEXT(LANÇ_MOV[[#This Row],[DATA DE VENCIMENTO]],"M"))</f>
        <v>3</v>
      </c>
      <c r="AH211" s="526" t="str">
        <f>IF(LANÇ_MOV[[#This Row],[DATA DE VENCIMENTO]]="","",TEXT(LANÇ_MOV[[#This Row],[DATA DE VENCIMENTO]],"D"))</f>
        <v>13</v>
      </c>
      <c r="AI211" s="526" t="str">
        <f>IF(LANÇ_MOV[[#This Row],[DATA DE PAGAMENTO]]="","",TEXT(LANÇ_MOV[[#This Row],[DATA DE PAGAMENTO]],"AAAA"))</f>
        <v/>
      </c>
      <c r="AJ211" s="527" t="str">
        <f>IF(LANÇ_MOV[[#This Row],[DATA DE PAGAMENTO]]="","",UPPER(TEXT(LANÇ_MOV[[#This Row],[DATA DE PAGAMENTO]],"MMMM")))</f>
        <v/>
      </c>
      <c r="AK211" s="527" t="str">
        <f>IF(LANÇ_MOV[[#This Row],[DATA DE PAGAMENTO]]="","",TEXT(LANÇ_MOV[[#This Row],[DATA DE PAGAMENTO]],"M"))</f>
        <v/>
      </c>
      <c r="AL211" s="526" t="str">
        <f>IF(LANÇ_MOV[[#This Row],[DATA DE PAGAMENTO]]="","",TEXT(LANÇ_MOV[[#This Row],[DATA DE PAGAMENTO]],"D"))</f>
        <v/>
      </c>
      <c r="AM211" s="27"/>
      <c r="BB211" s="112"/>
      <c r="BC211" s="112"/>
      <c r="BD211" s="112"/>
    </row>
    <row r="212" spans="2:56" ht="30.05" customHeight="1" x14ac:dyDescent="0.35">
      <c r="B212" s="506">
        <v>45931</v>
      </c>
      <c r="C212" s="507" t="s">
        <v>1661</v>
      </c>
      <c r="D212" s="508" t="s">
        <v>1854</v>
      </c>
      <c r="E212" s="509" t="s">
        <v>228</v>
      </c>
      <c r="F212" s="510" t="s">
        <v>1818</v>
      </c>
      <c r="G212" s="507" t="s">
        <v>1895</v>
      </c>
      <c r="H212" s="511">
        <v>0</v>
      </c>
      <c r="I212" s="512" t="s">
        <v>1752</v>
      </c>
      <c r="J212" s="510">
        <v>2000</v>
      </c>
      <c r="K212" s="513">
        <v>0</v>
      </c>
      <c r="L212" s="513">
        <v>0</v>
      </c>
      <c r="M212" s="513">
        <v>0</v>
      </c>
      <c r="N212" s="514">
        <f>LANÇ_MOV[[#This Row],[VALOR BRUTO]]-LANÇ_MOV[[#This Row],[DESCONTO]]+LANÇ_MOV[[#This Row],[JUROS]]+LANÇ_MOV[[#This Row],[MULTA]]</f>
        <v>2000</v>
      </c>
      <c r="O212" s="528">
        <v>46856</v>
      </c>
      <c r="P212" s="516" t="str">
        <f t="shared" ca="1" si="3"/>
        <v>Prazo - Mais de 1 mês</v>
      </c>
      <c r="Q212" s="528"/>
      <c r="R212" s="529" t="s">
        <v>1564</v>
      </c>
      <c r="S212" s="531"/>
      <c r="T212" s="518" t="s">
        <v>1776</v>
      </c>
      <c r="U212" s="519" t="s">
        <v>2008</v>
      </c>
      <c r="V212" s="520" t="str">
        <f>IFERROR(VLOOKUP(LANÇ_MOV[[#This Row],[PLANO DE CONTAS]],Plano_Contas[[PLANO DE CONTAS]:[R / D]],3,0),"")</f>
        <v>Despesa</v>
      </c>
      <c r="W212" s="521" t="str">
        <f>IF(LANÇ_MOV[[#This Row],[DATA DE PAGAMENTO]]&lt;&gt;"","Pago","Não Pago")</f>
        <v>Não Pago</v>
      </c>
      <c r="X212" s="522" t="str">
        <f>IFERROR(IF(LANÇ_MOV[[#This Row],[DATA DE PAGAMENTO]]="","",(UPPER(TEXT(LANÇ_MOV[[#This Row],[DATA DE PAGAMENTO]],"mmmm")))),"")</f>
        <v/>
      </c>
      <c r="Y212" s="523" t="str">
        <f>IFERROR(VLOOKUP(LANÇ_MOV[[#This Row],[PLANO DE CONTAS]],Plano_Contas[[PLANO DE CONTAS]:[NOMES INTERVALOS]],2,0),"")</f>
        <v>Despesas_Com_RH</v>
      </c>
      <c r="Z212" s="523" t="str">
        <f>IF(LANÇ_MOV[[#This Row],[FORMA DE PAGAMENTO]]="","",VLOOKUP(LANÇ_MOV[[#This Row],[FORMA DE PAGAMENTO]],CAD_Forma_pagto[],2,0))</f>
        <v>PIX</v>
      </c>
      <c r="AA212" s="524" t="str">
        <f>IF(LANÇ_MOV[[#This Row],[DATA DE LANÇAMENTO]]="","",TEXT(LANÇ_MOV[[#This Row],[DATA DE LANÇAMENTO]],"AAAA"))</f>
        <v>2025</v>
      </c>
      <c r="AB212" s="524" t="str">
        <f>IF(LANÇ_MOV[[#This Row],[DATA DE LANÇAMENTO]]="","",UPPER(TEXT(LANÇ_MOV[[#This Row],[DATA DE LANÇAMENTO]],"MMMM")))</f>
        <v>OUTUBRO</v>
      </c>
      <c r="AC212" s="525" t="str">
        <f>IF(LANÇ_MOV[[#This Row],[DATA DE LANÇAMENTO]]="","",PROPER(TEXT(LANÇ_MOV[[#This Row],[DATA DE LANÇAMENTO]],"M")))</f>
        <v>10</v>
      </c>
      <c r="AD212" s="524" t="str">
        <f>IF(LANÇ_MOV[[#This Row],[DATA DE LANÇAMENTO]]="","",TEXT(LANÇ_MOV[[#This Row],[DATA DE LANÇAMENTO]],"D"))</f>
        <v>1</v>
      </c>
      <c r="AE212" s="526" t="str">
        <f>IF(LANÇ_MOV[[#This Row],[DATA DE VENCIMENTO]]="","",TEXT(LANÇ_MOV[[#This Row],[DATA DE VENCIMENTO]],"AAAA"))</f>
        <v>2028</v>
      </c>
      <c r="AF212" s="526" t="str">
        <f>IF(LANÇ_MOV[[#This Row],[DATA DE VENCIMENTO]]="","",UPPER(TEXT(LANÇ_MOV[[#This Row],[DATA DE VENCIMENTO]],"MMMM")))</f>
        <v>ABRIL</v>
      </c>
      <c r="AG212" s="526" t="str">
        <f>IF(LANÇ_MOV[[#This Row],[DATA DE VENCIMENTO]]="","",TEXT(LANÇ_MOV[[#This Row],[DATA DE VENCIMENTO]],"M"))</f>
        <v>4</v>
      </c>
      <c r="AH212" s="526" t="str">
        <f>IF(LANÇ_MOV[[#This Row],[DATA DE VENCIMENTO]]="","",TEXT(LANÇ_MOV[[#This Row],[DATA DE VENCIMENTO]],"D"))</f>
        <v>13</v>
      </c>
      <c r="AI212" s="526" t="str">
        <f>IF(LANÇ_MOV[[#This Row],[DATA DE PAGAMENTO]]="","",TEXT(LANÇ_MOV[[#This Row],[DATA DE PAGAMENTO]],"AAAA"))</f>
        <v/>
      </c>
      <c r="AJ212" s="527" t="str">
        <f>IF(LANÇ_MOV[[#This Row],[DATA DE PAGAMENTO]]="","",UPPER(TEXT(LANÇ_MOV[[#This Row],[DATA DE PAGAMENTO]],"MMMM")))</f>
        <v/>
      </c>
      <c r="AK212" s="527" t="str">
        <f>IF(LANÇ_MOV[[#This Row],[DATA DE PAGAMENTO]]="","",TEXT(LANÇ_MOV[[#This Row],[DATA DE PAGAMENTO]],"M"))</f>
        <v/>
      </c>
      <c r="AL212" s="526" t="str">
        <f>IF(LANÇ_MOV[[#This Row],[DATA DE PAGAMENTO]]="","",TEXT(LANÇ_MOV[[#This Row],[DATA DE PAGAMENTO]],"D"))</f>
        <v/>
      </c>
      <c r="AM212" s="27"/>
      <c r="BB212" s="112"/>
      <c r="BC212" s="112"/>
      <c r="BD212" s="112"/>
    </row>
    <row r="213" spans="2:56" ht="30.05" customHeight="1" x14ac:dyDescent="0.35">
      <c r="B213" s="506">
        <v>45931</v>
      </c>
      <c r="C213" s="507" t="s">
        <v>1661</v>
      </c>
      <c r="D213" s="508" t="s">
        <v>1854</v>
      </c>
      <c r="E213" s="509" t="s">
        <v>228</v>
      </c>
      <c r="F213" s="510" t="s">
        <v>1818</v>
      </c>
      <c r="G213" s="507" t="s">
        <v>1896</v>
      </c>
      <c r="H213" s="511">
        <v>0</v>
      </c>
      <c r="I213" s="512" t="s">
        <v>1752</v>
      </c>
      <c r="J213" s="510">
        <v>2000</v>
      </c>
      <c r="K213" s="513">
        <v>0</v>
      </c>
      <c r="L213" s="513">
        <v>0</v>
      </c>
      <c r="M213" s="513">
        <v>0</v>
      </c>
      <c r="N213" s="514">
        <f>LANÇ_MOV[[#This Row],[VALOR BRUTO]]-LANÇ_MOV[[#This Row],[DESCONTO]]+LANÇ_MOV[[#This Row],[JUROS]]+LANÇ_MOV[[#This Row],[MULTA]]</f>
        <v>2000</v>
      </c>
      <c r="O213" s="528">
        <v>46886</v>
      </c>
      <c r="P213" s="516" t="str">
        <f t="shared" ca="1" si="3"/>
        <v>Prazo - Mais de 1 mês</v>
      </c>
      <c r="Q213" s="528"/>
      <c r="R213" s="529" t="s">
        <v>1564</v>
      </c>
      <c r="S213" s="531"/>
      <c r="T213" s="518" t="s">
        <v>1776</v>
      </c>
      <c r="U213" s="519" t="s">
        <v>2008</v>
      </c>
      <c r="V213" s="520" t="str">
        <f>IFERROR(VLOOKUP(LANÇ_MOV[[#This Row],[PLANO DE CONTAS]],Plano_Contas[[PLANO DE CONTAS]:[R / D]],3,0),"")</f>
        <v>Despesa</v>
      </c>
      <c r="W213" s="521" t="str">
        <f>IF(LANÇ_MOV[[#This Row],[DATA DE PAGAMENTO]]&lt;&gt;"","Pago","Não Pago")</f>
        <v>Não Pago</v>
      </c>
      <c r="X213" s="522" t="str">
        <f>IFERROR(IF(LANÇ_MOV[[#This Row],[DATA DE PAGAMENTO]]="","",(UPPER(TEXT(LANÇ_MOV[[#This Row],[DATA DE PAGAMENTO]],"mmmm")))),"")</f>
        <v/>
      </c>
      <c r="Y213" s="523" t="str">
        <f>IFERROR(VLOOKUP(LANÇ_MOV[[#This Row],[PLANO DE CONTAS]],Plano_Contas[[PLANO DE CONTAS]:[NOMES INTERVALOS]],2,0),"")</f>
        <v>Despesas_Com_RH</v>
      </c>
      <c r="Z213" s="523" t="str">
        <f>IF(LANÇ_MOV[[#This Row],[FORMA DE PAGAMENTO]]="","",VLOOKUP(LANÇ_MOV[[#This Row],[FORMA DE PAGAMENTO]],CAD_Forma_pagto[],2,0))</f>
        <v>PIX</v>
      </c>
      <c r="AA213" s="524" t="str">
        <f>IF(LANÇ_MOV[[#This Row],[DATA DE LANÇAMENTO]]="","",TEXT(LANÇ_MOV[[#This Row],[DATA DE LANÇAMENTO]],"AAAA"))</f>
        <v>2025</v>
      </c>
      <c r="AB213" s="524" t="str">
        <f>IF(LANÇ_MOV[[#This Row],[DATA DE LANÇAMENTO]]="","",UPPER(TEXT(LANÇ_MOV[[#This Row],[DATA DE LANÇAMENTO]],"MMMM")))</f>
        <v>OUTUBRO</v>
      </c>
      <c r="AC213" s="525" t="str">
        <f>IF(LANÇ_MOV[[#This Row],[DATA DE LANÇAMENTO]]="","",PROPER(TEXT(LANÇ_MOV[[#This Row],[DATA DE LANÇAMENTO]],"M")))</f>
        <v>10</v>
      </c>
      <c r="AD213" s="524" t="str">
        <f>IF(LANÇ_MOV[[#This Row],[DATA DE LANÇAMENTO]]="","",TEXT(LANÇ_MOV[[#This Row],[DATA DE LANÇAMENTO]],"D"))</f>
        <v>1</v>
      </c>
      <c r="AE213" s="526" t="str">
        <f>IF(LANÇ_MOV[[#This Row],[DATA DE VENCIMENTO]]="","",TEXT(LANÇ_MOV[[#This Row],[DATA DE VENCIMENTO]],"AAAA"))</f>
        <v>2028</v>
      </c>
      <c r="AF213" s="526" t="str">
        <f>IF(LANÇ_MOV[[#This Row],[DATA DE VENCIMENTO]]="","",UPPER(TEXT(LANÇ_MOV[[#This Row],[DATA DE VENCIMENTO]],"MMMM")))</f>
        <v>MAIO</v>
      </c>
      <c r="AG213" s="526" t="str">
        <f>IF(LANÇ_MOV[[#This Row],[DATA DE VENCIMENTO]]="","",TEXT(LANÇ_MOV[[#This Row],[DATA DE VENCIMENTO]],"M"))</f>
        <v>5</v>
      </c>
      <c r="AH213" s="526" t="str">
        <f>IF(LANÇ_MOV[[#This Row],[DATA DE VENCIMENTO]]="","",TEXT(LANÇ_MOV[[#This Row],[DATA DE VENCIMENTO]],"D"))</f>
        <v>13</v>
      </c>
      <c r="AI213" s="526" t="str">
        <f>IF(LANÇ_MOV[[#This Row],[DATA DE PAGAMENTO]]="","",TEXT(LANÇ_MOV[[#This Row],[DATA DE PAGAMENTO]],"AAAA"))</f>
        <v/>
      </c>
      <c r="AJ213" s="527" t="str">
        <f>IF(LANÇ_MOV[[#This Row],[DATA DE PAGAMENTO]]="","",UPPER(TEXT(LANÇ_MOV[[#This Row],[DATA DE PAGAMENTO]],"MMMM")))</f>
        <v/>
      </c>
      <c r="AK213" s="527" t="str">
        <f>IF(LANÇ_MOV[[#This Row],[DATA DE PAGAMENTO]]="","",TEXT(LANÇ_MOV[[#This Row],[DATA DE PAGAMENTO]],"M"))</f>
        <v/>
      </c>
      <c r="AL213" s="526" t="str">
        <f>IF(LANÇ_MOV[[#This Row],[DATA DE PAGAMENTO]]="","",TEXT(LANÇ_MOV[[#This Row],[DATA DE PAGAMENTO]],"D"))</f>
        <v/>
      </c>
      <c r="AM213" s="27"/>
      <c r="BB213" s="112"/>
      <c r="BC213" s="112"/>
      <c r="BD213" s="112"/>
    </row>
    <row r="214" spans="2:56" ht="30.05" customHeight="1" x14ac:dyDescent="0.35">
      <c r="B214" s="506">
        <v>45931</v>
      </c>
      <c r="C214" s="507" t="s">
        <v>1661</v>
      </c>
      <c r="D214" s="508" t="s">
        <v>1854</v>
      </c>
      <c r="E214" s="509" t="s">
        <v>228</v>
      </c>
      <c r="F214" s="510" t="s">
        <v>1818</v>
      </c>
      <c r="G214" s="507" t="s">
        <v>1897</v>
      </c>
      <c r="H214" s="511">
        <v>0</v>
      </c>
      <c r="I214" s="512" t="s">
        <v>1752</v>
      </c>
      <c r="J214" s="510">
        <v>2000</v>
      </c>
      <c r="K214" s="513">
        <v>0</v>
      </c>
      <c r="L214" s="513">
        <v>0</v>
      </c>
      <c r="M214" s="513">
        <v>0</v>
      </c>
      <c r="N214" s="514">
        <f>LANÇ_MOV[[#This Row],[VALOR BRUTO]]-LANÇ_MOV[[#This Row],[DESCONTO]]+LANÇ_MOV[[#This Row],[JUROS]]+LANÇ_MOV[[#This Row],[MULTA]]</f>
        <v>2000</v>
      </c>
      <c r="O214" s="528">
        <v>46917</v>
      </c>
      <c r="P214" s="516" t="str">
        <f t="shared" ca="1" si="3"/>
        <v>Prazo - Mais de 1 mês</v>
      </c>
      <c r="Q214" s="528"/>
      <c r="R214" s="529" t="s">
        <v>1564</v>
      </c>
      <c r="S214" s="531"/>
      <c r="T214" s="518" t="s">
        <v>1776</v>
      </c>
      <c r="U214" s="519" t="s">
        <v>2008</v>
      </c>
      <c r="V214" s="520" t="str">
        <f>IFERROR(VLOOKUP(LANÇ_MOV[[#This Row],[PLANO DE CONTAS]],Plano_Contas[[PLANO DE CONTAS]:[R / D]],3,0),"")</f>
        <v>Despesa</v>
      </c>
      <c r="W214" s="521" t="str">
        <f>IF(LANÇ_MOV[[#This Row],[DATA DE PAGAMENTO]]&lt;&gt;"","Pago","Não Pago")</f>
        <v>Não Pago</v>
      </c>
      <c r="X214" s="522" t="str">
        <f>IFERROR(IF(LANÇ_MOV[[#This Row],[DATA DE PAGAMENTO]]="","",(UPPER(TEXT(LANÇ_MOV[[#This Row],[DATA DE PAGAMENTO]],"mmmm")))),"")</f>
        <v/>
      </c>
      <c r="Y214" s="523" t="str">
        <f>IFERROR(VLOOKUP(LANÇ_MOV[[#This Row],[PLANO DE CONTAS]],Plano_Contas[[PLANO DE CONTAS]:[NOMES INTERVALOS]],2,0),"")</f>
        <v>Despesas_Com_RH</v>
      </c>
      <c r="Z214" s="523" t="str">
        <f>IF(LANÇ_MOV[[#This Row],[FORMA DE PAGAMENTO]]="","",VLOOKUP(LANÇ_MOV[[#This Row],[FORMA DE PAGAMENTO]],CAD_Forma_pagto[],2,0))</f>
        <v>PIX</v>
      </c>
      <c r="AA214" s="524" t="str">
        <f>IF(LANÇ_MOV[[#This Row],[DATA DE LANÇAMENTO]]="","",TEXT(LANÇ_MOV[[#This Row],[DATA DE LANÇAMENTO]],"AAAA"))</f>
        <v>2025</v>
      </c>
      <c r="AB214" s="524" t="str">
        <f>IF(LANÇ_MOV[[#This Row],[DATA DE LANÇAMENTO]]="","",UPPER(TEXT(LANÇ_MOV[[#This Row],[DATA DE LANÇAMENTO]],"MMMM")))</f>
        <v>OUTUBRO</v>
      </c>
      <c r="AC214" s="525" t="str">
        <f>IF(LANÇ_MOV[[#This Row],[DATA DE LANÇAMENTO]]="","",PROPER(TEXT(LANÇ_MOV[[#This Row],[DATA DE LANÇAMENTO]],"M")))</f>
        <v>10</v>
      </c>
      <c r="AD214" s="524" t="str">
        <f>IF(LANÇ_MOV[[#This Row],[DATA DE LANÇAMENTO]]="","",TEXT(LANÇ_MOV[[#This Row],[DATA DE LANÇAMENTO]],"D"))</f>
        <v>1</v>
      </c>
      <c r="AE214" s="526" t="str">
        <f>IF(LANÇ_MOV[[#This Row],[DATA DE VENCIMENTO]]="","",TEXT(LANÇ_MOV[[#This Row],[DATA DE VENCIMENTO]],"AAAA"))</f>
        <v>2028</v>
      </c>
      <c r="AF214" s="526" t="str">
        <f>IF(LANÇ_MOV[[#This Row],[DATA DE VENCIMENTO]]="","",UPPER(TEXT(LANÇ_MOV[[#This Row],[DATA DE VENCIMENTO]],"MMMM")))</f>
        <v>JUNHO</v>
      </c>
      <c r="AG214" s="526" t="str">
        <f>IF(LANÇ_MOV[[#This Row],[DATA DE VENCIMENTO]]="","",TEXT(LANÇ_MOV[[#This Row],[DATA DE VENCIMENTO]],"M"))</f>
        <v>6</v>
      </c>
      <c r="AH214" s="526" t="str">
        <f>IF(LANÇ_MOV[[#This Row],[DATA DE VENCIMENTO]]="","",TEXT(LANÇ_MOV[[#This Row],[DATA DE VENCIMENTO]],"D"))</f>
        <v>13</v>
      </c>
      <c r="AI214" s="526" t="str">
        <f>IF(LANÇ_MOV[[#This Row],[DATA DE PAGAMENTO]]="","",TEXT(LANÇ_MOV[[#This Row],[DATA DE PAGAMENTO]],"AAAA"))</f>
        <v/>
      </c>
      <c r="AJ214" s="527" t="str">
        <f>IF(LANÇ_MOV[[#This Row],[DATA DE PAGAMENTO]]="","",UPPER(TEXT(LANÇ_MOV[[#This Row],[DATA DE PAGAMENTO]],"MMMM")))</f>
        <v/>
      </c>
      <c r="AK214" s="527" t="str">
        <f>IF(LANÇ_MOV[[#This Row],[DATA DE PAGAMENTO]]="","",TEXT(LANÇ_MOV[[#This Row],[DATA DE PAGAMENTO]],"M"))</f>
        <v/>
      </c>
      <c r="AL214" s="526" t="str">
        <f>IF(LANÇ_MOV[[#This Row],[DATA DE PAGAMENTO]]="","",TEXT(LANÇ_MOV[[#This Row],[DATA DE PAGAMENTO]],"D"))</f>
        <v/>
      </c>
      <c r="AM214" s="27"/>
      <c r="BB214" s="112"/>
      <c r="BC214" s="112"/>
      <c r="BD214" s="112"/>
    </row>
    <row r="215" spans="2:56" ht="30.05" customHeight="1" x14ac:dyDescent="0.35">
      <c r="B215" s="506">
        <v>45931</v>
      </c>
      <c r="C215" s="507" t="s">
        <v>1661</v>
      </c>
      <c r="D215" s="508" t="s">
        <v>1854</v>
      </c>
      <c r="E215" s="509" t="s">
        <v>228</v>
      </c>
      <c r="F215" s="510" t="s">
        <v>1818</v>
      </c>
      <c r="G215" s="507" t="s">
        <v>1898</v>
      </c>
      <c r="H215" s="511">
        <v>0</v>
      </c>
      <c r="I215" s="512" t="s">
        <v>1752</v>
      </c>
      <c r="J215" s="510">
        <v>2000</v>
      </c>
      <c r="K215" s="513">
        <v>0</v>
      </c>
      <c r="L215" s="513">
        <v>0</v>
      </c>
      <c r="M215" s="513">
        <v>0</v>
      </c>
      <c r="N215" s="514">
        <f>LANÇ_MOV[[#This Row],[VALOR BRUTO]]-LANÇ_MOV[[#This Row],[DESCONTO]]+LANÇ_MOV[[#This Row],[JUROS]]+LANÇ_MOV[[#This Row],[MULTA]]</f>
        <v>2000</v>
      </c>
      <c r="O215" s="528">
        <v>46947</v>
      </c>
      <c r="P215" s="516" t="str">
        <f t="shared" ca="1" si="3"/>
        <v>Prazo - Mais de 1 mês</v>
      </c>
      <c r="Q215" s="528"/>
      <c r="R215" s="529" t="s">
        <v>1564</v>
      </c>
      <c r="S215" s="531"/>
      <c r="T215" s="518" t="s">
        <v>1776</v>
      </c>
      <c r="U215" s="519" t="s">
        <v>2008</v>
      </c>
      <c r="V215" s="520" t="str">
        <f>IFERROR(VLOOKUP(LANÇ_MOV[[#This Row],[PLANO DE CONTAS]],Plano_Contas[[PLANO DE CONTAS]:[R / D]],3,0),"")</f>
        <v>Despesa</v>
      </c>
      <c r="W215" s="521" t="str">
        <f>IF(LANÇ_MOV[[#This Row],[DATA DE PAGAMENTO]]&lt;&gt;"","Pago","Não Pago")</f>
        <v>Não Pago</v>
      </c>
      <c r="X215" s="522" t="str">
        <f>IFERROR(IF(LANÇ_MOV[[#This Row],[DATA DE PAGAMENTO]]="","",(UPPER(TEXT(LANÇ_MOV[[#This Row],[DATA DE PAGAMENTO]],"mmmm")))),"")</f>
        <v/>
      </c>
      <c r="Y215" s="523" t="str">
        <f>IFERROR(VLOOKUP(LANÇ_MOV[[#This Row],[PLANO DE CONTAS]],Plano_Contas[[PLANO DE CONTAS]:[NOMES INTERVALOS]],2,0),"")</f>
        <v>Despesas_Com_RH</v>
      </c>
      <c r="Z215" s="523" t="str">
        <f>IF(LANÇ_MOV[[#This Row],[FORMA DE PAGAMENTO]]="","",VLOOKUP(LANÇ_MOV[[#This Row],[FORMA DE PAGAMENTO]],CAD_Forma_pagto[],2,0))</f>
        <v>PIX</v>
      </c>
      <c r="AA215" s="524" t="str">
        <f>IF(LANÇ_MOV[[#This Row],[DATA DE LANÇAMENTO]]="","",TEXT(LANÇ_MOV[[#This Row],[DATA DE LANÇAMENTO]],"AAAA"))</f>
        <v>2025</v>
      </c>
      <c r="AB215" s="524" t="str">
        <f>IF(LANÇ_MOV[[#This Row],[DATA DE LANÇAMENTO]]="","",UPPER(TEXT(LANÇ_MOV[[#This Row],[DATA DE LANÇAMENTO]],"MMMM")))</f>
        <v>OUTUBRO</v>
      </c>
      <c r="AC215" s="525" t="str">
        <f>IF(LANÇ_MOV[[#This Row],[DATA DE LANÇAMENTO]]="","",PROPER(TEXT(LANÇ_MOV[[#This Row],[DATA DE LANÇAMENTO]],"M")))</f>
        <v>10</v>
      </c>
      <c r="AD215" s="524" t="str">
        <f>IF(LANÇ_MOV[[#This Row],[DATA DE LANÇAMENTO]]="","",TEXT(LANÇ_MOV[[#This Row],[DATA DE LANÇAMENTO]],"D"))</f>
        <v>1</v>
      </c>
      <c r="AE215" s="526" t="str">
        <f>IF(LANÇ_MOV[[#This Row],[DATA DE VENCIMENTO]]="","",TEXT(LANÇ_MOV[[#This Row],[DATA DE VENCIMENTO]],"AAAA"))</f>
        <v>2028</v>
      </c>
      <c r="AF215" s="526" t="str">
        <f>IF(LANÇ_MOV[[#This Row],[DATA DE VENCIMENTO]]="","",UPPER(TEXT(LANÇ_MOV[[#This Row],[DATA DE VENCIMENTO]],"MMMM")))</f>
        <v>JULHO</v>
      </c>
      <c r="AG215" s="526" t="str">
        <f>IF(LANÇ_MOV[[#This Row],[DATA DE VENCIMENTO]]="","",TEXT(LANÇ_MOV[[#This Row],[DATA DE VENCIMENTO]],"M"))</f>
        <v>7</v>
      </c>
      <c r="AH215" s="526" t="str">
        <f>IF(LANÇ_MOV[[#This Row],[DATA DE VENCIMENTO]]="","",TEXT(LANÇ_MOV[[#This Row],[DATA DE VENCIMENTO]],"D"))</f>
        <v>13</v>
      </c>
      <c r="AI215" s="526" t="str">
        <f>IF(LANÇ_MOV[[#This Row],[DATA DE PAGAMENTO]]="","",TEXT(LANÇ_MOV[[#This Row],[DATA DE PAGAMENTO]],"AAAA"))</f>
        <v/>
      </c>
      <c r="AJ215" s="527" t="str">
        <f>IF(LANÇ_MOV[[#This Row],[DATA DE PAGAMENTO]]="","",UPPER(TEXT(LANÇ_MOV[[#This Row],[DATA DE PAGAMENTO]],"MMMM")))</f>
        <v/>
      </c>
      <c r="AK215" s="527" t="str">
        <f>IF(LANÇ_MOV[[#This Row],[DATA DE PAGAMENTO]]="","",TEXT(LANÇ_MOV[[#This Row],[DATA DE PAGAMENTO]],"M"))</f>
        <v/>
      </c>
      <c r="AL215" s="526" t="str">
        <f>IF(LANÇ_MOV[[#This Row],[DATA DE PAGAMENTO]]="","",TEXT(LANÇ_MOV[[#This Row],[DATA DE PAGAMENTO]],"D"))</f>
        <v/>
      </c>
      <c r="AM215" s="27"/>
      <c r="BB215" s="112"/>
      <c r="BC215" s="112"/>
      <c r="BD215" s="112"/>
    </row>
    <row r="216" spans="2:56" ht="30.05" customHeight="1" x14ac:dyDescent="0.35">
      <c r="B216" s="506">
        <v>45931</v>
      </c>
      <c r="C216" s="507" t="s">
        <v>1661</v>
      </c>
      <c r="D216" s="508" t="s">
        <v>1854</v>
      </c>
      <c r="E216" s="509" t="s">
        <v>228</v>
      </c>
      <c r="F216" s="510" t="s">
        <v>1818</v>
      </c>
      <c r="G216" s="507" t="s">
        <v>1899</v>
      </c>
      <c r="H216" s="511">
        <v>0</v>
      </c>
      <c r="I216" s="512" t="s">
        <v>1752</v>
      </c>
      <c r="J216" s="510">
        <v>2000</v>
      </c>
      <c r="K216" s="513">
        <v>0</v>
      </c>
      <c r="L216" s="513">
        <v>0</v>
      </c>
      <c r="M216" s="513">
        <v>0</v>
      </c>
      <c r="N216" s="514">
        <f>LANÇ_MOV[[#This Row],[VALOR BRUTO]]-LANÇ_MOV[[#This Row],[DESCONTO]]+LANÇ_MOV[[#This Row],[JUROS]]+LANÇ_MOV[[#This Row],[MULTA]]</f>
        <v>2000</v>
      </c>
      <c r="O216" s="528">
        <v>46978</v>
      </c>
      <c r="P216" s="516" t="str">
        <f t="shared" ca="1" si="3"/>
        <v>Prazo - Mais de 1 mês</v>
      </c>
      <c r="Q216" s="528"/>
      <c r="R216" s="529" t="s">
        <v>1564</v>
      </c>
      <c r="S216" s="518"/>
      <c r="T216" s="518" t="s">
        <v>1776</v>
      </c>
      <c r="U216" s="519" t="s">
        <v>2008</v>
      </c>
      <c r="V216" s="520" t="str">
        <f>IFERROR(VLOOKUP(LANÇ_MOV[[#This Row],[PLANO DE CONTAS]],Plano_Contas[[PLANO DE CONTAS]:[R / D]],3,0),"")</f>
        <v>Despesa</v>
      </c>
      <c r="W216" s="521" t="str">
        <f>IF(LANÇ_MOV[[#This Row],[DATA DE PAGAMENTO]]&lt;&gt;"","Pago","Não Pago")</f>
        <v>Não Pago</v>
      </c>
      <c r="X216" s="522" t="str">
        <f>IFERROR(IF(LANÇ_MOV[[#This Row],[DATA DE PAGAMENTO]]="","",(UPPER(TEXT(LANÇ_MOV[[#This Row],[DATA DE PAGAMENTO]],"mmmm")))),"")</f>
        <v/>
      </c>
      <c r="Y216" s="523" t="str">
        <f>IFERROR(VLOOKUP(LANÇ_MOV[[#This Row],[PLANO DE CONTAS]],Plano_Contas[[PLANO DE CONTAS]:[NOMES INTERVALOS]],2,0),"")</f>
        <v>Despesas_Com_RH</v>
      </c>
      <c r="Z216" s="523" t="str">
        <f>IF(LANÇ_MOV[[#This Row],[FORMA DE PAGAMENTO]]="","",VLOOKUP(LANÇ_MOV[[#This Row],[FORMA DE PAGAMENTO]],CAD_Forma_pagto[],2,0))</f>
        <v>PIX</v>
      </c>
      <c r="AA216" s="524" t="str">
        <f>IF(LANÇ_MOV[[#This Row],[DATA DE LANÇAMENTO]]="","",TEXT(LANÇ_MOV[[#This Row],[DATA DE LANÇAMENTO]],"AAAA"))</f>
        <v>2025</v>
      </c>
      <c r="AB216" s="524" t="str">
        <f>IF(LANÇ_MOV[[#This Row],[DATA DE LANÇAMENTO]]="","",UPPER(TEXT(LANÇ_MOV[[#This Row],[DATA DE LANÇAMENTO]],"MMMM")))</f>
        <v>OUTUBRO</v>
      </c>
      <c r="AC216" s="525" t="str">
        <f>IF(LANÇ_MOV[[#This Row],[DATA DE LANÇAMENTO]]="","",PROPER(TEXT(LANÇ_MOV[[#This Row],[DATA DE LANÇAMENTO]],"M")))</f>
        <v>10</v>
      </c>
      <c r="AD216" s="524" t="str">
        <f>IF(LANÇ_MOV[[#This Row],[DATA DE LANÇAMENTO]]="","",TEXT(LANÇ_MOV[[#This Row],[DATA DE LANÇAMENTO]],"D"))</f>
        <v>1</v>
      </c>
      <c r="AE216" s="526" t="str">
        <f>IF(LANÇ_MOV[[#This Row],[DATA DE VENCIMENTO]]="","",TEXT(LANÇ_MOV[[#This Row],[DATA DE VENCIMENTO]],"AAAA"))</f>
        <v>2028</v>
      </c>
      <c r="AF216" s="526" t="str">
        <f>IF(LANÇ_MOV[[#This Row],[DATA DE VENCIMENTO]]="","",UPPER(TEXT(LANÇ_MOV[[#This Row],[DATA DE VENCIMENTO]],"MMMM")))</f>
        <v>AGOSTO</v>
      </c>
      <c r="AG216" s="526" t="str">
        <f>IF(LANÇ_MOV[[#This Row],[DATA DE VENCIMENTO]]="","",TEXT(LANÇ_MOV[[#This Row],[DATA DE VENCIMENTO]],"M"))</f>
        <v>8</v>
      </c>
      <c r="AH216" s="526" t="str">
        <f>IF(LANÇ_MOV[[#This Row],[DATA DE VENCIMENTO]]="","",TEXT(LANÇ_MOV[[#This Row],[DATA DE VENCIMENTO]],"D"))</f>
        <v>13</v>
      </c>
      <c r="AI216" s="526" t="str">
        <f>IF(LANÇ_MOV[[#This Row],[DATA DE PAGAMENTO]]="","",TEXT(LANÇ_MOV[[#This Row],[DATA DE PAGAMENTO]],"AAAA"))</f>
        <v/>
      </c>
      <c r="AJ216" s="527" t="str">
        <f>IF(LANÇ_MOV[[#This Row],[DATA DE PAGAMENTO]]="","",UPPER(TEXT(LANÇ_MOV[[#This Row],[DATA DE PAGAMENTO]],"MMMM")))</f>
        <v/>
      </c>
      <c r="AK216" s="527" t="str">
        <f>IF(LANÇ_MOV[[#This Row],[DATA DE PAGAMENTO]]="","",TEXT(LANÇ_MOV[[#This Row],[DATA DE PAGAMENTO]],"M"))</f>
        <v/>
      </c>
      <c r="AL216" s="526" t="str">
        <f>IF(LANÇ_MOV[[#This Row],[DATA DE PAGAMENTO]]="","",TEXT(LANÇ_MOV[[#This Row],[DATA DE PAGAMENTO]],"D"))</f>
        <v/>
      </c>
      <c r="AM216" s="27"/>
      <c r="BB216" s="112"/>
      <c r="BC216" s="112"/>
      <c r="BD216" s="112"/>
    </row>
    <row r="217" spans="2:56" ht="30.05" customHeight="1" x14ac:dyDescent="0.35">
      <c r="B217" s="506">
        <v>45931</v>
      </c>
      <c r="C217" s="507" t="s">
        <v>1661</v>
      </c>
      <c r="D217" s="508" t="s">
        <v>1854</v>
      </c>
      <c r="E217" s="509" t="s">
        <v>228</v>
      </c>
      <c r="F217" s="510" t="s">
        <v>1818</v>
      </c>
      <c r="G217" s="507" t="s">
        <v>1900</v>
      </c>
      <c r="H217" s="511">
        <v>0</v>
      </c>
      <c r="I217" s="512" t="s">
        <v>1752</v>
      </c>
      <c r="J217" s="510">
        <v>2000</v>
      </c>
      <c r="K217" s="513">
        <v>0</v>
      </c>
      <c r="L217" s="513">
        <v>0</v>
      </c>
      <c r="M217" s="513">
        <v>0</v>
      </c>
      <c r="N217" s="514">
        <f>LANÇ_MOV[[#This Row],[VALOR BRUTO]]-LANÇ_MOV[[#This Row],[DESCONTO]]+LANÇ_MOV[[#This Row],[JUROS]]+LANÇ_MOV[[#This Row],[MULTA]]</f>
        <v>2000</v>
      </c>
      <c r="O217" s="528">
        <v>47009</v>
      </c>
      <c r="P217" s="516" t="str">
        <f t="shared" ca="1" si="3"/>
        <v>Prazo - Mais de 1 mês</v>
      </c>
      <c r="Q217" s="528"/>
      <c r="R217" s="529" t="s">
        <v>1564</v>
      </c>
      <c r="S217" s="531"/>
      <c r="T217" s="518" t="s">
        <v>1776</v>
      </c>
      <c r="U217" s="519" t="s">
        <v>2008</v>
      </c>
      <c r="V217" s="520" t="str">
        <f>IFERROR(VLOOKUP(LANÇ_MOV[[#This Row],[PLANO DE CONTAS]],Plano_Contas[[PLANO DE CONTAS]:[R / D]],3,0),"")</f>
        <v>Despesa</v>
      </c>
      <c r="W217" s="521" t="str">
        <f>IF(LANÇ_MOV[[#This Row],[DATA DE PAGAMENTO]]&lt;&gt;"","Pago","Não Pago")</f>
        <v>Não Pago</v>
      </c>
      <c r="X217" s="522" t="str">
        <f>IFERROR(IF(LANÇ_MOV[[#This Row],[DATA DE PAGAMENTO]]="","",(UPPER(TEXT(LANÇ_MOV[[#This Row],[DATA DE PAGAMENTO]],"mmmm")))),"")</f>
        <v/>
      </c>
      <c r="Y217" s="523" t="str">
        <f>IFERROR(VLOOKUP(LANÇ_MOV[[#This Row],[PLANO DE CONTAS]],Plano_Contas[[PLANO DE CONTAS]:[NOMES INTERVALOS]],2,0),"")</f>
        <v>Despesas_Com_RH</v>
      </c>
      <c r="Z217" s="523" t="str">
        <f>IF(LANÇ_MOV[[#This Row],[FORMA DE PAGAMENTO]]="","",VLOOKUP(LANÇ_MOV[[#This Row],[FORMA DE PAGAMENTO]],CAD_Forma_pagto[],2,0))</f>
        <v>PIX</v>
      </c>
      <c r="AA217" s="524" t="str">
        <f>IF(LANÇ_MOV[[#This Row],[DATA DE LANÇAMENTO]]="","",TEXT(LANÇ_MOV[[#This Row],[DATA DE LANÇAMENTO]],"AAAA"))</f>
        <v>2025</v>
      </c>
      <c r="AB217" s="524" t="str">
        <f>IF(LANÇ_MOV[[#This Row],[DATA DE LANÇAMENTO]]="","",UPPER(TEXT(LANÇ_MOV[[#This Row],[DATA DE LANÇAMENTO]],"MMMM")))</f>
        <v>OUTUBRO</v>
      </c>
      <c r="AC217" s="525" t="str">
        <f>IF(LANÇ_MOV[[#This Row],[DATA DE LANÇAMENTO]]="","",PROPER(TEXT(LANÇ_MOV[[#This Row],[DATA DE LANÇAMENTO]],"M")))</f>
        <v>10</v>
      </c>
      <c r="AD217" s="524" t="str">
        <f>IF(LANÇ_MOV[[#This Row],[DATA DE LANÇAMENTO]]="","",TEXT(LANÇ_MOV[[#This Row],[DATA DE LANÇAMENTO]],"D"))</f>
        <v>1</v>
      </c>
      <c r="AE217" s="526" t="str">
        <f>IF(LANÇ_MOV[[#This Row],[DATA DE VENCIMENTO]]="","",TEXT(LANÇ_MOV[[#This Row],[DATA DE VENCIMENTO]],"AAAA"))</f>
        <v>2028</v>
      </c>
      <c r="AF217" s="526" t="str">
        <f>IF(LANÇ_MOV[[#This Row],[DATA DE VENCIMENTO]]="","",UPPER(TEXT(LANÇ_MOV[[#This Row],[DATA DE VENCIMENTO]],"MMMM")))</f>
        <v>SETEMBRO</v>
      </c>
      <c r="AG217" s="526" t="str">
        <f>IF(LANÇ_MOV[[#This Row],[DATA DE VENCIMENTO]]="","",TEXT(LANÇ_MOV[[#This Row],[DATA DE VENCIMENTO]],"M"))</f>
        <v>9</v>
      </c>
      <c r="AH217" s="526" t="str">
        <f>IF(LANÇ_MOV[[#This Row],[DATA DE VENCIMENTO]]="","",TEXT(LANÇ_MOV[[#This Row],[DATA DE VENCIMENTO]],"D"))</f>
        <v>13</v>
      </c>
      <c r="AI217" s="526" t="str">
        <f>IF(LANÇ_MOV[[#This Row],[DATA DE PAGAMENTO]]="","",TEXT(LANÇ_MOV[[#This Row],[DATA DE PAGAMENTO]],"AAAA"))</f>
        <v/>
      </c>
      <c r="AJ217" s="527" t="str">
        <f>IF(LANÇ_MOV[[#This Row],[DATA DE PAGAMENTO]]="","",UPPER(TEXT(LANÇ_MOV[[#This Row],[DATA DE PAGAMENTO]],"MMMM")))</f>
        <v/>
      </c>
      <c r="AK217" s="527" t="str">
        <f>IF(LANÇ_MOV[[#This Row],[DATA DE PAGAMENTO]]="","",TEXT(LANÇ_MOV[[#This Row],[DATA DE PAGAMENTO]],"M"))</f>
        <v/>
      </c>
      <c r="AL217" s="526" t="str">
        <f>IF(LANÇ_MOV[[#This Row],[DATA DE PAGAMENTO]]="","",TEXT(LANÇ_MOV[[#This Row],[DATA DE PAGAMENTO]],"D"))</f>
        <v/>
      </c>
      <c r="AM217" s="27"/>
      <c r="BB217" s="112"/>
      <c r="BC217" s="112"/>
      <c r="BD217" s="112"/>
    </row>
    <row r="218" spans="2:56" ht="30.05" customHeight="1" x14ac:dyDescent="0.35">
      <c r="B218" s="506">
        <v>45931</v>
      </c>
      <c r="C218" s="507" t="s">
        <v>1661</v>
      </c>
      <c r="D218" s="508" t="s">
        <v>1854</v>
      </c>
      <c r="E218" s="509" t="s">
        <v>228</v>
      </c>
      <c r="F218" s="510" t="s">
        <v>1818</v>
      </c>
      <c r="G218" s="507" t="s">
        <v>1901</v>
      </c>
      <c r="H218" s="511">
        <v>0</v>
      </c>
      <c r="I218" s="512" t="s">
        <v>1752</v>
      </c>
      <c r="J218" s="510">
        <v>2000</v>
      </c>
      <c r="K218" s="513">
        <v>0</v>
      </c>
      <c r="L218" s="513">
        <v>0</v>
      </c>
      <c r="M218" s="513">
        <v>0</v>
      </c>
      <c r="N218" s="514">
        <f>LANÇ_MOV[[#This Row],[VALOR BRUTO]]-LANÇ_MOV[[#This Row],[DESCONTO]]+LANÇ_MOV[[#This Row],[JUROS]]+LANÇ_MOV[[#This Row],[MULTA]]</f>
        <v>2000</v>
      </c>
      <c r="O218" s="528">
        <v>47039</v>
      </c>
      <c r="P218" s="516" t="str">
        <f t="shared" ca="1" si="3"/>
        <v>Prazo - Mais de 1 mês</v>
      </c>
      <c r="Q218" s="528"/>
      <c r="R218" s="529" t="s">
        <v>1564</v>
      </c>
      <c r="S218" s="531"/>
      <c r="T218" s="518" t="s">
        <v>1776</v>
      </c>
      <c r="U218" s="519" t="s">
        <v>2008</v>
      </c>
      <c r="V218" s="520" t="str">
        <f>IFERROR(VLOOKUP(LANÇ_MOV[[#This Row],[PLANO DE CONTAS]],Plano_Contas[[PLANO DE CONTAS]:[R / D]],3,0),"")</f>
        <v>Despesa</v>
      </c>
      <c r="W218" s="521" t="str">
        <f>IF(LANÇ_MOV[[#This Row],[DATA DE PAGAMENTO]]&lt;&gt;"","Pago","Não Pago")</f>
        <v>Não Pago</v>
      </c>
      <c r="X218" s="522" t="str">
        <f>IFERROR(IF(LANÇ_MOV[[#This Row],[DATA DE PAGAMENTO]]="","",(UPPER(TEXT(LANÇ_MOV[[#This Row],[DATA DE PAGAMENTO]],"mmmm")))),"")</f>
        <v/>
      </c>
      <c r="Y218" s="523" t="str">
        <f>IFERROR(VLOOKUP(LANÇ_MOV[[#This Row],[PLANO DE CONTAS]],Plano_Contas[[PLANO DE CONTAS]:[NOMES INTERVALOS]],2,0),"")</f>
        <v>Despesas_Com_RH</v>
      </c>
      <c r="Z218" s="523" t="str">
        <f>IF(LANÇ_MOV[[#This Row],[FORMA DE PAGAMENTO]]="","",VLOOKUP(LANÇ_MOV[[#This Row],[FORMA DE PAGAMENTO]],CAD_Forma_pagto[],2,0))</f>
        <v>PIX</v>
      </c>
      <c r="AA218" s="524" t="str">
        <f>IF(LANÇ_MOV[[#This Row],[DATA DE LANÇAMENTO]]="","",TEXT(LANÇ_MOV[[#This Row],[DATA DE LANÇAMENTO]],"AAAA"))</f>
        <v>2025</v>
      </c>
      <c r="AB218" s="524" t="str">
        <f>IF(LANÇ_MOV[[#This Row],[DATA DE LANÇAMENTO]]="","",UPPER(TEXT(LANÇ_MOV[[#This Row],[DATA DE LANÇAMENTO]],"MMMM")))</f>
        <v>OUTUBRO</v>
      </c>
      <c r="AC218" s="525" t="str">
        <f>IF(LANÇ_MOV[[#This Row],[DATA DE LANÇAMENTO]]="","",PROPER(TEXT(LANÇ_MOV[[#This Row],[DATA DE LANÇAMENTO]],"M")))</f>
        <v>10</v>
      </c>
      <c r="AD218" s="524" t="str">
        <f>IF(LANÇ_MOV[[#This Row],[DATA DE LANÇAMENTO]]="","",TEXT(LANÇ_MOV[[#This Row],[DATA DE LANÇAMENTO]],"D"))</f>
        <v>1</v>
      </c>
      <c r="AE218" s="526" t="str">
        <f>IF(LANÇ_MOV[[#This Row],[DATA DE VENCIMENTO]]="","",TEXT(LANÇ_MOV[[#This Row],[DATA DE VENCIMENTO]],"AAAA"))</f>
        <v>2028</v>
      </c>
      <c r="AF218" s="526" t="str">
        <f>IF(LANÇ_MOV[[#This Row],[DATA DE VENCIMENTO]]="","",UPPER(TEXT(LANÇ_MOV[[#This Row],[DATA DE VENCIMENTO]],"MMMM")))</f>
        <v>OUTUBRO</v>
      </c>
      <c r="AG218" s="526" t="str">
        <f>IF(LANÇ_MOV[[#This Row],[DATA DE VENCIMENTO]]="","",TEXT(LANÇ_MOV[[#This Row],[DATA DE VENCIMENTO]],"M"))</f>
        <v>10</v>
      </c>
      <c r="AH218" s="526" t="str">
        <f>IF(LANÇ_MOV[[#This Row],[DATA DE VENCIMENTO]]="","",TEXT(LANÇ_MOV[[#This Row],[DATA DE VENCIMENTO]],"D"))</f>
        <v>13</v>
      </c>
      <c r="AI218" s="526" t="str">
        <f>IF(LANÇ_MOV[[#This Row],[DATA DE PAGAMENTO]]="","",TEXT(LANÇ_MOV[[#This Row],[DATA DE PAGAMENTO]],"AAAA"))</f>
        <v/>
      </c>
      <c r="AJ218" s="527" t="str">
        <f>IF(LANÇ_MOV[[#This Row],[DATA DE PAGAMENTO]]="","",UPPER(TEXT(LANÇ_MOV[[#This Row],[DATA DE PAGAMENTO]],"MMMM")))</f>
        <v/>
      </c>
      <c r="AK218" s="527" t="str">
        <f>IF(LANÇ_MOV[[#This Row],[DATA DE PAGAMENTO]]="","",TEXT(LANÇ_MOV[[#This Row],[DATA DE PAGAMENTO]],"M"))</f>
        <v/>
      </c>
      <c r="AL218" s="526" t="str">
        <f>IF(LANÇ_MOV[[#This Row],[DATA DE PAGAMENTO]]="","",TEXT(LANÇ_MOV[[#This Row],[DATA DE PAGAMENTO]],"D"))</f>
        <v/>
      </c>
      <c r="AM218" s="27"/>
      <c r="BB218" s="112"/>
      <c r="BC218" s="112"/>
      <c r="BD218" s="112"/>
    </row>
    <row r="219" spans="2:56" ht="30.05" customHeight="1" x14ac:dyDescent="0.35">
      <c r="B219" s="506">
        <v>45931</v>
      </c>
      <c r="C219" s="507" t="s">
        <v>1661</v>
      </c>
      <c r="D219" s="508" t="s">
        <v>1854</v>
      </c>
      <c r="E219" s="509" t="s">
        <v>228</v>
      </c>
      <c r="F219" s="510" t="s">
        <v>1818</v>
      </c>
      <c r="G219" s="507" t="s">
        <v>1902</v>
      </c>
      <c r="H219" s="511">
        <v>0</v>
      </c>
      <c r="I219" s="512" t="s">
        <v>1752</v>
      </c>
      <c r="J219" s="510">
        <v>2000</v>
      </c>
      <c r="K219" s="513">
        <v>0</v>
      </c>
      <c r="L219" s="513">
        <v>0</v>
      </c>
      <c r="M219" s="513">
        <v>0</v>
      </c>
      <c r="N219" s="514">
        <f>LANÇ_MOV[[#This Row],[VALOR BRUTO]]-LANÇ_MOV[[#This Row],[DESCONTO]]+LANÇ_MOV[[#This Row],[JUROS]]+LANÇ_MOV[[#This Row],[MULTA]]</f>
        <v>2000</v>
      </c>
      <c r="O219" s="528">
        <v>47070</v>
      </c>
      <c r="P219" s="516" t="str">
        <f t="shared" ca="1" si="3"/>
        <v>Prazo - Mais de 1 mês</v>
      </c>
      <c r="Q219" s="528"/>
      <c r="R219" s="529" t="s">
        <v>1564</v>
      </c>
      <c r="S219" s="531"/>
      <c r="T219" s="518" t="s">
        <v>1776</v>
      </c>
      <c r="U219" s="519" t="s">
        <v>2008</v>
      </c>
      <c r="V219" s="520" t="str">
        <f>IFERROR(VLOOKUP(LANÇ_MOV[[#This Row],[PLANO DE CONTAS]],Plano_Contas[[PLANO DE CONTAS]:[R / D]],3,0),"")</f>
        <v>Despesa</v>
      </c>
      <c r="W219" s="521" t="str">
        <f>IF(LANÇ_MOV[[#This Row],[DATA DE PAGAMENTO]]&lt;&gt;"","Pago","Não Pago")</f>
        <v>Não Pago</v>
      </c>
      <c r="X219" s="522" t="str">
        <f>IFERROR(IF(LANÇ_MOV[[#This Row],[DATA DE PAGAMENTO]]="","",(UPPER(TEXT(LANÇ_MOV[[#This Row],[DATA DE PAGAMENTO]],"mmmm")))),"")</f>
        <v/>
      </c>
      <c r="Y219" s="523" t="str">
        <f>IFERROR(VLOOKUP(LANÇ_MOV[[#This Row],[PLANO DE CONTAS]],Plano_Contas[[PLANO DE CONTAS]:[NOMES INTERVALOS]],2,0),"")</f>
        <v>Despesas_Com_RH</v>
      </c>
      <c r="Z219" s="523" t="str">
        <f>IF(LANÇ_MOV[[#This Row],[FORMA DE PAGAMENTO]]="","",VLOOKUP(LANÇ_MOV[[#This Row],[FORMA DE PAGAMENTO]],CAD_Forma_pagto[],2,0))</f>
        <v>PIX</v>
      </c>
      <c r="AA219" s="524" t="str">
        <f>IF(LANÇ_MOV[[#This Row],[DATA DE LANÇAMENTO]]="","",TEXT(LANÇ_MOV[[#This Row],[DATA DE LANÇAMENTO]],"AAAA"))</f>
        <v>2025</v>
      </c>
      <c r="AB219" s="524" t="str">
        <f>IF(LANÇ_MOV[[#This Row],[DATA DE LANÇAMENTO]]="","",UPPER(TEXT(LANÇ_MOV[[#This Row],[DATA DE LANÇAMENTO]],"MMMM")))</f>
        <v>OUTUBRO</v>
      </c>
      <c r="AC219" s="525" t="str">
        <f>IF(LANÇ_MOV[[#This Row],[DATA DE LANÇAMENTO]]="","",PROPER(TEXT(LANÇ_MOV[[#This Row],[DATA DE LANÇAMENTO]],"M")))</f>
        <v>10</v>
      </c>
      <c r="AD219" s="524" t="str">
        <f>IF(LANÇ_MOV[[#This Row],[DATA DE LANÇAMENTO]]="","",TEXT(LANÇ_MOV[[#This Row],[DATA DE LANÇAMENTO]],"D"))</f>
        <v>1</v>
      </c>
      <c r="AE219" s="526" t="str">
        <f>IF(LANÇ_MOV[[#This Row],[DATA DE VENCIMENTO]]="","",TEXT(LANÇ_MOV[[#This Row],[DATA DE VENCIMENTO]],"AAAA"))</f>
        <v>2028</v>
      </c>
      <c r="AF219" s="526" t="str">
        <f>IF(LANÇ_MOV[[#This Row],[DATA DE VENCIMENTO]]="","",UPPER(TEXT(LANÇ_MOV[[#This Row],[DATA DE VENCIMENTO]],"MMMM")))</f>
        <v>NOVEMBRO</v>
      </c>
      <c r="AG219" s="526" t="str">
        <f>IF(LANÇ_MOV[[#This Row],[DATA DE VENCIMENTO]]="","",TEXT(LANÇ_MOV[[#This Row],[DATA DE VENCIMENTO]],"M"))</f>
        <v>11</v>
      </c>
      <c r="AH219" s="526" t="str">
        <f>IF(LANÇ_MOV[[#This Row],[DATA DE VENCIMENTO]]="","",TEXT(LANÇ_MOV[[#This Row],[DATA DE VENCIMENTO]],"D"))</f>
        <v>13</v>
      </c>
      <c r="AI219" s="526" t="str">
        <f>IF(LANÇ_MOV[[#This Row],[DATA DE PAGAMENTO]]="","",TEXT(LANÇ_MOV[[#This Row],[DATA DE PAGAMENTO]],"AAAA"))</f>
        <v/>
      </c>
      <c r="AJ219" s="527" t="str">
        <f>IF(LANÇ_MOV[[#This Row],[DATA DE PAGAMENTO]]="","",UPPER(TEXT(LANÇ_MOV[[#This Row],[DATA DE PAGAMENTO]],"MMMM")))</f>
        <v/>
      </c>
      <c r="AK219" s="527" t="str">
        <f>IF(LANÇ_MOV[[#This Row],[DATA DE PAGAMENTO]]="","",TEXT(LANÇ_MOV[[#This Row],[DATA DE PAGAMENTO]],"M"))</f>
        <v/>
      </c>
      <c r="AL219" s="526" t="str">
        <f>IF(LANÇ_MOV[[#This Row],[DATA DE PAGAMENTO]]="","",TEXT(LANÇ_MOV[[#This Row],[DATA DE PAGAMENTO]],"D"))</f>
        <v/>
      </c>
      <c r="AM219" s="27"/>
      <c r="BB219" s="112"/>
      <c r="BC219" s="112"/>
      <c r="BD219" s="112"/>
    </row>
    <row r="220" spans="2:56" ht="30.05" customHeight="1" x14ac:dyDescent="0.35">
      <c r="B220" s="506">
        <v>45931</v>
      </c>
      <c r="C220" s="507" t="s">
        <v>1661</v>
      </c>
      <c r="D220" s="508" t="s">
        <v>1854</v>
      </c>
      <c r="E220" s="509" t="s">
        <v>228</v>
      </c>
      <c r="F220" s="510" t="s">
        <v>1818</v>
      </c>
      <c r="G220" s="507" t="s">
        <v>1903</v>
      </c>
      <c r="H220" s="511">
        <v>0</v>
      </c>
      <c r="I220" s="512" t="s">
        <v>1752</v>
      </c>
      <c r="J220" s="510">
        <v>2000</v>
      </c>
      <c r="K220" s="513">
        <v>0</v>
      </c>
      <c r="L220" s="513">
        <v>0</v>
      </c>
      <c r="M220" s="513">
        <v>0</v>
      </c>
      <c r="N220" s="514">
        <f>LANÇ_MOV[[#This Row],[VALOR BRUTO]]-LANÇ_MOV[[#This Row],[DESCONTO]]+LANÇ_MOV[[#This Row],[JUROS]]+LANÇ_MOV[[#This Row],[MULTA]]</f>
        <v>2000</v>
      </c>
      <c r="O220" s="528">
        <v>47100</v>
      </c>
      <c r="P220" s="516" t="str">
        <f t="shared" ca="1" si="3"/>
        <v>Prazo - Mais de 1 mês</v>
      </c>
      <c r="Q220" s="528"/>
      <c r="R220" s="529" t="s">
        <v>1564</v>
      </c>
      <c r="S220" s="531"/>
      <c r="T220" s="518" t="s">
        <v>1776</v>
      </c>
      <c r="U220" s="519" t="s">
        <v>2008</v>
      </c>
      <c r="V220" s="520" t="str">
        <f>IFERROR(VLOOKUP(LANÇ_MOV[[#This Row],[PLANO DE CONTAS]],Plano_Contas[[PLANO DE CONTAS]:[R / D]],3,0),"")</f>
        <v>Despesa</v>
      </c>
      <c r="W220" s="521" t="str">
        <f>IF(LANÇ_MOV[[#This Row],[DATA DE PAGAMENTO]]&lt;&gt;"","Pago","Não Pago")</f>
        <v>Não Pago</v>
      </c>
      <c r="X220" s="522" t="str">
        <f>IFERROR(IF(LANÇ_MOV[[#This Row],[DATA DE PAGAMENTO]]="","",(UPPER(TEXT(LANÇ_MOV[[#This Row],[DATA DE PAGAMENTO]],"mmmm")))),"")</f>
        <v/>
      </c>
      <c r="Y220" s="523" t="str">
        <f>IFERROR(VLOOKUP(LANÇ_MOV[[#This Row],[PLANO DE CONTAS]],Plano_Contas[[PLANO DE CONTAS]:[NOMES INTERVALOS]],2,0),"")</f>
        <v>Despesas_Com_RH</v>
      </c>
      <c r="Z220" s="523" t="str">
        <f>IF(LANÇ_MOV[[#This Row],[FORMA DE PAGAMENTO]]="","",VLOOKUP(LANÇ_MOV[[#This Row],[FORMA DE PAGAMENTO]],CAD_Forma_pagto[],2,0))</f>
        <v>PIX</v>
      </c>
      <c r="AA220" s="524" t="str">
        <f>IF(LANÇ_MOV[[#This Row],[DATA DE LANÇAMENTO]]="","",TEXT(LANÇ_MOV[[#This Row],[DATA DE LANÇAMENTO]],"AAAA"))</f>
        <v>2025</v>
      </c>
      <c r="AB220" s="524" t="str">
        <f>IF(LANÇ_MOV[[#This Row],[DATA DE LANÇAMENTO]]="","",UPPER(TEXT(LANÇ_MOV[[#This Row],[DATA DE LANÇAMENTO]],"MMMM")))</f>
        <v>OUTUBRO</v>
      </c>
      <c r="AC220" s="525" t="str">
        <f>IF(LANÇ_MOV[[#This Row],[DATA DE LANÇAMENTO]]="","",PROPER(TEXT(LANÇ_MOV[[#This Row],[DATA DE LANÇAMENTO]],"M")))</f>
        <v>10</v>
      </c>
      <c r="AD220" s="524" t="str">
        <f>IF(LANÇ_MOV[[#This Row],[DATA DE LANÇAMENTO]]="","",TEXT(LANÇ_MOV[[#This Row],[DATA DE LANÇAMENTO]],"D"))</f>
        <v>1</v>
      </c>
      <c r="AE220" s="526" t="str">
        <f>IF(LANÇ_MOV[[#This Row],[DATA DE VENCIMENTO]]="","",TEXT(LANÇ_MOV[[#This Row],[DATA DE VENCIMENTO]],"AAAA"))</f>
        <v>2028</v>
      </c>
      <c r="AF220" s="526" t="str">
        <f>IF(LANÇ_MOV[[#This Row],[DATA DE VENCIMENTO]]="","",UPPER(TEXT(LANÇ_MOV[[#This Row],[DATA DE VENCIMENTO]],"MMMM")))</f>
        <v>DEZEMBRO</v>
      </c>
      <c r="AG220" s="526" t="str">
        <f>IF(LANÇ_MOV[[#This Row],[DATA DE VENCIMENTO]]="","",TEXT(LANÇ_MOV[[#This Row],[DATA DE VENCIMENTO]],"M"))</f>
        <v>12</v>
      </c>
      <c r="AH220" s="526" t="str">
        <f>IF(LANÇ_MOV[[#This Row],[DATA DE VENCIMENTO]]="","",TEXT(LANÇ_MOV[[#This Row],[DATA DE VENCIMENTO]],"D"))</f>
        <v>13</v>
      </c>
      <c r="AI220" s="526" t="str">
        <f>IF(LANÇ_MOV[[#This Row],[DATA DE PAGAMENTO]]="","",TEXT(LANÇ_MOV[[#This Row],[DATA DE PAGAMENTO]],"AAAA"))</f>
        <v/>
      </c>
      <c r="AJ220" s="527" t="str">
        <f>IF(LANÇ_MOV[[#This Row],[DATA DE PAGAMENTO]]="","",UPPER(TEXT(LANÇ_MOV[[#This Row],[DATA DE PAGAMENTO]],"MMMM")))</f>
        <v/>
      </c>
      <c r="AK220" s="527" t="str">
        <f>IF(LANÇ_MOV[[#This Row],[DATA DE PAGAMENTO]]="","",TEXT(LANÇ_MOV[[#This Row],[DATA DE PAGAMENTO]],"M"))</f>
        <v/>
      </c>
      <c r="AL220" s="526" t="str">
        <f>IF(LANÇ_MOV[[#This Row],[DATA DE PAGAMENTO]]="","",TEXT(LANÇ_MOV[[#This Row],[DATA DE PAGAMENTO]],"D"))</f>
        <v/>
      </c>
      <c r="AM220" s="27"/>
      <c r="BB220" s="112"/>
      <c r="BC220" s="112"/>
      <c r="BD220" s="112"/>
    </row>
    <row r="221" spans="2:56" ht="30.05" customHeight="1" x14ac:dyDescent="0.35">
      <c r="B221" s="506">
        <v>45931</v>
      </c>
      <c r="C221" s="507" t="s">
        <v>1661</v>
      </c>
      <c r="D221" s="508" t="s">
        <v>1854</v>
      </c>
      <c r="E221" s="509" t="s">
        <v>228</v>
      </c>
      <c r="F221" s="510" t="s">
        <v>1818</v>
      </c>
      <c r="G221" s="507" t="s">
        <v>1904</v>
      </c>
      <c r="H221" s="511">
        <v>0</v>
      </c>
      <c r="I221" s="512" t="s">
        <v>1752</v>
      </c>
      <c r="J221" s="510">
        <v>2000</v>
      </c>
      <c r="K221" s="513">
        <v>0</v>
      </c>
      <c r="L221" s="513">
        <v>0</v>
      </c>
      <c r="M221" s="513">
        <v>0</v>
      </c>
      <c r="N221" s="514">
        <f>LANÇ_MOV[[#This Row],[VALOR BRUTO]]-LANÇ_MOV[[#This Row],[DESCONTO]]+LANÇ_MOV[[#This Row],[JUROS]]+LANÇ_MOV[[#This Row],[MULTA]]</f>
        <v>2000</v>
      </c>
      <c r="O221" s="528">
        <v>47131</v>
      </c>
      <c r="P221" s="516" t="str">
        <f t="shared" ca="1" si="3"/>
        <v>Prazo - Mais de 1 mês</v>
      </c>
      <c r="Q221" s="528"/>
      <c r="R221" s="529" t="s">
        <v>1564</v>
      </c>
      <c r="S221" s="518"/>
      <c r="T221" s="518" t="s">
        <v>1776</v>
      </c>
      <c r="U221" s="519" t="s">
        <v>2008</v>
      </c>
      <c r="V221" s="520" t="str">
        <f>IFERROR(VLOOKUP(LANÇ_MOV[[#This Row],[PLANO DE CONTAS]],Plano_Contas[[PLANO DE CONTAS]:[R / D]],3,0),"")</f>
        <v>Despesa</v>
      </c>
      <c r="W221" s="521" t="str">
        <f>IF(LANÇ_MOV[[#This Row],[DATA DE PAGAMENTO]]&lt;&gt;"","Pago","Não Pago")</f>
        <v>Não Pago</v>
      </c>
      <c r="X221" s="522" t="str">
        <f>IFERROR(IF(LANÇ_MOV[[#This Row],[DATA DE PAGAMENTO]]="","",(UPPER(TEXT(LANÇ_MOV[[#This Row],[DATA DE PAGAMENTO]],"mmmm")))),"")</f>
        <v/>
      </c>
      <c r="Y221" s="523" t="str">
        <f>IFERROR(VLOOKUP(LANÇ_MOV[[#This Row],[PLANO DE CONTAS]],Plano_Contas[[PLANO DE CONTAS]:[NOMES INTERVALOS]],2,0),"")</f>
        <v>Despesas_Com_RH</v>
      </c>
      <c r="Z221" s="523" t="str">
        <f>IF(LANÇ_MOV[[#This Row],[FORMA DE PAGAMENTO]]="","",VLOOKUP(LANÇ_MOV[[#This Row],[FORMA DE PAGAMENTO]],CAD_Forma_pagto[],2,0))</f>
        <v>PIX</v>
      </c>
      <c r="AA221" s="524" t="str">
        <f>IF(LANÇ_MOV[[#This Row],[DATA DE LANÇAMENTO]]="","",TEXT(LANÇ_MOV[[#This Row],[DATA DE LANÇAMENTO]],"AAAA"))</f>
        <v>2025</v>
      </c>
      <c r="AB221" s="524" t="str">
        <f>IF(LANÇ_MOV[[#This Row],[DATA DE LANÇAMENTO]]="","",UPPER(TEXT(LANÇ_MOV[[#This Row],[DATA DE LANÇAMENTO]],"MMMM")))</f>
        <v>OUTUBRO</v>
      </c>
      <c r="AC221" s="525" t="str">
        <f>IF(LANÇ_MOV[[#This Row],[DATA DE LANÇAMENTO]]="","",PROPER(TEXT(LANÇ_MOV[[#This Row],[DATA DE LANÇAMENTO]],"M")))</f>
        <v>10</v>
      </c>
      <c r="AD221" s="524" t="str">
        <f>IF(LANÇ_MOV[[#This Row],[DATA DE LANÇAMENTO]]="","",TEXT(LANÇ_MOV[[#This Row],[DATA DE LANÇAMENTO]],"D"))</f>
        <v>1</v>
      </c>
      <c r="AE221" s="526" t="str">
        <f>IF(LANÇ_MOV[[#This Row],[DATA DE VENCIMENTO]]="","",TEXT(LANÇ_MOV[[#This Row],[DATA DE VENCIMENTO]],"AAAA"))</f>
        <v>2029</v>
      </c>
      <c r="AF221" s="526" t="str">
        <f>IF(LANÇ_MOV[[#This Row],[DATA DE VENCIMENTO]]="","",UPPER(TEXT(LANÇ_MOV[[#This Row],[DATA DE VENCIMENTO]],"MMMM")))</f>
        <v>JANEIRO</v>
      </c>
      <c r="AG221" s="526" t="str">
        <f>IF(LANÇ_MOV[[#This Row],[DATA DE VENCIMENTO]]="","",TEXT(LANÇ_MOV[[#This Row],[DATA DE VENCIMENTO]],"M"))</f>
        <v>1</v>
      </c>
      <c r="AH221" s="526" t="str">
        <f>IF(LANÇ_MOV[[#This Row],[DATA DE VENCIMENTO]]="","",TEXT(LANÇ_MOV[[#This Row],[DATA DE VENCIMENTO]],"D"))</f>
        <v>13</v>
      </c>
      <c r="AI221" s="526" t="str">
        <f>IF(LANÇ_MOV[[#This Row],[DATA DE PAGAMENTO]]="","",TEXT(LANÇ_MOV[[#This Row],[DATA DE PAGAMENTO]],"AAAA"))</f>
        <v/>
      </c>
      <c r="AJ221" s="527" t="str">
        <f>IF(LANÇ_MOV[[#This Row],[DATA DE PAGAMENTO]]="","",UPPER(TEXT(LANÇ_MOV[[#This Row],[DATA DE PAGAMENTO]],"MMMM")))</f>
        <v/>
      </c>
      <c r="AK221" s="527" t="str">
        <f>IF(LANÇ_MOV[[#This Row],[DATA DE PAGAMENTO]]="","",TEXT(LANÇ_MOV[[#This Row],[DATA DE PAGAMENTO]],"M"))</f>
        <v/>
      </c>
      <c r="AL221" s="526" t="str">
        <f>IF(LANÇ_MOV[[#This Row],[DATA DE PAGAMENTO]]="","",TEXT(LANÇ_MOV[[#This Row],[DATA DE PAGAMENTO]],"D"))</f>
        <v/>
      </c>
      <c r="AM221" s="27"/>
      <c r="BB221" s="112"/>
      <c r="BC221" s="112"/>
      <c r="BD221" s="112"/>
    </row>
    <row r="222" spans="2:56" ht="30.05" customHeight="1" x14ac:dyDescent="0.35">
      <c r="B222" s="506">
        <v>45931</v>
      </c>
      <c r="C222" s="507" t="s">
        <v>1661</v>
      </c>
      <c r="D222" s="508" t="s">
        <v>1854</v>
      </c>
      <c r="E222" s="509" t="s">
        <v>228</v>
      </c>
      <c r="F222" s="510" t="s">
        <v>1818</v>
      </c>
      <c r="G222" s="507" t="s">
        <v>1905</v>
      </c>
      <c r="H222" s="511">
        <v>0</v>
      </c>
      <c r="I222" s="512" t="s">
        <v>1752</v>
      </c>
      <c r="J222" s="510">
        <v>2000</v>
      </c>
      <c r="K222" s="513">
        <v>0</v>
      </c>
      <c r="L222" s="513">
        <v>0</v>
      </c>
      <c r="M222" s="513">
        <v>0</v>
      </c>
      <c r="N222" s="514">
        <f>LANÇ_MOV[[#This Row],[VALOR BRUTO]]-LANÇ_MOV[[#This Row],[DESCONTO]]+LANÇ_MOV[[#This Row],[JUROS]]+LANÇ_MOV[[#This Row],[MULTA]]</f>
        <v>2000</v>
      </c>
      <c r="O222" s="528">
        <v>47162</v>
      </c>
      <c r="P222" s="516" t="str">
        <f t="shared" ca="1" si="3"/>
        <v>Prazo - Mais de 1 mês</v>
      </c>
      <c r="Q222" s="528"/>
      <c r="R222" s="529" t="s">
        <v>1564</v>
      </c>
      <c r="S222" s="518"/>
      <c r="T222" s="518" t="s">
        <v>1776</v>
      </c>
      <c r="U222" s="519" t="s">
        <v>2008</v>
      </c>
      <c r="V222" s="520" t="str">
        <f>IFERROR(VLOOKUP(LANÇ_MOV[[#This Row],[PLANO DE CONTAS]],Plano_Contas[[PLANO DE CONTAS]:[R / D]],3,0),"")</f>
        <v>Despesa</v>
      </c>
      <c r="W222" s="521" t="str">
        <f>IF(LANÇ_MOV[[#This Row],[DATA DE PAGAMENTO]]&lt;&gt;"","Pago","Não Pago")</f>
        <v>Não Pago</v>
      </c>
      <c r="X222" s="522" t="str">
        <f>IFERROR(IF(LANÇ_MOV[[#This Row],[DATA DE PAGAMENTO]]="","",(UPPER(TEXT(LANÇ_MOV[[#This Row],[DATA DE PAGAMENTO]],"mmmm")))),"")</f>
        <v/>
      </c>
      <c r="Y222" s="523" t="str">
        <f>IFERROR(VLOOKUP(LANÇ_MOV[[#This Row],[PLANO DE CONTAS]],Plano_Contas[[PLANO DE CONTAS]:[NOMES INTERVALOS]],2,0),"")</f>
        <v>Despesas_Com_RH</v>
      </c>
      <c r="Z222" s="523" t="str">
        <f>IF(LANÇ_MOV[[#This Row],[FORMA DE PAGAMENTO]]="","",VLOOKUP(LANÇ_MOV[[#This Row],[FORMA DE PAGAMENTO]],CAD_Forma_pagto[],2,0))</f>
        <v>PIX</v>
      </c>
      <c r="AA222" s="524" t="str">
        <f>IF(LANÇ_MOV[[#This Row],[DATA DE LANÇAMENTO]]="","",TEXT(LANÇ_MOV[[#This Row],[DATA DE LANÇAMENTO]],"AAAA"))</f>
        <v>2025</v>
      </c>
      <c r="AB222" s="524" t="str">
        <f>IF(LANÇ_MOV[[#This Row],[DATA DE LANÇAMENTO]]="","",UPPER(TEXT(LANÇ_MOV[[#This Row],[DATA DE LANÇAMENTO]],"MMMM")))</f>
        <v>OUTUBRO</v>
      </c>
      <c r="AC222" s="525" t="str">
        <f>IF(LANÇ_MOV[[#This Row],[DATA DE LANÇAMENTO]]="","",PROPER(TEXT(LANÇ_MOV[[#This Row],[DATA DE LANÇAMENTO]],"M")))</f>
        <v>10</v>
      </c>
      <c r="AD222" s="524" t="str">
        <f>IF(LANÇ_MOV[[#This Row],[DATA DE LANÇAMENTO]]="","",TEXT(LANÇ_MOV[[#This Row],[DATA DE LANÇAMENTO]],"D"))</f>
        <v>1</v>
      </c>
      <c r="AE222" s="526" t="str">
        <f>IF(LANÇ_MOV[[#This Row],[DATA DE VENCIMENTO]]="","",TEXT(LANÇ_MOV[[#This Row],[DATA DE VENCIMENTO]],"AAAA"))</f>
        <v>2029</v>
      </c>
      <c r="AF222" s="526" t="str">
        <f>IF(LANÇ_MOV[[#This Row],[DATA DE VENCIMENTO]]="","",UPPER(TEXT(LANÇ_MOV[[#This Row],[DATA DE VENCIMENTO]],"MMMM")))</f>
        <v>FEVEREIRO</v>
      </c>
      <c r="AG222" s="526" t="str">
        <f>IF(LANÇ_MOV[[#This Row],[DATA DE VENCIMENTO]]="","",TEXT(LANÇ_MOV[[#This Row],[DATA DE VENCIMENTO]],"M"))</f>
        <v>2</v>
      </c>
      <c r="AH222" s="526" t="str">
        <f>IF(LANÇ_MOV[[#This Row],[DATA DE VENCIMENTO]]="","",TEXT(LANÇ_MOV[[#This Row],[DATA DE VENCIMENTO]],"D"))</f>
        <v>13</v>
      </c>
      <c r="AI222" s="526" t="str">
        <f>IF(LANÇ_MOV[[#This Row],[DATA DE PAGAMENTO]]="","",TEXT(LANÇ_MOV[[#This Row],[DATA DE PAGAMENTO]],"AAAA"))</f>
        <v/>
      </c>
      <c r="AJ222" s="527" t="str">
        <f>IF(LANÇ_MOV[[#This Row],[DATA DE PAGAMENTO]]="","",UPPER(TEXT(LANÇ_MOV[[#This Row],[DATA DE PAGAMENTO]],"MMMM")))</f>
        <v/>
      </c>
      <c r="AK222" s="527" t="str">
        <f>IF(LANÇ_MOV[[#This Row],[DATA DE PAGAMENTO]]="","",TEXT(LANÇ_MOV[[#This Row],[DATA DE PAGAMENTO]],"M"))</f>
        <v/>
      </c>
      <c r="AL222" s="526" t="str">
        <f>IF(LANÇ_MOV[[#This Row],[DATA DE PAGAMENTO]]="","",TEXT(LANÇ_MOV[[#This Row],[DATA DE PAGAMENTO]],"D"))</f>
        <v/>
      </c>
      <c r="AM222" s="27"/>
      <c r="BB222" s="112"/>
      <c r="BC222" s="112"/>
      <c r="BD222" s="112"/>
    </row>
    <row r="223" spans="2:56" ht="30.05" customHeight="1" x14ac:dyDescent="0.35">
      <c r="B223" s="506">
        <v>45931</v>
      </c>
      <c r="C223" s="507" t="s">
        <v>1661</v>
      </c>
      <c r="D223" s="508" t="s">
        <v>1854</v>
      </c>
      <c r="E223" s="509" t="s">
        <v>228</v>
      </c>
      <c r="F223" s="510" t="s">
        <v>1818</v>
      </c>
      <c r="G223" s="507" t="s">
        <v>1906</v>
      </c>
      <c r="H223" s="511">
        <v>0</v>
      </c>
      <c r="I223" s="512" t="s">
        <v>1752</v>
      </c>
      <c r="J223" s="510">
        <v>2000</v>
      </c>
      <c r="K223" s="513">
        <v>0</v>
      </c>
      <c r="L223" s="513">
        <v>0</v>
      </c>
      <c r="M223" s="513">
        <v>0</v>
      </c>
      <c r="N223" s="514">
        <f>LANÇ_MOV[[#This Row],[VALOR BRUTO]]-LANÇ_MOV[[#This Row],[DESCONTO]]+LANÇ_MOV[[#This Row],[JUROS]]+LANÇ_MOV[[#This Row],[MULTA]]</f>
        <v>2000</v>
      </c>
      <c r="O223" s="528">
        <v>47190</v>
      </c>
      <c r="P223" s="516" t="str">
        <f t="shared" ca="1" si="3"/>
        <v>Prazo - Mais de 1 mês</v>
      </c>
      <c r="Q223" s="528"/>
      <c r="R223" s="529" t="s">
        <v>1564</v>
      </c>
      <c r="S223" s="518"/>
      <c r="T223" s="518" t="s">
        <v>1776</v>
      </c>
      <c r="U223" s="519" t="s">
        <v>2008</v>
      </c>
      <c r="V223" s="520" t="str">
        <f>IFERROR(VLOOKUP(LANÇ_MOV[[#This Row],[PLANO DE CONTAS]],Plano_Contas[[PLANO DE CONTAS]:[R / D]],3,0),"")</f>
        <v>Despesa</v>
      </c>
      <c r="W223" s="521" t="str">
        <f>IF(LANÇ_MOV[[#This Row],[DATA DE PAGAMENTO]]&lt;&gt;"","Pago","Não Pago")</f>
        <v>Não Pago</v>
      </c>
      <c r="X223" s="522" t="str">
        <f>IFERROR(IF(LANÇ_MOV[[#This Row],[DATA DE PAGAMENTO]]="","",(UPPER(TEXT(LANÇ_MOV[[#This Row],[DATA DE PAGAMENTO]],"mmmm")))),"")</f>
        <v/>
      </c>
      <c r="Y223" s="523" t="str">
        <f>IFERROR(VLOOKUP(LANÇ_MOV[[#This Row],[PLANO DE CONTAS]],Plano_Contas[[PLANO DE CONTAS]:[NOMES INTERVALOS]],2,0),"")</f>
        <v>Despesas_Com_RH</v>
      </c>
      <c r="Z223" s="523" t="str">
        <f>IF(LANÇ_MOV[[#This Row],[FORMA DE PAGAMENTO]]="","",VLOOKUP(LANÇ_MOV[[#This Row],[FORMA DE PAGAMENTO]],CAD_Forma_pagto[],2,0))</f>
        <v>PIX</v>
      </c>
      <c r="AA223" s="524" t="str">
        <f>IF(LANÇ_MOV[[#This Row],[DATA DE LANÇAMENTO]]="","",TEXT(LANÇ_MOV[[#This Row],[DATA DE LANÇAMENTO]],"AAAA"))</f>
        <v>2025</v>
      </c>
      <c r="AB223" s="524" t="str">
        <f>IF(LANÇ_MOV[[#This Row],[DATA DE LANÇAMENTO]]="","",UPPER(TEXT(LANÇ_MOV[[#This Row],[DATA DE LANÇAMENTO]],"MMMM")))</f>
        <v>OUTUBRO</v>
      </c>
      <c r="AC223" s="525" t="str">
        <f>IF(LANÇ_MOV[[#This Row],[DATA DE LANÇAMENTO]]="","",PROPER(TEXT(LANÇ_MOV[[#This Row],[DATA DE LANÇAMENTO]],"M")))</f>
        <v>10</v>
      </c>
      <c r="AD223" s="524" t="str">
        <f>IF(LANÇ_MOV[[#This Row],[DATA DE LANÇAMENTO]]="","",TEXT(LANÇ_MOV[[#This Row],[DATA DE LANÇAMENTO]],"D"))</f>
        <v>1</v>
      </c>
      <c r="AE223" s="526" t="str">
        <f>IF(LANÇ_MOV[[#This Row],[DATA DE VENCIMENTO]]="","",TEXT(LANÇ_MOV[[#This Row],[DATA DE VENCIMENTO]],"AAAA"))</f>
        <v>2029</v>
      </c>
      <c r="AF223" s="526" t="str">
        <f>IF(LANÇ_MOV[[#This Row],[DATA DE VENCIMENTO]]="","",UPPER(TEXT(LANÇ_MOV[[#This Row],[DATA DE VENCIMENTO]],"MMMM")))</f>
        <v>MARÇO</v>
      </c>
      <c r="AG223" s="526" t="str">
        <f>IF(LANÇ_MOV[[#This Row],[DATA DE VENCIMENTO]]="","",TEXT(LANÇ_MOV[[#This Row],[DATA DE VENCIMENTO]],"M"))</f>
        <v>3</v>
      </c>
      <c r="AH223" s="526" t="str">
        <f>IF(LANÇ_MOV[[#This Row],[DATA DE VENCIMENTO]]="","",TEXT(LANÇ_MOV[[#This Row],[DATA DE VENCIMENTO]],"D"))</f>
        <v>13</v>
      </c>
      <c r="AI223" s="526" t="str">
        <f>IF(LANÇ_MOV[[#This Row],[DATA DE PAGAMENTO]]="","",TEXT(LANÇ_MOV[[#This Row],[DATA DE PAGAMENTO]],"AAAA"))</f>
        <v/>
      </c>
      <c r="AJ223" s="527" t="str">
        <f>IF(LANÇ_MOV[[#This Row],[DATA DE PAGAMENTO]]="","",UPPER(TEXT(LANÇ_MOV[[#This Row],[DATA DE PAGAMENTO]],"MMMM")))</f>
        <v/>
      </c>
      <c r="AK223" s="527" t="str">
        <f>IF(LANÇ_MOV[[#This Row],[DATA DE PAGAMENTO]]="","",TEXT(LANÇ_MOV[[#This Row],[DATA DE PAGAMENTO]],"M"))</f>
        <v/>
      </c>
      <c r="AL223" s="526" t="str">
        <f>IF(LANÇ_MOV[[#This Row],[DATA DE PAGAMENTO]]="","",TEXT(LANÇ_MOV[[#This Row],[DATA DE PAGAMENTO]],"D"))</f>
        <v/>
      </c>
      <c r="AM223" s="27"/>
      <c r="BB223" s="112"/>
      <c r="BC223" s="112"/>
      <c r="BD223" s="112"/>
    </row>
    <row r="224" spans="2:56" ht="30.05" customHeight="1" x14ac:dyDescent="0.35">
      <c r="B224" s="506">
        <v>45931</v>
      </c>
      <c r="C224" s="507" t="s">
        <v>1661</v>
      </c>
      <c r="D224" s="508" t="s">
        <v>1854</v>
      </c>
      <c r="E224" s="509" t="s">
        <v>228</v>
      </c>
      <c r="F224" s="510" t="s">
        <v>1818</v>
      </c>
      <c r="G224" s="507" t="s">
        <v>1907</v>
      </c>
      <c r="H224" s="511">
        <v>0</v>
      </c>
      <c r="I224" s="512" t="s">
        <v>1752</v>
      </c>
      <c r="J224" s="510">
        <v>2000</v>
      </c>
      <c r="K224" s="513">
        <v>0</v>
      </c>
      <c r="L224" s="513">
        <v>0</v>
      </c>
      <c r="M224" s="513">
        <v>0</v>
      </c>
      <c r="N224" s="514">
        <f>LANÇ_MOV[[#This Row],[VALOR BRUTO]]-LANÇ_MOV[[#This Row],[DESCONTO]]+LANÇ_MOV[[#This Row],[JUROS]]+LANÇ_MOV[[#This Row],[MULTA]]</f>
        <v>2000</v>
      </c>
      <c r="O224" s="528">
        <v>47221</v>
      </c>
      <c r="P224" s="516" t="str">
        <f t="shared" ca="1" si="3"/>
        <v>Prazo - Mais de 1 mês</v>
      </c>
      <c r="Q224" s="528"/>
      <c r="R224" s="529" t="s">
        <v>1564</v>
      </c>
      <c r="S224" s="518"/>
      <c r="T224" s="518" t="s">
        <v>1776</v>
      </c>
      <c r="U224" s="519" t="s">
        <v>2008</v>
      </c>
      <c r="V224" s="520" t="str">
        <f>IFERROR(VLOOKUP(LANÇ_MOV[[#This Row],[PLANO DE CONTAS]],Plano_Contas[[PLANO DE CONTAS]:[R / D]],3,0),"")</f>
        <v>Despesa</v>
      </c>
      <c r="W224" s="521" t="str">
        <f>IF(LANÇ_MOV[[#This Row],[DATA DE PAGAMENTO]]&lt;&gt;"","Pago","Não Pago")</f>
        <v>Não Pago</v>
      </c>
      <c r="X224" s="522" t="str">
        <f>IFERROR(IF(LANÇ_MOV[[#This Row],[DATA DE PAGAMENTO]]="","",(UPPER(TEXT(LANÇ_MOV[[#This Row],[DATA DE PAGAMENTO]],"mmmm")))),"")</f>
        <v/>
      </c>
      <c r="Y224" s="523" t="str">
        <f>IFERROR(VLOOKUP(LANÇ_MOV[[#This Row],[PLANO DE CONTAS]],Plano_Contas[[PLANO DE CONTAS]:[NOMES INTERVALOS]],2,0),"")</f>
        <v>Despesas_Com_RH</v>
      </c>
      <c r="Z224" s="523" t="str">
        <f>IF(LANÇ_MOV[[#This Row],[FORMA DE PAGAMENTO]]="","",VLOOKUP(LANÇ_MOV[[#This Row],[FORMA DE PAGAMENTO]],CAD_Forma_pagto[],2,0))</f>
        <v>PIX</v>
      </c>
      <c r="AA224" s="524" t="str">
        <f>IF(LANÇ_MOV[[#This Row],[DATA DE LANÇAMENTO]]="","",TEXT(LANÇ_MOV[[#This Row],[DATA DE LANÇAMENTO]],"AAAA"))</f>
        <v>2025</v>
      </c>
      <c r="AB224" s="524" t="str">
        <f>IF(LANÇ_MOV[[#This Row],[DATA DE LANÇAMENTO]]="","",UPPER(TEXT(LANÇ_MOV[[#This Row],[DATA DE LANÇAMENTO]],"MMMM")))</f>
        <v>OUTUBRO</v>
      </c>
      <c r="AC224" s="525" t="str">
        <f>IF(LANÇ_MOV[[#This Row],[DATA DE LANÇAMENTO]]="","",PROPER(TEXT(LANÇ_MOV[[#This Row],[DATA DE LANÇAMENTO]],"M")))</f>
        <v>10</v>
      </c>
      <c r="AD224" s="524" t="str">
        <f>IF(LANÇ_MOV[[#This Row],[DATA DE LANÇAMENTO]]="","",TEXT(LANÇ_MOV[[#This Row],[DATA DE LANÇAMENTO]],"D"))</f>
        <v>1</v>
      </c>
      <c r="AE224" s="526" t="str">
        <f>IF(LANÇ_MOV[[#This Row],[DATA DE VENCIMENTO]]="","",TEXT(LANÇ_MOV[[#This Row],[DATA DE VENCIMENTO]],"AAAA"))</f>
        <v>2029</v>
      </c>
      <c r="AF224" s="526" t="str">
        <f>IF(LANÇ_MOV[[#This Row],[DATA DE VENCIMENTO]]="","",UPPER(TEXT(LANÇ_MOV[[#This Row],[DATA DE VENCIMENTO]],"MMMM")))</f>
        <v>ABRIL</v>
      </c>
      <c r="AG224" s="526" t="str">
        <f>IF(LANÇ_MOV[[#This Row],[DATA DE VENCIMENTO]]="","",TEXT(LANÇ_MOV[[#This Row],[DATA DE VENCIMENTO]],"M"))</f>
        <v>4</v>
      </c>
      <c r="AH224" s="526" t="str">
        <f>IF(LANÇ_MOV[[#This Row],[DATA DE VENCIMENTO]]="","",TEXT(LANÇ_MOV[[#This Row],[DATA DE VENCIMENTO]],"D"))</f>
        <v>13</v>
      </c>
      <c r="AI224" s="526" t="str">
        <f>IF(LANÇ_MOV[[#This Row],[DATA DE PAGAMENTO]]="","",TEXT(LANÇ_MOV[[#This Row],[DATA DE PAGAMENTO]],"AAAA"))</f>
        <v/>
      </c>
      <c r="AJ224" s="527" t="str">
        <f>IF(LANÇ_MOV[[#This Row],[DATA DE PAGAMENTO]]="","",UPPER(TEXT(LANÇ_MOV[[#This Row],[DATA DE PAGAMENTO]],"MMMM")))</f>
        <v/>
      </c>
      <c r="AK224" s="527" t="str">
        <f>IF(LANÇ_MOV[[#This Row],[DATA DE PAGAMENTO]]="","",TEXT(LANÇ_MOV[[#This Row],[DATA DE PAGAMENTO]],"M"))</f>
        <v/>
      </c>
      <c r="AL224" s="526" t="str">
        <f>IF(LANÇ_MOV[[#This Row],[DATA DE PAGAMENTO]]="","",TEXT(LANÇ_MOV[[#This Row],[DATA DE PAGAMENTO]],"D"))</f>
        <v/>
      </c>
      <c r="AM224" s="27"/>
      <c r="BB224" s="112"/>
      <c r="BC224" s="112"/>
      <c r="BD224" s="112"/>
    </row>
    <row r="225" spans="2:56" ht="30.05" customHeight="1" x14ac:dyDescent="0.35">
      <c r="B225" s="506">
        <v>45931</v>
      </c>
      <c r="C225" s="507" t="s">
        <v>1661</v>
      </c>
      <c r="D225" s="508" t="s">
        <v>1854</v>
      </c>
      <c r="E225" s="509" t="s">
        <v>228</v>
      </c>
      <c r="F225" s="510" t="s">
        <v>1818</v>
      </c>
      <c r="G225" s="507" t="s">
        <v>1908</v>
      </c>
      <c r="H225" s="511">
        <v>0</v>
      </c>
      <c r="I225" s="512" t="s">
        <v>1752</v>
      </c>
      <c r="J225" s="510">
        <v>2000</v>
      </c>
      <c r="K225" s="513">
        <v>0</v>
      </c>
      <c r="L225" s="513">
        <v>0</v>
      </c>
      <c r="M225" s="513">
        <v>0</v>
      </c>
      <c r="N225" s="514">
        <f>LANÇ_MOV[[#This Row],[VALOR BRUTO]]-LANÇ_MOV[[#This Row],[DESCONTO]]+LANÇ_MOV[[#This Row],[JUROS]]+LANÇ_MOV[[#This Row],[MULTA]]</f>
        <v>2000</v>
      </c>
      <c r="O225" s="528">
        <v>47251</v>
      </c>
      <c r="P225" s="516" t="str">
        <f t="shared" ca="1" si="3"/>
        <v>Prazo - Mais de 1 mês</v>
      </c>
      <c r="Q225" s="528"/>
      <c r="R225" s="529" t="s">
        <v>1564</v>
      </c>
      <c r="S225" s="518"/>
      <c r="T225" s="518" t="s">
        <v>1776</v>
      </c>
      <c r="U225" s="519" t="s">
        <v>2008</v>
      </c>
      <c r="V225" s="520" t="str">
        <f>IFERROR(VLOOKUP(LANÇ_MOV[[#This Row],[PLANO DE CONTAS]],Plano_Contas[[PLANO DE CONTAS]:[R / D]],3,0),"")</f>
        <v>Despesa</v>
      </c>
      <c r="W225" s="521" t="str">
        <f>IF(LANÇ_MOV[[#This Row],[DATA DE PAGAMENTO]]&lt;&gt;"","Pago","Não Pago")</f>
        <v>Não Pago</v>
      </c>
      <c r="X225" s="522" t="str">
        <f>IFERROR(IF(LANÇ_MOV[[#This Row],[DATA DE PAGAMENTO]]="","",(UPPER(TEXT(LANÇ_MOV[[#This Row],[DATA DE PAGAMENTO]],"mmmm")))),"")</f>
        <v/>
      </c>
      <c r="Y225" s="523" t="str">
        <f>IFERROR(VLOOKUP(LANÇ_MOV[[#This Row],[PLANO DE CONTAS]],Plano_Contas[[PLANO DE CONTAS]:[NOMES INTERVALOS]],2,0),"")</f>
        <v>Despesas_Com_RH</v>
      </c>
      <c r="Z225" s="523" t="str">
        <f>IF(LANÇ_MOV[[#This Row],[FORMA DE PAGAMENTO]]="","",VLOOKUP(LANÇ_MOV[[#This Row],[FORMA DE PAGAMENTO]],CAD_Forma_pagto[],2,0))</f>
        <v>PIX</v>
      </c>
      <c r="AA225" s="524" t="str">
        <f>IF(LANÇ_MOV[[#This Row],[DATA DE LANÇAMENTO]]="","",TEXT(LANÇ_MOV[[#This Row],[DATA DE LANÇAMENTO]],"AAAA"))</f>
        <v>2025</v>
      </c>
      <c r="AB225" s="524" t="str">
        <f>IF(LANÇ_MOV[[#This Row],[DATA DE LANÇAMENTO]]="","",UPPER(TEXT(LANÇ_MOV[[#This Row],[DATA DE LANÇAMENTO]],"MMMM")))</f>
        <v>OUTUBRO</v>
      </c>
      <c r="AC225" s="525" t="str">
        <f>IF(LANÇ_MOV[[#This Row],[DATA DE LANÇAMENTO]]="","",PROPER(TEXT(LANÇ_MOV[[#This Row],[DATA DE LANÇAMENTO]],"M")))</f>
        <v>10</v>
      </c>
      <c r="AD225" s="524" t="str">
        <f>IF(LANÇ_MOV[[#This Row],[DATA DE LANÇAMENTO]]="","",TEXT(LANÇ_MOV[[#This Row],[DATA DE LANÇAMENTO]],"D"))</f>
        <v>1</v>
      </c>
      <c r="AE225" s="526" t="str">
        <f>IF(LANÇ_MOV[[#This Row],[DATA DE VENCIMENTO]]="","",TEXT(LANÇ_MOV[[#This Row],[DATA DE VENCIMENTO]],"AAAA"))</f>
        <v>2029</v>
      </c>
      <c r="AF225" s="526" t="str">
        <f>IF(LANÇ_MOV[[#This Row],[DATA DE VENCIMENTO]]="","",UPPER(TEXT(LANÇ_MOV[[#This Row],[DATA DE VENCIMENTO]],"MMMM")))</f>
        <v>MAIO</v>
      </c>
      <c r="AG225" s="526" t="str">
        <f>IF(LANÇ_MOV[[#This Row],[DATA DE VENCIMENTO]]="","",TEXT(LANÇ_MOV[[#This Row],[DATA DE VENCIMENTO]],"M"))</f>
        <v>5</v>
      </c>
      <c r="AH225" s="526" t="str">
        <f>IF(LANÇ_MOV[[#This Row],[DATA DE VENCIMENTO]]="","",TEXT(LANÇ_MOV[[#This Row],[DATA DE VENCIMENTO]],"D"))</f>
        <v>13</v>
      </c>
      <c r="AI225" s="526" t="str">
        <f>IF(LANÇ_MOV[[#This Row],[DATA DE PAGAMENTO]]="","",TEXT(LANÇ_MOV[[#This Row],[DATA DE PAGAMENTO]],"AAAA"))</f>
        <v/>
      </c>
      <c r="AJ225" s="527" t="str">
        <f>IF(LANÇ_MOV[[#This Row],[DATA DE PAGAMENTO]]="","",UPPER(TEXT(LANÇ_MOV[[#This Row],[DATA DE PAGAMENTO]],"MMMM")))</f>
        <v/>
      </c>
      <c r="AK225" s="527" t="str">
        <f>IF(LANÇ_MOV[[#This Row],[DATA DE PAGAMENTO]]="","",TEXT(LANÇ_MOV[[#This Row],[DATA DE PAGAMENTO]],"M"))</f>
        <v/>
      </c>
      <c r="AL225" s="526" t="str">
        <f>IF(LANÇ_MOV[[#This Row],[DATA DE PAGAMENTO]]="","",TEXT(LANÇ_MOV[[#This Row],[DATA DE PAGAMENTO]],"D"))</f>
        <v/>
      </c>
      <c r="AM225" s="27"/>
      <c r="BB225" s="112"/>
      <c r="BC225" s="112"/>
      <c r="BD225" s="112"/>
    </row>
    <row r="226" spans="2:56" ht="30.05" customHeight="1" x14ac:dyDescent="0.35">
      <c r="B226" s="506">
        <v>45931</v>
      </c>
      <c r="C226" s="507" t="s">
        <v>1661</v>
      </c>
      <c r="D226" s="508" t="s">
        <v>1854</v>
      </c>
      <c r="E226" s="509" t="s">
        <v>228</v>
      </c>
      <c r="F226" s="510" t="s">
        <v>1818</v>
      </c>
      <c r="G226" s="507" t="s">
        <v>1909</v>
      </c>
      <c r="H226" s="511">
        <v>0</v>
      </c>
      <c r="I226" s="512" t="s">
        <v>1752</v>
      </c>
      <c r="J226" s="510">
        <v>2000</v>
      </c>
      <c r="K226" s="513">
        <v>0</v>
      </c>
      <c r="L226" s="513">
        <v>0</v>
      </c>
      <c r="M226" s="513">
        <v>0</v>
      </c>
      <c r="N226" s="514">
        <f>LANÇ_MOV[[#This Row],[VALOR BRUTO]]-LANÇ_MOV[[#This Row],[DESCONTO]]+LANÇ_MOV[[#This Row],[JUROS]]+LANÇ_MOV[[#This Row],[MULTA]]</f>
        <v>2000</v>
      </c>
      <c r="O226" s="528">
        <v>47282</v>
      </c>
      <c r="P226" s="516" t="str">
        <f t="shared" ca="1" si="3"/>
        <v>Prazo - Mais de 1 mês</v>
      </c>
      <c r="Q226" s="528"/>
      <c r="R226" s="529" t="s">
        <v>1564</v>
      </c>
      <c r="S226" s="518"/>
      <c r="T226" s="518" t="s">
        <v>1776</v>
      </c>
      <c r="U226" s="519" t="s">
        <v>2008</v>
      </c>
      <c r="V226" s="520" t="str">
        <f>IFERROR(VLOOKUP(LANÇ_MOV[[#This Row],[PLANO DE CONTAS]],Plano_Contas[[PLANO DE CONTAS]:[R / D]],3,0),"")</f>
        <v>Despesa</v>
      </c>
      <c r="W226" s="521" t="str">
        <f>IF(LANÇ_MOV[[#This Row],[DATA DE PAGAMENTO]]&lt;&gt;"","Pago","Não Pago")</f>
        <v>Não Pago</v>
      </c>
      <c r="X226" s="522" t="str">
        <f>IFERROR(IF(LANÇ_MOV[[#This Row],[DATA DE PAGAMENTO]]="","",(UPPER(TEXT(LANÇ_MOV[[#This Row],[DATA DE PAGAMENTO]],"mmmm")))),"")</f>
        <v/>
      </c>
      <c r="Y226" s="523" t="str">
        <f>IFERROR(VLOOKUP(LANÇ_MOV[[#This Row],[PLANO DE CONTAS]],Plano_Contas[[PLANO DE CONTAS]:[NOMES INTERVALOS]],2,0),"")</f>
        <v>Despesas_Com_RH</v>
      </c>
      <c r="Z226" s="523" t="str">
        <f>IF(LANÇ_MOV[[#This Row],[FORMA DE PAGAMENTO]]="","",VLOOKUP(LANÇ_MOV[[#This Row],[FORMA DE PAGAMENTO]],CAD_Forma_pagto[],2,0))</f>
        <v>PIX</v>
      </c>
      <c r="AA226" s="524" t="str">
        <f>IF(LANÇ_MOV[[#This Row],[DATA DE LANÇAMENTO]]="","",TEXT(LANÇ_MOV[[#This Row],[DATA DE LANÇAMENTO]],"AAAA"))</f>
        <v>2025</v>
      </c>
      <c r="AB226" s="524" t="str">
        <f>IF(LANÇ_MOV[[#This Row],[DATA DE LANÇAMENTO]]="","",UPPER(TEXT(LANÇ_MOV[[#This Row],[DATA DE LANÇAMENTO]],"MMMM")))</f>
        <v>OUTUBRO</v>
      </c>
      <c r="AC226" s="525" t="str">
        <f>IF(LANÇ_MOV[[#This Row],[DATA DE LANÇAMENTO]]="","",PROPER(TEXT(LANÇ_MOV[[#This Row],[DATA DE LANÇAMENTO]],"M")))</f>
        <v>10</v>
      </c>
      <c r="AD226" s="524" t="str">
        <f>IF(LANÇ_MOV[[#This Row],[DATA DE LANÇAMENTO]]="","",TEXT(LANÇ_MOV[[#This Row],[DATA DE LANÇAMENTO]],"D"))</f>
        <v>1</v>
      </c>
      <c r="AE226" s="526" t="str">
        <f>IF(LANÇ_MOV[[#This Row],[DATA DE VENCIMENTO]]="","",TEXT(LANÇ_MOV[[#This Row],[DATA DE VENCIMENTO]],"AAAA"))</f>
        <v>2029</v>
      </c>
      <c r="AF226" s="526" t="str">
        <f>IF(LANÇ_MOV[[#This Row],[DATA DE VENCIMENTO]]="","",UPPER(TEXT(LANÇ_MOV[[#This Row],[DATA DE VENCIMENTO]],"MMMM")))</f>
        <v>JUNHO</v>
      </c>
      <c r="AG226" s="526" t="str">
        <f>IF(LANÇ_MOV[[#This Row],[DATA DE VENCIMENTO]]="","",TEXT(LANÇ_MOV[[#This Row],[DATA DE VENCIMENTO]],"M"))</f>
        <v>6</v>
      </c>
      <c r="AH226" s="526" t="str">
        <f>IF(LANÇ_MOV[[#This Row],[DATA DE VENCIMENTO]]="","",TEXT(LANÇ_MOV[[#This Row],[DATA DE VENCIMENTO]],"D"))</f>
        <v>13</v>
      </c>
      <c r="AI226" s="526" t="str">
        <f>IF(LANÇ_MOV[[#This Row],[DATA DE PAGAMENTO]]="","",TEXT(LANÇ_MOV[[#This Row],[DATA DE PAGAMENTO]],"AAAA"))</f>
        <v/>
      </c>
      <c r="AJ226" s="527" t="str">
        <f>IF(LANÇ_MOV[[#This Row],[DATA DE PAGAMENTO]]="","",UPPER(TEXT(LANÇ_MOV[[#This Row],[DATA DE PAGAMENTO]],"MMMM")))</f>
        <v/>
      </c>
      <c r="AK226" s="527" t="str">
        <f>IF(LANÇ_MOV[[#This Row],[DATA DE PAGAMENTO]]="","",TEXT(LANÇ_MOV[[#This Row],[DATA DE PAGAMENTO]],"M"))</f>
        <v/>
      </c>
      <c r="AL226" s="526" t="str">
        <f>IF(LANÇ_MOV[[#This Row],[DATA DE PAGAMENTO]]="","",TEXT(LANÇ_MOV[[#This Row],[DATA DE PAGAMENTO]],"D"))</f>
        <v/>
      </c>
      <c r="AM226" s="27"/>
      <c r="BB226" s="112"/>
      <c r="BC226" s="112"/>
      <c r="BD226" s="112"/>
    </row>
    <row r="227" spans="2:56" ht="30.05" customHeight="1" x14ac:dyDescent="0.35">
      <c r="B227" s="506">
        <v>45931</v>
      </c>
      <c r="C227" s="507" t="s">
        <v>1661</v>
      </c>
      <c r="D227" s="508" t="s">
        <v>1854</v>
      </c>
      <c r="E227" s="509" t="s">
        <v>228</v>
      </c>
      <c r="F227" s="510" t="s">
        <v>1818</v>
      </c>
      <c r="G227" s="507" t="s">
        <v>1910</v>
      </c>
      <c r="H227" s="511">
        <v>0</v>
      </c>
      <c r="I227" s="512" t="s">
        <v>1752</v>
      </c>
      <c r="J227" s="510">
        <v>2000</v>
      </c>
      <c r="K227" s="513">
        <v>0</v>
      </c>
      <c r="L227" s="513">
        <v>0</v>
      </c>
      <c r="M227" s="513">
        <v>0</v>
      </c>
      <c r="N227" s="514">
        <f>LANÇ_MOV[[#This Row],[VALOR BRUTO]]-LANÇ_MOV[[#This Row],[DESCONTO]]+LANÇ_MOV[[#This Row],[JUROS]]+LANÇ_MOV[[#This Row],[MULTA]]</f>
        <v>2000</v>
      </c>
      <c r="O227" s="528">
        <v>47312</v>
      </c>
      <c r="P227" s="516" t="str">
        <f t="shared" ca="1" si="3"/>
        <v>Prazo - Mais de 1 mês</v>
      </c>
      <c r="Q227" s="528"/>
      <c r="R227" s="529" t="s">
        <v>1564</v>
      </c>
      <c r="S227" s="518"/>
      <c r="T227" s="518" t="s">
        <v>1776</v>
      </c>
      <c r="U227" s="519" t="s">
        <v>2008</v>
      </c>
      <c r="V227" s="520" t="str">
        <f>IFERROR(VLOOKUP(LANÇ_MOV[[#This Row],[PLANO DE CONTAS]],Plano_Contas[[PLANO DE CONTAS]:[R / D]],3,0),"")</f>
        <v>Despesa</v>
      </c>
      <c r="W227" s="521" t="str">
        <f>IF(LANÇ_MOV[[#This Row],[DATA DE PAGAMENTO]]&lt;&gt;"","Pago","Não Pago")</f>
        <v>Não Pago</v>
      </c>
      <c r="X227" s="522" t="str">
        <f>IFERROR(IF(LANÇ_MOV[[#This Row],[DATA DE PAGAMENTO]]="","",(UPPER(TEXT(LANÇ_MOV[[#This Row],[DATA DE PAGAMENTO]],"mmmm")))),"")</f>
        <v/>
      </c>
      <c r="Y227" s="523" t="str">
        <f>IFERROR(VLOOKUP(LANÇ_MOV[[#This Row],[PLANO DE CONTAS]],Plano_Contas[[PLANO DE CONTAS]:[NOMES INTERVALOS]],2,0),"")</f>
        <v>Despesas_Com_RH</v>
      </c>
      <c r="Z227" s="523" t="str">
        <f>IF(LANÇ_MOV[[#This Row],[FORMA DE PAGAMENTO]]="","",VLOOKUP(LANÇ_MOV[[#This Row],[FORMA DE PAGAMENTO]],CAD_Forma_pagto[],2,0))</f>
        <v>PIX</v>
      </c>
      <c r="AA227" s="524" t="str">
        <f>IF(LANÇ_MOV[[#This Row],[DATA DE LANÇAMENTO]]="","",TEXT(LANÇ_MOV[[#This Row],[DATA DE LANÇAMENTO]],"AAAA"))</f>
        <v>2025</v>
      </c>
      <c r="AB227" s="524" t="str">
        <f>IF(LANÇ_MOV[[#This Row],[DATA DE LANÇAMENTO]]="","",UPPER(TEXT(LANÇ_MOV[[#This Row],[DATA DE LANÇAMENTO]],"MMMM")))</f>
        <v>OUTUBRO</v>
      </c>
      <c r="AC227" s="525" t="str">
        <f>IF(LANÇ_MOV[[#This Row],[DATA DE LANÇAMENTO]]="","",PROPER(TEXT(LANÇ_MOV[[#This Row],[DATA DE LANÇAMENTO]],"M")))</f>
        <v>10</v>
      </c>
      <c r="AD227" s="524" t="str">
        <f>IF(LANÇ_MOV[[#This Row],[DATA DE LANÇAMENTO]]="","",TEXT(LANÇ_MOV[[#This Row],[DATA DE LANÇAMENTO]],"D"))</f>
        <v>1</v>
      </c>
      <c r="AE227" s="526" t="str">
        <f>IF(LANÇ_MOV[[#This Row],[DATA DE VENCIMENTO]]="","",TEXT(LANÇ_MOV[[#This Row],[DATA DE VENCIMENTO]],"AAAA"))</f>
        <v>2029</v>
      </c>
      <c r="AF227" s="526" t="str">
        <f>IF(LANÇ_MOV[[#This Row],[DATA DE VENCIMENTO]]="","",UPPER(TEXT(LANÇ_MOV[[#This Row],[DATA DE VENCIMENTO]],"MMMM")))</f>
        <v>JULHO</v>
      </c>
      <c r="AG227" s="526" t="str">
        <f>IF(LANÇ_MOV[[#This Row],[DATA DE VENCIMENTO]]="","",TEXT(LANÇ_MOV[[#This Row],[DATA DE VENCIMENTO]],"M"))</f>
        <v>7</v>
      </c>
      <c r="AH227" s="526" t="str">
        <f>IF(LANÇ_MOV[[#This Row],[DATA DE VENCIMENTO]]="","",TEXT(LANÇ_MOV[[#This Row],[DATA DE VENCIMENTO]],"D"))</f>
        <v>13</v>
      </c>
      <c r="AI227" s="526" t="str">
        <f>IF(LANÇ_MOV[[#This Row],[DATA DE PAGAMENTO]]="","",TEXT(LANÇ_MOV[[#This Row],[DATA DE PAGAMENTO]],"AAAA"))</f>
        <v/>
      </c>
      <c r="AJ227" s="527" t="str">
        <f>IF(LANÇ_MOV[[#This Row],[DATA DE PAGAMENTO]]="","",UPPER(TEXT(LANÇ_MOV[[#This Row],[DATA DE PAGAMENTO]],"MMMM")))</f>
        <v/>
      </c>
      <c r="AK227" s="527" t="str">
        <f>IF(LANÇ_MOV[[#This Row],[DATA DE PAGAMENTO]]="","",TEXT(LANÇ_MOV[[#This Row],[DATA DE PAGAMENTO]],"M"))</f>
        <v/>
      </c>
      <c r="AL227" s="526" t="str">
        <f>IF(LANÇ_MOV[[#This Row],[DATA DE PAGAMENTO]]="","",TEXT(LANÇ_MOV[[#This Row],[DATA DE PAGAMENTO]],"D"))</f>
        <v/>
      </c>
      <c r="AM227" s="27"/>
      <c r="BB227" s="112"/>
      <c r="BC227" s="112"/>
      <c r="BD227" s="112"/>
    </row>
    <row r="228" spans="2:56" ht="30.05" customHeight="1" x14ac:dyDescent="0.35">
      <c r="B228" s="506">
        <v>45931</v>
      </c>
      <c r="C228" s="507" t="s">
        <v>1661</v>
      </c>
      <c r="D228" s="508" t="s">
        <v>1854</v>
      </c>
      <c r="E228" s="509" t="s">
        <v>1144</v>
      </c>
      <c r="F228" s="510" t="s">
        <v>1812</v>
      </c>
      <c r="G228" s="507"/>
      <c r="H228" s="511"/>
      <c r="I228" s="512" t="s">
        <v>1768</v>
      </c>
      <c r="J228" s="510">
        <v>170.34</v>
      </c>
      <c r="K228" s="513">
        <v>0</v>
      </c>
      <c r="L228" s="513">
        <v>0</v>
      </c>
      <c r="M228" s="513">
        <v>0</v>
      </c>
      <c r="N228" s="514">
        <f>LANÇ_MOV[[#This Row],[VALOR BRUTO]]-LANÇ_MOV[[#This Row],[DESCONTO]]+LANÇ_MOV[[#This Row],[JUROS]]+LANÇ_MOV[[#This Row],[MULTA]]</f>
        <v>170.34</v>
      </c>
      <c r="O228" s="528">
        <v>46011</v>
      </c>
      <c r="P228" s="516" t="str">
        <f t="shared" ca="1" si="3"/>
        <v>Prazo - Menos de 1 Mês</v>
      </c>
      <c r="Q228" s="528"/>
      <c r="R228" s="529" t="s">
        <v>1506</v>
      </c>
      <c r="S228" s="518"/>
      <c r="T228" s="518" t="s">
        <v>1776</v>
      </c>
      <c r="U228" s="519" t="s">
        <v>2008</v>
      </c>
      <c r="V228" s="520" t="str">
        <f>IFERROR(VLOOKUP(LANÇ_MOV[[#This Row],[PLANO DE CONTAS]],Plano_Contas[[PLANO DE CONTAS]:[R / D]],3,0),"")</f>
        <v>Despesa</v>
      </c>
      <c r="W228" s="521" t="str">
        <f>IF(LANÇ_MOV[[#This Row],[DATA DE PAGAMENTO]]&lt;&gt;"","Pago","Não Pago")</f>
        <v>Não Pago</v>
      </c>
      <c r="X228" s="522" t="str">
        <f>IFERROR(IF(LANÇ_MOV[[#This Row],[DATA DE PAGAMENTO]]="","",(UPPER(TEXT(LANÇ_MOV[[#This Row],[DATA DE PAGAMENTO]],"mmmm")))),"")</f>
        <v/>
      </c>
      <c r="Y228" s="523" t="str">
        <f>IFERROR(VLOOKUP(LANÇ_MOV[[#This Row],[PLANO DE CONTAS]],Plano_Contas[[PLANO DE CONTAS]:[NOMES INTERVALOS]],2,0),"")</f>
        <v>Despesas_Administrativas</v>
      </c>
      <c r="Z228" s="523" t="str">
        <f>IF(LANÇ_MOV[[#This Row],[FORMA DE PAGAMENTO]]="","",VLOOKUP(LANÇ_MOV[[#This Row],[FORMA DE PAGAMENTO]],CAD_Forma_pagto[],2,0))</f>
        <v>BOLETO</v>
      </c>
      <c r="AA228" s="524" t="str">
        <f>IF(LANÇ_MOV[[#This Row],[DATA DE LANÇAMENTO]]="","",TEXT(LANÇ_MOV[[#This Row],[DATA DE LANÇAMENTO]],"AAAA"))</f>
        <v>2025</v>
      </c>
      <c r="AB228" s="524" t="str">
        <f>IF(LANÇ_MOV[[#This Row],[DATA DE LANÇAMENTO]]="","",UPPER(TEXT(LANÇ_MOV[[#This Row],[DATA DE LANÇAMENTO]],"MMMM")))</f>
        <v>OUTUBRO</v>
      </c>
      <c r="AC228" s="525" t="str">
        <f>IF(LANÇ_MOV[[#This Row],[DATA DE LANÇAMENTO]]="","",PROPER(TEXT(LANÇ_MOV[[#This Row],[DATA DE LANÇAMENTO]],"M")))</f>
        <v>10</v>
      </c>
      <c r="AD228" s="524" t="str">
        <f>IF(LANÇ_MOV[[#This Row],[DATA DE LANÇAMENTO]]="","",TEXT(LANÇ_MOV[[#This Row],[DATA DE LANÇAMENTO]],"D"))</f>
        <v>1</v>
      </c>
      <c r="AE228" s="526" t="str">
        <f>IF(LANÇ_MOV[[#This Row],[DATA DE VENCIMENTO]]="","",TEXT(LANÇ_MOV[[#This Row],[DATA DE VENCIMENTO]],"AAAA"))</f>
        <v>2025</v>
      </c>
      <c r="AF228" s="526" t="str">
        <f>IF(LANÇ_MOV[[#This Row],[DATA DE VENCIMENTO]]="","",UPPER(TEXT(LANÇ_MOV[[#This Row],[DATA DE VENCIMENTO]],"MMMM")))</f>
        <v>DEZEMBRO</v>
      </c>
      <c r="AG228" s="526" t="str">
        <f>IF(LANÇ_MOV[[#This Row],[DATA DE VENCIMENTO]]="","",TEXT(LANÇ_MOV[[#This Row],[DATA DE VENCIMENTO]],"M"))</f>
        <v>12</v>
      </c>
      <c r="AH228" s="526" t="str">
        <f>IF(LANÇ_MOV[[#This Row],[DATA DE VENCIMENTO]]="","",TEXT(LANÇ_MOV[[#This Row],[DATA DE VENCIMENTO]],"D"))</f>
        <v>20</v>
      </c>
      <c r="AI228" s="526" t="str">
        <f>IF(LANÇ_MOV[[#This Row],[DATA DE PAGAMENTO]]="","",TEXT(LANÇ_MOV[[#This Row],[DATA DE PAGAMENTO]],"AAAA"))</f>
        <v/>
      </c>
      <c r="AJ228" s="527" t="str">
        <f>IF(LANÇ_MOV[[#This Row],[DATA DE PAGAMENTO]]="","",UPPER(TEXT(LANÇ_MOV[[#This Row],[DATA DE PAGAMENTO]],"MMMM")))</f>
        <v/>
      </c>
      <c r="AK228" s="527" t="str">
        <f>IF(LANÇ_MOV[[#This Row],[DATA DE PAGAMENTO]]="","",TEXT(LANÇ_MOV[[#This Row],[DATA DE PAGAMENTO]],"M"))</f>
        <v/>
      </c>
      <c r="AL228" s="526" t="str">
        <f>IF(LANÇ_MOV[[#This Row],[DATA DE PAGAMENTO]]="","",TEXT(LANÇ_MOV[[#This Row],[DATA DE PAGAMENTO]],"D"))</f>
        <v/>
      </c>
      <c r="AM228" s="27"/>
      <c r="BB228" s="112"/>
      <c r="BC228" s="112"/>
      <c r="BD228" s="112"/>
    </row>
    <row r="229" spans="2:56" ht="30.05" customHeight="1" x14ac:dyDescent="0.35">
      <c r="B229" s="506">
        <v>45931</v>
      </c>
      <c r="C229" s="507" t="s">
        <v>1661</v>
      </c>
      <c r="D229" s="508" t="s">
        <v>1854</v>
      </c>
      <c r="E229" s="509" t="s">
        <v>1144</v>
      </c>
      <c r="F229" s="510" t="s">
        <v>1812</v>
      </c>
      <c r="G229" s="507"/>
      <c r="H229" s="511"/>
      <c r="I229" s="512" t="s">
        <v>1768</v>
      </c>
      <c r="J229" s="510">
        <v>170.34</v>
      </c>
      <c r="K229" s="513">
        <v>0</v>
      </c>
      <c r="L229" s="513">
        <v>0</v>
      </c>
      <c r="M229" s="513">
        <v>0</v>
      </c>
      <c r="N229" s="514">
        <f>LANÇ_MOV[[#This Row],[VALOR BRUTO]]-LANÇ_MOV[[#This Row],[DESCONTO]]+LANÇ_MOV[[#This Row],[JUROS]]+LANÇ_MOV[[#This Row],[MULTA]]</f>
        <v>170.34</v>
      </c>
      <c r="O229" s="528">
        <v>46101</v>
      </c>
      <c r="P229" s="516" t="str">
        <f t="shared" ca="1" si="3"/>
        <v>Prazo - Mais de 1 mês</v>
      </c>
      <c r="Q229" s="528"/>
      <c r="R229" s="529" t="s">
        <v>1506</v>
      </c>
      <c r="S229" s="518"/>
      <c r="T229" s="518" t="s">
        <v>1776</v>
      </c>
      <c r="U229" s="519" t="s">
        <v>2008</v>
      </c>
      <c r="V229" s="520" t="str">
        <f>IFERROR(VLOOKUP(LANÇ_MOV[[#This Row],[PLANO DE CONTAS]],Plano_Contas[[PLANO DE CONTAS]:[R / D]],3,0),"")</f>
        <v>Despesa</v>
      </c>
      <c r="W229" s="521" t="str">
        <f>IF(LANÇ_MOV[[#This Row],[DATA DE PAGAMENTO]]&lt;&gt;"","Pago","Não Pago")</f>
        <v>Não Pago</v>
      </c>
      <c r="X229" s="522" t="str">
        <f>IFERROR(IF(LANÇ_MOV[[#This Row],[DATA DE PAGAMENTO]]="","",(UPPER(TEXT(LANÇ_MOV[[#This Row],[DATA DE PAGAMENTO]],"mmmm")))),"")</f>
        <v/>
      </c>
      <c r="Y229" s="523" t="str">
        <f>IFERROR(VLOOKUP(LANÇ_MOV[[#This Row],[PLANO DE CONTAS]],Plano_Contas[[PLANO DE CONTAS]:[NOMES INTERVALOS]],2,0),"")</f>
        <v>Despesas_Administrativas</v>
      </c>
      <c r="Z229" s="523" t="str">
        <f>IF(LANÇ_MOV[[#This Row],[FORMA DE PAGAMENTO]]="","",VLOOKUP(LANÇ_MOV[[#This Row],[FORMA DE PAGAMENTO]],CAD_Forma_pagto[],2,0))</f>
        <v>BOLETO</v>
      </c>
      <c r="AA229" s="524" t="str">
        <f>IF(LANÇ_MOV[[#This Row],[DATA DE LANÇAMENTO]]="","",TEXT(LANÇ_MOV[[#This Row],[DATA DE LANÇAMENTO]],"AAAA"))</f>
        <v>2025</v>
      </c>
      <c r="AB229" s="524" t="str">
        <f>IF(LANÇ_MOV[[#This Row],[DATA DE LANÇAMENTO]]="","",UPPER(TEXT(LANÇ_MOV[[#This Row],[DATA DE LANÇAMENTO]],"MMMM")))</f>
        <v>OUTUBRO</v>
      </c>
      <c r="AC229" s="525" t="str">
        <f>IF(LANÇ_MOV[[#This Row],[DATA DE LANÇAMENTO]]="","",PROPER(TEXT(LANÇ_MOV[[#This Row],[DATA DE LANÇAMENTO]],"M")))</f>
        <v>10</v>
      </c>
      <c r="AD229" s="524" t="str">
        <f>IF(LANÇ_MOV[[#This Row],[DATA DE LANÇAMENTO]]="","",TEXT(LANÇ_MOV[[#This Row],[DATA DE LANÇAMENTO]],"D"))</f>
        <v>1</v>
      </c>
      <c r="AE229" s="526" t="str">
        <f>IF(LANÇ_MOV[[#This Row],[DATA DE VENCIMENTO]]="","",TEXT(LANÇ_MOV[[#This Row],[DATA DE VENCIMENTO]],"AAAA"))</f>
        <v>2026</v>
      </c>
      <c r="AF229" s="526" t="str">
        <f>IF(LANÇ_MOV[[#This Row],[DATA DE VENCIMENTO]]="","",UPPER(TEXT(LANÇ_MOV[[#This Row],[DATA DE VENCIMENTO]],"MMMM")))</f>
        <v>MARÇO</v>
      </c>
      <c r="AG229" s="526" t="str">
        <f>IF(LANÇ_MOV[[#This Row],[DATA DE VENCIMENTO]]="","",TEXT(LANÇ_MOV[[#This Row],[DATA DE VENCIMENTO]],"M"))</f>
        <v>3</v>
      </c>
      <c r="AH229" s="526" t="str">
        <f>IF(LANÇ_MOV[[#This Row],[DATA DE VENCIMENTO]]="","",TEXT(LANÇ_MOV[[#This Row],[DATA DE VENCIMENTO]],"D"))</f>
        <v>20</v>
      </c>
      <c r="AI229" s="526" t="str">
        <f>IF(LANÇ_MOV[[#This Row],[DATA DE PAGAMENTO]]="","",TEXT(LANÇ_MOV[[#This Row],[DATA DE PAGAMENTO]],"AAAA"))</f>
        <v/>
      </c>
      <c r="AJ229" s="527" t="str">
        <f>IF(LANÇ_MOV[[#This Row],[DATA DE PAGAMENTO]]="","",UPPER(TEXT(LANÇ_MOV[[#This Row],[DATA DE PAGAMENTO]],"MMMM")))</f>
        <v/>
      </c>
      <c r="AK229" s="527" t="str">
        <f>IF(LANÇ_MOV[[#This Row],[DATA DE PAGAMENTO]]="","",TEXT(LANÇ_MOV[[#This Row],[DATA DE PAGAMENTO]],"M"))</f>
        <v/>
      </c>
      <c r="AL229" s="526" t="str">
        <f>IF(LANÇ_MOV[[#This Row],[DATA DE PAGAMENTO]]="","",TEXT(LANÇ_MOV[[#This Row],[DATA DE PAGAMENTO]],"D"))</f>
        <v/>
      </c>
      <c r="AM229" s="27"/>
      <c r="BB229" s="112"/>
      <c r="BC229" s="112"/>
      <c r="BD229" s="112"/>
    </row>
    <row r="230" spans="2:56" ht="30.05" customHeight="1" x14ac:dyDescent="0.35">
      <c r="B230" s="506">
        <v>45931</v>
      </c>
      <c r="C230" s="507" t="s">
        <v>1661</v>
      </c>
      <c r="D230" s="508" t="s">
        <v>1854</v>
      </c>
      <c r="E230" s="509" t="s">
        <v>1144</v>
      </c>
      <c r="F230" s="510" t="s">
        <v>1812</v>
      </c>
      <c r="G230" s="507"/>
      <c r="H230" s="511"/>
      <c r="I230" s="512" t="s">
        <v>1768</v>
      </c>
      <c r="J230" s="510">
        <v>170.34</v>
      </c>
      <c r="K230" s="513">
        <v>0</v>
      </c>
      <c r="L230" s="513">
        <v>0</v>
      </c>
      <c r="M230" s="513">
        <v>0</v>
      </c>
      <c r="N230" s="514">
        <f>LANÇ_MOV[[#This Row],[VALOR BRUTO]]-LANÇ_MOV[[#This Row],[DESCONTO]]+LANÇ_MOV[[#This Row],[JUROS]]+LANÇ_MOV[[#This Row],[MULTA]]</f>
        <v>170.34</v>
      </c>
      <c r="O230" s="528">
        <v>46193</v>
      </c>
      <c r="P230" s="516" t="str">
        <f t="shared" ca="1" si="3"/>
        <v>Prazo - Mais de 1 mês</v>
      </c>
      <c r="Q230" s="528"/>
      <c r="R230" s="529" t="s">
        <v>1506</v>
      </c>
      <c r="S230" s="518"/>
      <c r="T230" s="518" t="s">
        <v>1776</v>
      </c>
      <c r="U230" s="519" t="s">
        <v>2008</v>
      </c>
      <c r="V230" s="520" t="str">
        <f>IFERROR(VLOOKUP(LANÇ_MOV[[#This Row],[PLANO DE CONTAS]],Plano_Contas[[PLANO DE CONTAS]:[R / D]],3,0),"")</f>
        <v>Despesa</v>
      </c>
      <c r="W230" s="521" t="str">
        <f>IF(LANÇ_MOV[[#This Row],[DATA DE PAGAMENTO]]&lt;&gt;"","Pago","Não Pago")</f>
        <v>Não Pago</v>
      </c>
      <c r="X230" s="522" t="str">
        <f>IFERROR(IF(LANÇ_MOV[[#This Row],[DATA DE PAGAMENTO]]="","",(UPPER(TEXT(LANÇ_MOV[[#This Row],[DATA DE PAGAMENTO]],"mmmm")))),"")</f>
        <v/>
      </c>
      <c r="Y230" s="523" t="str">
        <f>IFERROR(VLOOKUP(LANÇ_MOV[[#This Row],[PLANO DE CONTAS]],Plano_Contas[[PLANO DE CONTAS]:[NOMES INTERVALOS]],2,0),"")</f>
        <v>Despesas_Administrativas</v>
      </c>
      <c r="Z230" s="523" t="str">
        <f>IF(LANÇ_MOV[[#This Row],[FORMA DE PAGAMENTO]]="","",VLOOKUP(LANÇ_MOV[[#This Row],[FORMA DE PAGAMENTO]],CAD_Forma_pagto[],2,0))</f>
        <v>BOLETO</v>
      </c>
      <c r="AA230" s="524" t="str">
        <f>IF(LANÇ_MOV[[#This Row],[DATA DE LANÇAMENTO]]="","",TEXT(LANÇ_MOV[[#This Row],[DATA DE LANÇAMENTO]],"AAAA"))</f>
        <v>2025</v>
      </c>
      <c r="AB230" s="524" t="str">
        <f>IF(LANÇ_MOV[[#This Row],[DATA DE LANÇAMENTO]]="","",UPPER(TEXT(LANÇ_MOV[[#This Row],[DATA DE LANÇAMENTO]],"MMMM")))</f>
        <v>OUTUBRO</v>
      </c>
      <c r="AC230" s="525" t="str">
        <f>IF(LANÇ_MOV[[#This Row],[DATA DE LANÇAMENTO]]="","",PROPER(TEXT(LANÇ_MOV[[#This Row],[DATA DE LANÇAMENTO]],"M")))</f>
        <v>10</v>
      </c>
      <c r="AD230" s="524" t="str">
        <f>IF(LANÇ_MOV[[#This Row],[DATA DE LANÇAMENTO]]="","",TEXT(LANÇ_MOV[[#This Row],[DATA DE LANÇAMENTO]],"D"))</f>
        <v>1</v>
      </c>
      <c r="AE230" s="526" t="str">
        <f>IF(LANÇ_MOV[[#This Row],[DATA DE VENCIMENTO]]="","",TEXT(LANÇ_MOV[[#This Row],[DATA DE VENCIMENTO]],"AAAA"))</f>
        <v>2026</v>
      </c>
      <c r="AF230" s="526" t="str">
        <f>IF(LANÇ_MOV[[#This Row],[DATA DE VENCIMENTO]]="","",UPPER(TEXT(LANÇ_MOV[[#This Row],[DATA DE VENCIMENTO]],"MMMM")))</f>
        <v>JUNHO</v>
      </c>
      <c r="AG230" s="526" t="str">
        <f>IF(LANÇ_MOV[[#This Row],[DATA DE VENCIMENTO]]="","",TEXT(LANÇ_MOV[[#This Row],[DATA DE VENCIMENTO]],"M"))</f>
        <v>6</v>
      </c>
      <c r="AH230" s="526" t="str">
        <f>IF(LANÇ_MOV[[#This Row],[DATA DE VENCIMENTO]]="","",TEXT(LANÇ_MOV[[#This Row],[DATA DE VENCIMENTO]],"D"))</f>
        <v>20</v>
      </c>
      <c r="AI230" s="526" t="str">
        <f>IF(LANÇ_MOV[[#This Row],[DATA DE PAGAMENTO]]="","",TEXT(LANÇ_MOV[[#This Row],[DATA DE PAGAMENTO]],"AAAA"))</f>
        <v/>
      </c>
      <c r="AJ230" s="527" t="str">
        <f>IF(LANÇ_MOV[[#This Row],[DATA DE PAGAMENTO]]="","",UPPER(TEXT(LANÇ_MOV[[#This Row],[DATA DE PAGAMENTO]],"MMMM")))</f>
        <v/>
      </c>
      <c r="AK230" s="527" t="str">
        <f>IF(LANÇ_MOV[[#This Row],[DATA DE PAGAMENTO]]="","",TEXT(LANÇ_MOV[[#This Row],[DATA DE PAGAMENTO]],"M"))</f>
        <v/>
      </c>
      <c r="AL230" s="526" t="str">
        <f>IF(LANÇ_MOV[[#This Row],[DATA DE PAGAMENTO]]="","",TEXT(LANÇ_MOV[[#This Row],[DATA DE PAGAMENTO]],"D"))</f>
        <v/>
      </c>
      <c r="AM230" s="27"/>
      <c r="BB230" s="112"/>
      <c r="BC230" s="112"/>
      <c r="BD230" s="112"/>
    </row>
    <row r="231" spans="2:56" ht="30.05" customHeight="1" x14ac:dyDescent="0.35">
      <c r="B231" s="506">
        <v>45931</v>
      </c>
      <c r="C231" s="507" t="s">
        <v>1661</v>
      </c>
      <c r="D231" s="508" t="s">
        <v>1854</v>
      </c>
      <c r="E231" s="509" t="s">
        <v>1144</v>
      </c>
      <c r="F231" s="510" t="s">
        <v>1812</v>
      </c>
      <c r="G231" s="507"/>
      <c r="H231" s="511"/>
      <c r="I231" s="512" t="s">
        <v>1768</v>
      </c>
      <c r="J231" s="510">
        <v>170.34</v>
      </c>
      <c r="K231" s="513">
        <v>0</v>
      </c>
      <c r="L231" s="513">
        <v>0</v>
      </c>
      <c r="M231" s="513">
        <v>0</v>
      </c>
      <c r="N231" s="514">
        <f>LANÇ_MOV[[#This Row],[VALOR BRUTO]]-LANÇ_MOV[[#This Row],[DESCONTO]]+LANÇ_MOV[[#This Row],[JUROS]]+LANÇ_MOV[[#This Row],[MULTA]]</f>
        <v>170.34</v>
      </c>
      <c r="O231" s="528">
        <v>46285</v>
      </c>
      <c r="P231" s="516" t="str">
        <f t="shared" ca="1" si="3"/>
        <v>Prazo - Mais de 1 mês</v>
      </c>
      <c r="Q231" s="528"/>
      <c r="R231" s="529" t="s">
        <v>1506</v>
      </c>
      <c r="S231" s="518"/>
      <c r="T231" s="518" t="s">
        <v>1776</v>
      </c>
      <c r="U231" s="519" t="s">
        <v>2008</v>
      </c>
      <c r="V231" s="520" t="str">
        <f>IFERROR(VLOOKUP(LANÇ_MOV[[#This Row],[PLANO DE CONTAS]],Plano_Contas[[PLANO DE CONTAS]:[R / D]],3,0),"")</f>
        <v>Despesa</v>
      </c>
      <c r="W231" s="521" t="str">
        <f>IF(LANÇ_MOV[[#This Row],[DATA DE PAGAMENTO]]&lt;&gt;"","Pago","Não Pago")</f>
        <v>Não Pago</v>
      </c>
      <c r="X231" s="522" t="str">
        <f>IFERROR(IF(LANÇ_MOV[[#This Row],[DATA DE PAGAMENTO]]="","",(UPPER(TEXT(LANÇ_MOV[[#This Row],[DATA DE PAGAMENTO]],"mmmm")))),"")</f>
        <v/>
      </c>
      <c r="Y231" s="523" t="str">
        <f>IFERROR(VLOOKUP(LANÇ_MOV[[#This Row],[PLANO DE CONTAS]],Plano_Contas[[PLANO DE CONTAS]:[NOMES INTERVALOS]],2,0),"")</f>
        <v>Despesas_Administrativas</v>
      </c>
      <c r="Z231" s="523" t="str">
        <f>IF(LANÇ_MOV[[#This Row],[FORMA DE PAGAMENTO]]="","",VLOOKUP(LANÇ_MOV[[#This Row],[FORMA DE PAGAMENTO]],CAD_Forma_pagto[],2,0))</f>
        <v>BOLETO</v>
      </c>
      <c r="AA231" s="524" t="str">
        <f>IF(LANÇ_MOV[[#This Row],[DATA DE LANÇAMENTO]]="","",TEXT(LANÇ_MOV[[#This Row],[DATA DE LANÇAMENTO]],"AAAA"))</f>
        <v>2025</v>
      </c>
      <c r="AB231" s="524" t="str">
        <f>IF(LANÇ_MOV[[#This Row],[DATA DE LANÇAMENTO]]="","",UPPER(TEXT(LANÇ_MOV[[#This Row],[DATA DE LANÇAMENTO]],"MMMM")))</f>
        <v>OUTUBRO</v>
      </c>
      <c r="AC231" s="525" t="str">
        <f>IF(LANÇ_MOV[[#This Row],[DATA DE LANÇAMENTO]]="","",PROPER(TEXT(LANÇ_MOV[[#This Row],[DATA DE LANÇAMENTO]],"M")))</f>
        <v>10</v>
      </c>
      <c r="AD231" s="524" t="str">
        <f>IF(LANÇ_MOV[[#This Row],[DATA DE LANÇAMENTO]]="","",TEXT(LANÇ_MOV[[#This Row],[DATA DE LANÇAMENTO]],"D"))</f>
        <v>1</v>
      </c>
      <c r="AE231" s="526" t="str">
        <f>IF(LANÇ_MOV[[#This Row],[DATA DE VENCIMENTO]]="","",TEXT(LANÇ_MOV[[#This Row],[DATA DE VENCIMENTO]],"AAAA"))</f>
        <v>2026</v>
      </c>
      <c r="AF231" s="526" t="str">
        <f>IF(LANÇ_MOV[[#This Row],[DATA DE VENCIMENTO]]="","",UPPER(TEXT(LANÇ_MOV[[#This Row],[DATA DE VENCIMENTO]],"MMMM")))</f>
        <v>SETEMBRO</v>
      </c>
      <c r="AG231" s="526" t="str">
        <f>IF(LANÇ_MOV[[#This Row],[DATA DE VENCIMENTO]]="","",TEXT(LANÇ_MOV[[#This Row],[DATA DE VENCIMENTO]],"M"))</f>
        <v>9</v>
      </c>
      <c r="AH231" s="526" t="str">
        <f>IF(LANÇ_MOV[[#This Row],[DATA DE VENCIMENTO]]="","",TEXT(LANÇ_MOV[[#This Row],[DATA DE VENCIMENTO]],"D"))</f>
        <v>20</v>
      </c>
      <c r="AI231" s="526" t="str">
        <f>IF(LANÇ_MOV[[#This Row],[DATA DE PAGAMENTO]]="","",TEXT(LANÇ_MOV[[#This Row],[DATA DE PAGAMENTO]],"AAAA"))</f>
        <v/>
      </c>
      <c r="AJ231" s="527" t="str">
        <f>IF(LANÇ_MOV[[#This Row],[DATA DE PAGAMENTO]]="","",UPPER(TEXT(LANÇ_MOV[[#This Row],[DATA DE PAGAMENTO]],"MMMM")))</f>
        <v/>
      </c>
      <c r="AK231" s="527" t="str">
        <f>IF(LANÇ_MOV[[#This Row],[DATA DE PAGAMENTO]]="","",TEXT(LANÇ_MOV[[#This Row],[DATA DE PAGAMENTO]],"M"))</f>
        <v/>
      </c>
      <c r="AL231" s="526" t="str">
        <f>IF(LANÇ_MOV[[#This Row],[DATA DE PAGAMENTO]]="","",TEXT(LANÇ_MOV[[#This Row],[DATA DE PAGAMENTO]],"D"))</f>
        <v/>
      </c>
      <c r="AM231" s="27"/>
      <c r="BB231" s="112"/>
      <c r="BC231" s="112"/>
      <c r="BD231" s="112"/>
    </row>
    <row r="232" spans="2:56" ht="30.05" customHeight="1" x14ac:dyDescent="0.35">
      <c r="B232" s="506">
        <v>45931</v>
      </c>
      <c r="C232" s="507" t="s">
        <v>1661</v>
      </c>
      <c r="D232" s="508" t="s">
        <v>1854</v>
      </c>
      <c r="E232" s="509" t="s">
        <v>1144</v>
      </c>
      <c r="F232" s="510" t="s">
        <v>1812</v>
      </c>
      <c r="G232" s="507"/>
      <c r="H232" s="511"/>
      <c r="I232" s="512" t="s">
        <v>1768</v>
      </c>
      <c r="J232" s="510">
        <v>170.34</v>
      </c>
      <c r="K232" s="513">
        <v>0</v>
      </c>
      <c r="L232" s="513">
        <v>0</v>
      </c>
      <c r="M232" s="513">
        <v>0</v>
      </c>
      <c r="N232" s="514">
        <f>LANÇ_MOV[[#This Row],[VALOR BRUTO]]-LANÇ_MOV[[#This Row],[DESCONTO]]+LANÇ_MOV[[#This Row],[JUROS]]+LANÇ_MOV[[#This Row],[MULTA]]</f>
        <v>170.34</v>
      </c>
      <c r="O232" s="528">
        <v>46376</v>
      </c>
      <c r="P232" s="516" t="str">
        <f t="shared" ca="1" si="3"/>
        <v>Prazo - Mais de 1 mês</v>
      </c>
      <c r="Q232" s="528"/>
      <c r="R232" s="529" t="s">
        <v>1506</v>
      </c>
      <c r="S232" s="518"/>
      <c r="T232" s="518" t="s">
        <v>1776</v>
      </c>
      <c r="U232" s="519" t="s">
        <v>2008</v>
      </c>
      <c r="V232" s="520" t="str">
        <f>IFERROR(VLOOKUP(LANÇ_MOV[[#This Row],[PLANO DE CONTAS]],Plano_Contas[[PLANO DE CONTAS]:[R / D]],3,0),"")</f>
        <v>Despesa</v>
      </c>
      <c r="W232" s="521" t="str">
        <f>IF(LANÇ_MOV[[#This Row],[DATA DE PAGAMENTO]]&lt;&gt;"","Pago","Não Pago")</f>
        <v>Não Pago</v>
      </c>
      <c r="X232" s="522" t="str">
        <f>IFERROR(IF(LANÇ_MOV[[#This Row],[DATA DE PAGAMENTO]]="","",(UPPER(TEXT(LANÇ_MOV[[#This Row],[DATA DE PAGAMENTO]],"mmmm")))),"")</f>
        <v/>
      </c>
      <c r="Y232" s="523" t="str">
        <f>IFERROR(VLOOKUP(LANÇ_MOV[[#This Row],[PLANO DE CONTAS]],Plano_Contas[[PLANO DE CONTAS]:[NOMES INTERVALOS]],2,0),"")</f>
        <v>Despesas_Administrativas</v>
      </c>
      <c r="Z232" s="523" t="str">
        <f>IF(LANÇ_MOV[[#This Row],[FORMA DE PAGAMENTO]]="","",VLOOKUP(LANÇ_MOV[[#This Row],[FORMA DE PAGAMENTO]],CAD_Forma_pagto[],2,0))</f>
        <v>BOLETO</v>
      </c>
      <c r="AA232" s="524" t="str">
        <f>IF(LANÇ_MOV[[#This Row],[DATA DE LANÇAMENTO]]="","",TEXT(LANÇ_MOV[[#This Row],[DATA DE LANÇAMENTO]],"AAAA"))</f>
        <v>2025</v>
      </c>
      <c r="AB232" s="524" t="str">
        <f>IF(LANÇ_MOV[[#This Row],[DATA DE LANÇAMENTO]]="","",UPPER(TEXT(LANÇ_MOV[[#This Row],[DATA DE LANÇAMENTO]],"MMMM")))</f>
        <v>OUTUBRO</v>
      </c>
      <c r="AC232" s="525" t="str">
        <f>IF(LANÇ_MOV[[#This Row],[DATA DE LANÇAMENTO]]="","",PROPER(TEXT(LANÇ_MOV[[#This Row],[DATA DE LANÇAMENTO]],"M")))</f>
        <v>10</v>
      </c>
      <c r="AD232" s="524" t="str">
        <f>IF(LANÇ_MOV[[#This Row],[DATA DE LANÇAMENTO]]="","",TEXT(LANÇ_MOV[[#This Row],[DATA DE LANÇAMENTO]],"D"))</f>
        <v>1</v>
      </c>
      <c r="AE232" s="526" t="str">
        <f>IF(LANÇ_MOV[[#This Row],[DATA DE VENCIMENTO]]="","",TEXT(LANÇ_MOV[[#This Row],[DATA DE VENCIMENTO]],"AAAA"))</f>
        <v>2026</v>
      </c>
      <c r="AF232" s="526" t="str">
        <f>IF(LANÇ_MOV[[#This Row],[DATA DE VENCIMENTO]]="","",UPPER(TEXT(LANÇ_MOV[[#This Row],[DATA DE VENCIMENTO]],"MMMM")))</f>
        <v>DEZEMBRO</v>
      </c>
      <c r="AG232" s="526" t="str">
        <f>IF(LANÇ_MOV[[#This Row],[DATA DE VENCIMENTO]]="","",TEXT(LANÇ_MOV[[#This Row],[DATA DE VENCIMENTO]],"M"))</f>
        <v>12</v>
      </c>
      <c r="AH232" s="526" t="str">
        <f>IF(LANÇ_MOV[[#This Row],[DATA DE VENCIMENTO]]="","",TEXT(LANÇ_MOV[[#This Row],[DATA DE VENCIMENTO]],"D"))</f>
        <v>20</v>
      </c>
      <c r="AI232" s="526" t="str">
        <f>IF(LANÇ_MOV[[#This Row],[DATA DE PAGAMENTO]]="","",TEXT(LANÇ_MOV[[#This Row],[DATA DE PAGAMENTO]],"AAAA"))</f>
        <v/>
      </c>
      <c r="AJ232" s="527" t="str">
        <f>IF(LANÇ_MOV[[#This Row],[DATA DE PAGAMENTO]]="","",UPPER(TEXT(LANÇ_MOV[[#This Row],[DATA DE PAGAMENTO]],"MMMM")))</f>
        <v/>
      </c>
      <c r="AK232" s="527" t="str">
        <f>IF(LANÇ_MOV[[#This Row],[DATA DE PAGAMENTO]]="","",TEXT(LANÇ_MOV[[#This Row],[DATA DE PAGAMENTO]],"M"))</f>
        <v/>
      </c>
      <c r="AL232" s="526" t="str">
        <f>IF(LANÇ_MOV[[#This Row],[DATA DE PAGAMENTO]]="","",TEXT(LANÇ_MOV[[#This Row],[DATA DE PAGAMENTO]],"D"))</f>
        <v/>
      </c>
      <c r="AM232" s="27"/>
      <c r="BB232" s="112"/>
      <c r="BC232" s="112"/>
      <c r="BD232" s="112"/>
    </row>
    <row r="233" spans="2:56" ht="30.05" customHeight="1" x14ac:dyDescent="0.35">
      <c r="B233" s="506">
        <v>45931</v>
      </c>
      <c r="C233" s="507" t="s">
        <v>1661</v>
      </c>
      <c r="D233" s="508" t="s">
        <v>1854</v>
      </c>
      <c r="E233" s="509" t="s">
        <v>1440</v>
      </c>
      <c r="F233" s="510" t="s">
        <v>1844</v>
      </c>
      <c r="G233" s="507" t="s">
        <v>1911</v>
      </c>
      <c r="H233" s="511"/>
      <c r="I233" s="512" t="s">
        <v>1760</v>
      </c>
      <c r="J233" s="510">
        <v>700.67</v>
      </c>
      <c r="K233" s="513">
        <v>0</v>
      </c>
      <c r="L233" s="513">
        <v>140.13</v>
      </c>
      <c r="M233" s="513">
        <v>202</v>
      </c>
      <c r="N233" s="514">
        <f>LANÇ_MOV[[#This Row],[VALOR BRUTO]]-LANÇ_MOV[[#This Row],[DESCONTO]]+LANÇ_MOV[[#This Row],[JUROS]]+LANÇ_MOV[[#This Row],[MULTA]]</f>
        <v>1042.8</v>
      </c>
      <c r="O233" s="528">
        <v>44883</v>
      </c>
      <c r="P233" s="516" t="str">
        <f t="shared" ca="1" si="3"/>
        <v>Venceu</v>
      </c>
      <c r="Q233" s="528"/>
      <c r="R233" s="529" t="s">
        <v>1506</v>
      </c>
      <c r="S233" s="518"/>
      <c r="T233" s="518" t="s">
        <v>1776</v>
      </c>
      <c r="U233" s="519" t="s">
        <v>2007</v>
      </c>
      <c r="V233" s="520" t="str">
        <f>IFERROR(VLOOKUP(LANÇ_MOV[[#This Row],[PLANO DE CONTAS]],Plano_Contas[[PLANO DE CONTAS]:[R / D]],3,0),"")</f>
        <v>Despesa</v>
      </c>
      <c r="W233" s="521" t="str">
        <f>IF(LANÇ_MOV[[#This Row],[DATA DE PAGAMENTO]]&lt;&gt;"","Pago","Não Pago")</f>
        <v>Não Pago</v>
      </c>
      <c r="X233" s="522" t="str">
        <f>IFERROR(IF(LANÇ_MOV[[#This Row],[DATA DE PAGAMENTO]]="","",(UPPER(TEXT(LANÇ_MOV[[#This Row],[DATA DE PAGAMENTO]],"mmmm")))),"")</f>
        <v/>
      </c>
      <c r="Y233" s="523" t="str">
        <f>IFERROR(VLOOKUP(LANÇ_MOV[[#This Row],[PLANO DE CONTAS]],Plano_Contas[[PLANO DE CONTAS]:[NOMES INTERVALOS]],2,0),"")</f>
        <v>Despesas_Endividamentos</v>
      </c>
      <c r="Z233" s="523" t="str">
        <f>IF(LANÇ_MOV[[#This Row],[FORMA DE PAGAMENTO]]="","",VLOOKUP(LANÇ_MOV[[#This Row],[FORMA DE PAGAMENTO]],CAD_Forma_pagto[],2,0))</f>
        <v>BOLETO</v>
      </c>
      <c r="AA233" s="524" t="str">
        <f>IF(LANÇ_MOV[[#This Row],[DATA DE LANÇAMENTO]]="","",TEXT(LANÇ_MOV[[#This Row],[DATA DE LANÇAMENTO]],"AAAA"))</f>
        <v>2025</v>
      </c>
      <c r="AB233" s="524" t="str">
        <f>IF(LANÇ_MOV[[#This Row],[DATA DE LANÇAMENTO]]="","",UPPER(TEXT(LANÇ_MOV[[#This Row],[DATA DE LANÇAMENTO]],"MMMM")))</f>
        <v>OUTUBRO</v>
      </c>
      <c r="AC233" s="525" t="str">
        <f>IF(LANÇ_MOV[[#This Row],[DATA DE LANÇAMENTO]]="","",PROPER(TEXT(LANÇ_MOV[[#This Row],[DATA DE LANÇAMENTO]],"M")))</f>
        <v>10</v>
      </c>
      <c r="AD233" s="524" t="str">
        <f>IF(LANÇ_MOV[[#This Row],[DATA DE LANÇAMENTO]]="","",TEXT(LANÇ_MOV[[#This Row],[DATA DE LANÇAMENTO]],"D"))</f>
        <v>1</v>
      </c>
      <c r="AE233" s="526" t="str">
        <f>IF(LANÇ_MOV[[#This Row],[DATA DE VENCIMENTO]]="","",TEXT(LANÇ_MOV[[#This Row],[DATA DE VENCIMENTO]],"AAAA"))</f>
        <v>2022</v>
      </c>
      <c r="AF233" s="526" t="str">
        <f>IF(LANÇ_MOV[[#This Row],[DATA DE VENCIMENTO]]="","",UPPER(TEXT(LANÇ_MOV[[#This Row],[DATA DE VENCIMENTO]],"MMMM")))</f>
        <v>NOVEMBRO</v>
      </c>
      <c r="AG233" s="526" t="str">
        <f>IF(LANÇ_MOV[[#This Row],[DATA DE VENCIMENTO]]="","",TEXT(LANÇ_MOV[[#This Row],[DATA DE VENCIMENTO]],"M"))</f>
        <v>11</v>
      </c>
      <c r="AH233" s="526" t="str">
        <f>IF(LANÇ_MOV[[#This Row],[DATA DE VENCIMENTO]]="","",TEXT(LANÇ_MOV[[#This Row],[DATA DE VENCIMENTO]],"D"))</f>
        <v>18</v>
      </c>
      <c r="AI233" s="526" t="str">
        <f>IF(LANÇ_MOV[[#This Row],[DATA DE PAGAMENTO]]="","",TEXT(LANÇ_MOV[[#This Row],[DATA DE PAGAMENTO]],"AAAA"))</f>
        <v/>
      </c>
      <c r="AJ233" s="527" t="str">
        <f>IF(LANÇ_MOV[[#This Row],[DATA DE PAGAMENTO]]="","",UPPER(TEXT(LANÇ_MOV[[#This Row],[DATA DE PAGAMENTO]],"MMMM")))</f>
        <v/>
      </c>
      <c r="AK233" s="527" t="str">
        <f>IF(LANÇ_MOV[[#This Row],[DATA DE PAGAMENTO]]="","",TEXT(LANÇ_MOV[[#This Row],[DATA DE PAGAMENTO]],"M"))</f>
        <v/>
      </c>
      <c r="AL233" s="526" t="str">
        <f>IF(LANÇ_MOV[[#This Row],[DATA DE PAGAMENTO]]="","",TEXT(LANÇ_MOV[[#This Row],[DATA DE PAGAMENTO]],"D"))</f>
        <v/>
      </c>
      <c r="AM233" s="27"/>
      <c r="BB233" s="112"/>
      <c r="BC233" s="112"/>
      <c r="BD233" s="112"/>
    </row>
    <row r="234" spans="2:56" ht="30.05" customHeight="1" x14ac:dyDescent="0.35">
      <c r="B234" s="506">
        <v>45931</v>
      </c>
      <c r="C234" s="507" t="s">
        <v>1661</v>
      </c>
      <c r="D234" s="508" t="s">
        <v>1854</v>
      </c>
      <c r="E234" s="509" t="s">
        <v>1440</v>
      </c>
      <c r="F234" s="510" t="s">
        <v>1844</v>
      </c>
      <c r="G234" s="507" t="s">
        <v>1912</v>
      </c>
      <c r="H234" s="511"/>
      <c r="I234" s="512" t="s">
        <v>1760</v>
      </c>
      <c r="J234" s="510">
        <v>728.91</v>
      </c>
      <c r="K234" s="513">
        <v>0</v>
      </c>
      <c r="L234" s="513">
        <v>145.78</v>
      </c>
      <c r="M234" s="513">
        <v>68.37</v>
      </c>
      <c r="N234" s="514">
        <f>LANÇ_MOV[[#This Row],[VALOR BRUTO]]-LANÇ_MOV[[#This Row],[DESCONTO]]+LANÇ_MOV[[#This Row],[JUROS]]+LANÇ_MOV[[#This Row],[MULTA]]</f>
        <v>943.06</v>
      </c>
      <c r="O234" s="528">
        <v>45492</v>
      </c>
      <c r="P234" s="516" t="str">
        <f t="shared" ca="1" si="3"/>
        <v>Venceu</v>
      </c>
      <c r="Q234" s="528"/>
      <c r="R234" s="529" t="s">
        <v>1506</v>
      </c>
      <c r="S234" s="518"/>
      <c r="T234" s="518" t="s">
        <v>1776</v>
      </c>
      <c r="U234" s="519" t="s">
        <v>2007</v>
      </c>
      <c r="V234" s="520" t="str">
        <f>IFERROR(VLOOKUP(LANÇ_MOV[[#This Row],[PLANO DE CONTAS]],Plano_Contas[[PLANO DE CONTAS]:[R / D]],3,0),"")</f>
        <v>Despesa</v>
      </c>
      <c r="W234" s="521" t="str">
        <f>IF(LANÇ_MOV[[#This Row],[DATA DE PAGAMENTO]]&lt;&gt;"","Pago","Não Pago")</f>
        <v>Não Pago</v>
      </c>
      <c r="X234" s="522" t="str">
        <f>IFERROR(IF(LANÇ_MOV[[#This Row],[DATA DE PAGAMENTO]]="","",(UPPER(TEXT(LANÇ_MOV[[#This Row],[DATA DE PAGAMENTO]],"mmmm")))),"")</f>
        <v/>
      </c>
      <c r="Y234" s="523" t="str">
        <f>IFERROR(VLOOKUP(LANÇ_MOV[[#This Row],[PLANO DE CONTAS]],Plano_Contas[[PLANO DE CONTAS]:[NOMES INTERVALOS]],2,0),"")</f>
        <v>Despesas_Endividamentos</v>
      </c>
      <c r="Z234" s="523" t="str">
        <f>IF(LANÇ_MOV[[#This Row],[FORMA DE PAGAMENTO]]="","",VLOOKUP(LANÇ_MOV[[#This Row],[FORMA DE PAGAMENTO]],CAD_Forma_pagto[],2,0))</f>
        <v>BOLETO</v>
      </c>
      <c r="AA234" s="524" t="str">
        <f>IF(LANÇ_MOV[[#This Row],[DATA DE LANÇAMENTO]]="","",TEXT(LANÇ_MOV[[#This Row],[DATA DE LANÇAMENTO]],"AAAA"))</f>
        <v>2025</v>
      </c>
      <c r="AB234" s="524" t="str">
        <f>IF(LANÇ_MOV[[#This Row],[DATA DE LANÇAMENTO]]="","",UPPER(TEXT(LANÇ_MOV[[#This Row],[DATA DE LANÇAMENTO]],"MMMM")))</f>
        <v>OUTUBRO</v>
      </c>
      <c r="AC234" s="525" t="str">
        <f>IF(LANÇ_MOV[[#This Row],[DATA DE LANÇAMENTO]]="","",PROPER(TEXT(LANÇ_MOV[[#This Row],[DATA DE LANÇAMENTO]],"M")))</f>
        <v>10</v>
      </c>
      <c r="AD234" s="524" t="str">
        <f>IF(LANÇ_MOV[[#This Row],[DATA DE LANÇAMENTO]]="","",TEXT(LANÇ_MOV[[#This Row],[DATA DE LANÇAMENTO]],"D"))</f>
        <v>1</v>
      </c>
      <c r="AE234" s="526" t="str">
        <f>IF(LANÇ_MOV[[#This Row],[DATA DE VENCIMENTO]]="","",TEXT(LANÇ_MOV[[#This Row],[DATA DE VENCIMENTO]],"AAAA"))</f>
        <v>2024</v>
      </c>
      <c r="AF234" s="526" t="str">
        <f>IF(LANÇ_MOV[[#This Row],[DATA DE VENCIMENTO]]="","",UPPER(TEXT(LANÇ_MOV[[#This Row],[DATA DE VENCIMENTO]],"MMMM")))</f>
        <v>JULHO</v>
      </c>
      <c r="AG234" s="526" t="str">
        <f>IF(LANÇ_MOV[[#This Row],[DATA DE VENCIMENTO]]="","",TEXT(LANÇ_MOV[[#This Row],[DATA DE VENCIMENTO]],"M"))</f>
        <v>7</v>
      </c>
      <c r="AH234" s="526" t="str">
        <f>IF(LANÇ_MOV[[#This Row],[DATA DE VENCIMENTO]]="","",TEXT(LANÇ_MOV[[#This Row],[DATA DE VENCIMENTO]],"D"))</f>
        <v>19</v>
      </c>
      <c r="AI234" s="526" t="str">
        <f>IF(LANÇ_MOV[[#This Row],[DATA DE PAGAMENTO]]="","",TEXT(LANÇ_MOV[[#This Row],[DATA DE PAGAMENTO]],"AAAA"))</f>
        <v/>
      </c>
      <c r="AJ234" s="527" t="str">
        <f>IF(LANÇ_MOV[[#This Row],[DATA DE PAGAMENTO]]="","",UPPER(TEXT(LANÇ_MOV[[#This Row],[DATA DE PAGAMENTO]],"MMMM")))</f>
        <v/>
      </c>
      <c r="AK234" s="527" t="str">
        <f>IF(LANÇ_MOV[[#This Row],[DATA DE PAGAMENTO]]="","",TEXT(LANÇ_MOV[[#This Row],[DATA DE PAGAMENTO]],"M"))</f>
        <v/>
      </c>
      <c r="AL234" s="526" t="str">
        <f>IF(LANÇ_MOV[[#This Row],[DATA DE PAGAMENTO]]="","",TEXT(LANÇ_MOV[[#This Row],[DATA DE PAGAMENTO]],"D"))</f>
        <v/>
      </c>
      <c r="AM234" s="27"/>
      <c r="BB234" s="112"/>
      <c r="BC234" s="112"/>
      <c r="BD234" s="112"/>
    </row>
    <row r="235" spans="2:56" ht="30.05" customHeight="1" x14ac:dyDescent="0.35">
      <c r="B235" s="506">
        <v>45931</v>
      </c>
      <c r="C235" s="507" t="s">
        <v>1661</v>
      </c>
      <c r="D235" s="508" t="s">
        <v>1854</v>
      </c>
      <c r="E235" s="509" t="s">
        <v>1440</v>
      </c>
      <c r="F235" s="510" t="s">
        <v>1844</v>
      </c>
      <c r="G235" s="507" t="s">
        <v>1913</v>
      </c>
      <c r="H235" s="511"/>
      <c r="I235" s="512" t="s">
        <v>1760</v>
      </c>
      <c r="J235" s="510">
        <v>362.9</v>
      </c>
      <c r="K235" s="513">
        <v>0</v>
      </c>
      <c r="L235" s="513">
        <v>72.58</v>
      </c>
      <c r="M235" s="513">
        <v>30.88</v>
      </c>
      <c r="N235" s="514">
        <f>LANÇ_MOV[[#This Row],[VALOR BRUTO]]-LANÇ_MOV[[#This Row],[DESCONTO]]+LANÇ_MOV[[#This Row],[JUROS]]+LANÇ_MOV[[#This Row],[MULTA]]</f>
        <v>466.35999999999996</v>
      </c>
      <c r="O235" s="528">
        <v>45524</v>
      </c>
      <c r="P235" s="516" t="str">
        <f t="shared" ca="1" si="3"/>
        <v>Venceu</v>
      </c>
      <c r="Q235" s="528"/>
      <c r="R235" s="529" t="s">
        <v>1506</v>
      </c>
      <c r="S235" s="518"/>
      <c r="T235" s="518" t="s">
        <v>1776</v>
      </c>
      <c r="U235" s="519" t="s">
        <v>2007</v>
      </c>
      <c r="V235" s="520" t="str">
        <f>IFERROR(VLOOKUP(LANÇ_MOV[[#This Row],[PLANO DE CONTAS]],Plano_Contas[[PLANO DE CONTAS]:[R / D]],3,0),"")</f>
        <v>Despesa</v>
      </c>
      <c r="W235" s="521" t="str">
        <f>IF(LANÇ_MOV[[#This Row],[DATA DE PAGAMENTO]]&lt;&gt;"","Pago","Não Pago")</f>
        <v>Não Pago</v>
      </c>
      <c r="X235" s="522" t="str">
        <f>IFERROR(IF(LANÇ_MOV[[#This Row],[DATA DE PAGAMENTO]]="","",(UPPER(TEXT(LANÇ_MOV[[#This Row],[DATA DE PAGAMENTO]],"mmmm")))),"")</f>
        <v/>
      </c>
      <c r="Y235" s="523" t="str">
        <f>IFERROR(VLOOKUP(LANÇ_MOV[[#This Row],[PLANO DE CONTAS]],Plano_Contas[[PLANO DE CONTAS]:[NOMES INTERVALOS]],2,0),"")</f>
        <v>Despesas_Endividamentos</v>
      </c>
      <c r="Z235" s="523" t="str">
        <f>IF(LANÇ_MOV[[#This Row],[FORMA DE PAGAMENTO]]="","",VLOOKUP(LANÇ_MOV[[#This Row],[FORMA DE PAGAMENTO]],CAD_Forma_pagto[],2,0))</f>
        <v>BOLETO</v>
      </c>
      <c r="AA235" s="524" t="str">
        <f>IF(LANÇ_MOV[[#This Row],[DATA DE LANÇAMENTO]]="","",TEXT(LANÇ_MOV[[#This Row],[DATA DE LANÇAMENTO]],"AAAA"))</f>
        <v>2025</v>
      </c>
      <c r="AB235" s="524" t="str">
        <f>IF(LANÇ_MOV[[#This Row],[DATA DE LANÇAMENTO]]="","",UPPER(TEXT(LANÇ_MOV[[#This Row],[DATA DE LANÇAMENTO]],"MMMM")))</f>
        <v>OUTUBRO</v>
      </c>
      <c r="AC235" s="525" t="str">
        <f>IF(LANÇ_MOV[[#This Row],[DATA DE LANÇAMENTO]]="","",PROPER(TEXT(LANÇ_MOV[[#This Row],[DATA DE LANÇAMENTO]],"M")))</f>
        <v>10</v>
      </c>
      <c r="AD235" s="524" t="str">
        <f>IF(LANÇ_MOV[[#This Row],[DATA DE LANÇAMENTO]]="","",TEXT(LANÇ_MOV[[#This Row],[DATA DE LANÇAMENTO]],"D"))</f>
        <v>1</v>
      </c>
      <c r="AE235" s="526" t="str">
        <f>IF(LANÇ_MOV[[#This Row],[DATA DE VENCIMENTO]]="","",TEXT(LANÇ_MOV[[#This Row],[DATA DE VENCIMENTO]],"AAAA"))</f>
        <v>2024</v>
      </c>
      <c r="AF235" s="526" t="str">
        <f>IF(LANÇ_MOV[[#This Row],[DATA DE VENCIMENTO]]="","",UPPER(TEXT(LANÇ_MOV[[#This Row],[DATA DE VENCIMENTO]],"MMMM")))</f>
        <v>AGOSTO</v>
      </c>
      <c r="AG235" s="526" t="str">
        <f>IF(LANÇ_MOV[[#This Row],[DATA DE VENCIMENTO]]="","",TEXT(LANÇ_MOV[[#This Row],[DATA DE VENCIMENTO]],"M"))</f>
        <v>8</v>
      </c>
      <c r="AH235" s="526" t="str">
        <f>IF(LANÇ_MOV[[#This Row],[DATA DE VENCIMENTO]]="","",TEXT(LANÇ_MOV[[#This Row],[DATA DE VENCIMENTO]],"D"))</f>
        <v>20</v>
      </c>
      <c r="AI235" s="526" t="str">
        <f>IF(LANÇ_MOV[[#This Row],[DATA DE PAGAMENTO]]="","",TEXT(LANÇ_MOV[[#This Row],[DATA DE PAGAMENTO]],"AAAA"))</f>
        <v/>
      </c>
      <c r="AJ235" s="527" t="str">
        <f>IF(LANÇ_MOV[[#This Row],[DATA DE PAGAMENTO]]="","",UPPER(TEXT(LANÇ_MOV[[#This Row],[DATA DE PAGAMENTO]],"MMMM")))</f>
        <v/>
      </c>
      <c r="AK235" s="527" t="str">
        <f>IF(LANÇ_MOV[[#This Row],[DATA DE PAGAMENTO]]="","",TEXT(LANÇ_MOV[[#This Row],[DATA DE PAGAMENTO]],"M"))</f>
        <v/>
      </c>
      <c r="AL235" s="526" t="str">
        <f>IF(LANÇ_MOV[[#This Row],[DATA DE PAGAMENTO]]="","",TEXT(LANÇ_MOV[[#This Row],[DATA DE PAGAMENTO]],"D"))</f>
        <v/>
      </c>
      <c r="AM235" s="27"/>
      <c r="BB235" s="112"/>
      <c r="BC235" s="112"/>
      <c r="BD235" s="112"/>
    </row>
    <row r="236" spans="2:56" ht="30.05" customHeight="1" x14ac:dyDescent="0.35">
      <c r="B236" s="506">
        <v>45931</v>
      </c>
      <c r="C236" s="507" t="s">
        <v>1661</v>
      </c>
      <c r="D236" s="508" t="s">
        <v>1854</v>
      </c>
      <c r="E236" s="509" t="s">
        <v>1440</v>
      </c>
      <c r="F236" s="510" t="s">
        <v>1844</v>
      </c>
      <c r="G236" s="507" t="s">
        <v>1914</v>
      </c>
      <c r="H236" s="511"/>
      <c r="I236" s="512" t="s">
        <v>1760</v>
      </c>
      <c r="J236" s="510">
        <v>728.91</v>
      </c>
      <c r="K236" s="513">
        <v>0</v>
      </c>
      <c r="L236" s="513">
        <v>145.78</v>
      </c>
      <c r="M236" s="513">
        <v>55.9</v>
      </c>
      <c r="N236" s="514">
        <f>LANÇ_MOV[[#This Row],[VALOR BRUTO]]-LANÇ_MOV[[#This Row],[DESCONTO]]+LANÇ_MOV[[#This Row],[JUROS]]+LANÇ_MOV[[#This Row],[MULTA]]</f>
        <v>930.58999999999992</v>
      </c>
      <c r="O236" s="528">
        <v>45555</v>
      </c>
      <c r="P236" s="516" t="str">
        <f t="shared" ca="1" si="3"/>
        <v>Venceu</v>
      </c>
      <c r="Q236" s="528"/>
      <c r="R236" s="529" t="s">
        <v>1506</v>
      </c>
      <c r="S236" s="518"/>
      <c r="T236" s="518" t="s">
        <v>1776</v>
      </c>
      <c r="U236" s="519" t="s">
        <v>2007</v>
      </c>
      <c r="V236" s="520" t="str">
        <f>IFERROR(VLOOKUP(LANÇ_MOV[[#This Row],[PLANO DE CONTAS]],Plano_Contas[[PLANO DE CONTAS]:[R / D]],3,0),"")</f>
        <v>Despesa</v>
      </c>
      <c r="W236" s="521" t="str">
        <f>IF(LANÇ_MOV[[#This Row],[DATA DE PAGAMENTO]]&lt;&gt;"","Pago","Não Pago")</f>
        <v>Não Pago</v>
      </c>
      <c r="X236" s="522" t="str">
        <f>IFERROR(IF(LANÇ_MOV[[#This Row],[DATA DE PAGAMENTO]]="","",(UPPER(TEXT(LANÇ_MOV[[#This Row],[DATA DE PAGAMENTO]],"mmmm")))),"")</f>
        <v/>
      </c>
      <c r="Y236" s="523" t="str">
        <f>IFERROR(VLOOKUP(LANÇ_MOV[[#This Row],[PLANO DE CONTAS]],Plano_Contas[[PLANO DE CONTAS]:[NOMES INTERVALOS]],2,0),"")</f>
        <v>Despesas_Endividamentos</v>
      </c>
      <c r="Z236" s="523" t="str">
        <f>IF(LANÇ_MOV[[#This Row],[FORMA DE PAGAMENTO]]="","",VLOOKUP(LANÇ_MOV[[#This Row],[FORMA DE PAGAMENTO]],CAD_Forma_pagto[],2,0))</f>
        <v>BOLETO</v>
      </c>
      <c r="AA236" s="524" t="str">
        <f>IF(LANÇ_MOV[[#This Row],[DATA DE LANÇAMENTO]]="","",TEXT(LANÇ_MOV[[#This Row],[DATA DE LANÇAMENTO]],"AAAA"))</f>
        <v>2025</v>
      </c>
      <c r="AB236" s="524" t="str">
        <f>IF(LANÇ_MOV[[#This Row],[DATA DE LANÇAMENTO]]="","",UPPER(TEXT(LANÇ_MOV[[#This Row],[DATA DE LANÇAMENTO]],"MMMM")))</f>
        <v>OUTUBRO</v>
      </c>
      <c r="AC236" s="525" t="str">
        <f>IF(LANÇ_MOV[[#This Row],[DATA DE LANÇAMENTO]]="","",PROPER(TEXT(LANÇ_MOV[[#This Row],[DATA DE LANÇAMENTO]],"M")))</f>
        <v>10</v>
      </c>
      <c r="AD236" s="524" t="str">
        <f>IF(LANÇ_MOV[[#This Row],[DATA DE LANÇAMENTO]]="","",TEXT(LANÇ_MOV[[#This Row],[DATA DE LANÇAMENTO]],"D"))</f>
        <v>1</v>
      </c>
      <c r="AE236" s="526" t="str">
        <f>IF(LANÇ_MOV[[#This Row],[DATA DE VENCIMENTO]]="","",TEXT(LANÇ_MOV[[#This Row],[DATA DE VENCIMENTO]],"AAAA"))</f>
        <v>2024</v>
      </c>
      <c r="AF236" s="526" t="str">
        <f>IF(LANÇ_MOV[[#This Row],[DATA DE VENCIMENTO]]="","",UPPER(TEXT(LANÇ_MOV[[#This Row],[DATA DE VENCIMENTO]],"MMMM")))</f>
        <v>SETEMBRO</v>
      </c>
      <c r="AG236" s="526" t="str">
        <f>IF(LANÇ_MOV[[#This Row],[DATA DE VENCIMENTO]]="","",TEXT(LANÇ_MOV[[#This Row],[DATA DE VENCIMENTO]],"M"))</f>
        <v>9</v>
      </c>
      <c r="AH236" s="526" t="str">
        <f>IF(LANÇ_MOV[[#This Row],[DATA DE VENCIMENTO]]="","",TEXT(LANÇ_MOV[[#This Row],[DATA DE VENCIMENTO]],"D"))</f>
        <v>20</v>
      </c>
      <c r="AI236" s="526" t="str">
        <f>IF(LANÇ_MOV[[#This Row],[DATA DE PAGAMENTO]]="","",TEXT(LANÇ_MOV[[#This Row],[DATA DE PAGAMENTO]],"AAAA"))</f>
        <v/>
      </c>
      <c r="AJ236" s="527" t="str">
        <f>IF(LANÇ_MOV[[#This Row],[DATA DE PAGAMENTO]]="","",UPPER(TEXT(LANÇ_MOV[[#This Row],[DATA DE PAGAMENTO]],"MMMM")))</f>
        <v/>
      </c>
      <c r="AK236" s="527" t="str">
        <f>IF(LANÇ_MOV[[#This Row],[DATA DE PAGAMENTO]]="","",TEXT(LANÇ_MOV[[#This Row],[DATA DE PAGAMENTO]],"M"))</f>
        <v/>
      </c>
      <c r="AL236" s="526" t="str">
        <f>IF(LANÇ_MOV[[#This Row],[DATA DE PAGAMENTO]]="","",TEXT(LANÇ_MOV[[#This Row],[DATA DE PAGAMENTO]],"D"))</f>
        <v/>
      </c>
      <c r="AM236" s="27"/>
      <c r="BB236" s="112"/>
      <c r="BC236" s="112"/>
      <c r="BD236" s="112"/>
    </row>
    <row r="237" spans="2:56" ht="30.05" customHeight="1" x14ac:dyDescent="0.35">
      <c r="B237" s="506">
        <v>45931</v>
      </c>
      <c r="C237" s="507" t="s">
        <v>1661</v>
      </c>
      <c r="D237" s="508" t="s">
        <v>1854</v>
      </c>
      <c r="E237" s="509" t="s">
        <v>1440</v>
      </c>
      <c r="F237" s="510" t="s">
        <v>1844</v>
      </c>
      <c r="G237" s="507" t="s">
        <v>1915</v>
      </c>
      <c r="H237" s="511"/>
      <c r="I237" s="512" t="s">
        <v>1760</v>
      </c>
      <c r="J237" s="510">
        <v>728.91</v>
      </c>
      <c r="K237" s="513">
        <v>0</v>
      </c>
      <c r="L237" s="513">
        <v>145.78</v>
      </c>
      <c r="M237" s="513">
        <v>49.12</v>
      </c>
      <c r="N237" s="514">
        <f>LANÇ_MOV[[#This Row],[VALOR BRUTO]]-LANÇ_MOV[[#This Row],[DESCONTO]]+LANÇ_MOV[[#This Row],[JUROS]]+LANÇ_MOV[[#This Row],[MULTA]]</f>
        <v>923.81</v>
      </c>
      <c r="O237" s="528">
        <v>45583</v>
      </c>
      <c r="P237" s="516" t="str">
        <f t="shared" ca="1" si="3"/>
        <v>Venceu</v>
      </c>
      <c r="Q237" s="528"/>
      <c r="R237" s="529" t="s">
        <v>1506</v>
      </c>
      <c r="S237" s="518"/>
      <c r="T237" s="518" t="s">
        <v>1776</v>
      </c>
      <c r="U237" s="519" t="s">
        <v>2007</v>
      </c>
      <c r="V237" s="520" t="str">
        <f>IFERROR(VLOOKUP(LANÇ_MOV[[#This Row],[PLANO DE CONTAS]],Plano_Contas[[PLANO DE CONTAS]:[R / D]],3,0),"")</f>
        <v>Despesa</v>
      </c>
      <c r="W237" s="521" t="str">
        <f>IF(LANÇ_MOV[[#This Row],[DATA DE PAGAMENTO]]&lt;&gt;"","Pago","Não Pago")</f>
        <v>Não Pago</v>
      </c>
      <c r="X237" s="522" t="str">
        <f>IFERROR(IF(LANÇ_MOV[[#This Row],[DATA DE PAGAMENTO]]="","",(UPPER(TEXT(LANÇ_MOV[[#This Row],[DATA DE PAGAMENTO]],"mmmm")))),"")</f>
        <v/>
      </c>
      <c r="Y237" s="523" t="str">
        <f>IFERROR(VLOOKUP(LANÇ_MOV[[#This Row],[PLANO DE CONTAS]],Plano_Contas[[PLANO DE CONTAS]:[NOMES INTERVALOS]],2,0),"")</f>
        <v>Despesas_Endividamentos</v>
      </c>
      <c r="Z237" s="523" t="str">
        <f>IF(LANÇ_MOV[[#This Row],[FORMA DE PAGAMENTO]]="","",VLOOKUP(LANÇ_MOV[[#This Row],[FORMA DE PAGAMENTO]],CAD_Forma_pagto[],2,0))</f>
        <v>BOLETO</v>
      </c>
      <c r="AA237" s="524" t="str">
        <f>IF(LANÇ_MOV[[#This Row],[DATA DE LANÇAMENTO]]="","",TEXT(LANÇ_MOV[[#This Row],[DATA DE LANÇAMENTO]],"AAAA"))</f>
        <v>2025</v>
      </c>
      <c r="AB237" s="524" t="str">
        <f>IF(LANÇ_MOV[[#This Row],[DATA DE LANÇAMENTO]]="","",UPPER(TEXT(LANÇ_MOV[[#This Row],[DATA DE LANÇAMENTO]],"MMMM")))</f>
        <v>OUTUBRO</v>
      </c>
      <c r="AC237" s="525" t="str">
        <f>IF(LANÇ_MOV[[#This Row],[DATA DE LANÇAMENTO]]="","",PROPER(TEXT(LANÇ_MOV[[#This Row],[DATA DE LANÇAMENTO]],"M")))</f>
        <v>10</v>
      </c>
      <c r="AD237" s="524" t="str">
        <f>IF(LANÇ_MOV[[#This Row],[DATA DE LANÇAMENTO]]="","",TEXT(LANÇ_MOV[[#This Row],[DATA DE LANÇAMENTO]],"D"))</f>
        <v>1</v>
      </c>
      <c r="AE237" s="526" t="str">
        <f>IF(LANÇ_MOV[[#This Row],[DATA DE VENCIMENTO]]="","",TEXT(LANÇ_MOV[[#This Row],[DATA DE VENCIMENTO]],"AAAA"))</f>
        <v>2024</v>
      </c>
      <c r="AF237" s="526" t="str">
        <f>IF(LANÇ_MOV[[#This Row],[DATA DE VENCIMENTO]]="","",UPPER(TEXT(LANÇ_MOV[[#This Row],[DATA DE VENCIMENTO]],"MMMM")))</f>
        <v>OUTUBRO</v>
      </c>
      <c r="AG237" s="526" t="str">
        <f>IF(LANÇ_MOV[[#This Row],[DATA DE VENCIMENTO]]="","",TEXT(LANÇ_MOV[[#This Row],[DATA DE VENCIMENTO]],"M"))</f>
        <v>10</v>
      </c>
      <c r="AH237" s="526" t="str">
        <f>IF(LANÇ_MOV[[#This Row],[DATA DE VENCIMENTO]]="","",TEXT(LANÇ_MOV[[#This Row],[DATA DE VENCIMENTO]],"D"))</f>
        <v>18</v>
      </c>
      <c r="AI237" s="526" t="str">
        <f>IF(LANÇ_MOV[[#This Row],[DATA DE PAGAMENTO]]="","",TEXT(LANÇ_MOV[[#This Row],[DATA DE PAGAMENTO]],"AAAA"))</f>
        <v/>
      </c>
      <c r="AJ237" s="527" t="str">
        <f>IF(LANÇ_MOV[[#This Row],[DATA DE PAGAMENTO]]="","",UPPER(TEXT(LANÇ_MOV[[#This Row],[DATA DE PAGAMENTO]],"MMMM")))</f>
        <v/>
      </c>
      <c r="AK237" s="527" t="str">
        <f>IF(LANÇ_MOV[[#This Row],[DATA DE PAGAMENTO]]="","",TEXT(LANÇ_MOV[[#This Row],[DATA DE PAGAMENTO]],"M"))</f>
        <v/>
      </c>
      <c r="AL237" s="526" t="str">
        <f>IF(LANÇ_MOV[[#This Row],[DATA DE PAGAMENTO]]="","",TEXT(LANÇ_MOV[[#This Row],[DATA DE PAGAMENTO]],"D"))</f>
        <v/>
      </c>
      <c r="AM237" s="27"/>
      <c r="BB237" s="112"/>
      <c r="BC237" s="112"/>
      <c r="BD237" s="112"/>
    </row>
    <row r="238" spans="2:56" ht="30.05" customHeight="1" x14ac:dyDescent="0.35">
      <c r="B238" s="506">
        <v>45931</v>
      </c>
      <c r="C238" s="507" t="s">
        <v>1661</v>
      </c>
      <c r="D238" s="508" t="s">
        <v>1854</v>
      </c>
      <c r="E238" s="509" t="s">
        <v>1440</v>
      </c>
      <c r="F238" s="510" t="s">
        <v>1844</v>
      </c>
      <c r="G238" s="507" t="s">
        <v>1916</v>
      </c>
      <c r="H238" s="511"/>
      <c r="I238" s="512" t="s">
        <v>1760</v>
      </c>
      <c r="J238" s="510">
        <v>728.91</v>
      </c>
      <c r="K238" s="513">
        <v>0</v>
      </c>
      <c r="L238" s="513">
        <v>145.78</v>
      </c>
      <c r="M238" s="513">
        <v>43.37</v>
      </c>
      <c r="N238" s="514">
        <f>LANÇ_MOV[[#This Row],[VALOR BRUTO]]-LANÇ_MOV[[#This Row],[DESCONTO]]+LANÇ_MOV[[#This Row],[JUROS]]+LANÇ_MOV[[#This Row],[MULTA]]</f>
        <v>918.06</v>
      </c>
      <c r="O238" s="528">
        <v>45615</v>
      </c>
      <c r="P238" s="516" t="str">
        <f t="shared" ca="1" si="3"/>
        <v>Venceu</v>
      </c>
      <c r="Q238" s="528"/>
      <c r="R238" s="529" t="s">
        <v>1506</v>
      </c>
      <c r="S238" s="518"/>
      <c r="T238" s="518" t="s">
        <v>1776</v>
      </c>
      <c r="U238" s="519" t="s">
        <v>2007</v>
      </c>
      <c r="V238" s="520" t="str">
        <f>IFERROR(VLOOKUP(LANÇ_MOV[[#This Row],[PLANO DE CONTAS]],Plano_Contas[[PLANO DE CONTAS]:[R / D]],3,0),"")</f>
        <v>Despesa</v>
      </c>
      <c r="W238" s="521" t="str">
        <f>IF(LANÇ_MOV[[#This Row],[DATA DE PAGAMENTO]]&lt;&gt;"","Pago","Não Pago")</f>
        <v>Não Pago</v>
      </c>
      <c r="X238" s="522" t="str">
        <f>IFERROR(IF(LANÇ_MOV[[#This Row],[DATA DE PAGAMENTO]]="","",(UPPER(TEXT(LANÇ_MOV[[#This Row],[DATA DE PAGAMENTO]],"mmmm")))),"")</f>
        <v/>
      </c>
      <c r="Y238" s="523" t="str">
        <f>IFERROR(VLOOKUP(LANÇ_MOV[[#This Row],[PLANO DE CONTAS]],Plano_Contas[[PLANO DE CONTAS]:[NOMES INTERVALOS]],2,0),"")</f>
        <v>Despesas_Endividamentos</v>
      </c>
      <c r="Z238" s="523" t="str">
        <f>IF(LANÇ_MOV[[#This Row],[FORMA DE PAGAMENTO]]="","",VLOOKUP(LANÇ_MOV[[#This Row],[FORMA DE PAGAMENTO]],CAD_Forma_pagto[],2,0))</f>
        <v>BOLETO</v>
      </c>
      <c r="AA238" s="524" t="str">
        <f>IF(LANÇ_MOV[[#This Row],[DATA DE LANÇAMENTO]]="","",TEXT(LANÇ_MOV[[#This Row],[DATA DE LANÇAMENTO]],"AAAA"))</f>
        <v>2025</v>
      </c>
      <c r="AB238" s="524" t="str">
        <f>IF(LANÇ_MOV[[#This Row],[DATA DE LANÇAMENTO]]="","",UPPER(TEXT(LANÇ_MOV[[#This Row],[DATA DE LANÇAMENTO]],"MMMM")))</f>
        <v>OUTUBRO</v>
      </c>
      <c r="AC238" s="525" t="str">
        <f>IF(LANÇ_MOV[[#This Row],[DATA DE LANÇAMENTO]]="","",PROPER(TEXT(LANÇ_MOV[[#This Row],[DATA DE LANÇAMENTO]],"M")))</f>
        <v>10</v>
      </c>
      <c r="AD238" s="524" t="str">
        <f>IF(LANÇ_MOV[[#This Row],[DATA DE LANÇAMENTO]]="","",TEXT(LANÇ_MOV[[#This Row],[DATA DE LANÇAMENTO]],"D"))</f>
        <v>1</v>
      </c>
      <c r="AE238" s="526" t="str">
        <f>IF(LANÇ_MOV[[#This Row],[DATA DE VENCIMENTO]]="","",TEXT(LANÇ_MOV[[#This Row],[DATA DE VENCIMENTO]],"AAAA"))</f>
        <v>2024</v>
      </c>
      <c r="AF238" s="526" t="str">
        <f>IF(LANÇ_MOV[[#This Row],[DATA DE VENCIMENTO]]="","",UPPER(TEXT(LANÇ_MOV[[#This Row],[DATA DE VENCIMENTO]],"MMMM")))</f>
        <v>NOVEMBRO</v>
      </c>
      <c r="AG238" s="526" t="str">
        <f>IF(LANÇ_MOV[[#This Row],[DATA DE VENCIMENTO]]="","",TEXT(LANÇ_MOV[[#This Row],[DATA DE VENCIMENTO]],"M"))</f>
        <v>11</v>
      </c>
      <c r="AH238" s="526" t="str">
        <f>IF(LANÇ_MOV[[#This Row],[DATA DE VENCIMENTO]]="","",TEXT(LANÇ_MOV[[#This Row],[DATA DE VENCIMENTO]],"D"))</f>
        <v>19</v>
      </c>
      <c r="AI238" s="526" t="str">
        <f>IF(LANÇ_MOV[[#This Row],[DATA DE PAGAMENTO]]="","",TEXT(LANÇ_MOV[[#This Row],[DATA DE PAGAMENTO]],"AAAA"))</f>
        <v/>
      </c>
      <c r="AJ238" s="527" t="str">
        <f>IF(LANÇ_MOV[[#This Row],[DATA DE PAGAMENTO]]="","",UPPER(TEXT(LANÇ_MOV[[#This Row],[DATA DE PAGAMENTO]],"MMMM")))</f>
        <v/>
      </c>
      <c r="AK238" s="527" t="str">
        <f>IF(LANÇ_MOV[[#This Row],[DATA DE PAGAMENTO]]="","",TEXT(LANÇ_MOV[[#This Row],[DATA DE PAGAMENTO]],"M"))</f>
        <v/>
      </c>
      <c r="AL238" s="526" t="str">
        <f>IF(LANÇ_MOV[[#This Row],[DATA DE PAGAMENTO]]="","",TEXT(LANÇ_MOV[[#This Row],[DATA DE PAGAMENTO]],"D"))</f>
        <v/>
      </c>
      <c r="AM238" s="27"/>
      <c r="BB238" s="112"/>
      <c r="BC238" s="112"/>
      <c r="BD238" s="112"/>
    </row>
    <row r="239" spans="2:56" ht="30.05" customHeight="1" x14ac:dyDescent="0.35">
      <c r="B239" s="506">
        <v>45931</v>
      </c>
      <c r="C239" s="507" t="s">
        <v>1661</v>
      </c>
      <c r="D239" s="508" t="s">
        <v>1854</v>
      </c>
      <c r="E239" s="509" t="s">
        <v>1440</v>
      </c>
      <c r="F239" s="510" t="s">
        <v>1844</v>
      </c>
      <c r="G239" s="507" t="s">
        <v>1917</v>
      </c>
      <c r="H239" s="511"/>
      <c r="I239" s="512" t="s">
        <v>1760</v>
      </c>
      <c r="J239" s="510">
        <v>828.25</v>
      </c>
      <c r="K239" s="513">
        <v>0</v>
      </c>
      <c r="L239" s="513">
        <v>165.65</v>
      </c>
      <c r="M239" s="513">
        <v>41.57</v>
      </c>
      <c r="N239" s="514">
        <f>LANÇ_MOV[[#This Row],[VALOR BRUTO]]-LANÇ_MOV[[#This Row],[DESCONTO]]+LANÇ_MOV[[#This Row],[JUROS]]+LANÇ_MOV[[#This Row],[MULTA]]</f>
        <v>1035.47</v>
      </c>
      <c r="O239" s="528">
        <v>45646</v>
      </c>
      <c r="P239" s="516" t="str">
        <f t="shared" ca="1" si="3"/>
        <v>Venceu</v>
      </c>
      <c r="Q239" s="528"/>
      <c r="R239" s="529" t="s">
        <v>1506</v>
      </c>
      <c r="S239" s="518"/>
      <c r="T239" s="518" t="s">
        <v>1776</v>
      </c>
      <c r="U239" s="519" t="s">
        <v>2007</v>
      </c>
      <c r="V239" s="520" t="str">
        <f>IFERROR(VLOOKUP(LANÇ_MOV[[#This Row],[PLANO DE CONTAS]],Plano_Contas[[PLANO DE CONTAS]:[R / D]],3,0),"")</f>
        <v>Despesa</v>
      </c>
      <c r="W239" s="521" t="str">
        <f>IF(LANÇ_MOV[[#This Row],[DATA DE PAGAMENTO]]&lt;&gt;"","Pago","Não Pago")</f>
        <v>Não Pago</v>
      </c>
      <c r="X239" s="522" t="str">
        <f>IFERROR(IF(LANÇ_MOV[[#This Row],[DATA DE PAGAMENTO]]="","",(UPPER(TEXT(LANÇ_MOV[[#This Row],[DATA DE PAGAMENTO]],"mmmm")))),"")</f>
        <v/>
      </c>
      <c r="Y239" s="523" t="str">
        <f>IFERROR(VLOOKUP(LANÇ_MOV[[#This Row],[PLANO DE CONTAS]],Plano_Contas[[PLANO DE CONTAS]:[NOMES INTERVALOS]],2,0),"")</f>
        <v>Despesas_Endividamentos</v>
      </c>
      <c r="Z239" s="523" t="str">
        <f>IF(LANÇ_MOV[[#This Row],[FORMA DE PAGAMENTO]]="","",VLOOKUP(LANÇ_MOV[[#This Row],[FORMA DE PAGAMENTO]],CAD_Forma_pagto[],2,0))</f>
        <v>BOLETO</v>
      </c>
      <c r="AA239" s="524" t="str">
        <f>IF(LANÇ_MOV[[#This Row],[DATA DE LANÇAMENTO]]="","",TEXT(LANÇ_MOV[[#This Row],[DATA DE LANÇAMENTO]],"AAAA"))</f>
        <v>2025</v>
      </c>
      <c r="AB239" s="524" t="str">
        <f>IF(LANÇ_MOV[[#This Row],[DATA DE LANÇAMENTO]]="","",UPPER(TEXT(LANÇ_MOV[[#This Row],[DATA DE LANÇAMENTO]],"MMMM")))</f>
        <v>OUTUBRO</v>
      </c>
      <c r="AC239" s="525" t="str">
        <f>IF(LANÇ_MOV[[#This Row],[DATA DE LANÇAMENTO]]="","",PROPER(TEXT(LANÇ_MOV[[#This Row],[DATA DE LANÇAMENTO]],"M")))</f>
        <v>10</v>
      </c>
      <c r="AD239" s="524" t="str">
        <f>IF(LANÇ_MOV[[#This Row],[DATA DE LANÇAMENTO]]="","",TEXT(LANÇ_MOV[[#This Row],[DATA DE LANÇAMENTO]],"D"))</f>
        <v>1</v>
      </c>
      <c r="AE239" s="526" t="str">
        <f>IF(LANÇ_MOV[[#This Row],[DATA DE VENCIMENTO]]="","",TEXT(LANÇ_MOV[[#This Row],[DATA DE VENCIMENTO]],"AAAA"))</f>
        <v>2024</v>
      </c>
      <c r="AF239" s="526" t="str">
        <f>IF(LANÇ_MOV[[#This Row],[DATA DE VENCIMENTO]]="","",UPPER(TEXT(LANÇ_MOV[[#This Row],[DATA DE VENCIMENTO]],"MMMM")))</f>
        <v>DEZEMBRO</v>
      </c>
      <c r="AG239" s="526" t="str">
        <f>IF(LANÇ_MOV[[#This Row],[DATA DE VENCIMENTO]]="","",TEXT(LANÇ_MOV[[#This Row],[DATA DE VENCIMENTO]],"M"))</f>
        <v>12</v>
      </c>
      <c r="AH239" s="526" t="str">
        <f>IF(LANÇ_MOV[[#This Row],[DATA DE VENCIMENTO]]="","",TEXT(LANÇ_MOV[[#This Row],[DATA DE VENCIMENTO]],"D"))</f>
        <v>20</v>
      </c>
      <c r="AI239" s="526" t="str">
        <f>IF(LANÇ_MOV[[#This Row],[DATA DE PAGAMENTO]]="","",TEXT(LANÇ_MOV[[#This Row],[DATA DE PAGAMENTO]],"AAAA"))</f>
        <v/>
      </c>
      <c r="AJ239" s="527" t="str">
        <f>IF(LANÇ_MOV[[#This Row],[DATA DE PAGAMENTO]]="","",UPPER(TEXT(LANÇ_MOV[[#This Row],[DATA DE PAGAMENTO]],"MMMM")))</f>
        <v/>
      </c>
      <c r="AK239" s="527" t="str">
        <f>IF(LANÇ_MOV[[#This Row],[DATA DE PAGAMENTO]]="","",TEXT(LANÇ_MOV[[#This Row],[DATA DE PAGAMENTO]],"M"))</f>
        <v/>
      </c>
      <c r="AL239" s="526" t="str">
        <f>IF(LANÇ_MOV[[#This Row],[DATA DE PAGAMENTO]]="","",TEXT(LANÇ_MOV[[#This Row],[DATA DE PAGAMENTO]],"D"))</f>
        <v/>
      </c>
      <c r="AM239" s="27"/>
      <c r="BB239" s="112"/>
      <c r="BC239" s="112"/>
      <c r="BD239" s="112"/>
    </row>
    <row r="240" spans="2:56" ht="30.05" customHeight="1" x14ac:dyDescent="0.35">
      <c r="B240" s="506">
        <v>45931</v>
      </c>
      <c r="C240" s="507" t="s">
        <v>1661</v>
      </c>
      <c r="D240" s="508" t="s">
        <v>1854</v>
      </c>
      <c r="E240" s="509" t="s">
        <v>1440</v>
      </c>
      <c r="F240" s="510" t="s">
        <v>1844</v>
      </c>
      <c r="G240" s="507" t="s">
        <v>1918</v>
      </c>
      <c r="H240" s="511"/>
      <c r="I240" s="512" t="s">
        <v>1760</v>
      </c>
      <c r="J240" s="510">
        <v>883.82</v>
      </c>
      <c r="K240" s="513">
        <v>0</v>
      </c>
      <c r="L240" s="513">
        <v>176.76</v>
      </c>
      <c r="M240" s="513">
        <v>35.44</v>
      </c>
      <c r="N240" s="514">
        <f>LANÇ_MOV[[#This Row],[VALOR BRUTO]]-LANÇ_MOV[[#This Row],[DESCONTO]]+LANÇ_MOV[[#This Row],[JUROS]]+LANÇ_MOV[[#This Row],[MULTA]]</f>
        <v>1096.02</v>
      </c>
      <c r="O240" s="528">
        <v>45677</v>
      </c>
      <c r="P240" s="516" t="str">
        <f t="shared" ca="1" si="3"/>
        <v>Venceu</v>
      </c>
      <c r="Q240" s="528"/>
      <c r="R240" s="529" t="s">
        <v>1506</v>
      </c>
      <c r="S240" s="518"/>
      <c r="T240" s="518" t="s">
        <v>1776</v>
      </c>
      <c r="U240" s="519" t="s">
        <v>2007</v>
      </c>
      <c r="V240" s="520" t="str">
        <f>IFERROR(VLOOKUP(LANÇ_MOV[[#This Row],[PLANO DE CONTAS]],Plano_Contas[[PLANO DE CONTAS]:[R / D]],3,0),"")</f>
        <v>Despesa</v>
      </c>
      <c r="W240" s="521" t="str">
        <f>IF(LANÇ_MOV[[#This Row],[DATA DE PAGAMENTO]]&lt;&gt;"","Pago","Não Pago")</f>
        <v>Não Pago</v>
      </c>
      <c r="X240" s="522" t="str">
        <f>IFERROR(IF(LANÇ_MOV[[#This Row],[DATA DE PAGAMENTO]]="","",(UPPER(TEXT(LANÇ_MOV[[#This Row],[DATA DE PAGAMENTO]],"mmmm")))),"")</f>
        <v/>
      </c>
      <c r="Y240" s="523" t="str">
        <f>IFERROR(VLOOKUP(LANÇ_MOV[[#This Row],[PLANO DE CONTAS]],Plano_Contas[[PLANO DE CONTAS]:[NOMES INTERVALOS]],2,0),"")</f>
        <v>Despesas_Endividamentos</v>
      </c>
      <c r="Z240" s="523" t="str">
        <f>IF(LANÇ_MOV[[#This Row],[FORMA DE PAGAMENTO]]="","",VLOOKUP(LANÇ_MOV[[#This Row],[FORMA DE PAGAMENTO]],CAD_Forma_pagto[],2,0))</f>
        <v>BOLETO</v>
      </c>
      <c r="AA240" s="524" t="str">
        <f>IF(LANÇ_MOV[[#This Row],[DATA DE LANÇAMENTO]]="","",TEXT(LANÇ_MOV[[#This Row],[DATA DE LANÇAMENTO]],"AAAA"))</f>
        <v>2025</v>
      </c>
      <c r="AB240" s="524" t="str">
        <f>IF(LANÇ_MOV[[#This Row],[DATA DE LANÇAMENTO]]="","",UPPER(TEXT(LANÇ_MOV[[#This Row],[DATA DE LANÇAMENTO]],"MMMM")))</f>
        <v>OUTUBRO</v>
      </c>
      <c r="AC240" s="525" t="str">
        <f>IF(LANÇ_MOV[[#This Row],[DATA DE LANÇAMENTO]]="","",PROPER(TEXT(LANÇ_MOV[[#This Row],[DATA DE LANÇAMENTO]],"M")))</f>
        <v>10</v>
      </c>
      <c r="AD240" s="524" t="str">
        <f>IF(LANÇ_MOV[[#This Row],[DATA DE LANÇAMENTO]]="","",TEXT(LANÇ_MOV[[#This Row],[DATA DE LANÇAMENTO]],"D"))</f>
        <v>1</v>
      </c>
      <c r="AE240" s="526" t="str">
        <f>IF(LANÇ_MOV[[#This Row],[DATA DE VENCIMENTO]]="","",TEXT(LANÇ_MOV[[#This Row],[DATA DE VENCIMENTO]],"AAAA"))</f>
        <v>2025</v>
      </c>
      <c r="AF240" s="526" t="str">
        <f>IF(LANÇ_MOV[[#This Row],[DATA DE VENCIMENTO]]="","",UPPER(TEXT(LANÇ_MOV[[#This Row],[DATA DE VENCIMENTO]],"MMMM")))</f>
        <v>JANEIRO</v>
      </c>
      <c r="AG240" s="526" t="str">
        <f>IF(LANÇ_MOV[[#This Row],[DATA DE VENCIMENTO]]="","",TEXT(LANÇ_MOV[[#This Row],[DATA DE VENCIMENTO]],"M"))</f>
        <v>1</v>
      </c>
      <c r="AH240" s="526" t="str">
        <f>IF(LANÇ_MOV[[#This Row],[DATA DE VENCIMENTO]]="","",TEXT(LANÇ_MOV[[#This Row],[DATA DE VENCIMENTO]],"D"))</f>
        <v>20</v>
      </c>
      <c r="AI240" s="526" t="str">
        <f>IF(LANÇ_MOV[[#This Row],[DATA DE PAGAMENTO]]="","",TEXT(LANÇ_MOV[[#This Row],[DATA DE PAGAMENTO]],"AAAA"))</f>
        <v/>
      </c>
      <c r="AJ240" s="527" t="str">
        <f>IF(LANÇ_MOV[[#This Row],[DATA DE PAGAMENTO]]="","",UPPER(TEXT(LANÇ_MOV[[#This Row],[DATA DE PAGAMENTO]],"MMMM")))</f>
        <v/>
      </c>
      <c r="AK240" s="527" t="str">
        <f>IF(LANÇ_MOV[[#This Row],[DATA DE PAGAMENTO]]="","",TEXT(LANÇ_MOV[[#This Row],[DATA DE PAGAMENTO]],"M"))</f>
        <v/>
      </c>
      <c r="AL240" s="526" t="str">
        <f>IF(LANÇ_MOV[[#This Row],[DATA DE PAGAMENTO]]="","",TEXT(LANÇ_MOV[[#This Row],[DATA DE PAGAMENTO]],"D"))</f>
        <v/>
      </c>
      <c r="AM240" s="27"/>
      <c r="BB240" s="112"/>
      <c r="BC240" s="112"/>
      <c r="BD240" s="112"/>
    </row>
    <row r="241" spans="2:56" ht="30.05" customHeight="1" x14ac:dyDescent="0.35">
      <c r="B241" s="506">
        <v>45931</v>
      </c>
      <c r="C241" s="507" t="s">
        <v>1661</v>
      </c>
      <c r="D241" s="508" t="s">
        <v>1854</v>
      </c>
      <c r="E241" s="509" t="s">
        <v>1440</v>
      </c>
      <c r="F241" s="510" t="s">
        <v>1844</v>
      </c>
      <c r="G241" s="507" t="s">
        <v>1919</v>
      </c>
      <c r="H241" s="511"/>
      <c r="I241" s="512" t="s">
        <v>1760</v>
      </c>
      <c r="J241" s="510">
        <v>137.52000000000001</v>
      </c>
      <c r="K241" s="513">
        <v>0</v>
      </c>
      <c r="L241" s="513">
        <v>22.23</v>
      </c>
      <c r="M241" s="513">
        <v>2.83</v>
      </c>
      <c r="N241" s="514">
        <f>LANÇ_MOV[[#This Row],[VALOR BRUTO]]-LANÇ_MOV[[#This Row],[DESCONTO]]+LANÇ_MOV[[#This Row],[JUROS]]+LANÇ_MOV[[#This Row],[MULTA]]</f>
        <v>162.58000000000001</v>
      </c>
      <c r="O241" s="528">
        <v>45736</v>
      </c>
      <c r="P241" s="516" t="str">
        <f t="shared" ca="1" si="3"/>
        <v>Venceu</v>
      </c>
      <c r="Q241" s="528"/>
      <c r="R241" s="529" t="s">
        <v>1506</v>
      </c>
      <c r="S241" s="518"/>
      <c r="T241" s="518" t="s">
        <v>1776</v>
      </c>
      <c r="U241" s="519" t="s">
        <v>2007</v>
      </c>
      <c r="V241" s="520" t="str">
        <f>IFERROR(VLOOKUP(LANÇ_MOV[[#This Row],[PLANO DE CONTAS]],Plano_Contas[[PLANO DE CONTAS]:[R / D]],3,0),"")</f>
        <v>Despesa</v>
      </c>
      <c r="W241" s="521" t="str">
        <f>IF(LANÇ_MOV[[#This Row],[DATA DE PAGAMENTO]]&lt;&gt;"","Pago","Não Pago")</f>
        <v>Não Pago</v>
      </c>
      <c r="X241" s="522" t="str">
        <f>IFERROR(IF(LANÇ_MOV[[#This Row],[DATA DE PAGAMENTO]]="","",(UPPER(TEXT(LANÇ_MOV[[#This Row],[DATA DE PAGAMENTO]],"mmmm")))),"")</f>
        <v/>
      </c>
      <c r="Y241" s="523" t="str">
        <f>IFERROR(VLOOKUP(LANÇ_MOV[[#This Row],[PLANO DE CONTAS]],Plano_Contas[[PLANO DE CONTAS]:[NOMES INTERVALOS]],2,0),"")</f>
        <v>Despesas_Endividamentos</v>
      </c>
      <c r="Z241" s="523" t="str">
        <f>IF(LANÇ_MOV[[#This Row],[FORMA DE PAGAMENTO]]="","",VLOOKUP(LANÇ_MOV[[#This Row],[FORMA DE PAGAMENTO]],CAD_Forma_pagto[],2,0))</f>
        <v>BOLETO</v>
      </c>
      <c r="AA241" s="524" t="str">
        <f>IF(LANÇ_MOV[[#This Row],[DATA DE LANÇAMENTO]]="","",TEXT(LANÇ_MOV[[#This Row],[DATA DE LANÇAMENTO]],"AAAA"))</f>
        <v>2025</v>
      </c>
      <c r="AB241" s="524" t="str">
        <f>IF(LANÇ_MOV[[#This Row],[DATA DE LANÇAMENTO]]="","",UPPER(TEXT(LANÇ_MOV[[#This Row],[DATA DE LANÇAMENTO]],"MMMM")))</f>
        <v>OUTUBRO</v>
      </c>
      <c r="AC241" s="525" t="str">
        <f>IF(LANÇ_MOV[[#This Row],[DATA DE LANÇAMENTO]]="","",PROPER(TEXT(LANÇ_MOV[[#This Row],[DATA DE LANÇAMENTO]],"M")))</f>
        <v>10</v>
      </c>
      <c r="AD241" s="524" t="str">
        <f>IF(LANÇ_MOV[[#This Row],[DATA DE LANÇAMENTO]]="","",TEXT(LANÇ_MOV[[#This Row],[DATA DE LANÇAMENTO]],"D"))</f>
        <v>1</v>
      </c>
      <c r="AE241" s="526" t="str">
        <f>IF(LANÇ_MOV[[#This Row],[DATA DE VENCIMENTO]]="","",TEXT(LANÇ_MOV[[#This Row],[DATA DE VENCIMENTO]],"AAAA"))</f>
        <v>2025</v>
      </c>
      <c r="AF241" s="526" t="str">
        <f>IF(LANÇ_MOV[[#This Row],[DATA DE VENCIMENTO]]="","",UPPER(TEXT(LANÇ_MOV[[#This Row],[DATA DE VENCIMENTO]],"MMMM")))</f>
        <v>MARÇO</v>
      </c>
      <c r="AG241" s="526" t="str">
        <f>IF(LANÇ_MOV[[#This Row],[DATA DE VENCIMENTO]]="","",TEXT(LANÇ_MOV[[#This Row],[DATA DE VENCIMENTO]],"M"))</f>
        <v>3</v>
      </c>
      <c r="AH241" s="526" t="str">
        <f>IF(LANÇ_MOV[[#This Row],[DATA DE VENCIMENTO]]="","",TEXT(LANÇ_MOV[[#This Row],[DATA DE VENCIMENTO]],"D"))</f>
        <v>20</v>
      </c>
      <c r="AI241" s="526" t="str">
        <f>IF(LANÇ_MOV[[#This Row],[DATA DE PAGAMENTO]]="","",TEXT(LANÇ_MOV[[#This Row],[DATA DE PAGAMENTO]],"AAAA"))</f>
        <v/>
      </c>
      <c r="AJ241" s="527" t="str">
        <f>IF(LANÇ_MOV[[#This Row],[DATA DE PAGAMENTO]]="","",UPPER(TEXT(LANÇ_MOV[[#This Row],[DATA DE PAGAMENTO]],"MMMM")))</f>
        <v/>
      </c>
      <c r="AK241" s="527" t="str">
        <f>IF(LANÇ_MOV[[#This Row],[DATA DE PAGAMENTO]]="","",TEXT(LANÇ_MOV[[#This Row],[DATA DE PAGAMENTO]],"M"))</f>
        <v/>
      </c>
      <c r="AL241" s="526" t="str">
        <f>IF(LANÇ_MOV[[#This Row],[DATA DE PAGAMENTO]]="","",TEXT(LANÇ_MOV[[#This Row],[DATA DE PAGAMENTO]],"D"))</f>
        <v/>
      </c>
      <c r="AM241" s="27"/>
      <c r="BB241" s="112"/>
      <c r="BC241" s="112"/>
      <c r="BD241" s="112"/>
    </row>
    <row r="242" spans="2:56" ht="30.05" customHeight="1" x14ac:dyDescent="0.35">
      <c r="B242" s="506">
        <v>45931</v>
      </c>
      <c r="C242" s="507" t="s">
        <v>1661</v>
      </c>
      <c r="D242" s="508" t="s">
        <v>1854</v>
      </c>
      <c r="E242" s="509" t="s">
        <v>1440</v>
      </c>
      <c r="F242" s="510" t="s">
        <v>1844</v>
      </c>
      <c r="G242" s="507" t="s">
        <v>1920</v>
      </c>
      <c r="H242" s="511"/>
      <c r="I242" s="512" t="s">
        <v>1760</v>
      </c>
      <c r="J242" s="510">
        <v>294.47000000000003</v>
      </c>
      <c r="K242" s="513">
        <v>0</v>
      </c>
      <c r="L242" s="513">
        <v>16.510000000000002</v>
      </c>
      <c r="M242" s="513">
        <v>2.94</v>
      </c>
      <c r="N242" s="514">
        <f>LANÇ_MOV[[#This Row],[VALOR BRUTO]]-LANÇ_MOV[[#This Row],[DESCONTO]]+LANÇ_MOV[[#This Row],[JUROS]]+LANÇ_MOV[[#This Row],[MULTA]]</f>
        <v>313.92</v>
      </c>
      <c r="O242" s="528">
        <v>45764</v>
      </c>
      <c r="P242" s="516" t="str">
        <f t="shared" ca="1" si="3"/>
        <v>Venceu</v>
      </c>
      <c r="Q242" s="528"/>
      <c r="R242" s="529" t="s">
        <v>1506</v>
      </c>
      <c r="S242" s="518"/>
      <c r="T242" s="518" t="s">
        <v>1776</v>
      </c>
      <c r="U242" s="519" t="s">
        <v>2007</v>
      </c>
      <c r="V242" s="520" t="str">
        <f>IFERROR(VLOOKUP(LANÇ_MOV[[#This Row],[PLANO DE CONTAS]],Plano_Contas[[PLANO DE CONTAS]:[R / D]],3,0),"")</f>
        <v>Despesa</v>
      </c>
      <c r="W242" s="521" t="str">
        <f>IF(LANÇ_MOV[[#This Row],[DATA DE PAGAMENTO]]&lt;&gt;"","Pago","Não Pago")</f>
        <v>Não Pago</v>
      </c>
      <c r="X242" s="522" t="str">
        <f>IFERROR(IF(LANÇ_MOV[[#This Row],[DATA DE PAGAMENTO]]="","",(UPPER(TEXT(LANÇ_MOV[[#This Row],[DATA DE PAGAMENTO]],"mmmm")))),"")</f>
        <v/>
      </c>
      <c r="Y242" s="523" t="str">
        <f>IFERROR(VLOOKUP(LANÇ_MOV[[#This Row],[PLANO DE CONTAS]],Plano_Contas[[PLANO DE CONTAS]:[NOMES INTERVALOS]],2,0),"")</f>
        <v>Despesas_Endividamentos</v>
      </c>
      <c r="Z242" s="523" t="str">
        <f>IF(LANÇ_MOV[[#This Row],[FORMA DE PAGAMENTO]]="","",VLOOKUP(LANÇ_MOV[[#This Row],[FORMA DE PAGAMENTO]],CAD_Forma_pagto[],2,0))</f>
        <v>BOLETO</v>
      </c>
      <c r="AA242" s="524" t="str">
        <f>IF(LANÇ_MOV[[#This Row],[DATA DE LANÇAMENTO]]="","",TEXT(LANÇ_MOV[[#This Row],[DATA DE LANÇAMENTO]],"AAAA"))</f>
        <v>2025</v>
      </c>
      <c r="AB242" s="524" t="str">
        <f>IF(LANÇ_MOV[[#This Row],[DATA DE LANÇAMENTO]]="","",UPPER(TEXT(LANÇ_MOV[[#This Row],[DATA DE LANÇAMENTO]],"MMMM")))</f>
        <v>OUTUBRO</v>
      </c>
      <c r="AC242" s="525" t="str">
        <f>IF(LANÇ_MOV[[#This Row],[DATA DE LANÇAMENTO]]="","",PROPER(TEXT(LANÇ_MOV[[#This Row],[DATA DE LANÇAMENTO]],"M")))</f>
        <v>10</v>
      </c>
      <c r="AD242" s="524" t="str">
        <f>IF(LANÇ_MOV[[#This Row],[DATA DE LANÇAMENTO]]="","",TEXT(LANÇ_MOV[[#This Row],[DATA DE LANÇAMENTO]],"D"))</f>
        <v>1</v>
      </c>
      <c r="AE242" s="526" t="str">
        <f>IF(LANÇ_MOV[[#This Row],[DATA DE VENCIMENTO]]="","",TEXT(LANÇ_MOV[[#This Row],[DATA DE VENCIMENTO]],"AAAA"))</f>
        <v>2025</v>
      </c>
      <c r="AF242" s="526" t="str">
        <f>IF(LANÇ_MOV[[#This Row],[DATA DE VENCIMENTO]]="","",UPPER(TEXT(LANÇ_MOV[[#This Row],[DATA DE VENCIMENTO]],"MMMM")))</f>
        <v>ABRIL</v>
      </c>
      <c r="AG242" s="526" t="str">
        <f>IF(LANÇ_MOV[[#This Row],[DATA DE VENCIMENTO]]="","",TEXT(LANÇ_MOV[[#This Row],[DATA DE VENCIMENTO]],"M"))</f>
        <v>4</v>
      </c>
      <c r="AH242" s="526" t="str">
        <f>IF(LANÇ_MOV[[#This Row],[DATA DE VENCIMENTO]]="","",TEXT(LANÇ_MOV[[#This Row],[DATA DE VENCIMENTO]],"D"))</f>
        <v>17</v>
      </c>
      <c r="AI242" s="526" t="str">
        <f>IF(LANÇ_MOV[[#This Row],[DATA DE PAGAMENTO]]="","",TEXT(LANÇ_MOV[[#This Row],[DATA DE PAGAMENTO]],"AAAA"))</f>
        <v/>
      </c>
      <c r="AJ242" s="527" t="str">
        <f>IF(LANÇ_MOV[[#This Row],[DATA DE PAGAMENTO]]="","",UPPER(TEXT(LANÇ_MOV[[#This Row],[DATA DE PAGAMENTO]],"MMMM")))</f>
        <v/>
      </c>
      <c r="AK242" s="527" t="str">
        <f>IF(LANÇ_MOV[[#This Row],[DATA DE PAGAMENTO]]="","",TEXT(LANÇ_MOV[[#This Row],[DATA DE PAGAMENTO]],"M"))</f>
        <v/>
      </c>
      <c r="AL242" s="526" t="str">
        <f>IF(LANÇ_MOV[[#This Row],[DATA DE PAGAMENTO]]="","",TEXT(LANÇ_MOV[[#This Row],[DATA DE PAGAMENTO]],"D"))</f>
        <v/>
      </c>
      <c r="AM242" s="27"/>
      <c r="BB242" s="112"/>
      <c r="BC242" s="112"/>
      <c r="BD242" s="112"/>
    </row>
    <row r="243" spans="2:56" ht="30.05" customHeight="1" x14ac:dyDescent="0.35">
      <c r="B243" s="506">
        <v>45931</v>
      </c>
      <c r="C243" s="507" t="s">
        <v>1661</v>
      </c>
      <c r="D243" s="508" t="s">
        <v>1854</v>
      </c>
      <c r="E243" s="509" t="s">
        <v>1440</v>
      </c>
      <c r="F243" s="510" t="s">
        <v>1847</v>
      </c>
      <c r="G243" s="507" t="s">
        <v>1912</v>
      </c>
      <c r="H243" s="511"/>
      <c r="I243" s="512" t="s">
        <v>1760</v>
      </c>
      <c r="J243" s="510">
        <v>131.61000000000001</v>
      </c>
      <c r="K243" s="513">
        <v>0</v>
      </c>
      <c r="L243" s="513">
        <v>26.32</v>
      </c>
      <c r="M243" s="513">
        <v>12.34</v>
      </c>
      <c r="N243" s="514">
        <f>LANÇ_MOV[[#This Row],[VALOR BRUTO]]-LANÇ_MOV[[#This Row],[DESCONTO]]+LANÇ_MOV[[#This Row],[JUROS]]+LANÇ_MOV[[#This Row],[MULTA]]</f>
        <v>170.27</v>
      </c>
      <c r="O243" s="528">
        <v>45498</v>
      </c>
      <c r="P243" s="516" t="str">
        <f t="shared" ca="1" si="3"/>
        <v>Venceu</v>
      </c>
      <c r="Q243" s="528"/>
      <c r="R243" s="529" t="s">
        <v>1506</v>
      </c>
      <c r="S243" s="518"/>
      <c r="T243" s="518" t="s">
        <v>1776</v>
      </c>
      <c r="U243" s="519" t="s">
        <v>2007</v>
      </c>
      <c r="V243" s="520" t="str">
        <f>IFERROR(VLOOKUP(LANÇ_MOV[[#This Row],[PLANO DE CONTAS]],Plano_Contas[[PLANO DE CONTAS]:[R / D]],3,0),"")</f>
        <v>Despesa</v>
      </c>
      <c r="W243" s="521" t="str">
        <f>IF(LANÇ_MOV[[#This Row],[DATA DE PAGAMENTO]]&lt;&gt;"","Pago","Não Pago")</f>
        <v>Não Pago</v>
      </c>
      <c r="X243" s="522" t="str">
        <f>IFERROR(IF(LANÇ_MOV[[#This Row],[DATA DE PAGAMENTO]]="","",(UPPER(TEXT(LANÇ_MOV[[#This Row],[DATA DE PAGAMENTO]],"mmmm")))),"")</f>
        <v/>
      </c>
      <c r="Y243" s="523" t="str">
        <f>IFERROR(VLOOKUP(LANÇ_MOV[[#This Row],[PLANO DE CONTAS]],Plano_Contas[[PLANO DE CONTAS]:[NOMES INTERVALOS]],2,0),"")</f>
        <v>Despesas_Endividamentos</v>
      </c>
      <c r="Z243" s="523" t="str">
        <f>IF(LANÇ_MOV[[#This Row],[FORMA DE PAGAMENTO]]="","",VLOOKUP(LANÇ_MOV[[#This Row],[FORMA DE PAGAMENTO]],CAD_Forma_pagto[],2,0))</f>
        <v>BOLETO</v>
      </c>
      <c r="AA243" s="524" t="str">
        <f>IF(LANÇ_MOV[[#This Row],[DATA DE LANÇAMENTO]]="","",TEXT(LANÇ_MOV[[#This Row],[DATA DE LANÇAMENTO]],"AAAA"))</f>
        <v>2025</v>
      </c>
      <c r="AB243" s="524" t="str">
        <f>IF(LANÇ_MOV[[#This Row],[DATA DE LANÇAMENTO]]="","",UPPER(TEXT(LANÇ_MOV[[#This Row],[DATA DE LANÇAMENTO]],"MMMM")))</f>
        <v>OUTUBRO</v>
      </c>
      <c r="AC243" s="525" t="str">
        <f>IF(LANÇ_MOV[[#This Row],[DATA DE LANÇAMENTO]]="","",PROPER(TEXT(LANÇ_MOV[[#This Row],[DATA DE LANÇAMENTO]],"M")))</f>
        <v>10</v>
      </c>
      <c r="AD243" s="524" t="str">
        <f>IF(LANÇ_MOV[[#This Row],[DATA DE LANÇAMENTO]]="","",TEXT(LANÇ_MOV[[#This Row],[DATA DE LANÇAMENTO]],"D"))</f>
        <v>1</v>
      </c>
      <c r="AE243" s="526" t="str">
        <f>IF(LANÇ_MOV[[#This Row],[DATA DE VENCIMENTO]]="","",TEXT(LANÇ_MOV[[#This Row],[DATA DE VENCIMENTO]],"AAAA"))</f>
        <v>2024</v>
      </c>
      <c r="AF243" s="526" t="str">
        <f>IF(LANÇ_MOV[[#This Row],[DATA DE VENCIMENTO]]="","",UPPER(TEXT(LANÇ_MOV[[#This Row],[DATA DE VENCIMENTO]],"MMMM")))</f>
        <v>JULHO</v>
      </c>
      <c r="AG243" s="526" t="str">
        <f>IF(LANÇ_MOV[[#This Row],[DATA DE VENCIMENTO]]="","",TEXT(LANÇ_MOV[[#This Row],[DATA DE VENCIMENTO]],"M"))</f>
        <v>7</v>
      </c>
      <c r="AH243" s="526" t="str">
        <f>IF(LANÇ_MOV[[#This Row],[DATA DE VENCIMENTO]]="","",TEXT(LANÇ_MOV[[#This Row],[DATA DE VENCIMENTO]],"D"))</f>
        <v>25</v>
      </c>
      <c r="AI243" s="526" t="str">
        <f>IF(LANÇ_MOV[[#This Row],[DATA DE PAGAMENTO]]="","",TEXT(LANÇ_MOV[[#This Row],[DATA DE PAGAMENTO]],"AAAA"))</f>
        <v/>
      </c>
      <c r="AJ243" s="527" t="str">
        <f>IF(LANÇ_MOV[[#This Row],[DATA DE PAGAMENTO]]="","",UPPER(TEXT(LANÇ_MOV[[#This Row],[DATA DE PAGAMENTO]],"MMMM")))</f>
        <v/>
      </c>
      <c r="AK243" s="527" t="str">
        <f>IF(LANÇ_MOV[[#This Row],[DATA DE PAGAMENTO]]="","",TEXT(LANÇ_MOV[[#This Row],[DATA DE PAGAMENTO]],"M"))</f>
        <v/>
      </c>
      <c r="AL243" s="526" t="str">
        <f>IF(LANÇ_MOV[[#This Row],[DATA DE PAGAMENTO]]="","",TEXT(LANÇ_MOV[[#This Row],[DATA DE PAGAMENTO]],"D"))</f>
        <v/>
      </c>
      <c r="AM243" s="27"/>
      <c r="BB243" s="112"/>
      <c r="BC243" s="112"/>
      <c r="BD243" s="112"/>
    </row>
    <row r="244" spans="2:56" ht="30.05" customHeight="1" x14ac:dyDescent="0.35">
      <c r="B244" s="506">
        <v>45931</v>
      </c>
      <c r="C244" s="507" t="s">
        <v>1661</v>
      </c>
      <c r="D244" s="508" t="s">
        <v>1854</v>
      </c>
      <c r="E244" s="509" t="s">
        <v>1440</v>
      </c>
      <c r="F244" s="510" t="s">
        <v>1847</v>
      </c>
      <c r="G244" s="507" t="s">
        <v>1913</v>
      </c>
      <c r="H244" s="511"/>
      <c r="I244" s="512" t="s">
        <v>1760</v>
      </c>
      <c r="J244" s="510">
        <v>104.36</v>
      </c>
      <c r="K244" s="513">
        <v>0</v>
      </c>
      <c r="L244" s="513">
        <v>20.87</v>
      </c>
      <c r="M244" s="513">
        <v>8.8800000000000008</v>
      </c>
      <c r="N244" s="514">
        <f>LANÇ_MOV[[#This Row],[VALOR BRUTO]]-LANÇ_MOV[[#This Row],[DESCONTO]]+LANÇ_MOV[[#This Row],[JUROS]]+LANÇ_MOV[[#This Row],[MULTA]]</f>
        <v>134.11000000000001</v>
      </c>
      <c r="O244" s="528">
        <v>45527</v>
      </c>
      <c r="P244" s="516" t="str">
        <f t="shared" ca="1" si="3"/>
        <v>Venceu</v>
      </c>
      <c r="Q244" s="528"/>
      <c r="R244" s="529" t="s">
        <v>1506</v>
      </c>
      <c r="S244" s="518"/>
      <c r="T244" s="518" t="s">
        <v>1776</v>
      </c>
      <c r="U244" s="519" t="s">
        <v>2007</v>
      </c>
      <c r="V244" s="520" t="str">
        <f>IFERROR(VLOOKUP(LANÇ_MOV[[#This Row],[PLANO DE CONTAS]],Plano_Contas[[PLANO DE CONTAS]:[R / D]],3,0),"")</f>
        <v>Despesa</v>
      </c>
      <c r="W244" s="521" t="str">
        <f>IF(LANÇ_MOV[[#This Row],[DATA DE PAGAMENTO]]&lt;&gt;"","Pago","Não Pago")</f>
        <v>Não Pago</v>
      </c>
      <c r="X244" s="522" t="str">
        <f>IFERROR(IF(LANÇ_MOV[[#This Row],[DATA DE PAGAMENTO]]="","",(UPPER(TEXT(LANÇ_MOV[[#This Row],[DATA DE PAGAMENTO]],"mmmm")))),"")</f>
        <v/>
      </c>
      <c r="Y244" s="523" t="str">
        <f>IFERROR(VLOOKUP(LANÇ_MOV[[#This Row],[PLANO DE CONTAS]],Plano_Contas[[PLANO DE CONTAS]:[NOMES INTERVALOS]],2,0),"")</f>
        <v>Despesas_Endividamentos</v>
      </c>
      <c r="Z244" s="523" t="str">
        <f>IF(LANÇ_MOV[[#This Row],[FORMA DE PAGAMENTO]]="","",VLOOKUP(LANÇ_MOV[[#This Row],[FORMA DE PAGAMENTO]],CAD_Forma_pagto[],2,0))</f>
        <v>BOLETO</v>
      </c>
      <c r="AA244" s="524" t="str">
        <f>IF(LANÇ_MOV[[#This Row],[DATA DE LANÇAMENTO]]="","",TEXT(LANÇ_MOV[[#This Row],[DATA DE LANÇAMENTO]],"AAAA"))</f>
        <v>2025</v>
      </c>
      <c r="AB244" s="524" t="str">
        <f>IF(LANÇ_MOV[[#This Row],[DATA DE LANÇAMENTO]]="","",UPPER(TEXT(LANÇ_MOV[[#This Row],[DATA DE LANÇAMENTO]],"MMMM")))</f>
        <v>OUTUBRO</v>
      </c>
      <c r="AC244" s="525" t="str">
        <f>IF(LANÇ_MOV[[#This Row],[DATA DE LANÇAMENTO]]="","",PROPER(TEXT(LANÇ_MOV[[#This Row],[DATA DE LANÇAMENTO]],"M")))</f>
        <v>10</v>
      </c>
      <c r="AD244" s="524" t="str">
        <f>IF(LANÇ_MOV[[#This Row],[DATA DE LANÇAMENTO]]="","",TEXT(LANÇ_MOV[[#This Row],[DATA DE LANÇAMENTO]],"D"))</f>
        <v>1</v>
      </c>
      <c r="AE244" s="526" t="str">
        <f>IF(LANÇ_MOV[[#This Row],[DATA DE VENCIMENTO]]="","",TEXT(LANÇ_MOV[[#This Row],[DATA DE VENCIMENTO]],"AAAA"))</f>
        <v>2024</v>
      </c>
      <c r="AF244" s="526" t="str">
        <f>IF(LANÇ_MOV[[#This Row],[DATA DE VENCIMENTO]]="","",UPPER(TEXT(LANÇ_MOV[[#This Row],[DATA DE VENCIMENTO]],"MMMM")))</f>
        <v>AGOSTO</v>
      </c>
      <c r="AG244" s="526" t="str">
        <f>IF(LANÇ_MOV[[#This Row],[DATA DE VENCIMENTO]]="","",TEXT(LANÇ_MOV[[#This Row],[DATA DE VENCIMENTO]],"M"))</f>
        <v>8</v>
      </c>
      <c r="AH244" s="526" t="str">
        <f>IF(LANÇ_MOV[[#This Row],[DATA DE VENCIMENTO]]="","",TEXT(LANÇ_MOV[[#This Row],[DATA DE VENCIMENTO]],"D"))</f>
        <v>23</v>
      </c>
      <c r="AI244" s="526" t="str">
        <f>IF(LANÇ_MOV[[#This Row],[DATA DE PAGAMENTO]]="","",TEXT(LANÇ_MOV[[#This Row],[DATA DE PAGAMENTO]],"AAAA"))</f>
        <v/>
      </c>
      <c r="AJ244" s="527" t="str">
        <f>IF(LANÇ_MOV[[#This Row],[DATA DE PAGAMENTO]]="","",UPPER(TEXT(LANÇ_MOV[[#This Row],[DATA DE PAGAMENTO]],"MMMM")))</f>
        <v/>
      </c>
      <c r="AK244" s="527" t="str">
        <f>IF(LANÇ_MOV[[#This Row],[DATA DE PAGAMENTO]]="","",TEXT(LANÇ_MOV[[#This Row],[DATA DE PAGAMENTO]],"M"))</f>
        <v/>
      </c>
      <c r="AL244" s="526" t="str">
        <f>IF(LANÇ_MOV[[#This Row],[DATA DE PAGAMENTO]]="","",TEXT(LANÇ_MOV[[#This Row],[DATA DE PAGAMENTO]],"D"))</f>
        <v/>
      </c>
      <c r="AM244" s="27"/>
      <c r="BB244" s="112"/>
      <c r="BC244" s="112"/>
      <c r="BD244" s="112"/>
    </row>
    <row r="245" spans="2:56" ht="30.05" customHeight="1" x14ac:dyDescent="0.35">
      <c r="B245" s="506">
        <v>45931</v>
      </c>
      <c r="C245" s="507" t="s">
        <v>1661</v>
      </c>
      <c r="D245" s="508" t="s">
        <v>1854</v>
      </c>
      <c r="E245" s="509" t="s">
        <v>1440</v>
      </c>
      <c r="F245" s="510" t="s">
        <v>1847</v>
      </c>
      <c r="G245" s="507" t="s">
        <v>1914</v>
      </c>
      <c r="H245" s="511"/>
      <c r="I245" s="512" t="s">
        <v>1760</v>
      </c>
      <c r="J245" s="510">
        <v>151.44999999999999</v>
      </c>
      <c r="K245" s="513">
        <v>0</v>
      </c>
      <c r="L245" s="513">
        <v>30.29</v>
      </c>
      <c r="M245" s="513">
        <v>11.61</v>
      </c>
      <c r="N245" s="514">
        <f>LANÇ_MOV[[#This Row],[VALOR BRUTO]]-LANÇ_MOV[[#This Row],[DESCONTO]]+LANÇ_MOV[[#This Row],[JUROS]]+LANÇ_MOV[[#This Row],[MULTA]]</f>
        <v>193.34999999999997</v>
      </c>
      <c r="O245" s="528">
        <v>45560</v>
      </c>
      <c r="P245" s="516" t="str">
        <f t="shared" ca="1" si="3"/>
        <v>Venceu</v>
      </c>
      <c r="Q245" s="528"/>
      <c r="R245" s="529" t="s">
        <v>1506</v>
      </c>
      <c r="S245" s="518"/>
      <c r="T245" s="518" t="s">
        <v>1776</v>
      </c>
      <c r="U245" s="519" t="s">
        <v>2007</v>
      </c>
      <c r="V245" s="520" t="str">
        <f>IFERROR(VLOOKUP(LANÇ_MOV[[#This Row],[PLANO DE CONTAS]],Plano_Contas[[PLANO DE CONTAS]:[R / D]],3,0),"")</f>
        <v>Despesa</v>
      </c>
      <c r="W245" s="521" t="str">
        <f>IF(LANÇ_MOV[[#This Row],[DATA DE PAGAMENTO]]&lt;&gt;"","Pago","Não Pago")</f>
        <v>Não Pago</v>
      </c>
      <c r="X245" s="522" t="str">
        <f>IFERROR(IF(LANÇ_MOV[[#This Row],[DATA DE PAGAMENTO]]="","",(UPPER(TEXT(LANÇ_MOV[[#This Row],[DATA DE PAGAMENTO]],"mmmm")))),"")</f>
        <v/>
      </c>
      <c r="Y245" s="523" t="str">
        <f>IFERROR(VLOOKUP(LANÇ_MOV[[#This Row],[PLANO DE CONTAS]],Plano_Contas[[PLANO DE CONTAS]:[NOMES INTERVALOS]],2,0),"")</f>
        <v>Despesas_Endividamentos</v>
      </c>
      <c r="Z245" s="523" t="str">
        <f>IF(LANÇ_MOV[[#This Row],[FORMA DE PAGAMENTO]]="","",VLOOKUP(LANÇ_MOV[[#This Row],[FORMA DE PAGAMENTO]],CAD_Forma_pagto[],2,0))</f>
        <v>BOLETO</v>
      </c>
      <c r="AA245" s="524" t="str">
        <f>IF(LANÇ_MOV[[#This Row],[DATA DE LANÇAMENTO]]="","",TEXT(LANÇ_MOV[[#This Row],[DATA DE LANÇAMENTO]],"AAAA"))</f>
        <v>2025</v>
      </c>
      <c r="AB245" s="524" t="str">
        <f>IF(LANÇ_MOV[[#This Row],[DATA DE LANÇAMENTO]]="","",UPPER(TEXT(LANÇ_MOV[[#This Row],[DATA DE LANÇAMENTO]],"MMMM")))</f>
        <v>OUTUBRO</v>
      </c>
      <c r="AC245" s="525" t="str">
        <f>IF(LANÇ_MOV[[#This Row],[DATA DE LANÇAMENTO]]="","",PROPER(TEXT(LANÇ_MOV[[#This Row],[DATA DE LANÇAMENTO]],"M")))</f>
        <v>10</v>
      </c>
      <c r="AD245" s="524" t="str">
        <f>IF(LANÇ_MOV[[#This Row],[DATA DE LANÇAMENTO]]="","",TEXT(LANÇ_MOV[[#This Row],[DATA DE LANÇAMENTO]],"D"))</f>
        <v>1</v>
      </c>
      <c r="AE245" s="526" t="str">
        <f>IF(LANÇ_MOV[[#This Row],[DATA DE VENCIMENTO]]="","",TEXT(LANÇ_MOV[[#This Row],[DATA DE VENCIMENTO]],"AAAA"))</f>
        <v>2024</v>
      </c>
      <c r="AF245" s="526" t="str">
        <f>IF(LANÇ_MOV[[#This Row],[DATA DE VENCIMENTO]]="","",UPPER(TEXT(LANÇ_MOV[[#This Row],[DATA DE VENCIMENTO]],"MMMM")))</f>
        <v>SETEMBRO</v>
      </c>
      <c r="AG245" s="526" t="str">
        <f>IF(LANÇ_MOV[[#This Row],[DATA DE VENCIMENTO]]="","",TEXT(LANÇ_MOV[[#This Row],[DATA DE VENCIMENTO]],"M"))</f>
        <v>9</v>
      </c>
      <c r="AH245" s="526" t="str">
        <f>IF(LANÇ_MOV[[#This Row],[DATA DE VENCIMENTO]]="","",TEXT(LANÇ_MOV[[#This Row],[DATA DE VENCIMENTO]],"D"))</f>
        <v>25</v>
      </c>
      <c r="AI245" s="526" t="str">
        <f>IF(LANÇ_MOV[[#This Row],[DATA DE PAGAMENTO]]="","",TEXT(LANÇ_MOV[[#This Row],[DATA DE PAGAMENTO]],"AAAA"))</f>
        <v/>
      </c>
      <c r="AJ245" s="527" t="str">
        <f>IF(LANÇ_MOV[[#This Row],[DATA DE PAGAMENTO]]="","",UPPER(TEXT(LANÇ_MOV[[#This Row],[DATA DE PAGAMENTO]],"MMMM")))</f>
        <v/>
      </c>
      <c r="AK245" s="527" t="str">
        <f>IF(LANÇ_MOV[[#This Row],[DATA DE PAGAMENTO]]="","",TEXT(LANÇ_MOV[[#This Row],[DATA DE PAGAMENTO]],"M"))</f>
        <v/>
      </c>
      <c r="AL245" s="526" t="str">
        <f>IF(LANÇ_MOV[[#This Row],[DATA DE PAGAMENTO]]="","",TEXT(LANÇ_MOV[[#This Row],[DATA DE PAGAMENTO]],"D"))</f>
        <v/>
      </c>
      <c r="AM245" s="27"/>
      <c r="BB245" s="112"/>
      <c r="BC245" s="112"/>
      <c r="BD245" s="112"/>
    </row>
    <row r="246" spans="2:56" ht="30.05" customHeight="1" x14ac:dyDescent="0.35">
      <c r="B246" s="506">
        <v>45931</v>
      </c>
      <c r="C246" s="507" t="s">
        <v>1661</v>
      </c>
      <c r="D246" s="508" t="s">
        <v>1854</v>
      </c>
      <c r="E246" s="509" t="s">
        <v>1440</v>
      </c>
      <c r="F246" s="510" t="s">
        <v>1847</v>
      </c>
      <c r="G246" s="507" t="s">
        <v>1915</v>
      </c>
      <c r="H246" s="511"/>
      <c r="I246" s="512" t="s">
        <v>1760</v>
      </c>
      <c r="J246" s="510">
        <v>151.63999999999999</v>
      </c>
      <c r="K246" s="513">
        <v>0</v>
      </c>
      <c r="L246" s="513">
        <v>30.32</v>
      </c>
      <c r="M246" s="513">
        <v>10.220000000000001</v>
      </c>
      <c r="N246" s="514">
        <f>LANÇ_MOV[[#This Row],[VALOR BRUTO]]-LANÇ_MOV[[#This Row],[DESCONTO]]+LANÇ_MOV[[#This Row],[JUROS]]+LANÇ_MOV[[#This Row],[MULTA]]</f>
        <v>192.17999999999998</v>
      </c>
      <c r="O246" s="528">
        <v>45590</v>
      </c>
      <c r="P246" s="516" t="str">
        <f t="shared" ca="1" si="3"/>
        <v>Venceu</v>
      </c>
      <c r="Q246" s="528"/>
      <c r="R246" s="529" t="s">
        <v>1506</v>
      </c>
      <c r="S246" s="518"/>
      <c r="T246" s="518" t="s">
        <v>1776</v>
      </c>
      <c r="U246" s="519" t="s">
        <v>2007</v>
      </c>
      <c r="V246" s="520" t="str">
        <f>IFERROR(VLOOKUP(LANÇ_MOV[[#This Row],[PLANO DE CONTAS]],Plano_Contas[[PLANO DE CONTAS]:[R / D]],3,0),"")</f>
        <v>Despesa</v>
      </c>
      <c r="W246" s="521" t="str">
        <f>IF(LANÇ_MOV[[#This Row],[DATA DE PAGAMENTO]]&lt;&gt;"","Pago","Não Pago")</f>
        <v>Não Pago</v>
      </c>
      <c r="X246" s="522" t="str">
        <f>IFERROR(IF(LANÇ_MOV[[#This Row],[DATA DE PAGAMENTO]]="","",(UPPER(TEXT(LANÇ_MOV[[#This Row],[DATA DE PAGAMENTO]],"mmmm")))),"")</f>
        <v/>
      </c>
      <c r="Y246" s="523" t="str">
        <f>IFERROR(VLOOKUP(LANÇ_MOV[[#This Row],[PLANO DE CONTAS]],Plano_Contas[[PLANO DE CONTAS]:[NOMES INTERVALOS]],2,0),"")</f>
        <v>Despesas_Endividamentos</v>
      </c>
      <c r="Z246" s="523" t="str">
        <f>IF(LANÇ_MOV[[#This Row],[FORMA DE PAGAMENTO]]="","",VLOOKUP(LANÇ_MOV[[#This Row],[FORMA DE PAGAMENTO]],CAD_Forma_pagto[],2,0))</f>
        <v>BOLETO</v>
      </c>
      <c r="AA246" s="524" t="str">
        <f>IF(LANÇ_MOV[[#This Row],[DATA DE LANÇAMENTO]]="","",TEXT(LANÇ_MOV[[#This Row],[DATA DE LANÇAMENTO]],"AAAA"))</f>
        <v>2025</v>
      </c>
      <c r="AB246" s="524" t="str">
        <f>IF(LANÇ_MOV[[#This Row],[DATA DE LANÇAMENTO]]="","",UPPER(TEXT(LANÇ_MOV[[#This Row],[DATA DE LANÇAMENTO]],"MMMM")))</f>
        <v>OUTUBRO</v>
      </c>
      <c r="AC246" s="525" t="str">
        <f>IF(LANÇ_MOV[[#This Row],[DATA DE LANÇAMENTO]]="","",PROPER(TEXT(LANÇ_MOV[[#This Row],[DATA DE LANÇAMENTO]],"M")))</f>
        <v>10</v>
      </c>
      <c r="AD246" s="524" t="str">
        <f>IF(LANÇ_MOV[[#This Row],[DATA DE LANÇAMENTO]]="","",TEXT(LANÇ_MOV[[#This Row],[DATA DE LANÇAMENTO]],"D"))</f>
        <v>1</v>
      </c>
      <c r="AE246" s="526" t="str">
        <f>IF(LANÇ_MOV[[#This Row],[DATA DE VENCIMENTO]]="","",TEXT(LANÇ_MOV[[#This Row],[DATA DE VENCIMENTO]],"AAAA"))</f>
        <v>2024</v>
      </c>
      <c r="AF246" s="526" t="str">
        <f>IF(LANÇ_MOV[[#This Row],[DATA DE VENCIMENTO]]="","",UPPER(TEXT(LANÇ_MOV[[#This Row],[DATA DE VENCIMENTO]],"MMMM")))</f>
        <v>OUTUBRO</v>
      </c>
      <c r="AG246" s="526" t="str">
        <f>IF(LANÇ_MOV[[#This Row],[DATA DE VENCIMENTO]]="","",TEXT(LANÇ_MOV[[#This Row],[DATA DE VENCIMENTO]],"M"))</f>
        <v>10</v>
      </c>
      <c r="AH246" s="526" t="str">
        <f>IF(LANÇ_MOV[[#This Row],[DATA DE VENCIMENTO]]="","",TEXT(LANÇ_MOV[[#This Row],[DATA DE VENCIMENTO]],"D"))</f>
        <v>25</v>
      </c>
      <c r="AI246" s="526" t="str">
        <f>IF(LANÇ_MOV[[#This Row],[DATA DE PAGAMENTO]]="","",TEXT(LANÇ_MOV[[#This Row],[DATA DE PAGAMENTO]],"AAAA"))</f>
        <v/>
      </c>
      <c r="AJ246" s="527" t="str">
        <f>IF(LANÇ_MOV[[#This Row],[DATA DE PAGAMENTO]]="","",UPPER(TEXT(LANÇ_MOV[[#This Row],[DATA DE PAGAMENTO]],"MMMM")))</f>
        <v/>
      </c>
      <c r="AK246" s="527" t="str">
        <f>IF(LANÇ_MOV[[#This Row],[DATA DE PAGAMENTO]]="","",TEXT(LANÇ_MOV[[#This Row],[DATA DE PAGAMENTO]],"M"))</f>
        <v/>
      </c>
      <c r="AL246" s="526" t="str">
        <f>IF(LANÇ_MOV[[#This Row],[DATA DE PAGAMENTO]]="","",TEXT(LANÇ_MOV[[#This Row],[DATA DE PAGAMENTO]],"D"))</f>
        <v/>
      </c>
      <c r="AM246" s="27"/>
      <c r="BB246" s="112"/>
      <c r="BC246" s="112"/>
      <c r="BD246" s="112"/>
    </row>
    <row r="247" spans="2:56" ht="30.05" customHeight="1" x14ac:dyDescent="0.35">
      <c r="B247" s="506">
        <v>45931</v>
      </c>
      <c r="C247" s="507" t="s">
        <v>1661</v>
      </c>
      <c r="D247" s="508" t="s">
        <v>1854</v>
      </c>
      <c r="E247" s="509" t="s">
        <v>1440</v>
      </c>
      <c r="F247" s="510" t="s">
        <v>1847</v>
      </c>
      <c r="G247" s="507" t="s">
        <v>1916</v>
      </c>
      <c r="H247" s="511"/>
      <c r="I247" s="512" t="s">
        <v>1760</v>
      </c>
      <c r="J247" s="510">
        <v>176.13</v>
      </c>
      <c r="K247" s="513">
        <v>0</v>
      </c>
      <c r="L247" s="513">
        <v>35.22</v>
      </c>
      <c r="M247" s="513">
        <v>10.47</v>
      </c>
      <c r="N247" s="514">
        <f>LANÇ_MOV[[#This Row],[VALOR BRUTO]]-LANÇ_MOV[[#This Row],[DESCONTO]]+LANÇ_MOV[[#This Row],[JUROS]]+LANÇ_MOV[[#This Row],[MULTA]]</f>
        <v>221.82</v>
      </c>
      <c r="O247" s="528">
        <v>45621</v>
      </c>
      <c r="P247" s="516" t="str">
        <f t="shared" ca="1" si="3"/>
        <v>Venceu</v>
      </c>
      <c r="Q247" s="528"/>
      <c r="R247" s="529" t="s">
        <v>1506</v>
      </c>
      <c r="S247" s="518"/>
      <c r="T247" s="518" t="s">
        <v>1776</v>
      </c>
      <c r="U247" s="519" t="s">
        <v>2007</v>
      </c>
      <c r="V247" s="520" t="str">
        <f>IFERROR(VLOOKUP(LANÇ_MOV[[#This Row],[PLANO DE CONTAS]],Plano_Contas[[PLANO DE CONTAS]:[R / D]],3,0),"")</f>
        <v>Despesa</v>
      </c>
      <c r="W247" s="521" t="str">
        <f>IF(LANÇ_MOV[[#This Row],[DATA DE PAGAMENTO]]&lt;&gt;"","Pago","Não Pago")</f>
        <v>Não Pago</v>
      </c>
      <c r="X247" s="522" t="str">
        <f>IFERROR(IF(LANÇ_MOV[[#This Row],[DATA DE PAGAMENTO]]="","",(UPPER(TEXT(LANÇ_MOV[[#This Row],[DATA DE PAGAMENTO]],"mmmm")))),"")</f>
        <v/>
      </c>
      <c r="Y247" s="523" t="str">
        <f>IFERROR(VLOOKUP(LANÇ_MOV[[#This Row],[PLANO DE CONTAS]],Plano_Contas[[PLANO DE CONTAS]:[NOMES INTERVALOS]],2,0),"")</f>
        <v>Despesas_Endividamentos</v>
      </c>
      <c r="Z247" s="523" t="str">
        <f>IF(LANÇ_MOV[[#This Row],[FORMA DE PAGAMENTO]]="","",VLOOKUP(LANÇ_MOV[[#This Row],[FORMA DE PAGAMENTO]],CAD_Forma_pagto[],2,0))</f>
        <v>BOLETO</v>
      </c>
      <c r="AA247" s="524" t="str">
        <f>IF(LANÇ_MOV[[#This Row],[DATA DE LANÇAMENTO]]="","",TEXT(LANÇ_MOV[[#This Row],[DATA DE LANÇAMENTO]],"AAAA"))</f>
        <v>2025</v>
      </c>
      <c r="AB247" s="524" t="str">
        <f>IF(LANÇ_MOV[[#This Row],[DATA DE LANÇAMENTO]]="","",UPPER(TEXT(LANÇ_MOV[[#This Row],[DATA DE LANÇAMENTO]],"MMMM")))</f>
        <v>OUTUBRO</v>
      </c>
      <c r="AC247" s="525" t="str">
        <f>IF(LANÇ_MOV[[#This Row],[DATA DE LANÇAMENTO]]="","",PROPER(TEXT(LANÇ_MOV[[#This Row],[DATA DE LANÇAMENTO]],"M")))</f>
        <v>10</v>
      </c>
      <c r="AD247" s="524" t="str">
        <f>IF(LANÇ_MOV[[#This Row],[DATA DE LANÇAMENTO]]="","",TEXT(LANÇ_MOV[[#This Row],[DATA DE LANÇAMENTO]],"D"))</f>
        <v>1</v>
      </c>
      <c r="AE247" s="526" t="str">
        <f>IF(LANÇ_MOV[[#This Row],[DATA DE VENCIMENTO]]="","",TEXT(LANÇ_MOV[[#This Row],[DATA DE VENCIMENTO]],"AAAA"))</f>
        <v>2024</v>
      </c>
      <c r="AF247" s="526" t="str">
        <f>IF(LANÇ_MOV[[#This Row],[DATA DE VENCIMENTO]]="","",UPPER(TEXT(LANÇ_MOV[[#This Row],[DATA DE VENCIMENTO]],"MMMM")))</f>
        <v>NOVEMBRO</v>
      </c>
      <c r="AG247" s="526" t="str">
        <f>IF(LANÇ_MOV[[#This Row],[DATA DE VENCIMENTO]]="","",TEXT(LANÇ_MOV[[#This Row],[DATA DE VENCIMENTO]],"M"))</f>
        <v>11</v>
      </c>
      <c r="AH247" s="526" t="str">
        <f>IF(LANÇ_MOV[[#This Row],[DATA DE VENCIMENTO]]="","",TEXT(LANÇ_MOV[[#This Row],[DATA DE VENCIMENTO]],"D"))</f>
        <v>25</v>
      </c>
      <c r="AI247" s="526" t="str">
        <f>IF(LANÇ_MOV[[#This Row],[DATA DE PAGAMENTO]]="","",TEXT(LANÇ_MOV[[#This Row],[DATA DE PAGAMENTO]],"AAAA"))</f>
        <v/>
      </c>
      <c r="AJ247" s="527" t="str">
        <f>IF(LANÇ_MOV[[#This Row],[DATA DE PAGAMENTO]]="","",UPPER(TEXT(LANÇ_MOV[[#This Row],[DATA DE PAGAMENTO]],"MMMM")))</f>
        <v/>
      </c>
      <c r="AK247" s="527" t="str">
        <f>IF(LANÇ_MOV[[#This Row],[DATA DE PAGAMENTO]]="","",TEXT(LANÇ_MOV[[#This Row],[DATA DE PAGAMENTO]],"M"))</f>
        <v/>
      </c>
      <c r="AL247" s="526" t="str">
        <f>IF(LANÇ_MOV[[#This Row],[DATA DE PAGAMENTO]]="","",TEXT(LANÇ_MOV[[#This Row],[DATA DE PAGAMENTO]],"D"))</f>
        <v/>
      </c>
      <c r="AM247" s="27"/>
      <c r="BB247" s="112"/>
      <c r="BC247" s="112"/>
      <c r="BD247" s="112"/>
    </row>
    <row r="248" spans="2:56" ht="30.05" customHeight="1" x14ac:dyDescent="0.35">
      <c r="B248" s="506">
        <v>45931</v>
      </c>
      <c r="C248" s="507" t="s">
        <v>1661</v>
      </c>
      <c r="D248" s="508" t="s">
        <v>1854</v>
      </c>
      <c r="E248" s="509" t="s">
        <v>1440</v>
      </c>
      <c r="F248" s="510" t="s">
        <v>1847</v>
      </c>
      <c r="G248" s="507" t="s">
        <v>1917</v>
      </c>
      <c r="H248" s="511"/>
      <c r="I248" s="512" t="s">
        <v>1760</v>
      </c>
      <c r="J248" s="510">
        <v>111.43</v>
      </c>
      <c r="K248" s="513">
        <v>0</v>
      </c>
      <c r="L248" s="513">
        <v>22.28</v>
      </c>
      <c r="M248" s="513">
        <v>5.59</v>
      </c>
      <c r="N248" s="514">
        <f>LANÇ_MOV[[#This Row],[VALOR BRUTO]]-LANÇ_MOV[[#This Row],[DESCONTO]]+LANÇ_MOV[[#This Row],[JUROS]]+LANÇ_MOV[[#This Row],[MULTA]]</f>
        <v>139.30000000000001</v>
      </c>
      <c r="O248" s="528">
        <v>45650</v>
      </c>
      <c r="P248" s="516" t="str">
        <f t="shared" ca="1" si="3"/>
        <v>Venceu</v>
      </c>
      <c r="Q248" s="528"/>
      <c r="R248" s="529" t="s">
        <v>1506</v>
      </c>
      <c r="S248" s="518"/>
      <c r="T248" s="518" t="s">
        <v>1776</v>
      </c>
      <c r="U248" s="519" t="s">
        <v>2007</v>
      </c>
      <c r="V248" s="520" t="str">
        <f>IFERROR(VLOOKUP(LANÇ_MOV[[#This Row],[PLANO DE CONTAS]],Plano_Contas[[PLANO DE CONTAS]:[R / D]],3,0),"")</f>
        <v>Despesa</v>
      </c>
      <c r="W248" s="521" t="str">
        <f>IF(LANÇ_MOV[[#This Row],[DATA DE PAGAMENTO]]&lt;&gt;"","Pago","Não Pago")</f>
        <v>Não Pago</v>
      </c>
      <c r="X248" s="522" t="str">
        <f>IFERROR(IF(LANÇ_MOV[[#This Row],[DATA DE PAGAMENTO]]="","",(UPPER(TEXT(LANÇ_MOV[[#This Row],[DATA DE PAGAMENTO]],"mmmm")))),"")</f>
        <v/>
      </c>
      <c r="Y248" s="523" t="str">
        <f>IFERROR(VLOOKUP(LANÇ_MOV[[#This Row],[PLANO DE CONTAS]],Plano_Contas[[PLANO DE CONTAS]:[NOMES INTERVALOS]],2,0),"")</f>
        <v>Despesas_Endividamentos</v>
      </c>
      <c r="Z248" s="523" t="str">
        <f>IF(LANÇ_MOV[[#This Row],[FORMA DE PAGAMENTO]]="","",VLOOKUP(LANÇ_MOV[[#This Row],[FORMA DE PAGAMENTO]],CAD_Forma_pagto[],2,0))</f>
        <v>BOLETO</v>
      </c>
      <c r="AA248" s="524" t="str">
        <f>IF(LANÇ_MOV[[#This Row],[DATA DE LANÇAMENTO]]="","",TEXT(LANÇ_MOV[[#This Row],[DATA DE LANÇAMENTO]],"AAAA"))</f>
        <v>2025</v>
      </c>
      <c r="AB248" s="524" t="str">
        <f>IF(LANÇ_MOV[[#This Row],[DATA DE LANÇAMENTO]]="","",UPPER(TEXT(LANÇ_MOV[[#This Row],[DATA DE LANÇAMENTO]],"MMMM")))</f>
        <v>OUTUBRO</v>
      </c>
      <c r="AC248" s="525" t="str">
        <f>IF(LANÇ_MOV[[#This Row],[DATA DE LANÇAMENTO]]="","",PROPER(TEXT(LANÇ_MOV[[#This Row],[DATA DE LANÇAMENTO]],"M")))</f>
        <v>10</v>
      </c>
      <c r="AD248" s="524" t="str">
        <f>IF(LANÇ_MOV[[#This Row],[DATA DE LANÇAMENTO]]="","",TEXT(LANÇ_MOV[[#This Row],[DATA DE LANÇAMENTO]],"D"))</f>
        <v>1</v>
      </c>
      <c r="AE248" s="526" t="str">
        <f>IF(LANÇ_MOV[[#This Row],[DATA DE VENCIMENTO]]="","",TEXT(LANÇ_MOV[[#This Row],[DATA DE VENCIMENTO]],"AAAA"))</f>
        <v>2024</v>
      </c>
      <c r="AF248" s="526" t="str">
        <f>IF(LANÇ_MOV[[#This Row],[DATA DE VENCIMENTO]]="","",UPPER(TEXT(LANÇ_MOV[[#This Row],[DATA DE VENCIMENTO]],"MMMM")))</f>
        <v>DEZEMBRO</v>
      </c>
      <c r="AG248" s="526" t="str">
        <f>IF(LANÇ_MOV[[#This Row],[DATA DE VENCIMENTO]]="","",TEXT(LANÇ_MOV[[#This Row],[DATA DE VENCIMENTO]],"M"))</f>
        <v>12</v>
      </c>
      <c r="AH248" s="526" t="str">
        <f>IF(LANÇ_MOV[[#This Row],[DATA DE VENCIMENTO]]="","",TEXT(LANÇ_MOV[[#This Row],[DATA DE VENCIMENTO]],"D"))</f>
        <v>24</v>
      </c>
      <c r="AI248" s="526" t="str">
        <f>IF(LANÇ_MOV[[#This Row],[DATA DE PAGAMENTO]]="","",TEXT(LANÇ_MOV[[#This Row],[DATA DE PAGAMENTO]],"AAAA"))</f>
        <v/>
      </c>
      <c r="AJ248" s="527" t="str">
        <f>IF(LANÇ_MOV[[#This Row],[DATA DE PAGAMENTO]]="","",UPPER(TEXT(LANÇ_MOV[[#This Row],[DATA DE PAGAMENTO]],"MMMM")))</f>
        <v/>
      </c>
      <c r="AK248" s="527" t="str">
        <f>IF(LANÇ_MOV[[#This Row],[DATA DE PAGAMENTO]]="","",TEXT(LANÇ_MOV[[#This Row],[DATA DE PAGAMENTO]],"M"))</f>
        <v/>
      </c>
      <c r="AL248" s="526" t="str">
        <f>IF(LANÇ_MOV[[#This Row],[DATA DE PAGAMENTO]]="","",TEXT(LANÇ_MOV[[#This Row],[DATA DE PAGAMENTO]],"D"))</f>
        <v/>
      </c>
      <c r="AM248" s="27"/>
      <c r="BB248" s="112"/>
      <c r="BC248" s="112"/>
      <c r="BD248" s="112"/>
    </row>
    <row r="249" spans="2:56" ht="30.05" customHeight="1" x14ac:dyDescent="0.35">
      <c r="B249" s="506">
        <v>45931</v>
      </c>
      <c r="C249" s="507" t="s">
        <v>1661</v>
      </c>
      <c r="D249" s="508" t="s">
        <v>1854</v>
      </c>
      <c r="E249" s="509" t="s">
        <v>1440</v>
      </c>
      <c r="F249" s="510" t="s">
        <v>1847</v>
      </c>
      <c r="G249" s="507" t="s">
        <v>1918</v>
      </c>
      <c r="H249" s="511"/>
      <c r="I249" s="512" t="s">
        <v>1760</v>
      </c>
      <c r="J249" s="510">
        <v>121.09</v>
      </c>
      <c r="K249" s="513">
        <v>0</v>
      </c>
      <c r="L249" s="513">
        <v>24.21</v>
      </c>
      <c r="M249" s="513">
        <v>4.8499999999999996</v>
      </c>
      <c r="N249" s="514">
        <f>LANÇ_MOV[[#This Row],[VALOR BRUTO]]-LANÇ_MOV[[#This Row],[DESCONTO]]+LANÇ_MOV[[#This Row],[JUROS]]+LANÇ_MOV[[#This Row],[MULTA]]</f>
        <v>150.15</v>
      </c>
      <c r="O249" s="528">
        <v>45681</v>
      </c>
      <c r="P249" s="516" t="str">
        <f t="shared" ca="1" si="3"/>
        <v>Venceu</v>
      </c>
      <c r="Q249" s="528"/>
      <c r="R249" s="529" t="s">
        <v>1506</v>
      </c>
      <c r="S249" s="518"/>
      <c r="T249" s="518" t="s">
        <v>1776</v>
      </c>
      <c r="U249" s="519" t="s">
        <v>2007</v>
      </c>
      <c r="V249" s="520" t="str">
        <f>IFERROR(VLOOKUP(LANÇ_MOV[[#This Row],[PLANO DE CONTAS]],Plano_Contas[[PLANO DE CONTAS]:[R / D]],3,0),"")</f>
        <v>Despesa</v>
      </c>
      <c r="W249" s="521" t="str">
        <f>IF(LANÇ_MOV[[#This Row],[DATA DE PAGAMENTO]]&lt;&gt;"","Pago","Não Pago")</f>
        <v>Não Pago</v>
      </c>
      <c r="X249" s="522" t="str">
        <f>IFERROR(IF(LANÇ_MOV[[#This Row],[DATA DE PAGAMENTO]]="","",(UPPER(TEXT(LANÇ_MOV[[#This Row],[DATA DE PAGAMENTO]],"mmmm")))),"")</f>
        <v/>
      </c>
      <c r="Y249" s="523" t="str">
        <f>IFERROR(VLOOKUP(LANÇ_MOV[[#This Row],[PLANO DE CONTAS]],Plano_Contas[[PLANO DE CONTAS]:[NOMES INTERVALOS]],2,0),"")</f>
        <v>Despesas_Endividamentos</v>
      </c>
      <c r="Z249" s="523" t="str">
        <f>IF(LANÇ_MOV[[#This Row],[FORMA DE PAGAMENTO]]="","",VLOOKUP(LANÇ_MOV[[#This Row],[FORMA DE PAGAMENTO]],CAD_Forma_pagto[],2,0))</f>
        <v>BOLETO</v>
      </c>
      <c r="AA249" s="524" t="str">
        <f>IF(LANÇ_MOV[[#This Row],[DATA DE LANÇAMENTO]]="","",TEXT(LANÇ_MOV[[#This Row],[DATA DE LANÇAMENTO]],"AAAA"))</f>
        <v>2025</v>
      </c>
      <c r="AB249" s="524" t="str">
        <f>IF(LANÇ_MOV[[#This Row],[DATA DE LANÇAMENTO]]="","",UPPER(TEXT(LANÇ_MOV[[#This Row],[DATA DE LANÇAMENTO]],"MMMM")))</f>
        <v>OUTUBRO</v>
      </c>
      <c r="AC249" s="525" t="str">
        <f>IF(LANÇ_MOV[[#This Row],[DATA DE LANÇAMENTO]]="","",PROPER(TEXT(LANÇ_MOV[[#This Row],[DATA DE LANÇAMENTO]],"M")))</f>
        <v>10</v>
      </c>
      <c r="AD249" s="524" t="str">
        <f>IF(LANÇ_MOV[[#This Row],[DATA DE LANÇAMENTO]]="","",TEXT(LANÇ_MOV[[#This Row],[DATA DE LANÇAMENTO]],"D"))</f>
        <v>1</v>
      </c>
      <c r="AE249" s="526" t="str">
        <f>IF(LANÇ_MOV[[#This Row],[DATA DE VENCIMENTO]]="","",TEXT(LANÇ_MOV[[#This Row],[DATA DE VENCIMENTO]],"AAAA"))</f>
        <v>2025</v>
      </c>
      <c r="AF249" s="526" t="str">
        <f>IF(LANÇ_MOV[[#This Row],[DATA DE VENCIMENTO]]="","",UPPER(TEXT(LANÇ_MOV[[#This Row],[DATA DE VENCIMENTO]],"MMMM")))</f>
        <v>JANEIRO</v>
      </c>
      <c r="AG249" s="526" t="str">
        <f>IF(LANÇ_MOV[[#This Row],[DATA DE VENCIMENTO]]="","",TEXT(LANÇ_MOV[[#This Row],[DATA DE VENCIMENTO]],"M"))</f>
        <v>1</v>
      </c>
      <c r="AH249" s="526" t="str">
        <f>IF(LANÇ_MOV[[#This Row],[DATA DE VENCIMENTO]]="","",TEXT(LANÇ_MOV[[#This Row],[DATA DE VENCIMENTO]],"D"))</f>
        <v>24</v>
      </c>
      <c r="AI249" s="526" t="str">
        <f>IF(LANÇ_MOV[[#This Row],[DATA DE PAGAMENTO]]="","",TEXT(LANÇ_MOV[[#This Row],[DATA DE PAGAMENTO]],"AAAA"))</f>
        <v/>
      </c>
      <c r="AJ249" s="527" t="str">
        <f>IF(LANÇ_MOV[[#This Row],[DATA DE PAGAMENTO]]="","",UPPER(TEXT(LANÇ_MOV[[#This Row],[DATA DE PAGAMENTO]],"MMMM")))</f>
        <v/>
      </c>
      <c r="AK249" s="527" t="str">
        <f>IF(LANÇ_MOV[[#This Row],[DATA DE PAGAMENTO]]="","",TEXT(LANÇ_MOV[[#This Row],[DATA DE PAGAMENTO]],"M"))</f>
        <v/>
      </c>
      <c r="AL249" s="526" t="str">
        <f>IF(LANÇ_MOV[[#This Row],[DATA DE PAGAMENTO]]="","",TEXT(LANÇ_MOV[[#This Row],[DATA DE PAGAMENTO]],"D"))</f>
        <v/>
      </c>
      <c r="AM249" s="27"/>
      <c r="BB249" s="112"/>
      <c r="BC249" s="112"/>
      <c r="BD249" s="112"/>
    </row>
    <row r="250" spans="2:56" ht="30.05" customHeight="1" x14ac:dyDescent="0.35">
      <c r="B250" s="506">
        <v>45931</v>
      </c>
      <c r="C250" s="507" t="s">
        <v>1661</v>
      </c>
      <c r="D250" s="508" t="s">
        <v>1854</v>
      </c>
      <c r="E250" s="509" t="s">
        <v>1440</v>
      </c>
      <c r="F250" s="510" t="s">
        <v>1847</v>
      </c>
      <c r="G250" s="507" t="s">
        <v>1921</v>
      </c>
      <c r="H250" s="511"/>
      <c r="I250" s="512" t="s">
        <v>1760</v>
      </c>
      <c r="J250" s="510">
        <v>121.98</v>
      </c>
      <c r="K250" s="513">
        <v>0</v>
      </c>
      <c r="L250" s="513">
        <v>24.39</v>
      </c>
      <c r="M250" s="513">
        <v>3.68</v>
      </c>
      <c r="N250" s="514">
        <f>LANÇ_MOV[[#This Row],[VALOR BRUTO]]-LANÇ_MOV[[#This Row],[DESCONTO]]+LANÇ_MOV[[#This Row],[JUROS]]+LANÇ_MOV[[#This Row],[MULTA]]</f>
        <v>150.05000000000001</v>
      </c>
      <c r="O250" s="528">
        <v>45713</v>
      </c>
      <c r="P250" s="516" t="str">
        <f t="shared" ca="1" si="3"/>
        <v>Venceu</v>
      </c>
      <c r="Q250" s="528"/>
      <c r="R250" s="529" t="s">
        <v>1506</v>
      </c>
      <c r="S250" s="518"/>
      <c r="T250" s="518" t="s">
        <v>1776</v>
      </c>
      <c r="U250" s="519" t="s">
        <v>2007</v>
      </c>
      <c r="V250" s="520" t="str">
        <f>IFERROR(VLOOKUP(LANÇ_MOV[[#This Row],[PLANO DE CONTAS]],Plano_Contas[[PLANO DE CONTAS]:[R / D]],3,0),"")</f>
        <v>Despesa</v>
      </c>
      <c r="W250" s="521" t="str">
        <f>IF(LANÇ_MOV[[#This Row],[DATA DE PAGAMENTO]]&lt;&gt;"","Pago","Não Pago")</f>
        <v>Não Pago</v>
      </c>
      <c r="X250" s="522" t="str">
        <f>IFERROR(IF(LANÇ_MOV[[#This Row],[DATA DE PAGAMENTO]]="","",(UPPER(TEXT(LANÇ_MOV[[#This Row],[DATA DE PAGAMENTO]],"mmmm")))),"")</f>
        <v/>
      </c>
      <c r="Y250" s="523" t="str">
        <f>IFERROR(VLOOKUP(LANÇ_MOV[[#This Row],[PLANO DE CONTAS]],Plano_Contas[[PLANO DE CONTAS]:[NOMES INTERVALOS]],2,0),"")</f>
        <v>Despesas_Endividamentos</v>
      </c>
      <c r="Z250" s="523" t="str">
        <f>IF(LANÇ_MOV[[#This Row],[FORMA DE PAGAMENTO]]="","",VLOOKUP(LANÇ_MOV[[#This Row],[FORMA DE PAGAMENTO]],CAD_Forma_pagto[],2,0))</f>
        <v>BOLETO</v>
      </c>
      <c r="AA250" s="524" t="str">
        <f>IF(LANÇ_MOV[[#This Row],[DATA DE LANÇAMENTO]]="","",TEXT(LANÇ_MOV[[#This Row],[DATA DE LANÇAMENTO]],"AAAA"))</f>
        <v>2025</v>
      </c>
      <c r="AB250" s="524" t="str">
        <f>IF(LANÇ_MOV[[#This Row],[DATA DE LANÇAMENTO]]="","",UPPER(TEXT(LANÇ_MOV[[#This Row],[DATA DE LANÇAMENTO]],"MMMM")))</f>
        <v>OUTUBRO</v>
      </c>
      <c r="AC250" s="525" t="str">
        <f>IF(LANÇ_MOV[[#This Row],[DATA DE LANÇAMENTO]]="","",PROPER(TEXT(LANÇ_MOV[[#This Row],[DATA DE LANÇAMENTO]],"M")))</f>
        <v>10</v>
      </c>
      <c r="AD250" s="524" t="str">
        <f>IF(LANÇ_MOV[[#This Row],[DATA DE LANÇAMENTO]]="","",TEXT(LANÇ_MOV[[#This Row],[DATA DE LANÇAMENTO]],"D"))</f>
        <v>1</v>
      </c>
      <c r="AE250" s="526" t="str">
        <f>IF(LANÇ_MOV[[#This Row],[DATA DE VENCIMENTO]]="","",TEXT(LANÇ_MOV[[#This Row],[DATA DE VENCIMENTO]],"AAAA"))</f>
        <v>2025</v>
      </c>
      <c r="AF250" s="526" t="str">
        <f>IF(LANÇ_MOV[[#This Row],[DATA DE VENCIMENTO]]="","",UPPER(TEXT(LANÇ_MOV[[#This Row],[DATA DE VENCIMENTO]],"MMMM")))</f>
        <v>FEVEREIRO</v>
      </c>
      <c r="AG250" s="526" t="str">
        <f>IF(LANÇ_MOV[[#This Row],[DATA DE VENCIMENTO]]="","",TEXT(LANÇ_MOV[[#This Row],[DATA DE VENCIMENTO]],"M"))</f>
        <v>2</v>
      </c>
      <c r="AH250" s="526" t="str">
        <f>IF(LANÇ_MOV[[#This Row],[DATA DE VENCIMENTO]]="","",TEXT(LANÇ_MOV[[#This Row],[DATA DE VENCIMENTO]],"D"))</f>
        <v>25</v>
      </c>
      <c r="AI250" s="526" t="str">
        <f>IF(LANÇ_MOV[[#This Row],[DATA DE PAGAMENTO]]="","",TEXT(LANÇ_MOV[[#This Row],[DATA DE PAGAMENTO]],"AAAA"))</f>
        <v/>
      </c>
      <c r="AJ250" s="527" t="str">
        <f>IF(LANÇ_MOV[[#This Row],[DATA DE PAGAMENTO]]="","",UPPER(TEXT(LANÇ_MOV[[#This Row],[DATA DE PAGAMENTO]],"MMMM")))</f>
        <v/>
      </c>
      <c r="AK250" s="527" t="str">
        <f>IF(LANÇ_MOV[[#This Row],[DATA DE PAGAMENTO]]="","",TEXT(LANÇ_MOV[[#This Row],[DATA DE PAGAMENTO]],"M"))</f>
        <v/>
      </c>
      <c r="AL250" s="526" t="str">
        <f>IF(LANÇ_MOV[[#This Row],[DATA DE PAGAMENTO]]="","",TEXT(LANÇ_MOV[[#This Row],[DATA DE PAGAMENTO]],"D"))</f>
        <v/>
      </c>
      <c r="AM250" s="27"/>
      <c r="BB250" s="112"/>
      <c r="BC250" s="112"/>
      <c r="BD250" s="112"/>
    </row>
    <row r="251" spans="2:56" ht="30.05" customHeight="1" x14ac:dyDescent="0.35">
      <c r="B251" s="506">
        <v>45931</v>
      </c>
      <c r="C251" s="507" t="s">
        <v>1661</v>
      </c>
      <c r="D251" s="508" t="s">
        <v>1854</v>
      </c>
      <c r="E251" s="509" t="s">
        <v>1440</v>
      </c>
      <c r="F251" s="510" t="s">
        <v>1847</v>
      </c>
      <c r="G251" s="507" t="s">
        <v>1919</v>
      </c>
      <c r="H251" s="511"/>
      <c r="I251" s="512" t="s">
        <v>1760</v>
      </c>
      <c r="J251" s="510">
        <v>92.04</v>
      </c>
      <c r="K251" s="513">
        <v>0</v>
      </c>
      <c r="L251" s="513">
        <v>13.36</v>
      </c>
      <c r="M251" s="513">
        <v>1.89</v>
      </c>
      <c r="N251" s="514">
        <f>LANÇ_MOV[[#This Row],[VALOR BRUTO]]-LANÇ_MOV[[#This Row],[DESCONTO]]+LANÇ_MOV[[#This Row],[JUROS]]+LANÇ_MOV[[#This Row],[MULTA]]</f>
        <v>107.29</v>
      </c>
      <c r="O251" s="528">
        <v>45741</v>
      </c>
      <c r="P251" s="516" t="str">
        <f t="shared" ca="1" si="3"/>
        <v>Venceu</v>
      </c>
      <c r="Q251" s="528"/>
      <c r="R251" s="529" t="s">
        <v>1506</v>
      </c>
      <c r="S251" s="518"/>
      <c r="T251" s="518" t="s">
        <v>1776</v>
      </c>
      <c r="U251" s="519" t="s">
        <v>2007</v>
      </c>
      <c r="V251" s="520" t="str">
        <f>IFERROR(VLOOKUP(LANÇ_MOV[[#This Row],[PLANO DE CONTAS]],Plano_Contas[[PLANO DE CONTAS]:[R / D]],3,0),"")</f>
        <v>Despesa</v>
      </c>
      <c r="W251" s="521" t="str">
        <f>IF(LANÇ_MOV[[#This Row],[DATA DE PAGAMENTO]]&lt;&gt;"","Pago","Não Pago")</f>
        <v>Não Pago</v>
      </c>
      <c r="X251" s="522" t="str">
        <f>IFERROR(IF(LANÇ_MOV[[#This Row],[DATA DE PAGAMENTO]]="","",(UPPER(TEXT(LANÇ_MOV[[#This Row],[DATA DE PAGAMENTO]],"mmmm")))),"")</f>
        <v/>
      </c>
      <c r="Y251" s="523" t="str">
        <f>IFERROR(VLOOKUP(LANÇ_MOV[[#This Row],[PLANO DE CONTAS]],Plano_Contas[[PLANO DE CONTAS]:[NOMES INTERVALOS]],2,0),"")</f>
        <v>Despesas_Endividamentos</v>
      </c>
      <c r="Z251" s="523" t="str">
        <f>IF(LANÇ_MOV[[#This Row],[FORMA DE PAGAMENTO]]="","",VLOOKUP(LANÇ_MOV[[#This Row],[FORMA DE PAGAMENTO]],CAD_Forma_pagto[],2,0))</f>
        <v>BOLETO</v>
      </c>
      <c r="AA251" s="524" t="str">
        <f>IF(LANÇ_MOV[[#This Row],[DATA DE LANÇAMENTO]]="","",TEXT(LANÇ_MOV[[#This Row],[DATA DE LANÇAMENTO]],"AAAA"))</f>
        <v>2025</v>
      </c>
      <c r="AB251" s="524" t="str">
        <f>IF(LANÇ_MOV[[#This Row],[DATA DE LANÇAMENTO]]="","",UPPER(TEXT(LANÇ_MOV[[#This Row],[DATA DE LANÇAMENTO]],"MMMM")))</f>
        <v>OUTUBRO</v>
      </c>
      <c r="AC251" s="525" t="str">
        <f>IF(LANÇ_MOV[[#This Row],[DATA DE LANÇAMENTO]]="","",PROPER(TEXT(LANÇ_MOV[[#This Row],[DATA DE LANÇAMENTO]],"M")))</f>
        <v>10</v>
      </c>
      <c r="AD251" s="524" t="str">
        <f>IF(LANÇ_MOV[[#This Row],[DATA DE LANÇAMENTO]]="","",TEXT(LANÇ_MOV[[#This Row],[DATA DE LANÇAMENTO]],"D"))</f>
        <v>1</v>
      </c>
      <c r="AE251" s="526" t="str">
        <f>IF(LANÇ_MOV[[#This Row],[DATA DE VENCIMENTO]]="","",TEXT(LANÇ_MOV[[#This Row],[DATA DE VENCIMENTO]],"AAAA"))</f>
        <v>2025</v>
      </c>
      <c r="AF251" s="526" t="str">
        <f>IF(LANÇ_MOV[[#This Row],[DATA DE VENCIMENTO]]="","",UPPER(TEXT(LANÇ_MOV[[#This Row],[DATA DE VENCIMENTO]],"MMMM")))</f>
        <v>MARÇO</v>
      </c>
      <c r="AG251" s="526" t="str">
        <f>IF(LANÇ_MOV[[#This Row],[DATA DE VENCIMENTO]]="","",TEXT(LANÇ_MOV[[#This Row],[DATA DE VENCIMENTO]],"M"))</f>
        <v>3</v>
      </c>
      <c r="AH251" s="526" t="str">
        <f>IF(LANÇ_MOV[[#This Row],[DATA DE VENCIMENTO]]="","",TEXT(LANÇ_MOV[[#This Row],[DATA DE VENCIMENTO]],"D"))</f>
        <v>25</v>
      </c>
      <c r="AI251" s="526" t="str">
        <f>IF(LANÇ_MOV[[#This Row],[DATA DE PAGAMENTO]]="","",TEXT(LANÇ_MOV[[#This Row],[DATA DE PAGAMENTO]],"AAAA"))</f>
        <v/>
      </c>
      <c r="AJ251" s="527" t="str">
        <f>IF(LANÇ_MOV[[#This Row],[DATA DE PAGAMENTO]]="","",UPPER(TEXT(LANÇ_MOV[[#This Row],[DATA DE PAGAMENTO]],"MMMM")))</f>
        <v/>
      </c>
      <c r="AK251" s="527" t="str">
        <f>IF(LANÇ_MOV[[#This Row],[DATA DE PAGAMENTO]]="","",TEXT(LANÇ_MOV[[#This Row],[DATA DE PAGAMENTO]],"M"))</f>
        <v/>
      </c>
      <c r="AL251" s="526" t="str">
        <f>IF(LANÇ_MOV[[#This Row],[DATA DE PAGAMENTO]]="","",TEXT(LANÇ_MOV[[#This Row],[DATA DE PAGAMENTO]],"D"))</f>
        <v/>
      </c>
      <c r="AM251" s="27"/>
      <c r="BB251" s="112"/>
      <c r="BC251" s="112"/>
      <c r="BD251" s="112"/>
    </row>
    <row r="252" spans="2:56" ht="30.05" customHeight="1" x14ac:dyDescent="0.35">
      <c r="B252" s="506">
        <v>45931</v>
      </c>
      <c r="C252" s="507" t="s">
        <v>1661</v>
      </c>
      <c r="D252" s="508" t="s">
        <v>1854</v>
      </c>
      <c r="E252" s="509" t="s">
        <v>1440</v>
      </c>
      <c r="F252" s="510" t="s">
        <v>1847</v>
      </c>
      <c r="G252" s="507" t="s">
        <v>1920</v>
      </c>
      <c r="H252" s="511"/>
      <c r="I252" s="512" t="s">
        <v>1760</v>
      </c>
      <c r="J252" s="510">
        <v>72.14</v>
      </c>
      <c r="K252" s="513">
        <v>0</v>
      </c>
      <c r="L252" s="513">
        <v>2.61</v>
      </c>
      <c r="M252" s="513">
        <v>0.72</v>
      </c>
      <c r="N252" s="514">
        <f>LANÇ_MOV[[#This Row],[VALOR BRUTO]]-LANÇ_MOV[[#This Row],[DESCONTO]]+LANÇ_MOV[[#This Row],[JUROS]]+LANÇ_MOV[[#This Row],[MULTA]]</f>
        <v>75.47</v>
      </c>
      <c r="O252" s="528">
        <v>45772</v>
      </c>
      <c r="P252" s="516" t="str">
        <f t="shared" ca="1" si="3"/>
        <v>Venceu</v>
      </c>
      <c r="Q252" s="528"/>
      <c r="R252" s="529" t="s">
        <v>1506</v>
      </c>
      <c r="S252" s="518"/>
      <c r="T252" s="518" t="s">
        <v>1776</v>
      </c>
      <c r="U252" s="519" t="s">
        <v>2007</v>
      </c>
      <c r="V252" s="520" t="str">
        <f>IFERROR(VLOOKUP(LANÇ_MOV[[#This Row],[PLANO DE CONTAS]],Plano_Contas[[PLANO DE CONTAS]:[R / D]],3,0),"")</f>
        <v>Despesa</v>
      </c>
      <c r="W252" s="521" t="str">
        <f>IF(LANÇ_MOV[[#This Row],[DATA DE PAGAMENTO]]&lt;&gt;"","Pago","Não Pago")</f>
        <v>Não Pago</v>
      </c>
      <c r="X252" s="522" t="str">
        <f>IFERROR(IF(LANÇ_MOV[[#This Row],[DATA DE PAGAMENTO]]="","",(UPPER(TEXT(LANÇ_MOV[[#This Row],[DATA DE PAGAMENTO]],"mmmm")))),"")</f>
        <v/>
      </c>
      <c r="Y252" s="523" t="str">
        <f>IFERROR(VLOOKUP(LANÇ_MOV[[#This Row],[PLANO DE CONTAS]],Plano_Contas[[PLANO DE CONTAS]:[NOMES INTERVALOS]],2,0),"")</f>
        <v>Despesas_Endividamentos</v>
      </c>
      <c r="Z252" s="523" t="str">
        <f>IF(LANÇ_MOV[[#This Row],[FORMA DE PAGAMENTO]]="","",VLOOKUP(LANÇ_MOV[[#This Row],[FORMA DE PAGAMENTO]],CAD_Forma_pagto[],2,0))</f>
        <v>BOLETO</v>
      </c>
      <c r="AA252" s="524" t="str">
        <f>IF(LANÇ_MOV[[#This Row],[DATA DE LANÇAMENTO]]="","",TEXT(LANÇ_MOV[[#This Row],[DATA DE LANÇAMENTO]],"AAAA"))</f>
        <v>2025</v>
      </c>
      <c r="AB252" s="524" t="str">
        <f>IF(LANÇ_MOV[[#This Row],[DATA DE LANÇAMENTO]]="","",UPPER(TEXT(LANÇ_MOV[[#This Row],[DATA DE LANÇAMENTO]],"MMMM")))</f>
        <v>OUTUBRO</v>
      </c>
      <c r="AC252" s="525" t="str">
        <f>IF(LANÇ_MOV[[#This Row],[DATA DE LANÇAMENTO]]="","",PROPER(TEXT(LANÇ_MOV[[#This Row],[DATA DE LANÇAMENTO]],"M")))</f>
        <v>10</v>
      </c>
      <c r="AD252" s="524" t="str">
        <f>IF(LANÇ_MOV[[#This Row],[DATA DE LANÇAMENTO]]="","",TEXT(LANÇ_MOV[[#This Row],[DATA DE LANÇAMENTO]],"D"))</f>
        <v>1</v>
      </c>
      <c r="AE252" s="526" t="str">
        <f>IF(LANÇ_MOV[[#This Row],[DATA DE VENCIMENTO]]="","",TEXT(LANÇ_MOV[[#This Row],[DATA DE VENCIMENTO]],"AAAA"))</f>
        <v>2025</v>
      </c>
      <c r="AF252" s="526" t="str">
        <f>IF(LANÇ_MOV[[#This Row],[DATA DE VENCIMENTO]]="","",UPPER(TEXT(LANÇ_MOV[[#This Row],[DATA DE VENCIMENTO]],"MMMM")))</f>
        <v>ABRIL</v>
      </c>
      <c r="AG252" s="526" t="str">
        <f>IF(LANÇ_MOV[[#This Row],[DATA DE VENCIMENTO]]="","",TEXT(LANÇ_MOV[[#This Row],[DATA DE VENCIMENTO]],"M"))</f>
        <v>4</v>
      </c>
      <c r="AH252" s="526" t="str">
        <f>IF(LANÇ_MOV[[#This Row],[DATA DE VENCIMENTO]]="","",TEXT(LANÇ_MOV[[#This Row],[DATA DE VENCIMENTO]],"D"))</f>
        <v>25</v>
      </c>
      <c r="AI252" s="526" t="str">
        <f>IF(LANÇ_MOV[[#This Row],[DATA DE PAGAMENTO]]="","",TEXT(LANÇ_MOV[[#This Row],[DATA DE PAGAMENTO]],"AAAA"))</f>
        <v/>
      </c>
      <c r="AJ252" s="527" t="str">
        <f>IF(LANÇ_MOV[[#This Row],[DATA DE PAGAMENTO]]="","",UPPER(TEXT(LANÇ_MOV[[#This Row],[DATA DE PAGAMENTO]],"MMMM")))</f>
        <v/>
      </c>
      <c r="AK252" s="527" t="str">
        <f>IF(LANÇ_MOV[[#This Row],[DATA DE PAGAMENTO]]="","",TEXT(LANÇ_MOV[[#This Row],[DATA DE PAGAMENTO]],"M"))</f>
        <v/>
      </c>
      <c r="AL252" s="526" t="str">
        <f>IF(LANÇ_MOV[[#This Row],[DATA DE PAGAMENTO]]="","",TEXT(LANÇ_MOV[[#This Row],[DATA DE PAGAMENTO]],"D"))</f>
        <v/>
      </c>
      <c r="AM252" s="27"/>
      <c r="BB252" s="112"/>
      <c r="BC252" s="112"/>
      <c r="BD252" s="112"/>
    </row>
    <row r="253" spans="2:56" ht="30.05" customHeight="1" x14ac:dyDescent="0.35">
      <c r="B253" s="506">
        <v>45931</v>
      </c>
      <c r="C253" s="507" t="s">
        <v>1661</v>
      </c>
      <c r="D253" s="508" t="s">
        <v>1854</v>
      </c>
      <c r="E253" s="509" t="s">
        <v>1440</v>
      </c>
      <c r="F253" s="510" t="s">
        <v>1847</v>
      </c>
      <c r="G253" s="507">
        <v>2024</v>
      </c>
      <c r="H253" s="511"/>
      <c r="I253" s="512" t="s">
        <v>1760</v>
      </c>
      <c r="J253" s="510">
        <v>96.28</v>
      </c>
      <c r="K253" s="513">
        <v>0</v>
      </c>
      <c r="L253" s="513">
        <v>19.25</v>
      </c>
      <c r="M253" s="513">
        <v>3.86</v>
      </c>
      <c r="N253" s="514">
        <f>LANÇ_MOV[[#This Row],[VALOR BRUTO]]-LANÇ_MOV[[#This Row],[DESCONTO]]+LANÇ_MOV[[#This Row],[JUROS]]+LANÇ_MOV[[#This Row],[MULTA]]</f>
        <v>119.39</v>
      </c>
      <c r="O253" s="528">
        <v>45681</v>
      </c>
      <c r="P253" s="516" t="str">
        <f t="shared" ca="1" si="3"/>
        <v>Venceu</v>
      </c>
      <c r="Q253" s="528"/>
      <c r="R253" s="529" t="s">
        <v>1506</v>
      </c>
      <c r="S253" s="518"/>
      <c r="T253" s="518" t="s">
        <v>1776</v>
      </c>
      <c r="U253" s="519" t="s">
        <v>2007</v>
      </c>
      <c r="V253" s="520" t="str">
        <f>IFERROR(VLOOKUP(LANÇ_MOV[[#This Row],[PLANO DE CONTAS]],Plano_Contas[[PLANO DE CONTAS]:[R / D]],3,0),"")</f>
        <v>Despesa</v>
      </c>
      <c r="W253" s="521" t="str">
        <f>IF(LANÇ_MOV[[#This Row],[DATA DE PAGAMENTO]]&lt;&gt;"","Pago","Não Pago")</f>
        <v>Não Pago</v>
      </c>
      <c r="X253" s="522" t="str">
        <f>IFERROR(IF(LANÇ_MOV[[#This Row],[DATA DE PAGAMENTO]]="","",(UPPER(TEXT(LANÇ_MOV[[#This Row],[DATA DE PAGAMENTO]],"mmmm")))),"")</f>
        <v/>
      </c>
      <c r="Y253" s="523" t="str">
        <f>IFERROR(VLOOKUP(LANÇ_MOV[[#This Row],[PLANO DE CONTAS]],Plano_Contas[[PLANO DE CONTAS]:[NOMES INTERVALOS]],2,0),"")</f>
        <v>Despesas_Endividamentos</v>
      </c>
      <c r="Z253" s="523" t="str">
        <f>IF(LANÇ_MOV[[#This Row],[FORMA DE PAGAMENTO]]="","",VLOOKUP(LANÇ_MOV[[#This Row],[FORMA DE PAGAMENTO]],CAD_Forma_pagto[],2,0))</f>
        <v>BOLETO</v>
      </c>
      <c r="AA253" s="524" t="str">
        <f>IF(LANÇ_MOV[[#This Row],[DATA DE LANÇAMENTO]]="","",TEXT(LANÇ_MOV[[#This Row],[DATA DE LANÇAMENTO]],"AAAA"))</f>
        <v>2025</v>
      </c>
      <c r="AB253" s="524" t="str">
        <f>IF(LANÇ_MOV[[#This Row],[DATA DE LANÇAMENTO]]="","",UPPER(TEXT(LANÇ_MOV[[#This Row],[DATA DE LANÇAMENTO]],"MMMM")))</f>
        <v>OUTUBRO</v>
      </c>
      <c r="AC253" s="525" t="str">
        <f>IF(LANÇ_MOV[[#This Row],[DATA DE LANÇAMENTO]]="","",PROPER(TEXT(LANÇ_MOV[[#This Row],[DATA DE LANÇAMENTO]],"M")))</f>
        <v>10</v>
      </c>
      <c r="AD253" s="524" t="str">
        <f>IF(LANÇ_MOV[[#This Row],[DATA DE LANÇAMENTO]]="","",TEXT(LANÇ_MOV[[#This Row],[DATA DE LANÇAMENTO]],"D"))</f>
        <v>1</v>
      </c>
      <c r="AE253" s="526" t="str">
        <f>IF(LANÇ_MOV[[#This Row],[DATA DE VENCIMENTO]]="","",TEXT(LANÇ_MOV[[#This Row],[DATA DE VENCIMENTO]],"AAAA"))</f>
        <v>2025</v>
      </c>
      <c r="AF253" s="526" t="str">
        <f>IF(LANÇ_MOV[[#This Row],[DATA DE VENCIMENTO]]="","",UPPER(TEXT(LANÇ_MOV[[#This Row],[DATA DE VENCIMENTO]],"MMMM")))</f>
        <v>JANEIRO</v>
      </c>
      <c r="AG253" s="526" t="str">
        <f>IF(LANÇ_MOV[[#This Row],[DATA DE VENCIMENTO]]="","",TEXT(LANÇ_MOV[[#This Row],[DATA DE VENCIMENTO]],"M"))</f>
        <v>1</v>
      </c>
      <c r="AH253" s="526" t="str">
        <f>IF(LANÇ_MOV[[#This Row],[DATA DE VENCIMENTO]]="","",TEXT(LANÇ_MOV[[#This Row],[DATA DE VENCIMENTO]],"D"))</f>
        <v>24</v>
      </c>
      <c r="AI253" s="526" t="str">
        <f>IF(LANÇ_MOV[[#This Row],[DATA DE PAGAMENTO]]="","",TEXT(LANÇ_MOV[[#This Row],[DATA DE PAGAMENTO]],"AAAA"))</f>
        <v/>
      </c>
      <c r="AJ253" s="527" t="str">
        <f>IF(LANÇ_MOV[[#This Row],[DATA DE PAGAMENTO]]="","",UPPER(TEXT(LANÇ_MOV[[#This Row],[DATA DE PAGAMENTO]],"MMMM")))</f>
        <v/>
      </c>
      <c r="AK253" s="527" t="str">
        <f>IF(LANÇ_MOV[[#This Row],[DATA DE PAGAMENTO]]="","",TEXT(LANÇ_MOV[[#This Row],[DATA DE PAGAMENTO]],"M"))</f>
        <v/>
      </c>
      <c r="AL253" s="526" t="str">
        <f>IF(LANÇ_MOV[[#This Row],[DATA DE PAGAMENTO]]="","",TEXT(LANÇ_MOV[[#This Row],[DATA DE PAGAMENTO]],"D"))</f>
        <v/>
      </c>
      <c r="AM253" s="27"/>
      <c r="BB253" s="112"/>
      <c r="BC253" s="112"/>
      <c r="BD253" s="112"/>
    </row>
    <row r="254" spans="2:56" ht="30.05" customHeight="1" x14ac:dyDescent="0.35">
      <c r="B254" s="506">
        <v>45931</v>
      </c>
      <c r="C254" s="507" t="s">
        <v>1661</v>
      </c>
      <c r="D254" s="508" t="s">
        <v>1854</v>
      </c>
      <c r="E254" s="509" t="s">
        <v>1440</v>
      </c>
      <c r="F254" s="510" t="s">
        <v>1842</v>
      </c>
      <c r="G254" s="507">
        <v>44942</v>
      </c>
      <c r="H254" s="511"/>
      <c r="I254" s="512" t="s">
        <v>1760</v>
      </c>
      <c r="J254" s="510">
        <v>500</v>
      </c>
      <c r="K254" s="513">
        <v>0</v>
      </c>
      <c r="L254" s="513">
        <v>500</v>
      </c>
      <c r="M254" s="513">
        <v>128.35</v>
      </c>
      <c r="N254" s="514">
        <f>LANÇ_MOV[[#This Row],[VALOR BRUTO]]-LANÇ_MOV[[#This Row],[DESCONTO]]+LANÇ_MOV[[#This Row],[JUROS]]+LANÇ_MOV[[#This Row],[MULTA]]</f>
        <v>1128.3499999999999</v>
      </c>
      <c r="O254" s="528">
        <v>44973</v>
      </c>
      <c r="P254" s="516" t="str">
        <f t="shared" ca="1" si="3"/>
        <v>Venceu</v>
      </c>
      <c r="Q254" s="528"/>
      <c r="R254" s="529" t="s">
        <v>1506</v>
      </c>
      <c r="S254" s="518"/>
      <c r="T254" s="518" t="s">
        <v>1776</v>
      </c>
      <c r="U254" s="519" t="s">
        <v>2007</v>
      </c>
      <c r="V254" s="520" t="str">
        <f>IFERROR(VLOOKUP(LANÇ_MOV[[#This Row],[PLANO DE CONTAS]],Plano_Contas[[PLANO DE CONTAS]:[R / D]],3,0),"")</f>
        <v>Despesa</v>
      </c>
      <c r="W254" s="521" t="str">
        <f>IF(LANÇ_MOV[[#This Row],[DATA DE PAGAMENTO]]&lt;&gt;"","Pago","Não Pago")</f>
        <v>Não Pago</v>
      </c>
      <c r="X254" s="522" t="str">
        <f>IFERROR(IF(LANÇ_MOV[[#This Row],[DATA DE PAGAMENTO]]="","",(UPPER(TEXT(LANÇ_MOV[[#This Row],[DATA DE PAGAMENTO]],"mmmm")))),"")</f>
        <v/>
      </c>
      <c r="Y254" s="523" t="str">
        <f>IFERROR(VLOOKUP(LANÇ_MOV[[#This Row],[PLANO DE CONTAS]],Plano_Contas[[PLANO DE CONTAS]:[NOMES INTERVALOS]],2,0),"")</f>
        <v>Despesas_Endividamentos</v>
      </c>
      <c r="Z254" s="523" t="str">
        <f>IF(LANÇ_MOV[[#This Row],[FORMA DE PAGAMENTO]]="","",VLOOKUP(LANÇ_MOV[[#This Row],[FORMA DE PAGAMENTO]],CAD_Forma_pagto[],2,0))</f>
        <v>BOLETO</v>
      </c>
      <c r="AA254" s="524" t="str">
        <f>IF(LANÇ_MOV[[#This Row],[DATA DE LANÇAMENTO]]="","",TEXT(LANÇ_MOV[[#This Row],[DATA DE LANÇAMENTO]],"AAAA"))</f>
        <v>2025</v>
      </c>
      <c r="AB254" s="524" t="str">
        <f>IF(LANÇ_MOV[[#This Row],[DATA DE LANÇAMENTO]]="","",UPPER(TEXT(LANÇ_MOV[[#This Row],[DATA DE LANÇAMENTO]],"MMMM")))</f>
        <v>OUTUBRO</v>
      </c>
      <c r="AC254" s="525" t="str">
        <f>IF(LANÇ_MOV[[#This Row],[DATA DE LANÇAMENTO]]="","",PROPER(TEXT(LANÇ_MOV[[#This Row],[DATA DE LANÇAMENTO]],"M")))</f>
        <v>10</v>
      </c>
      <c r="AD254" s="524" t="str">
        <f>IF(LANÇ_MOV[[#This Row],[DATA DE LANÇAMENTO]]="","",TEXT(LANÇ_MOV[[#This Row],[DATA DE LANÇAMENTO]],"D"))</f>
        <v>1</v>
      </c>
      <c r="AE254" s="526" t="str">
        <f>IF(LANÇ_MOV[[#This Row],[DATA DE VENCIMENTO]]="","",TEXT(LANÇ_MOV[[#This Row],[DATA DE VENCIMENTO]],"AAAA"))</f>
        <v>2023</v>
      </c>
      <c r="AF254" s="526" t="str">
        <f>IF(LANÇ_MOV[[#This Row],[DATA DE VENCIMENTO]]="","",UPPER(TEXT(LANÇ_MOV[[#This Row],[DATA DE VENCIMENTO]],"MMMM")))</f>
        <v>FEVEREIRO</v>
      </c>
      <c r="AG254" s="526" t="str">
        <f>IF(LANÇ_MOV[[#This Row],[DATA DE VENCIMENTO]]="","",TEXT(LANÇ_MOV[[#This Row],[DATA DE VENCIMENTO]],"M"))</f>
        <v>2</v>
      </c>
      <c r="AH254" s="526" t="str">
        <f>IF(LANÇ_MOV[[#This Row],[DATA DE VENCIMENTO]]="","",TEXT(LANÇ_MOV[[#This Row],[DATA DE VENCIMENTO]],"D"))</f>
        <v>16</v>
      </c>
      <c r="AI254" s="526" t="str">
        <f>IF(LANÇ_MOV[[#This Row],[DATA DE PAGAMENTO]]="","",TEXT(LANÇ_MOV[[#This Row],[DATA DE PAGAMENTO]],"AAAA"))</f>
        <v/>
      </c>
      <c r="AJ254" s="527" t="str">
        <f>IF(LANÇ_MOV[[#This Row],[DATA DE PAGAMENTO]]="","",UPPER(TEXT(LANÇ_MOV[[#This Row],[DATA DE PAGAMENTO]],"MMMM")))</f>
        <v/>
      </c>
      <c r="AK254" s="527" t="str">
        <f>IF(LANÇ_MOV[[#This Row],[DATA DE PAGAMENTO]]="","",TEXT(LANÇ_MOV[[#This Row],[DATA DE PAGAMENTO]],"M"))</f>
        <v/>
      </c>
      <c r="AL254" s="526" t="str">
        <f>IF(LANÇ_MOV[[#This Row],[DATA DE PAGAMENTO]]="","",TEXT(LANÇ_MOV[[#This Row],[DATA DE PAGAMENTO]],"D"))</f>
        <v/>
      </c>
      <c r="AM254" s="27"/>
      <c r="BB254" s="112"/>
      <c r="BC254" s="112"/>
      <c r="BD254" s="112"/>
    </row>
    <row r="255" spans="2:56" ht="30.05" customHeight="1" x14ac:dyDescent="0.35">
      <c r="B255" s="506">
        <v>45931</v>
      </c>
      <c r="C255" s="507" t="s">
        <v>1661</v>
      </c>
      <c r="D255" s="508" t="s">
        <v>1854</v>
      </c>
      <c r="E255" s="509" t="s">
        <v>1440</v>
      </c>
      <c r="F255" s="510" t="s">
        <v>1839</v>
      </c>
      <c r="G255" s="507" t="s">
        <v>1912</v>
      </c>
      <c r="H255" s="511"/>
      <c r="I255" s="512" t="s">
        <v>1760</v>
      </c>
      <c r="J255" s="510">
        <v>1334.54</v>
      </c>
      <c r="K255" s="513">
        <v>0</v>
      </c>
      <c r="L255" s="513">
        <v>266.89999999999998</v>
      </c>
      <c r="M255" s="513">
        <v>125.17</v>
      </c>
      <c r="N255" s="514">
        <f>LANÇ_MOV[[#This Row],[VALOR BRUTO]]-LANÇ_MOV[[#This Row],[DESCONTO]]+LANÇ_MOV[[#This Row],[JUROS]]+LANÇ_MOV[[#This Row],[MULTA]]</f>
        <v>1726.6100000000001</v>
      </c>
      <c r="O255" s="528">
        <v>45492</v>
      </c>
      <c r="P255" s="516" t="str">
        <f t="shared" ca="1" si="3"/>
        <v>Venceu</v>
      </c>
      <c r="Q255" s="528"/>
      <c r="R255" s="529" t="s">
        <v>1506</v>
      </c>
      <c r="S255" s="518"/>
      <c r="T255" s="518" t="s">
        <v>1776</v>
      </c>
      <c r="U255" s="519" t="s">
        <v>2007</v>
      </c>
      <c r="V255" s="520" t="str">
        <f>IFERROR(VLOOKUP(LANÇ_MOV[[#This Row],[PLANO DE CONTAS]],Plano_Contas[[PLANO DE CONTAS]:[R / D]],3,0),"")</f>
        <v>Despesa</v>
      </c>
      <c r="W255" s="521" t="str">
        <f>IF(LANÇ_MOV[[#This Row],[DATA DE PAGAMENTO]]&lt;&gt;"","Pago","Não Pago")</f>
        <v>Não Pago</v>
      </c>
      <c r="X255" s="522" t="str">
        <f>IFERROR(IF(LANÇ_MOV[[#This Row],[DATA DE PAGAMENTO]]="","",(UPPER(TEXT(LANÇ_MOV[[#This Row],[DATA DE PAGAMENTO]],"mmmm")))),"")</f>
        <v/>
      </c>
      <c r="Y255" s="523" t="str">
        <f>IFERROR(VLOOKUP(LANÇ_MOV[[#This Row],[PLANO DE CONTAS]],Plano_Contas[[PLANO DE CONTAS]:[NOMES INTERVALOS]],2,0),"")</f>
        <v>Despesas_Endividamentos</v>
      </c>
      <c r="Z255" s="523" t="str">
        <f>IF(LANÇ_MOV[[#This Row],[FORMA DE PAGAMENTO]]="","",VLOOKUP(LANÇ_MOV[[#This Row],[FORMA DE PAGAMENTO]],CAD_Forma_pagto[],2,0))</f>
        <v>BOLETO</v>
      </c>
      <c r="AA255" s="524" t="str">
        <f>IF(LANÇ_MOV[[#This Row],[DATA DE LANÇAMENTO]]="","",TEXT(LANÇ_MOV[[#This Row],[DATA DE LANÇAMENTO]],"AAAA"))</f>
        <v>2025</v>
      </c>
      <c r="AB255" s="524" t="str">
        <f>IF(LANÇ_MOV[[#This Row],[DATA DE LANÇAMENTO]]="","",UPPER(TEXT(LANÇ_MOV[[#This Row],[DATA DE LANÇAMENTO]],"MMMM")))</f>
        <v>OUTUBRO</v>
      </c>
      <c r="AC255" s="525" t="str">
        <f>IF(LANÇ_MOV[[#This Row],[DATA DE LANÇAMENTO]]="","",PROPER(TEXT(LANÇ_MOV[[#This Row],[DATA DE LANÇAMENTO]],"M")))</f>
        <v>10</v>
      </c>
      <c r="AD255" s="524" t="str">
        <f>IF(LANÇ_MOV[[#This Row],[DATA DE LANÇAMENTO]]="","",TEXT(LANÇ_MOV[[#This Row],[DATA DE LANÇAMENTO]],"D"))</f>
        <v>1</v>
      </c>
      <c r="AE255" s="526" t="str">
        <f>IF(LANÇ_MOV[[#This Row],[DATA DE VENCIMENTO]]="","",TEXT(LANÇ_MOV[[#This Row],[DATA DE VENCIMENTO]],"AAAA"))</f>
        <v>2024</v>
      </c>
      <c r="AF255" s="526" t="str">
        <f>IF(LANÇ_MOV[[#This Row],[DATA DE VENCIMENTO]]="","",UPPER(TEXT(LANÇ_MOV[[#This Row],[DATA DE VENCIMENTO]],"MMMM")))</f>
        <v>JULHO</v>
      </c>
      <c r="AG255" s="526" t="str">
        <f>IF(LANÇ_MOV[[#This Row],[DATA DE VENCIMENTO]]="","",TEXT(LANÇ_MOV[[#This Row],[DATA DE VENCIMENTO]],"M"))</f>
        <v>7</v>
      </c>
      <c r="AH255" s="526" t="str">
        <f>IF(LANÇ_MOV[[#This Row],[DATA DE VENCIMENTO]]="","",TEXT(LANÇ_MOV[[#This Row],[DATA DE VENCIMENTO]],"D"))</f>
        <v>19</v>
      </c>
      <c r="AI255" s="526" t="str">
        <f>IF(LANÇ_MOV[[#This Row],[DATA DE PAGAMENTO]]="","",TEXT(LANÇ_MOV[[#This Row],[DATA DE PAGAMENTO]],"AAAA"))</f>
        <v/>
      </c>
      <c r="AJ255" s="527" t="str">
        <f>IF(LANÇ_MOV[[#This Row],[DATA DE PAGAMENTO]]="","",UPPER(TEXT(LANÇ_MOV[[#This Row],[DATA DE PAGAMENTO]],"MMMM")))</f>
        <v/>
      </c>
      <c r="AK255" s="527" t="str">
        <f>IF(LANÇ_MOV[[#This Row],[DATA DE PAGAMENTO]]="","",TEXT(LANÇ_MOV[[#This Row],[DATA DE PAGAMENTO]],"M"))</f>
        <v/>
      </c>
      <c r="AL255" s="526" t="str">
        <f>IF(LANÇ_MOV[[#This Row],[DATA DE PAGAMENTO]]="","",TEXT(LANÇ_MOV[[#This Row],[DATA DE PAGAMENTO]],"D"))</f>
        <v/>
      </c>
      <c r="AM255" s="27"/>
      <c r="BB255" s="112"/>
      <c r="BC255" s="112"/>
      <c r="BD255" s="112"/>
    </row>
    <row r="256" spans="2:56" ht="30.05" customHeight="1" x14ac:dyDescent="0.35">
      <c r="B256" s="506">
        <v>45931</v>
      </c>
      <c r="C256" s="507" t="s">
        <v>1661</v>
      </c>
      <c r="D256" s="508" t="s">
        <v>1854</v>
      </c>
      <c r="E256" s="509" t="s">
        <v>1440</v>
      </c>
      <c r="F256" s="510" t="s">
        <v>1839</v>
      </c>
      <c r="G256" s="507" t="s">
        <v>1913</v>
      </c>
      <c r="H256" s="511"/>
      <c r="I256" s="512" t="s">
        <v>1760</v>
      </c>
      <c r="J256" s="510">
        <v>1086.29</v>
      </c>
      <c r="K256" s="513">
        <v>0</v>
      </c>
      <c r="L256" s="513">
        <v>217.25</v>
      </c>
      <c r="M256" s="513">
        <v>92.44</v>
      </c>
      <c r="N256" s="514">
        <f>LANÇ_MOV[[#This Row],[VALOR BRUTO]]-LANÇ_MOV[[#This Row],[DESCONTO]]+LANÇ_MOV[[#This Row],[JUROS]]+LANÇ_MOV[[#This Row],[MULTA]]</f>
        <v>1395.98</v>
      </c>
      <c r="O256" s="528">
        <v>45524</v>
      </c>
      <c r="P256" s="516" t="str">
        <f t="shared" ca="1" si="3"/>
        <v>Venceu</v>
      </c>
      <c r="Q256" s="528"/>
      <c r="R256" s="529" t="s">
        <v>1506</v>
      </c>
      <c r="S256" s="518"/>
      <c r="T256" s="518" t="s">
        <v>1776</v>
      </c>
      <c r="U256" s="519" t="s">
        <v>2007</v>
      </c>
      <c r="V256" s="520" t="str">
        <f>IFERROR(VLOOKUP(LANÇ_MOV[[#This Row],[PLANO DE CONTAS]],Plano_Contas[[PLANO DE CONTAS]:[R / D]],3,0),"")</f>
        <v>Despesa</v>
      </c>
      <c r="W256" s="521" t="str">
        <f>IF(LANÇ_MOV[[#This Row],[DATA DE PAGAMENTO]]&lt;&gt;"","Pago","Não Pago")</f>
        <v>Não Pago</v>
      </c>
      <c r="X256" s="522" t="str">
        <f>IFERROR(IF(LANÇ_MOV[[#This Row],[DATA DE PAGAMENTO]]="","",(UPPER(TEXT(LANÇ_MOV[[#This Row],[DATA DE PAGAMENTO]],"mmmm")))),"")</f>
        <v/>
      </c>
      <c r="Y256" s="523" t="str">
        <f>IFERROR(VLOOKUP(LANÇ_MOV[[#This Row],[PLANO DE CONTAS]],Plano_Contas[[PLANO DE CONTAS]:[NOMES INTERVALOS]],2,0),"")</f>
        <v>Despesas_Endividamentos</v>
      </c>
      <c r="Z256" s="523" t="str">
        <f>IF(LANÇ_MOV[[#This Row],[FORMA DE PAGAMENTO]]="","",VLOOKUP(LANÇ_MOV[[#This Row],[FORMA DE PAGAMENTO]],CAD_Forma_pagto[],2,0))</f>
        <v>BOLETO</v>
      </c>
      <c r="AA256" s="524" t="str">
        <f>IF(LANÇ_MOV[[#This Row],[DATA DE LANÇAMENTO]]="","",TEXT(LANÇ_MOV[[#This Row],[DATA DE LANÇAMENTO]],"AAAA"))</f>
        <v>2025</v>
      </c>
      <c r="AB256" s="524" t="str">
        <f>IF(LANÇ_MOV[[#This Row],[DATA DE LANÇAMENTO]]="","",UPPER(TEXT(LANÇ_MOV[[#This Row],[DATA DE LANÇAMENTO]],"MMMM")))</f>
        <v>OUTUBRO</v>
      </c>
      <c r="AC256" s="525" t="str">
        <f>IF(LANÇ_MOV[[#This Row],[DATA DE LANÇAMENTO]]="","",PROPER(TEXT(LANÇ_MOV[[#This Row],[DATA DE LANÇAMENTO]],"M")))</f>
        <v>10</v>
      </c>
      <c r="AD256" s="524" t="str">
        <f>IF(LANÇ_MOV[[#This Row],[DATA DE LANÇAMENTO]]="","",TEXT(LANÇ_MOV[[#This Row],[DATA DE LANÇAMENTO]],"D"))</f>
        <v>1</v>
      </c>
      <c r="AE256" s="526" t="str">
        <f>IF(LANÇ_MOV[[#This Row],[DATA DE VENCIMENTO]]="","",TEXT(LANÇ_MOV[[#This Row],[DATA DE VENCIMENTO]],"AAAA"))</f>
        <v>2024</v>
      </c>
      <c r="AF256" s="526" t="str">
        <f>IF(LANÇ_MOV[[#This Row],[DATA DE VENCIMENTO]]="","",UPPER(TEXT(LANÇ_MOV[[#This Row],[DATA DE VENCIMENTO]],"MMMM")))</f>
        <v>AGOSTO</v>
      </c>
      <c r="AG256" s="526" t="str">
        <f>IF(LANÇ_MOV[[#This Row],[DATA DE VENCIMENTO]]="","",TEXT(LANÇ_MOV[[#This Row],[DATA DE VENCIMENTO]],"M"))</f>
        <v>8</v>
      </c>
      <c r="AH256" s="526" t="str">
        <f>IF(LANÇ_MOV[[#This Row],[DATA DE VENCIMENTO]]="","",TEXT(LANÇ_MOV[[#This Row],[DATA DE VENCIMENTO]],"D"))</f>
        <v>20</v>
      </c>
      <c r="AI256" s="526" t="str">
        <f>IF(LANÇ_MOV[[#This Row],[DATA DE PAGAMENTO]]="","",TEXT(LANÇ_MOV[[#This Row],[DATA DE PAGAMENTO]],"AAAA"))</f>
        <v/>
      </c>
      <c r="AJ256" s="527" t="str">
        <f>IF(LANÇ_MOV[[#This Row],[DATA DE PAGAMENTO]]="","",UPPER(TEXT(LANÇ_MOV[[#This Row],[DATA DE PAGAMENTO]],"MMMM")))</f>
        <v/>
      </c>
      <c r="AK256" s="527" t="str">
        <f>IF(LANÇ_MOV[[#This Row],[DATA DE PAGAMENTO]]="","",TEXT(LANÇ_MOV[[#This Row],[DATA DE PAGAMENTO]],"M"))</f>
        <v/>
      </c>
      <c r="AL256" s="526" t="str">
        <f>IF(LANÇ_MOV[[#This Row],[DATA DE PAGAMENTO]]="","",TEXT(LANÇ_MOV[[#This Row],[DATA DE PAGAMENTO]],"D"))</f>
        <v/>
      </c>
      <c r="AM256" s="27"/>
      <c r="BB256" s="112"/>
      <c r="BC256" s="112"/>
      <c r="BD256" s="112"/>
    </row>
    <row r="257" spans="2:56" ht="30.05" customHeight="1" x14ac:dyDescent="0.35">
      <c r="B257" s="538">
        <v>45931</v>
      </c>
      <c r="C257" s="507" t="s">
        <v>1661</v>
      </c>
      <c r="D257" s="508" t="s">
        <v>1854</v>
      </c>
      <c r="E257" s="539" t="s">
        <v>1440</v>
      </c>
      <c r="F257" s="513" t="s">
        <v>1839</v>
      </c>
      <c r="G257" s="507" t="s">
        <v>1914</v>
      </c>
      <c r="H257" s="511"/>
      <c r="I257" s="512" t="s">
        <v>1760</v>
      </c>
      <c r="J257" s="513">
        <v>1409.45</v>
      </c>
      <c r="K257" s="513">
        <v>0</v>
      </c>
      <c r="L257" s="513">
        <v>281.89</v>
      </c>
      <c r="M257" s="513">
        <v>108.1</v>
      </c>
      <c r="N257" s="514">
        <f>LANÇ_MOV[[#This Row],[VALOR BRUTO]]-LANÇ_MOV[[#This Row],[DESCONTO]]+LANÇ_MOV[[#This Row],[JUROS]]+LANÇ_MOV[[#This Row],[MULTA]]</f>
        <v>1799.44</v>
      </c>
      <c r="O257" s="540">
        <v>45555</v>
      </c>
      <c r="P257" s="516" t="str">
        <f t="shared" ca="1" si="3"/>
        <v>Venceu</v>
      </c>
      <c r="Q257" s="540"/>
      <c r="R257" s="541" t="s">
        <v>1506</v>
      </c>
      <c r="S257" s="542"/>
      <c r="T257" s="542" t="s">
        <v>1776</v>
      </c>
      <c r="U257" s="519" t="s">
        <v>2007</v>
      </c>
      <c r="V257" s="520" t="str">
        <f>IFERROR(VLOOKUP(LANÇ_MOV[[#This Row],[PLANO DE CONTAS]],Plano_Contas[[PLANO DE CONTAS]:[R / D]],3,0),"")</f>
        <v>Despesa</v>
      </c>
      <c r="W257" s="521" t="str">
        <f>IF(LANÇ_MOV[[#This Row],[DATA DE PAGAMENTO]]&lt;&gt;"","Pago","Não Pago")</f>
        <v>Não Pago</v>
      </c>
      <c r="X257" s="522" t="str">
        <f>IFERROR(IF(LANÇ_MOV[[#This Row],[DATA DE PAGAMENTO]]="","",(UPPER(TEXT(LANÇ_MOV[[#This Row],[DATA DE PAGAMENTO]],"mmmm")))),"")</f>
        <v/>
      </c>
      <c r="Y257" s="523" t="str">
        <f>IFERROR(VLOOKUP(LANÇ_MOV[[#This Row],[PLANO DE CONTAS]],Plano_Contas[[PLANO DE CONTAS]:[NOMES INTERVALOS]],2,0),"")</f>
        <v>Despesas_Endividamentos</v>
      </c>
      <c r="Z257" s="523" t="str">
        <f>IF(LANÇ_MOV[[#This Row],[FORMA DE PAGAMENTO]]="","",VLOOKUP(LANÇ_MOV[[#This Row],[FORMA DE PAGAMENTO]],CAD_Forma_pagto[],2,0))</f>
        <v>BOLETO</v>
      </c>
      <c r="AA257" s="524" t="str">
        <f>IF(LANÇ_MOV[[#This Row],[DATA DE LANÇAMENTO]]="","",TEXT(LANÇ_MOV[[#This Row],[DATA DE LANÇAMENTO]],"AAAA"))</f>
        <v>2025</v>
      </c>
      <c r="AB257" s="524" t="str">
        <f>IF(LANÇ_MOV[[#This Row],[DATA DE LANÇAMENTO]]="","",UPPER(TEXT(LANÇ_MOV[[#This Row],[DATA DE LANÇAMENTO]],"MMMM")))</f>
        <v>OUTUBRO</v>
      </c>
      <c r="AC257" s="525" t="str">
        <f>IF(LANÇ_MOV[[#This Row],[DATA DE LANÇAMENTO]]="","",PROPER(TEXT(LANÇ_MOV[[#This Row],[DATA DE LANÇAMENTO]],"M")))</f>
        <v>10</v>
      </c>
      <c r="AD257" s="524" t="str">
        <f>IF(LANÇ_MOV[[#This Row],[DATA DE LANÇAMENTO]]="","",TEXT(LANÇ_MOV[[#This Row],[DATA DE LANÇAMENTO]],"D"))</f>
        <v>1</v>
      </c>
      <c r="AE257" s="526" t="str">
        <f>IF(LANÇ_MOV[[#This Row],[DATA DE VENCIMENTO]]="","",TEXT(LANÇ_MOV[[#This Row],[DATA DE VENCIMENTO]],"AAAA"))</f>
        <v>2024</v>
      </c>
      <c r="AF257" s="526" t="str">
        <f>IF(LANÇ_MOV[[#This Row],[DATA DE VENCIMENTO]]="","",UPPER(TEXT(LANÇ_MOV[[#This Row],[DATA DE VENCIMENTO]],"MMMM")))</f>
        <v>SETEMBRO</v>
      </c>
      <c r="AG257" s="526" t="str">
        <f>IF(LANÇ_MOV[[#This Row],[DATA DE VENCIMENTO]]="","",TEXT(LANÇ_MOV[[#This Row],[DATA DE VENCIMENTO]],"M"))</f>
        <v>9</v>
      </c>
      <c r="AH257" s="526" t="str">
        <f>IF(LANÇ_MOV[[#This Row],[DATA DE VENCIMENTO]]="","",TEXT(LANÇ_MOV[[#This Row],[DATA DE VENCIMENTO]],"D"))</f>
        <v>20</v>
      </c>
      <c r="AI257" s="526" t="str">
        <f>IF(LANÇ_MOV[[#This Row],[DATA DE PAGAMENTO]]="","",TEXT(LANÇ_MOV[[#This Row],[DATA DE PAGAMENTO]],"AAAA"))</f>
        <v/>
      </c>
      <c r="AJ257" s="527" t="str">
        <f>IF(LANÇ_MOV[[#This Row],[DATA DE PAGAMENTO]]="","",UPPER(TEXT(LANÇ_MOV[[#This Row],[DATA DE PAGAMENTO]],"MMMM")))</f>
        <v/>
      </c>
      <c r="AK257" s="527" t="str">
        <f>IF(LANÇ_MOV[[#This Row],[DATA DE PAGAMENTO]]="","",TEXT(LANÇ_MOV[[#This Row],[DATA DE PAGAMENTO]],"M"))</f>
        <v/>
      </c>
      <c r="AL257" s="526" t="str">
        <f>IF(LANÇ_MOV[[#This Row],[DATA DE PAGAMENTO]]="","",TEXT(LANÇ_MOV[[#This Row],[DATA DE PAGAMENTO]],"D"))</f>
        <v/>
      </c>
      <c r="AM257" s="27"/>
      <c r="BB257" s="112"/>
      <c r="BC257" s="112"/>
      <c r="BD257" s="112"/>
    </row>
    <row r="258" spans="2:56" ht="30.05" customHeight="1" x14ac:dyDescent="0.35">
      <c r="B258" s="506">
        <v>45931</v>
      </c>
      <c r="C258" s="507" t="s">
        <v>1661</v>
      </c>
      <c r="D258" s="508" t="s">
        <v>1854</v>
      </c>
      <c r="E258" s="509" t="s">
        <v>1440</v>
      </c>
      <c r="F258" s="510" t="s">
        <v>1839</v>
      </c>
      <c r="G258" s="507" t="s">
        <v>1915</v>
      </c>
      <c r="H258" s="511"/>
      <c r="I258" s="512" t="s">
        <v>1760</v>
      </c>
      <c r="J258" s="510">
        <v>1457</v>
      </c>
      <c r="K258" s="513">
        <v>0</v>
      </c>
      <c r="L258" s="513">
        <v>291.39999999999998</v>
      </c>
      <c r="M258" s="513">
        <v>98.2</v>
      </c>
      <c r="N258" s="514">
        <f>LANÇ_MOV[[#This Row],[VALOR BRUTO]]-LANÇ_MOV[[#This Row],[DESCONTO]]+LANÇ_MOV[[#This Row],[JUROS]]+LANÇ_MOV[[#This Row],[MULTA]]</f>
        <v>1846.6000000000001</v>
      </c>
      <c r="O258" s="528">
        <v>45583</v>
      </c>
      <c r="P258" s="516" t="str">
        <f t="shared" ca="1" si="3"/>
        <v>Venceu</v>
      </c>
      <c r="Q258" s="528"/>
      <c r="R258" s="529" t="s">
        <v>1506</v>
      </c>
      <c r="S258" s="518"/>
      <c r="T258" s="518" t="s">
        <v>1776</v>
      </c>
      <c r="U258" s="519" t="s">
        <v>2007</v>
      </c>
      <c r="V258" s="520" t="str">
        <f>IFERROR(VLOOKUP(LANÇ_MOV[[#This Row],[PLANO DE CONTAS]],Plano_Contas[[PLANO DE CONTAS]:[R / D]],3,0),"")</f>
        <v>Despesa</v>
      </c>
      <c r="W258" s="521" t="str">
        <f>IF(LANÇ_MOV[[#This Row],[DATA DE PAGAMENTO]]&lt;&gt;"","Pago","Não Pago")</f>
        <v>Não Pago</v>
      </c>
      <c r="X258" s="522" t="str">
        <f>IFERROR(IF(LANÇ_MOV[[#This Row],[DATA DE PAGAMENTO]]="","",(UPPER(TEXT(LANÇ_MOV[[#This Row],[DATA DE PAGAMENTO]],"mmmm")))),"")</f>
        <v/>
      </c>
      <c r="Y258" s="523" t="str">
        <f>IFERROR(VLOOKUP(LANÇ_MOV[[#This Row],[PLANO DE CONTAS]],Plano_Contas[[PLANO DE CONTAS]:[NOMES INTERVALOS]],2,0),"")</f>
        <v>Despesas_Endividamentos</v>
      </c>
      <c r="Z258" s="523" t="str">
        <f>IF(LANÇ_MOV[[#This Row],[FORMA DE PAGAMENTO]]="","",VLOOKUP(LANÇ_MOV[[#This Row],[FORMA DE PAGAMENTO]],CAD_Forma_pagto[],2,0))</f>
        <v>BOLETO</v>
      </c>
      <c r="AA258" s="524" t="str">
        <f>IF(LANÇ_MOV[[#This Row],[DATA DE LANÇAMENTO]]="","",TEXT(LANÇ_MOV[[#This Row],[DATA DE LANÇAMENTO]],"AAAA"))</f>
        <v>2025</v>
      </c>
      <c r="AB258" s="524" t="str">
        <f>IF(LANÇ_MOV[[#This Row],[DATA DE LANÇAMENTO]]="","",UPPER(TEXT(LANÇ_MOV[[#This Row],[DATA DE LANÇAMENTO]],"MMMM")))</f>
        <v>OUTUBRO</v>
      </c>
      <c r="AC258" s="525" t="str">
        <f>IF(LANÇ_MOV[[#This Row],[DATA DE LANÇAMENTO]]="","",PROPER(TEXT(LANÇ_MOV[[#This Row],[DATA DE LANÇAMENTO]],"M")))</f>
        <v>10</v>
      </c>
      <c r="AD258" s="524" t="str">
        <f>IF(LANÇ_MOV[[#This Row],[DATA DE LANÇAMENTO]]="","",TEXT(LANÇ_MOV[[#This Row],[DATA DE LANÇAMENTO]],"D"))</f>
        <v>1</v>
      </c>
      <c r="AE258" s="526" t="str">
        <f>IF(LANÇ_MOV[[#This Row],[DATA DE VENCIMENTO]]="","",TEXT(LANÇ_MOV[[#This Row],[DATA DE VENCIMENTO]],"AAAA"))</f>
        <v>2024</v>
      </c>
      <c r="AF258" s="526" t="str">
        <f>IF(LANÇ_MOV[[#This Row],[DATA DE VENCIMENTO]]="","",UPPER(TEXT(LANÇ_MOV[[#This Row],[DATA DE VENCIMENTO]],"MMMM")))</f>
        <v>OUTUBRO</v>
      </c>
      <c r="AG258" s="526" t="str">
        <f>IF(LANÇ_MOV[[#This Row],[DATA DE VENCIMENTO]]="","",TEXT(LANÇ_MOV[[#This Row],[DATA DE VENCIMENTO]],"M"))</f>
        <v>10</v>
      </c>
      <c r="AH258" s="526" t="str">
        <f>IF(LANÇ_MOV[[#This Row],[DATA DE VENCIMENTO]]="","",TEXT(LANÇ_MOV[[#This Row],[DATA DE VENCIMENTO]],"D"))</f>
        <v>18</v>
      </c>
      <c r="AI258" s="526" t="str">
        <f>IF(LANÇ_MOV[[#This Row],[DATA DE PAGAMENTO]]="","",TEXT(LANÇ_MOV[[#This Row],[DATA DE PAGAMENTO]],"AAAA"))</f>
        <v/>
      </c>
      <c r="AJ258" s="527" t="str">
        <f>IF(LANÇ_MOV[[#This Row],[DATA DE PAGAMENTO]]="","",UPPER(TEXT(LANÇ_MOV[[#This Row],[DATA DE PAGAMENTO]],"MMMM")))</f>
        <v/>
      </c>
      <c r="AK258" s="527" t="str">
        <f>IF(LANÇ_MOV[[#This Row],[DATA DE PAGAMENTO]]="","",TEXT(LANÇ_MOV[[#This Row],[DATA DE PAGAMENTO]],"M"))</f>
        <v/>
      </c>
      <c r="AL258" s="526" t="str">
        <f>IF(LANÇ_MOV[[#This Row],[DATA DE PAGAMENTO]]="","",TEXT(LANÇ_MOV[[#This Row],[DATA DE PAGAMENTO]],"D"))</f>
        <v/>
      </c>
      <c r="AM258" s="27"/>
      <c r="BB258" s="112"/>
      <c r="BC258" s="112"/>
      <c r="BD258" s="112"/>
    </row>
    <row r="259" spans="2:56" ht="30.05" customHeight="1" x14ac:dyDescent="0.35">
      <c r="B259" s="506">
        <v>45931</v>
      </c>
      <c r="C259" s="507" t="s">
        <v>1661</v>
      </c>
      <c r="D259" s="508" t="s">
        <v>1854</v>
      </c>
      <c r="E259" s="509" t="s">
        <v>1440</v>
      </c>
      <c r="F259" s="510" t="s">
        <v>1839</v>
      </c>
      <c r="G259" s="507" t="s">
        <v>1916</v>
      </c>
      <c r="H259" s="511"/>
      <c r="I259" s="512" t="s">
        <v>1760</v>
      </c>
      <c r="J259" s="510">
        <v>1706.31</v>
      </c>
      <c r="K259" s="513">
        <v>0</v>
      </c>
      <c r="L259" s="513">
        <v>341.26</v>
      </c>
      <c r="M259" s="513">
        <v>101.52</v>
      </c>
      <c r="N259" s="514">
        <f>LANÇ_MOV[[#This Row],[VALOR BRUTO]]-LANÇ_MOV[[#This Row],[DESCONTO]]+LANÇ_MOV[[#This Row],[JUROS]]+LANÇ_MOV[[#This Row],[MULTA]]</f>
        <v>2149.09</v>
      </c>
      <c r="O259" s="528">
        <v>45615</v>
      </c>
      <c r="P259" s="516" t="str">
        <f t="shared" ca="1" si="3"/>
        <v>Venceu</v>
      </c>
      <c r="Q259" s="528"/>
      <c r="R259" s="529" t="s">
        <v>1506</v>
      </c>
      <c r="S259" s="518"/>
      <c r="T259" s="518" t="s">
        <v>1776</v>
      </c>
      <c r="U259" s="519" t="s">
        <v>2007</v>
      </c>
      <c r="V259" s="520" t="str">
        <f>IFERROR(VLOOKUP(LANÇ_MOV[[#This Row],[PLANO DE CONTAS]],Plano_Contas[[PLANO DE CONTAS]:[R / D]],3,0),"")</f>
        <v>Despesa</v>
      </c>
      <c r="W259" s="521" t="str">
        <f>IF(LANÇ_MOV[[#This Row],[DATA DE PAGAMENTO]]&lt;&gt;"","Pago","Não Pago")</f>
        <v>Não Pago</v>
      </c>
      <c r="X259" s="522" t="str">
        <f>IFERROR(IF(LANÇ_MOV[[#This Row],[DATA DE PAGAMENTO]]="","",(UPPER(TEXT(LANÇ_MOV[[#This Row],[DATA DE PAGAMENTO]],"mmmm")))),"")</f>
        <v/>
      </c>
      <c r="Y259" s="523" t="str">
        <f>IFERROR(VLOOKUP(LANÇ_MOV[[#This Row],[PLANO DE CONTAS]],Plano_Contas[[PLANO DE CONTAS]:[NOMES INTERVALOS]],2,0),"")</f>
        <v>Despesas_Endividamentos</v>
      </c>
      <c r="Z259" s="523" t="str">
        <f>IF(LANÇ_MOV[[#This Row],[FORMA DE PAGAMENTO]]="","",VLOOKUP(LANÇ_MOV[[#This Row],[FORMA DE PAGAMENTO]],CAD_Forma_pagto[],2,0))</f>
        <v>BOLETO</v>
      </c>
      <c r="AA259" s="524" t="str">
        <f>IF(LANÇ_MOV[[#This Row],[DATA DE LANÇAMENTO]]="","",TEXT(LANÇ_MOV[[#This Row],[DATA DE LANÇAMENTO]],"AAAA"))</f>
        <v>2025</v>
      </c>
      <c r="AB259" s="524" t="str">
        <f>IF(LANÇ_MOV[[#This Row],[DATA DE LANÇAMENTO]]="","",UPPER(TEXT(LANÇ_MOV[[#This Row],[DATA DE LANÇAMENTO]],"MMMM")))</f>
        <v>OUTUBRO</v>
      </c>
      <c r="AC259" s="525" t="str">
        <f>IF(LANÇ_MOV[[#This Row],[DATA DE LANÇAMENTO]]="","",PROPER(TEXT(LANÇ_MOV[[#This Row],[DATA DE LANÇAMENTO]],"M")))</f>
        <v>10</v>
      </c>
      <c r="AD259" s="524" t="str">
        <f>IF(LANÇ_MOV[[#This Row],[DATA DE LANÇAMENTO]]="","",TEXT(LANÇ_MOV[[#This Row],[DATA DE LANÇAMENTO]],"D"))</f>
        <v>1</v>
      </c>
      <c r="AE259" s="526" t="str">
        <f>IF(LANÇ_MOV[[#This Row],[DATA DE VENCIMENTO]]="","",TEXT(LANÇ_MOV[[#This Row],[DATA DE VENCIMENTO]],"AAAA"))</f>
        <v>2024</v>
      </c>
      <c r="AF259" s="526" t="str">
        <f>IF(LANÇ_MOV[[#This Row],[DATA DE VENCIMENTO]]="","",UPPER(TEXT(LANÇ_MOV[[#This Row],[DATA DE VENCIMENTO]],"MMMM")))</f>
        <v>NOVEMBRO</v>
      </c>
      <c r="AG259" s="526" t="str">
        <f>IF(LANÇ_MOV[[#This Row],[DATA DE VENCIMENTO]]="","",TEXT(LANÇ_MOV[[#This Row],[DATA DE VENCIMENTO]],"M"))</f>
        <v>11</v>
      </c>
      <c r="AH259" s="526" t="str">
        <f>IF(LANÇ_MOV[[#This Row],[DATA DE VENCIMENTO]]="","",TEXT(LANÇ_MOV[[#This Row],[DATA DE VENCIMENTO]],"D"))</f>
        <v>19</v>
      </c>
      <c r="AI259" s="526" t="str">
        <f>IF(LANÇ_MOV[[#This Row],[DATA DE PAGAMENTO]]="","",TEXT(LANÇ_MOV[[#This Row],[DATA DE PAGAMENTO]],"AAAA"))</f>
        <v/>
      </c>
      <c r="AJ259" s="527" t="str">
        <f>IF(LANÇ_MOV[[#This Row],[DATA DE PAGAMENTO]]="","",UPPER(TEXT(LANÇ_MOV[[#This Row],[DATA DE PAGAMENTO]],"MMMM")))</f>
        <v/>
      </c>
      <c r="AK259" s="527" t="str">
        <f>IF(LANÇ_MOV[[#This Row],[DATA DE PAGAMENTO]]="","",TEXT(LANÇ_MOV[[#This Row],[DATA DE PAGAMENTO]],"M"))</f>
        <v/>
      </c>
      <c r="AL259" s="526" t="str">
        <f>IF(LANÇ_MOV[[#This Row],[DATA DE PAGAMENTO]]="","",TEXT(LANÇ_MOV[[#This Row],[DATA DE PAGAMENTO]],"D"))</f>
        <v/>
      </c>
      <c r="AM259" s="27"/>
      <c r="BB259" s="112"/>
      <c r="BC259" s="112"/>
      <c r="BD259" s="112"/>
    </row>
    <row r="260" spans="2:56" ht="30.05" customHeight="1" x14ac:dyDescent="0.35">
      <c r="B260" s="506">
        <v>45931</v>
      </c>
      <c r="C260" s="507" t="s">
        <v>1661</v>
      </c>
      <c r="D260" s="508" t="s">
        <v>1854</v>
      </c>
      <c r="E260" s="509" t="s">
        <v>1440</v>
      </c>
      <c r="F260" s="510" t="s">
        <v>1839</v>
      </c>
      <c r="G260" s="507" t="s">
        <v>1917</v>
      </c>
      <c r="H260" s="511"/>
      <c r="I260" s="512" t="s">
        <v>1760</v>
      </c>
      <c r="J260" s="510">
        <v>1017.61</v>
      </c>
      <c r="K260" s="513">
        <v>0</v>
      </c>
      <c r="L260" s="513">
        <v>203.52</v>
      </c>
      <c r="M260" s="513">
        <v>51.08</v>
      </c>
      <c r="N260" s="514">
        <f>LANÇ_MOV[[#This Row],[VALOR BRUTO]]-LANÇ_MOV[[#This Row],[DESCONTO]]+LANÇ_MOV[[#This Row],[JUROS]]+LANÇ_MOV[[#This Row],[MULTA]]</f>
        <v>1272.21</v>
      </c>
      <c r="O260" s="528">
        <v>45646</v>
      </c>
      <c r="P260" s="516" t="str">
        <f t="shared" ca="1" si="3"/>
        <v>Venceu</v>
      </c>
      <c r="Q260" s="528"/>
      <c r="R260" s="529" t="s">
        <v>1506</v>
      </c>
      <c r="S260" s="518"/>
      <c r="T260" s="518" t="s">
        <v>1776</v>
      </c>
      <c r="U260" s="519" t="s">
        <v>2007</v>
      </c>
      <c r="V260" s="520" t="str">
        <f>IFERROR(VLOOKUP(LANÇ_MOV[[#This Row],[PLANO DE CONTAS]],Plano_Contas[[PLANO DE CONTAS]:[R / D]],3,0),"")</f>
        <v>Despesa</v>
      </c>
      <c r="W260" s="521" t="str">
        <f>IF(LANÇ_MOV[[#This Row],[DATA DE PAGAMENTO]]&lt;&gt;"","Pago","Não Pago")</f>
        <v>Não Pago</v>
      </c>
      <c r="X260" s="522" t="str">
        <f>IFERROR(IF(LANÇ_MOV[[#This Row],[DATA DE PAGAMENTO]]="","",(UPPER(TEXT(LANÇ_MOV[[#This Row],[DATA DE PAGAMENTO]],"mmmm")))),"")</f>
        <v/>
      </c>
      <c r="Y260" s="523" t="str">
        <f>IFERROR(VLOOKUP(LANÇ_MOV[[#This Row],[PLANO DE CONTAS]],Plano_Contas[[PLANO DE CONTAS]:[NOMES INTERVALOS]],2,0),"")</f>
        <v>Despesas_Endividamentos</v>
      </c>
      <c r="Z260" s="523" t="str">
        <f>IF(LANÇ_MOV[[#This Row],[FORMA DE PAGAMENTO]]="","",VLOOKUP(LANÇ_MOV[[#This Row],[FORMA DE PAGAMENTO]],CAD_Forma_pagto[],2,0))</f>
        <v>BOLETO</v>
      </c>
      <c r="AA260" s="524" t="str">
        <f>IF(LANÇ_MOV[[#This Row],[DATA DE LANÇAMENTO]]="","",TEXT(LANÇ_MOV[[#This Row],[DATA DE LANÇAMENTO]],"AAAA"))</f>
        <v>2025</v>
      </c>
      <c r="AB260" s="524" t="str">
        <f>IF(LANÇ_MOV[[#This Row],[DATA DE LANÇAMENTO]]="","",UPPER(TEXT(LANÇ_MOV[[#This Row],[DATA DE LANÇAMENTO]],"MMMM")))</f>
        <v>OUTUBRO</v>
      </c>
      <c r="AC260" s="525" t="str">
        <f>IF(LANÇ_MOV[[#This Row],[DATA DE LANÇAMENTO]]="","",PROPER(TEXT(LANÇ_MOV[[#This Row],[DATA DE LANÇAMENTO]],"M")))</f>
        <v>10</v>
      </c>
      <c r="AD260" s="524" t="str">
        <f>IF(LANÇ_MOV[[#This Row],[DATA DE LANÇAMENTO]]="","",TEXT(LANÇ_MOV[[#This Row],[DATA DE LANÇAMENTO]],"D"))</f>
        <v>1</v>
      </c>
      <c r="AE260" s="526" t="str">
        <f>IF(LANÇ_MOV[[#This Row],[DATA DE VENCIMENTO]]="","",TEXT(LANÇ_MOV[[#This Row],[DATA DE VENCIMENTO]],"AAAA"))</f>
        <v>2024</v>
      </c>
      <c r="AF260" s="526" t="str">
        <f>IF(LANÇ_MOV[[#This Row],[DATA DE VENCIMENTO]]="","",UPPER(TEXT(LANÇ_MOV[[#This Row],[DATA DE VENCIMENTO]],"MMMM")))</f>
        <v>DEZEMBRO</v>
      </c>
      <c r="AG260" s="526" t="str">
        <f>IF(LANÇ_MOV[[#This Row],[DATA DE VENCIMENTO]]="","",TEXT(LANÇ_MOV[[#This Row],[DATA DE VENCIMENTO]],"M"))</f>
        <v>12</v>
      </c>
      <c r="AH260" s="526" t="str">
        <f>IF(LANÇ_MOV[[#This Row],[DATA DE VENCIMENTO]]="","",TEXT(LANÇ_MOV[[#This Row],[DATA DE VENCIMENTO]],"D"))</f>
        <v>20</v>
      </c>
      <c r="AI260" s="526" t="str">
        <f>IF(LANÇ_MOV[[#This Row],[DATA DE PAGAMENTO]]="","",TEXT(LANÇ_MOV[[#This Row],[DATA DE PAGAMENTO]],"AAAA"))</f>
        <v/>
      </c>
      <c r="AJ260" s="527" t="str">
        <f>IF(LANÇ_MOV[[#This Row],[DATA DE PAGAMENTO]]="","",UPPER(TEXT(LANÇ_MOV[[#This Row],[DATA DE PAGAMENTO]],"MMMM")))</f>
        <v/>
      </c>
      <c r="AK260" s="527" t="str">
        <f>IF(LANÇ_MOV[[#This Row],[DATA DE PAGAMENTO]]="","",TEXT(LANÇ_MOV[[#This Row],[DATA DE PAGAMENTO]],"M"))</f>
        <v/>
      </c>
      <c r="AL260" s="526" t="str">
        <f>IF(LANÇ_MOV[[#This Row],[DATA DE PAGAMENTO]]="","",TEXT(LANÇ_MOV[[#This Row],[DATA DE PAGAMENTO]],"D"))</f>
        <v/>
      </c>
      <c r="AM260" s="27"/>
      <c r="BB260" s="112"/>
      <c r="BC260" s="112"/>
      <c r="BD260" s="112"/>
    </row>
    <row r="261" spans="2:56" ht="30.05" customHeight="1" x14ac:dyDescent="0.35">
      <c r="B261" s="506">
        <v>45931</v>
      </c>
      <c r="C261" s="507" t="s">
        <v>1661</v>
      </c>
      <c r="D261" s="508" t="s">
        <v>1854</v>
      </c>
      <c r="E261" s="509" t="s">
        <v>1440</v>
      </c>
      <c r="F261" s="510" t="s">
        <v>1839</v>
      </c>
      <c r="G261" s="507" t="s">
        <v>1918</v>
      </c>
      <c r="H261" s="511"/>
      <c r="I261" s="512" t="s">
        <v>1760</v>
      </c>
      <c r="J261" s="510">
        <v>1082.22</v>
      </c>
      <c r="K261" s="513">
        <v>0</v>
      </c>
      <c r="L261" s="513">
        <v>216.44</v>
      </c>
      <c r="M261" s="513">
        <v>43.39</v>
      </c>
      <c r="N261" s="514">
        <f>LANÇ_MOV[[#This Row],[VALOR BRUTO]]-LANÇ_MOV[[#This Row],[DESCONTO]]+LANÇ_MOV[[#This Row],[JUROS]]+LANÇ_MOV[[#This Row],[MULTA]]</f>
        <v>1342.0500000000002</v>
      </c>
      <c r="O261" s="528">
        <v>45677</v>
      </c>
      <c r="P261" s="516" t="str">
        <f t="shared" ref="P261:P324" ca="1" si="4">IF(O261="","",IF(Q261&lt;&gt;"","Pago",IF(O261-TODAY()&gt;30,"Prazo - Mais de 1 mês",IF(O261=TODAY(),"Hoje",IF(O261&lt;TODAY(),"Venceu",IF(O261-TODAY()&lt;10,"Prazo - Menos de 10 dias",IF(O261-TODAY()&lt;15,"Prazo - Menos de 15 dias","Prazo - Menos de 1 Mês")))))))</f>
        <v>Venceu</v>
      </c>
      <c r="Q261" s="528"/>
      <c r="R261" s="529" t="s">
        <v>1506</v>
      </c>
      <c r="S261" s="518"/>
      <c r="T261" s="518" t="s">
        <v>1776</v>
      </c>
      <c r="U261" s="519" t="s">
        <v>2007</v>
      </c>
      <c r="V261" s="520" t="str">
        <f>IFERROR(VLOOKUP(LANÇ_MOV[[#This Row],[PLANO DE CONTAS]],Plano_Contas[[PLANO DE CONTAS]:[R / D]],3,0),"")</f>
        <v>Despesa</v>
      </c>
      <c r="W261" s="521" t="str">
        <f>IF(LANÇ_MOV[[#This Row],[DATA DE PAGAMENTO]]&lt;&gt;"","Pago","Não Pago")</f>
        <v>Não Pago</v>
      </c>
      <c r="X261" s="522" t="str">
        <f>IFERROR(IF(LANÇ_MOV[[#This Row],[DATA DE PAGAMENTO]]="","",(UPPER(TEXT(LANÇ_MOV[[#This Row],[DATA DE PAGAMENTO]],"mmmm")))),"")</f>
        <v/>
      </c>
      <c r="Y261" s="523" t="str">
        <f>IFERROR(VLOOKUP(LANÇ_MOV[[#This Row],[PLANO DE CONTAS]],Plano_Contas[[PLANO DE CONTAS]:[NOMES INTERVALOS]],2,0),"")</f>
        <v>Despesas_Endividamentos</v>
      </c>
      <c r="Z261" s="523" t="str">
        <f>IF(LANÇ_MOV[[#This Row],[FORMA DE PAGAMENTO]]="","",VLOOKUP(LANÇ_MOV[[#This Row],[FORMA DE PAGAMENTO]],CAD_Forma_pagto[],2,0))</f>
        <v>BOLETO</v>
      </c>
      <c r="AA261" s="524" t="str">
        <f>IF(LANÇ_MOV[[#This Row],[DATA DE LANÇAMENTO]]="","",TEXT(LANÇ_MOV[[#This Row],[DATA DE LANÇAMENTO]],"AAAA"))</f>
        <v>2025</v>
      </c>
      <c r="AB261" s="524" t="str">
        <f>IF(LANÇ_MOV[[#This Row],[DATA DE LANÇAMENTO]]="","",UPPER(TEXT(LANÇ_MOV[[#This Row],[DATA DE LANÇAMENTO]],"MMMM")))</f>
        <v>OUTUBRO</v>
      </c>
      <c r="AC261" s="525" t="str">
        <f>IF(LANÇ_MOV[[#This Row],[DATA DE LANÇAMENTO]]="","",PROPER(TEXT(LANÇ_MOV[[#This Row],[DATA DE LANÇAMENTO]],"M")))</f>
        <v>10</v>
      </c>
      <c r="AD261" s="524" t="str">
        <f>IF(LANÇ_MOV[[#This Row],[DATA DE LANÇAMENTO]]="","",TEXT(LANÇ_MOV[[#This Row],[DATA DE LANÇAMENTO]],"D"))</f>
        <v>1</v>
      </c>
      <c r="AE261" s="526" t="str">
        <f>IF(LANÇ_MOV[[#This Row],[DATA DE VENCIMENTO]]="","",TEXT(LANÇ_MOV[[#This Row],[DATA DE VENCIMENTO]],"AAAA"))</f>
        <v>2025</v>
      </c>
      <c r="AF261" s="526" t="str">
        <f>IF(LANÇ_MOV[[#This Row],[DATA DE VENCIMENTO]]="","",UPPER(TEXT(LANÇ_MOV[[#This Row],[DATA DE VENCIMENTO]],"MMMM")))</f>
        <v>JANEIRO</v>
      </c>
      <c r="AG261" s="526" t="str">
        <f>IF(LANÇ_MOV[[#This Row],[DATA DE VENCIMENTO]]="","",TEXT(LANÇ_MOV[[#This Row],[DATA DE VENCIMENTO]],"M"))</f>
        <v>1</v>
      </c>
      <c r="AH261" s="526" t="str">
        <f>IF(LANÇ_MOV[[#This Row],[DATA DE VENCIMENTO]]="","",TEXT(LANÇ_MOV[[#This Row],[DATA DE VENCIMENTO]],"D"))</f>
        <v>20</v>
      </c>
      <c r="AI261" s="526" t="str">
        <f>IF(LANÇ_MOV[[#This Row],[DATA DE PAGAMENTO]]="","",TEXT(LANÇ_MOV[[#This Row],[DATA DE PAGAMENTO]],"AAAA"))</f>
        <v/>
      </c>
      <c r="AJ261" s="527" t="str">
        <f>IF(LANÇ_MOV[[#This Row],[DATA DE PAGAMENTO]]="","",UPPER(TEXT(LANÇ_MOV[[#This Row],[DATA DE PAGAMENTO]],"MMMM")))</f>
        <v/>
      </c>
      <c r="AK261" s="527" t="str">
        <f>IF(LANÇ_MOV[[#This Row],[DATA DE PAGAMENTO]]="","",TEXT(LANÇ_MOV[[#This Row],[DATA DE PAGAMENTO]],"M"))</f>
        <v/>
      </c>
      <c r="AL261" s="526" t="str">
        <f>IF(LANÇ_MOV[[#This Row],[DATA DE PAGAMENTO]]="","",TEXT(LANÇ_MOV[[#This Row],[DATA DE PAGAMENTO]],"D"))</f>
        <v/>
      </c>
      <c r="AM261" s="27"/>
      <c r="BB261" s="112"/>
      <c r="BC261" s="112"/>
      <c r="BD261" s="112"/>
    </row>
    <row r="262" spans="2:56" ht="30.05" customHeight="1" x14ac:dyDescent="0.35">
      <c r="B262" s="506">
        <v>45931</v>
      </c>
      <c r="C262" s="507" t="s">
        <v>1661</v>
      </c>
      <c r="D262" s="508" t="s">
        <v>1854</v>
      </c>
      <c r="E262" s="509" t="s">
        <v>1440</v>
      </c>
      <c r="F262" s="510" t="s">
        <v>1839</v>
      </c>
      <c r="G262" s="507" t="s">
        <v>1921</v>
      </c>
      <c r="H262" s="511"/>
      <c r="I262" s="512" t="s">
        <v>1760</v>
      </c>
      <c r="J262" s="510">
        <v>1061.73</v>
      </c>
      <c r="K262" s="513">
        <v>0</v>
      </c>
      <c r="L262" s="513">
        <v>212.34</v>
      </c>
      <c r="M262" s="513">
        <v>32.06</v>
      </c>
      <c r="N262" s="514">
        <f>LANÇ_MOV[[#This Row],[VALOR BRUTO]]-LANÇ_MOV[[#This Row],[DESCONTO]]+LANÇ_MOV[[#This Row],[JUROS]]+LANÇ_MOV[[#This Row],[MULTA]]</f>
        <v>1306.1299999999999</v>
      </c>
      <c r="O262" s="528">
        <v>45708</v>
      </c>
      <c r="P262" s="516" t="str">
        <f t="shared" ca="1" si="4"/>
        <v>Venceu</v>
      </c>
      <c r="Q262" s="528"/>
      <c r="R262" s="529" t="s">
        <v>1506</v>
      </c>
      <c r="S262" s="518"/>
      <c r="T262" s="518" t="s">
        <v>1776</v>
      </c>
      <c r="U262" s="519" t="s">
        <v>2007</v>
      </c>
      <c r="V262" s="520" t="str">
        <f>IFERROR(VLOOKUP(LANÇ_MOV[[#This Row],[PLANO DE CONTAS]],Plano_Contas[[PLANO DE CONTAS]:[R / D]],3,0),"")</f>
        <v>Despesa</v>
      </c>
      <c r="W262" s="521" t="str">
        <f>IF(LANÇ_MOV[[#This Row],[DATA DE PAGAMENTO]]&lt;&gt;"","Pago","Não Pago")</f>
        <v>Não Pago</v>
      </c>
      <c r="X262" s="522" t="str">
        <f>IFERROR(IF(LANÇ_MOV[[#This Row],[DATA DE PAGAMENTO]]="","",(UPPER(TEXT(LANÇ_MOV[[#This Row],[DATA DE PAGAMENTO]],"mmmm")))),"")</f>
        <v/>
      </c>
      <c r="Y262" s="523" t="str">
        <f>IFERROR(VLOOKUP(LANÇ_MOV[[#This Row],[PLANO DE CONTAS]],Plano_Contas[[PLANO DE CONTAS]:[NOMES INTERVALOS]],2,0),"")</f>
        <v>Despesas_Endividamentos</v>
      </c>
      <c r="Z262" s="523" t="str">
        <f>IF(LANÇ_MOV[[#This Row],[FORMA DE PAGAMENTO]]="","",VLOOKUP(LANÇ_MOV[[#This Row],[FORMA DE PAGAMENTO]],CAD_Forma_pagto[],2,0))</f>
        <v>BOLETO</v>
      </c>
      <c r="AA262" s="524" t="str">
        <f>IF(LANÇ_MOV[[#This Row],[DATA DE LANÇAMENTO]]="","",TEXT(LANÇ_MOV[[#This Row],[DATA DE LANÇAMENTO]],"AAAA"))</f>
        <v>2025</v>
      </c>
      <c r="AB262" s="524" t="str">
        <f>IF(LANÇ_MOV[[#This Row],[DATA DE LANÇAMENTO]]="","",UPPER(TEXT(LANÇ_MOV[[#This Row],[DATA DE LANÇAMENTO]],"MMMM")))</f>
        <v>OUTUBRO</v>
      </c>
      <c r="AC262" s="525" t="str">
        <f>IF(LANÇ_MOV[[#This Row],[DATA DE LANÇAMENTO]]="","",PROPER(TEXT(LANÇ_MOV[[#This Row],[DATA DE LANÇAMENTO]],"M")))</f>
        <v>10</v>
      </c>
      <c r="AD262" s="524" t="str">
        <f>IF(LANÇ_MOV[[#This Row],[DATA DE LANÇAMENTO]]="","",TEXT(LANÇ_MOV[[#This Row],[DATA DE LANÇAMENTO]],"D"))</f>
        <v>1</v>
      </c>
      <c r="AE262" s="526" t="str">
        <f>IF(LANÇ_MOV[[#This Row],[DATA DE VENCIMENTO]]="","",TEXT(LANÇ_MOV[[#This Row],[DATA DE VENCIMENTO]],"AAAA"))</f>
        <v>2025</v>
      </c>
      <c r="AF262" s="526" t="str">
        <f>IF(LANÇ_MOV[[#This Row],[DATA DE VENCIMENTO]]="","",UPPER(TEXT(LANÇ_MOV[[#This Row],[DATA DE VENCIMENTO]],"MMMM")))</f>
        <v>FEVEREIRO</v>
      </c>
      <c r="AG262" s="526" t="str">
        <f>IF(LANÇ_MOV[[#This Row],[DATA DE VENCIMENTO]]="","",TEXT(LANÇ_MOV[[#This Row],[DATA DE VENCIMENTO]],"M"))</f>
        <v>2</v>
      </c>
      <c r="AH262" s="526" t="str">
        <f>IF(LANÇ_MOV[[#This Row],[DATA DE VENCIMENTO]]="","",TEXT(LANÇ_MOV[[#This Row],[DATA DE VENCIMENTO]],"D"))</f>
        <v>20</v>
      </c>
      <c r="AI262" s="526" t="str">
        <f>IF(LANÇ_MOV[[#This Row],[DATA DE PAGAMENTO]]="","",TEXT(LANÇ_MOV[[#This Row],[DATA DE PAGAMENTO]],"AAAA"))</f>
        <v/>
      </c>
      <c r="AJ262" s="527" t="str">
        <f>IF(LANÇ_MOV[[#This Row],[DATA DE PAGAMENTO]]="","",UPPER(TEXT(LANÇ_MOV[[#This Row],[DATA DE PAGAMENTO]],"MMMM")))</f>
        <v/>
      </c>
      <c r="AK262" s="527" t="str">
        <f>IF(LANÇ_MOV[[#This Row],[DATA DE PAGAMENTO]]="","",TEXT(LANÇ_MOV[[#This Row],[DATA DE PAGAMENTO]],"M"))</f>
        <v/>
      </c>
      <c r="AL262" s="526" t="str">
        <f>IF(LANÇ_MOV[[#This Row],[DATA DE PAGAMENTO]]="","",TEXT(LANÇ_MOV[[#This Row],[DATA DE PAGAMENTO]],"D"))</f>
        <v/>
      </c>
      <c r="AM262" s="27"/>
      <c r="BB262" s="112"/>
      <c r="BC262" s="112"/>
      <c r="BD262" s="112"/>
    </row>
    <row r="263" spans="2:56" ht="30.05" customHeight="1" x14ac:dyDescent="0.35">
      <c r="B263" s="506">
        <v>45931</v>
      </c>
      <c r="C263" s="507" t="s">
        <v>1661</v>
      </c>
      <c r="D263" s="508" t="s">
        <v>1854</v>
      </c>
      <c r="E263" s="509" t="s">
        <v>1440</v>
      </c>
      <c r="F263" s="510" t="s">
        <v>1839</v>
      </c>
      <c r="G263" s="507" t="s">
        <v>1919</v>
      </c>
      <c r="H263" s="511"/>
      <c r="I263" s="512" t="s">
        <v>1760</v>
      </c>
      <c r="J263" s="510">
        <v>756.64</v>
      </c>
      <c r="K263" s="513">
        <v>0</v>
      </c>
      <c r="L263" s="513">
        <v>122.34</v>
      </c>
      <c r="M263" s="513">
        <v>15.58</v>
      </c>
      <c r="N263" s="514">
        <f>LANÇ_MOV[[#This Row],[VALOR BRUTO]]-LANÇ_MOV[[#This Row],[DESCONTO]]+LANÇ_MOV[[#This Row],[JUROS]]+LANÇ_MOV[[#This Row],[MULTA]]</f>
        <v>894.56000000000006</v>
      </c>
      <c r="O263" s="528">
        <v>45736</v>
      </c>
      <c r="P263" s="516" t="str">
        <f t="shared" ca="1" si="4"/>
        <v>Venceu</v>
      </c>
      <c r="Q263" s="528"/>
      <c r="R263" s="529" t="s">
        <v>1506</v>
      </c>
      <c r="S263" s="518"/>
      <c r="T263" s="518" t="s">
        <v>1776</v>
      </c>
      <c r="U263" s="519" t="s">
        <v>2007</v>
      </c>
      <c r="V263" s="520" t="str">
        <f>IFERROR(VLOOKUP(LANÇ_MOV[[#This Row],[PLANO DE CONTAS]],Plano_Contas[[PLANO DE CONTAS]:[R / D]],3,0),"")</f>
        <v>Despesa</v>
      </c>
      <c r="W263" s="521" t="str">
        <f>IF(LANÇ_MOV[[#This Row],[DATA DE PAGAMENTO]]&lt;&gt;"","Pago","Não Pago")</f>
        <v>Não Pago</v>
      </c>
      <c r="X263" s="522" t="str">
        <f>IFERROR(IF(LANÇ_MOV[[#This Row],[DATA DE PAGAMENTO]]="","",(UPPER(TEXT(LANÇ_MOV[[#This Row],[DATA DE PAGAMENTO]],"mmmm")))),"")</f>
        <v/>
      </c>
      <c r="Y263" s="523" t="str">
        <f>IFERROR(VLOOKUP(LANÇ_MOV[[#This Row],[PLANO DE CONTAS]],Plano_Contas[[PLANO DE CONTAS]:[NOMES INTERVALOS]],2,0),"")</f>
        <v>Despesas_Endividamentos</v>
      </c>
      <c r="Z263" s="523" t="str">
        <f>IF(LANÇ_MOV[[#This Row],[FORMA DE PAGAMENTO]]="","",VLOOKUP(LANÇ_MOV[[#This Row],[FORMA DE PAGAMENTO]],CAD_Forma_pagto[],2,0))</f>
        <v>BOLETO</v>
      </c>
      <c r="AA263" s="524" t="str">
        <f>IF(LANÇ_MOV[[#This Row],[DATA DE LANÇAMENTO]]="","",TEXT(LANÇ_MOV[[#This Row],[DATA DE LANÇAMENTO]],"AAAA"))</f>
        <v>2025</v>
      </c>
      <c r="AB263" s="524" t="str">
        <f>IF(LANÇ_MOV[[#This Row],[DATA DE LANÇAMENTO]]="","",UPPER(TEXT(LANÇ_MOV[[#This Row],[DATA DE LANÇAMENTO]],"MMMM")))</f>
        <v>OUTUBRO</v>
      </c>
      <c r="AC263" s="525" t="str">
        <f>IF(LANÇ_MOV[[#This Row],[DATA DE LANÇAMENTO]]="","",PROPER(TEXT(LANÇ_MOV[[#This Row],[DATA DE LANÇAMENTO]],"M")))</f>
        <v>10</v>
      </c>
      <c r="AD263" s="524" t="str">
        <f>IF(LANÇ_MOV[[#This Row],[DATA DE LANÇAMENTO]]="","",TEXT(LANÇ_MOV[[#This Row],[DATA DE LANÇAMENTO]],"D"))</f>
        <v>1</v>
      </c>
      <c r="AE263" s="526" t="str">
        <f>IF(LANÇ_MOV[[#This Row],[DATA DE VENCIMENTO]]="","",TEXT(LANÇ_MOV[[#This Row],[DATA DE VENCIMENTO]],"AAAA"))</f>
        <v>2025</v>
      </c>
      <c r="AF263" s="526" t="str">
        <f>IF(LANÇ_MOV[[#This Row],[DATA DE VENCIMENTO]]="","",UPPER(TEXT(LANÇ_MOV[[#This Row],[DATA DE VENCIMENTO]],"MMMM")))</f>
        <v>MARÇO</v>
      </c>
      <c r="AG263" s="526" t="str">
        <f>IF(LANÇ_MOV[[#This Row],[DATA DE VENCIMENTO]]="","",TEXT(LANÇ_MOV[[#This Row],[DATA DE VENCIMENTO]],"M"))</f>
        <v>3</v>
      </c>
      <c r="AH263" s="526" t="str">
        <f>IF(LANÇ_MOV[[#This Row],[DATA DE VENCIMENTO]]="","",TEXT(LANÇ_MOV[[#This Row],[DATA DE VENCIMENTO]],"D"))</f>
        <v>20</v>
      </c>
      <c r="AI263" s="526" t="str">
        <f>IF(LANÇ_MOV[[#This Row],[DATA DE PAGAMENTO]]="","",TEXT(LANÇ_MOV[[#This Row],[DATA DE PAGAMENTO]],"AAAA"))</f>
        <v/>
      </c>
      <c r="AJ263" s="527" t="str">
        <f>IF(LANÇ_MOV[[#This Row],[DATA DE PAGAMENTO]]="","",UPPER(TEXT(LANÇ_MOV[[#This Row],[DATA DE PAGAMENTO]],"MMMM")))</f>
        <v/>
      </c>
      <c r="AK263" s="527" t="str">
        <f>IF(LANÇ_MOV[[#This Row],[DATA DE PAGAMENTO]]="","",TEXT(LANÇ_MOV[[#This Row],[DATA DE PAGAMENTO]],"M"))</f>
        <v/>
      </c>
      <c r="AL263" s="526" t="str">
        <f>IF(LANÇ_MOV[[#This Row],[DATA DE PAGAMENTO]]="","",TEXT(LANÇ_MOV[[#This Row],[DATA DE PAGAMENTO]],"D"))</f>
        <v/>
      </c>
      <c r="AM263" s="27"/>
      <c r="BB263" s="112"/>
      <c r="BC263" s="112"/>
      <c r="BD263" s="112"/>
    </row>
    <row r="264" spans="2:56" ht="30.05" customHeight="1" x14ac:dyDescent="0.35">
      <c r="B264" s="506">
        <v>45931</v>
      </c>
      <c r="C264" s="507" t="s">
        <v>1661</v>
      </c>
      <c r="D264" s="508" t="s">
        <v>1854</v>
      </c>
      <c r="E264" s="509" t="s">
        <v>1440</v>
      </c>
      <c r="F264" s="510" t="s">
        <v>1839</v>
      </c>
      <c r="G264" s="507" t="s">
        <v>1920</v>
      </c>
      <c r="H264" s="511"/>
      <c r="I264" s="512" t="s">
        <v>1760</v>
      </c>
      <c r="J264" s="510">
        <v>607.14</v>
      </c>
      <c r="K264" s="513">
        <v>0</v>
      </c>
      <c r="L264" s="513">
        <v>34.06</v>
      </c>
      <c r="M264" s="513">
        <v>6.07</v>
      </c>
      <c r="N264" s="514">
        <f>LANÇ_MOV[[#This Row],[VALOR BRUTO]]-LANÇ_MOV[[#This Row],[DESCONTO]]+LANÇ_MOV[[#This Row],[JUROS]]+LANÇ_MOV[[#This Row],[MULTA]]</f>
        <v>647.2700000000001</v>
      </c>
      <c r="O264" s="528">
        <v>45764</v>
      </c>
      <c r="P264" s="516" t="str">
        <f t="shared" ca="1" si="4"/>
        <v>Venceu</v>
      </c>
      <c r="Q264" s="528"/>
      <c r="R264" s="529" t="s">
        <v>1506</v>
      </c>
      <c r="S264" s="518"/>
      <c r="T264" s="518" t="s">
        <v>1776</v>
      </c>
      <c r="U264" s="519" t="s">
        <v>2007</v>
      </c>
      <c r="V264" s="520" t="str">
        <f>IFERROR(VLOOKUP(LANÇ_MOV[[#This Row],[PLANO DE CONTAS]],Plano_Contas[[PLANO DE CONTAS]:[R / D]],3,0),"")</f>
        <v>Despesa</v>
      </c>
      <c r="W264" s="521" t="str">
        <f>IF(LANÇ_MOV[[#This Row],[DATA DE PAGAMENTO]]&lt;&gt;"","Pago","Não Pago")</f>
        <v>Não Pago</v>
      </c>
      <c r="X264" s="522" t="str">
        <f>IFERROR(IF(LANÇ_MOV[[#This Row],[DATA DE PAGAMENTO]]="","",(UPPER(TEXT(LANÇ_MOV[[#This Row],[DATA DE PAGAMENTO]],"mmmm")))),"")</f>
        <v/>
      </c>
      <c r="Y264" s="523" t="str">
        <f>IFERROR(VLOOKUP(LANÇ_MOV[[#This Row],[PLANO DE CONTAS]],Plano_Contas[[PLANO DE CONTAS]:[NOMES INTERVALOS]],2,0),"")</f>
        <v>Despesas_Endividamentos</v>
      </c>
      <c r="Z264" s="523" t="str">
        <f>IF(LANÇ_MOV[[#This Row],[FORMA DE PAGAMENTO]]="","",VLOOKUP(LANÇ_MOV[[#This Row],[FORMA DE PAGAMENTO]],CAD_Forma_pagto[],2,0))</f>
        <v>BOLETO</v>
      </c>
      <c r="AA264" s="524" t="str">
        <f>IF(LANÇ_MOV[[#This Row],[DATA DE LANÇAMENTO]]="","",TEXT(LANÇ_MOV[[#This Row],[DATA DE LANÇAMENTO]],"AAAA"))</f>
        <v>2025</v>
      </c>
      <c r="AB264" s="524" t="str">
        <f>IF(LANÇ_MOV[[#This Row],[DATA DE LANÇAMENTO]]="","",UPPER(TEXT(LANÇ_MOV[[#This Row],[DATA DE LANÇAMENTO]],"MMMM")))</f>
        <v>OUTUBRO</v>
      </c>
      <c r="AC264" s="525" t="str">
        <f>IF(LANÇ_MOV[[#This Row],[DATA DE LANÇAMENTO]]="","",PROPER(TEXT(LANÇ_MOV[[#This Row],[DATA DE LANÇAMENTO]],"M")))</f>
        <v>10</v>
      </c>
      <c r="AD264" s="524" t="str">
        <f>IF(LANÇ_MOV[[#This Row],[DATA DE LANÇAMENTO]]="","",TEXT(LANÇ_MOV[[#This Row],[DATA DE LANÇAMENTO]],"D"))</f>
        <v>1</v>
      </c>
      <c r="AE264" s="526" t="str">
        <f>IF(LANÇ_MOV[[#This Row],[DATA DE VENCIMENTO]]="","",TEXT(LANÇ_MOV[[#This Row],[DATA DE VENCIMENTO]],"AAAA"))</f>
        <v>2025</v>
      </c>
      <c r="AF264" s="526" t="str">
        <f>IF(LANÇ_MOV[[#This Row],[DATA DE VENCIMENTO]]="","",UPPER(TEXT(LANÇ_MOV[[#This Row],[DATA DE VENCIMENTO]],"MMMM")))</f>
        <v>ABRIL</v>
      </c>
      <c r="AG264" s="526" t="str">
        <f>IF(LANÇ_MOV[[#This Row],[DATA DE VENCIMENTO]]="","",TEXT(LANÇ_MOV[[#This Row],[DATA DE VENCIMENTO]],"M"))</f>
        <v>4</v>
      </c>
      <c r="AH264" s="526" t="str">
        <f>IF(LANÇ_MOV[[#This Row],[DATA DE VENCIMENTO]]="","",TEXT(LANÇ_MOV[[#This Row],[DATA DE VENCIMENTO]],"D"))</f>
        <v>17</v>
      </c>
      <c r="AI264" s="526" t="str">
        <f>IF(LANÇ_MOV[[#This Row],[DATA DE PAGAMENTO]]="","",TEXT(LANÇ_MOV[[#This Row],[DATA DE PAGAMENTO]],"AAAA"))</f>
        <v/>
      </c>
      <c r="AJ264" s="527" t="str">
        <f>IF(LANÇ_MOV[[#This Row],[DATA DE PAGAMENTO]]="","",UPPER(TEXT(LANÇ_MOV[[#This Row],[DATA DE PAGAMENTO]],"MMMM")))</f>
        <v/>
      </c>
      <c r="AK264" s="527" t="str">
        <f>IF(LANÇ_MOV[[#This Row],[DATA DE PAGAMENTO]]="","",TEXT(LANÇ_MOV[[#This Row],[DATA DE PAGAMENTO]],"M"))</f>
        <v/>
      </c>
      <c r="AL264" s="526" t="str">
        <f>IF(LANÇ_MOV[[#This Row],[DATA DE PAGAMENTO]]="","",TEXT(LANÇ_MOV[[#This Row],[DATA DE PAGAMENTO]],"D"))</f>
        <v/>
      </c>
      <c r="AM264" s="27"/>
      <c r="BB264" s="112"/>
      <c r="BC264" s="112"/>
      <c r="BD264" s="112"/>
    </row>
    <row r="265" spans="2:56" ht="30.05" customHeight="1" x14ac:dyDescent="0.35">
      <c r="B265" s="506">
        <v>45931</v>
      </c>
      <c r="C265" s="507" t="s">
        <v>1661</v>
      </c>
      <c r="D265" s="508" t="s">
        <v>1854</v>
      </c>
      <c r="E265" s="509" t="s">
        <v>1440</v>
      </c>
      <c r="F265" s="510" t="s">
        <v>1839</v>
      </c>
      <c r="G265" s="507">
        <v>2024</v>
      </c>
      <c r="H265" s="511"/>
      <c r="I265" s="512" t="s">
        <v>1760</v>
      </c>
      <c r="J265" s="510">
        <v>858.66</v>
      </c>
      <c r="K265" s="513">
        <v>0</v>
      </c>
      <c r="L265" s="513">
        <v>171.73</v>
      </c>
      <c r="M265" s="513">
        <v>43.1</v>
      </c>
      <c r="N265" s="514">
        <f>LANÇ_MOV[[#This Row],[VALOR BRUTO]]-LANÇ_MOV[[#This Row],[DESCONTO]]+LANÇ_MOV[[#This Row],[JUROS]]+LANÇ_MOV[[#This Row],[MULTA]]</f>
        <v>1073.4899999999998</v>
      </c>
      <c r="O265" s="528">
        <v>45646</v>
      </c>
      <c r="P265" s="516" t="str">
        <f t="shared" ca="1" si="4"/>
        <v>Venceu</v>
      </c>
      <c r="Q265" s="528"/>
      <c r="R265" s="529" t="s">
        <v>1506</v>
      </c>
      <c r="S265" s="518"/>
      <c r="T265" s="518" t="s">
        <v>1776</v>
      </c>
      <c r="U265" s="519" t="s">
        <v>2007</v>
      </c>
      <c r="V265" s="520" t="str">
        <f>IFERROR(VLOOKUP(LANÇ_MOV[[#This Row],[PLANO DE CONTAS]],Plano_Contas[[PLANO DE CONTAS]:[R / D]],3,0),"")</f>
        <v>Despesa</v>
      </c>
      <c r="W265" s="521" t="str">
        <f>IF(LANÇ_MOV[[#This Row],[DATA DE PAGAMENTO]]&lt;&gt;"","Pago","Não Pago")</f>
        <v>Não Pago</v>
      </c>
      <c r="X265" s="522" t="str">
        <f>IFERROR(IF(LANÇ_MOV[[#This Row],[DATA DE PAGAMENTO]]="","",(UPPER(TEXT(LANÇ_MOV[[#This Row],[DATA DE PAGAMENTO]],"mmmm")))),"")</f>
        <v/>
      </c>
      <c r="Y265" s="523" t="str">
        <f>IFERROR(VLOOKUP(LANÇ_MOV[[#This Row],[PLANO DE CONTAS]],Plano_Contas[[PLANO DE CONTAS]:[NOMES INTERVALOS]],2,0),"")</f>
        <v>Despesas_Endividamentos</v>
      </c>
      <c r="Z265" s="523" t="str">
        <f>IF(LANÇ_MOV[[#This Row],[FORMA DE PAGAMENTO]]="","",VLOOKUP(LANÇ_MOV[[#This Row],[FORMA DE PAGAMENTO]],CAD_Forma_pagto[],2,0))</f>
        <v>BOLETO</v>
      </c>
      <c r="AA265" s="524" t="str">
        <f>IF(LANÇ_MOV[[#This Row],[DATA DE LANÇAMENTO]]="","",TEXT(LANÇ_MOV[[#This Row],[DATA DE LANÇAMENTO]],"AAAA"))</f>
        <v>2025</v>
      </c>
      <c r="AB265" s="524" t="str">
        <f>IF(LANÇ_MOV[[#This Row],[DATA DE LANÇAMENTO]]="","",UPPER(TEXT(LANÇ_MOV[[#This Row],[DATA DE LANÇAMENTO]],"MMMM")))</f>
        <v>OUTUBRO</v>
      </c>
      <c r="AC265" s="525" t="str">
        <f>IF(LANÇ_MOV[[#This Row],[DATA DE LANÇAMENTO]]="","",PROPER(TEXT(LANÇ_MOV[[#This Row],[DATA DE LANÇAMENTO]],"M")))</f>
        <v>10</v>
      </c>
      <c r="AD265" s="524" t="str">
        <f>IF(LANÇ_MOV[[#This Row],[DATA DE LANÇAMENTO]]="","",TEXT(LANÇ_MOV[[#This Row],[DATA DE LANÇAMENTO]],"D"))</f>
        <v>1</v>
      </c>
      <c r="AE265" s="526" t="str">
        <f>IF(LANÇ_MOV[[#This Row],[DATA DE VENCIMENTO]]="","",TEXT(LANÇ_MOV[[#This Row],[DATA DE VENCIMENTO]],"AAAA"))</f>
        <v>2024</v>
      </c>
      <c r="AF265" s="526" t="str">
        <f>IF(LANÇ_MOV[[#This Row],[DATA DE VENCIMENTO]]="","",UPPER(TEXT(LANÇ_MOV[[#This Row],[DATA DE VENCIMENTO]],"MMMM")))</f>
        <v>DEZEMBRO</v>
      </c>
      <c r="AG265" s="526" t="str">
        <f>IF(LANÇ_MOV[[#This Row],[DATA DE VENCIMENTO]]="","",TEXT(LANÇ_MOV[[#This Row],[DATA DE VENCIMENTO]],"M"))</f>
        <v>12</v>
      </c>
      <c r="AH265" s="526" t="str">
        <f>IF(LANÇ_MOV[[#This Row],[DATA DE VENCIMENTO]]="","",TEXT(LANÇ_MOV[[#This Row],[DATA DE VENCIMENTO]],"D"))</f>
        <v>20</v>
      </c>
      <c r="AI265" s="526" t="str">
        <f>IF(LANÇ_MOV[[#This Row],[DATA DE PAGAMENTO]]="","",TEXT(LANÇ_MOV[[#This Row],[DATA DE PAGAMENTO]],"AAAA"))</f>
        <v/>
      </c>
      <c r="AJ265" s="527" t="str">
        <f>IF(LANÇ_MOV[[#This Row],[DATA DE PAGAMENTO]]="","",UPPER(TEXT(LANÇ_MOV[[#This Row],[DATA DE PAGAMENTO]],"MMMM")))</f>
        <v/>
      </c>
      <c r="AK265" s="527" t="str">
        <f>IF(LANÇ_MOV[[#This Row],[DATA DE PAGAMENTO]]="","",TEXT(LANÇ_MOV[[#This Row],[DATA DE PAGAMENTO]],"M"))</f>
        <v/>
      </c>
      <c r="AL265" s="526" t="str">
        <f>IF(LANÇ_MOV[[#This Row],[DATA DE PAGAMENTO]]="","",TEXT(LANÇ_MOV[[#This Row],[DATA DE PAGAMENTO]],"D"))</f>
        <v/>
      </c>
      <c r="AM265" s="27"/>
      <c r="BB265" s="112"/>
      <c r="BC265" s="112"/>
      <c r="BD265" s="112"/>
    </row>
    <row r="266" spans="2:56" ht="30.05" customHeight="1" x14ac:dyDescent="0.35">
      <c r="B266" s="506">
        <v>45931</v>
      </c>
      <c r="C266" s="507" t="s">
        <v>1661</v>
      </c>
      <c r="D266" s="508" t="s">
        <v>1854</v>
      </c>
      <c r="E266" s="509" t="s">
        <v>1440</v>
      </c>
      <c r="F266" s="510" t="s">
        <v>1838</v>
      </c>
      <c r="G266" s="507" t="s">
        <v>1912</v>
      </c>
      <c r="H266" s="511"/>
      <c r="I266" s="512" t="s">
        <v>1760</v>
      </c>
      <c r="J266" s="510">
        <v>2632.21</v>
      </c>
      <c r="K266" s="513">
        <v>0</v>
      </c>
      <c r="L266" s="513">
        <v>526.44000000000005</v>
      </c>
      <c r="M266" s="513">
        <v>246.9</v>
      </c>
      <c r="N266" s="514">
        <f>LANÇ_MOV[[#This Row],[VALOR BRUTO]]-LANÇ_MOV[[#This Row],[DESCONTO]]+LANÇ_MOV[[#This Row],[JUROS]]+LANÇ_MOV[[#This Row],[MULTA]]</f>
        <v>3405.55</v>
      </c>
      <c r="O266" s="528">
        <v>45492</v>
      </c>
      <c r="P266" s="516" t="str">
        <f t="shared" ca="1" si="4"/>
        <v>Venceu</v>
      </c>
      <c r="Q266" s="528"/>
      <c r="R266" s="529" t="s">
        <v>1506</v>
      </c>
      <c r="S266" s="518"/>
      <c r="T266" s="518" t="s">
        <v>1776</v>
      </c>
      <c r="U266" s="519" t="s">
        <v>2007</v>
      </c>
      <c r="V266" s="520" t="str">
        <f>IFERROR(VLOOKUP(LANÇ_MOV[[#This Row],[PLANO DE CONTAS]],Plano_Contas[[PLANO DE CONTAS]:[R / D]],3,0),"")</f>
        <v>Despesa</v>
      </c>
      <c r="W266" s="521" t="str">
        <f>IF(LANÇ_MOV[[#This Row],[DATA DE PAGAMENTO]]&lt;&gt;"","Pago","Não Pago")</f>
        <v>Não Pago</v>
      </c>
      <c r="X266" s="522" t="str">
        <f>IFERROR(IF(LANÇ_MOV[[#This Row],[DATA DE PAGAMENTO]]="","",(UPPER(TEXT(LANÇ_MOV[[#This Row],[DATA DE PAGAMENTO]],"mmmm")))),"")</f>
        <v/>
      </c>
      <c r="Y266" s="523" t="str">
        <f>IFERROR(VLOOKUP(LANÇ_MOV[[#This Row],[PLANO DE CONTAS]],Plano_Contas[[PLANO DE CONTAS]:[NOMES INTERVALOS]],2,0),"")</f>
        <v>Despesas_Endividamentos</v>
      </c>
      <c r="Z266" s="523" t="str">
        <f>IF(LANÇ_MOV[[#This Row],[FORMA DE PAGAMENTO]]="","",VLOOKUP(LANÇ_MOV[[#This Row],[FORMA DE PAGAMENTO]],CAD_Forma_pagto[],2,0))</f>
        <v>BOLETO</v>
      </c>
      <c r="AA266" s="524" t="str">
        <f>IF(LANÇ_MOV[[#This Row],[DATA DE LANÇAMENTO]]="","",TEXT(LANÇ_MOV[[#This Row],[DATA DE LANÇAMENTO]],"AAAA"))</f>
        <v>2025</v>
      </c>
      <c r="AB266" s="524" t="str">
        <f>IF(LANÇ_MOV[[#This Row],[DATA DE LANÇAMENTO]]="","",UPPER(TEXT(LANÇ_MOV[[#This Row],[DATA DE LANÇAMENTO]],"MMMM")))</f>
        <v>OUTUBRO</v>
      </c>
      <c r="AC266" s="525" t="str">
        <f>IF(LANÇ_MOV[[#This Row],[DATA DE LANÇAMENTO]]="","",PROPER(TEXT(LANÇ_MOV[[#This Row],[DATA DE LANÇAMENTO]],"M")))</f>
        <v>10</v>
      </c>
      <c r="AD266" s="524" t="str">
        <f>IF(LANÇ_MOV[[#This Row],[DATA DE LANÇAMENTO]]="","",TEXT(LANÇ_MOV[[#This Row],[DATA DE LANÇAMENTO]],"D"))</f>
        <v>1</v>
      </c>
      <c r="AE266" s="526" t="str">
        <f>IF(LANÇ_MOV[[#This Row],[DATA DE VENCIMENTO]]="","",TEXT(LANÇ_MOV[[#This Row],[DATA DE VENCIMENTO]],"AAAA"))</f>
        <v>2024</v>
      </c>
      <c r="AF266" s="526" t="str">
        <f>IF(LANÇ_MOV[[#This Row],[DATA DE VENCIMENTO]]="","",UPPER(TEXT(LANÇ_MOV[[#This Row],[DATA DE VENCIMENTO]],"MMMM")))</f>
        <v>JULHO</v>
      </c>
      <c r="AG266" s="526" t="str">
        <f>IF(LANÇ_MOV[[#This Row],[DATA DE VENCIMENTO]]="","",TEXT(LANÇ_MOV[[#This Row],[DATA DE VENCIMENTO]],"M"))</f>
        <v>7</v>
      </c>
      <c r="AH266" s="526" t="str">
        <f>IF(LANÇ_MOV[[#This Row],[DATA DE VENCIMENTO]]="","",TEXT(LANÇ_MOV[[#This Row],[DATA DE VENCIMENTO]],"D"))</f>
        <v>19</v>
      </c>
      <c r="AI266" s="526" t="str">
        <f>IF(LANÇ_MOV[[#This Row],[DATA DE PAGAMENTO]]="","",TEXT(LANÇ_MOV[[#This Row],[DATA DE PAGAMENTO]],"AAAA"))</f>
        <v/>
      </c>
      <c r="AJ266" s="527" t="str">
        <f>IF(LANÇ_MOV[[#This Row],[DATA DE PAGAMENTO]]="","",UPPER(TEXT(LANÇ_MOV[[#This Row],[DATA DE PAGAMENTO]],"MMMM")))</f>
        <v/>
      </c>
      <c r="AK266" s="527" t="str">
        <f>IF(LANÇ_MOV[[#This Row],[DATA DE PAGAMENTO]]="","",TEXT(LANÇ_MOV[[#This Row],[DATA DE PAGAMENTO]],"M"))</f>
        <v/>
      </c>
      <c r="AL266" s="526" t="str">
        <f>IF(LANÇ_MOV[[#This Row],[DATA DE PAGAMENTO]]="","",TEXT(LANÇ_MOV[[#This Row],[DATA DE PAGAMENTO]],"D"))</f>
        <v/>
      </c>
      <c r="AM266" s="27"/>
      <c r="BB266" s="112"/>
      <c r="BC266" s="112"/>
      <c r="BD266" s="112"/>
    </row>
    <row r="267" spans="2:56" ht="30.05" customHeight="1" x14ac:dyDescent="0.35">
      <c r="B267" s="506">
        <v>45931</v>
      </c>
      <c r="C267" s="507" t="s">
        <v>1661</v>
      </c>
      <c r="D267" s="508" t="s">
        <v>1854</v>
      </c>
      <c r="E267" s="509" t="s">
        <v>1440</v>
      </c>
      <c r="F267" s="510" t="s">
        <v>1838</v>
      </c>
      <c r="G267" s="507" t="s">
        <v>1913</v>
      </c>
      <c r="H267" s="511"/>
      <c r="I267" s="512" t="s">
        <v>1760</v>
      </c>
      <c r="J267" s="510">
        <v>2087.34</v>
      </c>
      <c r="K267" s="513">
        <v>0</v>
      </c>
      <c r="L267" s="513">
        <v>417.46</v>
      </c>
      <c r="M267" s="513">
        <v>177.63</v>
      </c>
      <c r="N267" s="514">
        <f>LANÇ_MOV[[#This Row],[VALOR BRUTO]]-LANÇ_MOV[[#This Row],[DESCONTO]]+LANÇ_MOV[[#This Row],[JUROS]]+LANÇ_MOV[[#This Row],[MULTA]]</f>
        <v>2682.4300000000003</v>
      </c>
      <c r="O267" s="528">
        <v>45524</v>
      </c>
      <c r="P267" s="516" t="str">
        <f t="shared" ca="1" si="4"/>
        <v>Venceu</v>
      </c>
      <c r="Q267" s="528"/>
      <c r="R267" s="529" t="s">
        <v>1506</v>
      </c>
      <c r="S267" s="518"/>
      <c r="T267" s="518" t="s">
        <v>1776</v>
      </c>
      <c r="U267" s="519" t="s">
        <v>2007</v>
      </c>
      <c r="V267" s="520" t="str">
        <f>IFERROR(VLOOKUP(LANÇ_MOV[[#This Row],[PLANO DE CONTAS]],Plano_Contas[[PLANO DE CONTAS]:[R / D]],3,0),"")</f>
        <v>Despesa</v>
      </c>
      <c r="W267" s="521" t="str">
        <f>IF(LANÇ_MOV[[#This Row],[DATA DE PAGAMENTO]]&lt;&gt;"","Pago","Não Pago")</f>
        <v>Não Pago</v>
      </c>
      <c r="X267" s="522" t="str">
        <f>IFERROR(IF(LANÇ_MOV[[#This Row],[DATA DE PAGAMENTO]]="","",(UPPER(TEXT(LANÇ_MOV[[#This Row],[DATA DE PAGAMENTO]],"mmmm")))),"")</f>
        <v/>
      </c>
      <c r="Y267" s="523" t="str">
        <f>IFERROR(VLOOKUP(LANÇ_MOV[[#This Row],[PLANO DE CONTAS]],Plano_Contas[[PLANO DE CONTAS]:[NOMES INTERVALOS]],2,0),"")</f>
        <v>Despesas_Endividamentos</v>
      </c>
      <c r="Z267" s="523" t="str">
        <f>IF(LANÇ_MOV[[#This Row],[FORMA DE PAGAMENTO]]="","",VLOOKUP(LANÇ_MOV[[#This Row],[FORMA DE PAGAMENTO]],CAD_Forma_pagto[],2,0))</f>
        <v>BOLETO</v>
      </c>
      <c r="AA267" s="524" t="str">
        <f>IF(LANÇ_MOV[[#This Row],[DATA DE LANÇAMENTO]]="","",TEXT(LANÇ_MOV[[#This Row],[DATA DE LANÇAMENTO]],"AAAA"))</f>
        <v>2025</v>
      </c>
      <c r="AB267" s="524" t="str">
        <f>IF(LANÇ_MOV[[#This Row],[DATA DE LANÇAMENTO]]="","",UPPER(TEXT(LANÇ_MOV[[#This Row],[DATA DE LANÇAMENTO]],"MMMM")))</f>
        <v>OUTUBRO</v>
      </c>
      <c r="AC267" s="525" t="str">
        <f>IF(LANÇ_MOV[[#This Row],[DATA DE LANÇAMENTO]]="","",PROPER(TEXT(LANÇ_MOV[[#This Row],[DATA DE LANÇAMENTO]],"M")))</f>
        <v>10</v>
      </c>
      <c r="AD267" s="524" t="str">
        <f>IF(LANÇ_MOV[[#This Row],[DATA DE LANÇAMENTO]]="","",TEXT(LANÇ_MOV[[#This Row],[DATA DE LANÇAMENTO]],"D"))</f>
        <v>1</v>
      </c>
      <c r="AE267" s="526" t="str">
        <f>IF(LANÇ_MOV[[#This Row],[DATA DE VENCIMENTO]]="","",TEXT(LANÇ_MOV[[#This Row],[DATA DE VENCIMENTO]],"AAAA"))</f>
        <v>2024</v>
      </c>
      <c r="AF267" s="526" t="str">
        <f>IF(LANÇ_MOV[[#This Row],[DATA DE VENCIMENTO]]="","",UPPER(TEXT(LANÇ_MOV[[#This Row],[DATA DE VENCIMENTO]],"MMMM")))</f>
        <v>AGOSTO</v>
      </c>
      <c r="AG267" s="526" t="str">
        <f>IF(LANÇ_MOV[[#This Row],[DATA DE VENCIMENTO]]="","",TEXT(LANÇ_MOV[[#This Row],[DATA DE VENCIMENTO]],"M"))</f>
        <v>8</v>
      </c>
      <c r="AH267" s="526" t="str">
        <f>IF(LANÇ_MOV[[#This Row],[DATA DE VENCIMENTO]]="","",TEXT(LANÇ_MOV[[#This Row],[DATA DE VENCIMENTO]],"D"))</f>
        <v>20</v>
      </c>
      <c r="AI267" s="526" t="str">
        <f>IF(LANÇ_MOV[[#This Row],[DATA DE PAGAMENTO]]="","",TEXT(LANÇ_MOV[[#This Row],[DATA DE PAGAMENTO]],"AAAA"))</f>
        <v/>
      </c>
      <c r="AJ267" s="527" t="str">
        <f>IF(LANÇ_MOV[[#This Row],[DATA DE PAGAMENTO]]="","",UPPER(TEXT(LANÇ_MOV[[#This Row],[DATA DE PAGAMENTO]],"MMMM")))</f>
        <v/>
      </c>
      <c r="AK267" s="527" t="str">
        <f>IF(LANÇ_MOV[[#This Row],[DATA DE PAGAMENTO]]="","",TEXT(LANÇ_MOV[[#This Row],[DATA DE PAGAMENTO]],"M"))</f>
        <v/>
      </c>
      <c r="AL267" s="526" t="str">
        <f>IF(LANÇ_MOV[[#This Row],[DATA DE PAGAMENTO]]="","",TEXT(LANÇ_MOV[[#This Row],[DATA DE PAGAMENTO]],"D"))</f>
        <v/>
      </c>
      <c r="AM267" s="27"/>
      <c r="BB267" s="112"/>
      <c r="BC267" s="112"/>
      <c r="BD267" s="112"/>
    </row>
    <row r="268" spans="2:56" ht="30.05" customHeight="1" x14ac:dyDescent="0.35">
      <c r="B268" s="506">
        <v>45931</v>
      </c>
      <c r="C268" s="507" t="s">
        <v>1661</v>
      </c>
      <c r="D268" s="508" t="s">
        <v>1854</v>
      </c>
      <c r="E268" s="509" t="s">
        <v>1440</v>
      </c>
      <c r="F268" s="510" t="s">
        <v>1838</v>
      </c>
      <c r="G268" s="507" t="s">
        <v>1914</v>
      </c>
      <c r="H268" s="511"/>
      <c r="I268" s="512" t="s">
        <v>1760</v>
      </c>
      <c r="J268" s="510">
        <v>3029.15</v>
      </c>
      <c r="K268" s="513">
        <v>0</v>
      </c>
      <c r="L268" s="513">
        <v>605.83000000000004</v>
      </c>
      <c r="M268" s="513">
        <v>232.33</v>
      </c>
      <c r="N268" s="514">
        <f>LANÇ_MOV[[#This Row],[VALOR BRUTO]]-LANÇ_MOV[[#This Row],[DESCONTO]]+LANÇ_MOV[[#This Row],[JUROS]]+LANÇ_MOV[[#This Row],[MULTA]]</f>
        <v>3867.31</v>
      </c>
      <c r="O268" s="528">
        <v>45555</v>
      </c>
      <c r="P268" s="516" t="str">
        <f t="shared" ca="1" si="4"/>
        <v>Venceu</v>
      </c>
      <c r="Q268" s="528"/>
      <c r="R268" s="518" t="s">
        <v>1506</v>
      </c>
      <c r="S268" s="518"/>
      <c r="T268" s="518" t="s">
        <v>1776</v>
      </c>
      <c r="U268" s="519" t="s">
        <v>2007</v>
      </c>
      <c r="V268" s="520" t="str">
        <f>IFERROR(VLOOKUP(LANÇ_MOV[[#This Row],[PLANO DE CONTAS]],Plano_Contas[[PLANO DE CONTAS]:[R / D]],3,0),"")</f>
        <v>Despesa</v>
      </c>
      <c r="W268" s="521" t="str">
        <f>IF(LANÇ_MOV[[#This Row],[DATA DE PAGAMENTO]]&lt;&gt;"","Pago","Não Pago")</f>
        <v>Não Pago</v>
      </c>
      <c r="X268" s="522" t="str">
        <f>IFERROR(IF(LANÇ_MOV[[#This Row],[DATA DE PAGAMENTO]]="","",(UPPER(TEXT(LANÇ_MOV[[#This Row],[DATA DE PAGAMENTO]],"mmmm")))),"")</f>
        <v/>
      </c>
      <c r="Y268" s="523" t="str">
        <f>IFERROR(VLOOKUP(LANÇ_MOV[[#This Row],[PLANO DE CONTAS]],Plano_Contas[[PLANO DE CONTAS]:[NOMES INTERVALOS]],2,0),"")</f>
        <v>Despesas_Endividamentos</v>
      </c>
      <c r="Z268" s="523" t="str">
        <f>IF(LANÇ_MOV[[#This Row],[FORMA DE PAGAMENTO]]="","",VLOOKUP(LANÇ_MOV[[#This Row],[FORMA DE PAGAMENTO]],CAD_Forma_pagto[],2,0))</f>
        <v>BOLETO</v>
      </c>
      <c r="AA268" s="524" t="str">
        <f>IF(LANÇ_MOV[[#This Row],[DATA DE LANÇAMENTO]]="","",TEXT(LANÇ_MOV[[#This Row],[DATA DE LANÇAMENTO]],"AAAA"))</f>
        <v>2025</v>
      </c>
      <c r="AB268" s="524" t="str">
        <f>IF(LANÇ_MOV[[#This Row],[DATA DE LANÇAMENTO]]="","",UPPER(TEXT(LANÇ_MOV[[#This Row],[DATA DE LANÇAMENTO]],"MMMM")))</f>
        <v>OUTUBRO</v>
      </c>
      <c r="AC268" s="525" t="str">
        <f>IF(LANÇ_MOV[[#This Row],[DATA DE LANÇAMENTO]]="","",PROPER(TEXT(LANÇ_MOV[[#This Row],[DATA DE LANÇAMENTO]],"M")))</f>
        <v>10</v>
      </c>
      <c r="AD268" s="524" t="str">
        <f>IF(LANÇ_MOV[[#This Row],[DATA DE LANÇAMENTO]]="","",TEXT(LANÇ_MOV[[#This Row],[DATA DE LANÇAMENTO]],"D"))</f>
        <v>1</v>
      </c>
      <c r="AE268" s="526" t="str">
        <f>IF(LANÇ_MOV[[#This Row],[DATA DE VENCIMENTO]]="","",TEXT(LANÇ_MOV[[#This Row],[DATA DE VENCIMENTO]],"AAAA"))</f>
        <v>2024</v>
      </c>
      <c r="AF268" s="526" t="str">
        <f>IF(LANÇ_MOV[[#This Row],[DATA DE VENCIMENTO]]="","",UPPER(TEXT(LANÇ_MOV[[#This Row],[DATA DE VENCIMENTO]],"MMMM")))</f>
        <v>SETEMBRO</v>
      </c>
      <c r="AG268" s="526" t="str">
        <f>IF(LANÇ_MOV[[#This Row],[DATA DE VENCIMENTO]]="","",TEXT(LANÇ_MOV[[#This Row],[DATA DE VENCIMENTO]],"M"))</f>
        <v>9</v>
      </c>
      <c r="AH268" s="526" t="str">
        <f>IF(LANÇ_MOV[[#This Row],[DATA DE VENCIMENTO]]="","",TEXT(LANÇ_MOV[[#This Row],[DATA DE VENCIMENTO]],"D"))</f>
        <v>20</v>
      </c>
      <c r="AI268" s="526" t="str">
        <f>IF(LANÇ_MOV[[#This Row],[DATA DE PAGAMENTO]]="","",TEXT(LANÇ_MOV[[#This Row],[DATA DE PAGAMENTO]],"AAAA"))</f>
        <v/>
      </c>
      <c r="AJ268" s="527" t="str">
        <f>IF(LANÇ_MOV[[#This Row],[DATA DE PAGAMENTO]]="","",UPPER(TEXT(LANÇ_MOV[[#This Row],[DATA DE PAGAMENTO]],"MMMM")))</f>
        <v/>
      </c>
      <c r="AK268" s="527" t="str">
        <f>IF(LANÇ_MOV[[#This Row],[DATA DE PAGAMENTO]]="","",TEXT(LANÇ_MOV[[#This Row],[DATA DE PAGAMENTO]],"M"))</f>
        <v/>
      </c>
      <c r="AL268" s="526" t="str">
        <f>IF(LANÇ_MOV[[#This Row],[DATA DE PAGAMENTO]]="","",TEXT(LANÇ_MOV[[#This Row],[DATA DE PAGAMENTO]],"D"))</f>
        <v/>
      </c>
      <c r="AM268" s="27"/>
      <c r="BB268" s="112"/>
      <c r="BC268" s="112"/>
      <c r="BD268" s="112"/>
    </row>
    <row r="269" spans="2:56" ht="30.05" customHeight="1" x14ac:dyDescent="0.35">
      <c r="B269" s="506">
        <v>45931</v>
      </c>
      <c r="C269" s="507" t="s">
        <v>1661</v>
      </c>
      <c r="D269" s="508" t="s">
        <v>1854</v>
      </c>
      <c r="E269" s="509" t="s">
        <v>1440</v>
      </c>
      <c r="F269" s="510" t="s">
        <v>1838</v>
      </c>
      <c r="G269" s="507" t="s">
        <v>1915</v>
      </c>
      <c r="H269" s="511"/>
      <c r="I269" s="512" t="s">
        <v>1760</v>
      </c>
      <c r="J269" s="510">
        <v>3032.96</v>
      </c>
      <c r="K269" s="513">
        <v>0</v>
      </c>
      <c r="L269" s="513">
        <v>606.59</v>
      </c>
      <c r="M269" s="513">
        <v>204.42</v>
      </c>
      <c r="N269" s="514">
        <f>LANÇ_MOV[[#This Row],[VALOR BRUTO]]-LANÇ_MOV[[#This Row],[DESCONTO]]+LANÇ_MOV[[#This Row],[JUROS]]+LANÇ_MOV[[#This Row],[MULTA]]</f>
        <v>3843.9700000000003</v>
      </c>
      <c r="O269" s="528">
        <v>45583</v>
      </c>
      <c r="P269" s="516" t="str">
        <f t="shared" ca="1" si="4"/>
        <v>Venceu</v>
      </c>
      <c r="Q269" s="528"/>
      <c r="R269" s="529" t="s">
        <v>1506</v>
      </c>
      <c r="S269" s="518"/>
      <c r="T269" s="518" t="s">
        <v>1776</v>
      </c>
      <c r="U269" s="519" t="s">
        <v>2007</v>
      </c>
      <c r="V269" s="520" t="str">
        <f>IFERROR(VLOOKUP(LANÇ_MOV[[#This Row],[PLANO DE CONTAS]],Plano_Contas[[PLANO DE CONTAS]:[R / D]],3,0),"")</f>
        <v>Despesa</v>
      </c>
      <c r="W269" s="521" t="str">
        <f>IF(LANÇ_MOV[[#This Row],[DATA DE PAGAMENTO]]&lt;&gt;"","Pago","Não Pago")</f>
        <v>Não Pago</v>
      </c>
      <c r="X269" s="522" t="str">
        <f>IFERROR(IF(LANÇ_MOV[[#This Row],[DATA DE PAGAMENTO]]="","",(UPPER(TEXT(LANÇ_MOV[[#This Row],[DATA DE PAGAMENTO]],"mmmm")))),"")</f>
        <v/>
      </c>
      <c r="Y269" s="523" t="str">
        <f>IFERROR(VLOOKUP(LANÇ_MOV[[#This Row],[PLANO DE CONTAS]],Plano_Contas[[PLANO DE CONTAS]:[NOMES INTERVALOS]],2,0),"")</f>
        <v>Despesas_Endividamentos</v>
      </c>
      <c r="Z269" s="523" t="str">
        <f>IF(LANÇ_MOV[[#This Row],[FORMA DE PAGAMENTO]]="","",VLOOKUP(LANÇ_MOV[[#This Row],[FORMA DE PAGAMENTO]],CAD_Forma_pagto[],2,0))</f>
        <v>BOLETO</v>
      </c>
      <c r="AA269" s="524" t="str">
        <f>IF(LANÇ_MOV[[#This Row],[DATA DE LANÇAMENTO]]="","",TEXT(LANÇ_MOV[[#This Row],[DATA DE LANÇAMENTO]],"AAAA"))</f>
        <v>2025</v>
      </c>
      <c r="AB269" s="524" t="str">
        <f>IF(LANÇ_MOV[[#This Row],[DATA DE LANÇAMENTO]]="","",UPPER(TEXT(LANÇ_MOV[[#This Row],[DATA DE LANÇAMENTO]],"MMMM")))</f>
        <v>OUTUBRO</v>
      </c>
      <c r="AC269" s="525" t="str">
        <f>IF(LANÇ_MOV[[#This Row],[DATA DE LANÇAMENTO]]="","",PROPER(TEXT(LANÇ_MOV[[#This Row],[DATA DE LANÇAMENTO]],"M")))</f>
        <v>10</v>
      </c>
      <c r="AD269" s="524" t="str">
        <f>IF(LANÇ_MOV[[#This Row],[DATA DE LANÇAMENTO]]="","",TEXT(LANÇ_MOV[[#This Row],[DATA DE LANÇAMENTO]],"D"))</f>
        <v>1</v>
      </c>
      <c r="AE269" s="526" t="str">
        <f>IF(LANÇ_MOV[[#This Row],[DATA DE VENCIMENTO]]="","",TEXT(LANÇ_MOV[[#This Row],[DATA DE VENCIMENTO]],"AAAA"))</f>
        <v>2024</v>
      </c>
      <c r="AF269" s="526" t="str">
        <f>IF(LANÇ_MOV[[#This Row],[DATA DE VENCIMENTO]]="","",UPPER(TEXT(LANÇ_MOV[[#This Row],[DATA DE VENCIMENTO]],"MMMM")))</f>
        <v>OUTUBRO</v>
      </c>
      <c r="AG269" s="526" t="str">
        <f>IF(LANÇ_MOV[[#This Row],[DATA DE VENCIMENTO]]="","",TEXT(LANÇ_MOV[[#This Row],[DATA DE VENCIMENTO]],"M"))</f>
        <v>10</v>
      </c>
      <c r="AH269" s="526" t="str">
        <f>IF(LANÇ_MOV[[#This Row],[DATA DE VENCIMENTO]]="","",TEXT(LANÇ_MOV[[#This Row],[DATA DE VENCIMENTO]],"D"))</f>
        <v>18</v>
      </c>
      <c r="AI269" s="526" t="str">
        <f>IF(LANÇ_MOV[[#This Row],[DATA DE PAGAMENTO]]="","",TEXT(LANÇ_MOV[[#This Row],[DATA DE PAGAMENTO]],"AAAA"))</f>
        <v/>
      </c>
      <c r="AJ269" s="527" t="str">
        <f>IF(LANÇ_MOV[[#This Row],[DATA DE PAGAMENTO]]="","",UPPER(TEXT(LANÇ_MOV[[#This Row],[DATA DE PAGAMENTO]],"MMMM")))</f>
        <v/>
      </c>
      <c r="AK269" s="527" t="str">
        <f>IF(LANÇ_MOV[[#This Row],[DATA DE PAGAMENTO]]="","",TEXT(LANÇ_MOV[[#This Row],[DATA DE PAGAMENTO]],"M"))</f>
        <v/>
      </c>
      <c r="AL269" s="526" t="str">
        <f>IF(LANÇ_MOV[[#This Row],[DATA DE PAGAMENTO]]="","",TEXT(LANÇ_MOV[[#This Row],[DATA DE PAGAMENTO]],"D"))</f>
        <v/>
      </c>
      <c r="AM269" s="27"/>
      <c r="BB269" s="112"/>
      <c r="BC269" s="112"/>
      <c r="BD269" s="112"/>
    </row>
    <row r="270" spans="2:56" ht="30.05" customHeight="1" x14ac:dyDescent="0.35">
      <c r="B270" s="506">
        <v>45931</v>
      </c>
      <c r="C270" s="507" t="s">
        <v>1661</v>
      </c>
      <c r="D270" s="508" t="s">
        <v>1854</v>
      </c>
      <c r="E270" s="509" t="s">
        <v>1440</v>
      </c>
      <c r="F270" s="510" t="s">
        <v>1838</v>
      </c>
      <c r="G270" s="507" t="s">
        <v>1916</v>
      </c>
      <c r="H270" s="511"/>
      <c r="I270" s="512" t="s">
        <v>1760</v>
      </c>
      <c r="J270" s="510">
        <v>3522.64</v>
      </c>
      <c r="K270" s="513">
        <v>0</v>
      </c>
      <c r="L270" s="513">
        <v>704.52</v>
      </c>
      <c r="M270" s="513">
        <v>209.59</v>
      </c>
      <c r="N270" s="514">
        <f>LANÇ_MOV[[#This Row],[VALOR BRUTO]]-LANÇ_MOV[[#This Row],[DESCONTO]]+LANÇ_MOV[[#This Row],[JUROS]]+LANÇ_MOV[[#This Row],[MULTA]]</f>
        <v>4436.75</v>
      </c>
      <c r="O270" s="528">
        <v>45615</v>
      </c>
      <c r="P270" s="516" t="str">
        <f t="shared" ca="1" si="4"/>
        <v>Venceu</v>
      </c>
      <c r="Q270" s="528"/>
      <c r="R270" s="529" t="s">
        <v>1506</v>
      </c>
      <c r="S270" s="518"/>
      <c r="T270" s="518" t="s">
        <v>1776</v>
      </c>
      <c r="U270" s="519" t="s">
        <v>2007</v>
      </c>
      <c r="V270" s="520" t="str">
        <f>IFERROR(VLOOKUP(LANÇ_MOV[[#This Row],[PLANO DE CONTAS]],Plano_Contas[[PLANO DE CONTAS]:[R / D]],3,0),"")</f>
        <v>Despesa</v>
      </c>
      <c r="W270" s="521" t="str">
        <f>IF(LANÇ_MOV[[#This Row],[DATA DE PAGAMENTO]]&lt;&gt;"","Pago","Não Pago")</f>
        <v>Não Pago</v>
      </c>
      <c r="X270" s="522" t="str">
        <f>IFERROR(IF(LANÇ_MOV[[#This Row],[DATA DE PAGAMENTO]]="","",(UPPER(TEXT(LANÇ_MOV[[#This Row],[DATA DE PAGAMENTO]],"mmmm")))),"")</f>
        <v/>
      </c>
      <c r="Y270" s="523" t="str">
        <f>IFERROR(VLOOKUP(LANÇ_MOV[[#This Row],[PLANO DE CONTAS]],Plano_Contas[[PLANO DE CONTAS]:[NOMES INTERVALOS]],2,0),"")</f>
        <v>Despesas_Endividamentos</v>
      </c>
      <c r="Z270" s="523" t="str">
        <f>IF(LANÇ_MOV[[#This Row],[FORMA DE PAGAMENTO]]="","",VLOOKUP(LANÇ_MOV[[#This Row],[FORMA DE PAGAMENTO]],CAD_Forma_pagto[],2,0))</f>
        <v>BOLETO</v>
      </c>
      <c r="AA270" s="524" t="str">
        <f>IF(LANÇ_MOV[[#This Row],[DATA DE LANÇAMENTO]]="","",TEXT(LANÇ_MOV[[#This Row],[DATA DE LANÇAMENTO]],"AAAA"))</f>
        <v>2025</v>
      </c>
      <c r="AB270" s="524" t="str">
        <f>IF(LANÇ_MOV[[#This Row],[DATA DE LANÇAMENTO]]="","",UPPER(TEXT(LANÇ_MOV[[#This Row],[DATA DE LANÇAMENTO]],"MMMM")))</f>
        <v>OUTUBRO</v>
      </c>
      <c r="AC270" s="525" t="str">
        <f>IF(LANÇ_MOV[[#This Row],[DATA DE LANÇAMENTO]]="","",PROPER(TEXT(LANÇ_MOV[[#This Row],[DATA DE LANÇAMENTO]],"M")))</f>
        <v>10</v>
      </c>
      <c r="AD270" s="524" t="str">
        <f>IF(LANÇ_MOV[[#This Row],[DATA DE LANÇAMENTO]]="","",TEXT(LANÇ_MOV[[#This Row],[DATA DE LANÇAMENTO]],"D"))</f>
        <v>1</v>
      </c>
      <c r="AE270" s="526" t="str">
        <f>IF(LANÇ_MOV[[#This Row],[DATA DE VENCIMENTO]]="","",TEXT(LANÇ_MOV[[#This Row],[DATA DE VENCIMENTO]],"AAAA"))</f>
        <v>2024</v>
      </c>
      <c r="AF270" s="526" t="str">
        <f>IF(LANÇ_MOV[[#This Row],[DATA DE VENCIMENTO]]="","",UPPER(TEXT(LANÇ_MOV[[#This Row],[DATA DE VENCIMENTO]],"MMMM")))</f>
        <v>NOVEMBRO</v>
      </c>
      <c r="AG270" s="526" t="str">
        <f>IF(LANÇ_MOV[[#This Row],[DATA DE VENCIMENTO]]="","",TEXT(LANÇ_MOV[[#This Row],[DATA DE VENCIMENTO]],"M"))</f>
        <v>11</v>
      </c>
      <c r="AH270" s="526" t="str">
        <f>IF(LANÇ_MOV[[#This Row],[DATA DE VENCIMENTO]]="","",TEXT(LANÇ_MOV[[#This Row],[DATA DE VENCIMENTO]],"D"))</f>
        <v>19</v>
      </c>
      <c r="AI270" s="526" t="str">
        <f>IF(LANÇ_MOV[[#This Row],[DATA DE PAGAMENTO]]="","",TEXT(LANÇ_MOV[[#This Row],[DATA DE PAGAMENTO]],"AAAA"))</f>
        <v/>
      </c>
      <c r="AJ270" s="527" t="str">
        <f>IF(LANÇ_MOV[[#This Row],[DATA DE PAGAMENTO]]="","",UPPER(TEXT(LANÇ_MOV[[#This Row],[DATA DE PAGAMENTO]],"MMMM")))</f>
        <v/>
      </c>
      <c r="AK270" s="527" t="str">
        <f>IF(LANÇ_MOV[[#This Row],[DATA DE PAGAMENTO]]="","",TEXT(LANÇ_MOV[[#This Row],[DATA DE PAGAMENTO]],"M"))</f>
        <v/>
      </c>
      <c r="AL270" s="526" t="str">
        <f>IF(LANÇ_MOV[[#This Row],[DATA DE PAGAMENTO]]="","",TEXT(LANÇ_MOV[[#This Row],[DATA DE PAGAMENTO]],"D"))</f>
        <v/>
      </c>
      <c r="AM270" s="27"/>
      <c r="BB270" s="112"/>
      <c r="BC270" s="112"/>
      <c r="BD270" s="112"/>
    </row>
    <row r="271" spans="2:56" ht="30.05" customHeight="1" x14ac:dyDescent="0.35">
      <c r="B271" s="506">
        <v>45931</v>
      </c>
      <c r="C271" s="507" t="s">
        <v>1661</v>
      </c>
      <c r="D271" s="508" t="s">
        <v>1854</v>
      </c>
      <c r="E271" s="509" t="s">
        <v>1440</v>
      </c>
      <c r="F271" s="510" t="s">
        <v>1838</v>
      </c>
      <c r="G271" s="507" t="s">
        <v>1917</v>
      </c>
      <c r="H271" s="511"/>
      <c r="I271" s="512" t="s">
        <v>1760</v>
      </c>
      <c r="J271" s="510">
        <v>2228.7600000000002</v>
      </c>
      <c r="K271" s="513">
        <v>0</v>
      </c>
      <c r="L271" s="513">
        <v>445.75</v>
      </c>
      <c r="M271" s="513">
        <v>111.88</v>
      </c>
      <c r="N271" s="514">
        <f>LANÇ_MOV[[#This Row],[VALOR BRUTO]]-LANÇ_MOV[[#This Row],[DESCONTO]]+LANÇ_MOV[[#This Row],[JUROS]]+LANÇ_MOV[[#This Row],[MULTA]]</f>
        <v>2786.3900000000003</v>
      </c>
      <c r="O271" s="528">
        <v>45646</v>
      </c>
      <c r="P271" s="516" t="str">
        <f t="shared" ca="1" si="4"/>
        <v>Venceu</v>
      </c>
      <c r="Q271" s="528"/>
      <c r="R271" s="529" t="s">
        <v>1506</v>
      </c>
      <c r="S271" s="518"/>
      <c r="T271" s="518" t="s">
        <v>1776</v>
      </c>
      <c r="U271" s="519" t="s">
        <v>2007</v>
      </c>
      <c r="V271" s="520" t="str">
        <f>IFERROR(VLOOKUP(LANÇ_MOV[[#This Row],[PLANO DE CONTAS]],Plano_Contas[[PLANO DE CONTAS]:[R / D]],3,0),"")</f>
        <v>Despesa</v>
      </c>
      <c r="W271" s="521" t="str">
        <f>IF(LANÇ_MOV[[#This Row],[DATA DE PAGAMENTO]]&lt;&gt;"","Pago","Não Pago")</f>
        <v>Não Pago</v>
      </c>
      <c r="X271" s="522" t="str">
        <f>IFERROR(IF(LANÇ_MOV[[#This Row],[DATA DE PAGAMENTO]]="","",(UPPER(TEXT(LANÇ_MOV[[#This Row],[DATA DE PAGAMENTO]],"mmmm")))),"")</f>
        <v/>
      </c>
      <c r="Y271" s="523" t="str">
        <f>IFERROR(VLOOKUP(LANÇ_MOV[[#This Row],[PLANO DE CONTAS]],Plano_Contas[[PLANO DE CONTAS]:[NOMES INTERVALOS]],2,0),"")</f>
        <v>Despesas_Endividamentos</v>
      </c>
      <c r="Z271" s="523" t="str">
        <f>IF(LANÇ_MOV[[#This Row],[FORMA DE PAGAMENTO]]="","",VLOOKUP(LANÇ_MOV[[#This Row],[FORMA DE PAGAMENTO]],CAD_Forma_pagto[],2,0))</f>
        <v>BOLETO</v>
      </c>
      <c r="AA271" s="524" t="str">
        <f>IF(LANÇ_MOV[[#This Row],[DATA DE LANÇAMENTO]]="","",TEXT(LANÇ_MOV[[#This Row],[DATA DE LANÇAMENTO]],"AAAA"))</f>
        <v>2025</v>
      </c>
      <c r="AB271" s="524" t="str">
        <f>IF(LANÇ_MOV[[#This Row],[DATA DE LANÇAMENTO]]="","",UPPER(TEXT(LANÇ_MOV[[#This Row],[DATA DE LANÇAMENTO]],"MMMM")))</f>
        <v>OUTUBRO</v>
      </c>
      <c r="AC271" s="525" t="str">
        <f>IF(LANÇ_MOV[[#This Row],[DATA DE LANÇAMENTO]]="","",PROPER(TEXT(LANÇ_MOV[[#This Row],[DATA DE LANÇAMENTO]],"M")))</f>
        <v>10</v>
      </c>
      <c r="AD271" s="524" t="str">
        <f>IF(LANÇ_MOV[[#This Row],[DATA DE LANÇAMENTO]]="","",TEXT(LANÇ_MOV[[#This Row],[DATA DE LANÇAMENTO]],"D"))</f>
        <v>1</v>
      </c>
      <c r="AE271" s="526" t="str">
        <f>IF(LANÇ_MOV[[#This Row],[DATA DE VENCIMENTO]]="","",TEXT(LANÇ_MOV[[#This Row],[DATA DE VENCIMENTO]],"AAAA"))</f>
        <v>2024</v>
      </c>
      <c r="AF271" s="526" t="str">
        <f>IF(LANÇ_MOV[[#This Row],[DATA DE VENCIMENTO]]="","",UPPER(TEXT(LANÇ_MOV[[#This Row],[DATA DE VENCIMENTO]],"MMMM")))</f>
        <v>DEZEMBRO</v>
      </c>
      <c r="AG271" s="526" t="str">
        <f>IF(LANÇ_MOV[[#This Row],[DATA DE VENCIMENTO]]="","",TEXT(LANÇ_MOV[[#This Row],[DATA DE VENCIMENTO]],"M"))</f>
        <v>12</v>
      </c>
      <c r="AH271" s="526" t="str">
        <f>IF(LANÇ_MOV[[#This Row],[DATA DE VENCIMENTO]]="","",TEXT(LANÇ_MOV[[#This Row],[DATA DE VENCIMENTO]],"D"))</f>
        <v>20</v>
      </c>
      <c r="AI271" s="526" t="str">
        <f>IF(LANÇ_MOV[[#This Row],[DATA DE PAGAMENTO]]="","",TEXT(LANÇ_MOV[[#This Row],[DATA DE PAGAMENTO]],"AAAA"))</f>
        <v/>
      </c>
      <c r="AJ271" s="527" t="str">
        <f>IF(LANÇ_MOV[[#This Row],[DATA DE PAGAMENTO]]="","",UPPER(TEXT(LANÇ_MOV[[#This Row],[DATA DE PAGAMENTO]],"MMMM")))</f>
        <v/>
      </c>
      <c r="AK271" s="527" t="str">
        <f>IF(LANÇ_MOV[[#This Row],[DATA DE PAGAMENTO]]="","",TEXT(LANÇ_MOV[[#This Row],[DATA DE PAGAMENTO]],"M"))</f>
        <v/>
      </c>
      <c r="AL271" s="526" t="str">
        <f>IF(LANÇ_MOV[[#This Row],[DATA DE PAGAMENTO]]="","",TEXT(LANÇ_MOV[[#This Row],[DATA DE PAGAMENTO]],"D"))</f>
        <v/>
      </c>
      <c r="AM271" s="27"/>
      <c r="BB271" s="112"/>
      <c r="BC271" s="112"/>
      <c r="BD271" s="112"/>
    </row>
    <row r="272" spans="2:56" ht="30.05" customHeight="1" x14ac:dyDescent="0.35">
      <c r="B272" s="506">
        <v>45931</v>
      </c>
      <c r="C272" s="507" t="s">
        <v>1661</v>
      </c>
      <c r="D272" s="508" t="s">
        <v>1854</v>
      </c>
      <c r="E272" s="509" t="s">
        <v>1440</v>
      </c>
      <c r="F272" s="510" t="s">
        <v>1838</v>
      </c>
      <c r="G272" s="507" t="s">
        <v>1918</v>
      </c>
      <c r="H272" s="511"/>
      <c r="I272" s="512" t="s">
        <v>1760</v>
      </c>
      <c r="J272" s="510">
        <v>2421.8000000000002</v>
      </c>
      <c r="K272" s="513">
        <v>0</v>
      </c>
      <c r="L272" s="513">
        <v>484.36</v>
      </c>
      <c r="M272" s="513">
        <v>97.11</v>
      </c>
      <c r="N272" s="514">
        <f>LANÇ_MOV[[#This Row],[VALOR BRUTO]]-LANÇ_MOV[[#This Row],[DESCONTO]]+LANÇ_MOV[[#This Row],[JUROS]]+LANÇ_MOV[[#This Row],[MULTA]]</f>
        <v>3003.2700000000004</v>
      </c>
      <c r="O272" s="528">
        <v>45677</v>
      </c>
      <c r="P272" s="516" t="str">
        <f t="shared" ca="1" si="4"/>
        <v>Venceu</v>
      </c>
      <c r="Q272" s="528"/>
      <c r="R272" s="529" t="s">
        <v>1506</v>
      </c>
      <c r="S272" s="518"/>
      <c r="T272" s="518" t="s">
        <v>1776</v>
      </c>
      <c r="U272" s="519" t="s">
        <v>2007</v>
      </c>
      <c r="V272" s="520" t="str">
        <f>IFERROR(VLOOKUP(LANÇ_MOV[[#This Row],[PLANO DE CONTAS]],Plano_Contas[[PLANO DE CONTAS]:[R / D]],3,0),"")</f>
        <v>Despesa</v>
      </c>
      <c r="W272" s="521" t="str">
        <f>IF(LANÇ_MOV[[#This Row],[DATA DE PAGAMENTO]]&lt;&gt;"","Pago","Não Pago")</f>
        <v>Não Pago</v>
      </c>
      <c r="X272" s="522" t="str">
        <f>IFERROR(IF(LANÇ_MOV[[#This Row],[DATA DE PAGAMENTO]]="","",(UPPER(TEXT(LANÇ_MOV[[#This Row],[DATA DE PAGAMENTO]],"mmmm")))),"")</f>
        <v/>
      </c>
      <c r="Y272" s="523" t="str">
        <f>IFERROR(VLOOKUP(LANÇ_MOV[[#This Row],[PLANO DE CONTAS]],Plano_Contas[[PLANO DE CONTAS]:[NOMES INTERVALOS]],2,0),"")</f>
        <v>Despesas_Endividamentos</v>
      </c>
      <c r="Z272" s="523" t="str">
        <f>IF(LANÇ_MOV[[#This Row],[FORMA DE PAGAMENTO]]="","",VLOOKUP(LANÇ_MOV[[#This Row],[FORMA DE PAGAMENTO]],CAD_Forma_pagto[],2,0))</f>
        <v>BOLETO</v>
      </c>
      <c r="AA272" s="524" t="str">
        <f>IF(LANÇ_MOV[[#This Row],[DATA DE LANÇAMENTO]]="","",TEXT(LANÇ_MOV[[#This Row],[DATA DE LANÇAMENTO]],"AAAA"))</f>
        <v>2025</v>
      </c>
      <c r="AB272" s="524" t="str">
        <f>IF(LANÇ_MOV[[#This Row],[DATA DE LANÇAMENTO]]="","",UPPER(TEXT(LANÇ_MOV[[#This Row],[DATA DE LANÇAMENTO]],"MMMM")))</f>
        <v>OUTUBRO</v>
      </c>
      <c r="AC272" s="525" t="str">
        <f>IF(LANÇ_MOV[[#This Row],[DATA DE LANÇAMENTO]]="","",PROPER(TEXT(LANÇ_MOV[[#This Row],[DATA DE LANÇAMENTO]],"M")))</f>
        <v>10</v>
      </c>
      <c r="AD272" s="524" t="str">
        <f>IF(LANÇ_MOV[[#This Row],[DATA DE LANÇAMENTO]]="","",TEXT(LANÇ_MOV[[#This Row],[DATA DE LANÇAMENTO]],"D"))</f>
        <v>1</v>
      </c>
      <c r="AE272" s="526" t="str">
        <f>IF(LANÇ_MOV[[#This Row],[DATA DE VENCIMENTO]]="","",TEXT(LANÇ_MOV[[#This Row],[DATA DE VENCIMENTO]],"AAAA"))</f>
        <v>2025</v>
      </c>
      <c r="AF272" s="526" t="str">
        <f>IF(LANÇ_MOV[[#This Row],[DATA DE VENCIMENTO]]="","",UPPER(TEXT(LANÇ_MOV[[#This Row],[DATA DE VENCIMENTO]],"MMMM")))</f>
        <v>JANEIRO</v>
      </c>
      <c r="AG272" s="526" t="str">
        <f>IF(LANÇ_MOV[[#This Row],[DATA DE VENCIMENTO]]="","",TEXT(LANÇ_MOV[[#This Row],[DATA DE VENCIMENTO]],"M"))</f>
        <v>1</v>
      </c>
      <c r="AH272" s="526" t="str">
        <f>IF(LANÇ_MOV[[#This Row],[DATA DE VENCIMENTO]]="","",TEXT(LANÇ_MOV[[#This Row],[DATA DE VENCIMENTO]],"D"))</f>
        <v>20</v>
      </c>
      <c r="AI272" s="526" t="str">
        <f>IF(LANÇ_MOV[[#This Row],[DATA DE PAGAMENTO]]="","",TEXT(LANÇ_MOV[[#This Row],[DATA DE PAGAMENTO]],"AAAA"))</f>
        <v/>
      </c>
      <c r="AJ272" s="527" t="str">
        <f>IF(LANÇ_MOV[[#This Row],[DATA DE PAGAMENTO]]="","",UPPER(TEXT(LANÇ_MOV[[#This Row],[DATA DE PAGAMENTO]],"MMMM")))</f>
        <v/>
      </c>
      <c r="AK272" s="527" t="str">
        <f>IF(LANÇ_MOV[[#This Row],[DATA DE PAGAMENTO]]="","",TEXT(LANÇ_MOV[[#This Row],[DATA DE PAGAMENTO]],"M"))</f>
        <v/>
      </c>
      <c r="AL272" s="526" t="str">
        <f>IF(LANÇ_MOV[[#This Row],[DATA DE PAGAMENTO]]="","",TEXT(LANÇ_MOV[[#This Row],[DATA DE PAGAMENTO]],"D"))</f>
        <v/>
      </c>
      <c r="AM272" s="27"/>
      <c r="BB272" s="112"/>
      <c r="BC272" s="112"/>
      <c r="BD272" s="112"/>
    </row>
    <row r="273" spans="2:56" ht="30.05" customHeight="1" x14ac:dyDescent="0.35">
      <c r="B273" s="506">
        <v>45931</v>
      </c>
      <c r="C273" s="507" t="s">
        <v>1661</v>
      </c>
      <c r="D273" s="508" t="s">
        <v>1854</v>
      </c>
      <c r="E273" s="509" t="s">
        <v>1440</v>
      </c>
      <c r="F273" s="510" t="s">
        <v>1838</v>
      </c>
      <c r="G273" s="507" t="s">
        <v>1921</v>
      </c>
      <c r="H273" s="511"/>
      <c r="I273" s="512" t="s">
        <v>1760</v>
      </c>
      <c r="J273" s="510">
        <v>2439.62</v>
      </c>
      <c r="K273" s="513">
        <v>0</v>
      </c>
      <c r="L273" s="513">
        <v>487.92</v>
      </c>
      <c r="M273" s="513">
        <v>73.67</v>
      </c>
      <c r="N273" s="514">
        <f>LANÇ_MOV[[#This Row],[VALOR BRUTO]]-LANÇ_MOV[[#This Row],[DESCONTO]]+LANÇ_MOV[[#This Row],[JUROS]]+LANÇ_MOV[[#This Row],[MULTA]]</f>
        <v>3001.21</v>
      </c>
      <c r="O273" s="528">
        <v>45708</v>
      </c>
      <c r="P273" s="516" t="str">
        <f t="shared" ca="1" si="4"/>
        <v>Venceu</v>
      </c>
      <c r="Q273" s="528"/>
      <c r="R273" s="529" t="s">
        <v>1506</v>
      </c>
      <c r="S273" s="518"/>
      <c r="T273" s="518" t="s">
        <v>1776</v>
      </c>
      <c r="U273" s="519" t="s">
        <v>2007</v>
      </c>
      <c r="V273" s="520" t="str">
        <f>IFERROR(VLOOKUP(LANÇ_MOV[[#This Row],[PLANO DE CONTAS]],Plano_Contas[[PLANO DE CONTAS]:[R / D]],3,0),"")</f>
        <v>Despesa</v>
      </c>
      <c r="W273" s="521" t="str">
        <f>IF(LANÇ_MOV[[#This Row],[DATA DE PAGAMENTO]]&lt;&gt;"","Pago","Não Pago")</f>
        <v>Não Pago</v>
      </c>
      <c r="X273" s="522" t="str">
        <f>IFERROR(IF(LANÇ_MOV[[#This Row],[DATA DE PAGAMENTO]]="","",(UPPER(TEXT(LANÇ_MOV[[#This Row],[DATA DE PAGAMENTO]],"mmmm")))),"")</f>
        <v/>
      </c>
      <c r="Y273" s="523" t="str">
        <f>IFERROR(VLOOKUP(LANÇ_MOV[[#This Row],[PLANO DE CONTAS]],Plano_Contas[[PLANO DE CONTAS]:[NOMES INTERVALOS]],2,0),"")</f>
        <v>Despesas_Endividamentos</v>
      </c>
      <c r="Z273" s="523" t="str">
        <f>IF(LANÇ_MOV[[#This Row],[FORMA DE PAGAMENTO]]="","",VLOOKUP(LANÇ_MOV[[#This Row],[FORMA DE PAGAMENTO]],CAD_Forma_pagto[],2,0))</f>
        <v>BOLETO</v>
      </c>
      <c r="AA273" s="524" t="str">
        <f>IF(LANÇ_MOV[[#This Row],[DATA DE LANÇAMENTO]]="","",TEXT(LANÇ_MOV[[#This Row],[DATA DE LANÇAMENTO]],"AAAA"))</f>
        <v>2025</v>
      </c>
      <c r="AB273" s="524" t="str">
        <f>IF(LANÇ_MOV[[#This Row],[DATA DE LANÇAMENTO]]="","",UPPER(TEXT(LANÇ_MOV[[#This Row],[DATA DE LANÇAMENTO]],"MMMM")))</f>
        <v>OUTUBRO</v>
      </c>
      <c r="AC273" s="525" t="str">
        <f>IF(LANÇ_MOV[[#This Row],[DATA DE LANÇAMENTO]]="","",PROPER(TEXT(LANÇ_MOV[[#This Row],[DATA DE LANÇAMENTO]],"M")))</f>
        <v>10</v>
      </c>
      <c r="AD273" s="524" t="str">
        <f>IF(LANÇ_MOV[[#This Row],[DATA DE LANÇAMENTO]]="","",TEXT(LANÇ_MOV[[#This Row],[DATA DE LANÇAMENTO]],"D"))</f>
        <v>1</v>
      </c>
      <c r="AE273" s="526" t="str">
        <f>IF(LANÇ_MOV[[#This Row],[DATA DE VENCIMENTO]]="","",TEXT(LANÇ_MOV[[#This Row],[DATA DE VENCIMENTO]],"AAAA"))</f>
        <v>2025</v>
      </c>
      <c r="AF273" s="526" t="str">
        <f>IF(LANÇ_MOV[[#This Row],[DATA DE VENCIMENTO]]="","",UPPER(TEXT(LANÇ_MOV[[#This Row],[DATA DE VENCIMENTO]],"MMMM")))</f>
        <v>FEVEREIRO</v>
      </c>
      <c r="AG273" s="526" t="str">
        <f>IF(LANÇ_MOV[[#This Row],[DATA DE VENCIMENTO]]="","",TEXT(LANÇ_MOV[[#This Row],[DATA DE VENCIMENTO]],"M"))</f>
        <v>2</v>
      </c>
      <c r="AH273" s="526" t="str">
        <f>IF(LANÇ_MOV[[#This Row],[DATA DE VENCIMENTO]]="","",TEXT(LANÇ_MOV[[#This Row],[DATA DE VENCIMENTO]],"D"))</f>
        <v>20</v>
      </c>
      <c r="AI273" s="526" t="str">
        <f>IF(LANÇ_MOV[[#This Row],[DATA DE PAGAMENTO]]="","",TEXT(LANÇ_MOV[[#This Row],[DATA DE PAGAMENTO]],"AAAA"))</f>
        <v/>
      </c>
      <c r="AJ273" s="527" t="str">
        <f>IF(LANÇ_MOV[[#This Row],[DATA DE PAGAMENTO]]="","",UPPER(TEXT(LANÇ_MOV[[#This Row],[DATA DE PAGAMENTO]],"MMMM")))</f>
        <v/>
      </c>
      <c r="AK273" s="527" t="str">
        <f>IF(LANÇ_MOV[[#This Row],[DATA DE PAGAMENTO]]="","",TEXT(LANÇ_MOV[[#This Row],[DATA DE PAGAMENTO]],"M"))</f>
        <v/>
      </c>
      <c r="AL273" s="526" t="str">
        <f>IF(LANÇ_MOV[[#This Row],[DATA DE PAGAMENTO]]="","",TEXT(LANÇ_MOV[[#This Row],[DATA DE PAGAMENTO]],"D"))</f>
        <v/>
      </c>
      <c r="AM273" s="27"/>
      <c r="BB273" s="112"/>
      <c r="BC273" s="112"/>
      <c r="BD273" s="112"/>
    </row>
    <row r="274" spans="2:56" ht="30.05" customHeight="1" x14ac:dyDescent="0.35">
      <c r="B274" s="506">
        <v>45931</v>
      </c>
      <c r="C274" s="507" t="s">
        <v>1661</v>
      </c>
      <c r="D274" s="508" t="s">
        <v>1854</v>
      </c>
      <c r="E274" s="509" t="s">
        <v>1440</v>
      </c>
      <c r="F274" s="510" t="s">
        <v>1838</v>
      </c>
      <c r="G274" s="507" t="s">
        <v>1919</v>
      </c>
      <c r="H274" s="511"/>
      <c r="I274" s="512" t="s">
        <v>1760</v>
      </c>
      <c r="J274" s="510">
        <v>1840.93</v>
      </c>
      <c r="K274" s="513">
        <v>0</v>
      </c>
      <c r="L274" s="513">
        <v>297.67</v>
      </c>
      <c r="M274" s="513">
        <v>37.92</v>
      </c>
      <c r="N274" s="514">
        <f>LANÇ_MOV[[#This Row],[VALOR BRUTO]]-LANÇ_MOV[[#This Row],[DESCONTO]]+LANÇ_MOV[[#This Row],[JUROS]]+LANÇ_MOV[[#This Row],[MULTA]]</f>
        <v>2176.52</v>
      </c>
      <c r="O274" s="528">
        <v>45736</v>
      </c>
      <c r="P274" s="516" t="str">
        <f t="shared" ca="1" si="4"/>
        <v>Venceu</v>
      </c>
      <c r="Q274" s="528"/>
      <c r="R274" s="529" t="s">
        <v>1506</v>
      </c>
      <c r="S274" s="518"/>
      <c r="T274" s="518" t="s">
        <v>1776</v>
      </c>
      <c r="U274" s="519" t="s">
        <v>2007</v>
      </c>
      <c r="V274" s="520" t="str">
        <f>IFERROR(VLOOKUP(LANÇ_MOV[[#This Row],[PLANO DE CONTAS]],Plano_Contas[[PLANO DE CONTAS]:[R / D]],3,0),"")</f>
        <v>Despesa</v>
      </c>
      <c r="W274" s="521" t="str">
        <f>IF(LANÇ_MOV[[#This Row],[DATA DE PAGAMENTO]]&lt;&gt;"","Pago","Não Pago")</f>
        <v>Não Pago</v>
      </c>
      <c r="X274" s="522" t="str">
        <f>IFERROR(IF(LANÇ_MOV[[#This Row],[DATA DE PAGAMENTO]]="","",(UPPER(TEXT(LANÇ_MOV[[#This Row],[DATA DE PAGAMENTO]],"mmmm")))),"")</f>
        <v/>
      </c>
      <c r="Y274" s="523" t="str">
        <f>IFERROR(VLOOKUP(LANÇ_MOV[[#This Row],[PLANO DE CONTAS]],Plano_Contas[[PLANO DE CONTAS]:[NOMES INTERVALOS]],2,0),"")</f>
        <v>Despesas_Endividamentos</v>
      </c>
      <c r="Z274" s="523" t="str">
        <f>IF(LANÇ_MOV[[#This Row],[FORMA DE PAGAMENTO]]="","",VLOOKUP(LANÇ_MOV[[#This Row],[FORMA DE PAGAMENTO]],CAD_Forma_pagto[],2,0))</f>
        <v>BOLETO</v>
      </c>
      <c r="AA274" s="524" t="str">
        <f>IF(LANÇ_MOV[[#This Row],[DATA DE LANÇAMENTO]]="","",TEXT(LANÇ_MOV[[#This Row],[DATA DE LANÇAMENTO]],"AAAA"))</f>
        <v>2025</v>
      </c>
      <c r="AB274" s="524" t="str">
        <f>IF(LANÇ_MOV[[#This Row],[DATA DE LANÇAMENTO]]="","",UPPER(TEXT(LANÇ_MOV[[#This Row],[DATA DE LANÇAMENTO]],"MMMM")))</f>
        <v>OUTUBRO</v>
      </c>
      <c r="AC274" s="525" t="str">
        <f>IF(LANÇ_MOV[[#This Row],[DATA DE LANÇAMENTO]]="","",PROPER(TEXT(LANÇ_MOV[[#This Row],[DATA DE LANÇAMENTO]],"M")))</f>
        <v>10</v>
      </c>
      <c r="AD274" s="524" t="str">
        <f>IF(LANÇ_MOV[[#This Row],[DATA DE LANÇAMENTO]]="","",TEXT(LANÇ_MOV[[#This Row],[DATA DE LANÇAMENTO]],"D"))</f>
        <v>1</v>
      </c>
      <c r="AE274" s="526" t="str">
        <f>IF(LANÇ_MOV[[#This Row],[DATA DE VENCIMENTO]]="","",TEXT(LANÇ_MOV[[#This Row],[DATA DE VENCIMENTO]],"AAAA"))</f>
        <v>2025</v>
      </c>
      <c r="AF274" s="526" t="str">
        <f>IF(LANÇ_MOV[[#This Row],[DATA DE VENCIMENTO]]="","",UPPER(TEXT(LANÇ_MOV[[#This Row],[DATA DE VENCIMENTO]],"MMMM")))</f>
        <v>MARÇO</v>
      </c>
      <c r="AG274" s="526" t="str">
        <f>IF(LANÇ_MOV[[#This Row],[DATA DE VENCIMENTO]]="","",TEXT(LANÇ_MOV[[#This Row],[DATA DE VENCIMENTO]],"M"))</f>
        <v>3</v>
      </c>
      <c r="AH274" s="526" t="str">
        <f>IF(LANÇ_MOV[[#This Row],[DATA DE VENCIMENTO]]="","",TEXT(LANÇ_MOV[[#This Row],[DATA DE VENCIMENTO]],"D"))</f>
        <v>20</v>
      </c>
      <c r="AI274" s="526" t="str">
        <f>IF(LANÇ_MOV[[#This Row],[DATA DE PAGAMENTO]]="","",TEXT(LANÇ_MOV[[#This Row],[DATA DE PAGAMENTO]],"AAAA"))</f>
        <v/>
      </c>
      <c r="AJ274" s="527" t="str">
        <f>IF(LANÇ_MOV[[#This Row],[DATA DE PAGAMENTO]]="","",UPPER(TEXT(LANÇ_MOV[[#This Row],[DATA DE PAGAMENTO]],"MMMM")))</f>
        <v/>
      </c>
      <c r="AK274" s="527" t="str">
        <f>IF(LANÇ_MOV[[#This Row],[DATA DE PAGAMENTO]]="","",TEXT(LANÇ_MOV[[#This Row],[DATA DE PAGAMENTO]],"M"))</f>
        <v/>
      </c>
      <c r="AL274" s="526" t="str">
        <f>IF(LANÇ_MOV[[#This Row],[DATA DE PAGAMENTO]]="","",TEXT(LANÇ_MOV[[#This Row],[DATA DE PAGAMENTO]],"D"))</f>
        <v/>
      </c>
      <c r="AM274" s="27"/>
      <c r="BB274" s="112"/>
      <c r="BC274" s="112"/>
      <c r="BD274" s="112"/>
    </row>
    <row r="275" spans="2:56" ht="30.05" customHeight="1" x14ac:dyDescent="0.35">
      <c r="B275" s="506">
        <v>45931</v>
      </c>
      <c r="C275" s="507" t="s">
        <v>1661</v>
      </c>
      <c r="D275" s="508" t="s">
        <v>1854</v>
      </c>
      <c r="E275" s="509" t="s">
        <v>1440</v>
      </c>
      <c r="F275" s="510" t="s">
        <v>1838</v>
      </c>
      <c r="G275" s="507" t="s">
        <v>1920</v>
      </c>
      <c r="H275" s="511"/>
      <c r="I275" s="512" t="s">
        <v>1760</v>
      </c>
      <c r="J275" s="510">
        <v>1442.88</v>
      </c>
      <c r="K275" s="513">
        <v>0</v>
      </c>
      <c r="L275" s="513">
        <v>80.94</v>
      </c>
      <c r="M275" s="513">
        <v>14.42</v>
      </c>
      <c r="N275" s="514">
        <f>LANÇ_MOV[[#This Row],[VALOR BRUTO]]-LANÇ_MOV[[#This Row],[DESCONTO]]+LANÇ_MOV[[#This Row],[JUROS]]+LANÇ_MOV[[#This Row],[MULTA]]</f>
        <v>1538.2400000000002</v>
      </c>
      <c r="O275" s="528">
        <v>45764</v>
      </c>
      <c r="P275" s="516" t="str">
        <f t="shared" ca="1" si="4"/>
        <v>Venceu</v>
      </c>
      <c r="Q275" s="528"/>
      <c r="R275" s="529" t="s">
        <v>1506</v>
      </c>
      <c r="S275" s="518"/>
      <c r="T275" s="518" t="s">
        <v>1776</v>
      </c>
      <c r="U275" s="519" t="s">
        <v>2007</v>
      </c>
      <c r="V275" s="520" t="str">
        <f>IFERROR(VLOOKUP(LANÇ_MOV[[#This Row],[PLANO DE CONTAS]],Plano_Contas[[PLANO DE CONTAS]:[R / D]],3,0),"")</f>
        <v>Despesa</v>
      </c>
      <c r="W275" s="521" t="str">
        <f>IF(LANÇ_MOV[[#This Row],[DATA DE PAGAMENTO]]&lt;&gt;"","Pago","Não Pago")</f>
        <v>Não Pago</v>
      </c>
      <c r="X275" s="522" t="str">
        <f>IFERROR(IF(LANÇ_MOV[[#This Row],[DATA DE PAGAMENTO]]="","",(UPPER(TEXT(LANÇ_MOV[[#This Row],[DATA DE PAGAMENTO]],"mmmm")))),"")</f>
        <v/>
      </c>
      <c r="Y275" s="523" t="str">
        <f>IFERROR(VLOOKUP(LANÇ_MOV[[#This Row],[PLANO DE CONTAS]],Plano_Contas[[PLANO DE CONTAS]:[NOMES INTERVALOS]],2,0),"")</f>
        <v>Despesas_Endividamentos</v>
      </c>
      <c r="Z275" s="523" t="str">
        <f>IF(LANÇ_MOV[[#This Row],[FORMA DE PAGAMENTO]]="","",VLOOKUP(LANÇ_MOV[[#This Row],[FORMA DE PAGAMENTO]],CAD_Forma_pagto[],2,0))</f>
        <v>BOLETO</v>
      </c>
      <c r="AA275" s="524" t="str">
        <f>IF(LANÇ_MOV[[#This Row],[DATA DE LANÇAMENTO]]="","",TEXT(LANÇ_MOV[[#This Row],[DATA DE LANÇAMENTO]],"AAAA"))</f>
        <v>2025</v>
      </c>
      <c r="AB275" s="524" t="str">
        <f>IF(LANÇ_MOV[[#This Row],[DATA DE LANÇAMENTO]]="","",UPPER(TEXT(LANÇ_MOV[[#This Row],[DATA DE LANÇAMENTO]],"MMMM")))</f>
        <v>OUTUBRO</v>
      </c>
      <c r="AC275" s="525" t="str">
        <f>IF(LANÇ_MOV[[#This Row],[DATA DE LANÇAMENTO]]="","",PROPER(TEXT(LANÇ_MOV[[#This Row],[DATA DE LANÇAMENTO]],"M")))</f>
        <v>10</v>
      </c>
      <c r="AD275" s="524" t="str">
        <f>IF(LANÇ_MOV[[#This Row],[DATA DE LANÇAMENTO]]="","",TEXT(LANÇ_MOV[[#This Row],[DATA DE LANÇAMENTO]],"D"))</f>
        <v>1</v>
      </c>
      <c r="AE275" s="526" t="str">
        <f>IF(LANÇ_MOV[[#This Row],[DATA DE VENCIMENTO]]="","",TEXT(LANÇ_MOV[[#This Row],[DATA DE VENCIMENTO]],"AAAA"))</f>
        <v>2025</v>
      </c>
      <c r="AF275" s="526" t="str">
        <f>IF(LANÇ_MOV[[#This Row],[DATA DE VENCIMENTO]]="","",UPPER(TEXT(LANÇ_MOV[[#This Row],[DATA DE VENCIMENTO]],"MMMM")))</f>
        <v>ABRIL</v>
      </c>
      <c r="AG275" s="526" t="str">
        <f>IF(LANÇ_MOV[[#This Row],[DATA DE VENCIMENTO]]="","",TEXT(LANÇ_MOV[[#This Row],[DATA DE VENCIMENTO]],"M"))</f>
        <v>4</v>
      </c>
      <c r="AH275" s="526" t="str">
        <f>IF(LANÇ_MOV[[#This Row],[DATA DE VENCIMENTO]]="","",TEXT(LANÇ_MOV[[#This Row],[DATA DE VENCIMENTO]],"D"))</f>
        <v>17</v>
      </c>
      <c r="AI275" s="526" t="str">
        <f>IF(LANÇ_MOV[[#This Row],[DATA DE PAGAMENTO]]="","",TEXT(LANÇ_MOV[[#This Row],[DATA DE PAGAMENTO]],"AAAA"))</f>
        <v/>
      </c>
      <c r="AJ275" s="527" t="str">
        <f>IF(LANÇ_MOV[[#This Row],[DATA DE PAGAMENTO]]="","",UPPER(TEXT(LANÇ_MOV[[#This Row],[DATA DE PAGAMENTO]],"MMMM")))</f>
        <v/>
      </c>
      <c r="AK275" s="527" t="str">
        <f>IF(LANÇ_MOV[[#This Row],[DATA DE PAGAMENTO]]="","",TEXT(LANÇ_MOV[[#This Row],[DATA DE PAGAMENTO]],"M"))</f>
        <v/>
      </c>
      <c r="AL275" s="526" t="str">
        <f>IF(LANÇ_MOV[[#This Row],[DATA DE PAGAMENTO]]="","",TEXT(LANÇ_MOV[[#This Row],[DATA DE PAGAMENTO]],"D"))</f>
        <v/>
      </c>
      <c r="AM275" s="27"/>
      <c r="BB275" s="112"/>
      <c r="BC275" s="112"/>
      <c r="BD275" s="112"/>
    </row>
    <row r="276" spans="2:56" ht="30.05" customHeight="1" x14ac:dyDescent="0.35">
      <c r="B276" s="506">
        <v>45931</v>
      </c>
      <c r="C276" s="507" t="s">
        <v>1661</v>
      </c>
      <c r="D276" s="508" t="s">
        <v>1854</v>
      </c>
      <c r="E276" s="509" t="s">
        <v>1440</v>
      </c>
      <c r="F276" s="510" t="s">
        <v>1838</v>
      </c>
      <c r="G276" s="507">
        <v>2024</v>
      </c>
      <c r="H276" s="511"/>
      <c r="I276" s="512" t="s">
        <v>1760</v>
      </c>
      <c r="J276" s="510">
        <v>1925.7</v>
      </c>
      <c r="K276" s="513">
        <v>0</v>
      </c>
      <c r="L276" s="513">
        <v>385.14</v>
      </c>
      <c r="M276" s="513">
        <v>96.67</v>
      </c>
      <c r="N276" s="514">
        <f>LANÇ_MOV[[#This Row],[VALOR BRUTO]]-LANÇ_MOV[[#This Row],[DESCONTO]]+LANÇ_MOV[[#This Row],[JUROS]]+LANÇ_MOV[[#This Row],[MULTA]]</f>
        <v>2407.5100000000002</v>
      </c>
      <c r="O276" s="528">
        <v>45646</v>
      </c>
      <c r="P276" s="516" t="str">
        <f t="shared" ca="1" si="4"/>
        <v>Venceu</v>
      </c>
      <c r="Q276" s="528"/>
      <c r="R276" s="529" t="s">
        <v>1506</v>
      </c>
      <c r="S276" s="518"/>
      <c r="T276" s="518" t="s">
        <v>1776</v>
      </c>
      <c r="U276" s="519" t="s">
        <v>2007</v>
      </c>
      <c r="V276" s="520" t="str">
        <f>IFERROR(VLOOKUP(LANÇ_MOV[[#This Row],[PLANO DE CONTAS]],Plano_Contas[[PLANO DE CONTAS]:[R / D]],3,0),"")</f>
        <v>Despesa</v>
      </c>
      <c r="W276" s="521" t="str">
        <f>IF(LANÇ_MOV[[#This Row],[DATA DE PAGAMENTO]]&lt;&gt;"","Pago","Não Pago")</f>
        <v>Não Pago</v>
      </c>
      <c r="X276" s="522" t="str">
        <f>IFERROR(IF(LANÇ_MOV[[#This Row],[DATA DE PAGAMENTO]]="","",(UPPER(TEXT(LANÇ_MOV[[#This Row],[DATA DE PAGAMENTO]],"mmmm")))),"")</f>
        <v/>
      </c>
      <c r="Y276" s="523" t="str">
        <f>IFERROR(VLOOKUP(LANÇ_MOV[[#This Row],[PLANO DE CONTAS]],Plano_Contas[[PLANO DE CONTAS]:[NOMES INTERVALOS]],2,0),"")</f>
        <v>Despesas_Endividamentos</v>
      </c>
      <c r="Z276" s="523" t="str">
        <f>IF(LANÇ_MOV[[#This Row],[FORMA DE PAGAMENTO]]="","",VLOOKUP(LANÇ_MOV[[#This Row],[FORMA DE PAGAMENTO]],CAD_Forma_pagto[],2,0))</f>
        <v>BOLETO</v>
      </c>
      <c r="AA276" s="524" t="str">
        <f>IF(LANÇ_MOV[[#This Row],[DATA DE LANÇAMENTO]]="","",TEXT(LANÇ_MOV[[#This Row],[DATA DE LANÇAMENTO]],"AAAA"))</f>
        <v>2025</v>
      </c>
      <c r="AB276" s="524" t="str">
        <f>IF(LANÇ_MOV[[#This Row],[DATA DE LANÇAMENTO]]="","",UPPER(TEXT(LANÇ_MOV[[#This Row],[DATA DE LANÇAMENTO]],"MMMM")))</f>
        <v>OUTUBRO</v>
      </c>
      <c r="AC276" s="525" t="str">
        <f>IF(LANÇ_MOV[[#This Row],[DATA DE LANÇAMENTO]]="","",PROPER(TEXT(LANÇ_MOV[[#This Row],[DATA DE LANÇAMENTO]],"M")))</f>
        <v>10</v>
      </c>
      <c r="AD276" s="524" t="str">
        <f>IF(LANÇ_MOV[[#This Row],[DATA DE LANÇAMENTO]]="","",TEXT(LANÇ_MOV[[#This Row],[DATA DE LANÇAMENTO]],"D"))</f>
        <v>1</v>
      </c>
      <c r="AE276" s="526" t="str">
        <f>IF(LANÇ_MOV[[#This Row],[DATA DE VENCIMENTO]]="","",TEXT(LANÇ_MOV[[#This Row],[DATA DE VENCIMENTO]],"AAAA"))</f>
        <v>2024</v>
      </c>
      <c r="AF276" s="526" t="str">
        <f>IF(LANÇ_MOV[[#This Row],[DATA DE VENCIMENTO]]="","",UPPER(TEXT(LANÇ_MOV[[#This Row],[DATA DE VENCIMENTO]],"MMMM")))</f>
        <v>DEZEMBRO</v>
      </c>
      <c r="AG276" s="526" t="str">
        <f>IF(LANÇ_MOV[[#This Row],[DATA DE VENCIMENTO]]="","",TEXT(LANÇ_MOV[[#This Row],[DATA DE VENCIMENTO]],"M"))</f>
        <v>12</v>
      </c>
      <c r="AH276" s="526" t="str">
        <f>IF(LANÇ_MOV[[#This Row],[DATA DE VENCIMENTO]]="","",TEXT(LANÇ_MOV[[#This Row],[DATA DE VENCIMENTO]],"D"))</f>
        <v>20</v>
      </c>
      <c r="AI276" s="526" t="str">
        <f>IF(LANÇ_MOV[[#This Row],[DATA DE PAGAMENTO]]="","",TEXT(LANÇ_MOV[[#This Row],[DATA DE PAGAMENTO]],"AAAA"))</f>
        <v/>
      </c>
      <c r="AJ276" s="527" t="str">
        <f>IF(LANÇ_MOV[[#This Row],[DATA DE PAGAMENTO]]="","",UPPER(TEXT(LANÇ_MOV[[#This Row],[DATA DE PAGAMENTO]],"MMMM")))</f>
        <v/>
      </c>
      <c r="AK276" s="527" t="str">
        <f>IF(LANÇ_MOV[[#This Row],[DATA DE PAGAMENTO]]="","",TEXT(LANÇ_MOV[[#This Row],[DATA DE PAGAMENTO]],"M"))</f>
        <v/>
      </c>
      <c r="AL276" s="526" t="str">
        <f>IF(LANÇ_MOV[[#This Row],[DATA DE PAGAMENTO]]="","",TEXT(LANÇ_MOV[[#This Row],[DATA DE PAGAMENTO]],"D"))</f>
        <v/>
      </c>
      <c r="AM276" s="27"/>
      <c r="BB276" s="112"/>
      <c r="BC276" s="112"/>
      <c r="BD276" s="112"/>
    </row>
    <row r="277" spans="2:56" ht="30.05" customHeight="1" x14ac:dyDescent="0.35">
      <c r="B277" s="506">
        <v>45931</v>
      </c>
      <c r="C277" s="507" t="s">
        <v>1661</v>
      </c>
      <c r="D277" s="508" t="s">
        <v>1854</v>
      </c>
      <c r="E277" s="509" t="s">
        <v>1440</v>
      </c>
      <c r="F277" s="510" t="s">
        <v>1838</v>
      </c>
      <c r="G277" s="507" t="s">
        <v>1912</v>
      </c>
      <c r="H277" s="511"/>
      <c r="I277" s="512" t="s">
        <v>1760</v>
      </c>
      <c r="J277" s="510">
        <v>131.61000000000001</v>
      </c>
      <c r="K277" s="513">
        <v>0</v>
      </c>
      <c r="L277" s="513">
        <v>26.32</v>
      </c>
      <c r="M277" s="513">
        <v>12.34</v>
      </c>
      <c r="N277" s="514">
        <f>LANÇ_MOV[[#This Row],[VALOR BRUTO]]-LANÇ_MOV[[#This Row],[DESCONTO]]+LANÇ_MOV[[#This Row],[JUROS]]+LANÇ_MOV[[#This Row],[MULTA]]</f>
        <v>170.27</v>
      </c>
      <c r="O277" s="528">
        <v>45492</v>
      </c>
      <c r="P277" s="516" t="str">
        <f t="shared" ca="1" si="4"/>
        <v>Venceu</v>
      </c>
      <c r="Q277" s="528"/>
      <c r="R277" s="529" t="s">
        <v>1506</v>
      </c>
      <c r="S277" s="518"/>
      <c r="T277" s="518" t="s">
        <v>1776</v>
      </c>
      <c r="U277" s="519" t="s">
        <v>2007</v>
      </c>
      <c r="V277" s="520" t="str">
        <f>IFERROR(VLOOKUP(LANÇ_MOV[[#This Row],[PLANO DE CONTAS]],Plano_Contas[[PLANO DE CONTAS]:[R / D]],3,0),"")</f>
        <v>Despesa</v>
      </c>
      <c r="W277" s="521" t="str">
        <f>IF(LANÇ_MOV[[#This Row],[DATA DE PAGAMENTO]]&lt;&gt;"","Pago","Não Pago")</f>
        <v>Não Pago</v>
      </c>
      <c r="X277" s="522" t="str">
        <f>IFERROR(IF(LANÇ_MOV[[#This Row],[DATA DE PAGAMENTO]]="","",(UPPER(TEXT(LANÇ_MOV[[#This Row],[DATA DE PAGAMENTO]],"mmmm")))),"")</f>
        <v/>
      </c>
      <c r="Y277" s="523" t="str">
        <f>IFERROR(VLOOKUP(LANÇ_MOV[[#This Row],[PLANO DE CONTAS]],Plano_Contas[[PLANO DE CONTAS]:[NOMES INTERVALOS]],2,0),"")</f>
        <v>Despesas_Endividamentos</v>
      </c>
      <c r="Z277" s="523" t="str">
        <f>IF(LANÇ_MOV[[#This Row],[FORMA DE PAGAMENTO]]="","",VLOOKUP(LANÇ_MOV[[#This Row],[FORMA DE PAGAMENTO]],CAD_Forma_pagto[],2,0))</f>
        <v>BOLETO</v>
      </c>
      <c r="AA277" s="524" t="str">
        <f>IF(LANÇ_MOV[[#This Row],[DATA DE LANÇAMENTO]]="","",TEXT(LANÇ_MOV[[#This Row],[DATA DE LANÇAMENTO]],"AAAA"))</f>
        <v>2025</v>
      </c>
      <c r="AB277" s="524" t="str">
        <f>IF(LANÇ_MOV[[#This Row],[DATA DE LANÇAMENTO]]="","",UPPER(TEXT(LANÇ_MOV[[#This Row],[DATA DE LANÇAMENTO]],"MMMM")))</f>
        <v>OUTUBRO</v>
      </c>
      <c r="AC277" s="525" t="str">
        <f>IF(LANÇ_MOV[[#This Row],[DATA DE LANÇAMENTO]]="","",PROPER(TEXT(LANÇ_MOV[[#This Row],[DATA DE LANÇAMENTO]],"M")))</f>
        <v>10</v>
      </c>
      <c r="AD277" s="524" t="str">
        <f>IF(LANÇ_MOV[[#This Row],[DATA DE LANÇAMENTO]]="","",TEXT(LANÇ_MOV[[#This Row],[DATA DE LANÇAMENTO]],"D"))</f>
        <v>1</v>
      </c>
      <c r="AE277" s="526" t="str">
        <f>IF(LANÇ_MOV[[#This Row],[DATA DE VENCIMENTO]]="","",TEXT(LANÇ_MOV[[#This Row],[DATA DE VENCIMENTO]],"AAAA"))</f>
        <v>2024</v>
      </c>
      <c r="AF277" s="526" t="str">
        <f>IF(LANÇ_MOV[[#This Row],[DATA DE VENCIMENTO]]="","",UPPER(TEXT(LANÇ_MOV[[#This Row],[DATA DE VENCIMENTO]],"MMMM")))</f>
        <v>JULHO</v>
      </c>
      <c r="AG277" s="526" t="str">
        <f>IF(LANÇ_MOV[[#This Row],[DATA DE VENCIMENTO]]="","",TEXT(LANÇ_MOV[[#This Row],[DATA DE VENCIMENTO]],"M"))</f>
        <v>7</v>
      </c>
      <c r="AH277" s="526" t="str">
        <f>IF(LANÇ_MOV[[#This Row],[DATA DE VENCIMENTO]]="","",TEXT(LANÇ_MOV[[#This Row],[DATA DE VENCIMENTO]],"D"))</f>
        <v>19</v>
      </c>
      <c r="AI277" s="526" t="str">
        <f>IF(LANÇ_MOV[[#This Row],[DATA DE PAGAMENTO]]="","",TEXT(LANÇ_MOV[[#This Row],[DATA DE PAGAMENTO]],"AAAA"))</f>
        <v/>
      </c>
      <c r="AJ277" s="527" t="str">
        <f>IF(LANÇ_MOV[[#This Row],[DATA DE PAGAMENTO]]="","",UPPER(TEXT(LANÇ_MOV[[#This Row],[DATA DE PAGAMENTO]],"MMMM")))</f>
        <v/>
      </c>
      <c r="AK277" s="527" t="str">
        <f>IF(LANÇ_MOV[[#This Row],[DATA DE PAGAMENTO]]="","",TEXT(LANÇ_MOV[[#This Row],[DATA DE PAGAMENTO]],"M"))</f>
        <v/>
      </c>
      <c r="AL277" s="526" t="str">
        <f>IF(LANÇ_MOV[[#This Row],[DATA DE PAGAMENTO]]="","",TEXT(LANÇ_MOV[[#This Row],[DATA DE PAGAMENTO]],"D"))</f>
        <v/>
      </c>
      <c r="AM277" s="27"/>
      <c r="BB277" s="112"/>
      <c r="BC277" s="112"/>
      <c r="BD277" s="112"/>
    </row>
    <row r="278" spans="2:56" ht="30.05" customHeight="1" x14ac:dyDescent="0.35">
      <c r="B278" s="506">
        <v>45931</v>
      </c>
      <c r="C278" s="507" t="s">
        <v>1661</v>
      </c>
      <c r="D278" s="508" t="s">
        <v>1854</v>
      </c>
      <c r="E278" s="509" t="s">
        <v>1440</v>
      </c>
      <c r="F278" s="510" t="s">
        <v>1838</v>
      </c>
      <c r="G278" s="507" t="s">
        <v>1913</v>
      </c>
      <c r="H278" s="511"/>
      <c r="I278" s="512" t="s">
        <v>1760</v>
      </c>
      <c r="J278" s="510">
        <v>104.36</v>
      </c>
      <c r="K278" s="513">
        <v>0</v>
      </c>
      <c r="L278" s="513">
        <v>20.87</v>
      </c>
      <c r="M278" s="513">
        <v>8.8800000000000008</v>
      </c>
      <c r="N278" s="514">
        <f>LANÇ_MOV[[#This Row],[VALOR BRUTO]]-LANÇ_MOV[[#This Row],[DESCONTO]]+LANÇ_MOV[[#This Row],[JUROS]]+LANÇ_MOV[[#This Row],[MULTA]]</f>
        <v>134.11000000000001</v>
      </c>
      <c r="O278" s="528">
        <v>45524</v>
      </c>
      <c r="P278" s="516" t="str">
        <f t="shared" ca="1" si="4"/>
        <v>Venceu</v>
      </c>
      <c r="Q278" s="528"/>
      <c r="R278" s="529" t="s">
        <v>1506</v>
      </c>
      <c r="S278" s="518"/>
      <c r="T278" s="518" t="s">
        <v>1776</v>
      </c>
      <c r="U278" s="519" t="s">
        <v>2007</v>
      </c>
      <c r="V278" s="520" t="str">
        <f>IFERROR(VLOOKUP(LANÇ_MOV[[#This Row],[PLANO DE CONTAS]],Plano_Contas[[PLANO DE CONTAS]:[R / D]],3,0),"")</f>
        <v>Despesa</v>
      </c>
      <c r="W278" s="521" t="str">
        <f>IF(LANÇ_MOV[[#This Row],[DATA DE PAGAMENTO]]&lt;&gt;"","Pago","Não Pago")</f>
        <v>Não Pago</v>
      </c>
      <c r="X278" s="522" t="str">
        <f>IFERROR(IF(LANÇ_MOV[[#This Row],[DATA DE PAGAMENTO]]="","",(UPPER(TEXT(LANÇ_MOV[[#This Row],[DATA DE PAGAMENTO]],"mmmm")))),"")</f>
        <v/>
      </c>
      <c r="Y278" s="523" t="str">
        <f>IFERROR(VLOOKUP(LANÇ_MOV[[#This Row],[PLANO DE CONTAS]],Plano_Contas[[PLANO DE CONTAS]:[NOMES INTERVALOS]],2,0),"")</f>
        <v>Despesas_Endividamentos</v>
      </c>
      <c r="Z278" s="523" t="str">
        <f>IF(LANÇ_MOV[[#This Row],[FORMA DE PAGAMENTO]]="","",VLOOKUP(LANÇ_MOV[[#This Row],[FORMA DE PAGAMENTO]],CAD_Forma_pagto[],2,0))</f>
        <v>BOLETO</v>
      </c>
      <c r="AA278" s="524" t="str">
        <f>IF(LANÇ_MOV[[#This Row],[DATA DE LANÇAMENTO]]="","",TEXT(LANÇ_MOV[[#This Row],[DATA DE LANÇAMENTO]],"AAAA"))</f>
        <v>2025</v>
      </c>
      <c r="AB278" s="524" t="str">
        <f>IF(LANÇ_MOV[[#This Row],[DATA DE LANÇAMENTO]]="","",UPPER(TEXT(LANÇ_MOV[[#This Row],[DATA DE LANÇAMENTO]],"MMMM")))</f>
        <v>OUTUBRO</v>
      </c>
      <c r="AC278" s="525" t="str">
        <f>IF(LANÇ_MOV[[#This Row],[DATA DE LANÇAMENTO]]="","",PROPER(TEXT(LANÇ_MOV[[#This Row],[DATA DE LANÇAMENTO]],"M")))</f>
        <v>10</v>
      </c>
      <c r="AD278" s="524" t="str">
        <f>IF(LANÇ_MOV[[#This Row],[DATA DE LANÇAMENTO]]="","",TEXT(LANÇ_MOV[[#This Row],[DATA DE LANÇAMENTO]],"D"))</f>
        <v>1</v>
      </c>
      <c r="AE278" s="526" t="str">
        <f>IF(LANÇ_MOV[[#This Row],[DATA DE VENCIMENTO]]="","",TEXT(LANÇ_MOV[[#This Row],[DATA DE VENCIMENTO]],"AAAA"))</f>
        <v>2024</v>
      </c>
      <c r="AF278" s="526" t="str">
        <f>IF(LANÇ_MOV[[#This Row],[DATA DE VENCIMENTO]]="","",UPPER(TEXT(LANÇ_MOV[[#This Row],[DATA DE VENCIMENTO]],"MMMM")))</f>
        <v>AGOSTO</v>
      </c>
      <c r="AG278" s="526" t="str">
        <f>IF(LANÇ_MOV[[#This Row],[DATA DE VENCIMENTO]]="","",TEXT(LANÇ_MOV[[#This Row],[DATA DE VENCIMENTO]],"M"))</f>
        <v>8</v>
      </c>
      <c r="AH278" s="526" t="str">
        <f>IF(LANÇ_MOV[[#This Row],[DATA DE VENCIMENTO]]="","",TEXT(LANÇ_MOV[[#This Row],[DATA DE VENCIMENTO]],"D"))</f>
        <v>20</v>
      </c>
      <c r="AI278" s="526" t="str">
        <f>IF(LANÇ_MOV[[#This Row],[DATA DE PAGAMENTO]]="","",TEXT(LANÇ_MOV[[#This Row],[DATA DE PAGAMENTO]],"AAAA"))</f>
        <v/>
      </c>
      <c r="AJ278" s="527" t="str">
        <f>IF(LANÇ_MOV[[#This Row],[DATA DE PAGAMENTO]]="","",UPPER(TEXT(LANÇ_MOV[[#This Row],[DATA DE PAGAMENTO]],"MMMM")))</f>
        <v/>
      </c>
      <c r="AK278" s="527" t="str">
        <f>IF(LANÇ_MOV[[#This Row],[DATA DE PAGAMENTO]]="","",TEXT(LANÇ_MOV[[#This Row],[DATA DE PAGAMENTO]],"M"))</f>
        <v/>
      </c>
      <c r="AL278" s="526" t="str">
        <f>IF(LANÇ_MOV[[#This Row],[DATA DE PAGAMENTO]]="","",TEXT(LANÇ_MOV[[#This Row],[DATA DE PAGAMENTO]],"D"))</f>
        <v/>
      </c>
      <c r="AM278" s="27"/>
      <c r="BB278" s="112"/>
      <c r="BC278" s="112"/>
      <c r="BD278" s="112"/>
    </row>
    <row r="279" spans="2:56" ht="30.05" customHeight="1" x14ac:dyDescent="0.35">
      <c r="B279" s="506">
        <v>45931</v>
      </c>
      <c r="C279" s="507" t="s">
        <v>1661</v>
      </c>
      <c r="D279" s="508" t="s">
        <v>1854</v>
      </c>
      <c r="E279" s="509" t="s">
        <v>1440</v>
      </c>
      <c r="F279" s="510" t="s">
        <v>1838</v>
      </c>
      <c r="G279" s="507" t="s">
        <v>1914</v>
      </c>
      <c r="H279" s="511"/>
      <c r="I279" s="512" t="s">
        <v>1760</v>
      </c>
      <c r="J279" s="510">
        <v>151.44999999999999</v>
      </c>
      <c r="K279" s="513">
        <v>0</v>
      </c>
      <c r="L279" s="513">
        <v>30.29</v>
      </c>
      <c r="M279" s="513">
        <v>11.61</v>
      </c>
      <c r="N279" s="514">
        <f>LANÇ_MOV[[#This Row],[VALOR BRUTO]]-LANÇ_MOV[[#This Row],[DESCONTO]]+LANÇ_MOV[[#This Row],[JUROS]]+LANÇ_MOV[[#This Row],[MULTA]]</f>
        <v>193.34999999999997</v>
      </c>
      <c r="O279" s="528">
        <v>45555</v>
      </c>
      <c r="P279" s="516" t="str">
        <f t="shared" ca="1" si="4"/>
        <v>Venceu</v>
      </c>
      <c r="Q279" s="528"/>
      <c r="R279" s="529" t="s">
        <v>1506</v>
      </c>
      <c r="S279" s="518"/>
      <c r="T279" s="518" t="s">
        <v>1776</v>
      </c>
      <c r="U279" s="519" t="s">
        <v>2007</v>
      </c>
      <c r="V279" s="520" t="str">
        <f>IFERROR(VLOOKUP(LANÇ_MOV[[#This Row],[PLANO DE CONTAS]],Plano_Contas[[PLANO DE CONTAS]:[R / D]],3,0),"")</f>
        <v>Despesa</v>
      </c>
      <c r="W279" s="521" t="str">
        <f>IF(LANÇ_MOV[[#This Row],[DATA DE PAGAMENTO]]&lt;&gt;"","Pago","Não Pago")</f>
        <v>Não Pago</v>
      </c>
      <c r="X279" s="522" t="str">
        <f>IFERROR(IF(LANÇ_MOV[[#This Row],[DATA DE PAGAMENTO]]="","",(UPPER(TEXT(LANÇ_MOV[[#This Row],[DATA DE PAGAMENTO]],"mmmm")))),"")</f>
        <v/>
      </c>
      <c r="Y279" s="523" t="str">
        <f>IFERROR(VLOOKUP(LANÇ_MOV[[#This Row],[PLANO DE CONTAS]],Plano_Contas[[PLANO DE CONTAS]:[NOMES INTERVALOS]],2,0),"")</f>
        <v>Despesas_Endividamentos</v>
      </c>
      <c r="Z279" s="523" t="str">
        <f>IF(LANÇ_MOV[[#This Row],[FORMA DE PAGAMENTO]]="","",VLOOKUP(LANÇ_MOV[[#This Row],[FORMA DE PAGAMENTO]],CAD_Forma_pagto[],2,0))</f>
        <v>BOLETO</v>
      </c>
      <c r="AA279" s="524" t="str">
        <f>IF(LANÇ_MOV[[#This Row],[DATA DE LANÇAMENTO]]="","",TEXT(LANÇ_MOV[[#This Row],[DATA DE LANÇAMENTO]],"AAAA"))</f>
        <v>2025</v>
      </c>
      <c r="AB279" s="524" t="str">
        <f>IF(LANÇ_MOV[[#This Row],[DATA DE LANÇAMENTO]]="","",UPPER(TEXT(LANÇ_MOV[[#This Row],[DATA DE LANÇAMENTO]],"MMMM")))</f>
        <v>OUTUBRO</v>
      </c>
      <c r="AC279" s="525" t="str">
        <f>IF(LANÇ_MOV[[#This Row],[DATA DE LANÇAMENTO]]="","",PROPER(TEXT(LANÇ_MOV[[#This Row],[DATA DE LANÇAMENTO]],"M")))</f>
        <v>10</v>
      </c>
      <c r="AD279" s="524" t="str">
        <f>IF(LANÇ_MOV[[#This Row],[DATA DE LANÇAMENTO]]="","",TEXT(LANÇ_MOV[[#This Row],[DATA DE LANÇAMENTO]],"D"))</f>
        <v>1</v>
      </c>
      <c r="AE279" s="526" t="str">
        <f>IF(LANÇ_MOV[[#This Row],[DATA DE VENCIMENTO]]="","",TEXT(LANÇ_MOV[[#This Row],[DATA DE VENCIMENTO]],"AAAA"))</f>
        <v>2024</v>
      </c>
      <c r="AF279" s="526" t="str">
        <f>IF(LANÇ_MOV[[#This Row],[DATA DE VENCIMENTO]]="","",UPPER(TEXT(LANÇ_MOV[[#This Row],[DATA DE VENCIMENTO]],"MMMM")))</f>
        <v>SETEMBRO</v>
      </c>
      <c r="AG279" s="526" t="str">
        <f>IF(LANÇ_MOV[[#This Row],[DATA DE VENCIMENTO]]="","",TEXT(LANÇ_MOV[[#This Row],[DATA DE VENCIMENTO]],"M"))</f>
        <v>9</v>
      </c>
      <c r="AH279" s="526" t="str">
        <f>IF(LANÇ_MOV[[#This Row],[DATA DE VENCIMENTO]]="","",TEXT(LANÇ_MOV[[#This Row],[DATA DE VENCIMENTO]],"D"))</f>
        <v>20</v>
      </c>
      <c r="AI279" s="526" t="str">
        <f>IF(LANÇ_MOV[[#This Row],[DATA DE PAGAMENTO]]="","",TEXT(LANÇ_MOV[[#This Row],[DATA DE PAGAMENTO]],"AAAA"))</f>
        <v/>
      </c>
      <c r="AJ279" s="527" t="str">
        <f>IF(LANÇ_MOV[[#This Row],[DATA DE PAGAMENTO]]="","",UPPER(TEXT(LANÇ_MOV[[#This Row],[DATA DE PAGAMENTO]],"MMMM")))</f>
        <v/>
      </c>
      <c r="AK279" s="527" t="str">
        <f>IF(LANÇ_MOV[[#This Row],[DATA DE PAGAMENTO]]="","",TEXT(LANÇ_MOV[[#This Row],[DATA DE PAGAMENTO]],"M"))</f>
        <v/>
      </c>
      <c r="AL279" s="526" t="str">
        <f>IF(LANÇ_MOV[[#This Row],[DATA DE PAGAMENTO]]="","",TEXT(LANÇ_MOV[[#This Row],[DATA DE PAGAMENTO]],"D"))</f>
        <v/>
      </c>
      <c r="AM279" s="27"/>
      <c r="BB279" s="112"/>
      <c r="BC279" s="112"/>
      <c r="BD279" s="112"/>
    </row>
    <row r="280" spans="2:56" ht="30.05" customHeight="1" x14ac:dyDescent="0.35">
      <c r="B280" s="506">
        <v>45931</v>
      </c>
      <c r="C280" s="507" t="s">
        <v>1661</v>
      </c>
      <c r="D280" s="508" t="s">
        <v>1854</v>
      </c>
      <c r="E280" s="509" t="s">
        <v>1440</v>
      </c>
      <c r="F280" s="510" t="s">
        <v>1838</v>
      </c>
      <c r="G280" s="507" t="s">
        <v>1915</v>
      </c>
      <c r="H280" s="543"/>
      <c r="I280" s="512" t="s">
        <v>1760</v>
      </c>
      <c r="J280" s="510">
        <v>151.63999999999999</v>
      </c>
      <c r="K280" s="513">
        <v>0</v>
      </c>
      <c r="L280" s="513">
        <v>30.32</v>
      </c>
      <c r="M280" s="513">
        <v>10.220000000000001</v>
      </c>
      <c r="N280" s="514">
        <f>LANÇ_MOV[[#This Row],[VALOR BRUTO]]-LANÇ_MOV[[#This Row],[DESCONTO]]+LANÇ_MOV[[#This Row],[JUROS]]+LANÇ_MOV[[#This Row],[MULTA]]</f>
        <v>192.17999999999998</v>
      </c>
      <c r="O280" s="528">
        <v>45583</v>
      </c>
      <c r="P280" s="516" t="str">
        <f t="shared" ca="1" si="4"/>
        <v>Venceu</v>
      </c>
      <c r="Q280" s="528"/>
      <c r="R280" s="529" t="s">
        <v>1506</v>
      </c>
      <c r="S280" s="518"/>
      <c r="T280" s="518" t="s">
        <v>1776</v>
      </c>
      <c r="U280" s="519" t="s">
        <v>2007</v>
      </c>
      <c r="V280" s="520" t="str">
        <f>IFERROR(VLOOKUP(LANÇ_MOV[[#This Row],[PLANO DE CONTAS]],Plano_Contas[[PLANO DE CONTAS]:[R / D]],3,0),"")</f>
        <v>Despesa</v>
      </c>
      <c r="W280" s="521" t="str">
        <f>IF(LANÇ_MOV[[#This Row],[DATA DE PAGAMENTO]]&lt;&gt;"","Pago","Não Pago")</f>
        <v>Não Pago</v>
      </c>
      <c r="X280" s="522" t="str">
        <f>IFERROR(IF(LANÇ_MOV[[#This Row],[DATA DE PAGAMENTO]]="","",(UPPER(TEXT(LANÇ_MOV[[#This Row],[DATA DE PAGAMENTO]],"mmmm")))),"")</f>
        <v/>
      </c>
      <c r="Y280" s="523" t="str">
        <f>IFERROR(VLOOKUP(LANÇ_MOV[[#This Row],[PLANO DE CONTAS]],Plano_Contas[[PLANO DE CONTAS]:[NOMES INTERVALOS]],2,0),"")</f>
        <v>Despesas_Endividamentos</v>
      </c>
      <c r="Z280" s="523" t="str">
        <f>IF(LANÇ_MOV[[#This Row],[FORMA DE PAGAMENTO]]="","",VLOOKUP(LANÇ_MOV[[#This Row],[FORMA DE PAGAMENTO]],CAD_Forma_pagto[],2,0))</f>
        <v>BOLETO</v>
      </c>
      <c r="AA280" s="524" t="str">
        <f>IF(LANÇ_MOV[[#This Row],[DATA DE LANÇAMENTO]]="","",TEXT(LANÇ_MOV[[#This Row],[DATA DE LANÇAMENTO]],"AAAA"))</f>
        <v>2025</v>
      </c>
      <c r="AB280" s="524" t="str">
        <f>IF(LANÇ_MOV[[#This Row],[DATA DE LANÇAMENTO]]="","",UPPER(TEXT(LANÇ_MOV[[#This Row],[DATA DE LANÇAMENTO]],"MMMM")))</f>
        <v>OUTUBRO</v>
      </c>
      <c r="AC280" s="525" t="str">
        <f>IF(LANÇ_MOV[[#This Row],[DATA DE LANÇAMENTO]]="","",PROPER(TEXT(LANÇ_MOV[[#This Row],[DATA DE LANÇAMENTO]],"M")))</f>
        <v>10</v>
      </c>
      <c r="AD280" s="524" t="str">
        <f>IF(LANÇ_MOV[[#This Row],[DATA DE LANÇAMENTO]]="","",TEXT(LANÇ_MOV[[#This Row],[DATA DE LANÇAMENTO]],"D"))</f>
        <v>1</v>
      </c>
      <c r="AE280" s="526" t="str">
        <f>IF(LANÇ_MOV[[#This Row],[DATA DE VENCIMENTO]]="","",TEXT(LANÇ_MOV[[#This Row],[DATA DE VENCIMENTO]],"AAAA"))</f>
        <v>2024</v>
      </c>
      <c r="AF280" s="526" t="str">
        <f>IF(LANÇ_MOV[[#This Row],[DATA DE VENCIMENTO]]="","",UPPER(TEXT(LANÇ_MOV[[#This Row],[DATA DE VENCIMENTO]],"MMMM")))</f>
        <v>OUTUBRO</v>
      </c>
      <c r="AG280" s="526" t="str">
        <f>IF(LANÇ_MOV[[#This Row],[DATA DE VENCIMENTO]]="","",TEXT(LANÇ_MOV[[#This Row],[DATA DE VENCIMENTO]],"M"))</f>
        <v>10</v>
      </c>
      <c r="AH280" s="526" t="str">
        <f>IF(LANÇ_MOV[[#This Row],[DATA DE VENCIMENTO]]="","",TEXT(LANÇ_MOV[[#This Row],[DATA DE VENCIMENTO]],"D"))</f>
        <v>18</v>
      </c>
      <c r="AI280" s="526" t="str">
        <f>IF(LANÇ_MOV[[#This Row],[DATA DE PAGAMENTO]]="","",TEXT(LANÇ_MOV[[#This Row],[DATA DE PAGAMENTO]],"AAAA"))</f>
        <v/>
      </c>
      <c r="AJ280" s="527" t="str">
        <f>IF(LANÇ_MOV[[#This Row],[DATA DE PAGAMENTO]]="","",UPPER(TEXT(LANÇ_MOV[[#This Row],[DATA DE PAGAMENTO]],"MMMM")))</f>
        <v/>
      </c>
      <c r="AK280" s="527" t="str">
        <f>IF(LANÇ_MOV[[#This Row],[DATA DE PAGAMENTO]]="","",TEXT(LANÇ_MOV[[#This Row],[DATA DE PAGAMENTO]],"M"))</f>
        <v/>
      </c>
      <c r="AL280" s="526" t="str">
        <f>IF(LANÇ_MOV[[#This Row],[DATA DE PAGAMENTO]]="","",TEXT(LANÇ_MOV[[#This Row],[DATA DE PAGAMENTO]],"D"))</f>
        <v/>
      </c>
      <c r="AM280" s="27"/>
      <c r="BB280" s="112"/>
      <c r="BC280" s="112"/>
      <c r="BD280" s="112"/>
    </row>
    <row r="281" spans="2:56" ht="30.05" customHeight="1" x14ac:dyDescent="0.35">
      <c r="B281" s="506">
        <v>45931</v>
      </c>
      <c r="C281" s="507" t="s">
        <v>1661</v>
      </c>
      <c r="D281" s="508" t="s">
        <v>1854</v>
      </c>
      <c r="E281" s="509" t="s">
        <v>1440</v>
      </c>
      <c r="F281" s="510" t="s">
        <v>1838</v>
      </c>
      <c r="G281" s="507" t="s">
        <v>1916</v>
      </c>
      <c r="H281" s="511"/>
      <c r="I281" s="512" t="s">
        <v>1760</v>
      </c>
      <c r="J281" s="510">
        <v>176.13</v>
      </c>
      <c r="K281" s="513">
        <v>0</v>
      </c>
      <c r="L281" s="513">
        <v>35.22</v>
      </c>
      <c r="M281" s="513">
        <v>10.47</v>
      </c>
      <c r="N281" s="514">
        <f>LANÇ_MOV[[#This Row],[VALOR BRUTO]]-LANÇ_MOV[[#This Row],[DESCONTO]]+LANÇ_MOV[[#This Row],[JUROS]]+LANÇ_MOV[[#This Row],[MULTA]]</f>
        <v>221.82</v>
      </c>
      <c r="O281" s="528">
        <v>45615</v>
      </c>
      <c r="P281" s="516" t="str">
        <f t="shared" ca="1" si="4"/>
        <v>Venceu</v>
      </c>
      <c r="Q281" s="528"/>
      <c r="R281" s="529" t="s">
        <v>1506</v>
      </c>
      <c r="S281" s="518"/>
      <c r="T281" s="518" t="s">
        <v>1776</v>
      </c>
      <c r="U281" s="519" t="s">
        <v>2007</v>
      </c>
      <c r="V281" s="520" t="str">
        <f>IFERROR(VLOOKUP(LANÇ_MOV[[#This Row],[PLANO DE CONTAS]],Plano_Contas[[PLANO DE CONTAS]:[R / D]],3,0),"")</f>
        <v>Despesa</v>
      </c>
      <c r="W281" s="521" t="str">
        <f>IF(LANÇ_MOV[[#This Row],[DATA DE PAGAMENTO]]&lt;&gt;"","Pago","Não Pago")</f>
        <v>Não Pago</v>
      </c>
      <c r="X281" s="522" t="str">
        <f>IFERROR(IF(LANÇ_MOV[[#This Row],[DATA DE PAGAMENTO]]="","",(UPPER(TEXT(LANÇ_MOV[[#This Row],[DATA DE PAGAMENTO]],"mmmm")))),"")</f>
        <v/>
      </c>
      <c r="Y281" s="523" t="str">
        <f>IFERROR(VLOOKUP(LANÇ_MOV[[#This Row],[PLANO DE CONTAS]],Plano_Contas[[PLANO DE CONTAS]:[NOMES INTERVALOS]],2,0),"")</f>
        <v>Despesas_Endividamentos</v>
      </c>
      <c r="Z281" s="523" t="str">
        <f>IF(LANÇ_MOV[[#This Row],[FORMA DE PAGAMENTO]]="","",VLOOKUP(LANÇ_MOV[[#This Row],[FORMA DE PAGAMENTO]],CAD_Forma_pagto[],2,0))</f>
        <v>BOLETO</v>
      </c>
      <c r="AA281" s="524" t="str">
        <f>IF(LANÇ_MOV[[#This Row],[DATA DE LANÇAMENTO]]="","",TEXT(LANÇ_MOV[[#This Row],[DATA DE LANÇAMENTO]],"AAAA"))</f>
        <v>2025</v>
      </c>
      <c r="AB281" s="524" t="str">
        <f>IF(LANÇ_MOV[[#This Row],[DATA DE LANÇAMENTO]]="","",UPPER(TEXT(LANÇ_MOV[[#This Row],[DATA DE LANÇAMENTO]],"MMMM")))</f>
        <v>OUTUBRO</v>
      </c>
      <c r="AC281" s="525" t="str">
        <f>IF(LANÇ_MOV[[#This Row],[DATA DE LANÇAMENTO]]="","",PROPER(TEXT(LANÇ_MOV[[#This Row],[DATA DE LANÇAMENTO]],"M")))</f>
        <v>10</v>
      </c>
      <c r="AD281" s="524" t="str">
        <f>IF(LANÇ_MOV[[#This Row],[DATA DE LANÇAMENTO]]="","",TEXT(LANÇ_MOV[[#This Row],[DATA DE LANÇAMENTO]],"D"))</f>
        <v>1</v>
      </c>
      <c r="AE281" s="526" t="str">
        <f>IF(LANÇ_MOV[[#This Row],[DATA DE VENCIMENTO]]="","",TEXT(LANÇ_MOV[[#This Row],[DATA DE VENCIMENTO]],"AAAA"))</f>
        <v>2024</v>
      </c>
      <c r="AF281" s="526" t="str">
        <f>IF(LANÇ_MOV[[#This Row],[DATA DE VENCIMENTO]]="","",UPPER(TEXT(LANÇ_MOV[[#This Row],[DATA DE VENCIMENTO]],"MMMM")))</f>
        <v>NOVEMBRO</v>
      </c>
      <c r="AG281" s="526" t="str">
        <f>IF(LANÇ_MOV[[#This Row],[DATA DE VENCIMENTO]]="","",TEXT(LANÇ_MOV[[#This Row],[DATA DE VENCIMENTO]],"M"))</f>
        <v>11</v>
      </c>
      <c r="AH281" s="526" t="str">
        <f>IF(LANÇ_MOV[[#This Row],[DATA DE VENCIMENTO]]="","",TEXT(LANÇ_MOV[[#This Row],[DATA DE VENCIMENTO]],"D"))</f>
        <v>19</v>
      </c>
      <c r="AI281" s="526" t="str">
        <f>IF(LANÇ_MOV[[#This Row],[DATA DE PAGAMENTO]]="","",TEXT(LANÇ_MOV[[#This Row],[DATA DE PAGAMENTO]],"AAAA"))</f>
        <v/>
      </c>
      <c r="AJ281" s="527" t="str">
        <f>IF(LANÇ_MOV[[#This Row],[DATA DE PAGAMENTO]]="","",UPPER(TEXT(LANÇ_MOV[[#This Row],[DATA DE PAGAMENTO]],"MMMM")))</f>
        <v/>
      </c>
      <c r="AK281" s="527" t="str">
        <f>IF(LANÇ_MOV[[#This Row],[DATA DE PAGAMENTO]]="","",TEXT(LANÇ_MOV[[#This Row],[DATA DE PAGAMENTO]],"M"))</f>
        <v/>
      </c>
      <c r="AL281" s="526" t="str">
        <f>IF(LANÇ_MOV[[#This Row],[DATA DE PAGAMENTO]]="","",TEXT(LANÇ_MOV[[#This Row],[DATA DE PAGAMENTO]],"D"))</f>
        <v/>
      </c>
      <c r="AM281" s="27"/>
      <c r="BB281" s="112"/>
      <c r="BC281" s="112"/>
      <c r="BD281" s="112"/>
    </row>
    <row r="282" spans="2:56" ht="30.05" customHeight="1" x14ac:dyDescent="0.35">
      <c r="B282" s="506">
        <v>45931</v>
      </c>
      <c r="C282" s="507" t="s">
        <v>1661</v>
      </c>
      <c r="D282" s="508" t="s">
        <v>1854</v>
      </c>
      <c r="E282" s="509" t="s">
        <v>1440</v>
      </c>
      <c r="F282" s="510" t="s">
        <v>1838</v>
      </c>
      <c r="G282" s="507" t="s">
        <v>1917</v>
      </c>
      <c r="H282" s="511"/>
      <c r="I282" s="512" t="s">
        <v>1760</v>
      </c>
      <c r="J282" s="510">
        <v>111.43</v>
      </c>
      <c r="K282" s="513">
        <v>0</v>
      </c>
      <c r="L282" s="513">
        <v>22.28</v>
      </c>
      <c r="M282" s="513">
        <v>5.59</v>
      </c>
      <c r="N282" s="514">
        <f>LANÇ_MOV[[#This Row],[VALOR BRUTO]]-LANÇ_MOV[[#This Row],[DESCONTO]]+LANÇ_MOV[[#This Row],[JUROS]]+LANÇ_MOV[[#This Row],[MULTA]]</f>
        <v>139.30000000000001</v>
      </c>
      <c r="O282" s="528">
        <v>45646</v>
      </c>
      <c r="P282" s="516" t="str">
        <f t="shared" ca="1" si="4"/>
        <v>Venceu</v>
      </c>
      <c r="Q282" s="528"/>
      <c r="R282" s="529" t="s">
        <v>1506</v>
      </c>
      <c r="S282" s="518"/>
      <c r="T282" s="518" t="s">
        <v>1776</v>
      </c>
      <c r="U282" s="519" t="s">
        <v>2007</v>
      </c>
      <c r="V282" s="520" t="str">
        <f>IFERROR(VLOOKUP(LANÇ_MOV[[#This Row],[PLANO DE CONTAS]],Plano_Contas[[PLANO DE CONTAS]:[R / D]],3,0),"")</f>
        <v>Despesa</v>
      </c>
      <c r="W282" s="521" t="str">
        <f>IF(LANÇ_MOV[[#This Row],[DATA DE PAGAMENTO]]&lt;&gt;"","Pago","Não Pago")</f>
        <v>Não Pago</v>
      </c>
      <c r="X282" s="522" t="str">
        <f>IFERROR(IF(LANÇ_MOV[[#This Row],[DATA DE PAGAMENTO]]="","",(UPPER(TEXT(LANÇ_MOV[[#This Row],[DATA DE PAGAMENTO]],"mmmm")))),"")</f>
        <v/>
      </c>
      <c r="Y282" s="523" t="str">
        <f>IFERROR(VLOOKUP(LANÇ_MOV[[#This Row],[PLANO DE CONTAS]],Plano_Contas[[PLANO DE CONTAS]:[NOMES INTERVALOS]],2,0),"")</f>
        <v>Despesas_Endividamentos</v>
      </c>
      <c r="Z282" s="523" t="str">
        <f>IF(LANÇ_MOV[[#This Row],[FORMA DE PAGAMENTO]]="","",VLOOKUP(LANÇ_MOV[[#This Row],[FORMA DE PAGAMENTO]],CAD_Forma_pagto[],2,0))</f>
        <v>BOLETO</v>
      </c>
      <c r="AA282" s="524" t="str">
        <f>IF(LANÇ_MOV[[#This Row],[DATA DE LANÇAMENTO]]="","",TEXT(LANÇ_MOV[[#This Row],[DATA DE LANÇAMENTO]],"AAAA"))</f>
        <v>2025</v>
      </c>
      <c r="AB282" s="524" t="str">
        <f>IF(LANÇ_MOV[[#This Row],[DATA DE LANÇAMENTO]]="","",UPPER(TEXT(LANÇ_MOV[[#This Row],[DATA DE LANÇAMENTO]],"MMMM")))</f>
        <v>OUTUBRO</v>
      </c>
      <c r="AC282" s="525" t="str">
        <f>IF(LANÇ_MOV[[#This Row],[DATA DE LANÇAMENTO]]="","",PROPER(TEXT(LANÇ_MOV[[#This Row],[DATA DE LANÇAMENTO]],"M")))</f>
        <v>10</v>
      </c>
      <c r="AD282" s="524" t="str">
        <f>IF(LANÇ_MOV[[#This Row],[DATA DE LANÇAMENTO]]="","",TEXT(LANÇ_MOV[[#This Row],[DATA DE LANÇAMENTO]],"D"))</f>
        <v>1</v>
      </c>
      <c r="AE282" s="526" t="str">
        <f>IF(LANÇ_MOV[[#This Row],[DATA DE VENCIMENTO]]="","",TEXT(LANÇ_MOV[[#This Row],[DATA DE VENCIMENTO]],"AAAA"))</f>
        <v>2024</v>
      </c>
      <c r="AF282" s="526" t="str">
        <f>IF(LANÇ_MOV[[#This Row],[DATA DE VENCIMENTO]]="","",UPPER(TEXT(LANÇ_MOV[[#This Row],[DATA DE VENCIMENTO]],"MMMM")))</f>
        <v>DEZEMBRO</v>
      </c>
      <c r="AG282" s="526" t="str">
        <f>IF(LANÇ_MOV[[#This Row],[DATA DE VENCIMENTO]]="","",TEXT(LANÇ_MOV[[#This Row],[DATA DE VENCIMENTO]],"M"))</f>
        <v>12</v>
      </c>
      <c r="AH282" s="526" t="str">
        <f>IF(LANÇ_MOV[[#This Row],[DATA DE VENCIMENTO]]="","",TEXT(LANÇ_MOV[[#This Row],[DATA DE VENCIMENTO]],"D"))</f>
        <v>20</v>
      </c>
      <c r="AI282" s="526" t="str">
        <f>IF(LANÇ_MOV[[#This Row],[DATA DE PAGAMENTO]]="","",TEXT(LANÇ_MOV[[#This Row],[DATA DE PAGAMENTO]],"AAAA"))</f>
        <v/>
      </c>
      <c r="AJ282" s="527" t="str">
        <f>IF(LANÇ_MOV[[#This Row],[DATA DE PAGAMENTO]]="","",UPPER(TEXT(LANÇ_MOV[[#This Row],[DATA DE PAGAMENTO]],"MMMM")))</f>
        <v/>
      </c>
      <c r="AK282" s="527" t="str">
        <f>IF(LANÇ_MOV[[#This Row],[DATA DE PAGAMENTO]]="","",TEXT(LANÇ_MOV[[#This Row],[DATA DE PAGAMENTO]],"M"))</f>
        <v/>
      </c>
      <c r="AL282" s="526" t="str">
        <f>IF(LANÇ_MOV[[#This Row],[DATA DE PAGAMENTO]]="","",TEXT(LANÇ_MOV[[#This Row],[DATA DE PAGAMENTO]],"D"))</f>
        <v/>
      </c>
      <c r="AM282" s="27"/>
      <c r="BB282" s="112"/>
      <c r="BC282" s="112"/>
      <c r="BD282" s="112"/>
    </row>
    <row r="283" spans="2:56" ht="30.05" customHeight="1" x14ac:dyDescent="0.35">
      <c r="B283" s="506">
        <v>45931</v>
      </c>
      <c r="C283" s="507" t="s">
        <v>1661</v>
      </c>
      <c r="D283" s="508" t="s">
        <v>1854</v>
      </c>
      <c r="E283" s="509" t="s">
        <v>1440</v>
      </c>
      <c r="F283" s="510" t="s">
        <v>1838</v>
      </c>
      <c r="G283" s="507" t="s">
        <v>1918</v>
      </c>
      <c r="H283" s="511"/>
      <c r="I283" s="512" t="s">
        <v>1760</v>
      </c>
      <c r="J283" s="510">
        <v>121.09</v>
      </c>
      <c r="K283" s="513">
        <v>0</v>
      </c>
      <c r="L283" s="513">
        <v>24.21</v>
      </c>
      <c r="M283" s="513">
        <v>4.8499999999999996</v>
      </c>
      <c r="N283" s="514">
        <f>LANÇ_MOV[[#This Row],[VALOR BRUTO]]-LANÇ_MOV[[#This Row],[DESCONTO]]+LANÇ_MOV[[#This Row],[JUROS]]+LANÇ_MOV[[#This Row],[MULTA]]</f>
        <v>150.15</v>
      </c>
      <c r="O283" s="528">
        <v>45677</v>
      </c>
      <c r="P283" s="516" t="str">
        <f t="shared" ca="1" si="4"/>
        <v>Venceu</v>
      </c>
      <c r="Q283" s="528"/>
      <c r="R283" s="529" t="s">
        <v>1506</v>
      </c>
      <c r="S283" s="518"/>
      <c r="T283" s="518" t="s">
        <v>1776</v>
      </c>
      <c r="U283" s="519" t="s">
        <v>2007</v>
      </c>
      <c r="V283" s="520" t="str">
        <f>IFERROR(VLOOKUP(LANÇ_MOV[[#This Row],[PLANO DE CONTAS]],Plano_Contas[[PLANO DE CONTAS]:[R / D]],3,0),"")</f>
        <v>Despesa</v>
      </c>
      <c r="W283" s="521" t="str">
        <f>IF(LANÇ_MOV[[#This Row],[DATA DE PAGAMENTO]]&lt;&gt;"","Pago","Não Pago")</f>
        <v>Não Pago</v>
      </c>
      <c r="X283" s="522" t="str">
        <f>IFERROR(IF(LANÇ_MOV[[#This Row],[DATA DE PAGAMENTO]]="","",(UPPER(TEXT(LANÇ_MOV[[#This Row],[DATA DE PAGAMENTO]],"mmmm")))),"")</f>
        <v/>
      </c>
      <c r="Y283" s="523" t="str">
        <f>IFERROR(VLOOKUP(LANÇ_MOV[[#This Row],[PLANO DE CONTAS]],Plano_Contas[[PLANO DE CONTAS]:[NOMES INTERVALOS]],2,0),"")</f>
        <v>Despesas_Endividamentos</v>
      </c>
      <c r="Z283" s="523" t="str">
        <f>IF(LANÇ_MOV[[#This Row],[FORMA DE PAGAMENTO]]="","",VLOOKUP(LANÇ_MOV[[#This Row],[FORMA DE PAGAMENTO]],CAD_Forma_pagto[],2,0))</f>
        <v>BOLETO</v>
      </c>
      <c r="AA283" s="524" t="str">
        <f>IF(LANÇ_MOV[[#This Row],[DATA DE LANÇAMENTO]]="","",TEXT(LANÇ_MOV[[#This Row],[DATA DE LANÇAMENTO]],"AAAA"))</f>
        <v>2025</v>
      </c>
      <c r="AB283" s="524" t="str">
        <f>IF(LANÇ_MOV[[#This Row],[DATA DE LANÇAMENTO]]="","",UPPER(TEXT(LANÇ_MOV[[#This Row],[DATA DE LANÇAMENTO]],"MMMM")))</f>
        <v>OUTUBRO</v>
      </c>
      <c r="AC283" s="525" t="str">
        <f>IF(LANÇ_MOV[[#This Row],[DATA DE LANÇAMENTO]]="","",PROPER(TEXT(LANÇ_MOV[[#This Row],[DATA DE LANÇAMENTO]],"M")))</f>
        <v>10</v>
      </c>
      <c r="AD283" s="524" t="str">
        <f>IF(LANÇ_MOV[[#This Row],[DATA DE LANÇAMENTO]]="","",TEXT(LANÇ_MOV[[#This Row],[DATA DE LANÇAMENTO]],"D"))</f>
        <v>1</v>
      </c>
      <c r="AE283" s="526" t="str">
        <f>IF(LANÇ_MOV[[#This Row],[DATA DE VENCIMENTO]]="","",TEXT(LANÇ_MOV[[#This Row],[DATA DE VENCIMENTO]],"AAAA"))</f>
        <v>2025</v>
      </c>
      <c r="AF283" s="526" t="str">
        <f>IF(LANÇ_MOV[[#This Row],[DATA DE VENCIMENTO]]="","",UPPER(TEXT(LANÇ_MOV[[#This Row],[DATA DE VENCIMENTO]],"MMMM")))</f>
        <v>JANEIRO</v>
      </c>
      <c r="AG283" s="526" t="str">
        <f>IF(LANÇ_MOV[[#This Row],[DATA DE VENCIMENTO]]="","",TEXT(LANÇ_MOV[[#This Row],[DATA DE VENCIMENTO]],"M"))</f>
        <v>1</v>
      </c>
      <c r="AH283" s="526" t="str">
        <f>IF(LANÇ_MOV[[#This Row],[DATA DE VENCIMENTO]]="","",TEXT(LANÇ_MOV[[#This Row],[DATA DE VENCIMENTO]],"D"))</f>
        <v>20</v>
      </c>
      <c r="AI283" s="526" t="str">
        <f>IF(LANÇ_MOV[[#This Row],[DATA DE PAGAMENTO]]="","",TEXT(LANÇ_MOV[[#This Row],[DATA DE PAGAMENTO]],"AAAA"))</f>
        <v/>
      </c>
      <c r="AJ283" s="527" t="str">
        <f>IF(LANÇ_MOV[[#This Row],[DATA DE PAGAMENTO]]="","",UPPER(TEXT(LANÇ_MOV[[#This Row],[DATA DE PAGAMENTO]],"MMMM")))</f>
        <v/>
      </c>
      <c r="AK283" s="527" t="str">
        <f>IF(LANÇ_MOV[[#This Row],[DATA DE PAGAMENTO]]="","",TEXT(LANÇ_MOV[[#This Row],[DATA DE PAGAMENTO]],"M"))</f>
        <v/>
      </c>
      <c r="AL283" s="526" t="str">
        <f>IF(LANÇ_MOV[[#This Row],[DATA DE PAGAMENTO]]="","",TEXT(LANÇ_MOV[[#This Row],[DATA DE PAGAMENTO]],"D"))</f>
        <v/>
      </c>
      <c r="AM283" s="27"/>
      <c r="BB283" s="112"/>
      <c r="BC283" s="112"/>
      <c r="BD283" s="112"/>
    </row>
    <row r="284" spans="2:56" ht="30.05" customHeight="1" x14ac:dyDescent="0.35">
      <c r="B284" s="506">
        <v>45931</v>
      </c>
      <c r="C284" s="507" t="s">
        <v>1661</v>
      </c>
      <c r="D284" s="508" t="s">
        <v>1854</v>
      </c>
      <c r="E284" s="509" t="s">
        <v>1440</v>
      </c>
      <c r="F284" s="510" t="s">
        <v>1838</v>
      </c>
      <c r="G284" s="507" t="s">
        <v>1921</v>
      </c>
      <c r="H284" s="511"/>
      <c r="I284" s="512" t="s">
        <v>1760</v>
      </c>
      <c r="J284" s="510">
        <v>121.98</v>
      </c>
      <c r="K284" s="513">
        <v>0</v>
      </c>
      <c r="L284" s="513">
        <v>24.39</v>
      </c>
      <c r="M284" s="513">
        <v>3.68</v>
      </c>
      <c r="N284" s="514">
        <f>LANÇ_MOV[[#This Row],[VALOR BRUTO]]-LANÇ_MOV[[#This Row],[DESCONTO]]+LANÇ_MOV[[#This Row],[JUROS]]+LANÇ_MOV[[#This Row],[MULTA]]</f>
        <v>150.05000000000001</v>
      </c>
      <c r="O284" s="528">
        <v>45708</v>
      </c>
      <c r="P284" s="516" t="str">
        <f t="shared" ca="1" si="4"/>
        <v>Venceu</v>
      </c>
      <c r="Q284" s="528"/>
      <c r="R284" s="529" t="s">
        <v>1506</v>
      </c>
      <c r="S284" s="518"/>
      <c r="T284" s="518" t="s">
        <v>1776</v>
      </c>
      <c r="U284" s="519" t="s">
        <v>2007</v>
      </c>
      <c r="V284" s="520" t="str">
        <f>IFERROR(VLOOKUP(LANÇ_MOV[[#This Row],[PLANO DE CONTAS]],Plano_Contas[[PLANO DE CONTAS]:[R / D]],3,0),"")</f>
        <v>Despesa</v>
      </c>
      <c r="W284" s="521" t="str">
        <f>IF(LANÇ_MOV[[#This Row],[DATA DE PAGAMENTO]]&lt;&gt;"","Pago","Não Pago")</f>
        <v>Não Pago</v>
      </c>
      <c r="X284" s="522" t="str">
        <f>IFERROR(IF(LANÇ_MOV[[#This Row],[DATA DE PAGAMENTO]]="","",(UPPER(TEXT(LANÇ_MOV[[#This Row],[DATA DE PAGAMENTO]],"mmmm")))),"")</f>
        <v/>
      </c>
      <c r="Y284" s="523" t="str">
        <f>IFERROR(VLOOKUP(LANÇ_MOV[[#This Row],[PLANO DE CONTAS]],Plano_Contas[[PLANO DE CONTAS]:[NOMES INTERVALOS]],2,0),"")</f>
        <v>Despesas_Endividamentos</v>
      </c>
      <c r="Z284" s="523" t="str">
        <f>IF(LANÇ_MOV[[#This Row],[FORMA DE PAGAMENTO]]="","",VLOOKUP(LANÇ_MOV[[#This Row],[FORMA DE PAGAMENTO]],CAD_Forma_pagto[],2,0))</f>
        <v>BOLETO</v>
      </c>
      <c r="AA284" s="524" t="str">
        <f>IF(LANÇ_MOV[[#This Row],[DATA DE LANÇAMENTO]]="","",TEXT(LANÇ_MOV[[#This Row],[DATA DE LANÇAMENTO]],"AAAA"))</f>
        <v>2025</v>
      </c>
      <c r="AB284" s="524" t="str">
        <f>IF(LANÇ_MOV[[#This Row],[DATA DE LANÇAMENTO]]="","",UPPER(TEXT(LANÇ_MOV[[#This Row],[DATA DE LANÇAMENTO]],"MMMM")))</f>
        <v>OUTUBRO</v>
      </c>
      <c r="AC284" s="525" t="str">
        <f>IF(LANÇ_MOV[[#This Row],[DATA DE LANÇAMENTO]]="","",PROPER(TEXT(LANÇ_MOV[[#This Row],[DATA DE LANÇAMENTO]],"M")))</f>
        <v>10</v>
      </c>
      <c r="AD284" s="524" t="str">
        <f>IF(LANÇ_MOV[[#This Row],[DATA DE LANÇAMENTO]]="","",TEXT(LANÇ_MOV[[#This Row],[DATA DE LANÇAMENTO]],"D"))</f>
        <v>1</v>
      </c>
      <c r="AE284" s="526" t="str">
        <f>IF(LANÇ_MOV[[#This Row],[DATA DE VENCIMENTO]]="","",TEXT(LANÇ_MOV[[#This Row],[DATA DE VENCIMENTO]],"AAAA"))</f>
        <v>2025</v>
      </c>
      <c r="AF284" s="526" t="str">
        <f>IF(LANÇ_MOV[[#This Row],[DATA DE VENCIMENTO]]="","",UPPER(TEXT(LANÇ_MOV[[#This Row],[DATA DE VENCIMENTO]],"MMMM")))</f>
        <v>FEVEREIRO</v>
      </c>
      <c r="AG284" s="526" t="str">
        <f>IF(LANÇ_MOV[[#This Row],[DATA DE VENCIMENTO]]="","",TEXT(LANÇ_MOV[[#This Row],[DATA DE VENCIMENTO]],"M"))</f>
        <v>2</v>
      </c>
      <c r="AH284" s="526" t="str">
        <f>IF(LANÇ_MOV[[#This Row],[DATA DE VENCIMENTO]]="","",TEXT(LANÇ_MOV[[#This Row],[DATA DE VENCIMENTO]],"D"))</f>
        <v>20</v>
      </c>
      <c r="AI284" s="526" t="str">
        <f>IF(LANÇ_MOV[[#This Row],[DATA DE PAGAMENTO]]="","",TEXT(LANÇ_MOV[[#This Row],[DATA DE PAGAMENTO]],"AAAA"))</f>
        <v/>
      </c>
      <c r="AJ284" s="527" t="str">
        <f>IF(LANÇ_MOV[[#This Row],[DATA DE PAGAMENTO]]="","",UPPER(TEXT(LANÇ_MOV[[#This Row],[DATA DE PAGAMENTO]],"MMMM")))</f>
        <v/>
      </c>
      <c r="AK284" s="527" t="str">
        <f>IF(LANÇ_MOV[[#This Row],[DATA DE PAGAMENTO]]="","",TEXT(LANÇ_MOV[[#This Row],[DATA DE PAGAMENTO]],"M"))</f>
        <v/>
      </c>
      <c r="AL284" s="526" t="str">
        <f>IF(LANÇ_MOV[[#This Row],[DATA DE PAGAMENTO]]="","",TEXT(LANÇ_MOV[[#This Row],[DATA DE PAGAMENTO]],"D"))</f>
        <v/>
      </c>
      <c r="AM284" s="27"/>
      <c r="BB284" s="112"/>
      <c r="BC284" s="112"/>
      <c r="BD284" s="112"/>
    </row>
    <row r="285" spans="2:56" ht="30.05" customHeight="1" x14ac:dyDescent="0.35">
      <c r="B285" s="506">
        <v>45931</v>
      </c>
      <c r="C285" s="507" t="s">
        <v>1661</v>
      </c>
      <c r="D285" s="508" t="s">
        <v>1854</v>
      </c>
      <c r="E285" s="509" t="s">
        <v>1440</v>
      </c>
      <c r="F285" s="510" t="s">
        <v>1838</v>
      </c>
      <c r="G285" s="507" t="s">
        <v>1919</v>
      </c>
      <c r="H285" s="511"/>
      <c r="I285" s="512" t="s">
        <v>1760</v>
      </c>
      <c r="J285" s="510">
        <v>92.04</v>
      </c>
      <c r="K285" s="513">
        <v>0</v>
      </c>
      <c r="L285" s="513">
        <v>14.88</v>
      </c>
      <c r="M285" s="513">
        <v>1.89</v>
      </c>
      <c r="N285" s="514">
        <f>LANÇ_MOV[[#This Row],[VALOR BRUTO]]-LANÇ_MOV[[#This Row],[DESCONTO]]+LANÇ_MOV[[#This Row],[JUROS]]+LANÇ_MOV[[#This Row],[MULTA]]</f>
        <v>108.81</v>
      </c>
      <c r="O285" s="528">
        <v>45736</v>
      </c>
      <c r="P285" s="516" t="str">
        <f t="shared" ca="1" si="4"/>
        <v>Venceu</v>
      </c>
      <c r="Q285" s="528"/>
      <c r="R285" s="529" t="s">
        <v>1506</v>
      </c>
      <c r="S285" s="518"/>
      <c r="T285" s="518" t="s">
        <v>1776</v>
      </c>
      <c r="U285" s="519" t="s">
        <v>2007</v>
      </c>
      <c r="V285" s="520" t="str">
        <f>IFERROR(VLOOKUP(LANÇ_MOV[[#This Row],[PLANO DE CONTAS]],Plano_Contas[[PLANO DE CONTAS]:[R / D]],3,0),"")</f>
        <v>Despesa</v>
      </c>
      <c r="W285" s="521" t="str">
        <f>IF(LANÇ_MOV[[#This Row],[DATA DE PAGAMENTO]]&lt;&gt;"","Pago","Não Pago")</f>
        <v>Não Pago</v>
      </c>
      <c r="X285" s="522" t="str">
        <f>IFERROR(IF(LANÇ_MOV[[#This Row],[DATA DE PAGAMENTO]]="","",(UPPER(TEXT(LANÇ_MOV[[#This Row],[DATA DE PAGAMENTO]],"mmmm")))),"")</f>
        <v/>
      </c>
      <c r="Y285" s="523" t="str">
        <f>IFERROR(VLOOKUP(LANÇ_MOV[[#This Row],[PLANO DE CONTAS]],Plano_Contas[[PLANO DE CONTAS]:[NOMES INTERVALOS]],2,0),"")</f>
        <v>Despesas_Endividamentos</v>
      </c>
      <c r="Z285" s="523" t="str">
        <f>IF(LANÇ_MOV[[#This Row],[FORMA DE PAGAMENTO]]="","",VLOOKUP(LANÇ_MOV[[#This Row],[FORMA DE PAGAMENTO]],CAD_Forma_pagto[],2,0))</f>
        <v>BOLETO</v>
      </c>
      <c r="AA285" s="524" t="str">
        <f>IF(LANÇ_MOV[[#This Row],[DATA DE LANÇAMENTO]]="","",TEXT(LANÇ_MOV[[#This Row],[DATA DE LANÇAMENTO]],"AAAA"))</f>
        <v>2025</v>
      </c>
      <c r="AB285" s="524" t="str">
        <f>IF(LANÇ_MOV[[#This Row],[DATA DE LANÇAMENTO]]="","",UPPER(TEXT(LANÇ_MOV[[#This Row],[DATA DE LANÇAMENTO]],"MMMM")))</f>
        <v>OUTUBRO</v>
      </c>
      <c r="AC285" s="525" t="str">
        <f>IF(LANÇ_MOV[[#This Row],[DATA DE LANÇAMENTO]]="","",PROPER(TEXT(LANÇ_MOV[[#This Row],[DATA DE LANÇAMENTO]],"M")))</f>
        <v>10</v>
      </c>
      <c r="AD285" s="524" t="str">
        <f>IF(LANÇ_MOV[[#This Row],[DATA DE LANÇAMENTO]]="","",TEXT(LANÇ_MOV[[#This Row],[DATA DE LANÇAMENTO]],"D"))</f>
        <v>1</v>
      </c>
      <c r="AE285" s="526" t="str">
        <f>IF(LANÇ_MOV[[#This Row],[DATA DE VENCIMENTO]]="","",TEXT(LANÇ_MOV[[#This Row],[DATA DE VENCIMENTO]],"AAAA"))</f>
        <v>2025</v>
      </c>
      <c r="AF285" s="526" t="str">
        <f>IF(LANÇ_MOV[[#This Row],[DATA DE VENCIMENTO]]="","",UPPER(TEXT(LANÇ_MOV[[#This Row],[DATA DE VENCIMENTO]],"MMMM")))</f>
        <v>MARÇO</v>
      </c>
      <c r="AG285" s="526" t="str">
        <f>IF(LANÇ_MOV[[#This Row],[DATA DE VENCIMENTO]]="","",TEXT(LANÇ_MOV[[#This Row],[DATA DE VENCIMENTO]],"M"))</f>
        <v>3</v>
      </c>
      <c r="AH285" s="526" t="str">
        <f>IF(LANÇ_MOV[[#This Row],[DATA DE VENCIMENTO]]="","",TEXT(LANÇ_MOV[[#This Row],[DATA DE VENCIMENTO]],"D"))</f>
        <v>20</v>
      </c>
      <c r="AI285" s="526" t="str">
        <f>IF(LANÇ_MOV[[#This Row],[DATA DE PAGAMENTO]]="","",TEXT(LANÇ_MOV[[#This Row],[DATA DE PAGAMENTO]],"AAAA"))</f>
        <v/>
      </c>
      <c r="AJ285" s="527" t="str">
        <f>IF(LANÇ_MOV[[#This Row],[DATA DE PAGAMENTO]]="","",UPPER(TEXT(LANÇ_MOV[[#This Row],[DATA DE PAGAMENTO]],"MMMM")))</f>
        <v/>
      </c>
      <c r="AK285" s="527" t="str">
        <f>IF(LANÇ_MOV[[#This Row],[DATA DE PAGAMENTO]]="","",TEXT(LANÇ_MOV[[#This Row],[DATA DE PAGAMENTO]],"M"))</f>
        <v/>
      </c>
      <c r="AL285" s="526" t="str">
        <f>IF(LANÇ_MOV[[#This Row],[DATA DE PAGAMENTO]]="","",TEXT(LANÇ_MOV[[#This Row],[DATA DE PAGAMENTO]],"D"))</f>
        <v/>
      </c>
      <c r="AM285" s="27"/>
      <c r="BB285" s="112"/>
      <c r="BC285" s="112"/>
      <c r="BD285" s="112"/>
    </row>
    <row r="286" spans="2:56" ht="30.05" customHeight="1" x14ac:dyDescent="0.35">
      <c r="B286" s="506">
        <v>45931</v>
      </c>
      <c r="C286" s="507" t="s">
        <v>1661</v>
      </c>
      <c r="D286" s="508" t="s">
        <v>1854</v>
      </c>
      <c r="E286" s="509" t="s">
        <v>1440</v>
      </c>
      <c r="F286" s="510" t="s">
        <v>1838</v>
      </c>
      <c r="G286" s="507" t="s">
        <v>1920</v>
      </c>
      <c r="H286" s="511"/>
      <c r="I286" s="512" t="s">
        <v>1760</v>
      </c>
      <c r="J286" s="510">
        <v>72.14</v>
      </c>
      <c r="K286" s="513">
        <v>0</v>
      </c>
      <c r="L286" s="513">
        <v>4.04</v>
      </c>
      <c r="M286" s="513">
        <v>0.72</v>
      </c>
      <c r="N286" s="514">
        <f>LANÇ_MOV[[#This Row],[VALOR BRUTO]]-LANÇ_MOV[[#This Row],[DESCONTO]]+LANÇ_MOV[[#This Row],[JUROS]]+LANÇ_MOV[[#This Row],[MULTA]]</f>
        <v>76.900000000000006</v>
      </c>
      <c r="O286" s="528">
        <v>45764</v>
      </c>
      <c r="P286" s="516" t="str">
        <f t="shared" ca="1" si="4"/>
        <v>Venceu</v>
      </c>
      <c r="Q286" s="528"/>
      <c r="R286" s="529" t="s">
        <v>1506</v>
      </c>
      <c r="S286" s="518"/>
      <c r="T286" s="518" t="s">
        <v>1776</v>
      </c>
      <c r="U286" s="519" t="s">
        <v>2007</v>
      </c>
      <c r="V286" s="520" t="str">
        <f>IFERROR(VLOOKUP(LANÇ_MOV[[#This Row],[PLANO DE CONTAS]],Plano_Contas[[PLANO DE CONTAS]:[R / D]],3,0),"")</f>
        <v>Despesa</v>
      </c>
      <c r="W286" s="521" t="str">
        <f>IF(LANÇ_MOV[[#This Row],[DATA DE PAGAMENTO]]&lt;&gt;"","Pago","Não Pago")</f>
        <v>Não Pago</v>
      </c>
      <c r="X286" s="522" t="str">
        <f>IFERROR(IF(LANÇ_MOV[[#This Row],[DATA DE PAGAMENTO]]="","",(UPPER(TEXT(LANÇ_MOV[[#This Row],[DATA DE PAGAMENTO]],"mmmm")))),"")</f>
        <v/>
      </c>
      <c r="Y286" s="523" t="str">
        <f>IFERROR(VLOOKUP(LANÇ_MOV[[#This Row],[PLANO DE CONTAS]],Plano_Contas[[PLANO DE CONTAS]:[NOMES INTERVALOS]],2,0),"")</f>
        <v>Despesas_Endividamentos</v>
      </c>
      <c r="Z286" s="523" t="str">
        <f>IF(LANÇ_MOV[[#This Row],[FORMA DE PAGAMENTO]]="","",VLOOKUP(LANÇ_MOV[[#This Row],[FORMA DE PAGAMENTO]],CAD_Forma_pagto[],2,0))</f>
        <v>BOLETO</v>
      </c>
      <c r="AA286" s="524" t="str">
        <f>IF(LANÇ_MOV[[#This Row],[DATA DE LANÇAMENTO]]="","",TEXT(LANÇ_MOV[[#This Row],[DATA DE LANÇAMENTO]],"AAAA"))</f>
        <v>2025</v>
      </c>
      <c r="AB286" s="524" t="str">
        <f>IF(LANÇ_MOV[[#This Row],[DATA DE LANÇAMENTO]]="","",UPPER(TEXT(LANÇ_MOV[[#This Row],[DATA DE LANÇAMENTO]],"MMMM")))</f>
        <v>OUTUBRO</v>
      </c>
      <c r="AC286" s="525" t="str">
        <f>IF(LANÇ_MOV[[#This Row],[DATA DE LANÇAMENTO]]="","",PROPER(TEXT(LANÇ_MOV[[#This Row],[DATA DE LANÇAMENTO]],"M")))</f>
        <v>10</v>
      </c>
      <c r="AD286" s="524" t="str">
        <f>IF(LANÇ_MOV[[#This Row],[DATA DE LANÇAMENTO]]="","",TEXT(LANÇ_MOV[[#This Row],[DATA DE LANÇAMENTO]],"D"))</f>
        <v>1</v>
      </c>
      <c r="AE286" s="526" t="str">
        <f>IF(LANÇ_MOV[[#This Row],[DATA DE VENCIMENTO]]="","",TEXT(LANÇ_MOV[[#This Row],[DATA DE VENCIMENTO]],"AAAA"))</f>
        <v>2025</v>
      </c>
      <c r="AF286" s="526" t="str">
        <f>IF(LANÇ_MOV[[#This Row],[DATA DE VENCIMENTO]]="","",UPPER(TEXT(LANÇ_MOV[[#This Row],[DATA DE VENCIMENTO]],"MMMM")))</f>
        <v>ABRIL</v>
      </c>
      <c r="AG286" s="526" t="str">
        <f>IF(LANÇ_MOV[[#This Row],[DATA DE VENCIMENTO]]="","",TEXT(LANÇ_MOV[[#This Row],[DATA DE VENCIMENTO]],"M"))</f>
        <v>4</v>
      </c>
      <c r="AH286" s="526" t="str">
        <f>IF(LANÇ_MOV[[#This Row],[DATA DE VENCIMENTO]]="","",TEXT(LANÇ_MOV[[#This Row],[DATA DE VENCIMENTO]],"D"))</f>
        <v>17</v>
      </c>
      <c r="AI286" s="526" t="str">
        <f>IF(LANÇ_MOV[[#This Row],[DATA DE PAGAMENTO]]="","",TEXT(LANÇ_MOV[[#This Row],[DATA DE PAGAMENTO]],"AAAA"))</f>
        <v/>
      </c>
      <c r="AJ286" s="527" t="str">
        <f>IF(LANÇ_MOV[[#This Row],[DATA DE PAGAMENTO]]="","",UPPER(TEXT(LANÇ_MOV[[#This Row],[DATA DE PAGAMENTO]],"MMMM")))</f>
        <v/>
      </c>
      <c r="AK286" s="527" t="str">
        <f>IF(LANÇ_MOV[[#This Row],[DATA DE PAGAMENTO]]="","",TEXT(LANÇ_MOV[[#This Row],[DATA DE PAGAMENTO]],"M"))</f>
        <v/>
      </c>
      <c r="AL286" s="526" t="str">
        <f>IF(LANÇ_MOV[[#This Row],[DATA DE PAGAMENTO]]="","",TEXT(LANÇ_MOV[[#This Row],[DATA DE PAGAMENTO]],"D"))</f>
        <v/>
      </c>
      <c r="AM286" s="27"/>
      <c r="BB286" s="112"/>
      <c r="BC286" s="112"/>
      <c r="BD286" s="112"/>
    </row>
    <row r="287" spans="2:56" ht="30.05" customHeight="1" x14ac:dyDescent="0.35">
      <c r="B287" s="506">
        <v>45931</v>
      </c>
      <c r="C287" s="507" t="s">
        <v>1661</v>
      </c>
      <c r="D287" s="508" t="s">
        <v>1854</v>
      </c>
      <c r="E287" s="509" t="s">
        <v>1440</v>
      </c>
      <c r="F287" s="510" t="s">
        <v>1838</v>
      </c>
      <c r="G287" s="507">
        <v>2024</v>
      </c>
      <c r="H287" s="511"/>
      <c r="I287" s="512" t="s">
        <v>1760</v>
      </c>
      <c r="J287" s="510">
        <v>96.28</v>
      </c>
      <c r="K287" s="513">
        <v>0</v>
      </c>
      <c r="L287" s="513">
        <v>19.25</v>
      </c>
      <c r="M287" s="513">
        <v>4.83</v>
      </c>
      <c r="N287" s="514">
        <f>LANÇ_MOV[[#This Row],[VALOR BRUTO]]-LANÇ_MOV[[#This Row],[DESCONTO]]+LANÇ_MOV[[#This Row],[JUROS]]+LANÇ_MOV[[#This Row],[MULTA]]</f>
        <v>120.36</v>
      </c>
      <c r="O287" s="528">
        <v>45646</v>
      </c>
      <c r="P287" s="516" t="str">
        <f t="shared" ca="1" si="4"/>
        <v>Venceu</v>
      </c>
      <c r="Q287" s="528"/>
      <c r="R287" s="518" t="s">
        <v>1506</v>
      </c>
      <c r="S287" s="518"/>
      <c r="T287" s="518" t="s">
        <v>1776</v>
      </c>
      <c r="U287" s="519" t="s">
        <v>2007</v>
      </c>
      <c r="V287" s="520" t="str">
        <f>IFERROR(VLOOKUP(LANÇ_MOV[[#This Row],[PLANO DE CONTAS]],Plano_Contas[[PLANO DE CONTAS]:[R / D]],3,0),"")</f>
        <v>Despesa</v>
      </c>
      <c r="W287" s="521" t="str">
        <f>IF(LANÇ_MOV[[#This Row],[DATA DE PAGAMENTO]]&lt;&gt;"","Pago","Não Pago")</f>
        <v>Não Pago</v>
      </c>
      <c r="X287" s="522" t="str">
        <f>IFERROR(IF(LANÇ_MOV[[#This Row],[DATA DE PAGAMENTO]]="","",(UPPER(TEXT(LANÇ_MOV[[#This Row],[DATA DE PAGAMENTO]],"mmmm")))),"")</f>
        <v/>
      </c>
      <c r="Y287" s="523" t="str">
        <f>IFERROR(VLOOKUP(LANÇ_MOV[[#This Row],[PLANO DE CONTAS]],Plano_Contas[[PLANO DE CONTAS]:[NOMES INTERVALOS]],2,0),"")</f>
        <v>Despesas_Endividamentos</v>
      </c>
      <c r="Z287" s="523" t="str">
        <f>IF(LANÇ_MOV[[#This Row],[FORMA DE PAGAMENTO]]="","",VLOOKUP(LANÇ_MOV[[#This Row],[FORMA DE PAGAMENTO]],CAD_Forma_pagto[],2,0))</f>
        <v>BOLETO</v>
      </c>
      <c r="AA287" s="524" t="str">
        <f>IF(LANÇ_MOV[[#This Row],[DATA DE LANÇAMENTO]]="","",TEXT(LANÇ_MOV[[#This Row],[DATA DE LANÇAMENTO]],"AAAA"))</f>
        <v>2025</v>
      </c>
      <c r="AB287" s="524" t="str">
        <f>IF(LANÇ_MOV[[#This Row],[DATA DE LANÇAMENTO]]="","",UPPER(TEXT(LANÇ_MOV[[#This Row],[DATA DE LANÇAMENTO]],"MMMM")))</f>
        <v>OUTUBRO</v>
      </c>
      <c r="AC287" s="525" t="str">
        <f>IF(LANÇ_MOV[[#This Row],[DATA DE LANÇAMENTO]]="","",PROPER(TEXT(LANÇ_MOV[[#This Row],[DATA DE LANÇAMENTO]],"M")))</f>
        <v>10</v>
      </c>
      <c r="AD287" s="524" t="str">
        <f>IF(LANÇ_MOV[[#This Row],[DATA DE LANÇAMENTO]]="","",TEXT(LANÇ_MOV[[#This Row],[DATA DE LANÇAMENTO]],"D"))</f>
        <v>1</v>
      </c>
      <c r="AE287" s="526" t="str">
        <f>IF(LANÇ_MOV[[#This Row],[DATA DE VENCIMENTO]]="","",TEXT(LANÇ_MOV[[#This Row],[DATA DE VENCIMENTO]],"AAAA"))</f>
        <v>2024</v>
      </c>
      <c r="AF287" s="526" t="str">
        <f>IF(LANÇ_MOV[[#This Row],[DATA DE VENCIMENTO]]="","",UPPER(TEXT(LANÇ_MOV[[#This Row],[DATA DE VENCIMENTO]],"MMMM")))</f>
        <v>DEZEMBRO</v>
      </c>
      <c r="AG287" s="526" t="str">
        <f>IF(LANÇ_MOV[[#This Row],[DATA DE VENCIMENTO]]="","",TEXT(LANÇ_MOV[[#This Row],[DATA DE VENCIMENTO]],"M"))</f>
        <v>12</v>
      </c>
      <c r="AH287" s="526" t="str">
        <f>IF(LANÇ_MOV[[#This Row],[DATA DE VENCIMENTO]]="","",TEXT(LANÇ_MOV[[#This Row],[DATA DE VENCIMENTO]],"D"))</f>
        <v>20</v>
      </c>
      <c r="AI287" s="526" t="str">
        <f>IF(LANÇ_MOV[[#This Row],[DATA DE PAGAMENTO]]="","",TEXT(LANÇ_MOV[[#This Row],[DATA DE PAGAMENTO]],"AAAA"))</f>
        <v/>
      </c>
      <c r="AJ287" s="527" t="str">
        <f>IF(LANÇ_MOV[[#This Row],[DATA DE PAGAMENTO]]="","",UPPER(TEXT(LANÇ_MOV[[#This Row],[DATA DE PAGAMENTO]],"MMMM")))</f>
        <v/>
      </c>
      <c r="AK287" s="527" t="str">
        <f>IF(LANÇ_MOV[[#This Row],[DATA DE PAGAMENTO]]="","",TEXT(LANÇ_MOV[[#This Row],[DATA DE PAGAMENTO]],"M"))</f>
        <v/>
      </c>
      <c r="AL287" s="526" t="str">
        <f>IF(LANÇ_MOV[[#This Row],[DATA DE PAGAMENTO]]="","",TEXT(LANÇ_MOV[[#This Row],[DATA DE PAGAMENTO]],"D"))</f>
        <v/>
      </c>
      <c r="AM287" s="27"/>
      <c r="BB287" s="112"/>
      <c r="BC287" s="112"/>
      <c r="BD287" s="112"/>
    </row>
    <row r="288" spans="2:56" ht="30.05" customHeight="1" x14ac:dyDescent="0.35">
      <c r="B288" s="506">
        <v>45931</v>
      </c>
      <c r="C288" s="507" t="s">
        <v>1661</v>
      </c>
      <c r="D288" s="508" t="s">
        <v>1854</v>
      </c>
      <c r="E288" s="509" t="s">
        <v>1440</v>
      </c>
      <c r="F288" s="510" t="s">
        <v>1840</v>
      </c>
      <c r="G288" s="507" t="s">
        <v>1912</v>
      </c>
      <c r="H288" s="511"/>
      <c r="I288" s="512" t="s">
        <v>1760</v>
      </c>
      <c r="J288" s="510">
        <v>329.02</v>
      </c>
      <c r="K288" s="513">
        <v>0</v>
      </c>
      <c r="L288" s="513">
        <v>65.8</v>
      </c>
      <c r="M288" s="513">
        <v>30.86</v>
      </c>
      <c r="N288" s="514">
        <f>LANÇ_MOV[[#This Row],[VALOR BRUTO]]-LANÇ_MOV[[#This Row],[DESCONTO]]+LANÇ_MOV[[#This Row],[JUROS]]+LANÇ_MOV[[#This Row],[MULTA]]</f>
        <v>425.68</v>
      </c>
      <c r="O288" s="528">
        <v>45492</v>
      </c>
      <c r="P288" s="516" t="str">
        <f t="shared" ca="1" si="4"/>
        <v>Venceu</v>
      </c>
      <c r="Q288" s="528"/>
      <c r="R288" s="518" t="s">
        <v>1506</v>
      </c>
      <c r="S288" s="518"/>
      <c r="T288" s="518" t="s">
        <v>1776</v>
      </c>
      <c r="U288" s="519" t="s">
        <v>2007</v>
      </c>
      <c r="V288" s="520" t="str">
        <f>IFERROR(VLOOKUP(LANÇ_MOV[[#This Row],[PLANO DE CONTAS]],Plano_Contas[[PLANO DE CONTAS]:[R / D]],3,0),"")</f>
        <v>Despesa</v>
      </c>
      <c r="W288" s="521" t="str">
        <f>IF(LANÇ_MOV[[#This Row],[DATA DE PAGAMENTO]]&lt;&gt;"","Pago","Não Pago")</f>
        <v>Não Pago</v>
      </c>
      <c r="X288" s="522" t="str">
        <f>IFERROR(IF(LANÇ_MOV[[#This Row],[DATA DE PAGAMENTO]]="","",(UPPER(TEXT(LANÇ_MOV[[#This Row],[DATA DE PAGAMENTO]],"mmmm")))),"")</f>
        <v/>
      </c>
      <c r="Y288" s="523" t="str">
        <f>IFERROR(VLOOKUP(LANÇ_MOV[[#This Row],[PLANO DE CONTAS]],Plano_Contas[[PLANO DE CONTAS]:[NOMES INTERVALOS]],2,0),"")</f>
        <v>Despesas_Endividamentos</v>
      </c>
      <c r="Z288" s="523" t="str">
        <f>IF(LANÇ_MOV[[#This Row],[FORMA DE PAGAMENTO]]="","",VLOOKUP(LANÇ_MOV[[#This Row],[FORMA DE PAGAMENTO]],CAD_Forma_pagto[],2,0))</f>
        <v>BOLETO</v>
      </c>
      <c r="AA288" s="524" t="str">
        <f>IF(LANÇ_MOV[[#This Row],[DATA DE LANÇAMENTO]]="","",TEXT(LANÇ_MOV[[#This Row],[DATA DE LANÇAMENTO]],"AAAA"))</f>
        <v>2025</v>
      </c>
      <c r="AB288" s="524" t="str">
        <f>IF(LANÇ_MOV[[#This Row],[DATA DE LANÇAMENTO]]="","",UPPER(TEXT(LANÇ_MOV[[#This Row],[DATA DE LANÇAMENTO]],"MMMM")))</f>
        <v>OUTUBRO</v>
      </c>
      <c r="AC288" s="525" t="str">
        <f>IF(LANÇ_MOV[[#This Row],[DATA DE LANÇAMENTO]]="","",PROPER(TEXT(LANÇ_MOV[[#This Row],[DATA DE LANÇAMENTO]],"M")))</f>
        <v>10</v>
      </c>
      <c r="AD288" s="524" t="str">
        <f>IF(LANÇ_MOV[[#This Row],[DATA DE LANÇAMENTO]]="","",TEXT(LANÇ_MOV[[#This Row],[DATA DE LANÇAMENTO]],"D"))</f>
        <v>1</v>
      </c>
      <c r="AE288" s="526" t="str">
        <f>IF(LANÇ_MOV[[#This Row],[DATA DE VENCIMENTO]]="","",TEXT(LANÇ_MOV[[#This Row],[DATA DE VENCIMENTO]],"AAAA"))</f>
        <v>2024</v>
      </c>
      <c r="AF288" s="526" t="str">
        <f>IF(LANÇ_MOV[[#This Row],[DATA DE VENCIMENTO]]="","",UPPER(TEXT(LANÇ_MOV[[#This Row],[DATA DE VENCIMENTO]],"MMMM")))</f>
        <v>JULHO</v>
      </c>
      <c r="AG288" s="526" t="str">
        <f>IF(LANÇ_MOV[[#This Row],[DATA DE VENCIMENTO]]="","",TEXT(LANÇ_MOV[[#This Row],[DATA DE VENCIMENTO]],"M"))</f>
        <v>7</v>
      </c>
      <c r="AH288" s="526" t="str">
        <f>IF(LANÇ_MOV[[#This Row],[DATA DE VENCIMENTO]]="","",TEXT(LANÇ_MOV[[#This Row],[DATA DE VENCIMENTO]],"D"))</f>
        <v>19</v>
      </c>
      <c r="AI288" s="526" t="str">
        <f>IF(LANÇ_MOV[[#This Row],[DATA DE PAGAMENTO]]="","",TEXT(LANÇ_MOV[[#This Row],[DATA DE PAGAMENTO]],"AAAA"))</f>
        <v/>
      </c>
      <c r="AJ288" s="527" t="str">
        <f>IF(LANÇ_MOV[[#This Row],[DATA DE PAGAMENTO]]="","",UPPER(TEXT(LANÇ_MOV[[#This Row],[DATA DE PAGAMENTO]],"MMMM")))</f>
        <v/>
      </c>
      <c r="AK288" s="527" t="str">
        <f>IF(LANÇ_MOV[[#This Row],[DATA DE PAGAMENTO]]="","",TEXT(LANÇ_MOV[[#This Row],[DATA DE PAGAMENTO]],"M"))</f>
        <v/>
      </c>
      <c r="AL288" s="526" t="str">
        <f>IF(LANÇ_MOV[[#This Row],[DATA DE PAGAMENTO]]="","",TEXT(LANÇ_MOV[[#This Row],[DATA DE PAGAMENTO]],"D"))</f>
        <v/>
      </c>
      <c r="AM288" s="27"/>
      <c r="BB288" s="112"/>
      <c r="BC288" s="112"/>
      <c r="BD288" s="112"/>
    </row>
    <row r="289" spans="2:56" ht="30.05" customHeight="1" x14ac:dyDescent="0.35">
      <c r="B289" s="506">
        <v>45931</v>
      </c>
      <c r="C289" s="507" t="s">
        <v>1661</v>
      </c>
      <c r="D289" s="508" t="s">
        <v>1854</v>
      </c>
      <c r="E289" s="509" t="s">
        <v>1440</v>
      </c>
      <c r="F289" s="510" t="s">
        <v>1840</v>
      </c>
      <c r="G289" s="507" t="s">
        <v>1913</v>
      </c>
      <c r="H289" s="511"/>
      <c r="I289" s="512" t="s">
        <v>1760</v>
      </c>
      <c r="J289" s="510">
        <v>260.91000000000003</v>
      </c>
      <c r="K289" s="513">
        <v>0</v>
      </c>
      <c r="L289" s="513">
        <v>52.18</v>
      </c>
      <c r="M289" s="513">
        <v>22.2</v>
      </c>
      <c r="N289" s="514">
        <f>LANÇ_MOV[[#This Row],[VALOR BRUTO]]-LANÇ_MOV[[#This Row],[DESCONTO]]+LANÇ_MOV[[#This Row],[JUROS]]+LANÇ_MOV[[#This Row],[MULTA]]</f>
        <v>335.29</v>
      </c>
      <c r="O289" s="528">
        <v>45524</v>
      </c>
      <c r="P289" s="516" t="str">
        <f t="shared" ca="1" si="4"/>
        <v>Venceu</v>
      </c>
      <c r="Q289" s="528"/>
      <c r="R289" s="518" t="s">
        <v>1506</v>
      </c>
      <c r="S289" s="518"/>
      <c r="T289" s="518" t="s">
        <v>1776</v>
      </c>
      <c r="U289" s="519" t="s">
        <v>2007</v>
      </c>
      <c r="V289" s="520" t="str">
        <f>IFERROR(VLOOKUP(LANÇ_MOV[[#This Row],[PLANO DE CONTAS]],Plano_Contas[[PLANO DE CONTAS]:[R / D]],3,0),"")</f>
        <v>Despesa</v>
      </c>
      <c r="W289" s="521" t="str">
        <f>IF(LANÇ_MOV[[#This Row],[DATA DE PAGAMENTO]]&lt;&gt;"","Pago","Não Pago")</f>
        <v>Não Pago</v>
      </c>
      <c r="X289" s="522" t="str">
        <f>IFERROR(IF(LANÇ_MOV[[#This Row],[DATA DE PAGAMENTO]]="","",(UPPER(TEXT(LANÇ_MOV[[#This Row],[DATA DE PAGAMENTO]],"mmmm")))),"")</f>
        <v/>
      </c>
      <c r="Y289" s="523" t="str">
        <f>IFERROR(VLOOKUP(LANÇ_MOV[[#This Row],[PLANO DE CONTAS]],Plano_Contas[[PLANO DE CONTAS]:[NOMES INTERVALOS]],2,0),"")</f>
        <v>Despesas_Endividamentos</v>
      </c>
      <c r="Z289" s="523" t="str">
        <f>IF(LANÇ_MOV[[#This Row],[FORMA DE PAGAMENTO]]="","",VLOOKUP(LANÇ_MOV[[#This Row],[FORMA DE PAGAMENTO]],CAD_Forma_pagto[],2,0))</f>
        <v>BOLETO</v>
      </c>
      <c r="AA289" s="524" t="str">
        <f>IF(LANÇ_MOV[[#This Row],[DATA DE LANÇAMENTO]]="","",TEXT(LANÇ_MOV[[#This Row],[DATA DE LANÇAMENTO]],"AAAA"))</f>
        <v>2025</v>
      </c>
      <c r="AB289" s="524" t="str">
        <f>IF(LANÇ_MOV[[#This Row],[DATA DE LANÇAMENTO]]="","",UPPER(TEXT(LANÇ_MOV[[#This Row],[DATA DE LANÇAMENTO]],"MMMM")))</f>
        <v>OUTUBRO</v>
      </c>
      <c r="AC289" s="525" t="str">
        <f>IF(LANÇ_MOV[[#This Row],[DATA DE LANÇAMENTO]]="","",PROPER(TEXT(LANÇ_MOV[[#This Row],[DATA DE LANÇAMENTO]],"M")))</f>
        <v>10</v>
      </c>
      <c r="AD289" s="524" t="str">
        <f>IF(LANÇ_MOV[[#This Row],[DATA DE LANÇAMENTO]]="","",TEXT(LANÇ_MOV[[#This Row],[DATA DE LANÇAMENTO]],"D"))</f>
        <v>1</v>
      </c>
      <c r="AE289" s="526" t="str">
        <f>IF(LANÇ_MOV[[#This Row],[DATA DE VENCIMENTO]]="","",TEXT(LANÇ_MOV[[#This Row],[DATA DE VENCIMENTO]],"AAAA"))</f>
        <v>2024</v>
      </c>
      <c r="AF289" s="526" t="str">
        <f>IF(LANÇ_MOV[[#This Row],[DATA DE VENCIMENTO]]="","",UPPER(TEXT(LANÇ_MOV[[#This Row],[DATA DE VENCIMENTO]],"MMMM")))</f>
        <v>AGOSTO</v>
      </c>
      <c r="AG289" s="526" t="str">
        <f>IF(LANÇ_MOV[[#This Row],[DATA DE VENCIMENTO]]="","",TEXT(LANÇ_MOV[[#This Row],[DATA DE VENCIMENTO]],"M"))</f>
        <v>8</v>
      </c>
      <c r="AH289" s="526" t="str">
        <f>IF(LANÇ_MOV[[#This Row],[DATA DE VENCIMENTO]]="","",TEXT(LANÇ_MOV[[#This Row],[DATA DE VENCIMENTO]],"D"))</f>
        <v>20</v>
      </c>
      <c r="AI289" s="526" t="str">
        <f>IF(LANÇ_MOV[[#This Row],[DATA DE PAGAMENTO]]="","",TEXT(LANÇ_MOV[[#This Row],[DATA DE PAGAMENTO]],"AAAA"))</f>
        <v/>
      </c>
      <c r="AJ289" s="527" t="str">
        <f>IF(LANÇ_MOV[[#This Row],[DATA DE PAGAMENTO]]="","",UPPER(TEXT(LANÇ_MOV[[#This Row],[DATA DE PAGAMENTO]],"MMMM")))</f>
        <v/>
      </c>
      <c r="AK289" s="527" t="str">
        <f>IF(LANÇ_MOV[[#This Row],[DATA DE PAGAMENTO]]="","",TEXT(LANÇ_MOV[[#This Row],[DATA DE PAGAMENTO]],"M"))</f>
        <v/>
      </c>
      <c r="AL289" s="526" t="str">
        <f>IF(LANÇ_MOV[[#This Row],[DATA DE PAGAMENTO]]="","",TEXT(LANÇ_MOV[[#This Row],[DATA DE PAGAMENTO]],"D"))</f>
        <v/>
      </c>
      <c r="AM289" s="27"/>
      <c r="BB289" s="112"/>
      <c r="BC289" s="112"/>
      <c r="BD289" s="112"/>
    </row>
    <row r="290" spans="2:56" ht="30.05" customHeight="1" x14ac:dyDescent="0.35">
      <c r="B290" s="506">
        <v>45931</v>
      </c>
      <c r="C290" s="507" t="s">
        <v>1661</v>
      </c>
      <c r="D290" s="508" t="s">
        <v>1854</v>
      </c>
      <c r="E290" s="509" t="s">
        <v>1440</v>
      </c>
      <c r="F290" s="510" t="s">
        <v>1840</v>
      </c>
      <c r="G290" s="507" t="s">
        <v>1914</v>
      </c>
      <c r="H290" s="511"/>
      <c r="I290" s="512" t="s">
        <v>1760</v>
      </c>
      <c r="J290" s="510">
        <v>378.64</v>
      </c>
      <c r="K290" s="513">
        <v>0</v>
      </c>
      <c r="L290" s="513">
        <v>75.72</v>
      </c>
      <c r="M290" s="513">
        <v>29.04</v>
      </c>
      <c r="N290" s="514">
        <f>LANÇ_MOV[[#This Row],[VALOR BRUTO]]-LANÇ_MOV[[#This Row],[DESCONTO]]+LANÇ_MOV[[#This Row],[JUROS]]+LANÇ_MOV[[#This Row],[MULTA]]</f>
        <v>483.40000000000003</v>
      </c>
      <c r="O290" s="528">
        <v>45555</v>
      </c>
      <c r="P290" s="516" t="str">
        <f t="shared" ca="1" si="4"/>
        <v>Venceu</v>
      </c>
      <c r="Q290" s="528"/>
      <c r="R290" s="518" t="s">
        <v>1506</v>
      </c>
      <c r="S290" s="518"/>
      <c r="T290" s="518" t="s">
        <v>1776</v>
      </c>
      <c r="U290" s="519" t="s">
        <v>2007</v>
      </c>
      <c r="V290" s="520" t="str">
        <f>IFERROR(VLOOKUP(LANÇ_MOV[[#This Row],[PLANO DE CONTAS]],Plano_Contas[[PLANO DE CONTAS]:[R / D]],3,0),"")</f>
        <v>Despesa</v>
      </c>
      <c r="W290" s="521" t="str">
        <f>IF(LANÇ_MOV[[#This Row],[DATA DE PAGAMENTO]]&lt;&gt;"","Pago","Não Pago")</f>
        <v>Não Pago</v>
      </c>
      <c r="X290" s="522" t="str">
        <f>IFERROR(IF(LANÇ_MOV[[#This Row],[DATA DE PAGAMENTO]]="","",(UPPER(TEXT(LANÇ_MOV[[#This Row],[DATA DE PAGAMENTO]],"mmmm")))),"")</f>
        <v/>
      </c>
      <c r="Y290" s="523" t="str">
        <f>IFERROR(VLOOKUP(LANÇ_MOV[[#This Row],[PLANO DE CONTAS]],Plano_Contas[[PLANO DE CONTAS]:[NOMES INTERVALOS]],2,0),"")</f>
        <v>Despesas_Endividamentos</v>
      </c>
      <c r="Z290" s="523" t="str">
        <f>IF(LANÇ_MOV[[#This Row],[FORMA DE PAGAMENTO]]="","",VLOOKUP(LANÇ_MOV[[#This Row],[FORMA DE PAGAMENTO]],CAD_Forma_pagto[],2,0))</f>
        <v>BOLETO</v>
      </c>
      <c r="AA290" s="524" t="str">
        <f>IF(LANÇ_MOV[[#This Row],[DATA DE LANÇAMENTO]]="","",TEXT(LANÇ_MOV[[#This Row],[DATA DE LANÇAMENTO]],"AAAA"))</f>
        <v>2025</v>
      </c>
      <c r="AB290" s="524" t="str">
        <f>IF(LANÇ_MOV[[#This Row],[DATA DE LANÇAMENTO]]="","",UPPER(TEXT(LANÇ_MOV[[#This Row],[DATA DE LANÇAMENTO]],"MMMM")))</f>
        <v>OUTUBRO</v>
      </c>
      <c r="AC290" s="525" t="str">
        <f>IF(LANÇ_MOV[[#This Row],[DATA DE LANÇAMENTO]]="","",PROPER(TEXT(LANÇ_MOV[[#This Row],[DATA DE LANÇAMENTO]],"M")))</f>
        <v>10</v>
      </c>
      <c r="AD290" s="524" t="str">
        <f>IF(LANÇ_MOV[[#This Row],[DATA DE LANÇAMENTO]]="","",TEXT(LANÇ_MOV[[#This Row],[DATA DE LANÇAMENTO]],"D"))</f>
        <v>1</v>
      </c>
      <c r="AE290" s="526" t="str">
        <f>IF(LANÇ_MOV[[#This Row],[DATA DE VENCIMENTO]]="","",TEXT(LANÇ_MOV[[#This Row],[DATA DE VENCIMENTO]],"AAAA"))</f>
        <v>2024</v>
      </c>
      <c r="AF290" s="526" t="str">
        <f>IF(LANÇ_MOV[[#This Row],[DATA DE VENCIMENTO]]="","",UPPER(TEXT(LANÇ_MOV[[#This Row],[DATA DE VENCIMENTO]],"MMMM")))</f>
        <v>SETEMBRO</v>
      </c>
      <c r="AG290" s="526" t="str">
        <f>IF(LANÇ_MOV[[#This Row],[DATA DE VENCIMENTO]]="","",TEXT(LANÇ_MOV[[#This Row],[DATA DE VENCIMENTO]],"M"))</f>
        <v>9</v>
      </c>
      <c r="AH290" s="526" t="str">
        <f>IF(LANÇ_MOV[[#This Row],[DATA DE VENCIMENTO]]="","",TEXT(LANÇ_MOV[[#This Row],[DATA DE VENCIMENTO]],"D"))</f>
        <v>20</v>
      </c>
      <c r="AI290" s="526" t="str">
        <f>IF(LANÇ_MOV[[#This Row],[DATA DE PAGAMENTO]]="","",TEXT(LANÇ_MOV[[#This Row],[DATA DE PAGAMENTO]],"AAAA"))</f>
        <v/>
      </c>
      <c r="AJ290" s="527" t="str">
        <f>IF(LANÇ_MOV[[#This Row],[DATA DE PAGAMENTO]]="","",UPPER(TEXT(LANÇ_MOV[[#This Row],[DATA DE PAGAMENTO]],"MMMM")))</f>
        <v/>
      </c>
      <c r="AK290" s="527" t="str">
        <f>IF(LANÇ_MOV[[#This Row],[DATA DE PAGAMENTO]]="","",TEXT(LANÇ_MOV[[#This Row],[DATA DE PAGAMENTO]],"M"))</f>
        <v/>
      </c>
      <c r="AL290" s="526" t="str">
        <f>IF(LANÇ_MOV[[#This Row],[DATA DE PAGAMENTO]]="","",TEXT(LANÇ_MOV[[#This Row],[DATA DE PAGAMENTO]],"D"))</f>
        <v/>
      </c>
      <c r="AM290" s="27"/>
      <c r="BB290" s="112"/>
      <c r="BC290" s="112"/>
      <c r="BD290" s="112"/>
    </row>
    <row r="291" spans="2:56" ht="30.05" customHeight="1" x14ac:dyDescent="0.35">
      <c r="B291" s="506">
        <v>45931</v>
      </c>
      <c r="C291" s="507" t="s">
        <v>1661</v>
      </c>
      <c r="D291" s="508" t="s">
        <v>1854</v>
      </c>
      <c r="E291" s="509" t="s">
        <v>1440</v>
      </c>
      <c r="F291" s="510" t="s">
        <v>1840</v>
      </c>
      <c r="G291" s="507" t="s">
        <v>1915</v>
      </c>
      <c r="H291" s="511"/>
      <c r="I291" s="512" t="s">
        <v>1760</v>
      </c>
      <c r="J291" s="510">
        <v>379.12</v>
      </c>
      <c r="K291" s="513">
        <v>0</v>
      </c>
      <c r="L291" s="513">
        <v>75.819999999999993</v>
      </c>
      <c r="M291" s="513">
        <v>25.55</v>
      </c>
      <c r="N291" s="514">
        <f>LANÇ_MOV[[#This Row],[VALOR BRUTO]]-LANÇ_MOV[[#This Row],[DESCONTO]]+LANÇ_MOV[[#This Row],[JUROS]]+LANÇ_MOV[[#This Row],[MULTA]]</f>
        <v>480.49</v>
      </c>
      <c r="O291" s="528">
        <v>45583</v>
      </c>
      <c r="P291" s="516" t="str">
        <f t="shared" ca="1" si="4"/>
        <v>Venceu</v>
      </c>
      <c r="Q291" s="528"/>
      <c r="R291" s="529" t="s">
        <v>1506</v>
      </c>
      <c r="S291" s="518"/>
      <c r="T291" s="518" t="s">
        <v>1776</v>
      </c>
      <c r="U291" s="519" t="s">
        <v>2007</v>
      </c>
      <c r="V291" s="520" t="str">
        <f>IFERROR(VLOOKUP(LANÇ_MOV[[#This Row],[PLANO DE CONTAS]],Plano_Contas[[PLANO DE CONTAS]:[R / D]],3,0),"")</f>
        <v>Despesa</v>
      </c>
      <c r="W291" s="521" t="str">
        <f>IF(LANÇ_MOV[[#This Row],[DATA DE PAGAMENTO]]&lt;&gt;"","Pago","Não Pago")</f>
        <v>Não Pago</v>
      </c>
      <c r="X291" s="522" t="str">
        <f>IFERROR(IF(LANÇ_MOV[[#This Row],[DATA DE PAGAMENTO]]="","",(UPPER(TEXT(LANÇ_MOV[[#This Row],[DATA DE PAGAMENTO]],"mmmm")))),"")</f>
        <v/>
      </c>
      <c r="Y291" s="523" t="str">
        <f>IFERROR(VLOOKUP(LANÇ_MOV[[#This Row],[PLANO DE CONTAS]],Plano_Contas[[PLANO DE CONTAS]:[NOMES INTERVALOS]],2,0),"")</f>
        <v>Despesas_Endividamentos</v>
      </c>
      <c r="Z291" s="523" t="str">
        <f>IF(LANÇ_MOV[[#This Row],[FORMA DE PAGAMENTO]]="","",VLOOKUP(LANÇ_MOV[[#This Row],[FORMA DE PAGAMENTO]],CAD_Forma_pagto[],2,0))</f>
        <v>BOLETO</v>
      </c>
      <c r="AA291" s="524" t="str">
        <f>IF(LANÇ_MOV[[#This Row],[DATA DE LANÇAMENTO]]="","",TEXT(LANÇ_MOV[[#This Row],[DATA DE LANÇAMENTO]],"AAAA"))</f>
        <v>2025</v>
      </c>
      <c r="AB291" s="524" t="str">
        <f>IF(LANÇ_MOV[[#This Row],[DATA DE LANÇAMENTO]]="","",UPPER(TEXT(LANÇ_MOV[[#This Row],[DATA DE LANÇAMENTO]],"MMMM")))</f>
        <v>OUTUBRO</v>
      </c>
      <c r="AC291" s="525" t="str">
        <f>IF(LANÇ_MOV[[#This Row],[DATA DE LANÇAMENTO]]="","",PROPER(TEXT(LANÇ_MOV[[#This Row],[DATA DE LANÇAMENTO]],"M")))</f>
        <v>10</v>
      </c>
      <c r="AD291" s="524" t="str">
        <f>IF(LANÇ_MOV[[#This Row],[DATA DE LANÇAMENTO]]="","",TEXT(LANÇ_MOV[[#This Row],[DATA DE LANÇAMENTO]],"D"))</f>
        <v>1</v>
      </c>
      <c r="AE291" s="526" t="str">
        <f>IF(LANÇ_MOV[[#This Row],[DATA DE VENCIMENTO]]="","",TEXT(LANÇ_MOV[[#This Row],[DATA DE VENCIMENTO]],"AAAA"))</f>
        <v>2024</v>
      </c>
      <c r="AF291" s="526" t="str">
        <f>IF(LANÇ_MOV[[#This Row],[DATA DE VENCIMENTO]]="","",UPPER(TEXT(LANÇ_MOV[[#This Row],[DATA DE VENCIMENTO]],"MMMM")))</f>
        <v>OUTUBRO</v>
      </c>
      <c r="AG291" s="526" t="str">
        <f>IF(LANÇ_MOV[[#This Row],[DATA DE VENCIMENTO]]="","",TEXT(LANÇ_MOV[[#This Row],[DATA DE VENCIMENTO]],"M"))</f>
        <v>10</v>
      </c>
      <c r="AH291" s="526" t="str">
        <f>IF(LANÇ_MOV[[#This Row],[DATA DE VENCIMENTO]]="","",TEXT(LANÇ_MOV[[#This Row],[DATA DE VENCIMENTO]],"D"))</f>
        <v>18</v>
      </c>
      <c r="AI291" s="526" t="str">
        <f>IF(LANÇ_MOV[[#This Row],[DATA DE PAGAMENTO]]="","",TEXT(LANÇ_MOV[[#This Row],[DATA DE PAGAMENTO]],"AAAA"))</f>
        <v/>
      </c>
      <c r="AJ291" s="527" t="str">
        <f>IF(LANÇ_MOV[[#This Row],[DATA DE PAGAMENTO]]="","",UPPER(TEXT(LANÇ_MOV[[#This Row],[DATA DE PAGAMENTO]],"MMMM")))</f>
        <v/>
      </c>
      <c r="AK291" s="527" t="str">
        <f>IF(LANÇ_MOV[[#This Row],[DATA DE PAGAMENTO]]="","",TEXT(LANÇ_MOV[[#This Row],[DATA DE PAGAMENTO]],"M"))</f>
        <v/>
      </c>
      <c r="AL291" s="526" t="str">
        <f>IF(LANÇ_MOV[[#This Row],[DATA DE PAGAMENTO]]="","",TEXT(LANÇ_MOV[[#This Row],[DATA DE PAGAMENTO]],"D"))</f>
        <v/>
      </c>
      <c r="AM291" s="27"/>
      <c r="BB291" s="112"/>
      <c r="BC291" s="112"/>
      <c r="BD291" s="112"/>
    </row>
    <row r="292" spans="2:56" ht="30.05" customHeight="1" x14ac:dyDescent="0.35">
      <c r="B292" s="506">
        <v>45931</v>
      </c>
      <c r="C292" s="507" t="s">
        <v>1661</v>
      </c>
      <c r="D292" s="508" t="s">
        <v>1854</v>
      </c>
      <c r="E292" s="509" t="s">
        <v>1440</v>
      </c>
      <c r="F292" s="510" t="s">
        <v>1840</v>
      </c>
      <c r="G292" s="507" t="s">
        <v>1916</v>
      </c>
      <c r="H292" s="511"/>
      <c r="I292" s="512" t="s">
        <v>1760</v>
      </c>
      <c r="J292" s="510">
        <v>440.33</v>
      </c>
      <c r="K292" s="513">
        <v>0</v>
      </c>
      <c r="L292" s="513">
        <v>88.06</v>
      </c>
      <c r="M292" s="513">
        <v>26.19</v>
      </c>
      <c r="N292" s="514">
        <f>LANÇ_MOV[[#This Row],[VALOR BRUTO]]-LANÇ_MOV[[#This Row],[DESCONTO]]+LANÇ_MOV[[#This Row],[JUROS]]+LANÇ_MOV[[#This Row],[MULTA]]</f>
        <v>554.58000000000004</v>
      </c>
      <c r="O292" s="528">
        <v>45615</v>
      </c>
      <c r="P292" s="516" t="str">
        <f t="shared" ca="1" si="4"/>
        <v>Venceu</v>
      </c>
      <c r="Q292" s="528"/>
      <c r="R292" s="529" t="s">
        <v>1506</v>
      </c>
      <c r="S292" s="518"/>
      <c r="T292" s="518" t="s">
        <v>1776</v>
      </c>
      <c r="U292" s="519" t="s">
        <v>2007</v>
      </c>
      <c r="V292" s="520" t="str">
        <f>IFERROR(VLOOKUP(LANÇ_MOV[[#This Row],[PLANO DE CONTAS]],Plano_Contas[[PLANO DE CONTAS]:[R / D]],3,0),"")</f>
        <v>Despesa</v>
      </c>
      <c r="W292" s="521" t="str">
        <f>IF(LANÇ_MOV[[#This Row],[DATA DE PAGAMENTO]]&lt;&gt;"","Pago","Não Pago")</f>
        <v>Não Pago</v>
      </c>
      <c r="X292" s="522" t="str">
        <f>IFERROR(IF(LANÇ_MOV[[#This Row],[DATA DE PAGAMENTO]]="","",(UPPER(TEXT(LANÇ_MOV[[#This Row],[DATA DE PAGAMENTO]],"mmmm")))),"")</f>
        <v/>
      </c>
      <c r="Y292" s="523" t="str">
        <f>IFERROR(VLOOKUP(LANÇ_MOV[[#This Row],[PLANO DE CONTAS]],Plano_Contas[[PLANO DE CONTAS]:[NOMES INTERVALOS]],2,0),"")</f>
        <v>Despesas_Endividamentos</v>
      </c>
      <c r="Z292" s="523" t="str">
        <f>IF(LANÇ_MOV[[#This Row],[FORMA DE PAGAMENTO]]="","",VLOOKUP(LANÇ_MOV[[#This Row],[FORMA DE PAGAMENTO]],CAD_Forma_pagto[],2,0))</f>
        <v>BOLETO</v>
      </c>
      <c r="AA292" s="524" t="str">
        <f>IF(LANÇ_MOV[[#This Row],[DATA DE LANÇAMENTO]]="","",TEXT(LANÇ_MOV[[#This Row],[DATA DE LANÇAMENTO]],"AAAA"))</f>
        <v>2025</v>
      </c>
      <c r="AB292" s="524" t="str">
        <f>IF(LANÇ_MOV[[#This Row],[DATA DE LANÇAMENTO]]="","",UPPER(TEXT(LANÇ_MOV[[#This Row],[DATA DE LANÇAMENTO]],"MMMM")))</f>
        <v>OUTUBRO</v>
      </c>
      <c r="AC292" s="525" t="str">
        <f>IF(LANÇ_MOV[[#This Row],[DATA DE LANÇAMENTO]]="","",PROPER(TEXT(LANÇ_MOV[[#This Row],[DATA DE LANÇAMENTO]],"M")))</f>
        <v>10</v>
      </c>
      <c r="AD292" s="524" t="str">
        <f>IF(LANÇ_MOV[[#This Row],[DATA DE LANÇAMENTO]]="","",TEXT(LANÇ_MOV[[#This Row],[DATA DE LANÇAMENTO]],"D"))</f>
        <v>1</v>
      </c>
      <c r="AE292" s="526" t="str">
        <f>IF(LANÇ_MOV[[#This Row],[DATA DE VENCIMENTO]]="","",TEXT(LANÇ_MOV[[#This Row],[DATA DE VENCIMENTO]],"AAAA"))</f>
        <v>2024</v>
      </c>
      <c r="AF292" s="526" t="str">
        <f>IF(LANÇ_MOV[[#This Row],[DATA DE VENCIMENTO]]="","",UPPER(TEXT(LANÇ_MOV[[#This Row],[DATA DE VENCIMENTO]],"MMMM")))</f>
        <v>NOVEMBRO</v>
      </c>
      <c r="AG292" s="526" t="str">
        <f>IF(LANÇ_MOV[[#This Row],[DATA DE VENCIMENTO]]="","",TEXT(LANÇ_MOV[[#This Row],[DATA DE VENCIMENTO]],"M"))</f>
        <v>11</v>
      </c>
      <c r="AH292" s="526" t="str">
        <f>IF(LANÇ_MOV[[#This Row],[DATA DE VENCIMENTO]]="","",TEXT(LANÇ_MOV[[#This Row],[DATA DE VENCIMENTO]],"D"))</f>
        <v>19</v>
      </c>
      <c r="AI292" s="526" t="str">
        <f>IF(LANÇ_MOV[[#This Row],[DATA DE PAGAMENTO]]="","",TEXT(LANÇ_MOV[[#This Row],[DATA DE PAGAMENTO]],"AAAA"))</f>
        <v/>
      </c>
      <c r="AJ292" s="527" t="str">
        <f>IF(LANÇ_MOV[[#This Row],[DATA DE PAGAMENTO]]="","",UPPER(TEXT(LANÇ_MOV[[#This Row],[DATA DE PAGAMENTO]],"MMMM")))</f>
        <v/>
      </c>
      <c r="AK292" s="527" t="str">
        <f>IF(LANÇ_MOV[[#This Row],[DATA DE PAGAMENTO]]="","",TEXT(LANÇ_MOV[[#This Row],[DATA DE PAGAMENTO]],"M"))</f>
        <v/>
      </c>
      <c r="AL292" s="526" t="str">
        <f>IF(LANÇ_MOV[[#This Row],[DATA DE PAGAMENTO]]="","",TEXT(LANÇ_MOV[[#This Row],[DATA DE PAGAMENTO]],"D"))</f>
        <v/>
      </c>
      <c r="AM292" s="27"/>
      <c r="BB292" s="112"/>
      <c r="BC292" s="112"/>
      <c r="BD292" s="112"/>
    </row>
    <row r="293" spans="2:56" ht="30.05" customHeight="1" x14ac:dyDescent="0.35">
      <c r="B293" s="506">
        <v>45931</v>
      </c>
      <c r="C293" s="507" t="s">
        <v>1661</v>
      </c>
      <c r="D293" s="508" t="s">
        <v>1854</v>
      </c>
      <c r="E293" s="509" t="s">
        <v>1440</v>
      </c>
      <c r="F293" s="510" t="s">
        <v>1840</v>
      </c>
      <c r="G293" s="507" t="s">
        <v>1917</v>
      </c>
      <c r="H293" s="511"/>
      <c r="I293" s="512" t="s">
        <v>1760</v>
      </c>
      <c r="J293" s="510">
        <v>278.58999999999997</v>
      </c>
      <c r="K293" s="513">
        <v>0</v>
      </c>
      <c r="L293" s="513">
        <v>55.71</v>
      </c>
      <c r="M293" s="513">
        <v>13.98</v>
      </c>
      <c r="N293" s="514">
        <f>LANÇ_MOV[[#This Row],[VALOR BRUTO]]-LANÇ_MOV[[#This Row],[DESCONTO]]+LANÇ_MOV[[#This Row],[JUROS]]+LANÇ_MOV[[#This Row],[MULTA]]</f>
        <v>348.28</v>
      </c>
      <c r="O293" s="528">
        <v>45646</v>
      </c>
      <c r="P293" s="516" t="str">
        <f t="shared" ca="1" si="4"/>
        <v>Venceu</v>
      </c>
      <c r="Q293" s="528"/>
      <c r="R293" s="529" t="s">
        <v>1506</v>
      </c>
      <c r="S293" s="518"/>
      <c r="T293" s="518" t="s">
        <v>1776</v>
      </c>
      <c r="U293" s="519" t="s">
        <v>2007</v>
      </c>
      <c r="V293" s="520" t="str">
        <f>IFERROR(VLOOKUP(LANÇ_MOV[[#This Row],[PLANO DE CONTAS]],Plano_Contas[[PLANO DE CONTAS]:[R / D]],3,0),"")</f>
        <v>Despesa</v>
      </c>
      <c r="W293" s="521" t="str">
        <f>IF(LANÇ_MOV[[#This Row],[DATA DE PAGAMENTO]]&lt;&gt;"","Pago","Não Pago")</f>
        <v>Não Pago</v>
      </c>
      <c r="X293" s="522" t="str">
        <f>IFERROR(IF(LANÇ_MOV[[#This Row],[DATA DE PAGAMENTO]]="","",(UPPER(TEXT(LANÇ_MOV[[#This Row],[DATA DE PAGAMENTO]],"mmmm")))),"")</f>
        <v/>
      </c>
      <c r="Y293" s="523" t="str">
        <f>IFERROR(VLOOKUP(LANÇ_MOV[[#This Row],[PLANO DE CONTAS]],Plano_Contas[[PLANO DE CONTAS]:[NOMES INTERVALOS]],2,0),"")</f>
        <v>Despesas_Endividamentos</v>
      </c>
      <c r="Z293" s="523" t="str">
        <f>IF(LANÇ_MOV[[#This Row],[FORMA DE PAGAMENTO]]="","",VLOOKUP(LANÇ_MOV[[#This Row],[FORMA DE PAGAMENTO]],CAD_Forma_pagto[],2,0))</f>
        <v>BOLETO</v>
      </c>
      <c r="AA293" s="524" t="str">
        <f>IF(LANÇ_MOV[[#This Row],[DATA DE LANÇAMENTO]]="","",TEXT(LANÇ_MOV[[#This Row],[DATA DE LANÇAMENTO]],"AAAA"))</f>
        <v>2025</v>
      </c>
      <c r="AB293" s="524" t="str">
        <f>IF(LANÇ_MOV[[#This Row],[DATA DE LANÇAMENTO]]="","",UPPER(TEXT(LANÇ_MOV[[#This Row],[DATA DE LANÇAMENTO]],"MMMM")))</f>
        <v>OUTUBRO</v>
      </c>
      <c r="AC293" s="525" t="str">
        <f>IF(LANÇ_MOV[[#This Row],[DATA DE LANÇAMENTO]]="","",PROPER(TEXT(LANÇ_MOV[[#This Row],[DATA DE LANÇAMENTO]],"M")))</f>
        <v>10</v>
      </c>
      <c r="AD293" s="524" t="str">
        <f>IF(LANÇ_MOV[[#This Row],[DATA DE LANÇAMENTO]]="","",TEXT(LANÇ_MOV[[#This Row],[DATA DE LANÇAMENTO]],"D"))</f>
        <v>1</v>
      </c>
      <c r="AE293" s="526" t="str">
        <f>IF(LANÇ_MOV[[#This Row],[DATA DE VENCIMENTO]]="","",TEXT(LANÇ_MOV[[#This Row],[DATA DE VENCIMENTO]],"AAAA"))</f>
        <v>2024</v>
      </c>
      <c r="AF293" s="526" t="str">
        <f>IF(LANÇ_MOV[[#This Row],[DATA DE VENCIMENTO]]="","",UPPER(TEXT(LANÇ_MOV[[#This Row],[DATA DE VENCIMENTO]],"MMMM")))</f>
        <v>DEZEMBRO</v>
      </c>
      <c r="AG293" s="526" t="str">
        <f>IF(LANÇ_MOV[[#This Row],[DATA DE VENCIMENTO]]="","",TEXT(LANÇ_MOV[[#This Row],[DATA DE VENCIMENTO]],"M"))</f>
        <v>12</v>
      </c>
      <c r="AH293" s="526" t="str">
        <f>IF(LANÇ_MOV[[#This Row],[DATA DE VENCIMENTO]]="","",TEXT(LANÇ_MOV[[#This Row],[DATA DE VENCIMENTO]],"D"))</f>
        <v>20</v>
      </c>
      <c r="AI293" s="526" t="str">
        <f>IF(LANÇ_MOV[[#This Row],[DATA DE PAGAMENTO]]="","",TEXT(LANÇ_MOV[[#This Row],[DATA DE PAGAMENTO]],"AAAA"))</f>
        <v/>
      </c>
      <c r="AJ293" s="527" t="str">
        <f>IF(LANÇ_MOV[[#This Row],[DATA DE PAGAMENTO]]="","",UPPER(TEXT(LANÇ_MOV[[#This Row],[DATA DE PAGAMENTO]],"MMMM")))</f>
        <v/>
      </c>
      <c r="AK293" s="527" t="str">
        <f>IF(LANÇ_MOV[[#This Row],[DATA DE PAGAMENTO]]="","",TEXT(LANÇ_MOV[[#This Row],[DATA DE PAGAMENTO]],"M"))</f>
        <v/>
      </c>
      <c r="AL293" s="526" t="str">
        <f>IF(LANÇ_MOV[[#This Row],[DATA DE PAGAMENTO]]="","",TEXT(LANÇ_MOV[[#This Row],[DATA DE PAGAMENTO]],"D"))</f>
        <v/>
      </c>
      <c r="AM293" s="27"/>
      <c r="BB293" s="112"/>
      <c r="BC293" s="112"/>
      <c r="BD293" s="112"/>
    </row>
    <row r="294" spans="2:56" ht="30.05" customHeight="1" x14ac:dyDescent="0.35">
      <c r="B294" s="506">
        <v>45931</v>
      </c>
      <c r="C294" s="507" t="s">
        <v>1661</v>
      </c>
      <c r="D294" s="508" t="s">
        <v>1854</v>
      </c>
      <c r="E294" s="509" t="s">
        <v>1440</v>
      </c>
      <c r="F294" s="510" t="s">
        <v>1840</v>
      </c>
      <c r="G294" s="507" t="s">
        <v>1918</v>
      </c>
      <c r="H294" s="511"/>
      <c r="I294" s="512" t="s">
        <v>1760</v>
      </c>
      <c r="J294" s="510">
        <v>302.72000000000003</v>
      </c>
      <c r="K294" s="513">
        <v>0</v>
      </c>
      <c r="L294" s="513">
        <v>60.54</v>
      </c>
      <c r="M294" s="513">
        <v>12.13</v>
      </c>
      <c r="N294" s="514">
        <f>LANÇ_MOV[[#This Row],[VALOR BRUTO]]-LANÇ_MOV[[#This Row],[DESCONTO]]+LANÇ_MOV[[#This Row],[JUROS]]+LANÇ_MOV[[#This Row],[MULTA]]</f>
        <v>375.39000000000004</v>
      </c>
      <c r="O294" s="528">
        <v>45677</v>
      </c>
      <c r="P294" s="516" t="str">
        <f t="shared" ca="1" si="4"/>
        <v>Venceu</v>
      </c>
      <c r="Q294" s="528"/>
      <c r="R294" s="529" t="s">
        <v>1506</v>
      </c>
      <c r="S294" s="518"/>
      <c r="T294" s="518" t="s">
        <v>1776</v>
      </c>
      <c r="U294" s="519" t="s">
        <v>2007</v>
      </c>
      <c r="V294" s="520" t="str">
        <f>IFERROR(VLOOKUP(LANÇ_MOV[[#This Row],[PLANO DE CONTAS]],Plano_Contas[[PLANO DE CONTAS]:[R / D]],3,0),"")</f>
        <v>Despesa</v>
      </c>
      <c r="W294" s="521" t="str">
        <f>IF(LANÇ_MOV[[#This Row],[DATA DE PAGAMENTO]]&lt;&gt;"","Pago","Não Pago")</f>
        <v>Não Pago</v>
      </c>
      <c r="X294" s="522" t="str">
        <f>IFERROR(IF(LANÇ_MOV[[#This Row],[DATA DE PAGAMENTO]]="","",(UPPER(TEXT(LANÇ_MOV[[#This Row],[DATA DE PAGAMENTO]],"mmmm")))),"")</f>
        <v/>
      </c>
      <c r="Y294" s="523" t="str">
        <f>IFERROR(VLOOKUP(LANÇ_MOV[[#This Row],[PLANO DE CONTAS]],Plano_Contas[[PLANO DE CONTAS]:[NOMES INTERVALOS]],2,0),"")</f>
        <v>Despesas_Endividamentos</v>
      </c>
      <c r="Z294" s="523" t="str">
        <f>IF(LANÇ_MOV[[#This Row],[FORMA DE PAGAMENTO]]="","",VLOOKUP(LANÇ_MOV[[#This Row],[FORMA DE PAGAMENTO]],CAD_Forma_pagto[],2,0))</f>
        <v>BOLETO</v>
      </c>
      <c r="AA294" s="524" t="str">
        <f>IF(LANÇ_MOV[[#This Row],[DATA DE LANÇAMENTO]]="","",TEXT(LANÇ_MOV[[#This Row],[DATA DE LANÇAMENTO]],"AAAA"))</f>
        <v>2025</v>
      </c>
      <c r="AB294" s="524" t="str">
        <f>IF(LANÇ_MOV[[#This Row],[DATA DE LANÇAMENTO]]="","",UPPER(TEXT(LANÇ_MOV[[#This Row],[DATA DE LANÇAMENTO]],"MMMM")))</f>
        <v>OUTUBRO</v>
      </c>
      <c r="AC294" s="525" t="str">
        <f>IF(LANÇ_MOV[[#This Row],[DATA DE LANÇAMENTO]]="","",PROPER(TEXT(LANÇ_MOV[[#This Row],[DATA DE LANÇAMENTO]],"M")))</f>
        <v>10</v>
      </c>
      <c r="AD294" s="524" t="str">
        <f>IF(LANÇ_MOV[[#This Row],[DATA DE LANÇAMENTO]]="","",TEXT(LANÇ_MOV[[#This Row],[DATA DE LANÇAMENTO]],"D"))</f>
        <v>1</v>
      </c>
      <c r="AE294" s="526" t="str">
        <f>IF(LANÇ_MOV[[#This Row],[DATA DE VENCIMENTO]]="","",TEXT(LANÇ_MOV[[#This Row],[DATA DE VENCIMENTO]],"AAAA"))</f>
        <v>2025</v>
      </c>
      <c r="AF294" s="526" t="str">
        <f>IF(LANÇ_MOV[[#This Row],[DATA DE VENCIMENTO]]="","",UPPER(TEXT(LANÇ_MOV[[#This Row],[DATA DE VENCIMENTO]],"MMMM")))</f>
        <v>JANEIRO</v>
      </c>
      <c r="AG294" s="526" t="str">
        <f>IF(LANÇ_MOV[[#This Row],[DATA DE VENCIMENTO]]="","",TEXT(LANÇ_MOV[[#This Row],[DATA DE VENCIMENTO]],"M"))</f>
        <v>1</v>
      </c>
      <c r="AH294" s="526" t="str">
        <f>IF(LANÇ_MOV[[#This Row],[DATA DE VENCIMENTO]]="","",TEXT(LANÇ_MOV[[#This Row],[DATA DE VENCIMENTO]],"D"))</f>
        <v>20</v>
      </c>
      <c r="AI294" s="526" t="str">
        <f>IF(LANÇ_MOV[[#This Row],[DATA DE PAGAMENTO]]="","",TEXT(LANÇ_MOV[[#This Row],[DATA DE PAGAMENTO]],"AAAA"))</f>
        <v/>
      </c>
      <c r="AJ294" s="527" t="str">
        <f>IF(LANÇ_MOV[[#This Row],[DATA DE PAGAMENTO]]="","",UPPER(TEXT(LANÇ_MOV[[#This Row],[DATA DE PAGAMENTO]],"MMMM")))</f>
        <v/>
      </c>
      <c r="AK294" s="527" t="str">
        <f>IF(LANÇ_MOV[[#This Row],[DATA DE PAGAMENTO]]="","",TEXT(LANÇ_MOV[[#This Row],[DATA DE PAGAMENTO]],"M"))</f>
        <v/>
      </c>
      <c r="AL294" s="526" t="str">
        <f>IF(LANÇ_MOV[[#This Row],[DATA DE PAGAMENTO]]="","",TEXT(LANÇ_MOV[[#This Row],[DATA DE PAGAMENTO]],"D"))</f>
        <v/>
      </c>
      <c r="AM294" s="27"/>
      <c r="BB294" s="112"/>
      <c r="BC294" s="112"/>
      <c r="BD294" s="112"/>
    </row>
    <row r="295" spans="2:56" ht="30.05" customHeight="1" x14ac:dyDescent="0.35">
      <c r="B295" s="506">
        <v>45931</v>
      </c>
      <c r="C295" s="507" t="s">
        <v>1661</v>
      </c>
      <c r="D295" s="508" t="s">
        <v>1854</v>
      </c>
      <c r="E295" s="509" t="s">
        <v>1440</v>
      </c>
      <c r="F295" s="510" t="s">
        <v>1840</v>
      </c>
      <c r="G295" s="507" t="s">
        <v>1921</v>
      </c>
      <c r="H295" s="511"/>
      <c r="I295" s="512" t="s">
        <v>1760</v>
      </c>
      <c r="J295" s="510">
        <v>304.95</v>
      </c>
      <c r="K295" s="513">
        <v>0</v>
      </c>
      <c r="L295" s="513">
        <v>60.99</v>
      </c>
      <c r="M295" s="513">
        <v>9.1999999999999993</v>
      </c>
      <c r="N295" s="514">
        <f>LANÇ_MOV[[#This Row],[VALOR BRUTO]]-LANÇ_MOV[[#This Row],[DESCONTO]]+LANÇ_MOV[[#This Row],[JUROS]]+LANÇ_MOV[[#This Row],[MULTA]]</f>
        <v>375.14</v>
      </c>
      <c r="O295" s="528">
        <v>45708</v>
      </c>
      <c r="P295" s="516" t="str">
        <f t="shared" ca="1" si="4"/>
        <v>Venceu</v>
      </c>
      <c r="Q295" s="528"/>
      <c r="R295" s="529" t="s">
        <v>1506</v>
      </c>
      <c r="S295" s="518"/>
      <c r="T295" s="518" t="s">
        <v>1776</v>
      </c>
      <c r="U295" s="519" t="s">
        <v>2007</v>
      </c>
      <c r="V295" s="520" t="str">
        <f>IFERROR(VLOOKUP(LANÇ_MOV[[#This Row],[PLANO DE CONTAS]],Plano_Contas[[PLANO DE CONTAS]:[R / D]],3,0),"")</f>
        <v>Despesa</v>
      </c>
      <c r="W295" s="521" t="str">
        <f>IF(LANÇ_MOV[[#This Row],[DATA DE PAGAMENTO]]&lt;&gt;"","Pago","Não Pago")</f>
        <v>Não Pago</v>
      </c>
      <c r="X295" s="522" t="str">
        <f>IFERROR(IF(LANÇ_MOV[[#This Row],[DATA DE PAGAMENTO]]="","",(UPPER(TEXT(LANÇ_MOV[[#This Row],[DATA DE PAGAMENTO]],"mmmm")))),"")</f>
        <v/>
      </c>
      <c r="Y295" s="523" t="str">
        <f>IFERROR(VLOOKUP(LANÇ_MOV[[#This Row],[PLANO DE CONTAS]],Plano_Contas[[PLANO DE CONTAS]:[NOMES INTERVALOS]],2,0),"")</f>
        <v>Despesas_Endividamentos</v>
      </c>
      <c r="Z295" s="523" t="str">
        <f>IF(LANÇ_MOV[[#This Row],[FORMA DE PAGAMENTO]]="","",VLOOKUP(LANÇ_MOV[[#This Row],[FORMA DE PAGAMENTO]],CAD_Forma_pagto[],2,0))</f>
        <v>BOLETO</v>
      </c>
      <c r="AA295" s="524" t="str">
        <f>IF(LANÇ_MOV[[#This Row],[DATA DE LANÇAMENTO]]="","",TEXT(LANÇ_MOV[[#This Row],[DATA DE LANÇAMENTO]],"AAAA"))</f>
        <v>2025</v>
      </c>
      <c r="AB295" s="524" t="str">
        <f>IF(LANÇ_MOV[[#This Row],[DATA DE LANÇAMENTO]]="","",UPPER(TEXT(LANÇ_MOV[[#This Row],[DATA DE LANÇAMENTO]],"MMMM")))</f>
        <v>OUTUBRO</v>
      </c>
      <c r="AC295" s="525" t="str">
        <f>IF(LANÇ_MOV[[#This Row],[DATA DE LANÇAMENTO]]="","",PROPER(TEXT(LANÇ_MOV[[#This Row],[DATA DE LANÇAMENTO]],"M")))</f>
        <v>10</v>
      </c>
      <c r="AD295" s="524" t="str">
        <f>IF(LANÇ_MOV[[#This Row],[DATA DE LANÇAMENTO]]="","",TEXT(LANÇ_MOV[[#This Row],[DATA DE LANÇAMENTO]],"D"))</f>
        <v>1</v>
      </c>
      <c r="AE295" s="526" t="str">
        <f>IF(LANÇ_MOV[[#This Row],[DATA DE VENCIMENTO]]="","",TEXT(LANÇ_MOV[[#This Row],[DATA DE VENCIMENTO]],"AAAA"))</f>
        <v>2025</v>
      </c>
      <c r="AF295" s="526" t="str">
        <f>IF(LANÇ_MOV[[#This Row],[DATA DE VENCIMENTO]]="","",UPPER(TEXT(LANÇ_MOV[[#This Row],[DATA DE VENCIMENTO]],"MMMM")))</f>
        <v>FEVEREIRO</v>
      </c>
      <c r="AG295" s="526" t="str">
        <f>IF(LANÇ_MOV[[#This Row],[DATA DE VENCIMENTO]]="","",TEXT(LANÇ_MOV[[#This Row],[DATA DE VENCIMENTO]],"M"))</f>
        <v>2</v>
      </c>
      <c r="AH295" s="526" t="str">
        <f>IF(LANÇ_MOV[[#This Row],[DATA DE VENCIMENTO]]="","",TEXT(LANÇ_MOV[[#This Row],[DATA DE VENCIMENTO]],"D"))</f>
        <v>20</v>
      </c>
      <c r="AI295" s="526" t="str">
        <f>IF(LANÇ_MOV[[#This Row],[DATA DE PAGAMENTO]]="","",TEXT(LANÇ_MOV[[#This Row],[DATA DE PAGAMENTO]],"AAAA"))</f>
        <v/>
      </c>
      <c r="AJ295" s="527" t="str">
        <f>IF(LANÇ_MOV[[#This Row],[DATA DE PAGAMENTO]]="","",UPPER(TEXT(LANÇ_MOV[[#This Row],[DATA DE PAGAMENTO]],"MMMM")))</f>
        <v/>
      </c>
      <c r="AK295" s="527" t="str">
        <f>IF(LANÇ_MOV[[#This Row],[DATA DE PAGAMENTO]]="","",TEXT(LANÇ_MOV[[#This Row],[DATA DE PAGAMENTO]],"M"))</f>
        <v/>
      </c>
      <c r="AL295" s="526" t="str">
        <f>IF(LANÇ_MOV[[#This Row],[DATA DE PAGAMENTO]]="","",TEXT(LANÇ_MOV[[#This Row],[DATA DE PAGAMENTO]],"D"))</f>
        <v/>
      </c>
      <c r="AM295" s="27"/>
      <c r="BB295" s="112"/>
      <c r="BC295" s="112"/>
      <c r="BD295" s="112"/>
    </row>
    <row r="296" spans="2:56" ht="30.05" customHeight="1" x14ac:dyDescent="0.35">
      <c r="B296" s="506">
        <v>45931</v>
      </c>
      <c r="C296" s="507" t="s">
        <v>1661</v>
      </c>
      <c r="D296" s="508" t="s">
        <v>1854</v>
      </c>
      <c r="E296" s="509" t="s">
        <v>1440</v>
      </c>
      <c r="F296" s="510" t="s">
        <v>1840</v>
      </c>
      <c r="G296" s="507" t="s">
        <v>1919</v>
      </c>
      <c r="H296" s="511"/>
      <c r="I296" s="512" t="s">
        <v>1760</v>
      </c>
      <c r="J296" s="510">
        <v>230.11</v>
      </c>
      <c r="K296" s="513">
        <v>0</v>
      </c>
      <c r="L296" s="513">
        <v>37.200000000000003</v>
      </c>
      <c r="M296" s="513">
        <v>4.74</v>
      </c>
      <c r="N296" s="514">
        <f>LANÇ_MOV[[#This Row],[VALOR BRUTO]]-LANÇ_MOV[[#This Row],[DESCONTO]]+LANÇ_MOV[[#This Row],[JUROS]]+LANÇ_MOV[[#This Row],[MULTA]]</f>
        <v>272.05</v>
      </c>
      <c r="O296" s="528">
        <v>45736</v>
      </c>
      <c r="P296" s="516" t="str">
        <f t="shared" ca="1" si="4"/>
        <v>Venceu</v>
      </c>
      <c r="Q296" s="528"/>
      <c r="R296" s="529" t="s">
        <v>1506</v>
      </c>
      <c r="S296" s="518"/>
      <c r="T296" s="518" t="s">
        <v>1776</v>
      </c>
      <c r="U296" s="519" t="s">
        <v>2007</v>
      </c>
      <c r="V296" s="520" t="str">
        <f>IFERROR(VLOOKUP(LANÇ_MOV[[#This Row],[PLANO DE CONTAS]],Plano_Contas[[PLANO DE CONTAS]:[R / D]],3,0),"")</f>
        <v>Despesa</v>
      </c>
      <c r="W296" s="521" t="str">
        <f>IF(LANÇ_MOV[[#This Row],[DATA DE PAGAMENTO]]&lt;&gt;"","Pago","Não Pago")</f>
        <v>Não Pago</v>
      </c>
      <c r="X296" s="522" t="str">
        <f>IFERROR(IF(LANÇ_MOV[[#This Row],[DATA DE PAGAMENTO]]="","",(UPPER(TEXT(LANÇ_MOV[[#This Row],[DATA DE PAGAMENTO]],"mmmm")))),"")</f>
        <v/>
      </c>
      <c r="Y296" s="523" t="str">
        <f>IFERROR(VLOOKUP(LANÇ_MOV[[#This Row],[PLANO DE CONTAS]],Plano_Contas[[PLANO DE CONTAS]:[NOMES INTERVALOS]],2,0),"")</f>
        <v>Despesas_Endividamentos</v>
      </c>
      <c r="Z296" s="523" t="str">
        <f>IF(LANÇ_MOV[[#This Row],[FORMA DE PAGAMENTO]]="","",VLOOKUP(LANÇ_MOV[[#This Row],[FORMA DE PAGAMENTO]],CAD_Forma_pagto[],2,0))</f>
        <v>BOLETO</v>
      </c>
      <c r="AA296" s="524" t="str">
        <f>IF(LANÇ_MOV[[#This Row],[DATA DE LANÇAMENTO]]="","",TEXT(LANÇ_MOV[[#This Row],[DATA DE LANÇAMENTO]],"AAAA"))</f>
        <v>2025</v>
      </c>
      <c r="AB296" s="524" t="str">
        <f>IF(LANÇ_MOV[[#This Row],[DATA DE LANÇAMENTO]]="","",UPPER(TEXT(LANÇ_MOV[[#This Row],[DATA DE LANÇAMENTO]],"MMMM")))</f>
        <v>OUTUBRO</v>
      </c>
      <c r="AC296" s="525" t="str">
        <f>IF(LANÇ_MOV[[#This Row],[DATA DE LANÇAMENTO]]="","",PROPER(TEXT(LANÇ_MOV[[#This Row],[DATA DE LANÇAMENTO]],"M")))</f>
        <v>10</v>
      </c>
      <c r="AD296" s="524" t="str">
        <f>IF(LANÇ_MOV[[#This Row],[DATA DE LANÇAMENTO]]="","",TEXT(LANÇ_MOV[[#This Row],[DATA DE LANÇAMENTO]],"D"))</f>
        <v>1</v>
      </c>
      <c r="AE296" s="526" t="str">
        <f>IF(LANÇ_MOV[[#This Row],[DATA DE VENCIMENTO]]="","",TEXT(LANÇ_MOV[[#This Row],[DATA DE VENCIMENTO]],"AAAA"))</f>
        <v>2025</v>
      </c>
      <c r="AF296" s="526" t="str">
        <f>IF(LANÇ_MOV[[#This Row],[DATA DE VENCIMENTO]]="","",UPPER(TEXT(LANÇ_MOV[[#This Row],[DATA DE VENCIMENTO]],"MMMM")))</f>
        <v>MARÇO</v>
      </c>
      <c r="AG296" s="526" t="str">
        <f>IF(LANÇ_MOV[[#This Row],[DATA DE VENCIMENTO]]="","",TEXT(LANÇ_MOV[[#This Row],[DATA DE VENCIMENTO]],"M"))</f>
        <v>3</v>
      </c>
      <c r="AH296" s="526" t="str">
        <f>IF(LANÇ_MOV[[#This Row],[DATA DE VENCIMENTO]]="","",TEXT(LANÇ_MOV[[#This Row],[DATA DE VENCIMENTO]],"D"))</f>
        <v>20</v>
      </c>
      <c r="AI296" s="526" t="str">
        <f>IF(LANÇ_MOV[[#This Row],[DATA DE PAGAMENTO]]="","",TEXT(LANÇ_MOV[[#This Row],[DATA DE PAGAMENTO]],"AAAA"))</f>
        <v/>
      </c>
      <c r="AJ296" s="527" t="str">
        <f>IF(LANÇ_MOV[[#This Row],[DATA DE PAGAMENTO]]="","",UPPER(TEXT(LANÇ_MOV[[#This Row],[DATA DE PAGAMENTO]],"MMMM")))</f>
        <v/>
      </c>
      <c r="AK296" s="527" t="str">
        <f>IF(LANÇ_MOV[[#This Row],[DATA DE PAGAMENTO]]="","",TEXT(LANÇ_MOV[[#This Row],[DATA DE PAGAMENTO]],"M"))</f>
        <v/>
      </c>
      <c r="AL296" s="526" t="str">
        <f>IF(LANÇ_MOV[[#This Row],[DATA DE PAGAMENTO]]="","",TEXT(LANÇ_MOV[[#This Row],[DATA DE PAGAMENTO]],"D"))</f>
        <v/>
      </c>
      <c r="AM296" s="27"/>
      <c r="BB296" s="112"/>
      <c r="BC296" s="112"/>
      <c r="BD296" s="112"/>
    </row>
    <row r="297" spans="2:56" ht="30.05" customHeight="1" x14ac:dyDescent="0.35">
      <c r="B297" s="506">
        <v>45931</v>
      </c>
      <c r="C297" s="507" t="s">
        <v>1661</v>
      </c>
      <c r="D297" s="508" t="s">
        <v>1854</v>
      </c>
      <c r="E297" s="509" t="s">
        <v>1440</v>
      </c>
      <c r="F297" s="510" t="s">
        <v>1840</v>
      </c>
      <c r="G297" s="507" t="s">
        <v>1920</v>
      </c>
      <c r="H297" s="511"/>
      <c r="I297" s="512" t="s">
        <v>1760</v>
      </c>
      <c r="J297" s="510">
        <v>180.36</v>
      </c>
      <c r="K297" s="513">
        <v>0</v>
      </c>
      <c r="L297" s="513">
        <v>10.11</v>
      </c>
      <c r="M297" s="513">
        <v>1.8</v>
      </c>
      <c r="N297" s="514">
        <f>LANÇ_MOV[[#This Row],[VALOR BRUTO]]-LANÇ_MOV[[#This Row],[DESCONTO]]+LANÇ_MOV[[#This Row],[JUROS]]+LANÇ_MOV[[#This Row],[MULTA]]</f>
        <v>192.27000000000004</v>
      </c>
      <c r="O297" s="528">
        <v>45764</v>
      </c>
      <c r="P297" s="516" t="str">
        <f t="shared" ca="1" si="4"/>
        <v>Venceu</v>
      </c>
      <c r="Q297" s="528"/>
      <c r="R297" s="529" t="s">
        <v>1506</v>
      </c>
      <c r="S297" s="518"/>
      <c r="T297" s="518" t="s">
        <v>1776</v>
      </c>
      <c r="U297" s="519" t="s">
        <v>2007</v>
      </c>
      <c r="V297" s="520" t="str">
        <f>IFERROR(VLOOKUP(LANÇ_MOV[[#This Row],[PLANO DE CONTAS]],Plano_Contas[[PLANO DE CONTAS]:[R / D]],3,0),"")</f>
        <v>Despesa</v>
      </c>
      <c r="W297" s="521" t="str">
        <f>IF(LANÇ_MOV[[#This Row],[DATA DE PAGAMENTO]]&lt;&gt;"","Pago","Não Pago")</f>
        <v>Não Pago</v>
      </c>
      <c r="X297" s="522" t="str">
        <f>IFERROR(IF(LANÇ_MOV[[#This Row],[DATA DE PAGAMENTO]]="","",(UPPER(TEXT(LANÇ_MOV[[#This Row],[DATA DE PAGAMENTO]],"mmmm")))),"")</f>
        <v/>
      </c>
      <c r="Y297" s="523" t="str">
        <f>IFERROR(VLOOKUP(LANÇ_MOV[[#This Row],[PLANO DE CONTAS]],Plano_Contas[[PLANO DE CONTAS]:[NOMES INTERVALOS]],2,0),"")</f>
        <v>Despesas_Endividamentos</v>
      </c>
      <c r="Z297" s="523" t="str">
        <f>IF(LANÇ_MOV[[#This Row],[FORMA DE PAGAMENTO]]="","",VLOOKUP(LANÇ_MOV[[#This Row],[FORMA DE PAGAMENTO]],CAD_Forma_pagto[],2,0))</f>
        <v>BOLETO</v>
      </c>
      <c r="AA297" s="524" t="str">
        <f>IF(LANÇ_MOV[[#This Row],[DATA DE LANÇAMENTO]]="","",TEXT(LANÇ_MOV[[#This Row],[DATA DE LANÇAMENTO]],"AAAA"))</f>
        <v>2025</v>
      </c>
      <c r="AB297" s="524" t="str">
        <f>IF(LANÇ_MOV[[#This Row],[DATA DE LANÇAMENTO]]="","",UPPER(TEXT(LANÇ_MOV[[#This Row],[DATA DE LANÇAMENTO]],"MMMM")))</f>
        <v>OUTUBRO</v>
      </c>
      <c r="AC297" s="525" t="str">
        <f>IF(LANÇ_MOV[[#This Row],[DATA DE LANÇAMENTO]]="","",PROPER(TEXT(LANÇ_MOV[[#This Row],[DATA DE LANÇAMENTO]],"M")))</f>
        <v>10</v>
      </c>
      <c r="AD297" s="524" t="str">
        <f>IF(LANÇ_MOV[[#This Row],[DATA DE LANÇAMENTO]]="","",TEXT(LANÇ_MOV[[#This Row],[DATA DE LANÇAMENTO]],"D"))</f>
        <v>1</v>
      </c>
      <c r="AE297" s="526" t="str">
        <f>IF(LANÇ_MOV[[#This Row],[DATA DE VENCIMENTO]]="","",TEXT(LANÇ_MOV[[#This Row],[DATA DE VENCIMENTO]],"AAAA"))</f>
        <v>2025</v>
      </c>
      <c r="AF297" s="526" t="str">
        <f>IF(LANÇ_MOV[[#This Row],[DATA DE VENCIMENTO]]="","",UPPER(TEXT(LANÇ_MOV[[#This Row],[DATA DE VENCIMENTO]],"MMMM")))</f>
        <v>ABRIL</v>
      </c>
      <c r="AG297" s="526" t="str">
        <f>IF(LANÇ_MOV[[#This Row],[DATA DE VENCIMENTO]]="","",TEXT(LANÇ_MOV[[#This Row],[DATA DE VENCIMENTO]],"M"))</f>
        <v>4</v>
      </c>
      <c r="AH297" s="526" t="str">
        <f>IF(LANÇ_MOV[[#This Row],[DATA DE VENCIMENTO]]="","",TEXT(LANÇ_MOV[[#This Row],[DATA DE VENCIMENTO]],"D"))</f>
        <v>17</v>
      </c>
      <c r="AI297" s="526" t="str">
        <f>IF(LANÇ_MOV[[#This Row],[DATA DE PAGAMENTO]]="","",TEXT(LANÇ_MOV[[#This Row],[DATA DE PAGAMENTO]],"AAAA"))</f>
        <v/>
      </c>
      <c r="AJ297" s="527" t="str">
        <f>IF(LANÇ_MOV[[#This Row],[DATA DE PAGAMENTO]]="","",UPPER(TEXT(LANÇ_MOV[[#This Row],[DATA DE PAGAMENTO]],"MMMM")))</f>
        <v/>
      </c>
      <c r="AK297" s="527" t="str">
        <f>IF(LANÇ_MOV[[#This Row],[DATA DE PAGAMENTO]]="","",TEXT(LANÇ_MOV[[#This Row],[DATA DE PAGAMENTO]],"M"))</f>
        <v/>
      </c>
      <c r="AL297" s="526" t="str">
        <f>IF(LANÇ_MOV[[#This Row],[DATA DE PAGAMENTO]]="","",TEXT(LANÇ_MOV[[#This Row],[DATA DE PAGAMENTO]],"D"))</f>
        <v/>
      </c>
      <c r="AM297" s="27"/>
      <c r="BB297" s="112"/>
      <c r="BC297" s="112"/>
      <c r="BD297" s="112"/>
    </row>
    <row r="298" spans="2:56" ht="30.05" customHeight="1" x14ac:dyDescent="0.35">
      <c r="B298" s="506">
        <v>45931</v>
      </c>
      <c r="C298" s="507" t="s">
        <v>1661</v>
      </c>
      <c r="D298" s="508" t="s">
        <v>1854</v>
      </c>
      <c r="E298" s="509" t="s">
        <v>1440</v>
      </c>
      <c r="F298" s="510" t="s">
        <v>1840</v>
      </c>
      <c r="G298" s="507">
        <v>2024</v>
      </c>
      <c r="H298" s="511"/>
      <c r="I298" s="512" t="s">
        <v>1760</v>
      </c>
      <c r="J298" s="510">
        <v>240.71</v>
      </c>
      <c r="K298" s="513">
        <v>0</v>
      </c>
      <c r="L298" s="513">
        <v>48.14</v>
      </c>
      <c r="M298" s="513">
        <v>12.08</v>
      </c>
      <c r="N298" s="514">
        <f>LANÇ_MOV[[#This Row],[VALOR BRUTO]]-LANÇ_MOV[[#This Row],[DESCONTO]]+LANÇ_MOV[[#This Row],[JUROS]]+LANÇ_MOV[[#This Row],[MULTA]]</f>
        <v>300.93</v>
      </c>
      <c r="O298" s="528">
        <v>45646</v>
      </c>
      <c r="P298" s="516" t="str">
        <f t="shared" ca="1" si="4"/>
        <v>Venceu</v>
      </c>
      <c r="Q298" s="528"/>
      <c r="R298" s="529" t="s">
        <v>1506</v>
      </c>
      <c r="S298" s="518"/>
      <c r="T298" s="518" t="s">
        <v>1776</v>
      </c>
      <c r="U298" s="519" t="s">
        <v>2007</v>
      </c>
      <c r="V298" s="520" t="str">
        <f>IFERROR(VLOOKUP(LANÇ_MOV[[#This Row],[PLANO DE CONTAS]],Plano_Contas[[PLANO DE CONTAS]:[R / D]],3,0),"")</f>
        <v>Despesa</v>
      </c>
      <c r="W298" s="521" t="str">
        <f>IF(LANÇ_MOV[[#This Row],[DATA DE PAGAMENTO]]&lt;&gt;"","Pago","Não Pago")</f>
        <v>Não Pago</v>
      </c>
      <c r="X298" s="522" t="str">
        <f>IFERROR(IF(LANÇ_MOV[[#This Row],[DATA DE PAGAMENTO]]="","",(UPPER(TEXT(LANÇ_MOV[[#This Row],[DATA DE PAGAMENTO]],"mmmm")))),"")</f>
        <v/>
      </c>
      <c r="Y298" s="523" t="str">
        <f>IFERROR(VLOOKUP(LANÇ_MOV[[#This Row],[PLANO DE CONTAS]],Plano_Contas[[PLANO DE CONTAS]:[NOMES INTERVALOS]],2,0),"")</f>
        <v>Despesas_Endividamentos</v>
      </c>
      <c r="Z298" s="523" t="str">
        <f>IF(LANÇ_MOV[[#This Row],[FORMA DE PAGAMENTO]]="","",VLOOKUP(LANÇ_MOV[[#This Row],[FORMA DE PAGAMENTO]],CAD_Forma_pagto[],2,0))</f>
        <v>BOLETO</v>
      </c>
      <c r="AA298" s="524" t="str">
        <f>IF(LANÇ_MOV[[#This Row],[DATA DE LANÇAMENTO]]="","",TEXT(LANÇ_MOV[[#This Row],[DATA DE LANÇAMENTO]],"AAAA"))</f>
        <v>2025</v>
      </c>
      <c r="AB298" s="524" t="str">
        <f>IF(LANÇ_MOV[[#This Row],[DATA DE LANÇAMENTO]]="","",UPPER(TEXT(LANÇ_MOV[[#This Row],[DATA DE LANÇAMENTO]],"MMMM")))</f>
        <v>OUTUBRO</v>
      </c>
      <c r="AC298" s="525" t="str">
        <f>IF(LANÇ_MOV[[#This Row],[DATA DE LANÇAMENTO]]="","",PROPER(TEXT(LANÇ_MOV[[#This Row],[DATA DE LANÇAMENTO]],"M")))</f>
        <v>10</v>
      </c>
      <c r="AD298" s="524" t="str">
        <f>IF(LANÇ_MOV[[#This Row],[DATA DE LANÇAMENTO]]="","",TEXT(LANÇ_MOV[[#This Row],[DATA DE LANÇAMENTO]],"D"))</f>
        <v>1</v>
      </c>
      <c r="AE298" s="526" t="str">
        <f>IF(LANÇ_MOV[[#This Row],[DATA DE VENCIMENTO]]="","",TEXT(LANÇ_MOV[[#This Row],[DATA DE VENCIMENTO]],"AAAA"))</f>
        <v>2024</v>
      </c>
      <c r="AF298" s="526" t="str">
        <f>IF(LANÇ_MOV[[#This Row],[DATA DE VENCIMENTO]]="","",UPPER(TEXT(LANÇ_MOV[[#This Row],[DATA DE VENCIMENTO]],"MMMM")))</f>
        <v>DEZEMBRO</v>
      </c>
      <c r="AG298" s="526" t="str">
        <f>IF(LANÇ_MOV[[#This Row],[DATA DE VENCIMENTO]]="","",TEXT(LANÇ_MOV[[#This Row],[DATA DE VENCIMENTO]],"M"))</f>
        <v>12</v>
      </c>
      <c r="AH298" s="526" t="str">
        <f>IF(LANÇ_MOV[[#This Row],[DATA DE VENCIMENTO]]="","",TEXT(LANÇ_MOV[[#This Row],[DATA DE VENCIMENTO]],"D"))</f>
        <v>20</v>
      </c>
      <c r="AI298" s="526" t="str">
        <f>IF(LANÇ_MOV[[#This Row],[DATA DE PAGAMENTO]]="","",TEXT(LANÇ_MOV[[#This Row],[DATA DE PAGAMENTO]],"AAAA"))</f>
        <v/>
      </c>
      <c r="AJ298" s="527" t="str">
        <f>IF(LANÇ_MOV[[#This Row],[DATA DE PAGAMENTO]]="","",UPPER(TEXT(LANÇ_MOV[[#This Row],[DATA DE PAGAMENTO]],"MMMM")))</f>
        <v/>
      </c>
      <c r="AK298" s="527" t="str">
        <f>IF(LANÇ_MOV[[#This Row],[DATA DE PAGAMENTO]]="","",TEXT(LANÇ_MOV[[#This Row],[DATA DE PAGAMENTO]],"M"))</f>
        <v/>
      </c>
      <c r="AL298" s="526" t="str">
        <f>IF(LANÇ_MOV[[#This Row],[DATA DE PAGAMENTO]]="","",TEXT(LANÇ_MOV[[#This Row],[DATA DE PAGAMENTO]],"D"))</f>
        <v/>
      </c>
      <c r="AM298" s="27"/>
      <c r="BB298" s="112"/>
      <c r="BC298" s="112"/>
      <c r="BD298" s="112"/>
    </row>
    <row r="299" spans="2:56" ht="30.05" customHeight="1" x14ac:dyDescent="0.35">
      <c r="B299" s="506">
        <v>45931</v>
      </c>
      <c r="C299" s="507" t="s">
        <v>1661</v>
      </c>
      <c r="D299" s="508" t="s">
        <v>1854</v>
      </c>
      <c r="E299" s="509" t="s">
        <v>1440</v>
      </c>
      <c r="F299" s="510" t="s">
        <v>1840</v>
      </c>
      <c r="G299" s="507" t="s">
        <v>1912</v>
      </c>
      <c r="H299" s="511"/>
      <c r="I299" s="512" t="s">
        <v>1760</v>
      </c>
      <c r="J299" s="510">
        <v>26.32</v>
      </c>
      <c r="K299" s="513">
        <v>0</v>
      </c>
      <c r="L299" s="513">
        <v>5.26</v>
      </c>
      <c r="M299" s="513">
        <v>2.46</v>
      </c>
      <c r="N299" s="514">
        <f>LANÇ_MOV[[#This Row],[VALOR BRUTO]]-LANÇ_MOV[[#This Row],[DESCONTO]]+LANÇ_MOV[[#This Row],[JUROS]]+LANÇ_MOV[[#This Row],[MULTA]]</f>
        <v>34.04</v>
      </c>
      <c r="O299" s="528">
        <v>45492</v>
      </c>
      <c r="P299" s="516" t="str">
        <f t="shared" ca="1" si="4"/>
        <v>Venceu</v>
      </c>
      <c r="Q299" s="528"/>
      <c r="R299" s="529" t="s">
        <v>1506</v>
      </c>
      <c r="S299" s="518"/>
      <c r="T299" s="518" t="s">
        <v>1776</v>
      </c>
      <c r="U299" s="519" t="s">
        <v>2007</v>
      </c>
      <c r="V299" s="520" t="str">
        <f>IFERROR(VLOOKUP(LANÇ_MOV[[#This Row],[PLANO DE CONTAS]],Plano_Contas[[PLANO DE CONTAS]:[R / D]],3,0),"")</f>
        <v>Despesa</v>
      </c>
      <c r="W299" s="521" t="str">
        <f>IF(LANÇ_MOV[[#This Row],[DATA DE PAGAMENTO]]&lt;&gt;"","Pago","Não Pago")</f>
        <v>Não Pago</v>
      </c>
      <c r="X299" s="522" t="str">
        <f>IFERROR(IF(LANÇ_MOV[[#This Row],[DATA DE PAGAMENTO]]="","",(UPPER(TEXT(LANÇ_MOV[[#This Row],[DATA DE PAGAMENTO]],"mmmm")))),"")</f>
        <v/>
      </c>
      <c r="Y299" s="523" t="str">
        <f>IFERROR(VLOOKUP(LANÇ_MOV[[#This Row],[PLANO DE CONTAS]],Plano_Contas[[PLANO DE CONTAS]:[NOMES INTERVALOS]],2,0),"")</f>
        <v>Despesas_Endividamentos</v>
      </c>
      <c r="Z299" s="523" t="str">
        <f>IF(LANÇ_MOV[[#This Row],[FORMA DE PAGAMENTO]]="","",VLOOKUP(LANÇ_MOV[[#This Row],[FORMA DE PAGAMENTO]],CAD_Forma_pagto[],2,0))</f>
        <v>BOLETO</v>
      </c>
      <c r="AA299" s="524" t="str">
        <f>IF(LANÇ_MOV[[#This Row],[DATA DE LANÇAMENTO]]="","",TEXT(LANÇ_MOV[[#This Row],[DATA DE LANÇAMENTO]],"AAAA"))</f>
        <v>2025</v>
      </c>
      <c r="AB299" s="524" t="str">
        <f>IF(LANÇ_MOV[[#This Row],[DATA DE LANÇAMENTO]]="","",UPPER(TEXT(LANÇ_MOV[[#This Row],[DATA DE LANÇAMENTO]],"MMMM")))</f>
        <v>OUTUBRO</v>
      </c>
      <c r="AC299" s="525" t="str">
        <f>IF(LANÇ_MOV[[#This Row],[DATA DE LANÇAMENTO]]="","",PROPER(TEXT(LANÇ_MOV[[#This Row],[DATA DE LANÇAMENTO]],"M")))</f>
        <v>10</v>
      </c>
      <c r="AD299" s="524" t="str">
        <f>IF(LANÇ_MOV[[#This Row],[DATA DE LANÇAMENTO]]="","",TEXT(LANÇ_MOV[[#This Row],[DATA DE LANÇAMENTO]],"D"))</f>
        <v>1</v>
      </c>
      <c r="AE299" s="526" t="str">
        <f>IF(LANÇ_MOV[[#This Row],[DATA DE VENCIMENTO]]="","",TEXT(LANÇ_MOV[[#This Row],[DATA DE VENCIMENTO]],"AAAA"))</f>
        <v>2024</v>
      </c>
      <c r="AF299" s="526" t="str">
        <f>IF(LANÇ_MOV[[#This Row],[DATA DE VENCIMENTO]]="","",UPPER(TEXT(LANÇ_MOV[[#This Row],[DATA DE VENCIMENTO]],"MMMM")))</f>
        <v>JULHO</v>
      </c>
      <c r="AG299" s="526" t="str">
        <f>IF(LANÇ_MOV[[#This Row],[DATA DE VENCIMENTO]]="","",TEXT(LANÇ_MOV[[#This Row],[DATA DE VENCIMENTO]],"M"))</f>
        <v>7</v>
      </c>
      <c r="AH299" s="526" t="str">
        <f>IF(LANÇ_MOV[[#This Row],[DATA DE VENCIMENTO]]="","",TEXT(LANÇ_MOV[[#This Row],[DATA DE VENCIMENTO]],"D"))</f>
        <v>19</v>
      </c>
      <c r="AI299" s="526" t="str">
        <f>IF(LANÇ_MOV[[#This Row],[DATA DE PAGAMENTO]]="","",TEXT(LANÇ_MOV[[#This Row],[DATA DE PAGAMENTO]],"AAAA"))</f>
        <v/>
      </c>
      <c r="AJ299" s="527" t="str">
        <f>IF(LANÇ_MOV[[#This Row],[DATA DE PAGAMENTO]]="","",UPPER(TEXT(LANÇ_MOV[[#This Row],[DATA DE PAGAMENTO]],"MMMM")))</f>
        <v/>
      </c>
      <c r="AK299" s="527" t="str">
        <f>IF(LANÇ_MOV[[#This Row],[DATA DE PAGAMENTO]]="","",TEXT(LANÇ_MOV[[#This Row],[DATA DE PAGAMENTO]],"M"))</f>
        <v/>
      </c>
      <c r="AL299" s="526" t="str">
        <f>IF(LANÇ_MOV[[#This Row],[DATA DE PAGAMENTO]]="","",TEXT(LANÇ_MOV[[#This Row],[DATA DE PAGAMENTO]],"D"))</f>
        <v/>
      </c>
      <c r="AM299" s="27"/>
      <c r="BB299" s="112"/>
      <c r="BC299" s="112"/>
      <c r="BD299" s="112"/>
    </row>
    <row r="300" spans="2:56" ht="30.05" customHeight="1" x14ac:dyDescent="0.35">
      <c r="B300" s="506">
        <v>45931</v>
      </c>
      <c r="C300" s="507" t="s">
        <v>1661</v>
      </c>
      <c r="D300" s="508" t="s">
        <v>1854</v>
      </c>
      <c r="E300" s="509" t="s">
        <v>1440</v>
      </c>
      <c r="F300" s="510" t="s">
        <v>1840</v>
      </c>
      <c r="G300" s="507" t="s">
        <v>1913</v>
      </c>
      <c r="H300" s="511"/>
      <c r="I300" s="512" t="s">
        <v>1760</v>
      </c>
      <c r="J300" s="510">
        <v>20.87</v>
      </c>
      <c r="K300" s="513">
        <v>0</v>
      </c>
      <c r="L300" s="513">
        <v>4.17</v>
      </c>
      <c r="M300" s="513">
        <v>1.77</v>
      </c>
      <c r="N300" s="514">
        <f>LANÇ_MOV[[#This Row],[VALOR BRUTO]]-LANÇ_MOV[[#This Row],[DESCONTO]]+LANÇ_MOV[[#This Row],[JUROS]]+LANÇ_MOV[[#This Row],[MULTA]]</f>
        <v>26.81</v>
      </c>
      <c r="O300" s="528">
        <v>45524</v>
      </c>
      <c r="P300" s="516" t="str">
        <f t="shared" ca="1" si="4"/>
        <v>Venceu</v>
      </c>
      <c r="Q300" s="528"/>
      <c r="R300" s="529" t="s">
        <v>1506</v>
      </c>
      <c r="S300" s="518"/>
      <c r="T300" s="518" t="s">
        <v>1776</v>
      </c>
      <c r="U300" s="519" t="s">
        <v>2007</v>
      </c>
      <c r="V300" s="520" t="str">
        <f>IFERROR(VLOOKUP(LANÇ_MOV[[#This Row],[PLANO DE CONTAS]],Plano_Contas[[PLANO DE CONTAS]:[R / D]],3,0),"")</f>
        <v>Despesa</v>
      </c>
      <c r="W300" s="521" t="str">
        <f>IF(LANÇ_MOV[[#This Row],[DATA DE PAGAMENTO]]&lt;&gt;"","Pago","Não Pago")</f>
        <v>Não Pago</v>
      </c>
      <c r="X300" s="522" t="str">
        <f>IFERROR(IF(LANÇ_MOV[[#This Row],[DATA DE PAGAMENTO]]="","",(UPPER(TEXT(LANÇ_MOV[[#This Row],[DATA DE PAGAMENTO]],"mmmm")))),"")</f>
        <v/>
      </c>
      <c r="Y300" s="523" t="str">
        <f>IFERROR(VLOOKUP(LANÇ_MOV[[#This Row],[PLANO DE CONTAS]],Plano_Contas[[PLANO DE CONTAS]:[NOMES INTERVALOS]],2,0),"")</f>
        <v>Despesas_Endividamentos</v>
      </c>
      <c r="Z300" s="523" t="str">
        <f>IF(LANÇ_MOV[[#This Row],[FORMA DE PAGAMENTO]]="","",VLOOKUP(LANÇ_MOV[[#This Row],[FORMA DE PAGAMENTO]],CAD_Forma_pagto[],2,0))</f>
        <v>BOLETO</v>
      </c>
      <c r="AA300" s="524" t="str">
        <f>IF(LANÇ_MOV[[#This Row],[DATA DE LANÇAMENTO]]="","",TEXT(LANÇ_MOV[[#This Row],[DATA DE LANÇAMENTO]],"AAAA"))</f>
        <v>2025</v>
      </c>
      <c r="AB300" s="524" t="str">
        <f>IF(LANÇ_MOV[[#This Row],[DATA DE LANÇAMENTO]]="","",UPPER(TEXT(LANÇ_MOV[[#This Row],[DATA DE LANÇAMENTO]],"MMMM")))</f>
        <v>OUTUBRO</v>
      </c>
      <c r="AC300" s="525" t="str">
        <f>IF(LANÇ_MOV[[#This Row],[DATA DE LANÇAMENTO]]="","",PROPER(TEXT(LANÇ_MOV[[#This Row],[DATA DE LANÇAMENTO]],"M")))</f>
        <v>10</v>
      </c>
      <c r="AD300" s="524" t="str">
        <f>IF(LANÇ_MOV[[#This Row],[DATA DE LANÇAMENTO]]="","",TEXT(LANÇ_MOV[[#This Row],[DATA DE LANÇAMENTO]],"D"))</f>
        <v>1</v>
      </c>
      <c r="AE300" s="526" t="str">
        <f>IF(LANÇ_MOV[[#This Row],[DATA DE VENCIMENTO]]="","",TEXT(LANÇ_MOV[[#This Row],[DATA DE VENCIMENTO]],"AAAA"))</f>
        <v>2024</v>
      </c>
      <c r="AF300" s="526" t="str">
        <f>IF(LANÇ_MOV[[#This Row],[DATA DE VENCIMENTO]]="","",UPPER(TEXT(LANÇ_MOV[[#This Row],[DATA DE VENCIMENTO]],"MMMM")))</f>
        <v>AGOSTO</v>
      </c>
      <c r="AG300" s="526" t="str">
        <f>IF(LANÇ_MOV[[#This Row],[DATA DE VENCIMENTO]]="","",TEXT(LANÇ_MOV[[#This Row],[DATA DE VENCIMENTO]],"M"))</f>
        <v>8</v>
      </c>
      <c r="AH300" s="526" t="str">
        <f>IF(LANÇ_MOV[[#This Row],[DATA DE VENCIMENTO]]="","",TEXT(LANÇ_MOV[[#This Row],[DATA DE VENCIMENTO]],"D"))</f>
        <v>20</v>
      </c>
      <c r="AI300" s="526" t="str">
        <f>IF(LANÇ_MOV[[#This Row],[DATA DE PAGAMENTO]]="","",TEXT(LANÇ_MOV[[#This Row],[DATA DE PAGAMENTO]],"AAAA"))</f>
        <v/>
      </c>
      <c r="AJ300" s="527" t="str">
        <f>IF(LANÇ_MOV[[#This Row],[DATA DE PAGAMENTO]]="","",UPPER(TEXT(LANÇ_MOV[[#This Row],[DATA DE PAGAMENTO]],"MMMM")))</f>
        <v/>
      </c>
      <c r="AK300" s="527" t="str">
        <f>IF(LANÇ_MOV[[#This Row],[DATA DE PAGAMENTO]]="","",TEXT(LANÇ_MOV[[#This Row],[DATA DE PAGAMENTO]],"M"))</f>
        <v/>
      </c>
      <c r="AL300" s="526" t="str">
        <f>IF(LANÇ_MOV[[#This Row],[DATA DE PAGAMENTO]]="","",TEXT(LANÇ_MOV[[#This Row],[DATA DE PAGAMENTO]],"D"))</f>
        <v/>
      </c>
      <c r="AM300" s="27"/>
      <c r="BB300" s="112"/>
      <c r="BC300" s="112"/>
      <c r="BD300" s="112"/>
    </row>
    <row r="301" spans="2:56" ht="30.05" customHeight="1" x14ac:dyDescent="0.35">
      <c r="B301" s="506">
        <v>45931</v>
      </c>
      <c r="C301" s="507" t="s">
        <v>1661</v>
      </c>
      <c r="D301" s="508" t="s">
        <v>1854</v>
      </c>
      <c r="E301" s="509" t="s">
        <v>1440</v>
      </c>
      <c r="F301" s="510" t="s">
        <v>1840</v>
      </c>
      <c r="G301" s="507" t="s">
        <v>1914</v>
      </c>
      <c r="H301" s="511"/>
      <c r="I301" s="512" t="s">
        <v>1760</v>
      </c>
      <c r="J301" s="510">
        <v>30.29</v>
      </c>
      <c r="K301" s="513">
        <v>0</v>
      </c>
      <c r="L301" s="513">
        <v>6.05</v>
      </c>
      <c r="M301" s="513">
        <v>2.3199999999999998</v>
      </c>
      <c r="N301" s="514">
        <f>LANÇ_MOV[[#This Row],[VALOR BRUTO]]-LANÇ_MOV[[#This Row],[DESCONTO]]+LANÇ_MOV[[#This Row],[JUROS]]+LANÇ_MOV[[#This Row],[MULTA]]</f>
        <v>38.659999999999997</v>
      </c>
      <c r="O301" s="528">
        <v>45555</v>
      </c>
      <c r="P301" s="516" t="str">
        <f t="shared" ca="1" si="4"/>
        <v>Venceu</v>
      </c>
      <c r="Q301" s="528"/>
      <c r="R301" s="529" t="s">
        <v>1506</v>
      </c>
      <c r="S301" s="518"/>
      <c r="T301" s="518" t="s">
        <v>1776</v>
      </c>
      <c r="U301" s="519" t="s">
        <v>2007</v>
      </c>
      <c r="V301" s="520" t="str">
        <f>IFERROR(VLOOKUP(LANÇ_MOV[[#This Row],[PLANO DE CONTAS]],Plano_Contas[[PLANO DE CONTAS]:[R / D]],3,0),"")</f>
        <v>Despesa</v>
      </c>
      <c r="W301" s="521" t="str">
        <f>IF(LANÇ_MOV[[#This Row],[DATA DE PAGAMENTO]]&lt;&gt;"","Pago","Não Pago")</f>
        <v>Não Pago</v>
      </c>
      <c r="X301" s="522" t="str">
        <f>IFERROR(IF(LANÇ_MOV[[#This Row],[DATA DE PAGAMENTO]]="","",(UPPER(TEXT(LANÇ_MOV[[#This Row],[DATA DE PAGAMENTO]],"mmmm")))),"")</f>
        <v/>
      </c>
      <c r="Y301" s="523" t="str">
        <f>IFERROR(VLOOKUP(LANÇ_MOV[[#This Row],[PLANO DE CONTAS]],Plano_Contas[[PLANO DE CONTAS]:[NOMES INTERVALOS]],2,0),"")</f>
        <v>Despesas_Endividamentos</v>
      </c>
      <c r="Z301" s="523" t="str">
        <f>IF(LANÇ_MOV[[#This Row],[FORMA DE PAGAMENTO]]="","",VLOOKUP(LANÇ_MOV[[#This Row],[FORMA DE PAGAMENTO]],CAD_Forma_pagto[],2,0))</f>
        <v>BOLETO</v>
      </c>
      <c r="AA301" s="524" t="str">
        <f>IF(LANÇ_MOV[[#This Row],[DATA DE LANÇAMENTO]]="","",TEXT(LANÇ_MOV[[#This Row],[DATA DE LANÇAMENTO]],"AAAA"))</f>
        <v>2025</v>
      </c>
      <c r="AB301" s="524" t="str">
        <f>IF(LANÇ_MOV[[#This Row],[DATA DE LANÇAMENTO]]="","",UPPER(TEXT(LANÇ_MOV[[#This Row],[DATA DE LANÇAMENTO]],"MMMM")))</f>
        <v>OUTUBRO</v>
      </c>
      <c r="AC301" s="525" t="str">
        <f>IF(LANÇ_MOV[[#This Row],[DATA DE LANÇAMENTO]]="","",PROPER(TEXT(LANÇ_MOV[[#This Row],[DATA DE LANÇAMENTO]],"M")))</f>
        <v>10</v>
      </c>
      <c r="AD301" s="524" t="str">
        <f>IF(LANÇ_MOV[[#This Row],[DATA DE LANÇAMENTO]]="","",TEXT(LANÇ_MOV[[#This Row],[DATA DE LANÇAMENTO]],"D"))</f>
        <v>1</v>
      </c>
      <c r="AE301" s="526" t="str">
        <f>IF(LANÇ_MOV[[#This Row],[DATA DE VENCIMENTO]]="","",TEXT(LANÇ_MOV[[#This Row],[DATA DE VENCIMENTO]],"AAAA"))</f>
        <v>2024</v>
      </c>
      <c r="AF301" s="526" t="str">
        <f>IF(LANÇ_MOV[[#This Row],[DATA DE VENCIMENTO]]="","",UPPER(TEXT(LANÇ_MOV[[#This Row],[DATA DE VENCIMENTO]],"MMMM")))</f>
        <v>SETEMBRO</v>
      </c>
      <c r="AG301" s="526" t="str">
        <f>IF(LANÇ_MOV[[#This Row],[DATA DE VENCIMENTO]]="","",TEXT(LANÇ_MOV[[#This Row],[DATA DE VENCIMENTO]],"M"))</f>
        <v>9</v>
      </c>
      <c r="AH301" s="526" t="str">
        <f>IF(LANÇ_MOV[[#This Row],[DATA DE VENCIMENTO]]="","",TEXT(LANÇ_MOV[[#This Row],[DATA DE VENCIMENTO]],"D"))</f>
        <v>20</v>
      </c>
      <c r="AI301" s="526" t="str">
        <f>IF(LANÇ_MOV[[#This Row],[DATA DE PAGAMENTO]]="","",TEXT(LANÇ_MOV[[#This Row],[DATA DE PAGAMENTO]],"AAAA"))</f>
        <v/>
      </c>
      <c r="AJ301" s="527" t="str">
        <f>IF(LANÇ_MOV[[#This Row],[DATA DE PAGAMENTO]]="","",UPPER(TEXT(LANÇ_MOV[[#This Row],[DATA DE PAGAMENTO]],"MMMM")))</f>
        <v/>
      </c>
      <c r="AK301" s="527" t="str">
        <f>IF(LANÇ_MOV[[#This Row],[DATA DE PAGAMENTO]]="","",TEXT(LANÇ_MOV[[#This Row],[DATA DE PAGAMENTO]],"M"))</f>
        <v/>
      </c>
      <c r="AL301" s="526" t="str">
        <f>IF(LANÇ_MOV[[#This Row],[DATA DE PAGAMENTO]]="","",TEXT(LANÇ_MOV[[#This Row],[DATA DE PAGAMENTO]],"D"))</f>
        <v/>
      </c>
      <c r="AM301" s="27"/>
      <c r="BB301" s="112"/>
      <c r="BC301" s="112"/>
      <c r="BD301" s="112"/>
    </row>
    <row r="302" spans="2:56" ht="30.05" customHeight="1" x14ac:dyDescent="0.35">
      <c r="B302" s="506">
        <v>45931</v>
      </c>
      <c r="C302" s="507" t="s">
        <v>1661</v>
      </c>
      <c r="D302" s="508" t="s">
        <v>1854</v>
      </c>
      <c r="E302" s="509" t="s">
        <v>1440</v>
      </c>
      <c r="F302" s="510" t="s">
        <v>1840</v>
      </c>
      <c r="G302" s="507" t="s">
        <v>1915</v>
      </c>
      <c r="H302" s="511"/>
      <c r="I302" s="512" t="s">
        <v>1760</v>
      </c>
      <c r="J302" s="510">
        <v>30.32</v>
      </c>
      <c r="K302" s="513">
        <v>0</v>
      </c>
      <c r="L302" s="513">
        <v>6.06</v>
      </c>
      <c r="M302" s="513">
        <v>2.04</v>
      </c>
      <c r="N302" s="514">
        <f>LANÇ_MOV[[#This Row],[VALOR BRUTO]]-LANÇ_MOV[[#This Row],[DESCONTO]]+LANÇ_MOV[[#This Row],[JUROS]]+LANÇ_MOV[[#This Row],[MULTA]]</f>
        <v>38.42</v>
      </c>
      <c r="O302" s="528">
        <v>45583</v>
      </c>
      <c r="P302" s="516" t="str">
        <f t="shared" ca="1" si="4"/>
        <v>Venceu</v>
      </c>
      <c r="Q302" s="528"/>
      <c r="R302" s="529" t="s">
        <v>1506</v>
      </c>
      <c r="S302" s="518"/>
      <c r="T302" s="518" t="s">
        <v>1776</v>
      </c>
      <c r="U302" s="519" t="s">
        <v>2007</v>
      </c>
      <c r="V302" s="520" t="str">
        <f>IFERROR(VLOOKUP(LANÇ_MOV[[#This Row],[PLANO DE CONTAS]],Plano_Contas[[PLANO DE CONTAS]:[R / D]],3,0),"")</f>
        <v>Despesa</v>
      </c>
      <c r="W302" s="521" t="str">
        <f>IF(LANÇ_MOV[[#This Row],[DATA DE PAGAMENTO]]&lt;&gt;"","Pago","Não Pago")</f>
        <v>Não Pago</v>
      </c>
      <c r="X302" s="522" t="str">
        <f>IFERROR(IF(LANÇ_MOV[[#This Row],[DATA DE PAGAMENTO]]="","",(UPPER(TEXT(LANÇ_MOV[[#This Row],[DATA DE PAGAMENTO]],"mmmm")))),"")</f>
        <v/>
      </c>
      <c r="Y302" s="523" t="str">
        <f>IFERROR(VLOOKUP(LANÇ_MOV[[#This Row],[PLANO DE CONTAS]],Plano_Contas[[PLANO DE CONTAS]:[NOMES INTERVALOS]],2,0),"")</f>
        <v>Despesas_Endividamentos</v>
      </c>
      <c r="Z302" s="523" t="str">
        <f>IF(LANÇ_MOV[[#This Row],[FORMA DE PAGAMENTO]]="","",VLOOKUP(LANÇ_MOV[[#This Row],[FORMA DE PAGAMENTO]],CAD_Forma_pagto[],2,0))</f>
        <v>BOLETO</v>
      </c>
      <c r="AA302" s="524" t="str">
        <f>IF(LANÇ_MOV[[#This Row],[DATA DE LANÇAMENTO]]="","",TEXT(LANÇ_MOV[[#This Row],[DATA DE LANÇAMENTO]],"AAAA"))</f>
        <v>2025</v>
      </c>
      <c r="AB302" s="524" t="str">
        <f>IF(LANÇ_MOV[[#This Row],[DATA DE LANÇAMENTO]]="","",UPPER(TEXT(LANÇ_MOV[[#This Row],[DATA DE LANÇAMENTO]],"MMMM")))</f>
        <v>OUTUBRO</v>
      </c>
      <c r="AC302" s="525" t="str">
        <f>IF(LANÇ_MOV[[#This Row],[DATA DE LANÇAMENTO]]="","",PROPER(TEXT(LANÇ_MOV[[#This Row],[DATA DE LANÇAMENTO]],"M")))</f>
        <v>10</v>
      </c>
      <c r="AD302" s="524" t="str">
        <f>IF(LANÇ_MOV[[#This Row],[DATA DE LANÇAMENTO]]="","",TEXT(LANÇ_MOV[[#This Row],[DATA DE LANÇAMENTO]],"D"))</f>
        <v>1</v>
      </c>
      <c r="AE302" s="526" t="str">
        <f>IF(LANÇ_MOV[[#This Row],[DATA DE VENCIMENTO]]="","",TEXT(LANÇ_MOV[[#This Row],[DATA DE VENCIMENTO]],"AAAA"))</f>
        <v>2024</v>
      </c>
      <c r="AF302" s="526" t="str">
        <f>IF(LANÇ_MOV[[#This Row],[DATA DE VENCIMENTO]]="","",UPPER(TEXT(LANÇ_MOV[[#This Row],[DATA DE VENCIMENTO]],"MMMM")))</f>
        <v>OUTUBRO</v>
      </c>
      <c r="AG302" s="526" t="str">
        <f>IF(LANÇ_MOV[[#This Row],[DATA DE VENCIMENTO]]="","",TEXT(LANÇ_MOV[[#This Row],[DATA DE VENCIMENTO]],"M"))</f>
        <v>10</v>
      </c>
      <c r="AH302" s="526" t="str">
        <f>IF(LANÇ_MOV[[#This Row],[DATA DE VENCIMENTO]]="","",TEXT(LANÇ_MOV[[#This Row],[DATA DE VENCIMENTO]],"D"))</f>
        <v>18</v>
      </c>
      <c r="AI302" s="526" t="str">
        <f>IF(LANÇ_MOV[[#This Row],[DATA DE PAGAMENTO]]="","",TEXT(LANÇ_MOV[[#This Row],[DATA DE PAGAMENTO]],"AAAA"))</f>
        <v/>
      </c>
      <c r="AJ302" s="527" t="str">
        <f>IF(LANÇ_MOV[[#This Row],[DATA DE PAGAMENTO]]="","",UPPER(TEXT(LANÇ_MOV[[#This Row],[DATA DE PAGAMENTO]],"MMMM")))</f>
        <v/>
      </c>
      <c r="AK302" s="527" t="str">
        <f>IF(LANÇ_MOV[[#This Row],[DATA DE PAGAMENTO]]="","",TEXT(LANÇ_MOV[[#This Row],[DATA DE PAGAMENTO]],"M"))</f>
        <v/>
      </c>
      <c r="AL302" s="526" t="str">
        <f>IF(LANÇ_MOV[[#This Row],[DATA DE PAGAMENTO]]="","",TEXT(LANÇ_MOV[[#This Row],[DATA DE PAGAMENTO]],"D"))</f>
        <v/>
      </c>
      <c r="AM302" s="27"/>
      <c r="BB302" s="112"/>
      <c r="BC302" s="112"/>
      <c r="BD302" s="112"/>
    </row>
    <row r="303" spans="2:56" ht="30.05" customHeight="1" x14ac:dyDescent="0.35">
      <c r="B303" s="506">
        <v>45931</v>
      </c>
      <c r="C303" s="507" t="s">
        <v>1661</v>
      </c>
      <c r="D303" s="508" t="s">
        <v>1854</v>
      </c>
      <c r="E303" s="509" t="s">
        <v>1440</v>
      </c>
      <c r="F303" s="510" t="s">
        <v>1840</v>
      </c>
      <c r="G303" s="507" t="s">
        <v>1916</v>
      </c>
      <c r="H303" s="511"/>
      <c r="I303" s="512" t="s">
        <v>1760</v>
      </c>
      <c r="J303" s="510">
        <v>35.22</v>
      </c>
      <c r="K303" s="513">
        <v>0</v>
      </c>
      <c r="L303" s="513">
        <v>7.04</v>
      </c>
      <c r="M303" s="513">
        <v>2.09</v>
      </c>
      <c r="N303" s="514">
        <f>LANÇ_MOV[[#This Row],[VALOR BRUTO]]-LANÇ_MOV[[#This Row],[DESCONTO]]+LANÇ_MOV[[#This Row],[JUROS]]+LANÇ_MOV[[#This Row],[MULTA]]</f>
        <v>44.349999999999994</v>
      </c>
      <c r="O303" s="528">
        <v>45615</v>
      </c>
      <c r="P303" s="516" t="str">
        <f t="shared" ca="1" si="4"/>
        <v>Venceu</v>
      </c>
      <c r="Q303" s="528"/>
      <c r="R303" s="529" t="s">
        <v>1506</v>
      </c>
      <c r="S303" s="518"/>
      <c r="T303" s="518" t="s">
        <v>1776</v>
      </c>
      <c r="U303" s="519" t="s">
        <v>2007</v>
      </c>
      <c r="V303" s="520" t="str">
        <f>IFERROR(VLOOKUP(LANÇ_MOV[[#This Row],[PLANO DE CONTAS]],Plano_Contas[[PLANO DE CONTAS]:[R / D]],3,0),"")</f>
        <v>Despesa</v>
      </c>
      <c r="W303" s="521" t="str">
        <f>IF(LANÇ_MOV[[#This Row],[DATA DE PAGAMENTO]]&lt;&gt;"","Pago","Não Pago")</f>
        <v>Não Pago</v>
      </c>
      <c r="X303" s="522" t="str">
        <f>IFERROR(IF(LANÇ_MOV[[#This Row],[DATA DE PAGAMENTO]]="","",(UPPER(TEXT(LANÇ_MOV[[#This Row],[DATA DE PAGAMENTO]],"mmmm")))),"")</f>
        <v/>
      </c>
      <c r="Y303" s="523" t="str">
        <f>IFERROR(VLOOKUP(LANÇ_MOV[[#This Row],[PLANO DE CONTAS]],Plano_Contas[[PLANO DE CONTAS]:[NOMES INTERVALOS]],2,0),"")</f>
        <v>Despesas_Endividamentos</v>
      </c>
      <c r="Z303" s="523" t="str">
        <f>IF(LANÇ_MOV[[#This Row],[FORMA DE PAGAMENTO]]="","",VLOOKUP(LANÇ_MOV[[#This Row],[FORMA DE PAGAMENTO]],CAD_Forma_pagto[],2,0))</f>
        <v>BOLETO</v>
      </c>
      <c r="AA303" s="524" t="str">
        <f>IF(LANÇ_MOV[[#This Row],[DATA DE LANÇAMENTO]]="","",TEXT(LANÇ_MOV[[#This Row],[DATA DE LANÇAMENTO]],"AAAA"))</f>
        <v>2025</v>
      </c>
      <c r="AB303" s="524" t="str">
        <f>IF(LANÇ_MOV[[#This Row],[DATA DE LANÇAMENTO]]="","",UPPER(TEXT(LANÇ_MOV[[#This Row],[DATA DE LANÇAMENTO]],"MMMM")))</f>
        <v>OUTUBRO</v>
      </c>
      <c r="AC303" s="525" t="str">
        <f>IF(LANÇ_MOV[[#This Row],[DATA DE LANÇAMENTO]]="","",PROPER(TEXT(LANÇ_MOV[[#This Row],[DATA DE LANÇAMENTO]],"M")))</f>
        <v>10</v>
      </c>
      <c r="AD303" s="524" t="str">
        <f>IF(LANÇ_MOV[[#This Row],[DATA DE LANÇAMENTO]]="","",TEXT(LANÇ_MOV[[#This Row],[DATA DE LANÇAMENTO]],"D"))</f>
        <v>1</v>
      </c>
      <c r="AE303" s="526" t="str">
        <f>IF(LANÇ_MOV[[#This Row],[DATA DE VENCIMENTO]]="","",TEXT(LANÇ_MOV[[#This Row],[DATA DE VENCIMENTO]],"AAAA"))</f>
        <v>2024</v>
      </c>
      <c r="AF303" s="526" t="str">
        <f>IF(LANÇ_MOV[[#This Row],[DATA DE VENCIMENTO]]="","",UPPER(TEXT(LANÇ_MOV[[#This Row],[DATA DE VENCIMENTO]],"MMMM")))</f>
        <v>NOVEMBRO</v>
      </c>
      <c r="AG303" s="526" t="str">
        <f>IF(LANÇ_MOV[[#This Row],[DATA DE VENCIMENTO]]="","",TEXT(LANÇ_MOV[[#This Row],[DATA DE VENCIMENTO]],"M"))</f>
        <v>11</v>
      </c>
      <c r="AH303" s="526" t="str">
        <f>IF(LANÇ_MOV[[#This Row],[DATA DE VENCIMENTO]]="","",TEXT(LANÇ_MOV[[#This Row],[DATA DE VENCIMENTO]],"D"))</f>
        <v>19</v>
      </c>
      <c r="AI303" s="526" t="str">
        <f>IF(LANÇ_MOV[[#This Row],[DATA DE PAGAMENTO]]="","",TEXT(LANÇ_MOV[[#This Row],[DATA DE PAGAMENTO]],"AAAA"))</f>
        <v/>
      </c>
      <c r="AJ303" s="527" t="str">
        <f>IF(LANÇ_MOV[[#This Row],[DATA DE PAGAMENTO]]="","",UPPER(TEXT(LANÇ_MOV[[#This Row],[DATA DE PAGAMENTO]],"MMMM")))</f>
        <v/>
      </c>
      <c r="AK303" s="527" t="str">
        <f>IF(LANÇ_MOV[[#This Row],[DATA DE PAGAMENTO]]="","",TEXT(LANÇ_MOV[[#This Row],[DATA DE PAGAMENTO]],"M"))</f>
        <v/>
      </c>
      <c r="AL303" s="526" t="str">
        <f>IF(LANÇ_MOV[[#This Row],[DATA DE PAGAMENTO]]="","",TEXT(LANÇ_MOV[[#This Row],[DATA DE PAGAMENTO]],"D"))</f>
        <v/>
      </c>
      <c r="AM303" s="27"/>
      <c r="BB303" s="112"/>
      <c r="BC303" s="112"/>
      <c r="BD303" s="112"/>
    </row>
    <row r="304" spans="2:56" ht="30.05" customHeight="1" x14ac:dyDescent="0.35">
      <c r="B304" s="506">
        <v>45931</v>
      </c>
      <c r="C304" s="507" t="s">
        <v>1661</v>
      </c>
      <c r="D304" s="508" t="s">
        <v>1854</v>
      </c>
      <c r="E304" s="509" t="s">
        <v>1440</v>
      </c>
      <c r="F304" s="510" t="s">
        <v>1840</v>
      </c>
      <c r="G304" s="507" t="s">
        <v>1917</v>
      </c>
      <c r="H304" s="511"/>
      <c r="I304" s="512" t="s">
        <v>1760</v>
      </c>
      <c r="J304" s="510">
        <v>22.28</v>
      </c>
      <c r="K304" s="513">
        <v>0</v>
      </c>
      <c r="L304" s="513">
        <v>4.45</v>
      </c>
      <c r="M304" s="513">
        <v>1.1100000000000001</v>
      </c>
      <c r="N304" s="514">
        <f>LANÇ_MOV[[#This Row],[VALOR BRUTO]]-LANÇ_MOV[[#This Row],[DESCONTO]]+LANÇ_MOV[[#This Row],[JUROS]]+LANÇ_MOV[[#This Row],[MULTA]]</f>
        <v>27.84</v>
      </c>
      <c r="O304" s="528">
        <v>45646</v>
      </c>
      <c r="P304" s="516" t="str">
        <f t="shared" ca="1" si="4"/>
        <v>Venceu</v>
      </c>
      <c r="Q304" s="528"/>
      <c r="R304" s="529" t="s">
        <v>1506</v>
      </c>
      <c r="S304" s="518"/>
      <c r="T304" s="518" t="s">
        <v>1776</v>
      </c>
      <c r="U304" s="519" t="s">
        <v>2007</v>
      </c>
      <c r="V304" s="520" t="str">
        <f>IFERROR(VLOOKUP(LANÇ_MOV[[#This Row],[PLANO DE CONTAS]],Plano_Contas[[PLANO DE CONTAS]:[R / D]],3,0),"")</f>
        <v>Despesa</v>
      </c>
      <c r="W304" s="521" t="str">
        <f>IF(LANÇ_MOV[[#This Row],[DATA DE PAGAMENTO]]&lt;&gt;"","Pago","Não Pago")</f>
        <v>Não Pago</v>
      </c>
      <c r="X304" s="522" t="str">
        <f>IFERROR(IF(LANÇ_MOV[[#This Row],[DATA DE PAGAMENTO]]="","",(UPPER(TEXT(LANÇ_MOV[[#This Row],[DATA DE PAGAMENTO]],"mmmm")))),"")</f>
        <v/>
      </c>
      <c r="Y304" s="523" t="str">
        <f>IFERROR(VLOOKUP(LANÇ_MOV[[#This Row],[PLANO DE CONTAS]],Plano_Contas[[PLANO DE CONTAS]:[NOMES INTERVALOS]],2,0),"")</f>
        <v>Despesas_Endividamentos</v>
      </c>
      <c r="Z304" s="523" t="str">
        <f>IF(LANÇ_MOV[[#This Row],[FORMA DE PAGAMENTO]]="","",VLOOKUP(LANÇ_MOV[[#This Row],[FORMA DE PAGAMENTO]],CAD_Forma_pagto[],2,0))</f>
        <v>BOLETO</v>
      </c>
      <c r="AA304" s="524" t="str">
        <f>IF(LANÇ_MOV[[#This Row],[DATA DE LANÇAMENTO]]="","",TEXT(LANÇ_MOV[[#This Row],[DATA DE LANÇAMENTO]],"AAAA"))</f>
        <v>2025</v>
      </c>
      <c r="AB304" s="524" t="str">
        <f>IF(LANÇ_MOV[[#This Row],[DATA DE LANÇAMENTO]]="","",UPPER(TEXT(LANÇ_MOV[[#This Row],[DATA DE LANÇAMENTO]],"MMMM")))</f>
        <v>OUTUBRO</v>
      </c>
      <c r="AC304" s="525" t="str">
        <f>IF(LANÇ_MOV[[#This Row],[DATA DE LANÇAMENTO]]="","",PROPER(TEXT(LANÇ_MOV[[#This Row],[DATA DE LANÇAMENTO]],"M")))</f>
        <v>10</v>
      </c>
      <c r="AD304" s="524" t="str">
        <f>IF(LANÇ_MOV[[#This Row],[DATA DE LANÇAMENTO]]="","",TEXT(LANÇ_MOV[[#This Row],[DATA DE LANÇAMENTO]],"D"))</f>
        <v>1</v>
      </c>
      <c r="AE304" s="526" t="str">
        <f>IF(LANÇ_MOV[[#This Row],[DATA DE VENCIMENTO]]="","",TEXT(LANÇ_MOV[[#This Row],[DATA DE VENCIMENTO]],"AAAA"))</f>
        <v>2024</v>
      </c>
      <c r="AF304" s="526" t="str">
        <f>IF(LANÇ_MOV[[#This Row],[DATA DE VENCIMENTO]]="","",UPPER(TEXT(LANÇ_MOV[[#This Row],[DATA DE VENCIMENTO]],"MMMM")))</f>
        <v>DEZEMBRO</v>
      </c>
      <c r="AG304" s="526" t="str">
        <f>IF(LANÇ_MOV[[#This Row],[DATA DE VENCIMENTO]]="","",TEXT(LANÇ_MOV[[#This Row],[DATA DE VENCIMENTO]],"M"))</f>
        <v>12</v>
      </c>
      <c r="AH304" s="526" t="str">
        <f>IF(LANÇ_MOV[[#This Row],[DATA DE VENCIMENTO]]="","",TEXT(LANÇ_MOV[[#This Row],[DATA DE VENCIMENTO]],"D"))</f>
        <v>20</v>
      </c>
      <c r="AI304" s="526" t="str">
        <f>IF(LANÇ_MOV[[#This Row],[DATA DE PAGAMENTO]]="","",TEXT(LANÇ_MOV[[#This Row],[DATA DE PAGAMENTO]],"AAAA"))</f>
        <v/>
      </c>
      <c r="AJ304" s="527" t="str">
        <f>IF(LANÇ_MOV[[#This Row],[DATA DE PAGAMENTO]]="","",UPPER(TEXT(LANÇ_MOV[[#This Row],[DATA DE PAGAMENTO]],"MMMM")))</f>
        <v/>
      </c>
      <c r="AK304" s="527" t="str">
        <f>IF(LANÇ_MOV[[#This Row],[DATA DE PAGAMENTO]]="","",TEXT(LANÇ_MOV[[#This Row],[DATA DE PAGAMENTO]],"M"))</f>
        <v/>
      </c>
      <c r="AL304" s="526" t="str">
        <f>IF(LANÇ_MOV[[#This Row],[DATA DE PAGAMENTO]]="","",TEXT(LANÇ_MOV[[#This Row],[DATA DE PAGAMENTO]],"D"))</f>
        <v/>
      </c>
      <c r="AM304" s="27"/>
      <c r="BB304" s="112"/>
      <c r="BC304" s="112"/>
      <c r="BD304" s="112"/>
    </row>
    <row r="305" spans="2:56" ht="30.05" customHeight="1" x14ac:dyDescent="0.35">
      <c r="B305" s="506">
        <v>45931</v>
      </c>
      <c r="C305" s="507" t="s">
        <v>1661</v>
      </c>
      <c r="D305" s="508" t="s">
        <v>1854</v>
      </c>
      <c r="E305" s="509" t="s">
        <v>1440</v>
      </c>
      <c r="F305" s="510" t="s">
        <v>1840</v>
      </c>
      <c r="G305" s="507" t="s">
        <v>1918</v>
      </c>
      <c r="H305" s="511"/>
      <c r="I305" s="512" t="s">
        <v>1760</v>
      </c>
      <c r="J305" s="510">
        <v>24.21</v>
      </c>
      <c r="K305" s="513">
        <v>0</v>
      </c>
      <c r="L305" s="513">
        <v>4.84</v>
      </c>
      <c r="M305" s="513">
        <v>0.97</v>
      </c>
      <c r="N305" s="514">
        <f>LANÇ_MOV[[#This Row],[VALOR BRUTO]]-LANÇ_MOV[[#This Row],[DESCONTO]]+LANÇ_MOV[[#This Row],[JUROS]]+LANÇ_MOV[[#This Row],[MULTA]]</f>
        <v>30.02</v>
      </c>
      <c r="O305" s="528">
        <v>45677</v>
      </c>
      <c r="P305" s="516" t="str">
        <f t="shared" ca="1" si="4"/>
        <v>Venceu</v>
      </c>
      <c r="Q305" s="528"/>
      <c r="R305" s="529" t="s">
        <v>1506</v>
      </c>
      <c r="S305" s="518"/>
      <c r="T305" s="518" t="s">
        <v>1776</v>
      </c>
      <c r="U305" s="519" t="s">
        <v>2007</v>
      </c>
      <c r="V305" s="520" t="str">
        <f>IFERROR(VLOOKUP(LANÇ_MOV[[#This Row],[PLANO DE CONTAS]],Plano_Contas[[PLANO DE CONTAS]:[R / D]],3,0),"")</f>
        <v>Despesa</v>
      </c>
      <c r="W305" s="521" t="str">
        <f>IF(LANÇ_MOV[[#This Row],[DATA DE PAGAMENTO]]&lt;&gt;"","Pago","Não Pago")</f>
        <v>Não Pago</v>
      </c>
      <c r="X305" s="522" t="str">
        <f>IFERROR(IF(LANÇ_MOV[[#This Row],[DATA DE PAGAMENTO]]="","",(UPPER(TEXT(LANÇ_MOV[[#This Row],[DATA DE PAGAMENTO]],"mmmm")))),"")</f>
        <v/>
      </c>
      <c r="Y305" s="523" t="str">
        <f>IFERROR(VLOOKUP(LANÇ_MOV[[#This Row],[PLANO DE CONTAS]],Plano_Contas[[PLANO DE CONTAS]:[NOMES INTERVALOS]],2,0),"")</f>
        <v>Despesas_Endividamentos</v>
      </c>
      <c r="Z305" s="523" t="str">
        <f>IF(LANÇ_MOV[[#This Row],[FORMA DE PAGAMENTO]]="","",VLOOKUP(LANÇ_MOV[[#This Row],[FORMA DE PAGAMENTO]],CAD_Forma_pagto[],2,0))</f>
        <v>BOLETO</v>
      </c>
      <c r="AA305" s="524" t="str">
        <f>IF(LANÇ_MOV[[#This Row],[DATA DE LANÇAMENTO]]="","",TEXT(LANÇ_MOV[[#This Row],[DATA DE LANÇAMENTO]],"AAAA"))</f>
        <v>2025</v>
      </c>
      <c r="AB305" s="524" t="str">
        <f>IF(LANÇ_MOV[[#This Row],[DATA DE LANÇAMENTO]]="","",UPPER(TEXT(LANÇ_MOV[[#This Row],[DATA DE LANÇAMENTO]],"MMMM")))</f>
        <v>OUTUBRO</v>
      </c>
      <c r="AC305" s="525" t="str">
        <f>IF(LANÇ_MOV[[#This Row],[DATA DE LANÇAMENTO]]="","",PROPER(TEXT(LANÇ_MOV[[#This Row],[DATA DE LANÇAMENTO]],"M")))</f>
        <v>10</v>
      </c>
      <c r="AD305" s="524" t="str">
        <f>IF(LANÇ_MOV[[#This Row],[DATA DE LANÇAMENTO]]="","",TEXT(LANÇ_MOV[[#This Row],[DATA DE LANÇAMENTO]],"D"))</f>
        <v>1</v>
      </c>
      <c r="AE305" s="526" t="str">
        <f>IF(LANÇ_MOV[[#This Row],[DATA DE VENCIMENTO]]="","",TEXT(LANÇ_MOV[[#This Row],[DATA DE VENCIMENTO]],"AAAA"))</f>
        <v>2025</v>
      </c>
      <c r="AF305" s="526" t="str">
        <f>IF(LANÇ_MOV[[#This Row],[DATA DE VENCIMENTO]]="","",UPPER(TEXT(LANÇ_MOV[[#This Row],[DATA DE VENCIMENTO]],"MMMM")))</f>
        <v>JANEIRO</v>
      </c>
      <c r="AG305" s="526" t="str">
        <f>IF(LANÇ_MOV[[#This Row],[DATA DE VENCIMENTO]]="","",TEXT(LANÇ_MOV[[#This Row],[DATA DE VENCIMENTO]],"M"))</f>
        <v>1</v>
      </c>
      <c r="AH305" s="526" t="str">
        <f>IF(LANÇ_MOV[[#This Row],[DATA DE VENCIMENTO]]="","",TEXT(LANÇ_MOV[[#This Row],[DATA DE VENCIMENTO]],"D"))</f>
        <v>20</v>
      </c>
      <c r="AI305" s="526" t="str">
        <f>IF(LANÇ_MOV[[#This Row],[DATA DE PAGAMENTO]]="","",TEXT(LANÇ_MOV[[#This Row],[DATA DE PAGAMENTO]],"AAAA"))</f>
        <v/>
      </c>
      <c r="AJ305" s="527" t="str">
        <f>IF(LANÇ_MOV[[#This Row],[DATA DE PAGAMENTO]]="","",UPPER(TEXT(LANÇ_MOV[[#This Row],[DATA DE PAGAMENTO]],"MMMM")))</f>
        <v/>
      </c>
      <c r="AK305" s="527" t="str">
        <f>IF(LANÇ_MOV[[#This Row],[DATA DE PAGAMENTO]]="","",TEXT(LANÇ_MOV[[#This Row],[DATA DE PAGAMENTO]],"M"))</f>
        <v/>
      </c>
      <c r="AL305" s="526" t="str">
        <f>IF(LANÇ_MOV[[#This Row],[DATA DE PAGAMENTO]]="","",TEXT(LANÇ_MOV[[#This Row],[DATA DE PAGAMENTO]],"D"))</f>
        <v/>
      </c>
      <c r="AM305" s="27"/>
      <c r="BB305" s="112"/>
      <c r="BC305" s="112"/>
      <c r="BD305" s="112"/>
    </row>
    <row r="306" spans="2:56" ht="30.05" customHeight="1" x14ac:dyDescent="0.35">
      <c r="B306" s="506">
        <v>45931</v>
      </c>
      <c r="C306" s="507" t="s">
        <v>1661</v>
      </c>
      <c r="D306" s="508" t="s">
        <v>1854</v>
      </c>
      <c r="E306" s="509" t="s">
        <v>1440</v>
      </c>
      <c r="F306" s="510" t="s">
        <v>1840</v>
      </c>
      <c r="G306" s="507" t="s">
        <v>1921</v>
      </c>
      <c r="H306" s="511"/>
      <c r="I306" s="512" t="s">
        <v>1760</v>
      </c>
      <c r="J306" s="510">
        <v>24.39</v>
      </c>
      <c r="K306" s="513">
        <v>0</v>
      </c>
      <c r="L306" s="513">
        <v>4.87</v>
      </c>
      <c r="M306" s="513">
        <v>0.73</v>
      </c>
      <c r="N306" s="514">
        <f>LANÇ_MOV[[#This Row],[VALOR BRUTO]]-LANÇ_MOV[[#This Row],[DESCONTO]]+LANÇ_MOV[[#This Row],[JUROS]]+LANÇ_MOV[[#This Row],[MULTA]]</f>
        <v>29.990000000000002</v>
      </c>
      <c r="O306" s="528">
        <v>45708</v>
      </c>
      <c r="P306" s="516" t="str">
        <f t="shared" ca="1" si="4"/>
        <v>Venceu</v>
      </c>
      <c r="Q306" s="528"/>
      <c r="R306" s="529" t="s">
        <v>1506</v>
      </c>
      <c r="S306" s="518"/>
      <c r="T306" s="518" t="s">
        <v>1776</v>
      </c>
      <c r="U306" s="519" t="s">
        <v>2007</v>
      </c>
      <c r="V306" s="520" t="str">
        <f>IFERROR(VLOOKUP(LANÇ_MOV[[#This Row],[PLANO DE CONTAS]],Plano_Contas[[PLANO DE CONTAS]:[R / D]],3,0),"")</f>
        <v>Despesa</v>
      </c>
      <c r="W306" s="521" t="str">
        <f>IF(LANÇ_MOV[[#This Row],[DATA DE PAGAMENTO]]&lt;&gt;"","Pago","Não Pago")</f>
        <v>Não Pago</v>
      </c>
      <c r="X306" s="522" t="str">
        <f>IFERROR(IF(LANÇ_MOV[[#This Row],[DATA DE PAGAMENTO]]="","",(UPPER(TEXT(LANÇ_MOV[[#This Row],[DATA DE PAGAMENTO]],"mmmm")))),"")</f>
        <v/>
      </c>
      <c r="Y306" s="523" t="str">
        <f>IFERROR(VLOOKUP(LANÇ_MOV[[#This Row],[PLANO DE CONTAS]],Plano_Contas[[PLANO DE CONTAS]:[NOMES INTERVALOS]],2,0),"")</f>
        <v>Despesas_Endividamentos</v>
      </c>
      <c r="Z306" s="523" t="str">
        <f>IF(LANÇ_MOV[[#This Row],[FORMA DE PAGAMENTO]]="","",VLOOKUP(LANÇ_MOV[[#This Row],[FORMA DE PAGAMENTO]],CAD_Forma_pagto[],2,0))</f>
        <v>BOLETO</v>
      </c>
      <c r="AA306" s="524" t="str">
        <f>IF(LANÇ_MOV[[#This Row],[DATA DE LANÇAMENTO]]="","",TEXT(LANÇ_MOV[[#This Row],[DATA DE LANÇAMENTO]],"AAAA"))</f>
        <v>2025</v>
      </c>
      <c r="AB306" s="524" t="str">
        <f>IF(LANÇ_MOV[[#This Row],[DATA DE LANÇAMENTO]]="","",UPPER(TEXT(LANÇ_MOV[[#This Row],[DATA DE LANÇAMENTO]],"MMMM")))</f>
        <v>OUTUBRO</v>
      </c>
      <c r="AC306" s="525" t="str">
        <f>IF(LANÇ_MOV[[#This Row],[DATA DE LANÇAMENTO]]="","",PROPER(TEXT(LANÇ_MOV[[#This Row],[DATA DE LANÇAMENTO]],"M")))</f>
        <v>10</v>
      </c>
      <c r="AD306" s="524" t="str">
        <f>IF(LANÇ_MOV[[#This Row],[DATA DE LANÇAMENTO]]="","",TEXT(LANÇ_MOV[[#This Row],[DATA DE LANÇAMENTO]],"D"))</f>
        <v>1</v>
      </c>
      <c r="AE306" s="526" t="str">
        <f>IF(LANÇ_MOV[[#This Row],[DATA DE VENCIMENTO]]="","",TEXT(LANÇ_MOV[[#This Row],[DATA DE VENCIMENTO]],"AAAA"))</f>
        <v>2025</v>
      </c>
      <c r="AF306" s="526" t="str">
        <f>IF(LANÇ_MOV[[#This Row],[DATA DE VENCIMENTO]]="","",UPPER(TEXT(LANÇ_MOV[[#This Row],[DATA DE VENCIMENTO]],"MMMM")))</f>
        <v>FEVEREIRO</v>
      </c>
      <c r="AG306" s="526" t="str">
        <f>IF(LANÇ_MOV[[#This Row],[DATA DE VENCIMENTO]]="","",TEXT(LANÇ_MOV[[#This Row],[DATA DE VENCIMENTO]],"M"))</f>
        <v>2</v>
      </c>
      <c r="AH306" s="526" t="str">
        <f>IF(LANÇ_MOV[[#This Row],[DATA DE VENCIMENTO]]="","",TEXT(LANÇ_MOV[[#This Row],[DATA DE VENCIMENTO]],"D"))</f>
        <v>20</v>
      </c>
      <c r="AI306" s="526" t="str">
        <f>IF(LANÇ_MOV[[#This Row],[DATA DE PAGAMENTO]]="","",TEXT(LANÇ_MOV[[#This Row],[DATA DE PAGAMENTO]],"AAAA"))</f>
        <v/>
      </c>
      <c r="AJ306" s="527" t="str">
        <f>IF(LANÇ_MOV[[#This Row],[DATA DE PAGAMENTO]]="","",UPPER(TEXT(LANÇ_MOV[[#This Row],[DATA DE PAGAMENTO]],"MMMM")))</f>
        <v/>
      </c>
      <c r="AK306" s="527" t="str">
        <f>IF(LANÇ_MOV[[#This Row],[DATA DE PAGAMENTO]]="","",TEXT(LANÇ_MOV[[#This Row],[DATA DE PAGAMENTO]],"M"))</f>
        <v/>
      </c>
      <c r="AL306" s="526" t="str">
        <f>IF(LANÇ_MOV[[#This Row],[DATA DE PAGAMENTO]]="","",TEXT(LANÇ_MOV[[#This Row],[DATA DE PAGAMENTO]],"D"))</f>
        <v/>
      </c>
      <c r="AM306" s="27"/>
      <c r="BB306" s="112"/>
      <c r="BC306" s="112"/>
      <c r="BD306" s="112"/>
    </row>
    <row r="307" spans="2:56" ht="30.05" customHeight="1" x14ac:dyDescent="0.35">
      <c r="B307" s="506">
        <v>45931</v>
      </c>
      <c r="C307" s="507" t="s">
        <v>1661</v>
      </c>
      <c r="D307" s="508" t="s">
        <v>1854</v>
      </c>
      <c r="E307" s="509" t="s">
        <v>1440</v>
      </c>
      <c r="F307" s="510" t="s">
        <v>1840</v>
      </c>
      <c r="G307" s="507" t="s">
        <v>1919</v>
      </c>
      <c r="H307" s="511"/>
      <c r="I307" s="512" t="s">
        <v>1760</v>
      </c>
      <c r="J307" s="510">
        <v>18.399999999999999</v>
      </c>
      <c r="K307" s="513">
        <v>0</v>
      </c>
      <c r="L307" s="513">
        <v>2.97</v>
      </c>
      <c r="M307" s="513">
        <v>0.37</v>
      </c>
      <c r="N307" s="514">
        <f>LANÇ_MOV[[#This Row],[VALOR BRUTO]]-LANÇ_MOV[[#This Row],[DESCONTO]]+LANÇ_MOV[[#This Row],[JUROS]]+LANÇ_MOV[[#This Row],[MULTA]]</f>
        <v>21.74</v>
      </c>
      <c r="O307" s="528">
        <v>45736</v>
      </c>
      <c r="P307" s="516" t="str">
        <f t="shared" ca="1" si="4"/>
        <v>Venceu</v>
      </c>
      <c r="Q307" s="528"/>
      <c r="R307" s="529" t="s">
        <v>1506</v>
      </c>
      <c r="S307" s="518"/>
      <c r="T307" s="518" t="s">
        <v>1776</v>
      </c>
      <c r="U307" s="519" t="s">
        <v>2007</v>
      </c>
      <c r="V307" s="520" t="str">
        <f>IFERROR(VLOOKUP(LANÇ_MOV[[#This Row],[PLANO DE CONTAS]],Plano_Contas[[PLANO DE CONTAS]:[R / D]],3,0),"")</f>
        <v>Despesa</v>
      </c>
      <c r="W307" s="521" t="str">
        <f>IF(LANÇ_MOV[[#This Row],[DATA DE PAGAMENTO]]&lt;&gt;"","Pago","Não Pago")</f>
        <v>Não Pago</v>
      </c>
      <c r="X307" s="522" t="str">
        <f>IFERROR(IF(LANÇ_MOV[[#This Row],[DATA DE PAGAMENTO]]="","",(UPPER(TEXT(LANÇ_MOV[[#This Row],[DATA DE PAGAMENTO]],"mmmm")))),"")</f>
        <v/>
      </c>
      <c r="Y307" s="523" t="str">
        <f>IFERROR(VLOOKUP(LANÇ_MOV[[#This Row],[PLANO DE CONTAS]],Plano_Contas[[PLANO DE CONTAS]:[NOMES INTERVALOS]],2,0),"")</f>
        <v>Despesas_Endividamentos</v>
      </c>
      <c r="Z307" s="523" t="str">
        <f>IF(LANÇ_MOV[[#This Row],[FORMA DE PAGAMENTO]]="","",VLOOKUP(LANÇ_MOV[[#This Row],[FORMA DE PAGAMENTO]],CAD_Forma_pagto[],2,0))</f>
        <v>BOLETO</v>
      </c>
      <c r="AA307" s="524" t="str">
        <f>IF(LANÇ_MOV[[#This Row],[DATA DE LANÇAMENTO]]="","",TEXT(LANÇ_MOV[[#This Row],[DATA DE LANÇAMENTO]],"AAAA"))</f>
        <v>2025</v>
      </c>
      <c r="AB307" s="524" t="str">
        <f>IF(LANÇ_MOV[[#This Row],[DATA DE LANÇAMENTO]]="","",UPPER(TEXT(LANÇ_MOV[[#This Row],[DATA DE LANÇAMENTO]],"MMMM")))</f>
        <v>OUTUBRO</v>
      </c>
      <c r="AC307" s="525" t="str">
        <f>IF(LANÇ_MOV[[#This Row],[DATA DE LANÇAMENTO]]="","",PROPER(TEXT(LANÇ_MOV[[#This Row],[DATA DE LANÇAMENTO]],"M")))</f>
        <v>10</v>
      </c>
      <c r="AD307" s="524" t="str">
        <f>IF(LANÇ_MOV[[#This Row],[DATA DE LANÇAMENTO]]="","",TEXT(LANÇ_MOV[[#This Row],[DATA DE LANÇAMENTO]],"D"))</f>
        <v>1</v>
      </c>
      <c r="AE307" s="526" t="str">
        <f>IF(LANÇ_MOV[[#This Row],[DATA DE VENCIMENTO]]="","",TEXT(LANÇ_MOV[[#This Row],[DATA DE VENCIMENTO]],"AAAA"))</f>
        <v>2025</v>
      </c>
      <c r="AF307" s="526" t="str">
        <f>IF(LANÇ_MOV[[#This Row],[DATA DE VENCIMENTO]]="","",UPPER(TEXT(LANÇ_MOV[[#This Row],[DATA DE VENCIMENTO]],"MMMM")))</f>
        <v>MARÇO</v>
      </c>
      <c r="AG307" s="526" t="str">
        <f>IF(LANÇ_MOV[[#This Row],[DATA DE VENCIMENTO]]="","",TEXT(LANÇ_MOV[[#This Row],[DATA DE VENCIMENTO]],"M"))</f>
        <v>3</v>
      </c>
      <c r="AH307" s="526" t="str">
        <f>IF(LANÇ_MOV[[#This Row],[DATA DE VENCIMENTO]]="","",TEXT(LANÇ_MOV[[#This Row],[DATA DE VENCIMENTO]],"D"))</f>
        <v>20</v>
      </c>
      <c r="AI307" s="526" t="str">
        <f>IF(LANÇ_MOV[[#This Row],[DATA DE PAGAMENTO]]="","",TEXT(LANÇ_MOV[[#This Row],[DATA DE PAGAMENTO]],"AAAA"))</f>
        <v/>
      </c>
      <c r="AJ307" s="527" t="str">
        <f>IF(LANÇ_MOV[[#This Row],[DATA DE PAGAMENTO]]="","",UPPER(TEXT(LANÇ_MOV[[#This Row],[DATA DE PAGAMENTO]],"MMMM")))</f>
        <v/>
      </c>
      <c r="AK307" s="527" t="str">
        <f>IF(LANÇ_MOV[[#This Row],[DATA DE PAGAMENTO]]="","",TEXT(LANÇ_MOV[[#This Row],[DATA DE PAGAMENTO]],"M"))</f>
        <v/>
      </c>
      <c r="AL307" s="526" t="str">
        <f>IF(LANÇ_MOV[[#This Row],[DATA DE PAGAMENTO]]="","",TEXT(LANÇ_MOV[[#This Row],[DATA DE PAGAMENTO]],"D"))</f>
        <v/>
      </c>
      <c r="AM307" s="27"/>
      <c r="BB307" s="112"/>
      <c r="BC307" s="112"/>
      <c r="BD307" s="112"/>
    </row>
    <row r="308" spans="2:56" ht="30.05" customHeight="1" x14ac:dyDescent="0.35">
      <c r="B308" s="506">
        <v>45931</v>
      </c>
      <c r="C308" s="507" t="s">
        <v>1661</v>
      </c>
      <c r="D308" s="508" t="s">
        <v>1854</v>
      </c>
      <c r="E308" s="509" t="s">
        <v>1440</v>
      </c>
      <c r="F308" s="510" t="s">
        <v>1840</v>
      </c>
      <c r="G308" s="507" t="s">
        <v>1920</v>
      </c>
      <c r="H308" s="511"/>
      <c r="I308" s="512" t="s">
        <v>1760</v>
      </c>
      <c r="J308" s="510">
        <v>14.42</v>
      </c>
      <c r="K308" s="513">
        <v>0</v>
      </c>
      <c r="L308" s="513">
        <v>0.8</v>
      </c>
      <c r="M308" s="513">
        <v>0.14000000000000001</v>
      </c>
      <c r="N308" s="514">
        <f>LANÇ_MOV[[#This Row],[VALOR BRUTO]]-LANÇ_MOV[[#This Row],[DESCONTO]]+LANÇ_MOV[[#This Row],[JUROS]]+LANÇ_MOV[[#This Row],[MULTA]]</f>
        <v>15.360000000000001</v>
      </c>
      <c r="O308" s="528">
        <v>45764</v>
      </c>
      <c r="P308" s="516" t="str">
        <f t="shared" ca="1" si="4"/>
        <v>Venceu</v>
      </c>
      <c r="Q308" s="528"/>
      <c r="R308" s="529" t="s">
        <v>1506</v>
      </c>
      <c r="S308" s="518"/>
      <c r="T308" s="518" t="s">
        <v>1776</v>
      </c>
      <c r="U308" s="519" t="s">
        <v>2007</v>
      </c>
      <c r="V308" s="520" t="str">
        <f>IFERROR(VLOOKUP(LANÇ_MOV[[#This Row],[PLANO DE CONTAS]],Plano_Contas[[PLANO DE CONTAS]:[R / D]],3,0),"")</f>
        <v>Despesa</v>
      </c>
      <c r="W308" s="521" t="str">
        <f>IF(LANÇ_MOV[[#This Row],[DATA DE PAGAMENTO]]&lt;&gt;"","Pago","Não Pago")</f>
        <v>Não Pago</v>
      </c>
      <c r="X308" s="522" t="str">
        <f>IFERROR(IF(LANÇ_MOV[[#This Row],[DATA DE PAGAMENTO]]="","",(UPPER(TEXT(LANÇ_MOV[[#This Row],[DATA DE PAGAMENTO]],"mmmm")))),"")</f>
        <v/>
      </c>
      <c r="Y308" s="523" t="str">
        <f>IFERROR(VLOOKUP(LANÇ_MOV[[#This Row],[PLANO DE CONTAS]],Plano_Contas[[PLANO DE CONTAS]:[NOMES INTERVALOS]],2,0),"")</f>
        <v>Despesas_Endividamentos</v>
      </c>
      <c r="Z308" s="523" t="str">
        <f>IF(LANÇ_MOV[[#This Row],[FORMA DE PAGAMENTO]]="","",VLOOKUP(LANÇ_MOV[[#This Row],[FORMA DE PAGAMENTO]],CAD_Forma_pagto[],2,0))</f>
        <v>BOLETO</v>
      </c>
      <c r="AA308" s="524" t="str">
        <f>IF(LANÇ_MOV[[#This Row],[DATA DE LANÇAMENTO]]="","",TEXT(LANÇ_MOV[[#This Row],[DATA DE LANÇAMENTO]],"AAAA"))</f>
        <v>2025</v>
      </c>
      <c r="AB308" s="524" t="str">
        <f>IF(LANÇ_MOV[[#This Row],[DATA DE LANÇAMENTO]]="","",UPPER(TEXT(LANÇ_MOV[[#This Row],[DATA DE LANÇAMENTO]],"MMMM")))</f>
        <v>OUTUBRO</v>
      </c>
      <c r="AC308" s="525" t="str">
        <f>IF(LANÇ_MOV[[#This Row],[DATA DE LANÇAMENTO]]="","",PROPER(TEXT(LANÇ_MOV[[#This Row],[DATA DE LANÇAMENTO]],"M")))</f>
        <v>10</v>
      </c>
      <c r="AD308" s="524" t="str">
        <f>IF(LANÇ_MOV[[#This Row],[DATA DE LANÇAMENTO]]="","",TEXT(LANÇ_MOV[[#This Row],[DATA DE LANÇAMENTO]],"D"))</f>
        <v>1</v>
      </c>
      <c r="AE308" s="526" t="str">
        <f>IF(LANÇ_MOV[[#This Row],[DATA DE VENCIMENTO]]="","",TEXT(LANÇ_MOV[[#This Row],[DATA DE VENCIMENTO]],"AAAA"))</f>
        <v>2025</v>
      </c>
      <c r="AF308" s="526" t="str">
        <f>IF(LANÇ_MOV[[#This Row],[DATA DE VENCIMENTO]]="","",UPPER(TEXT(LANÇ_MOV[[#This Row],[DATA DE VENCIMENTO]],"MMMM")))</f>
        <v>ABRIL</v>
      </c>
      <c r="AG308" s="526" t="str">
        <f>IF(LANÇ_MOV[[#This Row],[DATA DE VENCIMENTO]]="","",TEXT(LANÇ_MOV[[#This Row],[DATA DE VENCIMENTO]],"M"))</f>
        <v>4</v>
      </c>
      <c r="AH308" s="526" t="str">
        <f>IF(LANÇ_MOV[[#This Row],[DATA DE VENCIMENTO]]="","",TEXT(LANÇ_MOV[[#This Row],[DATA DE VENCIMENTO]],"D"))</f>
        <v>17</v>
      </c>
      <c r="AI308" s="526" t="str">
        <f>IF(LANÇ_MOV[[#This Row],[DATA DE PAGAMENTO]]="","",TEXT(LANÇ_MOV[[#This Row],[DATA DE PAGAMENTO]],"AAAA"))</f>
        <v/>
      </c>
      <c r="AJ308" s="527" t="str">
        <f>IF(LANÇ_MOV[[#This Row],[DATA DE PAGAMENTO]]="","",UPPER(TEXT(LANÇ_MOV[[#This Row],[DATA DE PAGAMENTO]],"MMMM")))</f>
        <v/>
      </c>
      <c r="AK308" s="527" t="str">
        <f>IF(LANÇ_MOV[[#This Row],[DATA DE PAGAMENTO]]="","",TEXT(LANÇ_MOV[[#This Row],[DATA DE PAGAMENTO]],"M"))</f>
        <v/>
      </c>
      <c r="AL308" s="526" t="str">
        <f>IF(LANÇ_MOV[[#This Row],[DATA DE PAGAMENTO]]="","",TEXT(LANÇ_MOV[[#This Row],[DATA DE PAGAMENTO]],"D"))</f>
        <v/>
      </c>
      <c r="AM308" s="27"/>
      <c r="BB308" s="112"/>
      <c r="BC308" s="112"/>
      <c r="BD308" s="112"/>
    </row>
    <row r="309" spans="2:56" ht="30.05" customHeight="1" x14ac:dyDescent="0.35">
      <c r="B309" s="506">
        <v>45931</v>
      </c>
      <c r="C309" s="507" t="s">
        <v>1661</v>
      </c>
      <c r="D309" s="508" t="s">
        <v>1854</v>
      </c>
      <c r="E309" s="509" t="s">
        <v>1440</v>
      </c>
      <c r="F309" s="510" t="s">
        <v>1840</v>
      </c>
      <c r="G309" s="507">
        <v>2024</v>
      </c>
      <c r="H309" s="511"/>
      <c r="I309" s="512" t="s">
        <v>1760</v>
      </c>
      <c r="J309" s="510">
        <v>19.25</v>
      </c>
      <c r="K309" s="513">
        <v>0</v>
      </c>
      <c r="L309" s="513">
        <v>3.85</v>
      </c>
      <c r="M309" s="513">
        <v>0.96</v>
      </c>
      <c r="N309" s="514">
        <f>LANÇ_MOV[[#This Row],[VALOR BRUTO]]-LANÇ_MOV[[#This Row],[DESCONTO]]+LANÇ_MOV[[#This Row],[JUROS]]+LANÇ_MOV[[#This Row],[MULTA]]</f>
        <v>24.060000000000002</v>
      </c>
      <c r="O309" s="528">
        <v>45646</v>
      </c>
      <c r="P309" s="516" t="str">
        <f t="shared" ca="1" si="4"/>
        <v>Venceu</v>
      </c>
      <c r="Q309" s="528"/>
      <c r="R309" s="529" t="s">
        <v>1506</v>
      </c>
      <c r="S309" s="518"/>
      <c r="T309" s="518" t="s">
        <v>1776</v>
      </c>
      <c r="U309" s="519" t="s">
        <v>2007</v>
      </c>
      <c r="V309" s="520" t="str">
        <f>IFERROR(VLOOKUP(LANÇ_MOV[[#This Row],[PLANO DE CONTAS]],Plano_Contas[[PLANO DE CONTAS]:[R / D]],3,0),"")</f>
        <v>Despesa</v>
      </c>
      <c r="W309" s="521" t="str">
        <f>IF(LANÇ_MOV[[#This Row],[DATA DE PAGAMENTO]]&lt;&gt;"","Pago","Não Pago")</f>
        <v>Não Pago</v>
      </c>
      <c r="X309" s="522" t="str">
        <f>IFERROR(IF(LANÇ_MOV[[#This Row],[DATA DE PAGAMENTO]]="","",(UPPER(TEXT(LANÇ_MOV[[#This Row],[DATA DE PAGAMENTO]],"mmmm")))),"")</f>
        <v/>
      </c>
      <c r="Y309" s="523" t="str">
        <f>IFERROR(VLOOKUP(LANÇ_MOV[[#This Row],[PLANO DE CONTAS]],Plano_Contas[[PLANO DE CONTAS]:[NOMES INTERVALOS]],2,0),"")</f>
        <v>Despesas_Endividamentos</v>
      </c>
      <c r="Z309" s="523" t="str">
        <f>IF(LANÇ_MOV[[#This Row],[FORMA DE PAGAMENTO]]="","",VLOOKUP(LANÇ_MOV[[#This Row],[FORMA DE PAGAMENTO]],CAD_Forma_pagto[],2,0))</f>
        <v>BOLETO</v>
      </c>
      <c r="AA309" s="524" t="str">
        <f>IF(LANÇ_MOV[[#This Row],[DATA DE LANÇAMENTO]]="","",TEXT(LANÇ_MOV[[#This Row],[DATA DE LANÇAMENTO]],"AAAA"))</f>
        <v>2025</v>
      </c>
      <c r="AB309" s="524" t="str">
        <f>IF(LANÇ_MOV[[#This Row],[DATA DE LANÇAMENTO]]="","",UPPER(TEXT(LANÇ_MOV[[#This Row],[DATA DE LANÇAMENTO]],"MMMM")))</f>
        <v>OUTUBRO</v>
      </c>
      <c r="AC309" s="525" t="str">
        <f>IF(LANÇ_MOV[[#This Row],[DATA DE LANÇAMENTO]]="","",PROPER(TEXT(LANÇ_MOV[[#This Row],[DATA DE LANÇAMENTO]],"M")))</f>
        <v>10</v>
      </c>
      <c r="AD309" s="524" t="str">
        <f>IF(LANÇ_MOV[[#This Row],[DATA DE LANÇAMENTO]]="","",TEXT(LANÇ_MOV[[#This Row],[DATA DE LANÇAMENTO]],"D"))</f>
        <v>1</v>
      </c>
      <c r="AE309" s="526" t="str">
        <f>IF(LANÇ_MOV[[#This Row],[DATA DE VENCIMENTO]]="","",TEXT(LANÇ_MOV[[#This Row],[DATA DE VENCIMENTO]],"AAAA"))</f>
        <v>2024</v>
      </c>
      <c r="AF309" s="526" t="str">
        <f>IF(LANÇ_MOV[[#This Row],[DATA DE VENCIMENTO]]="","",UPPER(TEXT(LANÇ_MOV[[#This Row],[DATA DE VENCIMENTO]],"MMMM")))</f>
        <v>DEZEMBRO</v>
      </c>
      <c r="AG309" s="526" t="str">
        <f>IF(LANÇ_MOV[[#This Row],[DATA DE VENCIMENTO]]="","",TEXT(LANÇ_MOV[[#This Row],[DATA DE VENCIMENTO]],"M"))</f>
        <v>12</v>
      </c>
      <c r="AH309" s="526" t="str">
        <f>IF(LANÇ_MOV[[#This Row],[DATA DE VENCIMENTO]]="","",TEXT(LANÇ_MOV[[#This Row],[DATA DE VENCIMENTO]],"D"))</f>
        <v>20</v>
      </c>
      <c r="AI309" s="526" t="str">
        <f>IF(LANÇ_MOV[[#This Row],[DATA DE PAGAMENTO]]="","",TEXT(LANÇ_MOV[[#This Row],[DATA DE PAGAMENTO]],"AAAA"))</f>
        <v/>
      </c>
      <c r="AJ309" s="527" t="str">
        <f>IF(LANÇ_MOV[[#This Row],[DATA DE PAGAMENTO]]="","",UPPER(TEXT(LANÇ_MOV[[#This Row],[DATA DE PAGAMENTO]],"MMMM")))</f>
        <v/>
      </c>
      <c r="AK309" s="527" t="str">
        <f>IF(LANÇ_MOV[[#This Row],[DATA DE PAGAMENTO]]="","",TEXT(LANÇ_MOV[[#This Row],[DATA DE PAGAMENTO]],"M"))</f>
        <v/>
      </c>
      <c r="AL309" s="526" t="str">
        <f>IF(LANÇ_MOV[[#This Row],[DATA DE PAGAMENTO]]="","",TEXT(LANÇ_MOV[[#This Row],[DATA DE PAGAMENTO]],"D"))</f>
        <v/>
      </c>
      <c r="AM309" s="27"/>
      <c r="BB309" s="112"/>
      <c r="BC309" s="112"/>
      <c r="BD309" s="112"/>
    </row>
    <row r="310" spans="2:56" ht="30.05" customHeight="1" x14ac:dyDescent="0.35">
      <c r="B310" s="506">
        <v>45931</v>
      </c>
      <c r="C310" s="507" t="s">
        <v>1661</v>
      </c>
      <c r="D310" s="508" t="s">
        <v>1854</v>
      </c>
      <c r="E310" s="509" t="s">
        <v>1440</v>
      </c>
      <c r="F310" s="510" t="s">
        <v>1840</v>
      </c>
      <c r="G310" s="507" t="s">
        <v>1912</v>
      </c>
      <c r="H310" s="511"/>
      <c r="I310" s="512" t="s">
        <v>1760</v>
      </c>
      <c r="J310" s="510">
        <v>197.41</v>
      </c>
      <c r="K310" s="513">
        <v>0</v>
      </c>
      <c r="L310" s="513">
        <v>39.479999999999997</v>
      </c>
      <c r="M310" s="513">
        <v>18.510000000000002</v>
      </c>
      <c r="N310" s="514">
        <f>LANÇ_MOV[[#This Row],[VALOR BRUTO]]-LANÇ_MOV[[#This Row],[DESCONTO]]+LANÇ_MOV[[#This Row],[JUROS]]+LANÇ_MOV[[#This Row],[MULTA]]</f>
        <v>255.39999999999998</v>
      </c>
      <c r="O310" s="528">
        <v>45492</v>
      </c>
      <c r="P310" s="516" t="str">
        <f t="shared" ca="1" si="4"/>
        <v>Venceu</v>
      </c>
      <c r="Q310" s="528"/>
      <c r="R310" s="529" t="s">
        <v>1506</v>
      </c>
      <c r="S310" s="518"/>
      <c r="T310" s="518" t="s">
        <v>1776</v>
      </c>
      <c r="U310" s="519" t="s">
        <v>2007</v>
      </c>
      <c r="V310" s="520" t="str">
        <f>IFERROR(VLOOKUP(LANÇ_MOV[[#This Row],[PLANO DE CONTAS]],Plano_Contas[[PLANO DE CONTAS]:[R / D]],3,0),"")</f>
        <v>Despesa</v>
      </c>
      <c r="W310" s="521" t="str">
        <f>IF(LANÇ_MOV[[#This Row],[DATA DE PAGAMENTO]]&lt;&gt;"","Pago","Não Pago")</f>
        <v>Não Pago</v>
      </c>
      <c r="X310" s="522" t="str">
        <f>IFERROR(IF(LANÇ_MOV[[#This Row],[DATA DE PAGAMENTO]]="","",(UPPER(TEXT(LANÇ_MOV[[#This Row],[DATA DE PAGAMENTO]],"mmmm")))),"")</f>
        <v/>
      </c>
      <c r="Y310" s="523" t="str">
        <f>IFERROR(VLOOKUP(LANÇ_MOV[[#This Row],[PLANO DE CONTAS]],Plano_Contas[[PLANO DE CONTAS]:[NOMES INTERVALOS]],2,0),"")</f>
        <v>Despesas_Endividamentos</v>
      </c>
      <c r="Z310" s="523" t="str">
        <f>IF(LANÇ_MOV[[#This Row],[FORMA DE PAGAMENTO]]="","",VLOOKUP(LANÇ_MOV[[#This Row],[FORMA DE PAGAMENTO]],CAD_Forma_pagto[],2,0))</f>
        <v>BOLETO</v>
      </c>
      <c r="AA310" s="524" t="str">
        <f>IF(LANÇ_MOV[[#This Row],[DATA DE LANÇAMENTO]]="","",TEXT(LANÇ_MOV[[#This Row],[DATA DE LANÇAMENTO]],"AAAA"))</f>
        <v>2025</v>
      </c>
      <c r="AB310" s="524" t="str">
        <f>IF(LANÇ_MOV[[#This Row],[DATA DE LANÇAMENTO]]="","",UPPER(TEXT(LANÇ_MOV[[#This Row],[DATA DE LANÇAMENTO]],"MMMM")))</f>
        <v>OUTUBRO</v>
      </c>
      <c r="AC310" s="525" t="str">
        <f>IF(LANÇ_MOV[[#This Row],[DATA DE LANÇAMENTO]]="","",PROPER(TEXT(LANÇ_MOV[[#This Row],[DATA DE LANÇAMENTO]],"M")))</f>
        <v>10</v>
      </c>
      <c r="AD310" s="524" t="str">
        <f>IF(LANÇ_MOV[[#This Row],[DATA DE LANÇAMENTO]]="","",TEXT(LANÇ_MOV[[#This Row],[DATA DE LANÇAMENTO]],"D"))</f>
        <v>1</v>
      </c>
      <c r="AE310" s="526" t="str">
        <f>IF(LANÇ_MOV[[#This Row],[DATA DE VENCIMENTO]]="","",TEXT(LANÇ_MOV[[#This Row],[DATA DE VENCIMENTO]],"AAAA"))</f>
        <v>2024</v>
      </c>
      <c r="AF310" s="526" t="str">
        <f>IF(LANÇ_MOV[[#This Row],[DATA DE VENCIMENTO]]="","",UPPER(TEXT(LANÇ_MOV[[#This Row],[DATA DE VENCIMENTO]],"MMMM")))</f>
        <v>JULHO</v>
      </c>
      <c r="AG310" s="526" t="str">
        <f>IF(LANÇ_MOV[[#This Row],[DATA DE VENCIMENTO]]="","",TEXT(LANÇ_MOV[[#This Row],[DATA DE VENCIMENTO]],"M"))</f>
        <v>7</v>
      </c>
      <c r="AH310" s="526" t="str">
        <f>IF(LANÇ_MOV[[#This Row],[DATA DE VENCIMENTO]]="","",TEXT(LANÇ_MOV[[#This Row],[DATA DE VENCIMENTO]],"D"))</f>
        <v>19</v>
      </c>
      <c r="AI310" s="526" t="str">
        <f>IF(LANÇ_MOV[[#This Row],[DATA DE PAGAMENTO]]="","",TEXT(LANÇ_MOV[[#This Row],[DATA DE PAGAMENTO]],"AAAA"))</f>
        <v/>
      </c>
      <c r="AJ310" s="527" t="str">
        <f>IF(LANÇ_MOV[[#This Row],[DATA DE PAGAMENTO]]="","",UPPER(TEXT(LANÇ_MOV[[#This Row],[DATA DE PAGAMENTO]],"MMMM")))</f>
        <v/>
      </c>
      <c r="AK310" s="527" t="str">
        <f>IF(LANÇ_MOV[[#This Row],[DATA DE PAGAMENTO]]="","",TEXT(LANÇ_MOV[[#This Row],[DATA DE PAGAMENTO]],"M"))</f>
        <v/>
      </c>
      <c r="AL310" s="526" t="str">
        <f>IF(LANÇ_MOV[[#This Row],[DATA DE PAGAMENTO]]="","",TEXT(LANÇ_MOV[[#This Row],[DATA DE PAGAMENTO]],"D"))</f>
        <v/>
      </c>
      <c r="AM310" s="27"/>
      <c r="BB310" s="112"/>
      <c r="BC310" s="112"/>
      <c r="BD310" s="112"/>
    </row>
    <row r="311" spans="2:56" ht="30.05" customHeight="1" x14ac:dyDescent="0.35">
      <c r="B311" s="506">
        <v>45931</v>
      </c>
      <c r="C311" s="507" t="s">
        <v>1661</v>
      </c>
      <c r="D311" s="508" t="s">
        <v>1854</v>
      </c>
      <c r="E311" s="509" t="s">
        <v>1440</v>
      </c>
      <c r="F311" s="510" t="s">
        <v>1840</v>
      </c>
      <c r="G311" s="507" t="s">
        <v>1913</v>
      </c>
      <c r="H311" s="511"/>
      <c r="I311" s="512" t="s">
        <v>1760</v>
      </c>
      <c r="J311" s="510">
        <v>156.55000000000001</v>
      </c>
      <c r="K311" s="513">
        <v>0</v>
      </c>
      <c r="L311" s="513">
        <v>31.31</v>
      </c>
      <c r="M311" s="513">
        <v>13.32</v>
      </c>
      <c r="N311" s="514">
        <f>LANÇ_MOV[[#This Row],[VALOR BRUTO]]-LANÇ_MOV[[#This Row],[DESCONTO]]+LANÇ_MOV[[#This Row],[JUROS]]+LANÇ_MOV[[#This Row],[MULTA]]</f>
        <v>201.18</v>
      </c>
      <c r="O311" s="528">
        <v>45524</v>
      </c>
      <c r="P311" s="516" t="str">
        <f t="shared" ca="1" si="4"/>
        <v>Venceu</v>
      </c>
      <c r="Q311" s="528"/>
      <c r="R311" s="518" t="s">
        <v>1506</v>
      </c>
      <c r="S311" s="518"/>
      <c r="T311" s="518" t="s">
        <v>1776</v>
      </c>
      <c r="U311" s="519" t="s">
        <v>2007</v>
      </c>
      <c r="V311" s="520" t="str">
        <f>IFERROR(VLOOKUP(LANÇ_MOV[[#This Row],[PLANO DE CONTAS]],Plano_Contas[[PLANO DE CONTAS]:[R / D]],3,0),"")</f>
        <v>Despesa</v>
      </c>
      <c r="W311" s="521" t="str">
        <f>IF(LANÇ_MOV[[#This Row],[DATA DE PAGAMENTO]]&lt;&gt;"","Pago","Não Pago")</f>
        <v>Não Pago</v>
      </c>
      <c r="X311" s="522" t="str">
        <f>IFERROR(IF(LANÇ_MOV[[#This Row],[DATA DE PAGAMENTO]]="","",(UPPER(TEXT(LANÇ_MOV[[#This Row],[DATA DE PAGAMENTO]],"mmmm")))),"")</f>
        <v/>
      </c>
      <c r="Y311" s="523" t="str">
        <f>IFERROR(VLOOKUP(LANÇ_MOV[[#This Row],[PLANO DE CONTAS]],Plano_Contas[[PLANO DE CONTAS]:[NOMES INTERVALOS]],2,0),"")</f>
        <v>Despesas_Endividamentos</v>
      </c>
      <c r="Z311" s="523" t="str">
        <f>IF(LANÇ_MOV[[#This Row],[FORMA DE PAGAMENTO]]="","",VLOOKUP(LANÇ_MOV[[#This Row],[FORMA DE PAGAMENTO]],CAD_Forma_pagto[],2,0))</f>
        <v>BOLETO</v>
      </c>
      <c r="AA311" s="524" t="str">
        <f>IF(LANÇ_MOV[[#This Row],[DATA DE LANÇAMENTO]]="","",TEXT(LANÇ_MOV[[#This Row],[DATA DE LANÇAMENTO]],"AAAA"))</f>
        <v>2025</v>
      </c>
      <c r="AB311" s="524" t="str">
        <f>IF(LANÇ_MOV[[#This Row],[DATA DE LANÇAMENTO]]="","",UPPER(TEXT(LANÇ_MOV[[#This Row],[DATA DE LANÇAMENTO]],"MMMM")))</f>
        <v>OUTUBRO</v>
      </c>
      <c r="AC311" s="525" t="str">
        <f>IF(LANÇ_MOV[[#This Row],[DATA DE LANÇAMENTO]]="","",PROPER(TEXT(LANÇ_MOV[[#This Row],[DATA DE LANÇAMENTO]],"M")))</f>
        <v>10</v>
      </c>
      <c r="AD311" s="524" t="str">
        <f>IF(LANÇ_MOV[[#This Row],[DATA DE LANÇAMENTO]]="","",TEXT(LANÇ_MOV[[#This Row],[DATA DE LANÇAMENTO]],"D"))</f>
        <v>1</v>
      </c>
      <c r="AE311" s="526" t="str">
        <f>IF(LANÇ_MOV[[#This Row],[DATA DE VENCIMENTO]]="","",TEXT(LANÇ_MOV[[#This Row],[DATA DE VENCIMENTO]],"AAAA"))</f>
        <v>2024</v>
      </c>
      <c r="AF311" s="526" t="str">
        <f>IF(LANÇ_MOV[[#This Row],[DATA DE VENCIMENTO]]="","",UPPER(TEXT(LANÇ_MOV[[#This Row],[DATA DE VENCIMENTO]],"MMMM")))</f>
        <v>AGOSTO</v>
      </c>
      <c r="AG311" s="526" t="str">
        <f>IF(LANÇ_MOV[[#This Row],[DATA DE VENCIMENTO]]="","",TEXT(LANÇ_MOV[[#This Row],[DATA DE VENCIMENTO]],"M"))</f>
        <v>8</v>
      </c>
      <c r="AH311" s="526" t="str">
        <f>IF(LANÇ_MOV[[#This Row],[DATA DE VENCIMENTO]]="","",TEXT(LANÇ_MOV[[#This Row],[DATA DE VENCIMENTO]],"D"))</f>
        <v>20</v>
      </c>
      <c r="AI311" s="526" t="str">
        <f>IF(LANÇ_MOV[[#This Row],[DATA DE PAGAMENTO]]="","",TEXT(LANÇ_MOV[[#This Row],[DATA DE PAGAMENTO]],"AAAA"))</f>
        <v/>
      </c>
      <c r="AJ311" s="527" t="str">
        <f>IF(LANÇ_MOV[[#This Row],[DATA DE PAGAMENTO]]="","",UPPER(TEXT(LANÇ_MOV[[#This Row],[DATA DE PAGAMENTO]],"MMMM")))</f>
        <v/>
      </c>
      <c r="AK311" s="527" t="str">
        <f>IF(LANÇ_MOV[[#This Row],[DATA DE PAGAMENTO]]="","",TEXT(LANÇ_MOV[[#This Row],[DATA DE PAGAMENTO]],"M"))</f>
        <v/>
      </c>
      <c r="AL311" s="526" t="str">
        <f>IF(LANÇ_MOV[[#This Row],[DATA DE PAGAMENTO]]="","",TEXT(LANÇ_MOV[[#This Row],[DATA DE PAGAMENTO]],"D"))</f>
        <v/>
      </c>
      <c r="AM311" s="27"/>
      <c r="BB311" s="112"/>
      <c r="BC311" s="112"/>
      <c r="BD311" s="112"/>
    </row>
    <row r="312" spans="2:56" ht="30.05" customHeight="1" x14ac:dyDescent="0.35">
      <c r="B312" s="506">
        <v>45931</v>
      </c>
      <c r="C312" s="507" t="s">
        <v>1661</v>
      </c>
      <c r="D312" s="508" t="s">
        <v>1854</v>
      </c>
      <c r="E312" s="509" t="s">
        <v>1440</v>
      </c>
      <c r="F312" s="510" t="s">
        <v>1840</v>
      </c>
      <c r="G312" s="507" t="s">
        <v>1914</v>
      </c>
      <c r="H312" s="511"/>
      <c r="I312" s="512" t="s">
        <v>1760</v>
      </c>
      <c r="J312" s="510">
        <v>227.18</v>
      </c>
      <c r="K312" s="513">
        <v>0</v>
      </c>
      <c r="L312" s="513">
        <v>45.43</v>
      </c>
      <c r="M312" s="513">
        <v>17.420000000000002</v>
      </c>
      <c r="N312" s="514">
        <f>LANÇ_MOV[[#This Row],[VALOR BRUTO]]-LANÇ_MOV[[#This Row],[DESCONTO]]+LANÇ_MOV[[#This Row],[JUROS]]+LANÇ_MOV[[#This Row],[MULTA]]</f>
        <v>290.03000000000003</v>
      </c>
      <c r="O312" s="528">
        <v>45555</v>
      </c>
      <c r="P312" s="516" t="str">
        <f t="shared" ca="1" si="4"/>
        <v>Venceu</v>
      </c>
      <c r="Q312" s="528"/>
      <c r="R312" s="529" t="s">
        <v>1506</v>
      </c>
      <c r="S312" s="518"/>
      <c r="T312" s="518" t="s">
        <v>1776</v>
      </c>
      <c r="U312" s="519" t="s">
        <v>2007</v>
      </c>
      <c r="V312" s="520" t="str">
        <f>IFERROR(VLOOKUP(LANÇ_MOV[[#This Row],[PLANO DE CONTAS]],Plano_Contas[[PLANO DE CONTAS]:[R / D]],3,0),"")</f>
        <v>Despesa</v>
      </c>
      <c r="W312" s="521" t="str">
        <f>IF(LANÇ_MOV[[#This Row],[DATA DE PAGAMENTO]]&lt;&gt;"","Pago","Não Pago")</f>
        <v>Não Pago</v>
      </c>
      <c r="X312" s="522" t="str">
        <f>IFERROR(IF(LANÇ_MOV[[#This Row],[DATA DE PAGAMENTO]]="","",(UPPER(TEXT(LANÇ_MOV[[#This Row],[DATA DE PAGAMENTO]],"mmmm")))),"")</f>
        <v/>
      </c>
      <c r="Y312" s="523" t="str">
        <f>IFERROR(VLOOKUP(LANÇ_MOV[[#This Row],[PLANO DE CONTAS]],Plano_Contas[[PLANO DE CONTAS]:[NOMES INTERVALOS]],2,0),"")</f>
        <v>Despesas_Endividamentos</v>
      </c>
      <c r="Z312" s="523" t="str">
        <f>IF(LANÇ_MOV[[#This Row],[FORMA DE PAGAMENTO]]="","",VLOOKUP(LANÇ_MOV[[#This Row],[FORMA DE PAGAMENTO]],CAD_Forma_pagto[],2,0))</f>
        <v>BOLETO</v>
      </c>
      <c r="AA312" s="524" t="str">
        <f>IF(LANÇ_MOV[[#This Row],[DATA DE LANÇAMENTO]]="","",TEXT(LANÇ_MOV[[#This Row],[DATA DE LANÇAMENTO]],"AAAA"))</f>
        <v>2025</v>
      </c>
      <c r="AB312" s="524" t="str">
        <f>IF(LANÇ_MOV[[#This Row],[DATA DE LANÇAMENTO]]="","",UPPER(TEXT(LANÇ_MOV[[#This Row],[DATA DE LANÇAMENTO]],"MMMM")))</f>
        <v>OUTUBRO</v>
      </c>
      <c r="AC312" s="525" t="str">
        <f>IF(LANÇ_MOV[[#This Row],[DATA DE LANÇAMENTO]]="","",PROPER(TEXT(LANÇ_MOV[[#This Row],[DATA DE LANÇAMENTO]],"M")))</f>
        <v>10</v>
      </c>
      <c r="AD312" s="524" t="str">
        <f>IF(LANÇ_MOV[[#This Row],[DATA DE LANÇAMENTO]]="","",TEXT(LANÇ_MOV[[#This Row],[DATA DE LANÇAMENTO]],"D"))</f>
        <v>1</v>
      </c>
      <c r="AE312" s="526" t="str">
        <f>IF(LANÇ_MOV[[#This Row],[DATA DE VENCIMENTO]]="","",TEXT(LANÇ_MOV[[#This Row],[DATA DE VENCIMENTO]],"AAAA"))</f>
        <v>2024</v>
      </c>
      <c r="AF312" s="526" t="str">
        <f>IF(LANÇ_MOV[[#This Row],[DATA DE VENCIMENTO]]="","",UPPER(TEXT(LANÇ_MOV[[#This Row],[DATA DE VENCIMENTO]],"MMMM")))</f>
        <v>SETEMBRO</v>
      </c>
      <c r="AG312" s="526" t="str">
        <f>IF(LANÇ_MOV[[#This Row],[DATA DE VENCIMENTO]]="","",TEXT(LANÇ_MOV[[#This Row],[DATA DE VENCIMENTO]],"M"))</f>
        <v>9</v>
      </c>
      <c r="AH312" s="526" t="str">
        <f>IF(LANÇ_MOV[[#This Row],[DATA DE VENCIMENTO]]="","",TEXT(LANÇ_MOV[[#This Row],[DATA DE VENCIMENTO]],"D"))</f>
        <v>20</v>
      </c>
      <c r="AI312" s="526" t="str">
        <f>IF(LANÇ_MOV[[#This Row],[DATA DE PAGAMENTO]]="","",TEXT(LANÇ_MOV[[#This Row],[DATA DE PAGAMENTO]],"AAAA"))</f>
        <v/>
      </c>
      <c r="AJ312" s="527" t="str">
        <f>IF(LANÇ_MOV[[#This Row],[DATA DE PAGAMENTO]]="","",UPPER(TEXT(LANÇ_MOV[[#This Row],[DATA DE PAGAMENTO]],"MMMM")))</f>
        <v/>
      </c>
      <c r="AK312" s="527" t="str">
        <f>IF(LANÇ_MOV[[#This Row],[DATA DE PAGAMENTO]]="","",TEXT(LANÇ_MOV[[#This Row],[DATA DE PAGAMENTO]],"M"))</f>
        <v/>
      </c>
      <c r="AL312" s="526" t="str">
        <f>IF(LANÇ_MOV[[#This Row],[DATA DE PAGAMENTO]]="","",TEXT(LANÇ_MOV[[#This Row],[DATA DE PAGAMENTO]],"D"))</f>
        <v/>
      </c>
      <c r="AM312" s="27"/>
      <c r="BB312" s="112"/>
      <c r="BC312" s="112"/>
      <c r="BD312" s="112"/>
    </row>
    <row r="313" spans="2:56" ht="30.05" customHeight="1" x14ac:dyDescent="0.35">
      <c r="B313" s="506">
        <v>45931</v>
      </c>
      <c r="C313" s="507" t="s">
        <v>1661</v>
      </c>
      <c r="D313" s="508" t="s">
        <v>1854</v>
      </c>
      <c r="E313" s="509" t="s">
        <v>1440</v>
      </c>
      <c r="F313" s="510" t="s">
        <v>1840</v>
      </c>
      <c r="G313" s="507" t="s">
        <v>1915</v>
      </c>
      <c r="H313" s="511"/>
      <c r="I313" s="512" t="s">
        <v>1760</v>
      </c>
      <c r="J313" s="510">
        <v>227.47</v>
      </c>
      <c r="K313" s="513">
        <v>0</v>
      </c>
      <c r="L313" s="513">
        <v>45.49</v>
      </c>
      <c r="M313" s="513">
        <v>15.33</v>
      </c>
      <c r="N313" s="514">
        <f>LANÇ_MOV[[#This Row],[VALOR BRUTO]]-LANÇ_MOV[[#This Row],[DESCONTO]]+LANÇ_MOV[[#This Row],[JUROS]]+LANÇ_MOV[[#This Row],[MULTA]]</f>
        <v>288.28999999999996</v>
      </c>
      <c r="O313" s="528">
        <v>45583</v>
      </c>
      <c r="P313" s="516" t="str">
        <f t="shared" ca="1" si="4"/>
        <v>Venceu</v>
      </c>
      <c r="Q313" s="528"/>
      <c r="R313" s="518" t="s">
        <v>1506</v>
      </c>
      <c r="S313" s="518"/>
      <c r="T313" s="518" t="s">
        <v>1776</v>
      </c>
      <c r="U313" s="519" t="s">
        <v>2007</v>
      </c>
      <c r="V313" s="520" t="str">
        <f>IFERROR(VLOOKUP(LANÇ_MOV[[#This Row],[PLANO DE CONTAS]],Plano_Contas[[PLANO DE CONTAS]:[R / D]],3,0),"")</f>
        <v>Despesa</v>
      </c>
      <c r="W313" s="521" t="str">
        <f>IF(LANÇ_MOV[[#This Row],[DATA DE PAGAMENTO]]&lt;&gt;"","Pago","Não Pago")</f>
        <v>Não Pago</v>
      </c>
      <c r="X313" s="522" t="str">
        <f>IFERROR(IF(LANÇ_MOV[[#This Row],[DATA DE PAGAMENTO]]="","",(UPPER(TEXT(LANÇ_MOV[[#This Row],[DATA DE PAGAMENTO]],"mmmm")))),"")</f>
        <v/>
      </c>
      <c r="Y313" s="523" t="str">
        <f>IFERROR(VLOOKUP(LANÇ_MOV[[#This Row],[PLANO DE CONTAS]],Plano_Contas[[PLANO DE CONTAS]:[NOMES INTERVALOS]],2,0),"")</f>
        <v>Despesas_Endividamentos</v>
      </c>
      <c r="Z313" s="523" t="str">
        <f>IF(LANÇ_MOV[[#This Row],[FORMA DE PAGAMENTO]]="","",VLOOKUP(LANÇ_MOV[[#This Row],[FORMA DE PAGAMENTO]],CAD_Forma_pagto[],2,0))</f>
        <v>BOLETO</v>
      </c>
      <c r="AA313" s="524" t="str">
        <f>IF(LANÇ_MOV[[#This Row],[DATA DE LANÇAMENTO]]="","",TEXT(LANÇ_MOV[[#This Row],[DATA DE LANÇAMENTO]],"AAAA"))</f>
        <v>2025</v>
      </c>
      <c r="AB313" s="524" t="str">
        <f>IF(LANÇ_MOV[[#This Row],[DATA DE LANÇAMENTO]]="","",UPPER(TEXT(LANÇ_MOV[[#This Row],[DATA DE LANÇAMENTO]],"MMMM")))</f>
        <v>OUTUBRO</v>
      </c>
      <c r="AC313" s="525" t="str">
        <f>IF(LANÇ_MOV[[#This Row],[DATA DE LANÇAMENTO]]="","",PROPER(TEXT(LANÇ_MOV[[#This Row],[DATA DE LANÇAMENTO]],"M")))</f>
        <v>10</v>
      </c>
      <c r="AD313" s="524" t="str">
        <f>IF(LANÇ_MOV[[#This Row],[DATA DE LANÇAMENTO]]="","",TEXT(LANÇ_MOV[[#This Row],[DATA DE LANÇAMENTO]],"D"))</f>
        <v>1</v>
      </c>
      <c r="AE313" s="526" t="str">
        <f>IF(LANÇ_MOV[[#This Row],[DATA DE VENCIMENTO]]="","",TEXT(LANÇ_MOV[[#This Row],[DATA DE VENCIMENTO]],"AAAA"))</f>
        <v>2024</v>
      </c>
      <c r="AF313" s="526" t="str">
        <f>IF(LANÇ_MOV[[#This Row],[DATA DE VENCIMENTO]]="","",UPPER(TEXT(LANÇ_MOV[[#This Row],[DATA DE VENCIMENTO]],"MMMM")))</f>
        <v>OUTUBRO</v>
      </c>
      <c r="AG313" s="526" t="str">
        <f>IF(LANÇ_MOV[[#This Row],[DATA DE VENCIMENTO]]="","",TEXT(LANÇ_MOV[[#This Row],[DATA DE VENCIMENTO]],"M"))</f>
        <v>10</v>
      </c>
      <c r="AH313" s="526" t="str">
        <f>IF(LANÇ_MOV[[#This Row],[DATA DE VENCIMENTO]]="","",TEXT(LANÇ_MOV[[#This Row],[DATA DE VENCIMENTO]],"D"))</f>
        <v>18</v>
      </c>
      <c r="AI313" s="526" t="str">
        <f>IF(LANÇ_MOV[[#This Row],[DATA DE PAGAMENTO]]="","",TEXT(LANÇ_MOV[[#This Row],[DATA DE PAGAMENTO]],"AAAA"))</f>
        <v/>
      </c>
      <c r="AJ313" s="527" t="str">
        <f>IF(LANÇ_MOV[[#This Row],[DATA DE PAGAMENTO]]="","",UPPER(TEXT(LANÇ_MOV[[#This Row],[DATA DE PAGAMENTO]],"MMMM")))</f>
        <v/>
      </c>
      <c r="AK313" s="527" t="str">
        <f>IF(LANÇ_MOV[[#This Row],[DATA DE PAGAMENTO]]="","",TEXT(LANÇ_MOV[[#This Row],[DATA DE PAGAMENTO]],"M"))</f>
        <v/>
      </c>
      <c r="AL313" s="526" t="str">
        <f>IF(LANÇ_MOV[[#This Row],[DATA DE PAGAMENTO]]="","",TEXT(LANÇ_MOV[[#This Row],[DATA DE PAGAMENTO]],"D"))</f>
        <v/>
      </c>
      <c r="AM313" s="27"/>
      <c r="BB313" s="112"/>
      <c r="BC313" s="112"/>
      <c r="BD313" s="112"/>
    </row>
    <row r="314" spans="2:56" ht="30.05" customHeight="1" x14ac:dyDescent="0.35">
      <c r="B314" s="506">
        <v>45931</v>
      </c>
      <c r="C314" s="507" t="s">
        <v>1661</v>
      </c>
      <c r="D314" s="508" t="s">
        <v>1854</v>
      </c>
      <c r="E314" s="509" t="s">
        <v>1440</v>
      </c>
      <c r="F314" s="510" t="s">
        <v>1840</v>
      </c>
      <c r="G314" s="507" t="s">
        <v>1916</v>
      </c>
      <c r="H314" s="511"/>
      <c r="I314" s="512" t="s">
        <v>1760</v>
      </c>
      <c r="J314" s="510">
        <v>264.19</v>
      </c>
      <c r="K314" s="513">
        <v>0</v>
      </c>
      <c r="L314" s="513">
        <v>52.83</v>
      </c>
      <c r="M314" s="513">
        <v>15.71</v>
      </c>
      <c r="N314" s="514">
        <f>LANÇ_MOV[[#This Row],[VALOR BRUTO]]-LANÇ_MOV[[#This Row],[DESCONTO]]+LANÇ_MOV[[#This Row],[JUROS]]+LANÇ_MOV[[#This Row],[MULTA]]</f>
        <v>332.72999999999996</v>
      </c>
      <c r="O314" s="528">
        <v>45615</v>
      </c>
      <c r="P314" s="516" t="str">
        <f t="shared" ca="1" si="4"/>
        <v>Venceu</v>
      </c>
      <c r="Q314" s="528"/>
      <c r="R314" s="518" t="s">
        <v>1506</v>
      </c>
      <c r="S314" s="518"/>
      <c r="T314" s="518" t="s">
        <v>1776</v>
      </c>
      <c r="U314" s="519" t="s">
        <v>2007</v>
      </c>
      <c r="V314" s="520" t="str">
        <f>IFERROR(VLOOKUP(LANÇ_MOV[[#This Row],[PLANO DE CONTAS]],Plano_Contas[[PLANO DE CONTAS]:[R / D]],3,0),"")</f>
        <v>Despesa</v>
      </c>
      <c r="W314" s="521" t="str">
        <f>IF(LANÇ_MOV[[#This Row],[DATA DE PAGAMENTO]]&lt;&gt;"","Pago","Não Pago")</f>
        <v>Não Pago</v>
      </c>
      <c r="X314" s="522" t="str">
        <f>IFERROR(IF(LANÇ_MOV[[#This Row],[DATA DE PAGAMENTO]]="","",(UPPER(TEXT(LANÇ_MOV[[#This Row],[DATA DE PAGAMENTO]],"mmmm")))),"")</f>
        <v/>
      </c>
      <c r="Y314" s="523" t="str">
        <f>IFERROR(VLOOKUP(LANÇ_MOV[[#This Row],[PLANO DE CONTAS]],Plano_Contas[[PLANO DE CONTAS]:[NOMES INTERVALOS]],2,0),"")</f>
        <v>Despesas_Endividamentos</v>
      </c>
      <c r="Z314" s="523" t="str">
        <f>IF(LANÇ_MOV[[#This Row],[FORMA DE PAGAMENTO]]="","",VLOOKUP(LANÇ_MOV[[#This Row],[FORMA DE PAGAMENTO]],CAD_Forma_pagto[],2,0))</f>
        <v>BOLETO</v>
      </c>
      <c r="AA314" s="524" t="str">
        <f>IF(LANÇ_MOV[[#This Row],[DATA DE LANÇAMENTO]]="","",TEXT(LANÇ_MOV[[#This Row],[DATA DE LANÇAMENTO]],"AAAA"))</f>
        <v>2025</v>
      </c>
      <c r="AB314" s="524" t="str">
        <f>IF(LANÇ_MOV[[#This Row],[DATA DE LANÇAMENTO]]="","",UPPER(TEXT(LANÇ_MOV[[#This Row],[DATA DE LANÇAMENTO]],"MMMM")))</f>
        <v>OUTUBRO</v>
      </c>
      <c r="AC314" s="525" t="str">
        <f>IF(LANÇ_MOV[[#This Row],[DATA DE LANÇAMENTO]]="","",PROPER(TEXT(LANÇ_MOV[[#This Row],[DATA DE LANÇAMENTO]],"M")))</f>
        <v>10</v>
      </c>
      <c r="AD314" s="524" t="str">
        <f>IF(LANÇ_MOV[[#This Row],[DATA DE LANÇAMENTO]]="","",TEXT(LANÇ_MOV[[#This Row],[DATA DE LANÇAMENTO]],"D"))</f>
        <v>1</v>
      </c>
      <c r="AE314" s="526" t="str">
        <f>IF(LANÇ_MOV[[#This Row],[DATA DE VENCIMENTO]]="","",TEXT(LANÇ_MOV[[#This Row],[DATA DE VENCIMENTO]],"AAAA"))</f>
        <v>2024</v>
      </c>
      <c r="AF314" s="526" t="str">
        <f>IF(LANÇ_MOV[[#This Row],[DATA DE VENCIMENTO]]="","",UPPER(TEXT(LANÇ_MOV[[#This Row],[DATA DE VENCIMENTO]],"MMMM")))</f>
        <v>NOVEMBRO</v>
      </c>
      <c r="AG314" s="526" t="str">
        <f>IF(LANÇ_MOV[[#This Row],[DATA DE VENCIMENTO]]="","",TEXT(LANÇ_MOV[[#This Row],[DATA DE VENCIMENTO]],"M"))</f>
        <v>11</v>
      </c>
      <c r="AH314" s="526" t="str">
        <f>IF(LANÇ_MOV[[#This Row],[DATA DE VENCIMENTO]]="","",TEXT(LANÇ_MOV[[#This Row],[DATA DE VENCIMENTO]],"D"))</f>
        <v>19</v>
      </c>
      <c r="AI314" s="526" t="str">
        <f>IF(LANÇ_MOV[[#This Row],[DATA DE PAGAMENTO]]="","",TEXT(LANÇ_MOV[[#This Row],[DATA DE PAGAMENTO]],"AAAA"))</f>
        <v/>
      </c>
      <c r="AJ314" s="527" t="str">
        <f>IF(LANÇ_MOV[[#This Row],[DATA DE PAGAMENTO]]="","",UPPER(TEXT(LANÇ_MOV[[#This Row],[DATA DE PAGAMENTO]],"MMMM")))</f>
        <v/>
      </c>
      <c r="AK314" s="527" t="str">
        <f>IF(LANÇ_MOV[[#This Row],[DATA DE PAGAMENTO]]="","",TEXT(LANÇ_MOV[[#This Row],[DATA DE PAGAMENTO]],"M"))</f>
        <v/>
      </c>
      <c r="AL314" s="526" t="str">
        <f>IF(LANÇ_MOV[[#This Row],[DATA DE PAGAMENTO]]="","",TEXT(LANÇ_MOV[[#This Row],[DATA DE PAGAMENTO]],"D"))</f>
        <v/>
      </c>
      <c r="AM314" s="27"/>
      <c r="BB314" s="112"/>
      <c r="BC314" s="112"/>
      <c r="BD314" s="112"/>
    </row>
    <row r="315" spans="2:56" ht="30.05" customHeight="1" x14ac:dyDescent="0.35">
      <c r="B315" s="506">
        <v>45931</v>
      </c>
      <c r="C315" s="507" t="s">
        <v>1661</v>
      </c>
      <c r="D315" s="508" t="s">
        <v>1854</v>
      </c>
      <c r="E315" s="509" t="s">
        <v>1440</v>
      </c>
      <c r="F315" s="510" t="s">
        <v>1840</v>
      </c>
      <c r="G315" s="507" t="s">
        <v>1917</v>
      </c>
      <c r="H315" s="511"/>
      <c r="I315" s="512" t="s">
        <v>1760</v>
      </c>
      <c r="J315" s="510">
        <v>167.15</v>
      </c>
      <c r="K315" s="513">
        <v>0</v>
      </c>
      <c r="L315" s="513">
        <v>33.43</v>
      </c>
      <c r="M315" s="513">
        <v>8.39</v>
      </c>
      <c r="N315" s="514">
        <f>LANÇ_MOV[[#This Row],[VALOR BRUTO]]-LANÇ_MOV[[#This Row],[DESCONTO]]+LANÇ_MOV[[#This Row],[JUROS]]+LANÇ_MOV[[#This Row],[MULTA]]</f>
        <v>208.97000000000003</v>
      </c>
      <c r="O315" s="528">
        <v>45646</v>
      </c>
      <c r="P315" s="516" t="str">
        <f t="shared" ca="1" si="4"/>
        <v>Venceu</v>
      </c>
      <c r="Q315" s="528"/>
      <c r="R315" s="529" t="s">
        <v>1506</v>
      </c>
      <c r="S315" s="518"/>
      <c r="T315" s="518" t="s">
        <v>1776</v>
      </c>
      <c r="U315" s="519" t="s">
        <v>2007</v>
      </c>
      <c r="V315" s="520" t="str">
        <f>IFERROR(VLOOKUP(LANÇ_MOV[[#This Row],[PLANO DE CONTAS]],Plano_Contas[[PLANO DE CONTAS]:[R / D]],3,0),"")</f>
        <v>Despesa</v>
      </c>
      <c r="W315" s="521" t="str">
        <f>IF(LANÇ_MOV[[#This Row],[DATA DE PAGAMENTO]]&lt;&gt;"","Pago","Não Pago")</f>
        <v>Não Pago</v>
      </c>
      <c r="X315" s="522" t="str">
        <f>IFERROR(IF(LANÇ_MOV[[#This Row],[DATA DE PAGAMENTO]]="","",(UPPER(TEXT(LANÇ_MOV[[#This Row],[DATA DE PAGAMENTO]],"mmmm")))),"")</f>
        <v/>
      </c>
      <c r="Y315" s="523" t="str">
        <f>IFERROR(VLOOKUP(LANÇ_MOV[[#This Row],[PLANO DE CONTAS]],Plano_Contas[[PLANO DE CONTAS]:[NOMES INTERVALOS]],2,0),"")</f>
        <v>Despesas_Endividamentos</v>
      </c>
      <c r="Z315" s="523" t="str">
        <f>IF(LANÇ_MOV[[#This Row],[FORMA DE PAGAMENTO]]="","",VLOOKUP(LANÇ_MOV[[#This Row],[FORMA DE PAGAMENTO]],CAD_Forma_pagto[],2,0))</f>
        <v>BOLETO</v>
      </c>
      <c r="AA315" s="524" t="str">
        <f>IF(LANÇ_MOV[[#This Row],[DATA DE LANÇAMENTO]]="","",TEXT(LANÇ_MOV[[#This Row],[DATA DE LANÇAMENTO]],"AAAA"))</f>
        <v>2025</v>
      </c>
      <c r="AB315" s="524" t="str">
        <f>IF(LANÇ_MOV[[#This Row],[DATA DE LANÇAMENTO]]="","",UPPER(TEXT(LANÇ_MOV[[#This Row],[DATA DE LANÇAMENTO]],"MMMM")))</f>
        <v>OUTUBRO</v>
      </c>
      <c r="AC315" s="525" t="str">
        <f>IF(LANÇ_MOV[[#This Row],[DATA DE LANÇAMENTO]]="","",PROPER(TEXT(LANÇ_MOV[[#This Row],[DATA DE LANÇAMENTO]],"M")))</f>
        <v>10</v>
      </c>
      <c r="AD315" s="524" t="str">
        <f>IF(LANÇ_MOV[[#This Row],[DATA DE LANÇAMENTO]]="","",TEXT(LANÇ_MOV[[#This Row],[DATA DE LANÇAMENTO]],"D"))</f>
        <v>1</v>
      </c>
      <c r="AE315" s="526" t="str">
        <f>IF(LANÇ_MOV[[#This Row],[DATA DE VENCIMENTO]]="","",TEXT(LANÇ_MOV[[#This Row],[DATA DE VENCIMENTO]],"AAAA"))</f>
        <v>2024</v>
      </c>
      <c r="AF315" s="526" t="str">
        <f>IF(LANÇ_MOV[[#This Row],[DATA DE VENCIMENTO]]="","",UPPER(TEXT(LANÇ_MOV[[#This Row],[DATA DE VENCIMENTO]],"MMMM")))</f>
        <v>DEZEMBRO</v>
      </c>
      <c r="AG315" s="526" t="str">
        <f>IF(LANÇ_MOV[[#This Row],[DATA DE VENCIMENTO]]="","",TEXT(LANÇ_MOV[[#This Row],[DATA DE VENCIMENTO]],"M"))</f>
        <v>12</v>
      </c>
      <c r="AH315" s="526" t="str">
        <f>IF(LANÇ_MOV[[#This Row],[DATA DE VENCIMENTO]]="","",TEXT(LANÇ_MOV[[#This Row],[DATA DE VENCIMENTO]],"D"))</f>
        <v>20</v>
      </c>
      <c r="AI315" s="526" t="str">
        <f>IF(LANÇ_MOV[[#This Row],[DATA DE PAGAMENTO]]="","",TEXT(LANÇ_MOV[[#This Row],[DATA DE PAGAMENTO]],"AAAA"))</f>
        <v/>
      </c>
      <c r="AJ315" s="527" t="str">
        <f>IF(LANÇ_MOV[[#This Row],[DATA DE PAGAMENTO]]="","",UPPER(TEXT(LANÇ_MOV[[#This Row],[DATA DE PAGAMENTO]],"MMMM")))</f>
        <v/>
      </c>
      <c r="AK315" s="527" t="str">
        <f>IF(LANÇ_MOV[[#This Row],[DATA DE PAGAMENTO]]="","",TEXT(LANÇ_MOV[[#This Row],[DATA DE PAGAMENTO]],"M"))</f>
        <v/>
      </c>
      <c r="AL315" s="526" t="str">
        <f>IF(LANÇ_MOV[[#This Row],[DATA DE PAGAMENTO]]="","",TEXT(LANÇ_MOV[[#This Row],[DATA DE PAGAMENTO]],"D"))</f>
        <v/>
      </c>
      <c r="AM315" s="27"/>
      <c r="BB315" s="112"/>
      <c r="BC315" s="112"/>
      <c r="BD315" s="112"/>
    </row>
    <row r="316" spans="2:56" ht="30.05" customHeight="1" x14ac:dyDescent="0.35">
      <c r="B316" s="506">
        <v>45931</v>
      </c>
      <c r="C316" s="507" t="s">
        <v>1661</v>
      </c>
      <c r="D316" s="508" t="s">
        <v>1854</v>
      </c>
      <c r="E316" s="509" t="s">
        <v>1440</v>
      </c>
      <c r="F316" s="510" t="s">
        <v>1840</v>
      </c>
      <c r="G316" s="507" t="s">
        <v>1918</v>
      </c>
      <c r="H316" s="511"/>
      <c r="I316" s="512" t="s">
        <v>1760</v>
      </c>
      <c r="J316" s="510">
        <v>181.63</v>
      </c>
      <c r="K316" s="513">
        <v>0</v>
      </c>
      <c r="L316" s="513">
        <v>36.32</v>
      </c>
      <c r="M316" s="513">
        <v>7.28</v>
      </c>
      <c r="N316" s="514">
        <f>LANÇ_MOV[[#This Row],[VALOR BRUTO]]-LANÇ_MOV[[#This Row],[DESCONTO]]+LANÇ_MOV[[#This Row],[JUROS]]+LANÇ_MOV[[#This Row],[MULTA]]</f>
        <v>225.23</v>
      </c>
      <c r="O316" s="528">
        <v>45677</v>
      </c>
      <c r="P316" s="516" t="str">
        <f t="shared" ca="1" si="4"/>
        <v>Venceu</v>
      </c>
      <c r="Q316" s="528"/>
      <c r="R316" s="529" t="s">
        <v>1506</v>
      </c>
      <c r="S316" s="518"/>
      <c r="T316" s="518" t="s">
        <v>1776</v>
      </c>
      <c r="U316" s="519" t="s">
        <v>2007</v>
      </c>
      <c r="V316" s="520" t="str">
        <f>IFERROR(VLOOKUP(LANÇ_MOV[[#This Row],[PLANO DE CONTAS]],Plano_Contas[[PLANO DE CONTAS]:[R / D]],3,0),"")</f>
        <v>Despesa</v>
      </c>
      <c r="W316" s="521" t="str">
        <f>IF(LANÇ_MOV[[#This Row],[DATA DE PAGAMENTO]]&lt;&gt;"","Pago","Não Pago")</f>
        <v>Não Pago</v>
      </c>
      <c r="X316" s="522" t="str">
        <f>IFERROR(IF(LANÇ_MOV[[#This Row],[DATA DE PAGAMENTO]]="","",(UPPER(TEXT(LANÇ_MOV[[#This Row],[DATA DE PAGAMENTO]],"mmmm")))),"")</f>
        <v/>
      </c>
      <c r="Y316" s="523" t="str">
        <f>IFERROR(VLOOKUP(LANÇ_MOV[[#This Row],[PLANO DE CONTAS]],Plano_Contas[[PLANO DE CONTAS]:[NOMES INTERVALOS]],2,0),"")</f>
        <v>Despesas_Endividamentos</v>
      </c>
      <c r="Z316" s="523" t="str">
        <f>IF(LANÇ_MOV[[#This Row],[FORMA DE PAGAMENTO]]="","",VLOOKUP(LANÇ_MOV[[#This Row],[FORMA DE PAGAMENTO]],CAD_Forma_pagto[],2,0))</f>
        <v>BOLETO</v>
      </c>
      <c r="AA316" s="524" t="str">
        <f>IF(LANÇ_MOV[[#This Row],[DATA DE LANÇAMENTO]]="","",TEXT(LANÇ_MOV[[#This Row],[DATA DE LANÇAMENTO]],"AAAA"))</f>
        <v>2025</v>
      </c>
      <c r="AB316" s="524" t="str">
        <f>IF(LANÇ_MOV[[#This Row],[DATA DE LANÇAMENTO]]="","",UPPER(TEXT(LANÇ_MOV[[#This Row],[DATA DE LANÇAMENTO]],"MMMM")))</f>
        <v>OUTUBRO</v>
      </c>
      <c r="AC316" s="525" t="str">
        <f>IF(LANÇ_MOV[[#This Row],[DATA DE LANÇAMENTO]]="","",PROPER(TEXT(LANÇ_MOV[[#This Row],[DATA DE LANÇAMENTO]],"M")))</f>
        <v>10</v>
      </c>
      <c r="AD316" s="524" t="str">
        <f>IF(LANÇ_MOV[[#This Row],[DATA DE LANÇAMENTO]]="","",TEXT(LANÇ_MOV[[#This Row],[DATA DE LANÇAMENTO]],"D"))</f>
        <v>1</v>
      </c>
      <c r="AE316" s="526" t="str">
        <f>IF(LANÇ_MOV[[#This Row],[DATA DE VENCIMENTO]]="","",TEXT(LANÇ_MOV[[#This Row],[DATA DE VENCIMENTO]],"AAAA"))</f>
        <v>2025</v>
      </c>
      <c r="AF316" s="526" t="str">
        <f>IF(LANÇ_MOV[[#This Row],[DATA DE VENCIMENTO]]="","",UPPER(TEXT(LANÇ_MOV[[#This Row],[DATA DE VENCIMENTO]],"MMMM")))</f>
        <v>JANEIRO</v>
      </c>
      <c r="AG316" s="526" t="str">
        <f>IF(LANÇ_MOV[[#This Row],[DATA DE VENCIMENTO]]="","",TEXT(LANÇ_MOV[[#This Row],[DATA DE VENCIMENTO]],"M"))</f>
        <v>1</v>
      </c>
      <c r="AH316" s="526" t="str">
        <f>IF(LANÇ_MOV[[#This Row],[DATA DE VENCIMENTO]]="","",TEXT(LANÇ_MOV[[#This Row],[DATA DE VENCIMENTO]],"D"))</f>
        <v>20</v>
      </c>
      <c r="AI316" s="526" t="str">
        <f>IF(LANÇ_MOV[[#This Row],[DATA DE PAGAMENTO]]="","",TEXT(LANÇ_MOV[[#This Row],[DATA DE PAGAMENTO]],"AAAA"))</f>
        <v/>
      </c>
      <c r="AJ316" s="527" t="str">
        <f>IF(LANÇ_MOV[[#This Row],[DATA DE PAGAMENTO]]="","",UPPER(TEXT(LANÇ_MOV[[#This Row],[DATA DE PAGAMENTO]],"MMMM")))</f>
        <v/>
      </c>
      <c r="AK316" s="527" t="str">
        <f>IF(LANÇ_MOV[[#This Row],[DATA DE PAGAMENTO]]="","",TEXT(LANÇ_MOV[[#This Row],[DATA DE PAGAMENTO]],"M"))</f>
        <v/>
      </c>
      <c r="AL316" s="526" t="str">
        <f>IF(LANÇ_MOV[[#This Row],[DATA DE PAGAMENTO]]="","",TEXT(LANÇ_MOV[[#This Row],[DATA DE PAGAMENTO]],"D"))</f>
        <v/>
      </c>
      <c r="AM316" s="27"/>
      <c r="BB316" s="112"/>
      <c r="BC316" s="112"/>
      <c r="BD316" s="112"/>
    </row>
    <row r="317" spans="2:56" ht="30.05" customHeight="1" x14ac:dyDescent="0.35">
      <c r="B317" s="506">
        <v>45931</v>
      </c>
      <c r="C317" s="507" t="s">
        <v>1661</v>
      </c>
      <c r="D317" s="508" t="s">
        <v>1854</v>
      </c>
      <c r="E317" s="509" t="s">
        <v>1440</v>
      </c>
      <c r="F317" s="510" t="s">
        <v>1840</v>
      </c>
      <c r="G317" s="507" t="s">
        <v>1921</v>
      </c>
      <c r="H317" s="511"/>
      <c r="I317" s="512" t="s">
        <v>1760</v>
      </c>
      <c r="J317" s="510">
        <v>182.97</v>
      </c>
      <c r="K317" s="513">
        <v>0</v>
      </c>
      <c r="L317" s="513">
        <v>36.590000000000003</v>
      </c>
      <c r="M317" s="513">
        <v>5.52</v>
      </c>
      <c r="N317" s="514">
        <f>LANÇ_MOV[[#This Row],[VALOR BRUTO]]-LANÇ_MOV[[#This Row],[DESCONTO]]+LANÇ_MOV[[#This Row],[JUROS]]+LANÇ_MOV[[#This Row],[MULTA]]</f>
        <v>225.08</v>
      </c>
      <c r="O317" s="528">
        <v>45708</v>
      </c>
      <c r="P317" s="516" t="str">
        <f t="shared" ca="1" si="4"/>
        <v>Venceu</v>
      </c>
      <c r="Q317" s="528"/>
      <c r="R317" s="529" t="s">
        <v>1506</v>
      </c>
      <c r="S317" s="518"/>
      <c r="T317" s="518" t="s">
        <v>1776</v>
      </c>
      <c r="U317" s="519" t="s">
        <v>2007</v>
      </c>
      <c r="V317" s="520" t="str">
        <f>IFERROR(VLOOKUP(LANÇ_MOV[[#This Row],[PLANO DE CONTAS]],Plano_Contas[[PLANO DE CONTAS]:[R / D]],3,0),"")</f>
        <v>Despesa</v>
      </c>
      <c r="W317" s="521" t="str">
        <f>IF(LANÇ_MOV[[#This Row],[DATA DE PAGAMENTO]]&lt;&gt;"","Pago","Não Pago")</f>
        <v>Não Pago</v>
      </c>
      <c r="X317" s="522" t="str">
        <f>IFERROR(IF(LANÇ_MOV[[#This Row],[DATA DE PAGAMENTO]]="","",(UPPER(TEXT(LANÇ_MOV[[#This Row],[DATA DE PAGAMENTO]],"mmmm")))),"")</f>
        <v/>
      </c>
      <c r="Y317" s="523" t="str">
        <f>IFERROR(VLOOKUP(LANÇ_MOV[[#This Row],[PLANO DE CONTAS]],Plano_Contas[[PLANO DE CONTAS]:[NOMES INTERVALOS]],2,0),"")</f>
        <v>Despesas_Endividamentos</v>
      </c>
      <c r="Z317" s="523" t="str">
        <f>IF(LANÇ_MOV[[#This Row],[FORMA DE PAGAMENTO]]="","",VLOOKUP(LANÇ_MOV[[#This Row],[FORMA DE PAGAMENTO]],CAD_Forma_pagto[],2,0))</f>
        <v>BOLETO</v>
      </c>
      <c r="AA317" s="524" t="str">
        <f>IF(LANÇ_MOV[[#This Row],[DATA DE LANÇAMENTO]]="","",TEXT(LANÇ_MOV[[#This Row],[DATA DE LANÇAMENTO]],"AAAA"))</f>
        <v>2025</v>
      </c>
      <c r="AB317" s="524" t="str">
        <f>IF(LANÇ_MOV[[#This Row],[DATA DE LANÇAMENTO]]="","",UPPER(TEXT(LANÇ_MOV[[#This Row],[DATA DE LANÇAMENTO]],"MMMM")))</f>
        <v>OUTUBRO</v>
      </c>
      <c r="AC317" s="525" t="str">
        <f>IF(LANÇ_MOV[[#This Row],[DATA DE LANÇAMENTO]]="","",PROPER(TEXT(LANÇ_MOV[[#This Row],[DATA DE LANÇAMENTO]],"M")))</f>
        <v>10</v>
      </c>
      <c r="AD317" s="524" t="str">
        <f>IF(LANÇ_MOV[[#This Row],[DATA DE LANÇAMENTO]]="","",TEXT(LANÇ_MOV[[#This Row],[DATA DE LANÇAMENTO]],"D"))</f>
        <v>1</v>
      </c>
      <c r="AE317" s="526" t="str">
        <f>IF(LANÇ_MOV[[#This Row],[DATA DE VENCIMENTO]]="","",TEXT(LANÇ_MOV[[#This Row],[DATA DE VENCIMENTO]],"AAAA"))</f>
        <v>2025</v>
      </c>
      <c r="AF317" s="526" t="str">
        <f>IF(LANÇ_MOV[[#This Row],[DATA DE VENCIMENTO]]="","",UPPER(TEXT(LANÇ_MOV[[#This Row],[DATA DE VENCIMENTO]],"MMMM")))</f>
        <v>FEVEREIRO</v>
      </c>
      <c r="AG317" s="526" t="str">
        <f>IF(LANÇ_MOV[[#This Row],[DATA DE VENCIMENTO]]="","",TEXT(LANÇ_MOV[[#This Row],[DATA DE VENCIMENTO]],"M"))</f>
        <v>2</v>
      </c>
      <c r="AH317" s="526" t="str">
        <f>IF(LANÇ_MOV[[#This Row],[DATA DE VENCIMENTO]]="","",TEXT(LANÇ_MOV[[#This Row],[DATA DE VENCIMENTO]],"D"))</f>
        <v>20</v>
      </c>
      <c r="AI317" s="526" t="str">
        <f>IF(LANÇ_MOV[[#This Row],[DATA DE PAGAMENTO]]="","",TEXT(LANÇ_MOV[[#This Row],[DATA DE PAGAMENTO]],"AAAA"))</f>
        <v/>
      </c>
      <c r="AJ317" s="527" t="str">
        <f>IF(LANÇ_MOV[[#This Row],[DATA DE PAGAMENTO]]="","",UPPER(TEXT(LANÇ_MOV[[#This Row],[DATA DE PAGAMENTO]],"MMMM")))</f>
        <v/>
      </c>
      <c r="AK317" s="527" t="str">
        <f>IF(LANÇ_MOV[[#This Row],[DATA DE PAGAMENTO]]="","",TEXT(LANÇ_MOV[[#This Row],[DATA DE PAGAMENTO]],"M"))</f>
        <v/>
      </c>
      <c r="AL317" s="526" t="str">
        <f>IF(LANÇ_MOV[[#This Row],[DATA DE PAGAMENTO]]="","",TEXT(LANÇ_MOV[[#This Row],[DATA DE PAGAMENTO]],"D"))</f>
        <v/>
      </c>
      <c r="AM317" s="27"/>
      <c r="BB317" s="112"/>
      <c r="BC317" s="112"/>
      <c r="BD317" s="112"/>
    </row>
    <row r="318" spans="2:56" ht="30.05" customHeight="1" x14ac:dyDescent="0.35">
      <c r="B318" s="506">
        <v>45931</v>
      </c>
      <c r="C318" s="507" t="s">
        <v>1661</v>
      </c>
      <c r="D318" s="508" t="s">
        <v>1854</v>
      </c>
      <c r="E318" s="509" t="s">
        <v>1440</v>
      </c>
      <c r="F318" s="510" t="s">
        <v>1840</v>
      </c>
      <c r="G318" s="507" t="s">
        <v>1919</v>
      </c>
      <c r="H318" s="511"/>
      <c r="I318" s="512" t="s">
        <v>1760</v>
      </c>
      <c r="J318" s="510">
        <v>138.06</v>
      </c>
      <c r="K318" s="513">
        <v>0</v>
      </c>
      <c r="L318" s="513">
        <v>22.32</v>
      </c>
      <c r="M318" s="513">
        <v>2.84</v>
      </c>
      <c r="N318" s="514">
        <f>LANÇ_MOV[[#This Row],[VALOR BRUTO]]-LANÇ_MOV[[#This Row],[DESCONTO]]+LANÇ_MOV[[#This Row],[JUROS]]+LANÇ_MOV[[#This Row],[MULTA]]</f>
        <v>163.22</v>
      </c>
      <c r="O318" s="528">
        <v>45736</v>
      </c>
      <c r="P318" s="516" t="str">
        <f t="shared" ca="1" si="4"/>
        <v>Venceu</v>
      </c>
      <c r="Q318" s="528"/>
      <c r="R318" s="529" t="s">
        <v>1506</v>
      </c>
      <c r="S318" s="518"/>
      <c r="T318" s="518" t="s">
        <v>1776</v>
      </c>
      <c r="U318" s="519" t="s">
        <v>2007</v>
      </c>
      <c r="V318" s="520" t="str">
        <f>IFERROR(VLOOKUP(LANÇ_MOV[[#This Row],[PLANO DE CONTAS]],Plano_Contas[[PLANO DE CONTAS]:[R / D]],3,0),"")</f>
        <v>Despesa</v>
      </c>
      <c r="W318" s="521" t="str">
        <f>IF(LANÇ_MOV[[#This Row],[DATA DE PAGAMENTO]]&lt;&gt;"","Pago","Não Pago")</f>
        <v>Não Pago</v>
      </c>
      <c r="X318" s="522" t="str">
        <f>IFERROR(IF(LANÇ_MOV[[#This Row],[DATA DE PAGAMENTO]]="","",(UPPER(TEXT(LANÇ_MOV[[#This Row],[DATA DE PAGAMENTO]],"mmmm")))),"")</f>
        <v/>
      </c>
      <c r="Y318" s="523" t="str">
        <f>IFERROR(VLOOKUP(LANÇ_MOV[[#This Row],[PLANO DE CONTAS]],Plano_Contas[[PLANO DE CONTAS]:[NOMES INTERVALOS]],2,0),"")</f>
        <v>Despesas_Endividamentos</v>
      </c>
      <c r="Z318" s="523" t="str">
        <f>IF(LANÇ_MOV[[#This Row],[FORMA DE PAGAMENTO]]="","",VLOOKUP(LANÇ_MOV[[#This Row],[FORMA DE PAGAMENTO]],CAD_Forma_pagto[],2,0))</f>
        <v>BOLETO</v>
      </c>
      <c r="AA318" s="524" t="str">
        <f>IF(LANÇ_MOV[[#This Row],[DATA DE LANÇAMENTO]]="","",TEXT(LANÇ_MOV[[#This Row],[DATA DE LANÇAMENTO]],"AAAA"))</f>
        <v>2025</v>
      </c>
      <c r="AB318" s="524" t="str">
        <f>IF(LANÇ_MOV[[#This Row],[DATA DE LANÇAMENTO]]="","",UPPER(TEXT(LANÇ_MOV[[#This Row],[DATA DE LANÇAMENTO]],"MMMM")))</f>
        <v>OUTUBRO</v>
      </c>
      <c r="AC318" s="525" t="str">
        <f>IF(LANÇ_MOV[[#This Row],[DATA DE LANÇAMENTO]]="","",PROPER(TEXT(LANÇ_MOV[[#This Row],[DATA DE LANÇAMENTO]],"M")))</f>
        <v>10</v>
      </c>
      <c r="AD318" s="524" t="str">
        <f>IF(LANÇ_MOV[[#This Row],[DATA DE LANÇAMENTO]]="","",TEXT(LANÇ_MOV[[#This Row],[DATA DE LANÇAMENTO]],"D"))</f>
        <v>1</v>
      </c>
      <c r="AE318" s="526" t="str">
        <f>IF(LANÇ_MOV[[#This Row],[DATA DE VENCIMENTO]]="","",TEXT(LANÇ_MOV[[#This Row],[DATA DE VENCIMENTO]],"AAAA"))</f>
        <v>2025</v>
      </c>
      <c r="AF318" s="526" t="str">
        <f>IF(LANÇ_MOV[[#This Row],[DATA DE VENCIMENTO]]="","",UPPER(TEXT(LANÇ_MOV[[#This Row],[DATA DE VENCIMENTO]],"MMMM")))</f>
        <v>MARÇO</v>
      </c>
      <c r="AG318" s="526" t="str">
        <f>IF(LANÇ_MOV[[#This Row],[DATA DE VENCIMENTO]]="","",TEXT(LANÇ_MOV[[#This Row],[DATA DE VENCIMENTO]],"M"))</f>
        <v>3</v>
      </c>
      <c r="AH318" s="526" t="str">
        <f>IF(LANÇ_MOV[[#This Row],[DATA DE VENCIMENTO]]="","",TEXT(LANÇ_MOV[[#This Row],[DATA DE VENCIMENTO]],"D"))</f>
        <v>20</v>
      </c>
      <c r="AI318" s="526" t="str">
        <f>IF(LANÇ_MOV[[#This Row],[DATA DE PAGAMENTO]]="","",TEXT(LANÇ_MOV[[#This Row],[DATA DE PAGAMENTO]],"AAAA"))</f>
        <v/>
      </c>
      <c r="AJ318" s="527" t="str">
        <f>IF(LANÇ_MOV[[#This Row],[DATA DE PAGAMENTO]]="","",UPPER(TEXT(LANÇ_MOV[[#This Row],[DATA DE PAGAMENTO]],"MMMM")))</f>
        <v/>
      </c>
      <c r="AK318" s="527" t="str">
        <f>IF(LANÇ_MOV[[#This Row],[DATA DE PAGAMENTO]]="","",TEXT(LANÇ_MOV[[#This Row],[DATA DE PAGAMENTO]],"M"))</f>
        <v/>
      </c>
      <c r="AL318" s="526" t="str">
        <f>IF(LANÇ_MOV[[#This Row],[DATA DE PAGAMENTO]]="","",TEXT(LANÇ_MOV[[#This Row],[DATA DE PAGAMENTO]],"D"))</f>
        <v/>
      </c>
      <c r="AM318" s="27"/>
      <c r="BB318" s="112"/>
      <c r="BC318" s="112"/>
      <c r="BD318" s="112"/>
    </row>
    <row r="319" spans="2:56" ht="30.05" customHeight="1" x14ac:dyDescent="0.35">
      <c r="B319" s="506">
        <v>45931</v>
      </c>
      <c r="C319" s="507" t="s">
        <v>1661</v>
      </c>
      <c r="D319" s="508" t="s">
        <v>1854</v>
      </c>
      <c r="E319" s="509" t="s">
        <v>1440</v>
      </c>
      <c r="F319" s="510" t="s">
        <v>1840</v>
      </c>
      <c r="G319" s="507" t="s">
        <v>1920</v>
      </c>
      <c r="H319" s="511"/>
      <c r="I319" s="512" t="s">
        <v>1760</v>
      </c>
      <c r="J319" s="510">
        <v>108.21</v>
      </c>
      <c r="K319" s="513">
        <v>0</v>
      </c>
      <c r="L319" s="513">
        <v>6.07</v>
      </c>
      <c r="M319" s="513">
        <v>1.08</v>
      </c>
      <c r="N319" s="514">
        <f>LANÇ_MOV[[#This Row],[VALOR BRUTO]]-LANÇ_MOV[[#This Row],[DESCONTO]]+LANÇ_MOV[[#This Row],[JUROS]]+LANÇ_MOV[[#This Row],[MULTA]]</f>
        <v>115.36</v>
      </c>
      <c r="O319" s="528">
        <v>45764</v>
      </c>
      <c r="P319" s="516" t="str">
        <f t="shared" ca="1" si="4"/>
        <v>Venceu</v>
      </c>
      <c r="Q319" s="528"/>
      <c r="R319" s="529" t="s">
        <v>1506</v>
      </c>
      <c r="S319" s="518"/>
      <c r="T319" s="518" t="s">
        <v>1776</v>
      </c>
      <c r="U319" s="519" t="s">
        <v>2007</v>
      </c>
      <c r="V319" s="520" t="str">
        <f>IFERROR(VLOOKUP(LANÇ_MOV[[#This Row],[PLANO DE CONTAS]],Plano_Contas[[PLANO DE CONTAS]:[R / D]],3,0),"")</f>
        <v>Despesa</v>
      </c>
      <c r="W319" s="521" t="str">
        <f>IF(LANÇ_MOV[[#This Row],[DATA DE PAGAMENTO]]&lt;&gt;"","Pago","Não Pago")</f>
        <v>Não Pago</v>
      </c>
      <c r="X319" s="522" t="str">
        <f>IFERROR(IF(LANÇ_MOV[[#This Row],[DATA DE PAGAMENTO]]="","",(UPPER(TEXT(LANÇ_MOV[[#This Row],[DATA DE PAGAMENTO]],"mmmm")))),"")</f>
        <v/>
      </c>
      <c r="Y319" s="523" t="str">
        <f>IFERROR(VLOOKUP(LANÇ_MOV[[#This Row],[PLANO DE CONTAS]],Plano_Contas[[PLANO DE CONTAS]:[NOMES INTERVALOS]],2,0),"")</f>
        <v>Despesas_Endividamentos</v>
      </c>
      <c r="Z319" s="523" t="str">
        <f>IF(LANÇ_MOV[[#This Row],[FORMA DE PAGAMENTO]]="","",VLOOKUP(LANÇ_MOV[[#This Row],[FORMA DE PAGAMENTO]],CAD_Forma_pagto[],2,0))</f>
        <v>BOLETO</v>
      </c>
      <c r="AA319" s="524" t="str">
        <f>IF(LANÇ_MOV[[#This Row],[DATA DE LANÇAMENTO]]="","",TEXT(LANÇ_MOV[[#This Row],[DATA DE LANÇAMENTO]],"AAAA"))</f>
        <v>2025</v>
      </c>
      <c r="AB319" s="524" t="str">
        <f>IF(LANÇ_MOV[[#This Row],[DATA DE LANÇAMENTO]]="","",UPPER(TEXT(LANÇ_MOV[[#This Row],[DATA DE LANÇAMENTO]],"MMMM")))</f>
        <v>OUTUBRO</v>
      </c>
      <c r="AC319" s="525" t="str">
        <f>IF(LANÇ_MOV[[#This Row],[DATA DE LANÇAMENTO]]="","",PROPER(TEXT(LANÇ_MOV[[#This Row],[DATA DE LANÇAMENTO]],"M")))</f>
        <v>10</v>
      </c>
      <c r="AD319" s="524" t="str">
        <f>IF(LANÇ_MOV[[#This Row],[DATA DE LANÇAMENTO]]="","",TEXT(LANÇ_MOV[[#This Row],[DATA DE LANÇAMENTO]],"D"))</f>
        <v>1</v>
      </c>
      <c r="AE319" s="526" t="str">
        <f>IF(LANÇ_MOV[[#This Row],[DATA DE VENCIMENTO]]="","",TEXT(LANÇ_MOV[[#This Row],[DATA DE VENCIMENTO]],"AAAA"))</f>
        <v>2025</v>
      </c>
      <c r="AF319" s="526" t="str">
        <f>IF(LANÇ_MOV[[#This Row],[DATA DE VENCIMENTO]]="","",UPPER(TEXT(LANÇ_MOV[[#This Row],[DATA DE VENCIMENTO]],"MMMM")))</f>
        <v>ABRIL</v>
      </c>
      <c r="AG319" s="526" t="str">
        <f>IF(LANÇ_MOV[[#This Row],[DATA DE VENCIMENTO]]="","",TEXT(LANÇ_MOV[[#This Row],[DATA DE VENCIMENTO]],"M"))</f>
        <v>4</v>
      </c>
      <c r="AH319" s="526" t="str">
        <f>IF(LANÇ_MOV[[#This Row],[DATA DE VENCIMENTO]]="","",TEXT(LANÇ_MOV[[#This Row],[DATA DE VENCIMENTO]],"D"))</f>
        <v>17</v>
      </c>
      <c r="AI319" s="526" t="str">
        <f>IF(LANÇ_MOV[[#This Row],[DATA DE PAGAMENTO]]="","",TEXT(LANÇ_MOV[[#This Row],[DATA DE PAGAMENTO]],"AAAA"))</f>
        <v/>
      </c>
      <c r="AJ319" s="527" t="str">
        <f>IF(LANÇ_MOV[[#This Row],[DATA DE PAGAMENTO]]="","",UPPER(TEXT(LANÇ_MOV[[#This Row],[DATA DE PAGAMENTO]],"MMMM")))</f>
        <v/>
      </c>
      <c r="AK319" s="527" t="str">
        <f>IF(LANÇ_MOV[[#This Row],[DATA DE PAGAMENTO]]="","",TEXT(LANÇ_MOV[[#This Row],[DATA DE PAGAMENTO]],"M"))</f>
        <v/>
      </c>
      <c r="AL319" s="526" t="str">
        <f>IF(LANÇ_MOV[[#This Row],[DATA DE PAGAMENTO]]="","",TEXT(LANÇ_MOV[[#This Row],[DATA DE PAGAMENTO]],"D"))</f>
        <v/>
      </c>
      <c r="AM319" s="27"/>
      <c r="BB319" s="112"/>
      <c r="BC319" s="112"/>
      <c r="BD319" s="112"/>
    </row>
    <row r="320" spans="2:56" ht="30.05" customHeight="1" x14ac:dyDescent="0.35">
      <c r="B320" s="506">
        <v>45931</v>
      </c>
      <c r="C320" s="507" t="s">
        <v>1661</v>
      </c>
      <c r="D320" s="508" t="s">
        <v>1854</v>
      </c>
      <c r="E320" s="509" t="s">
        <v>1440</v>
      </c>
      <c r="F320" s="510" t="s">
        <v>1840</v>
      </c>
      <c r="G320" s="507">
        <v>2024</v>
      </c>
      <c r="H320" s="511"/>
      <c r="I320" s="512" t="s">
        <v>1760</v>
      </c>
      <c r="J320" s="510">
        <v>144.41999999999999</v>
      </c>
      <c r="K320" s="513">
        <v>0</v>
      </c>
      <c r="L320" s="513">
        <v>28.88</v>
      </c>
      <c r="M320" s="513">
        <v>7.24</v>
      </c>
      <c r="N320" s="514">
        <f>LANÇ_MOV[[#This Row],[VALOR BRUTO]]-LANÇ_MOV[[#This Row],[DESCONTO]]+LANÇ_MOV[[#This Row],[JUROS]]+LANÇ_MOV[[#This Row],[MULTA]]</f>
        <v>180.54</v>
      </c>
      <c r="O320" s="528">
        <v>45646</v>
      </c>
      <c r="P320" s="516" t="str">
        <f t="shared" ca="1" si="4"/>
        <v>Venceu</v>
      </c>
      <c r="Q320" s="528"/>
      <c r="R320" s="529" t="s">
        <v>1506</v>
      </c>
      <c r="S320" s="518"/>
      <c r="T320" s="518" t="s">
        <v>1776</v>
      </c>
      <c r="U320" s="519" t="s">
        <v>2007</v>
      </c>
      <c r="V320" s="520" t="str">
        <f>IFERROR(VLOOKUP(LANÇ_MOV[[#This Row],[PLANO DE CONTAS]],Plano_Contas[[PLANO DE CONTAS]:[R / D]],3,0),"")</f>
        <v>Despesa</v>
      </c>
      <c r="W320" s="521" t="str">
        <f>IF(LANÇ_MOV[[#This Row],[DATA DE PAGAMENTO]]&lt;&gt;"","Pago","Não Pago")</f>
        <v>Não Pago</v>
      </c>
      <c r="X320" s="522" t="str">
        <f>IFERROR(IF(LANÇ_MOV[[#This Row],[DATA DE PAGAMENTO]]="","",(UPPER(TEXT(LANÇ_MOV[[#This Row],[DATA DE PAGAMENTO]],"mmmm")))),"")</f>
        <v/>
      </c>
      <c r="Y320" s="523" t="str">
        <f>IFERROR(VLOOKUP(LANÇ_MOV[[#This Row],[PLANO DE CONTAS]],Plano_Contas[[PLANO DE CONTAS]:[NOMES INTERVALOS]],2,0),"")</f>
        <v>Despesas_Endividamentos</v>
      </c>
      <c r="Z320" s="523" t="str">
        <f>IF(LANÇ_MOV[[#This Row],[FORMA DE PAGAMENTO]]="","",VLOOKUP(LANÇ_MOV[[#This Row],[FORMA DE PAGAMENTO]],CAD_Forma_pagto[],2,0))</f>
        <v>BOLETO</v>
      </c>
      <c r="AA320" s="524" t="str">
        <f>IF(LANÇ_MOV[[#This Row],[DATA DE LANÇAMENTO]]="","",TEXT(LANÇ_MOV[[#This Row],[DATA DE LANÇAMENTO]],"AAAA"))</f>
        <v>2025</v>
      </c>
      <c r="AB320" s="524" t="str">
        <f>IF(LANÇ_MOV[[#This Row],[DATA DE LANÇAMENTO]]="","",UPPER(TEXT(LANÇ_MOV[[#This Row],[DATA DE LANÇAMENTO]],"MMMM")))</f>
        <v>OUTUBRO</v>
      </c>
      <c r="AC320" s="525" t="str">
        <f>IF(LANÇ_MOV[[#This Row],[DATA DE LANÇAMENTO]]="","",PROPER(TEXT(LANÇ_MOV[[#This Row],[DATA DE LANÇAMENTO]],"M")))</f>
        <v>10</v>
      </c>
      <c r="AD320" s="524" t="str">
        <f>IF(LANÇ_MOV[[#This Row],[DATA DE LANÇAMENTO]]="","",TEXT(LANÇ_MOV[[#This Row],[DATA DE LANÇAMENTO]],"D"))</f>
        <v>1</v>
      </c>
      <c r="AE320" s="526" t="str">
        <f>IF(LANÇ_MOV[[#This Row],[DATA DE VENCIMENTO]]="","",TEXT(LANÇ_MOV[[#This Row],[DATA DE VENCIMENTO]],"AAAA"))</f>
        <v>2024</v>
      </c>
      <c r="AF320" s="526" t="str">
        <f>IF(LANÇ_MOV[[#This Row],[DATA DE VENCIMENTO]]="","",UPPER(TEXT(LANÇ_MOV[[#This Row],[DATA DE VENCIMENTO]],"MMMM")))</f>
        <v>DEZEMBRO</v>
      </c>
      <c r="AG320" s="526" t="str">
        <f>IF(LANÇ_MOV[[#This Row],[DATA DE VENCIMENTO]]="","",TEXT(LANÇ_MOV[[#This Row],[DATA DE VENCIMENTO]],"M"))</f>
        <v>12</v>
      </c>
      <c r="AH320" s="526" t="str">
        <f>IF(LANÇ_MOV[[#This Row],[DATA DE VENCIMENTO]]="","",TEXT(LANÇ_MOV[[#This Row],[DATA DE VENCIMENTO]],"D"))</f>
        <v>20</v>
      </c>
      <c r="AI320" s="526" t="str">
        <f>IF(LANÇ_MOV[[#This Row],[DATA DE PAGAMENTO]]="","",TEXT(LANÇ_MOV[[#This Row],[DATA DE PAGAMENTO]],"AAAA"))</f>
        <v/>
      </c>
      <c r="AJ320" s="527" t="str">
        <f>IF(LANÇ_MOV[[#This Row],[DATA DE PAGAMENTO]]="","",UPPER(TEXT(LANÇ_MOV[[#This Row],[DATA DE PAGAMENTO]],"MMMM")))</f>
        <v/>
      </c>
      <c r="AK320" s="527" t="str">
        <f>IF(LANÇ_MOV[[#This Row],[DATA DE PAGAMENTO]]="","",TEXT(LANÇ_MOV[[#This Row],[DATA DE PAGAMENTO]],"M"))</f>
        <v/>
      </c>
      <c r="AL320" s="526" t="str">
        <f>IF(LANÇ_MOV[[#This Row],[DATA DE PAGAMENTO]]="","",TEXT(LANÇ_MOV[[#This Row],[DATA DE PAGAMENTO]],"D"))</f>
        <v/>
      </c>
      <c r="AM320" s="27"/>
      <c r="BB320" s="112"/>
      <c r="BC320" s="112"/>
      <c r="BD320" s="112"/>
    </row>
    <row r="321" spans="2:56" ht="30.05" customHeight="1" x14ac:dyDescent="0.35">
      <c r="B321" s="506">
        <v>45931</v>
      </c>
      <c r="C321" s="507" t="s">
        <v>1661</v>
      </c>
      <c r="D321" s="508" t="s">
        <v>1854</v>
      </c>
      <c r="E321" s="509" t="s">
        <v>1440</v>
      </c>
      <c r="F321" s="510" t="s">
        <v>1840</v>
      </c>
      <c r="G321" s="507" t="s">
        <v>1912</v>
      </c>
      <c r="H321" s="511"/>
      <c r="I321" s="512" t="s">
        <v>1760</v>
      </c>
      <c r="J321" s="510">
        <v>39.479999999999997</v>
      </c>
      <c r="K321" s="513">
        <v>0</v>
      </c>
      <c r="L321" s="513">
        <v>7.89</v>
      </c>
      <c r="M321" s="513">
        <v>3.7</v>
      </c>
      <c r="N321" s="514">
        <f>LANÇ_MOV[[#This Row],[VALOR BRUTO]]-LANÇ_MOV[[#This Row],[DESCONTO]]+LANÇ_MOV[[#This Row],[JUROS]]+LANÇ_MOV[[#This Row],[MULTA]]</f>
        <v>51.07</v>
      </c>
      <c r="O321" s="528">
        <v>45492</v>
      </c>
      <c r="P321" s="516" t="str">
        <f t="shared" ca="1" si="4"/>
        <v>Venceu</v>
      </c>
      <c r="Q321" s="528"/>
      <c r="R321" s="529" t="s">
        <v>1506</v>
      </c>
      <c r="S321" s="518"/>
      <c r="T321" s="518" t="s">
        <v>1776</v>
      </c>
      <c r="U321" s="519" t="s">
        <v>2007</v>
      </c>
      <c r="V321" s="520" t="str">
        <f>IFERROR(VLOOKUP(LANÇ_MOV[[#This Row],[PLANO DE CONTAS]],Plano_Contas[[PLANO DE CONTAS]:[R / D]],3,0),"")</f>
        <v>Despesa</v>
      </c>
      <c r="W321" s="521" t="str">
        <f>IF(LANÇ_MOV[[#This Row],[DATA DE PAGAMENTO]]&lt;&gt;"","Pago","Não Pago")</f>
        <v>Não Pago</v>
      </c>
      <c r="X321" s="522" t="str">
        <f>IFERROR(IF(LANÇ_MOV[[#This Row],[DATA DE PAGAMENTO]]="","",(UPPER(TEXT(LANÇ_MOV[[#This Row],[DATA DE PAGAMENTO]],"mmmm")))),"")</f>
        <v/>
      </c>
      <c r="Y321" s="523" t="str">
        <f>IFERROR(VLOOKUP(LANÇ_MOV[[#This Row],[PLANO DE CONTAS]],Plano_Contas[[PLANO DE CONTAS]:[NOMES INTERVALOS]],2,0),"")</f>
        <v>Despesas_Endividamentos</v>
      </c>
      <c r="Z321" s="523" t="str">
        <f>IF(LANÇ_MOV[[#This Row],[FORMA DE PAGAMENTO]]="","",VLOOKUP(LANÇ_MOV[[#This Row],[FORMA DE PAGAMENTO]],CAD_Forma_pagto[],2,0))</f>
        <v>BOLETO</v>
      </c>
      <c r="AA321" s="524" t="str">
        <f>IF(LANÇ_MOV[[#This Row],[DATA DE LANÇAMENTO]]="","",TEXT(LANÇ_MOV[[#This Row],[DATA DE LANÇAMENTO]],"AAAA"))</f>
        <v>2025</v>
      </c>
      <c r="AB321" s="524" t="str">
        <f>IF(LANÇ_MOV[[#This Row],[DATA DE LANÇAMENTO]]="","",UPPER(TEXT(LANÇ_MOV[[#This Row],[DATA DE LANÇAMENTO]],"MMMM")))</f>
        <v>OUTUBRO</v>
      </c>
      <c r="AC321" s="525" t="str">
        <f>IF(LANÇ_MOV[[#This Row],[DATA DE LANÇAMENTO]]="","",PROPER(TEXT(LANÇ_MOV[[#This Row],[DATA DE LANÇAMENTO]],"M")))</f>
        <v>10</v>
      </c>
      <c r="AD321" s="524" t="str">
        <f>IF(LANÇ_MOV[[#This Row],[DATA DE LANÇAMENTO]]="","",TEXT(LANÇ_MOV[[#This Row],[DATA DE LANÇAMENTO]],"D"))</f>
        <v>1</v>
      </c>
      <c r="AE321" s="526" t="str">
        <f>IF(LANÇ_MOV[[#This Row],[DATA DE VENCIMENTO]]="","",TEXT(LANÇ_MOV[[#This Row],[DATA DE VENCIMENTO]],"AAAA"))</f>
        <v>2024</v>
      </c>
      <c r="AF321" s="526" t="str">
        <f>IF(LANÇ_MOV[[#This Row],[DATA DE VENCIMENTO]]="","",UPPER(TEXT(LANÇ_MOV[[#This Row],[DATA DE VENCIMENTO]],"MMMM")))</f>
        <v>JULHO</v>
      </c>
      <c r="AG321" s="526" t="str">
        <f>IF(LANÇ_MOV[[#This Row],[DATA DE VENCIMENTO]]="","",TEXT(LANÇ_MOV[[#This Row],[DATA DE VENCIMENTO]],"M"))</f>
        <v>7</v>
      </c>
      <c r="AH321" s="526" t="str">
        <f>IF(LANÇ_MOV[[#This Row],[DATA DE VENCIMENTO]]="","",TEXT(LANÇ_MOV[[#This Row],[DATA DE VENCIMENTO]],"D"))</f>
        <v>19</v>
      </c>
      <c r="AI321" s="526" t="str">
        <f>IF(LANÇ_MOV[[#This Row],[DATA DE PAGAMENTO]]="","",TEXT(LANÇ_MOV[[#This Row],[DATA DE PAGAMENTO]],"AAAA"))</f>
        <v/>
      </c>
      <c r="AJ321" s="527" t="str">
        <f>IF(LANÇ_MOV[[#This Row],[DATA DE PAGAMENTO]]="","",UPPER(TEXT(LANÇ_MOV[[#This Row],[DATA DE PAGAMENTO]],"MMMM")))</f>
        <v/>
      </c>
      <c r="AK321" s="527" t="str">
        <f>IF(LANÇ_MOV[[#This Row],[DATA DE PAGAMENTO]]="","",TEXT(LANÇ_MOV[[#This Row],[DATA DE PAGAMENTO]],"M"))</f>
        <v/>
      </c>
      <c r="AL321" s="526" t="str">
        <f>IF(LANÇ_MOV[[#This Row],[DATA DE PAGAMENTO]]="","",TEXT(LANÇ_MOV[[#This Row],[DATA DE PAGAMENTO]],"D"))</f>
        <v/>
      </c>
      <c r="AM321" s="27"/>
      <c r="BB321" s="112"/>
      <c r="BC321" s="112"/>
      <c r="BD321" s="112"/>
    </row>
    <row r="322" spans="2:56" ht="30.05" customHeight="1" x14ac:dyDescent="0.35">
      <c r="B322" s="506">
        <v>45931</v>
      </c>
      <c r="C322" s="507" t="s">
        <v>1661</v>
      </c>
      <c r="D322" s="508" t="s">
        <v>1854</v>
      </c>
      <c r="E322" s="509" t="s">
        <v>1440</v>
      </c>
      <c r="F322" s="510" t="s">
        <v>1840</v>
      </c>
      <c r="G322" s="507" t="s">
        <v>1913</v>
      </c>
      <c r="H322" s="511"/>
      <c r="I322" s="512" t="s">
        <v>1760</v>
      </c>
      <c r="J322" s="510">
        <v>31.31</v>
      </c>
      <c r="K322" s="513">
        <v>0</v>
      </c>
      <c r="L322" s="513">
        <v>6.26</v>
      </c>
      <c r="M322" s="513">
        <v>2.66</v>
      </c>
      <c r="N322" s="514">
        <f>LANÇ_MOV[[#This Row],[VALOR BRUTO]]-LANÇ_MOV[[#This Row],[DESCONTO]]+LANÇ_MOV[[#This Row],[JUROS]]+LANÇ_MOV[[#This Row],[MULTA]]</f>
        <v>40.230000000000004</v>
      </c>
      <c r="O322" s="528">
        <v>45524</v>
      </c>
      <c r="P322" s="516" t="str">
        <f t="shared" ca="1" si="4"/>
        <v>Venceu</v>
      </c>
      <c r="Q322" s="528"/>
      <c r="R322" s="529" t="s">
        <v>1506</v>
      </c>
      <c r="S322" s="518"/>
      <c r="T322" s="518" t="s">
        <v>1776</v>
      </c>
      <c r="U322" s="519" t="s">
        <v>2007</v>
      </c>
      <c r="V322" s="520" t="str">
        <f>IFERROR(VLOOKUP(LANÇ_MOV[[#This Row],[PLANO DE CONTAS]],Plano_Contas[[PLANO DE CONTAS]:[R / D]],3,0),"")</f>
        <v>Despesa</v>
      </c>
      <c r="W322" s="521" t="str">
        <f>IF(LANÇ_MOV[[#This Row],[DATA DE PAGAMENTO]]&lt;&gt;"","Pago","Não Pago")</f>
        <v>Não Pago</v>
      </c>
      <c r="X322" s="522" t="str">
        <f>IFERROR(IF(LANÇ_MOV[[#This Row],[DATA DE PAGAMENTO]]="","",(UPPER(TEXT(LANÇ_MOV[[#This Row],[DATA DE PAGAMENTO]],"mmmm")))),"")</f>
        <v/>
      </c>
      <c r="Y322" s="523" t="str">
        <f>IFERROR(VLOOKUP(LANÇ_MOV[[#This Row],[PLANO DE CONTAS]],Plano_Contas[[PLANO DE CONTAS]:[NOMES INTERVALOS]],2,0),"")</f>
        <v>Despesas_Endividamentos</v>
      </c>
      <c r="Z322" s="523" t="str">
        <f>IF(LANÇ_MOV[[#This Row],[FORMA DE PAGAMENTO]]="","",VLOOKUP(LANÇ_MOV[[#This Row],[FORMA DE PAGAMENTO]],CAD_Forma_pagto[],2,0))</f>
        <v>BOLETO</v>
      </c>
      <c r="AA322" s="524" t="str">
        <f>IF(LANÇ_MOV[[#This Row],[DATA DE LANÇAMENTO]]="","",TEXT(LANÇ_MOV[[#This Row],[DATA DE LANÇAMENTO]],"AAAA"))</f>
        <v>2025</v>
      </c>
      <c r="AB322" s="524" t="str">
        <f>IF(LANÇ_MOV[[#This Row],[DATA DE LANÇAMENTO]]="","",UPPER(TEXT(LANÇ_MOV[[#This Row],[DATA DE LANÇAMENTO]],"MMMM")))</f>
        <v>OUTUBRO</v>
      </c>
      <c r="AC322" s="525" t="str">
        <f>IF(LANÇ_MOV[[#This Row],[DATA DE LANÇAMENTO]]="","",PROPER(TEXT(LANÇ_MOV[[#This Row],[DATA DE LANÇAMENTO]],"M")))</f>
        <v>10</v>
      </c>
      <c r="AD322" s="524" t="str">
        <f>IF(LANÇ_MOV[[#This Row],[DATA DE LANÇAMENTO]]="","",TEXT(LANÇ_MOV[[#This Row],[DATA DE LANÇAMENTO]],"D"))</f>
        <v>1</v>
      </c>
      <c r="AE322" s="526" t="str">
        <f>IF(LANÇ_MOV[[#This Row],[DATA DE VENCIMENTO]]="","",TEXT(LANÇ_MOV[[#This Row],[DATA DE VENCIMENTO]],"AAAA"))</f>
        <v>2024</v>
      </c>
      <c r="AF322" s="526" t="str">
        <f>IF(LANÇ_MOV[[#This Row],[DATA DE VENCIMENTO]]="","",UPPER(TEXT(LANÇ_MOV[[#This Row],[DATA DE VENCIMENTO]],"MMMM")))</f>
        <v>AGOSTO</v>
      </c>
      <c r="AG322" s="526" t="str">
        <f>IF(LANÇ_MOV[[#This Row],[DATA DE VENCIMENTO]]="","",TEXT(LANÇ_MOV[[#This Row],[DATA DE VENCIMENTO]],"M"))</f>
        <v>8</v>
      </c>
      <c r="AH322" s="526" t="str">
        <f>IF(LANÇ_MOV[[#This Row],[DATA DE VENCIMENTO]]="","",TEXT(LANÇ_MOV[[#This Row],[DATA DE VENCIMENTO]],"D"))</f>
        <v>20</v>
      </c>
      <c r="AI322" s="526" t="str">
        <f>IF(LANÇ_MOV[[#This Row],[DATA DE PAGAMENTO]]="","",TEXT(LANÇ_MOV[[#This Row],[DATA DE PAGAMENTO]],"AAAA"))</f>
        <v/>
      </c>
      <c r="AJ322" s="527" t="str">
        <f>IF(LANÇ_MOV[[#This Row],[DATA DE PAGAMENTO]]="","",UPPER(TEXT(LANÇ_MOV[[#This Row],[DATA DE PAGAMENTO]],"MMMM")))</f>
        <v/>
      </c>
      <c r="AK322" s="527" t="str">
        <f>IF(LANÇ_MOV[[#This Row],[DATA DE PAGAMENTO]]="","",TEXT(LANÇ_MOV[[#This Row],[DATA DE PAGAMENTO]],"M"))</f>
        <v/>
      </c>
      <c r="AL322" s="526" t="str">
        <f>IF(LANÇ_MOV[[#This Row],[DATA DE PAGAMENTO]]="","",TEXT(LANÇ_MOV[[#This Row],[DATA DE PAGAMENTO]],"D"))</f>
        <v/>
      </c>
      <c r="AM322" s="27"/>
      <c r="BB322" s="112"/>
      <c r="BC322" s="112"/>
      <c r="BD322" s="112"/>
    </row>
    <row r="323" spans="2:56" ht="30.05" customHeight="1" x14ac:dyDescent="0.35">
      <c r="B323" s="506">
        <v>45931</v>
      </c>
      <c r="C323" s="507" t="s">
        <v>1661</v>
      </c>
      <c r="D323" s="508" t="s">
        <v>1854</v>
      </c>
      <c r="E323" s="509" t="s">
        <v>1440</v>
      </c>
      <c r="F323" s="510" t="s">
        <v>1840</v>
      </c>
      <c r="G323" s="507" t="s">
        <v>1914</v>
      </c>
      <c r="H323" s="511"/>
      <c r="I323" s="512" t="s">
        <v>1760</v>
      </c>
      <c r="J323" s="510">
        <v>45.43</v>
      </c>
      <c r="K323" s="513">
        <v>0</v>
      </c>
      <c r="L323" s="513">
        <v>9.08</v>
      </c>
      <c r="M323" s="513">
        <v>3.48</v>
      </c>
      <c r="N323" s="514">
        <f>LANÇ_MOV[[#This Row],[VALOR BRUTO]]-LANÇ_MOV[[#This Row],[DESCONTO]]+LANÇ_MOV[[#This Row],[JUROS]]+LANÇ_MOV[[#This Row],[MULTA]]</f>
        <v>57.989999999999995</v>
      </c>
      <c r="O323" s="528">
        <v>45555</v>
      </c>
      <c r="P323" s="516" t="str">
        <f t="shared" ca="1" si="4"/>
        <v>Venceu</v>
      </c>
      <c r="Q323" s="528"/>
      <c r="R323" s="529" t="s">
        <v>1506</v>
      </c>
      <c r="S323" s="518"/>
      <c r="T323" s="518" t="s">
        <v>1776</v>
      </c>
      <c r="U323" s="519" t="s">
        <v>2007</v>
      </c>
      <c r="V323" s="520" t="str">
        <f>IFERROR(VLOOKUP(LANÇ_MOV[[#This Row],[PLANO DE CONTAS]],Plano_Contas[[PLANO DE CONTAS]:[R / D]],3,0),"")</f>
        <v>Despesa</v>
      </c>
      <c r="W323" s="521" t="str">
        <f>IF(LANÇ_MOV[[#This Row],[DATA DE PAGAMENTO]]&lt;&gt;"","Pago","Não Pago")</f>
        <v>Não Pago</v>
      </c>
      <c r="X323" s="522" t="str">
        <f>IFERROR(IF(LANÇ_MOV[[#This Row],[DATA DE PAGAMENTO]]="","",(UPPER(TEXT(LANÇ_MOV[[#This Row],[DATA DE PAGAMENTO]],"mmmm")))),"")</f>
        <v/>
      </c>
      <c r="Y323" s="523" t="str">
        <f>IFERROR(VLOOKUP(LANÇ_MOV[[#This Row],[PLANO DE CONTAS]],Plano_Contas[[PLANO DE CONTAS]:[NOMES INTERVALOS]],2,0),"")</f>
        <v>Despesas_Endividamentos</v>
      </c>
      <c r="Z323" s="523" t="str">
        <f>IF(LANÇ_MOV[[#This Row],[FORMA DE PAGAMENTO]]="","",VLOOKUP(LANÇ_MOV[[#This Row],[FORMA DE PAGAMENTO]],CAD_Forma_pagto[],2,0))</f>
        <v>BOLETO</v>
      </c>
      <c r="AA323" s="524" t="str">
        <f>IF(LANÇ_MOV[[#This Row],[DATA DE LANÇAMENTO]]="","",TEXT(LANÇ_MOV[[#This Row],[DATA DE LANÇAMENTO]],"AAAA"))</f>
        <v>2025</v>
      </c>
      <c r="AB323" s="524" t="str">
        <f>IF(LANÇ_MOV[[#This Row],[DATA DE LANÇAMENTO]]="","",UPPER(TEXT(LANÇ_MOV[[#This Row],[DATA DE LANÇAMENTO]],"MMMM")))</f>
        <v>OUTUBRO</v>
      </c>
      <c r="AC323" s="525" t="str">
        <f>IF(LANÇ_MOV[[#This Row],[DATA DE LANÇAMENTO]]="","",PROPER(TEXT(LANÇ_MOV[[#This Row],[DATA DE LANÇAMENTO]],"M")))</f>
        <v>10</v>
      </c>
      <c r="AD323" s="524" t="str">
        <f>IF(LANÇ_MOV[[#This Row],[DATA DE LANÇAMENTO]]="","",TEXT(LANÇ_MOV[[#This Row],[DATA DE LANÇAMENTO]],"D"))</f>
        <v>1</v>
      </c>
      <c r="AE323" s="526" t="str">
        <f>IF(LANÇ_MOV[[#This Row],[DATA DE VENCIMENTO]]="","",TEXT(LANÇ_MOV[[#This Row],[DATA DE VENCIMENTO]],"AAAA"))</f>
        <v>2024</v>
      </c>
      <c r="AF323" s="526" t="str">
        <f>IF(LANÇ_MOV[[#This Row],[DATA DE VENCIMENTO]]="","",UPPER(TEXT(LANÇ_MOV[[#This Row],[DATA DE VENCIMENTO]],"MMMM")))</f>
        <v>SETEMBRO</v>
      </c>
      <c r="AG323" s="526" t="str">
        <f>IF(LANÇ_MOV[[#This Row],[DATA DE VENCIMENTO]]="","",TEXT(LANÇ_MOV[[#This Row],[DATA DE VENCIMENTO]],"M"))</f>
        <v>9</v>
      </c>
      <c r="AH323" s="526" t="str">
        <f>IF(LANÇ_MOV[[#This Row],[DATA DE VENCIMENTO]]="","",TEXT(LANÇ_MOV[[#This Row],[DATA DE VENCIMENTO]],"D"))</f>
        <v>20</v>
      </c>
      <c r="AI323" s="526" t="str">
        <f>IF(LANÇ_MOV[[#This Row],[DATA DE PAGAMENTO]]="","",TEXT(LANÇ_MOV[[#This Row],[DATA DE PAGAMENTO]],"AAAA"))</f>
        <v/>
      </c>
      <c r="AJ323" s="527" t="str">
        <f>IF(LANÇ_MOV[[#This Row],[DATA DE PAGAMENTO]]="","",UPPER(TEXT(LANÇ_MOV[[#This Row],[DATA DE PAGAMENTO]],"MMMM")))</f>
        <v/>
      </c>
      <c r="AK323" s="527" t="str">
        <f>IF(LANÇ_MOV[[#This Row],[DATA DE PAGAMENTO]]="","",TEXT(LANÇ_MOV[[#This Row],[DATA DE PAGAMENTO]],"M"))</f>
        <v/>
      </c>
      <c r="AL323" s="526" t="str">
        <f>IF(LANÇ_MOV[[#This Row],[DATA DE PAGAMENTO]]="","",TEXT(LANÇ_MOV[[#This Row],[DATA DE PAGAMENTO]],"D"))</f>
        <v/>
      </c>
      <c r="AM323" s="27"/>
      <c r="BB323" s="112"/>
      <c r="BC323" s="112"/>
      <c r="BD323" s="112"/>
    </row>
    <row r="324" spans="2:56" ht="30.05" customHeight="1" x14ac:dyDescent="0.35">
      <c r="B324" s="506">
        <v>45931</v>
      </c>
      <c r="C324" s="507" t="s">
        <v>1661</v>
      </c>
      <c r="D324" s="508" t="s">
        <v>1854</v>
      </c>
      <c r="E324" s="509" t="s">
        <v>1440</v>
      </c>
      <c r="F324" s="510" t="s">
        <v>1840</v>
      </c>
      <c r="G324" s="507" t="s">
        <v>1915</v>
      </c>
      <c r="H324" s="511"/>
      <c r="I324" s="512" t="s">
        <v>1760</v>
      </c>
      <c r="J324" s="518">
        <v>45.49</v>
      </c>
      <c r="K324" s="513">
        <v>0</v>
      </c>
      <c r="L324" s="513">
        <v>9.09</v>
      </c>
      <c r="M324" s="513">
        <v>3.06</v>
      </c>
      <c r="N324" s="514">
        <f>LANÇ_MOV[[#This Row],[VALOR BRUTO]]-LANÇ_MOV[[#This Row],[DESCONTO]]+LANÇ_MOV[[#This Row],[JUROS]]+LANÇ_MOV[[#This Row],[MULTA]]</f>
        <v>57.64</v>
      </c>
      <c r="O324" s="528">
        <v>45583</v>
      </c>
      <c r="P324" s="516" t="str">
        <f t="shared" ca="1" si="4"/>
        <v>Venceu</v>
      </c>
      <c r="Q324" s="528"/>
      <c r="R324" s="529" t="s">
        <v>1506</v>
      </c>
      <c r="S324" s="518"/>
      <c r="T324" s="518" t="s">
        <v>1776</v>
      </c>
      <c r="U324" s="519" t="s">
        <v>2007</v>
      </c>
      <c r="V324" s="520" t="str">
        <f>IFERROR(VLOOKUP(LANÇ_MOV[[#This Row],[PLANO DE CONTAS]],Plano_Contas[[PLANO DE CONTAS]:[R / D]],3,0),"")</f>
        <v>Despesa</v>
      </c>
      <c r="W324" s="521" t="str">
        <f>IF(LANÇ_MOV[[#This Row],[DATA DE PAGAMENTO]]&lt;&gt;"","Pago","Não Pago")</f>
        <v>Não Pago</v>
      </c>
      <c r="X324" s="522" t="str">
        <f>IFERROR(IF(LANÇ_MOV[[#This Row],[DATA DE PAGAMENTO]]="","",(UPPER(TEXT(LANÇ_MOV[[#This Row],[DATA DE PAGAMENTO]],"mmmm")))),"")</f>
        <v/>
      </c>
      <c r="Y324" s="523" t="str">
        <f>IFERROR(VLOOKUP(LANÇ_MOV[[#This Row],[PLANO DE CONTAS]],Plano_Contas[[PLANO DE CONTAS]:[NOMES INTERVALOS]],2,0),"")</f>
        <v>Despesas_Endividamentos</v>
      </c>
      <c r="Z324" s="523" t="str">
        <f>IF(LANÇ_MOV[[#This Row],[FORMA DE PAGAMENTO]]="","",VLOOKUP(LANÇ_MOV[[#This Row],[FORMA DE PAGAMENTO]],CAD_Forma_pagto[],2,0))</f>
        <v>BOLETO</v>
      </c>
      <c r="AA324" s="524" t="str">
        <f>IF(LANÇ_MOV[[#This Row],[DATA DE LANÇAMENTO]]="","",TEXT(LANÇ_MOV[[#This Row],[DATA DE LANÇAMENTO]],"AAAA"))</f>
        <v>2025</v>
      </c>
      <c r="AB324" s="524" t="str">
        <f>IF(LANÇ_MOV[[#This Row],[DATA DE LANÇAMENTO]]="","",UPPER(TEXT(LANÇ_MOV[[#This Row],[DATA DE LANÇAMENTO]],"MMMM")))</f>
        <v>OUTUBRO</v>
      </c>
      <c r="AC324" s="525" t="str">
        <f>IF(LANÇ_MOV[[#This Row],[DATA DE LANÇAMENTO]]="","",PROPER(TEXT(LANÇ_MOV[[#This Row],[DATA DE LANÇAMENTO]],"M")))</f>
        <v>10</v>
      </c>
      <c r="AD324" s="524" t="str">
        <f>IF(LANÇ_MOV[[#This Row],[DATA DE LANÇAMENTO]]="","",TEXT(LANÇ_MOV[[#This Row],[DATA DE LANÇAMENTO]],"D"))</f>
        <v>1</v>
      </c>
      <c r="AE324" s="526" t="str">
        <f>IF(LANÇ_MOV[[#This Row],[DATA DE VENCIMENTO]]="","",TEXT(LANÇ_MOV[[#This Row],[DATA DE VENCIMENTO]],"AAAA"))</f>
        <v>2024</v>
      </c>
      <c r="AF324" s="526" t="str">
        <f>IF(LANÇ_MOV[[#This Row],[DATA DE VENCIMENTO]]="","",UPPER(TEXT(LANÇ_MOV[[#This Row],[DATA DE VENCIMENTO]],"MMMM")))</f>
        <v>OUTUBRO</v>
      </c>
      <c r="AG324" s="526" t="str">
        <f>IF(LANÇ_MOV[[#This Row],[DATA DE VENCIMENTO]]="","",TEXT(LANÇ_MOV[[#This Row],[DATA DE VENCIMENTO]],"M"))</f>
        <v>10</v>
      </c>
      <c r="AH324" s="526" t="str">
        <f>IF(LANÇ_MOV[[#This Row],[DATA DE VENCIMENTO]]="","",TEXT(LANÇ_MOV[[#This Row],[DATA DE VENCIMENTO]],"D"))</f>
        <v>18</v>
      </c>
      <c r="AI324" s="526" t="str">
        <f>IF(LANÇ_MOV[[#This Row],[DATA DE PAGAMENTO]]="","",TEXT(LANÇ_MOV[[#This Row],[DATA DE PAGAMENTO]],"AAAA"))</f>
        <v/>
      </c>
      <c r="AJ324" s="527" t="str">
        <f>IF(LANÇ_MOV[[#This Row],[DATA DE PAGAMENTO]]="","",UPPER(TEXT(LANÇ_MOV[[#This Row],[DATA DE PAGAMENTO]],"MMMM")))</f>
        <v/>
      </c>
      <c r="AK324" s="527" t="str">
        <f>IF(LANÇ_MOV[[#This Row],[DATA DE PAGAMENTO]]="","",TEXT(LANÇ_MOV[[#This Row],[DATA DE PAGAMENTO]],"M"))</f>
        <v/>
      </c>
      <c r="AL324" s="526" t="str">
        <f>IF(LANÇ_MOV[[#This Row],[DATA DE PAGAMENTO]]="","",TEXT(LANÇ_MOV[[#This Row],[DATA DE PAGAMENTO]],"D"))</f>
        <v/>
      </c>
      <c r="AM324" s="27"/>
      <c r="BB324" s="112"/>
      <c r="BC324" s="112"/>
      <c r="BD324" s="112"/>
    </row>
    <row r="325" spans="2:56" ht="30.05" customHeight="1" x14ac:dyDescent="0.35">
      <c r="B325" s="506">
        <v>45931</v>
      </c>
      <c r="C325" s="507" t="s">
        <v>1661</v>
      </c>
      <c r="D325" s="508" t="s">
        <v>1854</v>
      </c>
      <c r="E325" s="509" t="s">
        <v>1440</v>
      </c>
      <c r="F325" s="510" t="s">
        <v>1840</v>
      </c>
      <c r="G325" s="507" t="s">
        <v>1916</v>
      </c>
      <c r="H325" s="511"/>
      <c r="I325" s="512" t="s">
        <v>1760</v>
      </c>
      <c r="J325" s="518">
        <v>52.83</v>
      </c>
      <c r="K325" s="513">
        <v>0</v>
      </c>
      <c r="L325" s="513">
        <v>10.56</v>
      </c>
      <c r="M325" s="513">
        <v>3.14</v>
      </c>
      <c r="N325" s="514">
        <f>LANÇ_MOV[[#This Row],[VALOR BRUTO]]-LANÇ_MOV[[#This Row],[DESCONTO]]+LANÇ_MOV[[#This Row],[JUROS]]+LANÇ_MOV[[#This Row],[MULTA]]</f>
        <v>66.53</v>
      </c>
      <c r="O325" s="528">
        <v>45615</v>
      </c>
      <c r="P325" s="516" t="str">
        <f t="shared" ref="P325:P388" ca="1" si="5">IF(O325="","",IF(Q325&lt;&gt;"","Pago",IF(O325-TODAY()&gt;30,"Prazo - Mais de 1 mês",IF(O325=TODAY(),"Hoje",IF(O325&lt;TODAY(),"Venceu",IF(O325-TODAY()&lt;10,"Prazo - Menos de 10 dias",IF(O325-TODAY()&lt;15,"Prazo - Menos de 15 dias","Prazo - Menos de 1 Mês")))))))</f>
        <v>Venceu</v>
      </c>
      <c r="Q325" s="528"/>
      <c r="R325" s="529" t="s">
        <v>1506</v>
      </c>
      <c r="S325" s="518"/>
      <c r="T325" s="518" t="s">
        <v>1776</v>
      </c>
      <c r="U325" s="519" t="s">
        <v>2007</v>
      </c>
      <c r="V325" s="520" t="str">
        <f>IFERROR(VLOOKUP(LANÇ_MOV[[#This Row],[PLANO DE CONTAS]],Plano_Contas[[PLANO DE CONTAS]:[R / D]],3,0),"")</f>
        <v>Despesa</v>
      </c>
      <c r="W325" s="521" t="str">
        <f>IF(LANÇ_MOV[[#This Row],[DATA DE PAGAMENTO]]&lt;&gt;"","Pago","Não Pago")</f>
        <v>Não Pago</v>
      </c>
      <c r="X325" s="522" t="str">
        <f>IFERROR(IF(LANÇ_MOV[[#This Row],[DATA DE PAGAMENTO]]="","",(UPPER(TEXT(LANÇ_MOV[[#This Row],[DATA DE PAGAMENTO]],"mmmm")))),"")</f>
        <v/>
      </c>
      <c r="Y325" s="523" t="str">
        <f>IFERROR(VLOOKUP(LANÇ_MOV[[#This Row],[PLANO DE CONTAS]],Plano_Contas[[PLANO DE CONTAS]:[NOMES INTERVALOS]],2,0),"")</f>
        <v>Despesas_Endividamentos</v>
      </c>
      <c r="Z325" s="523" t="str">
        <f>IF(LANÇ_MOV[[#This Row],[FORMA DE PAGAMENTO]]="","",VLOOKUP(LANÇ_MOV[[#This Row],[FORMA DE PAGAMENTO]],CAD_Forma_pagto[],2,0))</f>
        <v>BOLETO</v>
      </c>
      <c r="AA325" s="524" t="str">
        <f>IF(LANÇ_MOV[[#This Row],[DATA DE LANÇAMENTO]]="","",TEXT(LANÇ_MOV[[#This Row],[DATA DE LANÇAMENTO]],"AAAA"))</f>
        <v>2025</v>
      </c>
      <c r="AB325" s="524" t="str">
        <f>IF(LANÇ_MOV[[#This Row],[DATA DE LANÇAMENTO]]="","",UPPER(TEXT(LANÇ_MOV[[#This Row],[DATA DE LANÇAMENTO]],"MMMM")))</f>
        <v>OUTUBRO</v>
      </c>
      <c r="AC325" s="525" t="str">
        <f>IF(LANÇ_MOV[[#This Row],[DATA DE LANÇAMENTO]]="","",PROPER(TEXT(LANÇ_MOV[[#This Row],[DATA DE LANÇAMENTO]],"M")))</f>
        <v>10</v>
      </c>
      <c r="AD325" s="524" t="str">
        <f>IF(LANÇ_MOV[[#This Row],[DATA DE LANÇAMENTO]]="","",TEXT(LANÇ_MOV[[#This Row],[DATA DE LANÇAMENTO]],"D"))</f>
        <v>1</v>
      </c>
      <c r="AE325" s="526" t="str">
        <f>IF(LANÇ_MOV[[#This Row],[DATA DE VENCIMENTO]]="","",TEXT(LANÇ_MOV[[#This Row],[DATA DE VENCIMENTO]],"AAAA"))</f>
        <v>2024</v>
      </c>
      <c r="AF325" s="526" t="str">
        <f>IF(LANÇ_MOV[[#This Row],[DATA DE VENCIMENTO]]="","",UPPER(TEXT(LANÇ_MOV[[#This Row],[DATA DE VENCIMENTO]],"MMMM")))</f>
        <v>NOVEMBRO</v>
      </c>
      <c r="AG325" s="526" t="str">
        <f>IF(LANÇ_MOV[[#This Row],[DATA DE VENCIMENTO]]="","",TEXT(LANÇ_MOV[[#This Row],[DATA DE VENCIMENTO]],"M"))</f>
        <v>11</v>
      </c>
      <c r="AH325" s="526" t="str">
        <f>IF(LANÇ_MOV[[#This Row],[DATA DE VENCIMENTO]]="","",TEXT(LANÇ_MOV[[#This Row],[DATA DE VENCIMENTO]],"D"))</f>
        <v>19</v>
      </c>
      <c r="AI325" s="526" t="str">
        <f>IF(LANÇ_MOV[[#This Row],[DATA DE PAGAMENTO]]="","",TEXT(LANÇ_MOV[[#This Row],[DATA DE PAGAMENTO]],"AAAA"))</f>
        <v/>
      </c>
      <c r="AJ325" s="527" t="str">
        <f>IF(LANÇ_MOV[[#This Row],[DATA DE PAGAMENTO]]="","",UPPER(TEXT(LANÇ_MOV[[#This Row],[DATA DE PAGAMENTO]],"MMMM")))</f>
        <v/>
      </c>
      <c r="AK325" s="527" t="str">
        <f>IF(LANÇ_MOV[[#This Row],[DATA DE PAGAMENTO]]="","",TEXT(LANÇ_MOV[[#This Row],[DATA DE PAGAMENTO]],"M"))</f>
        <v/>
      </c>
      <c r="AL325" s="526" t="str">
        <f>IF(LANÇ_MOV[[#This Row],[DATA DE PAGAMENTO]]="","",TEXT(LANÇ_MOV[[#This Row],[DATA DE PAGAMENTO]],"D"))</f>
        <v/>
      </c>
      <c r="AM325" s="27"/>
      <c r="BB325" s="112"/>
      <c r="BC325" s="112"/>
      <c r="BD325" s="112"/>
    </row>
    <row r="326" spans="2:56" ht="30.05" customHeight="1" x14ac:dyDescent="0.35">
      <c r="B326" s="506">
        <v>45931</v>
      </c>
      <c r="C326" s="507" t="s">
        <v>1661</v>
      </c>
      <c r="D326" s="508" t="s">
        <v>1854</v>
      </c>
      <c r="E326" s="509" t="s">
        <v>1440</v>
      </c>
      <c r="F326" s="510" t="s">
        <v>1840</v>
      </c>
      <c r="G326" s="507" t="s">
        <v>1917</v>
      </c>
      <c r="H326" s="511"/>
      <c r="I326" s="512" t="s">
        <v>1760</v>
      </c>
      <c r="J326" s="518">
        <v>33.43</v>
      </c>
      <c r="K326" s="513">
        <v>0</v>
      </c>
      <c r="L326" s="513">
        <v>6.68</v>
      </c>
      <c r="M326" s="513">
        <v>1.67</v>
      </c>
      <c r="N326" s="514">
        <f>LANÇ_MOV[[#This Row],[VALOR BRUTO]]-LANÇ_MOV[[#This Row],[DESCONTO]]+LANÇ_MOV[[#This Row],[JUROS]]+LANÇ_MOV[[#This Row],[MULTA]]</f>
        <v>41.78</v>
      </c>
      <c r="O326" s="528">
        <v>45646</v>
      </c>
      <c r="P326" s="516" t="str">
        <f t="shared" ca="1" si="5"/>
        <v>Venceu</v>
      </c>
      <c r="Q326" s="528"/>
      <c r="R326" s="529" t="s">
        <v>1506</v>
      </c>
      <c r="S326" s="518"/>
      <c r="T326" s="518" t="s">
        <v>1776</v>
      </c>
      <c r="U326" s="519" t="s">
        <v>2007</v>
      </c>
      <c r="V326" s="520" t="str">
        <f>IFERROR(VLOOKUP(LANÇ_MOV[[#This Row],[PLANO DE CONTAS]],Plano_Contas[[PLANO DE CONTAS]:[R / D]],3,0),"")</f>
        <v>Despesa</v>
      </c>
      <c r="W326" s="521" t="str">
        <f>IF(LANÇ_MOV[[#This Row],[DATA DE PAGAMENTO]]&lt;&gt;"","Pago","Não Pago")</f>
        <v>Não Pago</v>
      </c>
      <c r="X326" s="522" t="str">
        <f>IFERROR(IF(LANÇ_MOV[[#This Row],[DATA DE PAGAMENTO]]="","",(UPPER(TEXT(LANÇ_MOV[[#This Row],[DATA DE PAGAMENTO]],"mmmm")))),"")</f>
        <v/>
      </c>
      <c r="Y326" s="523" t="str">
        <f>IFERROR(VLOOKUP(LANÇ_MOV[[#This Row],[PLANO DE CONTAS]],Plano_Contas[[PLANO DE CONTAS]:[NOMES INTERVALOS]],2,0),"")</f>
        <v>Despesas_Endividamentos</v>
      </c>
      <c r="Z326" s="523" t="str">
        <f>IF(LANÇ_MOV[[#This Row],[FORMA DE PAGAMENTO]]="","",VLOOKUP(LANÇ_MOV[[#This Row],[FORMA DE PAGAMENTO]],CAD_Forma_pagto[],2,0))</f>
        <v>BOLETO</v>
      </c>
      <c r="AA326" s="524" t="str">
        <f>IF(LANÇ_MOV[[#This Row],[DATA DE LANÇAMENTO]]="","",TEXT(LANÇ_MOV[[#This Row],[DATA DE LANÇAMENTO]],"AAAA"))</f>
        <v>2025</v>
      </c>
      <c r="AB326" s="524" t="str">
        <f>IF(LANÇ_MOV[[#This Row],[DATA DE LANÇAMENTO]]="","",UPPER(TEXT(LANÇ_MOV[[#This Row],[DATA DE LANÇAMENTO]],"MMMM")))</f>
        <v>OUTUBRO</v>
      </c>
      <c r="AC326" s="525" t="str">
        <f>IF(LANÇ_MOV[[#This Row],[DATA DE LANÇAMENTO]]="","",PROPER(TEXT(LANÇ_MOV[[#This Row],[DATA DE LANÇAMENTO]],"M")))</f>
        <v>10</v>
      </c>
      <c r="AD326" s="524" t="str">
        <f>IF(LANÇ_MOV[[#This Row],[DATA DE LANÇAMENTO]]="","",TEXT(LANÇ_MOV[[#This Row],[DATA DE LANÇAMENTO]],"D"))</f>
        <v>1</v>
      </c>
      <c r="AE326" s="526" t="str">
        <f>IF(LANÇ_MOV[[#This Row],[DATA DE VENCIMENTO]]="","",TEXT(LANÇ_MOV[[#This Row],[DATA DE VENCIMENTO]],"AAAA"))</f>
        <v>2024</v>
      </c>
      <c r="AF326" s="526" t="str">
        <f>IF(LANÇ_MOV[[#This Row],[DATA DE VENCIMENTO]]="","",UPPER(TEXT(LANÇ_MOV[[#This Row],[DATA DE VENCIMENTO]],"MMMM")))</f>
        <v>DEZEMBRO</v>
      </c>
      <c r="AG326" s="526" t="str">
        <f>IF(LANÇ_MOV[[#This Row],[DATA DE VENCIMENTO]]="","",TEXT(LANÇ_MOV[[#This Row],[DATA DE VENCIMENTO]],"M"))</f>
        <v>12</v>
      </c>
      <c r="AH326" s="526" t="str">
        <f>IF(LANÇ_MOV[[#This Row],[DATA DE VENCIMENTO]]="","",TEXT(LANÇ_MOV[[#This Row],[DATA DE VENCIMENTO]],"D"))</f>
        <v>20</v>
      </c>
      <c r="AI326" s="526" t="str">
        <f>IF(LANÇ_MOV[[#This Row],[DATA DE PAGAMENTO]]="","",TEXT(LANÇ_MOV[[#This Row],[DATA DE PAGAMENTO]],"AAAA"))</f>
        <v/>
      </c>
      <c r="AJ326" s="527" t="str">
        <f>IF(LANÇ_MOV[[#This Row],[DATA DE PAGAMENTO]]="","",UPPER(TEXT(LANÇ_MOV[[#This Row],[DATA DE PAGAMENTO]],"MMMM")))</f>
        <v/>
      </c>
      <c r="AK326" s="527" t="str">
        <f>IF(LANÇ_MOV[[#This Row],[DATA DE PAGAMENTO]]="","",TEXT(LANÇ_MOV[[#This Row],[DATA DE PAGAMENTO]],"M"))</f>
        <v/>
      </c>
      <c r="AL326" s="526" t="str">
        <f>IF(LANÇ_MOV[[#This Row],[DATA DE PAGAMENTO]]="","",TEXT(LANÇ_MOV[[#This Row],[DATA DE PAGAMENTO]],"D"))</f>
        <v/>
      </c>
      <c r="AM326" s="27"/>
      <c r="BB326" s="112"/>
      <c r="BC326" s="112"/>
      <c r="BD326" s="112"/>
    </row>
    <row r="327" spans="2:56" ht="30.05" customHeight="1" x14ac:dyDescent="0.35">
      <c r="B327" s="506">
        <v>45931</v>
      </c>
      <c r="C327" s="507" t="s">
        <v>1661</v>
      </c>
      <c r="D327" s="508" t="s">
        <v>1854</v>
      </c>
      <c r="E327" s="509" t="s">
        <v>1440</v>
      </c>
      <c r="F327" s="510" t="s">
        <v>1840</v>
      </c>
      <c r="G327" s="507" t="s">
        <v>1918</v>
      </c>
      <c r="H327" s="511"/>
      <c r="I327" s="512" t="s">
        <v>1760</v>
      </c>
      <c r="J327" s="510">
        <v>36.32</v>
      </c>
      <c r="K327" s="513">
        <v>0</v>
      </c>
      <c r="L327" s="513">
        <v>7.26</v>
      </c>
      <c r="M327" s="513">
        <v>1.45</v>
      </c>
      <c r="N327" s="514">
        <f>LANÇ_MOV[[#This Row],[VALOR BRUTO]]-LANÇ_MOV[[#This Row],[DESCONTO]]+LANÇ_MOV[[#This Row],[JUROS]]+LANÇ_MOV[[#This Row],[MULTA]]</f>
        <v>45.03</v>
      </c>
      <c r="O327" s="528">
        <v>45677</v>
      </c>
      <c r="P327" s="516" t="str">
        <f t="shared" ca="1" si="5"/>
        <v>Venceu</v>
      </c>
      <c r="Q327" s="528"/>
      <c r="R327" s="529" t="s">
        <v>1506</v>
      </c>
      <c r="S327" s="518"/>
      <c r="T327" s="518" t="s">
        <v>1776</v>
      </c>
      <c r="U327" s="519" t="s">
        <v>2007</v>
      </c>
      <c r="V327" s="520" t="str">
        <f>IFERROR(VLOOKUP(LANÇ_MOV[[#This Row],[PLANO DE CONTAS]],Plano_Contas[[PLANO DE CONTAS]:[R / D]],3,0),"")</f>
        <v>Despesa</v>
      </c>
      <c r="W327" s="521" t="str">
        <f>IF(LANÇ_MOV[[#This Row],[DATA DE PAGAMENTO]]&lt;&gt;"","Pago","Não Pago")</f>
        <v>Não Pago</v>
      </c>
      <c r="X327" s="522" t="str">
        <f>IFERROR(IF(LANÇ_MOV[[#This Row],[DATA DE PAGAMENTO]]="","",(UPPER(TEXT(LANÇ_MOV[[#This Row],[DATA DE PAGAMENTO]],"mmmm")))),"")</f>
        <v/>
      </c>
      <c r="Y327" s="523" t="str">
        <f>IFERROR(VLOOKUP(LANÇ_MOV[[#This Row],[PLANO DE CONTAS]],Plano_Contas[[PLANO DE CONTAS]:[NOMES INTERVALOS]],2,0),"")</f>
        <v>Despesas_Endividamentos</v>
      </c>
      <c r="Z327" s="523" t="str">
        <f>IF(LANÇ_MOV[[#This Row],[FORMA DE PAGAMENTO]]="","",VLOOKUP(LANÇ_MOV[[#This Row],[FORMA DE PAGAMENTO]],CAD_Forma_pagto[],2,0))</f>
        <v>BOLETO</v>
      </c>
      <c r="AA327" s="524" t="str">
        <f>IF(LANÇ_MOV[[#This Row],[DATA DE LANÇAMENTO]]="","",TEXT(LANÇ_MOV[[#This Row],[DATA DE LANÇAMENTO]],"AAAA"))</f>
        <v>2025</v>
      </c>
      <c r="AB327" s="524" t="str">
        <f>IF(LANÇ_MOV[[#This Row],[DATA DE LANÇAMENTO]]="","",UPPER(TEXT(LANÇ_MOV[[#This Row],[DATA DE LANÇAMENTO]],"MMMM")))</f>
        <v>OUTUBRO</v>
      </c>
      <c r="AC327" s="525" t="str">
        <f>IF(LANÇ_MOV[[#This Row],[DATA DE LANÇAMENTO]]="","",PROPER(TEXT(LANÇ_MOV[[#This Row],[DATA DE LANÇAMENTO]],"M")))</f>
        <v>10</v>
      </c>
      <c r="AD327" s="524" t="str">
        <f>IF(LANÇ_MOV[[#This Row],[DATA DE LANÇAMENTO]]="","",TEXT(LANÇ_MOV[[#This Row],[DATA DE LANÇAMENTO]],"D"))</f>
        <v>1</v>
      </c>
      <c r="AE327" s="526" t="str">
        <f>IF(LANÇ_MOV[[#This Row],[DATA DE VENCIMENTO]]="","",TEXT(LANÇ_MOV[[#This Row],[DATA DE VENCIMENTO]],"AAAA"))</f>
        <v>2025</v>
      </c>
      <c r="AF327" s="526" t="str">
        <f>IF(LANÇ_MOV[[#This Row],[DATA DE VENCIMENTO]]="","",UPPER(TEXT(LANÇ_MOV[[#This Row],[DATA DE VENCIMENTO]],"MMMM")))</f>
        <v>JANEIRO</v>
      </c>
      <c r="AG327" s="526" t="str">
        <f>IF(LANÇ_MOV[[#This Row],[DATA DE VENCIMENTO]]="","",TEXT(LANÇ_MOV[[#This Row],[DATA DE VENCIMENTO]],"M"))</f>
        <v>1</v>
      </c>
      <c r="AH327" s="526" t="str">
        <f>IF(LANÇ_MOV[[#This Row],[DATA DE VENCIMENTO]]="","",TEXT(LANÇ_MOV[[#This Row],[DATA DE VENCIMENTO]],"D"))</f>
        <v>20</v>
      </c>
      <c r="AI327" s="526" t="str">
        <f>IF(LANÇ_MOV[[#This Row],[DATA DE PAGAMENTO]]="","",TEXT(LANÇ_MOV[[#This Row],[DATA DE PAGAMENTO]],"AAAA"))</f>
        <v/>
      </c>
      <c r="AJ327" s="527" t="str">
        <f>IF(LANÇ_MOV[[#This Row],[DATA DE PAGAMENTO]]="","",UPPER(TEXT(LANÇ_MOV[[#This Row],[DATA DE PAGAMENTO]],"MMMM")))</f>
        <v/>
      </c>
      <c r="AK327" s="527" t="str">
        <f>IF(LANÇ_MOV[[#This Row],[DATA DE PAGAMENTO]]="","",TEXT(LANÇ_MOV[[#This Row],[DATA DE PAGAMENTO]],"M"))</f>
        <v/>
      </c>
      <c r="AL327" s="526" t="str">
        <f>IF(LANÇ_MOV[[#This Row],[DATA DE PAGAMENTO]]="","",TEXT(LANÇ_MOV[[#This Row],[DATA DE PAGAMENTO]],"D"))</f>
        <v/>
      </c>
      <c r="AM327" s="27"/>
      <c r="BB327" s="112"/>
      <c r="BC327" s="112"/>
      <c r="BD327" s="112"/>
    </row>
    <row r="328" spans="2:56" ht="30.05" customHeight="1" x14ac:dyDescent="0.35">
      <c r="B328" s="506">
        <v>45931</v>
      </c>
      <c r="C328" s="507" t="s">
        <v>1661</v>
      </c>
      <c r="D328" s="508" t="s">
        <v>1854</v>
      </c>
      <c r="E328" s="509" t="s">
        <v>1440</v>
      </c>
      <c r="F328" s="510" t="s">
        <v>1840</v>
      </c>
      <c r="G328" s="507" t="s">
        <v>1921</v>
      </c>
      <c r="H328" s="511"/>
      <c r="I328" s="512" t="s">
        <v>1760</v>
      </c>
      <c r="J328" s="510">
        <v>36.590000000000003</v>
      </c>
      <c r="K328" s="513">
        <v>0</v>
      </c>
      <c r="L328" s="513">
        <v>7.31</v>
      </c>
      <c r="M328" s="513">
        <v>1.1000000000000001</v>
      </c>
      <c r="N328" s="514">
        <f>LANÇ_MOV[[#This Row],[VALOR BRUTO]]-LANÇ_MOV[[#This Row],[DESCONTO]]+LANÇ_MOV[[#This Row],[JUROS]]+LANÇ_MOV[[#This Row],[MULTA]]</f>
        <v>45.000000000000007</v>
      </c>
      <c r="O328" s="528">
        <v>45708</v>
      </c>
      <c r="P328" s="516" t="str">
        <f t="shared" ca="1" si="5"/>
        <v>Venceu</v>
      </c>
      <c r="Q328" s="528"/>
      <c r="R328" s="529" t="s">
        <v>1506</v>
      </c>
      <c r="S328" s="518"/>
      <c r="T328" s="518" t="s">
        <v>1776</v>
      </c>
      <c r="U328" s="519" t="s">
        <v>2007</v>
      </c>
      <c r="V328" s="520" t="str">
        <f>IFERROR(VLOOKUP(LANÇ_MOV[[#This Row],[PLANO DE CONTAS]],Plano_Contas[[PLANO DE CONTAS]:[R / D]],3,0),"")</f>
        <v>Despesa</v>
      </c>
      <c r="W328" s="521" t="str">
        <f>IF(LANÇ_MOV[[#This Row],[DATA DE PAGAMENTO]]&lt;&gt;"","Pago","Não Pago")</f>
        <v>Não Pago</v>
      </c>
      <c r="X328" s="522" t="str">
        <f>IFERROR(IF(LANÇ_MOV[[#This Row],[DATA DE PAGAMENTO]]="","",(UPPER(TEXT(LANÇ_MOV[[#This Row],[DATA DE PAGAMENTO]],"mmmm")))),"")</f>
        <v/>
      </c>
      <c r="Y328" s="523" t="str">
        <f>IFERROR(VLOOKUP(LANÇ_MOV[[#This Row],[PLANO DE CONTAS]],Plano_Contas[[PLANO DE CONTAS]:[NOMES INTERVALOS]],2,0),"")</f>
        <v>Despesas_Endividamentos</v>
      </c>
      <c r="Z328" s="523" t="str">
        <f>IF(LANÇ_MOV[[#This Row],[FORMA DE PAGAMENTO]]="","",VLOOKUP(LANÇ_MOV[[#This Row],[FORMA DE PAGAMENTO]],CAD_Forma_pagto[],2,0))</f>
        <v>BOLETO</v>
      </c>
      <c r="AA328" s="524" t="str">
        <f>IF(LANÇ_MOV[[#This Row],[DATA DE LANÇAMENTO]]="","",TEXT(LANÇ_MOV[[#This Row],[DATA DE LANÇAMENTO]],"AAAA"))</f>
        <v>2025</v>
      </c>
      <c r="AB328" s="524" t="str">
        <f>IF(LANÇ_MOV[[#This Row],[DATA DE LANÇAMENTO]]="","",UPPER(TEXT(LANÇ_MOV[[#This Row],[DATA DE LANÇAMENTO]],"MMMM")))</f>
        <v>OUTUBRO</v>
      </c>
      <c r="AC328" s="525" t="str">
        <f>IF(LANÇ_MOV[[#This Row],[DATA DE LANÇAMENTO]]="","",PROPER(TEXT(LANÇ_MOV[[#This Row],[DATA DE LANÇAMENTO]],"M")))</f>
        <v>10</v>
      </c>
      <c r="AD328" s="524" t="str">
        <f>IF(LANÇ_MOV[[#This Row],[DATA DE LANÇAMENTO]]="","",TEXT(LANÇ_MOV[[#This Row],[DATA DE LANÇAMENTO]],"D"))</f>
        <v>1</v>
      </c>
      <c r="AE328" s="526" t="str">
        <f>IF(LANÇ_MOV[[#This Row],[DATA DE VENCIMENTO]]="","",TEXT(LANÇ_MOV[[#This Row],[DATA DE VENCIMENTO]],"AAAA"))</f>
        <v>2025</v>
      </c>
      <c r="AF328" s="526" t="str">
        <f>IF(LANÇ_MOV[[#This Row],[DATA DE VENCIMENTO]]="","",UPPER(TEXT(LANÇ_MOV[[#This Row],[DATA DE VENCIMENTO]],"MMMM")))</f>
        <v>FEVEREIRO</v>
      </c>
      <c r="AG328" s="526" t="str">
        <f>IF(LANÇ_MOV[[#This Row],[DATA DE VENCIMENTO]]="","",TEXT(LANÇ_MOV[[#This Row],[DATA DE VENCIMENTO]],"M"))</f>
        <v>2</v>
      </c>
      <c r="AH328" s="526" t="str">
        <f>IF(LANÇ_MOV[[#This Row],[DATA DE VENCIMENTO]]="","",TEXT(LANÇ_MOV[[#This Row],[DATA DE VENCIMENTO]],"D"))</f>
        <v>20</v>
      </c>
      <c r="AI328" s="526" t="str">
        <f>IF(LANÇ_MOV[[#This Row],[DATA DE PAGAMENTO]]="","",TEXT(LANÇ_MOV[[#This Row],[DATA DE PAGAMENTO]],"AAAA"))</f>
        <v/>
      </c>
      <c r="AJ328" s="527" t="str">
        <f>IF(LANÇ_MOV[[#This Row],[DATA DE PAGAMENTO]]="","",UPPER(TEXT(LANÇ_MOV[[#This Row],[DATA DE PAGAMENTO]],"MMMM")))</f>
        <v/>
      </c>
      <c r="AK328" s="527" t="str">
        <f>IF(LANÇ_MOV[[#This Row],[DATA DE PAGAMENTO]]="","",TEXT(LANÇ_MOV[[#This Row],[DATA DE PAGAMENTO]],"M"))</f>
        <v/>
      </c>
      <c r="AL328" s="526" t="str">
        <f>IF(LANÇ_MOV[[#This Row],[DATA DE PAGAMENTO]]="","",TEXT(LANÇ_MOV[[#This Row],[DATA DE PAGAMENTO]],"D"))</f>
        <v/>
      </c>
      <c r="AM328" s="27"/>
      <c r="BB328" s="112"/>
      <c r="BC328" s="112"/>
      <c r="BD328" s="112"/>
    </row>
    <row r="329" spans="2:56" ht="30.05" customHeight="1" x14ac:dyDescent="0.35">
      <c r="B329" s="506">
        <v>45931</v>
      </c>
      <c r="C329" s="507" t="s">
        <v>1661</v>
      </c>
      <c r="D329" s="508" t="s">
        <v>1854</v>
      </c>
      <c r="E329" s="509" t="s">
        <v>1440</v>
      </c>
      <c r="F329" s="510" t="s">
        <v>1840</v>
      </c>
      <c r="G329" s="507" t="s">
        <v>1919</v>
      </c>
      <c r="H329" s="511"/>
      <c r="I329" s="512" t="s">
        <v>1760</v>
      </c>
      <c r="J329" s="510">
        <v>27.61</v>
      </c>
      <c r="K329" s="513">
        <v>0</v>
      </c>
      <c r="L329" s="513">
        <v>4.46</v>
      </c>
      <c r="M329" s="513">
        <v>0.56000000000000005</v>
      </c>
      <c r="N329" s="514">
        <f>LANÇ_MOV[[#This Row],[VALOR BRUTO]]-LANÇ_MOV[[#This Row],[DESCONTO]]+LANÇ_MOV[[#This Row],[JUROS]]+LANÇ_MOV[[#This Row],[MULTA]]</f>
        <v>32.630000000000003</v>
      </c>
      <c r="O329" s="528">
        <v>45736</v>
      </c>
      <c r="P329" s="516" t="str">
        <f t="shared" ca="1" si="5"/>
        <v>Venceu</v>
      </c>
      <c r="Q329" s="528"/>
      <c r="R329" s="529" t="s">
        <v>1506</v>
      </c>
      <c r="S329" s="518"/>
      <c r="T329" s="518" t="s">
        <v>1776</v>
      </c>
      <c r="U329" s="519" t="s">
        <v>2007</v>
      </c>
      <c r="V329" s="520" t="str">
        <f>IFERROR(VLOOKUP(LANÇ_MOV[[#This Row],[PLANO DE CONTAS]],Plano_Contas[[PLANO DE CONTAS]:[R / D]],3,0),"")</f>
        <v>Despesa</v>
      </c>
      <c r="W329" s="521" t="str">
        <f>IF(LANÇ_MOV[[#This Row],[DATA DE PAGAMENTO]]&lt;&gt;"","Pago","Não Pago")</f>
        <v>Não Pago</v>
      </c>
      <c r="X329" s="522" t="str">
        <f>IFERROR(IF(LANÇ_MOV[[#This Row],[DATA DE PAGAMENTO]]="","",(UPPER(TEXT(LANÇ_MOV[[#This Row],[DATA DE PAGAMENTO]],"mmmm")))),"")</f>
        <v/>
      </c>
      <c r="Y329" s="523" t="str">
        <f>IFERROR(VLOOKUP(LANÇ_MOV[[#This Row],[PLANO DE CONTAS]],Plano_Contas[[PLANO DE CONTAS]:[NOMES INTERVALOS]],2,0),"")</f>
        <v>Despesas_Endividamentos</v>
      </c>
      <c r="Z329" s="523" t="str">
        <f>IF(LANÇ_MOV[[#This Row],[FORMA DE PAGAMENTO]]="","",VLOOKUP(LANÇ_MOV[[#This Row],[FORMA DE PAGAMENTO]],CAD_Forma_pagto[],2,0))</f>
        <v>BOLETO</v>
      </c>
      <c r="AA329" s="524" t="str">
        <f>IF(LANÇ_MOV[[#This Row],[DATA DE LANÇAMENTO]]="","",TEXT(LANÇ_MOV[[#This Row],[DATA DE LANÇAMENTO]],"AAAA"))</f>
        <v>2025</v>
      </c>
      <c r="AB329" s="524" t="str">
        <f>IF(LANÇ_MOV[[#This Row],[DATA DE LANÇAMENTO]]="","",UPPER(TEXT(LANÇ_MOV[[#This Row],[DATA DE LANÇAMENTO]],"MMMM")))</f>
        <v>OUTUBRO</v>
      </c>
      <c r="AC329" s="525" t="str">
        <f>IF(LANÇ_MOV[[#This Row],[DATA DE LANÇAMENTO]]="","",PROPER(TEXT(LANÇ_MOV[[#This Row],[DATA DE LANÇAMENTO]],"M")))</f>
        <v>10</v>
      </c>
      <c r="AD329" s="524" t="str">
        <f>IF(LANÇ_MOV[[#This Row],[DATA DE LANÇAMENTO]]="","",TEXT(LANÇ_MOV[[#This Row],[DATA DE LANÇAMENTO]],"D"))</f>
        <v>1</v>
      </c>
      <c r="AE329" s="526" t="str">
        <f>IF(LANÇ_MOV[[#This Row],[DATA DE VENCIMENTO]]="","",TEXT(LANÇ_MOV[[#This Row],[DATA DE VENCIMENTO]],"AAAA"))</f>
        <v>2025</v>
      </c>
      <c r="AF329" s="526" t="str">
        <f>IF(LANÇ_MOV[[#This Row],[DATA DE VENCIMENTO]]="","",UPPER(TEXT(LANÇ_MOV[[#This Row],[DATA DE VENCIMENTO]],"MMMM")))</f>
        <v>MARÇO</v>
      </c>
      <c r="AG329" s="526" t="str">
        <f>IF(LANÇ_MOV[[#This Row],[DATA DE VENCIMENTO]]="","",TEXT(LANÇ_MOV[[#This Row],[DATA DE VENCIMENTO]],"M"))</f>
        <v>3</v>
      </c>
      <c r="AH329" s="526" t="str">
        <f>IF(LANÇ_MOV[[#This Row],[DATA DE VENCIMENTO]]="","",TEXT(LANÇ_MOV[[#This Row],[DATA DE VENCIMENTO]],"D"))</f>
        <v>20</v>
      </c>
      <c r="AI329" s="526" t="str">
        <f>IF(LANÇ_MOV[[#This Row],[DATA DE PAGAMENTO]]="","",TEXT(LANÇ_MOV[[#This Row],[DATA DE PAGAMENTO]],"AAAA"))</f>
        <v/>
      </c>
      <c r="AJ329" s="527" t="str">
        <f>IF(LANÇ_MOV[[#This Row],[DATA DE PAGAMENTO]]="","",UPPER(TEXT(LANÇ_MOV[[#This Row],[DATA DE PAGAMENTO]],"MMMM")))</f>
        <v/>
      </c>
      <c r="AK329" s="527" t="str">
        <f>IF(LANÇ_MOV[[#This Row],[DATA DE PAGAMENTO]]="","",TEXT(LANÇ_MOV[[#This Row],[DATA DE PAGAMENTO]],"M"))</f>
        <v/>
      </c>
      <c r="AL329" s="526" t="str">
        <f>IF(LANÇ_MOV[[#This Row],[DATA DE PAGAMENTO]]="","",TEXT(LANÇ_MOV[[#This Row],[DATA DE PAGAMENTO]],"D"))</f>
        <v/>
      </c>
      <c r="AM329" s="27"/>
      <c r="BB329" s="112"/>
      <c r="BC329" s="112"/>
      <c r="BD329" s="112"/>
    </row>
    <row r="330" spans="2:56" ht="30.05" customHeight="1" x14ac:dyDescent="0.35">
      <c r="B330" s="506">
        <v>45931</v>
      </c>
      <c r="C330" s="507" t="s">
        <v>1661</v>
      </c>
      <c r="D330" s="508" t="s">
        <v>1854</v>
      </c>
      <c r="E330" s="509" t="s">
        <v>1440</v>
      </c>
      <c r="F330" s="510" t="s">
        <v>1840</v>
      </c>
      <c r="G330" s="507" t="s">
        <v>1920</v>
      </c>
      <c r="H330" s="511"/>
      <c r="I330" s="512" t="s">
        <v>1760</v>
      </c>
      <c r="J330" s="510">
        <v>21.64</v>
      </c>
      <c r="K330" s="513">
        <v>0</v>
      </c>
      <c r="L330" s="513">
        <v>1.21</v>
      </c>
      <c r="M330" s="513">
        <v>0.21</v>
      </c>
      <c r="N330" s="514">
        <f>LANÇ_MOV[[#This Row],[VALOR BRUTO]]-LANÇ_MOV[[#This Row],[DESCONTO]]+LANÇ_MOV[[#This Row],[JUROS]]+LANÇ_MOV[[#This Row],[MULTA]]</f>
        <v>23.060000000000002</v>
      </c>
      <c r="O330" s="528">
        <v>45764</v>
      </c>
      <c r="P330" s="516" t="str">
        <f t="shared" ca="1" si="5"/>
        <v>Venceu</v>
      </c>
      <c r="Q330" s="528"/>
      <c r="R330" s="529" t="s">
        <v>1506</v>
      </c>
      <c r="S330" s="518"/>
      <c r="T330" s="518" t="s">
        <v>1776</v>
      </c>
      <c r="U330" s="519" t="s">
        <v>2007</v>
      </c>
      <c r="V330" s="520" t="str">
        <f>IFERROR(VLOOKUP(LANÇ_MOV[[#This Row],[PLANO DE CONTAS]],Plano_Contas[[PLANO DE CONTAS]:[R / D]],3,0),"")</f>
        <v>Despesa</v>
      </c>
      <c r="W330" s="521" t="str">
        <f>IF(LANÇ_MOV[[#This Row],[DATA DE PAGAMENTO]]&lt;&gt;"","Pago","Não Pago")</f>
        <v>Não Pago</v>
      </c>
      <c r="X330" s="522" t="str">
        <f>IFERROR(IF(LANÇ_MOV[[#This Row],[DATA DE PAGAMENTO]]="","",(UPPER(TEXT(LANÇ_MOV[[#This Row],[DATA DE PAGAMENTO]],"mmmm")))),"")</f>
        <v/>
      </c>
      <c r="Y330" s="523" t="str">
        <f>IFERROR(VLOOKUP(LANÇ_MOV[[#This Row],[PLANO DE CONTAS]],Plano_Contas[[PLANO DE CONTAS]:[NOMES INTERVALOS]],2,0),"")</f>
        <v>Despesas_Endividamentos</v>
      </c>
      <c r="Z330" s="523" t="str">
        <f>IF(LANÇ_MOV[[#This Row],[FORMA DE PAGAMENTO]]="","",VLOOKUP(LANÇ_MOV[[#This Row],[FORMA DE PAGAMENTO]],CAD_Forma_pagto[],2,0))</f>
        <v>BOLETO</v>
      </c>
      <c r="AA330" s="524" t="str">
        <f>IF(LANÇ_MOV[[#This Row],[DATA DE LANÇAMENTO]]="","",TEXT(LANÇ_MOV[[#This Row],[DATA DE LANÇAMENTO]],"AAAA"))</f>
        <v>2025</v>
      </c>
      <c r="AB330" s="524" t="str">
        <f>IF(LANÇ_MOV[[#This Row],[DATA DE LANÇAMENTO]]="","",UPPER(TEXT(LANÇ_MOV[[#This Row],[DATA DE LANÇAMENTO]],"MMMM")))</f>
        <v>OUTUBRO</v>
      </c>
      <c r="AC330" s="525" t="str">
        <f>IF(LANÇ_MOV[[#This Row],[DATA DE LANÇAMENTO]]="","",PROPER(TEXT(LANÇ_MOV[[#This Row],[DATA DE LANÇAMENTO]],"M")))</f>
        <v>10</v>
      </c>
      <c r="AD330" s="524" t="str">
        <f>IF(LANÇ_MOV[[#This Row],[DATA DE LANÇAMENTO]]="","",TEXT(LANÇ_MOV[[#This Row],[DATA DE LANÇAMENTO]],"D"))</f>
        <v>1</v>
      </c>
      <c r="AE330" s="526" t="str">
        <f>IF(LANÇ_MOV[[#This Row],[DATA DE VENCIMENTO]]="","",TEXT(LANÇ_MOV[[#This Row],[DATA DE VENCIMENTO]],"AAAA"))</f>
        <v>2025</v>
      </c>
      <c r="AF330" s="526" t="str">
        <f>IF(LANÇ_MOV[[#This Row],[DATA DE VENCIMENTO]]="","",UPPER(TEXT(LANÇ_MOV[[#This Row],[DATA DE VENCIMENTO]],"MMMM")))</f>
        <v>ABRIL</v>
      </c>
      <c r="AG330" s="526" t="str">
        <f>IF(LANÇ_MOV[[#This Row],[DATA DE VENCIMENTO]]="","",TEXT(LANÇ_MOV[[#This Row],[DATA DE VENCIMENTO]],"M"))</f>
        <v>4</v>
      </c>
      <c r="AH330" s="526" t="str">
        <f>IF(LANÇ_MOV[[#This Row],[DATA DE VENCIMENTO]]="","",TEXT(LANÇ_MOV[[#This Row],[DATA DE VENCIMENTO]],"D"))</f>
        <v>17</v>
      </c>
      <c r="AI330" s="526" t="str">
        <f>IF(LANÇ_MOV[[#This Row],[DATA DE PAGAMENTO]]="","",TEXT(LANÇ_MOV[[#This Row],[DATA DE PAGAMENTO]],"AAAA"))</f>
        <v/>
      </c>
      <c r="AJ330" s="527" t="str">
        <f>IF(LANÇ_MOV[[#This Row],[DATA DE PAGAMENTO]]="","",UPPER(TEXT(LANÇ_MOV[[#This Row],[DATA DE PAGAMENTO]],"MMMM")))</f>
        <v/>
      </c>
      <c r="AK330" s="527" t="str">
        <f>IF(LANÇ_MOV[[#This Row],[DATA DE PAGAMENTO]]="","",TEXT(LANÇ_MOV[[#This Row],[DATA DE PAGAMENTO]],"M"))</f>
        <v/>
      </c>
      <c r="AL330" s="526" t="str">
        <f>IF(LANÇ_MOV[[#This Row],[DATA DE PAGAMENTO]]="","",TEXT(LANÇ_MOV[[#This Row],[DATA DE PAGAMENTO]],"D"))</f>
        <v/>
      </c>
      <c r="AM330" s="27"/>
      <c r="BB330" s="112"/>
      <c r="BC330" s="112"/>
      <c r="BD330" s="112"/>
    </row>
    <row r="331" spans="2:56" ht="30.05" customHeight="1" x14ac:dyDescent="0.35">
      <c r="B331" s="506">
        <v>45931</v>
      </c>
      <c r="C331" s="507" t="s">
        <v>1661</v>
      </c>
      <c r="D331" s="508" t="s">
        <v>1854</v>
      </c>
      <c r="E331" s="509" t="s">
        <v>1440</v>
      </c>
      <c r="F331" s="510" t="s">
        <v>1840</v>
      </c>
      <c r="G331" s="507">
        <v>2024</v>
      </c>
      <c r="H331" s="511"/>
      <c r="I331" s="512" t="s">
        <v>1760</v>
      </c>
      <c r="J331" s="510">
        <v>28.88</v>
      </c>
      <c r="K331" s="513">
        <v>0</v>
      </c>
      <c r="L331" s="513">
        <v>5.77</v>
      </c>
      <c r="M331" s="513">
        <v>1.44</v>
      </c>
      <c r="N331" s="514">
        <f>LANÇ_MOV[[#This Row],[VALOR BRUTO]]-LANÇ_MOV[[#This Row],[DESCONTO]]+LANÇ_MOV[[#This Row],[JUROS]]+LANÇ_MOV[[#This Row],[MULTA]]</f>
        <v>36.089999999999996</v>
      </c>
      <c r="O331" s="528">
        <v>45646</v>
      </c>
      <c r="P331" s="516" t="str">
        <f t="shared" ca="1" si="5"/>
        <v>Venceu</v>
      </c>
      <c r="Q331" s="528"/>
      <c r="R331" s="529" t="s">
        <v>1506</v>
      </c>
      <c r="S331" s="518"/>
      <c r="T331" s="518" t="s">
        <v>1776</v>
      </c>
      <c r="U331" s="519" t="s">
        <v>2007</v>
      </c>
      <c r="V331" s="520" t="str">
        <f>IFERROR(VLOOKUP(LANÇ_MOV[[#This Row],[PLANO DE CONTAS]],Plano_Contas[[PLANO DE CONTAS]:[R / D]],3,0),"")</f>
        <v>Despesa</v>
      </c>
      <c r="W331" s="521" t="str">
        <f>IF(LANÇ_MOV[[#This Row],[DATA DE PAGAMENTO]]&lt;&gt;"","Pago","Não Pago")</f>
        <v>Não Pago</v>
      </c>
      <c r="X331" s="522" t="str">
        <f>IFERROR(IF(LANÇ_MOV[[#This Row],[DATA DE PAGAMENTO]]="","",(UPPER(TEXT(LANÇ_MOV[[#This Row],[DATA DE PAGAMENTO]],"mmmm")))),"")</f>
        <v/>
      </c>
      <c r="Y331" s="523" t="str">
        <f>IFERROR(VLOOKUP(LANÇ_MOV[[#This Row],[PLANO DE CONTAS]],Plano_Contas[[PLANO DE CONTAS]:[NOMES INTERVALOS]],2,0),"")</f>
        <v>Despesas_Endividamentos</v>
      </c>
      <c r="Z331" s="523" t="str">
        <f>IF(LANÇ_MOV[[#This Row],[FORMA DE PAGAMENTO]]="","",VLOOKUP(LANÇ_MOV[[#This Row],[FORMA DE PAGAMENTO]],CAD_Forma_pagto[],2,0))</f>
        <v>BOLETO</v>
      </c>
      <c r="AA331" s="524" t="str">
        <f>IF(LANÇ_MOV[[#This Row],[DATA DE LANÇAMENTO]]="","",TEXT(LANÇ_MOV[[#This Row],[DATA DE LANÇAMENTO]],"AAAA"))</f>
        <v>2025</v>
      </c>
      <c r="AB331" s="524" t="str">
        <f>IF(LANÇ_MOV[[#This Row],[DATA DE LANÇAMENTO]]="","",UPPER(TEXT(LANÇ_MOV[[#This Row],[DATA DE LANÇAMENTO]],"MMMM")))</f>
        <v>OUTUBRO</v>
      </c>
      <c r="AC331" s="525" t="str">
        <f>IF(LANÇ_MOV[[#This Row],[DATA DE LANÇAMENTO]]="","",PROPER(TEXT(LANÇ_MOV[[#This Row],[DATA DE LANÇAMENTO]],"M")))</f>
        <v>10</v>
      </c>
      <c r="AD331" s="524" t="str">
        <f>IF(LANÇ_MOV[[#This Row],[DATA DE LANÇAMENTO]]="","",TEXT(LANÇ_MOV[[#This Row],[DATA DE LANÇAMENTO]],"D"))</f>
        <v>1</v>
      </c>
      <c r="AE331" s="526" t="str">
        <f>IF(LANÇ_MOV[[#This Row],[DATA DE VENCIMENTO]]="","",TEXT(LANÇ_MOV[[#This Row],[DATA DE VENCIMENTO]],"AAAA"))</f>
        <v>2024</v>
      </c>
      <c r="AF331" s="526" t="str">
        <f>IF(LANÇ_MOV[[#This Row],[DATA DE VENCIMENTO]]="","",UPPER(TEXT(LANÇ_MOV[[#This Row],[DATA DE VENCIMENTO]],"MMMM")))</f>
        <v>DEZEMBRO</v>
      </c>
      <c r="AG331" s="526" t="str">
        <f>IF(LANÇ_MOV[[#This Row],[DATA DE VENCIMENTO]]="","",TEXT(LANÇ_MOV[[#This Row],[DATA DE VENCIMENTO]],"M"))</f>
        <v>12</v>
      </c>
      <c r="AH331" s="526" t="str">
        <f>IF(LANÇ_MOV[[#This Row],[DATA DE VENCIMENTO]]="","",TEXT(LANÇ_MOV[[#This Row],[DATA DE VENCIMENTO]],"D"))</f>
        <v>20</v>
      </c>
      <c r="AI331" s="526" t="str">
        <f>IF(LANÇ_MOV[[#This Row],[DATA DE PAGAMENTO]]="","",TEXT(LANÇ_MOV[[#This Row],[DATA DE PAGAMENTO]],"AAAA"))</f>
        <v/>
      </c>
      <c r="AJ331" s="527" t="str">
        <f>IF(LANÇ_MOV[[#This Row],[DATA DE PAGAMENTO]]="","",UPPER(TEXT(LANÇ_MOV[[#This Row],[DATA DE PAGAMENTO]],"MMMM")))</f>
        <v/>
      </c>
      <c r="AK331" s="527" t="str">
        <f>IF(LANÇ_MOV[[#This Row],[DATA DE PAGAMENTO]]="","",TEXT(LANÇ_MOV[[#This Row],[DATA DE PAGAMENTO]],"M"))</f>
        <v/>
      </c>
      <c r="AL331" s="526" t="str">
        <f>IF(LANÇ_MOV[[#This Row],[DATA DE PAGAMENTO]]="","",TEXT(LANÇ_MOV[[#This Row],[DATA DE PAGAMENTO]],"D"))</f>
        <v/>
      </c>
      <c r="AM331" s="27"/>
      <c r="BB331" s="112"/>
      <c r="BC331" s="112"/>
      <c r="BD331" s="112"/>
    </row>
    <row r="332" spans="2:56" ht="30.05" customHeight="1" x14ac:dyDescent="0.35">
      <c r="B332" s="506">
        <v>45931</v>
      </c>
      <c r="C332" s="507" t="s">
        <v>1661</v>
      </c>
      <c r="D332" s="508" t="s">
        <v>1854</v>
      </c>
      <c r="E332" s="509" t="s">
        <v>1440</v>
      </c>
      <c r="F332" s="510" t="s">
        <v>1843</v>
      </c>
      <c r="G332" s="507" t="s">
        <v>1922</v>
      </c>
      <c r="H332" s="511"/>
      <c r="I332" s="512" t="s">
        <v>1760</v>
      </c>
      <c r="J332" s="510">
        <v>1271.6400000000001</v>
      </c>
      <c r="K332" s="513">
        <v>0</v>
      </c>
      <c r="L332" s="513">
        <v>0</v>
      </c>
      <c r="M332" s="513">
        <v>0</v>
      </c>
      <c r="N332" s="514">
        <f>LANÇ_MOV[[#This Row],[VALOR BRUTO]]-LANÇ_MOV[[#This Row],[DESCONTO]]+LANÇ_MOV[[#This Row],[JUROS]]+LANÇ_MOV[[#This Row],[MULTA]]</f>
        <v>1271.6400000000001</v>
      </c>
      <c r="O332" s="528">
        <v>45875</v>
      </c>
      <c r="P332" s="516" t="str">
        <f t="shared" ca="1" si="5"/>
        <v>Venceu</v>
      </c>
      <c r="Q332" s="528"/>
      <c r="R332" s="529" t="s">
        <v>1506</v>
      </c>
      <c r="S332" s="518"/>
      <c r="T332" s="518" t="s">
        <v>1776</v>
      </c>
      <c r="U332" s="519" t="s">
        <v>2007</v>
      </c>
      <c r="V332" s="520" t="str">
        <f>IFERROR(VLOOKUP(LANÇ_MOV[[#This Row],[PLANO DE CONTAS]],Plano_Contas[[PLANO DE CONTAS]:[R / D]],3,0),"")</f>
        <v>Despesa</v>
      </c>
      <c r="W332" s="521" t="str">
        <f>IF(LANÇ_MOV[[#This Row],[DATA DE PAGAMENTO]]&lt;&gt;"","Pago","Não Pago")</f>
        <v>Não Pago</v>
      </c>
      <c r="X332" s="522" t="str">
        <f>IFERROR(IF(LANÇ_MOV[[#This Row],[DATA DE PAGAMENTO]]="","",(UPPER(TEXT(LANÇ_MOV[[#This Row],[DATA DE PAGAMENTO]],"mmmm")))),"")</f>
        <v/>
      </c>
      <c r="Y332" s="523" t="str">
        <f>IFERROR(VLOOKUP(LANÇ_MOV[[#This Row],[PLANO DE CONTAS]],Plano_Contas[[PLANO DE CONTAS]:[NOMES INTERVALOS]],2,0),"")</f>
        <v>Despesas_Endividamentos</v>
      </c>
      <c r="Z332" s="523" t="str">
        <f>IF(LANÇ_MOV[[#This Row],[FORMA DE PAGAMENTO]]="","",VLOOKUP(LANÇ_MOV[[#This Row],[FORMA DE PAGAMENTO]],CAD_Forma_pagto[],2,0))</f>
        <v>BOLETO</v>
      </c>
      <c r="AA332" s="524" t="str">
        <f>IF(LANÇ_MOV[[#This Row],[DATA DE LANÇAMENTO]]="","",TEXT(LANÇ_MOV[[#This Row],[DATA DE LANÇAMENTO]],"AAAA"))</f>
        <v>2025</v>
      </c>
      <c r="AB332" s="524" t="str">
        <f>IF(LANÇ_MOV[[#This Row],[DATA DE LANÇAMENTO]]="","",UPPER(TEXT(LANÇ_MOV[[#This Row],[DATA DE LANÇAMENTO]],"MMMM")))</f>
        <v>OUTUBRO</v>
      </c>
      <c r="AC332" s="525" t="str">
        <f>IF(LANÇ_MOV[[#This Row],[DATA DE LANÇAMENTO]]="","",PROPER(TEXT(LANÇ_MOV[[#This Row],[DATA DE LANÇAMENTO]],"M")))</f>
        <v>10</v>
      </c>
      <c r="AD332" s="524" t="str">
        <f>IF(LANÇ_MOV[[#This Row],[DATA DE LANÇAMENTO]]="","",TEXT(LANÇ_MOV[[#This Row],[DATA DE LANÇAMENTO]],"D"))</f>
        <v>1</v>
      </c>
      <c r="AE332" s="526" t="str">
        <f>IF(LANÇ_MOV[[#This Row],[DATA DE VENCIMENTO]]="","",TEXT(LANÇ_MOV[[#This Row],[DATA DE VENCIMENTO]],"AAAA"))</f>
        <v>2025</v>
      </c>
      <c r="AF332" s="526" t="str">
        <f>IF(LANÇ_MOV[[#This Row],[DATA DE VENCIMENTO]]="","",UPPER(TEXT(LANÇ_MOV[[#This Row],[DATA DE VENCIMENTO]],"MMMM")))</f>
        <v>AGOSTO</v>
      </c>
      <c r="AG332" s="526" t="str">
        <f>IF(LANÇ_MOV[[#This Row],[DATA DE VENCIMENTO]]="","",TEXT(LANÇ_MOV[[#This Row],[DATA DE VENCIMENTO]],"M"))</f>
        <v>8</v>
      </c>
      <c r="AH332" s="526" t="str">
        <f>IF(LANÇ_MOV[[#This Row],[DATA DE VENCIMENTO]]="","",TEXT(LANÇ_MOV[[#This Row],[DATA DE VENCIMENTO]],"D"))</f>
        <v>6</v>
      </c>
      <c r="AI332" s="526" t="str">
        <f>IF(LANÇ_MOV[[#This Row],[DATA DE PAGAMENTO]]="","",TEXT(LANÇ_MOV[[#This Row],[DATA DE PAGAMENTO]],"AAAA"))</f>
        <v/>
      </c>
      <c r="AJ332" s="527" t="str">
        <f>IF(LANÇ_MOV[[#This Row],[DATA DE PAGAMENTO]]="","",UPPER(TEXT(LANÇ_MOV[[#This Row],[DATA DE PAGAMENTO]],"MMMM")))</f>
        <v/>
      </c>
      <c r="AK332" s="527" t="str">
        <f>IF(LANÇ_MOV[[#This Row],[DATA DE PAGAMENTO]]="","",TEXT(LANÇ_MOV[[#This Row],[DATA DE PAGAMENTO]],"M"))</f>
        <v/>
      </c>
      <c r="AL332" s="526" t="str">
        <f>IF(LANÇ_MOV[[#This Row],[DATA DE PAGAMENTO]]="","",TEXT(LANÇ_MOV[[#This Row],[DATA DE PAGAMENTO]],"D"))</f>
        <v/>
      </c>
      <c r="AM332" s="27"/>
      <c r="BB332" s="112"/>
      <c r="BC332" s="112"/>
      <c r="BD332" s="112"/>
    </row>
    <row r="333" spans="2:56" ht="30.05" customHeight="1" x14ac:dyDescent="0.35">
      <c r="B333" s="506">
        <v>45931</v>
      </c>
      <c r="C333" s="507" t="s">
        <v>1661</v>
      </c>
      <c r="D333" s="508" t="s">
        <v>1854</v>
      </c>
      <c r="E333" s="509" t="s">
        <v>1440</v>
      </c>
      <c r="F333" s="510" t="s">
        <v>1843</v>
      </c>
      <c r="G333" s="507" t="s">
        <v>1923</v>
      </c>
      <c r="H333" s="511"/>
      <c r="I333" s="512" t="s">
        <v>1760</v>
      </c>
      <c r="J333" s="510">
        <v>6489.03</v>
      </c>
      <c r="K333" s="513">
        <v>0</v>
      </c>
      <c r="L333" s="513">
        <v>0</v>
      </c>
      <c r="M333" s="513">
        <v>0</v>
      </c>
      <c r="N333" s="514">
        <f>LANÇ_MOV[[#This Row],[VALOR BRUTO]]-LANÇ_MOV[[#This Row],[DESCONTO]]+LANÇ_MOV[[#This Row],[JUROS]]+LANÇ_MOV[[#This Row],[MULTA]]</f>
        <v>6489.03</v>
      </c>
      <c r="O333" s="528">
        <v>45875</v>
      </c>
      <c r="P333" s="516" t="str">
        <f t="shared" ca="1" si="5"/>
        <v>Venceu</v>
      </c>
      <c r="Q333" s="528"/>
      <c r="R333" s="529" t="s">
        <v>1506</v>
      </c>
      <c r="S333" s="518"/>
      <c r="T333" s="518" t="s">
        <v>1776</v>
      </c>
      <c r="U333" s="519" t="s">
        <v>2007</v>
      </c>
      <c r="V333" s="520" t="str">
        <f>IFERROR(VLOOKUP(LANÇ_MOV[[#This Row],[PLANO DE CONTAS]],Plano_Contas[[PLANO DE CONTAS]:[R / D]],3,0),"")</f>
        <v>Despesa</v>
      </c>
      <c r="W333" s="521" t="str">
        <f>IF(LANÇ_MOV[[#This Row],[DATA DE PAGAMENTO]]&lt;&gt;"","Pago","Não Pago")</f>
        <v>Não Pago</v>
      </c>
      <c r="X333" s="522" t="str">
        <f>IFERROR(IF(LANÇ_MOV[[#This Row],[DATA DE PAGAMENTO]]="","",(UPPER(TEXT(LANÇ_MOV[[#This Row],[DATA DE PAGAMENTO]],"mmmm")))),"")</f>
        <v/>
      </c>
      <c r="Y333" s="523" t="str">
        <f>IFERROR(VLOOKUP(LANÇ_MOV[[#This Row],[PLANO DE CONTAS]],Plano_Contas[[PLANO DE CONTAS]:[NOMES INTERVALOS]],2,0),"")</f>
        <v>Despesas_Endividamentos</v>
      </c>
      <c r="Z333" s="523" t="str">
        <f>IF(LANÇ_MOV[[#This Row],[FORMA DE PAGAMENTO]]="","",VLOOKUP(LANÇ_MOV[[#This Row],[FORMA DE PAGAMENTO]],CAD_Forma_pagto[],2,0))</f>
        <v>BOLETO</v>
      </c>
      <c r="AA333" s="524" t="str">
        <f>IF(LANÇ_MOV[[#This Row],[DATA DE LANÇAMENTO]]="","",TEXT(LANÇ_MOV[[#This Row],[DATA DE LANÇAMENTO]],"AAAA"))</f>
        <v>2025</v>
      </c>
      <c r="AB333" s="524" t="str">
        <f>IF(LANÇ_MOV[[#This Row],[DATA DE LANÇAMENTO]]="","",UPPER(TEXT(LANÇ_MOV[[#This Row],[DATA DE LANÇAMENTO]],"MMMM")))</f>
        <v>OUTUBRO</v>
      </c>
      <c r="AC333" s="525" t="str">
        <f>IF(LANÇ_MOV[[#This Row],[DATA DE LANÇAMENTO]]="","",PROPER(TEXT(LANÇ_MOV[[#This Row],[DATA DE LANÇAMENTO]],"M")))</f>
        <v>10</v>
      </c>
      <c r="AD333" s="524" t="str">
        <f>IF(LANÇ_MOV[[#This Row],[DATA DE LANÇAMENTO]]="","",TEXT(LANÇ_MOV[[#This Row],[DATA DE LANÇAMENTO]],"D"))</f>
        <v>1</v>
      </c>
      <c r="AE333" s="526" t="str">
        <f>IF(LANÇ_MOV[[#This Row],[DATA DE VENCIMENTO]]="","",TEXT(LANÇ_MOV[[#This Row],[DATA DE VENCIMENTO]],"AAAA"))</f>
        <v>2025</v>
      </c>
      <c r="AF333" s="526" t="str">
        <f>IF(LANÇ_MOV[[#This Row],[DATA DE VENCIMENTO]]="","",UPPER(TEXT(LANÇ_MOV[[#This Row],[DATA DE VENCIMENTO]],"MMMM")))</f>
        <v>AGOSTO</v>
      </c>
      <c r="AG333" s="526" t="str">
        <f>IF(LANÇ_MOV[[#This Row],[DATA DE VENCIMENTO]]="","",TEXT(LANÇ_MOV[[#This Row],[DATA DE VENCIMENTO]],"M"))</f>
        <v>8</v>
      </c>
      <c r="AH333" s="526" t="str">
        <f>IF(LANÇ_MOV[[#This Row],[DATA DE VENCIMENTO]]="","",TEXT(LANÇ_MOV[[#This Row],[DATA DE VENCIMENTO]],"D"))</f>
        <v>6</v>
      </c>
      <c r="AI333" s="526" t="str">
        <f>IF(LANÇ_MOV[[#This Row],[DATA DE PAGAMENTO]]="","",TEXT(LANÇ_MOV[[#This Row],[DATA DE PAGAMENTO]],"AAAA"))</f>
        <v/>
      </c>
      <c r="AJ333" s="527" t="str">
        <f>IF(LANÇ_MOV[[#This Row],[DATA DE PAGAMENTO]]="","",UPPER(TEXT(LANÇ_MOV[[#This Row],[DATA DE PAGAMENTO]],"MMMM")))</f>
        <v/>
      </c>
      <c r="AK333" s="527" t="str">
        <f>IF(LANÇ_MOV[[#This Row],[DATA DE PAGAMENTO]]="","",TEXT(LANÇ_MOV[[#This Row],[DATA DE PAGAMENTO]],"M"))</f>
        <v/>
      </c>
      <c r="AL333" s="526" t="str">
        <f>IF(LANÇ_MOV[[#This Row],[DATA DE PAGAMENTO]]="","",TEXT(LANÇ_MOV[[#This Row],[DATA DE PAGAMENTO]],"D"))</f>
        <v/>
      </c>
      <c r="AM333" s="27"/>
      <c r="BB333" s="112"/>
      <c r="BC333" s="112"/>
      <c r="BD333" s="112"/>
    </row>
    <row r="334" spans="2:56" ht="30.05" customHeight="1" x14ac:dyDescent="0.35">
      <c r="B334" s="506">
        <v>45931</v>
      </c>
      <c r="C334" s="507" t="s">
        <v>1661</v>
      </c>
      <c r="D334" s="508" t="s">
        <v>1854</v>
      </c>
      <c r="E334" s="509" t="s">
        <v>1440</v>
      </c>
      <c r="F334" s="510" t="s">
        <v>1843</v>
      </c>
      <c r="G334" s="507" t="s">
        <v>1922</v>
      </c>
      <c r="H334" s="511"/>
      <c r="I334" s="512" t="s">
        <v>1760</v>
      </c>
      <c r="J334" s="510">
        <v>16491.16</v>
      </c>
      <c r="K334" s="513">
        <v>0</v>
      </c>
      <c r="L334" s="513">
        <v>0</v>
      </c>
      <c r="M334" s="513">
        <v>0</v>
      </c>
      <c r="N334" s="514">
        <f>LANÇ_MOV[[#This Row],[VALOR BRUTO]]-LANÇ_MOV[[#This Row],[DESCONTO]]+LANÇ_MOV[[#This Row],[JUROS]]+LANÇ_MOV[[#This Row],[MULTA]]</f>
        <v>16491.16</v>
      </c>
      <c r="O334" s="528">
        <v>45875</v>
      </c>
      <c r="P334" s="516" t="str">
        <f t="shared" ca="1" si="5"/>
        <v>Venceu</v>
      </c>
      <c r="Q334" s="528"/>
      <c r="R334" s="529" t="s">
        <v>1506</v>
      </c>
      <c r="S334" s="518"/>
      <c r="T334" s="518" t="s">
        <v>1776</v>
      </c>
      <c r="U334" s="519" t="s">
        <v>2007</v>
      </c>
      <c r="V334" s="520" t="str">
        <f>IFERROR(VLOOKUP(LANÇ_MOV[[#This Row],[PLANO DE CONTAS]],Plano_Contas[[PLANO DE CONTAS]:[R / D]],3,0),"")</f>
        <v>Despesa</v>
      </c>
      <c r="W334" s="521" t="str">
        <f>IF(LANÇ_MOV[[#This Row],[DATA DE PAGAMENTO]]&lt;&gt;"","Pago","Não Pago")</f>
        <v>Não Pago</v>
      </c>
      <c r="X334" s="522" t="str">
        <f>IFERROR(IF(LANÇ_MOV[[#This Row],[DATA DE PAGAMENTO]]="","",(UPPER(TEXT(LANÇ_MOV[[#This Row],[DATA DE PAGAMENTO]],"mmmm")))),"")</f>
        <v/>
      </c>
      <c r="Y334" s="523" t="str">
        <f>IFERROR(VLOOKUP(LANÇ_MOV[[#This Row],[PLANO DE CONTAS]],Plano_Contas[[PLANO DE CONTAS]:[NOMES INTERVALOS]],2,0),"")</f>
        <v>Despesas_Endividamentos</v>
      </c>
      <c r="Z334" s="523" t="str">
        <f>IF(LANÇ_MOV[[#This Row],[FORMA DE PAGAMENTO]]="","",VLOOKUP(LANÇ_MOV[[#This Row],[FORMA DE PAGAMENTO]],CAD_Forma_pagto[],2,0))</f>
        <v>BOLETO</v>
      </c>
      <c r="AA334" s="524" t="str">
        <f>IF(LANÇ_MOV[[#This Row],[DATA DE LANÇAMENTO]]="","",TEXT(LANÇ_MOV[[#This Row],[DATA DE LANÇAMENTO]],"AAAA"))</f>
        <v>2025</v>
      </c>
      <c r="AB334" s="524" t="str">
        <f>IF(LANÇ_MOV[[#This Row],[DATA DE LANÇAMENTO]]="","",UPPER(TEXT(LANÇ_MOV[[#This Row],[DATA DE LANÇAMENTO]],"MMMM")))</f>
        <v>OUTUBRO</v>
      </c>
      <c r="AC334" s="525" t="str">
        <f>IF(LANÇ_MOV[[#This Row],[DATA DE LANÇAMENTO]]="","",PROPER(TEXT(LANÇ_MOV[[#This Row],[DATA DE LANÇAMENTO]],"M")))</f>
        <v>10</v>
      </c>
      <c r="AD334" s="524" t="str">
        <f>IF(LANÇ_MOV[[#This Row],[DATA DE LANÇAMENTO]]="","",TEXT(LANÇ_MOV[[#This Row],[DATA DE LANÇAMENTO]],"D"))</f>
        <v>1</v>
      </c>
      <c r="AE334" s="526" t="str">
        <f>IF(LANÇ_MOV[[#This Row],[DATA DE VENCIMENTO]]="","",TEXT(LANÇ_MOV[[#This Row],[DATA DE VENCIMENTO]],"AAAA"))</f>
        <v>2025</v>
      </c>
      <c r="AF334" s="526" t="str">
        <f>IF(LANÇ_MOV[[#This Row],[DATA DE VENCIMENTO]]="","",UPPER(TEXT(LANÇ_MOV[[#This Row],[DATA DE VENCIMENTO]],"MMMM")))</f>
        <v>AGOSTO</v>
      </c>
      <c r="AG334" s="526" t="str">
        <f>IF(LANÇ_MOV[[#This Row],[DATA DE VENCIMENTO]]="","",TEXT(LANÇ_MOV[[#This Row],[DATA DE VENCIMENTO]],"M"))</f>
        <v>8</v>
      </c>
      <c r="AH334" s="526" t="str">
        <f>IF(LANÇ_MOV[[#This Row],[DATA DE VENCIMENTO]]="","",TEXT(LANÇ_MOV[[#This Row],[DATA DE VENCIMENTO]],"D"))</f>
        <v>6</v>
      </c>
      <c r="AI334" s="526" t="str">
        <f>IF(LANÇ_MOV[[#This Row],[DATA DE PAGAMENTO]]="","",TEXT(LANÇ_MOV[[#This Row],[DATA DE PAGAMENTO]],"AAAA"))</f>
        <v/>
      </c>
      <c r="AJ334" s="527" t="str">
        <f>IF(LANÇ_MOV[[#This Row],[DATA DE PAGAMENTO]]="","",UPPER(TEXT(LANÇ_MOV[[#This Row],[DATA DE PAGAMENTO]],"MMMM")))</f>
        <v/>
      </c>
      <c r="AK334" s="527" t="str">
        <f>IF(LANÇ_MOV[[#This Row],[DATA DE PAGAMENTO]]="","",TEXT(LANÇ_MOV[[#This Row],[DATA DE PAGAMENTO]],"M"))</f>
        <v/>
      </c>
      <c r="AL334" s="526" t="str">
        <f>IF(LANÇ_MOV[[#This Row],[DATA DE PAGAMENTO]]="","",TEXT(LANÇ_MOV[[#This Row],[DATA DE PAGAMENTO]],"D"))</f>
        <v/>
      </c>
      <c r="AM334" s="27"/>
      <c r="BB334" s="112"/>
      <c r="BC334" s="112"/>
      <c r="BD334" s="112"/>
    </row>
    <row r="335" spans="2:56" ht="30.05" customHeight="1" x14ac:dyDescent="0.35">
      <c r="B335" s="506">
        <v>45931</v>
      </c>
      <c r="C335" s="507" t="s">
        <v>1661</v>
      </c>
      <c r="D335" s="508" t="s">
        <v>1854</v>
      </c>
      <c r="E335" s="509" t="s">
        <v>1440</v>
      </c>
      <c r="F335" s="510" t="s">
        <v>1843</v>
      </c>
      <c r="G335" s="507" t="s">
        <v>1922</v>
      </c>
      <c r="H335" s="511"/>
      <c r="I335" s="512" t="s">
        <v>1760</v>
      </c>
      <c r="J335" s="510">
        <v>5350.01</v>
      </c>
      <c r="K335" s="513">
        <v>0</v>
      </c>
      <c r="L335" s="513">
        <v>0</v>
      </c>
      <c r="M335" s="513">
        <v>0</v>
      </c>
      <c r="N335" s="514">
        <f>LANÇ_MOV[[#This Row],[VALOR BRUTO]]-LANÇ_MOV[[#This Row],[DESCONTO]]+LANÇ_MOV[[#This Row],[JUROS]]+LANÇ_MOV[[#This Row],[MULTA]]</f>
        <v>5350.01</v>
      </c>
      <c r="O335" s="528">
        <v>45875</v>
      </c>
      <c r="P335" s="516" t="str">
        <f t="shared" ca="1" si="5"/>
        <v>Venceu</v>
      </c>
      <c r="Q335" s="528"/>
      <c r="R335" s="529" t="s">
        <v>1506</v>
      </c>
      <c r="S335" s="518"/>
      <c r="T335" s="518" t="s">
        <v>1776</v>
      </c>
      <c r="U335" s="519" t="s">
        <v>2007</v>
      </c>
      <c r="V335" s="520" t="str">
        <f>IFERROR(VLOOKUP(LANÇ_MOV[[#This Row],[PLANO DE CONTAS]],Plano_Contas[[PLANO DE CONTAS]:[R / D]],3,0),"")</f>
        <v>Despesa</v>
      </c>
      <c r="W335" s="521" t="str">
        <f>IF(LANÇ_MOV[[#This Row],[DATA DE PAGAMENTO]]&lt;&gt;"","Pago","Não Pago")</f>
        <v>Não Pago</v>
      </c>
      <c r="X335" s="522" t="str">
        <f>IFERROR(IF(LANÇ_MOV[[#This Row],[DATA DE PAGAMENTO]]="","",(UPPER(TEXT(LANÇ_MOV[[#This Row],[DATA DE PAGAMENTO]],"mmmm")))),"")</f>
        <v/>
      </c>
      <c r="Y335" s="523" t="str">
        <f>IFERROR(VLOOKUP(LANÇ_MOV[[#This Row],[PLANO DE CONTAS]],Plano_Contas[[PLANO DE CONTAS]:[NOMES INTERVALOS]],2,0),"")</f>
        <v>Despesas_Endividamentos</v>
      </c>
      <c r="Z335" s="523" t="str">
        <f>IF(LANÇ_MOV[[#This Row],[FORMA DE PAGAMENTO]]="","",VLOOKUP(LANÇ_MOV[[#This Row],[FORMA DE PAGAMENTO]],CAD_Forma_pagto[],2,0))</f>
        <v>BOLETO</v>
      </c>
      <c r="AA335" s="524" t="str">
        <f>IF(LANÇ_MOV[[#This Row],[DATA DE LANÇAMENTO]]="","",TEXT(LANÇ_MOV[[#This Row],[DATA DE LANÇAMENTO]],"AAAA"))</f>
        <v>2025</v>
      </c>
      <c r="AB335" s="524" t="str">
        <f>IF(LANÇ_MOV[[#This Row],[DATA DE LANÇAMENTO]]="","",UPPER(TEXT(LANÇ_MOV[[#This Row],[DATA DE LANÇAMENTO]],"MMMM")))</f>
        <v>OUTUBRO</v>
      </c>
      <c r="AC335" s="525" t="str">
        <f>IF(LANÇ_MOV[[#This Row],[DATA DE LANÇAMENTO]]="","",PROPER(TEXT(LANÇ_MOV[[#This Row],[DATA DE LANÇAMENTO]],"M")))</f>
        <v>10</v>
      </c>
      <c r="AD335" s="524" t="str">
        <f>IF(LANÇ_MOV[[#This Row],[DATA DE LANÇAMENTO]]="","",TEXT(LANÇ_MOV[[#This Row],[DATA DE LANÇAMENTO]],"D"))</f>
        <v>1</v>
      </c>
      <c r="AE335" s="526" t="str">
        <f>IF(LANÇ_MOV[[#This Row],[DATA DE VENCIMENTO]]="","",TEXT(LANÇ_MOV[[#This Row],[DATA DE VENCIMENTO]],"AAAA"))</f>
        <v>2025</v>
      </c>
      <c r="AF335" s="526" t="str">
        <f>IF(LANÇ_MOV[[#This Row],[DATA DE VENCIMENTO]]="","",UPPER(TEXT(LANÇ_MOV[[#This Row],[DATA DE VENCIMENTO]],"MMMM")))</f>
        <v>AGOSTO</v>
      </c>
      <c r="AG335" s="526" t="str">
        <f>IF(LANÇ_MOV[[#This Row],[DATA DE VENCIMENTO]]="","",TEXT(LANÇ_MOV[[#This Row],[DATA DE VENCIMENTO]],"M"))</f>
        <v>8</v>
      </c>
      <c r="AH335" s="526" t="str">
        <f>IF(LANÇ_MOV[[#This Row],[DATA DE VENCIMENTO]]="","",TEXT(LANÇ_MOV[[#This Row],[DATA DE VENCIMENTO]],"D"))</f>
        <v>6</v>
      </c>
      <c r="AI335" s="526" t="str">
        <f>IF(LANÇ_MOV[[#This Row],[DATA DE PAGAMENTO]]="","",TEXT(LANÇ_MOV[[#This Row],[DATA DE PAGAMENTO]],"AAAA"))</f>
        <v/>
      </c>
      <c r="AJ335" s="527" t="str">
        <f>IF(LANÇ_MOV[[#This Row],[DATA DE PAGAMENTO]]="","",UPPER(TEXT(LANÇ_MOV[[#This Row],[DATA DE PAGAMENTO]],"MMMM")))</f>
        <v/>
      </c>
      <c r="AK335" s="527" t="str">
        <f>IF(LANÇ_MOV[[#This Row],[DATA DE PAGAMENTO]]="","",TEXT(LANÇ_MOV[[#This Row],[DATA DE PAGAMENTO]],"M"))</f>
        <v/>
      </c>
      <c r="AL335" s="526" t="str">
        <f>IF(LANÇ_MOV[[#This Row],[DATA DE PAGAMENTO]]="","",TEXT(LANÇ_MOV[[#This Row],[DATA DE PAGAMENTO]],"D"))</f>
        <v/>
      </c>
      <c r="AM335" s="27"/>
      <c r="BB335" s="112"/>
      <c r="BC335" s="112"/>
      <c r="BD335" s="112"/>
    </row>
    <row r="336" spans="2:56" ht="30.05" customHeight="1" x14ac:dyDescent="0.35">
      <c r="B336" s="506">
        <v>45931</v>
      </c>
      <c r="C336" s="507" t="s">
        <v>1661</v>
      </c>
      <c r="D336" s="508" t="s">
        <v>1854</v>
      </c>
      <c r="E336" s="509" t="s">
        <v>1440</v>
      </c>
      <c r="F336" s="510" t="s">
        <v>1846</v>
      </c>
      <c r="G336" s="507">
        <v>43891</v>
      </c>
      <c r="H336" s="511"/>
      <c r="I336" s="512" t="s">
        <v>1774</v>
      </c>
      <c r="J336" s="510">
        <v>1181.17</v>
      </c>
      <c r="K336" s="513">
        <v>0</v>
      </c>
      <c r="L336" s="513">
        <v>0</v>
      </c>
      <c r="M336" s="513">
        <v>0</v>
      </c>
      <c r="N336" s="514">
        <f>LANÇ_MOV[[#This Row],[VALOR BRUTO]]-LANÇ_MOV[[#This Row],[DESCONTO]]+LANÇ_MOV[[#This Row],[JUROS]]+LANÇ_MOV[[#This Row],[MULTA]]</f>
        <v>1181.17</v>
      </c>
      <c r="O336" s="528">
        <v>43934</v>
      </c>
      <c r="P336" s="516" t="str">
        <f t="shared" ca="1" si="5"/>
        <v>Venceu</v>
      </c>
      <c r="Q336" s="528"/>
      <c r="R336" s="529" t="s">
        <v>1506</v>
      </c>
      <c r="S336" s="518"/>
      <c r="T336" s="518" t="s">
        <v>1776</v>
      </c>
      <c r="U336" s="519" t="s">
        <v>2007</v>
      </c>
      <c r="V336" s="520" t="str">
        <f>IFERROR(VLOOKUP(LANÇ_MOV[[#This Row],[PLANO DE CONTAS]],Plano_Contas[[PLANO DE CONTAS]:[R / D]],3,0),"")</f>
        <v>Despesa</v>
      </c>
      <c r="W336" s="521" t="str">
        <f>IF(LANÇ_MOV[[#This Row],[DATA DE PAGAMENTO]]&lt;&gt;"","Pago","Não Pago")</f>
        <v>Não Pago</v>
      </c>
      <c r="X336" s="522" t="str">
        <f>IFERROR(IF(LANÇ_MOV[[#This Row],[DATA DE PAGAMENTO]]="","",(UPPER(TEXT(LANÇ_MOV[[#This Row],[DATA DE PAGAMENTO]],"mmmm")))),"")</f>
        <v/>
      </c>
      <c r="Y336" s="523" t="str">
        <f>IFERROR(VLOOKUP(LANÇ_MOV[[#This Row],[PLANO DE CONTAS]],Plano_Contas[[PLANO DE CONTAS]:[NOMES INTERVALOS]],2,0),"")</f>
        <v>Despesas_Endividamentos</v>
      </c>
      <c r="Z336" s="523" t="str">
        <f>IF(LANÇ_MOV[[#This Row],[FORMA DE PAGAMENTO]]="","",VLOOKUP(LANÇ_MOV[[#This Row],[FORMA DE PAGAMENTO]],CAD_Forma_pagto[],2,0))</f>
        <v>BOLETO</v>
      </c>
      <c r="AA336" s="524" t="str">
        <f>IF(LANÇ_MOV[[#This Row],[DATA DE LANÇAMENTO]]="","",TEXT(LANÇ_MOV[[#This Row],[DATA DE LANÇAMENTO]],"AAAA"))</f>
        <v>2025</v>
      </c>
      <c r="AB336" s="524" t="str">
        <f>IF(LANÇ_MOV[[#This Row],[DATA DE LANÇAMENTO]]="","",UPPER(TEXT(LANÇ_MOV[[#This Row],[DATA DE LANÇAMENTO]],"MMMM")))</f>
        <v>OUTUBRO</v>
      </c>
      <c r="AC336" s="525" t="str">
        <f>IF(LANÇ_MOV[[#This Row],[DATA DE LANÇAMENTO]]="","",PROPER(TEXT(LANÇ_MOV[[#This Row],[DATA DE LANÇAMENTO]],"M")))</f>
        <v>10</v>
      </c>
      <c r="AD336" s="524" t="str">
        <f>IF(LANÇ_MOV[[#This Row],[DATA DE LANÇAMENTO]]="","",TEXT(LANÇ_MOV[[#This Row],[DATA DE LANÇAMENTO]],"D"))</f>
        <v>1</v>
      </c>
      <c r="AE336" s="526" t="str">
        <f>IF(LANÇ_MOV[[#This Row],[DATA DE VENCIMENTO]]="","",TEXT(LANÇ_MOV[[#This Row],[DATA DE VENCIMENTO]],"AAAA"))</f>
        <v>2020</v>
      </c>
      <c r="AF336" s="526" t="str">
        <f>IF(LANÇ_MOV[[#This Row],[DATA DE VENCIMENTO]]="","",UPPER(TEXT(LANÇ_MOV[[#This Row],[DATA DE VENCIMENTO]],"MMMM")))</f>
        <v>ABRIL</v>
      </c>
      <c r="AG336" s="526" t="str">
        <f>IF(LANÇ_MOV[[#This Row],[DATA DE VENCIMENTO]]="","",TEXT(LANÇ_MOV[[#This Row],[DATA DE VENCIMENTO]],"M"))</f>
        <v>4</v>
      </c>
      <c r="AH336" s="526" t="str">
        <f>IF(LANÇ_MOV[[#This Row],[DATA DE VENCIMENTO]]="","",TEXT(LANÇ_MOV[[#This Row],[DATA DE VENCIMENTO]],"D"))</f>
        <v>13</v>
      </c>
      <c r="AI336" s="526" t="str">
        <f>IF(LANÇ_MOV[[#This Row],[DATA DE PAGAMENTO]]="","",TEXT(LANÇ_MOV[[#This Row],[DATA DE PAGAMENTO]],"AAAA"))</f>
        <v/>
      </c>
      <c r="AJ336" s="527" t="str">
        <f>IF(LANÇ_MOV[[#This Row],[DATA DE PAGAMENTO]]="","",UPPER(TEXT(LANÇ_MOV[[#This Row],[DATA DE PAGAMENTO]],"MMMM")))</f>
        <v/>
      </c>
      <c r="AK336" s="527" t="str">
        <f>IF(LANÇ_MOV[[#This Row],[DATA DE PAGAMENTO]]="","",TEXT(LANÇ_MOV[[#This Row],[DATA DE PAGAMENTO]],"M"))</f>
        <v/>
      </c>
      <c r="AL336" s="526" t="str">
        <f>IF(LANÇ_MOV[[#This Row],[DATA DE PAGAMENTO]]="","",TEXT(LANÇ_MOV[[#This Row],[DATA DE PAGAMENTO]],"D"))</f>
        <v/>
      </c>
      <c r="AM336" s="27"/>
      <c r="BB336" s="112"/>
      <c r="BC336" s="112"/>
      <c r="BD336" s="112"/>
    </row>
    <row r="337" spans="2:56" ht="30.05" customHeight="1" x14ac:dyDescent="0.35">
      <c r="B337" s="506">
        <v>45931</v>
      </c>
      <c r="C337" s="507" t="s">
        <v>1661</v>
      </c>
      <c r="D337" s="508" t="s">
        <v>1854</v>
      </c>
      <c r="E337" s="509" t="s">
        <v>1440</v>
      </c>
      <c r="F337" s="510" t="s">
        <v>1846</v>
      </c>
      <c r="G337" s="507">
        <v>43922</v>
      </c>
      <c r="H337" s="511"/>
      <c r="I337" s="512"/>
      <c r="J337" s="510">
        <v>667.95</v>
      </c>
      <c r="K337" s="513">
        <v>0</v>
      </c>
      <c r="L337" s="513">
        <v>0</v>
      </c>
      <c r="M337" s="513">
        <v>0</v>
      </c>
      <c r="N337" s="514">
        <f>LANÇ_MOV[[#This Row],[VALOR BRUTO]]-LANÇ_MOV[[#This Row],[DESCONTO]]+LANÇ_MOV[[#This Row],[JUROS]]+LANÇ_MOV[[#This Row],[MULTA]]</f>
        <v>667.95</v>
      </c>
      <c r="O337" s="528">
        <v>43962</v>
      </c>
      <c r="P337" s="516" t="str">
        <f t="shared" ca="1" si="5"/>
        <v>Venceu</v>
      </c>
      <c r="Q337" s="528"/>
      <c r="R337" s="529" t="s">
        <v>1506</v>
      </c>
      <c r="S337" s="518"/>
      <c r="T337" s="518" t="s">
        <v>1776</v>
      </c>
      <c r="U337" s="519" t="s">
        <v>2007</v>
      </c>
      <c r="V337" s="520" t="str">
        <f>IFERROR(VLOOKUP(LANÇ_MOV[[#This Row],[PLANO DE CONTAS]],Plano_Contas[[PLANO DE CONTAS]:[R / D]],3,0),"")</f>
        <v>Despesa</v>
      </c>
      <c r="W337" s="521" t="str">
        <f>IF(LANÇ_MOV[[#This Row],[DATA DE PAGAMENTO]]&lt;&gt;"","Pago","Não Pago")</f>
        <v>Não Pago</v>
      </c>
      <c r="X337" s="522" t="str">
        <f>IFERROR(IF(LANÇ_MOV[[#This Row],[DATA DE PAGAMENTO]]="","",(UPPER(TEXT(LANÇ_MOV[[#This Row],[DATA DE PAGAMENTO]],"mmmm")))),"")</f>
        <v/>
      </c>
      <c r="Y337" s="523" t="str">
        <f>IFERROR(VLOOKUP(LANÇ_MOV[[#This Row],[PLANO DE CONTAS]],Plano_Contas[[PLANO DE CONTAS]:[NOMES INTERVALOS]],2,0),"")</f>
        <v>Despesas_Endividamentos</v>
      </c>
      <c r="Z337" s="523" t="str">
        <f>IF(LANÇ_MOV[[#This Row],[FORMA DE PAGAMENTO]]="","",VLOOKUP(LANÇ_MOV[[#This Row],[FORMA DE PAGAMENTO]],CAD_Forma_pagto[],2,0))</f>
        <v>BOLETO</v>
      </c>
      <c r="AA337" s="524" t="str">
        <f>IF(LANÇ_MOV[[#This Row],[DATA DE LANÇAMENTO]]="","",TEXT(LANÇ_MOV[[#This Row],[DATA DE LANÇAMENTO]],"AAAA"))</f>
        <v>2025</v>
      </c>
      <c r="AB337" s="524" t="str">
        <f>IF(LANÇ_MOV[[#This Row],[DATA DE LANÇAMENTO]]="","",UPPER(TEXT(LANÇ_MOV[[#This Row],[DATA DE LANÇAMENTO]],"MMMM")))</f>
        <v>OUTUBRO</v>
      </c>
      <c r="AC337" s="525" t="str">
        <f>IF(LANÇ_MOV[[#This Row],[DATA DE LANÇAMENTO]]="","",PROPER(TEXT(LANÇ_MOV[[#This Row],[DATA DE LANÇAMENTO]],"M")))</f>
        <v>10</v>
      </c>
      <c r="AD337" s="524" t="str">
        <f>IF(LANÇ_MOV[[#This Row],[DATA DE LANÇAMENTO]]="","",TEXT(LANÇ_MOV[[#This Row],[DATA DE LANÇAMENTO]],"D"))</f>
        <v>1</v>
      </c>
      <c r="AE337" s="526" t="str">
        <f>IF(LANÇ_MOV[[#This Row],[DATA DE VENCIMENTO]]="","",TEXT(LANÇ_MOV[[#This Row],[DATA DE VENCIMENTO]],"AAAA"))</f>
        <v>2020</v>
      </c>
      <c r="AF337" s="526" t="str">
        <f>IF(LANÇ_MOV[[#This Row],[DATA DE VENCIMENTO]]="","",UPPER(TEXT(LANÇ_MOV[[#This Row],[DATA DE VENCIMENTO]],"MMMM")))</f>
        <v>MAIO</v>
      </c>
      <c r="AG337" s="526" t="str">
        <f>IF(LANÇ_MOV[[#This Row],[DATA DE VENCIMENTO]]="","",TEXT(LANÇ_MOV[[#This Row],[DATA DE VENCIMENTO]],"M"))</f>
        <v>5</v>
      </c>
      <c r="AH337" s="526" t="str">
        <f>IF(LANÇ_MOV[[#This Row],[DATA DE VENCIMENTO]]="","",TEXT(LANÇ_MOV[[#This Row],[DATA DE VENCIMENTO]],"D"))</f>
        <v>11</v>
      </c>
      <c r="AI337" s="526" t="str">
        <f>IF(LANÇ_MOV[[#This Row],[DATA DE PAGAMENTO]]="","",TEXT(LANÇ_MOV[[#This Row],[DATA DE PAGAMENTO]],"AAAA"))</f>
        <v/>
      </c>
      <c r="AJ337" s="527" t="str">
        <f>IF(LANÇ_MOV[[#This Row],[DATA DE PAGAMENTO]]="","",UPPER(TEXT(LANÇ_MOV[[#This Row],[DATA DE PAGAMENTO]],"MMMM")))</f>
        <v/>
      </c>
      <c r="AK337" s="527" t="str">
        <f>IF(LANÇ_MOV[[#This Row],[DATA DE PAGAMENTO]]="","",TEXT(LANÇ_MOV[[#This Row],[DATA DE PAGAMENTO]],"M"))</f>
        <v/>
      </c>
      <c r="AL337" s="526" t="str">
        <f>IF(LANÇ_MOV[[#This Row],[DATA DE PAGAMENTO]]="","",TEXT(LANÇ_MOV[[#This Row],[DATA DE PAGAMENTO]],"D"))</f>
        <v/>
      </c>
      <c r="AM337" s="27"/>
      <c r="BB337" s="112"/>
      <c r="BC337" s="112"/>
      <c r="BD337" s="112"/>
    </row>
    <row r="338" spans="2:56" ht="30.05" customHeight="1" x14ac:dyDescent="0.35">
      <c r="B338" s="506">
        <v>45931</v>
      </c>
      <c r="C338" s="507" t="s">
        <v>1661</v>
      </c>
      <c r="D338" s="508" t="s">
        <v>1854</v>
      </c>
      <c r="E338" s="509" t="s">
        <v>1440</v>
      </c>
      <c r="F338" s="510" t="s">
        <v>1846</v>
      </c>
      <c r="G338" s="507">
        <v>43952</v>
      </c>
      <c r="H338" s="511"/>
      <c r="I338" s="512"/>
      <c r="J338" s="518">
        <v>721.09</v>
      </c>
      <c r="K338" s="513">
        <v>0</v>
      </c>
      <c r="L338" s="513">
        <v>0</v>
      </c>
      <c r="M338" s="513">
        <v>0</v>
      </c>
      <c r="N338" s="514">
        <f>LANÇ_MOV[[#This Row],[VALOR BRUTO]]-LANÇ_MOV[[#This Row],[DESCONTO]]+LANÇ_MOV[[#This Row],[JUROS]]+LANÇ_MOV[[#This Row],[MULTA]]</f>
        <v>721.09</v>
      </c>
      <c r="O338" s="528">
        <v>44022</v>
      </c>
      <c r="P338" s="516" t="str">
        <f t="shared" ca="1" si="5"/>
        <v>Venceu</v>
      </c>
      <c r="Q338" s="528"/>
      <c r="R338" s="529" t="s">
        <v>1506</v>
      </c>
      <c r="S338" s="518"/>
      <c r="T338" s="518" t="s">
        <v>1776</v>
      </c>
      <c r="U338" s="519" t="s">
        <v>2007</v>
      </c>
      <c r="V338" s="520" t="str">
        <f>IFERROR(VLOOKUP(LANÇ_MOV[[#This Row],[PLANO DE CONTAS]],Plano_Contas[[PLANO DE CONTAS]:[R / D]],3,0),"")</f>
        <v>Despesa</v>
      </c>
      <c r="W338" s="521" t="str">
        <f>IF(LANÇ_MOV[[#This Row],[DATA DE PAGAMENTO]]&lt;&gt;"","Pago","Não Pago")</f>
        <v>Não Pago</v>
      </c>
      <c r="X338" s="522" t="str">
        <f>IFERROR(IF(LANÇ_MOV[[#This Row],[DATA DE PAGAMENTO]]="","",(UPPER(TEXT(LANÇ_MOV[[#This Row],[DATA DE PAGAMENTO]],"mmmm")))),"")</f>
        <v/>
      </c>
      <c r="Y338" s="523" t="str">
        <f>IFERROR(VLOOKUP(LANÇ_MOV[[#This Row],[PLANO DE CONTAS]],Plano_Contas[[PLANO DE CONTAS]:[NOMES INTERVALOS]],2,0),"")</f>
        <v>Despesas_Endividamentos</v>
      </c>
      <c r="Z338" s="523" t="str">
        <f>IF(LANÇ_MOV[[#This Row],[FORMA DE PAGAMENTO]]="","",VLOOKUP(LANÇ_MOV[[#This Row],[FORMA DE PAGAMENTO]],CAD_Forma_pagto[],2,0))</f>
        <v>BOLETO</v>
      </c>
      <c r="AA338" s="524" t="str">
        <f>IF(LANÇ_MOV[[#This Row],[DATA DE LANÇAMENTO]]="","",TEXT(LANÇ_MOV[[#This Row],[DATA DE LANÇAMENTO]],"AAAA"))</f>
        <v>2025</v>
      </c>
      <c r="AB338" s="524" t="str">
        <f>IF(LANÇ_MOV[[#This Row],[DATA DE LANÇAMENTO]]="","",UPPER(TEXT(LANÇ_MOV[[#This Row],[DATA DE LANÇAMENTO]],"MMMM")))</f>
        <v>OUTUBRO</v>
      </c>
      <c r="AC338" s="525" t="str">
        <f>IF(LANÇ_MOV[[#This Row],[DATA DE LANÇAMENTO]]="","",PROPER(TEXT(LANÇ_MOV[[#This Row],[DATA DE LANÇAMENTO]],"M")))</f>
        <v>10</v>
      </c>
      <c r="AD338" s="524" t="str">
        <f>IF(LANÇ_MOV[[#This Row],[DATA DE LANÇAMENTO]]="","",TEXT(LANÇ_MOV[[#This Row],[DATA DE LANÇAMENTO]],"D"))</f>
        <v>1</v>
      </c>
      <c r="AE338" s="526" t="str">
        <f>IF(LANÇ_MOV[[#This Row],[DATA DE VENCIMENTO]]="","",TEXT(LANÇ_MOV[[#This Row],[DATA DE VENCIMENTO]],"AAAA"))</f>
        <v>2020</v>
      </c>
      <c r="AF338" s="526" t="str">
        <f>IF(LANÇ_MOV[[#This Row],[DATA DE VENCIMENTO]]="","",UPPER(TEXT(LANÇ_MOV[[#This Row],[DATA DE VENCIMENTO]],"MMMM")))</f>
        <v>JULHO</v>
      </c>
      <c r="AG338" s="526" t="str">
        <f>IF(LANÇ_MOV[[#This Row],[DATA DE VENCIMENTO]]="","",TEXT(LANÇ_MOV[[#This Row],[DATA DE VENCIMENTO]],"M"))</f>
        <v>7</v>
      </c>
      <c r="AH338" s="526" t="str">
        <f>IF(LANÇ_MOV[[#This Row],[DATA DE VENCIMENTO]]="","",TEXT(LANÇ_MOV[[#This Row],[DATA DE VENCIMENTO]],"D"))</f>
        <v>10</v>
      </c>
      <c r="AI338" s="526" t="str">
        <f>IF(LANÇ_MOV[[#This Row],[DATA DE PAGAMENTO]]="","",TEXT(LANÇ_MOV[[#This Row],[DATA DE PAGAMENTO]],"AAAA"))</f>
        <v/>
      </c>
      <c r="AJ338" s="527" t="str">
        <f>IF(LANÇ_MOV[[#This Row],[DATA DE PAGAMENTO]]="","",UPPER(TEXT(LANÇ_MOV[[#This Row],[DATA DE PAGAMENTO]],"MMMM")))</f>
        <v/>
      </c>
      <c r="AK338" s="527" t="str">
        <f>IF(LANÇ_MOV[[#This Row],[DATA DE PAGAMENTO]]="","",TEXT(LANÇ_MOV[[#This Row],[DATA DE PAGAMENTO]],"M"))</f>
        <v/>
      </c>
      <c r="AL338" s="526" t="str">
        <f>IF(LANÇ_MOV[[#This Row],[DATA DE PAGAMENTO]]="","",TEXT(LANÇ_MOV[[#This Row],[DATA DE PAGAMENTO]],"D"))</f>
        <v/>
      </c>
      <c r="AM338" s="27"/>
      <c r="BB338" s="112"/>
      <c r="BC338" s="112"/>
      <c r="BD338" s="112"/>
    </row>
    <row r="339" spans="2:56" ht="30.05" customHeight="1" x14ac:dyDescent="0.35">
      <c r="B339" s="506">
        <v>45931</v>
      </c>
      <c r="C339" s="507" t="s">
        <v>1661</v>
      </c>
      <c r="D339" s="508" t="s">
        <v>1854</v>
      </c>
      <c r="E339" s="509" t="s">
        <v>1440</v>
      </c>
      <c r="F339" s="510" t="s">
        <v>1602</v>
      </c>
      <c r="G339" s="507" t="s">
        <v>1924</v>
      </c>
      <c r="H339" s="511"/>
      <c r="I339" s="512"/>
      <c r="J339" s="510">
        <v>1694.67</v>
      </c>
      <c r="K339" s="513">
        <v>0</v>
      </c>
      <c r="L339" s="513">
        <v>0</v>
      </c>
      <c r="M339" s="513">
        <v>0</v>
      </c>
      <c r="N339" s="514">
        <f>LANÇ_MOV[[#This Row],[VALOR BRUTO]]-LANÇ_MOV[[#This Row],[DESCONTO]]+LANÇ_MOV[[#This Row],[JUROS]]+LANÇ_MOV[[#This Row],[MULTA]]</f>
        <v>1694.67</v>
      </c>
      <c r="O339" s="528">
        <v>44581</v>
      </c>
      <c r="P339" s="516" t="str">
        <f t="shared" ca="1" si="5"/>
        <v>Venceu</v>
      </c>
      <c r="Q339" s="528"/>
      <c r="R339" s="529" t="s">
        <v>1506</v>
      </c>
      <c r="S339" s="518"/>
      <c r="T339" s="518" t="s">
        <v>1776</v>
      </c>
      <c r="U339" s="519" t="s">
        <v>2007</v>
      </c>
      <c r="V339" s="520" t="str">
        <f>IFERROR(VLOOKUP(LANÇ_MOV[[#This Row],[PLANO DE CONTAS]],Plano_Contas[[PLANO DE CONTAS]:[R / D]],3,0),"")</f>
        <v>Despesa</v>
      </c>
      <c r="W339" s="521" t="str">
        <f>IF(LANÇ_MOV[[#This Row],[DATA DE PAGAMENTO]]&lt;&gt;"","Pago","Não Pago")</f>
        <v>Não Pago</v>
      </c>
      <c r="X339" s="522" t="str">
        <f>IFERROR(IF(LANÇ_MOV[[#This Row],[DATA DE PAGAMENTO]]="","",(UPPER(TEXT(LANÇ_MOV[[#This Row],[DATA DE PAGAMENTO]],"mmmm")))),"")</f>
        <v/>
      </c>
      <c r="Y339" s="523" t="str">
        <f>IFERROR(VLOOKUP(LANÇ_MOV[[#This Row],[PLANO DE CONTAS]],Plano_Contas[[PLANO DE CONTAS]:[NOMES INTERVALOS]],2,0),"")</f>
        <v>Despesas_Endividamentos</v>
      </c>
      <c r="Z339" s="523" t="str">
        <f>IF(LANÇ_MOV[[#This Row],[FORMA DE PAGAMENTO]]="","",VLOOKUP(LANÇ_MOV[[#This Row],[FORMA DE PAGAMENTO]],CAD_Forma_pagto[],2,0))</f>
        <v>BOLETO</v>
      </c>
      <c r="AA339" s="524" t="str">
        <f>IF(LANÇ_MOV[[#This Row],[DATA DE LANÇAMENTO]]="","",TEXT(LANÇ_MOV[[#This Row],[DATA DE LANÇAMENTO]],"AAAA"))</f>
        <v>2025</v>
      </c>
      <c r="AB339" s="524" t="str">
        <f>IF(LANÇ_MOV[[#This Row],[DATA DE LANÇAMENTO]]="","",UPPER(TEXT(LANÇ_MOV[[#This Row],[DATA DE LANÇAMENTO]],"MMMM")))</f>
        <v>OUTUBRO</v>
      </c>
      <c r="AC339" s="525" t="str">
        <f>IF(LANÇ_MOV[[#This Row],[DATA DE LANÇAMENTO]]="","",PROPER(TEXT(LANÇ_MOV[[#This Row],[DATA DE LANÇAMENTO]],"M")))</f>
        <v>10</v>
      </c>
      <c r="AD339" s="524" t="str">
        <f>IF(LANÇ_MOV[[#This Row],[DATA DE LANÇAMENTO]]="","",TEXT(LANÇ_MOV[[#This Row],[DATA DE LANÇAMENTO]],"D"))</f>
        <v>1</v>
      </c>
      <c r="AE339" s="526" t="str">
        <f>IF(LANÇ_MOV[[#This Row],[DATA DE VENCIMENTO]]="","",TEXT(LANÇ_MOV[[#This Row],[DATA DE VENCIMENTO]],"AAAA"))</f>
        <v>2022</v>
      </c>
      <c r="AF339" s="526" t="str">
        <f>IF(LANÇ_MOV[[#This Row],[DATA DE VENCIMENTO]]="","",UPPER(TEXT(LANÇ_MOV[[#This Row],[DATA DE VENCIMENTO]],"MMMM")))</f>
        <v>JANEIRO</v>
      </c>
      <c r="AG339" s="526" t="str">
        <f>IF(LANÇ_MOV[[#This Row],[DATA DE VENCIMENTO]]="","",TEXT(LANÇ_MOV[[#This Row],[DATA DE VENCIMENTO]],"M"))</f>
        <v>1</v>
      </c>
      <c r="AH339" s="526" t="str">
        <f>IF(LANÇ_MOV[[#This Row],[DATA DE VENCIMENTO]]="","",TEXT(LANÇ_MOV[[#This Row],[DATA DE VENCIMENTO]],"D"))</f>
        <v>20</v>
      </c>
      <c r="AI339" s="526" t="str">
        <f>IF(LANÇ_MOV[[#This Row],[DATA DE PAGAMENTO]]="","",TEXT(LANÇ_MOV[[#This Row],[DATA DE PAGAMENTO]],"AAAA"))</f>
        <v/>
      </c>
      <c r="AJ339" s="527" t="str">
        <f>IF(LANÇ_MOV[[#This Row],[DATA DE PAGAMENTO]]="","",UPPER(TEXT(LANÇ_MOV[[#This Row],[DATA DE PAGAMENTO]],"MMMM")))</f>
        <v/>
      </c>
      <c r="AK339" s="527" t="str">
        <f>IF(LANÇ_MOV[[#This Row],[DATA DE PAGAMENTO]]="","",TEXT(LANÇ_MOV[[#This Row],[DATA DE PAGAMENTO]],"M"))</f>
        <v/>
      </c>
      <c r="AL339" s="526" t="str">
        <f>IF(LANÇ_MOV[[#This Row],[DATA DE PAGAMENTO]]="","",TEXT(LANÇ_MOV[[#This Row],[DATA DE PAGAMENTO]],"D"))</f>
        <v/>
      </c>
      <c r="AM339" s="27"/>
      <c r="BB339" s="112"/>
      <c r="BC339" s="112"/>
      <c r="BD339" s="112"/>
    </row>
    <row r="340" spans="2:56" ht="30.05" customHeight="1" x14ac:dyDescent="0.35">
      <c r="B340" s="506">
        <v>45931</v>
      </c>
      <c r="C340" s="507" t="s">
        <v>1661</v>
      </c>
      <c r="D340" s="508" t="s">
        <v>1854</v>
      </c>
      <c r="E340" s="509" t="s">
        <v>1440</v>
      </c>
      <c r="F340" s="510" t="s">
        <v>1851</v>
      </c>
      <c r="G340" s="507" t="s">
        <v>1924</v>
      </c>
      <c r="H340" s="511"/>
      <c r="I340" s="512"/>
      <c r="J340" s="518">
        <v>267.55</v>
      </c>
      <c r="K340" s="513">
        <v>0</v>
      </c>
      <c r="L340" s="513">
        <v>0</v>
      </c>
      <c r="M340" s="513">
        <v>0</v>
      </c>
      <c r="N340" s="514">
        <f>LANÇ_MOV[[#This Row],[VALOR BRUTO]]-LANÇ_MOV[[#This Row],[DESCONTO]]+LANÇ_MOV[[#This Row],[JUROS]]+LANÇ_MOV[[#This Row],[MULTA]]</f>
        <v>267.55</v>
      </c>
      <c r="O340" s="528">
        <v>44589</v>
      </c>
      <c r="P340" s="516" t="str">
        <f t="shared" ca="1" si="5"/>
        <v>Venceu</v>
      </c>
      <c r="Q340" s="528"/>
      <c r="R340" s="529" t="s">
        <v>1506</v>
      </c>
      <c r="S340" s="518"/>
      <c r="T340" s="518" t="s">
        <v>1776</v>
      </c>
      <c r="U340" s="519" t="s">
        <v>2007</v>
      </c>
      <c r="V340" s="520" t="str">
        <f>IFERROR(VLOOKUP(LANÇ_MOV[[#This Row],[PLANO DE CONTAS]],Plano_Contas[[PLANO DE CONTAS]:[R / D]],3,0),"")</f>
        <v>Despesa</v>
      </c>
      <c r="W340" s="521" t="str">
        <f>IF(LANÇ_MOV[[#This Row],[DATA DE PAGAMENTO]]&lt;&gt;"","Pago","Não Pago")</f>
        <v>Não Pago</v>
      </c>
      <c r="X340" s="522" t="str">
        <f>IFERROR(IF(LANÇ_MOV[[#This Row],[DATA DE PAGAMENTO]]="","",(UPPER(TEXT(LANÇ_MOV[[#This Row],[DATA DE PAGAMENTO]],"mmmm")))),"")</f>
        <v/>
      </c>
      <c r="Y340" s="523" t="str">
        <f>IFERROR(VLOOKUP(LANÇ_MOV[[#This Row],[PLANO DE CONTAS]],Plano_Contas[[PLANO DE CONTAS]:[NOMES INTERVALOS]],2,0),"")</f>
        <v>Despesas_Endividamentos</v>
      </c>
      <c r="Z340" s="523" t="str">
        <f>IF(LANÇ_MOV[[#This Row],[FORMA DE PAGAMENTO]]="","",VLOOKUP(LANÇ_MOV[[#This Row],[FORMA DE PAGAMENTO]],CAD_Forma_pagto[],2,0))</f>
        <v>BOLETO</v>
      </c>
      <c r="AA340" s="524" t="str">
        <f>IF(LANÇ_MOV[[#This Row],[DATA DE LANÇAMENTO]]="","",TEXT(LANÇ_MOV[[#This Row],[DATA DE LANÇAMENTO]],"AAAA"))</f>
        <v>2025</v>
      </c>
      <c r="AB340" s="524" t="str">
        <f>IF(LANÇ_MOV[[#This Row],[DATA DE LANÇAMENTO]]="","",UPPER(TEXT(LANÇ_MOV[[#This Row],[DATA DE LANÇAMENTO]],"MMMM")))</f>
        <v>OUTUBRO</v>
      </c>
      <c r="AC340" s="525" t="str">
        <f>IF(LANÇ_MOV[[#This Row],[DATA DE LANÇAMENTO]]="","",PROPER(TEXT(LANÇ_MOV[[#This Row],[DATA DE LANÇAMENTO]],"M")))</f>
        <v>10</v>
      </c>
      <c r="AD340" s="524" t="str">
        <f>IF(LANÇ_MOV[[#This Row],[DATA DE LANÇAMENTO]]="","",TEXT(LANÇ_MOV[[#This Row],[DATA DE LANÇAMENTO]],"D"))</f>
        <v>1</v>
      </c>
      <c r="AE340" s="526" t="str">
        <f>IF(LANÇ_MOV[[#This Row],[DATA DE VENCIMENTO]]="","",TEXT(LANÇ_MOV[[#This Row],[DATA DE VENCIMENTO]],"AAAA"))</f>
        <v>2022</v>
      </c>
      <c r="AF340" s="526" t="str">
        <f>IF(LANÇ_MOV[[#This Row],[DATA DE VENCIMENTO]]="","",UPPER(TEXT(LANÇ_MOV[[#This Row],[DATA DE VENCIMENTO]],"MMMM")))</f>
        <v>JANEIRO</v>
      </c>
      <c r="AG340" s="526" t="str">
        <f>IF(LANÇ_MOV[[#This Row],[DATA DE VENCIMENTO]]="","",TEXT(LANÇ_MOV[[#This Row],[DATA DE VENCIMENTO]],"M"))</f>
        <v>1</v>
      </c>
      <c r="AH340" s="526" t="str">
        <f>IF(LANÇ_MOV[[#This Row],[DATA DE VENCIMENTO]]="","",TEXT(LANÇ_MOV[[#This Row],[DATA DE VENCIMENTO]],"D"))</f>
        <v>28</v>
      </c>
      <c r="AI340" s="526" t="str">
        <f>IF(LANÇ_MOV[[#This Row],[DATA DE PAGAMENTO]]="","",TEXT(LANÇ_MOV[[#This Row],[DATA DE PAGAMENTO]],"AAAA"))</f>
        <v/>
      </c>
      <c r="AJ340" s="527" t="str">
        <f>IF(LANÇ_MOV[[#This Row],[DATA DE PAGAMENTO]]="","",UPPER(TEXT(LANÇ_MOV[[#This Row],[DATA DE PAGAMENTO]],"MMMM")))</f>
        <v/>
      </c>
      <c r="AK340" s="527" t="str">
        <f>IF(LANÇ_MOV[[#This Row],[DATA DE PAGAMENTO]]="","",TEXT(LANÇ_MOV[[#This Row],[DATA DE PAGAMENTO]],"M"))</f>
        <v/>
      </c>
      <c r="AL340" s="526" t="str">
        <f>IF(LANÇ_MOV[[#This Row],[DATA DE PAGAMENTO]]="","",TEXT(LANÇ_MOV[[#This Row],[DATA DE PAGAMENTO]],"D"))</f>
        <v/>
      </c>
      <c r="AM340" s="27"/>
      <c r="BB340" s="112"/>
      <c r="BC340" s="112"/>
      <c r="BD340" s="112"/>
    </row>
    <row r="341" spans="2:56" ht="30.05" customHeight="1" x14ac:dyDescent="0.35">
      <c r="B341" s="506">
        <v>45931</v>
      </c>
      <c r="C341" s="507" t="s">
        <v>1661</v>
      </c>
      <c r="D341" s="508" t="s">
        <v>1854</v>
      </c>
      <c r="E341" s="509" t="s">
        <v>1440</v>
      </c>
      <c r="F341" s="510" t="s">
        <v>1852</v>
      </c>
      <c r="G341" s="507" t="s">
        <v>1924</v>
      </c>
      <c r="H341" s="511"/>
      <c r="I341" s="512"/>
      <c r="J341" s="518">
        <v>210.6</v>
      </c>
      <c r="K341" s="513">
        <v>0</v>
      </c>
      <c r="L341" s="513">
        <v>0</v>
      </c>
      <c r="M341" s="513">
        <v>0</v>
      </c>
      <c r="N341" s="514">
        <f>LANÇ_MOV[[#This Row],[VALOR BRUTO]]-LANÇ_MOV[[#This Row],[DESCONTO]]+LANÇ_MOV[[#This Row],[JUROS]]+LANÇ_MOV[[#This Row],[MULTA]]</f>
        <v>210.6</v>
      </c>
      <c r="O341" s="528">
        <v>44747</v>
      </c>
      <c r="P341" s="516" t="str">
        <f t="shared" ca="1" si="5"/>
        <v>Venceu</v>
      </c>
      <c r="Q341" s="528"/>
      <c r="R341" s="529" t="s">
        <v>1506</v>
      </c>
      <c r="S341" s="518"/>
      <c r="T341" s="518" t="s">
        <v>1776</v>
      </c>
      <c r="U341" s="519" t="s">
        <v>2007</v>
      </c>
      <c r="V341" s="520" t="str">
        <f>IFERROR(VLOOKUP(LANÇ_MOV[[#This Row],[PLANO DE CONTAS]],Plano_Contas[[PLANO DE CONTAS]:[R / D]],3,0),"")</f>
        <v>Despesa</v>
      </c>
      <c r="W341" s="521" t="str">
        <f>IF(LANÇ_MOV[[#This Row],[DATA DE PAGAMENTO]]&lt;&gt;"","Pago","Não Pago")</f>
        <v>Não Pago</v>
      </c>
      <c r="X341" s="522" t="str">
        <f>IFERROR(IF(LANÇ_MOV[[#This Row],[DATA DE PAGAMENTO]]="","",(UPPER(TEXT(LANÇ_MOV[[#This Row],[DATA DE PAGAMENTO]],"mmmm")))),"")</f>
        <v/>
      </c>
      <c r="Y341" s="523" t="str">
        <f>IFERROR(VLOOKUP(LANÇ_MOV[[#This Row],[PLANO DE CONTAS]],Plano_Contas[[PLANO DE CONTAS]:[NOMES INTERVALOS]],2,0),"")</f>
        <v>Despesas_Endividamentos</v>
      </c>
      <c r="Z341" s="523" t="str">
        <f>IF(LANÇ_MOV[[#This Row],[FORMA DE PAGAMENTO]]="","",VLOOKUP(LANÇ_MOV[[#This Row],[FORMA DE PAGAMENTO]],CAD_Forma_pagto[],2,0))</f>
        <v>BOLETO</v>
      </c>
      <c r="AA341" s="524" t="str">
        <f>IF(LANÇ_MOV[[#This Row],[DATA DE LANÇAMENTO]]="","",TEXT(LANÇ_MOV[[#This Row],[DATA DE LANÇAMENTO]],"AAAA"))</f>
        <v>2025</v>
      </c>
      <c r="AB341" s="524" t="str">
        <f>IF(LANÇ_MOV[[#This Row],[DATA DE LANÇAMENTO]]="","",UPPER(TEXT(LANÇ_MOV[[#This Row],[DATA DE LANÇAMENTO]],"MMMM")))</f>
        <v>OUTUBRO</v>
      </c>
      <c r="AC341" s="525" t="str">
        <f>IF(LANÇ_MOV[[#This Row],[DATA DE LANÇAMENTO]]="","",PROPER(TEXT(LANÇ_MOV[[#This Row],[DATA DE LANÇAMENTO]],"M")))</f>
        <v>10</v>
      </c>
      <c r="AD341" s="524" t="str">
        <f>IF(LANÇ_MOV[[#This Row],[DATA DE LANÇAMENTO]]="","",TEXT(LANÇ_MOV[[#This Row],[DATA DE LANÇAMENTO]],"D"))</f>
        <v>1</v>
      </c>
      <c r="AE341" s="526" t="str">
        <f>IF(LANÇ_MOV[[#This Row],[DATA DE VENCIMENTO]]="","",TEXT(LANÇ_MOV[[#This Row],[DATA DE VENCIMENTO]],"AAAA"))</f>
        <v>2022</v>
      </c>
      <c r="AF341" s="526" t="str">
        <f>IF(LANÇ_MOV[[#This Row],[DATA DE VENCIMENTO]]="","",UPPER(TEXT(LANÇ_MOV[[#This Row],[DATA DE VENCIMENTO]],"MMMM")))</f>
        <v>JULHO</v>
      </c>
      <c r="AG341" s="526" t="str">
        <f>IF(LANÇ_MOV[[#This Row],[DATA DE VENCIMENTO]]="","",TEXT(LANÇ_MOV[[#This Row],[DATA DE VENCIMENTO]],"M"))</f>
        <v>7</v>
      </c>
      <c r="AH341" s="526" t="str">
        <f>IF(LANÇ_MOV[[#This Row],[DATA DE VENCIMENTO]]="","",TEXT(LANÇ_MOV[[#This Row],[DATA DE VENCIMENTO]],"D"))</f>
        <v>5</v>
      </c>
      <c r="AI341" s="526" t="str">
        <f>IF(LANÇ_MOV[[#This Row],[DATA DE PAGAMENTO]]="","",TEXT(LANÇ_MOV[[#This Row],[DATA DE PAGAMENTO]],"AAAA"))</f>
        <v/>
      </c>
      <c r="AJ341" s="527" t="str">
        <f>IF(LANÇ_MOV[[#This Row],[DATA DE PAGAMENTO]]="","",UPPER(TEXT(LANÇ_MOV[[#This Row],[DATA DE PAGAMENTO]],"MMMM")))</f>
        <v/>
      </c>
      <c r="AK341" s="527" t="str">
        <f>IF(LANÇ_MOV[[#This Row],[DATA DE PAGAMENTO]]="","",TEXT(LANÇ_MOV[[#This Row],[DATA DE PAGAMENTO]],"M"))</f>
        <v/>
      </c>
      <c r="AL341" s="526" t="str">
        <f>IF(LANÇ_MOV[[#This Row],[DATA DE PAGAMENTO]]="","",TEXT(LANÇ_MOV[[#This Row],[DATA DE PAGAMENTO]],"D"))</f>
        <v/>
      </c>
      <c r="AM341" s="27"/>
      <c r="BB341" s="112"/>
      <c r="BC341" s="112"/>
      <c r="BD341" s="112"/>
    </row>
    <row r="342" spans="2:56" ht="30.05" customHeight="1" x14ac:dyDescent="0.35">
      <c r="B342" s="506">
        <v>45931</v>
      </c>
      <c r="C342" s="507" t="s">
        <v>1661</v>
      </c>
      <c r="D342" s="508" t="s">
        <v>1854</v>
      </c>
      <c r="E342" s="509" t="s">
        <v>1440</v>
      </c>
      <c r="F342" s="510" t="s">
        <v>1853</v>
      </c>
      <c r="G342" s="507" t="s">
        <v>1924</v>
      </c>
      <c r="H342" s="511"/>
      <c r="I342" s="512"/>
      <c r="J342" s="518">
        <v>499.98</v>
      </c>
      <c r="K342" s="513">
        <v>0</v>
      </c>
      <c r="L342" s="513">
        <v>0</v>
      </c>
      <c r="M342" s="513">
        <v>0</v>
      </c>
      <c r="N342" s="514">
        <f>LANÇ_MOV[[#This Row],[VALOR BRUTO]]-LANÇ_MOV[[#This Row],[DESCONTO]]+LANÇ_MOV[[#This Row],[JUROS]]+LANÇ_MOV[[#This Row],[MULTA]]</f>
        <v>499.98</v>
      </c>
      <c r="O342" s="528">
        <v>44747</v>
      </c>
      <c r="P342" s="516" t="str">
        <f t="shared" ca="1" si="5"/>
        <v>Venceu</v>
      </c>
      <c r="Q342" s="528"/>
      <c r="R342" s="529" t="s">
        <v>1506</v>
      </c>
      <c r="S342" s="518"/>
      <c r="T342" s="518" t="s">
        <v>1776</v>
      </c>
      <c r="U342" s="519" t="s">
        <v>2007</v>
      </c>
      <c r="V342" s="520" t="str">
        <f>IFERROR(VLOOKUP(LANÇ_MOV[[#This Row],[PLANO DE CONTAS]],Plano_Contas[[PLANO DE CONTAS]:[R / D]],3,0),"")</f>
        <v>Despesa</v>
      </c>
      <c r="W342" s="521" t="str">
        <f>IF(LANÇ_MOV[[#This Row],[DATA DE PAGAMENTO]]&lt;&gt;"","Pago","Não Pago")</f>
        <v>Não Pago</v>
      </c>
      <c r="X342" s="522" t="str">
        <f>IFERROR(IF(LANÇ_MOV[[#This Row],[DATA DE PAGAMENTO]]="","",(UPPER(TEXT(LANÇ_MOV[[#This Row],[DATA DE PAGAMENTO]],"mmmm")))),"")</f>
        <v/>
      </c>
      <c r="Y342" s="523" t="str">
        <f>IFERROR(VLOOKUP(LANÇ_MOV[[#This Row],[PLANO DE CONTAS]],Plano_Contas[[PLANO DE CONTAS]:[NOMES INTERVALOS]],2,0),"")</f>
        <v>Despesas_Endividamentos</v>
      </c>
      <c r="Z342" s="523" t="str">
        <f>IF(LANÇ_MOV[[#This Row],[FORMA DE PAGAMENTO]]="","",VLOOKUP(LANÇ_MOV[[#This Row],[FORMA DE PAGAMENTO]],CAD_Forma_pagto[],2,0))</f>
        <v>BOLETO</v>
      </c>
      <c r="AA342" s="524" t="str">
        <f>IF(LANÇ_MOV[[#This Row],[DATA DE LANÇAMENTO]]="","",TEXT(LANÇ_MOV[[#This Row],[DATA DE LANÇAMENTO]],"AAAA"))</f>
        <v>2025</v>
      </c>
      <c r="AB342" s="524" t="str">
        <f>IF(LANÇ_MOV[[#This Row],[DATA DE LANÇAMENTO]]="","",UPPER(TEXT(LANÇ_MOV[[#This Row],[DATA DE LANÇAMENTO]],"MMMM")))</f>
        <v>OUTUBRO</v>
      </c>
      <c r="AC342" s="525" t="str">
        <f>IF(LANÇ_MOV[[#This Row],[DATA DE LANÇAMENTO]]="","",PROPER(TEXT(LANÇ_MOV[[#This Row],[DATA DE LANÇAMENTO]],"M")))</f>
        <v>10</v>
      </c>
      <c r="AD342" s="524" t="str">
        <f>IF(LANÇ_MOV[[#This Row],[DATA DE LANÇAMENTO]]="","",TEXT(LANÇ_MOV[[#This Row],[DATA DE LANÇAMENTO]],"D"))</f>
        <v>1</v>
      </c>
      <c r="AE342" s="526" t="str">
        <f>IF(LANÇ_MOV[[#This Row],[DATA DE VENCIMENTO]]="","",TEXT(LANÇ_MOV[[#This Row],[DATA DE VENCIMENTO]],"AAAA"))</f>
        <v>2022</v>
      </c>
      <c r="AF342" s="526" t="str">
        <f>IF(LANÇ_MOV[[#This Row],[DATA DE VENCIMENTO]]="","",UPPER(TEXT(LANÇ_MOV[[#This Row],[DATA DE VENCIMENTO]],"MMMM")))</f>
        <v>JULHO</v>
      </c>
      <c r="AG342" s="526" t="str">
        <f>IF(LANÇ_MOV[[#This Row],[DATA DE VENCIMENTO]]="","",TEXT(LANÇ_MOV[[#This Row],[DATA DE VENCIMENTO]],"M"))</f>
        <v>7</v>
      </c>
      <c r="AH342" s="526" t="str">
        <f>IF(LANÇ_MOV[[#This Row],[DATA DE VENCIMENTO]]="","",TEXT(LANÇ_MOV[[#This Row],[DATA DE VENCIMENTO]],"D"))</f>
        <v>5</v>
      </c>
      <c r="AI342" s="526" t="str">
        <f>IF(LANÇ_MOV[[#This Row],[DATA DE PAGAMENTO]]="","",TEXT(LANÇ_MOV[[#This Row],[DATA DE PAGAMENTO]],"AAAA"))</f>
        <v/>
      </c>
      <c r="AJ342" s="527" t="str">
        <f>IF(LANÇ_MOV[[#This Row],[DATA DE PAGAMENTO]]="","",UPPER(TEXT(LANÇ_MOV[[#This Row],[DATA DE PAGAMENTO]],"MMMM")))</f>
        <v/>
      </c>
      <c r="AK342" s="527" t="str">
        <f>IF(LANÇ_MOV[[#This Row],[DATA DE PAGAMENTO]]="","",TEXT(LANÇ_MOV[[#This Row],[DATA DE PAGAMENTO]],"M"))</f>
        <v/>
      </c>
      <c r="AL342" s="526" t="str">
        <f>IF(LANÇ_MOV[[#This Row],[DATA DE PAGAMENTO]]="","",TEXT(LANÇ_MOV[[#This Row],[DATA DE PAGAMENTO]],"D"))</f>
        <v/>
      </c>
      <c r="AM342" s="27"/>
      <c r="BB342" s="112"/>
      <c r="BC342" s="112"/>
      <c r="BD342" s="112"/>
    </row>
    <row r="343" spans="2:56" ht="30.05" customHeight="1" x14ac:dyDescent="0.35">
      <c r="B343" s="506">
        <v>45931</v>
      </c>
      <c r="C343" s="507" t="s">
        <v>1661</v>
      </c>
      <c r="D343" s="508" t="s">
        <v>1854</v>
      </c>
      <c r="E343" s="509" t="s">
        <v>1440</v>
      </c>
      <c r="F343" s="510" t="s">
        <v>1851</v>
      </c>
      <c r="G343" s="507" t="s">
        <v>1925</v>
      </c>
      <c r="H343" s="511"/>
      <c r="I343" s="512"/>
      <c r="J343" s="518">
        <v>217.93</v>
      </c>
      <c r="K343" s="513">
        <v>0</v>
      </c>
      <c r="L343" s="513">
        <v>0</v>
      </c>
      <c r="M343" s="513">
        <v>0</v>
      </c>
      <c r="N343" s="514">
        <f>LANÇ_MOV[[#This Row],[VALOR BRUTO]]-LANÇ_MOV[[#This Row],[DESCONTO]]+LANÇ_MOV[[#This Row],[JUROS]]+LANÇ_MOV[[#This Row],[MULTA]]</f>
        <v>217.93</v>
      </c>
      <c r="O343" s="528">
        <v>44957</v>
      </c>
      <c r="P343" s="516" t="str">
        <f t="shared" ca="1" si="5"/>
        <v>Venceu</v>
      </c>
      <c r="Q343" s="528"/>
      <c r="R343" s="529" t="s">
        <v>1506</v>
      </c>
      <c r="S343" s="518"/>
      <c r="T343" s="518" t="s">
        <v>1776</v>
      </c>
      <c r="U343" s="519" t="s">
        <v>2007</v>
      </c>
      <c r="V343" s="520" t="str">
        <f>IFERROR(VLOOKUP(LANÇ_MOV[[#This Row],[PLANO DE CONTAS]],Plano_Contas[[PLANO DE CONTAS]:[R / D]],3,0),"")</f>
        <v>Despesa</v>
      </c>
      <c r="W343" s="521" t="str">
        <f>IF(LANÇ_MOV[[#This Row],[DATA DE PAGAMENTO]]&lt;&gt;"","Pago","Não Pago")</f>
        <v>Não Pago</v>
      </c>
      <c r="X343" s="522" t="str">
        <f>IFERROR(IF(LANÇ_MOV[[#This Row],[DATA DE PAGAMENTO]]="","",(UPPER(TEXT(LANÇ_MOV[[#This Row],[DATA DE PAGAMENTO]],"mmmm")))),"")</f>
        <v/>
      </c>
      <c r="Y343" s="523" t="str">
        <f>IFERROR(VLOOKUP(LANÇ_MOV[[#This Row],[PLANO DE CONTAS]],Plano_Contas[[PLANO DE CONTAS]:[NOMES INTERVALOS]],2,0),"")</f>
        <v>Despesas_Endividamentos</v>
      </c>
      <c r="Z343" s="523" t="str">
        <f>IF(LANÇ_MOV[[#This Row],[FORMA DE PAGAMENTO]]="","",VLOOKUP(LANÇ_MOV[[#This Row],[FORMA DE PAGAMENTO]],CAD_Forma_pagto[],2,0))</f>
        <v>BOLETO</v>
      </c>
      <c r="AA343" s="524" t="str">
        <f>IF(LANÇ_MOV[[#This Row],[DATA DE LANÇAMENTO]]="","",TEXT(LANÇ_MOV[[#This Row],[DATA DE LANÇAMENTO]],"AAAA"))</f>
        <v>2025</v>
      </c>
      <c r="AB343" s="524" t="str">
        <f>IF(LANÇ_MOV[[#This Row],[DATA DE LANÇAMENTO]]="","",UPPER(TEXT(LANÇ_MOV[[#This Row],[DATA DE LANÇAMENTO]],"MMMM")))</f>
        <v>OUTUBRO</v>
      </c>
      <c r="AC343" s="525" t="str">
        <f>IF(LANÇ_MOV[[#This Row],[DATA DE LANÇAMENTO]]="","",PROPER(TEXT(LANÇ_MOV[[#This Row],[DATA DE LANÇAMENTO]],"M")))</f>
        <v>10</v>
      </c>
      <c r="AD343" s="524" t="str">
        <f>IF(LANÇ_MOV[[#This Row],[DATA DE LANÇAMENTO]]="","",TEXT(LANÇ_MOV[[#This Row],[DATA DE LANÇAMENTO]],"D"))</f>
        <v>1</v>
      </c>
      <c r="AE343" s="526" t="str">
        <f>IF(LANÇ_MOV[[#This Row],[DATA DE VENCIMENTO]]="","",TEXT(LANÇ_MOV[[#This Row],[DATA DE VENCIMENTO]],"AAAA"))</f>
        <v>2023</v>
      </c>
      <c r="AF343" s="526" t="str">
        <f>IF(LANÇ_MOV[[#This Row],[DATA DE VENCIMENTO]]="","",UPPER(TEXT(LANÇ_MOV[[#This Row],[DATA DE VENCIMENTO]],"MMMM")))</f>
        <v>JANEIRO</v>
      </c>
      <c r="AG343" s="526" t="str">
        <f>IF(LANÇ_MOV[[#This Row],[DATA DE VENCIMENTO]]="","",TEXT(LANÇ_MOV[[#This Row],[DATA DE VENCIMENTO]],"M"))</f>
        <v>1</v>
      </c>
      <c r="AH343" s="526" t="str">
        <f>IF(LANÇ_MOV[[#This Row],[DATA DE VENCIMENTO]]="","",TEXT(LANÇ_MOV[[#This Row],[DATA DE VENCIMENTO]],"D"))</f>
        <v>31</v>
      </c>
      <c r="AI343" s="526" t="str">
        <f>IF(LANÇ_MOV[[#This Row],[DATA DE PAGAMENTO]]="","",TEXT(LANÇ_MOV[[#This Row],[DATA DE PAGAMENTO]],"AAAA"))</f>
        <v/>
      </c>
      <c r="AJ343" s="527" t="str">
        <f>IF(LANÇ_MOV[[#This Row],[DATA DE PAGAMENTO]]="","",UPPER(TEXT(LANÇ_MOV[[#This Row],[DATA DE PAGAMENTO]],"MMMM")))</f>
        <v/>
      </c>
      <c r="AK343" s="527" t="str">
        <f>IF(LANÇ_MOV[[#This Row],[DATA DE PAGAMENTO]]="","",TEXT(LANÇ_MOV[[#This Row],[DATA DE PAGAMENTO]],"M"))</f>
        <v/>
      </c>
      <c r="AL343" s="526" t="str">
        <f>IF(LANÇ_MOV[[#This Row],[DATA DE PAGAMENTO]]="","",TEXT(LANÇ_MOV[[#This Row],[DATA DE PAGAMENTO]],"D"))</f>
        <v/>
      </c>
      <c r="AM343" s="27"/>
      <c r="BB343" s="112"/>
      <c r="BC343" s="112"/>
      <c r="BD343" s="112"/>
    </row>
    <row r="344" spans="2:56" ht="30.05" customHeight="1" x14ac:dyDescent="0.35">
      <c r="B344" s="506">
        <v>45931</v>
      </c>
      <c r="C344" s="507" t="s">
        <v>1661</v>
      </c>
      <c r="D344" s="508" t="s">
        <v>1854</v>
      </c>
      <c r="E344" s="509" t="s">
        <v>1440</v>
      </c>
      <c r="F344" s="510" t="s">
        <v>1602</v>
      </c>
      <c r="G344" s="507">
        <v>44927</v>
      </c>
      <c r="H344" s="511"/>
      <c r="I344" s="512"/>
      <c r="J344" s="518">
        <v>360.32</v>
      </c>
      <c r="K344" s="513">
        <v>0</v>
      </c>
      <c r="L344" s="513">
        <v>0</v>
      </c>
      <c r="M344" s="513">
        <v>0</v>
      </c>
      <c r="N344" s="514">
        <f>LANÇ_MOV[[#This Row],[VALOR BRUTO]]-LANÇ_MOV[[#This Row],[DESCONTO]]+LANÇ_MOV[[#This Row],[JUROS]]+LANÇ_MOV[[#This Row],[MULTA]]</f>
        <v>360.32</v>
      </c>
      <c r="O344" s="528">
        <v>45005</v>
      </c>
      <c r="P344" s="516" t="str">
        <f t="shared" ca="1" si="5"/>
        <v>Venceu</v>
      </c>
      <c r="Q344" s="528"/>
      <c r="R344" s="529" t="s">
        <v>1506</v>
      </c>
      <c r="S344" s="518"/>
      <c r="T344" s="518" t="s">
        <v>1776</v>
      </c>
      <c r="U344" s="519" t="s">
        <v>2007</v>
      </c>
      <c r="V344" s="520" t="str">
        <f>IFERROR(VLOOKUP(LANÇ_MOV[[#This Row],[PLANO DE CONTAS]],Plano_Contas[[PLANO DE CONTAS]:[R / D]],3,0),"")</f>
        <v>Despesa</v>
      </c>
      <c r="W344" s="521" t="str">
        <f>IF(LANÇ_MOV[[#This Row],[DATA DE PAGAMENTO]]&lt;&gt;"","Pago","Não Pago")</f>
        <v>Não Pago</v>
      </c>
      <c r="X344" s="522" t="str">
        <f>IFERROR(IF(LANÇ_MOV[[#This Row],[DATA DE PAGAMENTO]]="","",(UPPER(TEXT(LANÇ_MOV[[#This Row],[DATA DE PAGAMENTO]],"mmmm")))),"")</f>
        <v/>
      </c>
      <c r="Y344" s="523" t="str">
        <f>IFERROR(VLOOKUP(LANÇ_MOV[[#This Row],[PLANO DE CONTAS]],Plano_Contas[[PLANO DE CONTAS]:[NOMES INTERVALOS]],2,0),"")</f>
        <v>Despesas_Endividamentos</v>
      </c>
      <c r="Z344" s="523" t="str">
        <f>IF(LANÇ_MOV[[#This Row],[FORMA DE PAGAMENTO]]="","",VLOOKUP(LANÇ_MOV[[#This Row],[FORMA DE PAGAMENTO]],CAD_Forma_pagto[],2,0))</f>
        <v>BOLETO</v>
      </c>
      <c r="AA344" s="524" t="str">
        <f>IF(LANÇ_MOV[[#This Row],[DATA DE LANÇAMENTO]]="","",TEXT(LANÇ_MOV[[#This Row],[DATA DE LANÇAMENTO]],"AAAA"))</f>
        <v>2025</v>
      </c>
      <c r="AB344" s="524" t="str">
        <f>IF(LANÇ_MOV[[#This Row],[DATA DE LANÇAMENTO]]="","",UPPER(TEXT(LANÇ_MOV[[#This Row],[DATA DE LANÇAMENTO]],"MMMM")))</f>
        <v>OUTUBRO</v>
      </c>
      <c r="AC344" s="525" t="str">
        <f>IF(LANÇ_MOV[[#This Row],[DATA DE LANÇAMENTO]]="","",PROPER(TEXT(LANÇ_MOV[[#This Row],[DATA DE LANÇAMENTO]],"M")))</f>
        <v>10</v>
      </c>
      <c r="AD344" s="524" t="str">
        <f>IF(LANÇ_MOV[[#This Row],[DATA DE LANÇAMENTO]]="","",TEXT(LANÇ_MOV[[#This Row],[DATA DE LANÇAMENTO]],"D"))</f>
        <v>1</v>
      </c>
      <c r="AE344" s="526" t="str">
        <f>IF(LANÇ_MOV[[#This Row],[DATA DE VENCIMENTO]]="","",TEXT(LANÇ_MOV[[#This Row],[DATA DE VENCIMENTO]],"AAAA"))</f>
        <v>2023</v>
      </c>
      <c r="AF344" s="526" t="str">
        <f>IF(LANÇ_MOV[[#This Row],[DATA DE VENCIMENTO]]="","",UPPER(TEXT(LANÇ_MOV[[#This Row],[DATA DE VENCIMENTO]],"MMMM")))</f>
        <v>MARÇO</v>
      </c>
      <c r="AG344" s="526" t="str">
        <f>IF(LANÇ_MOV[[#This Row],[DATA DE VENCIMENTO]]="","",TEXT(LANÇ_MOV[[#This Row],[DATA DE VENCIMENTO]],"M"))</f>
        <v>3</v>
      </c>
      <c r="AH344" s="526" t="str">
        <f>IF(LANÇ_MOV[[#This Row],[DATA DE VENCIMENTO]]="","",TEXT(LANÇ_MOV[[#This Row],[DATA DE VENCIMENTO]],"D"))</f>
        <v>20</v>
      </c>
      <c r="AI344" s="526" t="str">
        <f>IF(LANÇ_MOV[[#This Row],[DATA DE PAGAMENTO]]="","",TEXT(LANÇ_MOV[[#This Row],[DATA DE PAGAMENTO]],"AAAA"))</f>
        <v/>
      </c>
      <c r="AJ344" s="527" t="str">
        <f>IF(LANÇ_MOV[[#This Row],[DATA DE PAGAMENTO]]="","",UPPER(TEXT(LANÇ_MOV[[#This Row],[DATA DE PAGAMENTO]],"MMMM")))</f>
        <v/>
      </c>
      <c r="AK344" s="527" t="str">
        <f>IF(LANÇ_MOV[[#This Row],[DATA DE PAGAMENTO]]="","",TEXT(LANÇ_MOV[[#This Row],[DATA DE PAGAMENTO]],"M"))</f>
        <v/>
      </c>
      <c r="AL344" s="526" t="str">
        <f>IF(LANÇ_MOV[[#This Row],[DATA DE PAGAMENTO]]="","",TEXT(LANÇ_MOV[[#This Row],[DATA DE PAGAMENTO]],"D"))</f>
        <v/>
      </c>
      <c r="AM344" s="27"/>
      <c r="BB344" s="112"/>
      <c r="BC344" s="112"/>
      <c r="BD344" s="112"/>
    </row>
    <row r="345" spans="2:56" ht="30.05" customHeight="1" x14ac:dyDescent="0.35">
      <c r="B345" s="506">
        <v>45931</v>
      </c>
      <c r="C345" s="507" t="s">
        <v>1661</v>
      </c>
      <c r="D345" s="508" t="s">
        <v>1854</v>
      </c>
      <c r="E345" s="509" t="s">
        <v>1440</v>
      </c>
      <c r="F345" s="510" t="s">
        <v>1602</v>
      </c>
      <c r="G345" s="507">
        <v>44958</v>
      </c>
      <c r="H345" s="511"/>
      <c r="I345" s="512"/>
      <c r="J345" s="518">
        <v>357.6</v>
      </c>
      <c r="K345" s="513">
        <v>0</v>
      </c>
      <c r="L345" s="513">
        <v>0</v>
      </c>
      <c r="M345" s="513">
        <v>0</v>
      </c>
      <c r="N345" s="514">
        <f>LANÇ_MOV[[#This Row],[VALOR BRUTO]]-LANÇ_MOV[[#This Row],[DESCONTO]]+LANÇ_MOV[[#This Row],[JUROS]]+LANÇ_MOV[[#This Row],[MULTA]]</f>
        <v>357.6</v>
      </c>
      <c r="O345" s="528">
        <v>45036</v>
      </c>
      <c r="P345" s="516" t="str">
        <f t="shared" ca="1" si="5"/>
        <v>Venceu</v>
      </c>
      <c r="Q345" s="528"/>
      <c r="R345" s="529" t="s">
        <v>1506</v>
      </c>
      <c r="S345" s="518"/>
      <c r="T345" s="518" t="s">
        <v>1776</v>
      </c>
      <c r="U345" s="519" t="s">
        <v>2007</v>
      </c>
      <c r="V345" s="520" t="str">
        <f>IFERROR(VLOOKUP(LANÇ_MOV[[#This Row],[PLANO DE CONTAS]],Plano_Contas[[PLANO DE CONTAS]:[R / D]],3,0),"")</f>
        <v>Despesa</v>
      </c>
      <c r="W345" s="521" t="str">
        <f>IF(LANÇ_MOV[[#This Row],[DATA DE PAGAMENTO]]&lt;&gt;"","Pago","Não Pago")</f>
        <v>Não Pago</v>
      </c>
      <c r="X345" s="522" t="str">
        <f>IFERROR(IF(LANÇ_MOV[[#This Row],[DATA DE PAGAMENTO]]="","",(UPPER(TEXT(LANÇ_MOV[[#This Row],[DATA DE PAGAMENTO]],"mmmm")))),"")</f>
        <v/>
      </c>
      <c r="Y345" s="523" t="str">
        <f>IFERROR(VLOOKUP(LANÇ_MOV[[#This Row],[PLANO DE CONTAS]],Plano_Contas[[PLANO DE CONTAS]:[NOMES INTERVALOS]],2,0),"")</f>
        <v>Despesas_Endividamentos</v>
      </c>
      <c r="Z345" s="523" t="str">
        <f>IF(LANÇ_MOV[[#This Row],[FORMA DE PAGAMENTO]]="","",VLOOKUP(LANÇ_MOV[[#This Row],[FORMA DE PAGAMENTO]],CAD_Forma_pagto[],2,0))</f>
        <v>BOLETO</v>
      </c>
      <c r="AA345" s="524" t="str">
        <f>IF(LANÇ_MOV[[#This Row],[DATA DE LANÇAMENTO]]="","",TEXT(LANÇ_MOV[[#This Row],[DATA DE LANÇAMENTO]],"AAAA"))</f>
        <v>2025</v>
      </c>
      <c r="AB345" s="524" t="str">
        <f>IF(LANÇ_MOV[[#This Row],[DATA DE LANÇAMENTO]]="","",UPPER(TEXT(LANÇ_MOV[[#This Row],[DATA DE LANÇAMENTO]],"MMMM")))</f>
        <v>OUTUBRO</v>
      </c>
      <c r="AC345" s="525" t="str">
        <f>IF(LANÇ_MOV[[#This Row],[DATA DE LANÇAMENTO]]="","",PROPER(TEXT(LANÇ_MOV[[#This Row],[DATA DE LANÇAMENTO]],"M")))</f>
        <v>10</v>
      </c>
      <c r="AD345" s="524" t="str">
        <f>IF(LANÇ_MOV[[#This Row],[DATA DE LANÇAMENTO]]="","",TEXT(LANÇ_MOV[[#This Row],[DATA DE LANÇAMENTO]],"D"))</f>
        <v>1</v>
      </c>
      <c r="AE345" s="526" t="str">
        <f>IF(LANÇ_MOV[[#This Row],[DATA DE VENCIMENTO]]="","",TEXT(LANÇ_MOV[[#This Row],[DATA DE VENCIMENTO]],"AAAA"))</f>
        <v>2023</v>
      </c>
      <c r="AF345" s="526" t="str">
        <f>IF(LANÇ_MOV[[#This Row],[DATA DE VENCIMENTO]]="","",UPPER(TEXT(LANÇ_MOV[[#This Row],[DATA DE VENCIMENTO]],"MMMM")))</f>
        <v>ABRIL</v>
      </c>
      <c r="AG345" s="526" t="str">
        <f>IF(LANÇ_MOV[[#This Row],[DATA DE VENCIMENTO]]="","",TEXT(LANÇ_MOV[[#This Row],[DATA DE VENCIMENTO]],"M"))</f>
        <v>4</v>
      </c>
      <c r="AH345" s="526" t="str">
        <f>IF(LANÇ_MOV[[#This Row],[DATA DE VENCIMENTO]]="","",TEXT(LANÇ_MOV[[#This Row],[DATA DE VENCIMENTO]],"D"))</f>
        <v>20</v>
      </c>
      <c r="AI345" s="526" t="str">
        <f>IF(LANÇ_MOV[[#This Row],[DATA DE PAGAMENTO]]="","",TEXT(LANÇ_MOV[[#This Row],[DATA DE PAGAMENTO]],"AAAA"))</f>
        <v/>
      </c>
      <c r="AJ345" s="527" t="str">
        <f>IF(LANÇ_MOV[[#This Row],[DATA DE PAGAMENTO]]="","",UPPER(TEXT(LANÇ_MOV[[#This Row],[DATA DE PAGAMENTO]],"MMMM")))</f>
        <v/>
      </c>
      <c r="AK345" s="527" t="str">
        <f>IF(LANÇ_MOV[[#This Row],[DATA DE PAGAMENTO]]="","",TEXT(LANÇ_MOV[[#This Row],[DATA DE PAGAMENTO]],"M"))</f>
        <v/>
      </c>
      <c r="AL345" s="526" t="str">
        <f>IF(LANÇ_MOV[[#This Row],[DATA DE PAGAMENTO]]="","",TEXT(LANÇ_MOV[[#This Row],[DATA DE PAGAMENTO]],"D"))</f>
        <v/>
      </c>
      <c r="AM345" s="27"/>
      <c r="BB345" s="112"/>
      <c r="BC345" s="112"/>
      <c r="BD345" s="112"/>
    </row>
    <row r="346" spans="2:56" ht="30.05" customHeight="1" x14ac:dyDescent="0.35">
      <c r="B346" s="506">
        <v>45931</v>
      </c>
      <c r="C346" s="507" t="s">
        <v>1661</v>
      </c>
      <c r="D346" s="508" t="s">
        <v>1854</v>
      </c>
      <c r="E346" s="509" t="s">
        <v>1440</v>
      </c>
      <c r="F346" s="510" t="s">
        <v>1602</v>
      </c>
      <c r="G346" s="507">
        <v>44986</v>
      </c>
      <c r="H346" s="511"/>
      <c r="I346" s="512"/>
      <c r="J346" s="518">
        <v>354.27</v>
      </c>
      <c r="K346" s="513">
        <v>0</v>
      </c>
      <c r="L346" s="513">
        <v>0</v>
      </c>
      <c r="M346" s="513">
        <v>0</v>
      </c>
      <c r="N346" s="514">
        <f>LANÇ_MOV[[#This Row],[VALOR BRUTO]]-LANÇ_MOV[[#This Row],[DESCONTO]]+LANÇ_MOV[[#This Row],[JUROS]]+LANÇ_MOV[[#This Row],[MULTA]]</f>
        <v>354.27</v>
      </c>
      <c r="O346" s="528">
        <v>45068</v>
      </c>
      <c r="P346" s="516" t="str">
        <f t="shared" ca="1" si="5"/>
        <v>Venceu</v>
      </c>
      <c r="Q346" s="528"/>
      <c r="R346" s="529" t="s">
        <v>1506</v>
      </c>
      <c r="S346" s="518"/>
      <c r="T346" s="518" t="s">
        <v>1776</v>
      </c>
      <c r="U346" s="519" t="s">
        <v>2007</v>
      </c>
      <c r="V346" s="520" t="str">
        <f>IFERROR(VLOOKUP(LANÇ_MOV[[#This Row],[PLANO DE CONTAS]],Plano_Contas[[PLANO DE CONTAS]:[R / D]],3,0),"")</f>
        <v>Despesa</v>
      </c>
      <c r="W346" s="521" t="str">
        <f>IF(LANÇ_MOV[[#This Row],[DATA DE PAGAMENTO]]&lt;&gt;"","Pago","Não Pago")</f>
        <v>Não Pago</v>
      </c>
      <c r="X346" s="522" t="str">
        <f>IFERROR(IF(LANÇ_MOV[[#This Row],[DATA DE PAGAMENTO]]="","",(UPPER(TEXT(LANÇ_MOV[[#This Row],[DATA DE PAGAMENTO]],"mmmm")))),"")</f>
        <v/>
      </c>
      <c r="Y346" s="523" t="str">
        <f>IFERROR(VLOOKUP(LANÇ_MOV[[#This Row],[PLANO DE CONTAS]],Plano_Contas[[PLANO DE CONTAS]:[NOMES INTERVALOS]],2,0),"")</f>
        <v>Despesas_Endividamentos</v>
      </c>
      <c r="Z346" s="523" t="str">
        <f>IF(LANÇ_MOV[[#This Row],[FORMA DE PAGAMENTO]]="","",VLOOKUP(LANÇ_MOV[[#This Row],[FORMA DE PAGAMENTO]],CAD_Forma_pagto[],2,0))</f>
        <v>BOLETO</v>
      </c>
      <c r="AA346" s="524" t="str">
        <f>IF(LANÇ_MOV[[#This Row],[DATA DE LANÇAMENTO]]="","",TEXT(LANÇ_MOV[[#This Row],[DATA DE LANÇAMENTO]],"AAAA"))</f>
        <v>2025</v>
      </c>
      <c r="AB346" s="524" t="str">
        <f>IF(LANÇ_MOV[[#This Row],[DATA DE LANÇAMENTO]]="","",UPPER(TEXT(LANÇ_MOV[[#This Row],[DATA DE LANÇAMENTO]],"MMMM")))</f>
        <v>OUTUBRO</v>
      </c>
      <c r="AC346" s="525" t="str">
        <f>IF(LANÇ_MOV[[#This Row],[DATA DE LANÇAMENTO]]="","",PROPER(TEXT(LANÇ_MOV[[#This Row],[DATA DE LANÇAMENTO]],"M")))</f>
        <v>10</v>
      </c>
      <c r="AD346" s="524" t="str">
        <f>IF(LANÇ_MOV[[#This Row],[DATA DE LANÇAMENTO]]="","",TEXT(LANÇ_MOV[[#This Row],[DATA DE LANÇAMENTO]],"D"))</f>
        <v>1</v>
      </c>
      <c r="AE346" s="526" t="str">
        <f>IF(LANÇ_MOV[[#This Row],[DATA DE VENCIMENTO]]="","",TEXT(LANÇ_MOV[[#This Row],[DATA DE VENCIMENTO]],"AAAA"))</f>
        <v>2023</v>
      </c>
      <c r="AF346" s="526" t="str">
        <f>IF(LANÇ_MOV[[#This Row],[DATA DE VENCIMENTO]]="","",UPPER(TEXT(LANÇ_MOV[[#This Row],[DATA DE VENCIMENTO]],"MMMM")))</f>
        <v>MAIO</v>
      </c>
      <c r="AG346" s="526" t="str">
        <f>IF(LANÇ_MOV[[#This Row],[DATA DE VENCIMENTO]]="","",TEXT(LANÇ_MOV[[#This Row],[DATA DE VENCIMENTO]],"M"))</f>
        <v>5</v>
      </c>
      <c r="AH346" s="526" t="str">
        <f>IF(LANÇ_MOV[[#This Row],[DATA DE VENCIMENTO]]="","",TEXT(LANÇ_MOV[[#This Row],[DATA DE VENCIMENTO]],"D"))</f>
        <v>22</v>
      </c>
      <c r="AI346" s="526" t="str">
        <f>IF(LANÇ_MOV[[#This Row],[DATA DE PAGAMENTO]]="","",TEXT(LANÇ_MOV[[#This Row],[DATA DE PAGAMENTO]],"AAAA"))</f>
        <v/>
      </c>
      <c r="AJ346" s="527" t="str">
        <f>IF(LANÇ_MOV[[#This Row],[DATA DE PAGAMENTO]]="","",UPPER(TEXT(LANÇ_MOV[[#This Row],[DATA DE PAGAMENTO]],"MMMM")))</f>
        <v/>
      </c>
      <c r="AK346" s="527" t="str">
        <f>IF(LANÇ_MOV[[#This Row],[DATA DE PAGAMENTO]]="","",TEXT(LANÇ_MOV[[#This Row],[DATA DE PAGAMENTO]],"M"))</f>
        <v/>
      </c>
      <c r="AL346" s="526" t="str">
        <f>IF(LANÇ_MOV[[#This Row],[DATA DE PAGAMENTO]]="","",TEXT(LANÇ_MOV[[#This Row],[DATA DE PAGAMENTO]],"D"))</f>
        <v/>
      </c>
      <c r="AM346" s="27"/>
      <c r="BB346" s="112"/>
      <c r="BC346" s="112"/>
      <c r="BD346" s="112"/>
    </row>
    <row r="347" spans="2:56" ht="30.05" customHeight="1" x14ac:dyDescent="0.35">
      <c r="B347" s="506">
        <v>45931</v>
      </c>
      <c r="C347" s="507" t="s">
        <v>1661</v>
      </c>
      <c r="D347" s="508" t="s">
        <v>1854</v>
      </c>
      <c r="E347" s="509" t="s">
        <v>1440</v>
      </c>
      <c r="F347" s="510" t="s">
        <v>1602</v>
      </c>
      <c r="G347" s="507">
        <v>45017</v>
      </c>
      <c r="H347" s="511"/>
      <c r="I347" s="512"/>
      <c r="J347" s="518">
        <v>351.11</v>
      </c>
      <c r="K347" s="513">
        <v>0</v>
      </c>
      <c r="L347" s="513">
        <v>0</v>
      </c>
      <c r="M347" s="513">
        <v>0</v>
      </c>
      <c r="N347" s="514">
        <f>LANÇ_MOV[[#This Row],[VALOR BRUTO]]-LANÇ_MOV[[#This Row],[DESCONTO]]+LANÇ_MOV[[#This Row],[JUROS]]+LANÇ_MOV[[#This Row],[MULTA]]</f>
        <v>351.11</v>
      </c>
      <c r="O347" s="528">
        <v>45097</v>
      </c>
      <c r="P347" s="516" t="str">
        <f t="shared" ca="1" si="5"/>
        <v>Venceu</v>
      </c>
      <c r="Q347" s="528"/>
      <c r="R347" s="529" t="s">
        <v>1506</v>
      </c>
      <c r="S347" s="518"/>
      <c r="T347" s="518" t="s">
        <v>1776</v>
      </c>
      <c r="U347" s="519" t="s">
        <v>2007</v>
      </c>
      <c r="V347" s="520" t="str">
        <f>IFERROR(VLOOKUP(LANÇ_MOV[[#This Row],[PLANO DE CONTAS]],Plano_Contas[[PLANO DE CONTAS]:[R / D]],3,0),"")</f>
        <v>Despesa</v>
      </c>
      <c r="W347" s="521" t="str">
        <f>IF(LANÇ_MOV[[#This Row],[DATA DE PAGAMENTO]]&lt;&gt;"","Pago","Não Pago")</f>
        <v>Não Pago</v>
      </c>
      <c r="X347" s="522" t="str">
        <f>IFERROR(IF(LANÇ_MOV[[#This Row],[DATA DE PAGAMENTO]]="","",(UPPER(TEXT(LANÇ_MOV[[#This Row],[DATA DE PAGAMENTO]],"mmmm")))),"")</f>
        <v/>
      </c>
      <c r="Y347" s="523" t="str">
        <f>IFERROR(VLOOKUP(LANÇ_MOV[[#This Row],[PLANO DE CONTAS]],Plano_Contas[[PLANO DE CONTAS]:[NOMES INTERVALOS]],2,0),"")</f>
        <v>Despesas_Endividamentos</v>
      </c>
      <c r="Z347" s="523" t="str">
        <f>IF(LANÇ_MOV[[#This Row],[FORMA DE PAGAMENTO]]="","",VLOOKUP(LANÇ_MOV[[#This Row],[FORMA DE PAGAMENTO]],CAD_Forma_pagto[],2,0))</f>
        <v>BOLETO</v>
      </c>
      <c r="AA347" s="524" t="str">
        <f>IF(LANÇ_MOV[[#This Row],[DATA DE LANÇAMENTO]]="","",TEXT(LANÇ_MOV[[#This Row],[DATA DE LANÇAMENTO]],"AAAA"))</f>
        <v>2025</v>
      </c>
      <c r="AB347" s="524" t="str">
        <f>IF(LANÇ_MOV[[#This Row],[DATA DE LANÇAMENTO]]="","",UPPER(TEXT(LANÇ_MOV[[#This Row],[DATA DE LANÇAMENTO]],"MMMM")))</f>
        <v>OUTUBRO</v>
      </c>
      <c r="AC347" s="525" t="str">
        <f>IF(LANÇ_MOV[[#This Row],[DATA DE LANÇAMENTO]]="","",PROPER(TEXT(LANÇ_MOV[[#This Row],[DATA DE LANÇAMENTO]],"M")))</f>
        <v>10</v>
      </c>
      <c r="AD347" s="524" t="str">
        <f>IF(LANÇ_MOV[[#This Row],[DATA DE LANÇAMENTO]]="","",TEXT(LANÇ_MOV[[#This Row],[DATA DE LANÇAMENTO]],"D"))</f>
        <v>1</v>
      </c>
      <c r="AE347" s="526" t="str">
        <f>IF(LANÇ_MOV[[#This Row],[DATA DE VENCIMENTO]]="","",TEXT(LANÇ_MOV[[#This Row],[DATA DE VENCIMENTO]],"AAAA"))</f>
        <v>2023</v>
      </c>
      <c r="AF347" s="526" t="str">
        <f>IF(LANÇ_MOV[[#This Row],[DATA DE VENCIMENTO]]="","",UPPER(TEXT(LANÇ_MOV[[#This Row],[DATA DE VENCIMENTO]],"MMMM")))</f>
        <v>JUNHO</v>
      </c>
      <c r="AG347" s="526" t="str">
        <f>IF(LANÇ_MOV[[#This Row],[DATA DE VENCIMENTO]]="","",TEXT(LANÇ_MOV[[#This Row],[DATA DE VENCIMENTO]],"M"))</f>
        <v>6</v>
      </c>
      <c r="AH347" s="526" t="str">
        <f>IF(LANÇ_MOV[[#This Row],[DATA DE VENCIMENTO]]="","",TEXT(LANÇ_MOV[[#This Row],[DATA DE VENCIMENTO]],"D"))</f>
        <v>20</v>
      </c>
      <c r="AI347" s="526" t="str">
        <f>IF(LANÇ_MOV[[#This Row],[DATA DE PAGAMENTO]]="","",TEXT(LANÇ_MOV[[#This Row],[DATA DE PAGAMENTO]],"AAAA"))</f>
        <v/>
      </c>
      <c r="AJ347" s="527" t="str">
        <f>IF(LANÇ_MOV[[#This Row],[DATA DE PAGAMENTO]]="","",UPPER(TEXT(LANÇ_MOV[[#This Row],[DATA DE PAGAMENTO]],"MMMM")))</f>
        <v/>
      </c>
      <c r="AK347" s="527" t="str">
        <f>IF(LANÇ_MOV[[#This Row],[DATA DE PAGAMENTO]]="","",TEXT(LANÇ_MOV[[#This Row],[DATA DE PAGAMENTO]],"M"))</f>
        <v/>
      </c>
      <c r="AL347" s="526" t="str">
        <f>IF(LANÇ_MOV[[#This Row],[DATA DE PAGAMENTO]]="","",TEXT(LANÇ_MOV[[#This Row],[DATA DE PAGAMENTO]],"D"))</f>
        <v/>
      </c>
      <c r="AM347" s="27"/>
      <c r="BB347" s="112"/>
      <c r="BC347" s="112"/>
      <c r="BD347" s="112"/>
    </row>
    <row r="348" spans="2:56" ht="30.05" customHeight="1" x14ac:dyDescent="0.35">
      <c r="B348" s="506">
        <v>45931</v>
      </c>
      <c r="C348" s="507" t="s">
        <v>1661</v>
      </c>
      <c r="D348" s="508" t="s">
        <v>1854</v>
      </c>
      <c r="E348" s="509" t="s">
        <v>1440</v>
      </c>
      <c r="F348" s="510" t="s">
        <v>1851</v>
      </c>
      <c r="G348" s="507">
        <v>45292</v>
      </c>
      <c r="H348" s="511"/>
      <c r="I348" s="512"/>
      <c r="J348" s="518">
        <v>275.92</v>
      </c>
      <c r="K348" s="513">
        <v>0</v>
      </c>
      <c r="L348" s="513">
        <v>0</v>
      </c>
      <c r="M348" s="513">
        <v>0</v>
      </c>
      <c r="N348" s="514">
        <f>LANÇ_MOV[[#This Row],[VALOR BRUTO]]-LANÇ_MOV[[#This Row],[DESCONTO]]+LANÇ_MOV[[#This Row],[JUROS]]+LANÇ_MOV[[#This Row],[MULTA]]</f>
        <v>275.92</v>
      </c>
      <c r="O348" s="528">
        <v>45322</v>
      </c>
      <c r="P348" s="516" t="str">
        <f t="shared" ca="1" si="5"/>
        <v>Venceu</v>
      </c>
      <c r="Q348" s="528"/>
      <c r="R348" s="518" t="s">
        <v>1506</v>
      </c>
      <c r="S348" s="518"/>
      <c r="T348" s="518" t="s">
        <v>1776</v>
      </c>
      <c r="U348" s="519" t="s">
        <v>2007</v>
      </c>
      <c r="V348" s="520" t="str">
        <f>IFERROR(VLOOKUP(LANÇ_MOV[[#This Row],[PLANO DE CONTAS]],Plano_Contas[[PLANO DE CONTAS]:[R / D]],3,0),"")</f>
        <v>Despesa</v>
      </c>
      <c r="W348" s="521" t="str">
        <f>IF(LANÇ_MOV[[#This Row],[DATA DE PAGAMENTO]]&lt;&gt;"","Pago","Não Pago")</f>
        <v>Não Pago</v>
      </c>
      <c r="X348" s="522" t="str">
        <f>IFERROR(IF(LANÇ_MOV[[#This Row],[DATA DE PAGAMENTO]]="","",(UPPER(TEXT(LANÇ_MOV[[#This Row],[DATA DE PAGAMENTO]],"mmmm")))),"")</f>
        <v/>
      </c>
      <c r="Y348" s="523" t="str">
        <f>IFERROR(VLOOKUP(LANÇ_MOV[[#This Row],[PLANO DE CONTAS]],Plano_Contas[[PLANO DE CONTAS]:[NOMES INTERVALOS]],2,0),"")</f>
        <v>Despesas_Endividamentos</v>
      </c>
      <c r="Z348" s="523" t="str">
        <f>IF(LANÇ_MOV[[#This Row],[FORMA DE PAGAMENTO]]="","",VLOOKUP(LANÇ_MOV[[#This Row],[FORMA DE PAGAMENTO]],CAD_Forma_pagto[],2,0))</f>
        <v>BOLETO</v>
      </c>
      <c r="AA348" s="524" t="str">
        <f>IF(LANÇ_MOV[[#This Row],[DATA DE LANÇAMENTO]]="","",TEXT(LANÇ_MOV[[#This Row],[DATA DE LANÇAMENTO]],"AAAA"))</f>
        <v>2025</v>
      </c>
      <c r="AB348" s="524" t="str">
        <f>IF(LANÇ_MOV[[#This Row],[DATA DE LANÇAMENTO]]="","",UPPER(TEXT(LANÇ_MOV[[#This Row],[DATA DE LANÇAMENTO]],"MMMM")))</f>
        <v>OUTUBRO</v>
      </c>
      <c r="AC348" s="525" t="str">
        <f>IF(LANÇ_MOV[[#This Row],[DATA DE LANÇAMENTO]]="","",PROPER(TEXT(LANÇ_MOV[[#This Row],[DATA DE LANÇAMENTO]],"M")))</f>
        <v>10</v>
      </c>
      <c r="AD348" s="524" t="str">
        <f>IF(LANÇ_MOV[[#This Row],[DATA DE LANÇAMENTO]]="","",TEXT(LANÇ_MOV[[#This Row],[DATA DE LANÇAMENTO]],"D"))</f>
        <v>1</v>
      </c>
      <c r="AE348" s="526" t="str">
        <f>IF(LANÇ_MOV[[#This Row],[DATA DE VENCIMENTO]]="","",TEXT(LANÇ_MOV[[#This Row],[DATA DE VENCIMENTO]],"AAAA"))</f>
        <v>2024</v>
      </c>
      <c r="AF348" s="526" t="str">
        <f>IF(LANÇ_MOV[[#This Row],[DATA DE VENCIMENTO]]="","",UPPER(TEXT(LANÇ_MOV[[#This Row],[DATA DE VENCIMENTO]],"MMMM")))</f>
        <v>JANEIRO</v>
      </c>
      <c r="AG348" s="526" t="str">
        <f>IF(LANÇ_MOV[[#This Row],[DATA DE VENCIMENTO]]="","",TEXT(LANÇ_MOV[[#This Row],[DATA DE VENCIMENTO]],"M"))</f>
        <v>1</v>
      </c>
      <c r="AH348" s="526" t="str">
        <f>IF(LANÇ_MOV[[#This Row],[DATA DE VENCIMENTO]]="","",TEXT(LANÇ_MOV[[#This Row],[DATA DE VENCIMENTO]],"D"))</f>
        <v>31</v>
      </c>
      <c r="AI348" s="526" t="str">
        <f>IF(LANÇ_MOV[[#This Row],[DATA DE PAGAMENTO]]="","",TEXT(LANÇ_MOV[[#This Row],[DATA DE PAGAMENTO]],"AAAA"))</f>
        <v/>
      </c>
      <c r="AJ348" s="527" t="str">
        <f>IF(LANÇ_MOV[[#This Row],[DATA DE PAGAMENTO]]="","",UPPER(TEXT(LANÇ_MOV[[#This Row],[DATA DE PAGAMENTO]],"MMMM")))</f>
        <v/>
      </c>
      <c r="AK348" s="527" t="str">
        <f>IF(LANÇ_MOV[[#This Row],[DATA DE PAGAMENTO]]="","",TEXT(LANÇ_MOV[[#This Row],[DATA DE PAGAMENTO]],"M"))</f>
        <v/>
      </c>
      <c r="AL348" s="526" t="str">
        <f>IF(LANÇ_MOV[[#This Row],[DATA DE PAGAMENTO]]="","",TEXT(LANÇ_MOV[[#This Row],[DATA DE PAGAMENTO]],"D"))</f>
        <v/>
      </c>
      <c r="AM348" s="27"/>
      <c r="BB348" s="112"/>
      <c r="BC348" s="112"/>
      <c r="BD348" s="112"/>
    </row>
    <row r="349" spans="2:56" ht="30.05" customHeight="1" x14ac:dyDescent="0.35">
      <c r="B349" s="506">
        <v>45931</v>
      </c>
      <c r="C349" s="507" t="s">
        <v>1661</v>
      </c>
      <c r="D349" s="508" t="s">
        <v>1854</v>
      </c>
      <c r="E349" s="509" t="s">
        <v>1440</v>
      </c>
      <c r="F349" s="510" t="s">
        <v>1602</v>
      </c>
      <c r="G349" s="507">
        <v>45323</v>
      </c>
      <c r="H349" s="511"/>
      <c r="I349" s="512"/>
      <c r="J349" s="518">
        <v>369.22</v>
      </c>
      <c r="K349" s="513">
        <v>0</v>
      </c>
      <c r="L349" s="513">
        <v>0</v>
      </c>
      <c r="M349" s="513">
        <v>0</v>
      </c>
      <c r="N349" s="514">
        <f>LANÇ_MOV[[#This Row],[VALOR BRUTO]]-LANÇ_MOV[[#This Row],[DESCONTO]]+LANÇ_MOV[[#This Row],[JUROS]]+LANÇ_MOV[[#This Row],[MULTA]]</f>
        <v>369.22</v>
      </c>
      <c r="O349" s="528">
        <v>45342</v>
      </c>
      <c r="P349" s="516" t="str">
        <f t="shared" ca="1" si="5"/>
        <v>Venceu</v>
      </c>
      <c r="Q349" s="528"/>
      <c r="R349" s="529" t="s">
        <v>1506</v>
      </c>
      <c r="S349" s="518"/>
      <c r="T349" s="518" t="s">
        <v>1776</v>
      </c>
      <c r="U349" s="519" t="s">
        <v>2007</v>
      </c>
      <c r="V349" s="520" t="str">
        <f>IFERROR(VLOOKUP(LANÇ_MOV[[#This Row],[PLANO DE CONTAS]],Plano_Contas[[PLANO DE CONTAS]:[R / D]],3,0),"")</f>
        <v>Despesa</v>
      </c>
      <c r="W349" s="521" t="str">
        <f>IF(LANÇ_MOV[[#This Row],[DATA DE PAGAMENTO]]&lt;&gt;"","Pago","Não Pago")</f>
        <v>Não Pago</v>
      </c>
      <c r="X349" s="522" t="str">
        <f>IFERROR(IF(LANÇ_MOV[[#This Row],[DATA DE PAGAMENTO]]="","",(UPPER(TEXT(LANÇ_MOV[[#This Row],[DATA DE PAGAMENTO]],"mmmm")))),"")</f>
        <v/>
      </c>
      <c r="Y349" s="523" t="str">
        <f>IFERROR(VLOOKUP(LANÇ_MOV[[#This Row],[PLANO DE CONTAS]],Plano_Contas[[PLANO DE CONTAS]:[NOMES INTERVALOS]],2,0),"")</f>
        <v>Despesas_Endividamentos</v>
      </c>
      <c r="Z349" s="523" t="str">
        <f>IF(LANÇ_MOV[[#This Row],[FORMA DE PAGAMENTO]]="","",VLOOKUP(LANÇ_MOV[[#This Row],[FORMA DE PAGAMENTO]],CAD_Forma_pagto[],2,0))</f>
        <v>BOLETO</v>
      </c>
      <c r="AA349" s="524" t="str">
        <f>IF(LANÇ_MOV[[#This Row],[DATA DE LANÇAMENTO]]="","",TEXT(LANÇ_MOV[[#This Row],[DATA DE LANÇAMENTO]],"AAAA"))</f>
        <v>2025</v>
      </c>
      <c r="AB349" s="524" t="str">
        <f>IF(LANÇ_MOV[[#This Row],[DATA DE LANÇAMENTO]]="","",UPPER(TEXT(LANÇ_MOV[[#This Row],[DATA DE LANÇAMENTO]],"MMMM")))</f>
        <v>OUTUBRO</v>
      </c>
      <c r="AC349" s="525" t="str">
        <f>IF(LANÇ_MOV[[#This Row],[DATA DE LANÇAMENTO]]="","",PROPER(TEXT(LANÇ_MOV[[#This Row],[DATA DE LANÇAMENTO]],"M")))</f>
        <v>10</v>
      </c>
      <c r="AD349" s="524" t="str">
        <f>IF(LANÇ_MOV[[#This Row],[DATA DE LANÇAMENTO]]="","",TEXT(LANÇ_MOV[[#This Row],[DATA DE LANÇAMENTO]],"D"))</f>
        <v>1</v>
      </c>
      <c r="AE349" s="526" t="str">
        <f>IF(LANÇ_MOV[[#This Row],[DATA DE VENCIMENTO]]="","",TEXT(LANÇ_MOV[[#This Row],[DATA DE VENCIMENTO]],"AAAA"))</f>
        <v>2024</v>
      </c>
      <c r="AF349" s="526" t="str">
        <f>IF(LANÇ_MOV[[#This Row],[DATA DE VENCIMENTO]]="","",UPPER(TEXT(LANÇ_MOV[[#This Row],[DATA DE VENCIMENTO]],"MMMM")))</f>
        <v>FEVEREIRO</v>
      </c>
      <c r="AG349" s="526" t="str">
        <f>IF(LANÇ_MOV[[#This Row],[DATA DE VENCIMENTO]]="","",TEXT(LANÇ_MOV[[#This Row],[DATA DE VENCIMENTO]],"M"))</f>
        <v>2</v>
      </c>
      <c r="AH349" s="526" t="str">
        <f>IF(LANÇ_MOV[[#This Row],[DATA DE VENCIMENTO]]="","",TEXT(LANÇ_MOV[[#This Row],[DATA DE VENCIMENTO]],"D"))</f>
        <v>20</v>
      </c>
      <c r="AI349" s="526" t="str">
        <f>IF(LANÇ_MOV[[#This Row],[DATA DE PAGAMENTO]]="","",TEXT(LANÇ_MOV[[#This Row],[DATA DE PAGAMENTO]],"AAAA"))</f>
        <v/>
      </c>
      <c r="AJ349" s="527" t="str">
        <f>IF(LANÇ_MOV[[#This Row],[DATA DE PAGAMENTO]]="","",UPPER(TEXT(LANÇ_MOV[[#This Row],[DATA DE PAGAMENTO]],"MMMM")))</f>
        <v/>
      </c>
      <c r="AK349" s="527" t="str">
        <f>IF(LANÇ_MOV[[#This Row],[DATA DE PAGAMENTO]]="","",TEXT(LANÇ_MOV[[#This Row],[DATA DE PAGAMENTO]],"M"))</f>
        <v/>
      </c>
      <c r="AL349" s="526" t="str">
        <f>IF(LANÇ_MOV[[#This Row],[DATA DE PAGAMENTO]]="","",TEXT(LANÇ_MOV[[#This Row],[DATA DE PAGAMENTO]],"D"))</f>
        <v/>
      </c>
      <c r="AM349" s="27"/>
      <c r="BB349" s="112"/>
      <c r="BC349" s="112"/>
      <c r="BD349" s="112"/>
    </row>
    <row r="350" spans="2:56" ht="30.05" customHeight="1" x14ac:dyDescent="0.35">
      <c r="B350" s="506">
        <v>45931</v>
      </c>
      <c r="C350" s="507" t="s">
        <v>1661</v>
      </c>
      <c r="D350" s="508" t="s">
        <v>1854</v>
      </c>
      <c r="E350" s="509" t="s">
        <v>1440</v>
      </c>
      <c r="F350" s="510" t="s">
        <v>1602</v>
      </c>
      <c r="G350" s="507">
        <v>45352</v>
      </c>
      <c r="H350" s="511"/>
      <c r="I350" s="512"/>
      <c r="J350" s="518">
        <v>366.46</v>
      </c>
      <c r="K350" s="513">
        <v>0</v>
      </c>
      <c r="L350" s="513">
        <v>0</v>
      </c>
      <c r="M350" s="513">
        <v>0</v>
      </c>
      <c r="N350" s="514">
        <f>LANÇ_MOV[[#This Row],[VALOR BRUTO]]-LANÇ_MOV[[#This Row],[DESCONTO]]+LANÇ_MOV[[#This Row],[JUROS]]+LANÇ_MOV[[#This Row],[MULTA]]</f>
        <v>366.46</v>
      </c>
      <c r="O350" s="528">
        <v>45371</v>
      </c>
      <c r="P350" s="516" t="str">
        <f t="shared" ca="1" si="5"/>
        <v>Venceu</v>
      </c>
      <c r="Q350" s="528"/>
      <c r="R350" s="518" t="s">
        <v>1506</v>
      </c>
      <c r="S350" s="518"/>
      <c r="T350" s="518" t="s">
        <v>1776</v>
      </c>
      <c r="U350" s="519" t="s">
        <v>2007</v>
      </c>
      <c r="V350" s="520" t="str">
        <f>IFERROR(VLOOKUP(LANÇ_MOV[[#This Row],[PLANO DE CONTAS]],Plano_Contas[[PLANO DE CONTAS]:[R / D]],3,0),"")</f>
        <v>Despesa</v>
      </c>
      <c r="W350" s="521" t="str">
        <f>IF(LANÇ_MOV[[#This Row],[DATA DE PAGAMENTO]]&lt;&gt;"","Pago","Não Pago")</f>
        <v>Não Pago</v>
      </c>
      <c r="X350" s="522" t="str">
        <f>IFERROR(IF(LANÇ_MOV[[#This Row],[DATA DE PAGAMENTO]]="","",(UPPER(TEXT(LANÇ_MOV[[#This Row],[DATA DE PAGAMENTO]],"mmmm")))),"")</f>
        <v/>
      </c>
      <c r="Y350" s="523" t="str">
        <f>IFERROR(VLOOKUP(LANÇ_MOV[[#This Row],[PLANO DE CONTAS]],Plano_Contas[[PLANO DE CONTAS]:[NOMES INTERVALOS]],2,0),"")</f>
        <v>Despesas_Endividamentos</v>
      </c>
      <c r="Z350" s="523" t="str">
        <f>IF(LANÇ_MOV[[#This Row],[FORMA DE PAGAMENTO]]="","",VLOOKUP(LANÇ_MOV[[#This Row],[FORMA DE PAGAMENTO]],CAD_Forma_pagto[],2,0))</f>
        <v>BOLETO</v>
      </c>
      <c r="AA350" s="524" t="str">
        <f>IF(LANÇ_MOV[[#This Row],[DATA DE LANÇAMENTO]]="","",TEXT(LANÇ_MOV[[#This Row],[DATA DE LANÇAMENTO]],"AAAA"))</f>
        <v>2025</v>
      </c>
      <c r="AB350" s="524" t="str">
        <f>IF(LANÇ_MOV[[#This Row],[DATA DE LANÇAMENTO]]="","",UPPER(TEXT(LANÇ_MOV[[#This Row],[DATA DE LANÇAMENTO]],"MMMM")))</f>
        <v>OUTUBRO</v>
      </c>
      <c r="AC350" s="525" t="str">
        <f>IF(LANÇ_MOV[[#This Row],[DATA DE LANÇAMENTO]]="","",PROPER(TEXT(LANÇ_MOV[[#This Row],[DATA DE LANÇAMENTO]],"M")))</f>
        <v>10</v>
      </c>
      <c r="AD350" s="524" t="str">
        <f>IF(LANÇ_MOV[[#This Row],[DATA DE LANÇAMENTO]]="","",TEXT(LANÇ_MOV[[#This Row],[DATA DE LANÇAMENTO]],"D"))</f>
        <v>1</v>
      </c>
      <c r="AE350" s="526" t="str">
        <f>IF(LANÇ_MOV[[#This Row],[DATA DE VENCIMENTO]]="","",TEXT(LANÇ_MOV[[#This Row],[DATA DE VENCIMENTO]],"AAAA"))</f>
        <v>2024</v>
      </c>
      <c r="AF350" s="526" t="str">
        <f>IF(LANÇ_MOV[[#This Row],[DATA DE VENCIMENTO]]="","",UPPER(TEXT(LANÇ_MOV[[#This Row],[DATA DE VENCIMENTO]],"MMMM")))</f>
        <v>MARÇO</v>
      </c>
      <c r="AG350" s="526" t="str">
        <f>IF(LANÇ_MOV[[#This Row],[DATA DE VENCIMENTO]]="","",TEXT(LANÇ_MOV[[#This Row],[DATA DE VENCIMENTO]],"M"))</f>
        <v>3</v>
      </c>
      <c r="AH350" s="526" t="str">
        <f>IF(LANÇ_MOV[[#This Row],[DATA DE VENCIMENTO]]="","",TEXT(LANÇ_MOV[[#This Row],[DATA DE VENCIMENTO]],"D"))</f>
        <v>20</v>
      </c>
      <c r="AI350" s="526" t="str">
        <f>IF(LANÇ_MOV[[#This Row],[DATA DE PAGAMENTO]]="","",TEXT(LANÇ_MOV[[#This Row],[DATA DE PAGAMENTO]],"AAAA"))</f>
        <v/>
      </c>
      <c r="AJ350" s="527" t="str">
        <f>IF(LANÇ_MOV[[#This Row],[DATA DE PAGAMENTO]]="","",UPPER(TEXT(LANÇ_MOV[[#This Row],[DATA DE PAGAMENTO]],"MMMM")))</f>
        <v/>
      </c>
      <c r="AK350" s="527" t="str">
        <f>IF(LANÇ_MOV[[#This Row],[DATA DE PAGAMENTO]]="","",TEXT(LANÇ_MOV[[#This Row],[DATA DE PAGAMENTO]],"M"))</f>
        <v/>
      </c>
      <c r="AL350" s="526" t="str">
        <f>IF(LANÇ_MOV[[#This Row],[DATA DE PAGAMENTO]]="","",TEXT(LANÇ_MOV[[#This Row],[DATA DE PAGAMENTO]],"D"))</f>
        <v/>
      </c>
      <c r="AM350" s="27"/>
      <c r="BB350" s="112"/>
      <c r="BC350" s="112"/>
      <c r="BD350" s="112"/>
    </row>
    <row r="351" spans="2:56" ht="30.05" customHeight="1" x14ac:dyDescent="0.35">
      <c r="B351" s="506">
        <v>45931</v>
      </c>
      <c r="C351" s="507" t="s">
        <v>1661</v>
      </c>
      <c r="D351" s="508" t="s">
        <v>1854</v>
      </c>
      <c r="E351" s="509" t="s">
        <v>1440</v>
      </c>
      <c r="F351" s="510" t="s">
        <v>1602</v>
      </c>
      <c r="G351" s="507">
        <v>45383</v>
      </c>
      <c r="H351" s="511"/>
      <c r="I351" s="512"/>
      <c r="J351" s="518">
        <v>363.49</v>
      </c>
      <c r="K351" s="513">
        <v>0</v>
      </c>
      <c r="L351" s="513">
        <v>0</v>
      </c>
      <c r="M351" s="513">
        <v>0</v>
      </c>
      <c r="N351" s="514">
        <f>LANÇ_MOV[[#This Row],[VALOR BRUTO]]-LANÇ_MOV[[#This Row],[DESCONTO]]+LANÇ_MOV[[#This Row],[JUROS]]+LANÇ_MOV[[#This Row],[MULTA]]</f>
        <v>363.49</v>
      </c>
      <c r="O351" s="528">
        <v>45404</v>
      </c>
      <c r="P351" s="516" t="str">
        <f t="shared" ca="1" si="5"/>
        <v>Venceu</v>
      </c>
      <c r="Q351" s="528"/>
      <c r="R351" s="518" t="s">
        <v>1506</v>
      </c>
      <c r="S351" s="518"/>
      <c r="T351" s="518" t="s">
        <v>1776</v>
      </c>
      <c r="U351" s="519" t="s">
        <v>2007</v>
      </c>
      <c r="V351" s="520" t="str">
        <f>IFERROR(VLOOKUP(LANÇ_MOV[[#This Row],[PLANO DE CONTAS]],Plano_Contas[[PLANO DE CONTAS]:[R / D]],3,0),"")</f>
        <v>Despesa</v>
      </c>
      <c r="W351" s="521" t="str">
        <f>IF(LANÇ_MOV[[#This Row],[DATA DE PAGAMENTO]]&lt;&gt;"","Pago","Não Pago")</f>
        <v>Não Pago</v>
      </c>
      <c r="X351" s="522" t="str">
        <f>IFERROR(IF(LANÇ_MOV[[#This Row],[DATA DE PAGAMENTO]]="","",(UPPER(TEXT(LANÇ_MOV[[#This Row],[DATA DE PAGAMENTO]],"mmmm")))),"")</f>
        <v/>
      </c>
      <c r="Y351" s="523" t="str">
        <f>IFERROR(VLOOKUP(LANÇ_MOV[[#This Row],[PLANO DE CONTAS]],Plano_Contas[[PLANO DE CONTAS]:[NOMES INTERVALOS]],2,0),"")</f>
        <v>Despesas_Endividamentos</v>
      </c>
      <c r="Z351" s="523" t="str">
        <f>IF(LANÇ_MOV[[#This Row],[FORMA DE PAGAMENTO]]="","",VLOOKUP(LANÇ_MOV[[#This Row],[FORMA DE PAGAMENTO]],CAD_Forma_pagto[],2,0))</f>
        <v>BOLETO</v>
      </c>
      <c r="AA351" s="524" t="str">
        <f>IF(LANÇ_MOV[[#This Row],[DATA DE LANÇAMENTO]]="","",TEXT(LANÇ_MOV[[#This Row],[DATA DE LANÇAMENTO]],"AAAA"))</f>
        <v>2025</v>
      </c>
      <c r="AB351" s="524" t="str">
        <f>IF(LANÇ_MOV[[#This Row],[DATA DE LANÇAMENTO]]="","",UPPER(TEXT(LANÇ_MOV[[#This Row],[DATA DE LANÇAMENTO]],"MMMM")))</f>
        <v>OUTUBRO</v>
      </c>
      <c r="AC351" s="525" t="str">
        <f>IF(LANÇ_MOV[[#This Row],[DATA DE LANÇAMENTO]]="","",PROPER(TEXT(LANÇ_MOV[[#This Row],[DATA DE LANÇAMENTO]],"M")))</f>
        <v>10</v>
      </c>
      <c r="AD351" s="524" t="str">
        <f>IF(LANÇ_MOV[[#This Row],[DATA DE LANÇAMENTO]]="","",TEXT(LANÇ_MOV[[#This Row],[DATA DE LANÇAMENTO]],"D"))</f>
        <v>1</v>
      </c>
      <c r="AE351" s="526" t="str">
        <f>IF(LANÇ_MOV[[#This Row],[DATA DE VENCIMENTO]]="","",TEXT(LANÇ_MOV[[#This Row],[DATA DE VENCIMENTO]],"AAAA"))</f>
        <v>2024</v>
      </c>
      <c r="AF351" s="526" t="str">
        <f>IF(LANÇ_MOV[[#This Row],[DATA DE VENCIMENTO]]="","",UPPER(TEXT(LANÇ_MOV[[#This Row],[DATA DE VENCIMENTO]],"MMMM")))</f>
        <v>ABRIL</v>
      </c>
      <c r="AG351" s="526" t="str">
        <f>IF(LANÇ_MOV[[#This Row],[DATA DE VENCIMENTO]]="","",TEXT(LANÇ_MOV[[#This Row],[DATA DE VENCIMENTO]],"M"))</f>
        <v>4</v>
      </c>
      <c r="AH351" s="526" t="str">
        <f>IF(LANÇ_MOV[[#This Row],[DATA DE VENCIMENTO]]="","",TEXT(LANÇ_MOV[[#This Row],[DATA DE VENCIMENTO]],"D"))</f>
        <v>22</v>
      </c>
      <c r="AI351" s="526" t="str">
        <f>IF(LANÇ_MOV[[#This Row],[DATA DE PAGAMENTO]]="","",TEXT(LANÇ_MOV[[#This Row],[DATA DE PAGAMENTO]],"AAAA"))</f>
        <v/>
      </c>
      <c r="AJ351" s="527" t="str">
        <f>IF(LANÇ_MOV[[#This Row],[DATA DE PAGAMENTO]]="","",UPPER(TEXT(LANÇ_MOV[[#This Row],[DATA DE PAGAMENTO]],"MMMM")))</f>
        <v/>
      </c>
      <c r="AK351" s="527" t="str">
        <f>IF(LANÇ_MOV[[#This Row],[DATA DE PAGAMENTO]]="","",TEXT(LANÇ_MOV[[#This Row],[DATA DE PAGAMENTO]],"M"))</f>
        <v/>
      </c>
      <c r="AL351" s="526" t="str">
        <f>IF(LANÇ_MOV[[#This Row],[DATA DE PAGAMENTO]]="","",TEXT(LANÇ_MOV[[#This Row],[DATA DE PAGAMENTO]],"D"))</f>
        <v/>
      </c>
      <c r="AM351" s="27"/>
      <c r="BB351" s="112"/>
      <c r="BC351" s="112"/>
      <c r="BD351" s="112"/>
    </row>
    <row r="352" spans="2:56" ht="30.05" customHeight="1" x14ac:dyDescent="0.35">
      <c r="B352" s="506">
        <v>45931</v>
      </c>
      <c r="C352" s="507" t="s">
        <v>1661</v>
      </c>
      <c r="D352" s="508" t="s">
        <v>1854</v>
      </c>
      <c r="E352" s="509" t="s">
        <v>1440</v>
      </c>
      <c r="F352" s="510" t="s">
        <v>1602</v>
      </c>
      <c r="G352" s="507">
        <v>45413</v>
      </c>
      <c r="H352" s="511"/>
      <c r="I352" s="512"/>
      <c r="J352" s="518">
        <v>360.71</v>
      </c>
      <c r="K352" s="513">
        <v>0</v>
      </c>
      <c r="L352" s="513">
        <v>0</v>
      </c>
      <c r="M352" s="513">
        <v>0</v>
      </c>
      <c r="N352" s="514">
        <f>LANÇ_MOV[[#This Row],[VALOR BRUTO]]-LANÇ_MOV[[#This Row],[DESCONTO]]+LANÇ_MOV[[#This Row],[JUROS]]+LANÇ_MOV[[#This Row],[MULTA]]</f>
        <v>360.71</v>
      </c>
      <c r="O352" s="528">
        <v>45432</v>
      </c>
      <c r="P352" s="516" t="str">
        <f t="shared" ca="1" si="5"/>
        <v>Venceu</v>
      </c>
      <c r="Q352" s="528"/>
      <c r="R352" s="518" t="s">
        <v>1506</v>
      </c>
      <c r="S352" s="518"/>
      <c r="T352" s="518" t="s">
        <v>1776</v>
      </c>
      <c r="U352" s="519" t="s">
        <v>2007</v>
      </c>
      <c r="V352" s="520" t="str">
        <f>IFERROR(VLOOKUP(LANÇ_MOV[[#This Row],[PLANO DE CONTAS]],Plano_Contas[[PLANO DE CONTAS]:[R / D]],3,0),"")</f>
        <v>Despesa</v>
      </c>
      <c r="W352" s="521" t="str">
        <f>IF(LANÇ_MOV[[#This Row],[DATA DE PAGAMENTO]]&lt;&gt;"","Pago","Não Pago")</f>
        <v>Não Pago</v>
      </c>
      <c r="X352" s="522" t="str">
        <f>IFERROR(IF(LANÇ_MOV[[#This Row],[DATA DE PAGAMENTO]]="","",(UPPER(TEXT(LANÇ_MOV[[#This Row],[DATA DE PAGAMENTO]],"mmmm")))),"")</f>
        <v/>
      </c>
      <c r="Y352" s="523" t="str">
        <f>IFERROR(VLOOKUP(LANÇ_MOV[[#This Row],[PLANO DE CONTAS]],Plano_Contas[[PLANO DE CONTAS]:[NOMES INTERVALOS]],2,0),"")</f>
        <v>Despesas_Endividamentos</v>
      </c>
      <c r="Z352" s="523" t="str">
        <f>IF(LANÇ_MOV[[#This Row],[FORMA DE PAGAMENTO]]="","",VLOOKUP(LANÇ_MOV[[#This Row],[FORMA DE PAGAMENTO]],CAD_Forma_pagto[],2,0))</f>
        <v>BOLETO</v>
      </c>
      <c r="AA352" s="524" t="str">
        <f>IF(LANÇ_MOV[[#This Row],[DATA DE LANÇAMENTO]]="","",TEXT(LANÇ_MOV[[#This Row],[DATA DE LANÇAMENTO]],"AAAA"))</f>
        <v>2025</v>
      </c>
      <c r="AB352" s="524" t="str">
        <f>IF(LANÇ_MOV[[#This Row],[DATA DE LANÇAMENTO]]="","",UPPER(TEXT(LANÇ_MOV[[#This Row],[DATA DE LANÇAMENTO]],"MMMM")))</f>
        <v>OUTUBRO</v>
      </c>
      <c r="AC352" s="525" t="str">
        <f>IF(LANÇ_MOV[[#This Row],[DATA DE LANÇAMENTO]]="","",PROPER(TEXT(LANÇ_MOV[[#This Row],[DATA DE LANÇAMENTO]],"M")))</f>
        <v>10</v>
      </c>
      <c r="AD352" s="524" t="str">
        <f>IF(LANÇ_MOV[[#This Row],[DATA DE LANÇAMENTO]]="","",TEXT(LANÇ_MOV[[#This Row],[DATA DE LANÇAMENTO]],"D"))</f>
        <v>1</v>
      </c>
      <c r="AE352" s="526" t="str">
        <f>IF(LANÇ_MOV[[#This Row],[DATA DE VENCIMENTO]]="","",TEXT(LANÇ_MOV[[#This Row],[DATA DE VENCIMENTO]],"AAAA"))</f>
        <v>2024</v>
      </c>
      <c r="AF352" s="526" t="str">
        <f>IF(LANÇ_MOV[[#This Row],[DATA DE VENCIMENTO]]="","",UPPER(TEXT(LANÇ_MOV[[#This Row],[DATA DE VENCIMENTO]],"MMMM")))</f>
        <v>MAIO</v>
      </c>
      <c r="AG352" s="526" t="str">
        <f>IF(LANÇ_MOV[[#This Row],[DATA DE VENCIMENTO]]="","",TEXT(LANÇ_MOV[[#This Row],[DATA DE VENCIMENTO]],"M"))</f>
        <v>5</v>
      </c>
      <c r="AH352" s="526" t="str">
        <f>IF(LANÇ_MOV[[#This Row],[DATA DE VENCIMENTO]]="","",TEXT(LANÇ_MOV[[#This Row],[DATA DE VENCIMENTO]],"D"))</f>
        <v>20</v>
      </c>
      <c r="AI352" s="526" t="str">
        <f>IF(LANÇ_MOV[[#This Row],[DATA DE PAGAMENTO]]="","",TEXT(LANÇ_MOV[[#This Row],[DATA DE PAGAMENTO]],"AAAA"))</f>
        <v/>
      </c>
      <c r="AJ352" s="527" t="str">
        <f>IF(LANÇ_MOV[[#This Row],[DATA DE PAGAMENTO]]="","",UPPER(TEXT(LANÇ_MOV[[#This Row],[DATA DE PAGAMENTO]],"MMMM")))</f>
        <v/>
      </c>
      <c r="AK352" s="527" t="str">
        <f>IF(LANÇ_MOV[[#This Row],[DATA DE PAGAMENTO]]="","",TEXT(LANÇ_MOV[[#This Row],[DATA DE PAGAMENTO]],"M"))</f>
        <v/>
      </c>
      <c r="AL352" s="526" t="str">
        <f>IF(LANÇ_MOV[[#This Row],[DATA DE PAGAMENTO]]="","",TEXT(LANÇ_MOV[[#This Row],[DATA DE PAGAMENTO]],"D"))</f>
        <v/>
      </c>
      <c r="AM352" s="27"/>
      <c r="BB352" s="112"/>
      <c r="BC352" s="112"/>
      <c r="BD352" s="112"/>
    </row>
    <row r="353" spans="2:56" ht="30.05" customHeight="1" x14ac:dyDescent="0.35">
      <c r="B353" s="506">
        <v>45931</v>
      </c>
      <c r="C353" s="507" t="s">
        <v>1661</v>
      </c>
      <c r="D353" s="508" t="s">
        <v>1854</v>
      </c>
      <c r="E353" s="509" t="s">
        <v>1440</v>
      </c>
      <c r="F353" s="510" t="s">
        <v>1508</v>
      </c>
      <c r="G353" s="507">
        <v>45078</v>
      </c>
      <c r="H353" s="511"/>
      <c r="I353" s="512"/>
      <c r="J353" s="518">
        <v>645.67999999999995</v>
      </c>
      <c r="K353" s="513">
        <v>0</v>
      </c>
      <c r="L353" s="513">
        <v>0</v>
      </c>
      <c r="M353" s="513">
        <v>0</v>
      </c>
      <c r="N353" s="514">
        <f>LANÇ_MOV[[#This Row],[VALOR BRUTO]]-LANÇ_MOV[[#This Row],[DESCONTO]]+LANÇ_MOV[[#This Row],[JUROS]]+LANÇ_MOV[[#This Row],[MULTA]]</f>
        <v>645.67999999999995</v>
      </c>
      <c r="O353" s="528">
        <v>45097</v>
      </c>
      <c r="P353" s="516" t="str">
        <f t="shared" ca="1" si="5"/>
        <v>Venceu</v>
      </c>
      <c r="Q353" s="528"/>
      <c r="R353" s="529" t="s">
        <v>1506</v>
      </c>
      <c r="S353" s="518"/>
      <c r="T353" s="518" t="s">
        <v>1776</v>
      </c>
      <c r="U353" s="519" t="s">
        <v>2007</v>
      </c>
      <c r="V353" s="520" t="str">
        <f>IFERROR(VLOOKUP(LANÇ_MOV[[#This Row],[PLANO DE CONTAS]],Plano_Contas[[PLANO DE CONTAS]:[R / D]],3,0),"")</f>
        <v>Despesa</v>
      </c>
      <c r="W353" s="521" t="str">
        <f>IF(LANÇ_MOV[[#This Row],[DATA DE PAGAMENTO]]&lt;&gt;"","Pago","Não Pago")</f>
        <v>Não Pago</v>
      </c>
      <c r="X353" s="522" t="str">
        <f>IFERROR(IF(LANÇ_MOV[[#This Row],[DATA DE PAGAMENTO]]="","",(UPPER(TEXT(LANÇ_MOV[[#This Row],[DATA DE PAGAMENTO]],"mmmm")))),"")</f>
        <v/>
      </c>
      <c r="Y353" s="523" t="str">
        <f>IFERROR(VLOOKUP(LANÇ_MOV[[#This Row],[PLANO DE CONTAS]],Plano_Contas[[PLANO DE CONTAS]:[NOMES INTERVALOS]],2,0),"")</f>
        <v>Despesas_Endividamentos</v>
      </c>
      <c r="Z353" s="523" t="str">
        <f>IF(LANÇ_MOV[[#This Row],[FORMA DE PAGAMENTO]]="","",VLOOKUP(LANÇ_MOV[[#This Row],[FORMA DE PAGAMENTO]],CAD_Forma_pagto[],2,0))</f>
        <v>BOLETO</v>
      </c>
      <c r="AA353" s="524" t="str">
        <f>IF(LANÇ_MOV[[#This Row],[DATA DE LANÇAMENTO]]="","",TEXT(LANÇ_MOV[[#This Row],[DATA DE LANÇAMENTO]],"AAAA"))</f>
        <v>2025</v>
      </c>
      <c r="AB353" s="524" t="str">
        <f>IF(LANÇ_MOV[[#This Row],[DATA DE LANÇAMENTO]]="","",UPPER(TEXT(LANÇ_MOV[[#This Row],[DATA DE LANÇAMENTO]],"MMMM")))</f>
        <v>OUTUBRO</v>
      </c>
      <c r="AC353" s="525" t="str">
        <f>IF(LANÇ_MOV[[#This Row],[DATA DE LANÇAMENTO]]="","",PROPER(TEXT(LANÇ_MOV[[#This Row],[DATA DE LANÇAMENTO]],"M")))</f>
        <v>10</v>
      </c>
      <c r="AD353" s="524" t="str">
        <f>IF(LANÇ_MOV[[#This Row],[DATA DE LANÇAMENTO]]="","",TEXT(LANÇ_MOV[[#This Row],[DATA DE LANÇAMENTO]],"D"))</f>
        <v>1</v>
      </c>
      <c r="AE353" s="526" t="str">
        <f>IF(LANÇ_MOV[[#This Row],[DATA DE VENCIMENTO]]="","",TEXT(LANÇ_MOV[[#This Row],[DATA DE VENCIMENTO]],"AAAA"))</f>
        <v>2023</v>
      </c>
      <c r="AF353" s="526" t="str">
        <f>IF(LANÇ_MOV[[#This Row],[DATA DE VENCIMENTO]]="","",UPPER(TEXT(LANÇ_MOV[[#This Row],[DATA DE VENCIMENTO]],"MMMM")))</f>
        <v>JUNHO</v>
      </c>
      <c r="AG353" s="526" t="str">
        <f>IF(LANÇ_MOV[[#This Row],[DATA DE VENCIMENTO]]="","",TEXT(LANÇ_MOV[[#This Row],[DATA DE VENCIMENTO]],"M"))</f>
        <v>6</v>
      </c>
      <c r="AH353" s="526" t="str">
        <f>IF(LANÇ_MOV[[#This Row],[DATA DE VENCIMENTO]]="","",TEXT(LANÇ_MOV[[#This Row],[DATA DE VENCIMENTO]],"D"))</f>
        <v>20</v>
      </c>
      <c r="AI353" s="526" t="str">
        <f>IF(LANÇ_MOV[[#This Row],[DATA DE PAGAMENTO]]="","",TEXT(LANÇ_MOV[[#This Row],[DATA DE PAGAMENTO]],"AAAA"))</f>
        <v/>
      </c>
      <c r="AJ353" s="527" t="str">
        <f>IF(LANÇ_MOV[[#This Row],[DATA DE PAGAMENTO]]="","",UPPER(TEXT(LANÇ_MOV[[#This Row],[DATA DE PAGAMENTO]],"MMMM")))</f>
        <v/>
      </c>
      <c r="AK353" s="527" t="str">
        <f>IF(LANÇ_MOV[[#This Row],[DATA DE PAGAMENTO]]="","",TEXT(LANÇ_MOV[[#This Row],[DATA DE PAGAMENTO]],"M"))</f>
        <v/>
      </c>
      <c r="AL353" s="526" t="str">
        <f>IF(LANÇ_MOV[[#This Row],[DATA DE PAGAMENTO]]="","",TEXT(LANÇ_MOV[[#This Row],[DATA DE PAGAMENTO]],"D"))</f>
        <v/>
      </c>
      <c r="AM353" s="27"/>
      <c r="BB353" s="112"/>
      <c r="BC353" s="112"/>
      <c r="BD353" s="112"/>
    </row>
    <row r="354" spans="2:56" ht="30.05" customHeight="1" x14ac:dyDescent="0.35">
      <c r="B354" s="506">
        <v>45931</v>
      </c>
      <c r="C354" s="507" t="s">
        <v>1661</v>
      </c>
      <c r="D354" s="508" t="s">
        <v>1854</v>
      </c>
      <c r="E354" s="509" t="s">
        <v>1440</v>
      </c>
      <c r="F354" s="510" t="s">
        <v>1508</v>
      </c>
      <c r="G354" s="507">
        <v>45108</v>
      </c>
      <c r="H354" s="511"/>
      <c r="I354" s="512"/>
      <c r="J354" s="518">
        <v>640.07000000000005</v>
      </c>
      <c r="K354" s="513">
        <v>0</v>
      </c>
      <c r="L354" s="513">
        <v>0</v>
      </c>
      <c r="M354" s="513">
        <v>0</v>
      </c>
      <c r="N354" s="514">
        <f>LANÇ_MOV[[#This Row],[VALOR BRUTO]]-LANÇ_MOV[[#This Row],[DESCONTO]]+LANÇ_MOV[[#This Row],[JUROS]]+LANÇ_MOV[[#This Row],[MULTA]]</f>
        <v>640.07000000000005</v>
      </c>
      <c r="O354" s="528">
        <v>45219</v>
      </c>
      <c r="P354" s="516" t="str">
        <f t="shared" ca="1" si="5"/>
        <v>Venceu</v>
      </c>
      <c r="Q354" s="528"/>
      <c r="R354" s="529" t="s">
        <v>1506</v>
      </c>
      <c r="S354" s="518"/>
      <c r="T354" s="518" t="s">
        <v>1776</v>
      </c>
      <c r="U354" s="519" t="s">
        <v>2007</v>
      </c>
      <c r="V354" s="520" t="str">
        <f>IFERROR(VLOOKUP(LANÇ_MOV[[#This Row],[PLANO DE CONTAS]],Plano_Contas[[PLANO DE CONTAS]:[R / D]],3,0),"")</f>
        <v>Despesa</v>
      </c>
      <c r="W354" s="521" t="str">
        <f>IF(LANÇ_MOV[[#This Row],[DATA DE PAGAMENTO]]&lt;&gt;"","Pago","Não Pago")</f>
        <v>Não Pago</v>
      </c>
      <c r="X354" s="522" t="str">
        <f>IFERROR(IF(LANÇ_MOV[[#This Row],[DATA DE PAGAMENTO]]="","",(UPPER(TEXT(LANÇ_MOV[[#This Row],[DATA DE PAGAMENTO]],"mmmm")))),"")</f>
        <v/>
      </c>
      <c r="Y354" s="523" t="str">
        <f>IFERROR(VLOOKUP(LANÇ_MOV[[#This Row],[PLANO DE CONTAS]],Plano_Contas[[PLANO DE CONTAS]:[NOMES INTERVALOS]],2,0),"")</f>
        <v>Despesas_Endividamentos</v>
      </c>
      <c r="Z354" s="523" t="str">
        <f>IF(LANÇ_MOV[[#This Row],[FORMA DE PAGAMENTO]]="","",VLOOKUP(LANÇ_MOV[[#This Row],[FORMA DE PAGAMENTO]],CAD_Forma_pagto[],2,0))</f>
        <v>BOLETO</v>
      </c>
      <c r="AA354" s="524" t="str">
        <f>IF(LANÇ_MOV[[#This Row],[DATA DE LANÇAMENTO]]="","",TEXT(LANÇ_MOV[[#This Row],[DATA DE LANÇAMENTO]],"AAAA"))</f>
        <v>2025</v>
      </c>
      <c r="AB354" s="524" t="str">
        <f>IF(LANÇ_MOV[[#This Row],[DATA DE LANÇAMENTO]]="","",UPPER(TEXT(LANÇ_MOV[[#This Row],[DATA DE LANÇAMENTO]],"MMMM")))</f>
        <v>OUTUBRO</v>
      </c>
      <c r="AC354" s="525" t="str">
        <f>IF(LANÇ_MOV[[#This Row],[DATA DE LANÇAMENTO]]="","",PROPER(TEXT(LANÇ_MOV[[#This Row],[DATA DE LANÇAMENTO]],"M")))</f>
        <v>10</v>
      </c>
      <c r="AD354" s="524" t="str">
        <f>IF(LANÇ_MOV[[#This Row],[DATA DE LANÇAMENTO]]="","",TEXT(LANÇ_MOV[[#This Row],[DATA DE LANÇAMENTO]],"D"))</f>
        <v>1</v>
      </c>
      <c r="AE354" s="526" t="str">
        <f>IF(LANÇ_MOV[[#This Row],[DATA DE VENCIMENTO]]="","",TEXT(LANÇ_MOV[[#This Row],[DATA DE VENCIMENTO]],"AAAA"))</f>
        <v>2023</v>
      </c>
      <c r="AF354" s="526" t="str">
        <f>IF(LANÇ_MOV[[#This Row],[DATA DE VENCIMENTO]]="","",UPPER(TEXT(LANÇ_MOV[[#This Row],[DATA DE VENCIMENTO]],"MMMM")))</f>
        <v>OUTUBRO</v>
      </c>
      <c r="AG354" s="526" t="str">
        <f>IF(LANÇ_MOV[[#This Row],[DATA DE VENCIMENTO]]="","",TEXT(LANÇ_MOV[[#This Row],[DATA DE VENCIMENTO]],"M"))</f>
        <v>10</v>
      </c>
      <c r="AH354" s="526" t="str">
        <f>IF(LANÇ_MOV[[#This Row],[DATA DE VENCIMENTO]]="","",TEXT(LANÇ_MOV[[#This Row],[DATA DE VENCIMENTO]],"D"))</f>
        <v>20</v>
      </c>
      <c r="AI354" s="526" t="str">
        <f>IF(LANÇ_MOV[[#This Row],[DATA DE PAGAMENTO]]="","",TEXT(LANÇ_MOV[[#This Row],[DATA DE PAGAMENTO]],"AAAA"))</f>
        <v/>
      </c>
      <c r="AJ354" s="527" t="str">
        <f>IF(LANÇ_MOV[[#This Row],[DATA DE PAGAMENTO]]="","",UPPER(TEXT(LANÇ_MOV[[#This Row],[DATA DE PAGAMENTO]],"MMMM")))</f>
        <v/>
      </c>
      <c r="AK354" s="527" t="str">
        <f>IF(LANÇ_MOV[[#This Row],[DATA DE PAGAMENTO]]="","",TEXT(LANÇ_MOV[[#This Row],[DATA DE PAGAMENTO]],"M"))</f>
        <v/>
      </c>
      <c r="AL354" s="526" t="str">
        <f>IF(LANÇ_MOV[[#This Row],[DATA DE PAGAMENTO]]="","",TEXT(LANÇ_MOV[[#This Row],[DATA DE PAGAMENTO]],"D"))</f>
        <v/>
      </c>
      <c r="AM354" s="27"/>
      <c r="BB354" s="112"/>
      <c r="BC354" s="112"/>
      <c r="BD354" s="112"/>
    </row>
    <row r="355" spans="2:56" ht="30.05" customHeight="1" x14ac:dyDescent="0.35">
      <c r="B355" s="506">
        <v>45931</v>
      </c>
      <c r="C355" s="507" t="s">
        <v>1661</v>
      </c>
      <c r="D355" s="508" t="s">
        <v>1854</v>
      </c>
      <c r="E355" s="509" t="s">
        <v>1440</v>
      </c>
      <c r="F355" s="510" t="s">
        <v>1508</v>
      </c>
      <c r="G355" s="507">
        <v>45047</v>
      </c>
      <c r="H355" s="511"/>
      <c r="I355" s="512"/>
      <c r="J355" s="518">
        <v>651.12</v>
      </c>
      <c r="K355" s="513">
        <v>0</v>
      </c>
      <c r="L355" s="513">
        <v>0</v>
      </c>
      <c r="M355" s="513">
        <v>0</v>
      </c>
      <c r="N355" s="514">
        <f>LANÇ_MOV[[#This Row],[VALOR BRUTO]]-LANÇ_MOV[[#This Row],[DESCONTO]]+LANÇ_MOV[[#This Row],[JUROS]]+LANÇ_MOV[[#This Row],[MULTA]]</f>
        <v>651.12</v>
      </c>
      <c r="O355" s="528">
        <v>45159</v>
      </c>
      <c r="P355" s="516" t="str">
        <f t="shared" ca="1" si="5"/>
        <v>Venceu</v>
      </c>
      <c r="Q355" s="528"/>
      <c r="R355" s="529" t="s">
        <v>1506</v>
      </c>
      <c r="S355" s="518"/>
      <c r="T355" s="518" t="s">
        <v>1776</v>
      </c>
      <c r="U355" s="519" t="s">
        <v>2007</v>
      </c>
      <c r="V355" s="520" t="str">
        <f>IFERROR(VLOOKUP(LANÇ_MOV[[#This Row],[PLANO DE CONTAS]],Plano_Contas[[PLANO DE CONTAS]:[R / D]],3,0),"")</f>
        <v>Despesa</v>
      </c>
      <c r="W355" s="521" t="str">
        <f>IF(LANÇ_MOV[[#This Row],[DATA DE PAGAMENTO]]&lt;&gt;"","Pago","Não Pago")</f>
        <v>Não Pago</v>
      </c>
      <c r="X355" s="522" t="str">
        <f>IFERROR(IF(LANÇ_MOV[[#This Row],[DATA DE PAGAMENTO]]="","",(UPPER(TEXT(LANÇ_MOV[[#This Row],[DATA DE PAGAMENTO]],"mmmm")))),"")</f>
        <v/>
      </c>
      <c r="Y355" s="523" t="str">
        <f>IFERROR(VLOOKUP(LANÇ_MOV[[#This Row],[PLANO DE CONTAS]],Plano_Contas[[PLANO DE CONTAS]:[NOMES INTERVALOS]],2,0),"")</f>
        <v>Despesas_Endividamentos</v>
      </c>
      <c r="Z355" s="523" t="str">
        <f>IF(LANÇ_MOV[[#This Row],[FORMA DE PAGAMENTO]]="","",VLOOKUP(LANÇ_MOV[[#This Row],[FORMA DE PAGAMENTO]],CAD_Forma_pagto[],2,0))</f>
        <v>BOLETO</v>
      </c>
      <c r="AA355" s="524" t="str">
        <f>IF(LANÇ_MOV[[#This Row],[DATA DE LANÇAMENTO]]="","",TEXT(LANÇ_MOV[[#This Row],[DATA DE LANÇAMENTO]],"AAAA"))</f>
        <v>2025</v>
      </c>
      <c r="AB355" s="524" t="str">
        <f>IF(LANÇ_MOV[[#This Row],[DATA DE LANÇAMENTO]]="","",UPPER(TEXT(LANÇ_MOV[[#This Row],[DATA DE LANÇAMENTO]],"MMMM")))</f>
        <v>OUTUBRO</v>
      </c>
      <c r="AC355" s="525" t="str">
        <f>IF(LANÇ_MOV[[#This Row],[DATA DE LANÇAMENTO]]="","",PROPER(TEXT(LANÇ_MOV[[#This Row],[DATA DE LANÇAMENTO]],"M")))</f>
        <v>10</v>
      </c>
      <c r="AD355" s="524" t="str">
        <f>IF(LANÇ_MOV[[#This Row],[DATA DE LANÇAMENTO]]="","",TEXT(LANÇ_MOV[[#This Row],[DATA DE LANÇAMENTO]],"D"))</f>
        <v>1</v>
      </c>
      <c r="AE355" s="526" t="str">
        <f>IF(LANÇ_MOV[[#This Row],[DATA DE VENCIMENTO]]="","",TEXT(LANÇ_MOV[[#This Row],[DATA DE VENCIMENTO]],"AAAA"))</f>
        <v>2023</v>
      </c>
      <c r="AF355" s="526" t="str">
        <f>IF(LANÇ_MOV[[#This Row],[DATA DE VENCIMENTO]]="","",UPPER(TEXT(LANÇ_MOV[[#This Row],[DATA DE VENCIMENTO]],"MMMM")))</f>
        <v>AGOSTO</v>
      </c>
      <c r="AG355" s="526" t="str">
        <f>IF(LANÇ_MOV[[#This Row],[DATA DE VENCIMENTO]]="","",TEXT(LANÇ_MOV[[#This Row],[DATA DE VENCIMENTO]],"M"))</f>
        <v>8</v>
      </c>
      <c r="AH355" s="526" t="str">
        <f>IF(LANÇ_MOV[[#This Row],[DATA DE VENCIMENTO]]="","",TEXT(LANÇ_MOV[[#This Row],[DATA DE VENCIMENTO]],"D"))</f>
        <v>21</v>
      </c>
      <c r="AI355" s="526" t="str">
        <f>IF(LANÇ_MOV[[#This Row],[DATA DE PAGAMENTO]]="","",TEXT(LANÇ_MOV[[#This Row],[DATA DE PAGAMENTO]],"AAAA"))</f>
        <v/>
      </c>
      <c r="AJ355" s="527" t="str">
        <f>IF(LANÇ_MOV[[#This Row],[DATA DE PAGAMENTO]]="","",UPPER(TEXT(LANÇ_MOV[[#This Row],[DATA DE PAGAMENTO]],"MMMM")))</f>
        <v/>
      </c>
      <c r="AK355" s="527" t="str">
        <f>IF(LANÇ_MOV[[#This Row],[DATA DE PAGAMENTO]]="","",TEXT(LANÇ_MOV[[#This Row],[DATA DE PAGAMENTO]],"M"))</f>
        <v/>
      </c>
      <c r="AL355" s="526" t="str">
        <f>IF(LANÇ_MOV[[#This Row],[DATA DE PAGAMENTO]]="","",TEXT(LANÇ_MOV[[#This Row],[DATA DE PAGAMENTO]],"D"))</f>
        <v/>
      </c>
      <c r="AM355" s="27"/>
      <c r="BB355" s="112"/>
      <c r="BC355" s="112"/>
      <c r="BD355" s="112"/>
    </row>
    <row r="356" spans="2:56" ht="30.05" customHeight="1" x14ac:dyDescent="0.35">
      <c r="B356" s="506">
        <v>45931</v>
      </c>
      <c r="C356" s="507" t="s">
        <v>1661</v>
      </c>
      <c r="D356" s="508" t="s">
        <v>1854</v>
      </c>
      <c r="E356" s="509" t="s">
        <v>1440</v>
      </c>
      <c r="F356" s="510" t="s">
        <v>1508</v>
      </c>
      <c r="G356" s="507">
        <v>45444</v>
      </c>
      <c r="H356" s="511"/>
      <c r="I356" s="512"/>
      <c r="J356" s="518">
        <v>495.28</v>
      </c>
      <c r="K356" s="513">
        <v>0</v>
      </c>
      <c r="L356" s="513">
        <v>0</v>
      </c>
      <c r="M356" s="513">
        <v>0</v>
      </c>
      <c r="N356" s="514">
        <f>LANÇ_MOV[[#This Row],[VALOR BRUTO]]-LANÇ_MOV[[#This Row],[DESCONTO]]+LANÇ_MOV[[#This Row],[JUROS]]+LANÇ_MOV[[#This Row],[MULTA]]</f>
        <v>495.28</v>
      </c>
      <c r="O356" s="528">
        <v>45495</v>
      </c>
      <c r="P356" s="516" t="str">
        <f t="shared" ca="1" si="5"/>
        <v>Venceu</v>
      </c>
      <c r="Q356" s="528"/>
      <c r="R356" s="529" t="s">
        <v>1506</v>
      </c>
      <c r="S356" s="518"/>
      <c r="T356" s="518" t="s">
        <v>1776</v>
      </c>
      <c r="U356" s="519" t="s">
        <v>2007</v>
      </c>
      <c r="V356" s="520" t="str">
        <f>IFERROR(VLOOKUP(LANÇ_MOV[[#This Row],[PLANO DE CONTAS]],Plano_Contas[[PLANO DE CONTAS]:[R / D]],3,0),"")</f>
        <v>Despesa</v>
      </c>
      <c r="W356" s="521" t="str">
        <f>IF(LANÇ_MOV[[#This Row],[DATA DE PAGAMENTO]]&lt;&gt;"","Pago","Não Pago")</f>
        <v>Não Pago</v>
      </c>
      <c r="X356" s="522" t="str">
        <f>IFERROR(IF(LANÇ_MOV[[#This Row],[DATA DE PAGAMENTO]]="","",(UPPER(TEXT(LANÇ_MOV[[#This Row],[DATA DE PAGAMENTO]],"mmmm")))),"")</f>
        <v/>
      </c>
      <c r="Y356" s="523" t="str">
        <f>IFERROR(VLOOKUP(LANÇ_MOV[[#This Row],[PLANO DE CONTAS]],Plano_Contas[[PLANO DE CONTAS]:[NOMES INTERVALOS]],2,0),"")</f>
        <v>Despesas_Endividamentos</v>
      </c>
      <c r="Z356" s="523" t="str">
        <f>IF(LANÇ_MOV[[#This Row],[FORMA DE PAGAMENTO]]="","",VLOOKUP(LANÇ_MOV[[#This Row],[FORMA DE PAGAMENTO]],CAD_Forma_pagto[],2,0))</f>
        <v>BOLETO</v>
      </c>
      <c r="AA356" s="524" t="str">
        <f>IF(LANÇ_MOV[[#This Row],[DATA DE LANÇAMENTO]]="","",TEXT(LANÇ_MOV[[#This Row],[DATA DE LANÇAMENTO]],"AAAA"))</f>
        <v>2025</v>
      </c>
      <c r="AB356" s="524" t="str">
        <f>IF(LANÇ_MOV[[#This Row],[DATA DE LANÇAMENTO]]="","",UPPER(TEXT(LANÇ_MOV[[#This Row],[DATA DE LANÇAMENTO]],"MMMM")))</f>
        <v>OUTUBRO</v>
      </c>
      <c r="AC356" s="525" t="str">
        <f>IF(LANÇ_MOV[[#This Row],[DATA DE LANÇAMENTO]]="","",PROPER(TEXT(LANÇ_MOV[[#This Row],[DATA DE LANÇAMENTO]],"M")))</f>
        <v>10</v>
      </c>
      <c r="AD356" s="524" t="str">
        <f>IF(LANÇ_MOV[[#This Row],[DATA DE LANÇAMENTO]]="","",TEXT(LANÇ_MOV[[#This Row],[DATA DE LANÇAMENTO]],"D"))</f>
        <v>1</v>
      </c>
      <c r="AE356" s="526" t="str">
        <f>IF(LANÇ_MOV[[#This Row],[DATA DE VENCIMENTO]]="","",TEXT(LANÇ_MOV[[#This Row],[DATA DE VENCIMENTO]],"AAAA"))</f>
        <v>2024</v>
      </c>
      <c r="AF356" s="526" t="str">
        <f>IF(LANÇ_MOV[[#This Row],[DATA DE VENCIMENTO]]="","",UPPER(TEXT(LANÇ_MOV[[#This Row],[DATA DE VENCIMENTO]],"MMMM")))</f>
        <v>JULHO</v>
      </c>
      <c r="AG356" s="526" t="str">
        <f>IF(LANÇ_MOV[[#This Row],[DATA DE VENCIMENTO]]="","",TEXT(LANÇ_MOV[[#This Row],[DATA DE VENCIMENTO]],"M"))</f>
        <v>7</v>
      </c>
      <c r="AH356" s="526" t="str">
        <f>IF(LANÇ_MOV[[#This Row],[DATA DE VENCIMENTO]]="","",TEXT(LANÇ_MOV[[#This Row],[DATA DE VENCIMENTO]],"D"))</f>
        <v>22</v>
      </c>
      <c r="AI356" s="526" t="str">
        <f>IF(LANÇ_MOV[[#This Row],[DATA DE PAGAMENTO]]="","",TEXT(LANÇ_MOV[[#This Row],[DATA DE PAGAMENTO]],"AAAA"))</f>
        <v/>
      </c>
      <c r="AJ356" s="527" t="str">
        <f>IF(LANÇ_MOV[[#This Row],[DATA DE PAGAMENTO]]="","",UPPER(TEXT(LANÇ_MOV[[#This Row],[DATA DE PAGAMENTO]],"MMMM")))</f>
        <v/>
      </c>
      <c r="AK356" s="527" t="str">
        <f>IF(LANÇ_MOV[[#This Row],[DATA DE PAGAMENTO]]="","",TEXT(LANÇ_MOV[[#This Row],[DATA DE PAGAMENTO]],"M"))</f>
        <v/>
      </c>
      <c r="AL356" s="526" t="str">
        <f>IF(LANÇ_MOV[[#This Row],[DATA DE PAGAMENTO]]="","",TEXT(LANÇ_MOV[[#This Row],[DATA DE PAGAMENTO]],"D"))</f>
        <v/>
      </c>
      <c r="AM356" s="27"/>
      <c r="BB356" s="112"/>
      <c r="BC356" s="112"/>
      <c r="BD356" s="112"/>
    </row>
    <row r="357" spans="2:56" ht="30.05" customHeight="1" x14ac:dyDescent="0.35">
      <c r="B357" s="506">
        <v>45931</v>
      </c>
      <c r="C357" s="507" t="s">
        <v>1661</v>
      </c>
      <c r="D357" s="508" t="s">
        <v>1854</v>
      </c>
      <c r="E357" s="509" t="s">
        <v>1440</v>
      </c>
      <c r="F357" s="510" t="s">
        <v>1508</v>
      </c>
      <c r="G357" s="507">
        <v>45597</v>
      </c>
      <c r="H357" s="511"/>
      <c r="I357" s="512"/>
      <c r="J357" s="518">
        <v>477.86</v>
      </c>
      <c r="K357" s="513">
        <v>0</v>
      </c>
      <c r="L357" s="513">
        <v>0</v>
      </c>
      <c r="M357" s="513">
        <v>0</v>
      </c>
      <c r="N357" s="514">
        <f>LANÇ_MOV[[#This Row],[VALOR BRUTO]]-LANÇ_MOV[[#This Row],[DESCONTO]]+LANÇ_MOV[[#This Row],[JUROS]]+LANÇ_MOV[[#This Row],[MULTA]]</f>
        <v>477.86</v>
      </c>
      <c r="O357" s="528">
        <v>45648</v>
      </c>
      <c r="P357" s="516" t="str">
        <f t="shared" ca="1" si="5"/>
        <v>Venceu</v>
      </c>
      <c r="Q357" s="528"/>
      <c r="R357" s="529" t="s">
        <v>1506</v>
      </c>
      <c r="S357" s="518"/>
      <c r="T357" s="518" t="s">
        <v>1776</v>
      </c>
      <c r="U357" s="519" t="s">
        <v>2007</v>
      </c>
      <c r="V357" s="520" t="str">
        <f>IFERROR(VLOOKUP(LANÇ_MOV[[#This Row],[PLANO DE CONTAS]],Plano_Contas[[PLANO DE CONTAS]:[R / D]],3,0),"")</f>
        <v>Despesa</v>
      </c>
      <c r="W357" s="521" t="str">
        <f>IF(LANÇ_MOV[[#This Row],[DATA DE PAGAMENTO]]&lt;&gt;"","Pago","Não Pago")</f>
        <v>Não Pago</v>
      </c>
      <c r="X357" s="522" t="str">
        <f>IFERROR(IF(LANÇ_MOV[[#This Row],[DATA DE PAGAMENTO]]="","",(UPPER(TEXT(LANÇ_MOV[[#This Row],[DATA DE PAGAMENTO]],"mmmm")))),"")</f>
        <v/>
      </c>
      <c r="Y357" s="523" t="str">
        <f>IFERROR(VLOOKUP(LANÇ_MOV[[#This Row],[PLANO DE CONTAS]],Plano_Contas[[PLANO DE CONTAS]:[NOMES INTERVALOS]],2,0),"")</f>
        <v>Despesas_Endividamentos</v>
      </c>
      <c r="Z357" s="523" t="str">
        <f>IF(LANÇ_MOV[[#This Row],[FORMA DE PAGAMENTO]]="","",VLOOKUP(LANÇ_MOV[[#This Row],[FORMA DE PAGAMENTO]],CAD_Forma_pagto[],2,0))</f>
        <v>BOLETO</v>
      </c>
      <c r="AA357" s="524" t="str">
        <f>IF(LANÇ_MOV[[#This Row],[DATA DE LANÇAMENTO]]="","",TEXT(LANÇ_MOV[[#This Row],[DATA DE LANÇAMENTO]],"AAAA"))</f>
        <v>2025</v>
      </c>
      <c r="AB357" s="524" t="str">
        <f>IF(LANÇ_MOV[[#This Row],[DATA DE LANÇAMENTO]]="","",UPPER(TEXT(LANÇ_MOV[[#This Row],[DATA DE LANÇAMENTO]],"MMMM")))</f>
        <v>OUTUBRO</v>
      </c>
      <c r="AC357" s="525" t="str">
        <f>IF(LANÇ_MOV[[#This Row],[DATA DE LANÇAMENTO]]="","",PROPER(TEXT(LANÇ_MOV[[#This Row],[DATA DE LANÇAMENTO]],"M")))</f>
        <v>10</v>
      </c>
      <c r="AD357" s="524" t="str">
        <f>IF(LANÇ_MOV[[#This Row],[DATA DE LANÇAMENTO]]="","",TEXT(LANÇ_MOV[[#This Row],[DATA DE LANÇAMENTO]],"D"))</f>
        <v>1</v>
      </c>
      <c r="AE357" s="526" t="str">
        <f>IF(LANÇ_MOV[[#This Row],[DATA DE VENCIMENTO]]="","",TEXT(LANÇ_MOV[[#This Row],[DATA DE VENCIMENTO]],"AAAA"))</f>
        <v>2024</v>
      </c>
      <c r="AF357" s="526" t="str">
        <f>IF(LANÇ_MOV[[#This Row],[DATA DE VENCIMENTO]]="","",UPPER(TEXT(LANÇ_MOV[[#This Row],[DATA DE VENCIMENTO]],"MMMM")))</f>
        <v>DEZEMBRO</v>
      </c>
      <c r="AG357" s="526" t="str">
        <f>IF(LANÇ_MOV[[#This Row],[DATA DE VENCIMENTO]]="","",TEXT(LANÇ_MOV[[#This Row],[DATA DE VENCIMENTO]],"M"))</f>
        <v>12</v>
      </c>
      <c r="AH357" s="526" t="str">
        <f>IF(LANÇ_MOV[[#This Row],[DATA DE VENCIMENTO]]="","",TEXT(LANÇ_MOV[[#This Row],[DATA DE VENCIMENTO]],"D"))</f>
        <v>22</v>
      </c>
      <c r="AI357" s="526" t="str">
        <f>IF(LANÇ_MOV[[#This Row],[DATA DE PAGAMENTO]]="","",TEXT(LANÇ_MOV[[#This Row],[DATA DE PAGAMENTO]],"AAAA"))</f>
        <v/>
      </c>
      <c r="AJ357" s="527" t="str">
        <f>IF(LANÇ_MOV[[#This Row],[DATA DE PAGAMENTO]]="","",UPPER(TEXT(LANÇ_MOV[[#This Row],[DATA DE PAGAMENTO]],"MMMM")))</f>
        <v/>
      </c>
      <c r="AK357" s="527" t="str">
        <f>IF(LANÇ_MOV[[#This Row],[DATA DE PAGAMENTO]]="","",TEXT(LANÇ_MOV[[#This Row],[DATA DE PAGAMENTO]],"M"))</f>
        <v/>
      </c>
      <c r="AL357" s="526" t="str">
        <f>IF(LANÇ_MOV[[#This Row],[DATA DE PAGAMENTO]]="","",TEXT(LANÇ_MOV[[#This Row],[DATA DE PAGAMENTO]],"D"))</f>
        <v/>
      </c>
      <c r="AM357" s="27"/>
      <c r="BB357" s="112"/>
      <c r="BC357" s="112"/>
      <c r="BD357" s="112"/>
    </row>
    <row r="358" spans="2:56" ht="30.05" customHeight="1" x14ac:dyDescent="0.35">
      <c r="B358" s="506">
        <v>45931</v>
      </c>
      <c r="C358" s="507" t="s">
        <v>1661</v>
      </c>
      <c r="D358" s="508" t="s">
        <v>1854</v>
      </c>
      <c r="E358" s="509" t="s">
        <v>1440</v>
      </c>
      <c r="F358" s="510" t="s">
        <v>1508</v>
      </c>
      <c r="G358" s="507">
        <v>45566</v>
      </c>
      <c r="H358" s="511"/>
      <c r="I358" s="512"/>
      <c r="J358" s="510">
        <v>482.22</v>
      </c>
      <c r="K358" s="513">
        <v>0</v>
      </c>
      <c r="L358" s="513">
        <v>0</v>
      </c>
      <c r="M358" s="513">
        <v>0</v>
      </c>
      <c r="N358" s="514">
        <f>LANÇ_MOV[[#This Row],[VALOR BRUTO]]-LANÇ_MOV[[#This Row],[DESCONTO]]+LANÇ_MOV[[#This Row],[JUROS]]+LANÇ_MOV[[#This Row],[MULTA]]</f>
        <v>482.22</v>
      </c>
      <c r="O358" s="528">
        <v>45617</v>
      </c>
      <c r="P358" s="516" t="str">
        <f t="shared" ca="1" si="5"/>
        <v>Venceu</v>
      </c>
      <c r="Q358" s="528"/>
      <c r="R358" s="529" t="s">
        <v>1506</v>
      </c>
      <c r="S358" s="518"/>
      <c r="T358" s="518" t="s">
        <v>1776</v>
      </c>
      <c r="U358" s="519" t="s">
        <v>2007</v>
      </c>
      <c r="V358" s="520" t="str">
        <f>IFERROR(VLOOKUP(LANÇ_MOV[[#This Row],[PLANO DE CONTAS]],Plano_Contas[[PLANO DE CONTAS]:[R / D]],3,0),"")</f>
        <v>Despesa</v>
      </c>
      <c r="W358" s="521" t="str">
        <f>IF(LANÇ_MOV[[#This Row],[DATA DE PAGAMENTO]]&lt;&gt;"","Pago","Não Pago")</f>
        <v>Não Pago</v>
      </c>
      <c r="X358" s="522" t="str">
        <f>IFERROR(IF(LANÇ_MOV[[#This Row],[DATA DE PAGAMENTO]]="","",(UPPER(TEXT(LANÇ_MOV[[#This Row],[DATA DE PAGAMENTO]],"mmmm")))),"")</f>
        <v/>
      </c>
      <c r="Y358" s="523" t="str">
        <f>IFERROR(VLOOKUP(LANÇ_MOV[[#This Row],[PLANO DE CONTAS]],Plano_Contas[[PLANO DE CONTAS]:[NOMES INTERVALOS]],2,0),"")</f>
        <v>Despesas_Endividamentos</v>
      </c>
      <c r="Z358" s="523" t="str">
        <f>IF(LANÇ_MOV[[#This Row],[FORMA DE PAGAMENTO]]="","",VLOOKUP(LANÇ_MOV[[#This Row],[FORMA DE PAGAMENTO]],CAD_Forma_pagto[],2,0))</f>
        <v>BOLETO</v>
      </c>
      <c r="AA358" s="524" t="str">
        <f>IF(LANÇ_MOV[[#This Row],[DATA DE LANÇAMENTO]]="","",TEXT(LANÇ_MOV[[#This Row],[DATA DE LANÇAMENTO]],"AAAA"))</f>
        <v>2025</v>
      </c>
      <c r="AB358" s="524" t="str">
        <f>IF(LANÇ_MOV[[#This Row],[DATA DE LANÇAMENTO]]="","",UPPER(TEXT(LANÇ_MOV[[#This Row],[DATA DE LANÇAMENTO]],"MMMM")))</f>
        <v>OUTUBRO</v>
      </c>
      <c r="AC358" s="525" t="str">
        <f>IF(LANÇ_MOV[[#This Row],[DATA DE LANÇAMENTO]]="","",PROPER(TEXT(LANÇ_MOV[[#This Row],[DATA DE LANÇAMENTO]],"M")))</f>
        <v>10</v>
      </c>
      <c r="AD358" s="524" t="str">
        <f>IF(LANÇ_MOV[[#This Row],[DATA DE LANÇAMENTO]]="","",TEXT(LANÇ_MOV[[#This Row],[DATA DE LANÇAMENTO]],"D"))</f>
        <v>1</v>
      </c>
      <c r="AE358" s="526" t="str">
        <f>IF(LANÇ_MOV[[#This Row],[DATA DE VENCIMENTO]]="","",TEXT(LANÇ_MOV[[#This Row],[DATA DE VENCIMENTO]],"AAAA"))</f>
        <v>2024</v>
      </c>
      <c r="AF358" s="526" t="str">
        <f>IF(LANÇ_MOV[[#This Row],[DATA DE VENCIMENTO]]="","",UPPER(TEXT(LANÇ_MOV[[#This Row],[DATA DE VENCIMENTO]],"MMMM")))</f>
        <v>NOVEMBRO</v>
      </c>
      <c r="AG358" s="526" t="str">
        <f>IF(LANÇ_MOV[[#This Row],[DATA DE VENCIMENTO]]="","",TEXT(LANÇ_MOV[[#This Row],[DATA DE VENCIMENTO]],"M"))</f>
        <v>11</v>
      </c>
      <c r="AH358" s="526" t="str">
        <f>IF(LANÇ_MOV[[#This Row],[DATA DE VENCIMENTO]]="","",TEXT(LANÇ_MOV[[#This Row],[DATA DE VENCIMENTO]],"D"))</f>
        <v>21</v>
      </c>
      <c r="AI358" s="526" t="str">
        <f>IF(LANÇ_MOV[[#This Row],[DATA DE PAGAMENTO]]="","",TEXT(LANÇ_MOV[[#This Row],[DATA DE PAGAMENTO]],"AAAA"))</f>
        <v/>
      </c>
      <c r="AJ358" s="527" t="str">
        <f>IF(LANÇ_MOV[[#This Row],[DATA DE PAGAMENTO]]="","",UPPER(TEXT(LANÇ_MOV[[#This Row],[DATA DE PAGAMENTO]],"MMMM")))</f>
        <v/>
      </c>
      <c r="AK358" s="527" t="str">
        <f>IF(LANÇ_MOV[[#This Row],[DATA DE PAGAMENTO]]="","",TEXT(LANÇ_MOV[[#This Row],[DATA DE PAGAMENTO]],"M"))</f>
        <v/>
      </c>
      <c r="AL358" s="526" t="str">
        <f>IF(LANÇ_MOV[[#This Row],[DATA DE PAGAMENTO]]="","",TEXT(LANÇ_MOV[[#This Row],[DATA DE PAGAMENTO]],"D"))</f>
        <v/>
      </c>
      <c r="AM358" s="27"/>
      <c r="BB358" s="112"/>
      <c r="BC358" s="112"/>
      <c r="BD358" s="112"/>
    </row>
    <row r="359" spans="2:56" ht="30.05" customHeight="1" x14ac:dyDescent="0.35">
      <c r="B359" s="506">
        <v>45931</v>
      </c>
      <c r="C359" s="507" t="s">
        <v>1661</v>
      </c>
      <c r="D359" s="508" t="s">
        <v>1854</v>
      </c>
      <c r="E359" s="509" t="s">
        <v>1440</v>
      </c>
      <c r="F359" s="510" t="s">
        <v>1508</v>
      </c>
      <c r="G359" s="507">
        <v>45170</v>
      </c>
      <c r="H359" s="511"/>
      <c r="I359" s="512"/>
      <c r="J359" s="518">
        <v>629.92999999999995</v>
      </c>
      <c r="K359" s="513">
        <v>0</v>
      </c>
      <c r="L359" s="513">
        <v>0</v>
      </c>
      <c r="M359" s="513">
        <v>0</v>
      </c>
      <c r="N359" s="514">
        <f>LANÇ_MOV[[#This Row],[VALOR BRUTO]]-LANÇ_MOV[[#This Row],[DESCONTO]]+LANÇ_MOV[[#This Row],[JUROS]]+LANÇ_MOV[[#This Row],[MULTA]]</f>
        <v>629.92999999999995</v>
      </c>
      <c r="O359" s="528">
        <v>45280</v>
      </c>
      <c r="P359" s="516" t="str">
        <f t="shared" ca="1" si="5"/>
        <v>Venceu</v>
      </c>
      <c r="Q359" s="528"/>
      <c r="R359" s="529" t="s">
        <v>1506</v>
      </c>
      <c r="S359" s="518"/>
      <c r="T359" s="518" t="s">
        <v>1776</v>
      </c>
      <c r="U359" s="519" t="s">
        <v>2007</v>
      </c>
      <c r="V359" s="520" t="str">
        <f>IFERROR(VLOOKUP(LANÇ_MOV[[#This Row],[PLANO DE CONTAS]],Plano_Contas[[PLANO DE CONTAS]:[R / D]],3,0),"")</f>
        <v>Despesa</v>
      </c>
      <c r="W359" s="521" t="str">
        <f>IF(LANÇ_MOV[[#This Row],[DATA DE PAGAMENTO]]&lt;&gt;"","Pago","Não Pago")</f>
        <v>Não Pago</v>
      </c>
      <c r="X359" s="522" t="str">
        <f>IFERROR(IF(LANÇ_MOV[[#This Row],[DATA DE PAGAMENTO]]="","",(UPPER(TEXT(LANÇ_MOV[[#This Row],[DATA DE PAGAMENTO]],"mmmm")))),"")</f>
        <v/>
      </c>
      <c r="Y359" s="523" t="str">
        <f>IFERROR(VLOOKUP(LANÇ_MOV[[#This Row],[PLANO DE CONTAS]],Plano_Contas[[PLANO DE CONTAS]:[NOMES INTERVALOS]],2,0),"")</f>
        <v>Despesas_Endividamentos</v>
      </c>
      <c r="Z359" s="523" t="str">
        <f>IF(LANÇ_MOV[[#This Row],[FORMA DE PAGAMENTO]]="","",VLOOKUP(LANÇ_MOV[[#This Row],[FORMA DE PAGAMENTO]],CAD_Forma_pagto[],2,0))</f>
        <v>BOLETO</v>
      </c>
      <c r="AA359" s="524" t="str">
        <f>IF(LANÇ_MOV[[#This Row],[DATA DE LANÇAMENTO]]="","",TEXT(LANÇ_MOV[[#This Row],[DATA DE LANÇAMENTO]],"AAAA"))</f>
        <v>2025</v>
      </c>
      <c r="AB359" s="524" t="str">
        <f>IF(LANÇ_MOV[[#This Row],[DATA DE LANÇAMENTO]]="","",UPPER(TEXT(LANÇ_MOV[[#This Row],[DATA DE LANÇAMENTO]],"MMMM")))</f>
        <v>OUTUBRO</v>
      </c>
      <c r="AC359" s="525" t="str">
        <f>IF(LANÇ_MOV[[#This Row],[DATA DE LANÇAMENTO]]="","",PROPER(TEXT(LANÇ_MOV[[#This Row],[DATA DE LANÇAMENTO]],"M")))</f>
        <v>10</v>
      </c>
      <c r="AD359" s="524" t="str">
        <f>IF(LANÇ_MOV[[#This Row],[DATA DE LANÇAMENTO]]="","",TEXT(LANÇ_MOV[[#This Row],[DATA DE LANÇAMENTO]],"D"))</f>
        <v>1</v>
      </c>
      <c r="AE359" s="526" t="str">
        <f>IF(LANÇ_MOV[[#This Row],[DATA DE VENCIMENTO]]="","",TEXT(LANÇ_MOV[[#This Row],[DATA DE VENCIMENTO]],"AAAA"))</f>
        <v>2023</v>
      </c>
      <c r="AF359" s="526" t="str">
        <f>IF(LANÇ_MOV[[#This Row],[DATA DE VENCIMENTO]]="","",UPPER(TEXT(LANÇ_MOV[[#This Row],[DATA DE VENCIMENTO]],"MMMM")))</f>
        <v>DEZEMBRO</v>
      </c>
      <c r="AG359" s="526" t="str">
        <f>IF(LANÇ_MOV[[#This Row],[DATA DE VENCIMENTO]]="","",TEXT(LANÇ_MOV[[#This Row],[DATA DE VENCIMENTO]],"M"))</f>
        <v>12</v>
      </c>
      <c r="AH359" s="526" t="str">
        <f>IF(LANÇ_MOV[[#This Row],[DATA DE VENCIMENTO]]="","",TEXT(LANÇ_MOV[[#This Row],[DATA DE VENCIMENTO]],"D"))</f>
        <v>20</v>
      </c>
      <c r="AI359" s="526" t="str">
        <f>IF(LANÇ_MOV[[#This Row],[DATA DE PAGAMENTO]]="","",TEXT(LANÇ_MOV[[#This Row],[DATA DE PAGAMENTO]],"AAAA"))</f>
        <v/>
      </c>
      <c r="AJ359" s="527" t="str">
        <f>IF(LANÇ_MOV[[#This Row],[DATA DE PAGAMENTO]]="","",UPPER(TEXT(LANÇ_MOV[[#This Row],[DATA DE PAGAMENTO]],"MMMM")))</f>
        <v/>
      </c>
      <c r="AK359" s="527" t="str">
        <f>IF(LANÇ_MOV[[#This Row],[DATA DE PAGAMENTO]]="","",TEXT(LANÇ_MOV[[#This Row],[DATA DE PAGAMENTO]],"M"))</f>
        <v/>
      </c>
      <c r="AL359" s="526" t="str">
        <f>IF(LANÇ_MOV[[#This Row],[DATA DE PAGAMENTO]]="","",TEXT(LANÇ_MOV[[#This Row],[DATA DE PAGAMENTO]],"D"))</f>
        <v/>
      </c>
      <c r="AM359" s="27"/>
      <c r="BB359" s="112"/>
      <c r="BC359" s="112"/>
      <c r="BD359" s="112"/>
    </row>
    <row r="360" spans="2:56" ht="30.05" customHeight="1" x14ac:dyDescent="0.35">
      <c r="B360" s="506">
        <v>45931</v>
      </c>
      <c r="C360" s="507" t="s">
        <v>1661</v>
      </c>
      <c r="D360" s="508" t="s">
        <v>1854</v>
      </c>
      <c r="E360" s="509" t="s">
        <v>1440</v>
      </c>
      <c r="F360" s="510" t="s">
        <v>1508</v>
      </c>
      <c r="G360" s="507">
        <v>45536</v>
      </c>
      <c r="H360" s="511"/>
      <c r="I360" s="512"/>
      <c r="J360" s="510">
        <v>485.92</v>
      </c>
      <c r="K360" s="513">
        <v>0</v>
      </c>
      <c r="L360" s="513">
        <v>0</v>
      </c>
      <c r="M360" s="513">
        <v>0</v>
      </c>
      <c r="N360" s="514">
        <f>LANÇ_MOV[[#This Row],[VALOR BRUTO]]-LANÇ_MOV[[#This Row],[DESCONTO]]+LANÇ_MOV[[#This Row],[JUROS]]+LANÇ_MOV[[#This Row],[MULTA]]</f>
        <v>485.92</v>
      </c>
      <c r="O360" s="528">
        <v>45586</v>
      </c>
      <c r="P360" s="516" t="str">
        <f t="shared" ca="1" si="5"/>
        <v>Venceu</v>
      </c>
      <c r="Q360" s="528"/>
      <c r="R360" s="529" t="s">
        <v>1506</v>
      </c>
      <c r="S360" s="518"/>
      <c r="T360" s="518" t="s">
        <v>1776</v>
      </c>
      <c r="U360" s="519" t="s">
        <v>2007</v>
      </c>
      <c r="V360" s="520" t="str">
        <f>IFERROR(VLOOKUP(LANÇ_MOV[[#This Row],[PLANO DE CONTAS]],Plano_Contas[[PLANO DE CONTAS]:[R / D]],3,0),"")</f>
        <v>Despesa</v>
      </c>
      <c r="W360" s="521" t="str">
        <f>IF(LANÇ_MOV[[#This Row],[DATA DE PAGAMENTO]]&lt;&gt;"","Pago","Não Pago")</f>
        <v>Não Pago</v>
      </c>
      <c r="X360" s="522" t="str">
        <f>IFERROR(IF(LANÇ_MOV[[#This Row],[DATA DE PAGAMENTO]]="","",(UPPER(TEXT(LANÇ_MOV[[#This Row],[DATA DE PAGAMENTO]],"mmmm")))),"")</f>
        <v/>
      </c>
      <c r="Y360" s="523" t="str">
        <f>IFERROR(VLOOKUP(LANÇ_MOV[[#This Row],[PLANO DE CONTAS]],Plano_Contas[[PLANO DE CONTAS]:[NOMES INTERVALOS]],2,0),"")</f>
        <v>Despesas_Endividamentos</v>
      </c>
      <c r="Z360" s="523" t="str">
        <f>IF(LANÇ_MOV[[#This Row],[FORMA DE PAGAMENTO]]="","",VLOOKUP(LANÇ_MOV[[#This Row],[FORMA DE PAGAMENTO]],CAD_Forma_pagto[],2,0))</f>
        <v>BOLETO</v>
      </c>
      <c r="AA360" s="524" t="str">
        <f>IF(LANÇ_MOV[[#This Row],[DATA DE LANÇAMENTO]]="","",TEXT(LANÇ_MOV[[#This Row],[DATA DE LANÇAMENTO]],"AAAA"))</f>
        <v>2025</v>
      </c>
      <c r="AB360" s="524" t="str">
        <f>IF(LANÇ_MOV[[#This Row],[DATA DE LANÇAMENTO]]="","",UPPER(TEXT(LANÇ_MOV[[#This Row],[DATA DE LANÇAMENTO]],"MMMM")))</f>
        <v>OUTUBRO</v>
      </c>
      <c r="AC360" s="525" t="str">
        <f>IF(LANÇ_MOV[[#This Row],[DATA DE LANÇAMENTO]]="","",PROPER(TEXT(LANÇ_MOV[[#This Row],[DATA DE LANÇAMENTO]],"M")))</f>
        <v>10</v>
      </c>
      <c r="AD360" s="524" t="str">
        <f>IF(LANÇ_MOV[[#This Row],[DATA DE LANÇAMENTO]]="","",TEXT(LANÇ_MOV[[#This Row],[DATA DE LANÇAMENTO]],"D"))</f>
        <v>1</v>
      </c>
      <c r="AE360" s="526" t="str">
        <f>IF(LANÇ_MOV[[#This Row],[DATA DE VENCIMENTO]]="","",TEXT(LANÇ_MOV[[#This Row],[DATA DE VENCIMENTO]],"AAAA"))</f>
        <v>2024</v>
      </c>
      <c r="AF360" s="526" t="str">
        <f>IF(LANÇ_MOV[[#This Row],[DATA DE VENCIMENTO]]="","",UPPER(TEXT(LANÇ_MOV[[#This Row],[DATA DE VENCIMENTO]],"MMMM")))</f>
        <v>OUTUBRO</v>
      </c>
      <c r="AG360" s="526" t="str">
        <f>IF(LANÇ_MOV[[#This Row],[DATA DE VENCIMENTO]]="","",TEXT(LANÇ_MOV[[#This Row],[DATA DE VENCIMENTO]],"M"))</f>
        <v>10</v>
      </c>
      <c r="AH360" s="526" t="str">
        <f>IF(LANÇ_MOV[[#This Row],[DATA DE VENCIMENTO]]="","",TEXT(LANÇ_MOV[[#This Row],[DATA DE VENCIMENTO]],"D"))</f>
        <v>21</v>
      </c>
      <c r="AI360" s="526" t="str">
        <f>IF(LANÇ_MOV[[#This Row],[DATA DE PAGAMENTO]]="","",TEXT(LANÇ_MOV[[#This Row],[DATA DE PAGAMENTO]],"AAAA"))</f>
        <v/>
      </c>
      <c r="AJ360" s="527" t="str">
        <f>IF(LANÇ_MOV[[#This Row],[DATA DE PAGAMENTO]]="","",UPPER(TEXT(LANÇ_MOV[[#This Row],[DATA DE PAGAMENTO]],"MMMM")))</f>
        <v/>
      </c>
      <c r="AK360" s="527" t="str">
        <f>IF(LANÇ_MOV[[#This Row],[DATA DE PAGAMENTO]]="","",TEXT(LANÇ_MOV[[#This Row],[DATA DE PAGAMENTO]],"M"))</f>
        <v/>
      </c>
      <c r="AL360" s="526" t="str">
        <f>IF(LANÇ_MOV[[#This Row],[DATA DE PAGAMENTO]]="","",TEXT(LANÇ_MOV[[#This Row],[DATA DE PAGAMENTO]],"D"))</f>
        <v/>
      </c>
      <c r="AM360" s="27"/>
      <c r="BB360" s="112"/>
      <c r="BC360" s="112"/>
      <c r="BD360" s="112"/>
    </row>
    <row r="361" spans="2:56" ht="30.05" customHeight="1" x14ac:dyDescent="0.35">
      <c r="B361" s="506">
        <v>45931</v>
      </c>
      <c r="C361" s="507" t="s">
        <v>1661</v>
      </c>
      <c r="D361" s="508" t="s">
        <v>1854</v>
      </c>
      <c r="E361" s="509" t="s">
        <v>1440</v>
      </c>
      <c r="F361" s="510" t="s">
        <v>1508</v>
      </c>
      <c r="G361" s="507">
        <v>45505</v>
      </c>
      <c r="H361" s="511"/>
      <c r="I361" s="512"/>
      <c r="J361" s="510">
        <v>490.28</v>
      </c>
      <c r="K361" s="513">
        <v>0</v>
      </c>
      <c r="L361" s="513">
        <v>0</v>
      </c>
      <c r="M361" s="513">
        <v>0</v>
      </c>
      <c r="N361" s="514">
        <f>LANÇ_MOV[[#This Row],[VALOR BRUTO]]-LANÇ_MOV[[#This Row],[DESCONTO]]+LANÇ_MOV[[#This Row],[JUROS]]+LANÇ_MOV[[#This Row],[MULTA]]</f>
        <v>490.28</v>
      </c>
      <c r="O361" s="528">
        <v>45555</v>
      </c>
      <c r="P361" s="516" t="str">
        <f t="shared" ca="1" si="5"/>
        <v>Venceu</v>
      </c>
      <c r="Q361" s="528"/>
      <c r="R361" s="529" t="s">
        <v>1506</v>
      </c>
      <c r="S361" s="518"/>
      <c r="T361" s="518" t="s">
        <v>1776</v>
      </c>
      <c r="U361" s="519" t="s">
        <v>2007</v>
      </c>
      <c r="V361" s="520" t="str">
        <f>IFERROR(VLOOKUP(LANÇ_MOV[[#This Row],[PLANO DE CONTAS]],Plano_Contas[[PLANO DE CONTAS]:[R / D]],3,0),"")</f>
        <v>Despesa</v>
      </c>
      <c r="W361" s="521" t="str">
        <f>IF(LANÇ_MOV[[#This Row],[DATA DE PAGAMENTO]]&lt;&gt;"","Pago","Não Pago")</f>
        <v>Não Pago</v>
      </c>
      <c r="X361" s="522" t="str">
        <f>IFERROR(IF(LANÇ_MOV[[#This Row],[DATA DE PAGAMENTO]]="","",(UPPER(TEXT(LANÇ_MOV[[#This Row],[DATA DE PAGAMENTO]],"mmmm")))),"")</f>
        <v/>
      </c>
      <c r="Y361" s="523" t="str">
        <f>IFERROR(VLOOKUP(LANÇ_MOV[[#This Row],[PLANO DE CONTAS]],Plano_Contas[[PLANO DE CONTAS]:[NOMES INTERVALOS]],2,0),"")</f>
        <v>Despesas_Endividamentos</v>
      </c>
      <c r="Z361" s="523" t="str">
        <f>IF(LANÇ_MOV[[#This Row],[FORMA DE PAGAMENTO]]="","",VLOOKUP(LANÇ_MOV[[#This Row],[FORMA DE PAGAMENTO]],CAD_Forma_pagto[],2,0))</f>
        <v>BOLETO</v>
      </c>
      <c r="AA361" s="524" t="str">
        <f>IF(LANÇ_MOV[[#This Row],[DATA DE LANÇAMENTO]]="","",TEXT(LANÇ_MOV[[#This Row],[DATA DE LANÇAMENTO]],"AAAA"))</f>
        <v>2025</v>
      </c>
      <c r="AB361" s="524" t="str">
        <f>IF(LANÇ_MOV[[#This Row],[DATA DE LANÇAMENTO]]="","",UPPER(TEXT(LANÇ_MOV[[#This Row],[DATA DE LANÇAMENTO]],"MMMM")))</f>
        <v>OUTUBRO</v>
      </c>
      <c r="AC361" s="525" t="str">
        <f>IF(LANÇ_MOV[[#This Row],[DATA DE LANÇAMENTO]]="","",PROPER(TEXT(LANÇ_MOV[[#This Row],[DATA DE LANÇAMENTO]],"M")))</f>
        <v>10</v>
      </c>
      <c r="AD361" s="524" t="str">
        <f>IF(LANÇ_MOV[[#This Row],[DATA DE LANÇAMENTO]]="","",TEXT(LANÇ_MOV[[#This Row],[DATA DE LANÇAMENTO]],"D"))</f>
        <v>1</v>
      </c>
      <c r="AE361" s="526" t="str">
        <f>IF(LANÇ_MOV[[#This Row],[DATA DE VENCIMENTO]]="","",TEXT(LANÇ_MOV[[#This Row],[DATA DE VENCIMENTO]],"AAAA"))</f>
        <v>2024</v>
      </c>
      <c r="AF361" s="526" t="str">
        <f>IF(LANÇ_MOV[[#This Row],[DATA DE VENCIMENTO]]="","",UPPER(TEXT(LANÇ_MOV[[#This Row],[DATA DE VENCIMENTO]],"MMMM")))</f>
        <v>SETEMBRO</v>
      </c>
      <c r="AG361" s="526" t="str">
        <f>IF(LANÇ_MOV[[#This Row],[DATA DE VENCIMENTO]]="","",TEXT(LANÇ_MOV[[#This Row],[DATA DE VENCIMENTO]],"M"))</f>
        <v>9</v>
      </c>
      <c r="AH361" s="526" t="str">
        <f>IF(LANÇ_MOV[[#This Row],[DATA DE VENCIMENTO]]="","",TEXT(LANÇ_MOV[[#This Row],[DATA DE VENCIMENTO]],"D"))</f>
        <v>20</v>
      </c>
      <c r="AI361" s="526" t="str">
        <f>IF(LANÇ_MOV[[#This Row],[DATA DE PAGAMENTO]]="","",TEXT(LANÇ_MOV[[#This Row],[DATA DE PAGAMENTO]],"AAAA"))</f>
        <v/>
      </c>
      <c r="AJ361" s="527" t="str">
        <f>IF(LANÇ_MOV[[#This Row],[DATA DE PAGAMENTO]]="","",UPPER(TEXT(LANÇ_MOV[[#This Row],[DATA DE PAGAMENTO]],"MMMM")))</f>
        <v/>
      </c>
      <c r="AK361" s="527" t="str">
        <f>IF(LANÇ_MOV[[#This Row],[DATA DE PAGAMENTO]]="","",TEXT(LANÇ_MOV[[#This Row],[DATA DE PAGAMENTO]],"M"))</f>
        <v/>
      </c>
      <c r="AL361" s="526" t="str">
        <f>IF(LANÇ_MOV[[#This Row],[DATA DE PAGAMENTO]]="","",TEXT(LANÇ_MOV[[#This Row],[DATA DE PAGAMENTO]],"D"))</f>
        <v/>
      </c>
      <c r="AM361" s="27"/>
      <c r="BB361" s="112"/>
      <c r="BC361" s="112"/>
      <c r="BD361" s="112"/>
    </row>
    <row r="362" spans="2:56" ht="30.05" customHeight="1" x14ac:dyDescent="0.35">
      <c r="B362" s="506">
        <v>45931</v>
      </c>
      <c r="C362" s="507" t="s">
        <v>1661</v>
      </c>
      <c r="D362" s="508" t="s">
        <v>1854</v>
      </c>
      <c r="E362" s="509" t="s">
        <v>1440</v>
      </c>
      <c r="F362" s="510" t="s">
        <v>1508</v>
      </c>
      <c r="G362" s="507">
        <v>45139</v>
      </c>
      <c r="H362" s="511"/>
      <c r="I362" s="512"/>
      <c r="J362" s="510">
        <v>634.91999999999996</v>
      </c>
      <c r="K362" s="513">
        <v>0</v>
      </c>
      <c r="L362" s="513">
        <v>0</v>
      </c>
      <c r="M362" s="513">
        <v>0</v>
      </c>
      <c r="N362" s="514">
        <f>LANÇ_MOV[[#This Row],[VALOR BRUTO]]-LANÇ_MOV[[#This Row],[DESCONTO]]+LANÇ_MOV[[#This Row],[JUROS]]+LANÇ_MOV[[#This Row],[MULTA]]</f>
        <v>634.91999999999996</v>
      </c>
      <c r="O362" s="528">
        <v>45250</v>
      </c>
      <c r="P362" s="516" t="str">
        <f t="shared" ca="1" si="5"/>
        <v>Venceu</v>
      </c>
      <c r="Q362" s="528"/>
      <c r="R362" s="529" t="s">
        <v>1506</v>
      </c>
      <c r="S362" s="518"/>
      <c r="T362" s="518" t="s">
        <v>1776</v>
      </c>
      <c r="U362" s="519" t="s">
        <v>2007</v>
      </c>
      <c r="V362" s="520" t="str">
        <f>IFERROR(VLOOKUP(LANÇ_MOV[[#This Row],[PLANO DE CONTAS]],Plano_Contas[[PLANO DE CONTAS]:[R / D]],3,0),"")</f>
        <v>Despesa</v>
      </c>
      <c r="W362" s="521" t="str">
        <f>IF(LANÇ_MOV[[#This Row],[DATA DE PAGAMENTO]]&lt;&gt;"","Pago","Não Pago")</f>
        <v>Não Pago</v>
      </c>
      <c r="X362" s="522" t="str">
        <f>IFERROR(IF(LANÇ_MOV[[#This Row],[DATA DE PAGAMENTO]]="","",(UPPER(TEXT(LANÇ_MOV[[#This Row],[DATA DE PAGAMENTO]],"mmmm")))),"")</f>
        <v/>
      </c>
      <c r="Y362" s="523" t="str">
        <f>IFERROR(VLOOKUP(LANÇ_MOV[[#This Row],[PLANO DE CONTAS]],Plano_Contas[[PLANO DE CONTAS]:[NOMES INTERVALOS]],2,0),"")</f>
        <v>Despesas_Endividamentos</v>
      </c>
      <c r="Z362" s="523" t="str">
        <f>IF(LANÇ_MOV[[#This Row],[FORMA DE PAGAMENTO]]="","",VLOOKUP(LANÇ_MOV[[#This Row],[FORMA DE PAGAMENTO]],CAD_Forma_pagto[],2,0))</f>
        <v>BOLETO</v>
      </c>
      <c r="AA362" s="524" t="str">
        <f>IF(LANÇ_MOV[[#This Row],[DATA DE LANÇAMENTO]]="","",TEXT(LANÇ_MOV[[#This Row],[DATA DE LANÇAMENTO]],"AAAA"))</f>
        <v>2025</v>
      </c>
      <c r="AB362" s="524" t="str">
        <f>IF(LANÇ_MOV[[#This Row],[DATA DE LANÇAMENTO]]="","",UPPER(TEXT(LANÇ_MOV[[#This Row],[DATA DE LANÇAMENTO]],"MMMM")))</f>
        <v>OUTUBRO</v>
      </c>
      <c r="AC362" s="525" t="str">
        <f>IF(LANÇ_MOV[[#This Row],[DATA DE LANÇAMENTO]]="","",PROPER(TEXT(LANÇ_MOV[[#This Row],[DATA DE LANÇAMENTO]],"M")))</f>
        <v>10</v>
      </c>
      <c r="AD362" s="524" t="str">
        <f>IF(LANÇ_MOV[[#This Row],[DATA DE LANÇAMENTO]]="","",TEXT(LANÇ_MOV[[#This Row],[DATA DE LANÇAMENTO]],"D"))</f>
        <v>1</v>
      </c>
      <c r="AE362" s="526" t="str">
        <f>IF(LANÇ_MOV[[#This Row],[DATA DE VENCIMENTO]]="","",TEXT(LANÇ_MOV[[#This Row],[DATA DE VENCIMENTO]],"AAAA"))</f>
        <v>2023</v>
      </c>
      <c r="AF362" s="526" t="str">
        <f>IF(LANÇ_MOV[[#This Row],[DATA DE VENCIMENTO]]="","",UPPER(TEXT(LANÇ_MOV[[#This Row],[DATA DE VENCIMENTO]],"MMMM")))</f>
        <v>NOVEMBRO</v>
      </c>
      <c r="AG362" s="526" t="str">
        <f>IF(LANÇ_MOV[[#This Row],[DATA DE VENCIMENTO]]="","",TEXT(LANÇ_MOV[[#This Row],[DATA DE VENCIMENTO]],"M"))</f>
        <v>11</v>
      </c>
      <c r="AH362" s="526" t="str">
        <f>IF(LANÇ_MOV[[#This Row],[DATA DE VENCIMENTO]]="","",TEXT(LANÇ_MOV[[#This Row],[DATA DE VENCIMENTO]],"D"))</f>
        <v>20</v>
      </c>
      <c r="AI362" s="526" t="str">
        <f>IF(LANÇ_MOV[[#This Row],[DATA DE PAGAMENTO]]="","",TEXT(LANÇ_MOV[[#This Row],[DATA DE PAGAMENTO]],"AAAA"))</f>
        <v/>
      </c>
      <c r="AJ362" s="527" t="str">
        <f>IF(LANÇ_MOV[[#This Row],[DATA DE PAGAMENTO]]="","",UPPER(TEXT(LANÇ_MOV[[#This Row],[DATA DE PAGAMENTO]],"MMMM")))</f>
        <v/>
      </c>
      <c r="AK362" s="527" t="str">
        <f>IF(LANÇ_MOV[[#This Row],[DATA DE PAGAMENTO]]="","",TEXT(LANÇ_MOV[[#This Row],[DATA DE PAGAMENTO]],"M"))</f>
        <v/>
      </c>
      <c r="AL362" s="526" t="str">
        <f>IF(LANÇ_MOV[[#This Row],[DATA DE PAGAMENTO]]="","",TEXT(LANÇ_MOV[[#This Row],[DATA DE PAGAMENTO]],"D"))</f>
        <v/>
      </c>
      <c r="AM362" s="27"/>
      <c r="BB362" s="112"/>
      <c r="BC362" s="112"/>
      <c r="BD362" s="112"/>
    </row>
    <row r="363" spans="2:56" ht="30.05" customHeight="1" x14ac:dyDescent="0.35">
      <c r="B363" s="506">
        <v>45931</v>
      </c>
      <c r="C363" s="507" t="s">
        <v>1661</v>
      </c>
      <c r="D363" s="508" t="s">
        <v>1854</v>
      </c>
      <c r="E363" s="509" t="s">
        <v>1440</v>
      </c>
      <c r="F363" s="510" t="s">
        <v>1508</v>
      </c>
      <c r="G363" s="507">
        <v>45474</v>
      </c>
      <c r="H363" s="511"/>
      <c r="I363" s="512"/>
      <c r="J363" s="510">
        <v>492.22</v>
      </c>
      <c r="K363" s="513">
        <v>0</v>
      </c>
      <c r="L363" s="513">
        <v>0</v>
      </c>
      <c r="M363" s="513">
        <v>0</v>
      </c>
      <c r="N363" s="514">
        <f>LANÇ_MOV[[#This Row],[VALOR BRUTO]]-LANÇ_MOV[[#This Row],[DESCONTO]]+LANÇ_MOV[[#This Row],[JUROS]]+LANÇ_MOV[[#This Row],[MULTA]]</f>
        <v>492.22</v>
      </c>
      <c r="O363" s="528">
        <v>45524</v>
      </c>
      <c r="P363" s="516" t="str">
        <f t="shared" ca="1" si="5"/>
        <v>Venceu</v>
      </c>
      <c r="Q363" s="528"/>
      <c r="R363" s="529" t="s">
        <v>1506</v>
      </c>
      <c r="S363" s="518"/>
      <c r="T363" s="518" t="s">
        <v>1776</v>
      </c>
      <c r="U363" s="519" t="s">
        <v>2007</v>
      </c>
      <c r="V363" s="520" t="str">
        <f>IFERROR(VLOOKUP(LANÇ_MOV[[#This Row],[PLANO DE CONTAS]],Plano_Contas[[PLANO DE CONTAS]:[R / D]],3,0),"")</f>
        <v>Despesa</v>
      </c>
      <c r="W363" s="521" t="str">
        <f>IF(LANÇ_MOV[[#This Row],[DATA DE PAGAMENTO]]&lt;&gt;"","Pago","Não Pago")</f>
        <v>Não Pago</v>
      </c>
      <c r="X363" s="522" t="str">
        <f>IFERROR(IF(LANÇ_MOV[[#This Row],[DATA DE PAGAMENTO]]="","",(UPPER(TEXT(LANÇ_MOV[[#This Row],[DATA DE PAGAMENTO]],"mmmm")))),"")</f>
        <v/>
      </c>
      <c r="Y363" s="523" t="str">
        <f>IFERROR(VLOOKUP(LANÇ_MOV[[#This Row],[PLANO DE CONTAS]],Plano_Contas[[PLANO DE CONTAS]:[NOMES INTERVALOS]],2,0),"")</f>
        <v>Despesas_Endividamentos</v>
      </c>
      <c r="Z363" s="523" t="str">
        <f>IF(LANÇ_MOV[[#This Row],[FORMA DE PAGAMENTO]]="","",VLOOKUP(LANÇ_MOV[[#This Row],[FORMA DE PAGAMENTO]],CAD_Forma_pagto[],2,0))</f>
        <v>BOLETO</v>
      </c>
      <c r="AA363" s="524" t="str">
        <f>IF(LANÇ_MOV[[#This Row],[DATA DE LANÇAMENTO]]="","",TEXT(LANÇ_MOV[[#This Row],[DATA DE LANÇAMENTO]],"AAAA"))</f>
        <v>2025</v>
      </c>
      <c r="AB363" s="524" t="str">
        <f>IF(LANÇ_MOV[[#This Row],[DATA DE LANÇAMENTO]]="","",UPPER(TEXT(LANÇ_MOV[[#This Row],[DATA DE LANÇAMENTO]],"MMMM")))</f>
        <v>OUTUBRO</v>
      </c>
      <c r="AC363" s="525" t="str">
        <f>IF(LANÇ_MOV[[#This Row],[DATA DE LANÇAMENTO]]="","",PROPER(TEXT(LANÇ_MOV[[#This Row],[DATA DE LANÇAMENTO]],"M")))</f>
        <v>10</v>
      </c>
      <c r="AD363" s="524" t="str">
        <f>IF(LANÇ_MOV[[#This Row],[DATA DE LANÇAMENTO]]="","",TEXT(LANÇ_MOV[[#This Row],[DATA DE LANÇAMENTO]],"D"))</f>
        <v>1</v>
      </c>
      <c r="AE363" s="526" t="str">
        <f>IF(LANÇ_MOV[[#This Row],[DATA DE VENCIMENTO]]="","",TEXT(LANÇ_MOV[[#This Row],[DATA DE VENCIMENTO]],"AAAA"))</f>
        <v>2024</v>
      </c>
      <c r="AF363" s="526" t="str">
        <f>IF(LANÇ_MOV[[#This Row],[DATA DE VENCIMENTO]]="","",UPPER(TEXT(LANÇ_MOV[[#This Row],[DATA DE VENCIMENTO]],"MMMM")))</f>
        <v>AGOSTO</v>
      </c>
      <c r="AG363" s="526" t="str">
        <f>IF(LANÇ_MOV[[#This Row],[DATA DE VENCIMENTO]]="","",TEXT(LANÇ_MOV[[#This Row],[DATA DE VENCIMENTO]],"M"))</f>
        <v>8</v>
      </c>
      <c r="AH363" s="526" t="str">
        <f>IF(LANÇ_MOV[[#This Row],[DATA DE VENCIMENTO]]="","",TEXT(LANÇ_MOV[[#This Row],[DATA DE VENCIMENTO]],"D"))</f>
        <v>20</v>
      </c>
      <c r="AI363" s="526" t="str">
        <f>IF(LANÇ_MOV[[#This Row],[DATA DE PAGAMENTO]]="","",TEXT(LANÇ_MOV[[#This Row],[DATA DE PAGAMENTO]],"AAAA"))</f>
        <v/>
      </c>
      <c r="AJ363" s="527" t="str">
        <f>IF(LANÇ_MOV[[#This Row],[DATA DE PAGAMENTO]]="","",UPPER(TEXT(LANÇ_MOV[[#This Row],[DATA DE PAGAMENTO]],"MMMM")))</f>
        <v/>
      </c>
      <c r="AK363" s="527" t="str">
        <f>IF(LANÇ_MOV[[#This Row],[DATA DE PAGAMENTO]]="","",TEXT(LANÇ_MOV[[#This Row],[DATA DE PAGAMENTO]],"M"))</f>
        <v/>
      </c>
      <c r="AL363" s="526" t="str">
        <f>IF(LANÇ_MOV[[#This Row],[DATA DE PAGAMENTO]]="","",TEXT(LANÇ_MOV[[#This Row],[DATA DE PAGAMENTO]],"D"))</f>
        <v/>
      </c>
      <c r="AM363" s="27"/>
      <c r="BB363" s="112"/>
      <c r="BC363" s="112"/>
      <c r="BD363" s="112"/>
    </row>
    <row r="364" spans="2:56" ht="30.05" customHeight="1" x14ac:dyDescent="0.35">
      <c r="B364" s="506">
        <v>45931</v>
      </c>
      <c r="C364" s="507" t="s">
        <v>1661</v>
      </c>
      <c r="D364" s="508" t="s">
        <v>1854</v>
      </c>
      <c r="E364" s="509" t="s">
        <v>1440</v>
      </c>
      <c r="F364" s="510" t="s">
        <v>1508</v>
      </c>
      <c r="G364" s="507">
        <v>45017</v>
      </c>
      <c r="H364" s="511"/>
      <c r="I364" s="512"/>
      <c r="J364" s="510">
        <v>657.51</v>
      </c>
      <c r="K364" s="513">
        <v>0</v>
      </c>
      <c r="L364" s="513">
        <v>0</v>
      </c>
      <c r="M364" s="513">
        <v>0</v>
      </c>
      <c r="N364" s="514">
        <f>LANÇ_MOV[[#This Row],[VALOR BRUTO]]-LANÇ_MOV[[#This Row],[DESCONTO]]+LANÇ_MOV[[#This Row],[JUROS]]+LANÇ_MOV[[#This Row],[MULTA]]</f>
        <v>657.51</v>
      </c>
      <c r="O364" s="528">
        <v>45127</v>
      </c>
      <c r="P364" s="516" t="str">
        <f t="shared" ca="1" si="5"/>
        <v>Venceu</v>
      </c>
      <c r="Q364" s="528"/>
      <c r="R364" s="529" t="s">
        <v>1506</v>
      </c>
      <c r="S364" s="518"/>
      <c r="T364" s="518" t="s">
        <v>1776</v>
      </c>
      <c r="U364" s="519" t="s">
        <v>2007</v>
      </c>
      <c r="V364" s="520" t="str">
        <f>IFERROR(VLOOKUP(LANÇ_MOV[[#This Row],[PLANO DE CONTAS]],Plano_Contas[[PLANO DE CONTAS]:[R / D]],3,0),"")</f>
        <v>Despesa</v>
      </c>
      <c r="W364" s="521" t="str">
        <f>IF(LANÇ_MOV[[#This Row],[DATA DE PAGAMENTO]]&lt;&gt;"","Pago","Não Pago")</f>
        <v>Não Pago</v>
      </c>
      <c r="X364" s="522" t="str">
        <f>IFERROR(IF(LANÇ_MOV[[#This Row],[DATA DE PAGAMENTO]]="","",(UPPER(TEXT(LANÇ_MOV[[#This Row],[DATA DE PAGAMENTO]],"mmmm")))),"")</f>
        <v/>
      </c>
      <c r="Y364" s="523" t="str">
        <f>IFERROR(VLOOKUP(LANÇ_MOV[[#This Row],[PLANO DE CONTAS]],Plano_Contas[[PLANO DE CONTAS]:[NOMES INTERVALOS]],2,0),"")</f>
        <v>Despesas_Endividamentos</v>
      </c>
      <c r="Z364" s="523" t="str">
        <f>IF(LANÇ_MOV[[#This Row],[FORMA DE PAGAMENTO]]="","",VLOOKUP(LANÇ_MOV[[#This Row],[FORMA DE PAGAMENTO]],CAD_Forma_pagto[],2,0))</f>
        <v>BOLETO</v>
      </c>
      <c r="AA364" s="524" t="str">
        <f>IF(LANÇ_MOV[[#This Row],[DATA DE LANÇAMENTO]]="","",TEXT(LANÇ_MOV[[#This Row],[DATA DE LANÇAMENTO]],"AAAA"))</f>
        <v>2025</v>
      </c>
      <c r="AB364" s="524" t="str">
        <f>IF(LANÇ_MOV[[#This Row],[DATA DE LANÇAMENTO]]="","",UPPER(TEXT(LANÇ_MOV[[#This Row],[DATA DE LANÇAMENTO]],"MMMM")))</f>
        <v>OUTUBRO</v>
      </c>
      <c r="AC364" s="525" t="str">
        <f>IF(LANÇ_MOV[[#This Row],[DATA DE LANÇAMENTO]]="","",PROPER(TEXT(LANÇ_MOV[[#This Row],[DATA DE LANÇAMENTO]],"M")))</f>
        <v>10</v>
      </c>
      <c r="AD364" s="524" t="str">
        <f>IF(LANÇ_MOV[[#This Row],[DATA DE LANÇAMENTO]]="","",TEXT(LANÇ_MOV[[#This Row],[DATA DE LANÇAMENTO]],"D"))</f>
        <v>1</v>
      </c>
      <c r="AE364" s="526" t="str">
        <f>IF(LANÇ_MOV[[#This Row],[DATA DE VENCIMENTO]]="","",TEXT(LANÇ_MOV[[#This Row],[DATA DE VENCIMENTO]],"AAAA"))</f>
        <v>2023</v>
      </c>
      <c r="AF364" s="526" t="str">
        <f>IF(LANÇ_MOV[[#This Row],[DATA DE VENCIMENTO]]="","",UPPER(TEXT(LANÇ_MOV[[#This Row],[DATA DE VENCIMENTO]],"MMMM")))</f>
        <v>JULHO</v>
      </c>
      <c r="AG364" s="526" t="str">
        <f>IF(LANÇ_MOV[[#This Row],[DATA DE VENCIMENTO]]="","",TEXT(LANÇ_MOV[[#This Row],[DATA DE VENCIMENTO]],"M"))</f>
        <v>7</v>
      </c>
      <c r="AH364" s="526" t="str">
        <f>IF(LANÇ_MOV[[#This Row],[DATA DE VENCIMENTO]]="","",TEXT(LANÇ_MOV[[#This Row],[DATA DE VENCIMENTO]],"D"))</f>
        <v>20</v>
      </c>
      <c r="AI364" s="526" t="str">
        <f>IF(LANÇ_MOV[[#This Row],[DATA DE PAGAMENTO]]="","",TEXT(LANÇ_MOV[[#This Row],[DATA DE PAGAMENTO]],"AAAA"))</f>
        <v/>
      </c>
      <c r="AJ364" s="527" t="str">
        <f>IF(LANÇ_MOV[[#This Row],[DATA DE PAGAMENTO]]="","",UPPER(TEXT(LANÇ_MOV[[#This Row],[DATA DE PAGAMENTO]],"MMMM")))</f>
        <v/>
      </c>
      <c r="AK364" s="527" t="str">
        <f>IF(LANÇ_MOV[[#This Row],[DATA DE PAGAMENTO]]="","",TEXT(LANÇ_MOV[[#This Row],[DATA DE PAGAMENTO]],"M"))</f>
        <v/>
      </c>
      <c r="AL364" s="526" t="str">
        <f>IF(LANÇ_MOV[[#This Row],[DATA DE PAGAMENTO]]="","",TEXT(LANÇ_MOV[[#This Row],[DATA DE PAGAMENTO]],"D"))</f>
        <v/>
      </c>
      <c r="AM364" s="27"/>
      <c r="BB364" s="112"/>
      <c r="BC364" s="112"/>
      <c r="BD364" s="112"/>
    </row>
    <row r="365" spans="2:56" ht="30.05" customHeight="1" x14ac:dyDescent="0.35">
      <c r="B365" s="506">
        <v>45931</v>
      </c>
      <c r="C365" s="507" t="s">
        <v>1661</v>
      </c>
      <c r="D365" s="508" t="s">
        <v>1854</v>
      </c>
      <c r="E365" s="509" t="s">
        <v>1440</v>
      </c>
      <c r="F365" s="510" t="s">
        <v>1844</v>
      </c>
      <c r="G365" s="507" t="s">
        <v>1926</v>
      </c>
      <c r="H365" s="511" t="s">
        <v>1927</v>
      </c>
      <c r="I365" s="512" t="s">
        <v>1760</v>
      </c>
      <c r="J365" s="518">
        <v>294.47000000000003</v>
      </c>
      <c r="K365" s="513">
        <v>0</v>
      </c>
      <c r="L365" s="513">
        <v>0</v>
      </c>
      <c r="M365" s="513">
        <v>0</v>
      </c>
      <c r="N365" s="514">
        <f>LANÇ_MOV[[#This Row],[VALOR BRUTO]]-LANÇ_MOV[[#This Row],[DESCONTO]]+LANÇ_MOV[[#This Row],[JUROS]]+LANÇ_MOV[[#This Row],[MULTA]]</f>
        <v>294.47000000000003</v>
      </c>
      <c r="O365" s="528">
        <v>45797</v>
      </c>
      <c r="P365" s="516" t="str">
        <f t="shared" ca="1" si="5"/>
        <v>Venceu</v>
      </c>
      <c r="Q365" s="528"/>
      <c r="R365" s="529" t="s">
        <v>1506</v>
      </c>
      <c r="S365" s="518"/>
      <c r="T365" s="518" t="s">
        <v>1776</v>
      </c>
      <c r="U365" s="519" t="s">
        <v>2007</v>
      </c>
      <c r="V365" s="520" t="str">
        <f>IFERROR(VLOOKUP(LANÇ_MOV[[#This Row],[PLANO DE CONTAS]],Plano_Contas[[PLANO DE CONTAS]:[R / D]],3,0),"")</f>
        <v>Despesa</v>
      </c>
      <c r="W365" s="521" t="str">
        <f>IF(LANÇ_MOV[[#This Row],[DATA DE PAGAMENTO]]&lt;&gt;"","Pago","Não Pago")</f>
        <v>Não Pago</v>
      </c>
      <c r="X365" s="522" t="str">
        <f>IFERROR(IF(LANÇ_MOV[[#This Row],[DATA DE PAGAMENTO]]="","",(UPPER(TEXT(LANÇ_MOV[[#This Row],[DATA DE PAGAMENTO]],"mmmm")))),"")</f>
        <v/>
      </c>
      <c r="Y365" s="523" t="str">
        <f>IFERROR(VLOOKUP(LANÇ_MOV[[#This Row],[PLANO DE CONTAS]],Plano_Contas[[PLANO DE CONTAS]:[NOMES INTERVALOS]],2,0),"")</f>
        <v>Despesas_Endividamentos</v>
      </c>
      <c r="Z365" s="523" t="str">
        <f>IF(LANÇ_MOV[[#This Row],[FORMA DE PAGAMENTO]]="","",VLOOKUP(LANÇ_MOV[[#This Row],[FORMA DE PAGAMENTO]],CAD_Forma_pagto[],2,0))</f>
        <v>BOLETO</v>
      </c>
      <c r="AA365" s="524" t="str">
        <f>IF(LANÇ_MOV[[#This Row],[DATA DE LANÇAMENTO]]="","",TEXT(LANÇ_MOV[[#This Row],[DATA DE LANÇAMENTO]],"AAAA"))</f>
        <v>2025</v>
      </c>
      <c r="AB365" s="524" t="str">
        <f>IF(LANÇ_MOV[[#This Row],[DATA DE LANÇAMENTO]]="","",UPPER(TEXT(LANÇ_MOV[[#This Row],[DATA DE LANÇAMENTO]],"MMMM")))</f>
        <v>OUTUBRO</v>
      </c>
      <c r="AC365" s="525" t="str">
        <f>IF(LANÇ_MOV[[#This Row],[DATA DE LANÇAMENTO]]="","",PROPER(TEXT(LANÇ_MOV[[#This Row],[DATA DE LANÇAMENTO]],"M")))</f>
        <v>10</v>
      </c>
      <c r="AD365" s="524" t="str">
        <f>IF(LANÇ_MOV[[#This Row],[DATA DE LANÇAMENTO]]="","",TEXT(LANÇ_MOV[[#This Row],[DATA DE LANÇAMENTO]],"D"))</f>
        <v>1</v>
      </c>
      <c r="AE365" s="526" t="str">
        <f>IF(LANÇ_MOV[[#This Row],[DATA DE VENCIMENTO]]="","",TEXT(LANÇ_MOV[[#This Row],[DATA DE VENCIMENTO]],"AAAA"))</f>
        <v>2025</v>
      </c>
      <c r="AF365" s="526" t="str">
        <f>IF(LANÇ_MOV[[#This Row],[DATA DE VENCIMENTO]]="","",UPPER(TEXT(LANÇ_MOV[[#This Row],[DATA DE VENCIMENTO]],"MMMM")))</f>
        <v>MAIO</v>
      </c>
      <c r="AG365" s="526" t="str">
        <f>IF(LANÇ_MOV[[#This Row],[DATA DE VENCIMENTO]]="","",TEXT(LANÇ_MOV[[#This Row],[DATA DE VENCIMENTO]],"M"))</f>
        <v>5</v>
      </c>
      <c r="AH365" s="526" t="str">
        <f>IF(LANÇ_MOV[[#This Row],[DATA DE VENCIMENTO]]="","",TEXT(LANÇ_MOV[[#This Row],[DATA DE VENCIMENTO]],"D"))</f>
        <v>20</v>
      </c>
      <c r="AI365" s="526" t="str">
        <f>IF(LANÇ_MOV[[#This Row],[DATA DE PAGAMENTO]]="","",TEXT(LANÇ_MOV[[#This Row],[DATA DE PAGAMENTO]],"AAAA"))</f>
        <v/>
      </c>
      <c r="AJ365" s="527" t="str">
        <f>IF(LANÇ_MOV[[#This Row],[DATA DE PAGAMENTO]]="","",UPPER(TEXT(LANÇ_MOV[[#This Row],[DATA DE PAGAMENTO]],"MMMM")))</f>
        <v/>
      </c>
      <c r="AK365" s="527" t="str">
        <f>IF(LANÇ_MOV[[#This Row],[DATA DE PAGAMENTO]]="","",TEXT(LANÇ_MOV[[#This Row],[DATA DE PAGAMENTO]],"M"))</f>
        <v/>
      </c>
      <c r="AL365" s="526" t="str">
        <f>IF(LANÇ_MOV[[#This Row],[DATA DE PAGAMENTO]]="","",TEXT(LANÇ_MOV[[#This Row],[DATA DE PAGAMENTO]],"D"))</f>
        <v/>
      </c>
      <c r="AM365" s="27"/>
      <c r="BB365" s="112"/>
      <c r="BC365" s="112"/>
      <c r="BD365" s="112"/>
    </row>
    <row r="366" spans="2:56" ht="30.05" customHeight="1" x14ac:dyDescent="0.35">
      <c r="B366" s="506">
        <v>45931</v>
      </c>
      <c r="C366" s="507" t="s">
        <v>1661</v>
      </c>
      <c r="D366" s="508" t="s">
        <v>1854</v>
      </c>
      <c r="E366" s="509" t="s">
        <v>1440</v>
      </c>
      <c r="F366" s="510" t="s">
        <v>1847</v>
      </c>
      <c r="G366" s="507" t="s">
        <v>1926</v>
      </c>
      <c r="H366" s="511" t="s">
        <v>1927</v>
      </c>
      <c r="I366" s="512" t="s">
        <v>1760</v>
      </c>
      <c r="J366" s="518">
        <v>77.89</v>
      </c>
      <c r="K366" s="513">
        <v>0</v>
      </c>
      <c r="L366" s="513">
        <v>0</v>
      </c>
      <c r="M366" s="513">
        <v>0</v>
      </c>
      <c r="N366" s="514">
        <f>LANÇ_MOV[[#This Row],[VALOR BRUTO]]-LANÇ_MOV[[#This Row],[DESCONTO]]+LANÇ_MOV[[#This Row],[JUROS]]+LANÇ_MOV[[#This Row],[MULTA]]</f>
        <v>77.89</v>
      </c>
      <c r="O366" s="528">
        <v>45800</v>
      </c>
      <c r="P366" s="516" t="str">
        <f t="shared" ca="1" si="5"/>
        <v>Venceu</v>
      </c>
      <c r="Q366" s="528"/>
      <c r="R366" s="529" t="s">
        <v>1506</v>
      </c>
      <c r="S366" s="518"/>
      <c r="T366" s="518" t="s">
        <v>1776</v>
      </c>
      <c r="U366" s="519" t="s">
        <v>2007</v>
      </c>
      <c r="V366" s="520" t="str">
        <f>IFERROR(VLOOKUP(LANÇ_MOV[[#This Row],[PLANO DE CONTAS]],Plano_Contas[[PLANO DE CONTAS]:[R / D]],3,0),"")</f>
        <v>Despesa</v>
      </c>
      <c r="W366" s="521" t="str">
        <f>IF(LANÇ_MOV[[#This Row],[DATA DE PAGAMENTO]]&lt;&gt;"","Pago","Não Pago")</f>
        <v>Não Pago</v>
      </c>
      <c r="X366" s="522" t="str">
        <f>IFERROR(IF(LANÇ_MOV[[#This Row],[DATA DE PAGAMENTO]]="","",(UPPER(TEXT(LANÇ_MOV[[#This Row],[DATA DE PAGAMENTO]],"mmmm")))),"")</f>
        <v/>
      </c>
      <c r="Y366" s="523" t="str">
        <f>IFERROR(VLOOKUP(LANÇ_MOV[[#This Row],[PLANO DE CONTAS]],Plano_Contas[[PLANO DE CONTAS]:[NOMES INTERVALOS]],2,0),"")</f>
        <v>Despesas_Endividamentos</v>
      </c>
      <c r="Z366" s="523" t="str">
        <f>IF(LANÇ_MOV[[#This Row],[FORMA DE PAGAMENTO]]="","",VLOOKUP(LANÇ_MOV[[#This Row],[FORMA DE PAGAMENTO]],CAD_Forma_pagto[],2,0))</f>
        <v>BOLETO</v>
      </c>
      <c r="AA366" s="524" t="str">
        <f>IF(LANÇ_MOV[[#This Row],[DATA DE LANÇAMENTO]]="","",TEXT(LANÇ_MOV[[#This Row],[DATA DE LANÇAMENTO]],"AAAA"))</f>
        <v>2025</v>
      </c>
      <c r="AB366" s="524" t="str">
        <f>IF(LANÇ_MOV[[#This Row],[DATA DE LANÇAMENTO]]="","",UPPER(TEXT(LANÇ_MOV[[#This Row],[DATA DE LANÇAMENTO]],"MMMM")))</f>
        <v>OUTUBRO</v>
      </c>
      <c r="AC366" s="525" t="str">
        <f>IF(LANÇ_MOV[[#This Row],[DATA DE LANÇAMENTO]]="","",PROPER(TEXT(LANÇ_MOV[[#This Row],[DATA DE LANÇAMENTO]],"M")))</f>
        <v>10</v>
      </c>
      <c r="AD366" s="524" t="str">
        <f>IF(LANÇ_MOV[[#This Row],[DATA DE LANÇAMENTO]]="","",TEXT(LANÇ_MOV[[#This Row],[DATA DE LANÇAMENTO]],"D"))</f>
        <v>1</v>
      </c>
      <c r="AE366" s="526" t="str">
        <f>IF(LANÇ_MOV[[#This Row],[DATA DE VENCIMENTO]]="","",TEXT(LANÇ_MOV[[#This Row],[DATA DE VENCIMENTO]],"AAAA"))</f>
        <v>2025</v>
      </c>
      <c r="AF366" s="526" t="str">
        <f>IF(LANÇ_MOV[[#This Row],[DATA DE VENCIMENTO]]="","",UPPER(TEXT(LANÇ_MOV[[#This Row],[DATA DE VENCIMENTO]],"MMMM")))</f>
        <v>MAIO</v>
      </c>
      <c r="AG366" s="526" t="str">
        <f>IF(LANÇ_MOV[[#This Row],[DATA DE VENCIMENTO]]="","",TEXT(LANÇ_MOV[[#This Row],[DATA DE VENCIMENTO]],"M"))</f>
        <v>5</v>
      </c>
      <c r="AH366" s="526" t="str">
        <f>IF(LANÇ_MOV[[#This Row],[DATA DE VENCIMENTO]]="","",TEXT(LANÇ_MOV[[#This Row],[DATA DE VENCIMENTO]],"D"))</f>
        <v>23</v>
      </c>
      <c r="AI366" s="526" t="str">
        <f>IF(LANÇ_MOV[[#This Row],[DATA DE PAGAMENTO]]="","",TEXT(LANÇ_MOV[[#This Row],[DATA DE PAGAMENTO]],"AAAA"))</f>
        <v/>
      </c>
      <c r="AJ366" s="527" t="str">
        <f>IF(LANÇ_MOV[[#This Row],[DATA DE PAGAMENTO]]="","",UPPER(TEXT(LANÇ_MOV[[#This Row],[DATA DE PAGAMENTO]],"MMMM")))</f>
        <v/>
      </c>
      <c r="AK366" s="527" t="str">
        <f>IF(LANÇ_MOV[[#This Row],[DATA DE PAGAMENTO]]="","",TEXT(LANÇ_MOV[[#This Row],[DATA DE PAGAMENTO]],"M"))</f>
        <v/>
      </c>
      <c r="AL366" s="526" t="str">
        <f>IF(LANÇ_MOV[[#This Row],[DATA DE PAGAMENTO]]="","",TEXT(LANÇ_MOV[[#This Row],[DATA DE PAGAMENTO]],"D"))</f>
        <v/>
      </c>
      <c r="AM366" s="27"/>
      <c r="BB366" s="112"/>
      <c r="BC366" s="112"/>
      <c r="BD366" s="112"/>
    </row>
    <row r="367" spans="2:56" ht="30.05" customHeight="1" x14ac:dyDescent="0.35">
      <c r="B367" s="506">
        <v>45931</v>
      </c>
      <c r="C367" s="507" t="s">
        <v>1661</v>
      </c>
      <c r="D367" s="508" t="s">
        <v>1854</v>
      </c>
      <c r="E367" s="509" t="s">
        <v>1440</v>
      </c>
      <c r="F367" s="510" t="s">
        <v>1839</v>
      </c>
      <c r="G367" s="507" t="s">
        <v>1926</v>
      </c>
      <c r="H367" s="511" t="s">
        <v>1927</v>
      </c>
      <c r="I367" s="512" t="s">
        <v>1760</v>
      </c>
      <c r="J367" s="510">
        <v>718.38</v>
      </c>
      <c r="K367" s="513">
        <v>0</v>
      </c>
      <c r="L367" s="513">
        <v>0</v>
      </c>
      <c r="M367" s="513">
        <v>0</v>
      </c>
      <c r="N367" s="514">
        <f>LANÇ_MOV[[#This Row],[VALOR BRUTO]]-LANÇ_MOV[[#This Row],[DESCONTO]]+LANÇ_MOV[[#This Row],[JUROS]]+LANÇ_MOV[[#This Row],[MULTA]]</f>
        <v>718.38</v>
      </c>
      <c r="O367" s="528">
        <v>45797</v>
      </c>
      <c r="P367" s="516" t="str">
        <f t="shared" ca="1" si="5"/>
        <v>Venceu</v>
      </c>
      <c r="Q367" s="528"/>
      <c r="R367" s="529" t="s">
        <v>1506</v>
      </c>
      <c r="S367" s="518"/>
      <c r="T367" s="518" t="s">
        <v>1776</v>
      </c>
      <c r="U367" s="519" t="s">
        <v>2007</v>
      </c>
      <c r="V367" s="520" t="str">
        <f>IFERROR(VLOOKUP(LANÇ_MOV[[#This Row],[PLANO DE CONTAS]],Plano_Contas[[PLANO DE CONTAS]:[R / D]],3,0),"")</f>
        <v>Despesa</v>
      </c>
      <c r="W367" s="521" t="str">
        <f>IF(LANÇ_MOV[[#This Row],[DATA DE PAGAMENTO]]&lt;&gt;"","Pago","Não Pago")</f>
        <v>Não Pago</v>
      </c>
      <c r="X367" s="522" t="str">
        <f>IFERROR(IF(LANÇ_MOV[[#This Row],[DATA DE PAGAMENTO]]="","",(UPPER(TEXT(LANÇ_MOV[[#This Row],[DATA DE PAGAMENTO]],"mmmm")))),"")</f>
        <v/>
      </c>
      <c r="Y367" s="523" t="str">
        <f>IFERROR(VLOOKUP(LANÇ_MOV[[#This Row],[PLANO DE CONTAS]],Plano_Contas[[PLANO DE CONTAS]:[NOMES INTERVALOS]],2,0),"")</f>
        <v>Despesas_Endividamentos</v>
      </c>
      <c r="Z367" s="523" t="str">
        <f>IF(LANÇ_MOV[[#This Row],[FORMA DE PAGAMENTO]]="","",VLOOKUP(LANÇ_MOV[[#This Row],[FORMA DE PAGAMENTO]],CAD_Forma_pagto[],2,0))</f>
        <v>BOLETO</v>
      </c>
      <c r="AA367" s="524" t="str">
        <f>IF(LANÇ_MOV[[#This Row],[DATA DE LANÇAMENTO]]="","",TEXT(LANÇ_MOV[[#This Row],[DATA DE LANÇAMENTO]],"AAAA"))</f>
        <v>2025</v>
      </c>
      <c r="AB367" s="524" t="str">
        <f>IF(LANÇ_MOV[[#This Row],[DATA DE LANÇAMENTO]]="","",UPPER(TEXT(LANÇ_MOV[[#This Row],[DATA DE LANÇAMENTO]],"MMMM")))</f>
        <v>OUTUBRO</v>
      </c>
      <c r="AC367" s="525" t="str">
        <f>IF(LANÇ_MOV[[#This Row],[DATA DE LANÇAMENTO]]="","",PROPER(TEXT(LANÇ_MOV[[#This Row],[DATA DE LANÇAMENTO]],"M")))</f>
        <v>10</v>
      </c>
      <c r="AD367" s="524" t="str">
        <f>IF(LANÇ_MOV[[#This Row],[DATA DE LANÇAMENTO]]="","",TEXT(LANÇ_MOV[[#This Row],[DATA DE LANÇAMENTO]],"D"))</f>
        <v>1</v>
      </c>
      <c r="AE367" s="526" t="str">
        <f>IF(LANÇ_MOV[[#This Row],[DATA DE VENCIMENTO]]="","",TEXT(LANÇ_MOV[[#This Row],[DATA DE VENCIMENTO]],"AAAA"))</f>
        <v>2025</v>
      </c>
      <c r="AF367" s="526" t="str">
        <f>IF(LANÇ_MOV[[#This Row],[DATA DE VENCIMENTO]]="","",UPPER(TEXT(LANÇ_MOV[[#This Row],[DATA DE VENCIMENTO]],"MMMM")))</f>
        <v>MAIO</v>
      </c>
      <c r="AG367" s="526" t="str">
        <f>IF(LANÇ_MOV[[#This Row],[DATA DE VENCIMENTO]]="","",TEXT(LANÇ_MOV[[#This Row],[DATA DE VENCIMENTO]],"M"))</f>
        <v>5</v>
      </c>
      <c r="AH367" s="526" t="str">
        <f>IF(LANÇ_MOV[[#This Row],[DATA DE VENCIMENTO]]="","",TEXT(LANÇ_MOV[[#This Row],[DATA DE VENCIMENTO]],"D"))</f>
        <v>20</v>
      </c>
      <c r="AI367" s="526" t="str">
        <f>IF(LANÇ_MOV[[#This Row],[DATA DE PAGAMENTO]]="","",TEXT(LANÇ_MOV[[#This Row],[DATA DE PAGAMENTO]],"AAAA"))</f>
        <v/>
      </c>
      <c r="AJ367" s="527" t="str">
        <f>IF(LANÇ_MOV[[#This Row],[DATA DE PAGAMENTO]]="","",UPPER(TEXT(LANÇ_MOV[[#This Row],[DATA DE PAGAMENTO]],"MMMM")))</f>
        <v/>
      </c>
      <c r="AK367" s="527" t="str">
        <f>IF(LANÇ_MOV[[#This Row],[DATA DE PAGAMENTO]]="","",TEXT(LANÇ_MOV[[#This Row],[DATA DE PAGAMENTO]],"M"))</f>
        <v/>
      </c>
      <c r="AL367" s="526" t="str">
        <f>IF(LANÇ_MOV[[#This Row],[DATA DE PAGAMENTO]]="","",TEXT(LANÇ_MOV[[#This Row],[DATA DE PAGAMENTO]],"D"))</f>
        <v/>
      </c>
      <c r="AM367" s="27"/>
      <c r="BB367" s="112"/>
      <c r="BC367" s="112"/>
      <c r="BD367" s="112"/>
    </row>
    <row r="368" spans="2:56" ht="30.05" customHeight="1" x14ac:dyDescent="0.35">
      <c r="B368" s="506">
        <v>45931</v>
      </c>
      <c r="C368" s="507" t="s">
        <v>1661</v>
      </c>
      <c r="D368" s="508" t="s">
        <v>1854</v>
      </c>
      <c r="E368" s="509" t="s">
        <v>1440</v>
      </c>
      <c r="F368" s="510" t="s">
        <v>1838</v>
      </c>
      <c r="G368" s="507" t="s">
        <v>1926</v>
      </c>
      <c r="H368" s="511" t="s">
        <v>1927</v>
      </c>
      <c r="I368" s="512" t="s">
        <v>1760</v>
      </c>
      <c r="J368" s="510">
        <v>1557.89</v>
      </c>
      <c r="K368" s="513">
        <v>0</v>
      </c>
      <c r="L368" s="513">
        <v>0</v>
      </c>
      <c r="M368" s="513">
        <v>0</v>
      </c>
      <c r="N368" s="514">
        <f>LANÇ_MOV[[#This Row],[VALOR BRUTO]]-LANÇ_MOV[[#This Row],[DESCONTO]]+LANÇ_MOV[[#This Row],[JUROS]]+LANÇ_MOV[[#This Row],[MULTA]]</f>
        <v>1557.89</v>
      </c>
      <c r="O368" s="528">
        <v>45797</v>
      </c>
      <c r="P368" s="516" t="str">
        <f t="shared" ca="1" si="5"/>
        <v>Venceu</v>
      </c>
      <c r="Q368" s="528"/>
      <c r="R368" s="529" t="s">
        <v>1506</v>
      </c>
      <c r="S368" s="518"/>
      <c r="T368" s="518" t="s">
        <v>1776</v>
      </c>
      <c r="U368" s="519" t="s">
        <v>2007</v>
      </c>
      <c r="V368" s="520" t="str">
        <f>IFERROR(VLOOKUP(LANÇ_MOV[[#This Row],[PLANO DE CONTAS]],Plano_Contas[[PLANO DE CONTAS]:[R / D]],3,0),"")</f>
        <v>Despesa</v>
      </c>
      <c r="W368" s="521" t="str">
        <f>IF(LANÇ_MOV[[#This Row],[DATA DE PAGAMENTO]]&lt;&gt;"","Pago","Não Pago")</f>
        <v>Não Pago</v>
      </c>
      <c r="X368" s="522" t="str">
        <f>IFERROR(IF(LANÇ_MOV[[#This Row],[DATA DE PAGAMENTO]]="","",(UPPER(TEXT(LANÇ_MOV[[#This Row],[DATA DE PAGAMENTO]],"mmmm")))),"")</f>
        <v/>
      </c>
      <c r="Y368" s="523" t="str">
        <f>IFERROR(VLOOKUP(LANÇ_MOV[[#This Row],[PLANO DE CONTAS]],Plano_Contas[[PLANO DE CONTAS]:[NOMES INTERVALOS]],2,0),"")</f>
        <v>Despesas_Endividamentos</v>
      </c>
      <c r="Z368" s="523" t="str">
        <f>IF(LANÇ_MOV[[#This Row],[FORMA DE PAGAMENTO]]="","",VLOOKUP(LANÇ_MOV[[#This Row],[FORMA DE PAGAMENTO]],CAD_Forma_pagto[],2,0))</f>
        <v>BOLETO</v>
      </c>
      <c r="AA368" s="524" t="str">
        <f>IF(LANÇ_MOV[[#This Row],[DATA DE LANÇAMENTO]]="","",TEXT(LANÇ_MOV[[#This Row],[DATA DE LANÇAMENTO]],"AAAA"))</f>
        <v>2025</v>
      </c>
      <c r="AB368" s="524" t="str">
        <f>IF(LANÇ_MOV[[#This Row],[DATA DE LANÇAMENTO]]="","",UPPER(TEXT(LANÇ_MOV[[#This Row],[DATA DE LANÇAMENTO]],"MMMM")))</f>
        <v>OUTUBRO</v>
      </c>
      <c r="AC368" s="525" t="str">
        <f>IF(LANÇ_MOV[[#This Row],[DATA DE LANÇAMENTO]]="","",PROPER(TEXT(LANÇ_MOV[[#This Row],[DATA DE LANÇAMENTO]],"M")))</f>
        <v>10</v>
      </c>
      <c r="AD368" s="524" t="str">
        <f>IF(LANÇ_MOV[[#This Row],[DATA DE LANÇAMENTO]]="","",TEXT(LANÇ_MOV[[#This Row],[DATA DE LANÇAMENTO]],"D"))</f>
        <v>1</v>
      </c>
      <c r="AE368" s="526" t="str">
        <f>IF(LANÇ_MOV[[#This Row],[DATA DE VENCIMENTO]]="","",TEXT(LANÇ_MOV[[#This Row],[DATA DE VENCIMENTO]],"AAAA"))</f>
        <v>2025</v>
      </c>
      <c r="AF368" s="526" t="str">
        <f>IF(LANÇ_MOV[[#This Row],[DATA DE VENCIMENTO]]="","",UPPER(TEXT(LANÇ_MOV[[#This Row],[DATA DE VENCIMENTO]],"MMMM")))</f>
        <v>MAIO</v>
      </c>
      <c r="AG368" s="526" t="str">
        <f>IF(LANÇ_MOV[[#This Row],[DATA DE VENCIMENTO]]="","",TEXT(LANÇ_MOV[[#This Row],[DATA DE VENCIMENTO]],"M"))</f>
        <v>5</v>
      </c>
      <c r="AH368" s="526" t="str">
        <f>IF(LANÇ_MOV[[#This Row],[DATA DE VENCIMENTO]]="","",TEXT(LANÇ_MOV[[#This Row],[DATA DE VENCIMENTO]],"D"))</f>
        <v>20</v>
      </c>
      <c r="AI368" s="526" t="str">
        <f>IF(LANÇ_MOV[[#This Row],[DATA DE PAGAMENTO]]="","",TEXT(LANÇ_MOV[[#This Row],[DATA DE PAGAMENTO]],"AAAA"))</f>
        <v/>
      </c>
      <c r="AJ368" s="527" t="str">
        <f>IF(LANÇ_MOV[[#This Row],[DATA DE PAGAMENTO]]="","",UPPER(TEXT(LANÇ_MOV[[#This Row],[DATA DE PAGAMENTO]],"MMMM")))</f>
        <v/>
      </c>
      <c r="AK368" s="527" t="str">
        <f>IF(LANÇ_MOV[[#This Row],[DATA DE PAGAMENTO]]="","",TEXT(LANÇ_MOV[[#This Row],[DATA DE PAGAMENTO]],"M"))</f>
        <v/>
      </c>
      <c r="AL368" s="526" t="str">
        <f>IF(LANÇ_MOV[[#This Row],[DATA DE PAGAMENTO]]="","",TEXT(LANÇ_MOV[[#This Row],[DATA DE PAGAMENTO]],"D"))</f>
        <v/>
      </c>
      <c r="AM368" s="27"/>
      <c r="BB368" s="112"/>
      <c r="BC368" s="112"/>
      <c r="BD368" s="112"/>
    </row>
    <row r="369" spans="2:56" ht="30.05" customHeight="1" x14ac:dyDescent="0.35">
      <c r="B369" s="506">
        <v>45931</v>
      </c>
      <c r="C369" s="507" t="s">
        <v>1661</v>
      </c>
      <c r="D369" s="508" t="s">
        <v>1854</v>
      </c>
      <c r="E369" s="509" t="s">
        <v>1440</v>
      </c>
      <c r="F369" s="510" t="s">
        <v>1838</v>
      </c>
      <c r="G369" s="507" t="s">
        <v>1926</v>
      </c>
      <c r="H369" s="511" t="s">
        <v>1927</v>
      </c>
      <c r="I369" s="512" t="s">
        <v>1760</v>
      </c>
      <c r="J369" s="510">
        <v>77.89</v>
      </c>
      <c r="K369" s="513">
        <v>0</v>
      </c>
      <c r="L369" s="513">
        <v>0</v>
      </c>
      <c r="M369" s="513">
        <v>0</v>
      </c>
      <c r="N369" s="514">
        <f>LANÇ_MOV[[#This Row],[VALOR BRUTO]]-LANÇ_MOV[[#This Row],[DESCONTO]]+LANÇ_MOV[[#This Row],[JUROS]]+LANÇ_MOV[[#This Row],[MULTA]]</f>
        <v>77.89</v>
      </c>
      <c r="O369" s="528">
        <v>45797</v>
      </c>
      <c r="P369" s="516" t="str">
        <f t="shared" ca="1" si="5"/>
        <v>Venceu</v>
      </c>
      <c r="Q369" s="528"/>
      <c r="R369" s="529" t="s">
        <v>1506</v>
      </c>
      <c r="S369" s="518"/>
      <c r="T369" s="518" t="s">
        <v>1776</v>
      </c>
      <c r="U369" s="519" t="s">
        <v>2007</v>
      </c>
      <c r="V369" s="520" t="str">
        <f>IFERROR(VLOOKUP(LANÇ_MOV[[#This Row],[PLANO DE CONTAS]],Plano_Contas[[PLANO DE CONTAS]:[R / D]],3,0),"")</f>
        <v>Despesa</v>
      </c>
      <c r="W369" s="521" t="str">
        <f>IF(LANÇ_MOV[[#This Row],[DATA DE PAGAMENTO]]&lt;&gt;"","Pago","Não Pago")</f>
        <v>Não Pago</v>
      </c>
      <c r="X369" s="522" t="str">
        <f>IFERROR(IF(LANÇ_MOV[[#This Row],[DATA DE PAGAMENTO]]="","",(UPPER(TEXT(LANÇ_MOV[[#This Row],[DATA DE PAGAMENTO]],"mmmm")))),"")</f>
        <v/>
      </c>
      <c r="Y369" s="523" t="str">
        <f>IFERROR(VLOOKUP(LANÇ_MOV[[#This Row],[PLANO DE CONTAS]],Plano_Contas[[PLANO DE CONTAS]:[NOMES INTERVALOS]],2,0),"")</f>
        <v>Despesas_Endividamentos</v>
      </c>
      <c r="Z369" s="523" t="str">
        <f>IF(LANÇ_MOV[[#This Row],[FORMA DE PAGAMENTO]]="","",VLOOKUP(LANÇ_MOV[[#This Row],[FORMA DE PAGAMENTO]],CAD_Forma_pagto[],2,0))</f>
        <v>BOLETO</v>
      </c>
      <c r="AA369" s="524" t="str">
        <f>IF(LANÇ_MOV[[#This Row],[DATA DE LANÇAMENTO]]="","",TEXT(LANÇ_MOV[[#This Row],[DATA DE LANÇAMENTO]],"AAAA"))</f>
        <v>2025</v>
      </c>
      <c r="AB369" s="524" t="str">
        <f>IF(LANÇ_MOV[[#This Row],[DATA DE LANÇAMENTO]]="","",UPPER(TEXT(LANÇ_MOV[[#This Row],[DATA DE LANÇAMENTO]],"MMMM")))</f>
        <v>OUTUBRO</v>
      </c>
      <c r="AC369" s="525" t="str">
        <f>IF(LANÇ_MOV[[#This Row],[DATA DE LANÇAMENTO]]="","",PROPER(TEXT(LANÇ_MOV[[#This Row],[DATA DE LANÇAMENTO]],"M")))</f>
        <v>10</v>
      </c>
      <c r="AD369" s="524" t="str">
        <f>IF(LANÇ_MOV[[#This Row],[DATA DE LANÇAMENTO]]="","",TEXT(LANÇ_MOV[[#This Row],[DATA DE LANÇAMENTO]],"D"))</f>
        <v>1</v>
      </c>
      <c r="AE369" s="526" t="str">
        <f>IF(LANÇ_MOV[[#This Row],[DATA DE VENCIMENTO]]="","",TEXT(LANÇ_MOV[[#This Row],[DATA DE VENCIMENTO]],"AAAA"))</f>
        <v>2025</v>
      </c>
      <c r="AF369" s="526" t="str">
        <f>IF(LANÇ_MOV[[#This Row],[DATA DE VENCIMENTO]]="","",UPPER(TEXT(LANÇ_MOV[[#This Row],[DATA DE VENCIMENTO]],"MMMM")))</f>
        <v>MAIO</v>
      </c>
      <c r="AG369" s="526" t="str">
        <f>IF(LANÇ_MOV[[#This Row],[DATA DE VENCIMENTO]]="","",TEXT(LANÇ_MOV[[#This Row],[DATA DE VENCIMENTO]],"M"))</f>
        <v>5</v>
      </c>
      <c r="AH369" s="526" t="str">
        <f>IF(LANÇ_MOV[[#This Row],[DATA DE VENCIMENTO]]="","",TEXT(LANÇ_MOV[[#This Row],[DATA DE VENCIMENTO]],"D"))</f>
        <v>20</v>
      </c>
      <c r="AI369" s="526" t="str">
        <f>IF(LANÇ_MOV[[#This Row],[DATA DE PAGAMENTO]]="","",TEXT(LANÇ_MOV[[#This Row],[DATA DE PAGAMENTO]],"AAAA"))</f>
        <v/>
      </c>
      <c r="AJ369" s="527" t="str">
        <f>IF(LANÇ_MOV[[#This Row],[DATA DE PAGAMENTO]]="","",UPPER(TEXT(LANÇ_MOV[[#This Row],[DATA DE PAGAMENTO]],"MMMM")))</f>
        <v/>
      </c>
      <c r="AK369" s="527" t="str">
        <f>IF(LANÇ_MOV[[#This Row],[DATA DE PAGAMENTO]]="","",TEXT(LANÇ_MOV[[#This Row],[DATA DE PAGAMENTO]],"M"))</f>
        <v/>
      </c>
      <c r="AL369" s="526" t="str">
        <f>IF(LANÇ_MOV[[#This Row],[DATA DE PAGAMENTO]]="","",TEXT(LANÇ_MOV[[#This Row],[DATA DE PAGAMENTO]],"D"))</f>
        <v/>
      </c>
      <c r="AM369" s="27"/>
      <c r="BB369" s="112"/>
      <c r="BC369" s="112"/>
      <c r="BD369" s="112"/>
    </row>
    <row r="370" spans="2:56" ht="30.05" customHeight="1" x14ac:dyDescent="0.35">
      <c r="B370" s="506">
        <v>45931</v>
      </c>
      <c r="C370" s="507" t="s">
        <v>1661</v>
      </c>
      <c r="D370" s="508" t="s">
        <v>1854</v>
      </c>
      <c r="E370" s="509" t="s">
        <v>1440</v>
      </c>
      <c r="F370" s="510" t="s">
        <v>1840</v>
      </c>
      <c r="G370" s="507" t="s">
        <v>1926</v>
      </c>
      <c r="H370" s="511" t="s">
        <v>1927</v>
      </c>
      <c r="I370" s="512" t="s">
        <v>1760</v>
      </c>
      <c r="J370" s="510">
        <v>194.73</v>
      </c>
      <c r="K370" s="513">
        <v>0</v>
      </c>
      <c r="L370" s="513">
        <v>0</v>
      </c>
      <c r="M370" s="513">
        <v>0</v>
      </c>
      <c r="N370" s="514">
        <f>LANÇ_MOV[[#This Row],[VALOR BRUTO]]-LANÇ_MOV[[#This Row],[DESCONTO]]+LANÇ_MOV[[#This Row],[JUROS]]+LANÇ_MOV[[#This Row],[MULTA]]</f>
        <v>194.73</v>
      </c>
      <c r="O370" s="528">
        <v>45797</v>
      </c>
      <c r="P370" s="516" t="str">
        <f t="shared" ca="1" si="5"/>
        <v>Venceu</v>
      </c>
      <c r="Q370" s="528"/>
      <c r="R370" s="529" t="s">
        <v>1506</v>
      </c>
      <c r="S370" s="518"/>
      <c r="T370" s="518" t="s">
        <v>1776</v>
      </c>
      <c r="U370" s="519" t="s">
        <v>2007</v>
      </c>
      <c r="V370" s="520" t="str">
        <f>IFERROR(VLOOKUP(LANÇ_MOV[[#This Row],[PLANO DE CONTAS]],Plano_Contas[[PLANO DE CONTAS]:[R / D]],3,0),"")</f>
        <v>Despesa</v>
      </c>
      <c r="W370" s="521" t="str">
        <f>IF(LANÇ_MOV[[#This Row],[DATA DE PAGAMENTO]]&lt;&gt;"","Pago","Não Pago")</f>
        <v>Não Pago</v>
      </c>
      <c r="X370" s="522" t="str">
        <f>IFERROR(IF(LANÇ_MOV[[#This Row],[DATA DE PAGAMENTO]]="","",(UPPER(TEXT(LANÇ_MOV[[#This Row],[DATA DE PAGAMENTO]],"mmmm")))),"")</f>
        <v/>
      </c>
      <c r="Y370" s="523" t="str">
        <f>IFERROR(VLOOKUP(LANÇ_MOV[[#This Row],[PLANO DE CONTAS]],Plano_Contas[[PLANO DE CONTAS]:[NOMES INTERVALOS]],2,0),"")</f>
        <v>Despesas_Endividamentos</v>
      </c>
      <c r="Z370" s="523" t="str">
        <f>IF(LANÇ_MOV[[#This Row],[FORMA DE PAGAMENTO]]="","",VLOOKUP(LANÇ_MOV[[#This Row],[FORMA DE PAGAMENTO]],CAD_Forma_pagto[],2,0))</f>
        <v>BOLETO</v>
      </c>
      <c r="AA370" s="524" t="str">
        <f>IF(LANÇ_MOV[[#This Row],[DATA DE LANÇAMENTO]]="","",TEXT(LANÇ_MOV[[#This Row],[DATA DE LANÇAMENTO]],"AAAA"))</f>
        <v>2025</v>
      </c>
      <c r="AB370" s="524" t="str">
        <f>IF(LANÇ_MOV[[#This Row],[DATA DE LANÇAMENTO]]="","",UPPER(TEXT(LANÇ_MOV[[#This Row],[DATA DE LANÇAMENTO]],"MMMM")))</f>
        <v>OUTUBRO</v>
      </c>
      <c r="AC370" s="525" t="str">
        <f>IF(LANÇ_MOV[[#This Row],[DATA DE LANÇAMENTO]]="","",PROPER(TEXT(LANÇ_MOV[[#This Row],[DATA DE LANÇAMENTO]],"M")))</f>
        <v>10</v>
      </c>
      <c r="AD370" s="524" t="str">
        <f>IF(LANÇ_MOV[[#This Row],[DATA DE LANÇAMENTO]]="","",TEXT(LANÇ_MOV[[#This Row],[DATA DE LANÇAMENTO]],"D"))</f>
        <v>1</v>
      </c>
      <c r="AE370" s="526" t="str">
        <f>IF(LANÇ_MOV[[#This Row],[DATA DE VENCIMENTO]]="","",TEXT(LANÇ_MOV[[#This Row],[DATA DE VENCIMENTO]],"AAAA"))</f>
        <v>2025</v>
      </c>
      <c r="AF370" s="526" t="str">
        <f>IF(LANÇ_MOV[[#This Row],[DATA DE VENCIMENTO]]="","",UPPER(TEXT(LANÇ_MOV[[#This Row],[DATA DE VENCIMENTO]],"MMMM")))</f>
        <v>MAIO</v>
      </c>
      <c r="AG370" s="526" t="str">
        <f>IF(LANÇ_MOV[[#This Row],[DATA DE VENCIMENTO]]="","",TEXT(LANÇ_MOV[[#This Row],[DATA DE VENCIMENTO]],"M"))</f>
        <v>5</v>
      </c>
      <c r="AH370" s="526" t="str">
        <f>IF(LANÇ_MOV[[#This Row],[DATA DE VENCIMENTO]]="","",TEXT(LANÇ_MOV[[#This Row],[DATA DE VENCIMENTO]],"D"))</f>
        <v>20</v>
      </c>
      <c r="AI370" s="526" t="str">
        <f>IF(LANÇ_MOV[[#This Row],[DATA DE PAGAMENTO]]="","",TEXT(LANÇ_MOV[[#This Row],[DATA DE PAGAMENTO]],"AAAA"))</f>
        <v/>
      </c>
      <c r="AJ370" s="527" t="str">
        <f>IF(LANÇ_MOV[[#This Row],[DATA DE PAGAMENTO]]="","",UPPER(TEXT(LANÇ_MOV[[#This Row],[DATA DE PAGAMENTO]],"MMMM")))</f>
        <v/>
      </c>
      <c r="AK370" s="527" t="str">
        <f>IF(LANÇ_MOV[[#This Row],[DATA DE PAGAMENTO]]="","",TEXT(LANÇ_MOV[[#This Row],[DATA DE PAGAMENTO]],"M"))</f>
        <v/>
      </c>
      <c r="AL370" s="526" t="str">
        <f>IF(LANÇ_MOV[[#This Row],[DATA DE PAGAMENTO]]="","",TEXT(LANÇ_MOV[[#This Row],[DATA DE PAGAMENTO]],"D"))</f>
        <v/>
      </c>
      <c r="AM370" s="27"/>
      <c r="BB370" s="112"/>
      <c r="BC370" s="112"/>
      <c r="BD370" s="112"/>
    </row>
    <row r="371" spans="2:56" ht="30.05" customHeight="1" x14ac:dyDescent="0.35">
      <c r="B371" s="506">
        <v>45931</v>
      </c>
      <c r="C371" s="507" t="s">
        <v>1661</v>
      </c>
      <c r="D371" s="508" t="s">
        <v>1854</v>
      </c>
      <c r="E371" s="509" t="s">
        <v>1440</v>
      </c>
      <c r="F371" s="510" t="s">
        <v>1840</v>
      </c>
      <c r="G371" s="507" t="s">
        <v>1926</v>
      </c>
      <c r="H371" s="511" t="s">
        <v>1927</v>
      </c>
      <c r="I371" s="512" t="s">
        <v>1760</v>
      </c>
      <c r="J371" s="518">
        <v>15.57</v>
      </c>
      <c r="K371" s="513">
        <v>0</v>
      </c>
      <c r="L371" s="513">
        <v>0</v>
      </c>
      <c r="M371" s="513">
        <v>0</v>
      </c>
      <c r="N371" s="514">
        <f>LANÇ_MOV[[#This Row],[VALOR BRUTO]]-LANÇ_MOV[[#This Row],[DESCONTO]]+LANÇ_MOV[[#This Row],[JUROS]]+LANÇ_MOV[[#This Row],[MULTA]]</f>
        <v>15.57</v>
      </c>
      <c r="O371" s="528">
        <v>45797</v>
      </c>
      <c r="P371" s="516" t="str">
        <f t="shared" ca="1" si="5"/>
        <v>Venceu</v>
      </c>
      <c r="Q371" s="528"/>
      <c r="R371" s="529" t="s">
        <v>1506</v>
      </c>
      <c r="S371" s="518"/>
      <c r="T371" s="518" t="s">
        <v>1776</v>
      </c>
      <c r="U371" s="519" t="s">
        <v>2007</v>
      </c>
      <c r="V371" s="520" t="str">
        <f>IFERROR(VLOOKUP(LANÇ_MOV[[#This Row],[PLANO DE CONTAS]],Plano_Contas[[PLANO DE CONTAS]:[R / D]],3,0),"")</f>
        <v>Despesa</v>
      </c>
      <c r="W371" s="521" t="str">
        <f>IF(LANÇ_MOV[[#This Row],[DATA DE PAGAMENTO]]&lt;&gt;"","Pago","Não Pago")</f>
        <v>Não Pago</v>
      </c>
      <c r="X371" s="522" t="str">
        <f>IFERROR(IF(LANÇ_MOV[[#This Row],[DATA DE PAGAMENTO]]="","",(UPPER(TEXT(LANÇ_MOV[[#This Row],[DATA DE PAGAMENTO]],"mmmm")))),"")</f>
        <v/>
      </c>
      <c r="Y371" s="523" t="str">
        <f>IFERROR(VLOOKUP(LANÇ_MOV[[#This Row],[PLANO DE CONTAS]],Plano_Contas[[PLANO DE CONTAS]:[NOMES INTERVALOS]],2,0),"")</f>
        <v>Despesas_Endividamentos</v>
      </c>
      <c r="Z371" s="523" t="str">
        <f>IF(LANÇ_MOV[[#This Row],[FORMA DE PAGAMENTO]]="","",VLOOKUP(LANÇ_MOV[[#This Row],[FORMA DE PAGAMENTO]],CAD_Forma_pagto[],2,0))</f>
        <v>BOLETO</v>
      </c>
      <c r="AA371" s="524" t="str">
        <f>IF(LANÇ_MOV[[#This Row],[DATA DE LANÇAMENTO]]="","",TEXT(LANÇ_MOV[[#This Row],[DATA DE LANÇAMENTO]],"AAAA"))</f>
        <v>2025</v>
      </c>
      <c r="AB371" s="524" t="str">
        <f>IF(LANÇ_MOV[[#This Row],[DATA DE LANÇAMENTO]]="","",UPPER(TEXT(LANÇ_MOV[[#This Row],[DATA DE LANÇAMENTO]],"MMMM")))</f>
        <v>OUTUBRO</v>
      </c>
      <c r="AC371" s="525" t="str">
        <f>IF(LANÇ_MOV[[#This Row],[DATA DE LANÇAMENTO]]="","",PROPER(TEXT(LANÇ_MOV[[#This Row],[DATA DE LANÇAMENTO]],"M")))</f>
        <v>10</v>
      </c>
      <c r="AD371" s="524" t="str">
        <f>IF(LANÇ_MOV[[#This Row],[DATA DE LANÇAMENTO]]="","",TEXT(LANÇ_MOV[[#This Row],[DATA DE LANÇAMENTO]],"D"))</f>
        <v>1</v>
      </c>
      <c r="AE371" s="526" t="str">
        <f>IF(LANÇ_MOV[[#This Row],[DATA DE VENCIMENTO]]="","",TEXT(LANÇ_MOV[[#This Row],[DATA DE VENCIMENTO]],"AAAA"))</f>
        <v>2025</v>
      </c>
      <c r="AF371" s="526" t="str">
        <f>IF(LANÇ_MOV[[#This Row],[DATA DE VENCIMENTO]]="","",UPPER(TEXT(LANÇ_MOV[[#This Row],[DATA DE VENCIMENTO]],"MMMM")))</f>
        <v>MAIO</v>
      </c>
      <c r="AG371" s="526" t="str">
        <f>IF(LANÇ_MOV[[#This Row],[DATA DE VENCIMENTO]]="","",TEXT(LANÇ_MOV[[#This Row],[DATA DE VENCIMENTO]],"M"))</f>
        <v>5</v>
      </c>
      <c r="AH371" s="526" t="str">
        <f>IF(LANÇ_MOV[[#This Row],[DATA DE VENCIMENTO]]="","",TEXT(LANÇ_MOV[[#This Row],[DATA DE VENCIMENTO]],"D"))</f>
        <v>20</v>
      </c>
      <c r="AI371" s="526" t="str">
        <f>IF(LANÇ_MOV[[#This Row],[DATA DE PAGAMENTO]]="","",TEXT(LANÇ_MOV[[#This Row],[DATA DE PAGAMENTO]],"AAAA"))</f>
        <v/>
      </c>
      <c r="AJ371" s="527" t="str">
        <f>IF(LANÇ_MOV[[#This Row],[DATA DE PAGAMENTO]]="","",UPPER(TEXT(LANÇ_MOV[[#This Row],[DATA DE PAGAMENTO]],"MMMM")))</f>
        <v/>
      </c>
      <c r="AK371" s="527" t="str">
        <f>IF(LANÇ_MOV[[#This Row],[DATA DE PAGAMENTO]]="","",TEXT(LANÇ_MOV[[#This Row],[DATA DE PAGAMENTO]],"M"))</f>
        <v/>
      </c>
      <c r="AL371" s="526" t="str">
        <f>IF(LANÇ_MOV[[#This Row],[DATA DE PAGAMENTO]]="","",TEXT(LANÇ_MOV[[#This Row],[DATA DE PAGAMENTO]],"D"))</f>
        <v/>
      </c>
      <c r="AM371" s="27"/>
      <c r="BB371" s="112"/>
      <c r="BC371" s="112"/>
      <c r="BD371" s="112"/>
    </row>
    <row r="372" spans="2:56" ht="30.05" customHeight="1" x14ac:dyDescent="0.35">
      <c r="B372" s="506">
        <v>45931</v>
      </c>
      <c r="C372" s="507" t="s">
        <v>1661</v>
      </c>
      <c r="D372" s="508" t="s">
        <v>1854</v>
      </c>
      <c r="E372" s="509" t="s">
        <v>1440</v>
      </c>
      <c r="F372" s="510" t="s">
        <v>1840</v>
      </c>
      <c r="G372" s="507" t="s">
        <v>1926</v>
      </c>
      <c r="H372" s="511" t="s">
        <v>1927</v>
      </c>
      <c r="I372" s="512" t="s">
        <v>1760</v>
      </c>
      <c r="J372" s="518">
        <v>116.84</v>
      </c>
      <c r="K372" s="513">
        <v>0</v>
      </c>
      <c r="L372" s="513">
        <v>0</v>
      </c>
      <c r="M372" s="513">
        <v>0</v>
      </c>
      <c r="N372" s="514">
        <f>LANÇ_MOV[[#This Row],[VALOR BRUTO]]-LANÇ_MOV[[#This Row],[DESCONTO]]+LANÇ_MOV[[#This Row],[JUROS]]+LANÇ_MOV[[#This Row],[MULTA]]</f>
        <v>116.84</v>
      </c>
      <c r="O372" s="528">
        <v>45797</v>
      </c>
      <c r="P372" s="516" t="str">
        <f t="shared" ca="1" si="5"/>
        <v>Venceu</v>
      </c>
      <c r="Q372" s="528"/>
      <c r="R372" s="529" t="s">
        <v>1506</v>
      </c>
      <c r="S372" s="518"/>
      <c r="T372" s="518" t="s">
        <v>1776</v>
      </c>
      <c r="U372" s="519" t="s">
        <v>2007</v>
      </c>
      <c r="V372" s="520" t="str">
        <f>IFERROR(VLOOKUP(LANÇ_MOV[[#This Row],[PLANO DE CONTAS]],Plano_Contas[[PLANO DE CONTAS]:[R / D]],3,0),"")</f>
        <v>Despesa</v>
      </c>
      <c r="W372" s="521" t="str">
        <f>IF(LANÇ_MOV[[#This Row],[DATA DE PAGAMENTO]]&lt;&gt;"","Pago","Não Pago")</f>
        <v>Não Pago</v>
      </c>
      <c r="X372" s="522" t="str">
        <f>IFERROR(IF(LANÇ_MOV[[#This Row],[DATA DE PAGAMENTO]]="","",(UPPER(TEXT(LANÇ_MOV[[#This Row],[DATA DE PAGAMENTO]],"mmmm")))),"")</f>
        <v/>
      </c>
      <c r="Y372" s="523" t="str">
        <f>IFERROR(VLOOKUP(LANÇ_MOV[[#This Row],[PLANO DE CONTAS]],Plano_Contas[[PLANO DE CONTAS]:[NOMES INTERVALOS]],2,0),"")</f>
        <v>Despesas_Endividamentos</v>
      </c>
      <c r="Z372" s="523" t="str">
        <f>IF(LANÇ_MOV[[#This Row],[FORMA DE PAGAMENTO]]="","",VLOOKUP(LANÇ_MOV[[#This Row],[FORMA DE PAGAMENTO]],CAD_Forma_pagto[],2,0))</f>
        <v>BOLETO</v>
      </c>
      <c r="AA372" s="524" t="str">
        <f>IF(LANÇ_MOV[[#This Row],[DATA DE LANÇAMENTO]]="","",TEXT(LANÇ_MOV[[#This Row],[DATA DE LANÇAMENTO]],"AAAA"))</f>
        <v>2025</v>
      </c>
      <c r="AB372" s="524" t="str">
        <f>IF(LANÇ_MOV[[#This Row],[DATA DE LANÇAMENTO]]="","",UPPER(TEXT(LANÇ_MOV[[#This Row],[DATA DE LANÇAMENTO]],"MMMM")))</f>
        <v>OUTUBRO</v>
      </c>
      <c r="AC372" s="525" t="str">
        <f>IF(LANÇ_MOV[[#This Row],[DATA DE LANÇAMENTO]]="","",PROPER(TEXT(LANÇ_MOV[[#This Row],[DATA DE LANÇAMENTO]],"M")))</f>
        <v>10</v>
      </c>
      <c r="AD372" s="524" t="str">
        <f>IF(LANÇ_MOV[[#This Row],[DATA DE LANÇAMENTO]]="","",TEXT(LANÇ_MOV[[#This Row],[DATA DE LANÇAMENTO]],"D"))</f>
        <v>1</v>
      </c>
      <c r="AE372" s="526" t="str">
        <f>IF(LANÇ_MOV[[#This Row],[DATA DE VENCIMENTO]]="","",TEXT(LANÇ_MOV[[#This Row],[DATA DE VENCIMENTO]],"AAAA"))</f>
        <v>2025</v>
      </c>
      <c r="AF372" s="526" t="str">
        <f>IF(LANÇ_MOV[[#This Row],[DATA DE VENCIMENTO]]="","",UPPER(TEXT(LANÇ_MOV[[#This Row],[DATA DE VENCIMENTO]],"MMMM")))</f>
        <v>MAIO</v>
      </c>
      <c r="AG372" s="526" t="str">
        <f>IF(LANÇ_MOV[[#This Row],[DATA DE VENCIMENTO]]="","",TEXT(LANÇ_MOV[[#This Row],[DATA DE VENCIMENTO]],"M"))</f>
        <v>5</v>
      </c>
      <c r="AH372" s="526" t="str">
        <f>IF(LANÇ_MOV[[#This Row],[DATA DE VENCIMENTO]]="","",TEXT(LANÇ_MOV[[#This Row],[DATA DE VENCIMENTO]],"D"))</f>
        <v>20</v>
      </c>
      <c r="AI372" s="526" t="str">
        <f>IF(LANÇ_MOV[[#This Row],[DATA DE PAGAMENTO]]="","",TEXT(LANÇ_MOV[[#This Row],[DATA DE PAGAMENTO]],"AAAA"))</f>
        <v/>
      </c>
      <c r="AJ372" s="527" t="str">
        <f>IF(LANÇ_MOV[[#This Row],[DATA DE PAGAMENTO]]="","",UPPER(TEXT(LANÇ_MOV[[#This Row],[DATA DE PAGAMENTO]],"MMMM")))</f>
        <v/>
      </c>
      <c r="AK372" s="527" t="str">
        <f>IF(LANÇ_MOV[[#This Row],[DATA DE PAGAMENTO]]="","",TEXT(LANÇ_MOV[[#This Row],[DATA DE PAGAMENTO]],"M"))</f>
        <v/>
      </c>
      <c r="AL372" s="526" t="str">
        <f>IF(LANÇ_MOV[[#This Row],[DATA DE PAGAMENTO]]="","",TEXT(LANÇ_MOV[[#This Row],[DATA DE PAGAMENTO]],"D"))</f>
        <v/>
      </c>
      <c r="AM372" s="27"/>
      <c r="BB372" s="112"/>
      <c r="BC372" s="112"/>
      <c r="BD372" s="112"/>
    </row>
    <row r="373" spans="2:56" ht="30.05" customHeight="1" x14ac:dyDescent="0.35">
      <c r="B373" s="506">
        <v>45931</v>
      </c>
      <c r="C373" s="507" t="s">
        <v>1661</v>
      </c>
      <c r="D373" s="508" t="s">
        <v>1854</v>
      </c>
      <c r="E373" s="509" t="s">
        <v>1440</v>
      </c>
      <c r="F373" s="510" t="s">
        <v>1840</v>
      </c>
      <c r="G373" s="507" t="s">
        <v>1926</v>
      </c>
      <c r="H373" s="511" t="s">
        <v>1927</v>
      </c>
      <c r="I373" s="512" t="s">
        <v>1760</v>
      </c>
      <c r="J373" s="510">
        <v>23.36</v>
      </c>
      <c r="K373" s="513">
        <v>0</v>
      </c>
      <c r="L373" s="513">
        <v>0</v>
      </c>
      <c r="M373" s="513">
        <v>0</v>
      </c>
      <c r="N373" s="514">
        <f>LANÇ_MOV[[#This Row],[VALOR BRUTO]]-LANÇ_MOV[[#This Row],[DESCONTO]]+LANÇ_MOV[[#This Row],[JUROS]]+LANÇ_MOV[[#This Row],[MULTA]]</f>
        <v>23.36</v>
      </c>
      <c r="O373" s="528">
        <v>45797</v>
      </c>
      <c r="P373" s="516" t="str">
        <f t="shared" ca="1" si="5"/>
        <v>Venceu</v>
      </c>
      <c r="Q373" s="528"/>
      <c r="R373" s="529" t="s">
        <v>1506</v>
      </c>
      <c r="S373" s="518"/>
      <c r="T373" s="518" t="s">
        <v>1776</v>
      </c>
      <c r="U373" s="519" t="s">
        <v>2007</v>
      </c>
      <c r="V373" s="520" t="str">
        <f>IFERROR(VLOOKUP(LANÇ_MOV[[#This Row],[PLANO DE CONTAS]],Plano_Contas[[PLANO DE CONTAS]:[R / D]],3,0),"")</f>
        <v>Despesa</v>
      </c>
      <c r="W373" s="521" t="str">
        <f>IF(LANÇ_MOV[[#This Row],[DATA DE PAGAMENTO]]&lt;&gt;"","Pago","Não Pago")</f>
        <v>Não Pago</v>
      </c>
      <c r="X373" s="522" t="str">
        <f>IFERROR(IF(LANÇ_MOV[[#This Row],[DATA DE PAGAMENTO]]="","",(UPPER(TEXT(LANÇ_MOV[[#This Row],[DATA DE PAGAMENTO]],"mmmm")))),"")</f>
        <v/>
      </c>
      <c r="Y373" s="523" t="str">
        <f>IFERROR(VLOOKUP(LANÇ_MOV[[#This Row],[PLANO DE CONTAS]],Plano_Contas[[PLANO DE CONTAS]:[NOMES INTERVALOS]],2,0),"")</f>
        <v>Despesas_Endividamentos</v>
      </c>
      <c r="Z373" s="523" t="str">
        <f>IF(LANÇ_MOV[[#This Row],[FORMA DE PAGAMENTO]]="","",VLOOKUP(LANÇ_MOV[[#This Row],[FORMA DE PAGAMENTO]],CAD_Forma_pagto[],2,0))</f>
        <v>BOLETO</v>
      </c>
      <c r="AA373" s="524" t="str">
        <f>IF(LANÇ_MOV[[#This Row],[DATA DE LANÇAMENTO]]="","",TEXT(LANÇ_MOV[[#This Row],[DATA DE LANÇAMENTO]],"AAAA"))</f>
        <v>2025</v>
      </c>
      <c r="AB373" s="524" t="str">
        <f>IF(LANÇ_MOV[[#This Row],[DATA DE LANÇAMENTO]]="","",UPPER(TEXT(LANÇ_MOV[[#This Row],[DATA DE LANÇAMENTO]],"MMMM")))</f>
        <v>OUTUBRO</v>
      </c>
      <c r="AC373" s="525" t="str">
        <f>IF(LANÇ_MOV[[#This Row],[DATA DE LANÇAMENTO]]="","",PROPER(TEXT(LANÇ_MOV[[#This Row],[DATA DE LANÇAMENTO]],"M")))</f>
        <v>10</v>
      </c>
      <c r="AD373" s="524" t="str">
        <f>IF(LANÇ_MOV[[#This Row],[DATA DE LANÇAMENTO]]="","",TEXT(LANÇ_MOV[[#This Row],[DATA DE LANÇAMENTO]],"D"))</f>
        <v>1</v>
      </c>
      <c r="AE373" s="526" t="str">
        <f>IF(LANÇ_MOV[[#This Row],[DATA DE VENCIMENTO]]="","",TEXT(LANÇ_MOV[[#This Row],[DATA DE VENCIMENTO]],"AAAA"))</f>
        <v>2025</v>
      </c>
      <c r="AF373" s="526" t="str">
        <f>IF(LANÇ_MOV[[#This Row],[DATA DE VENCIMENTO]]="","",UPPER(TEXT(LANÇ_MOV[[#This Row],[DATA DE VENCIMENTO]],"MMMM")))</f>
        <v>MAIO</v>
      </c>
      <c r="AG373" s="526" t="str">
        <f>IF(LANÇ_MOV[[#This Row],[DATA DE VENCIMENTO]]="","",TEXT(LANÇ_MOV[[#This Row],[DATA DE VENCIMENTO]],"M"))</f>
        <v>5</v>
      </c>
      <c r="AH373" s="526" t="str">
        <f>IF(LANÇ_MOV[[#This Row],[DATA DE VENCIMENTO]]="","",TEXT(LANÇ_MOV[[#This Row],[DATA DE VENCIMENTO]],"D"))</f>
        <v>20</v>
      </c>
      <c r="AI373" s="526" t="str">
        <f>IF(LANÇ_MOV[[#This Row],[DATA DE PAGAMENTO]]="","",TEXT(LANÇ_MOV[[#This Row],[DATA DE PAGAMENTO]],"AAAA"))</f>
        <v/>
      </c>
      <c r="AJ373" s="527" t="str">
        <f>IF(LANÇ_MOV[[#This Row],[DATA DE PAGAMENTO]]="","",UPPER(TEXT(LANÇ_MOV[[#This Row],[DATA DE PAGAMENTO]],"MMMM")))</f>
        <v/>
      </c>
      <c r="AK373" s="527" t="str">
        <f>IF(LANÇ_MOV[[#This Row],[DATA DE PAGAMENTO]]="","",TEXT(LANÇ_MOV[[#This Row],[DATA DE PAGAMENTO]],"M"))</f>
        <v/>
      </c>
      <c r="AL373" s="526" t="str">
        <f>IF(LANÇ_MOV[[#This Row],[DATA DE PAGAMENTO]]="","",TEXT(LANÇ_MOV[[#This Row],[DATA DE PAGAMENTO]],"D"))</f>
        <v/>
      </c>
      <c r="AM373" s="27"/>
      <c r="BB373" s="112"/>
      <c r="BC373" s="112"/>
      <c r="BD373" s="112"/>
    </row>
    <row r="374" spans="2:56" ht="30.05" customHeight="1" x14ac:dyDescent="0.35">
      <c r="B374" s="506">
        <v>45931</v>
      </c>
      <c r="C374" s="507" t="s">
        <v>1661</v>
      </c>
      <c r="D374" s="508" t="s">
        <v>1854</v>
      </c>
      <c r="E374" s="509" t="s">
        <v>1440</v>
      </c>
      <c r="F374" s="510" t="s">
        <v>1845</v>
      </c>
      <c r="G374" s="507" t="s">
        <v>1928</v>
      </c>
      <c r="H374" s="511" t="s">
        <v>1929</v>
      </c>
      <c r="I374" s="512" t="s">
        <v>1760</v>
      </c>
      <c r="J374" s="510">
        <v>3009.31</v>
      </c>
      <c r="K374" s="513">
        <v>0</v>
      </c>
      <c r="L374" s="513">
        <v>0</v>
      </c>
      <c r="M374" s="513">
        <v>0</v>
      </c>
      <c r="N374" s="514">
        <f>LANÇ_MOV[[#This Row],[VALOR BRUTO]]-LANÇ_MOV[[#This Row],[DESCONTO]]+LANÇ_MOV[[#This Row],[JUROS]]+LANÇ_MOV[[#This Row],[MULTA]]</f>
        <v>3009.31</v>
      </c>
      <c r="O374" s="528">
        <v>45600</v>
      </c>
      <c r="P374" s="516" t="str">
        <f t="shared" ca="1" si="5"/>
        <v>Venceu</v>
      </c>
      <c r="Q374" s="528"/>
      <c r="R374" s="518" t="s">
        <v>1506</v>
      </c>
      <c r="S374" s="518"/>
      <c r="T374" s="518" t="s">
        <v>1776</v>
      </c>
      <c r="U374" s="519" t="s">
        <v>2007</v>
      </c>
      <c r="V374" s="520" t="str">
        <f>IFERROR(VLOOKUP(LANÇ_MOV[[#This Row],[PLANO DE CONTAS]],Plano_Contas[[PLANO DE CONTAS]:[R / D]],3,0),"")</f>
        <v>Despesa</v>
      </c>
      <c r="W374" s="521" t="str">
        <f>IF(LANÇ_MOV[[#This Row],[DATA DE PAGAMENTO]]&lt;&gt;"","Pago","Não Pago")</f>
        <v>Não Pago</v>
      </c>
      <c r="X374" s="522" t="str">
        <f>IFERROR(IF(LANÇ_MOV[[#This Row],[DATA DE PAGAMENTO]]="","",(UPPER(TEXT(LANÇ_MOV[[#This Row],[DATA DE PAGAMENTO]],"mmmm")))),"")</f>
        <v/>
      </c>
      <c r="Y374" s="523" t="str">
        <f>IFERROR(VLOOKUP(LANÇ_MOV[[#This Row],[PLANO DE CONTAS]],Plano_Contas[[PLANO DE CONTAS]:[NOMES INTERVALOS]],2,0),"")</f>
        <v>Despesas_Endividamentos</v>
      </c>
      <c r="Z374" s="523" t="str">
        <f>IF(LANÇ_MOV[[#This Row],[FORMA DE PAGAMENTO]]="","",VLOOKUP(LANÇ_MOV[[#This Row],[FORMA DE PAGAMENTO]],CAD_Forma_pagto[],2,0))</f>
        <v>BOLETO</v>
      </c>
      <c r="AA374" s="524" t="str">
        <f>IF(LANÇ_MOV[[#This Row],[DATA DE LANÇAMENTO]]="","",TEXT(LANÇ_MOV[[#This Row],[DATA DE LANÇAMENTO]],"AAAA"))</f>
        <v>2025</v>
      </c>
      <c r="AB374" s="524" t="str">
        <f>IF(LANÇ_MOV[[#This Row],[DATA DE LANÇAMENTO]]="","",UPPER(TEXT(LANÇ_MOV[[#This Row],[DATA DE LANÇAMENTO]],"MMMM")))</f>
        <v>OUTUBRO</v>
      </c>
      <c r="AC374" s="525" t="str">
        <f>IF(LANÇ_MOV[[#This Row],[DATA DE LANÇAMENTO]]="","",PROPER(TEXT(LANÇ_MOV[[#This Row],[DATA DE LANÇAMENTO]],"M")))</f>
        <v>10</v>
      </c>
      <c r="AD374" s="524" t="str">
        <f>IF(LANÇ_MOV[[#This Row],[DATA DE LANÇAMENTO]]="","",TEXT(LANÇ_MOV[[#This Row],[DATA DE LANÇAMENTO]],"D"))</f>
        <v>1</v>
      </c>
      <c r="AE374" s="526" t="str">
        <f>IF(LANÇ_MOV[[#This Row],[DATA DE VENCIMENTO]]="","",TEXT(LANÇ_MOV[[#This Row],[DATA DE VENCIMENTO]],"AAAA"))</f>
        <v>2024</v>
      </c>
      <c r="AF374" s="526" t="str">
        <f>IF(LANÇ_MOV[[#This Row],[DATA DE VENCIMENTO]]="","",UPPER(TEXT(LANÇ_MOV[[#This Row],[DATA DE VENCIMENTO]],"MMMM")))</f>
        <v>NOVEMBRO</v>
      </c>
      <c r="AG374" s="526" t="str">
        <f>IF(LANÇ_MOV[[#This Row],[DATA DE VENCIMENTO]]="","",TEXT(LANÇ_MOV[[#This Row],[DATA DE VENCIMENTO]],"M"))</f>
        <v>11</v>
      </c>
      <c r="AH374" s="526" t="str">
        <f>IF(LANÇ_MOV[[#This Row],[DATA DE VENCIMENTO]]="","",TEXT(LANÇ_MOV[[#This Row],[DATA DE VENCIMENTO]],"D"))</f>
        <v>4</v>
      </c>
      <c r="AI374" s="526" t="str">
        <f>IF(LANÇ_MOV[[#This Row],[DATA DE PAGAMENTO]]="","",TEXT(LANÇ_MOV[[#This Row],[DATA DE PAGAMENTO]],"AAAA"))</f>
        <v/>
      </c>
      <c r="AJ374" s="527" t="str">
        <f>IF(LANÇ_MOV[[#This Row],[DATA DE PAGAMENTO]]="","",UPPER(TEXT(LANÇ_MOV[[#This Row],[DATA DE PAGAMENTO]],"MMMM")))</f>
        <v/>
      </c>
      <c r="AK374" s="527" t="str">
        <f>IF(LANÇ_MOV[[#This Row],[DATA DE PAGAMENTO]]="","",TEXT(LANÇ_MOV[[#This Row],[DATA DE PAGAMENTO]],"M"))</f>
        <v/>
      </c>
      <c r="AL374" s="526" t="str">
        <f>IF(LANÇ_MOV[[#This Row],[DATA DE PAGAMENTO]]="","",TEXT(LANÇ_MOV[[#This Row],[DATA DE PAGAMENTO]],"D"))</f>
        <v/>
      </c>
      <c r="AM374" s="27"/>
      <c r="BB374" s="112"/>
      <c r="BC374" s="112"/>
      <c r="BD374" s="112"/>
    </row>
    <row r="375" spans="2:56" ht="30.05" customHeight="1" x14ac:dyDescent="0.35">
      <c r="B375" s="506">
        <v>45931</v>
      </c>
      <c r="C375" s="507" t="s">
        <v>1661</v>
      </c>
      <c r="D375" s="508" t="s">
        <v>1854</v>
      </c>
      <c r="E375" s="509" t="s">
        <v>1440</v>
      </c>
      <c r="F375" s="510" t="s">
        <v>1845</v>
      </c>
      <c r="G375" s="507" t="s">
        <v>1928</v>
      </c>
      <c r="H375" s="511" t="s">
        <v>1930</v>
      </c>
      <c r="I375" s="512" t="s">
        <v>1760</v>
      </c>
      <c r="J375" s="510">
        <v>1240.97</v>
      </c>
      <c r="K375" s="513">
        <v>0</v>
      </c>
      <c r="L375" s="513">
        <v>0</v>
      </c>
      <c r="M375" s="513">
        <v>0</v>
      </c>
      <c r="N375" s="514">
        <f>LANÇ_MOV[[#This Row],[VALOR BRUTO]]-LANÇ_MOV[[#This Row],[DESCONTO]]+LANÇ_MOV[[#This Row],[JUROS]]+LANÇ_MOV[[#This Row],[MULTA]]</f>
        <v>1240.97</v>
      </c>
      <c r="O375" s="528">
        <v>45600</v>
      </c>
      <c r="P375" s="516" t="str">
        <f t="shared" ca="1" si="5"/>
        <v>Venceu</v>
      </c>
      <c r="Q375" s="528"/>
      <c r="R375" s="518" t="s">
        <v>1506</v>
      </c>
      <c r="S375" s="518"/>
      <c r="T375" s="518" t="s">
        <v>1776</v>
      </c>
      <c r="U375" s="519" t="s">
        <v>2007</v>
      </c>
      <c r="V375" s="520" t="str">
        <f>IFERROR(VLOOKUP(LANÇ_MOV[[#This Row],[PLANO DE CONTAS]],Plano_Contas[[PLANO DE CONTAS]:[R / D]],3,0),"")</f>
        <v>Despesa</v>
      </c>
      <c r="W375" s="521" t="str">
        <f>IF(LANÇ_MOV[[#This Row],[DATA DE PAGAMENTO]]&lt;&gt;"","Pago","Não Pago")</f>
        <v>Não Pago</v>
      </c>
      <c r="X375" s="522" t="str">
        <f>IFERROR(IF(LANÇ_MOV[[#This Row],[DATA DE PAGAMENTO]]="","",(UPPER(TEXT(LANÇ_MOV[[#This Row],[DATA DE PAGAMENTO]],"mmmm")))),"")</f>
        <v/>
      </c>
      <c r="Y375" s="523" t="str">
        <f>IFERROR(VLOOKUP(LANÇ_MOV[[#This Row],[PLANO DE CONTAS]],Plano_Contas[[PLANO DE CONTAS]:[NOMES INTERVALOS]],2,0),"")</f>
        <v>Despesas_Endividamentos</v>
      </c>
      <c r="Z375" s="523" t="str">
        <f>IF(LANÇ_MOV[[#This Row],[FORMA DE PAGAMENTO]]="","",VLOOKUP(LANÇ_MOV[[#This Row],[FORMA DE PAGAMENTO]],CAD_Forma_pagto[],2,0))</f>
        <v>BOLETO</v>
      </c>
      <c r="AA375" s="524" t="str">
        <f>IF(LANÇ_MOV[[#This Row],[DATA DE LANÇAMENTO]]="","",TEXT(LANÇ_MOV[[#This Row],[DATA DE LANÇAMENTO]],"AAAA"))</f>
        <v>2025</v>
      </c>
      <c r="AB375" s="524" t="str">
        <f>IF(LANÇ_MOV[[#This Row],[DATA DE LANÇAMENTO]]="","",UPPER(TEXT(LANÇ_MOV[[#This Row],[DATA DE LANÇAMENTO]],"MMMM")))</f>
        <v>OUTUBRO</v>
      </c>
      <c r="AC375" s="525" t="str">
        <f>IF(LANÇ_MOV[[#This Row],[DATA DE LANÇAMENTO]]="","",PROPER(TEXT(LANÇ_MOV[[#This Row],[DATA DE LANÇAMENTO]],"M")))</f>
        <v>10</v>
      </c>
      <c r="AD375" s="524" t="str">
        <f>IF(LANÇ_MOV[[#This Row],[DATA DE LANÇAMENTO]]="","",TEXT(LANÇ_MOV[[#This Row],[DATA DE LANÇAMENTO]],"D"))</f>
        <v>1</v>
      </c>
      <c r="AE375" s="526" t="str">
        <f>IF(LANÇ_MOV[[#This Row],[DATA DE VENCIMENTO]]="","",TEXT(LANÇ_MOV[[#This Row],[DATA DE VENCIMENTO]],"AAAA"))</f>
        <v>2024</v>
      </c>
      <c r="AF375" s="526" t="str">
        <f>IF(LANÇ_MOV[[#This Row],[DATA DE VENCIMENTO]]="","",UPPER(TEXT(LANÇ_MOV[[#This Row],[DATA DE VENCIMENTO]],"MMMM")))</f>
        <v>NOVEMBRO</v>
      </c>
      <c r="AG375" s="526" t="str">
        <f>IF(LANÇ_MOV[[#This Row],[DATA DE VENCIMENTO]]="","",TEXT(LANÇ_MOV[[#This Row],[DATA DE VENCIMENTO]],"M"))</f>
        <v>11</v>
      </c>
      <c r="AH375" s="526" t="str">
        <f>IF(LANÇ_MOV[[#This Row],[DATA DE VENCIMENTO]]="","",TEXT(LANÇ_MOV[[#This Row],[DATA DE VENCIMENTO]],"D"))</f>
        <v>4</v>
      </c>
      <c r="AI375" s="526" t="str">
        <f>IF(LANÇ_MOV[[#This Row],[DATA DE PAGAMENTO]]="","",TEXT(LANÇ_MOV[[#This Row],[DATA DE PAGAMENTO]],"AAAA"))</f>
        <v/>
      </c>
      <c r="AJ375" s="527" t="str">
        <f>IF(LANÇ_MOV[[#This Row],[DATA DE PAGAMENTO]]="","",UPPER(TEXT(LANÇ_MOV[[#This Row],[DATA DE PAGAMENTO]],"MMMM")))</f>
        <v/>
      </c>
      <c r="AK375" s="527" t="str">
        <f>IF(LANÇ_MOV[[#This Row],[DATA DE PAGAMENTO]]="","",TEXT(LANÇ_MOV[[#This Row],[DATA DE PAGAMENTO]],"M"))</f>
        <v/>
      </c>
      <c r="AL375" s="526" t="str">
        <f>IF(LANÇ_MOV[[#This Row],[DATA DE PAGAMENTO]]="","",TEXT(LANÇ_MOV[[#This Row],[DATA DE PAGAMENTO]],"D"))</f>
        <v/>
      </c>
      <c r="AM375" s="27"/>
      <c r="BB375" s="112"/>
      <c r="BC375" s="112"/>
      <c r="BD375" s="112"/>
    </row>
    <row r="376" spans="2:56" ht="30.05" customHeight="1" x14ac:dyDescent="0.35">
      <c r="B376" s="506">
        <v>45931</v>
      </c>
      <c r="C376" s="507" t="s">
        <v>1661</v>
      </c>
      <c r="D376" s="508" t="s">
        <v>1854</v>
      </c>
      <c r="E376" s="509" t="s">
        <v>1440</v>
      </c>
      <c r="F376" s="510" t="s">
        <v>1831</v>
      </c>
      <c r="G376" s="507" t="s">
        <v>1928</v>
      </c>
      <c r="H376" s="511" t="s">
        <v>1931</v>
      </c>
      <c r="I376" s="512" t="s">
        <v>1760</v>
      </c>
      <c r="J376" s="510">
        <v>1147.08</v>
      </c>
      <c r="K376" s="513">
        <v>0</v>
      </c>
      <c r="L376" s="513">
        <v>0</v>
      </c>
      <c r="M376" s="513">
        <v>0</v>
      </c>
      <c r="N376" s="514">
        <f>LANÇ_MOV[[#This Row],[VALOR BRUTO]]-LANÇ_MOV[[#This Row],[DESCONTO]]+LANÇ_MOV[[#This Row],[JUROS]]+LANÇ_MOV[[#This Row],[MULTA]]</f>
        <v>1147.08</v>
      </c>
      <c r="O376" s="528">
        <v>45600</v>
      </c>
      <c r="P376" s="516" t="str">
        <f t="shared" ca="1" si="5"/>
        <v>Venceu</v>
      </c>
      <c r="Q376" s="528"/>
      <c r="R376" s="518" t="s">
        <v>1506</v>
      </c>
      <c r="S376" s="518"/>
      <c r="T376" s="518" t="s">
        <v>1776</v>
      </c>
      <c r="U376" s="519" t="s">
        <v>2007</v>
      </c>
      <c r="V376" s="520" t="str">
        <f>IFERROR(VLOOKUP(LANÇ_MOV[[#This Row],[PLANO DE CONTAS]],Plano_Contas[[PLANO DE CONTAS]:[R / D]],3,0),"")</f>
        <v>Despesa</v>
      </c>
      <c r="W376" s="521" t="str">
        <f>IF(LANÇ_MOV[[#This Row],[DATA DE PAGAMENTO]]&lt;&gt;"","Pago","Não Pago")</f>
        <v>Não Pago</v>
      </c>
      <c r="X376" s="522" t="str">
        <f>IFERROR(IF(LANÇ_MOV[[#This Row],[DATA DE PAGAMENTO]]="","",(UPPER(TEXT(LANÇ_MOV[[#This Row],[DATA DE PAGAMENTO]],"mmmm")))),"")</f>
        <v/>
      </c>
      <c r="Y376" s="523" t="str">
        <f>IFERROR(VLOOKUP(LANÇ_MOV[[#This Row],[PLANO DE CONTAS]],Plano_Contas[[PLANO DE CONTAS]:[NOMES INTERVALOS]],2,0),"")</f>
        <v>Despesas_Endividamentos</v>
      </c>
      <c r="Z376" s="523" t="str">
        <f>IF(LANÇ_MOV[[#This Row],[FORMA DE PAGAMENTO]]="","",VLOOKUP(LANÇ_MOV[[#This Row],[FORMA DE PAGAMENTO]],CAD_Forma_pagto[],2,0))</f>
        <v>BOLETO</v>
      </c>
      <c r="AA376" s="524" t="str">
        <f>IF(LANÇ_MOV[[#This Row],[DATA DE LANÇAMENTO]]="","",TEXT(LANÇ_MOV[[#This Row],[DATA DE LANÇAMENTO]],"AAAA"))</f>
        <v>2025</v>
      </c>
      <c r="AB376" s="524" t="str">
        <f>IF(LANÇ_MOV[[#This Row],[DATA DE LANÇAMENTO]]="","",UPPER(TEXT(LANÇ_MOV[[#This Row],[DATA DE LANÇAMENTO]],"MMMM")))</f>
        <v>OUTUBRO</v>
      </c>
      <c r="AC376" s="525" t="str">
        <f>IF(LANÇ_MOV[[#This Row],[DATA DE LANÇAMENTO]]="","",PROPER(TEXT(LANÇ_MOV[[#This Row],[DATA DE LANÇAMENTO]],"M")))</f>
        <v>10</v>
      </c>
      <c r="AD376" s="524" t="str">
        <f>IF(LANÇ_MOV[[#This Row],[DATA DE LANÇAMENTO]]="","",TEXT(LANÇ_MOV[[#This Row],[DATA DE LANÇAMENTO]],"D"))</f>
        <v>1</v>
      </c>
      <c r="AE376" s="526" t="str">
        <f>IF(LANÇ_MOV[[#This Row],[DATA DE VENCIMENTO]]="","",TEXT(LANÇ_MOV[[#This Row],[DATA DE VENCIMENTO]],"AAAA"))</f>
        <v>2024</v>
      </c>
      <c r="AF376" s="526" t="str">
        <f>IF(LANÇ_MOV[[#This Row],[DATA DE VENCIMENTO]]="","",UPPER(TEXT(LANÇ_MOV[[#This Row],[DATA DE VENCIMENTO]],"MMMM")))</f>
        <v>NOVEMBRO</v>
      </c>
      <c r="AG376" s="526" t="str">
        <f>IF(LANÇ_MOV[[#This Row],[DATA DE VENCIMENTO]]="","",TEXT(LANÇ_MOV[[#This Row],[DATA DE VENCIMENTO]],"M"))</f>
        <v>11</v>
      </c>
      <c r="AH376" s="526" t="str">
        <f>IF(LANÇ_MOV[[#This Row],[DATA DE VENCIMENTO]]="","",TEXT(LANÇ_MOV[[#This Row],[DATA DE VENCIMENTO]],"D"))</f>
        <v>4</v>
      </c>
      <c r="AI376" s="526" t="str">
        <f>IF(LANÇ_MOV[[#This Row],[DATA DE PAGAMENTO]]="","",TEXT(LANÇ_MOV[[#This Row],[DATA DE PAGAMENTO]],"AAAA"))</f>
        <v/>
      </c>
      <c r="AJ376" s="527" t="str">
        <f>IF(LANÇ_MOV[[#This Row],[DATA DE PAGAMENTO]]="","",UPPER(TEXT(LANÇ_MOV[[#This Row],[DATA DE PAGAMENTO]],"MMMM")))</f>
        <v/>
      </c>
      <c r="AK376" s="527" t="str">
        <f>IF(LANÇ_MOV[[#This Row],[DATA DE PAGAMENTO]]="","",TEXT(LANÇ_MOV[[#This Row],[DATA DE PAGAMENTO]],"M"))</f>
        <v/>
      </c>
      <c r="AL376" s="526" t="str">
        <f>IF(LANÇ_MOV[[#This Row],[DATA DE PAGAMENTO]]="","",TEXT(LANÇ_MOV[[#This Row],[DATA DE PAGAMENTO]],"D"))</f>
        <v/>
      </c>
      <c r="AM376" s="27"/>
      <c r="BB376" s="112"/>
      <c r="BC376" s="112"/>
      <c r="BD376" s="112"/>
    </row>
    <row r="377" spans="2:56" ht="30.05" customHeight="1" x14ac:dyDescent="0.35">
      <c r="B377" s="506">
        <v>45931</v>
      </c>
      <c r="C377" s="507" t="s">
        <v>1661</v>
      </c>
      <c r="D377" s="508" t="s">
        <v>1854</v>
      </c>
      <c r="E377" s="509" t="s">
        <v>1440</v>
      </c>
      <c r="F377" s="510" t="s">
        <v>1847</v>
      </c>
      <c r="G377" s="507" t="s">
        <v>1928</v>
      </c>
      <c r="H377" s="511" t="s">
        <v>1932</v>
      </c>
      <c r="I377" s="512" t="s">
        <v>1760</v>
      </c>
      <c r="J377" s="510">
        <v>1155.1400000000001</v>
      </c>
      <c r="K377" s="513">
        <v>0</v>
      </c>
      <c r="L377" s="513">
        <v>0</v>
      </c>
      <c r="M377" s="513">
        <v>0</v>
      </c>
      <c r="N377" s="514">
        <f>LANÇ_MOV[[#This Row],[VALOR BRUTO]]-LANÇ_MOV[[#This Row],[DESCONTO]]+LANÇ_MOV[[#This Row],[JUROS]]+LANÇ_MOV[[#This Row],[MULTA]]</f>
        <v>1155.1400000000001</v>
      </c>
      <c r="O377" s="528">
        <v>45600</v>
      </c>
      <c r="P377" s="516" t="str">
        <f t="shared" ca="1" si="5"/>
        <v>Venceu</v>
      </c>
      <c r="Q377" s="528"/>
      <c r="R377" s="529" t="s">
        <v>1506</v>
      </c>
      <c r="S377" s="518"/>
      <c r="T377" s="518" t="s">
        <v>1776</v>
      </c>
      <c r="U377" s="519" t="s">
        <v>2007</v>
      </c>
      <c r="V377" s="520" t="str">
        <f>IFERROR(VLOOKUP(LANÇ_MOV[[#This Row],[PLANO DE CONTAS]],Plano_Contas[[PLANO DE CONTAS]:[R / D]],3,0),"")</f>
        <v>Despesa</v>
      </c>
      <c r="W377" s="521" t="str">
        <f>IF(LANÇ_MOV[[#This Row],[DATA DE PAGAMENTO]]&lt;&gt;"","Pago","Não Pago")</f>
        <v>Não Pago</v>
      </c>
      <c r="X377" s="522" t="str">
        <f>IFERROR(IF(LANÇ_MOV[[#This Row],[DATA DE PAGAMENTO]]="","",(UPPER(TEXT(LANÇ_MOV[[#This Row],[DATA DE PAGAMENTO]],"mmmm")))),"")</f>
        <v/>
      </c>
      <c r="Y377" s="523" t="str">
        <f>IFERROR(VLOOKUP(LANÇ_MOV[[#This Row],[PLANO DE CONTAS]],Plano_Contas[[PLANO DE CONTAS]:[NOMES INTERVALOS]],2,0),"")</f>
        <v>Despesas_Endividamentos</v>
      </c>
      <c r="Z377" s="523" t="str">
        <f>IF(LANÇ_MOV[[#This Row],[FORMA DE PAGAMENTO]]="","",VLOOKUP(LANÇ_MOV[[#This Row],[FORMA DE PAGAMENTO]],CAD_Forma_pagto[],2,0))</f>
        <v>BOLETO</v>
      </c>
      <c r="AA377" s="524" t="str">
        <f>IF(LANÇ_MOV[[#This Row],[DATA DE LANÇAMENTO]]="","",TEXT(LANÇ_MOV[[#This Row],[DATA DE LANÇAMENTO]],"AAAA"))</f>
        <v>2025</v>
      </c>
      <c r="AB377" s="524" t="str">
        <f>IF(LANÇ_MOV[[#This Row],[DATA DE LANÇAMENTO]]="","",UPPER(TEXT(LANÇ_MOV[[#This Row],[DATA DE LANÇAMENTO]],"MMMM")))</f>
        <v>OUTUBRO</v>
      </c>
      <c r="AC377" s="525" t="str">
        <f>IF(LANÇ_MOV[[#This Row],[DATA DE LANÇAMENTO]]="","",PROPER(TEXT(LANÇ_MOV[[#This Row],[DATA DE LANÇAMENTO]],"M")))</f>
        <v>10</v>
      </c>
      <c r="AD377" s="524" t="str">
        <f>IF(LANÇ_MOV[[#This Row],[DATA DE LANÇAMENTO]]="","",TEXT(LANÇ_MOV[[#This Row],[DATA DE LANÇAMENTO]],"D"))</f>
        <v>1</v>
      </c>
      <c r="AE377" s="526" t="str">
        <f>IF(LANÇ_MOV[[#This Row],[DATA DE VENCIMENTO]]="","",TEXT(LANÇ_MOV[[#This Row],[DATA DE VENCIMENTO]],"AAAA"))</f>
        <v>2024</v>
      </c>
      <c r="AF377" s="526" t="str">
        <f>IF(LANÇ_MOV[[#This Row],[DATA DE VENCIMENTO]]="","",UPPER(TEXT(LANÇ_MOV[[#This Row],[DATA DE VENCIMENTO]],"MMMM")))</f>
        <v>NOVEMBRO</v>
      </c>
      <c r="AG377" s="526" t="str">
        <f>IF(LANÇ_MOV[[#This Row],[DATA DE VENCIMENTO]]="","",TEXT(LANÇ_MOV[[#This Row],[DATA DE VENCIMENTO]],"M"))</f>
        <v>11</v>
      </c>
      <c r="AH377" s="526" t="str">
        <f>IF(LANÇ_MOV[[#This Row],[DATA DE VENCIMENTO]]="","",TEXT(LANÇ_MOV[[#This Row],[DATA DE VENCIMENTO]],"D"))</f>
        <v>4</v>
      </c>
      <c r="AI377" s="526" t="str">
        <f>IF(LANÇ_MOV[[#This Row],[DATA DE PAGAMENTO]]="","",TEXT(LANÇ_MOV[[#This Row],[DATA DE PAGAMENTO]],"AAAA"))</f>
        <v/>
      </c>
      <c r="AJ377" s="527" t="str">
        <f>IF(LANÇ_MOV[[#This Row],[DATA DE PAGAMENTO]]="","",UPPER(TEXT(LANÇ_MOV[[#This Row],[DATA DE PAGAMENTO]],"MMMM")))</f>
        <v/>
      </c>
      <c r="AK377" s="527" t="str">
        <f>IF(LANÇ_MOV[[#This Row],[DATA DE PAGAMENTO]]="","",TEXT(LANÇ_MOV[[#This Row],[DATA DE PAGAMENTO]],"M"))</f>
        <v/>
      </c>
      <c r="AL377" s="526" t="str">
        <f>IF(LANÇ_MOV[[#This Row],[DATA DE PAGAMENTO]]="","",TEXT(LANÇ_MOV[[#This Row],[DATA DE PAGAMENTO]],"D"))</f>
        <v/>
      </c>
      <c r="AM377" s="27"/>
      <c r="BB377" s="112"/>
      <c r="BC377" s="112"/>
      <c r="BD377" s="112"/>
    </row>
    <row r="378" spans="2:56" ht="30.05" customHeight="1" x14ac:dyDescent="0.35">
      <c r="B378" s="506">
        <v>45931</v>
      </c>
      <c r="C378" s="507" t="s">
        <v>1661</v>
      </c>
      <c r="D378" s="508" t="s">
        <v>1854</v>
      </c>
      <c r="E378" s="509" t="s">
        <v>1440</v>
      </c>
      <c r="F378" s="510" t="s">
        <v>1845</v>
      </c>
      <c r="G378" s="507" t="s">
        <v>1928</v>
      </c>
      <c r="H378" s="511" t="s">
        <v>1933</v>
      </c>
      <c r="I378" s="512" t="s">
        <v>1760</v>
      </c>
      <c r="J378" s="510">
        <v>16073.65</v>
      </c>
      <c r="K378" s="513">
        <v>0</v>
      </c>
      <c r="L378" s="513">
        <v>0</v>
      </c>
      <c r="M378" s="513">
        <v>0</v>
      </c>
      <c r="N378" s="514">
        <f>LANÇ_MOV[[#This Row],[VALOR BRUTO]]-LANÇ_MOV[[#This Row],[DESCONTO]]+LANÇ_MOV[[#This Row],[JUROS]]+LANÇ_MOV[[#This Row],[MULTA]]</f>
        <v>16073.65</v>
      </c>
      <c r="O378" s="528">
        <v>45600</v>
      </c>
      <c r="P378" s="516" t="str">
        <f t="shared" ca="1" si="5"/>
        <v>Venceu</v>
      </c>
      <c r="Q378" s="528"/>
      <c r="R378" s="529" t="s">
        <v>1506</v>
      </c>
      <c r="S378" s="518"/>
      <c r="T378" s="518" t="s">
        <v>1776</v>
      </c>
      <c r="U378" s="519" t="s">
        <v>2007</v>
      </c>
      <c r="V378" s="520" t="str">
        <f>IFERROR(VLOOKUP(LANÇ_MOV[[#This Row],[PLANO DE CONTAS]],Plano_Contas[[PLANO DE CONTAS]:[R / D]],3,0),"")</f>
        <v>Despesa</v>
      </c>
      <c r="W378" s="521" t="str">
        <f>IF(LANÇ_MOV[[#This Row],[DATA DE PAGAMENTO]]&lt;&gt;"","Pago","Não Pago")</f>
        <v>Não Pago</v>
      </c>
      <c r="X378" s="522" t="str">
        <f>IFERROR(IF(LANÇ_MOV[[#This Row],[DATA DE PAGAMENTO]]="","",(UPPER(TEXT(LANÇ_MOV[[#This Row],[DATA DE PAGAMENTO]],"mmmm")))),"")</f>
        <v/>
      </c>
      <c r="Y378" s="523" t="str">
        <f>IFERROR(VLOOKUP(LANÇ_MOV[[#This Row],[PLANO DE CONTAS]],Plano_Contas[[PLANO DE CONTAS]:[NOMES INTERVALOS]],2,0),"")</f>
        <v>Despesas_Endividamentos</v>
      </c>
      <c r="Z378" s="523" t="str">
        <f>IF(LANÇ_MOV[[#This Row],[FORMA DE PAGAMENTO]]="","",VLOOKUP(LANÇ_MOV[[#This Row],[FORMA DE PAGAMENTO]],CAD_Forma_pagto[],2,0))</f>
        <v>BOLETO</v>
      </c>
      <c r="AA378" s="524" t="str">
        <f>IF(LANÇ_MOV[[#This Row],[DATA DE LANÇAMENTO]]="","",TEXT(LANÇ_MOV[[#This Row],[DATA DE LANÇAMENTO]],"AAAA"))</f>
        <v>2025</v>
      </c>
      <c r="AB378" s="524" t="str">
        <f>IF(LANÇ_MOV[[#This Row],[DATA DE LANÇAMENTO]]="","",UPPER(TEXT(LANÇ_MOV[[#This Row],[DATA DE LANÇAMENTO]],"MMMM")))</f>
        <v>OUTUBRO</v>
      </c>
      <c r="AC378" s="525" t="str">
        <f>IF(LANÇ_MOV[[#This Row],[DATA DE LANÇAMENTO]]="","",PROPER(TEXT(LANÇ_MOV[[#This Row],[DATA DE LANÇAMENTO]],"M")))</f>
        <v>10</v>
      </c>
      <c r="AD378" s="524" t="str">
        <f>IF(LANÇ_MOV[[#This Row],[DATA DE LANÇAMENTO]]="","",TEXT(LANÇ_MOV[[#This Row],[DATA DE LANÇAMENTO]],"D"))</f>
        <v>1</v>
      </c>
      <c r="AE378" s="526" t="str">
        <f>IF(LANÇ_MOV[[#This Row],[DATA DE VENCIMENTO]]="","",TEXT(LANÇ_MOV[[#This Row],[DATA DE VENCIMENTO]],"AAAA"))</f>
        <v>2024</v>
      </c>
      <c r="AF378" s="526" t="str">
        <f>IF(LANÇ_MOV[[#This Row],[DATA DE VENCIMENTO]]="","",UPPER(TEXT(LANÇ_MOV[[#This Row],[DATA DE VENCIMENTO]],"MMMM")))</f>
        <v>NOVEMBRO</v>
      </c>
      <c r="AG378" s="526" t="str">
        <f>IF(LANÇ_MOV[[#This Row],[DATA DE VENCIMENTO]]="","",TEXT(LANÇ_MOV[[#This Row],[DATA DE VENCIMENTO]],"M"))</f>
        <v>11</v>
      </c>
      <c r="AH378" s="526" t="str">
        <f>IF(LANÇ_MOV[[#This Row],[DATA DE VENCIMENTO]]="","",TEXT(LANÇ_MOV[[#This Row],[DATA DE VENCIMENTO]],"D"))</f>
        <v>4</v>
      </c>
      <c r="AI378" s="526" t="str">
        <f>IF(LANÇ_MOV[[#This Row],[DATA DE PAGAMENTO]]="","",TEXT(LANÇ_MOV[[#This Row],[DATA DE PAGAMENTO]],"AAAA"))</f>
        <v/>
      </c>
      <c r="AJ378" s="527" t="str">
        <f>IF(LANÇ_MOV[[#This Row],[DATA DE PAGAMENTO]]="","",UPPER(TEXT(LANÇ_MOV[[#This Row],[DATA DE PAGAMENTO]],"MMMM")))</f>
        <v/>
      </c>
      <c r="AK378" s="527" t="str">
        <f>IF(LANÇ_MOV[[#This Row],[DATA DE PAGAMENTO]]="","",TEXT(LANÇ_MOV[[#This Row],[DATA DE PAGAMENTO]],"M"))</f>
        <v/>
      </c>
      <c r="AL378" s="526" t="str">
        <f>IF(LANÇ_MOV[[#This Row],[DATA DE PAGAMENTO]]="","",TEXT(LANÇ_MOV[[#This Row],[DATA DE PAGAMENTO]],"D"))</f>
        <v/>
      </c>
      <c r="AM378" s="27"/>
      <c r="BB378" s="112"/>
      <c r="BC378" s="112"/>
      <c r="BD378" s="112"/>
    </row>
    <row r="379" spans="2:56" ht="30.05" customHeight="1" x14ac:dyDescent="0.35">
      <c r="B379" s="506">
        <v>45931</v>
      </c>
      <c r="C379" s="507" t="s">
        <v>1661</v>
      </c>
      <c r="D379" s="508" t="s">
        <v>1854</v>
      </c>
      <c r="E379" s="509" t="s">
        <v>1440</v>
      </c>
      <c r="F379" s="510" t="s">
        <v>1845</v>
      </c>
      <c r="G379" s="507" t="s">
        <v>1928</v>
      </c>
      <c r="H379" s="511" t="s">
        <v>1934</v>
      </c>
      <c r="I379" s="512" t="s">
        <v>1760</v>
      </c>
      <c r="J379" s="510">
        <v>5223.87</v>
      </c>
      <c r="K379" s="513">
        <v>0</v>
      </c>
      <c r="L379" s="513">
        <v>0</v>
      </c>
      <c r="M379" s="513">
        <v>0</v>
      </c>
      <c r="N379" s="514">
        <f>LANÇ_MOV[[#This Row],[VALOR BRUTO]]-LANÇ_MOV[[#This Row],[DESCONTO]]+LANÇ_MOV[[#This Row],[JUROS]]+LANÇ_MOV[[#This Row],[MULTA]]</f>
        <v>5223.87</v>
      </c>
      <c r="O379" s="528">
        <v>45348</v>
      </c>
      <c r="P379" s="516" t="str">
        <f t="shared" ca="1" si="5"/>
        <v>Venceu</v>
      </c>
      <c r="Q379" s="528"/>
      <c r="R379" s="529" t="s">
        <v>1506</v>
      </c>
      <c r="S379" s="518"/>
      <c r="T379" s="518" t="s">
        <v>1776</v>
      </c>
      <c r="U379" s="519" t="s">
        <v>2007</v>
      </c>
      <c r="V379" s="520" t="str">
        <f>IFERROR(VLOOKUP(LANÇ_MOV[[#This Row],[PLANO DE CONTAS]],Plano_Contas[[PLANO DE CONTAS]:[R / D]],3,0),"")</f>
        <v>Despesa</v>
      </c>
      <c r="W379" s="521" t="str">
        <f>IF(LANÇ_MOV[[#This Row],[DATA DE PAGAMENTO]]&lt;&gt;"","Pago","Não Pago")</f>
        <v>Não Pago</v>
      </c>
      <c r="X379" s="522" t="str">
        <f>IFERROR(IF(LANÇ_MOV[[#This Row],[DATA DE PAGAMENTO]]="","",(UPPER(TEXT(LANÇ_MOV[[#This Row],[DATA DE PAGAMENTO]],"mmmm")))),"")</f>
        <v/>
      </c>
      <c r="Y379" s="523" t="str">
        <f>IFERROR(VLOOKUP(LANÇ_MOV[[#This Row],[PLANO DE CONTAS]],Plano_Contas[[PLANO DE CONTAS]:[NOMES INTERVALOS]],2,0),"")</f>
        <v>Despesas_Endividamentos</v>
      </c>
      <c r="Z379" s="523" t="str">
        <f>IF(LANÇ_MOV[[#This Row],[FORMA DE PAGAMENTO]]="","",VLOOKUP(LANÇ_MOV[[#This Row],[FORMA DE PAGAMENTO]],CAD_Forma_pagto[],2,0))</f>
        <v>BOLETO</v>
      </c>
      <c r="AA379" s="524" t="str">
        <f>IF(LANÇ_MOV[[#This Row],[DATA DE LANÇAMENTO]]="","",TEXT(LANÇ_MOV[[#This Row],[DATA DE LANÇAMENTO]],"AAAA"))</f>
        <v>2025</v>
      </c>
      <c r="AB379" s="524" t="str">
        <f>IF(LANÇ_MOV[[#This Row],[DATA DE LANÇAMENTO]]="","",UPPER(TEXT(LANÇ_MOV[[#This Row],[DATA DE LANÇAMENTO]],"MMMM")))</f>
        <v>OUTUBRO</v>
      </c>
      <c r="AC379" s="525" t="str">
        <f>IF(LANÇ_MOV[[#This Row],[DATA DE LANÇAMENTO]]="","",PROPER(TEXT(LANÇ_MOV[[#This Row],[DATA DE LANÇAMENTO]],"M")))</f>
        <v>10</v>
      </c>
      <c r="AD379" s="524" t="str">
        <f>IF(LANÇ_MOV[[#This Row],[DATA DE LANÇAMENTO]]="","",TEXT(LANÇ_MOV[[#This Row],[DATA DE LANÇAMENTO]],"D"))</f>
        <v>1</v>
      </c>
      <c r="AE379" s="526" t="str">
        <f>IF(LANÇ_MOV[[#This Row],[DATA DE VENCIMENTO]]="","",TEXT(LANÇ_MOV[[#This Row],[DATA DE VENCIMENTO]],"AAAA"))</f>
        <v>2024</v>
      </c>
      <c r="AF379" s="526" t="str">
        <f>IF(LANÇ_MOV[[#This Row],[DATA DE VENCIMENTO]]="","",UPPER(TEXT(LANÇ_MOV[[#This Row],[DATA DE VENCIMENTO]],"MMMM")))</f>
        <v>FEVEREIRO</v>
      </c>
      <c r="AG379" s="526" t="str">
        <f>IF(LANÇ_MOV[[#This Row],[DATA DE VENCIMENTO]]="","",TEXT(LANÇ_MOV[[#This Row],[DATA DE VENCIMENTO]],"M"))</f>
        <v>2</v>
      </c>
      <c r="AH379" s="526" t="str">
        <f>IF(LANÇ_MOV[[#This Row],[DATA DE VENCIMENTO]]="","",TEXT(LANÇ_MOV[[#This Row],[DATA DE VENCIMENTO]],"D"))</f>
        <v>26</v>
      </c>
      <c r="AI379" s="526" t="str">
        <f>IF(LANÇ_MOV[[#This Row],[DATA DE PAGAMENTO]]="","",TEXT(LANÇ_MOV[[#This Row],[DATA DE PAGAMENTO]],"AAAA"))</f>
        <v/>
      </c>
      <c r="AJ379" s="527" t="str">
        <f>IF(LANÇ_MOV[[#This Row],[DATA DE PAGAMENTO]]="","",UPPER(TEXT(LANÇ_MOV[[#This Row],[DATA DE PAGAMENTO]],"MMMM")))</f>
        <v/>
      </c>
      <c r="AK379" s="527" t="str">
        <f>IF(LANÇ_MOV[[#This Row],[DATA DE PAGAMENTO]]="","",TEXT(LANÇ_MOV[[#This Row],[DATA DE PAGAMENTO]],"M"))</f>
        <v/>
      </c>
      <c r="AL379" s="526" t="str">
        <f>IF(LANÇ_MOV[[#This Row],[DATA DE PAGAMENTO]]="","",TEXT(LANÇ_MOV[[#This Row],[DATA DE PAGAMENTO]],"D"))</f>
        <v/>
      </c>
      <c r="AM379" s="27"/>
      <c r="BB379" s="112"/>
      <c r="BC379" s="112"/>
      <c r="BD379" s="112"/>
    </row>
    <row r="380" spans="2:56" ht="30.05" customHeight="1" x14ac:dyDescent="0.35">
      <c r="B380" s="506">
        <v>45931</v>
      </c>
      <c r="C380" s="507" t="s">
        <v>1661</v>
      </c>
      <c r="D380" s="508" t="s">
        <v>1854</v>
      </c>
      <c r="E380" s="509" t="s">
        <v>1440</v>
      </c>
      <c r="F380" s="510" t="s">
        <v>1847</v>
      </c>
      <c r="G380" s="507" t="s">
        <v>1935</v>
      </c>
      <c r="H380" s="511" t="s">
        <v>1936</v>
      </c>
      <c r="I380" s="512" t="s">
        <v>1760</v>
      </c>
      <c r="J380" s="510">
        <v>2537.94</v>
      </c>
      <c r="K380" s="513">
        <v>0</v>
      </c>
      <c r="L380" s="513">
        <v>0</v>
      </c>
      <c r="M380" s="513">
        <v>0</v>
      </c>
      <c r="N380" s="514">
        <f>LANÇ_MOV[[#This Row],[VALOR BRUTO]]-LANÇ_MOV[[#This Row],[DESCONTO]]+LANÇ_MOV[[#This Row],[JUROS]]+LANÇ_MOV[[#This Row],[MULTA]]</f>
        <v>2537.94</v>
      </c>
      <c r="O380" s="528">
        <v>45348</v>
      </c>
      <c r="P380" s="516" t="str">
        <f t="shared" ca="1" si="5"/>
        <v>Venceu</v>
      </c>
      <c r="Q380" s="528"/>
      <c r="R380" s="529" t="s">
        <v>1506</v>
      </c>
      <c r="S380" s="518"/>
      <c r="T380" s="518" t="s">
        <v>1776</v>
      </c>
      <c r="U380" s="519" t="s">
        <v>2007</v>
      </c>
      <c r="V380" s="520" t="str">
        <f>IFERROR(VLOOKUP(LANÇ_MOV[[#This Row],[PLANO DE CONTAS]],Plano_Contas[[PLANO DE CONTAS]:[R / D]],3,0),"")</f>
        <v>Despesa</v>
      </c>
      <c r="W380" s="521" t="str">
        <f>IF(LANÇ_MOV[[#This Row],[DATA DE PAGAMENTO]]&lt;&gt;"","Pago","Não Pago")</f>
        <v>Não Pago</v>
      </c>
      <c r="X380" s="522" t="str">
        <f>IFERROR(IF(LANÇ_MOV[[#This Row],[DATA DE PAGAMENTO]]="","",(UPPER(TEXT(LANÇ_MOV[[#This Row],[DATA DE PAGAMENTO]],"mmmm")))),"")</f>
        <v/>
      </c>
      <c r="Y380" s="523" t="str">
        <f>IFERROR(VLOOKUP(LANÇ_MOV[[#This Row],[PLANO DE CONTAS]],Plano_Contas[[PLANO DE CONTAS]:[NOMES INTERVALOS]],2,0),"")</f>
        <v>Despesas_Endividamentos</v>
      </c>
      <c r="Z380" s="523" t="str">
        <f>IF(LANÇ_MOV[[#This Row],[FORMA DE PAGAMENTO]]="","",VLOOKUP(LANÇ_MOV[[#This Row],[FORMA DE PAGAMENTO]],CAD_Forma_pagto[],2,0))</f>
        <v>BOLETO</v>
      </c>
      <c r="AA380" s="524" t="str">
        <f>IF(LANÇ_MOV[[#This Row],[DATA DE LANÇAMENTO]]="","",TEXT(LANÇ_MOV[[#This Row],[DATA DE LANÇAMENTO]],"AAAA"))</f>
        <v>2025</v>
      </c>
      <c r="AB380" s="524" t="str">
        <f>IF(LANÇ_MOV[[#This Row],[DATA DE LANÇAMENTO]]="","",UPPER(TEXT(LANÇ_MOV[[#This Row],[DATA DE LANÇAMENTO]],"MMMM")))</f>
        <v>OUTUBRO</v>
      </c>
      <c r="AC380" s="525" t="str">
        <f>IF(LANÇ_MOV[[#This Row],[DATA DE LANÇAMENTO]]="","",PROPER(TEXT(LANÇ_MOV[[#This Row],[DATA DE LANÇAMENTO]],"M")))</f>
        <v>10</v>
      </c>
      <c r="AD380" s="524" t="str">
        <f>IF(LANÇ_MOV[[#This Row],[DATA DE LANÇAMENTO]]="","",TEXT(LANÇ_MOV[[#This Row],[DATA DE LANÇAMENTO]],"D"))</f>
        <v>1</v>
      </c>
      <c r="AE380" s="526" t="str">
        <f>IF(LANÇ_MOV[[#This Row],[DATA DE VENCIMENTO]]="","",TEXT(LANÇ_MOV[[#This Row],[DATA DE VENCIMENTO]],"AAAA"))</f>
        <v>2024</v>
      </c>
      <c r="AF380" s="526" t="str">
        <f>IF(LANÇ_MOV[[#This Row],[DATA DE VENCIMENTO]]="","",UPPER(TEXT(LANÇ_MOV[[#This Row],[DATA DE VENCIMENTO]],"MMMM")))</f>
        <v>FEVEREIRO</v>
      </c>
      <c r="AG380" s="526" t="str">
        <f>IF(LANÇ_MOV[[#This Row],[DATA DE VENCIMENTO]]="","",TEXT(LANÇ_MOV[[#This Row],[DATA DE VENCIMENTO]],"M"))</f>
        <v>2</v>
      </c>
      <c r="AH380" s="526" t="str">
        <f>IF(LANÇ_MOV[[#This Row],[DATA DE VENCIMENTO]]="","",TEXT(LANÇ_MOV[[#This Row],[DATA DE VENCIMENTO]],"D"))</f>
        <v>26</v>
      </c>
      <c r="AI380" s="526" t="str">
        <f>IF(LANÇ_MOV[[#This Row],[DATA DE PAGAMENTO]]="","",TEXT(LANÇ_MOV[[#This Row],[DATA DE PAGAMENTO]],"AAAA"))</f>
        <v/>
      </c>
      <c r="AJ380" s="527" t="str">
        <f>IF(LANÇ_MOV[[#This Row],[DATA DE PAGAMENTO]]="","",UPPER(TEXT(LANÇ_MOV[[#This Row],[DATA DE PAGAMENTO]],"MMMM")))</f>
        <v/>
      </c>
      <c r="AK380" s="527" t="str">
        <f>IF(LANÇ_MOV[[#This Row],[DATA DE PAGAMENTO]]="","",TEXT(LANÇ_MOV[[#This Row],[DATA DE PAGAMENTO]],"M"))</f>
        <v/>
      </c>
      <c r="AL380" s="526" t="str">
        <f>IF(LANÇ_MOV[[#This Row],[DATA DE PAGAMENTO]]="","",TEXT(LANÇ_MOV[[#This Row],[DATA DE PAGAMENTO]],"D"))</f>
        <v/>
      </c>
      <c r="AM380" s="27"/>
      <c r="BB380" s="112"/>
      <c r="BC380" s="112"/>
      <c r="BD380" s="112"/>
    </row>
    <row r="381" spans="2:56" ht="30.05" customHeight="1" x14ac:dyDescent="0.35">
      <c r="B381" s="506">
        <v>45931</v>
      </c>
      <c r="C381" s="507" t="s">
        <v>1661</v>
      </c>
      <c r="D381" s="508" t="s">
        <v>1854</v>
      </c>
      <c r="E381" s="509" t="s">
        <v>1440</v>
      </c>
      <c r="F381" s="510" t="s">
        <v>1845</v>
      </c>
      <c r="G381" s="507" t="s">
        <v>1928</v>
      </c>
      <c r="H381" s="511" t="s">
        <v>1937</v>
      </c>
      <c r="I381" s="512" t="s">
        <v>1760</v>
      </c>
      <c r="J381" s="510">
        <v>3265.54</v>
      </c>
      <c r="K381" s="513">
        <v>0</v>
      </c>
      <c r="L381" s="513">
        <v>0</v>
      </c>
      <c r="M381" s="513">
        <v>0</v>
      </c>
      <c r="N381" s="514">
        <f>LANÇ_MOV[[#This Row],[VALOR BRUTO]]-LANÇ_MOV[[#This Row],[DESCONTO]]+LANÇ_MOV[[#This Row],[JUROS]]+LANÇ_MOV[[#This Row],[MULTA]]</f>
        <v>3265.54</v>
      </c>
      <c r="O381" s="528">
        <v>45208</v>
      </c>
      <c r="P381" s="516" t="str">
        <f t="shared" ca="1" si="5"/>
        <v>Venceu</v>
      </c>
      <c r="Q381" s="528"/>
      <c r="R381" s="529" t="s">
        <v>1506</v>
      </c>
      <c r="S381" s="518"/>
      <c r="T381" s="518" t="s">
        <v>1776</v>
      </c>
      <c r="U381" s="519" t="s">
        <v>2007</v>
      </c>
      <c r="V381" s="520" t="str">
        <f>IFERROR(VLOOKUP(LANÇ_MOV[[#This Row],[PLANO DE CONTAS]],Plano_Contas[[PLANO DE CONTAS]:[R / D]],3,0),"")</f>
        <v>Despesa</v>
      </c>
      <c r="W381" s="521" t="str">
        <f>IF(LANÇ_MOV[[#This Row],[DATA DE PAGAMENTO]]&lt;&gt;"","Pago","Não Pago")</f>
        <v>Não Pago</v>
      </c>
      <c r="X381" s="522" t="str">
        <f>IFERROR(IF(LANÇ_MOV[[#This Row],[DATA DE PAGAMENTO]]="","",(UPPER(TEXT(LANÇ_MOV[[#This Row],[DATA DE PAGAMENTO]],"mmmm")))),"")</f>
        <v/>
      </c>
      <c r="Y381" s="523" t="str">
        <f>IFERROR(VLOOKUP(LANÇ_MOV[[#This Row],[PLANO DE CONTAS]],Plano_Contas[[PLANO DE CONTAS]:[NOMES INTERVALOS]],2,0),"")</f>
        <v>Despesas_Endividamentos</v>
      </c>
      <c r="Z381" s="523" t="str">
        <f>IF(LANÇ_MOV[[#This Row],[FORMA DE PAGAMENTO]]="","",VLOOKUP(LANÇ_MOV[[#This Row],[FORMA DE PAGAMENTO]],CAD_Forma_pagto[],2,0))</f>
        <v>BOLETO</v>
      </c>
      <c r="AA381" s="524" t="str">
        <f>IF(LANÇ_MOV[[#This Row],[DATA DE LANÇAMENTO]]="","",TEXT(LANÇ_MOV[[#This Row],[DATA DE LANÇAMENTO]],"AAAA"))</f>
        <v>2025</v>
      </c>
      <c r="AB381" s="524" t="str">
        <f>IF(LANÇ_MOV[[#This Row],[DATA DE LANÇAMENTO]]="","",UPPER(TEXT(LANÇ_MOV[[#This Row],[DATA DE LANÇAMENTO]],"MMMM")))</f>
        <v>OUTUBRO</v>
      </c>
      <c r="AC381" s="525" t="str">
        <f>IF(LANÇ_MOV[[#This Row],[DATA DE LANÇAMENTO]]="","",PROPER(TEXT(LANÇ_MOV[[#This Row],[DATA DE LANÇAMENTO]],"M")))</f>
        <v>10</v>
      </c>
      <c r="AD381" s="524" t="str">
        <f>IF(LANÇ_MOV[[#This Row],[DATA DE LANÇAMENTO]]="","",TEXT(LANÇ_MOV[[#This Row],[DATA DE LANÇAMENTO]],"D"))</f>
        <v>1</v>
      </c>
      <c r="AE381" s="526" t="str">
        <f>IF(LANÇ_MOV[[#This Row],[DATA DE VENCIMENTO]]="","",TEXT(LANÇ_MOV[[#This Row],[DATA DE VENCIMENTO]],"AAAA"))</f>
        <v>2023</v>
      </c>
      <c r="AF381" s="526" t="str">
        <f>IF(LANÇ_MOV[[#This Row],[DATA DE VENCIMENTO]]="","",UPPER(TEXT(LANÇ_MOV[[#This Row],[DATA DE VENCIMENTO]],"MMMM")))</f>
        <v>OUTUBRO</v>
      </c>
      <c r="AG381" s="526" t="str">
        <f>IF(LANÇ_MOV[[#This Row],[DATA DE VENCIMENTO]]="","",TEXT(LANÇ_MOV[[#This Row],[DATA DE VENCIMENTO]],"M"))</f>
        <v>10</v>
      </c>
      <c r="AH381" s="526" t="str">
        <f>IF(LANÇ_MOV[[#This Row],[DATA DE VENCIMENTO]]="","",TEXT(LANÇ_MOV[[#This Row],[DATA DE VENCIMENTO]],"D"))</f>
        <v>9</v>
      </c>
      <c r="AI381" s="526" t="str">
        <f>IF(LANÇ_MOV[[#This Row],[DATA DE PAGAMENTO]]="","",TEXT(LANÇ_MOV[[#This Row],[DATA DE PAGAMENTO]],"AAAA"))</f>
        <v/>
      </c>
      <c r="AJ381" s="527" t="str">
        <f>IF(LANÇ_MOV[[#This Row],[DATA DE PAGAMENTO]]="","",UPPER(TEXT(LANÇ_MOV[[#This Row],[DATA DE PAGAMENTO]],"MMMM")))</f>
        <v/>
      </c>
      <c r="AK381" s="527" t="str">
        <f>IF(LANÇ_MOV[[#This Row],[DATA DE PAGAMENTO]]="","",TEXT(LANÇ_MOV[[#This Row],[DATA DE PAGAMENTO]],"M"))</f>
        <v/>
      </c>
      <c r="AL381" s="526" t="str">
        <f>IF(LANÇ_MOV[[#This Row],[DATA DE PAGAMENTO]]="","",TEXT(LANÇ_MOV[[#This Row],[DATA DE PAGAMENTO]],"D"))</f>
        <v/>
      </c>
      <c r="AM381" s="27"/>
      <c r="BB381" s="112"/>
      <c r="BC381" s="112"/>
      <c r="BD381" s="112"/>
    </row>
    <row r="382" spans="2:56" ht="30.05" customHeight="1" x14ac:dyDescent="0.35">
      <c r="B382" s="506">
        <v>45931</v>
      </c>
      <c r="C382" s="507" t="s">
        <v>1661</v>
      </c>
      <c r="D382" s="508" t="s">
        <v>1854</v>
      </c>
      <c r="E382" s="509" t="s">
        <v>1440</v>
      </c>
      <c r="F382" s="510"/>
      <c r="G382" s="507" t="s">
        <v>1938</v>
      </c>
      <c r="H382" s="511" t="s">
        <v>1939</v>
      </c>
      <c r="I382" s="512" t="s">
        <v>1760</v>
      </c>
      <c r="J382" s="510">
        <v>0</v>
      </c>
      <c r="K382" s="513">
        <v>0</v>
      </c>
      <c r="L382" s="513">
        <v>0</v>
      </c>
      <c r="M382" s="513">
        <v>0</v>
      </c>
      <c r="N382" s="514">
        <f>LANÇ_MOV[[#This Row],[VALOR BRUTO]]-LANÇ_MOV[[#This Row],[DESCONTO]]+LANÇ_MOV[[#This Row],[JUROS]]+LANÇ_MOV[[#This Row],[MULTA]]</f>
        <v>0</v>
      </c>
      <c r="O382" s="528"/>
      <c r="P382" s="516" t="str">
        <f t="shared" ca="1" si="5"/>
        <v/>
      </c>
      <c r="Q382" s="528"/>
      <c r="R382" s="529" t="s">
        <v>1506</v>
      </c>
      <c r="S382" s="518"/>
      <c r="T382" s="518" t="s">
        <v>1776</v>
      </c>
      <c r="U382" s="519" t="s">
        <v>2007</v>
      </c>
      <c r="V382" s="520" t="str">
        <f>IFERROR(VLOOKUP(LANÇ_MOV[[#This Row],[PLANO DE CONTAS]],Plano_Contas[[PLANO DE CONTAS]:[R / D]],3,0),"")</f>
        <v>Despesa</v>
      </c>
      <c r="W382" s="521" t="str">
        <f>IF(LANÇ_MOV[[#This Row],[DATA DE PAGAMENTO]]&lt;&gt;"","Pago","Não Pago")</f>
        <v>Não Pago</v>
      </c>
      <c r="X382" s="522" t="str">
        <f>IFERROR(IF(LANÇ_MOV[[#This Row],[DATA DE PAGAMENTO]]="","",(UPPER(TEXT(LANÇ_MOV[[#This Row],[DATA DE PAGAMENTO]],"mmmm")))),"")</f>
        <v/>
      </c>
      <c r="Y382" s="523" t="str">
        <f>IFERROR(VLOOKUP(LANÇ_MOV[[#This Row],[PLANO DE CONTAS]],Plano_Contas[[PLANO DE CONTAS]:[NOMES INTERVALOS]],2,0),"")</f>
        <v>Despesas_Endividamentos</v>
      </c>
      <c r="Z382" s="523" t="str">
        <f>IF(LANÇ_MOV[[#This Row],[FORMA DE PAGAMENTO]]="","",VLOOKUP(LANÇ_MOV[[#This Row],[FORMA DE PAGAMENTO]],CAD_Forma_pagto[],2,0))</f>
        <v>BOLETO</v>
      </c>
      <c r="AA382" s="524" t="str">
        <f>IF(LANÇ_MOV[[#This Row],[DATA DE LANÇAMENTO]]="","",TEXT(LANÇ_MOV[[#This Row],[DATA DE LANÇAMENTO]],"AAAA"))</f>
        <v>2025</v>
      </c>
      <c r="AB382" s="524" t="str">
        <f>IF(LANÇ_MOV[[#This Row],[DATA DE LANÇAMENTO]]="","",UPPER(TEXT(LANÇ_MOV[[#This Row],[DATA DE LANÇAMENTO]],"MMMM")))</f>
        <v>OUTUBRO</v>
      </c>
      <c r="AC382" s="525" t="str">
        <f>IF(LANÇ_MOV[[#This Row],[DATA DE LANÇAMENTO]]="","",PROPER(TEXT(LANÇ_MOV[[#This Row],[DATA DE LANÇAMENTO]],"M")))</f>
        <v>10</v>
      </c>
      <c r="AD382" s="524" t="str">
        <f>IF(LANÇ_MOV[[#This Row],[DATA DE LANÇAMENTO]]="","",TEXT(LANÇ_MOV[[#This Row],[DATA DE LANÇAMENTO]],"D"))</f>
        <v>1</v>
      </c>
      <c r="AE382" s="526" t="str">
        <f>IF(LANÇ_MOV[[#This Row],[DATA DE VENCIMENTO]]="","",TEXT(LANÇ_MOV[[#This Row],[DATA DE VENCIMENTO]],"AAAA"))</f>
        <v/>
      </c>
      <c r="AF382" s="526" t="str">
        <f>IF(LANÇ_MOV[[#This Row],[DATA DE VENCIMENTO]]="","",UPPER(TEXT(LANÇ_MOV[[#This Row],[DATA DE VENCIMENTO]],"MMMM")))</f>
        <v/>
      </c>
      <c r="AG382" s="526" t="str">
        <f>IF(LANÇ_MOV[[#This Row],[DATA DE VENCIMENTO]]="","",TEXT(LANÇ_MOV[[#This Row],[DATA DE VENCIMENTO]],"M"))</f>
        <v/>
      </c>
      <c r="AH382" s="526" t="str">
        <f>IF(LANÇ_MOV[[#This Row],[DATA DE VENCIMENTO]]="","",TEXT(LANÇ_MOV[[#This Row],[DATA DE VENCIMENTO]],"D"))</f>
        <v/>
      </c>
      <c r="AI382" s="526" t="str">
        <f>IF(LANÇ_MOV[[#This Row],[DATA DE PAGAMENTO]]="","",TEXT(LANÇ_MOV[[#This Row],[DATA DE PAGAMENTO]],"AAAA"))</f>
        <v/>
      </c>
      <c r="AJ382" s="527" t="str">
        <f>IF(LANÇ_MOV[[#This Row],[DATA DE PAGAMENTO]]="","",UPPER(TEXT(LANÇ_MOV[[#This Row],[DATA DE PAGAMENTO]],"MMMM")))</f>
        <v/>
      </c>
      <c r="AK382" s="527" t="str">
        <f>IF(LANÇ_MOV[[#This Row],[DATA DE PAGAMENTO]]="","",TEXT(LANÇ_MOV[[#This Row],[DATA DE PAGAMENTO]],"M"))</f>
        <v/>
      </c>
      <c r="AL382" s="526" t="str">
        <f>IF(LANÇ_MOV[[#This Row],[DATA DE PAGAMENTO]]="","",TEXT(LANÇ_MOV[[#This Row],[DATA DE PAGAMENTO]],"D"))</f>
        <v/>
      </c>
      <c r="AM382" s="27"/>
      <c r="BB382" s="112"/>
      <c r="BC382" s="112"/>
      <c r="BD382" s="112"/>
    </row>
    <row r="383" spans="2:56" ht="30.05" customHeight="1" x14ac:dyDescent="0.35">
      <c r="B383" s="506">
        <v>45931</v>
      </c>
      <c r="C383" s="507" t="s">
        <v>1661</v>
      </c>
      <c r="D383" s="508" t="s">
        <v>1854</v>
      </c>
      <c r="E383" s="509" t="s">
        <v>1440</v>
      </c>
      <c r="F383" s="510" t="s">
        <v>1830</v>
      </c>
      <c r="G383" s="507" t="s">
        <v>1928</v>
      </c>
      <c r="H383" s="511" t="s">
        <v>1940</v>
      </c>
      <c r="I383" s="512" t="s">
        <v>1760</v>
      </c>
      <c r="J383" s="510">
        <v>2569.75</v>
      </c>
      <c r="K383" s="513">
        <v>0</v>
      </c>
      <c r="L383" s="513">
        <v>0</v>
      </c>
      <c r="M383" s="513">
        <v>0</v>
      </c>
      <c r="N383" s="514">
        <f>LANÇ_MOV[[#This Row],[VALOR BRUTO]]-LANÇ_MOV[[#This Row],[DESCONTO]]+LANÇ_MOV[[#This Row],[JUROS]]+LANÇ_MOV[[#This Row],[MULTA]]</f>
        <v>2569.75</v>
      </c>
      <c r="O383" s="528">
        <v>45204</v>
      </c>
      <c r="P383" s="516" t="str">
        <f t="shared" ca="1" si="5"/>
        <v>Venceu</v>
      </c>
      <c r="Q383" s="528"/>
      <c r="R383" s="529" t="s">
        <v>1506</v>
      </c>
      <c r="S383" s="518"/>
      <c r="T383" s="518" t="s">
        <v>1776</v>
      </c>
      <c r="U383" s="519" t="s">
        <v>2007</v>
      </c>
      <c r="V383" s="520" t="str">
        <f>IFERROR(VLOOKUP(LANÇ_MOV[[#This Row],[PLANO DE CONTAS]],Plano_Contas[[PLANO DE CONTAS]:[R / D]],3,0),"")</f>
        <v>Despesa</v>
      </c>
      <c r="W383" s="521" t="str">
        <f>IF(LANÇ_MOV[[#This Row],[DATA DE PAGAMENTO]]&lt;&gt;"","Pago","Não Pago")</f>
        <v>Não Pago</v>
      </c>
      <c r="X383" s="522" t="str">
        <f>IFERROR(IF(LANÇ_MOV[[#This Row],[DATA DE PAGAMENTO]]="","",(UPPER(TEXT(LANÇ_MOV[[#This Row],[DATA DE PAGAMENTO]],"mmmm")))),"")</f>
        <v/>
      </c>
      <c r="Y383" s="523" t="str">
        <f>IFERROR(VLOOKUP(LANÇ_MOV[[#This Row],[PLANO DE CONTAS]],Plano_Contas[[PLANO DE CONTAS]:[NOMES INTERVALOS]],2,0),"")</f>
        <v>Despesas_Endividamentos</v>
      </c>
      <c r="Z383" s="523" t="str">
        <f>IF(LANÇ_MOV[[#This Row],[FORMA DE PAGAMENTO]]="","",VLOOKUP(LANÇ_MOV[[#This Row],[FORMA DE PAGAMENTO]],CAD_Forma_pagto[],2,0))</f>
        <v>BOLETO</v>
      </c>
      <c r="AA383" s="524" t="str">
        <f>IF(LANÇ_MOV[[#This Row],[DATA DE LANÇAMENTO]]="","",TEXT(LANÇ_MOV[[#This Row],[DATA DE LANÇAMENTO]],"AAAA"))</f>
        <v>2025</v>
      </c>
      <c r="AB383" s="524" t="str">
        <f>IF(LANÇ_MOV[[#This Row],[DATA DE LANÇAMENTO]]="","",UPPER(TEXT(LANÇ_MOV[[#This Row],[DATA DE LANÇAMENTO]],"MMMM")))</f>
        <v>OUTUBRO</v>
      </c>
      <c r="AC383" s="525" t="str">
        <f>IF(LANÇ_MOV[[#This Row],[DATA DE LANÇAMENTO]]="","",PROPER(TEXT(LANÇ_MOV[[#This Row],[DATA DE LANÇAMENTO]],"M")))</f>
        <v>10</v>
      </c>
      <c r="AD383" s="524" t="str">
        <f>IF(LANÇ_MOV[[#This Row],[DATA DE LANÇAMENTO]]="","",TEXT(LANÇ_MOV[[#This Row],[DATA DE LANÇAMENTO]],"D"))</f>
        <v>1</v>
      </c>
      <c r="AE383" s="526" t="str">
        <f>IF(LANÇ_MOV[[#This Row],[DATA DE VENCIMENTO]]="","",TEXT(LANÇ_MOV[[#This Row],[DATA DE VENCIMENTO]],"AAAA"))</f>
        <v>2023</v>
      </c>
      <c r="AF383" s="526" t="str">
        <f>IF(LANÇ_MOV[[#This Row],[DATA DE VENCIMENTO]]="","",UPPER(TEXT(LANÇ_MOV[[#This Row],[DATA DE VENCIMENTO]],"MMMM")))</f>
        <v>OUTUBRO</v>
      </c>
      <c r="AG383" s="526" t="str">
        <f>IF(LANÇ_MOV[[#This Row],[DATA DE VENCIMENTO]]="","",TEXT(LANÇ_MOV[[#This Row],[DATA DE VENCIMENTO]],"M"))</f>
        <v>10</v>
      </c>
      <c r="AH383" s="526" t="str">
        <f>IF(LANÇ_MOV[[#This Row],[DATA DE VENCIMENTO]]="","",TEXT(LANÇ_MOV[[#This Row],[DATA DE VENCIMENTO]],"D"))</f>
        <v>5</v>
      </c>
      <c r="AI383" s="526" t="str">
        <f>IF(LANÇ_MOV[[#This Row],[DATA DE PAGAMENTO]]="","",TEXT(LANÇ_MOV[[#This Row],[DATA DE PAGAMENTO]],"AAAA"))</f>
        <v/>
      </c>
      <c r="AJ383" s="527" t="str">
        <f>IF(LANÇ_MOV[[#This Row],[DATA DE PAGAMENTO]]="","",UPPER(TEXT(LANÇ_MOV[[#This Row],[DATA DE PAGAMENTO]],"MMMM")))</f>
        <v/>
      </c>
      <c r="AK383" s="527" t="str">
        <f>IF(LANÇ_MOV[[#This Row],[DATA DE PAGAMENTO]]="","",TEXT(LANÇ_MOV[[#This Row],[DATA DE PAGAMENTO]],"M"))</f>
        <v/>
      </c>
      <c r="AL383" s="526" t="str">
        <f>IF(LANÇ_MOV[[#This Row],[DATA DE PAGAMENTO]]="","",TEXT(LANÇ_MOV[[#This Row],[DATA DE PAGAMENTO]],"D"))</f>
        <v/>
      </c>
      <c r="AM383" s="27"/>
      <c r="BB383" s="112"/>
      <c r="BC383" s="112"/>
      <c r="BD383" s="112"/>
    </row>
    <row r="384" spans="2:56" ht="30.05" customHeight="1" x14ac:dyDescent="0.35">
      <c r="B384" s="506">
        <v>45931</v>
      </c>
      <c r="C384" s="507" t="s">
        <v>1661</v>
      </c>
      <c r="D384" s="508" t="s">
        <v>1854</v>
      </c>
      <c r="E384" s="509" t="s">
        <v>1440</v>
      </c>
      <c r="F384" s="510" t="s">
        <v>1830</v>
      </c>
      <c r="G384" s="507" t="s">
        <v>1928</v>
      </c>
      <c r="H384" s="511" t="s">
        <v>1941</v>
      </c>
      <c r="I384" s="512" t="s">
        <v>1760</v>
      </c>
      <c r="J384" s="518">
        <v>1142.0999999999999</v>
      </c>
      <c r="K384" s="513">
        <v>0</v>
      </c>
      <c r="L384" s="513">
        <v>0</v>
      </c>
      <c r="M384" s="513">
        <v>0</v>
      </c>
      <c r="N384" s="514">
        <f>LANÇ_MOV[[#This Row],[VALOR BRUTO]]-LANÇ_MOV[[#This Row],[DESCONTO]]+LANÇ_MOV[[#This Row],[JUROS]]+LANÇ_MOV[[#This Row],[MULTA]]</f>
        <v>1142.0999999999999</v>
      </c>
      <c r="O384" s="528">
        <v>45204</v>
      </c>
      <c r="P384" s="516" t="str">
        <f t="shared" ca="1" si="5"/>
        <v>Venceu</v>
      </c>
      <c r="Q384" s="528"/>
      <c r="R384" s="529" t="s">
        <v>1506</v>
      </c>
      <c r="S384" s="518"/>
      <c r="T384" s="518" t="s">
        <v>1776</v>
      </c>
      <c r="U384" s="519" t="s">
        <v>2007</v>
      </c>
      <c r="V384" s="520" t="str">
        <f>IFERROR(VLOOKUP(LANÇ_MOV[[#This Row],[PLANO DE CONTAS]],Plano_Contas[[PLANO DE CONTAS]:[R / D]],3,0),"")</f>
        <v>Despesa</v>
      </c>
      <c r="W384" s="521" t="str">
        <f>IF(LANÇ_MOV[[#This Row],[DATA DE PAGAMENTO]]&lt;&gt;"","Pago","Não Pago")</f>
        <v>Não Pago</v>
      </c>
      <c r="X384" s="522" t="str">
        <f>IFERROR(IF(LANÇ_MOV[[#This Row],[DATA DE PAGAMENTO]]="","",(UPPER(TEXT(LANÇ_MOV[[#This Row],[DATA DE PAGAMENTO]],"mmmm")))),"")</f>
        <v/>
      </c>
      <c r="Y384" s="523" t="str">
        <f>IFERROR(VLOOKUP(LANÇ_MOV[[#This Row],[PLANO DE CONTAS]],Plano_Contas[[PLANO DE CONTAS]:[NOMES INTERVALOS]],2,0),"")</f>
        <v>Despesas_Endividamentos</v>
      </c>
      <c r="Z384" s="523" t="str">
        <f>IF(LANÇ_MOV[[#This Row],[FORMA DE PAGAMENTO]]="","",VLOOKUP(LANÇ_MOV[[#This Row],[FORMA DE PAGAMENTO]],CAD_Forma_pagto[],2,0))</f>
        <v>BOLETO</v>
      </c>
      <c r="AA384" s="524" t="str">
        <f>IF(LANÇ_MOV[[#This Row],[DATA DE LANÇAMENTO]]="","",TEXT(LANÇ_MOV[[#This Row],[DATA DE LANÇAMENTO]],"AAAA"))</f>
        <v>2025</v>
      </c>
      <c r="AB384" s="524" t="str">
        <f>IF(LANÇ_MOV[[#This Row],[DATA DE LANÇAMENTO]]="","",UPPER(TEXT(LANÇ_MOV[[#This Row],[DATA DE LANÇAMENTO]],"MMMM")))</f>
        <v>OUTUBRO</v>
      </c>
      <c r="AC384" s="525" t="str">
        <f>IF(LANÇ_MOV[[#This Row],[DATA DE LANÇAMENTO]]="","",PROPER(TEXT(LANÇ_MOV[[#This Row],[DATA DE LANÇAMENTO]],"M")))</f>
        <v>10</v>
      </c>
      <c r="AD384" s="524" t="str">
        <f>IF(LANÇ_MOV[[#This Row],[DATA DE LANÇAMENTO]]="","",TEXT(LANÇ_MOV[[#This Row],[DATA DE LANÇAMENTO]],"D"))</f>
        <v>1</v>
      </c>
      <c r="AE384" s="526" t="str">
        <f>IF(LANÇ_MOV[[#This Row],[DATA DE VENCIMENTO]]="","",TEXT(LANÇ_MOV[[#This Row],[DATA DE VENCIMENTO]],"AAAA"))</f>
        <v>2023</v>
      </c>
      <c r="AF384" s="526" t="str">
        <f>IF(LANÇ_MOV[[#This Row],[DATA DE VENCIMENTO]]="","",UPPER(TEXT(LANÇ_MOV[[#This Row],[DATA DE VENCIMENTO]],"MMMM")))</f>
        <v>OUTUBRO</v>
      </c>
      <c r="AG384" s="526" t="str">
        <f>IF(LANÇ_MOV[[#This Row],[DATA DE VENCIMENTO]]="","",TEXT(LANÇ_MOV[[#This Row],[DATA DE VENCIMENTO]],"M"))</f>
        <v>10</v>
      </c>
      <c r="AH384" s="526" t="str">
        <f>IF(LANÇ_MOV[[#This Row],[DATA DE VENCIMENTO]]="","",TEXT(LANÇ_MOV[[#This Row],[DATA DE VENCIMENTO]],"D"))</f>
        <v>5</v>
      </c>
      <c r="AI384" s="526" t="str">
        <f>IF(LANÇ_MOV[[#This Row],[DATA DE PAGAMENTO]]="","",TEXT(LANÇ_MOV[[#This Row],[DATA DE PAGAMENTO]],"AAAA"))</f>
        <v/>
      </c>
      <c r="AJ384" s="527" t="str">
        <f>IF(LANÇ_MOV[[#This Row],[DATA DE PAGAMENTO]]="","",UPPER(TEXT(LANÇ_MOV[[#This Row],[DATA DE PAGAMENTO]],"MMMM")))</f>
        <v/>
      </c>
      <c r="AK384" s="527" t="str">
        <f>IF(LANÇ_MOV[[#This Row],[DATA DE PAGAMENTO]]="","",TEXT(LANÇ_MOV[[#This Row],[DATA DE PAGAMENTO]],"M"))</f>
        <v/>
      </c>
      <c r="AL384" s="526" t="str">
        <f>IF(LANÇ_MOV[[#This Row],[DATA DE PAGAMENTO]]="","",TEXT(LANÇ_MOV[[#This Row],[DATA DE PAGAMENTO]],"D"))</f>
        <v/>
      </c>
      <c r="AM384" s="27"/>
      <c r="BB384" s="112"/>
      <c r="BC384" s="112"/>
      <c r="BD384" s="112"/>
    </row>
    <row r="385" spans="2:56" ht="30.05" customHeight="1" x14ac:dyDescent="0.35">
      <c r="B385" s="506">
        <v>45931</v>
      </c>
      <c r="C385" s="507" t="s">
        <v>1661</v>
      </c>
      <c r="D385" s="508" t="s">
        <v>1854</v>
      </c>
      <c r="E385" s="509" t="s">
        <v>1440</v>
      </c>
      <c r="F385" s="510" t="s">
        <v>1849</v>
      </c>
      <c r="G385" s="507" t="s">
        <v>1928</v>
      </c>
      <c r="H385" s="511" t="s">
        <v>1942</v>
      </c>
      <c r="I385" s="512" t="s">
        <v>1760</v>
      </c>
      <c r="J385" s="518">
        <v>4434.47</v>
      </c>
      <c r="K385" s="513">
        <v>0</v>
      </c>
      <c r="L385" s="513">
        <v>0</v>
      </c>
      <c r="M385" s="513">
        <v>0</v>
      </c>
      <c r="N385" s="514">
        <f>LANÇ_MOV[[#This Row],[VALOR BRUTO]]-LANÇ_MOV[[#This Row],[DESCONTO]]+LANÇ_MOV[[#This Row],[JUROS]]+LANÇ_MOV[[#This Row],[MULTA]]</f>
        <v>4434.47</v>
      </c>
      <c r="O385" s="528">
        <v>45600</v>
      </c>
      <c r="P385" s="516" t="str">
        <f t="shared" ca="1" si="5"/>
        <v>Venceu</v>
      </c>
      <c r="Q385" s="528"/>
      <c r="R385" s="529" t="s">
        <v>1506</v>
      </c>
      <c r="S385" s="518"/>
      <c r="T385" s="518" t="s">
        <v>1776</v>
      </c>
      <c r="U385" s="519" t="s">
        <v>2007</v>
      </c>
      <c r="V385" s="520" t="str">
        <f>IFERROR(VLOOKUP(LANÇ_MOV[[#This Row],[PLANO DE CONTAS]],Plano_Contas[[PLANO DE CONTAS]:[R / D]],3,0),"")</f>
        <v>Despesa</v>
      </c>
      <c r="W385" s="521" t="str">
        <f>IF(LANÇ_MOV[[#This Row],[DATA DE PAGAMENTO]]&lt;&gt;"","Pago","Não Pago")</f>
        <v>Não Pago</v>
      </c>
      <c r="X385" s="522" t="str">
        <f>IFERROR(IF(LANÇ_MOV[[#This Row],[DATA DE PAGAMENTO]]="","",(UPPER(TEXT(LANÇ_MOV[[#This Row],[DATA DE PAGAMENTO]],"mmmm")))),"")</f>
        <v/>
      </c>
      <c r="Y385" s="523" t="str">
        <f>IFERROR(VLOOKUP(LANÇ_MOV[[#This Row],[PLANO DE CONTAS]],Plano_Contas[[PLANO DE CONTAS]:[NOMES INTERVALOS]],2,0),"")</f>
        <v>Despesas_Endividamentos</v>
      </c>
      <c r="Z385" s="523" t="str">
        <f>IF(LANÇ_MOV[[#This Row],[FORMA DE PAGAMENTO]]="","",VLOOKUP(LANÇ_MOV[[#This Row],[FORMA DE PAGAMENTO]],CAD_Forma_pagto[],2,0))</f>
        <v>BOLETO</v>
      </c>
      <c r="AA385" s="524" t="str">
        <f>IF(LANÇ_MOV[[#This Row],[DATA DE LANÇAMENTO]]="","",TEXT(LANÇ_MOV[[#This Row],[DATA DE LANÇAMENTO]],"AAAA"))</f>
        <v>2025</v>
      </c>
      <c r="AB385" s="524" t="str">
        <f>IF(LANÇ_MOV[[#This Row],[DATA DE LANÇAMENTO]]="","",UPPER(TEXT(LANÇ_MOV[[#This Row],[DATA DE LANÇAMENTO]],"MMMM")))</f>
        <v>OUTUBRO</v>
      </c>
      <c r="AC385" s="525" t="str">
        <f>IF(LANÇ_MOV[[#This Row],[DATA DE LANÇAMENTO]]="","",PROPER(TEXT(LANÇ_MOV[[#This Row],[DATA DE LANÇAMENTO]],"M")))</f>
        <v>10</v>
      </c>
      <c r="AD385" s="524" t="str">
        <f>IF(LANÇ_MOV[[#This Row],[DATA DE LANÇAMENTO]]="","",TEXT(LANÇ_MOV[[#This Row],[DATA DE LANÇAMENTO]],"D"))</f>
        <v>1</v>
      </c>
      <c r="AE385" s="526" t="str">
        <f>IF(LANÇ_MOV[[#This Row],[DATA DE VENCIMENTO]]="","",TEXT(LANÇ_MOV[[#This Row],[DATA DE VENCIMENTO]],"AAAA"))</f>
        <v>2024</v>
      </c>
      <c r="AF385" s="526" t="str">
        <f>IF(LANÇ_MOV[[#This Row],[DATA DE VENCIMENTO]]="","",UPPER(TEXT(LANÇ_MOV[[#This Row],[DATA DE VENCIMENTO]],"MMMM")))</f>
        <v>NOVEMBRO</v>
      </c>
      <c r="AG385" s="526" t="str">
        <f>IF(LANÇ_MOV[[#This Row],[DATA DE VENCIMENTO]]="","",TEXT(LANÇ_MOV[[#This Row],[DATA DE VENCIMENTO]],"M"))</f>
        <v>11</v>
      </c>
      <c r="AH385" s="526" t="str">
        <f>IF(LANÇ_MOV[[#This Row],[DATA DE VENCIMENTO]]="","",TEXT(LANÇ_MOV[[#This Row],[DATA DE VENCIMENTO]],"D"))</f>
        <v>4</v>
      </c>
      <c r="AI385" s="526" t="str">
        <f>IF(LANÇ_MOV[[#This Row],[DATA DE PAGAMENTO]]="","",TEXT(LANÇ_MOV[[#This Row],[DATA DE PAGAMENTO]],"AAAA"))</f>
        <v/>
      </c>
      <c r="AJ385" s="527" t="str">
        <f>IF(LANÇ_MOV[[#This Row],[DATA DE PAGAMENTO]]="","",UPPER(TEXT(LANÇ_MOV[[#This Row],[DATA DE PAGAMENTO]],"MMMM")))</f>
        <v/>
      </c>
      <c r="AK385" s="527" t="str">
        <f>IF(LANÇ_MOV[[#This Row],[DATA DE PAGAMENTO]]="","",TEXT(LANÇ_MOV[[#This Row],[DATA DE PAGAMENTO]],"M"))</f>
        <v/>
      </c>
      <c r="AL385" s="526" t="str">
        <f>IF(LANÇ_MOV[[#This Row],[DATA DE PAGAMENTO]]="","",TEXT(LANÇ_MOV[[#This Row],[DATA DE PAGAMENTO]],"D"))</f>
        <v/>
      </c>
      <c r="AM385" s="27"/>
      <c r="BB385" s="112"/>
      <c r="BC385" s="112"/>
      <c r="BD385" s="112"/>
    </row>
    <row r="386" spans="2:56" ht="30.05" customHeight="1" x14ac:dyDescent="0.35">
      <c r="B386" s="506">
        <v>45931</v>
      </c>
      <c r="C386" s="507" t="s">
        <v>1661</v>
      </c>
      <c r="D386" s="508" t="s">
        <v>1854</v>
      </c>
      <c r="E386" s="509" t="s">
        <v>1440</v>
      </c>
      <c r="F386" s="510" t="s">
        <v>1835</v>
      </c>
      <c r="G386" s="507" t="s">
        <v>1943</v>
      </c>
      <c r="H386" s="511" t="s">
        <v>1944</v>
      </c>
      <c r="I386" s="512" t="s">
        <v>1760</v>
      </c>
      <c r="J386" s="518">
        <v>291.33</v>
      </c>
      <c r="K386" s="513">
        <v>0</v>
      </c>
      <c r="L386" s="513">
        <v>0</v>
      </c>
      <c r="M386" s="513">
        <v>0</v>
      </c>
      <c r="N386" s="514">
        <f>LANÇ_MOV[[#This Row],[VALOR BRUTO]]-LANÇ_MOV[[#This Row],[DESCONTO]]+LANÇ_MOV[[#This Row],[JUROS]]+LANÇ_MOV[[#This Row],[MULTA]]</f>
        <v>291.33</v>
      </c>
      <c r="O386" s="528">
        <v>45600</v>
      </c>
      <c r="P386" s="516" t="str">
        <f t="shared" ca="1" si="5"/>
        <v>Venceu</v>
      </c>
      <c r="Q386" s="528"/>
      <c r="R386" s="529" t="s">
        <v>1506</v>
      </c>
      <c r="S386" s="518"/>
      <c r="T386" s="518" t="s">
        <v>1776</v>
      </c>
      <c r="U386" s="519" t="s">
        <v>2007</v>
      </c>
      <c r="V386" s="520" t="str">
        <f>IFERROR(VLOOKUP(LANÇ_MOV[[#This Row],[PLANO DE CONTAS]],Plano_Contas[[PLANO DE CONTAS]:[R / D]],3,0),"")</f>
        <v>Despesa</v>
      </c>
      <c r="W386" s="521" t="str">
        <f>IF(LANÇ_MOV[[#This Row],[DATA DE PAGAMENTO]]&lt;&gt;"","Pago","Não Pago")</f>
        <v>Não Pago</v>
      </c>
      <c r="X386" s="522" t="str">
        <f>IFERROR(IF(LANÇ_MOV[[#This Row],[DATA DE PAGAMENTO]]="","",(UPPER(TEXT(LANÇ_MOV[[#This Row],[DATA DE PAGAMENTO]],"mmmm")))),"")</f>
        <v/>
      </c>
      <c r="Y386" s="523" t="str">
        <f>IFERROR(VLOOKUP(LANÇ_MOV[[#This Row],[PLANO DE CONTAS]],Plano_Contas[[PLANO DE CONTAS]:[NOMES INTERVALOS]],2,0),"")</f>
        <v>Despesas_Endividamentos</v>
      </c>
      <c r="Z386" s="523" t="str">
        <f>IF(LANÇ_MOV[[#This Row],[FORMA DE PAGAMENTO]]="","",VLOOKUP(LANÇ_MOV[[#This Row],[FORMA DE PAGAMENTO]],CAD_Forma_pagto[],2,0))</f>
        <v>BOLETO</v>
      </c>
      <c r="AA386" s="524" t="str">
        <f>IF(LANÇ_MOV[[#This Row],[DATA DE LANÇAMENTO]]="","",TEXT(LANÇ_MOV[[#This Row],[DATA DE LANÇAMENTO]],"AAAA"))</f>
        <v>2025</v>
      </c>
      <c r="AB386" s="524" t="str">
        <f>IF(LANÇ_MOV[[#This Row],[DATA DE LANÇAMENTO]]="","",UPPER(TEXT(LANÇ_MOV[[#This Row],[DATA DE LANÇAMENTO]],"MMMM")))</f>
        <v>OUTUBRO</v>
      </c>
      <c r="AC386" s="525" t="str">
        <f>IF(LANÇ_MOV[[#This Row],[DATA DE LANÇAMENTO]]="","",PROPER(TEXT(LANÇ_MOV[[#This Row],[DATA DE LANÇAMENTO]],"M")))</f>
        <v>10</v>
      </c>
      <c r="AD386" s="524" t="str">
        <f>IF(LANÇ_MOV[[#This Row],[DATA DE LANÇAMENTO]]="","",TEXT(LANÇ_MOV[[#This Row],[DATA DE LANÇAMENTO]],"D"))</f>
        <v>1</v>
      </c>
      <c r="AE386" s="526" t="str">
        <f>IF(LANÇ_MOV[[#This Row],[DATA DE VENCIMENTO]]="","",TEXT(LANÇ_MOV[[#This Row],[DATA DE VENCIMENTO]],"AAAA"))</f>
        <v>2024</v>
      </c>
      <c r="AF386" s="526" t="str">
        <f>IF(LANÇ_MOV[[#This Row],[DATA DE VENCIMENTO]]="","",UPPER(TEXT(LANÇ_MOV[[#This Row],[DATA DE VENCIMENTO]],"MMMM")))</f>
        <v>NOVEMBRO</v>
      </c>
      <c r="AG386" s="526" t="str">
        <f>IF(LANÇ_MOV[[#This Row],[DATA DE VENCIMENTO]]="","",TEXT(LANÇ_MOV[[#This Row],[DATA DE VENCIMENTO]],"M"))</f>
        <v>11</v>
      </c>
      <c r="AH386" s="526" t="str">
        <f>IF(LANÇ_MOV[[#This Row],[DATA DE VENCIMENTO]]="","",TEXT(LANÇ_MOV[[#This Row],[DATA DE VENCIMENTO]],"D"))</f>
        <v>4</v>
      </c>
      <c r="AI386" s="526" t="str">
        <f>IF(LANÇ_MOV[[#This Row],[DATA DE PAGAMENTO]]="","",TEXT(LANÇ_MOV[[#This Row],[DATA DE PAGAMENTO]],"AAAA"))</f>
        <v/>
      </c>
      <c r="AJ386" s="527" t="str">
        <f>IF(LANÇ_MOV[[#This Row],[DATA DE PAGAMENTO]]="","",UPPER(TEXT(LANÇ_MOV[[#This Row],[DATA DE PAGAMENTO]],"MMMM")))</f>
        <v/>
      </c>
      <c r="AK386" s="527" t="str">
        <f>IF(LANÇ_MOV[[#This Row],[DATA DE PAGAMENTO]]="","",TEXT(LANÇ_MOV[[#This Row],[DATA DE PAGAMENTO]],"M"))</f>
        <v/>
      </c>
      <c r="AL386" s="526" t="str">
        <f>IF(LANÇ_MOV[[#This Row],[DATA DE PAGAMENTO]]="","",TEXT(LANÇ_MOV[[#This Row],[DATA DE PAGAMENTO]],"D"))</f>
        <v/>
      </c>
      <c r="AM386" s="27"/>
      <c r="BB386" s="112"/>
      <c r="BC386" s="112"/>
      <c r="BD386" s="112"/>
    </row>
    <row r="387" spans="2:56" ht="30.05" customHeight="1" x14ac:dyDescent="0.35">
      <c r="B387" s="506">
        <v>45931</v>
      </c>
      <c r="C387" s="507" t="s">
        <v>1661</v>
      </c>
      <c r="D387" s="508" t="s">
        <v>1854</v>
      </c>
      <c r="E387" s="509" t="s">
        <v>1440</v>
      </c>
      <c r="F387" s="510" t="s">
        <v>1834</v>
      </c>
      <c r="G387" s="507" t="s">
        <v>1928</v>
      </c>
      <c r="H387" s="511" t="s">
        <v>1945</v>
      </c>
      <c r="I387" s="512" t="s">
        <v>1760</v>
      </c>
      <c r="J387" s="510">
        <v>11086.6</v>
      </c>
      <c r="K387" s="513">
        <v>0</v>
      </c>
      <c r="L387" s="513">
        <v>0</v>
      </c>
      <c r="M387" s="513">
        <v>0</v>
      </c>
      <c r="N387" s="514">
        <f>LANÇ_MOV[[#This Row],[VALOR BRUTO]]-LANÇ_MOV[[#This Row],[DESCONTO]]+LANÇ_MOV[[#This Row],[JUROS]]+LANÇ_MOV[[#This Row],[MULTA]]</f>
        <v>11086.6</v>
      </c>
      <c r="O387" s="528">
        <v>45600</v>
      </c>
      <c r="P387" s="516" t="str">
        <f t="shared" ca="1" si="5"/>
        <v>Venceu</v>
      </c>
      <c r="Q387" s="528"/>
      <c r="R387" s="529" t="s">
        <v>1506</v>
      </c>
      <c r="S387" s="518"/>
      <c r="T387" s="518" t="s">
        <v>1776</v>
      </c>
      <c r="U387" s="519" t="s">
        <v>2007</v>
      </c>
      <c r="V387" s="520" t="str">
        <f>IFERROR(VLOOKUP(LANÇ_MOV[[#This Row],[PLANO DE CONTAS]],Plano_Contas[[PLANO DE CONTAS]:[R / D]],3,0),"")</f>
        <v>Despesa</v>
      </c>
      <c r="W387" s="521" t="str">
        <f>IF(LANÇ_MOV[[#This Row],[DATA DE PAGAMENTO]]&lt;&gt;"","Pago","Não Pago")</f>
        <v>Não Pago</v>
      </c>
      <c r="X387" s="522" t="str">
        <f>IFERROR(IF(LANÇ_MOV[[#This Row],[DATA DE PAGAMENTO]]="","",(UPPER(TEXT(LANÇ_MOV[[#This Row],[DATA DE PAGAMENTO]],"mmmm")))),"")</f>
        <v/>
      </c>
      <c r="Y387" s="523" t="str">
        <f>IFERROR(VLOOKUP(LANÇ_MOV[[#This Row],[PLANO DE CONTAS]],Plano_Contas[[PLANO DE CONTAS]:[NOMES INTERVALOS]],2,0),"")</f>
        <v>Despesas_Endividamentos</v>
      </c>
      <c r="Z387" s="523" t="str">
        <f>IF(LANÇ_MOV[[#This Row],[FORMA DE PAGAMENTO]]="","",VLOOKUP(LANÇ_MOV[[#This Row],[FORMA DE PAGAMENTO]],CAD_Forma_pagto[],2,0))</f>
        <v>BOLETO</v>
      </c>
      <c r="AA387" s="524" t="str">
        <f>IF(LANÇ_MOV[[#This Row],[DATA DE LANÇAMENTO]]="","",TEXT(LANÇ_MOV[[#This Row],[DATA DE LANÇAMENTO]],"AAAA"))</f>
        <v>2025</v>
      </c>
      <c r="AB387" s="524" t="str">
        <f>IF(LANÇ_MOV[[#This Row],[DATA DE LANÇAMENTO]]="","",UPPER(TEXT(LANÇ_MOV[[#This Row],[DATA DE LANÇAMENTO]],"MMMM")))</f>
        <v>OUTUBRO</v>
      </c>
      <c r="AC387" s="525" t="str">
        <f>IF(LANÇ_MOV[[#This Row],[DATA DE LANÇAMENTO]]="","",PROPER(TEXT(LANÇ_MOV[[#This Row],[DATA DE LANÇAMENTO]],"M")))</f>
        <v>10</v>
      </c>
      <c r="AD387" s="524" t="str">
        <f>IF(LANÇ_MOV[[#This Row],[DATA DE LANÇAMENTO]]="","",TEXT(LANÇ_MOV[[#This Row],[DATA DE LANÇAMENTO]],"D"))</f>
        <v>1</v>
      </c>
      <c r="AE387" s="526" t="str">
        <f>IF(LANÇ_MOV[[#This Row],[DATA DE VENCIMENTO]]="","",TEXT(LANÇ_MOV[[#This Row],[DATA DE VENCIMENTO]],"AAAA"))</f>
        <v>2024</v>
      </c>
      <c r="AF387" s="526" t="str">
        <f>IF(LANÇ_MOV[[#This Row],[DATA DE VENCIMENTO]]="","",UPPER(TEXT(LANÇ_MOV[[#This Row],[DATA DE VENCIMENTO]],"MMMM")))</f>
        <v>NOVEMBRO</v>
      </c>
      <c r="AG387" s="526" t="str">
        <f>IF(LANÇ_MOV[[#This Row],[DATA DE VENCIMENTO]]="","",TEXT(LANÇ_MOV[[#This Row],[DATA DE VENCIMENTO]],"M"))</f>
        <v>11</v>
      </c>
      <c r="AH387" s="526" t="str">
        <f>IF(LANÇ_MOV[[#This Row],[DATA DE VENCIMENTO]]="","",TEXT(LANÇ_MOV[[#This Row],[DATA DE VENCIMENTO]],"D"))</f>
        <v>4</v>
      </c>
      <c r="AI387" s="526" t="str">
        <f>IF(LANÇ_MOV[[#This Row],[DATA DE PAGAMENTO]]="","",TEXT(LANÇ_MOV[[#This Row],[DATA DE PAGAMENTO]],"AAAA"))</f>
        <v/>
      </c>
      <c r="AJ387" s="527" t="str">
        <f>IF(LANÇ_MOV[[#This Row],[DATA DE PAGAMENTO]]="","",UPPER(TEXT(LANÇ_MOV[[#This Row],[DATA DE PAGAMENTO]],"MMMM")))</f>
        <v/>
      </c>
      <c r="AK387" s="527" t="str">
        <f>IF(LANÇ_MOV[[#This Row],[DATA DE PAGAMENTO]]="","",TEXT(LANÇ_MOV[[#This Row],[DATA DE PAGAMENTO]],"M"))</f>
        <v/>
      </c>
      <c r="AL387" s="526" t="str">
        <f>IF(LANÇ_MOV[[#This Row],[DATA DE PAGAMENTO]]="","",TEXT(LANÇ_MOV[[#This Row],[DATA DE PAGAMENTO]],"D"))</f>
        <v/>
      </c>
      <c r="AM387" s="27"/>
      <c r="BB387" s="112"/>
      <c r="BC387" s="112"/>
      <c r="BD387" s="112"/>
    </row>
    <row r="388" spans="2:56" ht="30.05" customHeight="1" x14ac:dyDescent="0.35">
      <c r="B388" s="506">
        <v>45931</v>
      </c>
      <c r="C388" s="507" t="s">
        <v>1661</v>
      </c>
      <c r="D388" s="508" t="s">
        <v>1854</v>
      </c>
      <c r="E388" s="509" t="s">
        <v>1440</v>
      </c>
      <c r="F388" s="510" t="s">
        <v>1835</v>
      </c>
      <c r="G388" s="507" t="s">
        <v>1928</v>
      </c>
      <c r="H388" s="511" t="s">
        <v>1946</v>
      </c>
      <c r="I388" s="512" t="s">
        <v>1760</v>
      </c>
      <c r="J388" s="518">
        <v>1038.82</v>
      </c>
      <c r="K388" s="513">
        <v>0</v>
      </c>
      <c r="L388" s="513">
        <v>0</v>
      </c>
      <c r="M388" s="513">
        <v>0</v>
      </c>
      <c r="N388" s="514">
        <f>LANÇ_MOV[[#This Row],[VALOR BRUTO]]-LANÇ_MOV[[#This Row],[DESCONTO]]+LANÇ_MOV[[#This Row],[JUROS]]+LANÇ_MOV[[#This Row],[MULTA]]</f>
        <v>1038.82</v>
      </c>
      <c r="O388" s="528">
        <v>45600</v>
      </c>
      <c r="P388" s="516" t="str">
        <f t="shared" ca="1" si="5"/>
        <v>Venceu</v>
      </c>
      <c r="Q388" s="528"/>
      <c r="R388" s="529" t="s">
        <v>1506</v>
      </c>
      <c r="S388" s="518"/>
      <c r="T388" s="518" t="s">
        <v>1776</v>
      </c>
      <c r="U388" s="519" t="s">
        <v>2007</v>
      </c>
      <c r="V388" s="520" t="str">
        <f>IFERROR(VLOOKUP(LANÇ_MOV[[#This Row],[PLANO DE CONTAS]],Plano_Contas[[PLANO DE CONTAS]:[R / D]],3,0),"")</f>
        <v>Despesa</v>
      </c>
      <c r="W388" s="521" t="str">
        <f>IF(LANÇ_MOV[[#This Row],[DATA DE PAGAMENTO]]&lt;&gt;"","Pago","Não Pago")</f>
        <v>Não Pago</v>
      </c>
      <c r="X388" s="522" t="str">
        <f>IFERROR(IF(LANÇ_MOV[[#This Row],[DATA DE PAGAMENTO]]="","",(UPPER(TEXT(LANÇ_MOV[[#This Row],[DATA DE PAGAMENTO]],"mmmm")))),"")</f>
        <v/>
      </c>
      <c r="Y388" s="523" t="str">
        <f>IFERROR(VLOOKUP(LANÇ_MOV[[#This Row],[PLANO DE CONTAS]],Plano_Contas[[PLANO DE CONTAS]:[NOMES INTERVALOS]],2,0),"")</f>
        <v>Despesas_Endividamentos</v>
      </c>
      <c r="Z388" s="523" t="str">
        <f>IF(LANÇ_MOV[[#This Row],[FORMA DE PAGAMENTO]]="","",VLOOKUP(LANÇ_MOV[[#This Row],[FORMA DE PAGAMENTO]],CAD_Forma_pagto[],2,0))</f>
        <v>BOLETO</v>
      </c>
      <c r="AA388" s="524" t="str">
        <f>IF(LANÇ_MOV[[#This Row],[DATA DE LANÇAMENTO]]="","",TEXT(LANÇ_MOV[[#This Row],[DATA DE LANÇAMENTO]],"AAAA"))</f>
        <v>2025</v>
      </c>
      <c r="AB388" s="524" t="str">
        <f>IF(LANÇ_MOV[[#This Row],[DATA DE LANÇAMENTO]]="","",UPPER(TEXT(LANÇ_MOV[[#This Row],[DATA DE LANÇAMENTO]],"MMMM")))</f>
        <v>OUTUBRO</v>
      </c>
      <c r="AC388" s="525" t="str">
        <f>IF(LANÇ_MOV[[#This Row],[DATA DE LANÇAMENTO]]="","",PROPER(TEXT(LANÇ_MOV[[#This Row],[DATA DE LANÇAMENTO]],"M")))</f>
        <v>10</v>
      </c>
      <c r="AD388" s="524" t="str">
        <f>IF(LANÇ_MOV[[#This Row],[DATA DE LANÇAMENTO]]="","",TEXT(LANÇ_MOV[[#This Row],[DATA DE LANÇAMENTO]],"D"))</f>
        <v>1</v>
      </c>
      <c r="AE388" s="526" t="str">
        <f>IF(LANÇ_MOV[[#This Row],[DATA DE VENCIMENTO]]="","",TEXT(LANÇ_MOV[[#This Row],[DATA DE VENCIMENTO]],"AAAA"))</f>
        <v>2024</v>
      </c>
      <c r="AF388" s="526" t="str">
        <f>IF(LANÇ_MOV[[#This Row],[DATA DE VENCIMENTO]]="","",UPPER(TEXT(LANÇ_MOV[[#This Row],[DATA DE VENCIMENTO]],"MMMM")))</f>
        <v>NOVEMBRO</v>
      </c>
      <c r="AG388" s="526" t="str">
        <f>IF(LANÇ_MOV[[#This Row],[DATA DE VENCIMENTO]]="","",TEXT(LANÇ_MOV[[#This Row],[DATA DE VENCIMENTO]],"M"))</f>
        <v>11</v>
      </c>
      <c r="AH388" s="526" t="str">
        <f>IF(LANÇ_MOV[[#This Row],[DATA DE VENCIMENTO]]="","",TEXT(LANÇ_MOV[[#This Row],[DATA DE VENCIMENTO]],"D"))</f>
        <v>4</v>
      </c>
      <c r="AI388" s="526" t="str">
        <f>IF(LANÇ_MOV[[#This Row],[DATA DE PAGAMENTO]]="","",TEXT(LANÇ_MOV[[#This Row],[DATA DE PAGAMENTO]],"AAAA"))</f>
        <v/>
      </c>
      <c r="AJ388" s="527" t="str">
        <f>IF(LANÇ_MOV[[#This Row],[DATA DE PAGAMENTO]]="","",UPPER(TEXT(LANÇ_MOV[[#This Row],[DATA DE PAGAMENTO]],"MMMM")))</f>
        <v/>
      </c>
      <c r="AK388" s="527" t="str">
        <f>IF(LANÇ_MOV[[#This Row],[DATA DE PAGAMENTO]]="","",TEXT(LANÇ_MOV[[#This Row],[DATA DE PAGAMENTO]],"M"))</f>
        <v/>
      </c>
      <c r="AL388" s="526" t="str">
        <f>IF(LANÇ_MOV[[#This Row],[DATA DE PAGAMENTO]]="","",TEXT(LANÇ_MOV[[#This Row],[DATA DE PAGAMENTO]],"D"))</f>
        <v/>
      </c>
      <c r="AM388" s="27"/>
      <c r="BB388" s="112"/>
      <c r="BC388" s="112"/>
      <c r="BD388" s="112"/>
    </row>
    <row r="389" spans="2:56" ht="30.05" customHeight="1" x14ac:dyDescent="0.35">
      <c r="B389" s="506">
        <v>45931</v>
      </c>
      <c r="C389" s="507" t="s">
        <v>1661</v>
      </c>
      <c r="D389" s="508" t="s">
        <v>1854</v>
      </c>
      <c r="E389" s="509" t="s">
        <v>1440</v>
      </c>
      <c r="F389" s="510" t="s">
        <v>1837</v>
      </c>
      <c r="G389" s="507" t="s">
        <v>1928</v>
      </c>
      <c r="H389" s="511" t="s">
        <v>1947</v>
      </c>
      <c r="I389" s="512" t="s">
        <v>1760</v>
      </c>
      <c r="J389" s="510">
        <v>6651.85</v>
      </c>
      <c r="K389" s="513">
        <v>0</v>
      </c>
      <c r="L389" s="513">
        <v>0</v>
      </c>
      <c r="M389" s="513">
        <v>0</v>
      </c>
      <c r="N389" s="514">
        <f>LANÇ_MOV[[#This Row],[VALOR BRUTO]]-LANÇ_MOV[[#This Row],[DESCONTO]]+LANÇ_MOV[[#This Row],[JUROS]]+LANÇ_MOV[[#This Row],[MULTA]]</f>
        <v>6651.85</v>
      </c>
      <c r="O389" s="528">
        <v>45600</v>
      </c>
      <c r="P389" s="516" t="str">
        <f t="shared" ref="P389:P452" ca="1" si="6">IF(O389="","",IF(Q389&lt;&gt;"","Pago",IF(O389-TODAY()&gt;30,"Prazo - Mais de 1 mês",IF(O389=TODAY(),"Hoje",IF(O389&lt;TODAY(),"Venceu",IF(O389-TODAY()&lt;10,"Prazo - Menos de 10 dias",IF(O389-TODAY()&lt;15,"Prazo - Menos de 15 dias","Prazo - Menos de 1 Mês")))))))</f>
        <v>Venceu</v>
      </c>
      <c r="Q389" s="528"/>
      <c r="R389" s="529" t="s">
        <v>1506</v>
      </c>
      <c r="S389" s="518"/>
      <c r="T389" s="518" t="s">
        <v>1776</v>
      </c>
      <c r="U389" s="519" t="s">
        <v>2007</v>
      </c>
      <c r="V389" s="520" t="str">
        <f>IFERROR(VLOOKUP(LANÇ_MOV[[#This Row],[PLANO DE CONTAS]],Plano_Contas[[PLANO DE CONTAS]:[R / D]],3,0),"")</f>
        <v>Despesa</v>
      </c>
      <c r="W389" s="521" t="str">
        <f>IF(LANÇ_MOV[[#This Row],[DATA DE PAGAMENTO]]&lt;&gt;"","Pago","Não Pago")</f>
        <v>Não Pago</v>
      </c>
      <c r="X389" s="522" t="str">
        <f>IFERROR(IF(LANÇ_MOV[[#This Row],[DATA DE PAGAMENTO]]="","",(UPPER(TEXT(LANÇ_MOV[[#This Row],[DATA DE PAGAMENTO]],"mmmm")))),"")</f>
        <v/>
      </c>
      <c r="Y389" s="523" t="str">
        <f>IFERROR(VLOOKUP(LANÇ_MOV[[#This Row],[PLANO DE CONTAS]],Plano_Contas[[PLANO DE CONTAS]:[NOMES INTERVALOS]],2,0),"")</f>
        <v>Despesas_Endividamentos</v>
      </c>
      <c r="Z389" s="523" t="str">
        <f>IF(LANÇ_MOV[[#This Row],[FORMA DE PAGAMENTO]]="","",VLOOKUP(LANÇ_MOV[[#This Row],[FORMA DE PAGAMENTO]],CAD_Forma_pagto[],2,0))</f>
        <v>BOLETO</v>
      </c>
      <c r="AA389" s="524" t="str">
        <f>IF(LANÇ_MOV[[#This Row],[DATA DE LANÇAMENTO]]="","",TEXT(LANÇ_MOV[[#This Row],[DATA DE LANÇAMENTO]],"AAAA"))</f>
        <v>2025</v>
      </c>
      <c r="AB389" s="524" t="str">
        <f>IF(LANÇ_MOV[[#This Row],[DATA DE LANÇAMENTO]]="","",UPPER(TEXT(LANÇ_MOV[[#This Row],[DATA DE LANÇAMENTO]],"MMMM")))</f>
        <v>OUTUBRO</v>
      </c>
      <c r="AC389" s="525" t="str">
        <f>IF(LANÇ_MOV[[#This Row],[DATA DE LANÇAMENTO]]="","",PROPER(TEXT(LANÇ_MOV[[#This Row],[DATA DE LANÇAMENTO]],"M")))</f>
        <v>10</v>
      </c>
      <c r="AD389" s="524" t="str">
        <f>IF(LANÇ_MOV[[#This Row],[DATA DE LANÇAMENTO]]="","",TEXT(LANÇ_MOV[[#This Row],[DATA DE LANÇAMENTO]],"D"))</f>
        <v>1</v>
      </c>
      <c r="AE389" s="526" t="str">
        <f>IF(LANÇ_MOV[[#This Row],[DATA DE VENCIMENTO]]="","",TEXT(LANÇ_MOV[[#This Row],[DATA DE VENCIMENTO]],"AAAA"))</f>
        <v>2024</v>
      </c>
      <c r="AF389" s="526" t="str">
        <f>IF(LANÇ_MOV[[#This Row],[DATA DE VENCIMENTO]]="","",UPPER(TEXT(LANÇ_MOV[[#This Row],[DATA DE VENCIMENTO]],"MMMM")))</f>
        <v>NOVEMBRO</v>
      </c>
      <c r="AG389" s="526" t="str">
        <f>IF(LANÇ_MOV[[#This Row],[DATA DE VENCIMENTO]]="","",TEXT(LANÇ_MOV[[#This Row],[DATA DE VENCIMENTO]],"M"))</f>
        <v>11</v>
      </c>
      <c r="AH389" s="526" t="str">
        <f>IF(LANÇ_MOV[[#This Row],[DATA DE VENCIMENTO]]="","",TEXT(LANÇ_MOV[[#This Row],[DATA DE VENCIMENTO]],"D"))</f>
        <v>4</v>
      </c>
      <c r="AI389" s="526" t="str">
        <f>IF(LANÇ_MOV[[#This Row],[DATA DE PAGAMENTO]]="","",TEXT(LANÇ_MOV[[#This Row],[DATA DE PAGAMENTO]],"AAAA"))</f>
        <v/>
      </c>
      <c r="AJ389" s="527" t="str">
        <f>IF(LANÇ_MOV[[#This Row],[DATA DE PAGAMENTO]]="","",UPPER(TEXT(LANÇ_MOV[[#This Row],[DATA DE PAGAMENTO]],"MMMM")))</f>
        <v/>
      </c>
      <c r="AK389" s="527" t="str">
        <f>IF(LANÇ_MOV[[#This Row],[DATA DE PAGAMENTO]]="","",TEXT(LANÇ_MOV[[#This Row],[DATA DE PAGAMENTO]],"M"))</f>
        <v/>
      </c>
      <c r="AL389" s="526" t="str">
        <f>IF(LANÇ_MOV[[#This Row],[DATA DE PAGAMENTO]]="","",TEXT(LANÇ_MOV[[#This Row],[DATA DE PAGAMENTO]],"D"))</f>
        <v/>
      </c>
      <c r="AM389" s="27"/>
      <c r="BB389" s="112"/>
      <c r="BC389" s="112"/>
      <c r="BD389" s="112"/>
    </row>
    <row r="390" spans="2:56" ht="30.05" customHeight="1" x14ac:dyDescent="0.35">
      <c r="B390" s="506">
        <v>45931</v>
      </c>
      <c r="C390" s="507" t="s">
        <v>1661</v>
      </c>
      <c r="D390" s="508" t="s">
        <v>1854</v>
      </c>
      <c r="E390" s="509" t="s">
        <v>1440</v>
      </c>
      <c r="F390" s="510" t="s">
        <v>1836</v>
      </c>
      <c r="G390" s="507" t="s">
        <v>1928</v>
      </c>
      <c r="H390" s="511" t="s">
        <v>1948</v>
      </c>
      <c r="I390" s="512" t="s">
        <v>1760</v>
      </c>
      <c r="J390" s="510">
        <v>41536.660000000003</v>
      </c>
      <c r="K390" s="513">
        <v>0</v>
      </c>
      <c r="L390" s="513">
        <v>0</v>
      </c>
      <c r="M390" s="513">
        <v>0</v>
      </c>
      <c r="N390" s="514">
        <f>LANÇ_MOV[[#This Row],[VALOR BRUTO]]-LANÇ_MOV[[#This Row],[DESCONTO]]+LANÇ_MOV[[#This Row],[JUROS]]+LANÇ_MOV[[#This Row],[MULTA]]</f>
        <v>41536.660000000003</v>
      </c>
      <c r="O390" s="528">
        <v>45600</v>
      </c>
      <c r="P390" s="516" t="str">
        <f t="shared" ca="1" si="6"/>
        <v>Venceu</v>
      </c>
      <c r="Q390" s="528"/>
      <c r="R390" s="529" t="s">
        <v>1506</v>
      </c>
      <c r="S390" s="518"/>
      <c r="T390" s="518" t="s">
        <v>1776</v>
      </c>
      <c r="U390" s="519" t="s">
        <v>2007</v>
      </c>
      <c r="V390" s="520" t="str">
        <f>IFERROR(VLOOKUP(LANÇ_MOV[[#This Row],[PLANO DE CONTAS]],Plano_Contas[[PLANO DE CONTAS]:[R / D]],3,0),"")</f>
        <v>Despesa</v>
      </c>
      <c r="W390" s="521" t="str">
        <f>IF(LANÇ_MOV[[#This Row],[DATA DE PAGAMENTO]]&lt;&gt;"","Pago","Não Pago")</f>
        <v>Não Pago</v>
      </c>
      <c r="X390" s="522" t="str">
        <f>IFERROR(IF(LANÇ_MOV[[#This Row],[DATA DE PAGAMENTO]]="","",(UPPER(TEXT(LANÇ_MOV[[#This Row],[DATA DE PAGAMENTO]],"mmmm")))),"")</f>
        <v/>
      </c>
      <c r="Y390" s="523" t="str">
        <f>IFERROR(VLOOKUP(LANÇ_MOV[[#This Row],[PLANO DE CONTAS]],Plano_Contas[[PLANO DE CONTAS]:[NOMES INTERVALOS]],2,0),"")</f>
        <v>Despesas_Endividamentos</v>
      </c>
      <c r="Z390" s="523" t="str">
        <f>IF(LANÇ_MOV[[#This Row],[FORMA DE PAGAMENTO]]="","",VLOOKUP(LANÇ_MOV[[#This Row],[FORMA DE PAGAMENTO]],CAD_Forma_pagto[],2,0))</f>
        <v>BOLETO</v>
      </c>
      <c r="AA390" s="524" t="str">
        <f>IF(LANÇ_MOV[[#This Row],[DATA DE LANÇAMENTO]]="","",TEXT(LANÇ_MOV[[#This Row],[DATA DE LANÇAMENTO]],"AAAA"))</f>
        <v>2025</v>
      </c>
      <c r="AB390" s="524" t="str">
        <f>IF(LANÇ_MOV[[#This Row],[DATA DE LANÇAMENTO]]="","",UPPER(TEXT(LANÇ_MOV[[#This Row],[DATA DE LANÇAMENTO]],"MMMM")))</f>
        <v>OUTUBRO</v>
      </c>
      <c r="AC390" s="525" t="str">
        <f>IF(LANÇ_MOV[[#This Row],[DATA DE LANÇAMENTO]]="","",PROPER(TEXT(LANÇ_MOV[[#This Row],[DATA DE LANÇAMENTO]],"M")))</f>
        <v>10</v>
      </c>
      <c r="AD390" s="524" t="str">
        <f>IF(LANÇ_MOV[[#This Row],[DATA DE LANÇAMENTO]]="","",TEXT(LANÇ_MOV[[#This Row],[DATA DE LANÇAMENTO]],"D"))</f>
        <v>1</v>
      </c>
      <c r="AE390" s="526" t="str">
        <f>IF(LANÇ_MOV[[#This Row],[DATA DE VENCIMENTO]]="","",TEXT(LANÇ_MOV[[#This Row],[DATA DE VENCIMENTO]],"AAAA"))</f>
        <v>2024</v>
      </c>
      <c r="AF390" s="526" t="str">
        <f>IF(LANÇ_MOV[[#This Row],[DATA DE VENCIMENTO]]="","",UPPER(TEXT(LANÇ_MOV[[#This Row],[DATA DE VENCIMENTO]],"MMMM")))</f>
        <v>NOVEMBRO</v>
      </c>
      <c r="AG390" s="526" t="str">
        <f>IF(LANÇ_MOV[[#This Row],[DATA DE VENCIMENTO]]="","",TEXT(LANÇ_MOV[[#This Row],[DATA DE VENCIMENTO]],"M"))</f>
        <v>11</v>
      </c>
      <c r="AH390" s="526" t="str">
        <f>IF(LANÇ_MOV[[#This Row],[DATA DE VENCIMENTO]]="","",TEXT(LANÇ_MOV[[#This Row],[DATA DE VENCIMENTO]],"D"))</f>
        <v>4</v>
      </c>
      <c r="AI390" s="526" t="str">
        <f>IF(LANÇ_MOV[[#This Row],[DATA DE PAGAMENTO]]="","",TEXT(LANÇ_MOV[[#This Row],[DATA DE PAGAMENTO]],"AAAA"))</f>
        <v/>
      </c>
      <c r="AJ390" s="527" t="str">
        <f>IF(LANÇ_MOV[[#This Row],[DATA DE PAGAMENTO]]="","",UPPER(TEXT(LANÇ_MOV[[#This Row],[DATA DE PAGAMENTO]],"MMMM")))</f>
        <v/>
      </c>
      <c r="AK390" s="527" t="str">
        <f>IF(LANÇ_MOV[[#This Row],[DATA DE PAGAMENTO]]="","",TEXT(LANÇ_MOV[[#This Row],[DATA DE PAGAMENTO]],"M"))</f>
        <v/>
      </c>
      <c r="AL390" s="526" t="str">
        <f>IF(LANÇ_MOV[[#This Row],[DATA DE PAGAMENTO]]="","",TEXT(LANÇ_MOV[[#This Row],[DATA DE PAGAMENTO]],"D"))</f>
        <v/>
      </c>
      <c r="AM390" s="27"/>
      <c r="BB390" s="112"/>
      <c r="BC390" s="112"/>
      <c r="BD390" s="112"/>
    </row>
    <row r="391" spans="2:56" ht="30.05" customHeight="1" x14ac:dyDescent="0.35">
      <c r="B391" s="506">
        <v>45931</v>
      </c>
      <c r="C391" s="507" t="s">
        <v>1661</v>
      </c>
      <c r="D391" s="508" t="s">
        <v>1854</v>
      </c>
      <c r="E391" s="509" t="s">
        <v>1440</v>
      </c>
      <c r="F391" s="510" t="s">
        <v>1833</v>
      </c>
      <c r="G391" s="507" t="s">
        <v>1928</v>
      </c>
      <c r="H391" s="511" t="s">
        <v>1949</v>
      </c>
      <c r="I391" s="512" t="s">
        <v>1760</v>
      </c>
      <c r="J391" s="510">
        <v>886.66</v>
      </c>
      <c r="K391" s="513">
        <v>0</v>
      </c>
      <c r="L391" s="513">
        <v>0</v>
      </c>
      <c r="M391" s="513">
        <v>0</v>
      </c>
      <c r="N391" s="514">
        <f>LANÇ_MOV[[#This Row],[VALOR BRUTO]]-LANÇ_MOV[[#This Row],[DESCONTO]]+LANÇ_MOV[[#This Row],[JUROS]]+LANÇ_MOV[[#This Row],[MULTA]]</f>
        <v>886.66</v>
      </c>
      <c r="O391" s="528">
        <v>45600</v>
      </c>
      <c r="P391" s="516" t="str">
        <f t="shared" ca="1" si="6"/>
        <v>Venceu</v>
      </c>
      <c r="Q391" s="528"/>
      <c r="R391" s="529" t="s">
        <v>1506</v>
      </c>
      <c r="S391" s="518"/>
      <c r="T391" s="518" t="s">
        <v>1776</v>
      </c>
      <c r="U391" s="519" t="s">
        <v>2007</v>
      </c>
      <c r="V391" s="520" t="str">
        <f>IFERROR(VLOOKUP(LANÇ_MOV[[#This Row],[PLANO DE CONTAS]],Plano_Contas[[PLANO DE CONTAS]:[R / D]],3,0),"")</f>
        <v>Despesa</v>
      </c>
      <c r="W391" s="521" t="str">
        <f>IF(LANÇ_MOV[[#This Row],[DATA DE PAGAMENTO]]&lt;&gt;"","Pago","Não Pago")</f>
        <v>Não Pago</v>
      </c>
      <c r="X391" s="522" t="str">
        <f>IFERROR(IF(LANÇ_MOV[[#This Row],[DATA DE PAGAMENTO]]="","",(UPPER(TEXT(LANÇ_MOV[[#This Row],[DATA DE PAGAMENTO]],"mmmm")))),"")</f>
        <v/>
      </c>
      <c r="Y391" s="523" t="str">
        <f>IFERROR(VLOOKUP(LANÇ_MOV[[#This Row],[PLANO DE CONTAS]],Plano_Contas[[PLANO DE CONTAS]:[NOMES INTERVALOS]],2,0),"")</f>
        <v>Despesas_Endividamentos</v>
      </c>
      <c r="Z391" s="523" t="str">
        <f>IF(LANÇ_MOV[[#This Row],[FORMA DE PAGAMENTO]]="","",VLOOKUP(LANÇ_MOV[[#This Row],[FORMA DE PAGAMENTO]],CAD_Forma_pagto[],2,0))</f>
        <v>BOLETO</v>
      </c>
      <c r="AA391" s="524" t="str">
        <f>IF(LANÇ_MOV[[#This Row],[DATA DE LANÇAMENTO]]="","",TEXT(LANÇ_MOV[[#This Row],[DATA DE LANÇAMENTO]],"AAAA"))</f>
        <v>2025</v>
      </c>
      <c r="AB391" s="524" t="str">
        <f>IF(LANÇ_MOV[[#This Row],[DATA DE LANÇAMENTO]]="","",UPPER(TEXT(LANÇ_MOV[[#This Row],[DATA DE LANÇAMENTO]],"MMMM")))</f>
        <v>OUTUBRO</v>
      </c>
      <c r="AC391" s="525" t="str">
        <f>IF(LANÇ_MOV[[#This Row],[DATA DE LANÇAMENTO]]="","",PROPER(TEXT(LANÇ_MOV[[#This Row],[DATA DE LANÇAMENTO]],"M")))</f>
        <v>10</v>
      </c>
      <c r="AD391" s="524" t="str">
        <f>IF(LANÇ_MOV[[#This Row],[DATA DE LANÇAMENTO]]="","",TEXT(LANÇ_MOV[[#This Row],[DATA DE LANÇAMENTO]],"D"))</f>
        <v>1</v>
      </c>
      <c r="AE391" s="526" t="str">
        <f>IF(LANÇ_MOV[[#This Row],[DATA DE VENCIMENTO]]="","",TEXT(LANÇ_MOV[[#This Row],[DATA DE VENCIMENTO]],"AAAA"))</f>
        <v>2024</v>
      </c>
      <c r="AF391" s="526" t="str">
        <f>IF(LANÇ_MOV[[#This Row],[DATA DE VENCIMENTO]]="","",UPPER(TEXT(LANÇ_MOV[[#This Row],[DATA DE VENCIMENTO]],"MMMM")))</f>
        <v>NOVEMBRO</v>
      </c>
      <c r="AG391" s="526" t="str">
        <f>IF(LANÇ_MOV[[#This Row],[DATA DE VENCIMENTO]]="","",TEXT(LANÇ_MOV[[#This Row],[DATA DE VENCIMENTO]],"M"))</f>
        <v>11</v>
      </c>
      <c r="AH391" s="526" t="str">
        <f>IF(LANÇ_MOV[[#This Row],[DATA DE VENCIMENTO]]="","",TEXT(LANÇ_MOV[[#This Row],[DATA DE VENCIMENTO]],"D"))</f>
        <v>4</v>
      </c>
      <c r="AI391" s="526" t="str">
        <f>IF(LANÇ_MOV[[#This Row],[DATA DE PAGAMENTO]]="","",TEXT(LANÇ_MOV[[#This Row],[DATA DE PAGAMENTO]],"AAAA"))</f>
        <v/>
      </c>
      <c r="AJ391" s="527" t="str">
        <f>IF(LANÇ_MOV[[#This Row],[DATA DE PAGAMENTO]]="","",UPPER(TEXT(LANÇ_MOV[[#This Row],[DATA DE PAGAMENTO]],"MMMM")))</f>
        <v/>
      </c>
      <c r="AK391" s="527" t="str">
        <f>IF(LANÇ_MOV[[#This Row],[DATA DE PAGAMENTO]]="","",TEXT(LANÇ_MOV[[#This Row],[DATA DE PAGAMENTO]],"M"))</f>
        <v/>
      </c>
      <c r="AL391" s="526" t="str">
        <f>IF(LANÇ_MOV[[#This Row],[DATA DE PAGAMENTO]]="","",TEXT(LANÇ_MOV[[#This Row],[DATA DE PAGAMENTO]],"D"))</f>
        <v/>
      </c>
      <c r="AM391" s="27"/>
      <c r="BB391" s="112"/>
      <c r="BC391" s="112"/>
      <c r="BD391" s="112"/>
    </row>
    <row r="392" spans="2:56" ht="30.05" customHeight="1" x14ac:dyDescent="0.35">
      <c r="B392" s="506">
        <v>45931</v>
      </c>
      <c r="C392" s="507" t="s">
        <v>1661</v>
      </c>
      <c r="D392" s="508" t="s">
        <v>1854</v>
      </c>
      <c r="E392" s="509" t="s">
        <v>1440</v>
      </c>
      <c r="F392" s="510" t="s">
        <v>1832</v>
      </c>
      <c r="G392" s="507" t="s">
        <v>1928</v>
      </c>
      <c r="H392" s="511" t="s">
        <v>1950</v>
      </c>
      <c r="I392" s="512" t="s">
        <v>1760</v>
      </c>
      <c r="J392" s="510">
        <v>88694.55</v>
      </c>
      <c r="K392" s="513">
        <v>0</v>
      </c>
      <c r="L392" s="513">
        <v>0</v>
      </c>
      <c r="M392" s="513">
        <v>0</v>
      </c>
      <c r="N392" s="514">
        <f>LANÇ_MOV[[#This Row],[VALOR BRUTO]]-LANÇ_MOV[[#This Row],[DESCONTO]]+LANÇ_MOV[[#This Row],[JUROS]]+LANÇ_MOV[[#This Row],[MULTA]]</f>
        <v>88694.55</v>
      </c>
      <c r="O392" s="528">
        <v>45600</v>
      </c>
      <c r="P392" s="516" t="str">
        <f t="shared" ca="1" si="6"/>
        <v>Venceu</v>
      </c>
      <c r="Q392" s="528"/>
      <c r="R392" s="529" t="s">
        <v>1506</v>
      </c>
      <c r="S392" s="518"/>
      <c r="T392" s="518" t="s">
        <v>1776</v>
      </c>
      <c r="U392" s="519" t="s">
        <v>2007</v>
      </c>
      <c r="V392" s="520" t="str">
        <f>IFERROR(VLOOKUP(LANÇ_MOV[[#This Row],[PLANO DE CONTAS]],Plano_Contas[[PLANO DE CONTAS]:[R / D]],3,0),"")</f>
        <v>Despesa</v>
      </c>
      <c r="W392" s="521" t="str">
        <f>IF(LANÇ_MOV[[#This Row],[DATA DE PAGAMENTO]]&lt;&gt;"","Pago","Não Pago")</f>
        <v>Não Pago</v>
      </c>
      <c r="X392" s="522" t="str">
        <f>IFERROR(IF(LANÇ_MOV[[#This Row],[DATA DE PAGAMENTO]]="","",(UPPER(TEXT(LANÇ_MOV[[#This Row],[DATA DE PAGAMENTO]],"mmmm")))),"")</f>
        <v/>
      </c>
      <c r="Y392" s="523" t="str">
        <f>IFERROR(VLOOKUP(LANÇ_MOV[[#This Row],[PLANO DE CONTAS]],Plano_Contas[[PLANO DE CONTAS]:[NOMES INTERVALOS]],2,0),"")</f>
        <v>Despesas_Endividamentos</v>
      </c>
      <c r="Z392" s="523" t="str">
        <f>IF(LANÇ_MOV[[#This Row],[FORMA DE PAGAMENTO]]="","",VLOOKUP(LANÇ_MOV[[#This Row],[FORMA DE PAGAMENTO]],CAD_Forma_pagto[],2,0))</f>
        <v>BOLETO</v>
      </c>
      <c r="AA392" s="524" t="str">
        <f>IF(LANÇ_MOV[[#This Row],[DATA DE LANÇAMENTO]]="","",TEXT(LANÇ_MOV[[#This Row],[DATA DE LANÇAMENTO]],"AAAA"))</f>
        <v>2025</v>
      </c>
      <c r="AB392" s="524" t="str">
        <f>IF(LANÇ_MOV[[#This Row],[DATA DE LANÇAMENTO]]="","",UPPER(TEXT(LANÇ_MOV[[#This Row],[DATA DE LANÇAMENTO]],"MMMM")))</f>
        <v>OUTUBRO</v>
      </c>
      <c r="AC392" s="525" t="str">
        <f>IF(LANÇ_MOV[[#This Row],[DATA DE LANÇAMENTO]]="","",PROPER(TEXT(LANÇ_MOV[[#This Row],[DATA DE LANÇAMENTO]],"M")))</f>
        <v>10</v>
      </c>
      <c r="AD392" s="524" t="str">
        <f>IF(LANÇ_MOV[[#This Row],[DATA DE LANÇAMENTO]]="","",TEXT(LANÇ_MOV[[#This Row],[DATA DE LANÇAMENTO]],"D"))</f>
        <v>1</v>
      </c>
      <c r="AE392" s="526" t="str">
        <f>IF(LANÇ_MOV[[#This Row],[DATA DE VENCIMENTO]]="","",TEXT(LANÇ_MOV[[#This Row],[DATA DE VENCIMENTO]],"AAAA"))</f>
        <v>2024</v>
      </c>
      <c r="AF392" s="526" t="str">
        <f>IF(LANÇ_MOV[[#This Row],[DATA DE VENCIMENTO]]="","",UPPER(TEXT(LANÇ_MOV[[#This Row],[DATA DE VENCIMENTO]],"MMMM")))</f>
        <v>NOVEMBRO</v>
      </c>
      <c r="AG392" s="526" t="str">
        <f>IF(LANÇ_MOV[[#This Row],[DATA DE VENCIMENTO]]="","",TEXT(LANÇ_MOV[[#This Row],[DATA DE VENCIMENTO]],"M"))</f>
        <v>11</v>
      </c>
      <c r="AH392" s="526" t="str">
        <f>IF(LANÇ_MOV[[#This Row],[DATA DE VENCIMENTO]]="","",TEXT(LANÇ_MOV[[#This Row],[DATA DE VENCIMENTO]],"D"))</f>
        <v>4</v>
      </c>
      <c r="AI392" s="526" t="str">
        <f>IF(LANÇ_MOV[[#This Row],[DATA DE PAGAMENTO]]="","",TEXT(LANÇ_MOV[[#This Row],[DATA DE PAGAMENTO]],"AAAA"))</f>
        <v/>
      </c>
      <c r="AJ392" s="527" t="str">
        <f>IF(LANÇ_MOV[[#This Row],[DATA DE PAGAMENTO]]="","",UPPER(TEXT(LANÇ_MOV[[#This Row],[DATA DE PAGAMENTO]],"MMMM")))</f>
        <v/>
      </c>
      <c r="AK392" s="527" t="str">
        <f>IF(LANÇ_MOV[[#This Row],[DATA DE PAGAMENTO]]="","",TEXT(LANÇ_MOV[[#This Row],[DATA DE PAGAMENTO]],"M"))</f>
        <v/>
      </c>
      <c r="AL392" s="526" t="str">
        <f>IF(LANÇ_MOV[[#This Row],[DATA DE PAGAMENTO]]="","",TEXT(LANÇ_MOV[[#This Row],[DATA DE PAGAMENTO]],"D"))</f>
        <v/>
      </c>
      <c r="AM392" s="27"/>
      <c r="BB392" s="112"/>
      <c r="BC392" s="112"/>
      <c r="BD392" s="112"/>
    </row>
    <row r="393" spans="2:56" ht="30.05" customHeight="1" x14ac:dyDescent="0.35">
      <c r="B393" s="506">
        <v>45931</v>
      </c>
      <c r="C393" s="507" t="s">
        <v>1661</v>
      </c>
      <c r="D393" s="508" t="s">
        <v>1854</v>
      </c>
      <c r="E393" s="509" t="s">
        <v>1440</v>
      </c>
      <c r="F393" s="510" t="s">
        <v>1832</v>
      </c>
      <c r="G393" s="507" t="s">
        <v>1928</v>
      </c>
      <c r="H393" s="511" t="s">
        <v>1951</v>
      </c>
      <c r="I393" s="512" t="s">
        <v>1760</v>
      </c>
      <c r="J393" s="510">
        <v>66015.03</v>
      </c>
      <c r="K393" s="513">
        <v>0</v>
      </c>
      <c r="L393" s="513">
        <v>0</v>
      </c>
      <c r="M393" s="513">
        <v>0</v>
      </c>
      <c r="N393" s="514">
        <f>LANÇ_MOV[[#This Row],[VALOR BRUTO]]-LANÇ_MOV[[#This Row],[DESCONTO]]+LANÇ_MOV[[#This Row],[JUROS]]+LANÇ_MOV[[#This Row],[MULTA]]</f>
        <v>66015.03</v>
      </c>
      <c r="O393" s="528">
        <v>45348</v>
      </c>
      <c r="P393" s="516" t="str">
        <f t="shared" ca="1" si="6"/>
        <v>Venceu</v>
      </c>
      <c r="Q393" s="528"/>
      <c r="R393" s="529" t="s">
        <v>1506</v>
      </c>
      <c r="S393" s="518"/>
      <c r="T393" s="518" t="s">
        <v>1776</v>
      </c>
      <c r="U393" s="519" t="s">
        <v>2007</v>
      </c>
      <c r="V393" s="520" t="str">
        <f>IFERROR(VLOOKUP(LANÇ_MOV[[#This Row],[PLANO DE CONTAS]],Plano_Contas[[PLANO DE CONTAS]:[R / D]],3,0),"")</f>
        <v>Despesa</v>
      </c>
      <c r="W393" s="521" t="str">
        <f>IF(LANÇ_MOV[[#This Row],[DATA DE PAGAMENTO]]&lt;&gt;"","Pago","Não Pago")</f>
        <v>Não Pago</v>
      </c>
      <c r="X393" s="522" t="str">
        <f>IFERROR(IF(LANÇ_MOV[[#This Row],[DATA DE PAGAMENTO]]="","",(UPPER(TEXT(LANÇ_MOV[[#This Row],[DATA DE PAGAMENTO]],"mmmm")))),"")</f>
        <v/>
      </c>
      <c r="Y393" s="523" t="str">
        <f>IFERROR(VLOOKUP(LANÇ_MOV[[#This Row],[PLANO DE CONTAS]],Plano_Contas[[PLANO DE CONTAS]:[NOMES INTERVALOS]],2,0),"")</f>
        <v>Despesas_Endividamentos</v>
      </c>
      <c r="Z393" s="523" t="str">
        <f>IF(LANÇ_MOV[[#This Row],[FORMA DE PAGAMENTO]]="","",VLOOKUP(LANÇ_MOV[[#This Row],[FORMA DE PAGAMENTO]],CAD_Forma_pagto[],2,0))</f>
        <v>BOLETO</v>
      </c>
      <c r="AA393" s="524" t="str">
        <f>IF(LANÇ_MOV[[#This Row],[DATA DE LANÇAMENTO]]="","",TEXT(LANÇ_MOV[[#This Row],[DATA DE LANÇAMENTO]],"AAAA"))</f>
        <v>2025</v>
      </c>
      <c r="AB393" s="524" t="str">
        <f>IF(LANÇ_MOV[[#This Row],[DATA DE LANÇAMENTO]]="","",UPPER(TEXT(LANÇ_MOV[[#This Row],[DATA DE LANÇAMENTO]],"MMMM")))</f>
        <v>OUTUBRO</v>
      </c>
      <c r="AC393" s="525" t="str">
        <f>IF(LANÇ_MOV[[#This Row],[DATA DE LANÇAMENTO]]="","",PROPER(TEXT(LANÇ_MOV[[#This Row],[DATA DE LANÇAMENTO]],"M")))</f>
        <v>10</v>
      </c>
      <c r="AD393" s="524" t="str">
        <f>IF(LANÇ_MOV[[#This Row],[DATA DE LANÇAMENTO]]="","",TEXT(LANÇ_MOV[[#This Row],[DATA DE LANÇAMENTO]],"D"))</f>
        <v>1</v>
      </c>
      <c r="AE393" s="526" t="str">
        <f>IF(LANÇ_MOV[[#This Row],[DATA DE VENCIMENTO]]="","",TEXT(LANÇ_MOV[[#This Row],[DATA DE VENCIMENTO]],"AAAA"))</f>
        <v>2024</v>
      </c>
      <c r="AF393" s="526" t="str">
        <f>IF(LANÇ_MOV[[#This Row],[DATA DE VENCIMENTO]]="","",UPPER(TEXT(LANÇ_MOV[[#This Row],[DATA DE VENCIMENTO]],"MMMM")))</f>
        <v>FEVEREIRO</v>
      </c>
      <c r="AG393" s="526" t="str">
        <f>IF(LANÇ_MOV[[#This Row],[DATA DE VENCIMENTO]]="","",TEXT(LANÇ_MOV[[#This Row],[DATA DE VENCIMENTO]],"M"))</f>
        <v>2</v>
      </c>
      <c r="AH393" s="526" t="str">
        <f>IF(LANÇ_MOV[[#This Row],[DATA DE VENCIMENTO]]="","",TEXT(LANÇ_MOV[[#This Row],[DATA DE VENCIMENTO]],"D"))</f>
        <v>26</v>
      </c>
      <c r="AI393" s="526" t="str">
        <f>IF(LANÇ_MOV[[#This Row],[DATA DE PAGAMENTO]]="","",TEXT(LANÇ_MOV[[#This Row],[DATA DE PAGAMENTO]],"AAAA"))</f>
        <v/>
      </c>
      <c r="AJ393" s="527" t="str">
        <f>IF(LANÇ_MOV[[#This Row],[DATA DE PAGAMENTO]]="","",UPPER(TEXT(LANÇ_MOV[[#This Row],[DATA DE PAGAMENTO]],"MMMM")))</f>
        <v/>
      </c>
      <c r="AK393" s="527" t="str">
        <f>IF(LANÇ_MOV[[#This Row],[DATA DE PAGAMENTO]]="","",TEXT(LANÇ_MOV[[#This Row],[DATA DE PAGAMENTO]],"M"))</f>
        <v/>
      </c>
      <c r="AL393" s="526" t="str">
        <f>IF(LANÇ_MOV[[#This Row],[DATA DE PAGAMENTO]]="","",TEXT(LANÇ_MOV[[#This Row],[DATA DE PAGAMENTO]],"D"))</f>
        <v/>
      </c>
      <c r="AM393" s="27"/>
      <c r="BB393" s="112"/>
      <c r="BC393" s="112"/>
      <c r="BD393" s="112"/>
    </row>
    <row r="394" spans="2:56" ht="30.05" customHeight="1" x14ac:dyDescent="0.35">
      <c r="B394" s="506">
        <v>45931</v>
      </c>
      <c r="C394" s="507" t="s">
        <v>1661</v>
      </c>
      <c r="D394" s="508" t="s">
        <v>1854</v>
      </c>
      <c r="E394" s="509" t="s">
        <v>1440</v>
      </c>
      <c r="F394" s="510" t="s">
        <v>1849</v>
      </c>
      <c r="G394" s="507" t="s">
        <v>1928</v>
      </c>
      <c r="H394" s="511" t="s">
        <v>1952</v>
      </c>
      <c r="I394" s="512" t="s">
        <v>1760</v>
      </c>
      <c r="J394" s="510">
        <v>3300.58</v>
      </c>
      <c r="K394" s="513">
        <v>0</v>
      </c>
      <c r="L394" s="513">
        <v>0</v>
      </c>
      <c r="M394" s="513">
        <v>0</v>
      </c>
      <c r="N394" s="514">
        <f>LANÇ_MOV[[#This Row],[VALOR BRUTO]]-LANÇ_MOV[[#This Row],[DESCONTO]]+LANÇ_MOV[[#This Row],[JUROS]]+LANÇ_MOV[[#This Row],[MULTA]]</f>
        <v>3300.58</v>
      </c>
      <c r="O394" s="528">
        <v>45348</v>
      </c>
      <c r="P394" s="516" t="str">
        <f t="shared" ca="1" si="6"/>
        <v>Venceu</v>
      </c>
      <c r="Q394" s="528"/>
      <c r="R394" s="529" t="s">
        <v>1506</v>
      </c>
      <c r="S394" s="518"/>
      <c r="T394" s="518" t="s">
        <v>1776</v>
      </c>
      <c r="U394" s="519" t="s">
        <v>2007</v>
      </c>
      <c r="V394" s="520" t="str">
        <f>IFERROR(VLOOKUP(LANÇ_MOV[[#This Row],[PLANO DE CONTAS]],Plano_Contas[[PLANO DE CONTAS]:[R / D]],3,0),"")</f>
        <v>Despesa</v>
      </c>
      <c r="W394" s="521" t="str">
        <f>IF(LANÇ_MOV[[#This Row],[DATA DE PAGAMENTO]]&lt;&gt;"","Pago","Não Pago")</f>
        <v>Não Pago</v>
      </c>
      <c r="X394" s="522" t="str">
        <f>IFERROR(IF(LANÇ_MOV[[#This Row],[DATA DE PAGAMENTO]]="","",(UPPER(TEXT(LANÇ_MOV[[#This Row],[DATA DE PAGAMENTO]],"mmmm")))),"")</f>
        <v/>
      </c>
      <c r="Y394" s="523" t="str">
        <f>IFERROR(VLOOKUP(LANÇ_MOV[[#This Row],[PLANO DE CONTAS]],Plano_Contas[[PLANO DE CONTAS]:[NOMES INTERVALOS]],2,0),"")</f>
        <v>Despesas_Endividamentos</v>
      </c>
      <c r="Z394" s="523" t="str">
        <f>IF(LANÇ_MOV[[#This Row],[FORMA DE PAGAMENTO]]="","",VLOOKUP(LANÇ_MOV[[#This Row],[FORMA DE PAGAMENTO]],CAD_Forma_pagto[],2,0))</f>
        <v>BOLETO</v>
      </c>
      <c r="AA394" s="524" t="str">
        <f>IF(LANÇ_MOV[[#This Row],[DATA DE LANÇAMENTO]]="","",TEXT(LANÇ_MOV[[#This Row],[DATA DE LANÇAMENTO]],"AAAA"))</f>
        <v>2025</v>
      </c>
      <c r="AB394" s="524" t="str">
        <f>IF(LANÇ_MOV[[#This Row],[DATA DE LANÇAMENTO]]="","",UPPER(TEXT(LANÇ_MOV[[#This Row],[DATA DE LANÇAMENTO]],"MMMM")))</f>
        <v>OUTUBRO</v>
      </c>
      <c r="AC394" s="525" t="str">
        <f>IF(LANÇ_MOV[[#This Row],[DATA DE LANÇAMENTO]]="","",PROPER(TEXT(LANÇ_MOV[[#This Row],[DATA DE LANÇAMENTO]],"M")))</f>
        <v>10</v>
      </c>
      <c r="AD394" s="524" t="str">
        <f>IF(LANÇ_MOV[[#This Row],[DATA DE LANÇAMENTO]]="","",TEXT(LANÇ_MOV[[#This Row],[DATA DE LANÇAMENTO]],"D"))</f>
        <v>1</v>
      </c>
      <c r="AE394" s="526" t="str">
        <f>IF(LANÇ_MOV[[#This Row],[DATA DE VENCIMENTO]]="","",TEXT(LANÇ_MOV[[#This Row],[DATA DE VENCIMENTO]],"AAAA"))</f>
        <v>2024</v>
      </c>
      <c r="AF394" s="526" t="str">
        <f>IF(LANÇ_MOV[[#This Row],[DATA DE VENCIMENTO]]="","",UPPER(TEXT(LANÇ_MOV[[#This Row],[DATA DE VENCIMENTO]],"MMMM")))</f>
        <v>FEVEREIRO</v>
      </c>
      <c r="AG394" s="526" t="str">
        <f>IF(LANÇ_MOV[[#This Row],[DATA DE VENCIMENTO]]="","",TEXT(LANÇ_MOV[[#This Row],[DATA DE VENCIMENTO]],"M"))</f>
        <v>2</v>
      </c>
      <c r="AH394" s="526" t="str">
        <f>IF(LANÇ_MOV[[#This Row],[DATA DE VENCIMENTO]]="","",TEXT(LANÇ_MOV[[#This Row],[DATA DE VENCIMENTO]],"D"))</f>
        <v>26</v>
      </c>
      <c r="AI394" s="526" t="str">
        <f>IF(LANÇ_MOV[[#This Row],[DATA DE PAGAMENTO]]="","",TEXT(LANÇ_MOV[[#This Row],[DATA DE PAGAMENTO]],"AAAA"))</f>
        <v/>
      </c>
      <c r="AJ394" s="527" t="str">
        <f>IF(LANÇ_MOV[[#This Row],[DATA DE PAGAMENTO]]="","",UPPER(TEXT(LANÇ_MOV[[#This Row],[DATA DE PAGAMENTO]],"MMMM")))</f>
        <v/>
      </c>
      <c r="AK394" s="527" t="str">
        <f>IF(LANÇ_MOV[[#This Row],[DATA DE PAGAMENTO]]="","",TEXT(LANÇ_MOV[[#This Row],[DATA DE PAGAMENTO]],"M"))</f>
        <v/>
      </c>
      <c r="AL394" s="526" t="str">
        <f>IF(LANÇ_MOV[[#This Row],[DATA DE PAGAMENTO]]="","",TEXT(LANÇ_MOV[[#This Row],[DATA DE PAGAMENTO]],"D"))</f>
        <v/>
      </c>
      <c r="AM394" s="27"/>
      <c r="BB394" s="112"/>
      <c r="BC394" s="112"/>
      <c r="BD394" s="112"/>
    </row>
    <row r="395" spans="2:56" ht="30.05" customHeight="1" x14ac:dyDescent="0.35">
      <c r="B395" s="506">
        <v>45931</v>
      </c>
      <c r="C395" s="507" t="s">
        <v>1661</v>
      </c>
      <c r="D395" s="508" t="s">
        <v>1854</v>
      </c>
      <c r="E395" s="509" t="s">
        <v>1440</v>
      </c>
      <c r="F395" s="510" t="s">
        <v>1833</v>
      </c>
      <c r="G395" s="507" t="s">
        <v>1928</v>
      </c>
      <c r="H395" s="511" t="s">
        <v>1953</v>
      </c>
      <c r="I395" s="512" t="s">
        <v>1760</v>
      </c>
      <c r="J395" s="510">
        <v>660</v>
      </c>
      <c r="K395" s="513">
        <v>0</v>
      </c>
      <c r="L395" s="513">
        <v>0</v>
      </c>
      <c r="M395" s="513">
        <v>0</v>
      </c>
      <c r="N395" s="514">
        <f>LANÇ_MOV[[#This Row],[VALOR BRUTO]]-LANÇ_MOV[[#This Row],[DESCONTO]]+LANÇ_MOV[[#This Row],[JUROS]]+LANÇ_MOV[[#This Row],[MULTA]]</f>
        <v>660</v>
      </c>
      <c r="O395" s="528">
        <v>45348</v>
      </c>
      <c r="P395" s="516" t="str">
        <f t="shared" ca="1" si="6"/>
        <v>Venceu</v>
      </c>
      <c r="Q395" s="528"/>
      <c r="R395" s="529" t="s">
        <v>1506</v>
      </c>
      <c r="S395" s="518"/>
      <c r="T395" s="518" t="s">
        <v>1776</v>
      </c>
      <c r="U395" s="519" t="s">
        <v>2007</v>
      </c>
      <c r="V395" s="520" t="str">
        <f>IFERROR(VLOOKUP(LANÇ_MOV[[#This Row],[PLANO DE CONTAS]],Plano_Contas[[PLANO DE CONTAS]:[R / D]],3,0),"")</f>
        <v>Despesa</v>
      </c>
      <c r="W395" s="521" t="str">
        <f>IF(LANÇ_MOV[[#This Row],[DATA DE PAGAMENTO]]&lt;&gt;"","Pago","Não Pago")</f>
        <v>Não Pago</v>
      </c>
      <c r="X395" s="522" t="str">
        <f>IFERROR(IF(LANÇ_MOV[[#This Row],[DATA DE PAGAMENTO]]="","",(UPPER(TEXT(LANÇ_MOV[[#This Row],[DATA DE PAGAMENTO]],"mmmm")))),"")</f>
        <v/>
      </c>
      <c r="Y395" s="523" t="str">
        <f>IFERROR(VLOOKUP(LANÇ_MOV[[#This Row],[PLANO DE CONTAS]],Plano_Contas[[PLANO DE CONTAS]:[NOMES INTERVALOS]],2,0),"")</f>
        <v>Despesas_Endividamentos</v>
      </c>
      <c r="Z395" s="523" t="str">
        <f>IF(LANÇ_MOV[[#This Row],[FORMA DE PAGAMENTO]]="","",VLOOKUP(LANÇ_MOV[[#This Row],[FORMA DE PAGAMENTO]],CAD_Forma_pagto[],2,0))</f>
        <v>BOLETO</v>
      </c>
      <c r="AA395" s="524" t="str">
        <f>IF(LANÇ_MOV[[#This Row],[DATA DE LANÇAMENTO]]="","",TEXT(LANÇ_MOV[[#This Row],[DATA DE LANÇAMENTO]],"AAAA"))</f>
        <v>2025</v>
      </c>
      <c r="AB395" s="524" t="str">
        <f>IF(LANÇ_MOV[[#This Row],[DATA DE LANÇAMENTO]]="","",UPPER(TEXT(LANÇ_MOV[[#This Row],[DATA DE LANÇAMENTO]],"MMMM")))</f>
        <v>OUTUBRO</v>
      </c>
      <c r="AC395" s="525" t="str">
        <f>IF(LANÇ_MOV[[#This Row],[DATA DE LANÇAMENTO]]="","",PROPER(TEXT(LANÇ_MOV[[#This Row],[DATA DE LANÇAMENTO]],"M")))</f>
        <v>10</v>
      </c>
      <c r="AD395" s="524" t="str">
        <f>IF(LANÇ_MOV[[#This Row],[DATA DE LANÇAMENTO]]="","",TEXT(LANÇ_MOV[[#This Row],[DATA DE LANÇAMENTO]],"D"))</f>
        <v>1</v>
      </c>
      <c r="AE395" s="526" t="str">
        <f>IF(LANÇ_MOV[[#This Row],[DATA DE VENCIMENTO]]="","",TEXT(LANÇ_MOV[[#This Row],[DATA DE VENCIMENTO]],"AAAA"))</f>
        <v>2024</v>
      </c>
      <c r="AF395" s="526" t="str">
        <f>IF(LANÇ_MOV[[#This Row],[DATA DE VENCIMENTO]]="","",UPPER(TEXT(LANÇ_MOV[[#This Row],[DATA DE VENCIMENTO]],"MMMM")))</f>
        <v>FEVEREIRO</v>
      </c>
      <c r="AG395" s="526" t="str">
        <f>IF(LANÇ_MOV[[#This Row],[DATA DE VENCIMENTO]]="","",TEXT(LANÇ_MOV[[#This Row],[DATA DE VENCIMENTO]],"M"))</f>
        <v>2</v>
      </c>
      <c r="AH395" s="526" t="str">
        <f>IF(LANÇ_MOV[[#This Row],[DATA DE VENCIMENTO]]="","",TEXT(LANÇ_MOV[[#This Row],[DATA DE VENCIMENTO]],"D"))</f>
        <v>26</v>
      </c>
      <c r="AI395" s="526" t="str">
        <f>IF(LANÇ_MOV[[#This Row],[DATA DE PAGAMENTO]]="","",TEXT(LANÇ_MOV[[#This Row],[DATA DE PAGAMENTO]],"AAAA"))</f>
        <v/>
      </c>
      <c r="AJ395" s="527" t="str">
        <f>IF(LANÇ_MOV[[#This Row],[DATA DE PAGAMENTO]]="","",UPPER(TEXT(LANÇ_MOV[[#This Row],[DATA DE PAGAMENTO]],"MMMM")))</f>
        <v/>
      </c>
      <c r="AK395" s="527" t="str">
        <f>IF(LANÇ_MOV[[#This Row],[DATA DE PAGAMENTO]]="","",TEXT(LANÇ_MOV[[#This Row],[DATA DE PAGAMENTO]],"M"))</f>
        <v/>
      </c>
      <c r="AL395" s="526" t="str">
        <f>IF(LANÇ_MOV[[#This Row],[DATA DE PAGAMENTO]]="","",TEXT(LANÇ_MOV[[#This Row],[DATA DE PAGAMENTO]],"D"))</f>
        <v/>
      </c>
      <c r="AM395" s="27"/>
      <c r="BB395" s="112"/>
      <c r="BC395" s="112"/>
      <c r="BD395" s="112"/>
    </row>
    <row r="396" spans="2:56" ht="30.05" customHeight="1" x14ac:dyDescent="0.35">
      <c r="B396" s="506">
        <v>45931</v>
      </c>
      <c r="C396" s="507" t="s">
        <v>1661</v>
      </c>
      <c r="D396" s="508" t="s">
        <v>1854</v>
      </c>
      <c r="E396" s="509" t="s">
        <v>1440</v>
      </c>
      <c r="F396" s="510" t="s">
        <v>1835</v>
      </c>
      <c r="G396" s="507" t="s">
        <v>1954</v>
      </c>
      <c r="H396" s="511" t="s">
        <v>1955</v>
      </c>
      <c r="I396" s="512" t="s">
        <v>1760</v>
      </c>
      <c r="J396" s="518">
        <v>990.11</v>
      </c>
      <c r="K396" s="513">
        <v>0</v>
      </c>
      <c r="L396" s="513">
        <v>0</v>
      </c>
      <c r="M396" s="513">
        <v>0</v>
      </c>
      <c r="N396" s="514">
        <f>LANÇ_MOV[[#This Row],[VALOR BRUTO]]-LANÇ_MOV[[#This Row],[DESCONTO]]+LANÇ_MOV[[#This Row],[JUROS]]+LANÇ_MOV[[#This Row],[MULTA]]</f>
        <v>990.11</v>
      </c>
      <c r="O396" s="528">
        <v>45348</v>
      </c>
      <c r="P396" s="516" t="str">
        <f t="shared" ca="1" si="6"/>
        <v>Venceu</v>
      </c>
      <c r="Q396" s="528"/>
      <c r="R396" s="529" t="s">
        <v>1506</v>
      </c>
      <c r="S396" s="518"/>
      <c r="T396" s="518" t="s">
        <v>1776</v>
      </c>
      <c r="U396" s="519" t="s">
        <v>2007</v>
      </c>
      <c r="V396" s="520" t="str">
        <f>IFERROR(VLOOKUP(LANÇ_MOV[[#This Row],[PLANO DE CONTAS]],Plano_Contas[[PLANO DE CONTAS]:[R / D]],3,0),"")</f>
        <v>Despesa</v>
      </c>
      <c r="W396" s="521" t="str">
        <f>IF(LANÇ_MOV[[#This Row],[DATA DE PAGAMENTO]]&lt;&gt;"","Pago","Não Pago")</f>
        <v>Não Pago</v>
      </c>
      <c r="X396" s="522" t="str">
        <f>IFERROR(IF(LANÇ_MOV[[#This Row],[DATA DE PAGAMENTO]]="","",(UPPER(TEXT(LANÇ_MOV[[#This Row],[DATA DE PAGAMENTO]],"mmmm")))),"")</f>
        <v/>
      </c>
      <c r="Y396" s="523" t="str">
        <f>IFERROR(VLOOKUP(LANÇ_MOV[[#This Row],[PLANO DE CONTAS]],Plano_Contas[[PLANO DE CONTAS]:[NOMES INTERVALOS]],2,0),"")</f>
        <v>Despesas_Endividamentos</v>
      </c>
      <c r="Z396" s="523" t="str">
        <f>IF(LANÇ_MOV[[#This Row],[FORMA DE PAGAMENTO]]="","",VLOOKUP(LANÇ_MOV[[#This Row],[FORMA DE PAGAMENTO]],CAD_Forma_pagto[],2,0))</f>
        <v>BOLETO</v>
      </c>
      <c r="AA396" s="524" t="str">
        <f>IF(LANÇ_MOV[[#This Row],[DATA DE LANÇAMENTO]]="","",TEXT(LANÇ_MOV[[#This Row],[DATA DE LANÇAMENTO]],"AAAA"))</f>
        <v>2025</v>
      </c>
      <c r="AB396" s="524" t="str">
        <f>IF(LANÇ_MOV[[#This Row],[DATA DE LANÇAMENTO]]="","",UPPER(TEXT(LANÇ_MOV[[#This Row],[DATA DE LANÇAMENTO]],"MMMM")))</f>
        <v>OUTUBRO</v>
      </c>
      <c r="AC396" s="525" t="str">
        <f>IF(LANÇ_MOV[[#This Row],[DATA DE LANÇAMENTO]]="","",PROPER(TEXT(LANÇ_MOV[[#This Row],[DATA DE LANÇAMENTO]],"M")))</f>
        <v>10</v>
      </c>
      <c r="AD396" s="524" t="str">
        <f>IF(LANÇ_MOV[[#This Row],[DATA DE LANÇAMENTO]]="","",TEXT(LANÇ_MOV[[#This Row],[DATA DE LANÇAMENTO]],"D"))</f>
        <v>1</v>
      </c>
      <c r="AE396" s="526" t="str">
        <f>IF(LANÇ_MOV[[#This Row],[DATA DE VENCIMENTO]]="","",TEXT(LANÇ_MOV[[#This Row],[DATA DE VENCIMENTO]],"AAAA"))</f>
        <v>2024</v>
      </c>
      <c r="AF396" s="526" t="str">
        <f>IF(LANÇ_MOV[[#This Row],[DATA DE VENCIMENTO]]="","",UPPER(TEXT(LANÇ_MOV[[#This Row],[DATA DE VENCIMENTO]],"MMMM")))</f>
        <v>FEVEREIRO</v>
      </c>
      <c r="AG396" s="526" t="str">
        <f>IF(LANÇ_MOV[[#This Row],[DATA DE VENCIMENTO]]="","",TEXT(LANÇ_MOV[[#This Row],[DATA DE VENCIMENTO]],"M"))</f>
        <v>2</v>
      </c>
      <c r="AH396" s="526" t="str">
        <f>IF(LANÇ_MOV[[#This Row],[DATA DE VENCIMENTO]]="","",TEXT(LANÇ_MOV[[#This Row],[DATA DE VENCIMENTO]],"D"))</f>
        <v>26</v>
      </c>
      <c r="AI396" s="526" t="str">
        <f>IF(LANÇ_MOV[[#This Row],[DATA DE PAGAMENTO]]="","",TEXT(LANÇ_MOV[[#This Row],[DATA DE PAGAMENTO]],"AAAA"))</f>
        <v/>
      </c>
      <c r="AJ396" s="527" t="str">
        <f>IF(LANÇ_MOV[[#This Row],[DATA DE PAGAMENTO]]="","",UPPER(TEXT(LANÇ_MOV[[#This Row],[DATA DE PAGAMENTO]],"MMMM")))</f>
        <v/>
      </c>
      <c r="AK396" s="527" t="str">
        <f>IF(LANÇ_MOV[[#This Row],[DATA DE PAGAMENTO]]="","",TEXT(LANÇ_MOV[[#This Row],[DATA DE PAGAMENTO]],"M"))</f>
        <v/>
      </c>
      <c r="AL396" s="526" t="str">
        <f>IF(LANÇ_MOV[[#This Row],[DATA DE PAGAMENTO]]="","",TEXT(LANÇ_MOV[[#This Row],[DATA DE PAGAMENTO]],"D"))</f>
        <v/>
      </c>
      <c r="AM396" s="27"/>
      <c r="BB396" s="112"/>
      <c r="BC396" s="112"/>
      <c r="BD396" s="112"/>
    </row>
    <row r="397" spans="2:56" ht="30.05" customHeight="1" x14ac:dyDescent="0.35">
      <c r="B397" s="506">
        <v>45931</v>
      </c>
      <c r="C397" s="507" t="s">
        <v>1661</v>
      </c>
      <c r="D397" s="508" t="s">
        <v>1854</v>
      </c>
      <c r="E397" s="509" t="s">
        <v>1440</v>
      </c>
      <c r="F397" s="510" t="s">
        <v>1836</v>
      </c>
      <c r="G397" s="507" t="s">
        <v>1928</v>
      </c>
      <c r="H397" s="511" t="s">
        <v>1956</v>
      </c>
      <c r="I397" s="512" t="s">
        <v>1760</v>
      </c>
      <c r="J397" s="518">
        <v>30518.23</v>
      </c>
      <c r="K397" s="513">
        <v>0</v>
      </c>
      <c r="L397" s="513">
        <v>0</v>
      </c>
      <c r="M397" s="513">
        <v>0</v>
      </c>
      <c r="N397" s="514">
        <f>LANÇ_MOV[[#This Row],[VALOR BRUTO]]-LANÇ_MOV[[#This Row],[DESCONTO]]+LANÇ_MOV[[#This Row],[JUROS]]+LANÇ_MOV[[#This Row],[MULTA]]</f>
        <v>30518.23</v>
      </c>
      <c r="O397" s="528">
        <v>45348</v>
      </c>
      <c r="P397" s="516" t="str">
        <f t="shared" ca="1" si="6"/>
        <v>Venceu</v>
      </c>
      <c r="Q397" s="528"/>
      <c r="R397" s="529" t="s">
        <v>1506</v>
      </c>
      <c r="S397" s="518"/>
      <c r="T397" s="518" t="s">
        <v>1776</v>
      </c>
      <c r="U397" s="519" t="s">
        <v>2007</v>
      </c>
      <c r="V397" s="520" t="str">
        <f>IFERROR(VLOOKUP(LANÇ_MOV[[#This Row],[PLANO DE CONTAS]],Plano_Contas[[PLANO DE CONTAS]:[R / D]],3,0),"")</f>
        <v>Despesa</v>
      </c>
      <c r="W397" s="521" t="str">
        <f>IF(LANÇ_MOV[[#This Row],[DATA DE PAGAMENTO]]&lt;&gt;"","Pago","Não Pago")</f>
        <v>Não Pago</v>
      </c>
      <c r="X397" s="522" t="str">
        <f>IFERROR(IF(LANÇ_MOV[[#This Row],[DATA DE PAGAMENTO]]="","",(UPPER(TEXT(LANÇ_MOV[[#This Row],[DATA DE PAGAMENTO]],"mmmm")))),"")</f>
        <v/>
      </c>
      <c r="Y397" s="523" t="str">
        <f>IFERROR(VLOOKUP(LANÇ_MOV[[#This Row],[PLANO DE CONTAS]],Plano_Contas[[PLANO DE CONTAS]:[NOMES INTERVALOS]],2,0),"")</f>
        <v>Despesas_Endividamentos</v>
      </c>
      <c r="Z397" s="523" t="str">
        <f>IF(LANÇ_MOV[[#This Row],[FORMA DE PAGAMENTO]]="","",VLOOKUP(LANÇ_MOV[[#This Row],[FORMA DE PAGAMENTO]],CAD_Forma_pagto[],2,0))</f>
        <v>BOLETO</v>
      </c>
      <c r="AA397" s="524" t="str">
        <f>IF(LANÇ_MOV[[#This Row],[DATA DE LANÇAMENTO]]="","",TEXT(LANÇ_MOV[[#This Row],[DATA DE LANÇAMENTO]],"AAAA"))</f>
        <v>2025</v>
      </c>
      <c r="AB397" s="524" t="str">
        <f>IF(LANÇ_MOV[[#This Row],[DATA DE LANÇAMENTO]]="","",UPPER(TEXT(LANÇ_MOV[[#This Row],[DATA DE LANÇAMENTO]],"MMMM")))</f>
        <v>OUTUBRO</v>
      </c>
      <c r="AC397" s="525" t="str">
        <f>IF(LANÇ_MOV[[#This Row],[DATA DE LANÇAMENTO]]="","",PROPER(TEXT(LANÇ_MOV[[#This Row],[DATA DE LANÇAMENTO]],"M")))</f>
        <v>10</v>
      </c>
      <c r="AD397" s="524" t="str">
        <f>IF(LANÇ_MOV[[#This Row],[DATA DE LANÇAMENTO]]="","",TEXT(LANÇ_MOV[[#This Row],[DATA DE LANÇAMENTO]],"D"))</f>
        <v>1</v>
      </c>
      <c r="AE397" s="526" t="str">
        <f>IF(LANÇ_MOV[[#This Row],[DATA DE VENCIMENTO]]="","",TEXT(LANÇ_MOV[[#This Row],[DATA DE VENCIMENTO]],"AAAA"))</f>
        <v>2024</v>
      </c>
      <c r="AF397" s="526" t="str">
        <f>IF(LANÇ_MOV[[#This Row],[DATA DE VENCIMENTO]]="","",UPPER(TEXT(LANÇ_MOV[[#This Row],[DATA DE VENCIMENTO]],"MMMM")))</f>
        <v>FEVEREIRO</v>
      </c>
      <c r="AG397" s="526" t="str">
        <f>IF(LANÇ_MOV[[#This Row],[DATA DE VENCIMENTO]]="","",TEXT(LANÇ_MOV[[#This Row],[DATA DE VENCIMENTO]],"M"))</f>
        <v>2</v>
      </c>
      <c r="AH397" s="526" t="str">
        <f>IF(LANÇ_MOV[[#This Row],[DATA DE VENCIMENTO]]="","",TEXT(LANÇ_MOV[[#This Row],[DATA DE VENCIMENTO]],"D"))</f>
        <v>26</v>
      </c>
      <c r="AI397" s="526" t="str">
        <f>IF(LANÇ_MOV[[#This Row],[DATA DE PAGAMENTO]]="","",TEXT(LANÇ_MOV[[#This Row],[DATA DE PAGAMENTO]],"AAAA"))</f>
        <v/>
      </c>
      <c r="AJ397" s="527" t="str">
        <f>IF(LANÇ_MOV[[#This Row],[DATA DE PAGAMENTO]]="","",UPPER(TEXT(LANÇ_MOV[[#This Row],[DATA DE PAGAMENTO]],"MMMM")))</f>
        <v/>
      </c>
      <c r="AK397" s="527" t="str">
        <f>IF(LANÇ_MOV[[#This Row],[DATA DE PAGAMENTO]]="","",TEXT(LANÇ_MOV[[#This Row],[DATA DE PAGAMENTO]],"M"))</f>
        <v/>
      </c>
      <c r="AL397" s="526" t="str">
        <f>IF(LANÇ_MOV[[#This Row],[DATA DE PAGAMENTO]]="","",TEXT(LANÇ_MOV[[#This Row],[DATA DE PAGAMENTO]],"D"))</f>
        <v/>
      </c>
      <c r="AM397" s="27"/>
      <c r="BB397" s="112"/>
      <c r="BC397" s="112"/>
      <c r="BD397" s="112"/>
    </row>
    <row r="398" spans="2:56" ht="30.05" customHeight="1" x14ac:dyDescent="0.35">
      <c r="B398" s="506">
        <v>45931</v>
      </c>
      <c r="C398" s="507" t="s">
        <v>1661</v>
      </c>
      <c r="D398" s="508" t="s">
        <v>1854</v>
      </c>
      <c r="E398" s="509" t="s">
        <v>1440</v>
      </c>
      <c r="F398" s="510" t="s">
        <v>1834</v>
      </c>
      <c r="G398" s="507" t="s">
        <v>1957</v>
      </c>
      <c r="H398" s="511" t="s">
        <v>1958</v>
      </c>
      <c r="I398" s="512" t="s">
        <v>1760</v>
      </c>
      <c r="J398" s="510">
        <v>8251.73</v>
      </c>
      <c r="K398" s="513">
        <v>0</v>
      </c>
      <c r="L398" s="513">
        <v>0</v>
      </c>
      <c r="M398" s="513">
        <v>0</v>
      </c>
      <c r="N398" s="514">
        <f>LANÇ_MOV[[#This Row],[VALOR BRUTO]]-LANÇ_MOV[[#This Row],[DESCONTO]]+LANÇ_MOV[[#This Row],[JUROS]]+LANÇ_MOV[[#This Row],[MULTA]]</f>
        <v>8251.73</v>
      </c>
      <c r="O398" s="528">
        <v>45348</v>
      </c>
      <c r="P398" s="516" t="str">
        <f t="shared" ca="1" si="6"/>
        <v>Venceu</v>
      </c>
      <c r="Q398" s="528"/>
      <c r="R398" s="529" t="s">
        <v>1506</v>
      </c>
      <c r="S398" s="518"/>
      <c r="T398" s="518" t="s">
        <v>1776</v>
      </c>
      <c r="U398" s="519" t="s">
        <v>2007</v>
      </c>
      <c r="V398" s="520" t="str">
        <f>IFERROR(VLOOKUP(LANÇ_MOV[[#This Row],[PLANO DE CONTAS]],Plano_Contas[[PLANO DE CONTAS]:[R / D]],3,0),"")</f>
        <v>Despesa</v>
      </c>
      <c r="W398" s="521" t="str">
        <f>IF(LANÇ_MOV[[#This Row],[DATA DE PAGAMENTO]]&lt;&gt;"","Pago","Não Pago")</f>
        <v>Não Pago</v>
      </c>
      <c r="X398" s="522" t="str">
        <f>IFERROR(IF(LANÇ_MOV[[#This Row],[DATA DE PAGAMENTO]]="","",(UPPER(TEXT(LANÇ_MOV[[#This Row],[DATA DE PAGAMENTO]],"mmmm")))),"")</f>
        <v/>
      </c>
      <c r="Y398" s="523" t="str">
        <f>IFERROR(VLOOKUP(LANÇ_MOV[[#This Row],[PLANO DE CONTAS]],Plano_Contas[[PLANO DE CONTAS]:[NOMES INTERVALOS]],2,0),"")</f>
        <v>Despesas_Endividamentos</v>
      </c>
      <c r="Z398" s="523" t="str">
        <f>IF(LANÇ_MOV[[#This Row],[FORMA DE PAGAMENTO]]="","",VLOOKUP(LANÇ_MOV[[#This Row],[FORMA DE PAGAMENTO]],CAD_Forma_pagto[],2,0))</f>
        <v>BOLETO</v>
      </c>
      <c r="AA398" s="524" t="str">
        <f>IF(LANÇ_MOV[[#This Row],[DATA DE LANÇAMENTO]]="","",TEXT(LANÇ_MOV[[#This Row],[DATA DE LANÇAMENTO]],"AAAA"))</f>
        <v>2025</v>
      </c>
      <c r="AB398" s="524" t="str">
        <f>IF(LANÇ_MOV[[#This Row],[DATA DE LANÇAMENTO]]="","",UPPER(TEXT(LANÇ_MOV[[#This Row],[DATA DE LANÇAMENTO]],"MMMM")))</f>
        <v>OUTUBRO</v>
      </c>
      <c r="AC398" s="525" t="str">
        <f>IF(LANÇ_MOV[[#This Row],[DATA DE LANÇAMENTO]]="","",PROPER(TEXT(LANÇ_MOV[[#This Row],[DATA DE LANÇAMENTO]],"M")))</f>
        <v>10</v>
      </c>
      <c r="AD398" s="524" t="str">
        <f>IF(LANÇ_MOV[[#This Row],[DATA DE LANÇAMENTO]]="","",TEXT(LANÇ_MOV[[#This Row],[DATA DE LANÇAMENTO]],"D"))</f>
        <v>1</v>
      </c>
      <c r="AE398" s="526" t="str">
        <f>IF(LANÇ_MOV[[#This Row],[DATA DE VENCIMENTO]]="","",TEXT(LANÇ_MOV[[#This Row],[DATA DE VENCIMENTO]],"AAAA"))</f>
        <v>2024</v>
      </c>
      <c r="AF398" s="526" t="str">
        <f>IF(LANÇ_MOV[[#This Row],[DATA DE VENCIMENTO]]="","",UPPER(TEXT(LANÇ_MOV[[#This Row],[DATA DE VENCIMENTO]],"MMMM")))</f>
        <v>FEVEREIRO</v>
      </c>
      <c r="AG398" s="526" t="str">
        <f>IF(LANÇ_MOV[[#This Row],[DATA DE VENCIMENTO]]="","",TEXT(LANÇ_MOV[[#This Row],[DATA DE VENCIMENTO]],"M"))</f>
        <v>2</v>
      </c>
      <c r="AH398" s="526" t="str">
        <f>IF(LANÇ_MOV[[#This Row],[DATA DE VENCIMENTO]]="","",TEXT(LANÇ_MOV[[#This Row],[DATA DE VENCIMENTO]],"D"))</f>
        <v>26</v>
      </c>
      <c r="AI398" s="526" t="str">
        <f>IF(LANÇ_MOV[[#This Row],[DATA DE PAGAMENTO]]="","",TEXT(LANÇ_MOV[[#This Row],[DATA DE PAGAMENTO]],"AAAA"))</f>
        <v/>
      </c>
      <c r="AJ398" s="527" t="str">
        <f>IF(LANÇ_MOV[[#This Row],[DATA DE PAGAMENTO]]="","",UPPER(TEXT(LANÇ_MOV[[#This Row],[DATA DE PAGAMENTO]],"MMMM")))</f>
        <v/>
      </c>
      <c r="AK398" s="527" t="str">
        <f>IF(LANÇ_MOV[[#This Row],[DATA DE PAGAMENTO]]="","",TEXT(LANÇ_MOV[[#This Row],[DATA DE PAGAMENTO]],"M"))</f>
        <v/>
      </c>
      <c r="AL398" s="526" t="str">
        <f>IF(LANÇ_MOV[[#This Row],[DATA DE PAGAMENTO]]="","",TEXT(LANÇ_MOV[[#This Row],[DATA DE PAGAMENTO]],"D"))</f>
        <v/>
      </c>
      <c r="AM398" s="27"/>
      <c r="BB398" s="112"/>
      <c r="BC398" s="112"/>
      <c r="BD398" s="112"/>
    </row>
    <row r="399" spans="2:56" ht="30.05" customHeight="1" x14ac:dyDescent="0.35">
      <c r="B399" s="506">
        <v>45931</v>
      </c>
      <c r="C399" s="507" t="s">
        <v>1661</v>
      </c>
      <c r="D399" s="508" t="s">
        <v>1854</v>
      </c>
      <c r="E399" s="509" t="s">
        <v>1440</v>
      </c>
      <c r="F399" s="510" t="s">
        <v>1837</v>
      </c>
      <c r="G399" s="507" t="s">
        <v>1928</v>
      </c>
      <c r="H399" s="511" t="s">
        <v>1959</v>
      </c>
      <c r="I399" s="512" t="s">
        <v>1760</v>
      </c>
      <c r="J399" s="510">
        <v>4950.99</v>
      </c>
      <c r="K399" s="513">
        <v>0</v>
      </c>
      <c r="L399" s="513">
        <v>0</v>
      </c>
      <c r="M399" s="513">
        <v>0</v>
      </c>
      <c r="N399" s="514">
        <f>LANÇ_MOV[[#This Row],[VALOR BRUTO]]-LANÇ_MOV[[#This Row],[DESCONTO]]+LANÇ_MOV[[#This Row],[JUROS]]+LANÇ_MOV[[#This Row],[MULTA]]</f>
        <v>4950.99</v>
      </c>
      <c r="O399" s="528">
        <v>45348</v>
      </c>
      <c r="P399" s="516" t="str">
        <f t="shared" ca="1" si="6"/>
        <v>Venceu</v>
      </c>
      <c r="Q399" s="528"/>
      <c r="R399" s="529" t="s">
        <v>1506</v>
      </c>
      <c r="S399" s="518"/>
      <c r="T399" s="518" t="s">
        <v>1776</v>
      </c>
      <c r="U399" s="519" t="s">
        <v>2007</v>
      </c>
      <c r="V399" s="520" t="str">
        <f>IFERROR(VLOOKUP(LANÇ_MOV[[#This Row],[PLANO DE CONTAS]],Plano_Contas[[PLANO DE CONTAS]:[R / D]],3,0),"")</f>
        <v>Despesa</v>
      </c>
      <c r="W399" s="521" t="str">
        <f>IF(LANÇ_MOV[[#This Row],[DATA DE PAGAMENTO]]&lt;&gt;"","Pago","Não Pago")</f>
        <v>Não Pago</v>
      </c>
      <c r="X399" s="522" t="str">
        <f>IFERROR(IF(LANÇ_MOV[[#This Row],[DATA DE PAGAMENTO]]="","",(UPPER(TEXT(LANÇ_MOV[[#This Row],[DATA DE PAGAMENTO]],"mmmm")))),"")</f>
        <v/>
      </c>
      <c r="Y399" s="523" t="str">
        <f>IFERROR(VLOOKUP(LANÇ_MOV[[#This Row],[PLANO DE CONTAS]],Plano_Contas[[PLANO DE CONTAS]:[NOMES INTERVALOS]],2,0),"")</f>
        <v>Despesas_Endividamentos</v>
      </c>
      <c r="Z399" s="523" t="str">
        <f>IF(LANÇ_MOV[[#This Row],[FORMA DE PAGAMENTO]]="","",VLOOKUP(LANÇ_MOV[[#This Row],[FORMA DE PAGAMENTO]],CAD_Forma_pagto[],2,0))</f>
        <v>BOLETO</v>
      </c>
      <c r="AA399" s="524" t="str">
        <f>IF(LANÇ_MOV[[#This Row],[DATA DE LANÇAMENTO]]="","",TEXT(LANÇ_MOV[[#This Row],[DATA DE LANÇAMENTO]],"AAAA"))</f>
        <v>2025</v>
      </c>
      <c r="AB399" s="524" t="str">
        <f>IF(LANÇ_MOV[[#This Row],[DATA DE LANÇAMENTO]]="","",UPPER(TEXT(LANÇ_MOV[[#This Row],[DATA DE LANÇAMENTO]],"MMMM")))</f>
        <v>OUTUBRO</v>
      </c>
      <c r="AC399" s="525" t="str">
        <f>IF(LANÇ_MOV[[#This Row],[DATA DE LANÇAMENTO]]="","",PROPER(TEXT(LANÇ_MOV[[#This Row],[DATA DE LANÇAMENTO]],"M")))</f>
        <v>10</v>
      </c>
      <c r="AD399" s="524" t="str">
        <f>IF(LANÇ_MOV[[#This Row],[DATA DE LANÇAMENTO]]="","",TEXT(LANÇ_MOV[[#This Row],[DATA DE LANÇAMENTO]],"D"))</f>
        <v>1</v>
      </c>
      <c r="AE399" s="526" t="str">
        <f>IF(LANÇ_MOV[[#This Row],[DATA DE VENCIMENTO]]="","",TEXT(LANÇ_MOV[[#This Row],[DATA DE VENCIMENTO]],"AAAA"))</f>
        <v>2024</v>
      </c>
      <c r="AF399" s="526" t="str">
        <f>IF(LANÇ_MOV[[#This Row],[DATA DE VENCIMENTO]]="","",UPPER(TEXT(LANÇ_MOV[[#This Row],[DATA DE VENCIMENTO]],"MMMM")))</f>
        <v>FEVEREIRO</v>
      </c>
      <c r="AG399" s="526" t="str">
        <f>IF(LANÇ_MOV[[#This Row],[DATA DE VENCIMENTO]]="","",TEXT(LANÇ_MOV[[#This Row],[DATA DE VENCIMENTO]],"M"))</f>
        <v>2</v>
      </c>
      <c r="AH399" s="526" t="str">
        <f>IF(LANÇ_MOV[[#This Row],[DATA DE VENCIMENTO]]="","",TEXT(LANÇ_MOV[[#This Row],[DATA DE VENCIMENTO]],"D"))</f>
        <v>26</v>
      </c>
      <c r="AI399" s="526" t="str">
        <f>IF(LANÇ_MOV[[#This Row],[DATA DE PAGAMENTO]]="","",TEXT(LANÇ_MOV[[#This Row],[DATA DE PAGAMENTO]],"AAAA"))</f>
        <v/>
      </c>
      <c r="AJ399" s="527" t="str">
        <f>IF(LANÇ_MOV[[#This Row],[DATA DE PAGAMENTO]]="","",UPPER(TEXT(LANÇ_MOV[[#This Row],[DATA DE PAGAMENTO]],"MMMM")))</f>
        <v/>
      </c>
      <c r="AK399" s="527" t="str">
        <f>IF(LANÇ_MOV[[#This Row],[DATA DE PAGAMENTO]]="","",TEXT(LANÇ_MOV[[#This Row],[DATA DE PAGAMENTO]],"M"))</f>
        <v/>
      </c>
      <c r="AL399" s="526" t="str">
        <f>IF(LANÇ_MOV[[#This Row],[DATA DE PAGAMENTO]]="","",TEXT(LANÇ_MOV[[#This Row],[DATA DE PAGAMENTO]],"D"))</f>
        <v/>
      </c>
      <c r="AM399" s="27"/>
      <c r="BB399" s="112"/>
      <c r="BC399" s="112"/>
      <c r="BD399" s="112"/>
    </row>
    <row r="400" spans="2:56" ht="30.05" customHeight="1" x14ac:dyDescent="0.35">
      <c r="B400" s="506">
        <v>45931</v>
      </c>
      <c r="C400" s="507" t="s">
        <v>1661</v>
      </c>
      <c r="D400" s="508" t="s">
        <v>1854</v>
      </c>
      <c r="E400" s="509" t="s">
        <v>1440</v>
      </c>
      <c r="F400" s="510" t="s">
        <v>1834</v>
      </c>
      <c r="G400" s="507" t="s">
        <v>1957</v>
      </c>
      <c r="H400" s="511" t="s">
        <v>1960</v>
      </c>
      <c r="I400" s="512" t="s">
        <v>1760</v>
      </c>
      <c r="J400" s="510">
        <v>10488.48</v>
      </c>
      <c r="K400" s="513">
        <v>0</v>
      </c>
      <c r="L400" s="513">
        <v>0</v>
      </c>
      <c r="M400" s="513">
        <v>0</v>
      </c>
      <c r="N400" s="514">
        <f>LANÇ_MOV[[#This Row],[VALOR BRUTO]]-LANÇ_MOV[[#This Row],[DESCONTO]]+LANÇ_MOV[[#This Row],[JUROS]]+LANÇ_MOV[[#This Row],[MULTA]]</f>
        <v>10488.48</v>
      </c>
      <c r="O400" s="528">
        <v>45103</v>
      </c>
      <c r="P400" s="516" t="str">
        <f t="shared" ca="1" si="6"/>
        <v>Venceu</v>
      </c>
      <c r="Q400" s="528"/>
      <c r="R400" s="529" t="s">
        <v>1506</v>
      </c>
      <c r="S400" s="518"/>
      <c r="T400" s="518" t="s">
        <v>1776</v>
      </c>
      <c r="U400" s="519" t="s">
        <v>2007</v>
      </c>
      <c r="V400" s="520" t="str">
        <f>IFERROR(VLOOKUP(LANÇ_MOV[[#This Row],[PLANO DE CONTAS]],Plano_Contas[[PLANO DE CONTAS]:[R / D]],3,0),"")</f>
        <v>Despesa</v>
      </c>
      <c r="W400" s="521" t="str">
        <f>IF(LANÇ_MOV[[#This Row],[DATA DE PAGAMENTO]]&lt;&gt;"","Pago","Não Pago")</f>
        <v>Não Pago</v>
      </c>
      <c r="X400" s="522" t="str">
        <f>IFERROR(IF(LANÇ_MOV[[#This Row],[DATA DE PAGAMENTO]]="","",(UPPER(TEXT(LANÇ_MOV[[#This Row],[DATA DE PAGAMENTO]],"mmmm")))),"")</f>
        <v/>
      </c>
      <c r="Y400" s="523" t="str">
        <f>IFERROR(VLOOKUP(LANÇ_MOV[[#This Row],[PLANO DE CONTAS]],Plano_Contas[[PLANO DE CONTAS]:[NOMES INTERVALOS]],2,0),"")</f>
        <v>Despesas_Endividamentos</v>
      </c>
      <c r="Z400" s="523" t="str">
        <f>IF(LANÇ_MOV[[#This Row],[FORMA DE PAGAMENTO]]="","",VLOOKUP(LANÇ_MOV[[#This Row],[FORMA DE PAGAMENTO]],CAD_Forma_pagto[],2,0))</f>
        <v>BOLETO</v>
      </c>
      <c r="AA400" s="524" t="str">
        <f>IF(LANÇ_MOV[[#This Row],[DATA DE LANÇAMENTO]]="","",TEXT(LANÇ_MOV[[#This Row],[DATA DE LANÇAMENTO]],"AAAA"))</f>
        <v>2025</v>
      </c>
      <c r="AB400" s="524" t="str">
        <f>IF(LANÇ_MOV[[#This Row],[DATA DE LANÇAMENTO]]="","",UPPER(TEXT(LANÇ_MOV[[#This Row],[DATA DE LANÇAMENTO]],"MMMM")))</f>
        <v>OUTUBRO</v>
      </c>
      <c r="AC400" s="525" t="str">
        <f>IF(LANÇ_MOV[[#This Row],[DATA DE LANÇAMENTO]]="","",PROPER(TEXT(LANÇ_MOV[[#This Row],[DATA DE LANÇAMENTO]],"M")))</f>
        <v>10</v>
      </c>
      <c r="AD400" s="524" t="str">
        <f>IF(LANÇ_MOV[[#This Row],[DATA DE LANÇAMENTO]]="","",TEXT(LANÇ_MOV[[#This Row],[DATA DE LANÇAMENTO]],"D"))</f>
        <v>1</v>
      </c>
      <c r="AE400" s="526" t="str">
        <f>IF(LANÇ_MOV[[#This Row],[DATA DE VENCIMENTO]]="","",TEXT(LANÇ_MOV[[#This Row],[DATA DE VENCIMENTO]],"AAAA"))</f>
        <v>2023</v>
      </c>
      <c r="AF400" s="526" t="str">
        <f>IF(LANÇ_MOV[[#This Row],[DATA DE VENCIMENTO]]="","",UPPER(TEXT(LANÇ_MOV[[#This Row],[DATA DE VENCIMENTO]],"MMMM")))</f>
        <v>JUNHO</v>
      </c>
      <c r="AG400" s="526" t="str">
        <f>IF(LANÇ_MOV[[#This Row],[DATA DE VENCIMENTO]]="","",TEXT(LANÇ_MOV[[#This Row],[DATA DE VENCIMENTO]],"M"))</f>
        <v>6</v>
      </c>
      <c r="AH400" s="526" t="str">
        <f>IF(LANÇ_MOV[[#This Row],[DATA DE VENCIMENTO]]="","",TEXT(LANÇ_MOV[[#This Row],[DATA DE VENCIMENTO]],"D"))</f>
        <v>26</v>
      </c>
      <c r="AI400" s="526" t="str">
        <f>IF(LANÇ_MOV[[#This Row],[DATA DE PAGAMENTO]]="","",TEXT(LANÇ_MOV[[#This Row],[DATA DE PAGAMENTO]],"AAAA"))</f>
        <v/>
      </c>
      <c r="AJ400" s="527" t="str">
        <f>IF(LANÇ_MOV[[#This Row],[DATA DE PAGAMENTO]]="","",UPPER(TEXT(LANÇ_MOV[[#This Row],[DATA DE PAGAMENTO]],"MMMM")))</f>
        <v/>
      </c>
      <c r="AK400" s="527" t="str">
        <f>IF(LANÇ_MOV[[#This Row],[DATA DE PAGAMENTO]]="","",TEXT(LANÇ_MOV[[#This Row],[DATA DE PAGAMENTO]],"M"))</f>
        <v/>
      </c>
      <c r="AL400" s="526" t="str">
        <f>IF(LANÇ_MOV[[#This Row],[DATA DE PAGAMENTO]]="","",TEXT(LANÇ_MOV[[#This Row],[DATA DE PAGAMENTO]],"D"))</f>
        <v/>
      </c>
      <c r="AM400" s="27"/>
      <c r="BB400" s="112"/>
      <c r="BC400" s="112"/>
      <c r="BD400" s="112"/>
    </row>
    <row r="401" spans="2:56" ht="30.05" customHeight="1" x14ac:dyDescent="0.35">
      <c r="B401" s="506">
        <v>45931</v>
      </c>
      <c r="C401" s="507" t="s">
        <v>1661</v>
      </c>
      <c r="D401" s="508" t="s">
        <v>1854</v>
      </c>
      <c r="E401" s="509" t="s">
        <v>1440</v>
      </c>
      <c r="F401" s="510" t="s">
        <v>1832</v>
      </c>
      <c r="G401" s="507" t="s">
        <v>1957</v>
      </c>
      <c r="H401" s="511" t="s">
        <v>1961</v>
      </c>
      <c r="I401" s="512" t="s">
        <v>1760</v>
      </c>
      <c r="J401" s="510">
        <v>83909.3</v>
      </c>
      <c r="K401" s="513">
        <v>0</v>
      </c>
      <c r="L401" s="513">
        <v>0</v>
      </c>
      <c r="M401" s="513">
        <v>0</v>
      </c>
      <c r="N401" s="514">
        <f>LANÇ_MOV[[#This Row],[VALOR BRUTO]]-LANÇ_MOV[[#This Row],[DESCONTO]]+LANÇ_MOV[[#This Row],[JUROS]]+LANÇ_MOV[[#This Row],[MULTA]]</f>
        <v>83909.3</v>
      </c>
      <c r="O401" s="528">
        <v>45011</v>
      </c>
      <c r="P401" s="516" t="str">
        <f t="shared" ca="1" si="6"/>
        <v>Venceu</v>
      </c>
      <c r="Q401" s="528"/>
      <c r="R401" s="529" t="s">
        <v>1506</v>
      </c>
      <c r="S401" s="518"/>
      <c r="T401" s="518" t="s">
        <v>1776</v>
      </c>
      <c r="U401" s="519" t="s">
        <v>2007</v>
      </c>
      <c r="V401" s="520" t="str">
        <f>IFERROR(VLOOKUP(LANÇ_MOV[[#This Row],[PLANO DE CONTAS]],Plano_Contas[[PLANO DE CONTAS]:[R / D]],3,0),"")</f>
        <v>Despesa</v>
      </c>
      <c r="W401" s="521" t="str">
        <f>IF(LANÇ_MOV[[#This Row],[DATA DE PAGAMENTO]]&lt;&gt;"","Pago","Não Pago")</f>
        <v>Não Pago</v>
      </c>
      <c r="X401" s="522" t="str">
        <f>IFERROR(IF(LANÇ_MOV[[#This Row],[DATA DE PAGAMENTO]]="","",(UPPER(TEXT(LANÇ_MOV[[#This Row],[DATA DE PAGAMENTO]],"mmmm")))),"")</f>
        <v/>
      </c>
      <c r="Y401" s="523" t="str">
        <f>IFERROR(VLOOKUP(LANÇ_MOV[[#This Row],[PLANO DE CONTAS]],Plano_Contas[[PLANO DE CONTAS]:[NOMES INTERVALOS]],2,0),"")</f>
        <v>Despesas_Endividamentos</v>
      </c>
      <c r="Z401" s="523" t="str">
        <f>IF(LANÇ_MOV[[#This Row],[FORMA DE PAGAMENTO]]="","",VLOOKUP(LANÇ_MOV[[#This Row],[FORMA DE PAGAMENTO]],CAD_Forma_pagto[],2,0))</f>
        <v>BOLETO</v>
      </c>
      <c r="AA401" s="524" t="str">
        <f>IF(LANÇ_MOV[[#This Row],[DATA DE LANÇAMENTO]]="","",TEXT(LANÇ_MOV[[#This Row],[DATA DE LANÇAMENTO]],"AAAA"))</f>
        <v>2025</v>
      </c>
      <c r="AB401" s="524" t="str">
        <f>IF(LANÇ_MOV[[#This Row],[DATA DE LANÇAMENTO]]="","",UPPER(TEXT(LANÇ_MOV[[#This Row],[DATA DE LANÇAMENTO]],"MMMM")))</f>
        <v>OUTUBRO</v>
      </c>
      <c r="AC401" s="525" t="str">
        <f>IF(LANÇ_MOV[[#This Row],[DATA DE LANÇAMENTO]]="","",PROPER(TEXT(LANÇ_MOV[[#This Row],[DATA DE LANÇAMENTO]],"M")))</f>
        <v>10</v>
      </c>
      <c r="AD401" s="524" t="str">
        <f>IF(LANÇ_MOV[[#This Row],[DATA DE LANÇAMENTO]]="","",TEXT(LANÇ_MOV[[#This Row],[DATA DE LANÇAMENTO]],"D"))</f>
        <v>1</v>
      </c>
      <c r="AE401" s="526" t="str">
        <f>IF(LANÇ_MOV[[#This Row],[DATA DE VENCIMENTO]]="","",TEXT(LANÇ_MOV[[#This Row],[DATA DE VENCIMENTO]],"AAAA"))</f>
        <v>2023</v>
      </c>
      <c r="AF401" s="526" t="str">
        <f>IF(LANÇ_MOV[[#This Row],[DATA DE VENCIMENTO]]="","",UPPER(TEXT(LANÇ_MOV[[#This Row],[DATA DE VENCIMENTO]],"MMMM")))</f>
        <v>MARÇO</v>
      </c>
      <c r="AG401" s="526" t="str">
        <f>IF(LANÇ_MOV[[#This Row],[DATA DE VENCIMENTO]]="","",TEXT(LANÇ_MOV[[#This Row],[DATA DE VENCIMENTO]],"M"))</f>
        <v>3</v>
      </c>
      <c r="AH401" s="526" t="str">
        <f>IF(LANÇ_MOV[[#This Row],[DATA DE VENCIMENTO]]="","",TEXT(LANÇ_MOV[[#This Row],[DATA DE VENCIMENTO]],"D"))</f>
        <v>26</v>
      </c>
      <c r="AI401" s="526" t="str">
        <f>IF(LANÇ_MOV[[#This Row],[DATA DE PAGAMENTO]]="","",TEXT(LANÇ_MOV[[#This Row],[DATA DE PAGAMENTO]],"AAAA"))</f>
        <v/>
      </c>
      <c r="AJ401" s="527" t="str">
        <f>IF(LANÇ_MOV[[#This Row],[DATA DE PAGAMENTO]]="","",UPPER(TEXT(LANÇ_MOV[[#This Row],[DATA DE PAGAMENTO]],"MMMM")))</f>
        <v/>
      </c>
      <c r="AK401" s="527" t="str">
        <f>IF(LANÇ_MOV[[#This Row],[DATA DE PAGAMENTO]]="","",TEXT(LANÇ_MOV[[#This Row],[DATA DE PAGAMENTO]],"M"))</f>
        <v/>
      </c>
      <c r="AL401" s="526" t="str">
        <f>IF(LANÇ_MOV[[#This Row],[DATA DE PAGAMENTO]]="","",TEXT(LANÇ_MOV[[#This Row],[DATA DE PAGAMENTO]],"D"))</f>
        <v/>
      </c>
      <c r="AM401" s="27"/>
      <c r="BB401" s="112"/>
      <c r="BC401" s="112"/>
      <c r="BD401" s="112"/>
    </row>
    <row r="402" spans="2:56" ht="30.05" customHeight="1" x14ac:dyDescent="0.3">
      <c r="B402" s="506">
        <v>45931</v>
      </c>
      <c r="C402" s="507" t="s">
        <v>1661</v>
      </c>
      <c r="D402" s="508" t="s">
        <v>1854</v>
      </c>
      <c r="E402" s="509" t="s">
        <v>1440</v>
      </c>
      <c r="F402" s="510" t="s">
        <v>1849</v>
      </c>
      <c r="G402" s="507" t="s">
        <v>1957</v>
      </c>
      <c r="H402" s="544" t="s">
        <v>1962</v>
      </c>
      <c r="I402" s="512" t="s">
        <v>1760</v>
      </c>
      <c r="J402" s="510">
        <v>4195.3</v>
      </c>
      <c r="K402" s="513">
        <v>0</v>
      </c>
      <c r="L402" s="513">
        <v>0</v>
      </c>
      <c r="M402" s="513">
        <v>0</v>
      </c>
      <c r="N402" s="514">
        <f>LANÇ_MOV[[#This Row],[VALOR BRUTO]]-LANÇ_MOV[[#This Row],[DESCONTO]]+LANÇ_MOV[[#This Row],[JUROS]]+LANÇ_MOV[[#This Row],[MULTA]]</f>
        <v>4195.3</v>
      </c>
      <c r="O402" s="528">
        <v>45103</v>
      </c>
      <c r="P402" s="516" t="str">
        <f t="shared" ca="1" si="6"/>
        <v>Venceu</v>
      </c>
      <c r="Q402" s="528"/>
      <c r="R402" s="529" t="s">
        <v>1506</v>
      </c>
      <c r="S402" s="518"/>
      <c r="T402" s="518" t="s">
        <v>1776</v>
      </c>
      <c r="U402" s="519" t="s">
        <v>2007</v>
      </c>
      <c r="V402" s="520" t="str">
        <f>IFERROR(VLOOKUP(LANÇ_MOV[[#This Row],[PLANO DE CONTAS]],Plano_Contas[[PLANO DE CONTAS]:[R / D]],3,0),"")</f>
        <v>Despesa</v>
      </c>
      <c r="W402" s="521" t="str">
        <f>IF(LANÇ_MOV[[#This Row],[DATA DE PAGAMENTO]]&lt;&gt;"","Pago","Não Pago")</f>
        <v>Não Pago</v>
      </c>
      <c r="X402" s="522" t="str">
        <f>IFERROR(IF(LANÇ_MOV[[#This Row],[DATA DE PAGAMENTO]]="","",(UPPER(TEXT(LANÇ_MOV[[#This Row],[DATA DE PAGAMENTO]],"mmmm")))),"")</f>
        <v/>
      </c>
      <c r="Y402" s="523" t="str">
        <f>IFERROR(VLOOKUP(LANÇ_MOV[[#This Row],[PLANO DE CONTAS]],Plano_Contas[[PLANO DE CONTAS]:[NOMES INTERVALOS]],2,0),"")</f>
        <v>Despesas_Endividamentos</v>
      </c>
      <c r="Z402" s="523" t="str">
        <f>IF(LANÇ_MOV[[#This Row],[FORMA DE PAGAMENTO]]="","",VLOOKUP(LANÇ_MOV[[#This Row],[FORMA DE PAGAMENTO]],CAD_Forma_pagto[],2,0))</f>
        <v>BOLETO</v>
      </c>
      <c r="AA402" s="524" t="str">
        <f>IF(LANÇ_MOV[[#This Row],[DATA DE LANÇAMENTO]]="","",TEXT(LANÇ_MOV[[#This Row],[DATA DE LANÇAMENTO]],"AAAA"))</f>
        <v>2025</v>
      </c>
      <c r="AB402" s="524" t="str">
        <f>IF(LANÇ_MOV[[#This Row],[DATA DE LANÇAMENTO]]="","",UPPER(TEXT(LANÇ_MOV[[#This Row],[DATA DE LANÇAMENTO]],"MMMM")))</f>
        <v>OUTUBRO</v>
      </c>
      <c r="AC402" s="525" t="str">
        <f>IF(LANÇ_MOV[[#This Row],[DATA DE LANÇAMENTO]]="","",PROPER(TEXT(LANÇ_MOV[[#This Row],[DATA DE LANÇAMENTO]],"M")))</f>
        <v>10</v>
      </c>
      <c r="AD402" s="524" t="str">
        <f>IF(LANÇ_MOV[[#This Row],[DATA DE LANÇAMENTO]]="","",TEXT(LANÇ_MOV[[#This Row],[DATA DE LANÇAMENTO]],"D"))</f>
        <v>1</v>
      </c>
      <c r="AE402" s="526" t="str">
        <f>IF(LANÇ_MOV[[#This Row],[DATA DE VENCIMENTO]]="","",TEXT(LANÇ_MOV[[#This Row],[DATA DE VENCIMENTO]],"AAAA"))</f>
        <v>2023</v>
      </c>
      <c r="AF402" s="526" t="str">
        <f>IF(LANÇ_MOV[[#This Row],[DATA DE VENCIMENTO]]="","",UPPER(TEXT(LANÇ_MOV[[#This Row],[DATA DE VENCIMENTO]],"MMMM")))</f>
        <v>JUNHO</v>
      </c>
      <c r="AG402" s="526" t="str">
        <f>IF(LANÇ_MOV[[#This Row],[DATA DE VENCIMENTO]]="","",TEXT(LANÇ_MOV[[#This Row],[DATA DE VENCIMENTO]],"M"))</f>
        <v>6</v>
      </c>
      <c r="AH402" s="526" t="str">
        <f>IF(LANÇ_MOV[[#This Row],[DATA DE VENCIMENTO]]="","",TEXT(LANÇ_MOV[[#This Row],[DATA DE VENCIMENTO]],"D"))</f>
        <v>26</v>
      </c>
      <c r="AI402" s="526" t="str">
        <f>IF(LANÇ_MOV[[#This Row],[DATA DE PAGAMENTO]]="","",TEXT(LANÇ_MOV[[#This Row],[DATA DE PAGAMENTO]],"AAAA"))</f>
        <v/>
      </c>
      <c r="AJ402" s="527" t="str">
        <f>IF(LANÇ_MOV[[#This Row],[DATA DE PAGAMENTO]]="","",UPPER(TEXT(LANÇ_MOV[[#This Row],[DATA DE PAGAMENTO]],"MMMM")))</f>
        <v/>
      </c>
      <c r="AK402" s="527" t="str">
        <f>IF(LANÇ_MOV[[#This Row],[DATA DE PAGAMENTO]]="","",TEXT(LANÇ_MOV[[#This Row],[DATA DE PAGAMENTO]],"M"))</f>
        <v/>
      </c>
      <c r="AL402" s="526" t="str">
        <f>IF(LANÇ_MOV[[#This Row],[DATA DE PAGAMENTO]]="","",TEXT(LANÇ_MOV[[#This Row],[DATA DE PAGAMENTO]],"D"))</f>
        <v/>
      </c>
      <c r="AM402" s="27"/>
      <c r="BB402" s="112"/>
      <c r="BC402" s="112"/>
      <c r="BD402" s="112"/>
    </row>
    <row r="403" spans="2:56" ht="30.05" customHeight="1" x14ac:dyDescent="0.35">
      <c r="B403" s="506">
        <v>45931</v>
      </c>
      <c r="C403" s="507" t="s">
        <v>1661</v>
      </c>
      <c r="D403" s="508" t="s">
        <v>1854</v>
      </c>
      <c r="E403" s="509" t="s">
        <v>1440</v>
      </c>
      <c r="F403" s="510" t="s">
        <v>1837</v>
      </c>
      <c r="G403" s="507" t="s">
        <v>1957</v>
      </c>
      <c r="H403" s="511" t="s">
        <v>1963</v>
      </c>
      <c r="I403" s="512" t="s">
        <v>1760</v>
      </c>
      <c r="J403" s="510">
        <v>6293.03</v>
      </c>
      <c r="K403" s="513">
        <v>0</v>
      </c>
      <c r="L403" s="513">
        <v>0</v>
      </c>
      <c r="M403" s="513">
        <v>0</v>
      </c>
      <c r="N403" s="514">
        <f>LANÇ_MOV[[#This Row],[VALOR BRUTO]]-LANÇ_MOV[[#This Row],[DESCONTO]]+LANÇ_MOV[[#This Row],[JUROS]]+LANÇ_MOV[[#This Row],[MULTA]]</f>
        <v>6293.03</v>
      </c>
      <c r="O403" s="528">
        <v>45103</v>
      </c>
      <c r="P403" s="516" t="str">
        <f t="shared" ca="1" si="6"/>
        <v>Venceu</v>
      </c>
      <c r="Q403" s="530"/>
      <c r="R403" s="529" t="s">
        <v>1506</v>
      </c>
      <c r="S403" s="518"/>
      <c r="T403" s="510" t="s">
        <v>1776</v>
      </c>
      <c r="U403" s="519" t="s">
        <v>2007</v>
      </c>
      <c r="V403" s="520" t="str">
        <f>IFERROR(VLOOKUP(LANÇ_MOV[[#This Row],[PLANO DE CONTAS]],Plano_Contas[[PLANO DE CONTAS]:[R / D]],3,0),"")</f>
        <v>Despesa</v>
      </c>
      <c r="W403" s="521" t="str">
        <f>IF(LANÇ_MOV[[#This Row],[DATA DE PAGAMENTO]]&lt;&gt;"","Pago","Não Pago")</f>
        <v>Não Pago</v>
      </c>
      <c r="X403" s="522" t="str">
        <f>IFERROR(IF(LANÇ_MOV[[#This Row],[DATA DE PAGAMENTO]]="","",(UPPER(TEXT(LANÇ_MOV[[#This Row],[DATA DE PAGAMENTO]],"mmmm")))),"")</f>
        <v/>
      </c>
      <c r="Y403" s="523" t="str">
        <f>IFERROR(VLOOKUP(LANÇ_MOV[[#This Row],[PLANO DE CONTAS]],Plano_Contas[[PLANO DE CONTAS]:[NOMES INTERVALOS]],2,0),"")</f>
        <v>Despesas_Endividamentos</v>
      </c>
      <c r="Z403" s="523" t="str">
        <f>IF(LANÇ_MOV[[#This Row],[FORMA DE PAGAMENTO]]="","",VLOOKUP(LANÇ_MOV[[#This Row],[FORMA DE PAGAMENTO]],CAD_Forma_pagto[],2,0))</f>
        <v>BOLETO</v>
      </c>
      <c r="AA403" s="524" t="str">
        <f>IF(LANÇ_MOV[[#This Row],[DATA DE LANÇAMENTO]]="","",TEXT(LANÇ_MOV[[#This Row],[DATA DE LANÇAMENTO]],"AAAA"))</f>
        <v>2025</v>
      </c>
      <c r="AB403" s="524" t="str">
        <f>IF(LANÇ_MOV[[#This Row],[DATA DE LANÇAMENTO]]="","",UPPER(TEXT(LANÇ_MOV[[#This Row],[DATA DE LANÇAMENTO]],"MMMM")))</f>
        <v>OUTUBRO</v>
      </c>
      <c r="AC403" s="525" t="str">
        <f>IF(LANÇ_MOV[[#This Row],[DATA DE LANÇAMENTO]]="","",PROPER(TEXT(LANÇ_MOV[[#This Row],[DATA DE LANÇAMENTO]],"M")))</f>
        <v>10</v>
      </c>
      <c r="AD403" s="524" t="str">
        <f>IF(LANÇ_MOV[[#This Row],[DATA DE LANÇAMENTO]]="","",TEXT(LANÇ_MOV[[#This Row],[DATA DE LANÇAMENTO]],"D"))</f>
        <v>1</v>
      </c>
      <c r="AE403" s="526" t="str">
        <f>IF(LANÇ_MOV[[#This Row],[DATA DE VENCIMENTO]]="","",TEXT(LANÇ_MOV[[#This Row],[DATA DE VENCIMENTO]],"AAAA"))</f>
        <v>2023</v>
      </c>
      <c r="AF403" s="526" t="str">
        <f>IF(LANÇ_MOV[[#This Row],[DATA DE VENCIMENTO]]="","",UPPER(TEXT(LANÇ_MOV[[#This Row],[DATA DE VENCIMENTO]],"MMMM")))</f>
        <v>JUNHO</v>
      </c>
      <c r="AG403" s="526" t="str">
        <f>IF(LANÇ_MOV[[#This Row],[DATA DE VENCIMENTO]]="","",TEXT(LANÇ_MOV[[#This Row],[DATA DE VENCIMENTO]],"M"))</f>
        <v>6</v>
      </c>
      <c r="AH403" s="526" t="str">
        <f>IF(LANÇ_MOV[[#This Row],[DATA DE VENCIMENTO]]="","",TEXT(LANÇ_MOV[[#This Row],[DATA DE VENCIMENTO]],"D"))</f>
        <v>26</v>
      </c>
      <c r="AI403" s="526" t="str">
        <f>IF(LANÇ_MOV[[#This Row],[DATA DE PAGAMENTO]]="","",TEXT(LANÇ_MOV[[#This Row],[DATA DE PAGAMENTO]],"AAAA"))</f>
        <v/>
      </c>
      <c r="AJ403" s="527" t="str">
        <f>IF(LANÇ_MOV[[#This Row],[DATA DE PAGAMENTO]]="","",UPPER(TEXT(LANÇ_MOV[[#This Row],[DATA DE PAGAMENTO]],"MMMM")))</f>
        <v/>
      </c>
      <c r="AK403" s="527" t="str">
        <f>IF(LANÇ_MOV[[#This Row],[DATA DE PAGAMENTO]]="","",TEXT(LANÇ_MOV[[#This Row],[DATA DE PAGAMENTO]],"M"))</f>
        <v/>
      </c>
      <c r="AL403" s="526" t="str">
        <f>IF(LANÇ_MOV[[#This Row],[DATA DE PAGAMENTO]]="","",TEXT(LANÇ_MOV[[#This Row],[DATA DE PAGAMENTO]],"D"))</f>
        <v/>
      </c>
      <c r="AM403" s="27"/>
      <c r="BB403" s="112"/>
      <c r="BC403" s="112"/>
      <c r="BD403" s="112"/>
    </row>
    <row r="404" spans="2:56" ht="30.05" customHeight="1" x14ac:dyDescent="0.35">
      <c r="B404" s="506">
        <v>45931</v>
      </c>
      <c r="C404" s="507" t="s">
        <v>1661</v>
      </c>
      <c r="D404" s="508" t="s">
        <v>1854</v>
      </c>
      <c r="E404" s="509" t="s">
        <v>1440</v>
      </c>
      <c r="F404" s="510" t="s">
        <v>1835</v>
      </c>
      <c r="G404" s="507" t="s">
        <v>1957</v>
      </c>
      <c r="H404" s="511" t="s">
        <v>1964</v>
      </c>
      <c r="I404" s="512" t="s">
        <v>1760</v>
      </c>
      <c r="J404" s="510">
        <v>1379.05</v>
      </c>
      <c r="K404" s="513">
        <v>0</v>
      </c>
      <c r="L404" s="513">
        <v>0</v>
      </c>
      <c r="M404" s="513">
        <v>0</v>
      </c>
      <c r="N404" s="514">
        <f>LANÇ_MOV[[#This Row],[VALOR BRUTO]]-LANÇ_MOV[[#This Row],[DESCONTO]]+LANÇ_MOV[[#This Row],[JUROS]]+LANÇ_MOV[[#This Row],[MULTA]]</f>
        <v>1379.05</v>
      </c>
      <c r="O404" s="528">
        <v>45103</v>
      </c>
      <c r="P404" s="516" t="str">
        <f t="shared" ca="1" si="6"/>
        <v>Venceu</v>
      </c>
      <c r="Q404" s="528"/>
      <c r="R404" s="529" t="s">
        <v>1506</v>
      </c>
      <c r="S404" s="518"/>
      <c r="T404" s="518" t="s">
        <v>1776</v>
      </c>
      <c r="U404" s="519" t="s">
        <v>2007</v>
      </c>
      <c r="V404" s="520" t="str">
        <f>IFERROR(VLOOKUP(LANÇ_MOV[[#This Row],[PLANO DE CONTAS]],Plano_Contas[[PLANO DE CONTAS]:[R / D]],3,0),"")</f>
        <v>Despesa</v>
      </c>
      <c r="W404" s="521" t="str">
        <f>IF(LANÇ_MOV[[#This Row],[DATA DE PAGAMENTO]]&lt;&gt;"","Pago","Não Pago")</f>
        <v>Não Pago</v>
      </c>
      <c r="X404" s="522" t="str">
        <f>IFERROR(IF(LANÇ_MOV[[#This Row],[DATA DE PAGAMENTO]]="","",(UPPER(TEXT(LANÇ_MOV[[#This Row],[DATA DE PAGAMENTO]],"mmmm")))),"")</f>
        <v/>
      </c>
      <c r="Y404" s="523" t="str">
        <f>IFERROR(VLOOKUP(LANÇ_MOV[[#This Row],[PLANO DE CONTAS]],Plano_Contas[[PLANO DE CONTAS]:[NOMES INTERVALOS]],2,0),"")</f>
        <v>Despesas_Endividamentos</v>
      </c>
      <c r="Z404" s="523" t="str">
        <f>IF(LANÇ_MOV[[#This Row],[FORMA DE PAGAMENTO]]="","",VLOOKUP(LANÇ_MOV[[#This Row],[FORMA DE PAGAMENTO]],CAD_Forma_pagto[],2,0))</f>
        <v>BOLETO</v>
      </c>
      <c r="AA404" s="524" t="str">
        <f>IF(LANÇ_MOV[[#This Row],[DATA DE LANÇAMENTO]]="","",TEXT(LANÇ_MOV[[#This Row],[DATA DE LANÇAMENTO]],"AAAA"))</f>
        <v>2025</v>
      </c>
      <c r="AB404" s="524" t="str">
        <f>IF(LANÇ_MOV[[#This Row],[DATA DE LANÇAMENTO]]="","",UPPER(TEXT(LANÇ_MOV[[#This Row],[DATA DE LANÇAMENTO]],"MMMM")))</f>
        <v>OUTUBRO</v>
      </c>
      <c r="AC404" s="525" t="str">
        <f>IF(LANÇ_MOV[[#This Row],[DATA DE LANÇAMENTO]]="","",PROPER(TEXT(LANÇ_MOV[[#This Row],[DATA DE LANÇAMENTO]],"M")))</f>
        <v>10</v>
      </c>
      <c r="AD404" s="524" t="str">
        <f>IF(LANÇ_MOV[[#This Row],[DATA DE LANÇAMENTO]]="","",TEXT(LANÇ_MOV[[#This Row],[DATA DE LANÇAMENTO]],"D"))</f>
        <v>1</v>
      </c>
      <c r="AE404" s="526" t="str">
        <f>IF(LANÇ_MOV[[#This Row],[DATA DE VENCIMENTO]]="","",TEXT(LANÇ_MOV[[#This Row],[DATA DE VENCIMENTO]],"AAAA"))</f>
        <v>2023</v>
      </c>
      <c r="AF404" s="526" t="str">
        <f>IF(LANÇ_MOV[[#This Row],[DATA DE VENCIMENTO]]="","",UPPER(TEXT(LANÇ_MOV[[#This Row],[DATA DE VENCIMENTO]],"MMMM")))</f>
        <v>JUNHO</v>
      </c>
      <c r="AG404" s="526" t="str">
        <f>IF(LANÇ_MOV[[#This Row],[DATA DE VENCIMENTO]]="","",TEXT(LANÇ_MOV[[#This Row],[DATA DE VENCIMENTO]],"M"))</f>
        <v>6</v>
      </c>
      <c r="AH404" s="526" t="str">
        <f>IF(LANÇ_MOV[[#This Row],[DATA DE VENCIMENTO]]="","",TEXT(LANÇ_MOV[[#This Row],[DATA DE VENCIMENTO]],"D"))</f>
        <v>26</v>
      </c>
      <c r="AI404" s="526" t="str">
        <f>IF(LANÇ_MOV[[#This Row],[DATA DE PAGAMENTO]]="","",TEXT(LANÇ_MOV[[#This Row],[DATA DE PAGAMENTO]],"AAAA"))</f>
        <v/>
      </c>
      <c r="AJ404" s="527" t="str">
        <f>IF(LANÇ_MOV[[#This Row],[DATA DE PAGAMENTO]]="","",UPPER(TEXT(LANÇ_MOV[[#This Row],[DATA DE PAGAMENTO]],"MMMM")))</f>
        <v/>
      </c>
      <c r="AK404" s="527" t="str">
        <f>IF(LANÇ_MOV[[#This Row],[DATA DE PAGAMENTO]]="","",TEXT(LANÇ_MOV[[#This Row],[DATA DE PAGAMENTO]],"M"))</f>
        <v/>
      </c>
      <c r="AL404" s="526" t="str">
        <f>IF(LANÇ_MOV[[#This Row],[DATA DE PAGAMENTO]]="","",TEXT(LANÇ_MOV[[#This Row],[DATA DE PAGAMENTO]],"D"))</f>
        <v/>
      </c>
      <c r="AM404" s="27"/>
      <c r="BB404" s="112"/>
      <c r="BC404" s="112"/>
      <c r="BD404" s="112"/>
    </row>
    <row r="405" spans="2:56" ht="30.05" customHeight="1" x14ac:dyDescent="0.35">
      <c r="B405" s="506">
        <v>45931</v>
      </c>
      <c r="C405" s="507" t="s">
        <v>1661</v>
      </c>
      <c r="D405" s="508" t="s">
        <v>1854</v>
      </c>
      <c r="E405" s="509" t="s">
        <v>1440</v>
      </c>
      <c r="F405" s="510" t="s">
        <v>1836</v>
      </c>
      <c r="G405" s="511" t="s">
        <v>1957</v>
      </c>
      <c r="H405" s="511" t="s">
        <v>1965</v>
      </c>
      <c r="I405" s="512" t="s">
        <v>1760</v>
      </c>
      <c r="J405" s="510">
        <v>38995.01</v>
      </c>
      <c r="K405" s="513">
        <v>0</v>
      </c>
      <c r="L405" s="513">
        <v>0</v>
      </c>
      <c r="M405" s="513">
        <v>0</v>
      </c>
      <c r="N405" s="514">
        <f>LANÇ_MOV[[#This Row],[VALOR BRUTO]]-LANÇ_MOV[[#This Row],[DESCONTO]]+LANÇ_MOV[[#This Row],[JUROS]]+LANÇ_MOV[[#This Row],[MULTA]]</f>
        <v>38995.01</v>
      </c>
      <c r="O405" s="528">
        <v>45103</v>
      </c>
      <c r="P405" s="516" t="str">
        <f t="shared" ca="1" si="6"/>
        <v>Venceu</v>
      </c>
      <c r="Q405" s="528"/>
      <c r="R405" s="529" t="s">
        <v>1506</v>
      </c>
      <c r="S405" s="518"/>
      <c r="T405" s="518" t="s">
        <v>1776</v>
      </c>
      <c r="U405" s="519" t="s">
        <v>2007</v>
      </c>
      <c r="V405" s="520" t="str">
        <f>IFERROR(VLOOKUP(LANÇ_MOV[[#This Row],[PLANO DE CONTAS]],Plano_Contas[[PLANO DE CONTAS]:[R / D]],3,0),"")</f>
        <v>Despesa</v>
      </c>
      <c r="W405" s="521" t="str">
        <f>IF(LANÇ_MOV[[#This Row],[DATA DE PAGAMENTO]]&lt;&gt;"","Pago","Não Pago")</f>
        <v>Não Pago</v>
      </c>
      <c r="X405" s="522" t="str">
        <f>IFERROR(IF(LANÇ_MOV[[#This Row],[DATA DE PAGAMENTO]]="","",(UPPER(TEXT(LANÇ_MOV[[#This Row],[DATA DE PAGAMENTO]],"mmmm")))),"")</f>
        <v/>
      </c>
      <c r="Y405" s="523" t="str">
        <f>IFERROR(VLOOKUP(LANÇ_MOV[[#This Row],[PLANO DE CONTAS]],Plano_Contas[[PLANO DE CONTAS]:[NOMES INTERVALOS]],2,0),"")</f>
        <v>Despesas_Endividamentos</v>
      </c>
      <c r="Z405" s="523" t="str">
        <f>IF(LANÇ_MOV[[#This Row],[FORMA DE PAGAMENTO]]="","",VLOOKUP(LANÇ_MOV[[#This Row],[FORMA DE PAGAMENTO]],CAD_Forma_pagto[],2,0))</f>
        <v>BOLETO</v>
      </c>
      <c r="AA405" s="524" t="str">
        <f>IF(LANÇ_MOV[[#This Row],[DATA DE LANÇAMENTO]]="","",TEXT(LANÇ_MOV[[#This Row],[DATA DE LANÇAMENTO]],"AAAA"))</f>
        <v>2025</v>
      </c>
      <c r="AB405" s="524" t="str">
        <f>IF(LANÇ_MOV[[#This Row],[DATA DE LANÇAMENTO]]="","",UPPER(TEXT(LANÇ_MOV[[#This Row],[DATA DE LANÇAMENTO]],"MMMM")))</f>
        <v>OUTUBRO</v>
      </c>
      <c r="AC405" s="525" t="str">
        <f>IF(LANÇ_MOV[[#This Row],[DATA DE LANÇAMENTO]]="","",PROPER(TEXT(LANÇ_MOV[[#This Row],[DATA DE LANÇAMENTO]],"M")))</f>
        <v>10</v>
      </c>
      <c r="AD405" s="524" t="str">
        <f>IF(LANÇ_MOV[[#This Row],[DATA DE LANÇAMENTO]]="","",TEXT(LANÇ_MOV[[#This Row],[DATA DE LANÇAMENTO]],"D"))</f>
        <v>1</v>
      </c>
      <c r="AE405" s="526" t="str">
        <f>IF(LANÇ_MOV[[#This Row],[DATA DE VENCIMENTO]]="","",TEXT(LANÇ_MOV[[#This Row],[DATA DE VENCIMENTO]],"AAAA"))</f>
        <v>2023</v>
      </c>
      <c r="AF405" s="526" t="str">
        <f>IF(LANÇ_MOV[[#This Row],[DATA DE VENCIMENTO]]="","",UPPER(TEXT(LANÇ_MOV[[#This Row],[DATA DE VENCIMENTO]],"MMMM")))</f>
        <v>JUNHO</v>
      </c>
      <c r="AG405" s="526" t="str">
        <f>IF(LANÇ_MOV[[#This Row],[DATA DE VENCIMENTO]]="","",TEXT(LANÇ_MOV[[#This Row],[DATA DE VENCIMENTO]],"M"))</f>
        <v>6</v>
      </c>
      <c r="AH405" s="526" t="str">
        <f>IF(LANÇ_MOV[[#This Row],[DATA DE VENCIMENTO]]="","",TEXT(LANÇ_MOV[[#This Row],[DATA DE VENCIMENTO]],"D"))</f>
        <v>26</v>
      </c>
      <c r="AI405" s="526" t="str">
        <f>IF(LANÇ_MOV[[#This Row],[DATA DE PAGAMENTO]]="","",TEXT(LANÇ_MOV[[#This Row],[DATA DE PAGAMENTO]],"AAAA"))</f>
        <v/>
      </c>
      <c r="AJ405" s="527" t="str">
        <f>IF(LANÇ_MOV[[#This Row],[DATA DE PAGAMENTO]]="","",UPPER(TEXT(LANÇ_MOV[[#This Row],[DATA DE PAGAMENTO]],"MMMM")))</f>
        <v/>
      </c>
      <c r="AK405" s="527" t="str">
        <f>IF(LANÇ_MOV[[#This Row],[DATA DE PAGAMENTO]]="","",TEXT(LANÇ_MOV[[#This Row],[DATA DE PAGAMENTO]],"M"))</f>
        <v/>
      </c>
      <c r="AL405" s="526" t="str">
        <f>IF(LANÇ_MOV[[#This Row],[DATA DE PAGAMENTO]]="","",TEXT(LANÇ_MOV[[#This Row],[DATA DE PAGAMENTO]],"D"))</f>
        <v/>
      </c>
      <c r="AM405" s="27"/>
      <c r="BB405" s="112"/>
      <c r="BC405" s="112"/>
      <c r="BD405" s="112"/>
    </row>
    <row r="406" spans="2:56" ht="30.05" customHeight="1" x14ac:dyDescent="0.35">
      <c r="B406" s="506">
        <v>45931</v>
      </c>
      <c r="C406" s="507" t="s">
        <v>1661</v>
      </c>
      <c r="D406" s="508" t="s">
        <v>1854</v>
      </c>
      <c r="E406" s="509" t="s">
        <v>1440</v>
      </c>
      <c r="F406" s="510" t="s">
        <v>1833</v>
      </c>
      <c r="G406" s="507" t="s">
        <v>1928</v>
      </c>
      <c r="H406" s="511" t="s">
        <v>1966</v>
      </c>
      <c r="I406" s="512" t="s">
        <v>1760</v>
      </c>
      <c r="J406" s="510">
        <v>919.32</v>
      </c>
      <c r="K406" s="513">
        <v>0</v>
      </c>
      <c r="L406" s="513">
        <v>0</v>
      </c>
      <c r="M406" s="513">
        <v>0</v>
      </c>
      <c r="N406" s="514">
        <f>LANÇ_MOV[[#This Row],[VALOR BRUTO]]-LANÇ_MOV[[#This Row],[DESCONTO]]+LANÇ_MOV[[#This Row],[JUROS]]+LANÇ_MOV[[#This Row],[MULTA]]</f>
        <v>919.32</v>
      </c>
      <c r="O406" s="528">
        <v>45103</v>
      </c>
      <c r="P406" s="516" t="str">
        <f t="shared" ca="1" si="6"/>
        <v>Venceu</v>
      </c>
      <c r="Q406" s="528"/>
      <c r="R406" s="529" t="s">
        <v>1506</v>
      </c>
      <c r="S406" s="518"/>
      <c r="T406" s="518" t="s">
        <v>1776</v>
      </c>
      <c r="U406" s="519" t="s">
        <v>2007</v>
      </c>
      <c r="V406" s="520" t="str">
        <f>IFERROR(VLOOKUP(LANÇ_MOV[[#This Row],[PLANO DE CONTAS]],Plano_Contas[[PLANO DE CONTAS]:[R / D]],3,0),"")</f>
        <v>Despesa</v>
      </c>
      <c r="W406" s="521" t="str">
        <f>IF(LANÇ_MOV[[#This Row],[DATA DE PAGAMENTO]]&lt;&gt;"","Pago","Não Pago")</f>
        <v>Não Pago</v>
      </c>
      <c r="X406" s="522" t="str">
        <f>IFERROR(IF(LANÇ_MOV[[#This Row],[DATA DE PAGAMENTO]]="","",(UPPER(TEXT(LANÇ_MOV[[#This Row],[DATA DE PAGAMENTO]],"mmmm")))),"")</f>
        <v/>
      </c>
      <c r="Y406" s="523" t="str">
        <f>IFERROR(VLOOKUP(LANÇ_MOV[[#This Row],[PLANO DE CONTAS]],Plano_Contas[[PLANO DE CONTAS]:[NOMES INTERVALOS]],2,0),"")</f>
        <v>Despesas_Endividamentos</v>
      </c>
      <c r="Z406" s="523" t="str">
        <f>IF(LANÇ_MOV[[#This Row],[FORMA DE PAGAMENTO]]="","",VLOOKUP(LANÇ_MOV[[#This Row],[FORMA DE PAGAMENTO]],CAD_Forma_pagto[],2,0))</f>
        <v>BOLETO</v>
      </c>
      <c r="AA406" s="524" t="str">
        <f>IF(LANÇ_MOV[[#This Row],[DATA DE LANÇAMENTO]]="","",TEXT(LANÇ_MOV[[#This Row],[DATA DE LANÇAMENTO]],"AAAA"))</f>
        <v>2025</v>
      </c>
      <c r="AB406" s="524" t="str">
        <f>IF(LANÇ_MOV[[#This Row],[DATA DE LANÇAMENTO]]="","",UPPER(TEXT(LANÇ_MOV[[#This Row],[DATA DE LANÇAMENTO]],"MMMM")))</f>
        <v>OUTUBRO</v>
      </c>
      <c r="AC406" s="525" t="str">
        <f>IF(LANÇ_MOV[[#This Row],[DATA DE LANÇAMENTO]]="","",PROPER(TEXT(LANÇ_MOV[[#This Row],[DATA DE LANÇAMENTO]],"M")))</f>
        <v>10</v>
      </c>
      <c r="AD406" s="524" t="str">
        <f>IF(LANÇ_MOV[[#This Row],[DATA DE LANÇAMENTO]]="","",TEXT(LANÇ_MOV[[#This Row],[DATA DE LANÇAMENTO]],"D"))</f>
        <v>1</v>
      </c>
      <c r="AE406" s="526" t="str">
        <f>IF(LANÇ_MOV[[#This Row],[DATA DE VENCIMENTO]]="","",TEXT(LANÇ_MOV[[#This Row],[DATA DE VENCIMENTO]],"AAAA"))</f>
        <v>2023</v>
      </c>
      <c r="AF406" s="526" t="str">
        <f>IF(LANÇ_MOV[[#This Row],[DATA DE VENCIMENTO]]="","",UPPER(TEXT(LANÇ_MOV[[#This Row],[DATA DE VENCIMENTO]],"MMMM")))</f>
        <v>JUNHO</v>
      </c>
      <c r="AG406" s="526" t="str">
        <f>IF(LANÇ_MOV[[#This Row],[DATA DE VENCIMENTO]]="","",TEXT(LANÇ_MOV[[#This Row],[DATA DE VENCIMENTO]],"M"))</f>
        <v>6</v>
      </c>
      <c r="AH406" s="526" t="str">
        <f>IF(LANÇ_MOV[[#This Row],[DATA DE VENCIMENTO]]="","",TEXT(LANÇ_MOV[[#This Row],[DATA DE VENCIMENTO]],"D"))</f>
        <v>26</v>
      </c>
      <c r="AI406" s="526" t="str">
        <f>IF(LANÇ_MOV[[#This Row],[DATA DE PAGAMENTO]]="","",TEXT(LANÇ_MOV[[#This Row],[DATA DE PAGAMENTO]],"AAAA"))</f>
        <v/>
      </c>
      <c r="AJ406" s="527" t="str">
        <f>IF(LANÇ_MOV[[#This Row],[DATA DE PAGAMENTO]]="","",UPPER(TEXT(LANÇ_MOV[[#This Row],[DATA DE PAGAMENTO]],"MMMM")))</f>
        <v/>
      </c>
      <c r="AK406" s="527" t="str">
        <f>IF(LANÇ_MOV[[#This Row],[DATA DE PAGAMENTO]]="","",TEXT(LANÇ_MOV[[#This Row],[DATA DE PAGAMENTO]],"M"))</f>
        <v/>
      </c>
      <c r="AL406" s="526" t="str">
        <f>IF(LANÇ_MOV[[#This Row],[DATA DE PAGAMENTO]]="","",TEXT(LANÇ_MOV[[#This Row],[DATA DE PAGAMENTO]],"D"))</f>
        <v/>
      </c>
      <c r="AM406" s="27"/>
      <c r="BB406" s="112"/>
      <c r="BC406" s="112"/>
      <c r="BD406" s="112"/>
    </row>
    <row r="407" spans="2:56" ht="30.05" customHeight="1" x14ac:dyDescent="0.35">
      <c r="B407" s="506">
        <v>45931</v>
      </c>
      <c r="C407" s="507" t="s">
        <v>1661</v>
      </c>
      <c r="D407" s="508" t="s">
        <v>1854</v>
      </c>
      <c r="E407" s="509" t="s">
        <v>1440</v>
      </c>
      <c r="F407" s="510"/>
      <c r="G407" s="507" t="s">
        <v>1967</v>
      </c>
      <c r="H407" s="511" t="s">
        <v>1968</v>
      </c>
      <c r="I407" s="512" t="s">
        <v>1760</v>
      </c>
      <c r="J407" s="510">
        <v>104645.43</v>
      </c>
      <c r="K407" s="513">
        <v>0</v>
      </c>
      <c r="L407" s="513">
        <v>0</v>
      </c>
      <c r="M407" s="513">
        <v>0</v>
      </c>
      <c r="N407" s="514">
        <f>LANÇ_MOV[[#This Row],[VALOR BRUTO]]-LANÇ_MOV[[#This Row],[DESCONTO]]+LANÇ_MOV[[#This Row],[JUROS]]+LANÇ_MOV[[#This Row],[MULTA]]</f>
        <v>104645.43</v>
      </c>
      <c r="O407" s="528">
        <v>45073</v>
      </c>
      <c r="P407" s="516" t="str">
        <f t="shared" ca="1" si="6"/>
        <v>Venceu</v>
      </c>
      <c r="Q407" s="528"/>
      <c r="R407" s="529" t="s">
        <v>1506</v>
      </c>
      <c r="S407" s="518"/>
      <c r="T407" s="518" t="s">
        <v>1776</v>
      </c>
      <c r="U407" s="519" t="s">
        <v>2007</v>
      </c>
      <c r="V407" s="520" t="str">
        <f>IFERROR(VLOOKUP(LANÇ_MOV[[#This Row],[PLANO DE CONTAS]],Plano_Contas[[PLANO DE CONTAS]:[R / D]],3,0),"")</f>
        <v>Despesa</v>
      </c>
      <c r="W407" s="521" t="str">
        <f>IF(LANÇ_MOV[[#This Row],[DATA DE PAGAMENTO]]&lt;&gt;"","Pago","Não Pago")</f>
        <v>Não Pago</v>
      </c>
      <c r="X407" s="522" t="str">
        <f>IFERROR(IF(LANÇ_MOV[[#This Row],[DATA DE PAGAMENTO]]="","",(UPPER(TEXT(LANÇ_MOV[[#This Row],[DATA DE PAGAMENTO]],"mmmm")))),"")</f>
        <v/>
      </c>
      <c r="Y407" s="523" t="str">
        <f>IFERROR(VLOOKUP(LANÇ_MOV[[#This Row],[PLANO DE CONTAS]],Plano_Contas[[PLANO DE CONTAS]:[NOMES INTERVALOS]],2,0),"")</f>
        <v>Despesas_Endividamentos</v>
      </c>
      <c r="Z407" s="523" t="str">
        <f>IF(LANÇ_MOV[[#This Row],[FORMA DE PAGAMENTO]]="","",VLOOKUP(LANÇ_MOV[[#This Row],[FORMA DE PAGAMENTO]],CAD_Forma_pagto[],2,0))</f>
        <v>BOLETO</v>
      </c>
      <c r="AA407" s="524" t="str">
        <f>IF(LANÇ_MOV[[#This Row],[DATA DE LANÇAMENTO]]="","",TEXT(LANÇ_MOV[[#This Row],[DATA DE LANÇAMENTO]],"AAAA"))</f>
        <v>2025</v>
      </c>
      <c r="AB407" s="524" t="str">
        <f>IF(LANÇ_MOV[[#This Row],[DATA DE LANÇAMENTO]]="","",UPPER(TEXT(LANÇ_MOV[[#This Row],[DATA DE LANÇAMENTO]],"MMMM")))</f>
        <v>OUTUBRO</v>
      </c>
      <c r="AC407" s="525" t="str">
        <f>IF(LANÇ_MOV[[#This Row],[DATA DE LANÇAMENTO]]="","",PROPER(TEXT(LANÇ_MOV[[#This Row],[DATA DE LANÇAMENTO]],"M")))</f>
        <v>10</v>
      </c>
      <c r="AD407" s="524" t="str">
        <f>IF(LANÇ_MOV[[#This Row],[DATA DE LANÇAMENTO]]="","",TEXT(LANÇ_MOV[[#This Row],[DATA DE LANÇAMENTO]],"D"))</f>
        <v>1</v>
      </c>
      <c r="AE407" s="526" t="str">
        <f>IF(LANÇ_MOV[[#This Row],[DATA DE VENCIMENTO]]="","",TEXT(LANÇ_MOV[[#This Row],[DATA DE VENCIMENTO]],"AAAA"))</f>
        <v>2023</v>
      </c>
      <c r="AF407" s="526" t="str">
        <f>IF(LANÇ_MOV[[#This Row],[DATA DE VENCIMENTO]]="","",UPPER(TEXT(LANÇ_MOV[[#This Row],[DATA DE VENCIMENTO]],"MMMM")))</f>
        <v>MAIO</v>
      </c>
      <c r="AG407" s="526" t="str">
        <f>IF(LANÇ_MOV[[#This Row],[DATA DE VENCIMENTO]]="","",TEXT(LANÇ_MOV[[#This Row],[DATA DE VENCIMENTO]],"M"))</f>
        <v>5</v>
      </c>
      <c r="AH407" s="526" t="str">
        <f>IF(LANÇ_MOV[[#This Row],[DATA DE VENCIMENTO]]="","",TEXT(LANÇ_MOV[[#This Row],[DATA DE VENCIMENTO]],"D"))</f>
        <v>27</v>
      </c>
      <c r="AI407" s="526" t="str">
        <f>IF(LANÇ_MOV[[#This Row],[DATA DE PAGAMENTO]]="","",TEXT(LANÇ_MOV[[#This Row],[DATA DE PAGAMENTO]],"AAAA"))</f>
        <v/>
      </c>
      <c r="AJ407" s="527" t="str">
        <f>IF(LANÇ_MOV[[#This Row],[DATA DE PAGAMENTO]]="","",UPPER(TEXT(LANÇ_MOV[[#This Row],[DATA DE PAGAMENTO]],"MMMM")))</f>
        <v/>
      </c>
      <c r="AK407" s="527" t="str">
        <f>IF(LANÇ_MOV[[#This Row],[DATA DE PAGAMENTO]]="","",TEXT(LANÇ_MOV[[#This Row],[DATA DE PAGAMENTO]],"M"))</f>
        <v/>
      </c>
      <c r="AL407" s="526" t="str">
        <f>IF(LANÇ_MOV[[#This Row],[DATA DE PAGAMENTO]]="","",TEXT(LANÇ_MOV[[#This Row],[DATA DE PAGAMENTO]],"D"))</f>
        <v/>
      </c>
      <c r="AM407" s="27"/>
      <c r="BB407" s="112"/>
      <c r="BC407" s="112"/>
      <c r="BD407" s="112"/>
    </row>
    <row r="408" spans="2:56" ht="30.05" customHeight="1" x14ac:dyDescent="0.35">
      <c r="B408" s="506">
        <v>45931</v>
      </c>
      <c r="C408" s="507" t="s">
        <v>1661</v>
      </c>
      <c r="D408" s="508" t="s">
        <v>1854</v>
      </c>
      <c r="E408" s="509" t="s">
        <v>1440</v>
      </c>
      <c r="F408" s="510"/>
      <c r="G408" s="507" t="s">
        <v>1967</v>
      </c>
      <c r="H408" s="511" t="s">
        <v>1969</v>
      </c>
      <c r="I408" s="512" t="s">
        <v>1760</v>
      </c>
      <c r="J408" s="510">
        <v>71586.429999999993</v>
      </c>
      <c r="K408" s="513">
        <v>0</v>
      </c>
      <c r="L408" s="513">
        <v>0</v>
      </c>
      <c r="M408" s="513">
        <v>0</v>
      </c>
      <c r="N408" s="514">
        <f>LANÇ_MOV[[#This Row],[VALOR BRUTO]]-LANÇ_MOV[[#This Row],[DESCONTO]]+LANÇ_MOV[[#This Row],[JUROS]]+LANÇ_MOV[[#This Row],[MULTA]]</f>
        <v>71586.429999999993</v>
      </c>
      <c r="O408" s="528">
        <v>45073</v>
      </c>
      <c r="P408" s="516" t="str">
        <f t="shared" ca="1" si="6"/>
        <v>Venceu</v>
      </c>
      <c r="Q408" s="528"/>
      <c r="R408" s="529" t="s">
        <v>1506</v>
      </c>
      <c r="S408" s="518"/>
      <c r="T408" s="518" t="s">
        <v>1776</v>
      </c>
      <c r="U408" s="519" t="s">
        <v>2007</v>
      </c>
      <c r="V408" s="520" t="str">
        <f>IFERROR(VLOOKUP(LANÇ_MOV[[#This Row],[PLANO DE CONTAS]],Plano_Contas[[PLANO DE CONTAS]:[R / D]],3,0),"")</f>
        <v>Despesa</v>
      </c>
      <c r="W408" s="521" t="str">
        <f>IF(LANÇ_MOV[[#This Row],[DATA DE PAGAMENTO]]&lt;&gt;"","Pago","Não Pago")</f>
        <v>Não Pago</v>
      </c>
      <c r="X408" s="522" t="str">
        <f>IFERROR(IF(LANÇ_MOV[[#This Row],[DATA DE PAGAMENTO]]="","",(UPPER(TEXT(LANÇ_MOV[[#This Row],[DATA DE PAGAMENTO]],"mmmm")))),"")</f>
        <v/>
      </c>
      <c r="Y408" s="523" t="str">
        <f>IFERROR(VLOOKUP(LANÇ_MOV[[#This Row],[PLANO DE CONTAS]],Plano_Contas[[PLANO DE CONTAS]:[NOMES INTERVALOS]],2,0),"")</f>
        <v>Despesas_Endividamentos</v>
      </c>
      <c r="Z408" s="523" t="str">
        <f>IF(LANÇ_MOV[[#This Row],[FORMA DE PAGAMENTO]]="","",VLOOKUP(LANÇ_MOV[[#This Row],[FORMA DE PAGAMENTO]],CAD_Forma_pagto[],2,0))</f>
        <v>BOLETO</v>
      </c>
      <c r="AA408" s="524" t="str">
        <f>IF(LANÇ_MOV[[#This Row],[DATA DE LANÇAMENTO]]="","",TEXT(LANÇ_MOV[[#This Row],[DATA DE LANÇAMENTO]],"AAAA"))</f>
        <v>2025</v>
      </c>
      <c r="AB408" s="524" t="str">
        <f>IF(LANÇ_MOV[[#This Row],[DATA DE LANÇAMENTO]]="","",UPPER(TEXT(LANÇ_MOV[[#This Row],[DATA DE LANÇAMENTO]],"MMMM")))</f>
        <v>OUTUBRO</v>
      </c>
      <c r="AC408" s="525" t="str">
        <f>IF(LANÇ_MOV[[#This Row],[DATA DE LANÇAMENTO]]="","",PROPER(TEXT(LANÇ_MOV[[#This Row],[DATA DE LANÇAMENTO]],"M")))</f>
        <v>10</v>
      </c>
      <c r="AD408" s="524" t="str">
        <f>IF(LANÇ_MOV[[#This Row],[DATA DE LANÇAMENTO]]="","",TEXT(LANÇ_MOV[[#This Row],[DATA DE LANÇAMENTO]],"D"))</f>
        <v>1</v>
      </c>
      <c r="AE408" s="526" t="str">
        <f>IF(LANÇ_MOV[[#This Row],[DATA DE VENCIMENTO]]="","",TEXT(LANÇ_MOV[[#This Row],[DATA DE VENCIMENTO]],"AAAA"))</f>
        <v>2023</v>
      </c>
      <c r="AF408" s="526" t="str">
        <f>IF(LANÇ_MOV[[#This Row],[DATA DE VENCIMENTO]]="","",UPPER(TEXT(LANÇ_MOV[[#This Row],[DATA DE VENCIMENTO]],"MMMM")))</f>
        <v>MAIO</v>
      </c>
      <c r="AG408" s="526" t="str">
        <f>IF(LANÇ_MOV[[#This Row],[DATA DE VENCIMENTO]]="","",TEXT(LANÇ_MOV[[#This Row],[DATA DE VENCIMENTO]],"M"))</f>
        <v>5</v>
      </c>
      <c r="AH408" s="526" t="str">
        <f>IF(LANÇ_MOV[[#This Row],[DATA DE VENCIMENTO]]="","",TEXT(LANÇ_MOV[[#This Row],[DATA DE VENCIMENTO]],"D"))</f>
        <v>27</v>
      </c>
      <c r="AI408" s="526" t="str">
        <f>IF(LANÇ_MOV[[#This Row],[DATA DE PAGAMENTO]]="","",TEXT(LANÇ_MOV[[#This Row],[DATA DE PAGAMENTO]],"AAAA"))</f>
        <v/>
      </c>
      <c r="AJ408" s="527" t="str">
        <f>IF(LANÇ_MOV[[#This Row],[DATA DE PAGAMENTO]]="","",UPPER(TEXT(LANÇ_MOV[[#This Row],[DATA DE PAGAMENTO]],"MMMM")))</f>
        <v/>
      </c>
      <c r="AK408" s="527" t="str">
        <f>IF(LANÇ_MOV[[#This Row],[DATA DE PAGAMENTO]]="","",TEXT(LANÇ_MOV[[#This Row],[DATA DE PAGAMENTO]],"M"))</f>
        <v/>
      </c>
      <c r="AL408" s="526" t="str">
        <f>IF(LANÇ_MOV[[#This Row],[DATA DE PAGAMENTO]]="","",TEXT(LANÇ_MOV[[#This Row],[DATA DE PAGAMENTO]],"D"))</f>
        <v/>
      </c>
      <c r="AM408" s="27"/>
      <c r="BB408" s="112"/>
      <c r="BC408" s="112"/>
      <c r="BD408" s="112"/>
    </row>
    <row r="409" spans="2:56" ht="30.05" customHeight="1" x14ac:dyDescent="0.35">
      <c r="B409" s="506">
        <v>45931</v>
      </c>
      <c r="C409" s="507" t="s">
        <v>1661</v>
      </c>
      <c r="D409" s="508" t="s">
        <v>1854</v>
      </c>
      <c r="E409" s="509" t="s">
        <v>1440</v>
      </c>
      <c r="F409" s="510"/>
      <c r="G409" s="507" t="s">
        <v>1967</v>
      </c>
      <c r="H409" s="511" t="s">
        <v>1970</v>
      </c>
      <c r="I409" s="512" t="s">
        <v>1760</v>
      </c>
      <c r="J409" s="510">
        <v>273017.58</v>
      </c>
      <c r="K409" s="513">
        <v>0</v>
      </c>
      <c r="L409" s="513">
        <v>0</v>
      </c>
      <c r="M409" s="513">
        <v>0</v>
      </c>
      <c r="N409" s="514">
        <f>LANÇ_MOV[[#This Row],[VALOR BRUTO]]-LANÇ_MOV[[#This Row],[DESCONTO]]+LANÇ_MOV[[#This Row],[JUROS]]+LANÇ_MOV[[#This Row],[MULTA]]</f>
        <v>273017.58</v>
      </c>
      <c r="O409" s="528">
        <v>45073</v>
      </c>
      <c r="P409" s="516" t="str">
        <f t="shared" ca="1" si="6"/>
        <v>Venceu</v>
      </c>
      <c r="Q409" s="528"/>
      <c r="R409" s="529" t="s">
        <v>1506</v>
      </c>
      <c r="S409" s="518"/>
      <c r="T409" s="518" t="s">
        <v>1776</v>
      </c>
      <c r="U409" s="519" t="s">
        <v>2007</v>
      </c>
      <c r="V409" s="520" t="str">
        <f>IFERROR(VLOOKUP(LANÇ_MOV[[#This Row],[PLANO DE CONTAS]],Plano_Contas[[PLANO DE CONTAS]:[R / D]],3,0),"")</f>
        <v>Despesa</v>
      </c>
      <c r="W409" s="521" t="str">
        <f>IF(LANÇ_MOV[[#This Row],[DATA DE PAGAMENTO]]&lt;&gt;"","Pago","Não Pago")</f>
        <v>Não Pago</v>
      </c>
      <c r="X409" s="522" t="str">
        <f>IFERROR(IF(LANÇ_MOV[[#This Row],[DATA DE PAGAMENTO]]="","",(UPPER(TEXT(LANÇ_MOV[[#This Row],[DATA DE PAGAMENTO]],"mmmm")))),"")</f>
        <v/>
      </c>
      <c r="Y409" s="523" t="str">
        <f>IFERROR(VLOOKUP(LANÇ_MOV[[#This Row],[PLANO DE CONTAS]],Plano_Contas[[PLANO DE CONTAS]:[NOMES INTERVALOS]],2,0),"")</f>
        <v>Despesas_Endividamentos</v>
      </c>
      <c r="Z409" s="523" t="str">
        <f>IF(LANÇ_MOV[[#This Row],[FORMA DE PAGAMENTO]]="","",VLOOKUP(LANÇ_MOV[[#This Row],[FORMA DE PAGAMENTO]],CAD_Forma_pagto[],2,0))</f>
        <v>BOLETO</v>
      </c>
      <c r="AA409" s="524" t="str">
        <f>IF(LANÇ_MOV[[#This Row],[DATA DE LANÇAMENTO]]="","",TEXT(LANÇ_MOV[[#This Row],[DATA DE LANÇAMENTO]],"AAAA"))</f>
        <v>2025</v>
      </c>
      <c r="AB409" s="524" t="str">
        <f>IF(LANÇ_MOV[[#This Row],[DATA DE LANÇAMENTO]]="","",UPPER(TEXT(LANÇ_MOV[[#This Row],[DATA DE LANÇAMENTO]],"MMMM")))</f>
        <v>OUTUBRO</v>
      </c>
      <c r="AC409" s="525" t="str">
        <f>IF(LANÇ_MOV[[#This Row],[DATA DE LANÇAMENTO]]="","",PROPER(TEXT(LANÇ_MOV[[#This Row],[DATA DE LANÇAMENTO]],"M")))</f>
        <v>10</v>
      </c>
      <c r="AD409" s="524" t="str">
        <f>IF(LANÇ_MOV[[#This Row],[DATA DE LANÇAMENTO]]="","",TEXT(LANÇ_MOV[[#This Row],[DATA DE LANÇAMENTO]],"D"))</f>
        <v>1</v>
      </c>
      <c r="AE409" s="526" t="str">
        <f>IF(LANÇ_MOV[[#This Row],[DATA DE VENCIMENTO]]="","",TEXT(LANÇ_MOV[[#This Row],[DATA DE VENCIMENTO]],"AAAA"))</f>
        <v>2023</v>
      </c>
      <c r="AF409" s="526" t="str">
        <f>IF(LANÇ_MOV[[#This Row],[DATA DE VENCIMENTO]]="","",UPPER(TEXT(LANÇ_MOV[[#This Row],[DATA DE VENCIMENTO]],"MMMM")))</f>
        <v>MAIO</v>
      </c>
      <c r="AG409" s="526" t="str">
        <f>IF(LANÇ_MOV[[#This Row],[DATA DE VENCIMENTO]]="","",TEXT(LANÇ_MOV[[#This Row],[DATA DE VENCIMENTO]],"M"))</f>
        <v>5</v>
      </c>
      <c r="AH409" s="526" t="str">
        <f>IF(LANÇ_MOV[[#This Row],[DATA DE VENCIMENTO]]="","",TEXT(LANÇ_MOV[[#This Row],[DATA DE VENCIMENTO]],"D"))</f>
        <v>27</v>
      </c>
      <c r="AI409" s="526" t="str">
        <f>IF(LANÇ_MOV[[#This Row],[DATA DE PAGAMENTO]]="","",TEXT(LANÇ_MOV[[#This Row],[DATA DE PAGAMENTO]],"AAAA"))</f>
        <v/>
      </c>
      <c r="AJ409" s="527" t="str">
        <f>IF(LANÇ_MOV[[#This Row],[DATA DE PAGAMENTO]]="","",UPPER(TEXT(LANÇ_MOV[[#This Row],[DATA DE PAGAMENTO]],"MMMM")))</f>
        <v/>
      </c>
      <c r="AK409" s="527" t="str">
        <f>IF(LANÇ_MOV[[#This Row],[DATA DE PAGAMENTO]]="","",TEXT(LANÇ_MOV[[#This Row],[DATA DE PAGAMENTO]],"M"))</f>
        <v/>
      </c>
      <c r="AL409" s="526" t="str">
        <f>IF(LANÇ_MOV[[#This Row],[DATA DE PAGAMENTO]]="","",TEXT(LANÇ_MOV[[#This Row],[DATA DE PAGAMENTO]],"D"))</f>
        <v/>
      </c>
      <c r="AM409" s="27"/>
      <c r="BB409" s="112"/>
      <c r="BC409" s="112"/>
      <c r="BD409" s="112"/>
    </row>
    <row r="410" spans="2:56" ht="30.05" customHeight="1" x14ac:dyDescent="0.35">
      <c r="B410" s="506">
        <v>45931</v>
      </c>
      <c r="C410" s="507" t="s">
        <v>1661</v>
      </c>
      <c r="D410" s="508" t="s">
        <v>1854</v>
      </c>
      <c r="E410" s="509" t="s">
        <v>1440</v>
      </c>
      <c r="F410" s="510" t="s">
        <v>1834</v>
      </c>
      <c r="G410" s="507" t="s">
        <v>1928</v>
      </c>
      <c r="H410" s="511" t="s">
        <v>1971</v>
      </c>
      <c r="I410" s="512" t="s">
        <v>1760</v>
      </c>
      <c r="J410" s="510">
        <v>1005.25</v>
      </c>
      <c r="K410" s="513">
        <v>0</v>
      </c>
      <c r="L410" s="513">
        <v>0</v>
      </c>
      <c r="M410" s="513">
        <v>0</v>
      </c>
      <c r="N410" s="514">
        <f>LANÇ_MOV[[#This Row],[VALOR BRUTO]]-LANÇ_MOV[[#This Row],[DESCONTO]]+LANÇ_MOV[[#This Row],[JUROS]]+LANÇ_MOV[[#This Row],[MULTA]]</f>
        <v>1005.25</v>
      </c>
      <c r="O410" s="528">
        <v>45743</v>
      </c>
      <c r="P410" s="516" t="str">
        <f t="shared" ca="1" si="6"/>
        <v>Venceu</v>
      </c>
      <c r="Q410" s="528"/>
      <c r="R410" s="529" t="s">
        <v>1506</v>
      </c>
      <c r="S410" s="518"/>
      <c r="T410" s="518" t="s">
        <v>1776</v>
      </c>
      <c r="U410" s="519" t="s">
        <v>2007</v>
      </c>
      <c r="V410" s="520" t="str">
        <f>IFERROR(VLOOKUP(LANÇ_MOV[[#This Row],[PLANO DE CONTAS]],Plano_Contas[[PLANO DE CONTAS]:[R / D]],3,0),"")</f>
        <v>Despesa</v>
      </c>
      <c r="W410" s="521" t="str">
        <f>IF(LANÇ_MOV[[#This Row],[DATA DE PAGAMENTO]]&lt;&gt;"","Pago","Não Pago")</f>
        <v>Não Pago</v>
      </c>
      <c r="X410" s="522" t="str">
        <f>IFERROR(IF(LANÇ_MOV[[#This Row],[DATA DE PAGAMENTO]]="","",(UPPER(TEXT(LANÇ_MOV[[#This Row],[DATA DE PAGAMENTO]],"mmmm")))),"")</f>
        <v/>
      </c>
      <c r="Y410" s="523" t="str">
        <f>IFERROR(VLOOKUP(LANÇ_MOV[[#This Row],[PLANO DE CONTAS]],Plano_Contas[[PLANO DE CONTAS]:[NOMES INTERVALOS]],2,0),"")</f>
        <v>Despesas_Endividamentos</v>
      </c>
      <c r="Z410" s="523" t="str">
        <f>IF(LANÇ_MOV[[#This Row],[FORMA DE PAGAMENTO]]="","",VLOOKUP(LANÇ_MOV[[#This Row],[FORMA DE PAGAMENTO]],CAD_Forma_pagto[],2,0))</f>
        <v>BOLETO</v>
      </c>
      <c r="AA410" s="524" t="str">
        <f>IF(LANÇ_MOV[[#This Row],[DATA DE LANÇAMENTO]]="","",TEXT(LANÇ_MOV[[#This Row],[DATA DE LANÇAMENTO]],"AAAA"))</f>
        <v>2025</v>
      </c>
      <c r="AB410" s="524" t="str">
        <f>IF(LANÇ_MOV[[#This Row],[DATA DE LANÇAMENTO]]="","",UPPER(TEXT(LANÇ_MOV[[#This Row],[DATA DE LANÇAMENTO]],"MMMM")))</f>
        <v>OUTUBRO</v>
      </c>
      <c r="AC410" s="525" t="str">
        <f>IF(LANÇ_MOV[[#This Row],[DATA DE LANÇAMENTO]]="","",PROPER(TEXT(LANÇ_MOV[[#This Row],[DATA DE LANÇAMENTO]],"M")))</f>
        <v>10</v>
      </c>
      <c r="AD410" s="524" t="str">
        <f>IF(LANÇ_MOV[[#This Row],[DATA DE LANÇAMENTO]]="","",TEXT(LANÇ_MOV[[#This Row],[DATA DE LANÇAMENTO]],"D"))</f>
        <v>1</v>
      </c>
      <c r="AE410" s="526" t="str">
        <f>IF(LANÇ_MOV[[#This Row],[DATA DE VENCIMENTO]]="","",TEXT(LANÇ_MOV[[#This Row],[DATA DE VENCIMENTO]],"AAAA"))</f>
        <v>2025</v>
      </c>
      <c r="AF410" s="526" t="str">
        <f>IF(LANÇ_MOV[[#This Row],[DATA DE VENCIMENTO]]="","",UPPER(TEXT(LANÇ_MOV[[#This Row],[DATA DE VENCIMENTO]],"MMMM")))</f>
        <v>MARÇO</v>
      </c>
      <c r="AG410" s="526" t="str">
        <f>IF(LANÇ_MOV[[#This Row],[DATA DE VENCIMENTO]]="","",TEXT(LANÇ_MOV[[#This Row],[DATA DE VENCIMENTO]],"M"))</f>
        <v>3</v>
      </c>
      <c r="AH410" s="526" t="str">
        <f>IF(LANÇ_MOV[[#This Row],[DATA DE VENCIMENTO]]="","",TEXT(LANÇ_MOV[[#This Row],[DATA DE VENCIMENTO]],"D"))</f>
        <v>27</v>
      </c>
      <c r="AI410" s="526" t="str">
        <f>IF(LANÇ_MOV[[#This Row],[DATA DE PAGAMENTO]]="","",TEXT(LANÇ_MOV[[#This Row],[DATA DE PAGAMENTO]],"AAAA"))</f>
        <v/>
      </c>
      <c r="AJ410" s="527" t="str">
        <f>IF(LANÇ_MOV[[#This Row],[DATA DE PAGAMENTO]]="","",UPPER(TEXT(LANÇ_MOV[[#This Row],[DATA DE PAGAMENTO]],"MMMM")))</f>
        <v/>
      </c>
      <c r="AK410" s="527" t="str">
        <f>IF(LANÇ_MOV[[#This Row],[DATA DE PAGAMENTO]]="","",TEXT(LANÇ_MOV[[#This Row],[DATA DE PAGAMENTO]],"M"))</f>
        <v/>
      </c>
      <c r="AL410" s="526" t="str">
        <f>IF(LANÇ_MOV[[#This Row],[DATA DE PAGAMENTO]]="","",TEXT(LANÇ_MOV[[#This Row],[DATA DE PAGAMENTO]],"D"))</f>
        <v/>
      </c>
      <c r="AM410" s="27"/>
      <c r="BB410" s="112"/>
      <c r="BC410" s="112"/>
      <c r="BD410" s="112"/>
    </row>
    <row r="411" spans="2:56" ht="30.05" customHeight="1" x14ac:dyDescent="0.35">
      <c r="B411" s="506">
        <v>45931</v>
      </c>
      <c r="C411" s="507" t="s">
        <v>1661</v>
      </c>
      <c r="D411" s="508" t="s">
        <v>1854</v>
      </c>
      <c r="E411" s="509" t="s">
        <v>1440</v>
      </c>
      <c r="F411" s="510" t="s">
        <v>1837</v>
      </c>
      <c r="G411" s="507" t="s">
        <v>1928</v>
      </c>
      <c r="H411" s="511" t="s">
        <v>1972</v>
      </c>
      <c r="I411" s="512" t="s">
        <v>1760</v>
      </c>
      <c r="J411" s="510">
        <v>603.14</v>
      </c>
      <c r="K411" s="513">
        <v>0</v>
      </c>
      <c r="L411" s="513">
        <v>0</v>
      </c>
      <c r="M411" s="513">
        <v>0</v>
      </c>
      <c r="N411" s="514">
        <f>LANÇ_MOV[[#This Row],[VALOR BRUTO]]-LANÇ_MOV[[#This Row],[DESCONTO]]+LANÇ_MOV[[#This Row],[JUROS]]+LANÇ_MOV[[#This Row],[MULTA]]</f>
        <v>603.14</v>
      </c>
      <c r="O411" s="528">
        <v>45743</v>
      </c>
      <c r="P411" s="516" t="str">
        <f t="shared" ca="1" si="6"/>
        <v>Venceu</v>
      </c>
      <c r="Q411" s="528"/>
      <c r="R411" s="529" t="s">
        <v>1506</v>
      </c>
      <c r="S411" s="518"/>
      <c r="T411" s="518" t="s">
        <v>1776</v>
      </c>
      <c r="U411" s="519" t="s">
        <v>2007</v>
      </c>
      <c r="V411" s="520" t="str">
        <f>IFERROR(VLOOKUP(LANÇ_MOV[[#This Row],[PLANO DE CONTAS]],Plano_Contas[[PLANO DE CONTAS]:[R / D]],3,0),"")</f>
        <v>Despesa</v>
      </c>
      <c r="W411" s="521" t="str">
        <f>IF(LANÇ_MOV[[#This Row],[DATA DE PAGAMENTO]]&lt;&gt;"","Pago","Não Pago")</f>
        <v>Não Pago</v>
      </c>
      <c r="X411" s="522" t="str">
        <f>IFERROR(IF(LANÇ_MOV[[#This Row],[DATA DE PAGAMENTO]]="","",(UPPER(TEXT(LANÇ_MOV[[#This Row],[DATA DE PAGAMENTO]],"mmmm")))),"")</f>
        <v/>
      </c>
      <c r="Y411" s="523" t="str">
        <f>IFERROR(VLOOKUP(LANÇ_MOV[[#This Row],[PLANO DE CONTAS]],Plano_Contas[[PLANO DE CONTAS]:[NOMES INTERVALOS]],2,0),"")</f>
        <v>Despesas_Endividamentos</v>
      </c>
      <c r="Z411" s="523" t="str">
        <f>IF(LANÇ_MOV[[#This Row],[FORMA DE PAGAMENTO]]="","",VLOOKUP(LANÇ_MOV[[#This Row],[FORMA DE PAGAMENTO]],CAD_Forma_pagto[],2,0))</f>
        <v>BOLETO</v>
      </c>
      <c r="AA411" s="524" t="str">
        <f>IF(LANÇ_MOV[[#This Row],[DATA DE LANÇAMENTO]]="","",TEXT(LANÇ_MOV[[#This Row],[DATA DE LANÇAMENTO]],"AAAA"))</f>
        <v>2025</v>
      </c>
      <c r="AB411" s="524" t="str">
        <f>IF(LANÇ_MOV[[#This Row],[DATA DE LANÇAMENTO]]="","",UPPER(TEXT(LANÇ_MOV[[#This Row],[DATA DE LANÇAMENTO]],"MMMM")))</f>
        <v>OUTUBRO</v>
      </c>
      <c r="AC411" s="525" t="str">
        <f>IF(LANÇ_MOV[[#This Row],[DATA DE LANÇAMENTO]]="","",PROPER(TEXT(LANÇ_MOV[[#This Row],[DATA DE LANÇAMENTO]],"M")))</f>
        <v>10</v>
      </c>
      <c r="AD411" s="524" t="str">
        <f>IF(LANÇ_MOV[[#This Row],[DATA DE LANÇAMENTO]]="","",TEXT(LANÇ_MOV[[#This Row],[DATA DE LANÇAMENTO]],"D"))</f>
        <v>1</v>
      </c>
      <c r="AE411" s="526" t="str">
        <f>IF(LANÇ_MOV[[#This Row],[DATA DE VENCIMENTO]]="","",TEXT(LANÇ_MOV[[#This Row],[DATA DE VENCIMENTO]],"AAAA"))</f>
        <v>2025</v>
      </c>
      <c r="AF411" s="526" t="str">
        <f>IF(LANÇ_MOV[[#This Row],[DATA DE VENCIMENTO]]="","",UPPER(TEXT(LANÇ_MOV[[#This Row],[DATA DE VENCIMENTO]],"MMMM")))</f>
        <v>MARÇO</v>
      </c>
      <c r="AG411" s="526" t="str">
        <f>IF(LANÇ_MOV[[#This Row],[DATA DE VENCIMENTO]]="","",TEXT(LANÇ_MOV[[#This Row],[DATA DE VENCIMENTO]],"M"))</f>
        <v>3</v>
      </c>
      <c r="AH411" s="526" t="str">
        <f>IF(LANÇ_MOV[[#This Row],[DATA DE VENCIMENTO]]="","",TEXT(LANÇ_MOV[[#This Row],[DATA DE VENCIMENTO]],"D"))</f>
        <v>27</v>
      </c>
      <c r="AI411" s="526" t="str">
        <f>IF(LANÇ_MOV[[#This Row],[DATA DE PAGAMENTO]]="","",TEXT(LANÇ_MOV[[#This Row],[DATA DE PAGAMENTO]],"AAAA"))</f>
        <v/>
      </c>
      <c r="AJ411" s="527" t="str">
        <f>IF(LANÇ_MOV[[#This Row],[DATA DE PAGAMENTO]]="","",UPPER(TEXT(LANÇ_MOV[[#This Row],[DATA DE PAGAMENTO]],"MMMM")))</f>
        <v/>
      </c>
      <c r="AK411" s="527" t="str">
        <f>IF(LANÇ_MOV[[#This Row],[DATA DE PAGAMENTO]]="","",TEXT(LANÇ_MOV[[#This Row],[DATA DE PAGAMENTO]],"M"))</f>
        <v/>
      </c>
      <c r="AL411" s="526" t="str">
        <f>IF(LANÇ_MOV[[#This Row],[DATA DE PAGAMENTO]]="","",TEXT(LANÇ_MOV[[#This Row],[DATA DE PAGAMENTO]],"D"))</f>
        <v/>
      </c>
      <c r="AM411" s="27"/>
      <c r="BB411" s="112"/>
      <c r="BC411" s="112"/>
      <c r="BD411" s="112"/>
    </row>
    <row r="412" spans="2:56" ht="30.05" customHeight="1" x14ac:dyDescent="0.35">
      <c r="B412" s="506">
        <v>45931</v>
      </c>
      <c r="C412" s="507" t="s">
        <v>1661</v>
      </c>
      <c r="D412" s="508" t="s">
        <v>1854</v>
      </c>
      <c r="E412" s="509" t="s">
        <v>1440</v>
      </c>
      <c r="F412" s="510" t="s">
        <v>1849</v>
      </c>
      <c r="G412" s="507" t="s">
        <v>1943</v>
      </c>
      <c r="H412" s="511" t="s">
        <v>1973</v>
      </c>
      <c r="I412" s="512" t="s">
        <v>1760</v>
      </c>
      <c r="J412" s="510">
        <v>402.09</v>
      </c>
      <c r="K412" s="513">
        <v>0</v>
      </c>
      <c r="L412" s="513">
        <v>0</v>
      </c>
      <c r="M412" s="513">
        <v>0</v>
      </c>
      <c r="N412" s="514">
        <f>LANÇ_MOV[[#This Row],[VALOR BRUTO]]-LANÇ_MOV[[#This Row],[DESCONTO]]+LANÇ_MOV[[#This Row],[JUROS]]+LANÇ_MOV[[#This Row],[MULTA]]</f>
        <v>402.09</v>
      </c>
      <c r="O412" s="528">
        <v>45012</v>
      </c>
      <c r="P412" s="516" t="str">
        <f t="shared" ca="1" si="6"/>
        <v>Venceu</v>
      </c>
      <c r="Q412" s="528"/>
      <c r="R412" s="529" t="s">
        <v>1506</v>
      </c>
      <c r="S412" s="518"/>
      <c r="T412" s="518" t="s">
        <v>1776</v>
      </c>
      <c r="U412" s="519" t="s">
        <v>2007</v>
      </c>
      <c r="V412" s="520" t="str">
        <f>IFERROR(VLOOKUP(LANÇ_MOV[[#This Row],[PLANO DE CONTAS]],Plano_Contas[[PLANO DE CONTAS]:[R / D]],3,0),"")</f>
        <v>Despesa</v>
      </c>
      <c r="W412" s="521" t="str">
        <f>IF(LANÇ_MOV[[#This Row],[DATA DE PAGAMENTO]]&lt;&gt;"","Pago","Não Pago")</f>
        <v>Não Pago</v>
      </c>
      <c r="X412" s="522" t="str">
        <f>IFERROR(IF(LANÇ_MOV[[#This Row],[DATA DE PAGAMENTO]]="","",(UPPER(TEXT(LANÇ_MOV[[#This Row],[DATA DE PAGAMENTO]],"mmmm")))),"")</f>
        <v/>
      </c>
      <c r="Y412" s="523" t="str">
        <f>IFERROR(VLOOKUP(LANÇ_MOV[[#This Row],[PLANO DE CONTAS]],Plano_Contas[[PLANO DE CONTAS]:[NOMES INTERVALOS]],2,0),"")</f>
        <v>Despesas_Endividamentos</v>
      </c>
      <c r="Z412" s="523" t="str">
        <f>IF(LANÇ_MOV[[#This Row],[FORMA DE PAGAMENTO]]="","",VLOOKUP(LANÇ_MOV[[#This Row],[FORMA DE PAGAMENTO]],CAD_Forma_pagto[],2,0))</f>
        <v>BOLETO</v>
      </c>
      <c r="AA412" s="524" t="str">
        <f>IF(LANÇ_MOV[[#This Row],[DATA DE LANÇAMENTO]]="","",TEXT(LANÇ_MOV[[#This Row],[DATA DE LANÇAMENTO]],"AAAA"))</f>
        <v>2025</v>
      </c>
      <c r="AB412" s="524" t="str">
        <f>IF(LANÇ_MOV[[#This Row],[DATA DE LANÇAMENTO]]="","",UPPER(TEXT(LANÇ_MOV[[#This Row],[DATA DE LANÇAMENTO]],"MMMM")))</f>
        <v>OUTUBRO</v>
      </c>
      <c r="AC412" s="525" t="str">
        <f>IF(LANÇ_MOV[[#This Row],[DATA DE LANÇAMENTO]]="","",PROPER(TEXT(LANÇ_MOV[[#This Row],[DATA DE LANÇAMENTO]],"M")))</f>
        <v>10</v>
      </c>
      <c r="AD412" s="524" t="str">
        <f>IF(LANÇ_MOV[[#This Row],[DATA DE LANÇAMENTO]]="","",TEXT(LANÇ_MOV[[#This Row],[DATA DE LANÇAMENTO]],"D"))</f>
        <v>1</v>
      </c>
      <c r="AE412" s="526" t="str">
        <f>IF(LANÇ_MOV[[#This Row],[DATA DE VENCIMENTO]]="","",TEXT(LANÇ_MOV[[#This Row],[DATA DE VENCIMENTO]],"AAAA"))</f>
        <v>2023</v>
      </c>
      <c r="AF412" s="526" t="str">
        <f>IF(LANÇ_MOV[[#This Row],[DATA DE VENCIMENTO]]="","",UPPER(TEXT(LANÇ_MOV[[#This Row],[DATA DE VENCIMENTO]],"MMMM")))</f>
        <v>MARÇO</v>
      </c>
      <c r="AG412" s="526" t="str">
        <f>IF(LANÇ_MOV[[#This Row],[DATA DE VENCIMENTO]]="","",TEXT(LANÇ_MOV[[#This Row],[DATA DE VENCIMENTO]],"M"))</f>
        <v>3</v>
      </c>
      <c r="AH412" s="526" t="str">
        <f>IF(LANÇ_MOV[[#This Row],[DATA DE VENCIMENTO]]="","",TEXT(LANÇ_MOV[[#This Row],[DATA DE VENCIMENTO]],"D"))</f>
        <v>27</v>
      </c>
      <c r="AI412" s="526" t="str">
        <f>IF(LANÇ_MOV[[#This Row],[DATA DE PAGAMENTO]]="","",TEXT(LANÇ_MOV[[#This Row],[DATA DE PAGAMENTO]],"AAAA"))</f>
        <v/>
      </c>
      <c r="AJ412" s="527" t="str">
        <f>IF(LANÇ_MOV[[#This Row],[DATA DE PAGAMENTO]]="","",UPPER(TEXT(LANÇ_MOV[[#This Row],[DATA DE PAGAMENTO]],"MMMM")))</f>
        <v/>
      </c>
      <c r="AK412" s="527" t="str">
        <f>IF(LANÇ_MOV[[#This Row],[DATA DE PAGAMENTO]]="","",TEXT(LANÇ_MOV[[#This Row],[DATA DE PAGAMENTO]],"M"))</f>
        <v/>
      </c>
      <c r="AL412" s="526" t="str">
        <f>IF(LANÇ_MOV[[#This Row],[DATA DE PAGAMENTO]]="","",TEXT(LANÇ_MOV[[#This Row],[DATA DE PAGAMENTO]],"D"))</f>
        <v/>
      </c>
      <c r="AM412" s="27"/>
      <c r="BB412" s="112"/>
      <c r="BC412" s="112"/>
      <c r="BD412" s="112"/>
    </row>
    <row r="413" spans="2:56" ht="30.05" customHeight="1" x14ac:dyDescent="0.35">
      <c r="B413" s="538">
        <v>45931</v>
      </c>
      <c r="C413" s="507" t="s">
        <v>1661</v>
      </c>
      <c r="D413" s="508" t="s">
        <v>1854</v>
      </c>
      <c r="E413" s="509" t="s">
        <v>1440</v>
      </c>
      <c r="F413" s="510" t="s">
        <v>1832</v>
      </c>
      <c r="G413" s="507" t="s">
        <v>1957</v>
      </c>
      <c r="H413" s="511" t="s">
        <v>1974</v>
      </c>
      <c r="I413" s="512" t="s">
        <v>1760</v>
      </c>
      <c r="J413" s="513">
        <v>8042.15</v>
      </c>
      <c r="K413" s="513">
        <v>0</v>
      </c>
      <c r="L413" s="513">
        <v>0</v>
      </c>
      <c r="M413" s="513">
        <v>0</v>
      </c>
      <c r="N413" s="514">
        <f>LANÇ_MOV[[#This Row],[VALOR BRUTO]]-LANÇ_MOV[[#This Row],[DESCONTO]]+LANÇ_MOV[[#This Row],[JUROS]]+LANÇ_MOV[[#This Row],[MULTA]]</f>
        <v>8042.15</v>
      </c>
      <c r="O413" s="540">
        <v>45012</v>
      </c>
      <c r="P413" s="516" t="str">
        <f t="shared" ca="1" si="6"/>
        <v>Venceu</v>
      </c>
      <c r="Q413" s="540"/>
      <c r="R413" s="529" t="s">
        <v>1506</v>
      </c>
      <c r="S413" s="518"/>
      <c r="T413" s="518" t="s">
        <v>1776</v>
      </c>
      <c r="U413" s="519" t="s">
        <v>2007</v>
      </c>
      <c r="V413" s="520" t="str">
        <f>IFERROR(VLOOKUP(LANÇ_MOV[[#This Row],[PLANO DE CONTAS]],Plano_Contas[[PLANO DE CONTAS]:[R / D]],3,0),"")</f>
        <v>Despesa</v>
      </c>
      <c r="W413" s="521" t="str">
        <f>IF(LANÇ_MOV[[#This Row],[DATA DE PAGAMENTO]]&lt;&gt;"","Pago","Não Pago")</f>
        <v>Não Pago</v>
      </c>
      <c r="X413" s="522" t="str">
        <f>IFERROR(IF(LANÇ_MOV[[#This Row],[DATA DE PAGAMENTO]]="","",(UPPER(TEXT(LANÇ_MOV[[#This Row],[DATA DE PAGAMENTO]],"mmmm")))),"")</f>
        <v/>
      </c>
      <c r="Y413" s="523" t="str">
        <f>IFERROR(VLOOKUP(LANÇ_MOV[[#This Row],[PLANO DE CONTAS]],Plano_Contas[[PLANO DE CONTAS]:[NOMES INTERVALOS]],2,0),"")</f>
        <v>Despesas_Endividamentos</v>
      </c>
      <c r="Z413" s="523" t="str">
        <f>IF(LANÇ_MOV[[#This Row],[FORMA DE PAGAMENTO]]="","",VLOOKUP(LANÇ_MOV[[#This Row],[FORMA DE PAGAMENTO]],CAD_Forma_pagto[],2,0))</f>
        <v>BOLETO</v>
      </c>
      <c r="AA413" s="524" t="str">
        <f>IF(LANÇ_MOV[[#This Row],[DATA DE LANÇAMENTO]]="","",TEXT(LANÇ_MOV[[#This Row],[DATA DE LANÇAMENTO]],"AAAA"))</f>
        <v>2025</v>
      </c>
      <c r="AB413" s="524" t="str">
        <f>IF(LANÇ_MOV[[#This Row],[DATA DE LANÇAMENTO]]="","",UPPER(TEXT(LANÇ_MOV[[#This Row],[DATA DE LANÇAMENTO]],"MMMM")))</f>
        <v>OUTUBRO</v>
      </c>
      <c r="AC413" s="525" t="str">
        <f>IF(LANÇ_MOV[[#This Row],[DATA DE LANÇAMENTO]]="","",PROPER(TEXT(LANÇ_MOV[[#This Row],[DATA DE LANÇAMENTO]],"M")))</f>
        <v>10</v>
      </c>
      <c r="AD413" s="524" t="str">
        <f>IF(LANÇ_MOV[[#This Row],[DATA DE LANÇAMENTO]]="","",TEXT(LANÇ_MOV[[#This Row],[DATA DE LANÇAMENTO]],"D"))</f>
        <v>1</v>
      </c>
      <c r="AE413" s="526" t="str">
        <f>IF(LANÇ_MOV[[#This Row],[DATA DE VENCIMENTO]]="","",TEXT(LANÇ_MOV[[#This Row],[DATA DE VENCIMENTO]],"AAAA"))</f>
        <v>2023</v>
      </c>
      <c r="AF413" s="526" t="str">
        <f>IF(LANÇ_MOV[[#This Row],[DATA DE VENCIMENTO]]="","",UPPER(TEXT(LANÇ_MOV[[#This Row],[DATA DE VENCIMENTO]],"MMMM")))</f>
        <v>MARÇO</v>
      </c>
      <c r="AG413" s="526" t="str">
        <f>IF(LANÇ_MOV[[#This Row],[DATA DE VENCIMENTO]]="","",TEXT(LANÇ_MOV[[#This Row],[DATA DE VENCIMENTO]],"M"))</f>
        <v>3</v>
      </c>
      <c r="AH413" s="526" t="str">
        <f>IF(LANÇ_MOV[[#This Row],[DATA DE VENCIMENTO]]="","",TEXT(LANÇ_MOV[[#This Row],[DATA DE VENCIMENTO]],"D"))</f>
        <v>27</v>
      </c>
      <c r="AI413" s="526" t="str">
        <f>IF(LANÇ_MOV[[#This Row],[DATA DE PAGAMENTO]]="","",TEXT(LANÇ_MOV[[#This Row],[DATA DE PAGAMENTO]],"AAAA"))</f>
        <v/>
      </c>
      <c r="AJ413" s="527" t="str">
        <f>IF(LANÇ_MOV[[#This Row],[DATA DE PAGAMENTO]]="","",UPPER(TEXT(LANÇ_MOV[[#This Row],[DATA DE PAGAMENTO]],"MMMM")))</f>
        <v/>
      </c>
      <c r="AK413" s="527" t="str">
        <f>IF(LANÇ_MOV[[#This Row],[DATA DE PAGAMENTO]]="","",TEXT(LANÇ_MOV[[#This Row],[DATA DE PAGAMENTO]],"M"))</f>
        <v/>
      </c>
      <c r="AL413" s="526" t="str">
        <f>IF(LANÇ_MOV[[#This Row],[DATA DE PAGAMENTO]]="","",TEXT(LANÇ_MOV[[#This Row],[DATA DE PAGAMENTO]],"D"))</f>
        <v/>
      </c>
      <c r="AM413" s="27"/>
      <c r="BB413" s="112"/>
      <c r="BC413" s="112"/>
      <c r="BD413" s="112"/>
    </row>
    <row r="414" spans="2:56" ht="30.05" customHeight="1" x14ac:dyDescent="0.35">
      <c r="B414" s="506">
        <v>45931</v>
      </c>
      <c r="C414" s="507" t="s">
        <v>1661</v>
      </c>
      <c r="D414" s="508" t="s">
        <v>1854</v>
      </c>
      <c r="E414" s="509" t="s">
        <v>1440</v>
      </c>
      <c r="F414" s="510"/>
      <c r="G414" s="507" t="s">
        <v>1975</v>
      </c>
      <c r="H414" s="511" t="s">
        <v>1976</v>
      </c>
      <c r="I414" s="512" t="s">
        <v>1760</v>
      </c>
      <c r="J414" s="510">
        <v>0</v>
      </c>
      <c r="K414" s="513">
        <v>0</v>
      </c>
      <c r="L414" s="513">
        <v>0</v>
      </c>
      <c r="M414" s="513">
        <v>0</v>
      </c>
      <c r="N414" s="514">
        <f>LANÇ_MOV[[#This Row],[VALOR BRUTO]]-LANÇ_MOV[[#This Row],[DESCONTO]]+LANÇ_MOV[[#This Row],[JUROS]]+LANÇ_MOV[[#This Row],[MULTA]]</f>
        <v>0</v>
      </c>
      <c r="O414" s="528"/>
      <c r="P414" s="516" t="str">
        <f t="shared" ca="1" si="6"/>
        <v/>
      </c>
      <c r="Q414" s="528"/>
      <c r="R414" s="529" t="s">
        <v>1506</v>
      </c>
      <c r="S414" s="518"/>
      <c r="T414" s="518" t="s">
        <v>1776</v>
      </c>
      <c r="U414" s="519" t="s">
        <v>2007</v>
      </c>
      <c r="V414" s="520" t="str">
        <f>IFERROR(VLOOKUP(LANÇ_MOV[[#This Row],[PLANO DE CONTAS]],Plano_Contas[[PLANO DE CONTAS]:[R / D]],3,0),"")</f>
        <v>Despesa</v>
      </c>
      <c r="W414" s="521" t="str">
        <f>IF(LANÇ_MOV[[#This Row],[DATA DE PAGAMENTO]]&lt;&gt;"","Pago","Não Pago")</f>
        <v>Não Pago</v>
      </c>
      <c r="X414" s="522" t="str">
        <f>IFERROR(IF(LANÇ_MOV[[#This Row],[DATA DE PAGAMENTO]]="","",(UPPER(TEXT(LANÇ_MOV[[#This Row],[DATA DE PAGAMENTO]],"mmmm")))),"")</f>
        <v/>
      </c>
      <c r="Y414" s="523" t="str">
        <f>IFERROR(VLOOKUP(LANÇ_MOV[[#This Row],[PLANO DE CONTAS]],Plano_Contas[[PLANO DE CONTAS]:[NOMES INTERVALOS]],2,0),"")</f>
        <v>Despesas_Endividamentos</v>
      </c>
      <c r="Z414" s="523" t="str">
        <f>IF(LANÇ_MOV[[#This Row],[FORMA DE PAGAMENTO]]="","",VLOOKUP(LANÇ_MOV[[#This Row],[FORMA DE PAGAMENTO]],CAD_Forma_pagto[],2,0))</f>
        <v>BOLETO</v>
      </c>
      <c r="AA414" s="524" t="str">
        <f>IF(LANÇ_MOV[[#This Row],[DATA DE LANÇAMENTO]]="","",TEXT(LANÇ_MOV[[#This Row],[DATA DE LANÇAMENTO]],"AAAA"))</f>
        <v>2025</v>
      </c>
      <c r="AB414" s="524" t="str">
        <f>IF(LANÇ_MOV[[#This Row],[DATA DE LANÇAMENTO]]="","",UPPER(TEXT(LANÇ_MOV[[#This Row],[DATA DE LANÇAMENTO]],"MMMM")))</f>
        <v>OUTUBRO</v>
      </c>
      <c r="AC414" s="525" t="str">
        <f>IF(LANÇ_MOV[[#This Row],[DATA DE LANÇAMENTO]]="","",PROPER(TEXT(LANÇ_MOV[[#This Row],[DATA DE LANÇAMENTO]],"M")))</f>
        <v>10</v>
      </c>
      <c r="AD414" s="524" t="str">
        <f>IF(LANÇ_MOV[[#This Row],[DATA DE LANÇAMENTO]]="","",TEXT(LANÇ_MOV[[#This Row],[DATA DE LANÇAMENTO]],"D"))</f>
        <v>1</v>
      </c>
      <c r="AE414" s="526" t="str">
        <f>IF(LANÇ_MOV[[#This Row],[DATA DE VENCIMENTO]]="","",TEXT(LANÇ_MOV[[#This Row],[DATA DE VENCIMENTO]],"AAAA"))</f>
        <v/>
      </c>
      <c r="AF414" s="526" t="str">
        <f>IF(LANÇ_MOV[[#This Row],[DATA DE VENCIMENTO]]="","",UPPER(TEXT(LANÇ_MOV[[#This Row],[DATA DE VENCIMENTO]],"MMMM")))</f>
        <v/>
      </c>
      <c r="AG414" s="526" t="str">
        <f>IF(LANÇ_MOV[[#This Row],[DATA DE VENCIMENTO]]="","",TEXT(LANÇ_MOV[[#This Row],[DATA DE VENCIMENTO]],"M"))</f>
        <v/>
      </c>
      <c r="AH414" s="526" t="str">
        <f>IF(LANÇ_MOV[[#This Row],[DATA DE VENCIMENTO]]="","",TEXT(LANÇ_MOV[[#This Row],[DATA DE VENCIMENTO]],"D"))</f>
        <v/>
      </c>
      <c r="AI414" s="526" t="str">
        <f>IF(LANÇ_MOV[[#This Row],[DATA DE PAGAMENTO]]="","",TEXT(LANÇ_MOV[[#This Row],[DATA DE PAGAMENTO]],"AAAA"))</f>
        <v/>
      </c>
      <c r="AJ414" s="527" t="str">
        <f>IF(LANÇ_MOV[[#This Row],[DATA DE PAGAMENTO]]="","",UPPER(TEXT(LANÇ_MOV[[#This Row],[DATA DE PAGAMENTO]],"MMMM")))</f>
        <v/>
      </c>
      <c r="AK414" s="527" t="str">
        <f>IF(LANÇ_MOV[[#This Row],[DATA DE PAGAMENTO]]="","",TEXT(LANÇ_MOV[[#This Row],[DATA DE PAGAMENTO]],"M"))</f>
        <v/>
      </c>
      <c r="AL414" s="526" t="str">
        <f>IF(LANÇ_MOV[[#This Row],[DATA DE PAGAMENTO]]="","",TEXT(LANÇ_MOV[[#This Row],[DATA DE PAGAMENTO]],"D"))</f>
        <v/>
      </c>
      <c r="AM414" s="27"/>
      <c r="BB414" s="112"/>
      <c r="BC414" s="112"/>
      <c r="BD414" s="112"/>
    </row>
    <row r="415" spans="2:56" ht="30.05" customHeight="1" x14ac:dyDescent="0.35">
      <c r="B415" s="506">
        <v>45931</v>
      </c>
      <c r="C415" s="507" t="s">
        <v>1661</v>
      </c>
      <c r="D415" s="508" t="s">
        <v>1854</v>
      </c>
      <c r="E415" s="509" t="s">
        <v>1440</v>
      </c>
      <c r="F415" s="510"/>
      <c r="G415" s="507" t="s">
        <v>1977</v>
      </c>
      <c r="H415" s="511" t="s">
        <v>1978</v>
      </c>
      <c r="I415" s="512" t="s">
        <v>1760</v>
      </c>
      <c r="J415" s="510">
        <v>0</v>
      </c>
      <c r="K415" s="513">
        <v>0</v>
      </c>
      <c r="L415" s="513">
        <v>0</v>
      </c>
      <c r="M415" s="513">
        <v>0</v>
      </c>
      <c r="N415" s="514">
        <f>LANÇ_MOV[[#This Row],[VALOR BRUTO]]-LANÇ_MOV[[#This Row],[DESCONTO]]+LANÇ_MOV[[#This Row],[JUROS]]+LANÇ_MOV[[#This Row],[MULTA]]</f>
        <v>0</v>
      </c>
      <c r="O415" s="528">
        <v>43589</v>
      </c>
      <c r="P415" s="516" t="str">
        <f t="shared" ca="1" si="6"/>
        <v>Venceu</v>
      </c>
      <c r="Q415" s="528"/>
      <c r="R415" s="529" t="s">
        <v>1506</v>
      </c>
      <c r="S415" s="518"/>
      <c r="T415" s="518" t="s">
        <v>1776</v>
      </c>
      <c r="U415" s="519" t="s">
        <v>2007</v>
      </c>
      <c r="V415" s="520" t="str">
        <f>IFERROR(VLOOKUP(LANÇ_MOV[[#This Row],[PLANO DE CONTAS]],Plano_Contas[[PLANO DE CONTAS]:[R / D]],3,0),"")</f>
        <v>Despesa</v>
      </c>
      <c r="W415" s="521" t="str">
        <f>IF(LANÇ_MOV[[#This Row],[DATA DE PAGAMENTO]]&lt;&gt;"","Pago","Não Pago")</f>
        <v>Não Pago</v>
      </c>
      <c r="X415" s="522" t="str">
        <f>IFERROR(IF(LANÇ_MOV[[#This Row],[DATA DE PAGAMENTO]]="","",(UPPER(TEXT(LANÇ_MOV[[#This Row],[DATA DE PAGAMENTO]],"mmmm")))),"")</f>
        <v/>
      </c>
      <c r="Y415" s="523" t="str">
        <f>IFERROR(VLOOKUP(LANÇ_MOV[[#This Row],[PLANO DE CONTAS]],Plano_Contas[[PLANO DE CONTAS]:[NOMES INTERVALOS]],2,0),"")</f>
        <v>Despesas_Endividamentos</v>
      </c>
      <c r="Z415" s="523" t="str">
        <f>IF(LANÇ_MOV[[#This Row],[FORMA DE PAGAMENTO]]="","",VLOOKUP(LANÇ_MOV[[#This Row],[FORMA DE PAGAMENTO]],CAD_Forma_pagto[],2,0))</f>
        <v>BOLETO</v>
      </c>
      <c r="AA415" s="524" t="str">
        <f>IF(LANÇ_MOV[[#This Row],[DATA DE LANÇAMENTO]]="","",TEXT(LANÇ_MOV[[#This Row],[DATA DE LANÇAMENTO]],"AAAA"))</f>
        <v>2025</v>
      </c>
      <c r="AB415" s="524" t="str">
        <f>IF(LANÇ_MOV[[#This Row],[DATA DE LANÇAMENTO]]="","",UPPER(TEXT(LANÇ_MOV[[#This Row],[DATA DE LANÇAMENTO]],"MMMM")))</f>
        <v>OUTUBRO</v>
      </c>
      <c r="AC415" s="525" t="str">
        <f>IF(LANÇ_MOV[[#This Row],[DATA DE LANÇAMENTO]]="","",PROPER(TEXT(LANÇ_MOV[[#This Row],[DATA DE LANÇAMENTO]],"M")))</f>
        <v>10</v>
      </c>
      <c r="AD415" s="524" t="str">
        <f>IF(LANÇ_MOV[[#This Row],[DATA DE LANÇAMENTO]]="","",TEXT(LANÇ_MOV[[#This Row],[DATA DE LANÇAMENTO]],"D"))</f>
        <v>1</v>
      </c>
      <c r="AE415" s="526" t="str">
        <f>IF(LANÇ_MOV[[#This Row],[DATA DE VENCIMENTO]]="","",TEXT(LANÇ_MOV[[#This Row],[DATA DE VENCIMENTO]],"AAAA"))</f>
        <v>2019</v>
      </c>
      <c r="AF415" s="526" t="str">
        <f>IF(LANÇ_MOV[[#This Row],[DATA DE VENCIMENTO]]="","",UPPER(TEXT(LANÇ_MOV[[#This Row],[DATA DE VENCIMENTO]],"MMMM")))</f>
        <v>MAIO</v>
      </c>
      <c r="AG415" s="526" t="str">
        <f>IF(LANÇ_MOV[[#This Row],[DATA DE VENCIMENTO]]="","",TEXT(LANÇ_MOV[[#This Row],[DATA DE VENCIMENTO]],"M"))</f>
        <v>5</v>
      </c>
      <c r="AH415" s="526" t="str">
        <f>IF(LANÇ_MOV[[#This Row],[DATA DE VENCIMENTO]]="","",TEXT(LANÇ_MOV[[#This Row],[DATA DE VENCIMENTO]],"D"))</f>
        <v>4</v>
      </c>
      <c r="AI415" s="526" t="str">
        <f>IF(LANÇ_MOV[[#This Row],[DATA DE PAGAMENTO]]="","",TEXT(LANÇ_MOV[[#This Row],[DATA DE PAGAMENTO]],"AAAA"))</f>
        <v/>
      </c>
      <c r="AJ415" s="527" t="str">
        <f>IF(LANÇ_MOV[[#This Row],[DATA DE PAGAMENTO]]="","",UPPER(TEXT(LANÇ_MOV[[#This Row],[DATA DE PAGAMENTO]],"MMMM")))</f>
        <v/>
      </c>
      <c r="AK415" s="527" t="str">
        <f>IF(LANÇ_MOV[[#This Row],[DATA DE PAGAMENTO]]="","",TEXT(LANÇ_MOV[[#This Row],[DATA DE PAGAMENTO]],"M"))</f>
        <v/>
      </c>
      <c r="AL415" s="526" t="str">
        <f>IF(LANÇ_MOV[[#This Row],[DATA DE PAGAMENTO]]="","",TEXT(LANÇ_MOV[[#This Row],[DATA DE PAGAMENTO]],"D"))</f>
        <v/>
      </c>
      <c r="AM415" s="27"/>
      <c r="BB415" s="112"/>
      <c r="BC415" s="112"/>
      <c r="BD415" s="112"/>
    </row>
    <row r="416" spans="2:56" ht="30.05" customHeight="1" x14ac:dyDescent="0.35">
      <c r="B416" s="506">
        <v>45931</v>
      </c>
      <c r="C416" s="507" t="s">
        <v>1661</v>
      </c>
      <c r="D416" s="508" t="s">
        <v>1854</v>
      </c>
      <c r="E416" s="509" t="s">
        <v>1440</v>
      </c>
      <c r="F416" s="510" t="s">
        <v>1850</v>
      </c>
      <c r="G416" s="507" t="s">
        <v>1979</v>
      </c>
      <c r="H416" s="511"/>
      <c r="I416" s="512" t="s">
        <v>1769</v>
      </c>
      <c r="J416" s="510">
        <v>98746.6</v>
      </c>
      <c r="K416" s="513">
        <v>0</v>
      </c>
      <c r="L416" s="513"/>
      <c r="M416" s="513">
        <v>0</v>
      </c>
      <c r="N416" s="514">
        <f>LANÇ_MOV[[#This Row],[VALOR BRUTO]]-LANÇ_MOV[[#This Row],[DESCONTO]]+LANÇ_MOV[[#This Row],[JUROS]]+LANÇ_MOV[[#This Row],[MULTA]]</f>
        <v>98746.6</v>
      </c>
      <c r="O416" s="528">
        <v>44988</v>
      </c>
      <c r="P416" s="516" t="str">
        <f t="shared" ca="1" si="6"/>
        <v>Venceu</v>
      </c>
      <c r="Q416" s="528"/>
      <c r="R416" s="529" t="s">
        <v>1506</v>
      </c>
      <c r="S416" s="518"/>
      <c r="T416" s="518" t="s">
        <v>1776</v>
      </c>
      <c r="U416" s="519" t="s">
        <v>2007</v>
      </c>
      <c r="V416" s="520" t="str">
        <f>IFERROR(VLOOKUP(LANÇ_MOV[[#This Row],[PLANO DE CONTAS]],Plano_Contas[[PLANO DE CONTAS]:[R / D]],3,0),"")</f>
        <v>Despesa</v>
      </c>
      <c r="W416" s="521" t="str">
        <f>IF(LANÇ_MOV[[#This Row],[DATA DE PAGAMENTO]]&lt;&gt;"","Pago","Não Pago")</f>
        <v>Não Pago</v>
      </c>
      <c r="X416" s="522" t="str">
        <f>IFERROR(IF(LANÇ_MOV[[#This Row],[DATA DE PAGAMENTO]]="","",(UPPER(TEXT(LANÇ_MOV[[#This Row],[DATA DE PAGAMENTO]],"mmmm")))),"")</f>
        <v/>
      </c>
      <c r="Y416" s="523" t="str">
        <f>IFERROR(VLOOKUP(LANÇ_MOV[[#This Row],[PLANO DE CONTAS]],Plano_Contas[[PLANO DE CONTAS]:[NOMES INTERVALOS]],2,0),"")</f>
        <v>Despesas_Endividamentos</v>
      </c>
      <c r="Z416" s="523" t="str">
        <f>IF(LANÇ_MOV[[#This Row],[FORMA DE PAGAMENTO]]="","",VLOOKUP(LANÇ_MOV[[#This Row],[FORMA DE PAGAMENTO]],CAD_Forma_pagto[],2,0))</f>
        <v>BOLETO</v>
      </c>
      <c r="AA416" s="524" t="str">
        <f>IF(LANÇ_MOV[[#This Row],[DATA DE LANÇAMENTO]]="","",TEXT(LANÇ_MOV[[#This Row],[DATA DE LANÇAMENTO]],"AAAA"))</f>
        <v>2025</v>
      </c>
      <c r="AB416" s="524" t="str">
        <f>IF(LANÇ_MOV[[#This Row],[DATA DE LANÇAMENTO]]="","",UPPER(TEXT(LANÇ_MOV[[#This Row],[DATA DE LANÇAMENTO]],"MMMM")))</f>
        <v>OUTUBRO</v>
      </c>
      <c r="AC416" s="525" t="str">
        <f>IF(LANÇ_MOV[[#This Row],[DATA DE LANÇAMENTO]]="","",PROPER(TEXT(LANÇ_MOV[[#This Row],[DATA DE LANÇAMENTO]],"M")))</f>
        <v>10</v>
      </c>
      <c r="AD416" s="524" t="str">
        <f>IF(LANÇ_MOV[[#This Row],[DATA DE LANÇAMENTO]]="","",TEXT(LANÇ_MOV[[#This Row],[DATA DE LANÇAMENTO]],"D"))</f>
        <v>1</v>
      </c>
      <c r="AE416" s="526" t="str">
        <f>IF(LANÇ_MOV[[#This Row],[DATA DE VENCIMENTO]]="","",TEXT(LANÇ_MOV[[#This Row],[DATA DE VENCIMENTO]],"AAAA"))</f>
        <v>2023</v>
      </c>
      <c r="AF416" s="526" t="str">
        <f>IF(LANÇ_MOV[[#This Row],[DATA DE VENCIMENTO]]="","",UPPER(TEXT(LANÇ_MOV[[#This Row],[DATA DE VENCIMENTO]],"MMMM")))</f>
        <v>MARÇO</v>
      </c>
      <c r="AG416" s="526" t="str">
        <f>IF(LANÇ_MOV[[#This Row],[DATA DE VENCIMENTO]]="","",TEXT(LANÇ_MOV[[#This Row],[DATA DE VENCIMENTO]],"M"))</f>
        <v>3</v>
      </c>
      <c r="AH416" s="526" t="str">
        <f>IF(LANÇ_MOV[[#This Row],[DATA DE VENCIMENTO]]="","",TEXT(LANÇ_MOV[[#This Row],[DATA DE VENCIMENTO]],"D"))</f>
        <v>3</v>
      </c>
      <c r="AI416" s="526" t="str">
        <f>IF(LANÇ_MOV[[#This Row],[DATA DE PAGAMENTO]]="","",TEXT(LANÇ_MOV[[#This Row],[DATA DE PAGAMENTO]],"AAAA"))</f>
        <v/>
      </c>
      <c r="AJ416" s="527" t="str">
        <f>IF(LANÇ_MOV[[#This Row],[DATA DE PAGAMENTO]]="","",UPPER(TEXT(LANÇ_MOV[[#This Row],[DATA DE PAGAMENTO]],"MMMM")))</f>
        <v/>
      </c>
      <c r="AK416" s="527" t="str">
        <f>IF(LANÇ_MOV[[#This Row],[DATA DE PAGAMENTO]]="","",TEXT(LANÇ_MOV[[#This Row],[DATA DE PAGAMENTO]],"M"))</f>
        <v/>
      </c>
      <c r="AL416" s="526" t="str">
        <f>IF(LANÇ_MOV[[#This Row],[DATA DE PAGAMENTO]]="","",TEXT(LANÇ_MOV[[#This Row],[DATA DE PAGAMENTO]],"D"))</f>
        <v/>
      </c>
      <c r="AM416" s="27"/>
      <c r="BB416" s="112"/>
      <c r="BC416" s="112"/>
      <c r="BD416" s="112"/>
    </row>
    <row r="417" spans="2:56" ht="30.05" customHeight="1" x14ac:dyDescent="0.35">
      <c r="B417" s="506">
        <v>45931</v>
      </c>
      <c r="C417" s="507" t="s">
        <v>1661</v>
      </c>
      <c r="D417" s="508" t="s">
        <v>1854</v>
      </c>
      <c r="E417" s="509" t="s">
        <v>1440</v>
      </c>
      <c r="F417" s="510" t="s">
        <v>1850</v>
      </c>
      <c r="G417" s="507" t="s">
        <v>1980</v>
      </c>
      <c r="H417" s="511"/>
      <c r="I417" s="512" t="s">
        <v>1770</v>
      </c>
      <c r="J417" s="510">
        <v>69755.69</v>
      </c>
      <c r="K417" s="513">
        <v>0</v>
      </c>
      <c r="L417" s="513"/>
      <c r="M417" s="513">
        <v>0</v>
      </c>
      <c r="N417" s="514">
        <f>LANÇ_MOV[[#This Row],[VALOR BRUTO]]-LANÇ_MOV[[#This Row],[DESCONTO]]+LANÇ_MOV[[#This Row],[JUROS]]+LANÇ_MOV[[#This Row],[MULTA]]</f>
        <v>69755.69</v>
      </c>
      <c r="O417" s="506">
        <v>45432</v>
      </c>
      <c r="P417" s="516" t="str">
        <f t="shared" ca="1" si="6"/>
        <v>Venceu</v>
      </c>
      <c r="Q417" s="506"/>
      <c r="R417" s="529" t="s">
        <v>1506</v>
      </c>
      <c r="S417" s="518"/>
      <c r="T417" s="518" t="s">
        <v>1776</v>
      </c>
      <c r="U417" s="519" t="s">
        <v>2007</v>
      </c>
      <c r="V417" s="520" t="str">
        <f>IFERROR(VLOOKUP(LANÇ_MOV[[#This Row],[PLANO DE CONTAS]],Plano_Contas[[PLANO DE CONTAS]:[R / D]],3,0),"")</f>
        <v>Despesa</v>
      </c>
      <c r="W417" s="521" t="str">
        <f>IF(LANÇ_MOV[[#This Row],[DATA DE PAGAMENTO]]&lt;&gt;"","Pago","Não Pago")</f>
        <v>Não Pago</v>
      </c>
      <c r="X417" s="522" t="str">
        <f>IFERROR(IF(LANÇ_MOV[[#This Row],[DATA DE PAGAMENTO]]="","",(UPPER(TEXT(LANÇ_MOV[[#This Row],[DATA DE PAGAMENTO]],"mmmm")))),"")</f>
        <v/>
      </c>
      <c r="Y417" s="523" t="str">
        <f>IFERROR(VLOOKUP(LANÇ_MOV[[#This Row],[PLANO DE CONTAS]],Plano_Contas[[PLANO DE CONTAS]:[NOMES INTERVALOS]],2,0),"")</f>
        <v>Despesas_Endividamentos</v>
      </c>
      <c r="Z417" s="523" t="str">
        <f>IF(LANÇ_MOV[[#This Row],[FORMA DE PAGAMENTO]]="","",VLOOKUP(LANÇ_MOV[[#This Row],[FORMA DE PAGAMENTO]],CAD_Forma_pagto[],2,0))</f>
        <v>BOLETO</v>
      </c>
      <c r="AA417" s="524" t="str">
        <f>IF(LANÇ_MOV[[#This Row],[DATA DE LANÇAMENTO]]="","",TEXT(LANÇ_MOV[[#This Row],[DATA DE LANÇAMENTO]],"AAAA"))</f>
        <v>2025</v>
      </c>
      <c r="AB417" s="524" t="str">
        <f>IF(LANÇ_MOV[[#This Row],[DATA DE LANÇAMENTO]]="","",UPPER(TEXT(LANÇ_MOV[[#This Row],[DATA DE LANÇAMENTO]],"MMMM")))</f>
        <v>OUTUBRO</v>
      </c>
      <c r="AC417" s="525" t="str">
        <f>IF(LANÇ_MOV[[#This Row],[DATA DE LANÇAMENTO]]="","",PROPER(TEXT(LANÇ_MOV[[#This Row],[DATA DE LANÇAMENTO]],"M")))</f>
        <v>10</v>
      </c>
      <c r="AD417" s="524" t="str">
        <f>IF(LANÇ_MOV[[#This Row],[DATA DE LANÇAMENTO]]="","",TEXT(LANÇ_MOV[[#This Row],[DATA DE LANÇAMENTO]],"D"))</f>
        <v>1</v>
      </c>
      <c r="AE417" s="526" t="str">
        <f>IF(LANÇ_MOV[[#This Row],[DATA DE VENCIMENTO]]="","",TEXT(LANÇ_MOV[[#This Row],[DATA DE VENCIMENTO]],"AAAA"))</f>
        <v>2024</v>
      </c>
      <c r="AF417" s="526" t="str">
        <f>IF(LANÇ_MOV[[#This Row],[DATA DE VENCIMENTO]]="","",UPPER(TEXT(LANÇ_MOV[[#This Row],[DATA DE VENCIMENTO]],"MMMM")))</f>
        <v>MAIO</v>
      </c>
      <c r="AG417" s="526" t="str">
        <f>IF(LANÇ_MOV[[#This Row],[DATA DE VENCIMENTO]]="","",TEXT(LANÇ_MOV[[#This Row],[DATA DE VENCIMENTO]],"M"))</f>
        <v>5</v>
      </c>
      <c r="AH417" s="526" t="str">
        <f>IF(LANÇ_MOV[[#This Row],[DATA DE VENCIMENTO]]="","",TEXT(LANÇ_MOV[[#This Row],[DATA DE VENCIMENTO]],"D"))</f>
        <v>20</v>
      </c>
      <c r="AI417" s="526" t="str">
        <f>IF(LANÇ_MOV[[#This Row],[DATA DE PAGAMENTO]]="","",TEXT(LANÇ_MOV[[#This Row],[DATA DE PAGAMENTO]],"AAAA"))</f>
        <v/>
      </c>
      <c r="AJ417" s="527" t="str">
        <f>IF(LANÇ_MOV[[#This Row],[DATA DE PAGAMENTO]]="","",UPPER(TEXT(LANÇ_MOV[[#This Row],[DATA DE PAGAMENTO]],"MMMM")))</f>
        <v/>
      </c>
      <c r="AK417" s="527" t="str">
        <f>IF(LANÇ_MOV[[#This Row],[DATA DE PAGAMENTO]]="","",TEXT(LANÇ_MOV[[#This Row],[DATA DE PAGAMENTO]],"M"))</f>
        <v/>
      </c>
      <c r="AL417" s="526" t="str">
        <f>IF(LANÇ_MOV[[#This Row],[DATA DE PAGAMENTO]]="","",TEXT(LANÇ_MOV[[#This Row],[DATA DE PAGAMENTO]],"D"))</f>
        <v/>
      </c>
      <c r="AM417" s="27"/>
      <c r="BB417" s="112"/>
      <c r="BC417" s="112"/>
      <c r="BD417" s="112"/>
    </row>
    <row r="418" spans="2:56" ht="30.05" customHeight="1" x14ac:dyDescent="0.35">
      <c r="B418" s="506">
        <v>45931</v>
      </c>
      <c r="C418" s="507" t="s">
        <v>1661</v>
      </c>
      <c r="D418" s="508" t="s">
        <v>1854</v>
      </c>
      <c r="E418" s="509" t="s">
        <v>1440</v>
      </c>
      <c r="F418" s="510" t="s">
        <v>1830</v>
      </c>
      <c r="G418" s="507" t="s">
        <v>1848</v>
      </c>
      <c r="H418" s="511" t="s">
        <v>1941</v>
      </c>
      <c r="I418" s="512" t="s">
        <v>1760</v>
      </c>
      <c r="J418" s="510">
        <v>1142.0999999999999</v>
      </c>
      <c r="K418" s="513">
        <v>0</v>
      </c>
      <c r="L418" s="513"/>
      <c r="M418" s="513">
        <v>0</v>
      </c>
      <c r="N418" s="514">
        <f>LANÇ_MOV[[#This Row],[VALOR BRUTO]]-LANÇ_MOV[[#This Row],[DESCONTO]]+LANÇ_MOV[[#This Row],[JUROS]]+LANÇ_MOV[[#This Row],[MULTA]]</f>
        <v>1142.0999999999999</v>
      </c>
      <c r="O418" s="506">
        <v>45784</v>
      </c>
      <c r="P418" s="516" t="str">
        <f t="shared" ca="1" si="6"/>
        <v>Venceu</v>
      </c>
      <c r="Q418" s="506"/>
      <c r="R418" s="529" t="s">
        <v>1506</v>
      </c>
      <c r="S418" s="518"/>
      <c r="T418" s="518" t="s">
        <v>1776</v>
      </c>
      <c r="U418" s="519" t="s">
        <v>2007</v>
      </c>
      <c r="V418" s="520" t="str">
        <f>IFERROR(VLOOKUP(LANÇ_MOV[[#This Row],[PLANO DE CONTAS]],Plano_Contas[[PLANO DE CONTAS]:[R / D]],3,0),"")</f>
        <v>Despesa</v>
      </c>
      <c r="W418" s="521" t="str">
        <f>IF(LANÇ_MOV[[#This Row],[DATA DE PAGAMENTO]]&lt;&gt;"","Pago","Não Pago")</f>
        <v>Não Pago</v>
      </c>
      <c r="X418" s="522" t="str">
        <f>IFERROR(IF(LANÇ_MOV[[#This Row],[DATA DE PAGAMENTO]]="","",(UPPER(TEXT(LANÇ_MOV[[#This Row],[DATA DE PAGAMENTO]],"mmmm")))),"")</f>
        <v/>
      </c>
      <c r="Y418" s="523" t="str">
        <f>IFERROR(VLOOKUP(LANÇ_MOV[[#This Row],[PLANO DE CONTAS]],Plano_Contas[[PLANO DE CONTAS]:[NOMES INTERVALOS]],2,0),"")</f>
        <v>Despesas_Endividamentos</v>
      </c>
      <c r="Z418" s="523" t="str">
        <f>IF(LANÇ_MOV[[#This Row],[FORMA DE PAGAMENTO]]="","",VLOOKUP(LANÇ_MOV[[#This Row],[FORMA DE PAGAMENTO]],CAD_Forma_pagto[],2,0))</f>
        <v>BOLETO</v>
      </c>
      <c r="AA418" s="524" t="str">
        <f>IF(LANÇ_MOV[[#This Row],[DATA DE LANÇAMENTO]]="","",TEXT(LANÇ_MOV[[#This Row],[DATA DE LANÇAMENTO]],"AAAA"))</f>
        <v>2025</v>
      </c>
      <c r="AB418" s="524" t="str">
        <f>IF(LANÇ_MOV[[#This Row],[DATA DE LANÇAMENTO]]="","",UPPER(TEXT(LANÇ_MOV[[#This Row],[DATA DE LANÇAMENTO]],"MMMM")))</f>
        <v>OUTUBRO</v>
      </c>
      <c r="AC418" s="525" t="str">
        <f>IF(LANÇ_MOV[[#This Row],[DATA DE LANÇAMENTO]]="","",PROPER(TEXT(LANÇ_MOV[[#This Row],[DATA DE LANÇAMENTO]],"M")))</f>
        <v>10</v>
      </c>
      <c r="AD418" s="524" t="str">
        <f>IF(LANÇ_MOV[[#This Row],[DATA DE LANÇAMENTO]]="","",TEXT(LANÇ_MOV[[#This Row],[DATA DE LANÇAMENTO]],"D"))</f>
        <v>1</v>
      </c>
      <c r="AE418" s="526" t="str">
        <f>IF(LANÇ_MOV[[#This Row],[DATA DE VENCIMENTO]]="","",TEXT(LANÇ_MOV[[#This Row],[DATA DE VENCIMENTO]],"AAAA"))</f>
        <v>2025</v>
      </c>
      <c r="AF418" s="526" t="str">
        <f>IF(LANÇ_MOV[[#This Row],[DATA DE VENCIMENTO]]="","",UPPER(TEXT(LANÇ_MOV[[#This Row],[DATA DE VENCIMENTO]],"MMMM")))</f>
        <v>MAIO</v>
      </c>
      <c r="AG418" s="526" t="str">
        <f>IF(LANÇ_MOV[[#This Row],[DATA DE VENCIMENTO]]="","",TEXT(LANÇ_MOV[[#This Row],[DATA DE VENCIMENTO]],"M"))</f>
        <v>5</v>
      </c>
      <c r="AH418" s="526" t="str">
        <f>IF(LANÇ_MOV[[#This Row],[DATA DE VENCIMENTO]]="","",TEXT(LANÇ_MOV[[#This Row],[DATA DE VENCIMENTO]],"D"))</f>
        <v>7</v>
      </c>
      <c r="AI418" s="526" t="str">
        <f>IF(LANÇ_MOV[[#This Row],[DATA DE PAGAMENTO]]="","",TEXT(LANÇ_MOV[[#This Row],[DATA DE PAGAMENTO]],"AAAA"))</f>
        <v/>
      </c>
      <c r="AJ418" s="527" t="str">
        <f>IF(LANÇ_MOV[[#This Row],[DATA DE PAGAMENTO]]="","",UPPER(TEXT(LANÇ_MOV[[#This Row],[DATA DE PAGAMENTO]],"MMMM")))</f>
        <v/>
      </c>
      <c r="AK418" s="527" t="str">
        <f>IF(LANÇ_MOV[[#This Row],[DATA DE PAGAMENTO]]="","",TEXT(LANÇ_MOV[[#This Row],[DATA DE PAGAMENTO]],"M"))</f>
        <v/>
      </c>
      <c r="AL418" s="526" t="str">
        <f>IF(LANÇ_MOV[[#This Row],[DATA DE PAGAMENTO]]="","",TEXT(LANÇ_MOV[[#This Row],[DATA DE PAGAMENTO]],"D"))</f>
        <v/>
      </c>
      <c r="AM418" s="27"/>
      <c r="BB418" s="112"/>
      <c r="BC418" s="112"/>
      <c r="BD418" s="112"/>
    </row>
    <row r="419" spans="2:56" ht="30.05" customHeight="1" x14ac:dyDescent="0.35">
      <c r="B419" s="506">
        <v>45931</v>
      </c>
      <c r="C419" s="507" t="s">
        <v>1661</v>
      </c>
      <c r="D419" s="508" t="s">
        <v>1854</v>
      </c>
      <c r="E419" s="509" t="s">
        <v>1440</v>
      </c>
      <c r="F419" s="510" t="s">
        <v>1837</v>
      </c>
      <c r="G419" s="507" t="s">
        <v>1848</v>
      </c>
      <c r="H419" s="511" t="s">
        <v>1959</v>
      </c>
      <c r="I419" s="512" t="s">
        <v>1760</v>
      </c>
      <c r="J419" s="518">
        <v>4950.99</v>
      </c>
      <c r="K419" s="513">
        <v>0</v>
      </c>
      <c r="L419" s="513"/>
      <c r="M419" s="513">
        <v>0</v>
      </c>
      <c r="N419" s="514">
        <f>LANÇ_MOV[[#This Row],[VALOR BRUTO]]-LANÇ_MOV[[#This Row],[DESCONTO]]+LANÇ_MOV[[#This Row],[JUROS]]+LANÇ_MOV[[#This Row],[MULTA]]</f>
        <v>4950.99</v>
      </c>
      <c r="O419" s="528">
        <v>45784</v>
      </c>
      <c r="P419" s="516" t="str">
        <f t="shared" ca="1" si="6"/>
        <v>Venceu</v>
      </c>
      <c r="Q419" s="528"/>
      <c r="R419" s="529" t="s">
        <v>1506</v>
      </c>
      <c r="S419" s="518"/>
      <c r="T419" s="518" t="s">
        <v>1776</v>
      </c>
      <c r="U419" s="519" t="s">
        <v>2007</v>
      </c>
      <c r="V419" s="520" t="str">
        <f>IFERROR(VLOOKUP(LANÇ_MOV[[#This Row],[PLANO DE CONTAS]],Plano_Contas[[PLANO DE CONTAS]:[R / D]],3,0),"")</f>
        <v>Despesa</v>
      </c>
      <c r="W419" s="521" t="str">
        <f>IF(LANÇ_MOV[[#This Row],[DATA DE PAGAMENTO]]&lt;&gt;"","Pago","Não Pago")</f>
        <v>Não Pago</v>
      </c>
      <c r="X419" s="522" t="str">
        <f>IFERROR(IF(LANÇ_MOV[[#This Row],[DATA DE PAGAMENTO]]="","",(UPPER(TEXT(LANÇ_MOV[[#This Row],[DATA DE PAGAMENTO]],"mmmm")))),"")</f>
        <v/>
      </c>
      <c r="Y419" s="523" t="str">
        <f>IFERROR(VLOOKUP(LANÇ_MOV[[#This Row],[PLANO DE CONTAS]],Plano_Contas[[PLANO DE CONTAS]:[NOMES INTERVALOS]],2,0),"")</f>
        <v>Despesas_Endividamentos</v>
      </c>
      <c r="Z419" s="523" t="str">
        <f>IF(LANÇ_MOV[[#This Row],[FORMA DE PAGAMENTO]]="","",VLOOKUP(LANÇ_MOV[[#This Row],[FORMA DE PAGAMENTO]],CAD_Forma_pagto[],2,0))</f>
        <v>BOLETO</v>
      </c>
      <c r="AA419" s="524" t="str">
        <f>IF(LANÇ_MOV[[#This Row],[DATA DE LANÇAMENTO]]="","",TEXT(LANÇ_MOV[[#This Row],[DATA DE LANÇAMENTO]],"AAAA"))</f>
        <v>2025</v>
      </c>
      <c r="AB419" s="524" t="str">
        <f>IF(LANÇ_MOV[[#This Row],[DATA DE LANÇAMENTO]]="","",UPPER(TEXT(LANÇ_MOV[[#This Row],[DATA DE LANÇAMENTO]],"MMMM")))</f>
        <v>OUTUBRO</v>
      </c>
      <c r="AC419" s="525" t="str">
        <f>IF(LANÇ_MOV[[#This Row],[DATA DE LANÇAMENTO]]="","",PROPER(TEXT(LANÇ_MOV[[#This Row],[DATA DE LANÇAMENTO]],"M")))</f>
        <v>10</v>
      </c>
      <c r="AD419" s="524" t="str">
        <f>IF(LANÇ_MOV[[#This Row],[DATA DE LANÇAMENTO]]="","",TEXT(LANÇ_MOV[[#This Row],[DATA DE LANÇAMENTO]],"D"))</f>
        <v>1</v>
      </c>
      <c r="AE419" s="526" t="str">
        <f>IF(LANÇ_MOV[[#This Row],[DATA DE VENCIMENTO]]="","",TEXT(LANÇ_MOV[[#This Row],[DATA DE VENCIMENTO]],"AAAA"))</f>
        <v>2025</v>
      </c>
      <c r="AF419" s="526" t="str">
        <f>IF(LANÇ_MOV[[#This Row],[DATA DE VENCIMENTO]]="","",UPPER(TEXT(LANÇ_MOV[[#This Row],[DATA DE VENCIMENTO]],"MMMM")))</f>
        <v>MAIO</v>
      </c>
      <c r="AG419" s="526" t="str">
        <f>IF(LANÇ_MOV[[#This Row],[DATA DE VENCIMENTO]]="","",TEXT(LANÇ_MOV[[#This Row],[DATA DE VENCIMENTO]],"M"))</f>
        <v>5</v>
      </c>
      <c r="AH419" s="526" t="str">
        <f>IF(LANÇ_MOV[[#This Row],[DATA DE VENCIMENTO]]="","",TEXT(LANÇ_MOV[[#This Row],[DATA DE VENCIMENTO]],"D"))</f>
        <v>7</v>
      </c>
      <c r="AI419" s="526" t="str">
        <f>IF(LANÇ_MOV[[#This Row],[DATA DE PAGAMENTO]]="","",TEXT(LANÇ_MOV[[#This Row],[DATA DE PAGAMENTO]],"AAAA"))</f>
        <v/>
      </c>
      <c r="AJ419" s="527" t="str">
        <f>IF(LANÇ_MOV[[#This Row],[DATA DE PAGAMENTO]]="","",UPPER(TEXT(LANÇ_MOV[[#This Row],[DATA DE PAGAMENTO]],"MMMM")))</f>
        <v/>
      </c>
      <c r="AK419" s="527" t="str">
        <f>IF(LANÇ_MOV[[#This Row],[DATA DE PAGAMENTO]]="","",TEXT(LANÇ_MOV[[#This Row],[DATA DE PAGAMENTO]],"M"))</f>
        <v/>
      </c>
      <c r="AL419" s="526" t="str">
        <f>IF(LANÇ_MOV[[#This Row],[DATA DE PAGAMENTO]]="","",TEXT(LANÇ_MOV[[#This Row],[DATA DE PAGAMENTO]],"D"))</f>
        <v/>
      </c>
      <c r="AM419" s="27"/>
      <c r="BB419" s="112"/>
      <c r="BC419" s="112"/>
      <c r="BD419" s="112"/>
    </row>
    <row r="420" spans="2:56" ht="30.05" customHeight="1" x14ac:dyDescent="0.35">
      <c r="B420" s="506">
        <v>45931</v>
      </c>
      <c r="C420" s="507" t="s">
        <v>1661</v>
      </c>
      <c r="D420" s="508" t="s">
        <v>1854</v>
      </c>
      <c r="E420" s="509" t="s">
        <v>1440</v>
      </c>
      <c r="F420" s="510" t="s">
        <v>1845</v>
      </c>
      <c r="G420" s="507" t="s">
        <v>1848</v>
      </c>
      <c r="H420" s="511" t="s">
        <v>1933</v>
      </c>
      <c r="I420" s="512" t="s">
        <v>1760</v>
      </c>
      <c r="J420" s="510">
        <v>16073.65</v>
      </c>
      <c r="K420" s="513">
        <v>0</v>
      </c>
      <c r="L420" s="513">
        <v>0</v>
      </c>
      <c r="M420" s="513">
        <v>0</v>
      </c>
      <c r="N420" s="514">
        <f>LANÇ_MOV[[#This Row],[VALOR BRUTO]]-LANÇ_MOV[[#This Row],[DESCONTO]]+LANÇ_MOV[[#This Row],[JUROS]]+LANÇ_MOV[[#This Row],[MULTA]]</f>
        <v>16073.65</v>
      </c>
      <c r="O420" s="528">
        <v>45784</v>
      </c>
      <c r="P420" s="516" t="str">
        <f t="shared" ca="1" si="6"/>
        <v>Venceu</v>
      </c>
      <c r="Q420" s="528"/>
      <c r="R420" s="529" t="s">
        <v>1506</v>
      </c>
      <c r="S420" s="518"/>
      <c r="T420" s="518" t="s">
        <v>1776</v>
      </c>
      <c r="U420" s="519" t="s">
        <v>2007</v>
      </c>
      <c r="V420" s="520" t="str">
        <f>IFERROR(VLOOKUP(LANÇ_MOV[[#This Row],[PLANO DE CONTAS]],Plano_Contas[[PLANO DE CONTAS]:[R / D]],3,0),"")</f>
        <v>Despesa</v>
      </c>
      <c r="W420" s="521" t="str">
        <f>IF(LANÇ_MOV[[#This Row],[DATA DE PAGAMENTO]]&lt;&gt;"","Pago","Não Pago")</f>
        <v>Não Pago</v>
      </c>
      <c r="X420" s="522" t="str">
        <f>IFERROR(IF(LANÇ_MOV[[#This Row],[DATA DE PAGAMENTO]]="","",(UPPER(TEXT(LANÇ_MOV[[#This Row],[DATA DE PAGAMENTO]],"mmmm")))),"")</f>
        <v/>
      </c>
      <c r="Y420" s="523" t="str">
        <f>IFERROR(VLOOKUP(LANÇ_MOV[[#This Row],[PLANO DE CONTAS]],Plano_Contas[[PLANO DE CONTAS]:[NOMES INTERVALOS]],2,0),"")</f>
        <v>Despesas_Endividamentos</v>
      </c>
      <c r="Z420" s="523" t="str">
        <f>IF(LANÇ_MOV[[#This Row],[FORMA DE PAGAMENTO]]="","",VLOOKUP(LANÇ_MOV[[#This Row],[FORMA DE PAGAMENTO]],CAD_Forma_pagto[],2,0))</f>
        <v>BOLETO</v>
      </c>
      <c r="AA420" s="524" t="str">
        <f>IF(LANÇ_MOV[[#This Row],[DATA DE LANÇAMENTO]]="","",TEXT(LANÇ_MOV[[#This Row],[DATA DE LANÇAMENTO]],"AAAA"))</f>
        <v>2025</v>
      </c>
      <c r="AB420" s="524" t="str">
        <f>IF(LANÇ_MOV[[#This Row],[DATA DE LANÇAMENTO]]="","",UPPER(TEXT(LANÇ_MOV[[#This Row],[DATA DE LANÇAMENTO]],"MMMM")))</f>
        <v>OUTUBRO</v>
      </c>
      <c r="AC420" s="525" t="str">
        <f>IF(LANÇ_MOV[[#This Row],[DATA DE LANÇAMENTO]]="","",PROPER(TEXT(LANÇ_MOV[[#This Row],[DATA DE LANÇAMENTO]],"M")))</f>
        <v>10</v>
      </c>
      <c r="AD420" s="524" t="str">
        <f>IF(LANÇ_MOV[[#This Row],[DATA DE LANÇAMENTO]]="","",TEXT(LANÇ_MOV[[#This Row],[DATA DE LANÇAMENTO]],"D"))</f>
        <v>1</v>
      </c>
      <c r="AE420" s="526" t="str">
        <f>IF(LANÇ_MOV[[#This Row],[DATA DE VENCIMENTO]]="","",TEXT(LANÇ_MOV[[#This Row],[DATA DE VENCIMENTO]],"AAAA"))</f>
        <v>2025</v>
      </c>
      <c r="AF420" s="526" t="str">
        <f>IF(LANÇ_MOV[[#This Row],[DATA DE VENCIMENTO]]="","",UPPER(TEXT(LANÇ_MOV[[#This Row],[DATA DE VENCIMENTO]],"MMMM")))</f>
        <v>MAIO</v>
      </c>
      <c r="AG420" s="526" t="str">
        <f>IF(LANÇ_MOV[[#This Row],[DATA DE VENCIMENTO]]="","",TEXT(LANÇ_MOV[[#This Row],[DATA DE VENCIMENTO]],"M"))</f>
        <v>5</v>
      </c>
      <c r="AH420" s="526" t="str">
        <f>IF(LANÇ_MOV[[#This Row],[DATA DE VENCIMENTO]]="","",TEXT(LANÇ_MOV[[#This Row],[DATA DE VENCIMENTO]],"D"))</f>
        <v>7</v>
      </c>
      <c r="AI420" s="526" t="str">
        <f>IF(LANÇ_MOV[[#This Row],[DATA DE PAGAMENTO]]="","",TEXT(LANÇ_MOV[[#This Row],[DATA DE PAGAMENTO]],"AAAA"))</f>
        <v/>
      </c>
      <c r="AJ420" s="527" t="str">
        <f>IF(LANÇ_MOV[[#This Row],[DATA DE PAGAMENTO]]="","",UPPER(TEXT(LANÇ_MOV[[#This Row],[DATA DE PAGAMENTO]],"MMMM")))</f>
        <v/>
      </c>
      <c r="AK420" s="527" t="str">
        <f>IF(LANÇ_MOV[[#This Row],[DATA DE PAGAMENTO]]="","",TEXT(LANÇ_MOV[[#This Row],[DATA DE PAGAMENTO]],"M"))</f>
        <v/>
      </c>
      <c r="AL420" s="526" t="str">
        <f>IF(LANÇ_MOV[[#This Row],[DATA DE PAGAMENTO]]="","",TEXT(LANÇ_MOV[[#This Row],[DATA DE PAGAMENTO]],"D"))</f>
        <v/>
      </c>
      <c r="AM420" s="27"/>
      <c r="BB420" s="112"/>
      <c r="BC420" s="112"/>
      <c r="BD420" s="112"/>
    </row>
    <row r="421" spans="2:56" ht="30.05" customHeight="1" x14ac:dyDescent="0.35">
      <c r="B421" s="506">
        <v>45931</v>
      </c>
      <c r="C421" s="507" t="s">
        <v>1661</v>
      </c>
      <c r="D421" s="508" t="s">
        <v>1854</v>
      </c>
      <c r="E421" s="509" t="s">
        <v>1440</v>
      </c>
      <c r="F421" s="510" t="s">
        <v>1845</v>
      </c>
      <c r="G421" s="507" t="s">
        <v>1848</v>
      </c>
      <c r="H421" s="511" t="s">
        <v>1930</v>
      </c>
      <c r="I421" s="512" t="s">
        <v>1760</v>
      </c>
      <c r="J421" s="518">
        <v>1240.97</v>
      </c>
      <c r="K421" s="513">
        <v>0</v>
      </c>
      <c r="L421" s="513">
        <v>0</v>
      </c>
      <c r="M421" s="513">
        <v>0</v>
      </c>
      <c r="N421" s="514">
        <f>LANÇ_MOV[[#This Row],[VALOR BRUTO]]-LANÇ_MOV[[#This Row],[DESCONTO]]+LANÇ_MOV[[#This Row],[JUROS]]+LANÇ_MOV[[#This Row],[MULTA]]</f>
        <v>1240.97</v>
      </c>
      <c r="O421" s="528">
        <v>45784</v>
      </c>
      <c r="P421" s="516" t="str">
        <f t="shared" ca="1" si="6"/>
        <v>Venceu</v>
      </c>
      <c r="Q421" s="528"/>
      <c r="R421" s="529" t="s">
        <v>1506</v>
      </c>
      <c r="S421" s="518"/>
      <c r="T421" s="518" t="s">
        <v>1776</v>
      </c>
      <c r="U421" s="519" t="s">
        <v>2007</v>
      </c>
      <c r="V421" s="520" t="str">
        <f>IFERROR(VLOOKUP(LANÇ_MOV[[#This Row],[PLANO DE CONTAS]],Plano_Contas[[PLANO DE CONTAS]:[R / D]],3,0),"")</f>
        <v>Despesa</v>
      </c>
      <c r="W421" s="521" t="str">
        <f>IF(LANÇ_MOV[[#This Row],[DATA DE PAGAMENTO]]&lt;&gt;"","Pago","Não Pago")</f>
        <v>Não Pago</v>
      </c>
      <c r="X421" s="522" t="str">
        <f>IFERROR(IF(LANÇ_MOV[[#This Row],[DATA DE PAGAMENTO]]="","",(UPPER(TEXT(LANÇ_MOV[[#This Row],[DATA DE PAGAMENTO]],"mmmm")))),"")</f>
        <v/>
      </c>
      <c r="Y421" s="523" t="str">
        <f>IFERROR(VLOOKUP(LANÇ_MOV[[#This Row],[PLANO DE CONTAS]],Plano_Contas[[PLANO DE CONTAS]:[NOMES INTERVALOS]],2,0),"")</f>
        <v>Despesas_Endividamentos</v>
      </c>
      <c r="Z421" s="523" t="str">
        <f>IF(LANÇ_MOV[[#This Row],[FORMA DE PAGAMENTO]]="","",VLOOKUP(LANÇ_MOV[[#This Row],[FORMA DE PAGAMENTO]],CAD_Forma_pagto[],2,0))</f>
        <v>BOLETO</v>
      </c>
      <c r="AA421" s="524" t="str">
        <f>IF(LANÇ_MOV[[#This Row],[DATA DE LANÇAMENTO]]="","",TEXT(LANÇ_MOV[[#This Row],[DATA DE LANÇAMENTO]],"AAAA"))</f>
        <v>2025</v>
      </c>
      <c r="AB421" s="524" t="str">
        <f>IF(LANÇ_MOV[[#This Row],[DATA DE LANÇAMENTO]]="","",UPPER(TEXT(LANÇ_MOV[[#This Row],[DATA DE LANÇAMENTO]],"MMMM")))</f>
        <v>OUTUBRO</v>
      </c>
      <c r="AC421" s="525" t="str">
        <f>IF(LANÇ_MOV[[#This Row],[DATA DE LANÇAMENTO]]="","",PROPER(TEXT(LANÇ_MOV[[#This Row],[DATA DE LANÇAMENTO]],"M")))</f>
        <v>10</v>
      </c>
      <c r="AD421" s="524" t="str">
        <f>IF(LANÇ_MOV[[#This Row],[DATA DE LANÇAMENTO]]="","",TEXT(LANÇ_MOV[[#This Row],[DATA DE LANÇAMENTO]],"D"))</f>
        <v>1</v>
      </c>
      <c r="AE421" s="526" t="str">
        <f>IF(LANÇ_MOV[[#This Row],[DATA DE VENCIMENTO]]="","",TEXT(LANÇ_MOV[[#This Row],[DATA DE VENCIMENTO]],"AAAA"))</f>
        <v>2025</v>
      </c>
      <c r="AF421" s="526" t="str">
        <f>IF(LANÇ_MOV[[#This Row],[DATA DE VENCIMENTO]]="","",UPPER(TEXT(LANÇ_MOV[[#This Row],[DATA DE VENCIMENTO]],"MMMM")))</f>
        <v>MAIO</v>
      </c>
      <c r="AG421" s="526" t="str">
        <f>IF(LANÇ_MOV[[#This Row],[DATA DE VENCIMENTO]]="","",TEXT(LANÇ_MOV[[#This Row],[DATA DE VENCIMENTO]],"M"))</f>
        <v>5</v>
      </c>
      <c r="AH421" s="526" t="str">
        <f>IF(LANÇ_MOV[[#This Row],[DATA DE VENCIMENTO]]="","",TEXT(LANÇ_MOV[[#This Row],[DATA DE VENCIMENTO]],"D"))</f>
        <v>7</v>
      </c>
      <c r="AI421" s="526" t="str">
        <f>IF(LANÇ_MOV[[#This Row],[DATA DE PAGAMENTO]]="","",TEXT(LANÇ_MOV[[#This Row],[DATA DE PAGAMENTO]],"AAAA"))</f>
        <v/>
      </c>
      <c r="AJ421" s="527" t="str">
        <f>IF(LANÇ_MOV[[#This Row],[DATA DE PAGAMENTO]]="","",UPPER(TEXT(LANÇ_MOV[[#This Row],[DATA DE PAGAMENTO]],"MMMM")))</f>
        <v/>
      </c>
      <c r="AK421" s="527" t="str">
        <f>IF(LANÇ_MOV[[#This Row],[DATA DE PAGAMENTO]]="","",TEXT(LANÇ_MOV[[#This Row],[DATA DE PAGAMENTO]],"M"))</f>
        <v/>
      </c>
      <c r="AL421" s="526" t="str">
        <f>IF(LANÇ_MOV[[#This Row],[DATA DE PAGAMENTO]]="","",TEXT(LANÇ_MOV[[#This Row],[DATA DE PAGAMENTO]],"D"))</f>
        <v/>
      </c>
      <c r="AM421" s="27"/>
      <c r="BB421" s="112"/>
      <c r="BC421" s="112"/>
      <c r="BD421" s="112"/>
    </row>
    <row r="422" spans="2:56" ht="30.05" customHeight="1" x14ac:dyDescent="0.35">
      <c r="B422" s="506">
        <v>45931</v>
      </c>
      <c r="C422" s="507" t="s">
        <v>1661</v>
      </c>
      <c r="D422" s="508" t="s">
        <v>1854</v>
      </c>
      <c r="E422" s="509" t="s">
        <v>1440</v>
      </c>
      <c r="F422" s="510" t="s">
        <v>1845</v>
      </c>
      <c r="G422" s="507" t="s">
        <v>1848</v>
      </c>
      <c r="H422" s="511" t="s">
        <v>1934</v>
      </c>
      <c r="I422" s="512" t="s">
        <v>1760</v>
      </c>
      <c r="J422" s="510">
        <v>5223.87</v>
      </c>
      <c r="K422" s="513">
        <v>0</v>
      </c>
      <c r="L422" s="513"/>
      <c r="M422" s="513">
        <v>0</v>
      </c>
      <c r="N422" s="514">
        <f>LANÇ_MOV[[#This Row],[VALOR BRUTO]]-LANÇ_MOV[[#This Row],[DESCONTO]]+LANÇ_MOV[[#This Row],[JUROS]]+LANÇ_MOV[[#This Row],[MULTA]]</f>
        <v>5223.87</v>
      </c>
      <c r="O422" s="528">
        <v>45784</v>
      </c>
      <c r="P422" s="516" t="str">
        <f t="shared" ca="1" si="6"/>
        <v>Venceu</v>
      </c>
      <c r="Q422" s="528"/>
      <c r="R422" s="529" t="s">
        <v>1506</v>
      </c>
      <c r="S422" s="518"/>
      <c r="T422" s="518" t="s">
        <v>1776</v>
      </c>
      <c r="U422" s="519" t="s">
        <v>2007</v>
      </c>
      <c r="V422" s="520" t="str">
        <f>IFERROR(VLOOKUP(LANÇ_MOV[[#This Row],[PLANO DE CONTAS]],Plano_Contas[[PLANO DE CONTAS]:[R / D]],3,0),"")</f>
        <v>Despesa</v>
      </c>
      <c r="W422" s="521" t="str">
        <f>IF(LANÇ_MOV[[#This Row],[DATA DE PAGAMENTO]]&lt;&gt;"","Pago","Não Pago")</f>
        <v>Não Pago</v>
      </c>
      <c r="X422" s="522" t="str">
        <f>IFERROR(IF(LANÇ_MOV[[#This Row],[DATA DE PAGAMENTO]]="","",(UPPER(TEXT(LANÇ_MOV[[#This Row],[DATA DE PAGAMENTO]],"mmmm")))),"")</f>
        <v/>
      </c>
      <c r="Y422" s="523" t="str">
        <f>IFERROR(VLOOKUP(LANÇ_MOV[[#This Row],[PLANO DE CONTAS]],Plano_Contas[[PLANO DE CONTAS]:[NOMES INTERVALOS]],2,0),"")</f>
        <v>Despesas_Endividamentos</v>
      </c>
      <c r="Z422" s="523" t="str">
        <f>IF(LANÇ_MOV[[#This Row],[FORMA DE PAGAMENTO]]="","",VLOOKUP(LANÇ_MOV[[#This Row],[FORMA DE PAGAMENTO]],CAD_Forma_pagto[],2,0))</f>
        <v>BOLETO</v>
      </c>
      <c r="AA422" s="524" t="str">
        <f>IF(LANÇ_MOV[[#This Row],[DATA DE LANÇAMENTO]]="","",TEXT(LANÇ_MOV[[#This Row],[DATA DE LANÇAMENTO]],"AAAA"))</f>
        <v>2025</v>
      </c>
      <c r="AB422" s="524" t="str">
        <f>IF(LANÇ_MOV[[#This Row],[DATA DE LANÇAMENTO]]="","",UPPER(TEXT(LANÇ_MOV[[#This Row],[DATA DE LANÇAMENTO]],"MMMM")))</f>
        <v>OUTUBRO</v>
      </c>
      <c r="AC422" s="525" t="str">
        <f>IF(LANÇ_MOV[[#This Row],[DATA DE LANÇAMENTO]]="","",PROPER(TEXT(LANÇ_MOV[[#This Row],[DATA DE LANÇAMENTO]],"M")))</f>
        <v>10</v>
      </c>
      <c r="AD422" s="524" t="str">
        <f>IF(LANÇ_MOV[[#This Row],[DATA DE LANÇAMENTO]]="","",TEXT(LANÇ_MOV[[#This Row],[DATA DE LANÇAMENTO]],"D"))</f>
        <v>1</v>
      </c>
      <c r="AE422" s="526" t="str">
        <f>IF(LANÇ_MOV[[#This Row],[DATA DE VENCIMENTO]]="","",TEXT(LANÇ_MOV[[#This Row],[DATA DE VENCIMENTO]],"AAAA"))</f>
        <v>2025</v>
      </c>
      <c r="AF422" s="526" t="str">
        <f>IF(LANÇ_MOV[[#This Row],[DATA DE VENCIMENTO]]="","",UPPER(TEXT(LANÇ_MOV[[#This Row],[DATA DE VENCIMENTO]],"MMMM")))</f>
        <v>MAIO</v>
      </c>
      <c r="AG422" s="526" t="str">
        <f>IF(LANÇ_MOV[[#This Row],[DATA DE VENCIMENTO]]="","",TEXT(LANÇ_MOV[[#This Row],[DATA DE VENCIMENTO]],"M"))</f>
        <v>5</v>
      </c>
      <c r="AH422" s="526" t="str">
        <f>IF(LANÇ_MOV[[#This Row],[DATA DE VENCIMENTO]]="","",TEXT(LANÇ_MOV[[#This Row],[DATA DE VENCIMENTO]],"D"))</f>
        <v>7</v>
      </c>
      <c r="AI422" s="526" t="str">
        <f>IF(LANÇ_MOV[[#This Row],[DATA DE PAGAMENTO]]="","",TEXT(LANÇ_MOV[[#This Row],[DATA DE PAGAMENTO]],"AAAA"))</f>
        <v/>
      </c>
      <c r="AJ422" s="527" t="str">
        <f>IF(LANÇ_MOV[[#This Row],[DATA DE PAGAMENTO]]="","",UPPER(TEXT(LANÇ_MOV[[#This Row],[DATA DE PAGAMENTO]],"MMMM")))</f>
        <v/>
      </c>
      <c r="AK422" s="527" t="str">
        <f>IF(LANÇ_MOV[[#This Row],[DATA DE PAGAMENTO]]="","",TEXT(LANÇ_MOV[[#This Row],[DATA DE PAGAMENTO]],"M"))</f>
        <v/>
      </c>
      <c r="AL422" s="526" t="str">
        <f>IF(LANÇ_MOV[[#This Row],[DATA DE PAGAMENTO]]="","",TEXT(LANÇ_MOV[[#This Row],[DATA DE PAGAMENTO]],"D"))</f>
        <v/>
      </c>
      <c r="AM422" s="27"/>
      <c r="BB422" s="112"/>
      <c r="BC422" s="112"/>
      <c r="BD422" s="112"/>
    </row>
    <row r="423" spans="2:56" ht="30.05" customHeight="1" x14ac:dyDescent="0.35">
      <c r="B423" s="506">
        <v>45931</v>
      </c>
      <c r="C423" s="507" t="s">
        <v>1661</v>
      </c>
      <c r="D423" s="508" t="s">
        <v>1854</v>
      </c>
      <c r="E423" s="509" t="s">
        <v>1440</v>
      </c>
      <c r="F423" s="510" t="s">
        <v>1848</v>
      </c>
      <c r="G423" s="507"/>
      <c r="H423" s="511"/>
      <c r="I423" s="512"/>
      <c r="J423" s="510">
        <v>916.32</v>
      </c>
      <c r="K423" s="513">
        <v>0</v>
      </c>
      <c r="L423" s="513"/>
      <c r="M423" s="513">
        <v>0</v>
      </c>
      <c r="N423" s="514">
        <f>LANÇ_MOV[[#This Row],[VALOR BRUTO]]-LANÇ_MOV[[#This Row],[DESCONTO]]+LANÇ_MOV[[#This Row],[JUROS]]+LANÇ_MOV[[#This Row],[MULTA]]</f>
        <v>916.32</v>
      </c>
      <c r="O423" s="528">
        <v>45784</v>
      </c>
      <c r="P423" s="516" t="str">
        <f t="shared" ca="1" si="6"/>
        <v>Venceu</v>
      </c>
      <c r="Q423" s="528"/>
      <c r="R423" s="529" t="s">
        <v>1506</v>
      </c>
      <c r="S423" s="518"/>
      <c r="T423" s="518" t="s">
        <v>1776</v>
      </c>
      <c r="U423" s="519" t="s">
        <v>2007</v>
      </c>
      <c r="V423" s="520" t="str">
        <f>IFERROR(VLOOKUP(LANÇ_MOV[[#This Row],[PLANO DE CONTAS]],Plano_Contas[[PLANO DE CONTAS]:[R / D]],3,0),"")</f>
        <v>Despesa</v>
      </c>
      <c r="W423" s="521" t="str">
        <f>IF(LANÇ_MOV[[#This Row],[DATA DE PAGAMENTO]]&lt;&gt;"","Pago","Não Pago")</f>
        <v>Não Pago</v>
      </c>
      <c r="X423" s="522" t="str">
        <f>IFERROR(IF(LANÇ_MOV[[#This Row],[DATA DE PAGAMENTO]]="","",(UPPER(TEXT(LANÇ_MOV[[#This Row],[DATA DE PAGAMENTO]],"mmmm")))),"")</f>
        <v/>
      </c>
      <c r="Y423" s="523" t="str">
        <f>IFERROR(VLOOKUP(LANÇ_MOV[[#This Row],[PLANO DE CONTAS]],Plano_Contas[[PLANO DE CONTAS]:[NOMES INTERVALOS]],2,0),"")</f>
        <v>Despesas_Endividamentos</v>
      </c>
      <c r="Z423" s="523" t="str">
        <f>IF(LANÇ_MOV[[#This Row],[FORMA DE PAGAMENTO]]="","",VLOOKUP(LANÇ_MOV[[#This Row],[FORMA DE PAGAMENTO]],CAD_Forma_pagto[],2,0))</f>
        <v>BOLETO</v>
      </c>
      <c r="AA423" s="524" t="str">
        <f>IF(LANÇ_MOV[[#This Row],[DATA DE LANÇAMENTO]]="","",TEXT(LANÇ_MOV[[#This Row],[DATA DE LANÇAMENTO]],"AAAA"))</f>
        <v>2025</v>
      </c>
      <c r="AB423" s="524" t="str">
        <f>IF(LANÇ_MOV[[#This Row],[DATA DE LANÇAMENTO]]="","",UPPER(TEXT(LANÇ_MOV[[#This Row],[DATA DE LANÇAMENTO]],"MMMM")))</f>
        <v>OUTUBRO</v>
      </c>
      <c r="AC423" s="525" t="str">
        <f>IF(LANÇ_MOV[[#This Row],[DATA DE LANÇAMENTO]]="","",PROPER(TEXT(LANÇ_MOV[[#This Row],[DATA DE LANÇAMENTO]],"M")))</f>
        <v>10</v>
      </c>
      <c r="AD423" s="524" t="str">
        <f>IF(LANÇ_MOV[[#This Row],[DATA DE LANÇAMENTO]]="","",TEXT(LANÇ_MOV[[#This Row],[DATA DE LANÇAMENTO]],"D"))</f>
        <v>1</v>
      </c>
      <c r="AE423" s="526" t="str">
        <f>IF(LANÇ_MOV[[#This Row],[DATA DE VENCIMENTO]]="","",TEXT(LANÇ_MOV[[#This Row],[DATA DE VENCIMENTO]],"AAAA"))</f>
        <v>2025</v>
      </c>
      <c r="AF423" s="526" t="str">
        <f>IF(LANÇ_MOV[[#This Row],[DATA DE VENCIMENTO]]="","",UPPER(TEXT(LANÇ_MOV[[#This Row],[DATA DE VENCIMENTO]],"MMMM")))</f>
        <v>MAIO</v>
      </c>
      <c r="AG423" s="526" t="str">
        <f>IF(LANÇ_MOV[[#This Row],[DATA DE VENCIMENTO]]="","",TEXT(LANÇ_MOV[[#This Row],[DATA DE VENCIMENTO]],"M"))</f>
        <v>5</v>
      </c>
      <c r="AH423" s="526" t="str">
        <f>IF(LANÇ_MOV[[#This Row],[DATA DE VENCIMENTO]]="","",TEXT(LANÇ_MOV[[#This Row],[DATA DE VENCIMENTO]],"D"))</f>
        <v>7</v>
      </c>
      <c r="AI423" s="526" t="str">
        <f>IF(LANÇ_MOV[[#This Row],[DATA DE PAGAMENTO]]="","",TEXT(LANÇ_MOV[[#This Row],[DATA DE PAGAMENTO]],"AAAA"))</f>
        <v/>
      </c>
      <c r="AJ423" s="527" t="str">
        <f>IF(LANÇ_MOV[[#This Row],[DATA DE PAGAMENTO]]="","",UPPER(TEXT(LANÇ_MOV[[#This Row],[DATA DE PAGAMENTO]],"MMMM")))</f>
        <v/>
      </c>
      <c r="AK423" s="527" t="str">
        <f>IF(LANÇ_MOV[[#This Row],[DATA DE PAGAMENTO]]="","",TEXT(LANÇ_MOV[[#This Row],[DATA DE PAGAMENTO]],"M"))</f>
        <v/>
      </c>
      <c r="AL423" s="526" t="str">
        <f>IF(LANÇ_MOV[[#This Row],[DATA DE PAGAMENTO]]="","",TEXT(LANÇ_MOV[[#This Row],[DATA DE PAGAMENTO]],"D"))</f>
        <v/>
      </c>
      <c r="AM423" s="27"/>
      <c r="BB423" s="112"/>
      <c r="BC423" s="112"/>
      <c r="BD423" s="112"/>
    </row>
    <row r="424" spans="2:56" ht="30.05" customHeight="1" x14ac:dyDescent="0.35">
      <c r="B424" s="506">
        <v>45931</v>
      </c>
      <c r="C424" s="507" t="s">
        <v>1661</v>
      </c>
      <c r="D424" s="508" t="s">
        <v>1854</v>
      </c>
      <c r="E424" s="509" t="s">
        <v>1440</v>
      </c>
      <c r="F424" s="510" t="s">
        <v>1845</v>
      </c>
      <c r="G424" s="507" t="s">
        <v>1848</v>
      </c>
      <c r="H424" s="511" t="s">
        <v>1937</v>
      </c>
      <c r="I424" s="512" t="s">
        <v>1760</v>
      </c>
      <c r="J424" s="518">
        <v>3265.54</v>
      </c>
      <c r="K424" s="513">
        <v>0</v>
      </c>
      <c r="L424" s="513"/>
      <c r="M424" s="513">
        <v>0</v>
      </c>
      <c r="N424" s="514">
        <f>LANÇ_MOV[[#This Row],[VALOR BRUTO]]-LANÇ_MOV[[#This Row],[DESCONTO]]+LANÇ_MOV[[#This Row],[JUROS]]+LANÇ_MOV[[#This Row],[MULTA]]</f>
        <v>3265.54</v>
      </c>
      <c r="O424" s="528">
        <v>45784</v>
      </c>
      <c r="P424" s="516" t="str">
        <f t="shared" ca="1" si="6"/>
        <v>Venceu</v>
      </c>
      <c r="Q424" s="528"/>
      <c r="R424" s="529" t="s">
        <v>1506</v>
      </c>
      <c r="S424" s="518"/>
      <c r="T424" s="518" t="s">
        <v>1776</v>
      </c>
      <c r="U424" s="519" t="s">
        <v>2007</v>
      </c>
      <c r="V424" s="520" t="str">
        <f>IFERROR(VLOOKUP(LANÇ_MOV[[#This Row],[PLANO DE CONTAS]],Plano_Contas[[PLANO DE CONTAS]:[R / D]],3,0),"")</f>
        <v>Despesa</v>
      </c>
      <c r="W424" s="521" t="str">
        <f>IF(LANÇ_MOV[[#This Row],[DATA DE PAGAMENTO]]&lt;&gt;"","Pago","Não Pago")</f>
        <v>Não Pago</v>
      </c>
      <c r="X424" s="522" t="str">
        <f>IFERROR(IF(LANÇ_MOV[[#This Row],[DATA DE PAGAMENTO]]="","",(UPPER(TEXT(LANÇ_MOV[[#This Row],[DATA DE PAGAMENTO]],"mmmm")))),"")</f>
        <v/>
      </c>
      <c r="Y424" s="523" t="str">
        <f>IFERROR(VLOOKUP(LANÇ_MOV[[#This Row],[PLANO DE CONTAS]],Plano_Contas[[PLANO DE CONTAS]:[NOMES INTERVALOS]],2,0),"")</f>
        <v>Despesas_Endividamentos</v>
      </c>
      <c r="Z424" s="523" t="str">
        <f>IF(LANÇ_MOV[[#This Row],[FORMA DE PAGAMENTO]]="","",VLOOKUP(LANÇ_MOV[[#This Row],[FORMA DE PAGAMENTO]],CAD_Forma_pagto[],2,0))</f>
        <v>BOLETO</v>
      </c>
      <c r="AA424" s="524" t="str">
        <f>IF(LANÇ_MOV[[#This Row],[DATA DE LANÇAMENTO]]="","",TEXT(LANÇ_MOV[[#This Row],[DATA DE LANÇAMENTO]],"AAAA"))</f>
        <v>2025</v>
      </c>
      <c r="AB424" s="524" t="str">
        <f>IF(LANÇ_MOV[[#This Row],[DATA DE LANÇAMENTO]]="","",UPPER(TEXT(LANÇ_MOV[[#This Row],[DATA DE LANÇAMENTO]],"MMMM")))</f>
        <v>OUTUBRO</v>
      </c>
      <c r="AC424" s="525" t="str">
        <f>IF(LANÇ_MOV[[#This Row],[DATA DE LANÇAMENTO]]="","",PROPER(TEXT(LANÇ_MOV[[#This Row],[DATA DE LANÇAMENTO]],"M")))</f>
        <v>10</v>
      </c>
      <c r="AD424" s="524" t="str">
        <f>IF(LANÇ_MOV[[#This Row],[DATA DE LANÇAMENTO]]="","",TEXT(LANÇ_MOV[[#This Row],[DATA DE LANÇAMENTO]],"D"))</f>
        <v>1</v>
      </c>
      <c r="AE424" s="526" t="str">
        <f>IF(LANÇ_MOV[[#This Row],[DATA DE VENCIMENTO]]="","",TEXT(LANÇ_MOV[[#This Row],[DATA DE VENCIMENTO]],"AAAA"))</f>
        <v>2025</v>
      </c>
      <c r="AF424" s="526" t="str">
        <f>IF(LANÇ_MOV[[#This Row],[DATA DE VENCIMENTO]]="","",UPPER(TEXT(LANÇ_MOV[[#This Row],[DATA DE VENCIMENTO]],"MMMM")))</f>
        <v>MAIO</v>
      </c>
      <c r="AG424" s="526" t="str">
        <f>IF(LANÇ_MOV[[#This Row],[DATA DE VENCIMENTO]]="","",TEXT(LANÇ_MOV[[#This Row],[DATA DE VENCIMENTO]],"M"))</f>
        <v>5</v>
      </c>
      <c r="AH424" s="526" t="str">
        <f>IF(LANÇ_MOV[[#This Row],[DATA DE VENCIMENTO]]="","",TEXT(LANÇ_MOV[[#This Row],[DATA DE VENCIMENTO]],"D"))</f>
        <v>7</v>
      </c>
      <c r="AI424" s="526" t="str">
        <f>IF(LANÇ_MOV[[#This Row],[DATA DE PAGAMENTO]]="","",TEXT(LANÇ_MOV[[#This Row],[DATA DE PAGAMENTO]],"AAAA"))</f>
        <v/>
      </c>
      <c r="AJ424" s="527" t="str">
        <f>IF(LANÇ_MOV[[#This Row],[DATA DE PAGAMENTO]]="","",UPPER(TEXT(LANÇ_MOV[[#This Row],[DATA DE PAGAMENTO]],"MMMM")))</f>
        <v/>
      </c>
      <c r="AK424" s="527" t="str">
        <f>IF(LANÇ_MOV[[#This Row],[DATA DE PAGAMENTO]]="","",TEXT(LANÇ_MOV[[#This Row],[DATA DE PAGAMENTO]],"M"))</f>
        <v/>
      </c>
      <c r="AL424" s="526" t="str">
        <f>IF(LANÇ_MOV[[#This Row],[DATA DE PAGAMENTO]]="","",TEXT(LANÇ_MOV[[#This Row],[DATA DE PAGAMENTO]],"D"))</f>
        <v/>
      </c>
      <c r="AM424" s="27"/>
      <c r="BB424" s="112"/>
      <c r="BC424" s="112"/>
      <c r="BD424" s="112"/>
    </row>
    <row r="425" spans="2:56" ht="30.05" customHeight="1" x14ac:dyDescent="0.35">
      <c r="B425" s="506">
        <v>45931</v>
      </c>
      <c r="C425" s="507" t="s">
        <v>1661</v>
      </c>
      <c r="D425" s="508" t="s">
        <v>1854</v>
      </c>
      <c r="E425" s="509" t="s">
        <v>1440</v>
      </c>
      <c r="F425" s="510" t="s">
        <v>1834</v>
      </c>
      <c r="G425" s="507" t="s">
        <v>1848</v>
      </c>
      <c r="H425" s="511" t="s">
        <v>1945</v>
      </c>
      <c r="I425" s="512" t="s">
        <v>1760</v>
      </c>
      <c r="J425" s="518">
        <v>11086.6</v>
      </c>
      <c r="K425" s="513">
        <v>0</v>
      </c>
      <c r="L425" s="513"/>
      <c r="M425" s="513">
        <v>0</v>
      </c>
      <c r="N425" s="514">
        <f>LANÇ_MOV[[#This Row],[VALOR BRUTO]]-LANÇ_MOV[[#This Row],[DESCONTO]]+LANÇ_MOV[[#This Row],[JUROS]]+LANÇ_MOV[[#This Row],[MULTA]]</f>
        <v>11086.6</v>
      </c>
      <c r="O425" s="528">
        <v>45784</v>
      </c>
      <c r="P425" s="516" t="str">
        <f t="shared" ca="1" si="6"/>
        <v>Venceu</v>
      </c>
      <c r="Q425" s="528"/>
      <c r="R425" s="529" t="s">
        <v>1506</v>
      </c>
      <c r="S425" s="518"/>
      <c r="T425" s="518" t="s">
        <v>1776</v>
      </c>
      <c r="U425" s="519" t="s">
        <v>2007</v>
      </c>
      <c r="V425" s="520" t="str">
        <f>IFERROR(VLOOKUP(LANÇ_MOV[[#This Row],[PLANO DE CONTAS]],Plano_Contas[[PLANO DE CONTAS]:[R / D]],3,0),"")</f>
        <v>Despesa</v>
      </c>
      <c r="W425" s="521" t="str">
        <f>IF(LANÇ_MOV[[#This Row],[DATA DE PAGAMENTO]]&lt;&gt;"","Pago","Não Pago")</f>
        <v>Não Pago</v>
      </c>
      <c r="X425" s="522" t="str">
        <f>IFERROR(IF(LANÇ_MOV[[#This Row],[DATA DE PAGAMENTO]]="","",(UPPER(TEXT(LANÇ_MOV[[#This Row],[DATA DE PAGAMENTO]],"mmmm")))),"")</f>
        <v/>
      </c>
      <c r="Y425" s="523" t="str">
        <f>IFERROR(VLOOKUP(LANÇ_MOV[[#This Row],[PLANO DE CONTAS]],Plano_Contas[[PLANO DE CONTAS]:[NOMES INTERVALOS]],2,0),"")</f>
        <v>Despesas_Endividamentos</v>
      </c>
      <c r="Z425" s="523" t="str">
        <f>IF(LANÇ_MOV[[#This Row],[FORMA DE PAGAMENTO]]="","",VLOOKUP(LANÇ_MOV[[#This Row],[FORMA DE PAGAMENTO]],CAD_Forma_pagto[],2,0))</f>
        <v>BOLETO</v>
      </c>
      <c r="AA425" s="524" t="str">
        <f>IF(LANÇ_MOV[[#This Row],[DATA DE LANÇAMENTO]]="","",TEXT(LANÇ_MOV[[#This Row],[DATA DE LANÇAMENTO]],"AAAA"))</f>
        <v>2025</v>
      </c>
      <c r="AB425" s="524" t="str">
        <f>IF(LANÇ_MOV[[#This Row],[DATA DE LANÇAMENTO]]="","",UPPER(TEXT(LANÇ_MOV[[#This Row],[DATA DE LANÇAMENTO]],"MMMM")))</f>
        <v>OUTUBRO</v>
      </c>
      <c r="AC425" s="525" t="str">
        <f>IF(LANÇ_MOV[[#This Row],[DATA DE LANÇAMENTO]]="","",PROPER(TEXT(LANÇ_MOV[[#This Row],[DATA DE LANÇAMENTO]],"M")))</f>
        <v>10</v>
      </c>
      <c r="AD425" s="524" t="str">
        <f>IF(LANÇ_MOV[[#This Row],[DATA DE LANÇAMENTO]]="","",TEXT(LANÇ_MOV[[#This Row],[DATA DE LANÇAMENTO]],"D"))</f>
        <v>1</v>
      </c>
      <c r="AE425" s="526" t="str">
        <f>IF(LANÇ_MOV[[#This Row],[DATA DE VENCIMENTO]]="","",TEXT(LANÇ_MOV[[#This Row],[DATA DE VENCIMENTO]],"AAAA"))</f>
        <v>2025</v>
      </c>
      <c r="AF425" s="526" t="str">
        <f>IF(LANÇ_MOV[[#This Row],[DATA DE VENCIMENTO]]="","",UPPER(TEXT(LANÇ_MOV[[#This Row],[DATA DE VENCIMENTO]],"MMMM")))</f>
        <v>MAIO</v>
      </c>
      <c r="AG425" s="526" t="str">
        <f>IF(LANÇ_MOV[[#This Row],[DATA DE VENCIMENTO]]="","",TEXT(LANÇ_MOV[[#This Row],[DATA DE VENCIMENTO]],"M"))</f>
        <v>5</v>
      </c>
      <c r="AH425" s="526" t="str">
        <f>IF(LANÇ_MOV[[#This Row],[DATA DE VENCIMENTO]]="","",TEXT(LANÇ_MOV[[#This Row],[DATA DE VENCIMENTO]],"D"))</f>
        <v>7</v>
      </c>
      <c r="AI425" s="526" t="str">
        <f>IF(LANÇ_MOV[[#This Row],[DATA DE PAGAMENTO]]="","",TEXT(LANÇ_MOV[[#This Row],[DATA DE PAGAMENTO]],"AAAA"))</f>
        <v/>
      </c>
      <c r="AJ425" s="527" t="str">
        <f>IF(LANÇ_MOV[[#This Row],[DATA DE PAGAMENTO]]="","",UPPER(TEXT(LANÇ_MOV[[#This Row],[DATA DE PAGAMENTO]],"MMMM")))</f>
        <v/>
      </c>
      <c r="AK425" s="527" t="str">
        <f>IF(LANÇ_MOV[[#This Row],[DATA DE PAGAMENTO]]="","",TEXT(LANÇ_MOV[[#This Row],[DATA DE PAGAMENTO]],"M"))</f>
        <v/>
      </c>
      <c r="AL425" s="526" t="str">
        <f>IF(LANÇ_MOV[[#This Row],[DATA DE PAGAMENTO]]="","",TEXT(LANÇ_MOV[[#This Row],[DATA DE PAGAMENTO]],"D"))</f>
        <v/>
      </c>
      <c r="AM425" s="27"/>
      <c r="BB425" s="112"/>
      <c r="BC425" s="112"/>
      <c r="BD425" s="112"/>
    </row>
    <row r="426" spans="2:56" ht="30.05" customHeight="1" x14ac:dyDescent="0.35">
      <c r="B426" s="506">
        <v>45931</v>
      </c>
      <c r="C426" s="507" t="s">
        <v>1661</v>
      </c>
      <c r="D426" s="508" t="s">
        <v>1854</v>
      </c>
      <c r="E426" s="509" t="s">
        <v>1440</v>
      </c>
      <c r="F426" s="510" t="s">
        <v>1848</v>
      </c>
      <c r="G426" s="507"/>
      <c r="H426" s="511"/>
      <c r="I426" s="512"/>
      <c r="J426" s="518">
        <v>88694.55</v>
      </c>
      <c r="K426" s="513">
        <v>0</v>
      </c>
      <c r="L426" s="513"/>
      <c r="M426" s="513">
        <v>0</v>
      </c>
      <c r="N426" s="514">
        <f>LANÇ_MOV[[#This Row],[VALOR BRUTO]]-LANÇ_MOV[[#This Row],[DESCONTO]]+LANÇ_MOV[[#This Row],[JUROS]]+LANÇ_MOV[[#This Row],[MULTA]]</f>
        <v>88694.55</v>
      </c>
      <c r="O426" s="528">
        <v>45784</v>
      </c>
      <c r="P426" s="516" t="str">
        <f t="shared" ca="1" si="6"/>
        <v>Venceu</v>
      </c>
      <c r="Q426" s="528"/>
      <c r="R426" s="529" t="s">
        <v>1506</v>
      </c>
      <c r="S426" s="518"/>
      <c r="T426" s="518" t="s">
        <v>1776</v>
      </c>
      <c r="U426" s="519" t="s">
        <v>2007</v>
      </c>
      <c r="V426" s="520" t="str">
        <f>IFERROR(VLOOKUP(LANÇ_MOV[[#This Row],[PLANO DE CONTAS]],Plano_Contas[[PLANO DE CONTAS]:[R / D]],3,0),"")</f>
        <v>Despesa</v>
      </c>
      <c r="W426" s="521" t="str">
        <f>IF(LANÇ_MOV[[#This Row],[DATA DE PAGAMENTO]]&lt;&gt;"","Pago","Não Pago")</f>
        <v>Não Pago</v>
      </c>
      <c r="X426" s="522" t="str">
        <f>IFERROR(IF(LANÇ_MOV[[#This Row],[DATA DE PAGAMENTO]]="","",(UPPER(TEXT(LANÇ_MOV[[#This Row],[DATA DE PAGAMENTO]],"mmmm")))),"")</f>
        <v/>
      </c>
      <c r="Y426" s="523" t="str">
        <f>IFERROR(VLOOKUP(LANÇ_MOV[[#This Row],[PLANO DE CONTAS]],Plano_Contas[[PLANO DE CONTAS]:[NOMES INTERVALOS]],2,0),"")</f>
        <v>Despesas_Endividamentos</v>
      </c>
      <c r="Z426" s="523" t="str">
        <f>IF(LANÇ_MOV[[#This Row],[FORMA DE PAGAMENTO]]="","",VLOOKUP(LANÇ_MOV[[#This Row],[FORMA DE PAGAMENTO]],CAD_Forma_pagto[],2,0))</f>
        <v>BOLETO</v>
      </c>
      <c r="AA426" s="524" t="str">
        <f>IF(LANÇ_MOV[[#This Row],[DATA DE LANÇAMENTO]]="","",TEXT(LANÇ_MOV[[#This Row],[DATA DE LANÇAMENTO]],"AAAA"))</f>
        <v>2025</v>
      </c>
      <c r="AB426" s="524" t="str">
        <f>IF(LANÇ_MOV[[#This Row],[DATA DE LANÇAMENTO]]="","",UPPER(TEXT(LANÇ_MOV[[#This Row],[DATA DE LANÇAMENTO]],"MMMM")))</f>
        <v>OUTUBRO</v>
      </c>
      <c r="AC426" s="525" t="str">
        <f>IF(LANÇ_MOV[[#This Row],[DATA DE LANÇAMENTO]]="","",PROPER(TEXT(LANÇ_MOV[[#This Row],[DATA DE LANÇAMENTO]],"M")))</f>
        <v>10</v>
      </c>
      <c r="AD426" s="524" t="str">
        <f>IF(LANÇ_MOV[[#This Row],[DATA DE LANÇAMENTO]]="","",TEXT(LANÇ_MOV[[#This Row],[DATA DE LANÇAMENTO]],"D"))</f>
        <v>1</v>
      </c>
      <c r="AE426" s="526" t="str">
        <f>IF(LANÇ_MOV[[#This Row],[DATA DE VENCIMENTO]]="","",TEXT(LANÇ_MOV[[#This Row],[DATA DE VENCIMENTO]],"AAAA"))</f>
        <v>2025</v>
      </c>
      <c r="AF426" s="526" t="str">
        <f>IF(LANÇ_MOV[[#This Row],[DATA DE VENCIMENTO]]="","",UPPER(TEXT(LANÇ_MOV[[#This Row],[DATA DE VENCIMENTO]],"MMMM")))</f>
        <v>MAIO</v>
      </c>
      <c r="AG426" s="526" t="str">
        <f>IF(LANÇ_MOV[[#This Row],[DATA DE VENCIMENTO]]="","",TEXT(LANÇ_MOV[[#This Row],[DATA DE VENCIMENTO]],"M"))</f>
        <v>5</v>
      </c>
      <c r="AH426" s="526" t="str">
        <f>IF(LANÇ_MOV[[#This Row],[DATA DE VENCIMENTO]]="","",TEXT(LANÇ_MOV[[#This Row],[DATA DE VENCIMENTO]],"D"))</f>
        <v>7</v>
      </c>
      <c r="AI426" s="526" t="str">
        <f>IF(LANÇ_MOV[[#This Row],[DATA DE PAGAMENTO]]="","",TEXT(LANÇ_MOV[[#This Row],[DATA DE PAGAMENTO]],"AAAA"))</f>
        <v/>
      </c>
      <c r="AJ426" s="527" t="str">
        <f>IF(LANÇ_MOV[[#This Row],[DATA DE PAGAMENTO]]="","",UPPER(TEXT(LANÇ_MOV[[#This Row],[DATA DE PAGAMENTO]],"MMMM")))</f>
        <v/>
      </c>
      <c r="AK426" s="527" t="str">
        <f>IF(LANÇ_MOV[[#This Row],[DATA DE PAGAMENTO]]="","",TEXT(LANÇ_MOV[[#This Row],[DATA DE PAGAMENTO]],"M"))</f>
        <v/>
      </c>
      <c r="AL426" s="526" t="str">
        <f>IF(LANÇ_MOV[[#This Row],[DATA DE PAGAMENTO]]="","",TEXT(LANÇ_MOV[[#This Row],[DATA DE PAGAMENTO]],"D"))</f>
        <v/>
      </c>
      <c r="AM426" s="27"/>
      <c r="BB426" s="112"/>
      <c r="BC426" s="112"/>
      <c r="BD426" s="112"/>
    </row>
    <row r="427" spans="2:56" ht="30.05" customHeight="1" x14ac:dyDescent="0.35">
      <c r="B427" s="506">
        <v>45931</v>
      </c>
      <c r="C427" s="507" t="s">
        <v>1661</v>
      </c>
      <c r="D427" s="508" t="s">
        <v>1854</v>
      </c>
      <c r="E427" s="509" t="s">
        <v>1440</v>
      </c>
      <c r="F427" s="510" t="s">
        <v>1848</v>
      </c>
      <c r="G427" s="507"/>
      <c r="H427" s="511" t="s">
        <v>1929</v>
      </c>
      <c r="I427" s="512" t="s">
        <v>1760</v>
      </c>
      <c r="J427" s="518">
        <v>3009.31</v>
      </c>
      <c r="K427" s="513">
        <v>0</v>
      </c>
      <c r="L427" s="513"/>
      <c r="M427" s="513">
        <v>0</v>
      </c>
      <c r="N427" s="514">
        <f>LANÇ_MOV[[#This Row],[VALOR BRUTO]]-LANÇ_MOV[[#This Row],[DESCONTO]]+LANÇ_MOV[[#This Row],[JUROS]]+LANÇ_MOV[[#This Row],[MULTA]]</f>
        <v>3009.31</v>
      </c>
      <c r="O427" s="528">
        <v>45784</v>
      </c>
      <c r="P427" s="516" t="str">
        <f t="shared" ca="1" si="6"/>
        <v>Venceu</v>
      </c>
      <c r="Q427" s="528"/>
      <c r="R427" s="529" t="s">
        <v>1506</v>
      </c>
      <c r="S427" s="518"/>
      <c r="T427" s="518" t="s">
        <v>1776</v>
      </c>
      <c r="U427" s="519" t="s">
        <v>2007</v>
      </c>
      <c r="V427" s="520" t="str">
        <f>IFERROR(VLOOKUP(LANÇ_MOV[[#This Row],[PLANO DE CONTAS]],Plano_Contas[[PLANO DE CONTAS]:[R / D]],3,0),"")</f>
        <v>Despesa</v>
      </c>
      <c r="W427" s="521" t="str">
        <f>IF(LANÇ_MOV[[#This Row],[DATA DE PAGAMENTO]]&lt;&gt;"","Pago","Não Pago")</f>
        <v>Não Pago</v>
      </c>
      <c r="X427" s="522" t="str">
        <f>IFERROR(IF(LANÇ_MOV[[#This Row],[DATA DE PAGAMENTO]]="","",(UPPER(TEXT(LANÇ_MOV[[#This Row],[DATA DE PAGAMENTO]],"mmmm")))),"")</f>
        <v/>
      </c>
      <c r="Y427" s="523" t="str">
        <f>IFERROR(VLOOKUP(LANÇ_MOV[[#This Row],[PLANO DE CONTAS]],Plano_Contas[[PLANO DE CONTAS]:[NOMES INTERVALOS]],2,0),"")</f>
        <v>Despesas_Endividamentos</v>
      </c>
      <c r="Z427" s="523" t="str">
        <f>IF(LANÇ_MOV[[#This Row],[FORMA DE PAGAMENTO]]="","",VLOOKUP(LANÇ_MOV[[#This Row],[FORMA DE PAGAMENTO]],CAD_Forma_pagto[],2,0))</f>
        <v>BOLETO</v>
      </c>
      <c r="AA427" s="524" t="str">
        <f>IF(LANÇ_MOV[[#This Row],[DATA DE LANÇAMENTO]]="","",TEXT(LANÇ_MOV[[#This Row],[DATA DE LANÇAMENTO]],"AAAA"))</f>
        <v>2025</v>
      </c>
      <c r="AB427" s="524" t="str">
        <f>IF(LANÇ_MOV[[#This Row],[DATA DE LANÇAMENTO]]="","",UPPER(TEXT(LANÇ_MOV[[#This Row],[DATA DE LANÇAMENTO]],"MMMM")))</f>
        <v>OUTUBRO</v>
      </c>
      <c r="AC427" s="525" t="str">
        <f>IF(LANÇ_MOV[[#This Row],[DATA DE LANÇAMENTO]]="","",PROPER(TEXT(LANÇ_MOV[[#This Row],[DATA DE LANÇAMENTO]],"M")))</f>
        <v>10</v>
      </c>
      <c r="AD427" s="524" t="str">
        <f>IF(LANÇ_MOV[[#This Row],[DATA DE LANÇAMENTO]]="","",TEXT(LANÇ_MOV[[#This Row],[DATA DE LANÇAMENTO]],"D"))</f>
        <v>1</v>
      </c>
      <c r="AE427" s="526" t="str">
        <f>IF(LANÇ_MOV[[#This Row],[DATA DE VENCIMENTO]]="","",TEXT(LANÇ_MOV[[#This Row],[DATA DE VENCIMENTO]],"AAAA"))</f>
        <v>2025</v>
      </c>
      <c r="AF427" s="526" t="str">
        <f>IF(LANÇ_MOV[[#This Row],[DATA DE VENCIMENTO]]="","",UPPER(TEXT(LANÇ_MOV[[#This Row],[DATA DE VENCIMENTO]],"MMMM")))</f>
        <v>MAIO</v>
      </c>
      <c r="AG427" s="526" t="str">
        <f>IF(LANÇ_MOV[[#This Row],[DATA DE VENCIMENTO]]="","",TEXT(LANÇ_MOV[[#This Row],[DATA DE VENCIMENTO]],"M"))</f>
        <v>5</v>
      </c>
      <c r="AH427" s="526" t="str">
        <f>IF(LANÇ_MOV[[#This Row],[DATA DE VENCIMENTO]]="","",TEXT(LANÇ_MOV[[#This Row],[DATA DE VENCIMENTO]],"D"))</f>
        <v>7</v>
      </c>
      <c r="AI427" s="526" t="str">
        <f>IF(LANÇ_MOV[[#This Row],[DATA DE PAGAMENTO]]="","",TEXT(LANÇ_MOV[[#This Row],[DATA DE PAGAMENTO]],"AAAA"))</f>
        <v/>
      </c>
      <c r="AJ427" s="527" t="str">
        <f>IF(LANÇ_MOV[[#This Row],[DATA DE PAGAMENTO]]="","",UPPER(TEXT(LANÇ_MOV[[#This Row],[DATA DE PAGAMENTO]],"MMMM")))</f>
        <v/>
      </c>
      <c r="AK427" s="527" t="str">
        <f>IF(LANÇ_MOV[[#This Row],[DATA DE PAGAMENTO]]="","",TEXT(LANÇ_MOV[[#This Row],[DATA DE PAGAMENTO]],"M"))</f>
        <v/>
      </c>
      <c r="AL427" s="526" t="str">
        <f>IF(LANÇ_MOV[[#This Row],[DATA DE PAGAMENTO]]="","",TEXT(LANÇ_MOV[[#This Row],[DATA DE PAGAMENTO]],"D"))</f>
        <v/>
      </c>
      <c r="AM427" s="27"/>
      <c r="BB427" s="112"/>
      <c r="BC427" s="112"/>
      <c r="BD427" s="112"/>
    </row>
    <row r="428" spans="2:56" ht="30.05" customHeight="1" x14ac:dyDescent="0.35">
      <c r="B428" s="506">
        <v>45931</v>
      </c>
      <c r="C428" s="507" t="s">
        <v>1661</v>
      </c>
      <c r="D428" s="508" t="s">
        <v>1854</v>
      </c>
      <c r="E428" s="509" t="s">
        <v>1440</v>
      </c>
      <c r="F428" s="510" t="s">
        <v>1848</v>
      </c>
      <c r="G428" s="507"/>
      <c r="H428" s="511" t="s">
        <v>1951</v>
      </c>
      <c r="I428" s="512" t="s">
        <v>1760</v>
      </c>
      <c r="J428" s="510">
        <v>66015.03</v>
      </c>
      <c r="K428" s="513">
        <v>0</v>
      </c>
      <c r="L428" s="513">
        <v>0</v>
      </c>
      <c r="M428" s="513">
        <v>0</v>
      </c>
      <c r="N428" s="514">
        <f>LANÇ_MOV[[#This Row],[VALOR BRUTO]]-LANÇ_MOV[[#This Row],[DESCONTO]]+LANÇ_MOV[[#This Row],[JUROS]]+LANÇ_MOV[[#This Row],[MULTA]]</f>
        <v>66015.03</v>
      </c>
      <c r="O428" s="528">
        <v>45784</v>
      </c>
      <c r="P428" s="516" t="str">
        <f t="shared" ca="1" si="6"/>
        <v>Venceu</v>
      </c>
      <c r="Q428" s="528"/>
      <c r="R428" s="529" t="s">
        <v>1506</v>
      </c>
      <c r="S428" s="518"/>
      <c r="T428" s="518" t="s">
        <v>1776</v>
      </c>
      <c r="U428" s="519" t="s">
        <v>2007</v>
      </c>
      <c r="V428" s="520" t="str">
        <f>IFERROR(VLOOKUP(LANÇ_MOV[[#This Row],[PLANO DE CONTAS]],Plano_Contas[[PLANO DE CONTAS]:[R / D]],3,0),"")</f>
        <v>Despesa</v>
      </c>
      <c r="W428" s="521" t="str">
        <f>IF(LANÇ_MOV[[#This Row],[DATA DE PAGAMENTO]]&lt;&gt;"","Pago","Não Pago")</f>
        <v>Não Pago</v>
      </c>
      <c r="X428" s="522" t="str">
        <f>IFERROR(IF(LANÇ_MOV[[#This Row],[DATA DE PAGAMENTO]]="","",(UPPER(TEXT(LANÇ_MOV[[#This Row],[DATA DE PAGAMENTO]],"mmmm")))),"")</f>
        <v/>
      </c>
      <c r="Y428" s="523" t="str">
        <f>IFERROR(VLOOKUP(LANÇ_MOV[[#This Row],[PLANO DE CONTAS]],Plano_Contas[[PLANO DE CONTAS]:[NOMES INTERVALOS]],2,0),"")</f>
        <v>Despesas_Endividamentos</v>
      </c>
      <c r="Z428" s="523" t="str">
        <f>IF(LANÇ_MOV[[#This Row],[FORMA DE PAGAMENTO]]="","",VLOOKUP(LANÇ_MOV[[#This Row],[FORMA DE PAGAMENTO]],CAD_Forma_pagto[],2,0))</f>
        <v>BOLETO</v>
      </c>
      <c r="AA428" s="524" t="str">
        <f>IF(LANÇ_MOV[[#This Row],[DATA DE LANÇAMENTO]]="","",TEXT(LANÇ_MOV[[#This Row],[DATA DE LANÇAMENTO]],"AAAA"))</f>
        <v>2025</v>
      </c>
      <c r="AB428" s="524" t="str">
        <f>IF(LANÇ_MOV[[#This Row],[DATA DE LANÇAMENTO]]="","",UPPER(TEXT(LANÇ_MOV[[#This Row],[DATA DE LANÇAMENTO]],"MMMM")))</f>
        <v>OUTUBRO</v>
      </c>
      <c r="AC428" s="525" t="str">
        <f>IF(LANÇ_MOV[[#This Row],[DATA DE LANÇAMENTO]]="","",PROPER(TEXT(LANÇ_MOV[[#This Row],[DATA DE LANÇAMENTO]],"M")))</f>
        <v>10</v>
      </c>
      <c r="AD428" s="524" t="str">
        <f>IF(LANÇ_MOV[[#This Row],[DATA DE LANÇAMENTO]]="","",TEXT(LANÇ_MOV[[#This Row],[DATA DE LANÇAMENTO]],"D"))</f>
        <v>1</v>
      </c>
      <c r="AE428" s="526" t="str">
        <f>IF(LANÇ_MOV[[#This Row],[DATA DE VENCIMENTO]]="","",TEXT(LANÇ_MOV[[#This Row],[DATA DE VENCIMENTO]],"AAAA"))</f>
        <v>2025</v>
      </c>
      <c r="AF428" s="526" t="str">
        <f>IF(LANÇ_MOV[[#This Row],[DATA DE VENCIMENTO]]="","",UPPER(TEXT(LANÇ_MOV[[#This Row],[DATA DE VENCIMENTO]],"MMMM")))</f>
        <v>MAIO</v>
      </c>
      <c r="AG428" s="526" t="str">
        <f>IF(LANÇ_MOV[[#This Row],[DATA DE VENCIMENTO]]="","",TEXT(LANÇ_MOV[[#This Row],[DATA DE VENCIMENTO]],"M"))</f>
        <v>5</v>
      </c>
      <c r="AH428" s="526" t="str">
        <f>IF(LANÇ_MOV[[#This Row],[DATA DE VENCIMENTO]]="","",TEXT(LANÇ_MOV[[#This Row],[DATA DE VENCIMENTO]],"D"))</f>
        <v>7</v>
      </c>
      <c r="AI428" s="526" t="str">
        <f>IF(LANÇ_MOV[[#This Row],[DATA DE PAGAMENTO]]="","",TEXT(LANÇ_MOV[[#This Row],[DATA DE PAGAMENTO]],"AAAA"))</f>
        <v/>
      </c>
      <c r="AJ428" s="527" t="str">
        <f>IF(LANÇ_MOV[[#This Row],[DATA DE PAGAMENTO]]="","",UPPER(TEXT(LANÇ_MOV[[#This Row],[DATA DE PAGAMENTO]],"MMMM")))</f>
        <v/>
      </c>
      <c r="AK428" s="527" t="str">
        <f>IF(LANÇ_MOV[[#This Row],[DATA DE PAGAMENTO]]="","",TEXT(LANÇ_MOV[[#This Row],[DATA DE PAGAMENTO]],"M"))</f>
        <v/>
      </c>
      <c r="AL428" s="526" t="str">
        <f>IF(LANÇ_MOV[[#This Row],[DATA DE PAGAMENTO]]="","",TEXT(LANÇ_MOV[[#This Row],[DATA DE PAGAMENTO]],"D"))</f>
        <v/>
      </c>
      <c r="AM428" s="27"/>
      <c r="BB428" s="112"/>
      <c r="BC428" s="112"/>
      <c r="BD428" s="112"/>
    </row>
    <row r="429" spans="2:56" ht="30.05" customHeight="1" x14ac:dyDescent="0.35">
      <c r="B429" s="506">
        <v>45931</v>
      </c>
      <c r="C429" s="507" t="s">
        <v>1661</v>
      </c>
      <c r="D429" s="508" t="s">
        <v>1854</v>
      </c>
      <c r="E429" s="509" t="s">
        <v>1440</v>
      </c>
      <c r="F429" s="510" t="s">
        <v>1848</v>
      </c>
      <c r="G429" s="507"/>
      <c r="H429" s="511"/>
      <c r="I429" s="512"/>
      <c r="J429" s="510">
        <v>7640.73</v>
      </c>
      <c r="K429" s="513">
        <v>0</v>
      </c>
      <c r="L429" s="513"/>
      <c r="M429" s="513">
        <v>0</v>
      </c>
      <c r="N429" s="514">
        <f>LANÇ_MOV[[#This Row],[VALOR BRUTO]]-LANÇ_MOV[[#This Row],[DESCONTO]]+LANÇ_MOV[[#This Row],[JUROS]]+LANÇ_MOV[[#This Row],[MULTA]]</f>
        <v>7640.73</v>
      </c>
      <c r="O429" s="528">
        <v>45784</v>
      </c>
      <c r="P429" s="516" t="str">
        <f t="shared" ca="1" si="6"/>
        <v>Venceu</v>
      </c>
      <c r="Q429" s="528"/>
      <c r="R429" s="529" t="s">
        <v>1506</v>
      </c>
      <c r="S429" s="518"/>
      <c r="T429" s="518" t="s">
        <v>1776</v>
      </c>
      <c r="U429" s="519" t="s">
        <v>2007</v>
      </c>
      <c r="V429" s="520" t="str">
        <f>IFERROR(VLOOKUP(LANÇ_MOV[[#This Row],[PLANO DE CONTAS]],Plano_Contas[[PLANO DE CONTAS]:[R / D]],3,0),"")</f>
        <v>Despesa</v>
      </c>
      <c r="W429" s="521" t="str">
        <f>IF(LANÇ_MOV[[#This Row],[DATA DE PAGAMENTO]]&lt;&gt;"","Pago","Não Pago")</f>
        <v>Não Pago</v>
      </c>
      <c r="X429" s="522" t="str">
        <f>IFERROR(IF(LANÇ_MOV[[#This Row],[DATA DE PAGAMENTO]]="","",(UPPER(TEXT(LANÇ_MOV[[#This Row],[DATA DE PAGAMENTO]],"mmmm")))),"")</f>
        <v/>
      </c>
      <c r="Y429" s="523" t="str">
        <f>IFERROR(VLOOKUP(LANÇ_MOV[[#This Row],[PLANO DE CONTAS]],Plano_Contas[[PLANO DE CONTAS]:[NOMES INTERVALOS]],2,0),"")</f>
        <v>Despesas_Endividamentos</v>
      </c>
      <c r="Z429" s="523" t="str">
        <f>IF(LANÇ_MOV[[#This Row],[FORMA DE PAGAMENTO]]="","",VLOOKUP(LANÇ_MOV[[#This Row],[FORMA DE PAGAMENTO]],CAD_Forma_pagto[],2,0))</f>
        <v>BOLETO</v>
      </c>
      <c r="AA429" s="524" t="str">
        <f>IF(LANÇ_MOV[[#This Row],[DATA DE LANÇAMENTO]]="","",TEXT(LANÇ_MOV[[#This Row],[DATA DE LANÇAMENTO]],"AAAA"))</f>
        <v>2025</v>
      </c>
      <c r="AB429" s="524" t="str">
        <f>IF(LANÇ_MOV[[#This Row],[DATA DE LANÇAMENTO]]="","",UPPER(TEXT(LANÇ_MOV[[#This Row],[DATA DE LANÇAMENTO]],"MMMM")))</f>
        <v>OUTUBRO</v>
      </c>
      <c r="AC429" s="525" t="str">
        <f>IF(LANÇ_MOV[[#This Row],[DATA DE LANÇAMENTO]]="","",PROPER(TEXT(LANÇ_MOV[[#This Row],[DATA DE LANÇAMENTO]],"M")))</f>
        <v>10</v>
      </c>
      <c r="AD429" s="524" t="str">
        <f>IF(LANÇ_MOV[[#This Row],[DATA DE LANÇAMENTO]]="","",TEXT(LANÇ_MOV[[#This Row],[DATA DE LANÇAMENTO]],"D"))</f>
        <v>1</v>
      </c>
      <c r="AE429" s="526" t="str">
        <f>IF(LANÇ_MOV[[#This Row],[DATA DE VENCIMENTO]]="","",TEXT(LANÇ_MOV[[#This Row],[DATA DE VENCIMENTO]],"AAAA"))</f>
        <v>2025</v>
      </c>
      <c r="AF429" s="526" t="str">
        <f>IF(LANÇ_MOV[[#This Row],[DATA DE VENCIMENTO]]="","",UPPER(TEXT(LANÇ_MOV[[#This Row],[DATA DE VENCIMENTO]],"MMMM")))</f>
        <v>MAIO</v>
      </c>
      <c r="AG429" s="526" t="str">
        <f>IF(LANÇ_MOV[[#This Row],[DATA DE VENCIMENTO]]="","",TEXT(LANÇ_MOV[[#This Row],[DATA DE VENCIMENTO]],"M"))</f>
        <v>5</v>
      </c>
      <c r="AH429" s="526" t="str">
        <f>IF(LANÇ_MOV[[#This Row],[DATA DE VENCIMENTO]]="","",TEXT(LANÇ_MOV[[#This Row],[DATA DE VENCIMENTO]],"D"))</f>
        <v>7</v>
      </c>
      <c r="AI429" s="526" t="str">
        <f>IF(LANÇ_MOV[[#This Row],[DATA DE PAGAMENTO]]="","",TEXT(LANÇ_MOV[[#This Row],[DATA DE PAGAMENTO]],"AAAA"))</f>
        <v/>
      </c>
      <c r="AJ429" s="527" t="str">
        <f>IF(LANÇ_MOV[[#This Row],[DATA DE PAGAMENTO]]="","",UPPER(TEXT(LANÇ_MOV[[#This Row],[DATA DE PAGAMENTO]],"MMMM")))</f>
        <v/>
      </c>
      <c r="AK429" s="527" t="str">
        <f>IF(LANÇ_MOV[[#This Row],[DATA DE PAGAMENTO]]="","",TEXT(LANÇ_MOV[[#This Row],[DATA DE PAGAMENTO]],"M"))</f>
        <v/>
      </c>
      <c r="AL429" s="526" t="str">
        <f>IF(LANÇ_MOV[[#This Row],[DATA DE PAGAMENTO]]="","",TEXT(LANÇ_MOV[[#This Row],[DATA DE PAGAMENTO]],"D"))</f>
        <v/>
      </c>
      <c r="AM429" s="27"/>
      <c r="BB429" s="112"/>
      <c r="BC429" s="112"/>
      <c r="BD429" s="112"/>
    </row>
    <row r="430" spans="2:56" ht="30.05" customHeight="1" x14ac:dyDescent="0.35">
      <c r="B430" s="506">
        <v>45931</v>
      </c>
      <c r="C430" s="507" t="s">
        <v>1661</v>
      </c>
      <c r="D430" s="508" t="s">
        <v>1854</v>
      </c>
      <c r="E430" s="509" t="s">
        <v>1440</v>
      </c>
      <c r="F430" s="510" t="s">
        <v>1848</v>
      </c>
      <c r="G430" s="507"/>
      <c r="H430" s="511"/>
      <c r="I430" s="512"/>
      <c r="J430" s="510">
        <v>75724.73</v>
      </c>
      <c r="K430" s="513">
        <v>0</v>
      </c>
      <c r="L430" s="513"/>
      <c r="M430" s="513">
        <v>0</v>
      </c>
      <c r="N430" s="514">
        <f>LANÇ_MOV[[#This Row],[VALOR BRUTO]]-LANÇ_MOV[[#This Row],[DESCONTO]]+LANÇ_MOV[[#This Row],[JUROS]]+LANÇ_MOV[[#This Row],[MULTA]]</f>
        <v>75724.73</v>
      </c>
      <c r="O430" s="528">
        <v>45261</v>
      </c>
      <c r="P430" s="516" t="str">
        <f t="shared" ca="1" si="6"/>
        <v>Venceu</v>
      </c>
      <c r="Q430" s="528"/>
      <c r="R430" s="529" t="s">
        <v>1506</v>
      </c>
      <c r="S430" s="518"/>
      <c r="T430" s="518" t="s">
        <v>1776</v>
      </c>
      <c r="U430" s="519" t="s">
        <v>2007</v>
      </c>
      <c r="V430" s="520" t="str">
        <f>IFERROR(VLOOKUP(LANÇ_MOV[[#This Row],[PLANO DE CONTAS]],Plano_Contas[[PLANO DE CONTAS]:[R / D]],3,0),"")</f>
        <v>Despesa</v>
      </c>
      <c r="W430" s="521" t="str">
        <f>IF(LANÇ_MOV[[#This Row],[DATA DE PAGAMENTO]]&lt;&gt;"","Pago","Não Pago")</f>
        <v>Não Pago</v>
      </c>
      <c r="X430" s="522" t="str">
        <f>IFERROR(IF(LANÇ_MOV[[#This Row],[DATA DE PAGAMENTO]]="","",(UPPER(TEXT(LANÇ_MOV[[#This Row],[DATA DE PAGAMENTO]],"mmmm")))),"")</f>
        <v/>
      </c>
      <c r="Y430" s="523" t="str">
        <f>IFERROR(VLOOKUP(LANÇ_MOV[[#This Row],[PLANO DE CONTAS]],Plano_Contas[[PLANO DE CONTAS]:[NOMES INTERVALOS]],2,0),"")</f>
        <v>Despesas_Endividamentos</v>
      </c>
      <c r="Z430" s="523" t="str">
        <f>IF(LANÇ_MOV[[#This Row],[FORMA DE PAGAMENTO]]="","",VLOOKUP(LANÇ_MOV[[#This Row],[FORMA DE PAGAMENTO]],CAD_Forma_pagto[],2,0))</f>
        <v>BOLETO</v>
      </c>
      <c r="AA430" s="524" t="str">
        <f>IF(LANÇ_MOV[[#This Row],[DATA DE LANÇAMENTO]]="","",TEXT(LANÇ_MOV[[#This Row],[DATA DE LANÇAMENTO]],"AAAA"))</f>
        <v>2025</v>
      </c>
      <c r="AB430" s="524" t="str">
        <f>IF(LANÇ_MOV[[#This Row],[DATA DE LANÇAMENTO]]="","",UPPER(TEXT(LANÇ_MOV[[#This Row],[DATA DE LANÇAMENTO]],"MMMM")))</f>
        <v>OUTUBRO</v>
      </c>
      <c r="AC430" s="525" t="str">
        <f>IF(LANÇ_MOV[[#This Row],[DATA DE LANÇAMENTO]]="","",PROPER(TEXT(LANÇ_MOV[[#This Row],[DATA DE LANÇAMENTO]],"M")))</f>
        <v>10</v>
      </c>
      <c r="AD430" s="524" t="str">
        <f>IF(LANÇ_MOV[[#This Row],[DATA DE LANÇAMENTO]]="","",TEXT(LANÇ_MOV[[#This Row],[DATA DE LANÇAMENTO]],"D"))</f>
        <v>1</v>
      </c>
      <c r="AE430" s="526" t="str">
        <f>IF(LANÇ_MOV[[#This Row],[DATA DE VENCIMENTO]]="","",TEXT(LANÇ_MOV[[#This Row],[DATA DE VENCIMENTO]],"AAAA"))</f>
        <v>2023</v>
      </c>
      <c r="AF430" s="526" t="str">
        <f>IF(LANÇ_MOV[[#This Row],[DATA DE VENCIMENTO]]="","",UPPER(TEXT(LANÇ_MOV[[#This Row],[DATA DE VENCIMENTO]],"MMMM")))</f>
        <v>DEZEMBRO</v>
      </c>
      <c r="AG430" s="526" t="str">
        <f>IF(LANÇ_MOV[[#This Row],[DATA DE VENCIMENTO]]="","",TEXT(LANÇ_MOV[[#This Row],[DATA DE VENCIMENTO]],"M"))</f>
        <v>12</v>
      </c>
      <c r="AH430" s="526" t="str">
        <f>IF(LANÇ_MOV[[#This Row],[DATA DE VENCIMENTO]]="","",TEXT(LANÇ_MOV[[#This Row],[DATA DE VENCIMENTO]],"D"))</f>
        <v>1</v>
      </c>
      <c r="AI430" s="526" t="str">
        <f>IF(LANÇ_MOV[[#This Row],[DATA DE PAGAMENTO]]="","",TEXT(LANÇ_MOV[[#This Row],[DATA DE PAGAMENTO]],"AAAA"))</f>
        <v/>
      </c>
      <c r="AJ430" s="527" t="str">
        <f>IF(LANÇ_MOV[[#This Row],[DATA DE PAGAMENTO]]="","",UPPER(TEXT(LANÇ_MOV[[#This Row],[DATA DE PAGAMENTO]],"MMMM")))</f>
        <v/>
      </c>
      <c r="AK430" s="527" t="str">
        <f>IF(LANÇ_MOV[[#This Row],[DATA DE PAGAMENTO]]="","",TEXT(LANÇ_MOV[[#This Row],[DATA DE PAGAMENTO]],"M"))</f>
        <v/>
      </c>
      <c r="AL430" s="526" t="str">
        <f>IF(LANÇ_MOV[[#This Row],[DATA DE PAGAMENTO]]="","",TEXT(LANÇ_MOV[[#This Row],[DATA DE PAGAMENTO]],"D"))</f>
        <v/>
      </c>
      <c r="AM430" s="27"/>
      <c r="BB430" s="112"/>
      <c r="BC430" s="112"/>
      <c r="BD430" s="112"/>
    </row>
    <row r="431" spans="2:56" ht="30.05" customHeight="1" x14ac:dyDescent="0.35">
      <c r="B431" s="506">
        <v>45931</v>
      </c>
      <c r="C431" s="507" t="s">
        <v>1661</v>
      </c>
      <c r="D431" s="508" t="s">
        <v>1854</v>
      </c>
      <c r="E431" s="509" t="s">
        <v>1440</v>
      </c>
      <c r="F431" s="510" t="s">
        <v>1848</v>
      </c>
      <c r="G431" s="507"/>
      <c r="H431" s="511"/>
      <c r="I431" s="512"/>
      <c r="J431" s="518">
        <v>1244.73</v>
      </c>
      <c r="K431" s="513">
        <v>0</v>
      </c>
      <c r="L431" s="513"/>
      <c r="M431" s="513">
        <v>0</v>
      </c>
      <c r="N431" s="514">
        <f>LANÇ_MOV[[#This Row],[VALOR BRUTO]]-LANÇ_MOV[[#This Row],[DESCONTO]]+LANÇ_MOV[[#This Row],[JUROS]]+LANÇ_MOV[[#This Row],[MULTA]]</f>
        <v>1244.73</v>
      </c>
      <c r="O431" s="528">
        <v>45261</v>
      </c>
      <c r="P431" s="516" t="str">
        <f t="shared" ca="1" si="6"/>
        <v>Venceu</v>
      </c>
      <c r="Q431" s="528"/>
      <c r="R431" s="529" t="s">
        <v>1506</v>
      </c>
      <c r="S431" s="518"/>
      <c r="T431" s="518" t="s">
        <v>1776</v>
      </c>
      <c r="U431" s="519" t="s">
        <v>2007</v>
      </c>
      <c r="V431" s="520" t="str">
        <f>IFERROR(VLOOKUP(LANÇ_MOV[[#This Row],[PLANO DE CONTAS]],Plano_Contas[[PLANO DE CONTAS]:[R / D]],3,0),"")</f>
        <v>Despesa</v>
      </c>
      <c r="W431" s="521" t="str">
        <f>IF(LANÇ_MOV[[#This Row],[DATA DE PAGAMENTO]]&lt;&gt;"","Pago","Não Pago")</f>
        <v>Não Pago</v>
      </c>
      <c r="X431" s="522" t="str">
        <f>IFERROR(IF(LANÇ_MOV[[#This Row],[DATA DE PAGAMENTO]]="","",(UPPER(TEXT(LANÇ_MOV[[#This Row],[DATA DE PAGAMENTO]],"mmmm")))),"")</f>
        <v/>
      </c>
      <c r="Y431" s="523" t="str">
        <f>IFERROR(VLOOKUP(LANÇ_MOV[[#This Row],[PLANO DE CONTAS]],Plano_Contas[[PLANO DE CONTAS]:[NOMES INTERVALOS]],2,0),"")</f>
        <v>Despesas_Endividamentos</v>
      </c>
      <c r="Z431" s="523" t="str">
        <f>IF(LANÇ_MOV[[#This Row],[FORMA DE PAGAMENTO]]="","",VLOOKUP(LANÇ_MOV[[#This Row],[FORMA DE PAGAMENTO]],CAD_Forma_pagto[],2,0))</f>
        <v>BOLETO</v>
      </c>
      <c r="AA431" s="524" t="str">
        <f>IF(LANÇ_MOV[[#This Row],[DATA DE LANÇAMENTO]]="","",TEXT(LANÇ_MOV[[#This Row],[DATA DE LANÇAMENTO]],"AAAA"))</f>
        <v>2025</v>
      </c>
      <c r="AB431" s="524" t="str">
        <f>IF(LANÇ_MOV[[#This Row],[DATA DE LANÇAMENTO]]="","",UPPER(TEXT(LANÇ_MOV[[#This Row],[DATA DE LANÇAMENTO]],"MMMM")))</f>
        <v>OUTUBRO</v>
      </c>
      <c r="AC431" s="525" t="str">
        <f>IF(LANÇ_MOV[[#This Row],[DATA DE LANÇAMENTO]]="","",PROPER(TEXT(LANÇ_MOV[[#This Row],[DATA DE LANÇAMENTO]],"M")))</f>
        <v>10</v>
      </c>
      <c r="AD431" s="524" t="str">
        <f>IF(LANÇ_MOV[[#This Row],[DATA DE LANÇAMENTO]]="","",TEXT(LANÇ_MOV[[#This Row],[DATA DE LANÇAMENTO]],"D"))</f>
        <v>1</v>
      </c>
      <c r="AE431" s="526" t="str">
        <f>IF(LANÇ_MOV[[#This Row],[DATA DE VENCIMENTO]]="","",TEXT(LANÇ_MOV[[#This Row],[DATA DE VENCIMENTO]],"AAAA"))</f>
        <v>2023</v>
      </c>
      <c r="AF431" s="526" t="str">
        <f>IF(LANÇ_MOV[[#This Row],[DATA DE VENCIMENTO]]="","",UPPER(TEXT(LANÇ_MOV[[#This Row],[DATA DE VENCIMENTO]],"MMMM")))</f>
        <v>DEZEMBRO</v>
      </c>
      <c r="AG431" s="526" t="str">
        <f>IF(LANÇ_MOV[[#This Row],[DATA DE VENCIMENTO]]="","",TEXT(LANÇ_MOV[[#This Row],[DATA DE VENCIMENTO]],"M"))</f>
        <v>12</v>
      </c>
      <c r="AH431" s="526" t="str">
        <f>IF(LANÇ_MOV[[#This Row],[DATA DE VENCIMENTO]]="","",TEXT(LANÇ_MOV[[#This Row],[DATA DE VENCIMENTO]],"D"))</f>
        <v>1</v>
      </c>
      <c r="AI431" s="526" t="str">
        <f>IF(LANÇ_MOV[[#This Row],[DATA DE PAGAMENTO]]="","",TEXT(LANÇ_MOV[[#This Row],[DATA DE PAGAMENTO]],"AAAA"))</f>
        <v/>
      </c>
      <c r="AJ431" s="527" t="str">
        <f>IF(LANÇ_MOV[[#This Row],[DATA DE PAGAMENTO]]="","",UPPER(TEXT(LANÇ_MOV[[#This Row],[DATA DE PAGAMENTO]],"MMMM")))</f>
        <v/>
      </c>
      <c r="AK431" s="527" t="str">
        <f>IF(LANÇ_MOV[[#This Row],[DATA DE PAGAMENTO]]="","",TEXT(LANÇ_MOV[[#This Row],[DATA DE PAGAMENTO]],"M"))</f>
        <v/>
      </c>
      <c r="AL431" s="526" t="str">
        <f>IF(LANÇ_MOV[[#This Row],[DATA DE PAGAMENTO]]="","",TEXT(LANÇ_MOV[[#This Row],[DATA DE PAGAMENTO]],"D"))</f>
        <v/>
      </c>
      <c r="AM431" s="27"/>
      <c r="BB431" s="112"/>
      <c r="BC431" s="112"/>
      <c r="BD431" s="112"/>
    </row>
    <row r="432" spans="2:56" ht="30.05" customHeight="1" x14ac:dyDescent="0.35">
      <c r="B432" s="506">
        <v>45931</v>
      </c>
      <c r="C432" s="507" t="s">
        <v>1661</v>
      </c>
      <c r="D432" s="508" t="s">
        <v>1854</v>
      </c>
      <c r="E432" s="509" t="s">
        <v>1440</v>
      </c>
      <c r="F432" s="510" t="s">
        <v>1848</v>
      </c>
      <c r="G432" s="507"/>
      <c r="H432" s="511"/>
      <c r="I432" s="512"/>
      <c r="J432" s="510">
        <v>9465.42</v>
      </c>
      <c r="K432" s="513">
        <v>0</v>
      </c>
      <c r="L432" s="513"/>
      <c r="M432" s="513">
        <v>0</v>
      </c>
      <c r="N432" s="514">
        <f>LANÇ_MOV[[#This Row],[VALOR BRUTO]]-LANÇ_MOV[[#This Row],[DESCONTO]]+LANÇ_MOV[[#This Row],[JUROS]]+LANÇ_MOV[[#This Row],[MULTA]]</f>
        <v>9465.42</v>
      </c>
      <c r="O432" s="528">
        <v>45261</v>
      </c>
      <c r="P432" s="516" t="str">
        <f t="shared" ca="1" si="6"/>
        <v>Venceu</v>
      </c>
      <c r="Q432" s="528"/>
      <c r="R432" s="529" t="s">
        <v>1506</v>
      </c>
      <c r="S432" s="518"/>
      <c r="T432" s="518" t="s">
        <v>1776</v>
      </c>
      <c r="U432" s="519" t="s">
        <v>2007</v>
      </c>
      <c r="V432" s="520" t="str">
        <f>IFERROR(VLOOKUP(LANÇ_MOV[[#This Row],[PLANO DE CONTAS]],Plano_Contas[[PLANO DE CONTAS]:[R / D]],3,0),"")</f>
        <v>Despesa</v>
      </c>
      <c r="W432" s="521" t="str">
        <f>IF(LANÇ_MOV[[#This Row],[DATA DE PAGAMENTO]]&lt;&gt;"","Pago","Não Pago")</f>
        <v>Não Pago</v>
      </c>
      <c r="X432" s="522" t="str">
        <f>IFERROR(IF(LANÇ_MOV[[#This Row],[DATA DE PAGAMENTO]]="","",(UPPER(TEXT(LANÇ_MOV[[#This Row],[DATA DE PAGAMENTO]],"mmmm")))),"")</f>
        <v/>
      </c>
      <c r="Y432" s="523" t="str">
        <f>IFERROR(VLOOKUP(LANÇ_MOV[[#This Row],[PLANO DE CONTAS]],Plano_Contas[[PLANO DE CONTAS]:[NOMES INTERVALOS]],2,0),"")</f>
        <v>Despesas_Endividamentos</v>
      </c>
      <c r="Z432" s="523" t="str">
        <f>IF(LANÇ_MOV[[#This Row],[FORMA DE PAGAMENTO]]="","",VLOOKUP(LANÇ_MOV[[#This Row],[FORMA DE PAGAMENTO]],CAD_Forma_pagto[],2,0))</f>
        <v>BOLETO</v>
      </c>
      <c r="AA432" s="524" t="str">
        <f>IF(LANÇ_MOV[[#This Row],[DATA DE LANÇAMENTO]]="","",TEXT(LANÇ_MOV[[#This Row],[DATA DE LANÇAMENTO]],"AAAA"))</f>
        <v>2025</v>
      </c>
      <c r="AB432" s="524" t="str">
        <f>IF(LANÇ_MOV[[#This Row],[DATA DE LANÇAMENTO]]="","",UPPER(TEXT(LANÇ_MOV[[#This Row],[DATA DE LANÇAMENTO]],"MMMM")))</f>
        <v>OUTUBRO</v>
      </c>
      <c r="AC432" s="525" t="str">
        <f>IF(LANÇ_MOV[[#This Row],[DATA DE LANÇAMENTO]]="","",PROPER(TEXT(LANÇ_MOV[[#This Row],[DATA DE LANÇAMENTO]],"M")))</f>
        <v>10</v>
      </c>
      <c r="AD432" s="524" t="str">
        <f>IF(LANÇ_MOV[[#This Row],[DATA DE LANÇAMENTO]]="","",TEXT(LANÇ_MOV[[#This Row],[DATA DE LANÇAMENTO]],"D"))</f>
        <v>1</v>
      </c>
      <c r="AE432" s="526" t="str">
        <f>IF(LANÇ_MOV[[#This Row],[DATA DE VENCIMENTO]]="","",TEXT(LANÇ_MOV[[#This Row],[DATA DE VENCIMENTO]],"AAAA"))</f>
        <v>2023</v>
      </c>
      <c r="AF432" s="526" t="str">
        <f>IF(LANÇ_MOV[[#This Row],[DATA DE VENCIMENTO]]="","",UPPER(TEXT(LANÇ_MOV[[#This Row],[DATA DE VENCIMENTO]],"MMMM")))</f>
        <v>DEZEMBRO</v>
      </c>
      <c r="AG432" s="526" t="str">
        <f>IF(LANÇ_MOV[[#This Row],[DATA DE VENCIMENTO]]="","",TEXT(LANÇ_MOV[[#This Row],[DATA DE VENCIMENTO]],"M"))</f>
        <v>12</v>
      </c>
      <c r="AH432" s="526" t="str">
        <f>IF(LANÇ_MOV[[#This Row],[DATA DE VENCIMENTO]]="","",TEXT(LANÇ_MOV[[#This Row],[DATA DE VENCIMENTO]],"D"))</f>
        <v>1</v>
      </c>
      <c r="AI432" s="526" t="str">
        <f>IF(LANÇ_MOV[[#This Row],[DATA DE PAGAMENTO]]="","",TEXT(LANÇ_MOV[[#This Row],[DATA DE PAGAMENTO]],"AAAA"))</f>
        <v/>
      </c>
      <c r="AJ432" s="527" t="str">
        <f>IF(LANÇ_MOV[[#This Row],[DATA DE PAGAMENTO]]="","",UPPER(TEXT(LANÇ_MOV[[#This Row],[DATA DE PAGAMENTO]],"MMMM")))</f>
        <v/>
      </c>
      <c r="AK432" s="527" t="str">
        <f>IF(LANÇ_MOV[[#This Row],[DATA DE PAGAMENTO]]="","",TEXT(LANÇ_MOV[[#This Row],[DATA DE PAGAMENTO]],"M"))</f>
        <v/>
      </c>
      <c r="AL432" s="526" t="str">
        <f>IF(LANÇ_MOV[[#This Row],[DATA DE PAGAMENTO]]="","",TEXT(LANÇ_MOV[[#This Row],[DATA DE PAGAMENTO]],"D"))</f>
        <v/>
      </c>
      <c r="AM432" s="27"/>
      <c r="BB432" s="112"/>
      <c r="BC432" s="112"/>
      <c r="BD432" s="112"/>
    </row>
    <row r="433" spans="2:56" ht="30.05" customHeight="1" x14ac:dyDescent="0.35">
      <c r="B433" s="506">
        <v>45931</v>
      </c>
      <c r="C433" s="507" t="s">
        <v>1661</v>
      </c>
      <c r="D433" s="508" t="s">
        <v>1854</v>
      </c>
      <c r="E433" s="509" t="s">
        <v>1440</v>
      </c>
      <c r="F433" s="510" t="s">
        <v>1848</v>
      </c>
      <c r="G433" s="507"/>
      <c r="H433" s="511"/>
      <c r="I433" s="512"/>
      <c r="J433" s="510">
        <v>5679.16</v>
      </c>
      <c r="K433" s="513">
        <v>0</v>
      </c>
      <c r="L433" s="513"/>
      <c r="M433" s="513">
        <v>0</v>
      </c>
      <c r="N433" s="514">
        <f>LANÇ_MOV[[#This Row],[VALOR BRUTO]]-LANÇ_MOV[[#This Row],[DESCONTO]]+LANÇ_MOV[[#This Row],[JUROS]]+LANÇ_MOV[[#This Row],[MULTA]]</f>
        <v>5679.16</v>
      </c>
      <c r="O433" s="528">
        <v>45261</v>
      </c>
      <c r="P433" s="516" t="str">
        <f t="shared" ca="1" si="6"/>
        <v>Venceu</v>
      </c>
      <c r="Q433" s="528"/>
      <c r="R433" s="529" t="s">
        <v>1506</v>
      </c>
      <c r="S433" s="518"/>
      <c r="T433" s="518" t="s">
        <v>1776</v>
      </c>
      <c r="U433" s="519" t="s">
        <v>2007</v>
      </c>
      <c r="V433" s="520" t="str">
        <f>IFERROR(VLOOKUP(LANÇ_MOV[[#This Row],[PLANO DE CONTAS]],Plano_Contas[[PLANO DE CONTAS]:[R / D]],3,0),"")</f>
        <v>Despesa</v>
      </c>
      <c r="W433" s="521" t="str">
        <f>IF(LANÇ_MOV[[#This Row],[DATA DE PAGAMENTO]]&lt;&gt;"","Pago","Não Pago")</f>
        <v>Não Pago</v>
      </c>
      <c r="X433" s="522" t="str">
        <f>IFERROR(IF(LANÇ_MOV[[#This Row],[DATA DE PAGAMENTO]]="","",(UPPER(TEXT(LANÇ_MOV[[#This Row],[DATA DE PAGAMENTO]],"mmmm")))),"")</f>
        <v/>
      </c>
      <c r="Y433" s="523" t="str">
        <f>IFERROR(VLOOKUP(LANÇ_MOV[[#This Row],[PLANO DE CONTAS]],Plano_Contas[[PLANO DE CONTAS]:[NOMES INTERVALOS]],2,0),"")</f>
        <v>Despesas_Endividamentos</v>
      </c>
      <c r="Z433" s="523" t="str">
        <f>IF(LANÇ_MOV[[#This Row],[FORMA DE PAGAMENTO]]="","",VLOOKUP(LANÇ_MOV[[#This Row],[FORMA DE PAGAMENTO]],CAD_Forma_pagto[],2,0))</f>
        <v>BOLETO</v>
      </c>
      <c r="AA433" s="524" t="str">
        <f>IF(LANÇ_MOV[[#This Row],[DATA DE LANÇAMENTO]]="","",TEXT(LANÇ_MOV[[#This Row],[DATA DE LANÇAMENTO]],"AAAA"))</f>
        <v>2025</v>
      </c>
      <c r="AB433" s="524" t="str">
        <f>IF(LANÇ_MOV[[#This Row],[DATA DE LANÇAMENTO]]="","",UPPER(TEXT(LANÇ_MOV[[#This Row],[DATA DE LANÇAMENTO]],"MMMM")))</f>
        <v>OUTUBRO</v>
      </c>
      <c r="AC433" s="525" t="str">
        <f>IF(LANÇ_MOV[[#This Row],[DATA DE LANÇAMENTO]]="","",PROPER(TEXT(LANÇ_MOV[[#This Row],[DATA DE LANÇAMENTO]],"M")))</f>
        <v>10</v>
      </c>
      <c r="AD433" s="524" t="str">
        <f>IF(LANÇ_MOV[[#This Row],[DATA DE LANÇAMENTO]]="","",TEXT(LANÇ_MOV[[#This Row],[DATA DE LANÇAMENTO]],"D"))</f>
        <v>1</v>
      </c>
      <c r="AE433" s="526" t="str">
        <f>IF(LANÇ_MOV[[#This Row],[DATA DE VENCIMENTO]]="","",TEXT(LANÇ_MOV[[#This Row],[DATA DE VENCIMENTO]],"AAAA"))</f>
        <v>2023</v>
      </c>
      <c r="AF433" s="526" t="str">
        <f>IF(LANÇ_MOV[[#This Row],[DATA DE VENCIMENTO]]="","",UPPER(TEXT(LANÇ_MOV[[#This Row],[DATA DE VENCIMENTO]],"MMMM")))</f>
        <v>DEZEMBRO</v>
      </c>
      <c r="AG433" s="526" t="str">
        <f>IF(LANÇ_MOV[[#This Row],[DATA DE VENCIMENTO]]="","",TEXT(LANÇ_MOV[[#This Row],[DATA DE VENCIMENTO]],"M"))</f>
        <v>12</v>
      </c>
      <c r="AH433" s="526" t="str">
        <f>IF(LANÇ_MOV[[#This Row],[DATA DE VENCIMENTO]]="","",TEXT(LANÇ_MOV[[#This Row],[DATA DE VENCIMENTO]],"D"))</f>
        <v>1</v>
      </c>
      <c r="AI433" s="526" t="str">
        <f>IF(LANÇ_MOV[[#This Row],[DATA DE PAGAMENTO]]="","",TEXT(LANÇ_MOV[[#This Row],[DATA DE PAGAMENTO]],"AAAA"))</f>
        <v/>
      </c>
      <c r="AJ433" s="527" t="str">
        <f>IF(LANÇ_MOV[[#This Row],[DATA DE PAGAMENTO]]="","",UPPER(TEXT(LANÇ_MOV[[#This Row],[DATA DE PAGAMENTO]],"MMMM")))</f>
        <v/>
      </c>
      <c r="AK433" s="527" t="str">
        <f>IF(LANÇ_MOV[[#This Row],[DATA DE PAGAMENTO]]="","",TEXT(LANÇ_MOV[[#This Row],[DATA DE PAGAMENTO]],"M"))</f>
        <v/>
      </c>
      <c r="AL433" s="526" t="str">
        <f>IF(LANÇ_MOV[[#This Row],[DATA DE PAGAMENTO]]="","",TEXT(LANÇ_MOV[[#This Row],[DATA DE PAGAMENTO]],"D"))</f>
        <v/>
      </c>
      <c r="AM433" s="27"/>
      <c r="BB433" s="112"/>
      <c r="BC433" s="112"/>
      <c r="BD433" s="112"/>
    </row>
    <row r="434" spans="2:56" ht="30.05" customHeight="1" x14ac:dyDescent="0.35">
      <c r="B434" s="506">
        <v>45931</v>
      </c>
      <c r="C434" s="507" t="s">
        <v>1661</v>
      </c>
      <c r="D434" s="508" t="s">
        <v>1854</v>
      </c>
      <c r="E434" s="509" t="s">
        <v>1440</v>
      </c>
      <c r="F434" s="510" t="s">
        <v>1848</v>
      </c>
      <c r="G434" s="507"/>
      <c r="H434" s="511"/>
      <c r="I434" s="512"/>
      <c r="J434" s="518">
        <v>369266.04</v>
      </c>
      <c r="K434" s="513">
        <v>0</v>
      </c>
      <c r="L434" s="513"/>
      <c r="M434" s="513">
        <v>0</v>
      </c>
      <c r="N434" s="514">
        <f>LANÇ_MOV[[#This Row],[VALOR BRUTO]]-LANÇ_MOV[[#This Row],[DESCONTO]]+LANÇ_MOV[[#This Row],[JUROS]]+LANÇ_MOV[[#This Row],[MULTA]]</f>
        <v>369266.04</v>
      </c>
      <c r="O434" s="528">
        <v>44663</v>
      </c>
      <c r="P434" s="516" t="str">
        <f t="shared" ca="1" si="6"/>
        <v>Venceu</v>
      </c>
      <c r="Q434" s="528"/>
      <c r="R434" s="529" t="s">
        <v>1506</v>
      </c>
      <c r="S434" s="518"/>
      <c r="T434" s="518" t="s">
        <v>1776</v>
      </c>
      <c r="U434" s="519" t="s">
        <v>2007</v>
      </c>
      <c r="V434" s="520" t="str">
        <f>IFERROR(VLOOKUP(LANÇ_MOV[[#This Row],[PLANO DE CONTAS]],Plano_Contas[[PLANO DE CONTAS]:[R / D]],3,0),"")</f>
        <v>Despesa</v>
      </c>
      <c r="W434" s="521" t="str">
        <f>IF(LANÇ_MOV[[#This Row],[DATA DE PAGAMENTO]]&lt;&gt;"","Pago","Não Pago")</f>
        <v>Não Pago</v>
      </c>
      <c r="X434" s="522" t="str">
        <f>IFERROR(IF(LANÇ_MOV[[#This Row],[DATA DE PAGAMENTO]]="","",(UPPER(TEXT(LANÇ_MOV[[#This Row],[DATA DE PAGAMENTO]],"mmmm")))),"")</f>
        <v/>
      </c>
      <c r="Y434" s="523" t="str">
        <f>IFERROR(VLOOKUP(LANÇ_MOV[[#This Row],[PLANO DE CONTAS]],Plano_Contas[[PLANO DE CONTAS]:[NOMES INTERVALOS]],2,0),"")</f>
        <v>Despesas_Endividamentos</v>
      </c>
      <c r="Z434" s="523" t="str">
        <f>IF(LANÇ_MOV[[#This Row],[FORMA DE PAGAMENTO]]="","",VLOOKUP(LANÇ_MOV[[#This Row],[FORMA DE PAGAMENTO]],CAD_Forma_pagto[],2,0))</f>
        <v>BOLETO</v>
      </c>
      <c r="AA434" s="524" t="str">
        <f>IF(LANÇ_MOV[[#This Row],[DATA DE LANÇAMENTO]]="","",TEXT(LANÇ_MOV[[#This Row],[DATA DE LANÇAMENTO]],"AAAA"))</f>
        <v>2025</v>
      </c>
      <c r="AB434" s="524" t="str">
        <f>IF(LANÇ_MOV[[#This Row],[DATA DE LANÇAMENTO]]="","",UPPER(TEXT(LANÇ_MOV[[#This Row],[DATA DE LANÇAMENTO]],"MMMM")))</f>
        <v>OUTUBRO</v>
      </c>
      <c r="AC434" s="525" t="str">
        <f>IF(LANÇ_MOV[[#This Row],[DATA DE LANÇAMENTO]]="","",PROPER(TEXT(LANÇ_MOV[[#This Row],[DATA DE LANÇAMENTO]],"M")))</f>
        <v>10</v>
      </c>
      <c r="AD434" s="524" t="str">
        <f>IF(LANÇ_MOV[[#This Row],[DATA DE LANÇAMENTO]]="","",TEXT(LANÇ_MOV[[#This Row],[DATA DE LANÇAMENTO]],"D"))</f>
        <v>1</v>
      </c>
      <c r="AE434" s="526" t="str">
        <f>IF(LANÇ_MOV[[#This Row],[DATA DE VENCIMENTO]]="","",TEXT(LANÇ_MOV[[#This Row],[DATA DE VENCIMENTO]],"AAAA"))</f>
        <v>2022</v>
      </c>
      <c r="AF434" s="526" t="str">
        <f>IF(LANÇ_MOV[[#This Row],[DATA DE VENCIMENTO]]="","",UPPER(TEXT(LANÇ_MOV[[#This Row],[DATA DE VENCIMENTO]],"MMMM")))</f>
        <v>ABRIL</v>
      </c>
      <c r="AG434" s="526" t="str">
        <f>IF(LANÇ_MOV[[#This Row],[DATA DE VENCIMENTO]]="","",TEXT(LANÇ_MOV[[#This Row],[DATA DE VENCIMENTO]],"M"))</f>
        <v>4</v>
      </c>
      <c r="AH434" s="526" t="str">
        <f>IF(LANÇ_MOV[[#This Row],[DATA DE VENCIMENTO]]="","",TEXT(LANÇ_MOV[[#This Row],[DATA DE VENCIMENTO]],"D"))</f>
        <v>12</v>
      </c>
      <c r="AI434" s="526" t="str">
        <f>IF(LANÇ_MOV[[#This Row],[DATA DE PAGAMENTO]]="","",TEXT(LANÇ_MOV[[#This Row],[DATA DE PAGAMENTO]],"AAAA"))</f>
        <v/>
      </c>
      <c r="AJ434" s="527" t="str">
        <f>IF(LANÇ_MOV[[#This Row],[DATA DE PAGAMENTO]]="","",UPPER(TEXT(LANÇ_MOV[[#This Row],[DATA DE PAGAMENTO]],"MMMM")))</f>
        <v/>
      </c>
      <c r="AK434" s="527" t="str">
        <f>IF(LANÇ_MOV[[#This Row],[DATA DE PAGAMENTO]]="","",TEXT(LANÇ_MOV[[#This Row],[DATA DE PAGAMENTO]],"M"))</f>
        <v/>
      </c>
      <c r="AL434" s="526" t="str">
        <f>IF(LANÇ_MOV[[#This Row],[DATA DE PAGAMENTO]]="","",TEXT(LANÇ_MOV[[#This Row],[DATA DE PAGAMENTO]],"D"))</f>
        <v/>
      </c>
      <c r="AM434" s="27"/>
      <c r="BB434" s="112"/>
      <c r="BC434" s="112"/>
      <c r="BD434" s="112"/>
    </row>
    <row r="435" spans="2:56" ht="30.05" customHeight="1" x14ac:dyDescent="0.35">
      <c r="B435" s="506">
        <v>45931</v>
      </c>
      <c r="C435" s="507" t="s">
        <v>1661</v>
      </c>
      <c r="D435" s="508" t="s">
        <v>1854</v>
      </c>
      <c r="E435" s="509" t="s">
        <v>1103</v>
      </c>
      <c r="F435" s="510" t="s">
        <v>1785</v>
      </c>
      <c r="G435" s="507" t="s">
        <v>1981</v>
      </c>
      <c r="H435" s="511"/>
      <c r="I435" s="512" t="s">
        <v>1691</v>
      </c>
      <c r="J435" s="518">
        <v>615</v>
      </c>
      <c r="K435" s="513">
        <v>0</v>
      </c>
      <c r="L435" s="513">
        <v>0</v>
      </c>
      <c r="M435" s="513">
        <v>0</v>
      </c>
      <c r="N435" s="514">
        <f>LANÇ_MOV[[#This Row],[VALOR BRUTO]]-LANÇ_MOV[[#This Row],[DESCONTO]]+LANÇ_MOV[[#This Row],[JUROS]]+LANÇ_MOV[[#This Row],[MULTA]]</f>
        <v>615</v>
      </c>
      <c r="O435" s="528">
        <v>45936</v>
      </c>
      <c r="P435" s="516" t="str">
        <f t="shared" ca="1" si="6"/>
        <v>Venceu</v>
      </c>
      <c r="Q435" s="528"/>
      <c r="R435" s="529" t="s">
        <v>1564</v>
      </c>
      <c r="S435" s="518"/>
      <c r="T435" s="518" t="s">
        <v>1776</v>
      </c>
      <c r="U435" s="519" t="s">
        <v>2008</v>
      </c>
      <c r="V435" s="520" t="str">
        <f>IFERROR(VLOOKUP(LANÇ_MOV[[#This Row],[PLANO DE CONTAS]],Plano_Contas[[PLANO DE CONTAS]:[R / D]],3,0),"")</f>
        <v>Receita</v>
      </c>
      <c r="W435" s="521" t="str">
        <f>IF(LANÇ_MOV[[#This Row],[DATA DE PAGAMENTO]]&lt;&gt;"","Pago","Não Pago")</f>
        <v>Não Pago</v>
      </c>
      <c r="X435" s="522" t="str">
        <f>IFERROR(IF(LANÇ_MOV[[#This Row],[DATA DE PAGAMENTO]]="","",(UPPER(TEXT(LANÇ_MOV[[#This Row],[DATA DE PAGAMENTO]],"mmmm")))),"")</f>
        <v/>
      </c>
      <c r="Y435" s="523" t="str">
        <f>IFERROR(VLOOKUP(LANÇ_MOV[[#This Row],[PLANO DE CONTAS]],Plano_Contas[[PLANO DE CONTAS]:[NOMES INTERVALOS]],2,0),"")</f>
        <v>Receitas_Operacionais</v>
      </c>
      <c r="Z435" s="523" t="str">
        <f>IF(LANÇ_MOV[[#This Row],[FORMA DE PAGAMENTO]]="","",VLOOKUP(LANÇ_MOV[[#This Row],[FORMA DE PAGAMENTO]],CAD_Forma_pagto[],2,0))</f>
        <v>PIX</v>
      </c>
      <c r="AA435" s="524" t="str">
        <f>IF(LANÇ_MOV[[#This Row],[DATA DE LANÇAMENTO]]="","",TEXT(LANÇ_MOV[[#This Row],[DATA DE LANÇAMENTO]],"AAAA"))</f>
        <v>2025</v>
      </c>
      <c r="AB435" s="524" t="str">
        <f>IF(LANÇ_MOV[[#This Row],[DATA DE LANÇAMENTO]]="","",UPPER(TEXT(LANÇ_MOV[[#This Row],[DATA DE LANÇAMENTO]],"MMMM")))</f>
        <v>OUTUBRO</v>
      </c>
      <c r="AC435" s="525" t="str">
        <f>IF(LANÇ_MOV[[#This Row],[DATA DE LANÇAMENTO]]="","",PROPER(TEXT(LANÇ_MOV[[#This Row],[DATA DE LANÇAMENTO]],"M")))</f>
        <v>10</v>
      </c>
      <c r="AD435" s="524" t="str">
        <f>IF(LANÇ_MOV[[#This Row],[DATA DE LANÇAMENTO]]="","",TEXT(LANÇ_MOV[[#This Row],[DATA DE LANÇAMENTO]],"D"))</f>
        <v>1</v>
      </c>
      <c r="AE435" s="526" t="str">
        <f>IF(LANÇ_MOV[[#This Row],[DATA DE VENCIMENTO]]="","",TEXT(LANÇ_MOV[[#This Row],[DATA DE VENCIMENTO]],"AAAA"))</f>
        <v>2025</v>
      </c>
      <c r="AF435" s="526" t="str">
        <f>IF(LANÇ_MOV[[#This Row],[DATA DE VENCIMENTO]]="","",UPPER(TEXT(LANÇ_MOV[[#This Row],[DATA DE VENCIMENTO]],"MMMM")))</f>
        <v>OUTUBRO</v>
      </c>
      <c r="AG435" s="526" t="str">
        <f>IF(LANÇ_MOV[[#This Row],[DATA DE VENCIMENTO]]="","",TEXT(LANÇ_MOV[[#This Row],[DATA DE VENCIMENTO]],"M"))</f>
        <v>10</v>
      </c>
      <c r="AH435" s="526" t="str">
        <f>IF(LANÇ_MOV[[#This Row],[DATA DE VENCIMENTO]]="","",TEXT(LANÇ_MOV[[#This Row],[DATA DE VENCIMENTO]],"D"))</f>
        <v>6</v>
      </c>
      <c r="AI435" s="526" t="str">
        <f>IF(LANÇ_MOV[[#This Row],[DATA DE PAGAMENTO]]="","",TEXT(LANÇ_MOV[[#This Row],[DATA DE PAGAMENTO]],"AAAA"))</f>
        <v/>
      </c>
      <c r="AJ435" s="527" t="str">
        <f>IF(LANÇ_MOV[[#This Row],[DATA DE PAGAMENTO]]="","",UPPER(TEXT(LANÇ_MOV[[#This Row],[DATA DE PAGAMENTO]],"MMMM")))</f>
        <v/>
      </c>
      <c r="AK435" s="527" t="str">
        <f>IF(LANÇ_MOV[[#This Row],[DATA DE PAGAMENTO]]="","",TEXT(LANÇ_MOV[[#This Row],[DATA DE PAGAMENTO]],"M"))</f>
        <v/>
      </c>
      <c r="AL435" s="526" t="str">
        <f>IF(LANÇ_MOV[[#This Row],[DATA DE PAGAMENTO]]="","",TEXT(LANÇ_MOV[[#This Row],[DATA DE PAGAMENTO]],"D"))</f>
        <v/>
      </c>
      <c r="AM435" s="27"/>
      <c r="BB435" s="112"/>
      <c r="BC435" s="112"/>
      <c r="BD435" s="112"/>
    </row>
    <row r="436" spans="2:56" ht="30.05" customHeight="1" x14ac:dyDescent="0.35">
      <c r="B436" s="506">
        <v>45931</v>
      </c>
      <c r="C436" s="507" t="s">
        <v>1661</v>
      </c>
      <c r="D436" s="508" t="s">
        <v>1854</v>
      </c>
      <c r="E436" s="509" t="s">
        <v>1103</v>
      </c>
      <c r="F436" s="510" t="s">
        <v>1785</v>
      </c>
      <c r="G436" s="507" t="s">
        <v>1982</v>
      </c>
      <c r="H436" s="511"/>
      <c r="I436" s="512" t="s">
        <v>1691</v>
      </c>
      <c r="J436" s="518">
        <v>615</v>
      </c>
      <c r="K436" s="513">
        <v>0</v>
      </c>
      <c r="L436" s="513">
        <v>0</v>
      </c>
      <c r="M436" s="513">
        <v>0</v>
      </c>
      <c r="N436" s="514">
        <f>LANÇ_MOV[[#This Row],[VALOR BRUTO]]-LANÇ_MOV[[#This Row],[DESCONTO]]+LANÇ_MOV[[#This Row],[JUROS]]+LANÇ_MOV[[#This Row],[MULTA]]</f>
        <v>615</v>
      </c>
      <c r="O436" s="528">
        <v>45967</v>
      </c>
      <c r="P436" s="516" t="str">
        <f t="shared" ca="1" si="6"/>
        <v>Venceu</v>
      </c>
      <c r="Q436" s="528"/>
      <c r="R436" s="529" t="s">
        <v>1564</v>
      </c>
      <c r="S436" s="518"/>
      <c r="T436" s="518" t="s">
        <v>1776</v>
      </c>
      <c r="U436" s="519" t="s">
        <v>2008</v>
      </c>
      <c r="V436" s="520" t="str">
        <f>IFERROR(VLOOKUP(LANÇ_MOV[[#This Row],[PLANO DE CONTAS]],Plano_Contas[[PLANO DE CONTAS]:[R / D]],3,0),"")</f>
        <v>Receita</v>
      </c>
      <c r="W436" s="521" t="str">
        <f>IF(LANÇ_MOV[[#This Row],[DATA DE PAGAMENTO]]&lt;&gt;"","Pago","Não Pago")</f>
        <v>Não Pago</v>
      </c>
      <c r="X436" s="522" t="str">
        <f>IFERROR(IF(LANÇ_MOV[[#This Row],[DATA DE PAGAMENTO]]="","",(UPPER(TEXT(LANÇ_MOV[[#This Row],[DATA DE PAGAMENTO]],"mmmm")))),"")</f>
        <v/>
      </c>
      <c r="Y436" s="523" t="str">
        <f>IFERROR(VLOOKUP(LANÇ_MOV[[#This Row],[PLANO DE CONTAS]],Plano_Contas[[PLANO DE CONTAS]:[NOMES INTERVALOS]],2,0),"")</f>
        <v>Receitas_Operacionais</v>
      </c>
      <c r="Z436" s="523" t="str">
        <f>IF(LANÇ_MOV[[#This Row],[FORMA DE PAGAMENTO]]="","",VLOOKUP(LANÇ_MOV[[#This Row],[FORMA DE PAGAMENTO]],CAD_Forma_pagto[],2,0))</f>
        <v>PIX</v>
      </c>
      <c r="AA436" s="524" t="str">
        <f>IF(LANÇ_MOV[[#This Row],[DATA DE LANÇAMENTO]]="","",TEXT(LANÇ_MOV[[#This Row],[DATA DE LANÇAMENTO]],"AAAA"))</f>
        <v>2025</v>
      </c>
      <c r="AB436" s="524" t="str">
        <f>IF(LANÇ_MOV[[#This Row],[DATA DE LANÇAMENTO]]="","",UPPER(TEXT(LANÇ_MOV[[#This Row],[DATA DE LANÇAMENTO]],"MMMM")))</f>
        <v>OUTUBRO</v>
      </c>
      <c r="AC436" s="525" t="str">
        <f>IF(LANÇ_MOV[[#This Row],[DATA DE LANÇAMENTO]]="","",PROPER(TEXT(LANÇ_MOV[[#This Row],[DATA DE LANÇAMENTO]],"M")))</f>
        <v>10</v>
      </c>
      <c r="AD436" s="524" t="str">
        <f>IF(LANÇ_MOV[[#This Row],[DATA DE LANÇAMENTO]]="","",TEXT(LANÇ_MOV[[#This Row],[DATA DE LANÇAMENTO]],"D"))</f>
        <v>1</v>
      </c>
      <c r="AE436" s="526" t="str">
        <f>IF(LANÇ_MOV[[#This Row],[DATA DE VENCIMENTO]]="","",TEXT(LANÇ_MOV[[#This Row],[DATA DE VENCIMENTO]],"AAAA"))</f>
        <v>2025</v>
      </c>
      <c r="AF436" s="526" t="str">
        <f>IF(LANÇ_MOV[[#This Row],[DATA DE VENCIMENTO]]="","",UPPER(TEXT(LANÇ_MOV[[#This Row],[DATA DE VENCIMENTO]],"MMMM")))</f>
        <v>NOVEMBRO</v>
      </c>
      <c r="AG436" s="526" t="str">
        <f>IF(LANÇ_MOV[[#This Row],[DATA DE VENCIMENTO]]="","",TEXT(LANÇ_MOV[[#This Row],[DATA DE VENCIMENTO]],"M"))</f>
        <v>11</v>
      </c>
      <c r="AH436" s="526" t="str">
        <f>IF(LANÇ_MOV[[#This Row],[DATA DE VENCIMENTO]]="","",TEXT(LANÇ_MOV[[#This Row],[DATA DE VENCIMENTO]],"D"))</f>
        <v>6</v>
      </c>
      <c r="AI436" s="526" t="str">
        <f>IF(LANÇ_MOV[[#This Row],[DATA DE PAGAMENTO]]="","",TEXT(LANÇ_MOV[[#This Row],[DATA DE PAGAMENTO]],"AAAA"))</f>
        <v/>
      </c>
      <c r="AJ436" s="527" t="str">
        <f>IF(LANÇ_MOV[[#This Row],[DATA DE PAGAMENTO]]="","",UPPER(TEXT(LANÇ_MOV[[#This Row],[DATA DE PAGAMENTO]],"MMMM")))</f>
        <v/>
      </c>
      <c r="AK436" s="527" t="str">
        <f>IF(LANÇ_MOV[[#This Row],[DATA DE PAGAMENTO]]="","",TEXT(LANÇ_MOV[[#This Row],[DATA DE PAGAMENTO]],"M"))</f>
        <v/>
      </c>
      <c r="AL436" s="526" t="str">
        <f>IF(LANÇ_MOV[[#This Row],[DATA DE PAGAMENTO]]="","",TEXT(LANÇ_MOV[[#This Row],[DATA DE PAGAMENTO]],"D"))</f>
        <v/>
      </c>
      <c r="AM436" s="27"/>
      <c r="BB436" s="112"/>
      <c r="BC436" s="112"/>
      <c r="BD436" s="112"/>
    </row>
    <row r="437" spans="2:56" ht="30.05" customHeight="1" x14ac:dyDescent="0.35">
      <c r="B437" s="506">
        <v>45931</v>
      </c>
      <c r="C437" s="507" t="s">
        <v>1661</v>
      </c>
      <c r="D437" s="508" t="s">
        <v>1854</v>
      </c>
      <c r="E437" s="509" t="s">
        <v>1103</v>
      </c>
      <c r="F437" s="510" t="s">
        <v>1785</v>
      </c>
      <c r="G437" s="507" t="s">
        <v>1983</v>
      </c>
      <c r="H437" s="511"/>
      <c r="I437" s="512" t="s">
        <v>1691</v>
      </c>
      <c r="J437" s="518">
        <v>615</v>
      </c>
      <c r="K437" s="513">
        <v>0</v>
      </c>
      <c r="L437" s="513"/>
      <c r="M437" s="513">
        <v>0</v>
      </c>
      <c r="N437" s="514">
        <f>LANÇ_MOV[[#This Row],[VALOR BRUTO]]-LANÇ_MOV[[#This Row],[DESCONTO]]+LANÇ_MOV[[#This Row],[JUROS]]+LANÇ_MOV[[#This Row],[MULTA]]</f>
        <v>615</v>
      </c>
      <c r="O437" s="528">
        <v>45997</v>
      </c>
      <c r="P437" s="516" t="str">
        <f t="shared" ca="1" si="6"/>
        <v>Prazo - Menos de 15 dias</v>
      </c>
      <c r="Q437" s="528"/>
      <c r="R437" s="529" t="s">
        <v>1564</v>
      </c>
      <c r="S437" s="518"/>
      <c r="T437" s="518" t="s">
        <v>1776</v>
      </c>
      <c r="U437" s="519" t="s">
        <v>2008</v>
      </c>
      <c r="V437" s="520" t="str">
        <f>IFERROR(VLOOKUP(LANÇ_MOV[[#This Row],[PLANO DE CONTAS]],Plano_Contas[[PLANO DE CONTAS]:[R / D]],3,0),"")</f>
        <v>Receita</v>
      </c>
      <c r="W437" s="521" t="str">
        <f>IF(LANÇ_MOV[[#This Row],[DATA DE PAGAMENTO]]&lt;&gt;"","Pago","Não Pago")</f>
        <v>Não Pago</v>
      </c>
      <c r="X437" s="522" t="str">
        <f>IFERROR(IF(LANÇ_MOV[[#This Row],[DATA DE PAGAMENTO]]="","",(UPPER(TEXT(LANÇ_MOV[[#This Row],[DATA DE PAGAMENTO]],"mmmm")))),"")</f>
        <v/>
      </c>
      <c r="Y437" s="523" t="str">
        <f>IFERROR(VLOOKUP(LANÇ_MOV[[#This Row],[PLANO DE CONTAS]],Plano_Contas[[PLANO DE CONTAS]:[NOMES INTERVALOS]],2,0),"")</f>
        <v>Receitas_Operacionais</v>
      </c>
      <c r="Z437" s="523" t="str">
        <f>IF(LANÇ_MOV[[#This Row],[FORMA DE PAGAMENTO]]="","",VLOOKUP(LANÇ_MOV[[#This Row],[FORMA DE PAGAMENTO]],CAD_Forma_pagto[],2,0))</f>
        <v>PIX</v>
      </c>
      <c r="AA437" s="524" t="str">
        <f>IF(LANÇ_MOV[[#This Row],[DATA DE LANÇAMENTO]]="","",TEXT(LANÇ_MOV[[#This Row],[DATA DE LANÇAMENTO]],"AAAA"))</f>
        <v>2025</v>
      </c>
      <c r="AB437" s="524" t="str">
        <f>IF(LANÇ_MOV[[#This Row],[DATA DE LANÇAMENTO]]="","",UPPER(TEXT(LANÇ_MOV[[#This Row],[DATA DE LANÇAMENTO]],"MMMM")))</f>
        <v>OUTUBRO</v>
      </c>
      <c r="AC437" s="525" t="str">
        <f>IF(LANÇ_MOV[[#This Row],[DATA DE LANÇAMENTO]]="","",PROPER(TEXT(LANÇ_MOV[[#This Row],[DATA DE LANÇAMENTO]],"M")))</f>
        <v>10</v>
      </c>
      <c r="AD437" s="524" t="str">
        <f>IF(LANÇ_MOV[[#This Row],[DATA DE LANÇAMENTO]]="","",TEXT(LANÇ_MOV[[#This Row],[DATA DE LANÇAMENTO]],"D"))</f>
        <v>1</v>
      </c>
      <c r="AE437" s="526" t="str">
        <f>IF(LANÇ_MOV[[#This Row],[DATA DE VENCIMENTO]]="","",TEXT(LANÇ_MOV[[#This Row],[DATA DE VENCIMENTO]],"AAAA"))</f>
        <v>2025</v>
      </c>
      <c r="AF437" s="526" t="str">
        <f>IF(LANÇ_MOV[[#This Row],[DATA DE VENCIMENTO]]="","",UPPER(TEXT(LANÇ_MOV[[#This Row],[DATA DE VENCIMENTO]],"MMMM")))</f>
        <v>DEZEMBRO</v>
      </c>
      <c r="AG437" s="526" t="str">
        <f>IF(LANÇ_MOV[[#This Row],[DATA DE VENCIMENTO]]="","",TEXT(LANÇ_MOV[[#This Row],[DATA DE VENCIMENTO]],"M"))</f>
        <v>12</v>
      </c>
      <c r="AH437" s="526" t="str">
        <f>IF(LANÇ_MOV[[#This Row],[DATA DE VENCIMENTO]]="","",TEXT(LANÇ_MOV[[#This Row],[DATA DE VENCIMENTO]],"D"))</f>
        <v>6</v>
      </c>
      <c r="AI437" s="526" t="str">
        <f>IF(LANÇ_MOV[[#This Row],[DATA DE PAGAMENTO]]="","",TEXT(LANÇ_MOV[[#This Row],[DATA DE PAGAMENTO]],"AAAA"))</f>
        <v/>
      </c>
      <c r="AJ437" s="527" t="str">
        <f>IF(LANÇ_MOV[[#This Row],[DATA DE PAGAMENTO]]="","",UPPER(TEXT(LANÇ_MOV[[#This Row],[DATA DE PAGAMENTO]],"MMMM")))</f>
        <v/>
      </c>
      <c r="AK437" s="527" t="str">
        <f>IF(LANÇ_MOV[[#This Row],[DATA DE PAGAMENTO]]="","",TEXT(LANÇ_MOV[[#This Row],[DATA DE PAGAMENTO]],"M"))</f>
        <v/>
      </c>
      <c r="AL437" s="526" t="str">
        <f>IF(LANÇ_MOV[[#This Row],[DATA DE PAGAMENTO]]="","",TEXT(LANÇ_MOV[[#This Row],[DATA DE PAGAMENTO]],"D"))</f>
        <v/>
      </c>
      <c r="AM437" s="27"/>
      <c r="BB437" s="112"/>
      <c r="BC437" s="112"/>
      <c r="BD437" s="112"/>
    </row>
    <row r="438" spans="2:56" ht="30.05" customHeight="1" x14ac:dyDescent="0.35">
      <c r="B438" s="506">
        <v>45931</v>
      </c>
      <c r="C438" s="507" t="s">
        <v>1661</v>
      </c>
      <c r="D438" s="508" t="s">
        <v>1854</v>
      </c>
      <c r="E438" s="509" t="s">
        <v>1103</v>
      </c>
      <c r="F438" s="510" t="s">
        <v>1785</v>
      </c>
      <c r="G438" s="507"/>
      <c r="H438" s="511"/>
      <c r="I438" s="512" t="s">
        <v>1676</v>
      </c>
      <c r="J438" s="518">
        <v>1230</v>
      </c>
      <c r="K438" s="513">
        <v>0</v>
      </c>
      <c r="L438" s="513">
        <v>0</v>
      </c>
      <c r="M438" s="513">
        <v>0</v>
      </c>
      <c r="N438" s="514">
        <f>LANÇ_MOV[[#This Row],[VALOR BRUTO]]-LANÇ_MOV[[#This Row],[DESCONTO]]+LANÇ_MOV[[#This Row],[JUROS]]+LANÇ_MOV[[#This Row],[MULTA]]</f>
        <v>1230</v>
      </c>
      <c r="O438" s="528">
        <v>45940</v>
      </c>
      <c r="P438" s="516" t="str">
        <f t="shared" ca="1" si="6"/>
        <v>Venceu</v>
      </c>
      <c r="Q438" s="528"/>
      <c r="R438" s="529" t="s">
        <v>1564</v>
      </c>
      <c r="S438" s="518"/>
      <c r="T438" s="518" t="s">
        <v>1776</v>
      </c>
      <c r="U438" s="519" t="s">
        <v>2008</v>
      </c>
      <c r="V438" s="520" t="str">
        <f>IFERROR(VLOOKUP(LANÇ_MOV[[#This Row],[PLANO DE CONTAS]],Plano_Contas[[PLANO DE CONTAS]:[R / D]],3,0),"")</f>
        <v>Receita</v>
      </c>
      <c r="W438" s="521" t="str">
        <f>IF(LANÇ_MOV[[#This Row],[DATA DE PAGAMENTO]]&lt;&gt;"","Pago","Não Pago")</f>
        <v>Não Pago</v>
      </c>
      <c r="X438" s="522" t="str">
        <f>IFERROR(IF(LANÇ_MOV[[#This Row],[DATA DE PAGAMENTO]]="","",(UPPER(TEXT(LANÇ_MOV[[#This Row],[DATA DE PAGAMENTO]],"mmmm")))),"")</f>
        <v/>
      </c>
      <c r="Y438" s="523" t="str">
        <f>IFERROR(VLOOKUP(LANÇ_MOV[[#This Row],[PLANO DE CONTAS]],Plano_Contas[[PLANO DE CONTAS]:[NOMES INTERVALOS]],2,0),"")</f>
        <v>Receitas_Operacionais</v>
      </c>
      <c r="Z438" s="523" t="str">
        <f>IF(LANÇ_MOV[[#This Row],[FORMA DE PAGAMENTO]]="","",VLOOKUP(LANÇ_MOV[[#This Row],[FORMA DE PAGAMENTO]],CAD_Forma_pagto[],2,0))</f>
        <v>PIX</v>
      </c>
      <c r="AA438" s="524" t="str">
        <f>IF(LANÇ_MOV[[#This Row],[DATA DE LANÇAMENTO]]="","",TEXT(LANÇ_MOV[[#This Row],[DATA DE LANÇAMENTO]],"AAAA"))</f>
        <v>2025</v>
      </c>
      <c r="AB438" s="524" t="str">
        <f>IF(LANÇ_MOV[[#This Row],[DATA DE LANÇAMENTO]]="","",UPPER(TEXT(LANÇ_MOV[[#This Row],[DATA DE LANÇAMENTO]],"MMMM")))</f>
        <v>OUTUBRO</v>
      </c>
      <c r="AC438" s="525" t="str">
        <f>IF(LANÇ_MOV[[#This Row],[DATA DE LANÇAMENTO]]="","",PROPER(TEXT(LANÇ_MOV[[#This Row],[DATA DE LANÇAMENTO]],"M")))</f>
        <v>10</v>
      </c>
      <c r="AD438" s="524" t="str">
        <f>IF(LANÇ_MOV[[#This Row],[DATA DE LANÇAMENTO]]="","",TEXT(LANÇ_MOV[[#This Row],[DATA DE LANÇAMENTO]],"D"))</f>
        <v>1</v>
      </c>
      <c r="AE438" s="526" t="str">
        <f>IF(LANÇ_MOV[[#This Row],[DATA DE VENCIMENTO]]="","",TEXT(LANÇ_MOV[[#This Row],[DATA DE VENCIMENTO]],"AAAA"))</f>
        <v>2025</v>
      </c>
      <c r="AF438" s="526" t="str">
        <f>IF(LANÇ_MOV[[#This Row],[DATA DE VENCIMENTO]]="","",UPPER(TEXT(LANÇ_MOV[[#This Row],[DATA DE VENCIMENTO]],"MMMM")))</f>
        <v>OUTUBRO</v>
      </c>
      <c r="AG438" s="526" t="str">
        <f>IF(LANÇ_MOV[[#This Row],[DATA DE VENCIMENTO]]="","",TEXT(LANÇ_MOV[[#This Row],[DATA DE VENCIMENTO]],"M"))</f>
        <v>10</v>
      </c>
      <c r="AH438" s="526" t="str">
        <f>IF(LANÇ_MOV[[#This Row],[DATA DE VENCIMENTO]]="","",TEXT(LANÇ_MOV[[#This Row],[DATA DE VENCIMENTO]],"D"))</f>
        <v>10</v>
      </c>
      <c r="AI438" s="526" t="str">
        <f>IF(LANÇ_MOV[[#This Row],[DATA DE PAGAMENTO]]="","",TEXT(LANÇ_MOV[[#This Row],[DATA DE PAGAMENTO]],"AAAA"))</f>
        <v/>
      </c>
      <c r="AJ438" s="527" t="str">
        <f>IF(LANÇ_MOV[[#This Row],[DATA DE PAGAMENTO]]="","",UPPER(TEXT(LANÇ_MOV[[#This Row],[DATA DE PAGAMENTO]],"MMMM")))</f>
        <v/>
      </c>
      <c r="AK438" s="527" t="str">
        <f>IF(LANÇ_MOV[[#This Row],[DATA DE PAGAMENTO]]="","",TEXT(LANÇ_MOV[[#This Row],[DATA DE PAGAMENTO]],"M"))</f>
        <v/>
      </c>
      <c r="AL438" s="526" t="str">
        <f>IF(LANÇ_MOV[[#This Row],[DATA DE PAGAMENTO]]="","",TEXT(LANÇ_MOV[[#This Row],[DATA DE PAGAMENTO]],"D"))</f>
        <v/>
      </c>
      <c r="AM438" s="27"/>
      <c r="BB438" s="112"/>
      <c r="BC438" s="112"/>
      <c r="BD438" s="112"/>
    </row>
    <row r="439" spans="2:56" ht="30.05" customHeight="1" x14ac:dyDescent="0.35">
      <c r="B439" s="506">
        <v>45931</v>
      </c>
      <c r="C439" s="507" t="s">
        <v>1661</v>
      </c>
      <c r="D439" s="508" t="s">
        <v>1854</v>
      </c>
      <c r="E439" s="509" t="s">
        <v>1103</v>
      </c>
      <c r="F439" s="510" t="s">
        <v>1785</v>
      </c>
      <c r="G439" s="507" t="s">
        <v>1856</v>
      </c>
      <c r="H439" s="511"/>
      <c r="I439" s="512" t="s">
        <v>1673</v>
      </c>
      <c r="J439" s="518">
        <v>375.38</v>
      </c>
      <c r="K439" s="513">
        <v>0</v>
      </c>
      <c r="L439" s="513">
        <v>0</v>
      </c>
      <c r="M439" s="513">
        <v>0</v>
      </c>
      <c r="N439" s="514">
        <f>LANÇ_MOV[[#This Row],[VALOR BRUTO]]-LANÇ_MOV[[#This Row],[DESCONTO]]+LANÇ_MOV[[#This Row],[JUROS]]+LANÇ_MOV[[#This Row],[MULTA]]</f>
        <v>375.38</v>
      </c>
      <c r="O439" s="528">
        <v>45971</v>
      </c>
      <c r="P439" s="516" t="str">
        <f t="shared" ca="1" si="6"/>
        <v>Venceu</v>
      </c>
      <c r="Q439" s="528"/>
      <c r="R439" s="529" t="s">
        <v>1564</v>
      </c>
      <c r="S439" s="518"/>
      <c r="T439" s="518" t="s">
        <v>1776</v>
      </c>
      <c r="U439" s="519" t="s">
        <v>2008</v>
      </c>
      <c r="V439" s="520" t="str">
        <f>IFERROR(VLOOKUP(LANÇ_MOV[[#This Row],[PLANO DE CONTAS]],Plano_Contas[[PLANO DE CONTAS]:[R / D]],3,0),"")</f>
        <v>Receita</v>
      </c>
      <c r="W439" s="521" t="str">
        <f>IF(LANÇ_MOV[[#This Row],[DATA DE PAGAMENTO]]&lt;&gt;"","Pago","Não Pago")</f>
        <v>Não Pago</v>
      </c>
      <c r="X439" s="522" t="str">
        <f>IFERROR(IF(LANÇ_MOV[[#This Row],[DATA DE PAGAMENTO]]="","",(UPPER(TEXT(LANÇ_MOV[[#This Row],[DATA DE PAGAMENTO]],"mmmm")))),"")</f>
        <v/>
      </c>
      <c r="Y439" s="523" t="str">
        <f>IFERROR(VLOOKUP(LANÇ_MOV[[#This Row],[PLANO DE CONTAS]],Plano_Contas[[PLANO DE CONTAS]:[NOMES INTERVALOS]],2,0),"")</f>
        <v>Receitas_Operacionais</v>
      </c>
      <c r="Z439" s="523" t="str">
        <f>IF(LANÇ_MOV[[#This Row],[FORMA DE PAGAMENTO]]="","",VLOOKUP(LANÇ_MOV[[#This Row],[FORMA DE PAGAMENTO]],CAD_Forma_pagto[],2,0))</f>
        <v>PIX</v>
      </c>
      <c r="AA439" s="524" t="str">
        <f>IF(LANÇ_MOV[[#This Row],[DATA DE LANÇAMENTO]]="","",TEXT(LANÇ_MOV[[#This Row],[DATA DE LANÇAMENTO]],"AAAA"))</f>
        <v>2025</v>
      </c>
      <c r="AB439" s="524" t="str">
        <f>IF(LANÇ_MOV[[#This Row],[DATA DE LANÇAMENTO]]="","",UPPER(TEXT(LANÇ_MOV[[#This Row],[DATA DE LANÇAMENTO]],"MMMM")))</f>
        <v>OUTUBRO</v>
      </c>
      <c r="AC439" s="525" t="str">
        <f>IF(LANÇ_MOV[[#This Row],[DATA DE LANÇAMENTO]]="","",PROPER(TEXT(LANÇ_MOV[[#This Row],[DATA DE LANÇAMENTO]],"M")))</f>
        <v>10</v>
      </c>
      <c r="AD439" s="524" t="str">
        <f>IF(LANÇ_MOV[[#This Row],[DATA DE LANÇAMENTO]]="","",TEXT(LANÇ_MOV[[#This Row],[DATA DE LANÇAMENTO]],"D"))</f>
        <v>1</v>
      </c>
      <c r="AE439" s="526" t="str">
        <f>IF(LANÇ_MOV[[#This Row],[DATA DE VENCIMENTO]]="","",TEXT(LANÇ_MOV[[#This Row],[DATA DE VENCIMENTO]],"AAAA"))</f>
        <v>2025</v>
      </c>
      <c r="AF439" s="526" t="str">
        <f>IF(LANÇ_MOV[[#This Row],[DATA DE VENCIMENTO]]="","",UPPER(TEXT(LANÇ_MOV[[#This Row],[DATA DE VENCIMENTO]],"MMMM")))</f>
        <v>NOVEMBRO</v>
      </c>
      <c r="AG439" s="526" t="str">
        <f>IF(LANÇ_MOV[[#This Row],[DATA DE VENCIMENTO]]="","",TEXT(LANÇ_MOV[[#This Row],[DATA DE VENCIMENTO]],"M"))</f>
        <v>11</v>
      </c>
      <c r="AH439" s="526" t="str">
        <f>IF(LANÇ_MOV[[#This Row],[DATA DE VENCIMENTO]]="","",TEXT(LANÇ_MOV[[#This Row],[DATA DE VENCIMENTO]],"D"))</f>
        <v>10</v>
      </c>
      <c r="AI439" s="526" t="str">
        <f>IF(LANÇ_MOV[[#This Row],[DATA DE PAGAMENTO]]="","",TEXT(LANÇ_MOV[[#This Row],[DATA DE PAGAMENTO]],"AAAA"))</f>
        <v/>
      </c>
      <c r="AJ439" s="527" t="str">
        <f>IF(LANÇ_MOV[[#This Row],[DATA DE PAGAMENTO]]="","",UPPER(TEXT(LANÇ_MOV[[#This Row],[DATA DE PAGAMENTO]],"MMMM")))</f>
        <v/>
      </c>
      <c r="AK439" s="527" t="str">
        <f>IF(LANÇ_MOV[[#This Row],[DATA DE PAGAMENTO]]="","",TEXT(LANÇ_MOV[[#This Row],[DATA DE PAGAMENTO]],"M"))</f>
        <v/>
      </c>
      <c r="AL439" s="526" t="str">
        <f>IF(LANÇ_MOV[[#This Row],[DATA DE PAGAMENTO]]="","",TEXT(LANÇ_MOV[[#This Row],[DATA DE PAGAMENTO]],"D"))</f>
        <v/>
      </c>
      <c r="AM439" s="27"/>
      <c r="BB439" s="112"/>
      <c r="BC439" s="112"/>
      <c r="BD439" s="112"/>
    </row>
    <row r="440" spans="2:56" ht="30.05" customHeight="1" x14ac:dyDescent="0.35">
      <c r="B440" s="506">
        <v>45931</v>
      </c>
      <c r="C440" s="507" t="s">
        <v>1661</v>
      </c>
      <c r="D440" s="508" t="s">
        <v>1854</v>
      </c>
      <c r="E440" s="509" t="s">
        <v>1103</v>
      </c>
      <c r="F440" s="510" t="s">
        <v>1785</v>
      </c>
      <c r="G440" s="507" t="s">
        <v>1857</v>
      </c>
      <c r="H440" s="511"/>
      <c r="I440" s="512" t="s">
        <v>1673</v>
      </c>
      <c r="J440" s="518">
        <v>375.38</v>
      </c>
      <c r="K440" s="513">
        <v>0</v>
      </c>
      <c r="L440" s="513"/>
      <c r="M440" s="513">
        <v>0</v>
      </c>
      <c r="N440" s="514">
        <f>LANÇ_MOV[[#This Row],[VALOR BRUTO]]-LANÇ_MOV[[#This Row],[DESCONTO]]+LANÇ_MOV[[#This Row],[JUROS]]+LANÇ_MOV[[#This Row],[MULTA]]</f>
        <v>375.38</v>
      </c>
      <c r="O440" s="528">
        <v>46001</v>
      </c>
      <c r="P440" s="516" t="str">
        <f t="shared" ca="1" si="6"/>
        <v>Prazo - Menos de 15 dias</v>
      </c>
      <c r="Q440" s="528"/>
      <c r="R440" s="529" t="s">
        <v>1564</v>
      </c>
      <c r="S440" s="518"/>
      <c r="T440" s="518" t="s">
        <v>1776</v>
      </c>
      <c r="U440" s="519" t="s">
        <v>2008</v>
      </c>
      <c r="V440" s="520" t="str">
        <f>IFERROR(VLOOKUP(LANÇ_MOV[[#This Row],[PLANO DE CONTAS]],Plano_Contas[[PLANO DE CONTAS]:[R / D]],3,0),"")</f>
        <v>Receita</v>
      </c>
      <c r="W440" s="521" t="str">
        <f>IF(LANÇ_MOV[[#This Row],[DATA DE PAGAMENTO]]&lt;&gt;"","Pago","Não Pago")</f>
        <v>Não Pago</v>
      </c>
      <c r="X440" s="522" t="str">
        <f>IFERROR(IF(LANÇ_MOV[[#This Row],[DATA DE PAGAMENTO]]="","",(UPPER(TEXT(LANÇ_MOV[[#This Row],[DATA DE PAGAMENTO]],"mmmm")))),"")</f>
        <v/>
      </c>
      <c r="Y440" s="523" t="str">
        <f>IFERROR(VLOOKUP(LANÇ_MOV[[#This Row],[PLANO DE CONTAS]],Plano_Contas[[PLANO DE CONTAS]:[NOMES INTERVALOS]],2,0),"")</f>
        <v>Receitas_Operacionais</v>
      </c>
      <c r="Z440" s="523" t="str">
        <f>IF(LANÇ_MOV[[#This Row],[FORMA DE PAGAMENTO]]="","",VLOOKUP(LANÇ_MOV[[#This Row],[FORMA DE PAGAMENTO]],CAD_Forma_pagto[],2,0))</f>
        <v>PIX</v>
      </c>
      <c r="AA440" s="524" t="str">
        <f>IF(LANÇ_MOV[[#This Row],[DATA DE LANÇAMENTO]]="","",TEXT(LANÇ_MOV[[#This Row],[DATA DE LANÇAMENTO]],"AAAA"))</f>
        <v>2025</v>
      </c>
      <c r="AB440" s="524" t="str">
        <f>IF(LANÇ_MOV[[#This Row],[DATA DE LANÇAMENTO]]="","",UPPER(TEXT(LANÇ_MOV[[#This Row],[DATA DE LANÇAMENTO]],"MMMM")))</f>
        <v>OUTUBRO</v>
      </c>
      <c r="AC440" s="525" t="str">
        <f>IF(LANÇ_MOV[[#This Row],[DATA DE LANÇAMENTO]]="","",PROPER(TEXT(LANÇ_MOV[[#This Row],[DATA DE LANÇAMENTO]],"M")))</f>
        <v>10</v>
      </c>
      <c r="AD440" s="524" t="str">
        <f>IF(LANÇ_MOV[[#This Row],[DATA DE LANÇAMENTO]]="","",TEXT(LANÇ_MOV[[#This Row],[DATA DE LANÇAMENTO]],"D"))</f>
        <v>1</v>
      </c>
      <c r="AE440" s="526" t="str">
        <f>IF(LANÇ_MOV[[#This Row],[DATA DE VENCIMENTO]]="","",TEXT(LANÇ_MOV[[#This Row],[DATA DE VENCIMENTO]],"AAAA"))</f>
        <v>2025</v>
      </c>
      <c r="AF440" s="526" t="str">
        <f>IF(LANÇ_MOV[[#This Row],[DATA DE VENCIMENTO]]="","",UPPER(TEXT(LANÇ_MOV[[#This Row],[DATA DE VENCIMENTO]],"MMMM")))</f>
        <v>DEZEMBRO</v>
      </c>
      <c r="AG440" s="526" t="str">
        <f>IF(LANÇ_MOV[[#This Row],[DATA DE VENCIMENTO]]="","",TEXT(LANÇ_MOV[[#This Row],[DATA DE VENCIMENTO]],"M"))</f>
        <v>12</v>
      </c>
      <c r="AH440" s="526" t="str">
        <f>IF(LANÇ_MOV[[#This Row],[DATA DE VENCIMENTO]]="","",TEXT(LANÇ_MOV[[#This Row],[DATA DE VENCIMENTO]],"D"))</f>
        <v>10</v>
      </c>
      <c r="AI440" s="526" t="str">
        <f>IF(LANÇ_MOV[[#This Row],[DATA DE PAGAMENTO]]="","",TEXT(LANÇ_MOV[[#This Row],[DATA DE PAGAMENTO]],"AAAA"))</f>
        <v/>
      </c>
      <c r="AJ440" s="527" t="str">
        <f>IF(LANÇ_MOV[[#This Row],[DATA DE PAGAMENTO]]="","",UPPER(TEXT(LANÇ_MOV[[#This Row],[DATA DE PAGAMENTO]],"MMMM")))</f>
        <v/>
      </c>
      <c r="AK440" s="527" t="str">
        <f>IF(LANÇ_MOV[[#This Row],[DATA DE PAGAMENTO]]="","",TEXT(LANÇ_MOV[[#This Row],[DATA DE PAGAMENTO]],"M"))</f>
        <v/>
      </c>
      <c r="AL440" s="526" t="str">
        <f>IF(LANÇ_MOV[[#This Row],[DATA DE PAGAMENTO]]="","",TEXT(LANÇ_MOV[[#This Row],[DATA DE PAGAMENTO]],"D"))</f>
        <v/>
      </c>
      <c r="AM440" s="27"/>
      <c r="BB440" s="112"/>
      <c r="BC440" s="112"/>
      <c r="BD440" s="112"/>
    </row>
    <row r="441" spans="2:56" ht="30.05" customHeight="1" x14ac:dyDescent="0.35">
      <c r="B441" s="506">
        <v>45931</v>
      </c>
      <c r="C441" s="507" t="s">
        <v>1661</v>
      </c>
      <c r="D441" s="508" t="s">
        <v>1854</v>
      </c>
      <c r="E441" s="509" t="s">
        <v>1103</v>
      </c>
      <c r="F441" s="510" t="s">
        <v>1785</v>
      </c>
      <c r="G441" s="507" t="s">
        <v>1858</v>
      </c>
      <c r="H441" s="511"/>
      <c r="I441" s="512" t="s">
        <v>1673</v>
      </c>
      <c r="J441" s="518">
        <v>375.38</v>
      </c>
      <c r="K441" s="513">
        <v>0</v>
      </c>
      <c r="L441" s="513"/>
      <c r="M441" s="513">
        <v>0</v>
      </c>
      <c r="N441" s="514">
        <f>LANÇ_MOV[[#This Row],[VALOR BRUTO]]-LANÇ_MOV[[#This Row],[DESCONTO]]+LANÇ_MOV[[#This Row],[JUROS]]+LANÇ_MOV[[#This Row],[MULTA]]</f>
        <v>375.38</v>
      </c>
      <c r="O441" s="528">
        <v>46032</v>
      </c>
      <c r="P441" s="516" t="str">
        <f t="shared" ca="1" si="6"/>
        <v>Prazo - Mais de 1 mês</v>
      </c>
      <c r="Q441" s="528"/>
      <c r="R441" s="529" t="s">
        <v>1564</v>
      </c>
      <c r="S441" s="518"/>
      <c r="T441" s="518" t="s">
        <v>1776</v>
      </c>
      <c r="U441" s="519" t="s">
        <v>2008</v>
      </c>
      <c r="V441" s="520" t="str">
        <f>IFERROR(VLOOKUP(LANÇ_MOV[[#This Row],[PLANO DE CONTAS]],Plano_Contas[[PLANO DE CONTAS]:[R / D]],3,0),"")</f>
        <v>Receita</v>
      </c>
      <c r="W441" s="521" t="str">
        <f>IF(LANÇ_MOV[[#This Row],[DATA DE PAGAMENTO]]&lt;&gt;"","Pago","Não Pago")</f>
        <v>Não Pago</v>
      </c>
      <c r="X441" s="522" t="str">
        <f>IFERROR(IF(LANÇ_MOV[[#This Row],[DATA DE PAGAMENTO]]="","",(UPPER(TEXT(LANÇ_MOV[[#This Row],[DATA DE PAGAMENTO]],"mmmm")))),"")</f>
        <v/>
      </c>
      <c r="Y441" s="523" t="str">
        <f>IFERROR(VLOOKUP(LANÇ_MOV[[#This Row],[PLANO DE CONTAS]],Plano_Contas[[PLANO DE CONTAS]:[NOMES INTERVALOS]],2,0),"")</f>
        <v>Receitas_Operacionais</v>
      </c>
      <c r="Z441" s="523" t="str">
        <f>IF(LANÇ_MOV[[#This Row],[FORMA DE PAGAMENTO]]="","",VLOOKUP(LANÇ_MOV[[#This Row],[FORMA DE PAGAMENTO]],CAD_Forma_pagto[],2,0))</f>
        <v>PIX</v>
      </c>
      <c r="AA441" s="524" t="str">
        <f>IF(LANÇ_MOV[[#This Row],[DATA DE LANÇAMENTO]]="","",TEXT(LANÇ_MOV[[#This Row],[DATA DE LANÇAMENTO]],"AAAA"))</f>
        <v>2025</v>
      </c>
      <c r="AB441" s="524" t="str">
        <f>IF(LANÇ_MOV[[#This Row],[DATA DE LANÇAMENTO]]="","",UPPER(TEXT(LANÇ_MOV[[#This Row],[DATA DE LANÇAMENTO]],"MMMM")))</f>
        <v>OUTUBRO</v>
      </c>
      <c r="AC441" s="525" t="str">
        <f>IF(LANÇ_MOV[[#This Row],[DATA DE LANÇAMENTO]]="","",PROPER(TEXT(LANÇ_MOV[[#This Row],[DATA DE LANÇAMENTO]],"M")))</f>
        <v>10</v>
      </c>
      <c r="AD441" s="524" t="str">
        <f>IF(LANÇ_MOV[[#This Row],[DATA DE LANÇAMENTO]]="","",TEXT(LANÇ_MOV[[#This Row],[DATA DE LANÇAMENTO]],"D"))</f>
        <v>1</v>
      </c>
      <c r="AE441" s="526" t="str">
        <f>IF(LANÇ_MOV[[#This Row],[DATA DE VENCIMENTO]]="","",TEXT(LANÇ_MOV[[#This Row],[DATA DE VENCIMENTO]],"AAAA"))</f>
        <v>2026</v>
      </c>
      <c r="AF441" s="526" t="str">
        <f>IF(LANÇ_MOV[[#This Row],[DATA DE VENCIMENTO]]="","",UPPER(TEXT(LANÇ_MOV[[#This Row],[DATA DE VENCIMENTO]],"MMMM")))</f>
        <v>JANEIRO</v>
      </c>
      <c r="AG441" s="526" t="str">
        <f>IF(LANÇ_MOV[[#This Row],[DATA DE VENCIMENTO]]="","",TEXT(LANÇ_MOV[[#This Row],[DATA DE VENCIMENTO]],"M"))</f>
        <v>1</v>
      </c>
      <c r="AH441" s="526" t="str">
        <f>IF(LANÇ_MOV[[#This Row],[DATA DE VENCIMENTO]]="","",TEXT(LANÇ_MOV[[#This Row],[DATA DE VENCIMENTO]],"D"))</f>
        <v>10</v>
      </c>
      <c r="AI441" s="526" t="str">
        <f>IF(LANÇ_MOV[[#This Row],[DATA DE PAGAMENTO]]="","",TEXT(LANÇ_MOV[[#This Row],[DATA DE PAGAMENTO]],"AAAA"))</f>
        <v/>
      </c>
      <c r="AJ441" s="527" t="str">
        <f>IF(LANÇ_MOV[[#This Row],[DATA DE PAGAMENTO]]="","",UPPER(TEXT(LANÇ_MOV[[#This Row],[DATA DE PAGAMENTO]],"MMMM")))</f>
        <v/>
      </c>
      <c r="AK441" s="527" t="str">
        <f>IF(LANÇ_MOV[[#This Row],[DATA DE PAGAMENTO]]="","",TEXT(LANÇ_MOV[[#This Row],[DATA DE PAGAMENTO]],"M"))</f>
        <v/>
      </c>
      <c r="AL441" s="526" t="str">
        <f>IF(LANÇ_MOV[[#This Row],[DATA DE PAGAMENTO]]="","",TEXT(LANÇ_MOV[[#This Row],[DATA DE PAGAMENTO]],"D"))</f>
        <v/>
      </c>
      <c r="AM441" s="27"/>
      <c r="BB441" s="112"/>
      <c r="BC441" s="112"/>
      <c r="BD441" s="112"/>
    </row>
    <row r="442" spans="2:56" ht="30.05" customHeight="1" x14ac:dyDescent="0.35">
      <c r="B442" s="506">
        <v>45932</v>
      </c>
      <c r="C442" s="507" t="s">
        <v>1661</v>
      </c>
      <c r="D442" s="508" t="s">
        <v>1854</v>
      </c>
      <c r="E442" s="509" t="s">
        <v>1103</v>
      </c>
      <c r="F442" s="510" t="s">
        <v>1785</v>
      </c>
      <c r="G442" s="507" t="s">
        <v>1984</v>
      </c>
      <c r="H442" s="511">
        <v>0</v>
      </c>
      <c r="I442" s="512" t="s">
        <v>1708</v>
      </c>
      <c r="J442" s="518">
        <v>350.35</v>
      </c>
      <c r="K442" s="513">
        <v>0</v>
      </c>
      <c r="L442" s="513">
        <v>0</v>
      </c>
      <c r="M442" s="513">
        <v>0</v>
      </c>
      <c r="N442" s="514">
        <f>LANÇ_MOV[[#This Row],[VALOR BRUTO]]-LANÇ_MOV[[#This Row],[DESCONTO]]+LANÇ_MOV[[#This Row],[JUROS]]+LANÇ_MOV[[#This Row],[MULTA]]</f>
        <v>350.35</v>
      </c>
      <c r="O442" s="528">
        <v>45932</v>
      </c>
      <c r="P442" s="516" t="str">
        <f t="shared" ca="1" si="6"/>
        <v>Pago</v>
      </c>
      <c r="Q442" s="528">
        <v>45932</v>
      </c>
      <c r="R442" s="529" t="s">
        <v>1564</v>
      </c>
      <c r="S442" s="518"/>
      <c r="T442" s="518" t="s">
        <v>1776</v>
      </c>
      <c r="U442" s="519" t="s">
        <v>2008</v>
      </c>
      <c r="V442" s="520" t="str">
        <f>IFERROR(VLOOKUP(LANÇ_MOV[[#This Row],[PLANO DE CONTAS]],Plano_Contas[[PLANO DE CONTAS]:[R / D]],3,0),"")</f>
        <v>Receita</v>
      </c>
      <c r="W442" s="521" t="str">
        <f>IF(LANÇ_MOV[[#This Row],[DATA DE PAGAMENTO]]&lt;&gt;"","Pago","Não Pago")</f>
        <v>Pago</v>
      </c>
      <c r="X442" s="522" t="str">
        <f>IFERROR(IF(LANÇ_MOV[[#This Row],[DATA DE PAGAMENTO]]="","",(UPPER(TEXT(LANÇ_MOV[[#This Row],[DATA DE PAGAMENTO]],"mmmm")))),"")</f>
        <v>OUTUBRO</v>
      </c>
      <c r="Y442" s="523" t="str">
        <f>IFERROR(VLOOKUP(LANÇ_MOV[[#This Row],[PLANO DE CONTAS]],Plano_Contas[[PLANO DE CONTAS]:[NOMES INTERVALOS]],2,0),"")</f>
        <v>Receitas_Operacionais</v>
      </c>
      <c r="Z442" s="523" t="str">
        <f>IF(LANÇ_MOV[[#This Row],[FORMA DE PAGAMENTO]]="","",VLOOKUP(LANÇ_MOV[[#This Row],[FORMA DE PAGAMENTO]],CAD_Forma_pagto[],2,0))</f>
        <v>PIX</v>
      </c>
      <c r="AA442" s="524" t="str">
        <f>IF(LANÇ_MOV[[#This Row],[DATA DE LANÇAMENTO]]="","",TEXT(LANÇ_MOV[[#This Row],[DATA DE LANÇAMENTO]],"AAAA"))</f>
        <v>2025</v>
      </c>
      <c r="AB442" s="524" t="str">
        <f>IF(LANÇ_MOV[[#This Row],[DATA DE LANÇAMENTO]]="","",UPPER(TEXT(LANÇ_MOV[[#This Row],[DATA DE LANÇAMENTO]],"MMMM")))</f>
        <v>OUTUBRO</v>
      </c>
      <c r="AC442" s="525" t="str">
        <f>IF(LANÇ_MOV[[#This Row],[DATA DE LANÇAMENTO]]="","",PROPER(TEXT(LANÇ_MOV[[#This Row],[DATA DE LANÇAMENTO]],"M")))</f>
        <v>10</v>
      </c>
      <c r="AD442" s="524" t="str">
        <f>IF(LANÇ_MOV[[#This Row],[DATA DE LANÇAMENTO]]="","",TEXT(LANÇ_MOV[[#This Row],[DATA DE LANÇAMENTO]],"D"))</f>
        <v>2</v>
      </c>
      <c r="AE442" s="526" t="str">
        <f>IF(LANÇ_MOV[[#This Row],[DATA DE VENCIMENTO]]="","",TEXT(LANÇ_MOV[[#This Row],[DATA DE VENCIMENTO]],"AAAA"))</f>
        <v>2025</v>
      </c>
      <c r="AF442" s="526" t="str">
        <f>IF(LANÇ_MOV[[#This Row],[DATA DE VENCIMENTO]]="","",UPPER(TEXT(LANÇ_MOV[[#This Row],[DATA DE VENCIMENTO]],"MMMM")))</f>
        <v>OUTUBRO</v>
      </c>
      <c r="AG442" s="526" t="str">
        <f>IF(LANÇ_MOV[[#This Row],[DATA DE VENCIMENTO]]="","",TEXT(LANÇ_MOV[[#This Row],[DATA DE VENCIMENTO]],"M"))</f>
        <v>10</v>
      </c>
      <c r="AH442" s="526" t="str">
        <f>IF(LANÇ_MOV[[#This Row],[DATA DE VENCIMENTO]]="","",TEXT(LANÇ_MOV[[#This Row],[DATA DE VENCIMENTO]],"D"))</f>
        <v>2</v>
      </c>
      <c r="AI442" s="526" t="str">
        <f>IF(LANÇ_MOV[[#This Row],[DATA DE PAGAMENTO]]="","",TEXT(LANÇ_MOV[[#This Row],[DATA DE PAGAMENTO]],"AAAA"))</f>
        <v>2025</v>
      </c>
      <c r="AJ442" s="527" t="str">
        <f>IF(LANÇ_MOV[[#This Row],[DATA DE PAGAMENTO]]="","",UPPER(TEXT(LANÇ_MOV[[#This Row],[DATA DE PAGAMENTO]],"MMMM")))</f>
        <v>OUTUBRO</v>
      </c>
      <c r="AK442" s="527" t="str">
        <f>IF(LANÇ_MOV[[#This Row],[DATA DE PAGAMENTO]]="","",TEXT(LANÇ_MOV[[#This Row],[DATA DE PAGAMENTO]],"M"))</f>
        <v>10</v>
      </c>
      <c r="AL442" s="526" t="str">
        <f>IF(LANÇ_MOV[[#This Row],[DATA DE PAGAMENTO]]="","",TEXT(LANÇ_MOV[[#This Row],[DATA DE PAGAMENTO]],"D"))</f>
        <v>2</v>
      </c>
      <c r="AM442" s="27"/>
      <c r="BB442" s="112"/>
      <c r="BC442" s="112"/>
      <c r="BD442" s="112"/>
    </row>
    <row r="443" spans="2:56" ht="30.05" customHeight="1" x14ac:dyDescent="0.35">
      <c r="B443" s="506">
        <v>45932</v>
      </c>
      <c r="C443" s="507" t="s">
        <v>1661</v>
      </c>
      <c r="D443" s="508" t="s">
        <v>1854</v>
      </c>
      <c r="E443" s="509" t="s">
        <v>1103</v>
      </c>
      <c r="F443" s="510" t="s">
        <v>1785</v>
      </c>
      <c r="G443" s="507" t="s">
        <v>1985</v>
      </c>
      <c r="H443" s="511">
        <v>0</v>
      </c>
      <c r="I443" s="512" t="s">
        <v>1708</v>
      </c>
      <c r="J443" s="518">
        <v>350.35</v>
      </c>
      <c r="K443" s="513">
        <v>0</v>
      </c>
      <c r="L443" s="513">
        <v>0</v>
      </c>
      <c r="M443" s="513">
        <v>0</v>
      </c>
      <c r="N443" s="514">
        <f>LANÇ_MOV[[#This Row],[VALOR BRUTO]]-LANÇ_MOV[[#This Row],[DESCONTO]]+LANÇ_MOV[[#This Row],[JUROS]]+LANÇ_MOV[[#This Row],[MULTA]]</f>
        <v>350.35</v>
      </c>
      <c r="O443" s="528">
        <v>45963</v>
      </c>
      <c r="P443" s="516" t="str">
        <f t="shared" ca="1" si="6"/>
        <v>Pago</v>
      </c>
      <c r="Q443" s="528">
        <v>45965</v>
      </c>
      <c r="R443" s="529" t="s">
        <v>1564</v>
      </c>
      <c r="S443" s="518"/>
      <c r="T443" s="518" t="s">
        <v>1776</v>
      </c>
      <c r="U443" s="519" t="s">
        <v>2008</v>
      </c>
      <c r="V443" s="520" t="str">
        <f>IFERROR(VLOOKUP(LANÇ_MOV[[#This Row],[PLANO DE CONTAS]],Plano_Contas[[PLANO DE CONTAS]:[R / D]],3,0),"")</f>
        <v>Receita</v>
      </c>
      <c r="W443" s="521" t="str">
        <f>IF(LANÇ_MOV[[#This Row],[DATA DE PAGAMENTO]]&lt;&gt;"","Pago","Não Pago")</f>
        <v>Pago</v>
      </c>
      <c r="X443" s="522" t="str">
        <f>IFERROR(IF(LANÇ_MOV[[#This Row],[DATA DE PAGAMENTO]]="","",(UPPER(TEXT(LANÇ_MOV[[#This Row],[DATA DE PAGAMENTO]],"mmmm")))),"")</f>
        <v>NOVEMBRO</v>
      </c>
      <c r="Y443" s="523" t="str">
        <f>IFERROR(VLOOKUP(LANÇ_MOV[[#This Row],[PLANO DE CONTAS]],Plano_Contas[[PLANO DE CONTAS]:[NOMES INTERVALOS]],2,0),"")</f>
        <v>Receitas_Operacionais</v>
      </c>
      <c r="Z443" s="523" t="str">
        <f>IF(LANÇ_MOV[[#This Row],[FORMA DE PAGAMENTO]]="","",VLOOKUP(LANÇ_MOV[[#This Row],[FORMA DE PAGAMENTO]],CAD_Forma_pagto[],2,0))</f>
        <v>PIX</v>
      </c>
      <c r="AA443" s="524" t="str">
        <f>IF(LANÇ_MOV[[#This Row],[DATA DE LANÇAMENTO]]="","",TEXT(LANÇ_MOV[[#This Row],[DATA DE LANÇAMENTO]],"AAAA"))</f>
        <v>2025</v>
      </c>
      <c r="AB443" s="524" t="str">
        <f>IF(LANÇ_MOV[[#This Row],[DATA DE LANÇAMENTO]]="","",UPPER(TEXT(LANÇ_MOV[[#This Row],[DATA DE LANÇAMENTO]],"MMMM")))</f>
        <v>OUTUBRO</v>
      </c>
      <c r="AC443" s="525" t="str">
        <f>IF(LANÇ_MOV[[#This Row],[DATA DE LANÇAMENTO]]="","",PROPER(TEXT(LANÇ_MOV[[#This Row],[DATA DE LANÇAMENTO]],"M")))</f>
        <v>10</v>
      </c>
      <c r="AD443" s="524" t="str">
        <f>IF(LANÇ_MOV[[#This Row],[DATA DE LANÇAMENTO]]="","",TEXT(LANÇ_MOV[[#This Row],[DATA DE LANÇAMENTO]],"D"))</f>
        <v>2</v>
      </c>
      <c r="AE443" s="526" t="str">
        <f>IF(LANÇ_MOV[[#This Row],[DATA DE VENCIMENTO]]="","",TEXT(LANÇ_MOV[[#This Row],[DATA DE VENCIMENTO]],"AAAA"))</f>
        <v>2025</v>
      </c>
      <c r="AF443" s="526" t="str">
        <f>IF(LANÇ_MOV[[#This Row],[DATA DE VENCIMENTO]]="","",UPPER(TEXT(LANÇ_MOV[[#This Row],[DATA DE VENCIMENTO]],"MMMM")))</f>
        <v>NOVEMBRO</v>
      </c>
      <c r="AG443" s="526" t="str">
        <f>IF(LANÇ_MOV[[#This Row],[DATA DE VENCIMENTO]]="","",TEXT(LANÇ_MOV[[#This Row],[DATA DE VENCIMENTO]],"M"))</f>
        <v>11</v>
      </c>
      <c r="AH443" s="526" t="str">
        <f>IF(LANÇ_MOV[[#This Row],[DATA DE VENCIMENTO]]="","",TEXT(LANÇ_MOV[[#This Row],[DATA DE VENCIMENTO]],"D"))</f>
        <v>2</v>
      </c>
      <c r="AI443" s="526" t="str">
        <f>IF(LANÇ_MOV[[#This Row],[DATA DE PAGAMENTO]]="","",TEXT(LANÇ_MOV[[#This Row],[DATA DE PAGAMENTO]],"AAAA"))</f>
        <v>2025</v>
      </c>
      <c r="AJ443" s="527" t="str">
        <f>IF(LANÇ_MOV[[#This Row],[DATA DE PAGAMENTO]]="","",UPPER(TEXT(LANÇ_MOV[[#This Row],[DATA DE PAGAMENTO]],"MMMM")))</f>
        <v>NOVEMBRO</v>
      </c>
      <c r="AK443" s="527" t="str">
        <f>IF(LANÇ_MOV[[#This Row],[DATA DE PAGAMENTO]]="","",TEXT(LANÇ_MOV[[#This Row],[DATA DE PAGAMENTO]],"M"))</f>
        <v>11</v>
      </c>
      <c r="AL443" s="526" t="str">
        <f>IF(LANÇ_MOV[[#This Row],[DATA DE PAGAMENTO]]="","",TEXT(LANÇ_MOV[[#This Row],[DATA DE PAGAMENTO]],"D"))</f>
        <v>4</v>
      </c>
      <c r="AM443" s="27"/>
      <c r="BB443" s="112"/>
      <c r="BC443" s="112"/>
      <c r="BD443" s="112"/>
    </row>
    <row r="444" spans="2:56" ht="30.05" customHeight="1" x14ac:dyDescent="0.35">
      <c r="B444" s="506">
        <v>45932</v>
      </c>
      <c r="C444" s="507" t="s">
        <v>1661</v>
      </c>
      <c r="D444" s="508" t="s">
        <v>1854</v>
      </c>
      <c r="E444" s="509" t="s">
        <v>1103</v>
      </c>
      <c r="F444" s="510" t="s">
        <v>1785</v>
      </c>
      <c r="G444" s="507" t="s">
        <v>1986</v>
      </c>
      <c r="H444" s="511">
        <v>0</v>
      </c>
      <c r="I444" s="512" t="s">
        <v>1708</v>
      </c>
      <c r="J444" s="518">
        <v>350.35</v>
      </c>
      <c r="K444" s="513">
        <v>0</v>
      </c>
      <c r="L444" s="513"/>
      <c r="M444" s="513">
        <v>0</v>
      </c>
      <c r="N444" s="514">
        <f>LANÇ_MOV[[#This Row],[VALOR BRUTO]]-LANÇ_MOV[[#This Row],[DESCONTO]]+LANÇ_MOV[[#This Row],[JUROS]]+LANÇ_MOV[[#This Row],[MULTA]]</f>
        <v>350.35</v>
      </c>
      <c r="O444" s="528">
        <v>45993</v>
      </c>
      <c r="P444" s="516" t="str">
        <f t="shared" ca="1" si="6"/>
        <v>Prazo - Menos de 10 dias</v>
      </c>
      <c r="Q444" s="528"/>
      <c r="R444" s="529" t="s">
        <v>1564</v>
      </c>
      <c r="S444" s="518"/>
      <c r="T444" s="518" t="s">
        <v>1776</v>
      </c>
      <c r="U444" s="519" t="s">
        <v>2008</v>
      </c>
      <c r="V444" s="520" t="str">
        <f>IFERROR(VLOOKUP(LANÇ_MOV[[#This Row],[PLANO DE CONTAS]],Plano_Contas[[PLANO DE CONTAS]:[R / D]],3,0),"")</f>
        <v>Receita</v>
      </c>
      <c r="W444" s="521" t="str">
        <f>IF(LANÇ_MOV[[#This Row],[DATA DE PAGAMENTO]]&lt;&gt;"","Pago","Não Pago")</f>
        <v>Não Pago</v>
      </c>
      <c r="X444" s="522" t="str">
        <f>IFERROR(IF(LANÇ_MOV[[#This Row],[DATA DE PAGAMENTO]]="","",(UPPER(TEXT(LANÇ_MOV[[#This Row],[DATA DE PAGAMENTO]],"mmmm")))),"")</f>
        <v/>
      </c>
      <c r="Y444" s="523" t="str">
        <f>IFERROR(VLOOKUP(LANÇ_MOV[[#This Row],[PLANO DE CONTAS]],Plano_Contas[[PLANO DE CONTAS]:[NOMES INTERVALOS]],2,0),"")</f>
        <v>Receitas_Operacionais</v>
      </c>
      <c r="Z444" s="523" t="str">
        <f>IF(LANÇ_MOV[[#This Row],[FORMA DE PAGAMENTO]]="","",VLOOKUP(LANÇ_MOV[[#This Row],[FORMA DE PAGAMENTO]],CAD_Forma_pagto[],2,0))</f>
        <v>PIX</v>
      </c>
      <c r="AA444" s="524" t="str">
        <f>IF(LANÇ_MOV[[#This Row],[DATA DE LANÇAMENTO]]="","",TEXT(LANÇ_MOV[[#This Row],[DATA DE LANÇAMENTO]],"AAAA"))</f>
        <v>2025</v>
      </c>
      <c r="AB444" s="524" t="str">
        <f>IF(LANÇ_MOV[[#This Row],[DATA DE LANÇAMENTO]]="","",UPPER(TEXT(LANÇ_MOV[[#This Row],[DATA DE LANÇAMENTO]],"MMMM")))</f>
        <v>OUTUBRO</v>
      </c>
      <c r="AC444" s="525" t="str">
        <f>IF(LANÇ_MOV[[#This Row],[DATA DE LANÇAMENTO]]="","",PROPER(TEXT(LANÇ_MOV[[#This Row],[DATA DE LANÇAMENTO]],"M")))</f>
        <v>10</v>
      </c>
      <c r="AD444" s="524" t="str">
        <f>IF(LANÇ_MOV[[#This Row],[DATA DE LANÇAMENTO]]="","",TEXT(LANÇ_MOV[[#This Row],[DATA DE LANÇAMENTO]],"D"))</f>
        <v>2</v>
      </c>
      <c r="AE444" s="526" t="str">
        <f>IF(LANÇ_MOV[[#This Row],[DATA DE VENCIMENTO]]="","",TEXT(LANÇ_MOV[[#This Row],[DATA DE VENCIMENTO]],"AAAA"))</f>
        <v>2025</v>
      </c>
      <c r="AF444" s="526" t="str">
        <f>IF(LANÇ_MOV[[#This Row],[DATA DE VENCIMENTO]]="","",UPPER(TEXT(LANÇ_MOV[[#This Row],[DATA DE VENCIMENTO]],"MMMM")))</f>
        <v>DEZEMBRO</v>
      </c>
      <c r="AG444" s="526" t="str">
        <f>IF(LANÇ_MOV[[#This Row],[DATA DE VENCIMENTO]]="","",TEXT(LANÇ_MOV[[#This Row],[DATA DE VENCIMENTO]],"M"))</f>
        <v>12</v>
      </c>
      <c r="AH444" s="526" t="str">
        <f>IF(LANÇ_MOV[[#This Row],[DATA DE VENCIMENTO]]="","",TEXT(LANÇ_MOV[[#This Row],[DATA DE VENCIMENTO]],"D"))</f>
        <v>2</v>
      </c>
      <c r="AI444" s="526" t="str">
        <f>IF(LANÇ_MOV[[#This Row],[DATA DE PAGAMENTO]]="","",TEXT(LANÇ_MOV[[#This Row],[DATA DE PAGAMENTO]],"AAAA"))</f>
        <v/>
      </c>
      <c r="AJ444" s="527" t="str">
        <f>IF(LANÇ_MOV[[#This Row],[DATA DE PAGAMENTO]]="","",UPPER(TEXT(LANÇ_MOV[[#This Row],[DATA DE PAGAMENTO]],"MMMM")))</f>
        <v/>
      </c>
      <c r="AK444" s="527" t="str">
        <f>IF(LANÇ_MOV[[#This Row],[DATA DE PAGAMENTO]]="","",TEXT(LANÇ_MOV[[#This Row],[DATA DE PAGAMENTO]],"M"))</f>
        <v/>
      </c>
      <c r="AL444" s="526" t="str">
        <f>IF(LANÇ_MOV[[#This Row],[DATA DE PAGAMENTO]]="","",TEXT(LANÇ_MOV[[#This Row],[DATA DE PAGAMENTO]],"D"))</f>
        <v/>
      </c>
      <c r="AM444" s="27"/>
      <c r="BB444" s="112"/>
      <c r="BC444" s="112"/>
      <c r="BD444" s="112"/>
    </row>
    <row r="445" spans="2:56" ht="30.05" customHeight="1" x14ac:dyDescent="0.35">
      <c r="B445" s="506">
        <v>45932</v>
      </c>
      <c r="C445" s="507" t="s">
        <v>1661</v>
      </c>
      <c r="D445" s="508" t="s">
        <v>1854</v>
      </c>
      <c r="E445" s="509" t="s">
        <v>1103</v>
      </c>
      <c r="F445" s="510" t="s">
        <v>1785</v>
      </c>
      <c r="G445" s="507" t="s">
        <v>1987</v>
      </c>
      <c r="H445" s="511">
        <v>0</v>
      </c>
      <c r="I445" s="512" t="s">
        <v>1708</v>
      </c>
      <c r="J445" s="518">
        <v>350.35</v>
      </c>
      <c r="K445" s="513">
        <v>0</v>
      </c>
      <c r="L445" s="513"/>
      <c r="M445" s="513">
        <v>0</v>
      </c>
      <c r="N445" s="514">
        <f>LANÇ_MOV[[#This Row],[VALOR BRUTO]]-LANÇ_MOV[[#This Row],[DESCONTO]]+LANÇ_MOV[[#This Row],[JUROS]]+LANÇ_MOV[[#This Row],[MULTA]]</f>
        <v>350.35</v>
      </c>
      <c r="O445" s="528">
        <v>46024</v>
      </c>
      <c r="P445" s="516" t="str">
        <f t="shared" ca="1" si="6"/>
        <v>Prazo - Mais de 1 mês</v>
      </c>
      <c r="Q445" s="528"/>
      <c r="R445" s="529" t="s">
        <v>1564</v>
      </c>
      <c r="S445" s="518"/>
      <c r="T445" s="518" t="s">
        <v>1776</v>
      </c>
      <c r="U445" s="519" t="s">
        <v>2008</v>
      </c>
      <c r="V445" s="520" t="str">
        <f>IFERROR(VLOOKUP(LANÇ_MOV[[#This Row],[PLANO DE CONTAS]],Plano_Contas[[PLANO DE CONTAS]:[R / D]],3,0),"")</f>
        <v>Receita</v>
      </c>
      <c r="W445" s="521" t="str">
        <f>IF(LANÇ_MOV[[#This Row],[DATA DE PAGAMENTO]]&lt;&gt;"","Pago","Não Pago")</f>
        <v>Não Pago</v>
      </c>
      <c r="X445" s="522" t="str">
        <f>IFERROR(IF(LANÇ_MOV[[#This Row],[DATA DE PAGAMENTO]]="","",(UPPER(TEXT(LANÇ_MOV[[#This Row],[DATA DE PAGAMENTO]],"mmmm")))),"")</f>
        <v/>
      </c>
      <c r="Y445" s="523" t="str">
        <f>IFERROR(VLOOKUP(LANÇ_MOV[[#This Row],[PLANO DE CONTAS]],Plano_Contas[[PLANO DE CONTAS]:[NOMES INTERVALOS]],2,0),"")</f>
        <v>Receitas_Operacionais</v>
      </c>
      <c r="Z445" s="523" t="str">
        <f>IF(LANÇ_MOV[[#This Row],[FORMA DE PAGAMENTO]]="","",VLOOKUP(LANÇ_MOV[[#This Row],[FORMA DE PAGAMENTO]],CAD_Forma_pagto[],2,0))</f>
        <v>PIX</v>
      </c>
      <c r="AA445" s="524" t="str">
        <f>IF(LANÇ_MOV[[#This Row],[DATA DE LANÇAMENTO]]="","",TEXT(LANÇ_MOV[[#This Row],[DATA DE LANÇAMENTO]],"AAAA"))</f>
        <v>2025</v>
      </c>
      <c r="AB445" s="524" t="str">
        <f>IF(LANÇ_MOV[[#This Row],[DATA DE LANÇAMENTO]]="","",UPPER(TEXT(LANÇ_MOV[[#This Row],[DATA DE LANÇAMENTO]],"MMMM")))</f>
        <v>OUTUBRO</v>
      </c>
      <c r="AC445" s="525" t="str">
        <f>IF(LANÇ_MOV[[#This Row],[DATA DE LANÇAMENTO]]="","",PROPER(TEXT(LANÇ_MOV[[#This Row],[DATA DE LANÇAMENTO]],"M")))</f>
        <v>10</v>
      </c>
      <c r="AD445" s="524" t="str">
        <f>IF(LANÇ_MOV[[#This Row],[DATA DE LANÇAMENTO]]="","",TEXT(LANÇ_MOV[[#This Row],[DATA DE LANÇAMENTO]],"D"))</f>
        <v>2</v>
      </c>
      <c r="AE445" s="526" t="str">
        <f>IF(LANÇ_MOV[[#This Row],[DATA DE VENCIMENTO]]="","",TEXT(LANÇ_MOV[[#This Row],[DATA DE VENCIMENTO]],"AAAA"))</f>
        <v>2026</v>
      </c>
      <c r="AF445" s="526" t="str">
        <f>IF(LANÇ_MOV[[#This Row],[DATA DE VENCIMENTO]]="","",UPPER(TEXT(LANÇ_MOV[[#This Row],[DATA DE VENCIMENTO]],"MMMM")))</f>
        <v>JANEIRO</v>
      </c>
      <c r="AG445" s="526" t="str">
        <f>IF(LANÇ_MOV[[#This Row],[DATA DE VENCIMENTO]]="","",TEXT(LANÇ_MOV[[#This Row],[DATA DE VENCIMENTO]],"M"))</f>
        <v>1</v>
      </c>
      <c r="AH445" s="526" t="str">
        <f>IF(LANÇ_MOV[[#This Row],[DATA DE VENCIMENTO]]="","",TEXT(LANÇ_MOV[[#This Row],[DATA DE VENCIMENTO]],"D"))</f>
        <v>2</v>
      </c>
      <c r="AI445" s="526" t="str">
        <f>IF(LANÇ_MOV[[#This Row],[DATA DE PAGAMENTO]]="","",TEXT(LANÇ_MOV[[#This Row],[DATA DE PAGAMENTO]],"AAAA"))</f>
        <v/>
      </c>
      <c r="AJ445" s="527" t="str">
        <f>IF(LANÇ_MOV[[#This Row],[DATA DE PAGAMENTO]]="","",UPPER(TEXT(LANÇ_MOV[[#This Row],[DATA DE PAGAMENTO]],"MMMM")))</f>
        <v/>
      </c>
      <c r="AK445" s="527" t="str">
        <f>IF(LANÇ_MOV[[#This Row],[DATA DE PAGAMENTO]]="","",TEXT(LANÇ_MOV[[#This Row],[DATA DE PAGAMENTO]],"M"))</f>
        <v/>
      </c>
      <c r="AL445" s="526" t="str">
        <f>IF(LANÇ_MOV[[#This Row],[DATA DE PAGAMENTO]]="","",TEXT(LANÇ_MOV[[#This Row],[DATA DE PAGAMENTO]],"D"))</f>
        <v/>
      </c>
      <c r="AM445" s="27"/>
      <c r="BB445" s="112"/>
      <c r="BC445" s="112"/>
      <c r="BD445" s="112"/>
    </row>
    <row r="446" spans="2:56" ht="30.05" customHeight="1" x14ac:dyDescent="0.35">
      <c r="B446" s="506">
        <v>45932</v>
      </c>
      <c r="C446" s="507" t="s">
        <v>1661</v>
      </c>
      <c r="D446" s="508" t="s">
        <v>1854</v>
      </c>
      <c r="E446" s="509" t="s">
        <v>1103</v>
      </c>
      <c r="F446" s="510" t="s">
        <v>1785</v>
      </c>
      <c r="G446" s="507" t="s">
        <v>1855</v>
      </c>
      <c r="H446" s="511">
        <v>0</v>
      </c>
      <c r="I446" s="512" t="s">
        <v>1669</v>
      </c>
      <c r="J446" s="518">
        <v>375.38</v>
      </c>
      <c r="K446" s="513">
        <v>0</v>
      </c>
      <c r="L446" s="513">
        <v>0</v>
      </c>
      <c r="M446" s="513">
        <v>0</v>
      </c>
      <c r="N446" s="514">
        <f>LANÇ_MOV[[#This Row],[VALOR BRUTO]]-LANÇ_MOV[[#This Row],[DESCONTO]]+LANÇ_MOV[[#This Row],[JUROS]]+LANÇ_MOV[[#This Row],[MULTA]]</f>
        <v>375.38</v>
      </c>
      <c r="O446" s="528">
        <v>45932</v>
      </c>
      <c r="P446" s="516" t="str">
        <f t="shared" ca="1" si="6"/>
        <v>Pago</v>
      </c>
      <c r="Q446" s="528">
        <v>45932</v>
      </c>
      <c r="R446" s="529" t="s">
        <v>1564</v>
      </c>
      <c r="S446" s="518"/>
      <c r="T446" s="518" t="s">
        <v>1776</v>
      </c>
      <c r="U446" s="519" t="s">
        <v>2008</v>
      </c>
      <c r="V446" s="520" t="str">
        <f>IFERROR(VLOOKUP(LANÇ_MOV[[#This Row],[PLANO DE CONTAS]],Plano_Contas[[PLANO DE CONTAS]:[R / D]],3,0),"")</f>
        <v>Receita</v>
      </c>
      <c r="W446" s="521" t="str">
        <f>IF(LANÇ_MOV[[#This Row],[DATA DE PAGAMENTO]]&lt;&gt;"","Pago","Não Pago")</f>
        <v>Pago</v>
      </c>
      <c r="X446" s="522" t="str">
        <f>IFERROR(IF(LANÇ_MOV[[#This Row],[DATA DE PAGAMENTO]]="","",(UPPER(TEXT(LANÇ_MOV[[#This Row],[DATA DE PAGAMENTO]],"mmmm")))),"")</f>
        <v>OUTUBRO</v>
      </c>
      <c r="Y446" s="523" t="str">
        <f>IFERROR(VLOOKUP(LANÇ_MOV[[#This Row],[PLANO DE CONTAS]],Plano_Contas[[PLANO DE CONTAS]:[NOMES INTERVALOS]],2,0),"")</f>
        <v>Receitas_Operacionais</v>
      </c>
      <c r="Z446" s="523" t="str">
        <f>IF(LANÇ_MOV[[#This Row],[FORMA DE PAGAMENTO]]="","",VLOOKUP(LANÇ_MOV[[#This Row],[FORMA DE PAGAMENTO]],CAD_Forma_pagto[],2,0))</f>
        <v>PIX</v>
      </c>
      <c r="AA446" s="524" t="str">
        <f>IF(LANÇ_MOV[[#This Row],[DATA DE LANÇAMENTO]]="","",TEXT(LANÇ_MOV[[#This Row],[DATA DE LANÇAMENTO]],"AAAA"))</f>
        <v>2025</v>
      </c>
      <c r="AB446" s="524" t="str">
        <f>IF(LANÇ_MOV[[#This Row],[DATA DE LANÇAMENTO]]="","",UPPER(TEXT(LANÇ_MOV[[#This Row],[DATA DE LANÇAMENTO]],"MMMM")))</f>
        <v>OUTUBRO</v>
      </c>
      <c r="AC446" s="525" t="str">
        <f>IF(LANÇ_MOV[[#This Row],[DATA DE LANÇAMENTO]]="","",PROPER(TEXT(LANÇ_MOV[[#This Row],[DATA DE LANÇAMENTO]],"M")))</f>
        <v>10</v>
      </c>
      <c r="AD446" s="524" t="str">
        <f>IF(LANÇ_MOV[[#This Row],[DATA DE LANÇAMENTO]]="","",TEXT(LANÇ_MOV[[#This Row],[DATA DE LANÇAMENTO]],"D"))</f>
        <v>2</v>
      </c>
      <c r="AE446" s="526" t="str">
        <f>IF(LANÇ_MOV[[#This Row],[DATA DE VENCIMENTO]]="","",TEXT(LANÇ_MOV[[#This Row],[DATA DE VENCIMENTO]],"AAAA"))</f>
        <v>2025</v>
      </c>
      <c r="AF446" s="526" t="str">
        <f>IF(LANÇ_MOV[[#This Row],[DATA DE VENCIMENTO]]="","",UPPER(TEXT(LANÇ_MOV[[#This Row],[DATA DE VENCIMENTO]],"MMMM")))</f>
        <v>OUTUBRO</v>
      </c>
      <c r="AG446" s="526" t="str">
        <f>IF(LANÇ_MOV[[#This Row],[DATA DE VENCIMENTO]]="","",TEXT(LANÇ_MOV[[#This Row],[DATA DE VENCIMENTO]],"M"))</f>
        <v>10</v>
      </c>
      <c r="AH446" s="526" t="str">
        <f>IF(LANÇ_MOV[[#This Row],[DATA DE VENCIMENTO]]="","",TEXT(LANÇ_MOV[[#This Row],[DATA DE VENCIMENTO]],"D"))</f>
        <v>2</v>
      </c>
      <c r="AI446" s="526" t="str">
        <f>IF(LANÇ_MOV[[#This Row],[DATA DE PAGAMENTO]]="","",TEXT(LANÇ_MOV[[#This Row],[DATA DE PAGAMENTO]],"AAAA"))</f>
        <v>2025</v>
      </c>
      <c r="AJ446" s="527" t="str">
        <f>IF(LANÇ_MOV[[#This Row],[DATA DE PAGAMENTO]]="","",UPPER(TEXT(LANÇ_MOV[[#This Row],[DATA DE PAGAMENTO]],"MMMM")))</f>
        <v>OUTUBRO</v>
      </c>
      <c r="AK446" s="527" t="str">
        <f>IF(LANÇ_MOV[[#This Row],[DATA DE PAGAMENTO]]="","",TEXT(LANÇ_MOV[[#This Row],[DATA DE PAGAMENTO]],"M"))</f>
        <v>10</v>
      </c>
      <c r="AL446" s="526" t="str">
        <f>IF(LANÇ_MOV[[#This Row],[DATA DE PAGAMENTO]]="","",TEXT(LANÇ_MOV[[#This Row],[DATA DE PAGAMENTO]],"D"))</f>
        <v>2</v>
      </c>
      <c r="AM446" s="27"/>
      <c r="BB446" s="112"/>
      <c r="BC446" s="112"/>
      <c r="BD446" s="112"/>
    </row>
    <row r="447" spans="2:56" ht="30.05" customHeight="1" x14ac:dyDescent="0.35">
      <c r="B447" s="506">
        <v>45932</v>
      </c>
      <c r="C447" s="507" t="s">
        <v>1661</v>
      </c>
      <c r="D447" s="508" t="s">
        <v>1854</v>
      </c>
      <c r="E447" s="509" t="s">
        <v>1103</v>
      </c>
      <c r="F447" s="510" t="s">
        <v>1785</v>
      </c>
      <c r="G447" s="507" t="s">
        <v>1856</v>
      </c>
      <c r="H447" s="511">
        <v>0</v>
      </c>
      <c r="I447" s="512" t="s">
        <v>1669</v>
      </c>
      <c r="J447" s="518">
        <v>350.35</v>
      </c>
      <c r="K447" s="513">
        <v>0</v>
      </c>
      <c r="L447" s="513">
        <v>0</v>
      </c>
      <c r="M447" s="513">
        <v>0</v>
      </c>
      <c r="N447" s="514">
        <f>LANÇ_MOV[[#This Row],[VALOR BRUTO]]-LANÇ_MOV[[#This Row],[DESCONTO]]+LANÇ_MOV[[#This Row],[JUROS]]+LANÇ_MOV[[#This Row],[MULTA]]</f>
        <v>350.35</v>
      </c>
      <c r="O447" s="528">
        <v>45971</v>
      </c>
      <c r="P447" s="516" t="str">
        <f t="shared" ca="1" si="6"/>
        <v>Pago</v>
      </c>
      <c r="Q447" s="528">
        <v>45964</v>
      </c>
      <c r="R447" s="529" t="s">
        <v>1564</v>
      </c>
      <c r="S447" s="518"/>
      <c r="T447" s="518" t="s">
        <v>1776</v>
      </c>
      <c r="U447" s="519" t="s">
        <v>2008</v>
      </c>
      <c r="V447" s="520" t="str">
        <f>IFERROR(VLOOKUP(LANÇ_MOV[[#This Row],[PLANO DE CONTAS]],Plano_Contas[[PLANO DE CONTAS]:[R / D]],3,0),"")</f>
        <v>Receita</v>
      </c>
      <c r="W447" s="521" t="str">
        <f>IF(LANÇ_MOV[[#This Row],[DATA DE PAGAMENTO]]&lt;&gt;"","Pago","Não Pago")</f>
        <v>Pago</v>
      </c>
      <c r="X447" s="522" t="str">
        <f>IFERROR(IF(LANÇ_MOV[[#This Row],[DATA DE PAGAMENTO]]="","",(UPPER(TEXT(LANÇ_MOV[[#This Row],[DATA DE PAGAMENTO]],"mmmm")))),"")</f>
        <v>NOVEMBRO</v>
      </c>
      <c r="Y447" s="523" t="str">
        <f>IFERROR(VLOOKUP(LANÇ_MOV[[#This Row],[PLANO DE CONTAS]],Plano_Contas[[PLANO DE CONTAS]:[NOMES INTERVALOS]],2,0),"")</f>
        <v>Receitas_Operacionais</v>
      </c>
      <c r="Z447" s="523" t="str">
        <f>IF(LANÇ_MOV[[#This Row],[FORMA DE PAGAMENTO]]="","",VLOOKUP(LANÇ_MOV[[#This Row],[FORMA DE PAGAMENTO]],CAD_Forma_pagto[],2,0))</f>
        <v>PIX</v>
      </c>
      <c r="AA447" s="524" t="str">
        <f>IF(LANÇ_MOV[[#This Row],[DATA DE LANÇAMENTO]]="","",TEXT(LANÇ_MOV[[#This Row],[DATA DE LANÇAMENTO]],"AAAA"))</f>
        <v>2025</v>
      </c>
      <c r="AB447" s="524" t="str">
        <f>IF(LANÇ_MOV[[#This Row],[DATA DE LANÇAMENTO]]="","",UPPER(TEXT(LANÇ_MOV[[#This Row],[DATA DE LANÇAMENTO]],"MMMM")))</f>
        <v>OUTUBRO</v>
      </c>
      <c r="AC447" s="525" t="str">
        <f>IF(LANÇ_MOV[[#This Row],[DATA DE LANÇAMENTO]]="","",PROPER(TEXT(LANÇ_MOV[[#This Row],[DATA DE LANÇAMENTO]],"M")))</f>
        <v>10</v>
      </c>
      <c r="AD447" s="524" t="str">
        <f>IF(LANÇ_MOV[[#This Row],[DATA DE LANÇAMENTO]]="","",TEXT(LANÇ_MOV[[#This Row],[DATA DE LANÇAMENTO]],"D"))</f>
        <v>2</v>
      </c>
      <c r="AE447" s="526" t="str">
        <f>IF(LANÇ_MOV[[#This Row],[DATA DE VENCIMENTO]]="","",TEXT(LANÇ_MOV[[#This Row],[DATA DE VENCIMENTO]],"AAAA"))</f>
        <v>2025</v>
      </c>
      <c r="AF447" s="526" t="str">
        <f>IF(LANÇ_MOV[[#This Row],[DATA DE VENCIMENTO]]="","",UPPER(TEXT(LANÇ_MOV[[#This Row],[DATA DE VENCIMENTO]],"MMMM")))</f>
        <v>NOVEMBRO</v>
      </c>
      <c r="AG447" s="526" t="str">
        <f>IF(LANÇ_MOV[[#This Row],[DATA DE VENCIMENTO]]="","",TEXT(LANÇ_MOV[[#This Row],[DATA DE VENCIMENTO]],"M"))</f>
        <v>11</v>
      </c>
      <c r="AH447" s="526" t="str">
        <f>IF(LANÇ_MOV[[#This Row],[DATA DE VENCIMENTO]]="","",TEXT(LANÇ_MOV[[#This Row],[DATA DE VENCIMENTO]],"D"))</f>
        <v>10</v>
      </c>
      <c r="AI447" s="526" t="str">
        <f>IF(LANÇ_MOV[[#This Row],[DATA DE PAGAMENTO]]="","",TEXT(LANÇ_MOV[[#This Row],[DATA DE PAGAMENTO]],"AAAA"))</f>
        <v>2025</v>
      </c>
      <c r="AJ447" s="527" t="str">
        <f>IF(LANÇ_MOV[[#This Row],[DATA DE PAGAMENTO]]="","",UPPER(TEXT(LANÇ_MOV[[#This Row],[DATA DE PAGAMENTO]],"MMMM")))</f>
        <v>NOVEMBRO</v>
      </c>
      <c r="AK447" s="527" t="str">
        <f>IF(LANÇ_MOV[[#This Row],[DATA DE PAGAMENTO]]="","",TEXT(LANÇ_MOV[[#This Row],[DATA DE PAGAMENTO]],"M"))</f>
        <v>11</v>
      </c>
      <c r="AL447" s="526" t="str">
        <f>IF(LANÇ_MOV[[#This Row],[DATA DE PAGAMENTO]]="","",TEXT(LANÇ_MOV[[#This Row],[DATA DE PAGAMENTO]],"D"))</f>
        <v>3</v>
      </c>
      <c r="AM447" s="27"/>
      <c r="BB447" s="112"/>
      <c r="BC447" s="112"/>
      <c r="BD447" s="112"/>
    </row>
    <row r="448" spans="2:56" ht="30.05" customHeight="1" x14ac:dyDescent="0.35">
      <c r="B448" s="506">
        <v>45932</v>
      </c>
      <c r="C448" s="507" t="s">
        <v>1661</v>
      </c>
      <c r="D448" s="508" t="s">
        <v>1854</v>
      </c>
      <c r="E448" s="509" t="s">
        <v>1103</v>
      </c>
      <c r="F448" s="510" t="s">
        <v>1785</v>
      </c>
      <c r="G448" s="507" t="s">
        <v>1857</v>
      </c>
      <c r="H448" s="511">
        <v>0</v>
      </c>
      <c r="I448" s="512" t="s">
        <v>1669</v>
      </c>
      <c r="J448" s="518">
        <v>375.38</v>
      </c>
      <c r="K448" s="513">
        <v>0</v>
      </c>
      <c r="L448" s="513"/>
      <c r="M448" s="513">
        <v>0</v>
      </c>
      <c r="N448" s="514">
        <f>LANÇ_MOV[[#This Row],[VALOR BRUTO]]-LANÇ_MOV[[#This Row],[DESCONTO]]+LANÇ_MOV[[#This Row],[JUROS]]+LANÇ_MOV[[#This Row],[MULTA]]</f>
        <v>375.38</v>
      </c>
      <c r="O448" s="528">
        <v>46001</v>
      </c>
      <c r="P448" s="516" t="str">
        <f t="shared" ca="1" si="6"/>
        <v>Prazo - Menos de 15 dias</v>
      </c>
      <c r="Q448" s="528"/>
      <c r="R448" s="529" t="s">
        <v>1564</v>
      </c>
      <c r="S448" s="518"/>
      <c r="T448" s="518" t="s">
        <v>1776</v>
      </c>
      <c r="U448" s="519" t="s">
        <v>2008</v>
      </c>
      <c r="V448" s="520" t="str">
        <f>IFERROR(VLOOKUP(LANÇ_MOV[[#This Row],[PLANO DE CONTAS]],Plano_Contas[[PLANO DE CONTAS]:[R / D]],3,0),"")</f>
        <v>Receita</v>
      </c>
      <c r="W448" s="521" t="str">
        <f>IF(LANÇ_MOV[[#This Row],[DATA DE PAGAMENTO]]&lt;&gt;"","Pago","Não Pago")</f>
        <v>Não Pago</v>
      </c>
      <c r="X448" s="522" t="str">
        <f>IFERROR(IF(LANÇ_MOV[[#This Row],[DATA DE PAGAMENTO]]="","",(UPPER(TEXT(LANÇ_MOV[[#This Row],[DATA DE PAGAMENTO]],"mmmm")))),"")</f>
        <v/>
      </c>
      <c r="Y448" s="523" t="str">
        <f>IFERROR(VLOOKUP(LANÇ_MOV[[#This Row],[PLANO DE CONTAS]],Plano_Contas[[PLANO DE CONTAS]:[NOMES INTERVALOS]],2,0),"")</f>
        <v>Receitas_Operacionais</v>
      </c>
      <c r="Z448" s="523" t="str">
        <f>IF(LANÇ_MOV[[#This Row],[FORMA DE PAGAMENTO]]="","",VLOOKUP(LANÇ_MOV[[#This Row],[FORMA DE PAGAMENTO]],CAD_Forma_pagto[],2,0))</f>
        <v>PIX</v>
      </c>
      <c r="AA448" s="524" t="str">
        <f>IF(LANÇ_MOV[[#This Row],[DATA DE LANÇAMENTO]]="","",TEXT(LANÇ_MOV[[#This Row],[DATA DE LANÇAMENTO]],"AAAA"))</f>
        <v>2025</v>
      </c>
      <c r="AB448" s="524" t="str">
        <f>IF(LANÇ_MOV[[#This Row],[DATA DE LANÇAMENTO]]="","",UPPER(TEXT(LANÇ_MOV[[#This Row],[DATA DE LANÇAMENTO]],"MMMM")))</f>
        <v>OUTUBRO</v>
      </c>
      <c r="AC448" s="525" t="str">
        <f>IF(LANÇ_MOV[[#This Row],[DATA DE LANÇAMENTO]]="","",PROPER(TEXT(LANÇ_MOV[[#This Row],[DATA DE LANÇAMENTO]],"M")))</f>
        <v>10</v>
      </c>
      <c r="AD448" s="524" t="str">
        <f>IF(LANÇ_MOV[[#This Row],[DATA DE LANÇAMENTO]]="","",TEXT(LANÇ_MOV[[#This Row],[DATA DE LANÇAMENTO]],"D"))</f>
        <v>2</v>
      </c>
      <c r="AE448" s="526" t="str">
        <f>IF(LANÇ_MOV[[#This Row],[DATA DE VENCIMENTO]]="","",TEXT(LANÇ_MOV[[#This Row],[DATA DE VENCIMENTO]],"AAAA"))</f>
        <v>2025</v>
      </c>
      <c r="AF448" s="526" t="str">
        <f>IF(LANÇ_MOV[[#This Row],[DATA DE VENCIMENTO]]="","",UPPER(TEXT(LANÇ_MOV[[#This Row],[DATA DE VENCIMENTO]],"MMMM")))</f>
        <v>DEZEMBRO</v>
      </c>
      <c r="AG448" s="526" t="str">
        <f>IF(LANÇ_MOV[[#This Row],[DATA DE VENCIMENTO]]="","",TEXT(LANÇ_MOV[[#This Row],[DATA DE VENCIMENTO]],"M"))</f>
        <v>12</v>
      </c>
      <c r="AH448" s="526" t="str">
        <f>IF(LANÇ_MOV[[#This Row],[DATA DE VENCIMENTO]]="","",TEXT(LANÇ_MOV[[#This Row],[DATA DE VENCIMENTO]],"D"))</f>
        <v>10</v>
      </c>
      <c r="AI448" s="526" t="str">
        <f>IF(LANÇ_MOV[[#This Row],[DATA DE PAGAMENTO]]="","",TEXT(LANÇ_MOV[[#This Row],[DATA DE PAGAMENTO]],"AAAA"))</f>
        <v/>
      </c>
      <c r="AJ448" s="527" t="str">
        <f>IF(LANÇ_MOV[[#This Row],[DATA DE PAGAMENTO]]="","",UPPER(TEXT(LANÇ_MOV[[#This Row],[DATA DE PAGAMENTO]],"MMMM")))</f>
        <v/>
      </c>
      <c r="AK448" s="527" t="str">
        <f>IF(LANÇ_MOV[[#This Row],[DATA DE PAGAMENTO]]="","",TEXT(LANÇ_MOV[[#This Row],[DATA DE PAGAMENTO]],"M"))</f>
        <v/>
      </c>
      <c r="AL448" s="526" t="str">
        <f>IF(LANÇ_MOV[[#This Row],[DATA DE PAGAMENTO]]="","",TEXT(LANÇ_MOV[[#This Row],[DATA DE PAGAMENTO]],"D"))</f>
        <v/>
      </c>
      <c r="AM448" s="27"/>
      <c r="BB448" s="112"/>
      <c r="BC448" s="112"/>
      <c r="BD448" s="112"/>
    </row>
    <row r="449" spans="2:56" ht="30.05" customHeight="1" x14ac:dyDescent="0.35">
      <c r="B449" s="506">
        <v>45932</v>
      </c>
      <c r="C449" s="507" t="s">
        <v>1661</v>
      </c>
      <c r="D449" s="508" t="s">
        <v>1854</v>
      </c>
      <c r="E449" s="509" t="s">
        <v>1103</v>
      </c>
      <c r="F449" s="510" t="s">
        <v>1785</v>
      </c>
      <c r="G449" s="507" t="s">
        <v>1858</v>
      </c>
      <c r="H449" s="511">
        <v>0</v>
      </c>
      <c r="I449" s="512" t="s">
        <v>1669</v>
      </c>
      <c r="J449" s="518">
        <v>375.38</v>
      </c>
      <c r="K449" s="513">
        <v>0</v>
      </c>
      <c r="L449" s="513"/>
      <c r="M449" s="513">
        <v>0</v>
      </c>
      <c r="N449" s="514">
        <f>LANÇ_MOV[[#This Row],[VALOR BRUTO]]-LANÇ_MOV[[#This Row],[DESCONTO]]+LANÇ_MOV[[#This Row],[JUROS]]+LANÇ_MOV[[#This Row],[MULTA]]</f>
        <v>375.38</v>
      </c>
      <c r="O449" s="528">
        <v>46032</v>
      </c>
      <c r="P449" s="516" t="str">
        <f t="shared" ca="1" si="6"/>
        <v>Prazo - Mais de 1 mês</v>
      </c>
      <c r="Q449" s="528"/>
      <c r="R449" s="529" t="s">
        <v>1564</v>
      </c>
      <c r="S449" s="518"/>
      <c r="T449" s="518" t="s">
        <v>1776</v>
      </c>
      <c r="U449" s="519" t="s">
        <v>2008</v>
      </c>
      <c r="V449" s="520" t="str">
        <f>IFERROR(VLOOKUP(LANÇ_MOV[[#This Row],[PLANO DE CONTAS]],Plano_Contas[[PLANO DE CONTAS]:[R / D]],3,0),"")</f>
        <v>Receita</v>
      </c>
      <c r="W449" s="521" t="str">
        <f>IF(LANÇ_MOV[[#This Row],[DATA DE PAGAMENTO]]&lt;&gt;"","Pago","Não Pago")</f>
        <v>Não Pago</v>
      </c>
      <c r="X449" s="522" t="str">
        <f>IFERROR(IF(LANÇ_MOV[[#This Row],[DATA DE PAGAMENTO]]="","",(UPPER(TEXT(LANÇ_MOV[[#This Row],[DATA DE PAGAMENTO]],"mmmm")))),"")</f>
        <v/>
      </c>
      <c r="Y449" s="523" t="str">
        <f>IFERROR(VLOOKUP(LANÇ_MOV[[#This Row],[PLANO DE CONTAS]],Plano_Contas[[PLANO DE CONTAS]:[NOMES INTERVALOS]],2,0),"")</f>
        <v>Receitas_Operacionais</v>
      </c>
      <c r="Z449" s="523" t="str">
        <f>IF(LANÇ_MOV[[#This Row],[FORMA DE PAGAMENTO]]="","",VLOOKUP(LANÇ_MOV[[#This Row],[FORMA DE PAGAMENTO]],CAD_Forma_pagto[],2,0))</f>
        <v>PIX</v>
      </c>
      <c r="AA449" s="524" t="str">
        <f>IF(LANÇ_MOV[[#This Row],[DATA DE LANÇAMENTO]]="","",TEXT(LANÇ_MOV[[#This Row],[DATA DE LANÇAMENTO]],"AAAA"))</f>
        <v>2025</v>
      </c>
      <c r="AB449" s="524" t="str">
        <f>IF(LANÇ_MOV[[#This Row],[DATA DE LANÇAMENTO]]="","",UPPER(TEXT(LANÇ_MOV[[#This Row],[DATA DE LANÇAMENTO]],"MMMM")))</f>
        <v>OUTUBRO</v>
      </c>
      <c r="AC449" s="525" t="str">
        <f>IF(LANÇ_MOV[[#This Row],[DATA DE LANÇAMENTO]]="","",PROPER(TEXT(LANÇ_MOV[[#This Row],[DATA DE LANÇAMENTO]],"M")))</f>
        <v>10</v>
      </c>
      <c r="AD449" s="524" t="str">
        <f>IF(LANÇ_MOV[[#This Row],[DATA DE LANÇAMENTO]]="","",TEXT(LANÇ_MOV[[#This Row],[DATA DE LANÇAMENTO]],"D"))</f>
        <v>2</v>
      </c>
      <c r="AE449" s="526" t="str">
        <f>IF(LANÇ_MOV[[#This Row],[DATA DE VENCIMENTO]]="","",TEXT(LANÇ_MOV[[#This Row],[DATA DE VENCIMENTO]],"AAAA"))</f>
        <v>2026</v>
      </c>
      <c r="AF449" s="526" t="str">
        <f>IF(LANÇ_MOV[[#This Row],[DATA DE VENCIMENTO]]="","",UPPER(TEXT(LANÇ_MOV[[#This Row],[DATA DE VENCIMENTO]],"MMMM")))</f>
        <v>JANEIRO</v>
      </c>
      <c r="AG449" s="526" t="str">
        <f>IF(LANÇ_MOV[[#This Row],[DATA DE VENCIMENTO]]="","",TEXT(LANÇ_MOV[[#This Row],[DATA DE VENCIMENTO]],"M"))</f>
        <v>1</v>
      </c>
      <c r="AH449" s="526" t="str">
        <f>IF(LANÇ_MOV[[#This Row],[DATA DE VENCIMENTO]]="","",TEXT(LANÇ_MOV[[#This Row],[DATA DE VENCIMENTO]],"D"))</f>
        <v>10</v>
      </c>
      <c r="AI449" s="526" t="str">
        <f>IF(LANÇ_MOV[[#This Row],[DATA DE PAGAMENTO]]="","",TEXT(LANÇ_MOV[[#This Row],[DATA DE PAGAMENTO]],"AAAA"))</f>
        <v/>
      </c>
      <c r="AJ449" s="527" t="str">
        <f>IF(LANÇ_MOV[[#This Row],[DATA DE PAGAMENTO]]="","",UPPER(TEXT(LANÇ_MOV[[#This Row],[DATA DE PAGAMENTO]],"MMMM")))</f>
        <v/>
      </c>
      <c r="AK449" s="527" t="str">
        <f>IF(LANÇ_MOV[[#This Row],[DATA DE PAGAMENTO]]="","",TEXT(LANÇ_MOV[[#This Row],[DATA DE PAGAMENTO]],"M"))</f>
        <v/>
      </c>
      <c r="AL449" s="526" t="str">
        <f>IF(LANÇ_MOV[[#This Row],[DATA DE PAGAMENTO]]="","",TEXT(LANÇ_MOV[[#This Row],[DATA DE PAGAMENTO]],"D"))</f>
        <v/>
      </c>
      <c r="AM449" s="27"/>
      <c r="BB449" s="112"/>
      <c r="BC449" s="112"/>
      <c r="BD449" s="112"/>
    </row>
    <row r="450" spans="2:56" ht="30.05" customHeight="1" x14ac:dyDescent="0.35">
      <c r="B450" s="506">
        <v>45933</v>
      </c>
      <c r="C450" s="507" t="s">
        <v>1661</v>
      </c>
      <c r="D450" s="508" t="s">
        <v>1854</v>
      </c>
      <c r="E450" s="509" t="s">
        <v>1144</v>
      </c>
      <c r="F450" s="510" t="s">
        <v>1461</v>
      </c>
      <c r="G450" s="507"/>
      <c r="H450" s="511"/>
      <c r="I450" s="512" t="s">
        <v>1756</v>
      </c>
      <c r="J450" s="510">
        <v>22</v>
      </c>
      <c r="K450" s="513">
        <v>0</v>
      </c>
      <c r="L450" s="513"/>
      <c r="M450" s="513">
        <v>0</v>
      </c>
      <c r="N450" s="514">
        <f>LANÇ_MOV[[#This Row],[VALOR BRUTO]]-LANÇ_MOV[[#This Row],[DESCONTO]]+LANÇ_MOV[[#This Row],[JUROS]]+LANÇ_MOV[[#This Row],[MULTA]]</f>
        <v>22</v>
      </c>
      <c r="O450" s="528">
        <v>45933</v>
      </c>
      <c r="P450" s="516" t="str">
        <f t="shared" ca="1" si="6"/>
        <v>Pago</v>
      </c>
      <c r="Q450" s="528">
        <v>45933</v>
      </c>
      <c r="R450" s="529" t="s">
        <v>1564</v>
      </c>
      <c r="S450" s="518"/>
      <c r="T450" s="518" t="s">
        <v>1776</v>
      </c>
      <c r="U450" s="519" t="s">
        <v>2007</v>
      </c>
      <c r="V450" s="520" t="str">
        <f>IFERROR(VLOOKUP(LANÇ_MOV[[#This Row],[PLANO DE CONTAS]],Plano_Contas[[PLANO DE CONTAS]:[R / D]],3,0),"")</f>
        <v>Despesa</v>
      </c>
      <c r="W450" s="521" t="str">
        <f>IF(LANÇ_MOV[[#This Row],[DATA DE PAGAMENTO]]&lt;&gt;"","Pago","Não Pago")</f>
        <v>Pago</v>
      </c>
      <c r="X450" s="522" t="str">
        <f>IFERROR(IF(LANÇ_MOV[[#This Row],[DATA DE PAGAMENTO]]="","",(UPPER(TEXT(LANÇ_MOV[[#This Row],[DATA DE PAGAMENTO]],"mmmm")))),"")</f>
        <v>OUTUBRO</v>
      </c>
      <c r="Y450" s="523" t="str">
        <f>IFERROR(VLOOKUP(LANÇ_MOV[[#This Row],[PLANO DE CONTAS]],Plano_Contas[[PLANO DE CONTAS]:[NOMES INTERVALOS]],2,0),"")</f>
        <v>Despesas_Administrativas</v>
      </c>
      <c r="Z450" s="523" t="str">
        <f>IF(LANÇ_MOV[[#This Row],[FORMA DE PAGAMENTO]]="","",VLOOKUP(LANÇ_MOV[[#This Row],[FORMA DE PAGAMENTO]],CAD_Forma_pagto[],2,0))</f>
        <v>PIX</v>
      </c>
      <c r="AA450" s="524" t="str">
        <f>IF(LANÇ_MOV[[#This Row],[DATA DE LANÇAMENTO]]="","",TEXT(LANÇ_MOV[[#This Row],[DATA DE LANÇAMENTO]],"AAAA"))</f>
        <v>2025</v>
      </c>
      <c r="AB450" s="524" t="str">
        <f>IF(LANÇ_MOV[[#This Row],[DATA DE LANÇAMENTO]]="","",UPPER(TEXT(LANÇ_MOV[[#This Row],[DATA DE LANÇAMENTO]],"MMMM")))</f>
        <v>OUTUBRO</v>
      </c>
      <c r="AC450" s="525" t="str">
        <f>IF(LANÇ_MOV[[#This Row],[DATA DE LANÇAMENTO]]="","",PROPER(TEXT(LANÇ_MOV[[#This Row],[DATA DE LANÇAMENTO]],"M")))</f>
        <v>10</v>
      </c>
      <c r="AD450" s="524" t="str">
        <f>IF(LANÇ_MOV[[#This Row],[DATA DE LANÇAMENTO]]="","",TEXT(LANÇ_MOV[[#This Row],[DATA DE LANÇAMENTO]],"D"))</f>
        <v>3</v>
      </c>
      <c r="AE450" s="526" t="str">
        <f>IF(LANÇ_MOV[[#This Row],[DATA DE VENCIMENTO]]="","",TEXT(LANÇ_MOV[[#This Row],[DATA DE VENCIMENTO]],"AAAA"))</f>
        <v>2025</v>
      </c>
      <c r="AF450" s="526" t="str">
        <f>IF(LANÇ_MOV[[#This Row],[DATA DE VENCIMENTO]]="","",UPPER(TEXT(LANÇ_MOV[[#This Row],[DATA DE VENCIMENTO]],"MMMM")))</f>
        <v>OUTUBRO</v>
      </c>
      <c r="AG450" s="526" t="str">
        <f>IF(LANÇ_MOV[[#This Row],[DATA DE VENCIMENTO]]="","",TEXT(LANÇ_MOV[[#This Row],[DATA DE VENCIMENTO]],"M"))</f>
        <v>10</v>
      </c>
      <c r="AH450" s="526" t="str">
        <f>IF(LANÇ_MOV[[#This Row],[DATA DE VENCIMENTO]]="","",TEXT(LANÇ_MOV[[#This Row],[DATA DE VENCIMENTO]],"D"))</f>
        <v>3</v>
      </c>
      <c r="AI450" s="526" t="str">
        <f>IF(LANÇ_MOV[[#This Row],[DATA DE PAGAMENTO]]="","",TEXT(LANÇ_MOV[[#This Row],[DATA DE PAGAMENTO]],"AAAA"))</f>
        <v>2025</v>
      </c>
      <c r="AJ450" s="527" t="str">
        <f>IF(LANÇ_MOV[[#This Row],[DATA DE PAGAMENTO]]="","",UPPER(TEXT(LANÇ_MOV[[#This Row],[DATA DE PAGAMENTO]],"MMMM")))</f>
        <v>OUTUBRO</v>
      </c>
      <c r="AK450" s="527" t="str">
        <f>IF(LANÇ_MOV[[#This Row],[DATA DE PAGAMENTO]]="","",TEXT(LANÇ_MOV[[#This Row],[DATA DE PAGAMENTO]],"M"))</f>
        <v>10</v>
      </c>
      <c r="AL450" s="526" t="str">
        <f>IF(LANÇ_MOV[[#This Row],[DATA DE PAGAMENTO]]="","",TEXT(LANÇ_MOV[[#This Row],[DATA DE PAGAMENTO]],"D"))</f>
        <v>3</v>
      </c>
      <c r="AM450" s="27"/>
      <c r="BB450" s="112"/>
      <c r="BC450" s="112"/>
      <c r="BD450" s="112"/>
    </row>
    <row r="451" spans="2:56" ht="30.05" customHeight="1" x14ac:dyDescent="0.35">
      <c r="B451" s="506">
        <v>45933</v>
      </c>
      <c r="C451" s="507" t="s">
        <v>1661</v>
      </c>
      <c r="D451" s="508" t="s">
        <v>1854</v>
      </c>
      <c r="E451" s="509" t="s">
        <v>1144</v>
      </c>
      <c r="F451" s="510" t="s">
        <v>1489</v>
      </c>
      <c r="G451" s="507"/>
      <c r="H451" s="511"/>
      <c r="I451" s="512" t="s">
        <v>1740</v>
      </c>
      <c r="J451" s="518">
        <v>42</v>
      </c>
      <c r="K451" s="513">
        <v>0</v>
      </c>
      <c r="L451" s="513"/>
      <c r="M451" s="513">
        <v>0</v>
      </c>
      <c r="N451" s="514">
        <f>LANÇ_MOV[[#This Row],[VALOR BRUTO]]-LANÇ_MOV[[#This Row],[DESCONTO]]+LANÇ_MOV[[#This Row],[JUROS]]+LANÇ_MOV[[#This Row],[MULTA]]</f>
        <v>42</v>
      </c>
      <c r="O451" s="528">
        <v>45933</v>
      </c>
      <c r="P451" s="516" t="str">
        <f t="shared" ca="1" si="6"/>
        <v>Pago</v>
      </c>
      <c r="Q451" s="528">
        <v>45933</v>
      </c>
      <c r="R451" s="529" t="s">
        <v>1564</v>
      </c>
      <c r="S451" s="518"/>
      <c r="T451" s="518" t="s">
        <v>1776</v>
      </c>
      <c r="U451" s="519" t="s">
        <v>2007</v>
      </c>
      <c r="V451" s="520" t="str">
        <f>IFERROR(VLOOKUP(LANÇ_MOV[[#This Row],[PLANO DE CONTAS]],Plano_Contas[[PLANO DE CONTAS]:[R / D]],3,0),"")</f>
        <v>Despesa</v>
      </c>
      <c r="W451" s="521" t="str">
        <f>IF(LANÇ_MOV[[#This Row],[DATA DE PAGAMENTO]]&lt;&gt;"","Pago","Não Pago")</f>
        <v>Pago</v>
      </c>
      <c r="X451" s="522" t="str">
        <f>IFERROR(IF(LANÇ_MOV[[#This Row],[DATA DE PAGAMENTO]]="","",(UPPER(TEXT(LANÇ_MOV[[#This Row],[DATA DE PAGAMENTO]],"mmmm")))),"")</f>
        <v>OUTUBRO</v>
      </c>
      <c r="Y451" s="523" t="str">
        <f>IFERROR(VLOOKUP(LANÇ_MOV[[#This Row],[PLANO DE CONTAS]],Plano_Contas[[PLANO DE CONTAS]:[NOMES INTERVALOS]],2,0),"")</f>
        <v>Despesas_Administrativas</v>
      </c>
      <c r="Z451" s="523" t="str">
        <f>IF(LANÇ_MOV[[#This Row],[FORMA DE PAGAMENTO]]="","",VLOOKUP(LANÇ_MOV[[#This Row],[FORMA DE PAGAMENTO]],CAD_Forma_pagto[],2,0))</f>
        <v>PIX</v>
      </c>
      <c r="AA451" s="524" t="str">
        <f>IF(LANÇ_MOV[[#This Row],[DATA DE LANÇAMENTO]]="","",TEXT(LANÇ_MOV[[#This Row],[DATA DE LANÇAMENTO]],"AAAA"))</f>
        <v>2025</v>
      </c>
      <c r="AB451" s="524" t="str">
        <f>IF(LANÇ_MOV[[#This Row],[DATA DE LANÇAMENTO]]="","",UPPER(TEXT(LANÇ_MOV[[#This Row],[DATA DE LANÇAMENTO]],"MMMM")))</f>
        <v>OUTUBRO</v>
      </c>
      <c r="AC451" s="525" t="str">
        <f>IF(LANÇ_MOV[[#This Row],[DATA DE LANÇAMENTO]]="","",PROPER(TEXT(LANÇ_MOV[[#This Row],[DATA DE LANÇAMENTO]],"M")))</f>
        <v>10</v>
      </c>
      <c r="AD451" s="524" t="str">
        <f>IF(LANÇ_MOV[[#This Row],[DATA DE LANÇAMENTO]]="","",TEXT(LANÇ_MOV[[#This Row],[DATA DE LANÇAMENTO]],"D"))</f>
        <v>3</v>
      </c>
      <c r="AE451" s="526" t="str">
        <f>IF(LANÇ_MOV[[#This Row],[DATA DE VENCIMENTO]]="","",TEXT(LANÇ_MOV[[#This Row],[DATA DE VENCIMENTO]],"AAAA"))</f>
        <v>2025</v>
      </c>
      <c r="AF451" s="526" t="str">
        <f>IF(LANÇ_MOV[[#This Row],[DATA DE VENCIMENTO]]="","",UPPER(TEXT(LANÇ_MOV[[#This Row],[DATA DE VENCIMENTO]],"MMMM")))</f>
        <v>OUTUBRO</v>
      </c>
      <c r="AG451" s="526" t="str">
        <f>IF(LANÇ_MOV[[#This Row],[DATA DE VENCIMENTO]]="","",TEXT(LANÇ_MOV[[#This Row],[DATA DE VENCIMENTO]],"M"))</f>
        <v>10</v>
      </c>
      <c r="AH451" s="526" t="str">
        <f>IF(LANÇ_MOV[[#This Row],[DATA DE VENCIMENTO]]="","",TEXT(LANÇ_MOV[[#This Row],[DATA DE VENCIMENTO]],"D"))</f>
        <v>3</v>
      </c>
      <c r="AI451" s="526" t="str">
        <f>IF(LANÇ_MOV[[#This Row],[DATA DE PAGAMENTO]]="","",TEXT(LANÇ_MOV[[#This Row],[DATA DE PAGAMENTO]],"AAAA"))</f>
        <v>2025</v>
      </c>
      <c r="AJ451" s="527" t="str">
        <f>IF(LANÇ_MOV[[#This Row],[DATA DE PAGAMENTO]]="","",UPPER(TEXT(LANÇ_MOV[[#This Row],[DATA DE PAGAMENTO]],"MMMM")))</f>
        <v>OUTUBRO</v>
      </c>
      <c r="AK451" s="527" t="str">
        <f>IF(LANÇ_MOV[[#This Row],[DATA DE PAGAMENTO]]="","",TEXT(LANÇ_MOV[[#This Row],[DATA DE PAGAMENTO]],"M"))</f>
        <v>10</v>
      </c>
      <c r="AL451" s="526" t="str">
        <f>IF(LANÇ_MOV[[#This Row],[DATA DE PAGAMENTO]]="","",TEXT(LANÇ_MOV[[#This Row],[DATA DE PAGAMENTO]],"D"))</f>
        <v>3</v>
      </c>
      <c r="AM451" s="27"/>
      <c r="BB451" s="112"/>
      <c r="BC451" s="112"/>
      <c r="BD451" s="112"/>
    </row>
    <row r="452" spans="2:56" ht="30.05" customHeight="1" x14ac:dyDescent="0.35">
      <c r="B452" s="506">
        <v>45933</v>
      </c>
      <c r="C452" s="507" t="s">
        <v>1661</v>
      </c>
      <c r="D452" s="508" t="s">
        <v>1854</v>
      </c>
      <c r="E452" s="509" t="s">
        <v>1103</v>
      </c>
      <c r="F452" s="510" t="s">
        <v>1785</v>
      </c>
      <c r="G452" s="507" t="s">
        <v>1988</v>
      </c>
      <c r="H452" s="511">
        <v>0</v>
      </c>
      <c r="I452" s="512" t="s">
        <v>1672</v>
      </c>
      <c r="J452" s="510">
        <v>375.88</v>
      </c>
      <c r="K452" s="513">
        <v>0</v>
      </c>
      <c r="L452" s="513">
        <v>0</v>
      </c>
      <c r="M452" s="513">
        <v>0</v>
      </c>
      <c r="N452" s="514">
        <f>LANÇ_MOV[[#This Row],[VALOR BRUTO]]-LANÇ_MOV[[#This Row],[DESCONTO]]+LANÇ_MOV[[#This Row],[JUROS]]+LANÇ_MOV[[#This Row],[MULTA]]</f>
        <v>375.88</v>
      </c>
      <c r="O452" s="528">
        <v>45933</v>
      </c>
      <c r="P452" s="516" t="str">
        <f t="shared" ca="1" si="6"/>
        <v>Pago</v>
      </c>
      <c r="Q452" s="528">
        <v>45933</v>
      </c>
      <c r="R452" s="518" t="s">
        <v>1564</v>
      </c>
      <c r="S452" s="518"/>
      <c r="T452" s="518" t="s">
        <v>1776</v>
      </c>
      <c r="U452" s="519" t="s">
        <v>2008</v>
      </c>
      <c r="V452" s="520" t="str">
        <f>IFERROR(VLOOKUP(LANÇ_MOV[[#This Row],[PLANO DE CONTAS]],Plano_Contas[[PLANO DE CONTAS]:[R / D]],3,0),"")</f>
        <v>Receita</v>
      </c>
      <c r="W452" s="521" t="str">
        <f>IF(LANÇ_MOV[[#This Row],[DATA DE PAGAMENTO]]&lt;&gt;"","Pago","Não Pago")</f>
        <v>Pago</v>
      </c>
      <c r="X452" s="522" t="str">
        <f>IFERROR(IF(LANÇ_MOV[[#This Row],[DATA DE PAGAMENTO]]="","",(UPPER(TEXT(LANÇ_MOV[[#This Row],[DATA DE PAGAMENTO]],"mmmm")))),"")</f>
        <v>OUTUBRO</v>
      </c>
      <c r="Y452" s="523" t="str">
        <f>IFERROR(VLOOKUP(LANÇ_MOV[[#This Row],[PLANO DE CONTAS]],Plano_Contas[[PLANO DE CONTAS]:[NOMES INTERVALOS]],2,0),"")</f>
        <v>Receitas_Operacionais</v>
      </c>
      <c r="Z452" s="523" t="str">
        <f>IF(LANÇ_MOV[[#This Row],[FORMA DE PAGAMENTO]]="","",VLOOKUP(LANÇ_MOV[[#This Row],[FORMA DE PAGAMENTO]],CAD_Forma_pagto[],2,0))</f>
        <v>PIX</v>
      </c>
      <c r="AA452" s="524" t="str">
        <f>IF(LANÇ_MOV[[#This Row],[DATA DE LANÇAMENTO]]="","",TEXT(LANÇ_MOV[[#This Row],[DATA DE LANÇAMENTO]],"AAAA"))</f>
        <v>2025</v>
      </c>
      <c r="AB452" s="524" t="str">
        <f>IF(LANÇ_MOV[[#This Row],[DATA DE LANÇAMENTO]]="","",UPPER(TEXT(LANÇ_MOV[[#This Row],[DATA DE LANÇAMENTO]],"MMMM")))</f>
        <v>OUTUBRO</v>
      </c>
      <c r="AC452" s="525" t="str">
        <f>IF(LANÇ_MOV[[#This Row],[DATA DE LANÇAMENTO]]="","",PROPER(TEXT(LANÇ_MOV[[#This Row],[DATA DE LANÇAMENTO]],"M")))</f>
        <v>10</v>
      </c>
      <c r="AD452" s="524" t="str">
        <f>IF(LANÇ_MOV[[#This Row],[DATA DE LANÇAMENTO]]="","",TEXT(LANÇ_MOV[[#This Row],[DATA DE LANÇAMENTO]],"D"))</f>
        <v>3</v>
      </c>
      <c r="AE452" s="526" t="str">
        <f>IF(LANÇ_MOV[[#This Row],[DATA DE VENCIMENTO]]="","",TEXT(LANÇ_MOV[[#This Row],[DATA DE VENCIMENTO]],"AAAA"))</f>
        <v>2025</v>
      </c>
      <c r="AF452" s="526" t="str">
        <f>IF(LANÇ_MOV[[#This Row],[DATA DE VENCIMENTO]]="","",UPPER(TEXT(LANÇ_MOV[[#This Row],[DATA DE VENCIMENTO]],"MMMM")))</f>
        <v>OUTUBRO</v>
      </c>
      <c r="AG452" s="526" t="str">
        <f>IF(LANÇ_MOV[[#This Row],[DATA DE VENCIMENTO]]="","",TEXT(LANÇ_MOV[[#This Row],[DATA DE VENCIMENTO]],"M"))</f>
        <v>10</v>
      </c>
      <c r="AH452" s="526" t="str">
        <f>IF(LANÇ_MOV[[#This Row],[DATA DE VENCIMENTO]]="","",TEXT(LANÇ_MOV[[#This Row],[DATA DE VENCIMENTO]],"D"))</f>
        <v>3</v>
      </c>
      <c r="AI452" s="526" t="str">
        <f>IF(LANÇ_MOV[[#This Row],[DATA DE PAGAMENTO]]="","",TEXT(LANÇ_MOV[[#This Row],[DATA DE PAGAMENTO]],"AAAA"))</f>
        <v>2025</v>
      </c>
      <c r="AJ452" s="527" t="str">
        <f>IF(LANÇ_MOV[[#This Row],[DATA DE PAGAMENTO]]="","",UPPER(TEXT(LANÇ_MOV[[#This Row],[DATA DE PAGAMENTO]],"MMMM")))</f>
        <v>OUTUBRO</v>
      </c>
      <c r="AK452" s="527" t="str">
        <f>IF(LANÇ_MOV[[#This Row],[DATA DE PAGAMENTO]]="","",TEXT(LANÇ_MOV[[#This Row],[DATA DE PAGAMENTO]],"M"))</f>
        <v>10</v>
      </c>
      <c r="AL452" s="526" t="str">
        <f>IF(LANÇ_MOV[[#This Row],[DATA DE PAGAMENTO]]="","",TEXT(LANÇ_MOV[[#This Row],[DATA DE PAGAMENTO]],"D"))</f>
        <v>3</v>
      </c>
      <c r="AM452" s="27"/>
      <c r="BB452" s="112"/>
      <c r="BC452" s="112"/>
      <c r="BD452" s="112"/>
    </row>
    <row r="453" spans="2:56" ht="30.05" customHeight="1" x14ac:dyDescent="0.35">
      <c r="B453" s="506">
        <v>45933</v>
      </c>
      <c r="C453" s="507" t="s">
        <v>1661</v>
      </c>
      <c r="D453" s="508" t="s">
        <v>1854</v>
      </c>
      <c r="E453" s="509" t="s">
        <v>1103</v>
      </c>
      <c r="F453" s="510" t="s">
        <v>1785</v>
      </c>
      <c r="G453" s="507" t="s">
        <v>1985</v>
      </c>
      <c r="H453" s="511">
        <v>0</v>
      </c>
      <c r="I453" s="512" t="s">
        <v>1672</v>
      </c>
      <c r="J453" s="518">
        <v>375.38</v>
      </c>
      <c r="K453" s="513">
        <v>0</v>
      </c>
      <c r="L453" s="513">
        <v>0</v>
      </c>
      <c r="M453" s="513">
        <v>0</v>
      </c>
      <c r="N453" s="514">
        <f>LANÇ_MOV[[#This Row],[VALOR BRUTO]]-LANÇ_MOV[[#This Row],[DESCONTO]]+LANÇ_MOV[[#This Row],[JUROS]]+LANÇ_MOV[[#This Row],[MULTA]]</f>
        <v>375.38</v>
      </c>
      <c r="O453" s="528">
        <v>45971</v>
      </c>
      <c r="P453" s="516" t="str">
        <f t="shared" ref="P453:P500" ca="1" si="7">IF(O453="","",IF(Q453&lt;&gt;"","Pago",IF(O453-TODAY()&gt;30,"Prazo - Mais de 1 mês",IF(O453=TODAY(),"Hoje",IF(O453&lt;TODAY(),"Venceu",IF(O453-TODAY()&lt;10,"Prazo - Menos de 10 dias",IF(O453-TODAY()&lt;15,"Prazo - Menos de 15 dias","Prazo - Menos de 1 Mês")))))))</f>
        <v>Pago</v>
      </c>
      <c r="Q453" s="528">
        <v>45964</v>
      </c>
      <c r="R453" s="529" t="s">
        <v>1564</v>
      </c>
      <c r="S453" s="518"/>
      <c r="T453" s="518" t="s">
        <v>1776</v>
      </c>
      <c r="U453" s="519" t="s">
        <v>2008</v>
      </c>
      <c r="V453" s="520" t="str">
        <f>IFERROR(VLOOKUP(LANÇ_MOV[[#This Row],[PLANO DE CONTAS]],Plano_Contas[[PLANO DE CONTAS]:[R / D]],3,0),"")</f>
        <v>Receita</v>
      </c>
      <c r="W453" s="521" t="str">
        <f>IF(LANÇ_MOV[[#This Row],[DATA DE PAGAMENTO]]&lt;&gt;"","Pago","Não Pago")</f>
        <v>Pago</v>
      </c>
      <c r="X453" s="522" t="str">
        <f>IFERROR(IF(LANÇ_MOV[[#This Row],[DATA DE PAGAMENTO]]="","",(UPPER(TEXT(LANÇ_MOV[[#This Row],[DATA DE PAGAMENTO]],"mmmm")))),"")</f>
        <v>NOVEMBRO</v>
      </c>
      <c r="Y453" s="523" t="str">
        <f>IFERROR(VLOOKUP(LANÇ_MOV[[#This Row],[PLANO DE CONTAS]],Plano_Contas[[PLANO DE CONTAS]:[NOMES INTERVALOS]],2,0),"")</f>
        <v>Receitas_Operacionais</v>
      </c>
      <c r="Z453" s="523" t="str">
        <f>IF(LANÇ_MOV[[#This Row],[FORMA DE PAGAMENTO]]="","",VLOOKUP(LANÇ_MOV[[#This Row],[FORMA DE PAGAMENTO]],CAD_Forma_pagto[],2,0))</f>
        <v>PIX</v>
      </c>
      <c r="AA453" s="524" t="str">
        <f>IF(LANÇ_MOV[[#This Row],[DATA DE LANÇAMENTO]]="","",TEXT(LANÇ_MOV[[#This Row],[DATA DE LANÇAMENTO]],"AAAA"))</f>
        <v>2025</v>
      </c>
      <c r="AB453" s="524" t="str">
        <f>IF(LANÇ_MOV[[#This Row],[DATA DE LANÇAMENTO]]="","",UPPER(TEXT(LANÇ_MOV[[#This Row],[DATA DE LANÇAMENTO]],"MMMM")))</f>
        <v>OUTUBRO</v>
      </c>
      <c r="AC453" s="525" t="str">
        <f>IF(LANÇ_MOV[[#This Row],[DATA DE LANÇAMENTO]]="","",PROPER(TEXT(LANÇ_MOV[[#This Row],[DATA DE LANÇAMENTO]],"M")))</f>
        <v>10</v>
      </c>
      <c r="AD453" s="524" t="str">
        <f>IF(LANÇ_MOV[[#This Row],[DATA DE LANÇAMENTO]]="","",TEXT(LANÇ_MOV[[#This Row],[DATA DE LANÇAMENTO]],"D"))</f>
        <v>3</v>
      </c>
      <c r="AE453" s="526" t="str">
        <f>IF(LANÇ_MOV[[#This Row],[DATA DE VENCIMENTO]]="","",TEXT(LANÇ_MOV[[#This Row],[DATA DE VENCIMENTO]],"AAAA"))</f>
        <v>2025</v>
      </c>
      <c r="AF453" s="526" t="str">
        <f>IF(LANÇ_MOV[[#This Row],[DATA DE VENCIMENTO]]="","",UPPER(TEXT(LANÇ_MOV[[#This Row],[DATA DE VENCIMENTO]],"MMMM")))</f>
        <v>NOVEMBRO</v>
      </c>
      <c r="AG453" s="526" t="str">
        <f>IF(LANÇ_MOV[[#This Row],[DATA DE VENCIMENTO]]="","",TEXT(LANÇ_MOV[[#This Row],[DATA DE VENCIMENTO]],"M"))</f>
        <v>11</v>
      </c>
      <c r="AH453" s="526" t="str">
        <f>IF(LANÇ_MOV[[#This Row],[DATA DE VENCIMENTO]]="","",TEXT(LANÇ_MOV[[#This Row],[DATA DE VENCIMENTO]],"D"))</f>
        <v>10</v>
      </c>
      <c r="AI453" s="526" t="str">
        <f>IF(LANÇ_MOV[[#This Row],[DATA DE PAGAMENTO]]="","",TEXT(LANÇ_MOV[[#This Row],[DATA DE PAGAMENTO]],"AAAA"))</f>
        <v>2025</v>
      </c>
      <c r="AJ453" s="527" t="str">
        <f>IF(LANÇ_MOV[[#This Row],[DATA DE PAGAMENTO]]="","",UPPER(TEXT(LANÇ_MOV[[#This Row],[DATA DE PAGAMENTO]],"MMMM")))</f>
        <v>NOVEMBRO</v>
      </c>
      <c r="AK453" s="527" t="str">
        <f>IF(LANÇ_MOV[[#This Row],[DATA DE PAGAMENTO]]="","",TEXT(LANÇ_MOV[[#This Row],[DATA DE PAGAMENTO]],"M"))</f>
        <v>11</v>
      </c>
      <c r="AL453" s="526" t="str">
        <f>IF(LANÇ_MOV[[#This Row],[DATA DE PAGAMENTO]]="","",TEXT(LANÇ_MOV[[#This Row],[DATA DE PAGAMENTO]],"D"))</f>
        <v>3</v>
      </c>
      <c r="AM453" s="27"/>
      <c r="BB453" s="112"/>
      <c r="BC453" s="112"/>
      <c r="BD453" s="112"/>
    </row>
    <row r="454" spans="2:56" ht="30.05" customHeight="1" x14ac:dyDescent="0.35">
      <c r="B454" s="506">
        <v>45933</v>
      </c>
      <c r="C454" s="507" t="s">
        <v>1661</v>
      </c>
      <c r="D454" s="508" t="s">
        <v>1854</v>
      </c>
      <c r="E454" s="509" t="s">
        <v>1103</v>
      </c>
      <c r="F454" s="510" t="s">
        <v>1785</v>
      </c>
      <c r="G454" s="507" t="s">
        <v>1986</v>
      </c>
      <c r="H454" s="511">
        <v>0</v>
      </c>
      <c r="I454" s="512" t="s">
        <v>1672</v>
      </c>
      <c r="J454" s="518">
        <v>375.38</v>
      </c>
      <c r="K454" s="513">
        <v>0</v>
      </c>
      <c r="L454" s="513"/>
      <c r="M454" s="513">
        <v>0</v>
      </c>
      <c r="N454" s="514">
        <f>LANÇ_MOV[[#This Row],[VALOR BRUTO]]-LANÇ_MOV[[#This Row],[DESCONTO]]+LANÇ_MOV[[#This Row],[JUROS]]+LANÇ_MOV[[#This Row],[MULTA]]</f>
        <v>375.38</v>
      </c>
      <c r="O454" s="528">
        <v>46001</v>
      </c>
      <c r="P454" s="516" t="str">
        <f t="shared" ca="1" si="7"/>
        <v>Prazo - Menos de 15 dias</v>
      </c>
      <c r="Q454" s="528"/>
      <c r="R454" s="529" t="s">
        <v>1564</v>
      </c>
      <c r="S454" s="518"/>
      <c r="T454" s="518" t="s">
        <v>1776</v>
      </c>
      <c r="U454" s="519" t="s">
        <v>2008</v>
      </c>
      <c r="V454" s="520" t="str">
        <f>IFERROR(VLOOKUP(LANÇ_MOV[[#This Row],[PLANO DE CONTAS]],Plano_Contas[[PLANO DE CONTAS]:[R / D]],3,0),"")</f>
        <v>Receita</v>
      </c>
      <c r="W454" s="521" t="str">
        <f>IF(LANÇ_MOV[[#This Row],[DATA DE PAGAMENTO]]&lt;&gt;"","Pago","Não Pago")</f>
        <v>Não Pago</v>
      </c>
      <c r="X454" s="522" t="str">
        <f>IFERROR(IF(LANÇ_MOV[[#This Row],[DATA DE PAGAMENTO]]="","",(UPPER(TEXT(LANÇ_MOV[[#This Row],[DATA DE PAGAMENTO]],"mmmm")))),"")</f>
        <v/>
      </c>
      <c r="Y454" s="523" t="str">
        <f>IFERROR(VLOOKUP(LANÇ_MOV[[#This Row],[PLANO DE CONTAS]],Plano_Contas[[PLANO DE CONTAS]:[NOMES INTERVALOS]],2,0),"")</f>
        <v>Receitas_Operacionais</v>
      </c>
      <c r="Z454" s="523" t="str">
        <f>IF(LANÇ_MOV[[#This Row],[FORMA DE PAGAMENTO]]="","",VLOOKUP(LANÇ_MOV[[#This Row],[FORMA DE PAGAMENTO]],CAD_Forma_pagto[],2,0))</f>
        <v>PIX</v>
      </c>
      <c r="AA454" s="524" t="str">
        <f>IF(LANÇ_MOV[[#This Row],[DATA DE LANÇAMENTO]]="","",TEXT(LANÇ_MOV[[#This Row],[DATA DE LANÇAMENTO]],"AAAA"))</f>
        <v>2025</v>
      </c>
      <c r="AB454" s="524" t="str">
        <f>IF(LANÇ_MOV[[#This Row],[DATA DE LANÇAMENTO]]="","",UPPER(TEXT(LANÇ_MOV[[#This Row],[DATA DE LANÇAMENTO]],"MMMM")))</f>
        <v>OUTUBRO</v>
      </c>
      <c r="AC454" s="525" t="str">
        <f>IF(LANÇ_MOV[[#This Row],[DATA DE LANÇAMENTO]]="","",PROPER(TEXT(LANÇ_MOV[[#This Row],[DATA DE LANÇAMENTO]],"M")))</f>
        <v>10</v>
      </c>
      <c r="AD454" s="524" t="str">
        <f>IF(LANÇ_MOV[[#This Row],[DATA DE LANÇAMENTO]]="","",TEXT(LANÇ_MOV[[#This Row],[DATA DE LANÇAMENTO]],"D"))</f>
        <v>3</v>
      </c>
      <c r="AE454" s="526" t="str">
        <f>IF(LANÇ_MOV[[#This Row],[DATA DE VENCIMENTO]]="","",TEXT(LANÇ_MOV[[#This Row],[DATA DE VENCIMENTO]],"AAAA"))</f>
        <v>2025</v>
      </c>
      <c r="AF454" s="526" t="str">
        <f>IF(LANÇ_MOV[[#This Row],[DATA DE VENCIMENTO]]="","",UPPER(TEXT(LANÇ_MOV[[#This Row],[DATA DE VENCIMENTO]],"MMMM")))</f>
        <v>DEZEMBRO</v>
      </c>
      <c r="AG454" s="526" t="str">
        <f>IF(LANÇ_MOV[[#This Row],[DATA DE VENCIMENTO]]="","",TEXT(LANÇ_MOV[[#This Row],[DATA DE VENCIMENTO]],"M"))</f>
        <v>12</v>
      </c>
      <c r="AH454" s="526" t="str">
        <f>IF(LANÇ_MOV[[#This Row],[DATA DE VENCIMENTO]]="","",TEXT(LANÇ_MOV[[#This Row],[DATA DE VENCIMENTO]],"D"))</f>
        <v>10</v>
      </c>
      <c r="AI454" s="526" t="str">
        <f>IF(LANÇ_MOV[[#This Row],[DATA DE PAGAMENTO]]="","",TEXT(LANÇ_MOV[[#This Row],[DATA DE PAGAMENTO]],"AAAA"))</f>
        <v/>
      </c>
      <c r="AJ454" s="527" t="str">
        <f>IF(LANÇ_MOV[[#This Row],[DATA DE PAGAMENTO]]="","",UPPER(TEXT(LANÇ_MOV[[#This Row],[DATA DE PAGAMENTO]],"MMMM")))</f>
        <v/>
      </c>
      <c r="AK454" s="527" t="str">
        <f>IF(LANÇ_MOV[[#This Row],[DATA DE PAGAMENTO]]="","",TEXT(LANÇ_MOV[[#This Row],[DATA DE PAGAMENTO]],"M"))</f>
        <v/>
      </c>
      <c r="AL454" s="526" t="str">
        <f>IF(LANÇ_MOV[[#This Row],[DATA DE PAGAMENTO]]="","",TEXT(LANÇ_MOV[[#This Row],[DATA DE PAGAMENTO]],"D"))</f>
        <v/>
      </c>
      <c r="AM454" s="27"/>
      <c r="BB454" s="112"/>
      <c r="BC454" s="112"/>
      <c r="BD454" s="112"/>
    </row>
    <row r="455" spans="2:56" ht="30.05" customHeight="1" x14ac:dyDescent="0.35">
      <c r="B455" s="506">
        <v>45933</v>
      </c>
      <c r="C455" s="507" t="s">
        <v>1661</v>
      </c>
      <c r="D455" s="508" t="s">
        <v>1854</v>
      </c>
      <c r="E455" s="509" t="s">
        <v>1103</v>
      </c>
      <c r="F455" s="510" t="s">
        <v>1785</v>
      </c>
      <c r="G455" s="507" t="s">
        <v>1987</v>
      </c>
      <c r="H455" s="511">
        <v>0</v>
      </c>
      <c r="I455" s="512" t="s">
        <v>1672</v>
      </c>
      <c r="J455" s="510">
        <v>375.35</v>
      </c>
      <c r="K455" s="513">
        <v>0</v>
      </c>
      <c r="L455" s="513"/>
      <c r="M455" s="513">
        <v>0</v>
      </c>
      <c r="N455" s="514">
        <f>LANÇ_MOV[[#This Row],[VALOR BRUTO]]-LANÇ_MOV[[#This Row],[DESCONTO]]+LANÇ_MOV[[#This Row],[JUROS]]+LANÇ_MOV[[#This Row],[MULTA]]</f>
        <v>375.35</v>
      </c>
      <c r="O455" s="528">
        <v>46032</v>
      </c>
      <c r="P455" s="516" t="str">
        <f t="shared" ca="1" si="7"/>
        <v>Prazo - Mais de 1 mês</v>
      </c>
      <c r="Q455" s="528"/>
      <c r="R455" s="529" t="s">
        <v>1564</v>
      </c>
      <c r="S455" s="518"/>
      <c r="T455" s="518" t="s">
        <v>1776</v>
      </c>
      <c r="U455" s="519" t="s">
        <v>2008</v>
      </c>
      <c r="V455" s="520" t="str">
        <f>IFERROR(VLOOKUP(LANÇ_MOV[[#This Row],[PLANO DE CONTAS]],Plano_Contas[[PLANO DE CONTAS]:[R / D]],3,0),"")</f>
        <v>Receita</v>
      </c>
      <c r="W455" s="521" t="str">
        <f>IF(LANÇ_MOV[[#This Row],[DATA DE PAGAMENTO]]&lt;&gt;"","Pago","Não Pago")</f>
        <v>Não Pago</v>
      </c>
      <c r="X455" s="522" t="str">
        <f>IFERROR(IF(LANÇ_MOV[[#This Row],[DATA DE PAGAMENTO]]="","",(UPPER(TEXT(LANÇ_MOV[[#This Row],[DATA DE PAGAMENTO]],"mmmm")))),"")</f>
        <v/>
      </c>
      <c r="Y455" s="523" t="str">
        <f>IFERROR(VLOOKUP(LANÇ_MOV[[#This Row],[PLANO DE CONTAS]],Plano_Contas[[PLANO DE CONTAS]:[NOMES INTERVALOS]],2,0),"")</f>
        <v>Receitas_Operacionais</v>
      </c>
      <c r="Z455" s="523" t="str">
        <f>IF(LANÇ_MOV[[#This Row],[FORMA DE PAGAMENTO]]="","",VLOOKUP(LANÇ_MOV[[#This Row],[FORMA DE PAGAMENTO]],CAD_Forma_pagto[],2,0))</f>
        <v>PIX</v>
      </c>
      <c r="AA455" s="524" t="str">
        <f>IF(LANÇ_MOV[[#This Row],[DATA DE LANÇAMENTO]]="","",TEXT(LANÇ_MOV[[#This Row],[DATA DE LANÇAMENTO]],"AAAA"))</f>
        <v>2025</v>
      </c>
      <c r="AB455" s="524" t="str">
        <f>IF(LANÇ_MOV[[#This Row],[DATA DE LANÇAMENTO]]="","",UPPER(TEXT(LANÇ_MOV[[#This Row],[DATA DE LANÇAMENTO]],"MMMM")))</f>
        <v>OUTUBRO</v>
      </c>
      <c r="AC455" s="525" t="str">
        <f>IF(LANÇ_MOV[[#This Row],[DATA DE LANÇAMENTO]]="","",PROPER(TEXT(LANÇ_MOV[[#This Row],[DATA DE LANÇAMENTO]],"M")))</f>
        <v>10</v>
      </c>
      <c r="AD455" s="524" t="str">
        <f>IF(LANÇ_MOV[[#This Row],[DATA DE LANÇAMENTO]]="","",TEXT(LANÇ_MOV[[#This Row],[DATA DE LANÇAMENTO]],"D"))</f>
        <v>3</v>
      </c>
      <c r="AE455" s="526" t="str">
        <f>IF(LANÇ_MOV[[#This Row],[DATA DE VENCIMENTO]]="","",TEXT(LANÇ_MOV[[#This Row],[DATA DE VENCIMENTO]],"AAAA"))</f>
        <v>2026</v>
      </c>
      <c r="AF455" s="526" t="str">
        <f>IF(LANÇ_MOV[[#This Row],[DATA DE VENCIMENTO]]="","",UPPER(TEXT(LANÇ_MOV[[#This Row],[DATA DE VENCIMENTO]],"MMMM")))</f>
        <v>JANEIRO</v>
      </c>
      <c r="AG455" s="526" t="str">
        <f>IF(LANÇ_MOV[[#This Row],[DATA DE VENCIMENTO]]="","",TEXT(LANÇ_MOV[[#This Row],[DATA DE VENCIMENTO]],"M"))</f>
        <v>1</v>
      </c>
      <c r="AH455" s="526" t="str">
        <f>IF(LANÇ_MOV[[#This Row],[DATA DE VENCIMENTO]]="","",TEXT(LANÇ_MOV[[#This Row],[DATA DE VENCIMENTO]],"D"))</f>
        <v>10</v>
      </c>
      <c r="AI455" s="526" t="str">
        <f>IF(LANÇ_MOV[[#This Row],[DATA DE PAGAMENTO]]="","",TEXT(LANÇ_MOV[[#This Row],[DATA DE PAGAMENTO]],"AAAA"))</f>
        <v/>
      </c>
      <c r="AJ455" s="527" t="str">
        <f>IF(LANÇ_MOV[[#This Row],[DATA DE PAGAMENTO]]="","",UPPER(TEXT(LANÇ_MOV[[#This Row],[DATA DE PAGAMENTO]],"MMMM")))</f>
        <v/>
      </c>
      <c r="AK455" s="527" t="str">
        <f>IF(LANÇ_MOV[[#This Row],[DATA DE PAGAMENTO]]="","",TEXT(LANÇ_MOV[[#This Row],[DATA DE PAGAMENTO]],"M"))</f>
        <v/>
      </c>
      <c r="AL455" s="526" t="str">
        <f>IF(LANÇ_MOV[[#This Row],[DATA DE PAGAMENTO]]="","",TEXT(LANÇ_MOV[[#This Row],[DATA DE PAGAMENTO]],"D"))</f>
        <v/>
      </c>
      <c r="AM455" s="27"/>
      <c r="BB455" s="112"/>
      <c r="BC455" s="112"/>
      <c r="BD455" s="112"/>
    </row>
    <row r="456" spans="2:56" ht="30.05" customHeight="1" x14ac:dyDescent="0.35">
      <c r="B456" s="506">
        <v>45934</v>
      </c>
      <c r="C456" s="507" t="s">
        <v>1661</v>
      </c>
      <c r="D456" s="508" t="s">
        <v>1854</v>
      </c>
      <c r="E456" s="509" t="s">
        <v>1144</v>
      </c>
      <c r="F456" s="510" t="s">
        <v>1489</v>
      </c>
      <c r="G456" s="507"/>
      <c r="H456" s="511">
        <v>0</v>
      </c>
      <c r="I456" s="512" t="s">
        <v>1688</v>
      </c>
      <c r="J456" s="518">
        <v>100</v>
      </c>
      <c r="K456" s="513">
        <v>0</v>
      </c>
      <c r="L456" s="513"/>
      <c r="M456" s="513">
        <v>0</v>
      </c>
      <c r="N456" s="514">
        <f>LANÇ_MOV[[#This Row],[VALOR BRUTO]]-LANÇ_MOV[[#This Row],[DESCONTO]]+LANÇ_MOV[[#This Row],[JUROS]]+LANÇ_MOV[[#This Row],[MULTA]]</f>
        <v>100</v>
      </c>
      <c r="O456" s="528">
        <v>45934</v>
      </c>
      <c r="P456" s="516" t="str">
        <f t="shared" ca="1" si="7"/>
        <v>Pago</v>
      </c>
      <c r="Q456" s="528">
        <v>45934</v>
      </c>
      <c r="R456" s="529" t="s">
        <v>1564</v>
      </c>
      <c r="S456" s="518"/>
      <c r="T456" s="518" t="s">
        <v>1776</v>
      </c>
      <c r="U456" s="519" t="s">
        <v>2007</v>
      </c>
      <c r="V456" s="520" t="str">
        <f>IFERROR(VLOOKUP(LANÇ_MOV[[#This Row],[PLANO DE CONTAS]],Plano_Contas[[PLANO DE CONTAS]:[R / D]],3,0),"")</f>
        <v>Despesa</v>
      </c>
      <c r="W456" s="521" t="str">
        <f>IF(LANÇ_MOV[[#This Row],[DATA DE PAGAMENTO]]&lt;&gt;"","Pago","Não Pago")</f>
        <v>Pago</v>
      </c>
      <c r="X456" s="522" t="str">
        <f>IFERROR(IF(LANÇ_MOV[[#This Row],[DATA DE PAGAMENTO]]="","",(UPPER(TEXT(LANÇ_MOV[[#This Row],[DATA DE PAGAMENTO]],"mmmm")))),"")</f>
        <v>OUTUBRO</v>
      </c>
      <c r="Y456" s="523" t="str">
        <f>IFERROR(VLOOKUP(LANÇ_MOV[[#This Row],[PLANO DE CONTAS]],Plano_Contas[[PLANO DE CONTAS]:[NOMES INTERVALOS]],2,0),"")</f>
        <v>Despesas_Administrativas</v>
      </c>
      <c r="Z456" s="523" t="str">
        <f>IF(LANÇ_MOV[[#This Row],[FORMA DE PAGAMENTO]]="","",VLOOKUP(LANÇ_MOV[[#This Row],[FORMA DE PAGAMENTO]],CAD_Forma_pagto[],2,0))</f>
        <v>PIX</v>
      </c>
      <c r="AA456" s="524" t="str">
        <f>IF(LANÇ_MOV[[#This Row],[DATA DE LANÇAMENTO]]="","",TEXT(LANÇ_MOV[[#This Row],[DATA DE LANÇAMENTO]],"AAAA"))</f>
        <v>2025</v>
      </c>
      <c r="AB456" s="524" t="str">
        <f>IF(LANÇ_MOV[[#This Row],[DATA DE LANÇAMENTO]]="","",UPPER(TEXT(LANÇ_MOV[[#This Row],[DATA DE LANÇAMENTO]],"MMMM")))</f>
        <v>OUTUBRO</v>
      </c>
      <c r="AC456" s="525" t="str">
        <f>IF(LANÇ_MOV[[#This Row],[DATA DE LANÇAMENTO]]="","",PROPER(TEXT(LANÇ_MOV[[#This Row],[DATA DE LANÇAMENTO]],"M")))</f>
        <v>10</v>
      </c>
      <c r="AD456" s="524" t="str">
        <f>IF(LANÇ_MOV[[#This Row],[DATA DE LANÇAMENTO]]="","",TEXT(LANÇ_MOV[[#This Row],[DATA DE LANÇAMENTO]],"D"))</f>
        <v>4</v>
      </c>
      <c r="AE456" s="526" t="str">
        <f>IF(LANÇ_MOV[[#This Row],[DATA DE VENCIMENTO]]="","",TEXT(LANÇ_MOV[[#This Row],[DATA DE VENCIMENTO]],"AAAA"))</f>
        <v>2025</v>
      </c>
      <c r="AF456" s="526" t="str">
        <f>IF(LANÇ_MOV[[#This Row],[DATA DE VENCIMENTO]]="","",UPPER(TEXT(LANÇ_MOV[[#This Row],[DATA DE VENCIMENTO]],"MMMM")))</f>
        <v>OUTUBRO</v>
      </c>
      <c r="AG456" s="526" t="str">
        <f>IF(LANÇ_MOV[[#This Row],[DATA DE VENCIMENTO]]="","",TEXT(LANÇ_MOV[[#This Row],[DATA DE VENCIMENTO]],"M"))</f>
        <v>10</v>
      </c>
      <c r="AH456" s="526" t="str">
        <f>IF(LANÇ_MOV[[#This Row],[DATA DE VENCIMENTO]]="","",TEXT(LANÇ_MOV[[#This Row],[DATA DE VENCIMENTO]],"D"))</f>
        <v>4</v>
      </c>
      <c r="AI456" s="526" t="str">
        <f>IF(LANÇ_MOV[[#This Row],[DATA DE PAGAMENTO]]="","",TEXT(LANÇ_MOV[[#This Row],[DATA DE PAGAMENTO]],"AAAA"))</f>
        <v>2025</v>
      </c>
      <c r="AJ456" s="527" t="str">
        <f>IF(LANÇ_MOV[[#This Row],[DATA DE PAGAMENTO]]="","",UPPER(TEXT(LANÇ_MOV[[#This Row],[DATA DE PAGAMENTO]],"MMMM")))</f>
        <v>OUTUBRO</v>
      </c>
      <c r="AK456" s="527" t="str">
        <f>IF(LANÇ_MOV[[#This Row],[DATA DE PAGAMENTO]]="","",TEXT(LANÇ_MOV[[#This Row],[DATA DE PAGAMENTO]],"M"))</f>
        <v>10</v>
      </c>
      <c r="AL456" s="526" t="str">
        <f>IF(LANÇ_MOV[[#This Row],[DATA DE PAGAMENTO]]="","",TEXT(LANÇ_MOV[[#This Row],[DATA DE PAGAMENTO]],"D"))</f>
        <v>4</v>
      </c>
      <c r="AM456" s="27"/>
      <c r="BB456" s="112"/>
      <c r="BC456" s="112"/>
      <c r="BD456" s="112"/>
    </row>
    <row r="457" spans="2:56" ht="30.05" customHeight="1" x14ac:dyDescent="0.35">
      <c r="B457" s="506">
        <v>45936</v>
      </c>
      <c r="C457" s="507" t="s">
        <v>1661</v>
      </c>
      <c r="D457" s="508" t="s">
        <v>1854</v>
      </c>
      <c r="E457" s="509" t="s">
        <v>1103</v>
      </c>
      <c r="F457" s="510" t="s">
        <v>1785</v>
      </c>
      <c r="G457" s="507"/>
      <c r="H457" s="511">
        <v>0</v>
      </c>
      <c r="I457" s="512" t="s">
        <v>1687</v>
      </c>
      <c r="J457" s="510">
        <v>350.35</v>
      </c>
      <c r="K457" s="513">
        <v>0</v>
      </c>
      <c r="L457" s="513">
        <v>0</v>
      </c>
      <c r="M457" s="513">
        <v>0</v>
      </c>
      <c r="N457" s="514">
        <f>LANÇ_MOV[[#This Row],[VALOR BRUTO]]-LANÇ_MOV[[#This Row],[DESCONTO]]+LANÇ_MOV[[#This Row],[JUROS]]+LANÇ_MOV[[#This Row],[MULTA]]</f>
        <v>350.35</v>
      </c>
      <c r="O457" s="528">
        <v>45936</v>
      </c>
      <c r="P457" s="516" t="str">
        <f t="shared" ca="1" si="7"/>
        <v>Pago</v>
      </c>
      <c r="Q457" s="528">
        <v>45936</v>
      </c>
      <c r="R457" s="529" t="s">
        <v>1564</v>
      </c>
      <c r="S457" s="518"/>
      <c r="T457" s="518" t="s">
        <v>1776</v>
      </c>
      <c r="U457" s="519" t="s">
        <v>2008</v>
      </c>
      <c r="V457" s="520" t="str">
        <f>IFERROR(VLOOKUP(LANÇ_MOV[[#This Row],[PLANO DE CONTAS]],Plano_Contas[[PLANO DE CONTAS]:[R / D]],3,0),"")</f>
        <v>Receita</v>
      </c>
      <c r="W457" s="521" t="str">
        <f>IF(LANÇ_MOV[[#This Row],[DATA DE PAGAMENTO]]&lt;&gt;"","Pago","Não Pago")</f>
        <v>Pago</v>
      </c>
      <c r="X457" s="522" t="str">
        <f>IFERROR(IF(LANÇ_MOV[[#This Row],[DATA DE PAGAMENTO]]="","",(UPPER(TEXT(LANÇ_MOV[[#This Row],[DATA DE PAGAMENTO]],"mmmm")))),"")</f>
        <v>OUTUBRO</v>
      </c>
      <c r="Y457" s="523" t="str">
        <f>IFERROR(VLOOKUP(LANÇ_MOV[[#This Row],[PLANO DE CONTAS]],Plano_Contas[[PLANO DE CONTAS]:[NOMES INTERVALOS]],2,0),"")</f>
        <v>Receitas_Operacionais</v>
      </c>
      <c r="Z457" s="523" t="str">
        <f>IF(LANÇ_MOV[[#This Row],[FORMA DE PAGAMENTO]]="","",VLOOKUP(LANÇ_MOV[[#This Row],[FORMA DE PAGAMENTO]],CAD_Forma_pagto[],2,0))</f>
        <v>PIX</v>
      </c>
      <c r="AA457" s="524" t="str">
        <f>IF(LANÇ_MOV[[#This Row],[DATA DE LANÇAMENTO]]="","",TEXT(LANÇ_MOV[[#This Row],[DATA DE LANÇAMENTO]],"AAAA"))</f>
        <v>2025</v>
      </c>
      <c r="AB457" s="524" t="str">
        <f>IF(LANÇ_MOV[[#This Row],[DATA DE LANÇAMENTO]]="","",UPPER(TEXT(LANÇ_MOV[[#This Row],[DATA DE LANÇAMENTO]],"MMMM")))</f>
        <v>OUTUBRO</v>
      </c>
      <c r="AC457" s="525" t="str">
        <f>IF(LANÇ_MOV[[#This Row],[DATA DE LANÇAMENTO]]="","",PROPER(TEXT(LANÇ_MOV[[#This Row],[DATA DE LANÇAMENTO]],"M")))</f>
        <v>10</v>
      </c>
      <c r="AD457" s="524" t="str">
        <f>IF(LANÇ_MOV[[#This Row],[DATA DE LANÇAMENTO]]="","",TEXT(LANÇ_MOV[[#This Row],[DATA DE LANÇAMENTO]],"D"))</f>
        <v>6</v>
      </c>
      <c r="AE457" s="526" t="str">
        <f>IF(LANÇ_MOV[[#This Row],[DATA DE VENCIMENTO]]="","",TEXT(LANÇ_MOV[[#This Row],[DATA DE VENCIMENTO]],"AAAA"))</f>
        <v>2025</v>
      </c>
      <c r="AF457" s="526" t="str">
        <f>IF(LANÇ_MOV[[#This Row],[DATA DE VENCIMENTO]]="","",UPPER(TEXT(LANÇ_MOV[[#This Row],[DATA DE VENCIMENTO]],"MMMM")))</f>
        <v>OUTUBRO</v>
      </c>
      <c r="AG457" s="526" t="str">
        <f>IF(LANÇ_MOV[[#This Row],[DATA DE VENCIMENTO]]="","",TEXT(LANÇ_MOV[[#This Row],[DATA DE VENCIMENTO]],"M"))</f>
        <v>10</v>
      </c>
      <c r="AH457" s="526" t="str">
        <f>IF(LANÇ_MOV[[#This Row],[DATA DE VENCIMENTO]]="","",TEXT(LANÇ_MOV[[#This Row],[DATA DE VENCIMENTO]],"D"))</f>
        <v>6</v>
      </c>
      <c r="AI457" s="526" t="str">
        <f>IF(LANÇ_MOV[[#This Row],[DATA DE PAGAMENTO]]="","",TEXT(LANÇ_MOV[[#This Row],[DATA DE PAGAMENTO]],"AAAA"))</f>
        <v>2025</v>
      </c>
      <c r="AJ457" s="527" t="str">
        <f>IF(LANÇ_MOV[[#This Row],[DATA DE PAGAMENTO]]="","",UPPER(TEXT(LANÇ_MOV[[#This Row],[DATA DE PAGAMENTO]],"MMMM")))</f>
        <v>OUTUBRO</v>
      </c>
      <c r="AK457" s="527" t="str">
        <f>IF(LANÇ_MOV[[#This Row],[DATA DE PAGAMENTO]]="","",TEXT(LANÇ_MOV[[#This Row],[DATA DE PAGAMENTO]],"M"))</f>
        <v>10</v>
      </c>
      <c r="AL457" s="526" t="str">
        <f>IF(LANÇ_MOV[[#This Row],[DATA DE PAGAMENTO]]="","",TEXT(LANÇ_MOV[[#This Row],[DATA DE PAGAMENTO]],"D"))</f>
        <v>6</v>
      </c>
      <c r="AM457" s="27"/>
      <c r="BB457" s="112"/>
      <c r="BC457" s="112"/>
      <c r="BD457" s="112"/>
    </row>
    <row r="458" spans="2:56" ht="30.05" customHeight="1" x14ac:dyDescent="0.35">
      <c r="B458" s="506">
        <v>45936</v>
      </c>
      <c r="C458" s="507" t="s">
        <v>1661</v>
      </c>
      <c r="D458" s="508" t="s">
        <v>1854</v>
      </c>
      <c r="E458" s="509" t="s">
        <v>1103</v>
      </c>
      <c r="F458" s="510" t="s">
        <v>1785</v>
      </c>
      <c r="G458" s="507"/>
      <c r="H458" s="511">
        <v>0</v>
      </c>
      <c r="I458" s="512" t="s">
        <v>1710</v>
      </c>
      <c r="J458" s="510">
        <v>615</v>
      </c>
      <c r="K458" s="513">
        <v>0</v>
      </c>
      <c r="L458" s="513">
        <v>0</v>
      </c>
      <c r="M458" s="513">
        <v>0</v>
      </c>
      <c r="N458" s="514">
        <f>LANÇ_MOV[[#This Row],[VALOR BRUTO]]-LANÇ_MOV[[#This Row],[DESCONTO]]+LANÇ_MOV[[#This Row],[JUROS]]+LANÇ_MOV[[#This Row],[MULTA]]</f>
        <v>615</v>
      </c>
      <c r="O458" s="528">
        <v>45936</v>
      </c>
      <c r="P458" s="516" t="str">
        <f t="shared" ca="1" si="7"/>
        <v>Pago</v>
      </c>
      <c r="Q458" s="528">
        <v>45936</v>
      </c>
      <c r="R458" s="529" t="s">
        <v>1564</v>
      </c>
      <c r="S458" s="518"/>
      <c r="T458" s="518" t="s">
        <v>1776</v>
      </c>
      <c r="U458" s="519" t="s">
        <v>2008</v>
      </c>
      <c r="V458" s="520" t="str">
        <f>IFERROR(VLOOKUP(LANÇ_MOV[[#This Row],[PLANO DE CONTAS]],Plano_Contas[[PLANO DE CONTAS]:[R / D]],3,0),"")</f>
        <v>Receita</v>
      </c>
      <c r="W458" s="521" t="str">
        <f>IF(LANÇ_MOV[[#This Row],[DATA DE PAGAMENTO]]&lt;&gt;"","Pago","Não Pago")</f>
        <v>Pago</v>
      </c>
      <c r="X458" s="522" t="str">
        <f>IFERROR(IF(LANÇ_MOV[[#This Row],[DATA DE PAGAMENTO]]="","",(UPPER(TEXT(LANÇ_MOV[[#This Row],[DATA DE PAGAMENTO]],"mmmm")))),"")</f>
        <v>OUTUBRO</v>
      </c>
      <c r="Y458" s="523" t="str">
        <f>IFERROR(VLOOKUP(LANÇ_MOV[[#This Row],[PLANO DE CONTAS]],Plano_Contas[[PLANO DE CONTAS]:[NOMES INTERVALOS]],2,0),"")</f>
        <v>Receitas_Operacionais</v>
      </c>
      <c r="Z458" s="523" t="str">
        <f>IF(LANÇ_MOV[[#This Row],[FORMA DE PAGAMENTO]]="","",VLOOKUP(LANÇ_MOV[[#This Row],[FORMA DE PAGAMENTO]],CAD_Forma_pagto[],2,0))</f>
        <v>PIX</v>
      </c>
      <c r="AA458" s="524" t="str">
        <f>IF(LANÇ_MOV[[#This Row],[DATA DE LANÇAMENTO]]="","",TEXT(LANÇ_MOV[[#This Row],[DATA DE LANÇAMENTO]],"AAAA"))</f>
        <v>2025</v>
      </c>
      <c r="AB458" s="524" t="str">
        <f>IF(LANÇ_MOV[[#This Row],[DATA DE LANÇAMENTO]]="","",UPPER(TEXT(LANÇ_MOV[[#This Row],[DATA DE LANÇAMENTO]],"MMMM")))</f>
        <v>OUTUBRO</v>
      </c>
      <c r="AC458" s="525" t="str">
        <f>IF(LANÇ_MOV[[#This Row],[DATA DE LANÇAMENTO]]="","",PROPER(TEXT(LANÇ_MOV[[#This Row],[DATA DE LANÇAMENTO]],"M")))</f>
        <v>10</v>
      </c>
      <c r="AD458" s="524" t="str">
        <f>IF(LANÇ_MOV[[#This Row],[DATA DE LANÇAMENTO]]="","",TEXT(LANÇ_MOV[[#This Row],[DATA DE LANÇAMENTO]],"D"))</f>
        <v>6</v>
      </c>
      <c r="AE458" s="526" t="str">
        <f>IF(LANÇ_MOV[[#This Row],[DATA DE VENCIMENTO]]="","",TEXT(LANÇ_MOV[[#This Row],[DATA DE VENCIMENTO]],"AAAA"))</f>
        <v>2025</v>
      </c>
      <c r="AF458" s="526" t="str">
        <f>IF(LANÇ_MOV[[#This Row],[DATA DE VENCIMENTO]]="","",UPPER(TEXT(LANÇ_MOV[[#This Row],[DATA DE VENCIMENTO]],"MMMM")))</f>
        <v>OUTUBRO</v>
      </c>
      <c r="AG458" s="526" t="str">
        <f>IF(LANÇ_MOV[[#This Row],[DATA DE VENCIMENTO]]="","",TEXT(LANÇ_MOV[[#This Row],[DATA DE VENCIMENTO]],"M"))</f>
        <v>10</v>
      </c>
      <c r="AH458" s="526" t="str">
        <f>IF(LANÇ_MOV[[#This Row],[DATA DE VENCIMENTO]]="","",TEXT(LANÇ_MOV[[#This Row],[DATA DE VENCIMENTO]],"D"))</f>
        <v>6</v>
      </c>
      <c r="AI458" s="526" t="str">
        <f>IF(LANÇ_MOV[[#This Row],[DATA DE PAGAMENTO]]="","",TEXT(LANÇ_MOV[[#This Row],[DATA DE PAGAMENTO]],"AAAA"))</f>
        <v>2025</v>
      </c>
      <c r="AJ458" s="527" t="str">
        <f>IF(LANÇ_MOV[[#This Row],[DATA DE PAGAMENTO]]="","",UPPER(TEXT(LANÇ_MOV[[#This Row],[DATA DE PAGAMENTO]],"MMMM")))</f>
        <v>OUTUBRO</v>
      </c>
      <c r="AK458" s="527" t="str">
        <f>IF(LANÇ_MOV[[#This Row],[DATA DE PAGAMENTO]]="","",TEXT(LANÇ_MOV[[#This Row],[DATA DE PAGAMENTO]],"M"))</f>
        <v>10</v>
      </c>
      <c r="AL458" s="526" t="str">
        <f>IF(LANÇ_MOV[[#This Row],[DATA DE PAGAMENTO]]="","",TEXT(LANÇ_MOV[[#This Row],[DATA DE PAGAMENTO]],"D"))</f>
        <v>6</v>
      </c>
      <c r="AM458" s="27"/>
      <c r="BB458" s="112"/>
      <c r="BC458" s="112"/>
      <c r="BD458" s="112"/>
    </row>
    <row r="459" spans="2:56" ht="30.05" customHeight="1" x14ac:dyDescent="0.35">
      <c r="B459" s="506">
        <v>45936</v>
      </c>
      <c r="C459" s="507" t="s">
        <v>1661</v>
      </c>
      <c r="D459" s="508" t="s">
        <v>1854</v>
      </c>
      <c r="E459" s="509" t="s">
        <v>1103</v>
      </c>
      <c r="F459" s="510" t="s">
        <v>1785</v>
      </c>
      <c r="G459" s="507" t="s">
        <v>1855</v>
      </c>
      <c r="H459" s="511">
        <v>0</v>
      </c>
      <c r="I459" s="512" t="s">
        <v>1721</v>
      </c>
      <c r="J459" s="510">
        <v>350.35</v>
      </c>
      <c r="K459" s="513">
        <v>0</v>
      </c>
      <c r="L459" s="513">
        <v>0</v>
      </c>
      <c r="M459" s="513">
        <v>0</v>
      </c>
      <c r="N459" s="514">
        <f>LANÇ_MOV[[#This Row],[VALOR BRUTO]]-LANÇ_MOV[[#This Row],[DESCONTO]]+LANÇ_MOV[[#This Row],[JUROS]]+LANÇ_MOV[[#This Row],[MULTA]]</f>
        <v>350.35</v>
      </c>
      <c r="O459" s="528">
        <v>45940</v>
      </c>
      <c r="P459" s="516" t="str">
        <f t="shared" ca="1" si="7"/>
        <v>Pago</v>
      </c>
      <c r="Q459" s="528">
        <v>45936</v>
      </c>
      <c r="R459" s="529" t="s">
        <v>1564</v>
      </c>
      <c r="S459" s="518"/>
      <c r="T459" s="518" t="s">
        <v>1776</v>
      </c>
      <c r="U459" s="519" t="s">
        <v>2008</v>
      </c>
      <c r="V459" s="520" t="str">
        <f>IFERROR(VLOOKUP(LANÇ_MOV[[#This Row],[PLANO DE CONTAS]],Plano_Contas[[PLANO DE CONTAS]:[R / D]],3,0),"")</f>
        <v>Receita</v>
      </c>
      <c r="W459" s="521" t="str">
        <f>IF(LANÇ_MOV[[#This Row],[DATA DE PAGAMENTO]]&lt;&gt;"","Pago","Não Pago")</f>
        <v>Pago</v>
      </c>
      <c r="X459" s="522" t="str">
        <f>IFERROR(IF(LANÇ_MOV[[#This Row],[DATA DE PAGAMENTO]]="","",(UPPER(TEXT(LANÇ_MOV[[#This Row],[DATA DE PAGAMENTO]],"mmmm")))),"")</f>
        <v>OUTUBRO</v>
      </c>
      <c r="Y459" s="523" t="str">
        <f>IFERROR(VLOOKUP(LANÇ_MOV[[#This Row],[PLANO DE CONTAS]],Plano_Contas[[PLANO DE CONTAS]:[NOMES INTERVALOS]],2,0),"")</f>
        <v>Receitas_Operacionais</v>
      </c>
      <c r="Z459" s="523" t="str">
        <f>IF(LANÇ_MOV[[#This Row],[FORMA DE PAGAMENTO]]="","",VLOOKUP(LANÇ_MOV[[#This Row],[FORMA DE PAGAMENTO]],CAD_Forma_pagto[],2,0))</f>
        <v>PIX</v>
      </c>
      <c r="AA459" s="524" t="str">
        <f>IF(LANÇ_MOV[[#This Row],[DATA DE LANÇAMENTO]]="","",TEXT(LANÇ_MOV[[#This Row],[DATA DE LANÇAMENTO]],"AAAA"))</f>
        <v>2025</v>
      </c>
      <c r="AB459" s="524" t="str">
        <f>IF(LANÇ_MOV[[#This Row],[DATA DE LANÇAMENTO]]="","",UPPER(TEXT(LANÇ_MOV[[#This Row],[DATA DE LANÇAMENTO]],"MMMM")))</f>
        <v>OUTUBRO</v>
      </c>
      <c r="AC459" s="525" t="str">
        <f>IF(LANÇ_MOV[[#This Row],[DATA DE LANÇAMENTO]]="","",PROPER(TEXT(LANÇ_MOV[[#This Row],[DATA DE LANÇAMENTO]],"M")))</f>
        <v>10</v>
      </c>
      <c r="AD459" s="524" t="str">
        <f>IF(LANÇ_MOV[[#This Row],[DATA DE LANÇAMENTO]]="","",TEXT(LANÇ_MOV[[#This Row],[DATA DE LANÇAMENTO]],"D"))</f>
        <v>6</v>
      </c>
      <c r="AE459" s="526" t="str">
        <f>IF(LANÇ_MOV[[#This Row],[DATA DE VENCIMENTO]]="","",TEXT(LANÇ_MOV[[#This Row],[DATA DE VENCIMENTO]],"AAAA"))</f>
        <v>2025</v>
      </c>
      <c r="AF459" s="526" t="str">
        <f>IF(LANÇ_MOV[[#This Row],[DATA DE VENCIMENTO]]="","",UPPER(TEXT(LANÇ_MOV[[#This Row],[DATA DE VENCIMENTO]],"MMMM")))</f>
        <v>OUTUBRO</v>
      </c>
      <c r="AG459" s="526" t="str">
        <f>IF(LANÇ_MOV[[#This Row],[DATA DE VENCIMENTO]]="","",TEXT(LANÇ_MOV[[#This Row],[DATA DE VENCIMENTO]],"M"))</f>
        <v>10</v>
      </c>
      <c r="AH459" s="526" t="str">
        <f>IF(LANÇ_MOV[[#This Row],[DATA DE VENCIMENTO]]="","",TEXT(LANÇ_MOV[[#This Row],[DATA DE VENCIMENTO]],"D"))</f>
        <v>10</v>
      </c>
      <c r="AI459" s="526" t="str">
        <f>IF(LANÇ_MOV[[#This Row],[DATA DE PAGAMENTO]]="","",TEXT(LANÇ_MOV[[#This Row],[DATA DE PAGAMENTO]],"AAAA"))</f>
        <v>2025</v>
      </c>
      <c r="AJ459" s="527" t="str">
        <f>IF(LANÇ_MOV[[#This Row],[DATA DE PAGAMENTO]]="","",UPPER(TEXT(LANÇ_MOV[[#This Row],[DATA DE PAGAMENTO]],"MMMM")))</f>
        <v>OUTUBRO</v>
      </c>
      <c r="AK459" s="527" t="str">
        <f>IF(LANÇ_MOV[[#This Row],[DATA DE PAGAMENTO]]="","",TEXT(LANÇ_MOV[[#This Row],[DATA DE PAGAMENTO]],"M"))</f>
        <v>10</v>
      </c>
      <c r="AL459" s="526" t="str">
        <f>IF(LANÇ_MOV[[#This Row],[DATA DE PAGAMENTO]]="","",TEXT(LANÇ_MOV[[#This Row],[DATA DE PAGAMENTO]],"D"))</f>
        <v>6</v>
      </c>
      <c r="AM459" s="27"/>
      <c r="BB459" s="112"/>
      <c r="BC459" s="112"/>
      <c r="BD459" s="112"/>
    </row>
    <row r="460" spans="2:56" ht="30.05" customHeight="1" x14ac:dyDescent="0.35">
      <c r="B460" s="506">
        <v>45936</v>
      </c>
      <c r="C460" s="507" t="s">
        <v>1661</v>
      </c>
      <c r="D460" s="508" t="s">
        <v>1854</v>
      </c>
      <c r="E460" s="509" t="s">
        <v>1103</v>
      </c>
      <c r="F460" s="510" t="s">
        <v>1785</v>
      </c>
      <c r="G460" s="507" t="s">
        <v>1856</v>
      </c>
      <c r="H460" s="511">
        <v>0</v>
      </c>
      <c r="I460" s="512" t="s">
        <v>1721</v>
      </c>
      <c r="J460" s="518">
        <v>350.35</v>
      </c>
      <c r="K460" s="513">
        <v>0</v>
      </c>
      <c r="L460" s="513">
        <v>0</v>
      </c>
      <c r="M460" s="513">
        <v>0</v>
      </c>
      <c r="N460" s="514">
        <f>LANÇ_MOV[[#This Row],[VALOR BRUTO]]-LANÇ_MOV[[#This Row],[DESCONTO]]+LANÇ_MOV[[#This Row],[JUROS]]+LANÇ_MOV[[#This Row],[MULTA]]</f>
        <v>350.35</v>
      </c>
      <c r="O460" s="528">
        <v>45971</v>
      </c>
      <c r="P460" s="516" t="str">
        <f t="shared" ca="1" si="7"/>
        <v>Pago</v>
      </c>
      <c r="Q460" s="528">
        <v>45964</v>
      </c>
      <c r="R460" s="529" t="s">
        <v>1564</v>
      </c>
      <c r="S460" s="518"/>
      <c r="T460" s="518" t="s">
        <v>1776</v>
      </c>
      <c r="U460" s="519" t="s">
        <v>2008</v>
      </c>
      <c r="V460" s="520" t="str">
        <f>IFERROR(VLOOKUP(LANÇ_MOV[[#This Row],[PLANO DE CONTAS]],Plano_Contas[[PLANO DE CONTAS]:[R / D]],3,0),"")</f>
        <v>Receita</v>
      </c>
      <c r="W460" s="521" t="str">
        <f>IF(LANÇ_MOV[[#This Row],[DATA DE PAGAMENTO]]&lt;&gt;"","Pago","Não Pago")</f>
        <v>Pago</v>
      </c>
      <c r="X460" s="522" t="str">
        <f>IFERROR(IF(LANÇ_MOV[[#This Row],[DATA DE PAGAMENTO]]="","",(UPPER(TEXT(LANÇ_MOV[[#This Row],[DATA DE PAGAMENTO]],"mmmm")))),"")</f>
        <v>NOVEMBRO</v>
      </c>
      <c r="Y460" s="523" t="str">
        <f>IFERROR(VLOOKUP(LANÇ_MOV[[#This Row],[PLANO DE CONTAS]],Plano_Contas[[PLANO DE CONTAS]:[NOMES INTERVALOS]],2,0),"")</f>
        <v>Receitas_Operacionais</v>
      </c>
      <c r="Z460" s="523" t="str">
        <f>IF(LANÇ_MOV[[#This Row],[FORMA DE PAGAMENTO]]="","",VLOOKUP(LANÇ_MOV[[#This Row],[FORMA DE PAGAMENTO]],CAD_Forma_pagto[],2,0))</f>
        <v>PIX</v>
      </c>
      <c r="AA460" s="524" t="str">
        <f>IF(LANÇ_MOV[[#This Row],[DATA DE LANÇAMENTO]]="","",TEXT(LANÇ_MOV[[#This Row],[DATA DE LANÇAMENTO]],"AAAA"))</f>
        <v>2025</v>
      </c>
      <c r="AB460" s="524" t="str">
        <f>IF(LANÇ_MOV[[#This Row],[DATA DE LANÇAMENTO]]="","",UPPER(TEXT(LANÇ_MOV[[#This Row],[DATA DE LANÇAMENTO]],"MMMM")))</f>
        <v>OUTUBRO</v>
      </c>
      <c r="AC460" s="525" t="str">
        <f>IF(LANÇ_MOV[[#This Row],[DATA DE LANÇAMENTO]]="","",PROPER(TEXT(LANÇ_MOV[[#This Row],[DATA DE LANÇAMENTO]],"M")))</f>
        <v>10</v>
      </c>
      <c r="AD460" s="524" t="str">
        <f>IF(LANÇ_MOV[[#This Row],[DATA DE LANÇAMENTO]]="","",TEXT(LANÇ_MOV[[#This Row],[DATA DE LANÇAMENTO]],"D"))</f>
        <v>6</v>
      </c>
      <c r="AE460" s="526" t="str">
        <f>IF(LANÇ_MOV[[#This Row],[DATA DE VENCIMENTO]]="","",TEXT(LANÇ_MOV[[#This Row],[DATA DE VENCIMENTO]],"AAAA"))</f>
        <v>2025</v>
      </c>
      <c r="AF460" s="526" t="str">
        <f>IF(LANÇ_MOV[[#This Row],[DATA DE VENCIMENTO]]="","",UPPER(TEXT(LANÇ_MOV[[#This Row],[DATA DE VENCIMENTO]],"MMMM")))</f>
        <v>NOVEMBRO</v>
      </c>
      <c r="AG460" s="526" t="str">
        <f>IF(LANÇ_MOV[[#This Row],[DATA DE VENCIMENTO]]="","",TEXT(LANÇ_MOV[[#This Row],[DATA DE VENCIMENTO]],"M"))</f>
        <v>11</v>
      </c>
      <c r="AH460" s="526" t="str">
        <f>IF(LANÇ_MOV[[#This Row],[DATA DE VENCIMENTO]]="","",TEXT(LANÇ_MOV[[#This Row],[DATA DE VENCIMENTO]],"D"))</f>
        <v>10</v>
      </c>
      <c r="AI460" s="526" t="str">
        <f>IF(LANÇ_MOV[[#This Row],[DATA DE PAGAMENTO]]="","",TEXT(LANÇ_MOV[[#This Row],[DATA DE PAGAMENTO]],"AAAA"))</f>
        <v>2025</v>
      </c>
      <c r="AJ460" s="527" t="str">
        <f>IF(LANÇ_MOV[[#This Row],[DATA DE PAGAMENTO]]="","",UPPER(TEXT(LANÇ_MOV[[#This Row],[DATA DE PAGAMENTO]],"MMMM")))</f>
        <v>NOVEMBRO</v>
      </c>
      <c r="AK460" s="527" t="str">
        <f>IF(LANÇ_MOV[[#This Row],[DATA DE PAGAMENTO]]="","",TEXT(LANÇ_MOV[[#This Row],[DATA DE PAGAMENTO]],"M"))</f>
        <v>11</v>
      </c>
      <c r="AL460" s="526" t="str">
        <f>IF(LANÇ_MOV[[#This Row],[DATA DE PAGAMENTO]]="","",TEXT(LANÇ_MOV[[#This Row],[DATA DE PAGAMENTO]],"D"))</f>
        <v>3</v>
      </c>
      <c r="AM460" s="27"/>
      <c r="BB460" s="112"/>
      <c r="BC460" s="112"/>
      <c r="BD460" s="112"/>
    </row>
    <row r="461" spans="2:56" ht="30.05" customHeight="1" x14ac:dyDescent="0.35">
      <c r="B461" s="506">
        <v>45936</v>
      </c>
      <c r="C461" s="507" t="s">
        <v>1661</v>
      </c>
      <c r="D461" s="508" t="s">
        <v>1854</v>
      </c>
      <c r="E461" s="509" t="s">
        <v>1103</v>
      </c>
      <c r="F461" s="510" t="s">
        <v>1785</v>
      </c>
      <c r="G461" s="507" t="s">
        <v>1857</v>
      </c>
      <c r="H461" s="511">
        <v>0</v>
      </c>
      <c r="I461" s="512" t="s">
        <v>1721</v>
      </c>
      <c r="J461" s="518">
        <v>350.35</v>
      </c>
      <c r="K461" s="513">
        <v>0</v>
      </c>
      <c r="L461" s="513"/>
      <c r="M461" s="513">
        <v>0</v>
      </c>
      <c r="N461" s="514">
        <f>LANÇ_MOV[[#This Row],[VALOR BRUTO]]-LANÇ_MOV[[#This Row],[DESCONTO]]+LANÇ_MOV[[#This Row],[JUROS]]+LANÇ_MOV[[#This Row],[MULTA]]</f>
        <v>350.35</v>
      </c>
      <c r="O461" s="528">
        <v>46001</v>
      </c>
      <c r="P461" s="516" t="str">
        <f t="shared" ca="1" si="7"/>
        <v>Prazo - Menos de 15 dias</v>
      </c>
      <c r="Q461" s="528"/>
      <c r="R461" s="529" t="s">
        <v>1564</v>
      </c>
      <c r="S461" s="518"/>
      <c r="T461" s="518" t="s">
        <v>1776</v>
      </c>
      <c r="U461" s="519" t="s">
        <v>2008</v>
      </c>
      <c r="V461" s="520" t="str">
        <f>IFERROR(VLOOKUP(LANÇ_MOV[[#This Row],[PLANO DE CONTAS]],Plano_Contas[[PLANO DE CONTAS]:[R / D]],3,0),"")</f>
        <v>Receita</v>
      </c>
      <c r="W461" s="521" t="str">
        <f>IF(LANÇ_MOV[[#This Row],[DATA DE PAGAMENTO]]&lt;&gt;"","Pago","Não Pago")</f>
        <v>Não Pago</v>
      </c>
      <c r="X461" s="522" t="str">
        <f>IFERROR(IF(LANÇ_MOV[[#This Row],[DATA DE PAGAMENTO]]="","",(UPPER(TEXT(LANÇ_MOV[[#This Row],[DATA DE PAGAMENTO]],"mmmm")))),"")</f>
        <v/>
      </c>
      <c r="Y461" s="523" t="str">
        <f>IFERROR(VLOOKUP(LANÇ_MOV[[#This Row],[PLANO DE CONTAS]],Plano_Contas[[PLANO DE CONTAS]:[NOMES INTERVALOS]],2,0),"")</f>
        <v>Receitas_Operacionais</v>
      </c>
      <c r="Z461" s="523" t="str">
        <f>IF(LANÇ_MOV[[#This Row],[FORMA DE PAGAMENTO]]="","",VLOOKUP(LANÇ_MOV[[#This Row],[FORMA DE PAGAMENTO]],CAD_Forma_pagto[],2,0))</f>
        <v>PIX</v>
      </c>
      <c r="AA461" s="524" t="str">
        <f>IF(LANÇ_MOV[[#This Row],[DATA DE LANÇAMENTO]]="","",TEXT(LANÇ_MOV[[#This Row],[DATA DE LANÇAMENTO]],"AAAA"))</f>
        <v>2025</v>
      </c>
      <c r="AB461" s="524" t="str">
        <f>IF(LANÇ_MOV[[#This Row],[DATA DE LANÇAMENTO]]="","",UPPER(TEXT(LANÇ_MOV[[#This Row],[DATA DE LANÇAMENTO]],"MMMM")))</f>
        <v>OUTUBRO</v>
      </c>
      <c r="AC461" s="525" t="str">
        <f>IF(LANÇ_MOV[[#This Row],[DATA DE LANÇAMENTO]]="","",PROPER(TEXT(LANÇ_MOV[[#This Row],[DATA DE LANÇAMENTO]],"M")))</f>
        <v>10</v>
      </c>
      <c r="AD461" s="524" t="str">
        <f>IF(LANÇ_MOV[[#This Row],[DATA DE LANÇAMENTO]]="","",TEXT(LANÇ_MOV[[#This Row],[DATA DE LANÇAMENTO]],"D"))</f>
        <v>6</v>
      </c>
      <c r="AE461" s="526" t="str">
        <f>IF(LANÇ_MOV[[#This Row],[DATA DE VENCIMENTO]]="","",TEXT(LANÇ_MOV[[#This Row],[DATA DE VENCIMENTO]],"AAAA"))</f>
        <v>2025</v>
      </c>
      <c r="AF461" s="526" t="str">
        <f>IF(LANÇ_MOV[[#This Row],[DATA DE VENCIMENTO]]="","",UPPER(TEXT(LANÇ_MOV[[#This Row],[DATA DE VENCIMENTO]],"MMMM")))</f>
        <v>DEZEMBRO</v>
      </c>
      <c r="AG461" s="526" t="str">
        <f>IF(LANÇ_MOV[[#This Row],[DATA DE VENCIMENTO]]="","",TEXT(LANÇ_MOV[[#This Row],[DATA DE VENCIMENTO]],"M"))</f>
        <v>12</v>
      </c>
      <c r="AH461" s="526" t="str">
        <f>IF(LANÇ_MOV[[#This Row],[DATA DE VENCIMENTO]]="","",TEXT(LANÇ_MOV[[#This Row],[DATA DE VENCIMENTO]],"D"))</f>
        <v>10</v>
      </c>
      <c r="AI461" s="526" t="str">
        <f>IF(LANÇ_MOV[[#This Row],[DATA DE PAGAMENTO]]="","",TEXT(LANÇ_MOV[[#This Row],[DATA DE PAGAMENTO]],"AAAA"))</f>
        <v/>
      </c>
      <c r="AJ461" s="527" t="str">
        <f>IF(LANÇ_MOV[[#This Row],[DATA DE PAGAMENTO]]="","",UPPER(TEXT(LANÇ_MOV[[#This Row],[DATA DE PAGAMENTO]],"MMMM")))</f>
        <v/>
      </c>
      <c r="AK461" s="527" t="str">
        <f>IF(LANÇ_MOV[[#This Row],[DATA DE PAGAMENTO]]="","",TEXT(LANÇ_MOV[[#This Row],[DATA DE PAGAMENTO]],"M"))</f>
        <v/>
      </c>
      <c r="AL461" s="526" t="str">
        <f>IF(LANÇ_MOV[[#This Row],[DATA DE PAGAMENTO]]="","",TEXT(LANÇ_MOV[[#This Row],[DATA DE PAGAMENTO]],"D"))</f>
        <v/>
      </c>
      <c r="AM461" s="27"/>
      <c r="BB461" s="112"/>
      <c r="BC461" s="112"/>
      <c r="BD461" s="112"/>
    </row>
    <row r="462" spans="2:56" ht="30.05" customHeight="1" x14ac:dyDescent="0.35">
      <c r="B462" s="506">
        <v>45936</v>
      </c>
      <c r="C462" s="507" t="s">
        <v>1661</v>
      </c>
      <c r="D462" s="508" t="s">
        <v>1854</v>
      </c>
      <c r="E462" s="509" t="s">
        <v>1103</v>
      </c>
      <c r="F462" s="510" t="s">
        <v>1785</v>
      </c>
      <c r="G462" s="507" t="s">
        <v>1858</v>
      </c>
      <c r="H462" s="511">
        <v>0</v>
      </c>
      <c r="I462" s="512" t="s">
        <v>1721</v>
      </c>
      <c r="J462" s="518">
        <v>350.35</v>
      </c>
      <c r="K462" s="513">
        <v>0</v>
      </c>
      <c r="L462" s="513"/>
      <c r="M462" s="513">
        <v>0</v>
      </c>
      <c r="N462" s="514">
        <f>LANÇ_MOV[[#This Row],[VALOR BRUTO]]-LANÇ_MOV[[#This Row],[DESCONTO]]+LANÇ_MOV[[#This Row],[JUROS]]+LANÇ_MOV[[#This Row],[MULTA]]</f>
        <v>350.35</v>
      </c>
      <c r="O462" s="528">
        <v>46032</v>
      </c>
      <c r="P462" s="516" t="str">
        <f t="shared" ca="1" si="7"/>
        <v>Prazo - Mais de 1 mês</v>
      </c>
      <c r="Q462" s="528"/>
      <c r="R462" s="529" t="s">
        <v>1564</v>
      </c>
      <c r="S462" s="518"/>
      <c r="T462" s="518" t="s">
        <v>1776</v>
      </c>
      <c r="U462" s="519" t="s">
        <v>2008</v>
      </c>
      <c r="V462" s="520" t="str">
        <f>IFERROR(VLOOKUP(LANÇ_MOV[[#This Row],[PLANO DE CONTAS]],Plano_Contas[[PLANO DE CONTAS]:[R / D]],3,0),"")</f>
        <v>Receita</v>
      </c>
      <c r="W462" s="521" t="str">
        <f>IF(LANÇ_MOV[[#This Row],[DATA DE PAGAMENTO]]&lt;&gt;"","Pago","Não Pago")</f>
        <v>Não Pago</v>
      </c>
      <c r="X462" s="522" t="str">
        <f>IFERROR(IF(LANÇ_MOV[[#This Row],[DATA DE PAGAMENTO]]="","",(UPPER(TEXT(LANÇ_MOV[[#This Row],[DATA DE PAGAMENTO]],"mmmm")))),"")</f>
        <v/>
      </c>
      <c r="Y462" s="523" t="str">
        <f>IFERROR(VLOOKUP(LANÇ_MOV[[#This Row],[PLANO DE CONTAS]],Plano_Contas[[PLANO DE CONTAS]:[NOMES INTERVALOS]],2,0),"")</f>
        <v>Receitas_Operacionais</v>
      </c>
      <c r="Z462" s="523" t="str">
        <f>IF(LANÇ_MOV[[#This Row],[FORMA DE PAGAMENTO]]="","",VLOOKUP(LANÇ_MOV[[#This Row],[FORMA DE PAGAMENTO]],CAD_Forma_pagto[],2,0))</f>
        <v>PIX</v>
      </c>
      <c r="AA462" s="524" t="str">
        <f>IF(LANÇ_MOV[[#This Row],[DATA DE LANÇAMENTO]]="","",TEXT(LANÇ_MOV[[#This Row],[DATA DE LANÇAMENTO]],"AAAA"))</f>
        <v>2025</v>
      </c>
      <c r="AB462" s="524" t="str">
        <f>IF(LANÇ_MOV[[#This Row],[DATA DE LANÇAMENTO]]="","",UPPER(TEXT(LANÇ_MOV[[#This Row],[DATA DE LANÇAMENTO]],"MMMM")))</f>
        <v>OUTUBRO</v>
      </c>
      <c r="AC462" s="525" t="str">
        <f>IF(LANÇ_MOV[[#This Row],[DATA DE LANÇAMENTO]]="","",PROPER(TEXT(LANÇ_MOV[[#This Row],[DATA DE LANÇAMENTO]],"M")))</f>
        <v>10</v>
      </c>
      <c r="AD462" s="524" t="str">
        <f>IF(LANÇ_MOV[[#This Row],[DATA DE LANÇAMENTO]]="","",TEXT(LANÇ_MOV[[#This Row],[DATA DE LANÇAMENTO]],"D"))</f>
        <v>6</v>
      </c>
      <c r="AE462" s="526" t="str">
        <f>IF(LANÇ_MOV[[#This Row],[DATA DE VENCIMENTO]]="","",TEXT(LANÇ_MOV[[#This Row],[DATA DE VENCIMENTO]],"AAAA"))</f>
        <v>2026</v>
      </c>
      <c r="AF462" s="526" t="str">
        <f>IF(LANÇ_MOV[[#This Row],[DATA DE VENCIMENTO]]="","",UPPER(TEXT(LANÇ_MOV[[#This Row],[DATA DE VENCIMENTO]],"MMMM")))</f>
        <v>JANEIRO</v>
      </c>
      <c r="AG462" s="526" t="str">
        <f>IF(LANÇ_MOV[[#This Row],[DATA DE VENCIMENTO]]="","",TEXT(LANÇ_MOV[[#This Row],[DATA DE VENCIMENTO]],"M"))</f>
        <v>1</v>
      </c>
      <c r="AH462" s="526" t="str">
        <f>IF(LANÇ_MOV[[#This Row],[DATA DE VENCIMENTO]]="","",TEXT(LANÇ_MOV[[#This Row],[DATA DE VENCIMENTO]],"D"))</f>
        <v>10</v>
      </c>
      <c r="AI462" s="526" t="str">
        <f>IF(LANÇ_MOV[[#This Row],[DATA DE PAGAMENTO]]="","",TEXT(LANÇ_MOV[[#This Row],[DATA DE PAGAMENTO]],"AAAA"))</f>
        <v/>
      </c>
      <c r="AJ462" s="527" t="str">
        <f>IF(LANÇ_MOV[[#This Row],[DATA DE PAGAMENTO]]="","",UPPER(TEXT(LANÇ_MOV[[#This Row],[DATA DE PAGAMENTO]],"MMMM")))</f>
        <v/>
      </c>
      <c r="AK462" s="527" t="str">
        <f>IF(LANÇ_MOV[[#This Row],[DATA DE PAGAMENTO]]="","",TEXT(LANÇ_MOV[[#This Row],[DATA DE PAGAMENTO]],"M"))</f>
        <v/>
      </c>
      <c r="AL462" s="526" t="str">
        <f>IF(LANÇ_MOV[[#This Row],[DATA DE PAGAMENTO]]="","",TEXT(LANÇ_MOV[[#This Row],[DATA DE PAGAMENTO]],"D"))</f>
        <v/>
      </c>
      <c r="AM462" s="27"/>
      <c r="BB462" s="112"/>
      <c r="BC462" s="112"/>
      <c r="BD462" s="112"/>
    </row>
    <row r="463" spans="2:56" ht="30.05" customHeight="1" x14ac:dyDescent="0.35">
      <c r="B463" s="506">
        <v>45936</v>
      </c>
      <c r="C463" s="507" t="s">
        <v>1661</v>
      </c>
      <c r="D463" s="508" t="s">
        <v>1854</v>
      </c>
      <c r="E463" s="509" t="s">
        <v>1441</v>
      </c>
      <c r="F463" s="510" t="s">
        <v>1502</v>
      </c>
      <c r="G463" s="507" t="s">
        <v>1989</v>
      </c>
      <c r="H463" s="511"/>
      <c r="I463" s="512" t="s">
        <v>1723</v>
      </c>
      <c r="J463" s="510">
        <v>321.27</v>
      </c>
      <c r="K463" s="513">
        <v>0</v>
      </c>
      <c r="L463" s="513"/>
      <c r="M463" s="513">
        <v>0</v>
      </c>
      <c r="N463" s="514">
        <f>LANÇ_MOV[[#This Row],[VALOR BRUTO]]-LANÇ_MOV[[#This Row],[DESCONTO]]+LANÇ_MOV[[#This Row],[JUROS]]+LANÇ_MOV[[#This Row],[MULTA]]</f>
        <v>321.27</v>
      </c>
      <c r="O463" s="528">
        <v>45936</v>
      </c>
      <c r="P463" s="516" t="str">
        <f t="shared" ca="1" si="7"/>
        <v>Pago</v>
      </c>
      <c r="Q463" s="528">
        <v>45936</v>
      </c>
      <c r="R463" s="529" t="s">
        <v>1629</v>
      </c>
      <c r="S463" s="518"/>
      <c r="T463" s="518" t="s">
        <v>1776</v>
      </c>
      <c r="U463" s="519" t="s">
        <v>2007</v>
      </c>
      <c r="V463" s="520" t="str">
        <f>IFERROR(VLOOKUP(LANÇ_MOV[[#This Row],[PLANO DE CONTAS]],Plano_Contas[[PLANO DE CONTAS]:[R / D]],3,0),"")</f>
        <v>Receita</v>
      </c>
      <c r="W463" s="521" t="str">
        <f>IF(LANÇ_MOV[[#This Row],[DATA DE PAGAMENTO]]&lt;&gt;"","Pago","Não Pago")</f>
        <v>Pago</v>
      </c>
      <c r="X463" s="522" t="str">
        <f>IFERROR(IF(LANÇ_MOV[[#This Row],[DATA DE PAGAMENTO]]="","",(UPPER(TEXT(LANÇ_MOV[[#This Row],[DATA DE PAGAMENTO]],"mmmm")))),"")</f>
        <v>OUTUBRO</v>
      </c>
      <c r="Y463" s="523" t="str">
        <f>IFERROR(VLOOKUP(LANÇ_MOV[[#This Row],[PLANO DE CONTAS]],Plano_Contas[[PLANO DE CONTAS]:[NOMES INTERVALOS]],2,0),"")</f>
        <v>Receitas_Outros_Creditos</v>
      </c>
      <c r="Z463" s="523" t="str">
        <f>IF(LANÇ_MOV[[#This Row],[FORMA DE PAGAMENTO]]="","",VLOOKUP(LANÇ_MOV[[#This Row],[FORMA DE PAGAMENTO]],CAD_Forma_pagto[],2,0))</f>
        <v>DEPÓSITO EM CONTA</v>
      </c>
      <c r="AA463" s="524" t="str">
        <f>IF(LANÇ_MOV[[#This Row],[DATA DE LANÇAMENTO]]="","",TEXT(LANÇ_MOV[[#This Row],[DATA DE LANÇAMENTO]],"AAAA"))</f>
        <v>2025</v>
      </c>
      <c r="AB463" s="524" t="str">
        <f>IF(LANÇ_MOV[[#This Row],[DATA DE LANÇAMENTO]]="","",UPPER(TEXT(LANÇ_MOV[[#This Row],[DATA DE LANÇAMENTO]],"MMMM")))</f>
        <v>OUTUBRO</v>
      </c>
      <c r="AC463" s="525" t="str">
        <f>IF(LANÇ_MOV[[#This Row],[DATA DE LANÇAMENTO]]="","",PROPER(TEXT(LANÇ_MOV[[#This Row],[DATA DE LANÇAMENTO]],"M")))</f>
        <v>10</v>
      </c>
      <c r="AD463" s="524" t="str">
        <f>IF(LANÇ_MOV[[#This Row],[DATA DE LANÇAMENTO]]="","",TEXT(LANÇ_MOV[[#This Row],[DATA DE LANÇAMENTO]],"D"))</f>
        <v>6</v>
      </c>
      <c r="AE463" s="526" t="str">
        <f>IF(LANÇ_MOV[[#This Row],[DATA DE VENCIMENTO]]="","",TEXT(LANÇ_MOV[[#This Row],[DATA DE VENCIMENTO]],"AAAA"))</f>
        <v>2025</v>
      </c>
      <c r="AF463" s="526" t="str">
        <f>IF(LANÇ_MOV[[#This Row],[DATA DE VENCIMENTO]]="","",UPPER(TEXT(LANÇ_MOV[[#This Row],[DATA DE VENCIMENTO]],"MMMM")))</f>
        <v>OUTUBRO</v>
      </c>
      <c r="AG463" s="526" t="str">
        <f>IF(LANÇ_MOV[[#This Row],[DATA DE VENCIMENTO]]="","",TEXT(LANÇ_MOV[[#This Row],[DATA DE VENCIMENTO]],"M"))</f>
        <v>10</v>
      </c>
      <c r="AH463" s="526" t="str">
        <f>IF(LANÇ_MOV[[#This Row],[DATA DE VENCIMENTO]]="","",TEXT(LANÇ_MOV[[#This Row],[DATA DE VENCIMENTO]],"D"))</f>
        <v>6</v>
      </c>
      <c r="AI463" s="526" t="str">
        <f>IF(LANÇ_MOV[[#This Row],[DATA DE PAGAMENTO]]="","",TEXT(LANÇ_MOV[[#This Row],[DATA DE PAGAMENTO]],"AAAA"))</f>
        <v>2025</v>
      </c>
      <c r="AJ463" s="527" t="str">
        <f>IF(LANÇ_MOV[[#This Row],[DATA DE PAGAMENTO]]="","",UPPER(TEXT(LANÇ_MOV[[#This Row],[DATA DE PAGAMENTO]],"MMMM")))</f>
        <v>OUTUBRO</v>
      </c>
      <c r="AK463" s="527" t="str">
        <f>IF(LANÇ_MOV[[#This Row],[DATA DE PAGAMENTO]]="","",TEXT(LANÇ_MOV[[#This Row],[DATA DE PAGAMENTO]],"M"))</f>
        <v>10</v>
      </c>
      <c r="AL463" s="526" t="str">
        <f>IF(LANÇ_MOV[[#This Row],[DATA DE PAGAMENTO]]="","",TEXT(LANÇ_MOV[[#This Row],[DATA DE PAGAMENTO]],"D"))</f>
        <v>6</v>
      </c>
      <c r="AM463" s="27"/>
      <c r="BB463" s="112"/>
      <c r="BC463" s="112"/>
      <c r="BD463" s="112"/>
    </row>
    <row r="464" spans="2:56" ht="30.05" customHeight="1" x14ac:dyDescent="0.35">
      <c r="B464" s="506">
        <v>45937</v>
      </c>
      <c r="C464" s="507" t="s">
        <v>1661</v>
      </c>
      <c r="D464" s="508" t="s">
        <v>1854</v>
      </c>
      <c r="E464" s="509" t="s">
        <v>1103</v>
      </c>
      <c r="F464" s="510" t="s">
        <v>1785</v>
      </c>
      <c r="G464" s="507" t="s">
        <v>1855</v>
      </c>
      <c r="H464" s="511">
        <v>0</v>
      </c>
      <c r="I464" s="512" t="s">
        <v>1685</v>
      </c>
      <c r="J464" s="518">
        <v>375.38</v>
      </c>
      <c r="K464" s="513">
        <v>0</v>
      </c>
      <c r="L464" s="513">
        <v>0</v>
      </c>
      <c r="M464" s="513">
        <v>0</v>
      </c>
      <c r="N464" s="514">
        <f>LANÇ_MOV[[#This Row],[VALOR BRUTO]]-LANÇ_MOV[[#This Row],[DESCONTO]]+LANÇ_MOV[[#This Row],[JUROS]]+LANÇ_MOV[[#This Row],[MULTA]]</f>
        <v>375.38</v>
      </c>
      <c r="O464" s="528">
        <v>45937</v>
      </c>
      <c r="P464" s="516" t="str">
        <f t="shared" ca="1" si="7"/>
        <v>Pago</v>
      </c>
      <c r="Q464" s="528">
        <v>45937</v>
      </c>
      <c r="R464" s="529" t="s">
        <v>1564</v>
      </c>
      <c r="S464" s="518"/>
      <c r="T464" s="518" t="s">
        <v>1776</v>
      </c>
      <c r="U464" s="519" t="s">
        <v>2008</v>
      </c>
      <c r="V464" s="520" t="str">
        <f>IFERROR(VLOOKUP(LANÇ_MOV[[#This Row],[PLANO DE CONTAS]],Plano_Contas[[PLANO DE CONTAS]:[R / D]],3,0),"")</f>
        <v>Receita</v>
      </c>
      <c r="W464" s="521" t="str">
        <f>IF(LANÇ_MOV[[#This Row],[DATA DE PAGAMENTO]]&lt;&gt;"","Pago","Não Pago")</f>
        <v>Pago</v>
      </c>
      <c r="X464" s="522" t="str">
        <f>IFERROR(IF(LANÇ_MOV[[#This Row],[DATA DE PAGAMENTO]]="","",(UPPER(TEXT(LANÇ_MOV[[#This Row],[DATA DE PAGAMENTO]],"mmmm")))),"")</f>
        <v>OUTUBRO</v>
      </c>
      <c r="Y464" s="523" t="str">
        <f>IFERROR(VLOOKUP(LANÇ_MOV[[#This Row],[PLANO DE CONTAS]],Plano_Contas[[PLANO DE CONTAS]:[NOMES INTERVALOS]],2,0),"")</f>
        <v>Receitas_Operacionais</v>
      </c>
      <c r="Z464" s="523" t="str">
        <f>IF(LANÇ_MOV[[#This Row],[FORMA DE PAGAMENTO]]="","",VLOOKUP(LANÇ_MOV[[#This Row],[FORMA DE PAGAMENTO]],CAD_Forma_pagto[],2,0))</f>
        <v>PIX</v>
      </c>
      <c r="AA464" s="524" t="str">
        <f>IF(LANÇ_MOV[[#This Row],[DATA DE LANÇAMENTO]]="","",TEXT(LANÇ_MOV[[#This Row],[DATA DE LANÇAMENTO]],"AAAA"))</f>
        <v>2025</v>
      </c>
      <c r="AB464" s="524" t="str">
        <f>IF(LANÇ_MOV[[#This Row],[DATA DE LANÇAMENTO]]="","",UPPER(TEXT(LANÇ_MOV[[#This Row],[DATA DE LANÇAMENTO]],"MMMM")))</f>
        <v>OUTUBRO</v>
      </c>
      <c r="AC464" s="525" t="str">
        <f>IF(LANÇ_MOV[[#This Row],[DATA DE LANÇAMENTO]]="","",PROPER(TEXT(LANÇ_MOV[[#This Row],[DATA DE LANÇAMENTO]],"M")))</f>
        <v>10</v>
      </c>
      <c r="AD464" s="524" t="str">
        <f>IF(LANÇ_MOV[[#This Row],[DATA DE LANÇAMENTO]]="","",TEXT(LANÇ_MOV[[#This Row],[DATA DE LANÇAMENTO]],"D"))</f>
        <v>7</v>
      </c>
      <c r="AE464" s="526" t="str">
        <f>IF(LANÇ_MOV[[#This Row],[DATA DE VENCIMENTO]]="","",TEXT(LANÇ_MOV[[#This Row],[DATA DE VENCIMENTO]],"AAAA"))</f>
        <v>2025</v>
      </c>
      <c r="AF464" s="526" t="str">
        <f>IF(LANÇ_MOV[[#This Row],[DATA DE VENCIMENTO]]="","",UPPER(TEXT(LANÇ_MOV[[#This Row],[DATA DE VENCIMENTO]],"MMMM")))</f>
        <v>OUTUBRO</v>
      </c>
      <c r="AG464" s="526" t="str">
        <f>IF(LANÇ_MOV[[#This Row],[DATA DE VENCIMENTO]]="","",TEXT(LANÇ_MOV[[#This Row],[DATA DE VENCIMENTO]],"M"))</f>
        <v>10</v>
      </c>
      <c r="AH464" s="526" t="str">
        <f>IF(LANÇ_MOV[[#This Row],[DATA DE VENCIMENTO]]="","",TEXT(LANÇ_MOV[[#This Row],[DATA DE VENCIMENTO]],"D"))</f>
        <v>7</v>
      </c>
      <c r="AI464" s="526" t="str">
        <f>IF(LANÇ_MOV[[#This Row],[DATA DE PAGAMENTO]]="","",TEXT(LANÇ_MOV[[#This Row],[DATA DE PAGAMENTO]],"AAAA"))</f>
        <v>2025</v>
      </c>
      <c r="AJ464" s="527" t="str">
        <f>IF(LANÇ_MOV[[#This Row],[DATA DE PAGAMENTO]]="","",UPPER(TEXT(LANÇ_MOV[[#This Row],[DATA DE PAGAMENTO]],"MMMM")))</f>
        <v>OUTUBRO</v>
      </c>
      <c r="AK464" s="527" t="str">
        <f>IF(LANÇ_MOV[[#This Row],[DATA DE PAGAMENTO]]="","",TEXT(LANÇ_MOV[[#This Row],[DATA DE PAGAMENTO]],"M"))</f>
        <v>10</v>
      </c>
      <c r="AL464" s="526" t="str">
        <f>IF(LANÇ_MOV[[#This Row],[DATA DE PAGAMENTO]]="","",TEXT(LANÇ_MOV[[#This Row],[DATA DE PAGAMENTO]],"D"))</f>
        <v>7</v>
      </c>
      <c r="AM464" s="27"/>
      <c r="BB464" s="112"/>
      <c r="BC464" s="112"/>
      <c r="BD464" s="112"/>
    </row>
    <row r="465" spans="2:56" ht="30.05" customHeight="1" x14ac:dyDescent="0.35">
      <c r="B465" s="506">
        <v>45937</v>
      </c>
      <c r="C465" s="507" t="s">
        <v>1661</v>
      </c>
      <c r="D465" s="508" t="s">
        <v>1854</v>
      </c>
      <c r="E465" s="509" t="s">
        <v>1103</v>
      </c>
      <c r="F465" s="510" t="s">
        <v>1785</v>
      </c>
      <c r="G465" s="507" t="s">
        <v>1856</v>
      </c>
      <c r="H465" s="511">
        <v>0</v>
      </c>
      <c r="I465" s="512" t="s">
        <v>1685</v>
      </c>
      <c r="J465" s="510">
        <v>375.38</v>
      </c>
      <c r="K465" s="513">
        <v>0</v>
      </c>
      <c r="L465" s="513">
        <v>0</v>
      </c>
      <c r="M465" s="513">
        <v>0</v>
      </c>
      <c r="N465" s="514">
        <f>LANÇ_MOV[[#This Row],[VALOR BRUTO]]-LANÇ_MOV[[#This Row],[DESCONTO]]+LANÇ_MOV[[#This Row],[JUROS]]+LANÇ_MOV[[#This Row],[MULTA]]</f>
        <v>375.38</v>
      </c>
      <c r="O465" s="528">
        <v>45971</v>
      </c>
      <c r="P465" s="516" t="str">
        <f t="shared" ca="1" si="7"/>
        <v>Pago</v>
      </c>
      <c r="Q465" s="528">
        <v>45967</v>
      </c>
      <c r="R465" s="529" t="s">
        <v>1564</v>
      </c>
      <c r="S465" s="518"/>
      <c r="T465" s="518" t="s">
        <v>1776</v>
      </c>
      <c r="U465" s="519" t="s">
        <v>2008</v>
      </c>
      <c r="V465" s="520" t="str">
        <f>IFERROR(VLOOKUP(LANÇ_MOV[[#This Row],[PLANO DE CONTAS]],Plano_Contas[[PLANO DE CONTAS]:[R / D]],3,0),"")</f>
        <v>Receita</v>
      </c>
      <c r="W465" s="521" t="str">
        <f>IF(LANÇ_MOV[[#This Row],[DATA DE PAGAMENTO]]&lt;&gt;"","Pago","Não Pago")</f>
        <v>Pago</v>
      </c>
      <c r="X465" s="522" t="str">
        <f>IFERROR(IF(LANÇ_MOV[[#This Row],[DATA DE PAGAMENTO]]="","",(UPPER(TEXT(LANÇ_MOV[[#This Row],[DATA DE PAGAMENTO]],"mmmm")))),"")</f>
        <v>NOVEMBRO</v>
      </c>
      <c r="Y465" s="523" t="str">
        <f>IFERROR(VLOOKUP(LANÇ_MOV[[#This Row],[PLANO DE CONTAS]],Plano_Contas[[PLANO DE CONTAS]:[NOMES INTERVALOS]],2,0),"")</f>
        <v>Receitas_Operacionais</v>
      </c>
      <c r="Z465" s="523" t="str">
        <f>IF(LANÇ_MOV[[#This Row],[FORMA DE PAGAMENTO]]="","",VLOOKUP(LANÇ_MOV[[#This Row],[FORMA DE PAGAMENTO]],CAD_Forma_pagto[],2,0))</f>
        <v>PIX</v>
      </c>
      <c r="AA465" s="524" t="str">
        <f>IF(LANÇ_MOV[[#This Row],[DATA DE LANÇAMENTO]]="","",TEXT(LANÇ_MOV[[#This Row],[DATA DE LANÇAMENTO]],"AAAA"))</f>
        <v>2025</v>
      </c>
      <c r="AB465" s="524" t="str">
        <f>IF(LANÇ_MOV[[#This Row],[DATA DE LANÇAMENTO]]="","",UPPER(TEXT(LANÇ_MOV[[#This Row],[DATA DE LANÇAMENTO]],"MMMM")))</f>
        <v>OUTUBRO</v>
      </c>
      <c r="AC465" s="525" t="str">
        <f>IF(LANÇ_MOV[[#This Row],[DATA DE LANÇAMENTO]]="","",PROPER(TEXT(LANÇ_MOV[[#This Row],[DATA DE LANÇAMENTO]],"M")))</f>
        <v>10</v>
      </c>
      <c r="AD465" s="524" t="str">
        <f>IF(LANÇ_MOV[[#This Row],[DATA DE LANÇAMENTO]]="","",TEXT(LANÇ_MOV[[#This Row],[DATA DE LANÇAMENTO]],"D"))</f>
        <v>7</v>
      </c>
      <c r="AE465" s="526" t="str">
        <f>IF(LANÇ_MOV[[#This Row],[DATA DE VENCIMENTO]]="","",TEXT(LANÇ_MOV[[#This Row],[DATA DE VENCIMENTO]],"AAAA"))</f>
        <v>2025</v>
      </c>
      <c r="AF465" s="526" t="str">
        <f>IF(LANÇ_MOV[[#This Row],[DATA DE VENCIMENTO]]="","",UPPER(TEXT(LANÇ_MOV[[#This Row],[DATA DE VENCIMENTO]],"MMMM")))</f>
        <v>NOVEMBRO</v>
      </c>
      <c r="AG465" s="526" t="str">
        <f>IF(LANÇ_MOV[[#This Row],[DATA DE VENCIMENTO]]="","",TEXT(LANÇ_MOV[[#This Row],[DATA DE VENCIMENTO]],"M"))</f>
        <v>11</v>
      </c>
      <c r="AH465" s="526" t="str">
        <f>IF(LANÇ_MOV[[#This Row],[DATA DE VENCIMENTO]]="","",TEXT(LANÇ_MOV[[#This Row],[DATA DE VENCIMENTO]],"D"))</f>
        <v>10</v>
      </c>
      <c r="AI465" s="526" t="str">
        <f>IF(LANÇ_MOV[[#This Row],[DATA DE PAGAMENTO]]="","",TEXT(LANÇ_MOV[[#This Row],[DATA DE PAGAMENTO]],"AAAA"))</f>
        <v>2025</v>
      </c>
      <c r="AJ465" s="527" t="str">
        <f>IF(LANÇ_MOV[[#This Row],[DATA DE PAGAMENTO]]="","",UPPER(TEXT(LANÇ_MOV[[#This Row],[DATA DE PAGAMENTO]],"MMMM")))</f>
        <v>NOVEMBRO</v>
      </c>
      <c r="AK465" s="527" t="str">
        <f>IF(LANÇ_MOV[[#This Row],[DATA DE PAGAMENTO]]="","",TEXT(LANÇ_MOV[[#This Row],[DATA DE PAGAMENTO]],"M"))</f>
        <v>11</v>
      </c>
      <c r="AL465" s="526" t="str">
        <f>IF(LANÇ_MOV[[#This Row],[DATA DE PAGAMENTO]]="","",TEXT(LANÇ_MOV[[#This Row],[DATA DE PAGAMENTO]],"D"))</f>
        <v>6</v>
      </c>
      <c r="AM465" s="27"/>
      <c r="BB465" s="112"/>
      <c r="BC465" s="112"/>
      <c r="BD465" s="112"/>
    </row>
    <row r="466" spans="2:56" ht="30.05" customHeight="1" x14ac:dyDescent="0.35">
      <c r="B466" s="506">
        <v>45937</v>
      </c>
      <c r="C466" s="507" t="s">
        <v>1661</v>
      </c>
      <c r="D466" s="508" t="s">
        <v>1854</v>
      </c>
      <c r="E466" s="509" t="s">
        <v>1103</v>
      </c>
      <c r="F466" s="510" t="s">
        <v>1785</v>
      </c>
      <c r="G466" s="507" t="s">
        <v>1857</v>
      </c>
      <c r="H466" s="511">
        <v>0</v>
      </c>
      <c r="I466" s="512" t="s">
        <v>1685</v>
      </c>
      <c r="J466" s="518">
        <v>375.38</v>
      </c>
      <c r="K466" s="513">
        <v>0</v>
      </c>
      <c r="L466" s="513"/>
      <c r="M466" s="513">
        <v>0</v>
      </c>
      <c r="N466" s="514">
        <f>LANÇ_MOV[[#This Row],[VALOR BRUTO]]-LANÇ_MOV[[#This Row],[DESCONTO]]+LANÇ_MOV[[#This Row],[JUROS]]+LANÇ_MOV[[#This Row],[MULTA]]</f>
        <v>375.38</v>
      </c>
      <c r="O466" s="528">
        <v>46001</v>
      </c>
      <c r="P466" s="516" t="str">
        <f t="shared" ca="1" si="7"/>
        <v>Prazo - Menos de 15 dias</v>
      </c>
      <c r="Q466" s="528"/>
      <c r="R466" s="529" t="s">
        <v>1564</v>
      </c>
      <c r="S466" s="518"/>
      <c r="T466" s="518" t="s">
        <v>1776</v>
      </c>
      <c r="U466" s="519" t="s">
        <v>2008</v>
      </c>
      <c r="V466" s="520" t="str">
        <f>IFERROR(VLOOKUP(LANÇ_MOV[[#This Row],[PLANO DE CONTAS]],Plano_Contas[[PLANO DE CONTAS]:[R / D]],3,0),"")</f>
        <v>Receita</v>
      </c>
      <c r="W466" s="521" t="str">
        <f>IF(LANÇ_MOV[[#This Row],[DATA DE PAGAMENTO]]&lt;&gt;"","Pago","Não Pago")</f>
        <v>Não Pago</v>
      </c>
      <c r="X466" s="522" t="str">
        <f>IFERROR(IF(LANÇ_MOV[[#This Row],[DATA DE PAGAMENTO]]="","",(UPPER(TEXT(LANÇ_MOV[[#This Row],[DATA DE PAGAMENTO]],"mmmm")))),"")</f>
        <v/>
      </c>
      <c r="Y466" s="523" t="str">
        <f>IFERROR(VLOOKUP(LANÇ_MOV[[#This Row],[PLANO DE CONTAS]],Plano_Contas[[PLANO DE CONTAS]:[NOMES INTERVALOS]],2,0),"")</f>
        <v>Receitas_Operacionais</v>
      </c>
      <c r="Z466" s="523" t="str">
        <f>IF(LANÇ_MOV[[#This Row],[FORMA DE PAGAMENTO]]="","",VLOOKUP(LANÇ_MOV[[#This Row],[FORMA DE PAGAMENTO]],CAD_Forma_pagto[],2,0))</f>
        <v>PIX</v>
      </c>
      <c r="AA466" s="524" t="str">
        <f>IF(LANÇ_MOV[[#This Row],[DATA DE LANÇAMENTO]]="","",TEXT(LANÇ_MOV[[#This Row],[DATA DE LANÇAMENTO]],"AAAA"))</f>
        <v>2025</v>
      </c>
      <c r="AB466" s="524" t="str">
        <f>IF(LANÇ_MOV[[#This Row],[DATA DE LANÇAMENTO]]="","",UPPER(TEXT(LANÇ_MOV[[#This Row],[DATA DE LANÇAMENTO]],"MMMM")))</f>
        <v>OUTUBRO</v>
      </c>
      <c r="AC466" s="525" t="str">
        <f>IF(LANÇ_MOV[[#This Row],[DATA DE LANÇAMENTO]]="","",PROPER(TEXT(LANÇ_MOV[[#This Row],[DATA DE LANÇAMENTO]],"M")))</f>
        <v>10</v>
      </c>
      <c r="AD466" s="524" t="str">
        <f>IF(LANÇ_MOV[[#This Row],[DATA DE LANÇAMENTO]]="","",TEXT(LANÇ_MOV[[#This Row],[DATA DE LANÇAMENTO]],"D"))</f>
        <v>7</v>
      </c>
      <c r="AE466" s="526" t="str">
        <f>IF(LANÇ_MOV[[#This Row],[DATA DE VENCIMENTO]]="","",TEXT(LANÇ_MOV[[#This Row],[DATA DE VENCIMENTO]],"AAAA"))</f>
        <v>2025</v>
      </c>
      <c r="AF466" s="526" t="str">
        <f>IF(LANÇ_MOV[[#This Row],[DATA DE VENCIMENTO]]="","",UPPER(TEXT(LANÇ_MOV[[#This Row],[DATA DE VENCIMENTO]],"MMMM")))</f>
        <v>DEZEMBRO</v>
      </c>
      <c r="AG466" s="526" t="str">
        <f>IF(LANÇ_MOV[[#This Row],[DATA DE VENCIMENTO]]="","",TEXT(LANÇ_MOV[[#This Row],[DATA DE VENCIMENTO]],"M"))</f>
        <v>12</v>
      </c>
      <c r="AH466" s="526" t="str">
        <f>IF(LANÇ_MOV[[#This Row],[DATA DE VENCIMENTO]]="","",TEXT(LANÇ_MOV[[#This Row],[DATA DE VENCIMENTO]],"D"))</f>
        <v>10</v>
      </c>
      <c r="AI466" s="526" t="str">
        <f>IF(LANÇ_MOV[[#This Row],[DATA DE PAGAMENTO]]="","",TEXT(LANÇ_MOV[[#This Row],[DATA DE PAGAMENTO]],"AAAA"))</f>
        <v/>
      </c>
      <c r="AJ466" s="527" t="str">
        <f>IF(LANÇ_MOV[[#This Row],[DATA DE PAGAMENTO]]="","",UPPER(TEXT(LANÇ_MOV[[#This Row],[DATA DE PAGAMENTO]],"MMMM")))</f>
        <v/>
      </c>
      <c r="AK466" s="527" t="str">
        <f>IF(LANÇ_MOV[[#This Row],[DATA DE PAGAMENTO]]="","",TEXT(LANÇ_MOV[[#This Row],[DATA DE PAGAMENTO]],"M"))</f>
        <v/>
      </c>
      <c r="AL466" s="526" t="str">
        <f>IF(LANÇ_MOV[[#This Row],[DATA DE PAGAMENTO]]="","",TEXT(LANÇ_MOV[[#This Row],[DATA DE PAGAMENTO]],"D"))</f>
        <v/>
      </c>
      <c r="AM466" s="27"/>
      <c r="BB466" s="112"/>
      <c r="BC466" s="112"/>
      <c r="BD466" s="112"/>
    </row>
    <row r="467" spans="2:56" ht="30.05" customHeight="1" x14ac:dyDescent="0.35">
      <c r="B467" s="506">
        <v>45937</v>
      </c>
      <c r="C467" s="507" t="s">
        <v>1661</v>
      </c>
      <c r="D467" s="508" t="s">
        <v>1854</v>
      </c>
      <c r="E467" s="509" t="s">
        <v>1103</v>
      </c>
      <c r="F467" s="510" t="s">
        <v>1785</v>
      </c>
      <c r="G467" s="507" t="s">
        <v>1858</v>
      </c>
      <c r="H467" s="511">
        <v>0</v>
      </c>
      <c r="I467" s="512" t="s">
        <v>1685</v>
      </c>
      <c r="J467" s="518">
        <v>375.38</v>
      </c>
      <c r="K467" s="513">
        <v>0</v>
      </c>
      <c r="L467" s="513"/>
      <c r="M467" s="513">
        <v>0</v>
      </c>
      <c r="N467" s="514">
        <f>LANÇ_MOV[[#This Row],[VALOR BRUTO]]-LANÇ_MOV[[#This Row],[DESCONTO]]+LANÇ_MOV[[#This Row],[JUROS]]+LANÇ_MOV[[#This Row],[MULTA]]</f>
        <v>375.38</v>
      </c>
      <c r="O467" s="528">
        <v>46032</v>
      </c>
      <c r="P467" s="516" t="str">
        <f t="shared" ca="1" si="7"/>
        <v>Prazo - Mais de 1 mês</v>
      </c>
      <c r="Q467" s="528"/>
      <c r="R467" s="529" t="s">
        <v>1564</v>
      </c>
      <c r="S467" s="518"/>
      <c r="T467" s="518" t="s">
        <v>1776</v>
      </c>
      <c r="U467" s="519" t="s">
        <v>2008</v>
      </c>
      <c r="V467" s="520" t="str">
        <f>IFERROR(VLOOKUP(LANÇ_MOV[[#This Row],[PLANO DE CONTAS]],Plano_Contas[[PLANO DE CONTAS]:[R / D]],3,0),"")</f>
        <v>Receita</v>
      </c>
      <c r="W467" s="521" t="str">
        <f>IF(LANÇ_MOV[[#This Row],[DATA DE PAGAMENTO]]&lt;&gt;"","Pago","Não Pago")</f>
        <v>Não Pago</v>
      </c>
      <c r="X467" s="522" t="str">
        <f>IFERROR(IF(LANÇ_MOV[[#This Row],[DATA DE PAGAMENTO]]="","",(UPPER(TEXT(LANÇ_MOV[[#This Row],[DATA DE PAGAMENTO]],"mmmm")))),"")</f>
        <v/>
      </c>
      <c r="Y467" s="523" t="str">
        <f>IFERROR(VLOOKUP(LANÇ_MOV[[#This Row],[PLANO DE CONTAS]],Plano_Contas[[PLANO DE CONTAS]:[NOMES INTERVALOS]],2,0),"")</f>
        <v>Receitas_Operacionais</v>
      </c>
      <c r="Z467" s="523" t="str">
        <f>IF(LANÇ_MOV[[#This Row],[FORMA DE PAGAMENTO]]="","",VLOOKUP(LANÇ_MOV[[#This Row],[FORMA DE PAGAMENTO]],CAD_Forma_pagto[],2,0))</f>
        <v>PIX</v>
      </c>
      <c r="AA467" s="524" t="str">
        <f>IF(LANÇ_MOV[[#This Row],[DATA DE LANÇAMENTO]]="","",TEXT(LANÇ_MOV[[#This Row],[DATA DE LANÇAMENTO]],"AAAA"))</f>
        <v>2025</v>
      </c>
      <c r="AB467" s="524" t="str">
        <f>IF(LANÇ_MOV[[#This Row],[DATA DE LANÇAMENTO]]="","",UPPER(TEXT(LANÇ_MOV[[#This Row],[DATA DE LANÇAMENTO]],"MMMM")))</f>
        <v>OUTUBRO</v>
      </c>
      <c r="AC467" s="525" t="str">
        <f>IF(LANÇ_MOV[[#This Row],[DATA DE LANÇAMENTO]]="","",PROPER(TEXT(LANÇ_MOV[[#This Row],[DATA DE LANÇAMENTO]],"M")))</f>
        <v>10</v>
      </c>
      <c r="AD467" s="524" t="str">
        <f>IF(LANÇ_MOV[[#This Row],[DATA DE LANÇAMENTO]]="","",TEXT(LANÇ_MOV[[#This Row],[DATA DE LANÇAMENTO]],"D"))</f>
        <v>7</v>
      </c>
      <c r="AE467" s="526" t="str">
        <f>IF(LANÇ_MOV[[#This Row],[DATA DE VENCIMENTO]]="","",TEXT(LANÇ_MOV[[#This Row],[DATA DE VENCIMENTO]],"AAAA"))</f>
        <v>2026</v>
      </c>
      <c r="AF467" s="526" t="str">
        <f>IF(LANÇ_MOV[[#This Row],[DATA DE VENCIMENTO]]="","",UPPER(TEXT(LANÇ_MOV[[#This Row],[DATA DE VENCIMENTO]],"MMMM")))</f>
        <v>JANEIRO</v>
      </c>
      <c r="AG467" s="526" t="str">
        <f>IF(LANÇ_MOV[[#This Row],[DATA DE VENCIMENTO]]="","",TEXT(LANÇ_MOV[[#This Row],[DATA DE VENCIMENTO]],"M"))</f>
        <v>1</v>
      </c>
      <c r="AH467" s="526" t="str">
        <f>IF(LANÇ_MOV[[#This Row],[DATA DE VENCIMENTO]]="","",TEXT(LANÇ_MOV[[#This Row],[DATA DE VENCIMENTO]],"D"))</f>
        <v>10</v>
      </c>
      <c r="AI467" s="526" t="str">
        <f>IF(LANÇ_MOV[[#This Row],[DATA DE PAGAMENTO]]="","",TEXT(LANÇ_MOV[[#This Row],[DATA DE PAGAMENTO]],"AAAA"))</f>
        <v/>
      </c>
      <c r="AJ467" s="527" t="str">
        <f>IF(LANÇ_MOV[[#This Row],[DATA DE PAGAMENTO]]="","",UPPER(TEXT(LANÇ_MOV[[#This Row],[DATA DE PAGAMENTO]],"MMMM")))</f>
        <v/>
      </c>
      <c r="AK467" s="527" t="str">
        <f>IF(LANÇ_MOV[[#This Row],[DATA DE PAGAMENTO]]="","",TEXT(LANÇ_MOV[[#This Row],[DATA DE PAGAMENTO]],"M"))</f>
        <v/>
      </c>
      <c r="AL467" s="526" t="str">
        <f>IF(LANÇ_MOV[[#This Row],[DATA DE PAGAMENTO]]="","",TEXT(LANÇ_MOV[[#This Row],[DATA DE PAGAMENTO]],"D"))</f>
        <v/>
      </c>
      <c r="AM467" s="27"/>
      <c r="BB467" s="112"/>
      <c r="BC467" s="112"/>
      <c r="BD467" s="112"/>
    </row>
    <row r="468" spans="2:56" ht="30.05" customHeight="1" x14ac:dyDescent="0.35">
      <c r="B468" s="506">
        <v>45937</v>
      </c>
      <c r="C468" s="507" t="s">
        <v>1661</v>
      </c>
      <c r="D468" s="508" t="s">
        <v>1854</v>
      </c>
      <c r="E468" s="509" t="s">
        <v>1144</v>
      </c>
      <c r="F468" s="510" t="s">
        <v>1489</v>
      </c>
      <c r="G468" s="507"/>
      <c r="H468" s="511"/>
      <c r="I468" s="512" t="s">
        <v>1751</v>
      </c>
      <c r="J468" s="510">
        <v>220</v>
      </c>
      <c r="K468" s="513">
        <v>0</v>
      </c>
      <c r="L468" s="513"/>
      <c r="M468" s="513">
        <v>0</v>
      </c>
      <c r="N468" s="514">
        <f>LANÇ_MOV[[#This Row],[VALOR BRUTO]]-LANÇ_MOV[[#This Row],[DESCONTO]]+LANÇ_MOV[[#This Row],[JUROS]]+LANÇ_MOV[[#This Row],[MULTA]]</f>
        <v>220</v>
      </c>
      <c r="O468" s="528">
        <v>45937</v>
      </c>
      <c r="P468" s="516" t="str">
        <f t="shared" ca="1" si="7"/>
        <v>Pago</v>
      </c>
      <c r="Q468" s="528">
        <v>45937</v>
      </c>
      <c r="R468" s="529" t="s">
        <v>1564</v>
      </c>
      <c r="S468" s="518"/>
      <c r="T468" s="518" t="s">
        <v>1776</v>
      </c>
      <c r="U468" s="519" t="s">
        <v>2007</v>
      </c>
      <c r="V468" s="520" t="str">
        <f>IFERROR(VLOOKUP(LANÇ_MOV[[#This Row],[PLANO DE CONTAS]],Plano_Contas[[PLANO DE CONTAS]:[R / D]],3,0),"")</f>
        <v>Despesa</v>
      </c>
      <c r="W468" s="521" t="str">
        <f>IF(LANÇ_MOV[[#This Row],[DATA DE PAGAMENTO]]&lt;&gt;"","Pago","Não Pago")</f>
        <v>Pago</v>
      </c>
      <c r="X468" s="522" t="str">
        <f>IFERROR(IF(LANÇ_MOV[[#This Row],[DATA DE PAGAMENTO]]="","",(UPPER(TEXT(LANÇ_MOV[[#This Row],[DATA DE PAGAMENTO]],"mmmm")))),"")</f>
        <v>OUTUBRO</v>
      </c>
      <c r="Y468" s="523" t="str">
        <f>IFERROR(VLOOKUP(LANÇ_MOV[[#This Row],[PLANO DE CONTAS]],Plano_Contas[[PLANO DE CONTAS]:[NOMES INTERVALOS]],2,0),"")</f>
        <v>Despesas_Administrativas</v>
      </c>
      <c r="Z468" s="523" t="str">
        <f>IF(LANÇ_MOV[[#This Row],[FORMA DE PAGAMENTO]]="","",VLOOKUP(LANÇ_MOV[[#This Row],[FORMA DE PAGAMENTO]],CAD_Forma_pagto[],2,0))</f>
        <v>PIX</v>
      </c>
      <c r="AA468" s="524" t="str">
        <f>IF(LANÇ_MOV[[#This Row],[DATA DE LANÇAMENTO]]="","",TEXT(LANÇ_MOV[[#This Row],[DATA DE LANÇAMENTO]],"AAAA"))</f>
        <v>2025</v>
      </c>
      <c r="AB468" s="524" t="str">
        <f>IF(LANÇ_MOV[[#This Row],[DATA DE LANÇAMENTO]]="","",UPPER(TEXT(LANÇ_MOV[[#This Row],[DATA DE LANÇAMENTO]],"MMMM")))</f>
        <v>OUTUBRO</v>
      </c>
      <c r="AC468" s="525" t="str">
        <f>IF(LANÇ_MOV[[#This Row],[DATA DE LANÇAMENTO]]="","",PROPER(TEXT(LANÇ_MOV[[#This Row],[DATA DE LANÇAMENTO]],"M")))</f>
        <v>10</v>
      </c>
      <c r="AD468" s="524" t="str">
        <f>IF(LANÇ_MOV[[#This Row],[DATA DE LANÇAMENTO]]="","",TEXT(LANÇ_MOV[[#This Row],[DATA DE LANÇAMENTO]],"D"))</f>
        <v>7</v>
      </c>
      <c r="AE468" s="526" t="str">
        <f>IF(LANÇ_MOV[[#This Row],[DATA DE VENCIMENTO]]="","",TEXT(LANÇ_MOV[[#This Row],[DATA DE VENCIMENTO]],"AAAA"))</f>
        <v>2025</v>
      </c>
      <c r="AF468" s="526" t="str">
        <f>IF(LANÇ_MOV[[#This Row],[DATA DE VENCIMENTO]]="","",UPPER(TEXT(LANÇ_MOV[[#This Row],[DATA DE VENCIMENTO]],"MMMM")))</f>
        <v>OUTUBRO</v>
      </c>
      <c r="AG468" s="526" t="str">
        <f>IF(LANÇ_MOV[[#This Row],[DATA DE VENCIMENTO]]="","",TEXT(LANÇ_MOV[[#This Row],[DATA DE VENCIMENTO]],"M"))</f>
        <v>10</v>
      </c>
      <c r="AH468" s="526" t="str">
        <f>IF(LANÇ_MOV[[#This Row],[DATA DE VENCIMENTO]]="","",TEXT(LANÇ_MOV[[#This Row],[DATA DE VENCIMENTO]],"D"))</f>
        <v>7</v>
      </c>
      <c r="AI468" s="526" t="str">
        <f>IF(LANÇ_MOV[[#This Row],[DATA DE PAGAMENTO]]="","",TEXT(LANÇ_MOV[[#This Row],[DATA DE PAGAMENTO]],"AAAA"))</f>
        <v>2025</v>
      </c>
      <c r="AJ468" s="527" t="str">
        <f>IF(LANÇ_MOV[[#This Row],[DATA DE PAGAMENTO]]="","",UPPER(TEXT(LANÇ_MOV[[#This Row],[DATA DE PAGAMENTO]],"MMMM")))</f>
        <v>OUTUBRO</v>
      </c>
      <c r="AK468" s="527" t="str">
        <f>IF(LANÇ_MOV[[#This Row],[DATA DE PAGAMENTO]]="","",TEXT(LANÇ_MOV[[#This Row],[DATA DE PAGAMENTO]],"M"))</f>
        <v>10</v>
      </c>
      <c r="AL468" s="526" t="str">
        <f>IF(LANÇ_MOV[[#This Row],[DATA DE PAGAMENTO]]="","",TEXT(LANÇ_MOV[[#This Row],[DATA DE PAGAMENTO]],"D"))</f>
        <v>7</v>
      </c>
      <c r="AM468" s="27"/>
      <c r="BB468" s="112"/>
      <c r="BC468" s="112"/>
      <c r="BD468" s="112"/>
    </row>
    <row r="469" spans="2:56" ht="30.05" customHeight="1" x14ac:dyDescent="0.35">
      <c r="B469" s="506">
        <v>45937</v>
      </c>
      <c r="C469" s="507" t="s">
        <v>1661</v>
      </c>
      <c r="D469" s="508" t="s">
        <v>1854</v>
      </c>
      <c r="E469" s="509" t="s">
        <v>1103</v>
      </c>
      <c r="F469" s="510" t="s">
        <v>1785</v>
      </c>
      <c r="G469" s="507"/>
      <c r="H469" s="511">
        <v>0</v>
      </c>
      <c r="I469" s="512" t="s">
        <v>1684</v>
      </c>
      <c r="J469" s="510">
        <v>1230</v>
      </c>
      <c r="K469" s="513">
        <v>0</v>
      </c>
      <c r="L469" s="513">
        <v>0</v>
      </c>
      <c r="M469" s="513">
        <v>0</v>
      </c>
      <c r="N469" s="514">
        <f>LANÇ_MOV[[#This Row],[VALOR BRUTO]]-LANÇ_MOV[[#This Row],[DESCONTO]]+LANÇ_MOV[[#This Row],[JUROS]]+LANÇ_MOV[[#This Row],[MULTA]]</f>
        <v>1230</v>
      </c>
      <c r="O469" s="528">
        <v>45937</v>
      </c>
      <c r="P469" s="516" t="str">
        <f t="shared" ca="1" si="7"/>
        <v>Pago</v>
      </c>
      <c r="Q469" s="528">
        <v>45937</v>
      </c>
      <c r="R469" s="529" t="s">
        <v>1564</v>
      </c>
      <c r="S469" s="518"/>
      <c r="T469" s="518" t="s">
        <v>1776</v>
      </c>
      <c r="U469" s="519" t="s">
        <v>2008</v>
      </c>
      <c r="V469" s="520" t="str">
        <f>IFERROR(VLOOKUP(LANÇ_MOV[[#This Row],[PLANO DE CONTAS]],Plano_Contas[[PLANO DE CONTAS]:[R / D]],3,0),"")</f>
        <v>Receita</v>
      </c>
      <c r="W469" s="521" t="str">
        <f>IF(LANÇ_MOV[[#This Row],[DATA DE PAGAMENTO]]&lt;&gt;"","Pago","Não Pago")</f>
        <v>Pago</v>
      </c>
      <c r="X469" s="522" t="str">
        <f>IFERROR(IF(LANÇ_MOV[[#This Row],[DATA DE PAGAMENTO]]="","",(UPPER(TEXT(LANÇ_MOV[[#This Row],[DATA DE PAGAMENTO]],"mmmm")))),"")</f>
        <v>OUTUBRO</v>
      </c>
      <c r="Y469" s="523" t="str">
        <f>IFERROR(VLOOKUP(LANÇ_MOV[[#This Row],[PLANO DE CONTAS]],Plano_Contas[[PLANO DE CONTAS]:[NOMES INTERVALOS]],2,0),"")</f>
        <v>Receitas_Operacionais</v>
      </c>
      <c r="Z469" s="523" t="str">
        <f>IF(LANÇ_MOV[[#This Row],[FORMA DE PAGAMENTO]]="","",VLOOKUP(LANÇ_MOV[[#This Row],[FORMA DE PAGAMENTO]],CAD_Forma_pagto[],2,0))</f>
        <v>PIX</v>
      </c>
      <c r="AA469" s="524" t="str">
        <f>IF(LANÇ_MOV[[#This Row],[DATA DE LANÇAMENTO]]="","",TEXT(LANÇ_MOV[[#This Row],[DATA DE LANÇAMENTO]],"AAAA"))</f>
        <v>2025</v>
      </c>
      <c r="AB469" s="524" t="str">
        <f>IF(LANÇ_MOV[[#This Row],[DATA DE LANÇAMENTO]]="","",UPPER(TEXT(LANÇ_MOV[[#This Row],[DATA DE LANÇAMENTO]],"MMMM")))</f>
        <v>OUTUBRO</v>
      </c>
      <c r="AC469" s="525" t="str">
        <f>IF(LANÇ_MOV[[#This Row],[DATA DE LANÇAMENTO]]="","",PROPER(TEXT(LANÇ_MOV[[#This Row],[DATA DE LANÇAMENTO]],"M")))</f>
        <v>10</v>
      </c>
      <c r="AD469" s="524" t="str">
        <f>IF(LANÇ_MOV[[#This Row],[DATA DE LANÇAMENTO]]="","",TEXT(LANÇ_MOV[[#This Row],[DATA DE LANÇAMENTO]],"D"))</f>
        <v>7</v>
      </c>
      <c r="AE469" s="526" t="str">
        <f>IF(LANÇ_MOV[[#This Row],[DATA DE VENCIMENTO]]="","",TEXT(LANÇ_MOV[[#This Row],[DATA DE VENCIMENTO]],"AAAA"))</f>
        <v>2025</v>
      </c>
      <c r="AF469" s="526" t="str">
        <f>IF(LANÇ_MOV[[#This Row],[DATA DE VENCIMENTO]]="","",UPPER(TEXT(LANÇ_MOV[[#This Row],[DATA DE VENCIMENTO]],"MMMM")))</f>
        <v>OUTUBRO</v>
      </c>
      <c r="AG469" s="526" t="str">
        <f>IF(LANÇ_MOV[[#This Row],[DATA DE VENCIMENTO]]="","",TEXT(LANÇ_MOV[[#This Row],[DATA DE VENCIMENTO]],"M"))</f>
        <v>10</v>
      </c>
      <c r="AH469" s="526" t="str">
        <f>IF(LANÇ_MOV[[#This Row],[DATA DE VENCIMENTO]]="","",TEXT(LANÇ_MOV[[#This Row],[DATA DE VENCIMENTO]],"D"))</f>
        <v>7</v>
      </c>
      <c r="AI469" s="526" t="str">
        <f>IF(LANÇ_MOV[[#This Row],[DATA DE PAGAMENTO]]="","",TEXT(LANÇ_MOV[[#This Row],[DATA DE PAGAMENTO]],"AAAA"))</f>
        <v>2025</v>
      </c>
      <c r="AJ469" s="527" t="str">
        <f>IF(LANÇ_MOV[[#This Row],[DATA DE PAGAMENTO]]="","",UPPER(TEXT(LANÇ_MOV[[#This Row],[DATA DE PAGAMENTO]],"MMMM")))</f>
        <v>OUTUBRO</v>
      </c>
      <c r="AK469" s="527" t="str">
        <f>IF(LANÇ_MOV[[#This Row],[DATA DE PAGAMENTO]]="","",TEXT(LANÇ_MOV[[#This Row],[DATA DE PAGAMENTO]],"M"))</f>
        <v>10</v>
      </c>
      <c r="AL469" s="526" t="str">
        <f>IF(LANÇ_MOV[[#This Row],[DATA DE PAGAMENTO]]="","",TEXT(LANÇ_MOV[[#This Row],[DATA DE PAGAMENTO]],"D"))</f>
        <v>7</v>
      </c>
      <c r="AM469" s="27"/>
      <c r="BB469" s="112"/>
      <c r="BC469" s="112"/>
      <c r="BD469" s="112"/>
    </row>
    <row r="470" spans="2:56" ht="30.05" customHeight="1" x14ac:dyDescent="0.35">
      <c r="B470" s="506">
        <v>45938</v>
      </c>
      <c r="C470" s="507" t="s">
        <v>1661</v>
      </c>
      <c r="D470" s="508" t="s">
        <v>1854</v>
      </c>
      <c r="E470" s="509" t="s">
        <v>1441</v>
      </c>
      <c r="F470" s="510" t="s">
        <v>1502</v>
      </c>
      <c r="G470" s="507"/>
      <c r="H470" s="511"/>
      <c r="I470" s="512" t="s">
        <v>1733</v>
      </c>
      <c r="J470" s="510">
        <v>335.32</v>
      </c>
      <c r="K470" s="513">
        <v>0</v>
      </c>
      <c r="L470" s="513"/>
      <c r="M470" s="513">
        <v>0</v>
      </c>
      <c r="N470" s="514">
        <f>LANÇ_MOV[[#This Row],[VALOR BRUTO]]-LANÇ_MOV[[#This Row],[DESCONTO]]+LANÇ_MOV[[#This Row],[JUROS]]+LANÇ_MOV[[#This Row],[MULTA]]</f>
        <v>335.32</v>
      </c>
      <c r="O470" s="528">
        <v>45938</v>
      </c>
      <c r="P470" s="516" t="str">
        <f t="shared" ca="1" si="7"/>
        <v>Pago</v>
      </c>
      <c r="Q470" s="528">
        <v>45938</v>
      </c>
      <c r="R470" s="529" t="s">
        <v>1629</v>
      </c>
      <c r="S470" s="518"/>
      <c r="T470" s="518" t="s">
        <v>1776</v>
      </c>
      <c r="U470" s="519" t="s">
        <v>2007</v>
      </c>
      <c r="V470" s="520" t="str">
        <f>IFERROR(VLOOKUP(LANÇ_MOV[[#This Row],[PLANO DE CONTAS]],Plano_Contas[[PLANO DE CONTAS]:[R / D]],3,0),"")</f>
        <v>Receita</v>
      </c>
      <c r="W470" s="521" t="str">
        <f>IF(LANÇ_MOV[[#This Row],[DATA DE PAGAMENTO]]&lt;&gt;"","Pago","Não Pago")</f>
        <v>Pago</v>
      </c>
      <c r="X470" s="522" t="str">
        <f>IFERROR(IF(LANÇ_MOV[[#This Row],[DATA DE PAGAMENTO]]="","",(UPPER(TEXT(LANÇ_MOV[[#This Row],[DATA DE PAGAMENTO]],"mmmm")))),"")</f>
        <v>OUTUBRO</v>
      </c>
      <c r="Y470" s="523" t="str">
        <f>IFERROR(VLOOKUP(LANÇ_MOV[[#This Row],[PLANO DE CONTAS]],Plano_Contas[[PLANO DE CONTAS]:[NOMES INTERVALOS]],2,0),"")</f>
        <v>Receitas_Outros_Creditos</v>
      </c>
      <c r="Z470" s="523" t="str">
        <f>IF(LANÇ_MOV[[#This Row],[FORMA DE PAGAMENTO]]="","",VLOOKUP(LANÇ_MOV[[#This Row],[FORMA DE PAGAMENTO]],CAD_Forma_pagto[],2,0))</f>
        <v>DEPÓSITO EM CONTA</v>
      </c>
      <c r="AA470" s="524" t="str">
        <f>IF(LANÇ_MOV[[#This Row],[DATA DE LANÇAMENTO]]="","",TEXT(LANÇ_MOV[[#This Row],[DATA DE LANÇAMENTO]],"AAAA"))</f>
        <v>2025</v>
      </c>
      <c r="AB470" s="524" t="str">
        <f>IF(LANÇ_MOV[[#This Row],[DATA DE LANÇAMENTO]]="","",UPPER(TEXT(LANÇ_MOV[[#This Row],[DATA DE LANÇAMENTO]],"MMMM")))</f>
        <v>OUTUBRO</v>
      </c>
      <c r="AC470" s="525" t="str">
        <f>IF(LANÇ_MOV[[#This Row],[DATA DE LANÇAMENTO]]="","",PROPER(TEXT(LANÇ_MOV[[#This Row],[DATA DE LANÇAMENTO]],"M")))</f>
        <v>10</v>
      </c>
      <c r="AD470" s="524" t="str">
        <f>IF(LANÇ_MOV[[#This Row],[DATA DE LANÇAMENTO]]="","",TEXT(LANÇ_MOV[[#This Row],[DATA DE LANÇAMENTO]],"D"))</f>
        <v>8</v>
      </c>
      <c r="AE470" s="526" t="str">
        <f>IF(LANÇ_MOV[[#This Row],[DATA DE VENCIMENTO]]="","",TEXT(LANÇ_MOV[[#This Row],[DATA DE VENCIMENTO]],"AAAA"))</f>
        <v>2025</v>
      </c>
      <c r="AF470" s="526" t="str">
        <f>IF(LANÇ_MOV[[#This Row],[DATA DE VENCIMENTO]]="","",UPPER(TEXT(LANÇ_MOV[[#This Row],[DATA DE VENCIMENTO]],"MMMM")))</f>
        <v>OUTUBRO</v>
      </c>
      <c r="AG470" s="526" t="str">
        <f>IF(LANÇ_MOV[[#This Row],[DATA DE VENCIMENTO]]="","",TEXT(LANÇ_MOV[[#This Row],[DATA DE VENCIMENTO]],"M"))</f>
        <v>10</v>
      </c>
      <c r="AH470" s="526" t="str">
        <f>IF(LANÇ_MOV[[#This Row],[DATA DE VENCIMENTO]]="","",TEXT(LANÇ_MOV[[#This Row],[DATA DE VENCIMENTO]],"D"))</f>
        <v>8</v>
      </c>
      <c r="AI470" s="526" t="str">
        <f>IF(LANÇ_MOV[[#This Row],[DATA DE PAGAMENTO]]="","",TEXT(LANÇ_MOV[[#This Row],[DATA DE PAGAMENTO]],"AAAA"))</f>
        <v>2025</v>
      </c>
      <c r="AJ470" s="527" t="str">
        <f>IF(LANÇ_MOV[[#This Row],[DATA DE PAGAMENTO]]="","",UPPER(TEXT(LANÇ_MOV[[#This Row],[DATA DE PAGAMENTO]],"MMMM")))</f>
        <v>OUTUBRO</v>
      </c>
      <c r="AK470" s="527" t="str">
        <f>IF(LANÇ_MOV[[#This Row],[DATA DE PAGAMENTO]]="","",TEXT(LANÇ_MOV[[#This Row],[DATA DE PAGAMENTO]],"M"))</f>
        <v>10</v>
      </c>
      <c r="AL470" s="526" t="str">
        <f>IF(LANÇ_MOV[[#This Row],[DATA DE PAGAMENTO]]="","",TEXT(LANÇ_MOV[[#This Row],[DATA DE PAGAMENTO]],"D"))</f>
        <v>8</v>
      </c>
      <c r="AM470" s="27"/>
      <c r="BB470" s="112"/>
      <c r="BC470" s="112"/>
      <c r="BD470" s="112"/>
    </row>
    <row r="471" spans="2:56" ht="30.05" customHeight="1" x14ac:dyDescent="0.35">
      <c r="B471" s="506">
        <v>45939</v>
      </c>
      <c r="C471" s="507" t="s">
        <v>1661</v>
      </c>
      <c r="D471" s="508" t="s">
        <v>1854</v>
      </c>
      <c r="E471" s="509" t="s">
        <v>1103</v>
      </c>
      <c r="F471" s="510" t="s">
        <v>1785</v>
      </c>
      <c r="G471" s="507" t="s">
        <v>1855</v>
      </c>
      <c r="H471" s="511">
        <v>0</v>
      </c>
      <c r="I471" s="512" t="s">
        <v>1990</v>
      </c>
      <c r="J471" s="518">
        <v>200.2</v>
      </c>
      <c r="K471" s="513">
        <v>0</v>
      </c>
      <c r="L471" s="513">
        <v>0</v>
      </c>
      <c r="M471" s="513">
        <v>0</v>
      </c>
      <c r="N471" s="514">
        <f>LANÇ_MOV[[#This Row],[VALOR BRUTO]]-LANÇ_MOV[[#This Row],[DESCONTO]]+LANÇ_MOV[[#This Row],[JUROS]]+LANÇ_MOV[[#This Row],[MULTA]]</f>
        <v>200.2</v>
      </c>
      <c r="O471" s="528">
        <v>45939</v>
      </c>
      <c r="P471" s="516" t="str">
        <f t="shared" ca="1" si="7"/>
        <v>Pago</v>
      </c>
      <c r="Q471" s="528">
        <v>45939</v>
      </c>
      <c r="R471" s="529" t="s">
        <v>1564</v>
      </c>
      <c r="S471" s="518"/>
      <c r="T471" s="518" t="s">
        <v>1776</v>
      </c>
      <c r="U471" s="519" t="s">
        <v>2008</v>
      </c>
      <c r="V471" s="520" t="str">
        <f>IFERROR(VLOOKUP(LANÇ_MOV[[#This Row],[PLANO DE CONTAS]],Plano_Contas[[PLANO DE CONTAS]:[R / D]],3,0),"")</f>
        <v>Receita</v>
      </c>
      <c r="W471" s="521" t="str">
        <f>IF(LANÇ_MOV[[#This Row],[DATA DE PAGAMENTO]]&lt;&gt;"","Pago","Não Pago")</f>
        <v>Pago</v>
      </c>
      <c r="X471" s="522" t="str">
        <f>IFERROR(IF(LANÇ_MOV[[#This Row],[DATA DE PAGAMENTO]]="","",(UPPER(TEXT(LANÇ_MOV[[#This Row],[DATA DE PAGAMENTO]],"mmmm")))),"")</f>
        <v>OUTUBRO</v>
      </c>
      <c r="Y471" s="523" t="str">
        <f>IFERROR(VLOOKUP(LANÇ_MOV[[#This Row],[PLANO DE CONTAS]],Plano_Contas[[PLANO DE CONTAS]:[NOMES INTERVALOS]],2,0),"")</f>
        <v>Receitas_Operacionais</v>
      </c>
      <c r="Z471" s="523" t="str">
        <f>IF(LANÇ_MOV[[#This Row],[FORMA DE PAGAMENTO]]="","",VLOOKUP(LANÇ_MOV[[#This Row],[FORMA DE PAGAMENTO]],CAD_Forma_pagto[],2,0))</f>
        <v>PIX</v>
      </c>
      <c r="AA471" s="524" t="str">
        <f>IF(LANÇ_MOV[[#This Row],[DATA DE LANÇAMENTO]]="","",TEXT(LANÇ_MOV[[#This Row],[DATA DE LANÇAMENTO]],"AAAA"))</f>
        <v>2025</v>
      </c>
      <c r="AB471" s="524" t="str">
        <f>IF(LANÇ_MOV[[#This Row],[DATA DE LANÇAMENTO]]="","",UPPER(TEXT(LANÇ_MOV[[#This Row],[DATA DE LANÇAMENTO]],"MMMM")))</f>
        <v>OUTUBRO</v>
      </c>
      <c r="AC471" s="525" t="str">
        <f>IF(LANÇ_MOV[[#This Row],[DATA DE LANÇAMENTO]]="","",PROPER(TEXT(LANÇ_MOV[[#This Row],[DATA DE LANÇAMENTO]],"M")))</f>
        <v>10</v>
      </c>
      <c r="AD471" s="524" t="str">
        <f>IF(LANÇ_MOV[[#This Row],[DATA DE LANÇAMENTO]]="","",TEXT(LANÇ_MOV[[#This Row],[DATA DE LANÇAMENTO]],"D"))</f>
        <v>9</v>
      </c>
      <c r="AE471" s="526" t="str">
        <f>IF(LANÇ_MOV[[#This Row],[DATA DE VENCIMENTO]]="","",TEXT(LANÇ_MOV[[#This Row],[DATA DE VENCIMENTO]],"AAAA"))</f>
        <v>2025</v>
      </c>
      <c r="AF471" s="526" t="str">
        <f>IF(LANÇ_MOV[[#This Row],[DATA DE VENCIMENTO]]="","",UPPER(TEXT(LANÇ_MOV[[#This Row],[DATA DE VENCIMENTO]],"MMMM")))</f>
        <v>OUTUBRO</v>
      </c>
      <c r="AG471" s="526" t="str">
        <f>IF(LANÇ_MOV[[#This Row],[DATA DE VENCIMENTO]]="","",TEXT(LANÇ_MOV[[#This Row],[DATA DE VENCIMENTO]],"M"))</f>
        <v>10</v>
      </c>
      <c r="AH471" s="526" t="str">
        <f>IF(LANÇ_MOV[[#This Row],[DATA DE VENCIMENTO]]="","",TEXT(LANÇ_MOV[[#This Row],[DATA DE VENCIMENTO]],"D"))</f>
        <v>9</v>
      </c>
      <c r="AI471" s="526" t="str">
        <f>IF(LANÇ_MOV[[#This Row],[DATA DE PAGAMENTO]]="","",TEXT(LANÇ_MOV[[#This Row],[DATA DE PAGAMENTO]],"AAAA"))</f>
        <v>2025</v>
      </c>
      <c r="AJ471" s="527" t="str">
        <f>IF(LANÇ_MOV[[#This Row],[DATA DE PAGAMENTO]]="","",UPPER(TEXT(LANÇ_MOV[[#This Row],[DATA DE PAGAMENTO]],"MMMM")))</f>
        <v>OUTUBRO</v>
      </c>
      <c r="AK471" s="527" t="str">
        <f>IF(LANÇ_MOV[[#This Row],[DATA DE PAGAMENTO]]="","",TEXT(LANÇ_MOV[[#This Row],[DATA DE PAGAMENTO]],"M"))</f>
        <v>10</v>
      </c>
      <c r="AL471" s="526" t="str">
        <f>IF(LANÇ_MOV[[#This Row],[DATA DE PAGAMENTO]]="","",TEXT(LANÇ_MOV[[#This Row],[DATA DE PAGAMENTO]],"D"))</f>
        <v>9</v>
      </c>
      <c r="AM471" s="27"/>
      <c r="BB471" s="112"/>
      <c r="BC471" s="112"/>
      <c r="BD471" s="112"/>
    </row>
    <row r="472" spans="2:56" ht="30.05" customHeight="1" x14ac:dyDescent="0.35">
      <c r="B472" s="506">
        <v>45939</v>
      </c>
      <c r="C472" s="507" t="s">
        <v>1661</v>
      </c>
      <c r="D472" s="508" t="s">
        <v>1854</v>
      </c>
      <c r="E472" s="509" t="s">
        <v>1103</v>
      </c>
      <c r="F472" s="510" t="s">
        <v>1785</v>
      </c>
      <c r="G472" s="507" t="s">
        <v>1856</v>
      </c>
      <c r="H472" s="511">
        <v>0</v>
      </c>
      <c r="I472" s="512" t="s">
        <v>1990</v>
      </c>
      <c r="J472" s="510">
        <v>200.2</v>
      </c>
      <c r="K472" s="513">
        <v>0</v>
      </c>
      <c r="L472" s="513">
        <v>0</v>
      </c>
      <c r="M472" s="513">
        <v>0</v>
      </c>
      <c r="N472" s="514">
        <f>LANÇ_MOV[[#This Row],[VALOR BRUTO]]-LANÇ_MOV[[#This Row],[DESCONTO]]+LANÇ_MOV[[#This Row],[JUROS]]+LANÇ_MOV[[#This Row],[MULTA]]</f>
        <v>200.2</v>
      </c>
      <c r="O472" s="528">
        <v>45971</v>
      </c>
      <c r="P472" s="516" t="str">
        <f t="shared" ca="1" si="7"/>
        <v>Venceu</v>
      </c>
      <c r="Q472" s="528"/>
      <c r="R472" s="529" t="s">
        <v>1564</v>
      </c>
      <c r="S472" s="518"/>
      <c r="T472" s="518" t="s">
        <v>1776</v>
      </c>
      <c r="U472" s="519" t="s">
        <v>2008</v>
      </c>
      <c r="V472" s="520" t="str">
        <f>IFERROR(VLOOKUP(LANÇ_MOV[[#This Row],[PLANO DE CONTAS]],Plano_Contas[[PLANO DE CONTAS]:[R / D]],3,0),"")</f>
        <v>Receita</v>
      </c>
      <c r="W472" s="521" t="str">
        <f>IF(LANÇ_MOV[[#This Row],[DATA DE PAGAMENTO]]&lt;&gt;"","Pago","Não Pago")</f>
        <v>Não Pago</v>
      </c>
      <c r="X472" s="522" t="str">
        <f>IFERROR(IF(LANÇ_MOV[[#This Row],[DATA DE PAGAMENTO]]="","",(UPPER(TEXT(LANÇ_MOV[[#This Row],[DATA DE PAGAMENTO]],"mmmm")))),"")</f>
        <v/>
      </c>
      <c r="Y472" s="523" t="str">
        <f>IFERROR(VLOOKUP(LANÇ_MOV[[#This Row],[PLANO DE CONTAS]],Plano_Contas[[PLANO DE CONTAS]:[NOMES INTERVALOS]],2,0),"")</f>
        <v>Receitas_Operacionais</v>
      </c>
      <c r="Z472" s="523" t="str">
        <f>IF(LANÇ_MOV[[#This Row],[FORMA DE PAGAMENTO]]="","",VLOOKUP(LANÇ_MOV[[#This Row],[FORMA DE PAGAMENTO]],CAD_Forma_pagto[],2,0))</f>
        <v>PIX</v>
      </c>
      <c r="AA472" s="524" t="str">
        <f>IF(LANÇ_MOV[[#This Row],[DATA DE LANÇAMENTO]]="","",TEXT(LANÇ_MOV[[#This Row],[DATA DE LANÇAMENTO]],"AAAA"))</f>
        <v>2025</v>
      </c>
      <c r="AB472" s="524" t="str">
        <f>IF(LANÇ_MOV[[#This Row],[DATA DE LANÇAMENTO]]="","",UPPER(TEXT(LANÇ_MOV[[#This Row],[DATA DE LANÇAMENTO]],"MMMM")))</f>
        <v>OUTUBRO</v>
      </c>
      <c r="AC472" s="525" t="str">
        <f>IF(LANÇ_MOV[[#This Row],[DATA DE LANÇAMENTO]]="","",PROPER(TEXT(LANÇ_MOV[[#This Row],[DATA DE LANÇAMENTO]],"M")))</f>
        <v>10</v>
      </c>
      <c r="AD472" s="524" t="str">
        <f>IF(LANÇ_MOV[[#This Row],[DATA DE LANÇAMENTO]]="","",TEXT(LANÇ_MOV[[#This Row],[DATA DE LANÇAMENTO]],"D"))</f>
        <v>9</v>
      </c>
      <c r="AE472" s="526" t="str">
        <f>IF(LANÇ_MOV[[#This Row],[DATA DE VENCIMENTO]]="","",TEXT(LANÇ_MOV[[#This Row],[DATA DE VENCIMENTO]],"AAAA"))</f>
        <v>2025</v>
      </c>
      <c r="AF472" s="526" t="str">
        <f>IF(LANÇ_MOV[[#This Row],[DATA DE VENCIMENTO]]="","",UPPER(TEXT(LANÇ_MOV[[#This Row],[DATA DE VENCIMENTO]],"MMMM")))</f>
        <v>NOVEMBRO</v>
      </c>
      <c r="AG472" s="526" t="str">
        <f>IF(LANÇ_MOV[[#This Row],[DATA DE VENCIMENTO]]="","",TEXT(LANÇ_MOV[[#This Row],[DATA DE VENCIMENTO]],"M"))</f>
        <v>11</v>
      </c>
      <c r="AH472" s="526" t="str">
        <f>IF(LANÇ_MOV[[#This Row],[DATA DE VENCIMENTO]]="","",TEXT(LANÇ_MOV[[#This Row],[DATA DE VENCIMENTO]],"D"))</f>
        <v>10</v>
      </c>
      <c r="AI472" s="526" t="str">
        <f>IF(LANÇ_MOV[[#This Row],[DATA DE PAGAMENTO]]="","",TEXT(LANÇ_MOV[[#This Row],[DATA DE PAGAMENTO]],"AAAA"))</f>
        <v/>
      </c>
      <c r="AJ472" s="527" t="str">
        <f>IF(LANÇ_MOV[[#This Row],[DATA DE PAGAMENTO]]="","",UPPER(TEXT(LANÇ_MOV[[#This Row],[DATA DE PAGAMENTO]],"MMMM")))</f>
        <v/>
      </c>
      <c r="AK472" s="527" t="str">
        <f>IF(LANÇ_MOV[[#This Row],[DATA DE PAGAMENTO]]="","",TEXT(LANÇ_MOV[[#This Row],[DATA DE PAGAMENTO]],"M"))</f>
        <v/>
      </c>
      <c r="AL472" s="526" t="str">
        <f>IF(LANÇ_MOV[[#This Row],[DATA DE PAGAMENTO]]="","",TEXT(LANÇ_MOV[[#This Row],[DATA DE PAGAMENTO]],"D"))</f>
        <v/>
      </c>
      <c r="AM472" s="27"/>
      <c r="BB472" s="112"/>
      <c r="BC472" s="112"/>
      <c r="BD472" s="112"/>
    </row>
    <row r="473" spans="2:56" ht="30.05" customHeight="1" x14ac:dyDescent="0.35">
      <c r="B473" s="506">
        <v>45939</v>
      </c>
      <c r="C473" s="507" t="s">
        <v>1661</v>
      </c>
      <c r="D473" s="508" t="s">
        <v>1854</v>
      </c>
      <c r="E473" s="509" t="s">
        <v>1103</v>
      </c>
      <c r="F473" s="510" t="s">
        <v>1785</v>
      </c>
      <c r="G473" s="507" t="s">
        <v>1857</v>
      </c>
      <c r="H473" s="511">
        <v>0</v>
      </c>
      <c r="I473" s="512" t="s">
        <v>1990</v>
      </c>
      <c r="J473" s="510">
        <v>200.2</v>
      </c>
      <c r="K473" s="513">
        <v>0</v>
      </c>
      <c r="L473" s="513"/>
      <c r="M473" s="513">
        <v>0</v>
      </c>
      <c r="N473" s="514">
        <f>LANÇ_MOV[[#This Row],[VALOR BRUTO]]-LANÇ_MOV[[#This Row],[DESCONTO]]+LANÇ_MOV[[#This Row],[JUROS]]+LANÇ_MOV[[#This Row],[MULTA]]</f>
        <v>200.2</v>
      </c>
      <c r="O473" s="528">
        <v>46001</v>
      </c>
      <c r="P473" s="516" t="str">
        <f t="shared" ca="1" si="7"/>
        <v>Prazo - Menos de 15 dias</v>
      </c>
      <c r="Q473" s="528"/>
      <c r="R473" s="529" t="s">
        <v>1564</v>
      </c>
      <c r="S473" s="518"/>
      <c r="T473" s="518" t="s">
        <v>1776</v>
      </c>
      <c r="U473" s="519" t="s">
        <v>2008</v>
      </c>
      <c r="V473" s="520" t="str">
        <f>IFERROR(VLOOKUP(LANÇ_MOV[[#This Row],[PLANO DE CONTAS]],Plano_Contas[[PLANO DE CONTAS]:[R / D]],3,0),"")</f>
        <v>Receita</v>
      </c>
      <c r="W473" s="521" t="str">
        <f>IF(LANÇ_MOV[[#This Row],[DATA DE PAGAMENTO]]&lt;&gt;"","Pago","Não Pago")</f>
        <v>Não Pago</v>
      </c>
      <c r="X473" s="522" t="str">
        <f>IFERROR(IF(LANÇ_MOV[[#This Row],[DATA DE PAGAMENTO]]="","",(UPPER(TEXT(LANÇ_MOV[[#This Row],[DATA DE PAGAMENTO]],"mmmm")))),"")</f>
        <v/>
      </c>
      <c r="Y473" s="523" t="str">
        <f>IFERROR(VLOOKUP(LANÇ_MOV[[#This Row],[PLANO DE CONTAS]],Plano_Contas[[PLANO DE CONTAS]:[NOMES INTERVALOS]],2,0),"")</f>
        <v>Receitas_Operacionais</v>
      </c>
      <c r="Z473" s="523" t="str">
        <f>IF(LANÇ_MOV[[#This Row],[FORMA DE PAGAMENTO]]="","",VLOOKUP(LANÇ_MOV[[#This Row],[FORMA DE PAGAMENTO]],CAD_Forma_pagto[],2,0))</f>
        <v>PIX</v>
      </c>
      <c r="AA473" s="524" t="str">
        <f>IF(LANÇ_MOV[[#This Row],[DATA DE LANÇAMENTO]]="","",TEXT(LANÇ_MOV[[#This Row],[DATA DE LANÇAMENTO]],"AAAA"))</f>
        <v>2025</v>
      </c>
      <c r="AB473" s="524" t="str">
        <f>IF(LANÇ_MOV[[#This Row],[DATA DE LANÇAMENTO]]="","",UPPER(TEXT(LANÇ_MOV[[#This Row],[DATA DE LANÇAMENTO]],"MMMM")))</f>
        <v>OUTUBRO</v>
      </c>
      <c r="AC473" s="525" t="str">
        <f>IF(LANÇ_MOV[[#This Row],[DATA DE LANÇAMENTO]]="","",PROPER(TEXT(LANÇ_MOV[[#This Row],[DATA DE LANÇAMENTO]],"M")))</f>
        <v>10</v>
      </c>
      <c r="AD473" s="524" t="str">
        <f>IF(LANÇ_MOV[[#This Row],[DATA DE LANÇAMENTO]]="","",TEXT(LANÇ_MOV[[#This Row],[DATA DE LANÇAMENTO]],"D"))</f>
        <v>9</v>
      </c>
      <c r="AE473" s="526" t="str">
        <f>IF(LANÇ_MOV[[#This Row],[DATA DE VENCIMENTO]]="","",TEXT(LANÇ_MOV[[#This Row],[DATA DE VENCIMENTO]],"AAAA"))</f>
        <v>2025</v>
      </c>
      <c r="AF473" s="526" t="str">
        <f>IF(LANÇ_MOV[[#This Row],[DATA DE VENCIMENTO]]="","",UPPER(TEXT(LANÇ_MOV[[#This Row],[DATA DE VENCIMENTO]],"MMMM")))</f>
        <v>DEZEMBRO</v>
      </c>
      <c r="AG473" s="526" t="str">
        <f>IF(LANÇ_MOV[[#This Row],[DATA DE VENCIMENTO]]="","",TEXT(LANÇ_MOV[[#This Row],[DATA DE VENCIMENTO]],"M"))</f>
        <v>12</v>
      </c>
      <c r="AH473" s="526" t="str">
        <f>IF(LANÇ_MOV[[#This Row],[DATA DE VENCIMENTO]]="","",TEXT(LANÇ_MOV[[#This Row],[DATA DE VENCIMENTO]],"D"))</f>
        <v>10</v>
      </c>
      <c r="AI473" s="526" t="str">
        <f>IF(LANÇ_MOV[[#This Row],[DATA DE PAGAMENTO]]="","",TEXT(LANÇ_MOV[[#This Row],[DATA DE PAGAMENTO]],"AAAA"))</f>
        <v/>
      </c>
      <c r="AJ473" s="527" t="str">
        <f>IF(LANÇ_MOV[[#This Row],[DATA DE PAGAMENTO]]="","",UPPER(TEXT(LANÇ_MOV[[#This Row],[DATA DE PAGAMENTO]],"MMMM")))</f>
        <v/>
      </c>
      <c r="AK473" s="527" t="str">
        <f>IF(LANÇ_MOV[[#This Row],[DATA DE PAGAMENTO]]="","",TEXT(LANÇ_MOV[[#This Row],[DATA DE PAGAMENTO]],"M"))</f>
        <v/>
      </c>
      <c r="AL473" s="526" t="str">
        <f>IF(LANÇ_MOV[[#This Row],[DATA DE PAGAMENTO]]="","",TEXT(LANÇ_MOV[[#This Row],[DATA DE PAGAMENTO]],"D"))</f>
        <v/>
      </c>
      <c r="AM473" s="27"/>
      <c r="BB473" s="112"/>
      <c r="BC473" s="112"/>
      <c r="BD473" s="112"/>
    </row>
    <row r="474" spans="2:56" ht="30.05" customHeight="1" x14ac:dyDescent="0.35">
      <c r="B474" s="506">
        <v>45939</v>
      </c>
      <c r="C474" s="507" t="s">
        <v>1661</v>
      </c>
      <c r="D474" s="508" t="s">
        <v>1854</v>
      </c>
      <c r="E474" s="509" t="s">
        <v>1103</v>
      </c>
      <c r="F474" s="510" t="s">
        <v>1785</v>
      </c>
      <c r="G474" s="507" t="s">
        <v>1858</v>
      </c>
      <c r="H474" s="511">
        <v>0</v>
      </c>
      <c r="I474" s="512" t="s">
        <v>1990</v>
      </c>
      <c r="J474" s="518">
        <v>200.2</v>
      </c>
      <c r="K474" s="513">
        <v>0</v>
      </c>
      <c r="L474" s="513"/>
      <c r="M474" s="513">
        <v>0</v>
      </c>
      <c r="N474" s="514">
        <f>LANÇ_MOV[[#This Row],[VALOR BRUTO]]-LANÇ_MOV[[#This Row],[DESCONTO]]+LANÇ_MOV[[#This Row],[JUROS]]+LANÇ_MOV[[#This Row],[MULTA]]</f>
        <v>200.2</v>
      </c>
      <c r="O474" s="528">
        <v>46032</v>
      </c>
      <c r="P474" s="516" t="str">
        <f t="shared" ca="1" si="7"/>
        <v>Prazo - Mais de 1 mês</v>
      </c>
      <c r="Q474" s="528"/>
      <c r="R474" s="529" t="s">
        <v>1564</v>
      </c>
      <c r="S474" s="518"/>
      <c r="T474" s="518" t="s">
        <v>1776</v>
      </c>
      <c r="U474" s="519" t="s">
        <v>2008</v>
      </c>
      <c r="V474" s="520" t="str">
        <f>IFERROR(VLOOKUP(LANÇ_MOV[[#This Row],[PLANO DE CONTAS]],Plano_Contas[[PLANO DE CONTAS]:[R / D]],3,0),"")</f>
        <v>Receita</v>
      </c>
      <c r="W474" s="521" t="str">
        <f>IF(LANÇ_MOV[[#This Row],[DATA DE PAGAMENTO]]&lt;&gt;"","Pago","Não Pago")</f>
        <v>Não Pago</v>
      </c>
      <c r="X474" s="522" t="str">
        <f>IFERROR(IF(LANÇ_MOV[[#This Row],[DATA DE PAGAMENTO]]="","",(UPPER(TEXT(LANÇ_MOV[[#This Row],[DATA DE PAGAMENTO]],"mmmm")))),"")</f>
        <v/>
      </c>
      <c r="Y474" s="523" t="str">
        <f>IFERROR(VLOOKUP(LANÇ_MOV[[#This Row],[PLANO DE CONTAS]],Plano_Contas[[PLANO DE CONTAS]:[NOMES INTERVALOS]],2,0),"")</f>
        <v>Receitas_Operacionais</v>
      </c>
      <c r="Z474" s="523" t="str">
        <f>IF(LANÇ_MOV[[#This Row],[FORMA DE PAGAMENTO]]="","",VLOOKUP(LANÇ_MOV[[#This Row],[FORMA DE PAGAMENTO]],CAD_Forma_pagto[],2,0))</f>
        <v>PIX</v>
      </c>
      <c r="AA474" s="524" t="str">
        <f>IF(LANÇ_MOV[[#This Row],[DATA DE LANÇAMENTO]]="","",TEXT(LANÇ_MOV[[#This Row],[DATA DE LANÇAMENTO]],"AAAA"))</f>
        <v>2025</v>
      </c>
      <c r="AB474" s="524" t="str">
        <f>IF(LANÇ_MOV[[#This Row],[DATA DE LANÇAMENTO]]="","",UPPER(TEXT(LANÇ_MOV[[#This Row],[DATA DE LANÇAMENTO]],"MMMM")))</f>
        <v>OUTUBRO</v>
      </c>
      <c r="AC474" s="525" t="str">
        <f>IF(LANÇ_MOV[[#This Row],[DATA DE LANÇAMENTO]]="","",PROPER(TEXT(LANÇ_MOV[[#This Row],[DATA DE LANÇAMENTO]],"M")))</f>
        <v>10</v>
      </c>
      <c r="AD474" s="524" t="str">
        <f>IF(LANÇ_MOV[[#This Row],[DATA DE LANÇAMENTO]]="","",TEXT(LANÇ_MOV[[#This Row],[DATA DE LANÇAMENTO]],"D"))</f>
        <v>9</v>
      </c>
      <c r="AE474" s="526" t="str">
        <f>IF(LANÇ_MOV[[#This Row],[DATA DE VENCIMENTO]]="","",TEXT(LANÇ_MOV[[#This Row],[DATA DE VENCIMENTO]],"AAAA"))</f>
        <v>2026</v>
      </c>
      <c r="AF474" s="526" t="str">
        <f>IF(LANÇ_MOV[[#This Row],[DATA DE VENCIMENTO]]="","",UPPER(TEXT(LANÇ_MOV[[#This Row],[DATA DE VENCIMENTO]],"MMMM")))</f>
        <v>JANEIRO</v>
      </c>
      <c r="AG474" s="526" t="str">
        <f>IF(LANÇ_MOV[[#This Row],[DATA DE VENCIMENTO]]="","",TEXT(LANÇ_MOV[[#This Row],[DATA DE VENCIMENTO]],"M"))</f>
        <v>1</v>
      </c>
      <c r="AH474" s="526" t="str">
        <f>IF(LANÇ_MOV[[#This Row],[DATA DE VENCIMENTO]]="","",TEXT(LANÇ_MOV[[#This Row],[DATA DE VENCIMENTO]],"D"))</f>
        <v>10</v>
      </c>
      <c r="AI474" s="526" t="str">
        <f>IF(LANÇ_MOV[[#This Row],[DATA DE PAGAMENTO]]="","",TEXT(LANÇ_MOV[[#This Row],[DATA DE PAGAMENTO]],"AAAA"))</f>
        <v/>
      </c>
      <c r="AJ474" s="527" t="str">
        <f>IF(LANÇ_MOV[[#This Row],[DATA DE PAGAMENTO]]="","",UPPER(TEXT(LANÇ_MOV[[#This Row],[DATA DE PAGAMENTO]],"MMMM")))</f>
        <v/>
      </c>
      <c r="AK474" s="527" t="str">
        <f>IF(LANÇ_MOV[[#This Row],[DATA DE PAGAMENTO]]="","",TEXT(LANÇ_MOV[[#This Row],[DATA DE PAGAMENTO]],"M"))</f>
        <v/>
      </c>
      <c r="AL474" s="526" t="str">
        <f>IF(LANÇ_MOV[[#This Row],[DATA DE PAGAMENTO]]="","",TEXT(LANÇ_MOV[[#This Row],[DATA DE PAGAMENTO]],"D"))</f>
        <v/>
      </c>
      <c r="AM474" s="27"/>
      <c r="BB474" s="112"/>
      <c r="BC474" s="112"/>
      <c r="BD474" s="112"/>
    </row>
    <row r="475" spans="2:56" ht="30.05" customHeight="1" x14ac:dyDescent="0.3">
      <c r="B475" s="506">
        <v>45939</v>
      </c>
      <c r="C475" s="507" t="s">
        <v>1661</v>
      </c>
      <c r="D475" s="508" t="s">
        <v>1854</v>
      </c>
      <c r="E475" s="509" t="s">
        <v>1103</v>
      </c>
      <c r="F475" s="510" t="s">
        <v>1785</v>
      </c>
      <c r="G475" s="507" t="s">
        <v>1991</v>
      </c>
      <c r="H475" s="544">
        <v>0</v>
      </c>
      <c r="I475" s="512" t="s">
        <v>1720</v>
      </c>
      <c r="J475" s="545">
        <v>350.35</v>
      </c>
      <c r="K475" s="513">
        <v>0</v>
      </c>
      <c r="L475" s="513">
        <v>0</v>
      </c>
      <c r="M475" s="513">
        <v>0</v>
      </c>
      <c r="N475" s="514">
        <f>LANÇ_MOV[[#This Row],[VALOR BRUTO]]-LANÇ_MOV[[#This Row],[DESCONTO]]+LANÇ_MOV[[#This Row],[JUROS]]+LANÇ_MOV[[#This Row],[MULTA]]</f>
        <v>350.35</v>
      </c>
      <c r="O475" s="528">
        <v>45940</v>
      </c>
      <c r="P475" s="516" t="str">
        <f t="shared" ca="1" si="7"/>
        <v>Pago</v>
      </c>
      <c r="Q475" s="528">
        <v>45939</v>
      </c>
      <c r="R475" s="529" t="s">
        <v>1564</v>
      </c>
      <c r="S475" s="518"/>
      <c r="T475" s="518" t="s">
        <v>1776</v>
      </c>
      <c r="U475" s="519" t="s">
        <v>2008</v>
      </c>
      <c r="V475" s="520" t="str">
        <f>IFERROR(VLOOKUP(LANÇ_MOV[[#This Row],[PLANO DE CONTAS]],Plano_Contas[[PLANO DE CONTAS]:[R / D]],3,0),"")</f>
        <v>Receita</v>
      </c>
      <c r="W475" s="521" t="str">
        <f>IF(LANÇ_MOV[[#This Row],[DATA DE PAGAMENTO]]&lt;&gt;"","Pago","Não Pago")</f>
        <v>Pago</v>
      </c>
      <c r="X475" s="522" t="str">
        <f>IFERROR(IF(LANÇ_MOV[[#This Row],[DATA DE PAGAMENTO]]="","",(UPPER(TEXT(LANÇ_MOV[[#This Row],[DATA DE PAGAMENTO]],"mmmm")))),"")</f>
        <v>OUTUBRO</v>
      </c>
      <c r="Y475" s="523" t="str">
        <f>IFERROR(VLOOKUP(LANÇ_MOV[[#This Row],[PLANO DE CONTAS]],Plano_Contas[[PLANO DE CONTAS]:[NOMES INTERVALOS]],2,0),"")</f>
        <v>Receitas_Operacionais</v>
      </c>
      <c r="Z475" s="523" t="str">
        <f>IF(LANÇ_MOV[[#This Row],[FORMA DE PAGAMENTO]]="","",VLOOKUP(LANÇ_MOV[[#This Row],[FORMA DE PAGAMENTO]],CAD_Forma_pagto[],2,0))</f>
        <v>PIX</v>
      </c>
      <c r="AA475" s="524" t="str">
        <f>IF(LANÇ_MOV[[#This Row],[DATA DE LANÇAMENTO]]="","",TEXT(LANÇ_MOV[[#This Row],[DATA DE LANÇAMENTO]],"AAAA"))</f>
        <v>2025</v>
      </c>
      <c r="AB475" s="524" t="str">
        <f>IF(LANÇ_MOV[[#This Row],[DATA DE LANÇAMENTO]]="","",UPPER(TEXT(LANÇ_MOV[[#This Row],[DATA DE LANÇAMENTO]],"MMMM")))</f>
        <v>OUTUBRO</v>
      </c>
      <c r="AC475" s="525" t="str">
        <f>IF(LANÇ_MOV[[#This Row],[DATA DE LANÇAMENTO]]="","",PROPER(TEXT(LANÇ_MOV[[#This Row],[DATA DE LANÇAMENTO]],"M")))</f>
        <v>10</v>
      </c>
      <c r="AD475" s="524" t="str">
        <f>IF(LANÇ_MOV[[#This Row],[DATA DE LANÇAMENTO]]="","",TEXT(LANÇ_MOV[[#This Row],[DATA DE LANÇAMENTO]],"D"))</f>
        <v>9</v>
      </c>
      <c r="AE475" s="526" t="str">
        <f>IF(LANÇ_MOV[[#This Row],[DATA DE VENCIMENTO]]="","",TEXT(LANÇ_MOV[[#This Row],[DATA DE VENCIMENTO]],"AAAA"))</f>
        <v>2025</v>
      </c>
      <c r="AF475" s="526" t="str">
        <f>IF(LANÇ_MOV[[#This Row],[DATA DE VENCIMENTO]]="","",UPPER(TEXT(LANÇ_MOV[[#This Row],[DATA DE VENCIMENTO]],"MMMM")))</f>
        <v>OUTUBRO</v>
      </c>
      <c r="AG475" s="526" t="str">
        <f>IF(LANÇ_MOV[[#This Row],[DATA DE VENCIMENTO]]="","",TEXT(LANÇ_MOV[[#This Row],[DATA DE VENCIMENTO]],"M"))</f>
        <v>10</v>
      </c>
      <c r="AH475" s="526" t="str">
        <f>IF(LANÇ_MOV[[#This Row],[DATA DE VENCIMENTO]]="","",TEXT(LANÇ_MOV[[#This Row],[DATA DE VENCIMENTO]],"D"))</f>
        <v>10</v>
      </c>
      <c r="AI475" s="526" t="str">
        <f>IF(LANÇ_MOV[[#This Row],[DATA DE PAGAMENTO]]="","",TEXT(LANÇ_MOV[[#This Row],[DATA DE PAGAMENTO]],"AAAA"))</f>
        <v>2025</v>
      </c>
      <c r="AJ475" s="527" t="str">
        <f>IF(LANÇ_MOV[[#This Row],[DATA DE PAGAMENTO]]="","",UPPER(TEXT(LANÇ_MOV[[#This Row],[DATA DE PAGAMENTO]],"MMMM")))</f>
        <v>OUTUBRO</v>
      </c>
      <c r="AK475" s="527" t="str">
        <f>IF(LANÇ_MOV[[#This Row],[DATA DE PAGAMENTO]]="","",TEXT(LANÇ_MOV[[#This Row],[DATA DE PAGAMENTO]],"M"))</f>
        <v>10</v>
      </c>
      <c r="AL475" s="526" t="str">
        <f>IF(LANÇ_MOV[[#This Row],[DATA DE PAGAMENTO]]="","",TEXT(LANÇ_MOV[[#This Row],[DATA DE PAGAMENTO]],"D"))</f>
        <v>9</v>
      </c>
      <c r="AM475" s="27"/>
      <c r="BB475" s="112"/>
      <c r="BC475" s="112"/>
      <c r="BD475" s="112"/>
    </row>
    <row r="476" spans="2:56" ht="30.05" customHeight="1" x14ac:dyDescent="0.35">
      <c r="B476" s="506">
        <v>45939</v>
      </c>
      <c r="C476" s="507" t="s">
        <v>1661</v>
      </c>
      <c r="D476" s="508" t="s">
        <v>1854</v>
      </c>
      <c r="E476" s="509" t="s">
        <v>1103</v>
      </c>
      <c r="F476" s="510" t="s">
        <v>1785</v>
      </c>
      <c r="G476" s="507" t="s">
        <v>1855</v>
      </c>
      <c r="H476" s="511">
        <v>0</v>
      </c>
      <c r="I476" s="512" t="s">
        <v>1720</v>
      </c>
      <c r="J476" s="518">
        <v>350.35</v>
      </c>
      <c r="K476" s="513">
        <v>0</v>
      </c>
      <c r="L476" s="513">
        <v>0</v>
      </c>
      <c r="M476" s="513">
        <v>0</v>
      </c>
      <c r="N476" s="514">
        <f>LANÇ_MOV[[#This Row],[VALOR BRUTO]]-LANÇ_MOV[[#This Row],[DESCONTO]]+LANÇ_MOV[[#This Row],[JUROS]]+LANÇ_MOV[[#This Row],[MULTA]]</f>
        <v>350.35</v>
      </c>
      <c r="O476" s="528">
        <v>45971</v>
      </c>
      <c r="P476" s="516" t="str">
        <f t="shared" ca="1" si="7"/>
        <v>Venceu</v>
      </c>
      <c r="Q476" s="528"/>
      <c r="R476" s="529" t="s">
        <v>1564</v>
      </c>
      <c r="S476" s="518"/>
      <c r="T476" s="518" t="s">
        <v>1776</v>
      </c>
      <c r="U476" s="519" t="s">
        <v>2008</v>
      </c>
      <c r="V476" s="520" t="str">
        <f>IFERROR(VLOOKUP(LANÇ_MOV[[#This Row],[PLANO DE CONTAS]],Plano_Contas[[PLANO DE CONTAS]:[R / D]],3,0),"")</f>
        <v>Receita</v>
      </c>
      <c r="W476" s="521" t="str">
        <f>IF(LANÇ_MOV[[#This Row],[DATA DE PAGAMENTO]]&lt;&gt;"","Pago","Não Pago")</f>
        <v>Não Pago</v>
      </c>
      <c r="X476" s="522" t="str">
        <f>IFERROR(IF(LANÇ_MOV[[#This Row],[DATA DE PAGAMENTO]]="","",(UPPER(TEXT(LANÇ_MOV[[#This Row],[DATA DE PAGAMENTO]],"mmmm")))),"")</f>
        <v/>
      </c>
      <c r="Y476" s="523" t="str">
        <f>IFERROR(VLOOKUP(LANÇ_MOV[[#This Row],[PLANO DE CONTAS]],Plano_Contas[[PLANO DE CONTAS]:[NOMES INTERVALOS]],2,0),"")</f>
        <v>Receitas_Operacionais</v>
      </c>
      <c r="Z476" s="523" t="str">
        <f>IF(LANÇ_MOV[[#This Row],[FORMA DE PAGAMENTO]]="","",VLOOKUP(LANÇ_MOV[[#This Row],[FORMA DE PAGAMENTO]],CAD_Forma_pagto[],2,0))</f>
        <v>PIX</v>
      </c>
      <c r="AA476" s="524" t="str">
        <f>IF(LANÇ_MOV[[#This Row],[DATA DE LANÇAMENTO]]="","",TEXT(LANÇ_MOV[[#This Row],[DATA DE LANÇAMENTO]],"AAAA"))</f>
        <v>2025</v>
      </c>
      <c r="AB476" s="524" t="str">
        <f>IF(LANÇ_MOV[[#This Row],[DATA DE LANÇAMENTO]]="","",UPPER(TEXT(LANÇ_MOV[[#This Row],[DATA DE LANÇAMENTO]],"MMMM")))</f>
        <v>OUTUBRO</v>
      </c>
      <c r="AC476" s="525" t="str">
        <f>IF(LANÇ_MOV[[#This Row],[DATA DE LANÇAMENTO]]="","",PROPER(TEXT(LANÇ_MOV[[#This Row],[DATA DE LANÇAMENTO]],"M")))</f>
        <v>10</v>
      </c>
      <c r="AD476" s="524" t="str">
        <f>IF(LANÇ_MOV[[#This Row],[DATA DE LANÇAMENTO]]="","",TEXT(LANÇ_MOV[[#This Row],[DATA DE LANÇAMENTO]],"D"))</f>
        <v>9</v>
      </c>
      <c r="AE476" s="526" t="str">
        <f>IF(LANÇ_MOV[[#This Row],[DATA DE VENCIMENTO]]="","",TEXT(LANÇ_MOV[[#This Row],[DATA DE VENCIMENTO]],"AAAA"))</f>
        <v>2025</v>
      </c>
      <c r="AF476" s="526" t="str">
        <f>IF(LANÇ_MOV[[#This Row],[DATA DE VENCIMENTO]]="","",UPPER(TEXT(LANÇ_MOV[[#This Row],[DATA DE VENCIMENTO]],"MMMM")))</f>
        <v>NOVEMBRO</v>
      </c>
      <c r="AG476" s="526" t="str">
        <f>IF(LANÇ_MOV[[#This Row],[DATA DE VENCIMENTO]]="","",TEXT(LANÇ_MOV[[#This Row],[DATA DE VENCIMENTO]],"M"))</f>
        <v>11</v>
      </c>
      <c r="AH476" s="526" t="str">
        <f>IF(LANÇ_MOV[[#This Row],[DATA DE VENCIMENTO]]="","",TEXT(LANÇ_MOV[[#This Row],[DATA DE VENCIMENTO]],"D"))</f>
        <v>10</v>
      </c>
      <c r="AI476" s="526" t="str">
        <f>IF(LANÇ_MOV[[#This Row],[DATA DE PAGAMENTO]]="","",TEXT(LANÇ_MOV[[#This Row],[DATA DE PAGAMENTO]],"AAAA"))</f>
        <v/>
      </c>
      <c r="AJ476" s="527" t="str">
        <f>IF(LANÇ_MOV[[#This Row],[DATA DE PAGAMENTO]]="","",UPPER(TEXT(LANÇ_MOV[[#This Row],[DATA DE PAGAMENTO]],"MMMM")))</f>
        <v/>
      </c>
      <c r="AK476" s="527" t="str">
        <f>IF(LANÇ_MOV[[#This Row],[DATA DE PAGAMENTO]]="","",TEXT(LANÇ_MOV[[#This Row],[DATA DE PAGAMENTO]],"M"))</f>
        <v/>
      </c>
      <c r="AL476" s="526" t="str">
        <f>IF(LANÇ_MOV[[#This Row],[DATA DE PAGAMENTO]]="","",TEXT(LANÇ_MOV[[#This Row],[DATA DE PAGAMENTO]],"D"))</f>
        <v/>
      </c>
      <c r="AM476" s="27"/>
      <c r="BB476" s="112"/>
      <c r="BC476" s="112"/>
      <c r="BD476" s="112"/>
    </row>
    <row r="477" spans="2:56" ht="30.05" customHeight="1" x14ac:dyDescent="0.35">
      <c r="B477" s="506">
        <v>45939</v>
      </c>
      <c r="C477" s="507" t="s">
        <v>1661</v>
      </c>
      <c r="D477" s="508" t="s">
        <v>1854</v>
      </c>
      <c r="E477" s="509" t="s">
        <v>1103</v>
      </c>
      <c r="F477" s="510" t="s">
        <v>1785</v>
      </c>
      <c r="G477" s="507" t="s">
        <v>1856</v>
      </c>
      <c r="H477" s="511">
        <v>0</v>
      </c>
      <c r="I477" s="512" t="s">
        <v>1720</v>
      </c>
      <c r="J477" s="518">
        <v>350.35</v>
      </c>
      <c r="K477" s="513">
        <v>0</v>
      </c>
      <c r="L477" s="513"/>
      <c r="M477" s="513">
        <v>0</v>
      </c>
      <c r="N477" s="514">
        <f>LANÇ_MOV[[#This Row],[VALOR BRUTO]]-LANÇ_MOV[[#This Row],[DESCONTO]]+LANÇ_MOV[[#This Row],[JUROS]]+LANÇ_MOV[[#This Row],[MULTA]]</f>
        <v>350.35</v>
      </c>
      <c r="O477" s="528">
        <v>46001</v>
      </c>
      <c r="P477" s="516" t="str">
        <f t="shared" ca="1" si="7"/>
        <v>Prazo - Menos de 15 dias</v>
      </c>
      <c r="Q477" s="528"/>
      <c r="R477" s="529" t="s">
        <v>1564</v>
      </c>
      <c r="S477" s="518"/>
      <c r="T477" s="518" t="s">
        <v>1776</v>
      </c>
      <c r="U477" s="519" t="s">
        <v>2008</v>
      </c>
      <c r="V477" s="520" t="str">
        <f>IFERROR(VLOOKUP(LANÇ_MOV[[#This Row],[PLANO DE CONTAS]],Plano_Contas[[PLANO DE CONTAS]:[R / D]],3,0),"")</f>
        <v>Receita</v>
      </c>
      <c r="W477" s="521" t="str">
        <f>IF(LANÇ_MOV[[#This Row],[DATA DE PAGAMENTO]]&lt;&gt;"","Pago","Não Pago")</f>
        <v>Não Pago</v>
      </c>
      <c r="X477" s="522" t="str">
        <f>IFERROR(IF(LANÇ_MOV[[#This Row],[DATA DE PAGAMENTO]]="","",(UPPER(TEXT(LANÇ_MOV[[#This Row],[DATA DE PAGAMENTO]],"mmmm")))),"")</f>
        <v/>
      </c>
      <c r="Y477" s="523" t="str">
        <f>IFERROR(VLOOKUP(LANÇ_MOV[[#This Row],[PLANO DE CONTAS]],Plano_Contas[[PLANO DE CONTAS]:[NOMES INTERVALOS]],2,0),"")</f>
        <v>Receitas_Operacionais</v>
      </c>
      <c r="Z477" s="523" t="str">
        <f>IF(LANÇ_MOV[[#This Row],[FORMA DE PAGAMENTO]]="","",VLOOKUP(LANÇ_MOV[[#This Row],[FORMA DE PAGAMENTO]],CAD_Forma_pagto[],2,0))</f>
        <v>PIX</v>
      </c>
      <c r="AA477" s="524" t="str">
        <f>IF(LANÇ_MOV[[#This Row],[DATA DE LANÇAMENTO]]="","",TEXT(LANÇ_MOV[[#This Row],[DATA DE LANÇAMENTO]],"AAAA"))</f>
        <v>2025</v>
      </c>
      <c r="AB477" s="524" t="str">
        <f>IF(LANÇ_MOV[[#This Row],[DATA DE LANÇAMENTO]]="","",UPPER(TEXT(LANÇ_MOV[[#This Row],[DATA DE LANÇAMENTO]],"MMMM")))</f>
        <v>OUTUBRO</v>
      </c>
      <c r="AC477" s="525" t="str">
        <f>IF(LANÇ_MOV[[#This Row],[DATA DE LANÇAMENTO]]="","",PROPER(TEXT(LANÇ_MOV[[#This Row],[DATA DE LANÇAMENTO]],"M")))</f>
        <v>10</v>
      </c>
      <c r="AD477" s="524" t="str">
        <f>IF(LANÇ_MOV[[#This Row],[DATA DE LANÇAMENTO]]="","",TEXT(LANÇ_MOV[[#This Row],[DATA DE LANÇAMENTO]],"D"))</f>
        <v>9</v>
      </c>
      <c r="AE477" s="526" t="str">
        <f>IF(LANÇ_MOV[[#This Row],[DATA DE VENCIMENTO]]="","",TEXT(LANÇ_MOV[[#This Row],[DATA DE VENCIMENTO]],"AAAA"))</f>
        <v>2025</v>
      </c>
      <c r="AF477" s="526" t="str">
        <f>IF(LANÇ_MOV[[#This Row],[DATA DE VENCIMENTO]]="","",UPPER(TEXT(LANÇ_MOV[[#This Row],[DATA DE VENCIMENTO]],"MMMM")))</f>
        <v>DEZEMBRO</v>
      </c>
      <c r="AG477" s="526" t="str">
        <f>IF(LANÇ_MOV[[#This Row],[DATA DE VENCIMENTO]]="","",TEXT(LANÇ_MOV[[#This Row],[DATA DE VENCIMENTO]],"M"))</f>
        <v>12</v>
      </c>
      <c r="AH477" s="526" t="str">
        <f>IF(LANÇ_MOV[[#This Row],[DATA DE VENCIMENTO]]="","",TEXT(LANÇ_MOV[[#This Row],[DATA DE VENCIMENTO]],"D"))</f>
        <v>10</v>
      </c>
      <c r="AI477" s="526" t="str">
        <f>IF(LANÇ_MOV[[#This Row],[DATA DE PAGAMENTO]]="","",TEXT(LANÇ_MOV[[#This Row],[DATA DE PAGAMENTO]],"AAAA"))</f>
        <v/>
      </c>
      <c r="AJ477" s="527" t="str">
        <f>IF(LANÇ_MOV[[#This Row],[DATA DE PAGAMENTO]]="","",UPPER(TEXT(LANÇ_MOV[[#This Row],[DATA DE PAGAMENTO]],"MMMM")))</f>
        <v/>
      </c>
      <c r="AK477" s="527" t="str">
        <f>IF(LANÇ_MOV[[#This Row],[DATA DE PAGAMENTO]]="","",TEXT(LANÇ_MOV[[#This Row],[DATA DE PAGAMENTO]],"M"))</f>
        <v/>
      </c>
      <c r="AL477" s="526" t="str">
        <f>IF(LANÇ_MOV[[#This Row],[DATA DE PAGAMENTO]]="","",TEXT(LANÇ_MOV[[#This Row],[DATA DE PAGAMENTO]],"D"))</f>
        <v/>
      </c>
      <c r="AM477" s="27"/>
      <c r="BB477" s="112"/>
      <c r="BC477" s="112"/>
      <c r="BD477" s="112"/>
    </row>
    <row r="478" spans="2:56" ht="30.05" customHeight="1" x14ac:dyDescent="0.35">
      <c r="B478" s="506">
        <v>45939</v>
      </c>
      <c r="C478" s="507" t="s">
        <v>1661</v>
      </c>
      <c r="D478" s="508" t="s">
        <v>1854</v>
      </c>
      <c r="E478" s="509" t="s">
        <v>1103</v>
      </c>
      <c r="F478" s="510" t="s">
        <v>1785</v>
      </c>
      <c r="G478" s="507" t="s">
        <v>1857</v>
      </c>
      <c r="H478" s="511">
        <v>0</v>
      </c>
      <c r="I478" s="512" t="s">
        <v>1720</v>
      </c>
      <c r="J478" s="518">
        <v>350.35</v>
      </c>
      <c r="K478" s="513">
        <v>0</v>
      </c>
      <c r="L478" s="513"/>
      <c r="M478" s="513">
        <v>0</v>
      </c>
      <c r="N478" s="514">
        <f>LANÇ_MOV[[#This Row],[VALOR BRUTO]]-LANÇ_MOV[[#This Row],[DESCONTO]]+LANÇ_MOV[[#This Row],[JUROS]]+LANÇ_MOV[[#This Row],[MULTA]]</f>
        <v>350.35</v>
      </c>
      <c r="O478" s="528">
        <v>46032</v>
      </c>
      <c r="P478" s="516" t="str">
        <f t="shared" ca="1" si="7"/>
        <v>Prazo - Mais de 1 mês</v>
      </c>
      <c r="Q478" s="528"/>
      <c r="R478" s="529" t="s">
        <v>1564</v>
      </c>
      <c r="S478" s="518"/>
      <c r="T478" s="518" t="s">
        <v>1776</v>
      </c>
      <c r="U478" s="519" t="s">
        <v>2008</v>
      </c>
      <c r="V478" s="520" t="str">
        <f>IFERROR(VLOOKUP(LANÇ_MOV[[#This Row],[PLANO DE CONTAS]],Plano_Contas[[PLANO DE CONTAS]:[R / D]],3,0),"")</f>
        <v>Receita</v>
      </c>
      <c r="W478" s="521" t="str">
        <f>IF(LANÇ_MOV[[#This Row],[DATA DE PAGAMENTO]]&lt;&gt;"","Pago","Não Pago")</f>
        <v>Não Pago</v>
      </c>
      <c r="X478" s="522" t="str">
        <f>IFERROR(IF(LANÇ_MOV[[#This Row],[DATA DE PAGAMENTO]]="","",(UPPER(TEXT(LANÇ_MOV[[#This Row],[DATA DE PAGAMENTO]],"mmmm")))),"")</f>
        <v/>
      </c>
      <c r="Y478" s="523" t="str">
        <f>IFERROR(VLOOKUP(LANÇ_MOV[[#This Row],[PLANO DE CONTAS]],Plano_Contas[[PLANO DE CONTAS]:[NOMES INTERVALOS]],2,0),"")</f>
        <v>Receitas_Operacionais</v>
      </c>
      <c r="Z478" s="523" t="str">
        <f>IF(LANÇ_MOV[[#This Row],[FORMA DE PAGAMENTO]]="","",VLOOKUP(LANÇ_MOV[[#This Row],[FORMA DE PAGAMENTO]],CAD_Forma_pagto[],2,0))</f>
        <v>PIX</v>
      </c>
      <c r="AA478" s="524" t="str">
        <f>IF(LANÇ_MOV[[#This Row],[DATA DE LANÇAMENTO]]="","",TEXT(LANÇ_MOV[[#This Row],[DATA DE LANÇAMENTO]],"AAAA"))</f>
        <v>2025</v>
      </c>
      <c r="AB478" s="524" t="str">
        <f>IF(LANÇ_MOV[[#This Row],[DATA DE LANÇAMENTO]]="","",UPPER(TEXT(LANÇ_MOV[[#This Row],[DATA DE LANÇAMENTO]],"MMMM")))</f>
        <v>OUTUBRO</v>
      </c>
      <c r="AC478" s="525" t="str">
        <f>IF(LANÇ_MOV[[#This Row],[DATA DE LANÇAMENTO]]="","",PROPER(TEXT(LANÇ_MOV[[#This Row],[DATA DE LANÇAMENTO]],"M")))</f>
        <v>10</v>
      </c>
      <c r="AD478" s="524" t="str">
        <f>IF(LANÇ_MOV[[#This Row],[DATA DE LANÇAMENTO]]="","",TEXT(LANÇ_MOV[[#This Row],[DATA DE LANÇAMENTO]],"D"))</f>
        <v>9</v>
      </c>
      <c r="AE478" s="526" t="str">
        <f>IF(LANÇ_MOV[[#This Row],[DATA DE VENCIMENTO]]="","",TEXT(LANÇ_MOV[[#This Row],[DATA DE VENCIMENTO]],"AAAA"))</f>
        <v>2026</v>
      </c>
      <c r="AF478" s="526" t="str">
        <f>IF(LANÇ_MOV[[#This Row],[DATA DE VENCIMENTO]]="","",UPPER(TEXT(LANÇ_MOV[[#This Row],[DATA DE VENCIMENTO]],"MMMM")))</f>
        <v>JANEIRO</v>
      </c>
      <c r="AG478" s="526" t="str">
        <f>IF(LANÇ_MOV[[#This Row],[DATA DE VENCIMENTO]]="","",TEXT(LANÇ_MOV[[#This Row],[DATA DE VENCIMENTO]],"M"))</f>
        <v>1</v>
      </c>
      <c r="AH478" s="526" t="str">
        <f>IF(LANÇ_MOV[[#This Row],[DATA DE VENCIMENTO]]="","",TEXT(LANÇ_MOV[[#This Row],[DATA DE VENCIMENTO]],"D"))</f>
        <v>10</v>
      </c>
      <c r="AI478" s="526" t="str">
        <f>IF(LANÇ_MOV[[#This Row],[DATA DE PAGAMENTO]]="","",TEXT(LANÇ_MOV[[#This Row],[DATA DE PAGAMENTO]],"AAAA"))</f>
        <v/>
      </c>
      <c r="AJ478" s="527" t="str">
        <f>IF(LANÇ_MOV[[#This Row],[DATA DE PAGAMENTO]]="","",UPPER(TEXT(LANÇ_MOV[[#This Row],[DATA DE PAGAMENTO]],"MMMM")))</f>
        <v/>
      </c>
      <c r="AK478" s="527" t="str">
        <f>IF(LANÇ_MOV[[#This Row],[DATA DE PAGAMENTO]]="","",TEXT(LANÇ_MOV[[#This Row],[DATA DE PAGAMENTO]],"M"))</f>
        <v/>
      </c>
      <c r="AL478" s="526" t="str">
        <f>IF(LANÇ_MOV[[#This Row],[DATA DE PAGAMENTO]]="","",TEXT(LANÇ_MOV[[#This Row],[DATA DE PAGAMENTO]],"D"))</f>
        <v/>
      </c>
      <c r="AM478" s="27"/>
      <c r="BB478" s="112"/>
      <c r="BC478" s="112"/>
      <c r="BD478" s="112"/>
    </row>
    <row r="479" spans="2:56" ht="30.05" customHeight="1" x14ac:dyDescent="0.35">
      <c r="B479" s="506">
        <v>45939</v>
      </c>
      <c r="C479" s="507" t="s">
        <v>1661</v>
      </c>
      <c r="D479" s="508" t="s">
        <v>1854</v>
      </c>
      <c r="E479" s="509" t="s">
        <v>1103</v>
      </c>
      <c r="F479" s="510" t="s">
        <v>1785</v>
      </c>
      <c r="G479" s="507" t="s">
        <v>1858</v>
      </c>
      <c r="H479" s="511">
        <v>0</v>
      </c>
      <c r="I479" s="512" t="s">
        <v>1720</v>
      </c>
      <c r="J479" s="518">
        <v>350.35</v>
      </c>
      <c r="K479" s="513">
        <v>0</v>
      </c>
      <c r="L479" s="513"/>
      <c r="M479" s="513">
        <v>0</v>
      </c>
      <c r="N479" s="514">
        <f>LANÇ_MOV[[#This Row],[VALOR BRUTO]]-LANÇ_MOV[[#This Row],[DESCONTO]]+LANÇ_MOV[[#This Row],[JUROS]]+LANÇ_MOV[[#This Row],[MULTA]]</f>
        <v>350.35</v>
      </c>
      <c r="O479" s="528">
        <v>46063</v>
      </c>
      <c r="P479" s="516" t="str">
        <f t="shared" ca="1" si="7"/>
        <v>Prazo - Mais de 1 mês</v>
      </c>
      <c r="Q479" s="528"/>
      <c r="R479" s="529" t="s">
        <v>1564</v>
      </c>
      <c r="S479" s="518"/>
      <c r="T479" s="518" t="s">
        <v>1776</v>
      </c>
      <c r="U479" s="519" t="s">
        <v>2008</v>
      </c>
      <c r="V479" s="520" t="str">
        <f>IFERROR(VLOOKUP(LANÇ_MOV[[#This Row],[PLANO DE CONTAS]],Plano_Contas[[PLANO DE CONTAS]:[R / D]],3,0),"")</f>
        <v>Receita</v>
      </c>
      <c r="W479" s="521" t="str">
        <f>IF(LANÇ_MOV[[#This Row],[DATA DE PAGAMENTO]]&lt;&gt;"","Pago","Não Pago")</f>
        <v>Não Pago</v>
      </c>
      <c r="X479" s="522" t="str">
        <f>IFERROR(IF(LANÇ_MOV[[#This Row],[DATA DE PAGAMENTO]]="","",(UPPER(TEXT(LANÇ_MOV[[#This Row],[DATA DE PAGAMENTO]],"mmmm")))),"")</f>
        <v/>
      </c>
      <c r="Y479" s="523" t="str">
        <f>IFERROR(VLOOKUP(LANÇ_MOV[[#This Row],[PLANO DE CONTAS]],Plano_Contas[[PLANO DE CONTAS]:[NOMES INTERVALOS]],2,0),"")</f>
        <v>Receitas_Operacionais</v>
      </c>
      <c r="Z479" s="523" t="str">
        <f>IF(LANÇ_MOV[[#This Row],[FORMA DE PAGAMENTO]]="","",VLOOKUP(LANÇ_MOV[[#This Row],[FORMA DE PAGAMENTO]],CAD_Forma_pagto[],2,0))</f>
        <v>PIX</v>
      </c>
      <c r="AA479" s="524" t="str">
        <f>IF(LANÇ_MOV[[#This Row],[DATA DE LANÇAMENTO]]="","",TEXT(LANÇ_MOV[[#This Row],[DATA DE LANÇAMENTO]],"AAAA"))</f>
        <v>2025</v>
      </c>
      <c r="AB479" s="524" t="str">
        <f>IF(LANÇ_MOV[[#This Row],[DATA DE LANÇAMENTO]]="","",UPPER(TEXT(LANÇ_MOV[[#This Row],[DATA DE LANÇAMENTO]],"MMMM")))</f>
        <v>OUTUBRO</v>
      </c>
      <c r="AC479" s="525" t="str">
        <f>IF(LANÇ_MOV[[#This Row],[DATA DE LANÇAMENTO]]="","",PROPER(TEXT(LANÇ_MOV[[#This Row],[DATA DE LANÇAMENTO]],"M")))</f>
        <v>10</v>
      </c>
      <c r="AD479" s="524" t="str">
        <f>IF(LANÇ_MOV[[#This Row],[DATA DE LANÇAMENTO]]="","",TEXT(LANÇ_MOV[[#This Row],[DATA DE LANÇAMENTO]],"D"))</f>
        <v>9</v>
      </c>
      <c r="AE479" s="526" t="str">
        <f>IF(LANÇ_MOV[[#This Row],[DATA DE VENCIMENTO]]="","",TEXT(LANÇ_MOV[[#This Row],[DATA DE VENCIMENTO]],"AAAA"))</f>
        <v>2026</v>
      </c>
      <c r="AF479" s="526" t="str">
        <f>IF(LANÇ_MOV[[#This Row],[DATA DE VENCIMENTO]]="","",UPPER(TEXT(LANÇ_MOV[[#This Row],[DATA DE VENCIMENTO]],"MMMM")))</f>
        <v>FEVEREIRO</v>
      </c>
      <c r="AG479" s="526" t="str">
        <f>IF(LANÇ_MOV[[#This Row],[DATA DE VENCIMENTO]]="","",TEXT(LANÇ_MOV[[#This Row],[DATA DE VENCIMENTO]],"M"))</f>
        <v>2</v>
      </c>
      <c r="AH479" s="526" t="str">
        <f>IF(LANÇ_MOV[[#This Row],[DATA DE VENCIMENTO]]="","",TEXT(LANÇ_MOV[[#This Row],[DATA DE VENCIMENTO]],"D"))</f>
        <v>10</v>
      </c>
      <c r="AI479" s="526" t="str">
        <f>IF(LANÇ_MOV[[#This Row],[DATA DE PAGAMENTO]]="","",TEXT(LANÇ_MOV[[#This Row],[DATA DE PAGAMENTO]],"AAAA"))</f>
        <v/>
      </c>
      <c r="AJ479" s="527" t="str">
        <f>IF(LANÇ_MOV[[#This Row],[DATA DE PAGAMENTO]]="","",UPPER(TEXT(LANÇ_MOV[[#This Row],[DATA DE PAGAMENTO]],"MMMM")))</f>
        <v/>
      </c>
      <c r="AK479" s="527" t="str">
        <f>IF(LANÇ_MOV[[#This Row],[DATA DE PAGAMENTO]]="","",TEXT(LANÇ_MOV[[#This Row],[DATA DE PAGAMENTO]],"M"))</f>
        <v/>
      </c>
      <c r="AL479" s="526" t="str">
        <f>IF(LANÇ_MOV[[#This Row],[DATA DE PAGAMENTO]]="","",TEXT(LANÇ_MOV[[#This Row],[DATA DE PAGAMENTO]],"D"))</f>
        <v/>
      </c>
      <c r="AM479" s="27"/>
      <c r="BB479" s="112"/>
      <c r="BC479" s="112"/>
      <c r="BD479" s="112"/>
    </row>
    <row r="480" spans="2:56" ht="30.05" customHeight="1" x14ac:dyDescent="0.35">
      <c r="B480" s="506">
        <v>45939</v>
      </c>
      <c r="C480" s="507" t="s">
        <v>1661</v>
      </c>
      <c r="D480" s="508" t="s">
        <v>1854</v>
      </c>
      <c r="E480" s="509" t="s">
        <v>1103</v>
      </c>
      <c r="F480" s="510" t="s">
        <v>1785</v>
      </c>
      <c r="G480" s="507" t="s">
        <v>1855</v>
      </c>
      <c r="H480" s="511">
        <v>0</v>
      </c>
      <c r="I480" s="512" t="s">
        <v>1680</v>
      </c>
      <c r="J480" s="518">
        <v>375.38</v>
      </c>
      <c r="K480" s="513">
        <v>0</v>
      </c>
      <c r="L480" s="513">
        <v>0</v>
      </c>
      <c r="M480" s="513">
        <v>0</v>
      </c>
      <c r="N480" s="514">
        <f>LANÇ_MOV[[#This Row],[VALOR BRUTO]]-LANÇ_MOV[[#This Row],[DESCONTO]]+LANÇ_MOV[[#This Row],[JUROS]]+LANÇ_MOV[[#This Row],[MULTA]]</f>
        <v>375.38</v>
      </c>
      <c r="O480" s="528">
        <v>45939</v>
      </c>
      <c r="P480" s="516" t="str">
        <f t="shared" ca="1" si="7"/>
        <v>Pago</v>
      </c>
      <c r="Q480" s="528">
        <v>45939</v>
      </c>
      <c r="R480" s="529" t="s">
        <v>1564</v>
      </c>
      <c r="S480" s="518"/>
      <c r="T480" s="518" t="s">
        <v>1776</v>
      </c>
      <c r="U480" s="519" t="s">
        <v>2008</v>
      </c>
      <c r="V480" s="520" t="str">
        <f>IFERROR(VLOOKUP(LANÇ_MOV[[#This Row],[PLANO DE CONTAS]],Plano_Contas[[PLANO DE CONTAS]:[R / D]],3,0),"")</f>
        <v>Receita</v>
      </c>
      <c r="W480" s="521" t="str">
        <f>IF(LANÇ_MOV[[#This Row],[DATA DE PAGAMENTO]]&lt;&gt;"","Pago","Não Pago")</f>
        <v>Pago</v>
      </c>
      <c r="X480" s="522" t="str">
        <f>IFERROR(IF(LANÇ_MOV[[#This Row],[DATA DE PAGAMENTO]]="","",(UPPER(TEXT(LANÇ_MOV[[#This Row],[DATA DE PAGAMENTO]],"mmmm")))),"")</f>
        <v>OUTUBRO</v>
      </c>
      <c r="Y480" s="523" t="str">
        <f>IFERROR(VLOOKUP(LANÇ_MOV[[#This Row],[PLANO DE CONTAS]],Plano_Contas[[PLANO DE CONTAS]:[NOMES INTERVALOS]],2,0),"")</f>
        <v>Receitas_Operacionais</v>
      </c>
      <c r="Z480" s="523" t="str">
        <f>IF(LANÇ_MOV[[#This Row],[FORMA DE PAGAMENTO]]="","",VLOOKUP(LANÇ_MOV[[#This Row],[FORMA DE PAGAMENTO]],CAD_Forma_pagto[],2,0))</f>
        <v>PIX</v>
      </c>
      <c r="AA480" s="524" t="str">
        <f>IF(LANÇ_MOV[[#This Row],[DATA DE LANÇAMENTO]]="","",TEXT(LANÇ_MOV[[#This Row],[DATA DE LANÇAMENTO]],"AAAA"))</f>
        <v>2025</v>
      </c>
      <c r="AB480" s="524" t="str">
        <f>IF(LANÇ_MOV[[#This Row],[DATA DE LANÇAMENTO]]="","",UPPER(TEXT(LANÇ_MOV[[#This Row],[DATA DE LANÇAMENTO]],"MMMM")))</f>
        <v>OUTUBRO</v>
      </c>
      <c r="AC480" s="525" t="str">
        <f>IF(LANÇ_MOV[[#This Row],[DATA DE LANÇAMENTO]]="","",PROPER(TEXT(LANÇ_MOV[[#This Row],[DATA DE LANÇAMENTO]],"M")))</f>
        <v>10</v>
      </c>
      <c r="AD480" s="524" t="str">
        <f>IF(LANÇ_MOV[[#This Row],[DATA DE LANÇAMENTO]]="","",TEXT(LANÇ_MOV[[#This Row],[DATA DE LANÇAMENTO]],"D"))</f>
        <v>9</v>
      </c>
      <c r="AE480" s="526" t="str">
        <f>IF(LANÇ_MOV[[#This Row],[DATA DE VENCIMENTO]]="","",TEXT(LANÇ_MOV[[#This Row],[DATA DE VENCIMENTO]],"AAAA"))</f>
        <v>2025</v>
      </c>
      <c r="AF480" s="526" t="str">
        <f>IF(LANÇ_MOV[[#This Row],[DATA DE VENCIMENTO]]="","",UPPER(TEXT(LANÇ_MOV[[#This Row],[DATA DE VENCIMENTO]],"MMMM")))</f>
        <v>OUTUBRO</v>
      </c>
      <c r="AG480" s="526" t="str">
        <f>IF(LANÇ_MOV[[#This Row],[DATA DE VENCIMENTO]]="","",TEXT(LANÇ_MOV[[#This Row],[DATA DE VENCIMENTO]],"M"))</f>
        <v>10</v>
      </c>
      <c r="AH480" s="526" t="str">
        <f>IF(LANÇ_MOV[[#This Row],[DATA DE VENCIMENTO]]="","",TEXT(LANÇ_MOV[[#This Row],[DATA DE VENCIMENTO]],"D"))</f>
        <v>9</v>
      </c>
      <c r="AI480" s="526" t="str">
        <f>IF(LANÇ_MOV[[#This Row],[DATA DE PAGAMENTO]]="","",TEXT(LANÇ_MOV[[#This Row],[DATA DE PAGAMENTO]],"AAAA"))</f>
        <v>2025</v>
      </c>
      <c r="AJ480" s="527" t="str">
        <f>IF(LANÇ_MOV[[#This Row],[DATA DE PAGAMENTO]]="","",UPPER(TEXT(LANÇ_MOV[[#This Row],[DATA DE PAGAMENTO]],"MMMM")))</f>
        <v>OUTUBRO</v>
      </c>
      <c r="AK480" s="527" t="str">
        <f>IF(LANÇ_MOV[[#This Row],[DATA DE PAGAMENTO]]="","",TEXT(LANÇ_MOV[[#This Row],[DATA DE PAGAMENTO]],"M"))</f>
        <v>10</v>
      </c>
      <c r="AL480" s="526" t="str">
        <f>IF(LANÇ_MOV[[#This Row],[DATA DE PAGAMENTO]]="","",TEXT(LANÇ_MOV[[#This Row],[DATA DE PAGAMENTO]],"D"))</f>
        <v>9</v>
      </c>
      <c r="AM480" s="27"/>
      <c r="BB480" s="112"/>
      <c r="BC480" s="112"/>
      <c r="BD480" s="112"/>
    </row>
    <row r="481" spans="2:56" ht="30.05" customHeight="1" x14ac:dyDescent="0.35">
      <c r="B481" s="506">
        <v>45939</v>
      </c>
      <c r="C481" s="507" t="s">
        <v>1661</v>
      </c>
      <c r="D481" s="508" t="s">
        <v>1854</v>
      </c>
      <c r="E481" s="509" t="s">
        <v>1103</v>
      </c>
      <c r="F481" s="510" t="s">
        <v>1785</v>
      </c>
      <c r="G481" s="507" t="s">
        <v>1856</v>
      </c>
      <c r="H481" s="511">
        <v>0</v>
      </c>
      <c r="I481" s="512" t="s">
        <v>1680</v>
      </c>
      <c r="J481" s="510">
        <v>375.38</v>
      </c>
      <c r="K481" s="513">
        <v>0</v>
      </c>
      <c r="L481" s="513">
        <v>0</v>
      </c>
      <c r="M481" s="513">
        <v>0</v>
      </c>
      <c r="N481" s="514">
        <f>LANÇ_MOV[[#This Row],[VALOR BRUTO]]-LANÇ_MOV[[#This Row],[DESCONTO]]+LANÇ_MOV[[#This Row],[JUROS]]+LANÇ_MOV[[#This Row],[MULTA]]</f>
        <v>375.38</v>
      </c>
      <c r="O481" s="528">
        <v>45971</v>
      </c>
      <c r="P481" s="516" t="str">
        <f t="shared" ca="1" si="7"/>
        <v>Venceu</v>
      </c>
      <c r="Q481" s="528"/>
      <c r="R481" s="529" t="s">
        <v>1564</v>
      </c>
      <c r="S481" s="518"/>
      <c r="T481" s="518" t="s">
        <v>1776</v>
      </c>
      <c r="U481" s="519" t="s">
        <v>2008</v>
      </c>
      <c r="V481" s="520" t="str">
        <f>IFERROR(VLOOKUP(LANÇ_MOV[[#This Row],[PLANO DE CONTAS]],Plano_Contas[[PLANO DE CONTAS]:[R / D]],3,0),"")</f>
        <v>Receita</v>
      </c>
      <c r="W481" s="521" t="str">
        <f>IF(LANÇ_MOV[[#This Row],[DATA DE PAGAMENTO]]&lt;&gt;"","Pago","Não Pago")</f>
        <v>Não Pago</v>
      </c>
      <c r="X481" s="522" t="str">
        <f>IFERROR(IF(LANÇ_MOV[[#This Row],[DATA DE PAGAMENTO]]="","",(UPPER(TEXT(LANÇ_MOV[[#This Row],[DATA DE PAGAMENTO]],"mmmm")))),"")</f>
        <v/>
      </c>
      <c r="Y481" s="523" t="str">
        <f>IFERROR(VLOOKUP(LANÇ_MOV[[#This Row],[PLANO DE CONTAS]],Plano_Contas[[PLANO DE CONTAS]:[NOMES INTERVALOS]],2,0),"")</f>
        <v>Receitas_Operacionais</v>
      </c>
      <c r="Z481" s="523" t="str">
        <f>IF(LANÇ_MOV[[#This Row],[FORMA DE PAGAMENTO]]="","",VLOOKUP(LANÇ_MOV[[#This Row],[FORMA DE PAGAMENTO]],CAD_Forma_pagto[],2,0))</f>
        <v>PIX</v>
      </c>
      <c r="AA481" s="524" t="str">
        <f>IF(LANÇ_MOV[[#This Row],[DATA DE LANÇAMENTO]]="","",TEXT(LANÇ_MOV[[#This Row],[DATA DE LANÇAMENTO]],"AAAA"))</f>
        <v>2025</v>
      </c>
      <c r="AB481" s="524" t="str">
        <f>IF(LANÇ_MOV[[#This Row],[DATA DE LANÇAMENTO]]="","",UPPER(TEXT(LANÇ_MOV[[#This Row],[DATA DE LANÇAMENTO]],"MMMM")))</f>
        <v>OUTUBRO</v>
      </c>
      <c r="AC481" s="525" t="str">
        <f>IF(LANÇ_MOV[[#This Row],[DATA DE LANÇAMENTO]]="","",PROPER(TEXT(LANÇ_MOV[[#This Row],[DATA DE LANÇAMENTO]],"M")))</f>
        <v>10</v>
      </c>
      <c r="AD481" s="524" t="str">
        <f>IF(LANÇ_MOV[[#This Row],[DATA DE LANÇAMENTO]]="","",TEXT(LANÇ_MOV[[#This Row],[DATA DE LANÇAMENTO]],"D"))</f>
        <v>9</v>
      </c>
      <c r="AE481" s="526" t="str">
        <f>IF(LANÇ_MOV[[#This Row],[DATA DE VENCIMENTO]]="","",TEXT(LANÇ_MOV[[#This Row],[DATA DE VENCIMENTO]],"AAAA"))</f>
        <v>2025</v>
      </c>
      <c r="AF481" s="526" t="str">
        <f>IF(LANÇ_MOV[[#This Row],[DATA DE VENCIMENTO]]="","",UPPER(TEXT(LANÇ_MOV[[#This Row],[DATA DE VENCIMENTO]],"MMMM")))</f>
        <v>NOVEMBRO</v>
      </c>
      <c r="AG481" s="526" t="str">
        <f>IF(LANÇ_MOV[[#This Row],[DATA DE VENCIMENTO]]="","",TEXT(LANÇ_MOV[[#This Row],[DATA DE VENCIMENTO]],"M"))</f>
        <v>11</v>
      </c>
      <c r="AH481" s="526" t="str">
        <f>IF(LANÇ_MOV[[#This Row],[DATA DE VENCIMENTO]]="","",TEXT(LANÇ_MOV[[#This Row],[DATA DE VENCIMENTO]],"D"))</f>
        <v>10</v>
      </c>
      <c r="AI481" s="526" t="str">
        <f>IF(LANÇ_MOV[[#This Row],[DATA DE PAGAMENTO]]="","",TEXT(LANÇ_MOV[[#This Row],[DATA DE PAGAMENTO]],"AAAA"))</f>
        <v/>
      </c>
      <c r="AJ481" s="527" t="str">
        <f>IF(LANÇ_MOV[[#This Row],[DATA DE PAGAMENTO]]="","",UPPER(TEXT(LANÇ_MOV[[#This Row],[DATA DE PAGAMENTO]],"MMMM")))</f>
        <v/>
      </c>
      <c r="AK481" s="527" t="str">
        <f>IF(LANÇ_MOV[[#This Row],[DATA DE PAGAMENTO]]="","",TEXT(LANÇ_MOV[[#This Row],[DATA DE PAGAMENTO]],"M"))</f>
        <v/>
      </c>
      <c r="AL481" s="526" t="str">
        <f>IF(LANÇ_MOV[[#This Row],[DATA DE PAGAMENTO]]="","",TEXT(LANÇ_MOV[[#This Row],[DATA DE PAGAMENTO]],"D"))</f>
        <v/>
      </c>
      <c r="AM481" s="27"/>
      <c r="BB481" s="112"/>
      <c r="BC481" s="112"/>
      <c r="BD481" s="112"/>
    </row>
    <row r="482" spans="2:56" ht="30.05" customHeight="1" x14ac:dyDescent="0.35">
      <c r="B482" s="506">
        <v>45939</v>
      </c>
      <c r="C482" s="507" t="s">
        <v>1661</v>
      </c>
      <c r="D482" s="508" t="s">
        <v>1854</v>
      </c>
      <c r="E482" s="509" t="s">
        <v>1103</v>
      </c>
      <c r="F482" s="510" t="s">
        <v>1785</v>
      </c>
      <c r="G482" s="507" t="s">
        <v>1857</v>
      </c>
      <c r="H482" s="511">
        <v>0</v>
      </c>
      <c r="I482" s="512" t="s">
        <v>1680</v>
      </c>
      <c r="J482" s="518">
        <v>375.38</v>
      </c>
      <c r="K482" s="513">
        <v>0</v>
      </c>
      <c r="L482" s="513"/>
      <c r="M482" s="513">
        <v>0</v>
      </c>
      <c r="N482" s="514">
        <f>LANÇ_MOV[[#This Row],[VALOR BRUTO]]-LANÇ_MOV[[#This Row],[DESCONTO]]+LANÇ_MOV[[#This Row],[JUROS]]+LANÇ_MOV[[#This Row],[MULTA]]</f>
        <v>375.38</v>
      </c>
      <c r="O482" s="528">
        <v>46001</v>
      </c>
      <c r="P482" s="516" t="str">
        <f t="shared" ca="1" si="7"/>
        <v>Prazo - Menos de 15 dias</v>
      </c>
      <c r="Q482" s="528"/>
      <c r="R482" s="529" t="s">
        <v>1564</v>
      </c>
      <c r="S482" s="518"/>
      <c r="T482" s="518" t="s">
        <v>1776</v>
      </c>
      <c r="U482" s="519" t="s">
        <v>2008</v>
      </c>
      <c r="V482" s="520" t="str">
        <f>IFERROR(VLOOKUP(LANÇ_MOV[[#This Row],[PLANO DE CONTAS]],Plano_Contas[[PLANO DE CONTAS]:[R / D]],3,0),"")</f>
        <v>Receita</v>
      </c>
      <c r="W482" s="521" t="str">
        <f>IF(LANÇ_MOV[[#This Row],[DATA DE PAGAMENTO]]&lt;&gt;"","Pago","Não Pago")</f>
        <v>Não Pago</v>
      </c>
      <c r="X482" s="522" t="str">
        <f>IFERROR(IF(LANÇ_MOV[[#This Row],[DATA DE PAGAMENTO]]="","",(UPPER(TEXT(LANÇ_MOV[[#This Row],[DATA DE PAGAMENTO]],"mmmm")))),"")</f>
        <v/>
      </c>
      <c r="Y482" s="523" t="str">
        <f>IFERROR(VLOOKUP(LANÇ_MOV[[#This Row],[PLANO DE CONTAS]],Plano_Contas[[PLANO DE CONTAS]:[NOMES INTERVALOS]],2,0),"")</f>
        <v>Receitas_Operacionais</v>
      </c>
      <c r="Z482" s="523" t="str">
        <f>IF(LANÇ_MOV[[#This Row],[FORMA DE PAGAMENTO]]="","",VLOOKUP(LANÇ_MOV[[#This Row],[FORMA DE PAGAMENTO]],CAD_Forma_pagto[],2,0))</f>
        <v>PIX</v>
      </c>
      <c r="AA482" s="524" t="str">
        <f>IF(LANÇ_MOV[[#This Row],[DATA DE LANÇAMENTO]]="","",TEXT(LANÇ_MOV[[#This Row],[DATA DE LANÇAMENTO]],"AAAA"))</f>
        <v>2025</v>
      </c>
      <c r="AB482" s="524" t="str">
        <f>IF(LANÇ_MOV[[#This Row],[DATA DE LANÇAMENTO]]="","",UPPER(TEXT(LANÇ_MOV[[#This Row],[DATA DE LANÇAMENTO]],"MMMM")))</f>
        <v>OUTUBRO</v>
      </c>
      <c r="AC482" s="525" t="str">
        <f>IF(LANÇ_MOV[[#This Row],[DATA DE LANÇAMENTO]]="","",PROPER(TEXT(LANÇ_MOV[[#This Row],[DATA DE LANÇAMENTO]],"M")))</f>
        <v>10</v>
      </c>
      <c r="AD482" s="524" t="str">
        <f>IF(LANÇ_MOV[[#This Row],[DATA DE LANÇAMENTO]]="","",TEXT(LANÇ_MOV[[#This Row],[DATA DE LANÇAMENTO]],"D"))</f>
        <v>9</v>
      </c>
      <c r="AE482" s="526" t="str">
        <f>IF(LANÇ_MOV[[#This Row],[DATA DE VENCIMENTO]]="","",TEXT(LANÇ_MOV[[#This Row],[DATA DE VENCIMENTO]],"AAAA"))</f>
        <v>2025</v>
      </c>
      <c r="AF482" s="526" t="str">
        <f>IF(LANÇ_MOV[[#This Row],[DATA DE VENCIMENTO]]="","",UPPER(TEXT(LANÇ_MOV[[#This Row],[DATA DE VENCIMENTO]],"MMMM")))</f>
        <v>DEZEMBRO</v>
      </c>
      <c r="AG482" s="526" t="str">
        <f>IF(LANÇ_MOV[[#This Row],[DATA DE VENCIMENTO]]="","",TEXT(LANÇ_MOV[[#This Row],[DATA DE VENCIMENTO]],"M"))</f>
        <v>12</v>
      </c>
      <c r="AH482" s="526" t="str">
        <f>IF(LANÇ_MOV[[#This Row],[DATA DE VENCIMENTO]]="","",TEXT(LANÇ_MOV[[#This Row],[DATA DE VENCIMENTO]],"D"))</f>
        <v>10</v>
      </c>
      <c r="AI482" s="526" t="str">
        <f>IF(LANÇ_MOV[[#This Row],[DATA DE PAGAMENTO]]="","",TEXT(LANÇ_MOV[[#This Row],[DATA DE PAGAMENTO]],"AAAA"))</f>
        <v/>
      </c>
      <c r="AJ482" s="527" t="str">
        <f>IF(LANÇ_MOV[[#This Row],[DATA DE PAGAMENTO]]="","",UPPER(TEXT(LANÇ_MOV[[#This Row],[DATA DE PAGAMENTO]],"MMMM")))</f>
        <v/>
      </c>
      <c r="AK482" s="527" t="str">
        <f>IF(LANÇ_MOV[[#This Row],[DATA DE PAGAMENTO]]="","",TEXT(LANÇ_MOV[[#This Row],[DATA DE PAGAMENTO]],"M"))</f>
        <v/>
      </c>
      <c r="AL482" s="526" t="str">
        <f>IF(LANÇ_MOV[[#This Row],[DATA DE PAGAMENTO]]="","",TEXT(LANÇ_MOV[[#This Row],[DATA DE PAGAMENTO]],"D"))</f>
        <v/>
      </c>
      <c r="AM482" s="27"/>
      <c r="BB482" s="112"/>
      <c r="BC482" s="112"/>
      <c r="BD482" s="112"/>
    </row>
    <row r="483" spans="2:56" ht="30.05" customHeight="1" x14ac:dyDescent="0.35">
      <c r="B483" s="506">
        <v>45939</v>
      </c>
      <c r="C483" s="507" t="s">
        <v>1661</v>
      </c>
      <c r="D483" s="508" t="s">
        <v>1854</v>
      </c>
      <c r="E483" s="509" t="s">
        <v>1103</v>
      </c>
      <c r="F483" s="510" t="s">
        <v>1785</v>
      </c>
      <c r="G483" s="507" t="s">
        <v>1858</v>
      </c>
      <c r="H483" s="511">
        <v>0</v>
      </c>
      <c r="I483" s="512" t="s">
        <v>1680</v>
      </c>
      <c r="J483" s="510">
        <v>375.38</v>
      </c>
      <c r="K483" s="513">
        <v>0</v>
      </c>
      <c r="L483" s="513"/>
      <c r="M483" s="513">
        <v>0</v>
      </c>
      <c r="N483" s="514">
        <f>LANÇ_MOV[[#This Row],[VALOR BRUTO]]-LANÇ_MOV[[#This Row],[DESCONTO]]+LANÇ_MOV[[#This Row],[JUROS]]+LANÇ_MOV[[#This Row],[MULTA]]</f>
        <v>375.38</v>
      </c>
      <c r="O483" s="528">
        <v>46032</v>
      </c>
      <c r="P483" s="516" t="str">
        <f t="shared" ca="1" si="7"/>
        <v>Prazo - Mais de 1 mês</v>
      </c>
      <c r="Q483" s="528"/>
      <c r="R483" s="529" t="s">
        <v>1564</v>
      </c>
      <c r="S483" s="518"/>
      <c r="T483" s="518" t="s">
        <v>1776</v>
      </c>
      <c r="U483" s="519" t="s">
        <v>2008</v>
      </c>
      <c r="V483" s="520" t="str">
        <f>IFERROR(VLOOKUP(LANÇ_MOV[[#This Row],[PLANO DE CONTAS]],Plano_Contas[[PLANO DE CONTAS]:[R / D]],3,0),"")</f>
        <v>Receita</v>
      </c>
      <c r="W483" s="521" t="str">
        <f>IF(LANÇ_MOV[[#This Row],[DATA DE PAGAMENTO]]&lt;&gt;"","Pago","Não Pago")</f>
        <v>Não Pago</v>
      </c>
      <c r="X483" s="522" t="str">
        <f>IFERROR(IF(LANÇ_MOV[[#This Row],[DATA DE PAGAMENTO]]="","",(UPPER(TEXT(LANÇ_MOV[[#This Row],[DATA DE PAGAMENTO]],"mmmm")))),"")</f>
        <v/>
      </c>
      <c r="Y483" s="523" t="str">
        <f>IFERROR(VLOOKUP(LANÇ_MOV[[#This Row],[PLANO DE CONTAS]],Plano_Contas[[PLANO DE CONTAS]:[NOMES INTERVALOS]],2,0),"")</f>
        <v>Receitas_Operacionais</v>
      </c>
      <c r="Z483" s="523" t="str">
        <f>IF(LANÇ_MOV[[#This Row],[FORMA DE PAGAMENTO]]="","",VLOOKUP(LANÇ_MOV[[#This Row],[FORMA DE PAGAMENTO]],CAD_Forma_pagto[],2,0))</f>
        <v>PIX</v>
      </c>
      <c r="AA483" s="524" t="str">
        <f>IF(LANÇ_MOV[[#This Row],[DATA DE LANÇAMENTO]]="","",TEXT(LANÇ_MOV[[#This Row],[DATA DE LANÇAMENTO]],"AAAA"))</f>
        <v>2025</v>
      </c>
      <c r="AB483" s="524" t="str">
        <f>IF(LANÇ_MOV[[#This Row],[DATA DE LANÇAMENTO]]="","",UPPER(TEXT(LANÇ_MOV[[#This Row],[DATA DE LANÇAMENTO]],"MMMM")))</f>
        <v>OUTUBRO</v>
      </c>
      <c r="AC483" s="525" t="str">
        <f>IF(LANÇ_MOV[[#This Row],[DATA DE LANÇAMENTO]]="","",PROPER(TEXT(LANÇ_MOV[[#This Row],[DATA DE LANÇAMENTO]],"M")))</f>
        <v>10</v>
      </c>
      <c r="AD483" s="524" t="str">
        <f>IF(LANÇ_MOV[[#This Row],[DATA DE LANÇAMENTO]]="","",TEXT(LANÇ_MOV[[#This Row],[DATA DE LANÇAMENTO]],"D"))</f>
        <v>9</v>
      </c>
      <c r="AE483" s="526" t="str">
        <f>IF(LANÇ_MOV[[#This Row],[DATA DE VENCIMENTO]]="","",TEXT(LANÇ_MOV[[#This Row],[DATA DE VENCIMENTO]],"AAAA"))</f>
        <v>2026</v>
      </c>
      <c r="AF483" s="526" t="str">
        <f>IF(LANÇ_MOV[[#This Row],[DATA DE VENCIMENTO]]="","",UPPER(TEXT(LANÇ_MOV[[#This Row],[DATA DE VENCIMENTO]],"MMMM")))</f>
        <v>JANEIRO</v>
      </c>
      <c r="AG483" s="526" t="str">
        <f>IF(LANÇ_MOV[[#This Row],[DATA DE VENCIMENTO]]="","",TEXT(LANÇ_MOV[[#This Row],[DATA DE VENCIMENTO]],"M"))</f>
        <v>1</v>
      </c>
      <c r="AH483" s="526" t="str">
        <f>IF(LANÇ_MOV[[#This Row],[DATA DE VENCIMENTO]]="","",TEXT(LANÇ_MOV[[#This Row],[DATA DE VENCIMENTO]],"D"))</f>
        <v>10</v>
      </c>
      <c r="AI483" s="526" t="str">
        <f>IF(LANÇ_MOV[[#This Row],[DATA DE PAGAMENTO]]="","",TEXT(LANÇ_MOV[[#This Row],[DATA DE PAGAMENTO]],"AAAA"))</f>
        <v/>
      </c>
      <c r="AJ483" s="527" t="str">
        <f>IF(LANÇ_MOV[[#This Row],[DATA DE PAGAMENTO]]="","",UPPER(TEXT(LANÇ_MOV[[#This Row],[DATA DE PAGAMENTO]],"MMMM")))</f>
        <v/>
      </c>
      <c r="AK483" s="527" t="str">
        <f>IF(LANÇ_MOV[[#This Row],[DATA DE PAGAMENTO]]="","",TEXT(LANÇ_MOV[[#This Row],[DATA DE PAGAMENTO]],"M"))</f>
        <v/>
      </c>
      <c r="AL483" s="526" t="str">
        <f>IF(LANÇ_MOV[[#This Row],[DATA DE PAGAMENTO]]="","",TEXT(LANÇ_MOV[[#This Row],[DATA DE PAGAMENTO]],"D"))</f>
        <v/>
      </c>
      <c r="AM483" s="27"/>
      <c r="BB483" s="112"/>
      <c r="BC483" s="112"/>
      <c r="BD483" s="112"/>
    </row>
    <row r="484" spans="2:56" ht="30.05" customHeight="1" x14ac:dyDescent="0.35">
      <c r="B484" s="506">
        <v>45939</v>
      </c>
      <c r="C484" s="507" t="s">
        <v>1661</v>
      </c>
      <c r="D484" s="508" t="s">
        <v>1854</v>
      </c>
      <c r="E484" s="509" t="s">
        <v>1103</v>
      </c>
      <c r="F484" s="510" t="s">
        <v>1785</v>
      </c>
      <c r="G484" s="507"/>
      <c r="H484" s="511">
        <v>0</v>
      </c>
      <c r="I484" s="512" t="s">
        <v>1706</v>
      </c>
      <c r="J484" s="510">
        <v>350.35</v>
      </c>
      <c r="K484" s="513">
        <v>0</v>
      </c>
      <c r="L484" s="513">
        <v>0</v>
      </c>
      <c r="M484" s="513">
        <v>0</v>
      </c>
      <c r="N484" s="514">
        <f>LANÇ_MOV[[#This Row],[VALOR BRUTO]]-LANÇ_MOV[[#This Row],[DESCONTO]]+LANÇ_MOV[[#This Row],[JUROS]]+LANÇ_MOV[[#This Row],[MULTA]]</f>
        <v>350.35</v>
      </c>
      <c r="O484" s="528">
        <v>45939</v>
      </c>
      <c r="P484" s="516" t="str">
        <f t="shared" ca="1" si="7"/>
        <v>Pago</v>
      </c>
      <c r="Q484" s="528">
        <v>45939</v>
      </c>
      <c r="R484" s="529" t="s">
        <v>1564</v>
      </c>
      <c r="S484" s="518"/>
      <c r="T484" s="518" t="s">
        <v>1776</v>
      </c>
      <c r="U484" s="519" t="s">
        <v>2008</v>
      </c>
      <c r="V484" s="520" t="str">
        <f>IFERROR(VLOOKUP(LANÇ_MOV[[#This Row],[PLANO DE CONTAS]],Plano_Contas[[PLANO DE CONTAS]:[R / D]],3,0),"")</f>
        <v>Receita</v>
      </c>
      <c r="W484" s="521" t="str">
        <f>IF(LANÇ_MOV[[#This Row],[DATA DE PAGAMENTO]]&lt;&gt;"","Pago","Não Pago")</f>
        <v>Pago</v>
      </c>
      <c r="X484" s="522" t="str">
        <f>IFERROR(IF(LANÇ_MOV[[#This Row],[DATA DE PAGAMENTO]]="","",(UPPER(TEXT(LANÇ_MOV[[#This Row],[DATA DE PAGAMENTO]],"mmmm")))),"")</f>
        <v>OUTUBRO</v>
      </c>
      <c r="Y484" s="523" t="str">
        <f>IFERROR(VLOOKUP(LANÇ_MOV[[#This Row],[PLANO DE CONTAS]],Plano_Contas[[PLANO DE CONTAS]:[NOMES INTERVALOS]],2,0),"")</f>
        <v>Receitas_Operacionais</v>
      </c>
      <c r="Z484" s="523" t="str">
        <f>IF(LANÇ_MOV[[#This Row],[FORMA DE PAGAMENTO]]="","",VLOOKUP(LANÇ_MOV[[#This Row],[FORMA DE PAGAMENTO]],CAD_Forma_pagto[],2,0))</f>
        <v>PIX</v>
      </c>
      <c r="AA484" s="524" t="str">
        <f>IF(LANÇ_MOV[[#This Row],[DATA DE LANÇAMENTO]]="","",TEXT(LANÇ_MOV[[#This Row],[DATA DE LANÇAMENTO]],"AAAA"))</f>
        <v>2025</v>
      </c>
      <c r="AB484" s="524" t="str">
        <f>IF(LANÇ_MOV[[#This Row],[DATA DE LANÇAMENTO]]="","",UPPER(TEXT(LANÇ_MOV[[#This Row],[DATA DE LANÇAMENTO]],"MMMM")))</f>
        <v>OUTUBRO</v>
      </c>
      <c r="AC484" s="525" t="str">
        <f>IF(LANÇ_MOV[[#This Row],[DATA DE LANÇAMENTO]]="","",PROPER(TEXT(LANÇ_MOV[[#This Row],[DATA DE LANÇAMENTO]],"M")))</f>
        <v>10</v>
      </c>
      <c r="AD484" s="524" t="str">
        <f>IF(LANÇ_MOV[[#This Row],[DATA DE LANÇAMENTO]]="","",TEXT(LANÇ_MOV[[#This Row],[DATA DE LANÇAMENTO]],"D"))</f>
        <v>9</v>
      </c>
      <c r="AE484" s="526" t="str">
        <f>IF(LANÇ_MOV[[#This Row],[DATA DE VENCIMENTO]]="","",TEXT(LANÇ_MOV[[#This Row],[DATA DE VENCIMENTO]],"AAAA"))</f>
        <v>2025</v>
      </c>
      <c r="AF484" s="526" t="str">
        <f>IF(LANÇ_MOV[[#This Row],[DATA DE VENCIMENTO]]="","",UPPER(TEXT(LANÇ_MOV[[#This Row],[DATA DE VENCIMENTO]],"MMMM")))</f>
        <v>OUTUBRO</v>
      </c>
      <c r="AG484" s="526" t="str">
        <f>IF(LANÇ_MOV[[#This Row],[DATA DE VENCIMENTO]]="","",TEXT(LANÇ_MOV[[#This Row],[DATA DE VENCIMENTO]],"M"))</f>
        <v>10</v>
      </c>
      <c r="AH484" s="526" t="str">
        <f>IF(LANÇ_MOV[[#This Row],[DATA DE VENCIMENTO]]="","",TEXT(LANÇ_MOV[[#This Row],[DATA DE VENCIMENTO]],"D"))</f>
        <v>9</v>
      </c>
      <c r="AI484" s="526" t="str">
        <f>IF(LANÇ_MOV[[#This Row],[DATA DE PAGAMENTO]]="","",TEXT(LANÇ_MOV[[#This Row],[DATA DE PAGAMENTO]],"AAAA"))</f>
        <v>2025</v>
      </c>
      <c r="AJ484" s="527" t="str">
        <f>IF(LANÇ_MOV[[#This Row],[DATA DE PAGAMENTO]]="","",UPPER(TEXT(LANÇ_MOV[[#This Row],[DATA DE PAGAMENTO]],"MMMM")))</f>
        <v>OUTUBRO</v>
      </c>
      <c r="AK484" s="527" t="str">
        <f>IF(LANÇ_MOV[[#This Row],[DATA DE PAGAMENTO]]="","",TEXT(LANÇ_MOV[[#This Row],[DATA DE PAGAMENTO]],"M"))</f>
        <v>10</v>
      </c>
      <c r="AL484" s="526" t="str">
        <f>IF(LANÇ_MOV[[#This Row],[DATA DE PAGAMENTO]]="","",TEXT(LANÇ_MOV[[#This Row],[DATA DE PAGAMENTO]],"D"))</f>
        <v>9</v>
      </c>
      <c r="AM484" s="27"/>
      <c r="BB484" s="112"/>
      <c r="BC484" s="112"/>
      <c r="BD484" s="112"/>
    </row>
    <row r="485" spans="2:56" ht="30.05" customHeight="1" x14ac:dyDescent="0.35">
      <c r="B485" s="506">
        <v>45939</v>
      </c>
      <c r="C485" s="507" t="s">
        <v>1661</v>
      </c>
      <c r="D485" s="508" t="s">
        <v>1854</v>
      </c>
      <c r="E485" s="509" t="s">
        <v>1103</v>
      </c>
      <c r="F485" s="510" t="s">
        <v>1785</v>
      </c>
      <c r="G485" s="507"/>
      <c r="H485" s="511">
        <v>0</v>
      </c>
      <c r="I485" s="512" t="s">
        <v>1703</v>
      </c>
      <c r="J485" s="518">
        <v>1168</v>
      </c>
      <c r="K485" s="513">
        <v>0</v>
      </c>
      <c r="L485" s="513">
        <v>0</v>
      </c>
      <c r="M485" s="513">
        <v>0</v>
      </c>
      <c r="N485" s="514">
        <f>LANÇ_MOV[[#This Row],[VALOR BRUTO]]-LANÇ_MOV[[#This Row],[DESCONTO]]+LANÇ_MOV[[#This Row],[JUROS]]+LANÇ_MOV[[#This Row],[MULTA]]</f>
        <v>1168</v>
      </c>
      <c r="O485" s="528">
        <v>45939</v>
      </c>
      <c r="P485" s="516" t="str">
        <f t="shared" ca="1" si="7"/>
        <v>Pago</v>
      </c>
      <c r="Q485" s="528">
        <v>45939</v>
      </c>
      <c r="R485" s="529" t="s">
        <v>1564</v>
      </c>
      <c r="S485" s="518"/>
      <c r="T485" s="518" t="s">
        <v>1776</v>
      </c>
      <c r="U485" s="519" t="s">
        <v>2008</v>
      </c>
      <c r="V485" s="520" t="str">
        <f>IFERROR(VLOOKUP(LANÇ_MOV[[#This Row],[PLANO DE CONTAS]],Plano_Contas[[PLANO DE CONTAS]:[R / D]],3,0),"")</f>
        <v>Receita</v>
      </c>
      <c r="W485" s="521" t="str">
        <f>IF(LANÇ_MOV[[#This Row],[DATA DE PAGAMENTO]]&lt;&gt;"","Pago","Não Pago")</f>
        <v>Pago</v>
      </c>
      <c r="X485" s="522" t="str">
        <f>IFERROR(IF(LANÇ_MOV[[#This Row],[DATA DE PAGAMENTO]]="","",(UPPER(TEXT(LANÇ_MOV[[#This Row],[DATA DE PAGAMENTO]],"mmmm")))),"")</f>
        <v>OUTUBRO</v>
      </c>
      <c r="Y485" s="523" t="str">
        <f>IFERROR(VLOOKUP(LANÇ_MOV[[#This Row],[PLANO DE CONTAS]],Plano_Contas[[PLANO DE CONTAS]:[NOMES INTERVALOS]],2,0),"")</f>
        <v>Receitas_Operacionais</v>
      </c>
      <c r="Z485" s="523" t="str">
        <f>IF(LANÇ_MOV[[#This Row],[FORMA DE PAGAMENTO]]="","",VLOOKUP(LANÇ_MOV[[#This Row],[FORMA DE PAGAMENTO]],CAD_Forma_pagto[],2,0))</f>
        <v>PIX</v>
      </c>
      <c r="AA485" s="524" t="str">
        <f>IF(LANÇ_MOV[[#This Row],[DATA DE LANÇAMENTO]]="","",TEXT(LANÇ_MOV[[#This Row],[DATA DE LANÇAMENTO]],"AAAA"))</f>
        <v>2025</v>
      </c>
      <c r="AB485" s="524" t="str">
        <f>IF(LANÇ_MOV[[#This Row],[DATA DE LANÇAMENTO]]="","",UPPER(TEXT(LANÇ_MOV[[#This Row],[DATA DE LANÇAMENTO]],"MMMM")))</f>
        <v>OUTUBRO</v>
      </c>
      <c r="AC485" s="525" t="str">
        <f>IF(LANÇ_MOV[[#This Row],[DATA DE LANÇAMENTO]]="","",PROPER(TEXT(LANÇ_MOV[[#This Row],[DATA DE LANÇAMENTO]],"M")))</f>
        <v>10</v>
      </c>
      <c r="AD485" s="524" t="str">
        <f>IF(LANÇ_MOV[[#This Row],[DATA DE LANÇAMENTO]]="","",TEXT(LANÇ_MOV[[#This Row],[DATA DE LANÇAMENTO]],"D"))</f>
        <v>9</v>
      </c>
      <c r="AE485" s="526" t="str">
        <f>IF(LANÇ_MOV[[#This Row],[DATA DE VENCIMENTO]]="","",TEXT(LANÇ_MOV[[#This Row],[DATA DE VENCIMENTO]],"AAAA"))</f>
        <v>2025</v>
      </c>
      <c r="AF485" s="526" t="str">
        <f>IF(LANÇ_MOV[[#This Row],[DATA DE VENCIMENTO]]="","",UPPER(TEXT(LANÇ_MOV[[#This Row],[DATA DE VENCIMENTO]],"MMMM")))</f>
        <v>OUTUBRO</v>
      </c>
      <c r="AG485" s="526" t="str">
        <f>IF(LANÇ_MOV[[#This Row],[DATA DE VENCIMENTO]]="","",TEXT(LANÇ_MOV[[#This Row],[DATA DE VENCIMENTO]],"M"))</f>
        <v>10</v>
      </c>
      <c r="AH485" s="526" t="str">
        <f>IF(LANÇ_MOV[[#This Row],[DATA DE VENCIMENTO]]="","",TEXT(LANÇ_MOV[[#This Row],[DATA DE VENCIMENTO]],"D"))</f>
        <v>9</v>
      </c>
      <c r="AI485" s="526" t="str">
        <f>IF(LANÇ_MOV[[#This Row],[DATA DE PAGAMENTO]]="","",TEXT(LANÇ_MOV[[#This Row],[DATA DE PAGAMENTO]],"AAAA"))</f>
        <v>2025</v>
      </c>
      <c r="AJ485" s="527" t="str">
        <f>IF(LANÇ_MOV[[#This Row],[DATA DE PAGAMENTO]]="","",UPPER(TEXT(LANÇ_MOV[[#This Row],[DATA DE PAGAMENTO]],"MMMM")))</f>
        <v>OUTUBRO</v>
      </c>
      <c r="AK485" s="527" t="str">
        <f>IF(LANÇ_MOV[[#This Row],[DATA DE PAGAMENTO]]="","",TEXT(LANÇ_MOV[[#This Row],[DATA DE PAGAMENTO]],"M"))</f>
        <v>10</v>
      </c>
      <c r="AL485" s="526" t="str">
        <f>IF(LANÇ_MOV[[#This Row],[DATA DE PAGAMENTO]]="","",TEXT(LANÇ_MOV[[#This Row],[DATA DE PAGAMENTO]],"D"))</f>
        <v>9</v>
      </c>
      <c r="AM485" s="27"/>
      <c r="BB485" s="112"/>
      <c r="BC485" s="112"/>
      <c r="BD485" s="112"/>
    </row>
    <row r="486" spans="2:56" ht="30.05" customHeight="1" x14ac:dyDescent="0.35">
      <c r="B486" s="506">
        <v>45939</v>
      </c>
      <c r="C486" s="507" t="s">
        <v>1661</v>
      </c>
      <c r="D486" s="508" t="s">
        <v>1854</v>
      </c>
      <c r="E486" s="509" t="s">
        <v>1103</v>
      </c>
      <c r="F486" s="510" t="s">
        <v>1785</v>
      </c>
      <c r="G486" s="507"/>
      <c r="H486" s="511">
        <v>0</v>
      </c>
      <c r="I486" s="512" t="s">
        <v>1690</v>
      </c>
      <c r="J486" s="518">
        <v>214.5</v>
      </c>
      <c r="K486" s="513">
        <v>0</v>
      </c>
      <c r="L486" s="513">
        <v>0</v>
      </c>
      <c r="M486" s="513">
        <v>0</v>
      </c>
      <c r="N486" s="514">
        <f>LANÇ_MOV[[#This Row],[VALOR BRUTO]]-LANÇ_MOV[[#This Row],[DESCONTO]]+LANÇ_MOV[[#This Row],[JUROS]]+LANÇ_MOV[[#This Row],[MULTA]]</f>
        <v>214.5</v>
      </c>
      <c r="O486" s="528">
        <v>45939</v>
      </c>
      <c r="P486" s="516" t="str">
        <f t="shared" ca="1" si="7"/>
        <v>Pago</v>
      </c>
      <c r="Q486" s="528">
        <v>45939</v>
      </c>
      <c r="R486" s="529" t="s">
        <v>1564</v>
      </c>
      <c r="S486" s="518"/>
      <c r="T486" s="518" t="s">
        <v>1776</v>
      </c>
      <c r="U486" s="519" t="s">
        <v>2008</v>
      </c>
      <c r="V486" s="520" t="str">
        <f>IFERROR(VLOOKUP(LANÇ_MOV[[#This Row],[PLANO DE CONTAS]],Plano_Contas[[PLANO DE CONTAS]:[R / D]],3,0),"")</f>
        <v>Receita</v>
      </c>
      <c r="W486" s="521" t="str">
        <f>IF(LANÇ_MOV[[#This Row],[DATA DE PAGAMENTO]]&lt;&gt;"","Pago","Não Pago")</f>
        <v>Pago</v>
      </c>
      <c r="X486" s="522" t="str">
        <f>IFERROR(IF(LANÇ_MOV[[#This Row],[DATA DE PAGAMENTO]]="","",(UPPER(TEXT(LANÇ_MOV[[#This Row],[DATA DE PAGAMENTO]],"mmmm")))),"")</f>
        <v>OUTUBRO</v>
      </c>
      <c r="Y486" s="523" t="str">
        <f>IFERROR(VLOOKUP(LANÇ_MOV[[#This Row],[PLANO DE CONTAS]],Plano_Contas[[PLANO DE CONTAS]:[NOMES INTERVALOS]],2,0),"")</f>
        <v>Receitas_Operacionais</v>
      </c>
      <c r="Z486" s="523" t="str">
        <f>IF(LANÇ_MOV[[#This Row],[FORMA DE PAGAMENTO]]="","",VLOOKUP(LANÇ_MOV[[#This Row],[FORMA DE PAGAMENTO]],CAD_Forma_pagto[],2,0))</f>
        <v>PIX</v>
      </c>
      <c r="AA486" s="524" t="str">
        <f>IF(LANÇ_MOV[[#This Row],[DATA DE LANÇAMENTO]]="","",TEXT(LANÇ_MOV[[#This Row],[DATA DE LANÇAMENTO]],"AAAA"))</f>
        <v>2025</v>
      </c>
      <c r="AB486" s="524" t="str">
        <f>IF(LANÇ_MOV[[#This Row],[DATA DE LANÇAMENTO]]="","",UPPER(TEXT(LANÇ_MOV[[#This Row],[DATA DE LANÇAMENTO]],"MMMM")))</f>
        <v>OUTUBRO</v>
      </c>
      <c r="AC486" s="525" t="str">
        <f>IF(LANÇ_MOV[[#This Row],[DATA DE LANÇAMENTO]]="","",PROPER(TEXT(LANÇ_MOV[[#This Row],[DATA DE LANÇAMENTO]],"M")))</f>
        <v>10</v>
      </c>
      <c r="AD486" s="524" t="str">
        <f>IF(LANÇ_MOV[[#This Row],[DATA DE LANÇAMENTO]]="","",TEXT(LANÇ_MOV[[#This Row],[DATA DE LANÇAMENTO]],"D"))</f>
        <v>9</v>
      </c>
      <c r="AE486" s="526" t="str">
        <f>IF(LANÇ_MOV[[#This Row],[DATA DE VENCIMENTO]]="","",TEXT(LANÇ_MOV[[#This Row],[DATA DE VENCIMENTO]],"AAAA"))</f>
        <v>2025</v>
      </c>
      <c r="AF486" s="526" t="str">
        <f>IF(LANÇ_MOV[[#This Row],[DATA DE VENCIMENTO]]="","",UPPER(TEXT(LANÇ_MOV[[#This Row],[DATA DE VENCIMENTO]],"MMMM")))</f>
        <v>OUTUBRO</v>
      </c>
      <c r="AG486" s="526" t="str">
        <f>IF(LANÇ_MOV[[#This Row],[DATA DE VENCIMENTO]]="","",TEXT(LANÇ_MOV[[#This Row],[DATA DE VENCIMENTO]],"M"))</f>
        <v>10</v>
      </c>
      <c r="AH486" s="526" t="str">
        <f>IF(LANÇ_MOV[[#This Row],[DATA DE VENCIMENTO]]="","",TEXT(LANÇ_MOV[[#This Row],[DATA DE VENCIMENTO]],"D"))</f>
        <v>9</v>
      </c>
      <c r="AI486" s="526" t="str">
        <f>IF(LANÇ_MOV[[#This Row],[DATA DE PAGAMENTO]]="","",TEXT(LANÇ_MOV[[#This Row],[DATA DE PAGAMENTO]],"AAAA"))</f>
        <v>2025</v>
      </c>
      <c r="AJ486" s="527" t="str">
        <f>IF(LANÇ_MOV[[#This Row],[DATA DE PAGAMENTO]]="","",UPPER(TEXT(LANÇ_MOV[[#This Row],[DATA DE PAGAMENTO]],"MMMM")))</f>
        <v>OUTUBRO</v>
      </c>
      <c r="AK486" s="527" t="str">
        <f>IF(LANÇ_MOV[[#This Row],[DATA DE PAGAMENTO]]="","",TEXT(LANÇ_MOV[[#This Row],[DATA DE PAGAMENTO]],"M"))</f>
        <v>10</v>
      </c>
      <c r="AL486" s="526" t="str">
        <f>IF(LANÇ_MOV[[#This Row],[DATA DE PAGAMENTO]]="","",TEXT(LANÇ_MOV[[#This Row],[DATA DE PAGAMENTO]],"D"))</f>
        <v>9</v>
      </c>
      <c r="AM486" s="27"/>
      <c r="BB486" s="112"/>
      <c r="BC486" s="112"/>
      <c r="BD486" s="112"/>
    </row>
    <row r="487" spans="2:56" ht="30.05" customHeight="1" x14ac:dyDescent="0.35">
      <c r="B487" s="506">
        <v>45939</v>
      </c>
      <c r="C487" s="507" t="s">
        <v>1661</v>
      </c>
      <c r="D487" s="508" t="s">
        <v>1854</v>
      </c>
      <c r="E487" s="509" t="s">
        <v>1103</v>
      </c>
      <c r="F487" s="510" t="s">
        <v>1785</v>
      </c>
      <c r="G487" s="507"/>
      <c r="H487" s="511">
        <v>0</v>
      </c>
      <c r="I487" s="512" t="s">
        <v>1690</v>
      </c>
      <c r="J487" s="510">
        <v>214.5</v>
      </c>
      <c r="K487" s="513">
        <v>0</v>
      </c>
      <c r="L487" s="513">
        <v>0</v>
      </c>
      <c r="M487" s="513">
        <v>0</v>
      </c>
      <c r="N487" s="514">
        <f>LANÇ_MOV[[#This Row],[VALOR BRUTO]]-LANÇ_MOV[[#This Row],[DESCONTO]]+LANÇ_MOV[[#This Row],[JUROS]]+LANÇ_MOV[[#This Row],[MULTA]]</f>
        <v>214.5</v>
      </c>
      <c r="O487" s="528">
        <v>45971</v>
      </c>
      <c r="P487" s="516" t="str">
        <f t="shared" ca="1" si="7"/>
        <v>Pago</v>
      </c>
      <c r="Q487" s="528">
        <v>45965</v>
      </c>
      <c r="R487" s="529" t="s">
        <v>1564</v>
      </c>
      <c r="S487" s="518"/>
      <c r="T487" s="518" t="s">
        <v>1776</v>
      </c>
      <c r="U487" s="519" t="s">
        <v>2008</v>
      </c>
      <c r="V487" s="520" t="str">
        <f>IFERROR(VLOOKUP(LANÇ_MOV[[#This Row],[PLANO DE CONTAS]],Plano_Contas[[PLANO DE CONTAS]:[R / D]],3,0),"")</f>
        <v>Receita</v>
      </c>
      <c r="W487" s="521" t="str">
        <f>IF(LANÇ_MOV[[#This Row],[DATA DE PAGAMENTO]]&lt;&gt;"","Pago","Não Pago")</f>
        <v>Pago</v>
      </c>
      <c r="X487" s="522" t="str">
        <f>IFERROR(IF(LANÇ_MOV[[#This Row],[DATA DE PAGAMENTO]]="","",(UPPER(TEXT(LANÇ_MOV[[#This Row],[DATA DE PAGAMENTO]],"mmmm")))),"")</f>
        <v>NOVEMBRO</v>
      </c>
      <c r="Y487" s="523" t="str">
        <f>IFERROR(VLOOKUP(LANÇ_MOV[[#This Row],[PLANO DE CONTAS]],Plano_Contas[[PLANO DE CONTAS]:[NOMES INTERVALOS]],2,0),"")</f>
        <v>Receitas_Operacionais</v>
      </c>
      <c r="Z487" s="523" t="str">
        <f>IF(LANÇ_MOV[[#This Row],[FORMA DE PAGAMENTO]]="","",VLOOKUP(LANÇ_MOV[[#This Row],[FORMA DE PAGAMENTO]],CAD_Forma_pagto[],2,0))</f>
        <v>PIX</v>
      </c>
      <c r="AA487" s="524" t="str">
        <f>IF(LANÇ_MOV[[#This Row],[DATA DE LANÇAMENTO]]="","",TEXT(LANÇ_MOV[[#This Row],[DATA DE LANÇAMENTO]],"AAAA"))</f>
        <v>2025</v>
      </c>
      <c r="AB487" s="524" t="str">
        <f>IF(LANÇ_MOV[[#This Row],[DATA DE LANÇAMENTO]]="","",UPPER(TEXT(LANÇ_MOV[[#This Row],[DATA DE LANÇAMENTO]],"MMMM")))</f>
        <v>OUTUBRO</v>
      </c>
      <c r="AC487" s="525" t="str">
        <f>IF(LANÇ_MOV[[#This Row],[DATA DE LANÇAMENTO]]="","",PROPER(TEXT(LANÇ_MOV[[#This Row],[DATA DE LANÇAMENTO]],"M")))</f>
        <v>10</v>
      </c>
      <c r="AD487" s="524" t="str">
        <f>IF(LANÇ_MOV[[#This Row],[DATA DE LANÇAMENTO]]="","",TEXT(LANÇ_MOV[[#This Row],[DATA DE LANÇAMENTO]],"D"))</f>
        <v>9</v>
      </c>
      <c r="AE487" s="526" t="str">
        <f>IF(LANÇ_MOV[[#This Row],[DATA DE VENCIMENTO]]="","",TEXT(LANÇ_MOV[[#This Row],[DATA DE VENCIMENTO]],"AAAA"))</f>
        <v>2025</v>
      </c>
      <c r="AF487" s="526" t="str">
        <f>IF(LANÇ_MOV[[#This Row],[DATA DE VENCIMENTO]]="","",UPPER(TEXT(LANÇ_MOV[[#This Row],[DATA DE VENCIMENTO]],"MMMM")))</f>
        <v>NOVEMBRO</v>
      </c>
      <c r="AG487" s="526" t="str">
        <f>IF(LANÇ_MOV[[#This Row],[DATA DE VENCIMENTO]]="","",TEXT(LANÇ_MOV[[#This Row],[DATA DE VENCIMENTO]],"M"))</f>
        <v>11</v>
      </c>
      <c r="AH487" s="526" t="str">
        <f>IF(LANÇ_MOV[[#This Row],[DATA DE VENCIMENTO]]="","",TEXT(LANÇ_MOV[[#This Row],[DATA DE VENCIMENTO]],"D"))</f>
        <v>10</v>
      </c>
      <c r="AI487" s="526" t="str">
        <f>IF(LANÇ_MOV[[#This Row],[DATA DE PAGAMENTO]]="","",TEXT(LANÇ_MOV[[#This Row],[DATA DE PAGAMENTO]],"AAAA"))</f>
        <v>2025</v>
      </c>
      <c r="AJ487" s="527" t="str">
        <f>IF(LANÇ_MOV[[#This Row],[DATA DE PAGAMENTO]]="","",UPPER(TEXT(LANÇ_MOV[[#This Row],[DATA DE PAGAMENTO]],"MMMM")))</f>
        <v>NOVEMBRO</v>
      </c>
      <c r="AK487" s="527" t="str">
        <f>IF(LANÇ_MOV[[#This Row],[DATA DE PAGAMENTO]]="","",TEXT(LANÇ_MOV[[#This Row],[DATA DE PAGAMENTO]],"M"))</f>
        <v>11</v>
      </c>
      <c r="AL487" s="526" t="str">
        <f>IF(LANÇ_MOV[[#This Row],[DATA DE PAGAMENTO]]="","",TEXT(LANÇ_MOV[[#This Row],[DATA DE PAGAMENTO]],"D"))</f>
        <v>4</v>
      </c>
      <c r="AM487" s="27"/>
      <c r="BB487" s="112"/>
      <c r="BC487" s="112"/>
      <c r="BD487" s="112"/>
    </row>
    <row r="488" spans="2:56" ht="30.05" customHeight="1" x14ac:dyDescent="0.35">
      <c r="B488" s="506">
        <v>45940</v>
      </c>
      <c r="C488" s="507" t="s">
        <v>1661</v>
      </c>
      <c r="D488" s="508" t="s">
        <v>1854</v>
      </c>
      <c r="E488" s="509" t="s">
        <v>228</v>
      </c>
      <c r="F488" s="510" t="s">
        <v>1825</v>
      </c>
      <c r="G488" s="507"/>
      <c r="H488" s="511"/>
      <c r="I488" s="512" t="s">
        <v>1753</v>
      </c>
      <c r="J488" s="510">
        <v>1318.45</v>
      </c>
      <c r="K488" s="513">
        <v>0</v>
      </c>
      <c r="L488" s="513"/>
      <c r="M488" s="513">
        <v>0</v>
      </c>
      <c r="N488" s="514">
        <f>LANÇ_MOV[[#This Row],[VALOR BRUTO]]-LANÇ_MOV[[#This Row],[DESCONTO]]+LANÇ_MOV[[#This Row],[JUROS]]+LANÇ_MOV[[#This Row],[MULTA]]</f>
        <v>1318.45</v>
      </c>
      <c r="O488" s="528">
        <v>45940</v>
      </c>
      <c r="P488" s="516" t="str">
        <f t="shared" ca="1" si="7"/>
        <v>Pago</v>
      </c>
      <c r="Q488" s="528">
        <v>45940</v>
      </c>
      <c r="R488" s="529" t="s">
        <v>1564</v>
      </c>
      <c r="S488" s="518"/>
      <c r="T488" s="518" t="s">
        <v>1776</v>
      </c>
      <c r="U488" s="519" t="s">
        <v>2007</v>
      </c>
      <c r="V488" s="520" t="str">
        <f>IFERROR(VLOOKUP(LANÇ_MOV[[#This Row],[PLANO DE CONTAS]],Plano_Contas[[PLANO DE CONTAS]:[R / D]],3,0),"")</f>
        <v>Despesa</v>
      </c>
      <c r="W488" s="521" t="str">
        <f>IF(LANÇ_MOV[[#This Row],[DATA DE PAGAMENTO]]&lt;&gt;"","Pago","Não Pago")</f>
        <v>Pago</v>
      </c>
      <c r="X488" s="522" t="str">
        <f>IFERROR(IF(LANÇ_MOV[[#This Row],[DATA DE PAGAMENTO]]="","",(UPPER(TEXT(LANÇ_MOV[[#This Row],[DATA DE PAGAMENTO]],"mmmm")))),"")</f>
        <v>OUTUBRO</v>
      </c>
      <c r="Y488" s="523" t="str">
        <f>IFERROR(VLOOKUP(LANÇ_MOV[[#This Row],[PLANO DE CONTAS]],Plano_Contas[[PLANO DE CONTAS]:[NOMES INTERVALOS]],2,0),"")</f>
        <v>Despesas_Com_RH</v>
      </c>
      <c r="Z488" s="523" t="str">
        <f>IF(LANÇ_MOV[[#This Row],[FORMA DE PAGAMENTO]]="","",VLOOKUP(LANÇ_MOV[[#This Row],[FORMA DE PAGAMENTO]],CAD_Forma_pagto[],2,0))</f>
        <v>PIX</v>
      </c>
      <c r="AA488" s="524" t="str">
        <f>IF(LANÇ_MOV[[#This Row],[DATA DE LANÇAMENTO]]="","",TEXT(LANÇ_MOV[[#This Row],[DATA DE LANÇAMENTO]],"AAAA"))</f>
        <v>2025</v>
      </c>
      <c r="AB488" s="524" t="str">
        <f>IF(LANÇ_MOV[[#This Row],[DATA DE LANÇAMENTO]]="","",UPPER(TEXT(LANÇ_MOV[[#This Row],[DATA DE LANÇAMENTO]],"MMMM")))</f>
        <v>OUTUBRO</v>
      </c>
      <c r="AC488" s="525" t="str">
        <f>IF(LANÇ_MOV[[#This Row],[DATA DE LANÇAMENTO]]="","",PROPER(TEXT(LANÇ_MOV[[#This Row],[DATA DE LANÇAMENTO]],"M")))</f>
        <v>10</v>
      </c>
      <c r="AD488" s="524" t="str">
        <f>IF(LANÇ_MOV[[#This Row],[DATA DE LANÇAMENTO]]="","",TEXT(LANÇ_MOV[[#This Row],[DATA DE LANÇAMENTO]],"D"))</f>
        <v>10</v>
      </c>
      <c r="AE488" s="526" t="str">
        <f>IF(LANÇ_MOV[[#This Row],[DATA DE VENCIMENTO]]="","",TEXT(LANÇ_MOV[[#This Row],[DATA DE VENCIMENTO]],"AAAA"))</f>
        <v>2025</v>
      </c>
      <c r="AF488" s="526" t="str">
        <f>IF(LANÇ_MOV[[#This Row],[DATA DE VENCIMENTO]]="","",UPPER(TEXT(LANÇ_MOV[[#This Row],[DATA DE VENCIMENTO]],"MMMM")))</f>
        <v>OUTUBRO</v>
      </c>
      <c r="AG488" s="526" t="str">
        <f>IF(LANÇ_MOV[[#This Row],[DATA DE VENCIMENTO]]="","",TEXT(LANÇ_MOV[[#This Row],[DATA DE VENCIMENTO]],"M"))</f>
        <v>10</v>
      </c>
      <c r="AH488" s="526" t="str">
        <f>IF(LANÇ_MOV[[#This Row],[DATA DE VENCIMENTO]]="","",TEXT(LANÇ_MOV[[#This Row],[DATA DE VENCIMENTO]],"D"))</f>
        <v>10</v>
      </c>
      <c r="AI488" s="526" t="str">
        <f>IF(LANÇ_MOV[[#This Row],[DATA DE PAGAMENTO]]="","",TEXT(LANÇ_MOV[[#This Row],[DATA DE PAGAMENTO]],"AAAA"))</f>
        <v>2025</v>
      </c>
      <c r="AJ488" s="527" t="str">
        <f>IF(LANÇ_MOV[[#This Row],[DATA DE PAGAMENTO]]="","",UPPER(TEXT(LANÇ_MOV[[#This Row],[DATA DE PAGAMENTO]],"MMMM")))</f>
        <v>OUTUBRO</v>
      </c>
      <c r="AK488" s="527" t="str">
        <f>IF(LANÇ_MOV[[#This Row],[DATA DE PAGAMENTO]]="","",TEXT(LANÇ_MOV[[#This Row],[DATA DE PAGAMENTO]],"M"))</f>
        <v>10</v>
      </c>
      <c r="AL488" s="526" t="str">
        <f>IF(LANÇ_MOV[[#This Row],[DATA DE PAGAMENTO]]="","",TEXT(LANÇ_MOV[[#This Row],[DATA DE PAGAMENTO]],"D"))</f>
        <v>10</v>
      </c>
      <c r="AM488" s="27"/>
      <c r="BB488" s="112"/>
      <c r="BC488" s="112"/>
      <c r="BD488" s="112"/>
    </row>
    <row r="489" spans="2:56" ht="30.05" customHeight="1" x14ac:dyDescent="0.35">
      <c r="B489" s="506">
        <v>45940</v>
      </c>
      <c r="C489" s="507" t="s">
        <v>1661</v>
      </c>
      <c r="D489" s="508" t="s">
        <v>1854</v>
      </c>
      <c r="E489" s="509" t="s">
        <v>1103</v>
      </c>
      <c r="F489" s="510" t="s">
        <v>1785</v>
      </c>
      <c r="G489" s="507"/>
      <c r="H489" s="511">
        <v>0</v>
      </c>
      <c r="I489" s="512" t="s">
        <v>1711</v>
      </c>
      <c r="J489" s="510">
        <v>615</v>
      </c>
      <c r="K489" s="513">
        <v>0</v>
      </c>
      <c r="L489" s="513">
        <v>0</v>
      </c>
      <c r="M489" s="513">
        <v>0</v>
      </c>
      <c r="N489" s="514">
        <f>LANÇ_MOV[[#This Row],[VALOR BRUTO]]-LANÇ_MOV[[#This Row],[DESCONTO]]+LANÇ_MOV[[#This Row],[JUROS]]+LANÇ_MOV[[#This Row],[MULTA]]</f>
        <v>615</v>
      </c>
      <c r="O489" s="528">
        <v>45940</v>
      </c>
      <c r="P489" s="516" t="str">
        <f t="shared" ca="1" si="7"/>
        <v>Pago</v>
      </c>
      <c r="Q489" s="528">
        <v>45940</v>
      </c>
      <c r="R489" s="529" t="s">
        <v>1564</v>
      </c>
      <c r="S489" s="518"/>
      <c r="T489" s="518" t="s">
        <v>1776</v>
      </c>
      <c r="U489" s="519" t="s">
        <v>2008</v>
      </c>
      <c r="V489" s="520" t="str">
        <f>IFERROR(VLOOKUP(LANÇ_MOV[[#This Row],[PLANO DE CONTAS]],Plano_Contas[[PLANO DE CONTAS]:[R / D]],3,0),"")</f>
        <v>Receita</v>
      </c>
      <c r="W489" s="521" t="str">
        <f>IF(LANÇ_MOV[[#This Row],[DATA DE PAGAMENTO]]&lt;&gt;"","Pago","Não Pago")</f>
        <v>Pago</v>
      </c>
      <c r="X489" s="522" t="str">
        <f>IFERROR(IF(LANÇ_MOV[[#This Row],[DATA DE PAGAMENTO]]="","",(UPPER(TEXT(LANÇ_MOV[[#This Row],[DATA DE PAGAMENTO]],"mmmm")))),"")</f>
        <v>OUTUBRO</v>
      </c>
      <c r="Y489" s="523" t="str">
        <f>IFERROR(VLOOKUP(LANÇ_MOV[[#This Row],[PLANO DE CONTAS]],Plano_Contas[[PLANO DE CONTAS]:[NOMES INTERVALOS]],2,0),"")</f>
        <v>Receitas_Operacionais</v>
      </c>
      <c r="Z489" s="523" t="str">
        <f>IF(LANÇ_MOV[[#This Row],[FORMA DE PAGAMENTO]]="","",VLOOKUP(LANÇ_MOV[[#This Row],[FORMA DE PAGAMENTO]],CAD_Forma_pagto[],2,0))</f>
        <v>PIX</v>
      </c>
      <c r="AA489" s="524" t="str">
        <f>IF(LANÇ_MOV[[#This Row],[DATA DE LANÇAMENTO]]="","",TEXT(LANÇ_MOV[[#This Row],[DATA DE LANÇAMENTO]],"AAAA"))</f>
        <v>2025</v>
      </c>
      <c r="AB489" s="524" t="str">
        <f>IF(LANÇ_MOV[[#This Row],[DATA DE LANÇAMENTO]]="","",UPPER(TEXT(LANÇ_MOV[[#This Row],[DATA DE LANÇAMENTO]],"MMMM")))</f>
        <v>OUTUBRO</v>
      </c>
      <c r="AC489" s="525" t="str">
        <f>IF(LANÇ_MOV[[#This Row],[DATA DE LANÇAMENTO]]="","",PROPER(TEXT(LANÇ_MOV[[#This Row],[DATA DE LANÇAMENTO]],"M")))</f>
        <v>10</v>
      </c>
      <c r="AD489" s="524" t="str">
        <f>IF(LANÇ_MOV[[#This Row],[DATA DE LANÇAMENTO]]="","",TEXT(LANÇ_MOV[[#This Row],[DATA DE LANÇAMENTO]],"D"))</f>
        <v>10</v>
      </c>
      <c r="AE489" s="526" t="str">
        <f>IF(LANÇ_MOV[[#This Row],[DATA DE VENCIMENTO]]="","",TEXT(LANÇ_MOV[[#This Row],[DATA DE VENCIMENTO]],"AAAA"))</f>
        <v>2025</v>
      </c>
      <c r="AF489" s="526" t="str">
        <f>IF(LANÇ_MOV[[#This Row],[DATA DE VENCIMENTO]]="","",UPPER(TEXT(LANÇ_MOV[[#This Row],[DATA DE VENCIMENTO]],"MMMM")))</f>
        <v>OUTUBRO</v>
      </c>
      <c r="AG489" s="526" t="str">
        <f>IF(LANÇ_MOV[[#This Row],[DATA DE VENCIMENTO]]="","",TEXT(LANÇ_MOV[[#This Row],[DATA DE VENCIMENTO]],"M"))</f>
        <v>10</v>
      </c>
      <c r="AH489" s="526" t="str">
        <f>IF(LANÇ_MOV[[#This Row],[DATA DE VENCIMENTO]]="","",TEXT(LANÇ_MOV[[#This Row],[DATA DE VENCIMENTO]],"D"))</f>
        <v>10</v>
      </c>
      <c r="AI489" s="526" t="str">
        <f>IF(LANÇ_MOV[[#This Row],[DATA DE PAGAMENTO]]="","",TEXT(LANÇ_MOV[[#This Row],[DATA DE PAGAMENTO]],"AAAA"))</f>
        <v>2025</v>
      </c>
      <c r="AJ489" s="527" t="str">
        <f>IF(LANÇ_MOV[[#This Row],[DATA DE PAGAMENTO]]="","",UPPER(TEXT(LANÇ_MOV[[#This Row],[DATA DE PAGAMENTO]],"MMMM")))</f>
        <v>OUTUBRO</v>
      </c>
      <c r="AK489" s="527" t="str">
        <f>IF(LANÇ_MOV[[#This Row],[DATA DE PAGAMENTO]]="","",TEXT(LANÇ_MOV[[#This Row],[DATA DE PAGAMENTO]],"M"))</f>
        <v>10</v>
      </c>
      <c r="AL489" s="526" t="str">
        <f>IF(LANÇ_MOV[[#This Row],[DATA DE PAGAMENTO]]="","",TEXT(LANÇ_MOV[[#This Row],[DATA DE PAGAMENTO]],"D"))</f>
        <v>10</v>
      </c>
      <c r="AM489" s="27"/>
      <c r="BB489" s="112"/>
      <c r="BC489" s="112"/>
      <c r="BD489" s="112"/>
    </row>
    <row r="490" spans="2:56" ht="30.05" customHeight="1" x14ac:dyDescent="0.35">
      <c r="B490" s="506">
        <v>45940</v>
      </c>
      <c r="C490" s="507" t="s">
        <v>1661</v>
      </c>
      <c r="D490" s="508" t="s">
        <v>1854</v>
      </c>
      <c r="E490" s="509" t="s">
        <v>1103</v>
      </c>
      <c r="F490" s="510" t="s">
        <v>1785</v>
      </c>
      <c r="G490" s="507"/>
      <c r="H490" s="511">
        <v>0</v>
      </c>
      <c r="I490" s="512" t="s">
        <v>1683</v>
      </c>
      <c r="J490" s="518">
        <v>600.6</v>
      </c>
      <c r="K490" s="513">
        <v>0</v>
      </c>
      <c r="L490" s="513">
        <v>0</v>
      </c>
      <c r="M490" s="513">
        <v>0</v>
      </c>
      <c r="N490" s="514">
        <f>LANÇ_MOV[[#This Row],[VALOR BRUTO]]-LANÇ_MOV[[#This Row],[DESCONTO]]+LANÇ_MOV[[#This Row],[JUROS]]+LANÇ_MOV[[#This Row],[MULTA]]</f>
        <v>600.6</v>
      </c>
      <c r="O490" s="528">
        <v>45940</v>
      </c>
      <c r="P490" s="516" t="str">
        <f t="shared" ca="1" si="7"/>
        <v>Pago</v>
      </c>
      <c r="Q490" s="528">
        <v>45940</v>
      </c>
      <c r="R490" s="529" t="s">
        <v>1564</v>
      </c>
      <c r="S490" s="518"/>
      <c r="T490" s="518" t="s">
        <v>1776</v>
      </c>
      <c r="U490" s="519" t="s">
        <v>2008</v>
      </c>
      <c r="V490" s="520" t="str">
        <f>IFERROR(VLOOKUP(LANÇ_MOV[[#This Row],[PLANO DE CONTAS]],Plano_Contas[[PLANO DE CONTAS]:[R / D]],3,0),"")</f>
        <v>Receita</v>
      </c>
      <c r="W490" s="521" t="str">
        <f>IF(LANÇ_MOV[[#This Row],[DATA DE PAGAMENTO]]&lt;&gt;"","Pago","Não Pago")</f>
        <v>Pago</v>
      </c>
      <c r="X490" s="522" t="str">
        <f>IFERROR(IF(LANÇ_MOV[[#This Row],[DATA DE PAGAMENTO]]="","",(UPPER(TEXT(LANÇ_MOV[[#This Row],[DATA DE PAGAMENTO]],"mmmm")))),"")</f>
        <v>OUTUBRO</v>
      </c>
      <c r="Y490" s="523" t="str">
        <f>IFERROR(VLOOKUP(LANÇ_MOV[[#This Row],[PLANO DE CONTAS]],Plano_Contas[[PLANO DE CONTAS]:[NOMES INTERVALOS]],2,0),"")</f>
        <v>Receitas_Operacionais</v>
      </c>
      <c r="Z490" s="523" t="str">
        <f>IF(LANÇ_MOV[[#This Row],[FORMA DE PAGAMENTO]]="","",VLOOKUP(LANÇ_MOV[[#This Row],[FORMA DE PAGAMENTO]],CAD_Forma_pagto[],2,0))</f>
        <v>PIX</v>
      </c>
      <c r="AA490" s="524" t="str">
        <f>IF(LANÇ_MOV[[#This Row],[DATA DE LANÇAMENTO]]="","",TEXT(LANÇ_MOV[[#This Row],[DATA DE LANÇAMENTO]],"AAAA"))</f>
        <v>2025</v>
      </c>
      <c r="AB490" s="524" t="str">
        <f>IF(LANÇ_MOV[[#This Row],[DATA DE LANÇAMENTO]]="","",UPPER(TEXT(LANÇ_MOV[[#This Row],[DATA DE LANÇAMENTO]],"MMMM")))</f>
        <v>OUTUBRO</v>
      </c>
      <c r="AC490" s="525" t="str">
        <f>IF(LANÇ_MOV[[#This Row],[DATA DE LANÇAMENTO]]="","",PROPER(TEXT(LANÇ_MOV[[#This Row],[DATA DE LANÇAMENTO]],"M")))</f>
        <v>10</v>
      </c>
      <c r="AD490" s="524" t="str">
        <f>IF(LANÇ_MOV[[#This Row],[DATA DE LANÇAMENTO]]="","",TEXT(LANÇ_MOV[[#This Row],[DATA DE LANÇAMENTO]],"D"))</f>
        <v>10</v>
      </c>
      <c r="AE490" s="526" t="str">
        <f>IF(LANÇ_MOV[[#This Row],[DATA DE VENCIMENTO]]="","",TEXT(LANÇ_MOV[[#This Row],[DATA DE VENCIMENTO]],"AAAA"))</f>
        <v>2025</v>
      </c>
      <c r="AF490" s="526" t="str">
        <f>IF(LANÇ_MOV[[#This Row],[DATA DE VENCIMENTO]]="","",UPPER(TEXT(LANÇ_MOV[[#This Row],[DATA DE VENCIMENTO]],"MMMM")))</f>
        <v>OUTUBRO</v>
      </c>
      <c r="AG490" s="526" t="str">
        <f>IF(LANÇ_MOV[[#This Row],[DATA DE VENCIMENTO]]="","",TEXT(LANÇ_MOV[[#This Row],[DATA DE VENCIMENTO]],"M"))</f>
        <v>10</v>
      </c>
      <c r="AH490" s="526" t="str">
        <f>IF(LANÇ_MOV[[#This Row],[DATA DE VENCIMENTO]]="","",TEXT(LANÇ_MOV[[#This Row],[DATA DE VENCIMENTO]],"D"))</f>
        <v>10</v>
      </c>
      <c r="AI490" s="526" t="str">
        <f>IF(LANÇ_MOV[[#This Row],[DATA DE PAGAMENTO]]="","",TEXT(LANÇ_MOV[[#This Row],[DATA DE PAGAMENTO]],"AAAA"))</f>
        <v>2025</v>
      </c>
      <c r="AJ490" s="527" t="str">
        <f>IF(LANÇ_MOV[[#This Row],[DATA DE PAGAMENTO]]="","",UPPER(TEXT(LANÇ_MOV[[#This Row],[DATA DE PAGAMENTO]],"MMMM")))</f>
        <v>OUTUBRO</v>
      </c>
      <c r="AK490" s="527" t="str">
        <f>IF(LANÇ_MOV[[#This Row],[DATA DE PAGAMENTO]]="","",TEXT(LANÇ_MOV[[#This Row],[DATA DE PAGAMENTO]],"M"))</f>
        <v>10</v>
      </c>
      <c r="AL490" s="526" t="str">
        <f>IF(LANÇ_MOV[[#This Row],[DATA DE PAGAMENTO]]="","",TEXT(LANÇ_MOV[[#This Row],[DATA DE PAGAMENTO]],"D"))</f>
        <v>10</v>
      </c>
      <c r="AM490" s="27"/>
      <c r="BB490" s="112"/>
      <c r="BC490" s="112"/>
      <c r="BD490" s="112"/>
    </row>
    <row r="491" spans="2:56" ht="30.05" customHeight="1" x14ac:dyDescent="0.35">
      <c r="B491" s="506">
        <v>45940</v>
      </c>
      <c r="C491" s="507" t="s">
        <v>1661</v>
      </c>
      <c r="D491" s="508" t="s">
        <v>1854</v>
      </c>
      <c r="E491" s="509" t="s">
        <v>1103</v>
      </c>
      <c r="F491" s="510" t="s">
        <v>1785</v>
      </c>
      <c r="G491" s="507"/>
      <c r="H491" s="511">
        <v>0</v>
      </c>
      <c r="I491" s="512" t="s">
        <v>1683</v>
      </c>
      <c r="J491" s="518">
        <v>300.3</v>
      </c>
      <c r="K491" s="513">
        <v>0</v>
      </c>
      <c r="L491" s="513">
        <v>0</v>
      </c>
      <c r="M491" s="513">
        <v>0</v>
      </c>
      <c r="N491" s="514">
        <f>LANÇ_MOV[[#This Row],[VALOR BRUTO]]-LANÇ_MOV[[#This Row],[DESCONTO]]+LANÇ_MOV[[#This Row],[JUROS]]+LANÇ_MOV[[#This Row],[MULTA]]</f>
        <v>300.3</v>
      </c>
      <c r="O491" s="528">
        <v>45971</v>
      </c>
      <c r="P491" s="516" t="str">
        <f t="shared" ca="1" si="7"/>
        <v>Pago</v>
      </c>
      <c r="Q491" s="528">
        <v>45964</v>
      </c>
      <c r="R491" s="529" t="s">
        <v>1564</v>
      </c>
      <c r="S491" s="518"/>
      <c r="T491" s="518" t="s">
        <v>1776</v>
      </c>
      <c r="U491" s="519" t="s">
        <v>2008</v>
      </c>
      <c r="V491" s="520" t="str">
        <f>IFERROR(VLOOKUP(LANÇ_MOV[[#This Row],[PLANO DE CONTAS]],Plano_Contas[[PLANO DE CONTAS]:[R / D]],3,0),"")</f>
        <v>Receita</v>
      </c>
      <c r="W491" s="521" t="str">
        <f>IF(LANÇ_MOV[[#This Row],[DATA DE PAGAMENTO]]&lt;&gt;"","Pago","Não Pago")</f>
        <v>Pago</v>
      </c>
      <c r="X491" s="522" t="str">
        <f>IFERROR(IF(LANÇ_MOV[[#This Row],[DATA DE PAGAMENTO]]="","",(UPPER(TEXT(LANÇ_MOV[[#This Row],[DATA DE PAGAMENTO]],"mmmm")))),"")</f>
        <v>NOVEMBRO</v>
      </c>
      <c r="Y491" s="523" t="str">
        <f>IFERROR(VLOOKUP(LANÇ_MOV[[#This Row],[PLANO DE CONTAS]],Plano_Contas[[PLANO DE CONTAS]:[NOMES INTERVALOS]],2,0),"")</f>
        <v>Receitas_Operacionais</v>
      </c>
      <c r="Z491" s="523" t="str">
        <f>IF(LANÇ_MOV[[#This Row],[FORMA DE PAGAMENTO]]="","",VLOOKUP(LANÇ_MOV[[#This Row],[FORMA DE PAGAMENTO]],CAD_Forma_pagto[],2,0))</f>
        <v>PIX</v>
      </c>
      <c r="AA491" s="524" t="str">
        <f>IF(LANÇ_MOV[[#This Row],[DATA DE LANÇAMENTO]]="","",TEXT(LANÇ_MOV[[#This Row],[DATA DE LANÇAMENTO]],"AAAA"))</f>
        <v>2025</v>
      </c>
      <c r="AB491" s="524" t="str">
        <f>IF(LANÇ_MOV[[#This Row],[DATA DE LANÇAMENTO]]="","",UPPER(TEXT(LANÇ_MOV[[#This Row],[DATA DE LANÇAMENTO]],"MMMM")))</f>
        <v>OUTUBRO</v>
      </c>
      <c r="AC491" s="525" t="str">
        <f>IF(LANÇ_MOV[[#This Row],[DATA DE LANÇAMENTO]]="","",PROPER(TEXT(LANÇ_MOV[[#This Row],[DATA DE LANÇAMENTO]],"M")))</f>
        <v>10</v>
      </c>
      <c r="AD491" s="524" t="str">
        <f>IF(LANÇ_MOV[[#This Row],[DATA DE LANÇAMENTO]]="","",TEXT(LANÇ_MOV[[#This Row],[DATA DE LANÇAMENTO]],"D"))</f>
        <v>10</v>
      </c>
      <c r="AE491" s="526" t="str">
        <f>IF(LANÇ_MOV[[#This Row],[DATA DE VENCIMENTO]]="","",TEXT(LANÇ_MOV[[#This Row],[DATA DE VENCIMENTO]],"AAAA"))</f>
        <v>2025</v>
      </c>
      <c r="AF491" s="526" t="str">
        <f>IF(LANÇ_MOV[[#This Row],[DATA DE VENCIMENTO]]="","",UPPER(TEXT(LANÇ_MOV[[#This Row],[DATA DE VENCIMENTO]],"MMMM")))</f>
        <v>NOVEMBRO</v>
      </c>
      <c r="AG491" s="526" t="str">
        <f>IF(LANÇ_MOV[[#This Row],[DATA DE VENCIMENTO]]="","",TEXT(LANÇ_MOV[[#This Row],[DATA DE VENCIMENTO]],"M"))</f>
        <v>11</v>
      </c>
      <c r="AH491" s="526" t="str">
        <f>IF(LANÇ_MOV[[#This Row],[DATA DE VENCIMENTO]]="","",TEXT(LANÇ_MOV[[#This Row],[DATA DE VENCIMENTO]],"D"))</f>
        <v>10</v>
      </c>
      <c r="AI491" s="526" t="str">
        <f>IF(LANÇ_MOV[[#This Row],[DATA DE PAGAMENTO]]="","",TEXT(LANÇ_MOV[[#This Row],[DATA DE PAGAMENTO]],"AAAA"))</f>
        <v>2025</v>
      </c>
      <c r="AJ491" s="527" t="str">
        <f>IF(LANÇ_MOV[[#This Row],[DATA DE PAGAMENTO]]="","",UPPER(TEXT(LANÇ_MOV[[#This Row],[DATA DE PAGAMENTO]],"MMMM")))</f>
        <v>NOVEMBRO</v>
      </c>
      <c r="AK491" s="527" t="str">
        <f>IF(LANÇ_MOV[[#This Row],[DATA DE PAGAMENTO]]="","",TEXT(LANÇ_MOV[[#This Row],[DATA DE PAGAMENTO]],"M"))</f>
        <v>11</v>
      </c>
      <c r="AL491" s="526" t="str">
        <f>IF(LANÇ_MOV[[#This Row],[DATA DE PAGAMENTO]]="","",TEXT(LANÇ_MOV[[#This Row],[DATA DE PAGAMENTO]],"D"))</f>
        <v>3</v>
      </c>
      <c r="AM491" s="27"/>
      <c r="BB491" s="112"/>
      <c r="BC491" s="112"/>
      <c r="BD491" s="112"/>
    </row>
    <row r="492" spans="2:56" ht="30.05" customHeight="1" x14ac:dyDescent="0.35">
      <c r="B492" s="506">
        <v>45940</v>
      </c>
      <c r="C492" s="507" t="s">
        <v>1661</v>
      </c>
      <c r="D492" s="508" t="s">
        <v>1854</v>
      </c>
      <c r="E492" s="509" t="s">
        <v>1103</v>
      </c>
      <c r="F492" s="510" t="s">
        <v>1785</v>
      </c>
      <c r="G492" s="507" t="s">
        <v>1855</v>
      </c>
      <c r="H492" s="511">
        <v>0</v>
      </c>
      <c r="I492" s="512" t="s">
        <v>1701</v>
      </c>
      <c r="J492" s="510">
        <v>350.35</v>
      </c>
      <c r="K492" s="513">
        <v>0</v>
      </c>
      <c r="L492" s="513">
        <v>0</v>
      </c>
      <c r="M492" s="513">
        <v>0</v>
      </c>
      <c r="N492" s="514">
        <f>LANÇ_MOV[[#This Row],[VALOR BRUTO]]-LANÇ_MOV[[#This Row],[DESCONTO]]+LANÇ_MOV[[#This Row],[JUROS]]+LANÇ_MOV[[#This Row],[MULTA]]</f>
        <v>350.35</v>
      </c>
      <c r="O492" s="528">
        <v>45940</v>
      </c>
      <c r="P492" s="516" t="str">
        <f t="shared" ca="1" si="7"/>
        <v>Pago</v>
      </c>
      <c r="Q492" s="528">
        <v>45940</v>
      </c>
      <c r="R492" s="529" t="s">
        <v>1564</v>
      </c>
      <c r="S492" s="518"/>
      <c r="T492" s="518" t="s">
        <v>1776</v>
      </c>
      <c r="U492" s="519" t="s">
        <v>2008</v>
      </c>
      <c r="V492" s="520" t="str">
        <f>IFERROR(VLOOKUP(LANÇ_MOV[[#This Row],[PLANO DE CONTAS]],Plano_Contas[[PLANO DE CONTAS]:[R / D]],3,0),"")</f>
        <v>Receita</v>
      </c>
      <c r="W492" s="521" t="str">
        <f>IF(LANÇ_MOV[[#This Row],[DATA DE PAGAMENTO]]&lt;&gt;"","Pago","Não Pago")</f>
        <v>Pago</v>
      </c>
      <c r="X492" s="522" t="str">
        <f>IFERROR(IF(LANÇ_MOV[[#This Row],[DATA DE PAGAMENTO]]="","",(UPPER(TEXT(LANÇ_MOV[[#This Row],[DATA DE PAGAMENTO]],"mmmm")))),"")</f>
        <v>OUTUBRO</v>
      </c>
      <c r="Y492" s="523" t="str">
        <f>IFERROR(VLOOKUP(LANÇ_MOV[[#This Row],[PLANO DE CONTAS]],Plano_Contas[[PLANO DE CONTAS]:[NOMES INTERVALOS]],2,0),"")</f>
        <v>Receitas_Operacionais</v>
      </c>
      <c r="Z492" s="523" t="str">
        <f>IF(LANÇ_MOV[[#This Row],[FORMA DE PAGAMENTO]]="","",VLOOKUP(LANÇ_MOV[[#This Row],[FORMA DE PAGAMENTO]],CAD_Forma_pagto[],2,0))</f>
        <v>PIX</v>
      </c>
      <c r="AA492" s="524" t="str">
        <f>IF(LANÇ_MOV[[#This Row],[DATA DE LANÇAMENTO]]="","",TEXT(LANÇ_MOV[[#This Row],[DATA DE LANÇAMENTO]],"AAAA"))</f>
        <v>2025</v>
      </c>
      <c r="AB492" s="524" t="str">
        <f>IF(LANÇ_MOV[[#This Row],[DATA DE LANÇAMENTO]]="","",UPPER(TEXT(LANÇ_MOV[[#This Row],[DATA DE LANÇAMENTO]],"MMMM")))</f>
        <v>OUTUBRO</v>
      </c>
      <c r="AC492" s="525" t="str">
        <f>IF(LANÇ_MOV[[#This Row],[DATA DE LANÇAMENTO]]="","",PROPER(TEXT(LANÇ_MOV[[#This Row],[DATA DE LANÇAMENTO]],"M")))</f>
        <v>10</v>
      </c>
      <c r="AD492" s="524" t="str">
        <f>IF(LANÇ_MOV[[#This Row],[DATA DE LANÇAMENTO]]="","",TEXT(LANÇ_MOV[[#This Row],[DATA DE LANÇAMENTO]],"D"))</f>
        <v>10</v>
      </c>
      <c r="AE492" s="526" t="str">
        <f>IF(LANÇ_MOV[[#This Row],[DATA DE VENCIMENTO]]="","",TEXT(LANÇ_MOV[[#This Row],[DATA DE VENCIMENTO]],"AAAA"))</f>
        <v>2025</v>
      </c>
      <c r="AF492" s="526" t="str">
        <f>IF(LANÇ_MOV[[#This Row],[DATA DE VENCIMENTO]]="","",UPPER(TEXT(LANÇ_MOV[[#This Row],[DATA DE VENCIMENTO]],"MMMM")))</f>
        <v>OUTUBRO</v>
      </c>
      <c r="AG492" s="526" t="str">
        <f>IF(LANÇ_MOV[[#This Row],[DATA DE VENCIMENTO]]="","",TEXT(LANÇ_MOV[[#This Row],[DATA DE VENCIMENTO]],"M"))</f>
        <v>10</v>
      </c>
      <c r="AH492" s="526" t="str">
        <f>IF(LANÇ_MOV[[#This Row],[DATA DE VENCIMENTO]]="","",TEXT(LANÇ_MOV[[#This Row],[DATA DE VENCIMENTO]],"D"))</f>
        <v>10</v>
      </c>
      <c r="AI492" s="526" t="str">
        <f>IF(LANÇ_MOV[[#This Row],[DATA DE PAGAMENTO]]="","",TEXT(LANÇ_MOV[[#This Row],[DATA DE PAGAMENTO]],"AAAA"))</f>
        <v>2025</v>
      </c>
      <c r="AJ492" s="527" t="str">
        <f>IF(LANÇ_MOV[[#This Row],[DATA DE PAGAMENTO]]="","",UPPER(TEXT(LANÇ_MOV[[#This Row],[DATA DE PAGAMENTO]],"MMMM")))</f>
        <v>OUTUBRO</v>
      </c>
      <c r="AK492" s="527" t="str">
        <f>IF(LANÇ_MOV[[#This Row],[DATA DE PAGAMENTO]]="","",TEXT(LANÇ_MOV[[#This Row],[DATA DE PAGAMENTO]],"M"))</f>
        <v>10</v>
      </c>
      <c r="AL492" s="526" t="str">
        <f>IF(LANÇ_MOV[[#This Row],[DATA DE PAGAMENTO]]="","",TEXT(LANÇ_MOV[[#This Row],[DATA DE PAGAMENTO]],"D"))</f>
        <v>10</v>
      </c>
      <c r="AM492" s="27"/>
      <c r="BB492" s="112"/>
      <c r="BC492" s="112"/>
      <c r="BD492" s="112"/>
    </row>
    <row r="493" spans="2:56" ht="30.05" customHeight="1" x14ac:dyDescent="0.35">
      <c r="B493" s="506">
        <v>45940</v>
      </c>
      <c r="C493" s="507" t="s">
        <v>1661</v>
      </c>
      <c r="D493" s="508" t="s">
        <v>1854</v>
      </c>
      <c r="E493" s="509" t="s">
        <v>1103</v>
      </c>
      <c r="F493" s="510" t="s">
        <v>1785</v>
      </c>
      <c r="G493" s="507" t="s">
        <v>1856</v>
      </c>
      <c r="H493" s="511">
        <v>0</v>
      </c>
      <c r="I493" s="512" t="s">
        <v>1701</v>
      </c>
      <c r="J493" s="510">
        <v>350.35</v>
      </c>
      <c r="K493" s="513">
        <v>0</v>
      </c>
      <c r="L493" s="513">
        <v>0</v>
      </c>
      <c r="M493" s="513">
        <v>0</v>
      </c>
      <c r="N493" s="514">
        <f>LANÇ_MOV[[#This Row],[VALOR BRUTO]]-LANÇ_MOV[[#This Row],[DESCONTO]]+LANÇ_MOV[[#This Row],[JUROS]]+LANÇ_MOV[[#This Row],[MULTA]]</f>
        <v>350.35</v>
      </c>
      <c r="O493" s="528">
        <v>45971</v>
      </c>
      <c r="P493" s="516" t="str">
        <f t="shared" ca="1" si="7"/>
        <v>Pago</v>
      </c>
      <c r="Q493" s="528">
        <v>45971</v>
      </c>
      <c r="R493" s="529" t="s">
        <v>1564</v>
      </c>
      <c r="S493" s="518"/>
      <c r="T493" s="518" t="s">
        <v>1776</v>
      </c>
      <c r="U493" s="519" t="s">
        <v>2008</v>
      </c>
      <c r="V493" s="520" t="str">
        <f>IFERROR(VLOOKUP(LANÇ_MOV[[#This Row],[PLANO DE CONTAS]],Plano_Contas[[PLANO DE CONTAS]:[R / D]],3,0),"")</f>
        <v>Receita</v>
      </c>
      <c r="W493" s="521" t="str">
        <f>IF(LANÇ_MOV[[#This Row],[DATA DE PAGAMENTO]]&lt;&gt;"","Pago","Não Pago")</f>
        <v>Pago</v>
      </c>
      <c r="X493" s="522" t="str">
        <f>IFERROR(IF(LANÇ_MOV[[#This Row],[DATA DE PAGAMENTO]]="","",(UPPER(TEXT(LANÇ_MOV[[#This Row],[DATA DE PAGAMENTO]],"mmmm")))),"")</f>
        <v>NOVEMBRO</v>
      </c>
      <c r="Y493" s="523" t="str">
        <f>IFERROR(VLOOKUP(LANÇ_MOV[[#This Row],[PLANO DE CONTAS]],Plano_Contas[[PLANO DE CONTAS]:[NOMES INTERVALOS]],2,0),"")</f>
        <v>Receitas_Operacionais</v>
      </c>
      <c r="Z493" s="523" t="str">
        <f>IF(LANÇ_MOV[[#This Row],[FORMA DE PAGAMENTO]]="","",VLOOKUP(LANÇ_MOV[[#This Row],[FORMA DE PAGAMENTO]],CAD_Forma_pagto[],2,0))</f>
        <v>PIX</v>
      </c>
      <c r="AA493" s="524" t="str">
        <f>IF(LANÇ_MOV[[#This Row],[DATA DE LANÇAMENTO]]="","",TEXT(LANÇ_MOV[[#This Row],[DATA DE LANÇAMENTO]],"AAAA"))</f>
        <v>2025</v>
      </c>
      <c r="AB493" s="524" t="str">
        <f>IF(LANÇ_MOV[[#This Row],[DATA DE LANÇAMENTO]]="","",UPPER(TEXT(LANÇ_MOV[[#This Row],[DATA DE LANÇAMENTO]],"MMMM")))</f>
        <v>OUTUBRO</v>
      </c>
      <c r="AC493" s="525" t="str">
        <f>IF(LANÇ_MOV[[#This Row],[DATA DE LANÇAMENTO]]="","",PROPER(TEXT(LANÇ_MOV[[#This Row],[DATA DE LANÇAMENTO]],"M")))</f>
        <v>10</v>
      </c>
      <c r="AD493" s="524" t="str">
        <f>IF(LANÇ_MOV[[#This Row],[DATA DE LANÇAMENTO]]="","",TEXT(LANÇ_MOV[[#This Row],[DATA DE LANÇAMENTO]],"D"))</f>
        <v>10</v>
      </c>
      <c r="AE493" s="526" t="str">
        <f>IF(LANÇ_MOV[[#This Row],[DATA DE VENCIMENTO]]="","",TEXT(LANÇ_MOV[[#This Row],[DATA DE VENCIMENTO]],"AAAA"))</f>
        <v>2025</v>
      </c>
      <c r="AF493" s="526" t="str">
        <f>IF(LANÇ_MOV[[#This Row],[DATA DE VENCIMENTO]]="","",UPPER(TEXT(LANÇ_MOV[[#This Row],[DATA DE VENCIMENTO]],"MMMM")))</f>
        <v>NOVEMBRO</v>
      </c>
      <c r="AG493" s="526" t="str">
        <f>IF(LANÇ_MOV[[#This Row],[DATA DE VENCIMENTO]]="","",TEXT(LANÇ_MOV[[#This Row],[DATA DE VENCIMENTO]],"M"))</f>
        <v>11</v>
      </c>
      <c r="AH493" s="526" t="str">
        <f>IF(LANÇ_MOV[[#This Row],[DATA DE VENCIMENTO]]="","",TEXT(LANÇ_MOV[[#This Row],[DATA DE VENCIMENTO]],"D"))</f>
        <v>10</v>
      </c>
      <c r="AI493" s="526" t="str">
        <f>IF(LANÇ_MOV[[#This Row],[DATA DE PAGAMENTO]]="","",TEXT(LANÇ_MOV[[#This Row],[DATA DE PAGAMENTO]],"AAAA"))</f>
        <v>2025</v>
      </c>
      <c r="AJ493" s="527" t="str">
        <f>IF(LANÇ_MOV[[#This Row],[DATA DE PAGAMENTO]]="","",UPPER(TEXT(LANÇ_MOV[[#This Row],[DATA DE PAGAMENTO]],"MMMM")))</f>
        <v>NOVEMBRO</v>
      </c>
      <c r="AK493" s="527" t="str">
        <f>IF(LANÇ_MOV[[#This Row],[DATA DE PAGAMENTO]]="","",TEXT(LANÇ_MOV[[#This Row],[DATA DE PAGAMENTO]],"M"))</f>
        <v>11</v>
      </c>
      <c r="AL493" s="526" t="str">
        <f>IF(LANÇ_MOV[[#This Row],[DATA DE PAGAMENTO]]="","",TEXT(LANÇ_MOV[[#This Row],[DATA DE PAGAMENTO]],"D"))</f>
        <v>10</v>
      </c>
      <c r="AM493" s="27"/>
      <c r="BB493" s="112"/>
      <c r="BC493" s="112"/>
      <c r="BD493" s="112"/>
    </row>
    <row r="494" spans="2:56" ht="30.05" customHeight="1" x14ac:dyDescent="0.35">
      <c r="B494" s="506">
        <v>45940</v>
      </c>
      <c r="C494" s="507" t="s">
        <v>1661</v>
      </c>
      <c r="D494" s="508" t="s">
        <v>1854</v>
      </c>
      <c r="E494" s="509" t="s">
        <v>1103</v>
      </c>
      <c r="F494" s="510" t="s">
        <v>1785</v>
      </c>
      <c r="G494" s="507" t="s">
        <v>1857</v>
      </c>
      <c r="H494" s="511">
        <v>0</v>
      </c>
      <c r="I494" s="512" t="s">
        <v>1701</v>
      </c>
      <c r="J494" s="510">
        <v>350.35</v>
      </c>
      <c r="K494" s="513">
        <v>0</v>
      </c>
      <c r="L494" s="513"/>
      <c r="M494" s="513">
        <v>0</v>
      </c>
      <c r="N494" s="514">
        <f>LANÇ_MOV[[#This Row],[VALOR BRUTO]]-LANÇ_MOV[[#This Row],[DESCONTO]]+LANÇ_MOV[[#This Row],[JUROS]]+LANÇ_MOV[[#This Row],[MULTA]]</f>
        <v>350.35</v>
      </c>
      <c r="O494" s="528">
        <v>46001</v>
      </c>
      <c r="P494" s="516" t="str">
        <f t="shared" ca="1" si="7"/>
        <v>Prazo - Menos de 15 dias</v>
      </c>
      <c r="Q494" s="528"/>
      <c r="R494" s="529" t="s">
        <v>1564</v>
      </c>
      <c r="S494" s="518"/>
      <c r="T494" s="518" t="s">
        <v>1776</v>
      </c>
      <c r="U494" s="519" t="s">
        <v>2008</v>
      </c>
      <c r="V494" s="520" t="str">
        <f>IFERROR(VLOOKUP(LANÇ_MOV[[#This Row],[PLANO DE CONTAS]],Plano_Contas[[PLANO DE CONTAS]:[R / D]],3,0),"")</f>
        <v>Receita</v>
      </c>
      <c r="W494" s="521" t="str">
        <f>IF(LANÇ_MOV[[#This Row],[DATA DE PAGAMENTO]]&lt;&gt;"","Pago","Não Pago")</f>
        <v>Não Pago</v>
      </c>
      <c r="X494" s="522" t="str">
        <f>IFERROR(IF(LANÇ_MOV[[#This Row],[DATA DE PAGAMENTO]]="","",(UPPER(TEXT(LANÇ_MOV[[#This Row],[DATA DE PAGAMENTO]],"mmmm")))),"")</f>
        <v/>
      </c>
      <c r="Y494" s="523" t="str">
        <f>IFERROR(VLOOKUP(LANÇ_MOV[[#This Row],[PLANO DE CONTAS]],Plano_Contas[[PLANO DE CONTAS]:[NOMES INTERVALOS]],2,0),"")</f>
        <v>Receitas_Operacionais</v>
      </c>
      <c r="Z494" s="523" t="str">
        <f>IF(LANÇ_MOV[[#This Row],[FORMA DE PAGAMENTO]]="","",VLOOKUP(LANÇ_MOV[[#This Row],[FORMA DE PAGAMENTO]],CAD_Forma_pagto[],2,0))</f>
        <v>PIX</v>
      </c>
      <c r="AA494" s="524" t="str">
        <f>IF(LANÇ_MOV[[#This Row],[DATA DE LANÇAMENTO]]="","",TEXT(LANÇ_MOV[[#This Row],[DATA DE LANÇAMENTO]],"AAAA"))</f>
        <v>2025</v>
      </c>
      <c r="AB494" s="524" t="str">
        <f>IF(LANÇ_MOV[[#This Row],[DATA DE LANÇAMENTO]]="","",UPPER(TEXT(LANÇ_MOV[[#This Row],[DATA DE LANÇAMENTO]],"MMMM")))</f>
        <v>OUTUBRO</v>
      </c>
      <c r="AC494" s="525" t="str">
        <f>IF(LANÇ_MOV[[#This Row],[DATA DE LANÇAMENTO]]="","",PROPER(TEXT(LANÇ_MOV[[#This Row],[DATA DE LANÇAMENTO]],"M")))</f>
        <v>10</v>
      </c>
      <c r="AD494" s="524" t="str">
        <f>IF(LANÇ_MOV[[#This Row],[DATA DE LANÇAMENTO]]="","",TEXT(LANÇ_MOV[[#This Row],[DATA DE LANÇAMENTO]],"D"))</f>
        <v>10</v>
      </c>
      <c r="AE494" s="526" t="str">
        <f>IF(LANÇ_MOV[[#This Row],[DATA DE VENCIMENTO]]="","",TEXT(LANÇ_MOV[[#This Row],[DATA DE VENCIMENTO]],"AAAA"))</f>
        <v>2025</v>
      </c>
      <c r="AF494" s="526" t="str">
        <f>IF(LANÇ_MOV[[#This Row],[DATA DE VENCIMENTO]]="","",UPPER(TEXT(LANÇ_MOV[[#This Row],[DATA DE VENCIMENTO]],"MMMM")))</f>
        <v>DEZEMBRO</v>
      </c>
      <c r="AG494" s="526" t="str">
        <f>IF(LANÇ_MOV[[#This Row],[DATA DE VENCIMENTO]]="","",TEXT(LANÇ_MOV[[#This Row],[DATA DE VENCIMENTO]],"M"))</f>
        <v>12</v>
      </c>
      <c r="AH494" s="526" t="str">
        <f>IF(LANÇ_MOV[[#This Row],[DATA DE VENCIMENTO]]="","",TEXT(LANÇ_MOV[[#This Row],[DATA DE VENCIMENTO]],"D"))</f>
        <v>10</v>
      </c>
      <c r="AI494" s="526" t="str">
        <f>IF(LANÇ_MOV[[#This Row],[DATA DE PAGAMENTO]]="","",TEXT(LANÇ_MOV[[#This Row],[DATA DE PAGAMENTO]],"AAAA"))</f>
        <v/>
      </c>
      <c r="AJ494" s="527" t="str">
        <f>IF(LANÇ_MOV[[#This Row],[DATA DE PAGAMENTO]]="","",UPPER(TEXT(LANÇ_MOV[[#This Row],[DATA DE PAGAMENTO]],"MMMM")))</f>
        <v/>
      </c>
      <c r="AK494" s="527" t="str">
        <f>IF(LANÇ_MOV[[#This Row],[DATA DE PAGAMENTO]]="","",TEXT(LANÇ_MOV[[#This Row],[DATA DE PAGAMENTO]],"M"))</f>
        <v/>
      </c>
      <c r="AL494" s="526" t="str">
        <f>IF(LANÇ_MOV[[#This Row],[DATA DE PAGAMENTO]]="","",TEXT(LANÇ_MOV[[#This Row],[DATA DE PAGAMENTO]],"D"))</f>
        <v/>
      </c>
      <c r="AM494" s="27"/>
      <c r="BB494" s="112"/>
      <c r="BC494" s="112"/>
      <c r="BD494" s="112"/>
    </row>
    <row r="495" spans="2:56" ht="30.05" customHeight="1" x14ac:dyDescent="0.35">
      <c r="B495" s="506">
        <v>45940</v>
      </c>
      <c r="C495" s="507" t="s">
        <v>1661</v>
      </c>
      <c r="D495" s="508" t="s">
        <v>1854</v>
      </c>
      <c r="E495" s="509" t="s">
        <v>1103</v>
      </c>
      <c r="F495" s="510" t="s">
        <v>1785</v>
      </c>
      <c r="G495" s="507" t="s">
        <v>1858</v>
      </c>
      <c r="H495" s="511">
        <v>0</v>
      </c>
      <c r="I495" s="512" t="s">
        <v>1701</v>
      </c>
      <c r="J495" s="518">
        <v>350.35</v>
      </c>
      <c r="K495" s="513">
        <v>0</v>
      </c>
      <c r="L495" s="513"/>
      <c r="M495" s="513">
        <v>0</v>
      </c>
      <c r="N495" s="514">
        <f>LANÇ_MOV[[#This Row],[VALOR BRUTO]]-LANÇ_MOV[[#This Row],[DESCONTO]]+LANÇ_MOV[[#This Row],[JUROS]]+LANÇ_MOV[[#This Row],[MULTA]]</f>
        <v>350.35</v>
      </c>
      <c r="O495" s="528">
        <v>46032</v>
      </c>
      <c r="P495" s="516" t="str">
        <f t="shared" ca="1" si="7"/>
        <v>Prazo - Mais de 1 mês</v>
      </c>
      <c r="Q495" s="528"/>
      <c r="R495" s="529" t="s">
        <v>1564</v>
      </c>
      <c r="S495" s="518"/>
      <c r="T495" s="518" t="s">
        <v>1776</v>
      </c>
      <c r="U495" s="519" t="s">
        <v>2008</v>
      </c>
      <c r="V495" s="520" t="str">
        <f>IFERROR(VLOOKUP(LANÇ_MOV[[#This Row],[PLANO DE CONTAS]],Plano_Contas[[PLANO DE CONTAS]:[R / D]],3,0),"")</f>
        <v>Receita</v>
      </c>
      <c r="W495" s="521" t="str">
        <f>IF(LANÇ_MOV[[#This Row],[DATA DE PAGAMENTO]]&lt;&gt;"","Pago","Não Pago")</f>
        <v>Não Pago</v>
      </c>
      <c r="X495" s="522" t="str">
        <f>IFERROR(IF(LANÇ_MOV[[#This Row],[DATA DE PAGAMENTO]]="","",(UPPER(TEXT(LANÇ_MOV[[#This Row],[DATA DE PAGAMENTO]],"mmmm")))),"")</f>
        <v/>
      </c>
      <c r="Y495" s="523" t="str">
        <f>IFERROR(VLOOKUP(LANÇ_MOV[[#This Row],[PLANO DE CONTAS]],Plano_Contas[[PLANO DE CONTAS]:[NOMES INTERVALOS]],2,0),"")</f>
        <v>Receitas_Operacionais</v>
      </c>
      <c r="Z495" s="523" t="str">
        <f>IF(LANÇ_MOV[[#This Row],[FORMA DE PAGAMENTO]]="","",VLOOKUP(LANÇ_MOV[[#This Row],[FORMA DE PAGAMENTO]],CAD_Forma_pagto[],2,0))</f>
        <v>PIX</v>
      </c>
      <c r="AA495" s="524" t="str">
        <f>IF(LANÇ_MOV[[#This Row],[DATA DE LANÇAMENTO]]="","",TEXT(LANÇ_MOV[[#This Row],[DATA DE LANÇAMENTO]],"AAAA"))</f>
        <v>2025</v>
      </c>
      <c r="AB495" s="524" t="str">
        <f>IF(LANÇ_MOV[[#This Row],[DATA DE LANÇAMENTO]]="","",UPPER(TEXT(LANÇ_MOV[[#This Row],[DATA DE LANÇAMENTO]],"MMMM")))</f>
        <v>OUTUBRO</v>
      </c>
      <c r="AC495" s="525" t="str">
        <f>IF(LANÇ_MOV[[#This Row],[DATA DE LANÇAMENTO]]="","",PROPER(TEXT(LANÇ_MOV[[#This Row],[DATA DE LANÇAMENTO]],"M")))</f>
        <v>10</v>
      </c>
      <c r="AD495" s="524" t="str">
        <f>IF(LANÇ_MOV[[#This Row],[DATA DE LANÇAMENTO]]="","",TEXT(LANÇ_MOV[[#This Row],[DATA DE LANÇAMENTO]],"D"))</f>
        <v>10</v>
      </c>
      <c r="AE495" s="526" t="str">
        <f>IF(LANÇ_MOV[[#This Row],[DATA DE VENCIMENTO]]="","",TEXT(LANÇ_MOV[[#This Row],[DATA DE VENCIMENTO]],"AAAA"))</f>
        <v>2026</v>
      </c>
      <c r="AF495" s="526" t="str">
        <f>IF(LANÇ_MOV[[#This Row],[DATA DE VENCIMENTO]]="","",UPPER(TEXT(LANÇ_MOV[[#This Row],[DATA DE VENCIMENTO]],"MMMM")))</f>
        <v>JANEIRO</v>
      </c>
      <c r="AG495" s="526" t="str">
        <f>IF(LANÇ_MOV[[#This Row],[DATA DE VENCIMENTO]]="","",TEXT(LANÇ_MOV[[#This Row],[DATA DE VENCIMENTO]],"M"))</f>
        <v>1</v>
      </c>
      <c r="AH495" s="526" t="str">
        <f>IF(LANÇ_MOV[[#This Row],[DATA DE VENCIMENTO]]="","",TEXT(LANÇ_MOV[[#This Row],[DATA DE VENCIMENTO]],"D"))</f>
        <v>10</v>
      </c>
      <c r="AI495" s="526" t="str">
        <f>IF(LANÇ_MOV[[#This Row],[DATA DE PAGAMENTO]]="","",TEXT(LANÇ_MOV[[#This Row],[DATA DE PAGAMENTO]],"AAAA"))</f>
        <v/>
      </c>
      <c r="AJ495" s="527" t="str">
        <f>IF(LANÇ_MOV[[#This Row],[DATA DE PAGAMENTO]]="","",UPPER(TEXT(LANÇ_MOV[[#This Row],[DATA DE PAGAMENTO]],"MMMM")))</f>
        <v/>
      </c>
      <c r="AK495" s="527" t="str">
        <f>IF(LANÇ_MOV[[#This Row],[DATA DE PAGAMENTO]]="","",TEXT(LANÇ_MOV[[#This Row],[DATA DE PAGAMENTO]],"M"))</f>
        <v/>
      </c>
      <c r="AL495" s="526" t="str">
        <f>IF(LANÇ_MOV[[#This Row],[DATA DE PAGAMENTO]]="","",TEXT(LANÇ_MOV[[#This Row],[DATA DE PAGAMENTO]],"D"))</f>
        <v/>
      </c>
      <c r="AM495" s="27"/>
      <c r="BB495" s="112"/>
      <c r="BC495" s="112"/>
      <c r="BD495" s="112"/>
    </row>
    <row r="496" spans="2:56" ht="30.05" customHeight="1" x14ac:dyDescent="0.35">
      <c r="B496" s="506">
        <v>45940</v>
      </c>
      <c r="C496" s="507" t="s">
        <v>1661</v>
      </c>
      <c r="D496" s="508" t="s">
        <v>1854</v>
      </c>
      <c r="E496" s="509" t="s">
        <v>1103</v>
      </c>
      <c r="F496" s="510" t="s">
        <v>1785</v>
      </c>
      <c r="G496" s="507" t="s">
        <v>1855</v>
      </c>
      <c r="H496" s="511">
        <v>0</v>
      </c>
      <c r="I496" s="512" t="s">
        <v>1722</v>
      </c>
      <c r="J496" s="510">
        <v>350.35</v>
      </c>
      <c r="K496" s="513">
        <v>0</v>
      </c>
      <c r="L496" s="513">
        <v>0</v>
      </c>
      <c r="M496" s="513">
        <v>0</v>
      </c>
      <c r="N496" s="514">
        <f>LANÇ_MOV[[#This Row],[VALOR BRUTO]]-LANÇ_MOV[[#This Row],[DESCONTO]]+LANÇ_MOV[[#This Row],[JUROS]]+LANÇ_MOV[[#This Row],[MULTA]]</f>
        <v>350.35</v>
      </c>
      <c r="O496" s="528">
        <v>45940</v>
      </c>
      <c r="P496" s="516" t="str">
        <f t="shared" ca="1" si="7"/>
        <v>Pago</v>
      </c>
      <c r="Q496" s="528">
        <v>45940</v>
      </c>
      <c r="R496" s="529" t="s">
        <v>1564</v>
      </c>
      <c r="S496" s="518"/>
      <c r="T496" s="518" t="s">
        <v>1776</v>
      </c>
      <c r="U496" s="519" t="s">
        <v>2008</v>
      </c>
      <c r="V496" s="520" t="str">
        <f>IFERROR(VLOOKUP(LANÇ_MOV[[#This Row],[PLANO DE CONTAS]],Plano_Contas[[PLANO DE CONTAS]:[R / D]],3,0),"")</f>
        <v>Receita</v>
      </c>
      <c r="W496" s="521" t="str">
        <f>IF(LANÇ_MOV[[#This Row],[DATA DE PAGAMENTO]]&lt;&gt;"","Pago","Não Pago")</f>
        <v>Pago</v>
      </c>
      <c r="X496" s="522" t="str">
        <f>IFERROR(IF(LANÇ_MOV[[#This Row],[DATA DE PAGAMENTO]]="","",(UPPER(TEXT(LANÇ_MOV[[#This Row],[DATA DE PAGAMENTO]],"mmmm")))),"")</f>
        <v>OUTUBRO</v>
      </c>
      <c r="Y496" s="523" t="str">
        <f>IFERROR(VLOOKUP(LANÇ_MOV[[#This Row],[PLANO DE CONTAS]],Plano_Contas[[PLANO DE CONTAS]:[NOMES INTERVALOS]],2,0),"")</f>
        <v>Receitas_Operacionais</v>
      </c>
      <c r="Z496" s="523" t="str">
        <f>IF(LANÇ_MOV[[#This Row],[FORMA DE PAGAMENTO]]="","",VLOOKUP(LANÇ_MOV[[#This Row],[FORMA DE PAGAMENTO]],CAD_Forma_pagto[],2,0))</f>
        <v>PIX</v>
      </c>
      <c r="AA496" s="524" t="str">
        <f>IF(LANÇ_MOV[[#This Row],[DATA DE LANÇAMENTO]]="","",TEXT(LANÇ_MOV[[#This Row],[DATA DE LANÇAMENTO]],"AAAA"))</f>
        <v>2025</v>
      </c>
      <c r="AB496" s="524" t="str">
        <f>IF(LANÇ_MOV[[#This Row],[DATA DE LANÇAMENTO]]="","",UPPER(TEXT(LANÇ_MOV[[#This Row],[DATA DE LANÇAMENTO]],"MMMM")))</f>
        <v>OUTUBRO</v>
      </c>
      <c r="AC496" s="525" t="str">
        <f>IF(LANÇ_MOV[[#This Row],[DATA DE LANÇAMENTO]]="","",PROPER(TEXT(LANÇ_MOV[[#This Row],[DATA DE LANÇAMENTO]],"M")))</f>
        <v>10</v>
      </c>
      <c r="AD496" s="524" t="str">
        <f>IF(LANÇ_MOV[[#This Row],[DATA DE LANÇAMENTO]]="","",TEXT(LANÇ_MOV[[#This Row],[DATA DE LANÇAMENTO]],"D"))</f>
        <v>10</v>
      </c>
      <c r="AE496" s="526" t="str">
        <f>IF(LANÇ_MOV[[#This Row],[DATA DE VENCIMENTO]]="","",TEXT(LANÇ_MOV[[#This Row],[DATA DE VENCIMENTO]],"AAAA"))</f>
        <v>2025</v>
      </c>
      <c r="AF496" s="526" t="str">
        <f>IF(LANÇ_MOV[[#This Row],[DATA DE VENCIMENTO]]="","",UPPER(TEXT(LANÇ_MOV[[#This Row],[DATA DE VENCIMENTO]],"MMMM")))</f>
        <v>OUTUBRO</v>
      </c>
      <c r="AG496" s="526" t="str">
        <f>IF(LANÇ_MOV[[#This Row],[DATA DE VENCIMENTO]]="","",TEXT(LANÇ_MOV[[#This Row],[DATA DE VENCIMENTO]],"M"))</f>
        <v>10</v>
      </c>
      <c r="AH496" s="526" t="str">
        <f>IF(LANÇ_MOV[[#This Row],[DATA DE VENCIMENTO]]="","",TEXT(LANÇ_MOV[[#This Row],[DATA DE VENCIMENTO]],"D"))</f>
        <v>10</v>
      </c>
      <c r="AI496" s="526" t="str">
        <f>IF(LANÇ_MOV[[#This Row],[DATA DE PAGAMENTO]]="","",TEXT(LANÇ_MOV[[#This Row],[DATA DE PAGAMENTO]],"AAAA"))</f>
        <v>2025</v>
      </c>
      <c r="AJ496" s="527" t="str">
        <f>IF(LANÇ_MOV[[#This Row],[DATA DE PAGAMENTO]]="","",UPPER(TEXT(LANÇ_MOV[[#This Row],[DATA DE PAGAMENTO]],"MMMM")))</f>
        <v>OUTUBRO</v>
      </c>
      <c r="AK496" s="527" t="str">
        <f>IF(LANÇ_MOV[[#This Row],[DATA DE PAGAMENTO]]="","",TEXT(LANÇ_MOV[[#This Row],[DATA DE PAGAMENTO]],"M"))</f>
        <v>10</v>
      </c>
      <c r="AL496" s="526" t="str">
        <f>IF(LANÇ_MOV[[#This Row],[DATA DE PAGAMENTO]]="","",TEXT(LANÇ_MOV[[#This Row],[DATA DE PAGAMENTO]],"D"))</f>
        <v>10</v>
      </c>
      <c r="AM496" s="27"/>
      <c r="BB496" s="112"/>
      <c r="BC496" s="112"/>
      <c r="BD496" s="112"/>
    </row>
    <row r="497" spans="2:56" ht="30.05" customHeight="1" x14ac:dyDescent="0.35">
      <c r="B497" s="506">
        <v>45940</v>
      </c>
      <c r="C497" s="507" t="s">
        <v>1661</v>
      </c>
      <c r="D497" s="508" t="s">
        <v>1854</v>
      </c>
      <c r="E497" s="509" t="s">
        <v>1103</v>
      </c>
      <c r="F497" s="510" t="s">
        <v>1785</v>
      </c>
      <c r="G497" s="507" t="s">
        <v>1856</v>
      </c>
      <c r="H497" s="511">
        <v>0</v>
      </c>
      <c r="I497" s="512" t="s">
        <v>1722</v>
      </c>
      <c r="J497" s="518">
        <v>350.35</v>
      </c>
      <c r="K497" s="513">
        <v>0</v>
      </c>
      <c r="L497" s="513">
        <v>0</v>
      </c>
      <c r="M497" s="513">
        <v>0</v>
      </c>
      <c r="N497" s="514">
        <f>LANÇ_MOV[[#This Row],[VALOR BRUTO]]-LANÇ_MOV[[#This Row],[DESCONTO]]+LANÇ_MOV[[#This Row],[JUROS]]+LANÇ_MOV[[#This Row],[MULTA]]</f>
        <v>350.35</v>
      </c>
      <c r="O497" s="528">
        <v>45971</v>
      </c>
      <c r="P497" s="516" t="str">
        <f t="shared" ca="1" si="7"/>
        <v>Pago</v>
      </c>
      <c r="Q497" s="528">
        <v>45971</v>
      </c>
      <c r="R497" s="529" t="s">
        <v>1564</v>
      </c>
      <c r="S497" s="518"/>
      <c r="T497" s="518" t="s">
        <v>1776</v>
      </c>
      <c r="U497" s="519" t="s">
        <v>2008</v>
      </c>
      <c r="V497" s="520" t="str">
        <f>IFERROR(VLOOKUP(LANÇ_MOV[[#This Row],[PLANO DE CONTAS]],Plano_Contas[[PLANO DE CONTAS]:[R / D]],3,0),"")</f>
        <v>Receita</v>
      </c>
      <c r="W497" s="521" t="str">
        <f>IF(LANÇ_MOV[[#This Row],[DATA DE PAGAMENTO]]&lt;&gt;"","Pago","Não Pago")</f>
        <v>Pago</v>
      </c>
      <c r="X497" s="522" t="str">
        <f>IFERROR(IF(LANÇ_MOV[[#This Row],[DATA DE PAGAMENTO]]="","",(UPPER(TEXT(LANÇ_MOV[[#This Row],[DATA DE PAGAMENTO]],"mmmm")))),"")</f>
        <v>NOVEMBRO</v>
      </c>
      <c r="Y497" s="523" t="str">
        <f>IFERROR(VLOOKUP(LANÇ_MOV[[#This Row],[PLANO DE CONTAS]],Plano_Contas[[PLANO DE CONTAS]:[NOMES INTERVALOS]],2,0),"")</f>
        <v>Receitas_Operacionais</v>
      </c>
      <c r="Z497" s="523" t="str">
        <f>IF(LANÇ_MOV[[#This Row],[FORMA DE PAGAMENTO]]="","",VLOOKUP(LANÇ_MOV[[#This Row],[FORMA DE PAGAMENTO]],CAD_Forma_pagto[],2,0))</f>
        <v>PIX</v>
      </c>
      <c r="AA497" s="524" t="str">
        <f>IF(LANÇ_MOV[[#This Row],[DATA DE LANÇAMENTO]]="","",TEXT(LANÇ_MOV[[#This Row],[DATA DE LANÇAMENTO]],"AAAA"))</f>
        <v>2025</v>
      </c>
      <c r="AB497" s="524" t="str">
        <f>IF(LANÇ_MOV[[#This Row],[DATA DE LANÇAMENTO]]="","",UPPER(TEXT(LANÇ_MOV[[#This Row],[DATA DE LANÇAMENTO]],"MMMM")))</f>
        <v>OUTUBRO</v>
      </c>
      <c r="AC497" s="525" t="str">
        <f>IF(LANÇ_MOV[[#This Row],[DATA DE LANÇAMENTO]]="","",PROPER(TEXT(LANÇ_MOV[[#This Row],[DATA DE LANÇAMENTO]],"M")))</f>
        <v>10</v>
      </c>
      <c r="AD497" s="524" t="str">
        <f>IF(LANÇ_MOV[[#This Row],[DATA DE LANÇAMENTO]]="","",TEXT(LANÇ_MOV[[#This Row],[DATA DE LANÇAMENTO]],"D"))</f>
        <v>10</v>
      </c>
      <c r="AE497" s="526" t="str">
        <f>IF(LANÇ_MOV[[#This Row],[DATA DE VENCIMENTO]]="","",TEXT(LANÇ_MOV[[#This Row],[DATA DE VENCIMENTO]],"AAAA"))</f>
        <v>2025</v>
      </c>
      <c r="AF497" s="526" t="str">
        <f>IF(LANÇ_MOV[[#This Row],[DATA DE VENCIMENTO]]="","",UPPER(TEXT(LANÇ_MOV[[#This Row],[DATA DE VENCIMENTO]],"MMMM")))</f>
        <v>NOVEMBRO</v>
      </c>
      <c r="AG497" s="526" t="str">
        <f>IF(LANÇ_MOV[[#This Row],[DATA DE VENCIMENTO]]="","",TEXT(LANÇ_MOV[[#This Row],[DATA DE VENCIMENTO]],"M"))</f>
        <v>11</v>
      </c>
      <c r="AH497" s="526" t="str">
        <f>IF(LANÇ_MOV[[#This Row],[DATA DE VENCIMENTO]]="","",TEXT(LANÇ_MOV[[#This Row],[DATA DE VENCIMENTO]],"D"))</f>
        <v>10</v>
      </c>
      <c r="AI497" s="526" t="str">
        <f>IF(LANÇ_MOV[[#This Row],[DATA DE PAGAMENTO]]="","",TEXT(LANÇ_MOV[[#This Row],[DATA DE PAGAMENTO]],"AAAA"))</f>
        <v>2025</v>
      </c>
      <c r="AJ497" s="527" t="str">
        <f>IF(LANÇ_MOV[[#This Row],[DATA DE PAGAMENTO]]="","",UPPER(TEXT(LANÇ_MOV[[#This Row],[DATA DE PAGAMENTO]],"MMMM")))</f>
        <v>NOVEMBRO</v>
      </c>
      <c r="AK497" s="527" t="str">
        <f>IF(LANÇ_MOV[[#This Row],[DATA DE PAGAMENTO]]="","",TEXT(LANÇ_MOV[[#This Row],[DATA DE PAGAMENTO]],"M"))</f>
        <v>11</v>
      </c>
      <c r="AL497" s="526" t="str">
        <f>IF(LANÇ_MOV[[#This Row],[DATA DE PAGAMENTO]]="","",TEXT(LANÇ_MOV[[#This Row],[DATA DE PAGAMENTO]],"D"))</f>
        <v>10</v>
      </c>
      <c r="AM497" s="27"/>
      <c r="BB497" s="112"/>
      <c r="BC497" s="112"/>
      <c r="BD497" s="112"/>
    </row>
    <row r="498" spans="2:56" ht="30.05" customHeight="1" x14ac:dyDescent="0.35">
      <c r="B498" s="506">
        <v>45940</v>
      </c>
      <c r="C498" s="507" t="s">
        <v>1661</v>
      </c>
      <c r="D498" s="508" t="s">
        <v>1854</v>
      </c>
      <c r="E498" s="509" t="s">
        <v>1103</v>
      </c>
      <c r="F498" s="510" t="s">
        <v>1785</v>
      </c>
      <c r="G498" s="507" t="s">
        <v>1857</v>
      </c>
      <c r="H498" s="511">
        <v>0</v>
      </c>
      <c r="I498" s="512" t="s">
        <v>1722</v>
      </c>
      <c r="J498" s="518">
        <v>350.35</v>
      </c>
      <c r="K498" s="513">
        <v>0</v>
      </c>
      <c r="L498" s="513"/>
      <c r="M498" s="513">
        <v>0</v>
      </c>
      <c r="N498" s="514">
        <f>LANÇ_MOV[[#This Row],[VALOR BRUTO]]-LANÇ_MOV[[#This Row],[DESCONTO]]+LANÇ_MOV[[#This Row],[JUROS]]+LANÇ_MOV[[#This Row],[MULTA]]</f>
        <v>350.35</v>
      </c>
      <c r="O498" s="528">
        <v>46001</v>
      </c>
      <c r="P498" s="516" t="str">
        <f t="shared" ca="1" si="7"/>
        <v>Prazo - Menos de 15 dias</v>
      </c>
      <c r="Q498" s="528"/>
      <c r="R498" s="529" t="s">
        <v>1564</v>
      </c>
      <c r="S498" s="518"/>
      <c r="T498" s="518" t="s">
        <v>1776</v>
      </c>
      <c r="U498" s="519" t="s">
        <v>2008</v>
      </c>
      <c r="V498" s="520" t="str">
        <f>IFERROR(VLOOKUP(LANÇ_MOV[[#This Row],[PLANO DE CONTAS]],Plano_Contas[[PLANO DE CONTAS]:[R / D]],3,0),"")</f>
        <v>Receita</v>
      </c>
      <c r="W498" s="521" t="str">
        <f>IF(LANÇ_MOV[[#This Row],[DATA DE PAGAMENTO]]&lt;&gt;"","Pago","Não Pago")</f>
        <v>Não Pago</v>
      </c>
      <c r="X498" s="522" t="str">
        <f>IFERROR(IF(LANÇ_MOV[[#This Row],[DATA DE PAGAMENTO]]="","",(UPPER(TEXT(LANÇ_MOV[[#This Row],[DATA DE PAGAMENTO]],"mmmm")))),"")</f>
        <v/>
      </c>
      <c r="Y498" s="523" t="str">
        <f>IFERROR(VLOOKUP(LANÇ_MOV[[#This Row],[PLANO DE CONTAS]],Plano_Contas[[PLANO DE CONTAS]:[NOMES INTERVALOS]],2,0),"")</f>
        <v>Receitas_Operacionais</v>
      </c>
      <c r="Z498" s="523" t="str">
        <f>IF(LANÇ_MOV[[#This Row],[FORMA DE PAGAMENTO]]="","",VLOOKUP(LANÇ_MOV[[#This Row],[FORMA DE PAGAMENTO]],CAD_Forma_pagto[],2,0))</f>
        <v>PIX</v>
      </c>
      <c r="AA498" s="524" t="str">
        <f>IF(LANÇ_MOV[[#This Row],[DATA DE LANÇAMENTO]]="","",TEXT(LANÇ_MOV[[#This Row],[DATA DE LANÇAMENTO]],"AAAA"))</f>
        <v>2025</v>
      </c>
      <c r="AB498" s="524" t="str">
        <f>IF(LANÇ_MOV[[#This Row],[DATA DE LANÇAMENTO]]="","",UPPER(TEXT(LANÇ_MOV[[#This Row],[DATA DE LANÇAMENTO]],"MMMM")))</f>
        <v>OUTUBRO</v>
      </c>
      <c r="AC498" s="525" t="str">
        <f>IF(LANÇ_MOV[[#This Row],[DATA DE LANÇAMENTO]]="","",PROPER(TEXT(LANÇ_MOV[[#This Row],[DATA DE LANÇAMENTO]],"M")))</f>
        <v>10</v>
      </c>
      <c r="AD498" s="524" t="str">
        <f>IF(LANÇ_MOV[[#This Row],[DATA DE LANÇAMENTO]]="","",TEXT(LANÇ_MOV[[#This Row],[DATA DE LANÇAMENTO]],"D"))</f>
        <v>10</v>
      </c>
      <c r="AE498" s="526" t="str">
        <f>IF(LANÇ_MOV[[#This Row],[DATA DE VENCIMENTO]]="","",TEXT(LANÇ_MOV[[#This Row],[DATA DE VENCIMENTO]],"AAAA"))</f>
        <v>2025</v>
      </c>
      <c r="AF498" s="526" t="str">
        <f>IF(LANÇ_MOV[[#This Row],[DATA DE VENCIMENTO]]="","",UPPER(TEXT(LANÇ_MOV[[#This Row],[DATA DE VENCIMENTO]],"MMMM")))</f>
        <v>DEZEMBRO</v>
      </c>
      <c r="AG498" s="526" t="str">
        <f>IF(LANÇ_MOV[[#This Row],[DATA DE VENCIMENTO]]="","",TEXT(LANÇ_MOV[[#This Row],[DATA DE VENCIMENTO]],"M"))</f>
        <v>12</v>
      </c>
      <c r="AH498" s="526" t="str">
        <f>IF(LANÇ_MOV[[#This Row],[DATA DE VENCIMENTO]]="","",TEXT(LANÇ_MOV[[#This Row],[DATA DE VENCIMENTO]],"D"))</f>
        <v>10</v>
      </c>
      <c r="AI498" s="526" t="str">
        <f>IF(LANÇ_MOV[[#This Row],[DATA DE PAGAMENTO]]="","",TEXT(LANÇ_MOV[[#This Row],[DATA DE PAGAMENTO]],"AAAA"))</f>
        <v/>
      </c>
      <c r="AJ498" s="527" t="str">
        <f>IF(LANÇ_MOV[[#This Row],[DATA DE PAGAMENTO]]="","",UPPER(TEXT(LANÇ_MOV[[#This Row],[DATA DE PAGAMENTO]],"MMMM")))</f>
        <v/>
      </c>
      <c r="AK498" s="527" t="str">
        <f>IF(LANÇ_MOV[[#This Row],[DATA DE PAGAMENTO]]="","",TEXT(LANÇ_MOV[[#This Row],[DATA DE PAGAMENTO]],"M"))</f>
        <v/>
      </c>
      <c r="AL498" s="526" t="str">
        <f>IF(LANÇ_MOV[[#This Row],[DATA DE PAGAMENTO]]="","",TEXT(LANÇ_MOV[[#This Row],[DATA DE PAGAMENTO]],"D"))</f>
        <v/>
      </c>
      <c r="AM498" s="27"/>
      <c r="BB498" s="112"/>
      <c r="BC498" s="112"/>
      <c r="BD498" s="112"/>
    </row>
    <row r="499" spans="2:56" ht="30.05" customHeight="1" x14ac:dyDescent="0.35">
      <c r="B499" s="506">
        <v>45940</v>
      </c>
      <c r="C499" s="507" t="s">
        <v>1661</v>
      </c>
      <c r="D499" s="508" t="s">
        <v>1854</v>
      </c>
      <c r="E499" s="509" t="s">
        <v>1103</v>
      </c>
      <c r="F499" s="510" t="s">
        <v>1785</v>
      </c>
      <c r="G499" s="507" t="s">
        <v>1858</v>
      </c>
      <c r="H499" s="511">
        <v>0</v>
      </c>
      <c r="I499" s="512" t="s">
        <v>1722</v>
      </c>
      <c r="J499" s="518">
        <v>350.35</v>
      </c>
      <c r="K499" s="513">
        <v>0</v>
      </c>
      <c r="L499" s="513"/>
      <c r="M499" s="513">
        <v>0</v>
      </c>
      <c r="N499" s="514">
        <f>LANÇ_MOV[[#This Row],[VALOR BRUTO]]-LANÇ_MOV[[#This Row],[DESCONTO]]+LANÇ_MOV[[#This Row],[JUROS]]+LANÇ_MOV[[#This Row],[MULTA]]</f>
        <v>350.35</v>
      </c>
      <c r="O499" s="528">
        <v>46032</v>
      </c>
      <c r="P499" s="516" t="str">
        <f t="shared" ca="1" si="7"/>
        <v>Prazo - Mais de 1 mês</v>
      </c>
      <c r="Q499" s="528"/>
      <c r="R499" s="529" t="s">
        <v>1564</v>
      </c>
      <c r="S499" s="518"/>
      <c r="T499" s="518" t="s">
        <v>1776</v>
      </c>
      <c r="U499" s="519" t="s">
        <v>2008</v>
      </c>
      <c r="V499" s="520" t="str">
        <f>IFERROR(VLOOKUP(LANÇ_MOV[[#This Row],[PLANO DE CONTAS]],Plano_Contas[[PLANO DE CONTAS]:[R / D]],3,0),"")</f>
        <v>Receita</v>
      </c>
      <c r="W499" s="521" t="str">
        <f>IF(LANÇ_MOV[[#This Row],[DATA DE PAGAMENTO]]&lt;&gt;"","Pago","Não Pago")</f>
        <v>Não Pago</v>
      </c>
      <c r="X499" s="522" t="str">
        <f>IFERROR(IF(LANÇ_MOV[[#This Row],[DATA DE PAGAMENTO]]="","",(UPPER(TEXT(LANÇ_MOV[[#This Row],[DATA DE PAGAMENTO]],"mmmm")))),"")</f>
        <v/>
      </c>
      <c r="Y499" s="523" t="str">
        <f>IFERROR(VLOOKUP(LANÇ_MOV[[#This Row],[PLANO DE CONTAS]],Plano_Contas[[PLANO DE CONTAS]:[NOMES INTERVALOS]],2,0),"")</f>
        <v>Receitas_Operacionais</v>
      </c>
      <c r="Z499" s="523" t="str">
        <f>IF(LANÇ_MOV[[#This Row],[FORMA DE PAGAMENTO]]="","",VLOOKUP(LANÇ_MOV[[#This Row],[FORMA DE PAGAMENTO]],CAD_Forma_pagto[],2,0))</f>
        <v>PIX</v>
      </c>
      <c r="AA499" s="524" t="str">
        <f>IF(LANÇ_MOV[[#This Row],[DATA DE LANÇAMENTO]]="","",TEXT(LANÇ_MOV[[#This Row],[DATA DE LANÇAMENTO]],"AAAA"))</f>
        <v>2025</v>
      </c>
      <c r="AB499" s="524" t="str">
        <f>IF(LANÇ_MOV[[#This Row],[DATA DE LANÇAMENTO]]="","",UPPER(TEXT(LANÇ_MOV[[#This Row],[DATA DE LANÇAMENTO]],"MMMM")))</f>
        <v>OUTUBRO</v>
      </c>
      <c r="AC499" s="525" t="str">
        <f>IF(LANÇ_MOV[[#This Row],[DATA DE LANÇAMENTO]]="","",PROPER(TEXT(LANÇ_MOV[[#This Row],[DATA DE LANÇAMENTO]],"M")))</f>
        <v>10</v>
      </c>
      <c r="AD499" s="524" t="str">
        <f>IF(LANÇ_MOV[[#This Row],[DATA DE LANÇAMENTO]]="","",TEXT(LANÇ_MOV[[#This Row],[DATA DE LANÇAMENTO]],"D"))</f>
        <v>10</v>
      </c>
      <c r="AE499" s="526" t="str">
        <f>IF(LANÇ_MOV[[#This Row],[DATA DE VENCIMENTO]]="","",TEXT(LANÇ_MOV[[#This Row],[DATA DE VENCIMENTO]],"AAAA"))</f>
        <v>2026</v>
      </c>
      <c r="AF499" s="526" t="str">
        <f>IF(LANÇ_MOV[[#This Row],[DATA DE VENCIMENTO]]="","",UPPER(TEXT(LANÇ_MOV[[#This Row],[DATA DE VENCIMENTO]],"MMMM")))</f>
        <v>JANEIRO</v>
      </c>
      <c r="AG499" s="526" t="str">
        <f>IF(LANÇ_MOV[[#This Row],[DATA DE VENCIMENTO]]="","",TEXT(LANÇ_MOV[[#This Row],[DATA DE VENCIMENTO]],"M"))</f>
        <v>1</v>
      </c>
      <c r="AH499" s="526" t="str">
        <f>IF(LANÇ_MOV[[#This Row],[DATA DE VENCIMENTO]]="","",TEXT(LANÇ_MOV[[#This Row],[DATA DE VENCIMENTO]],"D"))</f>
        <v>10</v>
      </c>
      <c r="AI499" s="526" t="str">
        <f>IF(LANÇ_MOV[[#This Row],[DATA DE PAGAMENTO]]="","",TEXT(LANÇ_MOV[[#This Row],[DATA DE PAGAMENTO]],"AAAA"))</f>
        <v/>
      </c>
      <c r="AJ499" s="527" t="str">
        <f>IF(LANÇ_MOV[[#This Row],[DATA DE PAGAMENTO]]="","",UPPER(TEXT(LANÇ_MOV[[#This Row],[DATA DE PAGAMENTO]],"MMMM")))</f>
        <v/>
      </c>
      <c r="AK499" s="527" t="str">
        <f>IF(LANÇ_MOV[[#This Row],[DATA DE PAGAMENTO]]="","",TEXT(LANÇ_MOV[[#This Row],[DATA DE PAGAMENTO]],"M"))</f>
        <v/>
      </c>
      <c r="AL499" s="526" t="str">
        <f>IF(LANÇ_MOV[[#This Row],[DATA DE PAGAMENTO]]="","",TEXT(LANÇ_MOV[[#This Row],[DATA DE PAGAMENTO]],"D"))</f>
        <v/>
      </c>
      <c r="AM499" s="27"/>
      <c r="BB499" s="112"/>
      <c r="BC499" s="112"/>
      <c r="BD499" s="112"/>
    </row>
    <row r="500" spans="2:56" ht="30.05" customHeight="1" x14ac:dyDescent="0.35">
      <c r="B500" s="506">
        <v>45940</v>
      </c>
      <c r="C500" s="507" t="s">
        <v>1661</v>
      </c>
      <c r="D500" s="508" t="s">
        <v>1854</v>
      </c>
      <c r="E500" s="509" t="s">
        <v>1103</v>
      </c>
      <c r="F500" s="510" t="s">
        <v>1785</v>
      </c>
      <c r="G500" s="507" t="s">
        <v>1855</v>
      </c>
      <c r="H500" s="511">
        <v>0</v>
      </c>
      <c r="I500" s="512" t="s">
        <v>1719</v>
      </c>
      <c r="J500" s="518">
        <v>350.35</v>
      </c>
      <c r="K500" s="513">
        <v>0</v>
      </c>
      <c r="L500" s="513">
        <v>0</v>
      </c>
      <c r="M500" s="513">
        <v>0</v>
      </c>
      <c r="N500" s="514">
        <f>LANÇ_MOV[[#This Row],[VALOR BRUTO]]-LANÇ_MOV[[#This Row],[DESCONTO]]+LANÇ_MOV[[#This Row],[JUROS]]+LANÇ_MOV[[#This Row],[MULTA]]</f>
        <v>350.35</v>
      </c>
      <c r="O500" s="528">
        <v>45940</v>
      </c>
      <c r="P500" s="516" t="str">
        <f t="shared" ca="1" si="7"/>
        <v>Pago</v>
      </c>
      <c r="Q500" s="528">
        <v>45940</v>
      </c>
      <c r="R500" s="529" t="s">
        <v>1564</v>
      </c>
      <c r="S500" s="518"/>
      <c r="T500" s="518" t="s">
        <v>1776</v>
      </c>
      <c r="U500" s="519" t="s">
        <v>2008</v>
      </c>
      <c r="V500" s="520" t="str">
        <f>IFERROR(VLOOKUP(LANÇ_MOV[[#This Row],[PLANO DE CONTAS]],Plano_Contas[[PLANO DE CONTAS]:[R / D]],3,0),"")</f>
        <v>Receita</v>
      </c>
      <c r="W500" s="521" t="str">
        <f>IF(LANÇ_MOV[[#This Row],[DATA DE PAGAMENTO]]&lt;&gt;"","Pago","Não Pago")</f>
        <v>Pago</v>
      </c>
      <c r="X500" s="522" t="str">
        <f>IFERROR(IF(LANÇ_MOV[[#This Row],[DATA DE PAGAMENTO]]="","",(UPPER(TEXT(LANÇ_MOV[[#This Row],[DATA DE PAGAMENTO]],"mmmm")))),"")</f>
        <v>OUTUBRO</v>
      </c>
      <c r="Y500" s="523" t="str">
        <f>IFERROR(VLOOKUP(LANÇ_MOV[[#This Row],[PLANO DE CONTAS]],Plano_Contas[[PLANO DE CONTAS]:[NOMES INTERVALOS]],2,0),"")</f>
        <v>Receitas_Operacionais</v>
      </c>
      <c r="Z500" s="523" t="str">
        <f>IF(LANÇ_MOV[[#This Row],[FORMA DE PAGAMENTO]]="","",VLOOKUP(LANÇ_MOV[[#This Row],[FORMA DE PAGAMENTO]],CAD_Forma_pagto[],2,0))</f>
        <v>PIX</v>
      </c>
      <c r="AA500" s="524" t="str">
        <f>IF(LANÇ_MOV[[#This Row],[DATA DE LANÇAMENTO]]="","",TEXT(LANÇ_MOV[[#This Row],[DATA DE LANÇAMENTO]],"AAAA"))</f>
        <v>2025</v>
      </c>
      <c r="AB500" s="524" t="str">
        <f>IF(LANÇ_MOV[[#This Row],[DATA DE LANÇAMENTO]]="","",UPPER(TEXT(LANÇ_MOV[[#This Row],[DATA DE LANÇAMENTO]],"MMMM")))</f>
        <v>OUTUBRO</v>
      </c>
      <c r="AC500" s="525" t="str">
        <f>IF(LANÇ_MOV[[#This Row],[DATA DE LANÇAMENTO]]="","",PROPER(TEXT(LANÇ_MOV[[#This Row],[DATA DE LANÇAMENTO]],"M")))</f>
        <v>10</v>
      </c>
      <c r="AD500" s="524" t="str">
        <f>IF(LANÇ_MOV[[#This Row],[DATA DE LANÇAMENTO]]="","",TEXT(LANÇ_MOV[[#This Row],[DATA DE LANÇAMENTO]],"D"))</f>
        <v>10</v>
      </c>
      <c r="AE500" s="526" t="str">
        <f>IF(LANÇ_MOV[[#This Row],[DATA DE VENCIMENTO]]="","",TEXT(LANÇ_MOV[[#This Row],[DATA DE VENCIMENTO]],"AAAA"))</f>
        <v>2025</v>
      </c>
      <c r="AF500" s="526" t="str">
        <f>IF(LANÇ_MOV[[#This Row],[DATA DE VENCIMENTO]]="","",UPPER(TEXT(LANÇ_MOV[[#This Row],[DATA DE VENCIMENTO]],"MMMM")))</f>
        <v>OUTUBRO</v>
      </c>
      <c r="AG500" s="526" t="str">
        <f>IF(LANÇ_MOV[[#This Row],[DATA DE VENCIMENTO]]="","",TEXT(LANÇ_MOV[[#This Row],[DATA DE VENCIMENTO]],"M"))</f>
        <v>10</v>
      </c>
      <c r="AH500" s="526" t="str">
        <f>IF(LANÇ_MOV[[#This Row],[DATA DE VENCIMENTO]]="","",TEXT(LANÇ_MOV[[#This Row],[DATA DE VENCIMENTO]],"D"))</f>
        <v>10</v>
      </c>
      <c r="AI500" s="526" t="str">
        <f>IF(LANÇ_MOV[[#This Row],[DATA DE PAGAMENTO]]="","",TEXT(LANÇ_MOV[[#This Row],[DATA DE PAGAMENTO]],"AAAA"))</f>
        <v>2025</v>
      </c>
      <c r="AJ500" s="527" t="str">
        <f>IF(LANÇ_MOV[[#This Row],[DATA DE PAGAMENTO]]="","",UPPER(TEXT(LANÇ_MOV[[#This Row],[DATA DE PAGAMENTO]],"MMMM")))</f>
        <v>OUTUBRO</v>
      </c>
      <c r="AK500" s="527" t="str">
        <f>IF(LANÇ_MOV[[#This Row],[DATA DE PAGAMENTO]]="","",TEXT(LANÇ_MOV[[#This Row],[DATA DE PAGAMENTO]],"M"))</f>
        <v>10</v>
      </c>
      <c r="AL500" s="526" t="str">
        <f>IF(LANÇ_MOV[[#This Row],[DATA DE PAGAMENTO]]="","",TEXT(LANÇ_MOV[[#This Row],[DATA DE PAGAMENTO]],"D"))</f>
        <v>10</v>
      </c>
      <c r="AM500" s="27"/>
      <c r="BB500" s="112"/>
      <c r="BC500" s="112"/>
      <c r="BD500" s="112"/>
    </row>
    <row r="501" spans="2:56" ht="30.05" customHeight="1" x14ac:dyDescent="0.35">
      <c r="B501" s="506">
        <v>45940</v>
      </c>
      <c r="C501" s="507" t="s">
        <v>1661</v>
      </c>
      <c r="D501" s="508" t="s">
        <v>1854</v>
      </c>
      <c r="E501" s="509" t="s">
        <v>1103</v>
      </c>
      <c r="F501" s="510" t="s">
        <v>1785</v>
      </c>
      <c r="G501" s="507" t="s">
        <v>1856</v>
      </c>
      <c r="H501" s="511">
        <v>0</v>
      </c>
      <c r="I501" s="512" t="s">
        <v>1719</v>
      </c>
      <c r="J501" s="518">
        <v>350.35</v>
      </c>
      <c r="K501" s="510">
        <v>0</v>
      </c>
      <c r="L501" s="510">
        <v>0</v>
      </c>
      <c r="M501" s="513">
        <v>0</v>
      </c>
      <c r="N501" s="514">
        <f>LANÇ_MOV[[#This Row],[VALOR BRUTO]]-LANÇ_MOV[[#This Row],[DESCONTO]]+LANÇ_MOV[[#This Row],[JUROS]]+LANÇ_MOV[[#This Row],[MULTA]]</f>
        <v>350.35</v>
      </c>
      <c r="O501" s="546">
        <v>45971</v>
      </c>
      <c r="P501" s="547" t="str">
        <f t="shared" ref="P501:P564" ca="1" si="8">IF(O501="","",IF(Q501&lt;&gt;"","Pago",IF(O501-TODAY()&gt;30,"Prazo - Mais de 1 mês",IF(O501=TODAY(),"Hoje",IF(O501&lt;TODAY(),"Venceu",IF(O501-TODAY()&lt;10,"Prazo - Menos de 10 dias",IF(O501-TODAY()&lt;15,"Prazo - Menos de 15 dias","Prazo - Menos de 1 Mês")))))))</f>
        <v>Venceu</v>
      </c>
      <c r="Q501" s="528"/>
      <c r="R501" s="529" t="s">
        <v>1564</v>
      </c>
      <c r="S501" s="518"/>
      <c r="T501" s="518" t="s">
        <v>1776</v>
      </c>
      <c r="U501" s="519" t="s">
        <v>2008</v>
      </c>
      <c r="V501" s="520" t="str">
        <f>IFERROR(VLOOKUP(LANÇ_MOV[[#This Row],[PLANO DE CONTAS]],Plano_Contas[[PLANO DE CONTAS]:[R / D]],3,0),"")</f>
        <v>Receita</v>
      </c>
      <c r="W501" s="521" t="str">
        <f>IF(LANÇ_MOV[[#This Row],[DATA DE PAGAMENTO]]&lt;&gt;"","Pago","Não Pago")</f>
        <v>Não Pago</v>
      </c>
      <c r="X501" s="522" t="str">
        <f>IFERROR(IF(LANÇ_MOV[[#This Row],[DATA DE PAGAMENTO]]="","",(UPPER(TEXT(LANÇ_MOV[[#This Row],[DATA DE PAGAMENTO]],"mmmm")))),"")</f>
        <v/>
      </c>
      <c r="Y501" s="523" t="str">
        <f>IFERROR(VLOOKUP(LANÇ_MOV[[#This Row],[PLANO DE CONTAS]],Plano_Contas[[PLANO DE CONTAS]:[NOMES INTERVALOS]],2,0),"")</f>
        <v>Receitas_Operacionais</v>
      </c>
      <c r="Z501" s="523" t="str">
        <f>IF(LANÇ_MOV[[#This Row],[FORMA DE PAGAMENTO]]="","",VLOOKUP(LANÇ_MOV[[#This Row],[FORMA DE PAGAMENTO]],CAD_Forma_pagto[],2,0))</f>
        <v>PIX</v>
      </c>
      <c r="AA501" s="524" t="str">
        <f>IF(LANÇ_MOV[[#This Row],[DATA DE LANÇAMENTO]]="","",TEXT(LANÇ_MOV[[#This Row],[DATA DE LANÇAMENTO]],"AAAA"))</f>
        <v>2025</v>
      </c>
      <c r="AB501" s="524" t="str">
        <f>IF(LANÇ_MOV[[#This Row],[DATA DE LANÇAMENTO]]="","",UPPER(TEXT(LANÇ_MOV[[#This Row],[DATA DE LANÇAMENTO]],"MMMM")))</f>
        <v>OUTUBRO</v>
      </c>
      <c r="AC501" s="525" t="str">
        <f>IF(LANÇ_MOV[[#This Row],[DATA DE LANÇAMENTO]]="","",PROPER(TEXT(LANÇ_MOV[[#This Row],[DATA DE LANÇAMENTO]],"M")))</f>
        <v>10</v>
      </c>
      <c r="AD501" s="524" t="str">
        <f>IF(LANÇ_MOV[[#This Row],[DATA DE LANÇAMENTO]]="","",TEXT(LANÇ_MOV[[#This Row],[DATA DE LANÇAMENTO]],"D"))</f>
        <v>10</v>
      </c>
      <c r="AE501" s="526" t="str">
        <f>IF(LANÇ_MOV[[#This Row],[DATA DE VENCIMENTO]]="","",TEXT(LANÇ_MOV[[#This Row],[DATA DE VENCIMENTO]],"AAAA"))</f>
        <v>2025</v>
      </c>
      <c r="AF501" s="526" t="str">
        <f>IF(LANÇ_MOV[[#This Row],[DATA DE VENCIMENTO]]="","",UPPER(TEXT(LANÇ_MOV[[#This Row],[DATA DE VENCIMENTO]],"MMMM")))</f>
        <v>NOVEMBRO</v>
      </c>
      <c r="AG501" s="526" t="str">
        <f>IF(LANÇ_MOV[[#This Row],[DATA DE VENCIMENTO]]="","",TEXT(LANÇ_MOV[[#This Row],[DATA DE VENCIMENTO]],"M"))</f>
        <v>11</v>
      </c>
      <c r="AH501" s="526" t="str">
        <f>IF(LANÇ_MOV[[#This Row],[DATA DE VENCIMENTO]]="","",TEXT(LANÇ_MOV[[#This Row],[DATA DE VENCIMENTO]],"D"))</f>
        <v>10</v>
      </c>
      <c r="AI501" s="526" t="str">
        <f>IF(LANÇ_MOV[[#This Row],[DATA DE PAGAMENTO]]="","",TEXT(LANÇ_MOV[[#This Row],[DATA DE PAGAMENTO]],"AAAA"))</f>
        <v/>
      </c>
      <c r="AJ501" s="527" t="str">
        <f>IF(LANÇ_MOV[[#This Row],[DATA DE PAGAMENTO]]="","",UPPER(TEXT(LANÇ_MOV[[#This Row],[DATA DE PAGAMENTO]],"MMMM")))</f>
        <v/>
      </c>
      <c r="AK501" s="527" t="str">
        <f>IF(LANÇ_MOV[[#This Row],[DATA DE PAGAMENTO]]="","",TEXT(LANÇ_MOV[[#This Row],[DATA DE PAGAMENTO]],"M"))</f>
        <v/>
      </c>
      <c r="AL501" s="526" t="str">
        <f>IF(LANÇ_MOV[[#This Row],[DATA DE PAGAMENTO]]="","",TEXT(LANÇ_MOV[[#This Row],[DATA DE PAGAMENTO]],"D"))</f>
        <v/>
      </c>
    </row>
    <row r="502" spans="2:56" ht="30.05" customHeight="1" x14ac:dyDescent="0.35">
      <c r="B502" s="506">
        <v>45940</v>
      </c>
      <c r="C502" s="507" t="s">
        <v>1661</v>
      </c>
      <c r="D502" s="508" t="s">
        <v>1854</v>
      </c>
      <c r="E502" s="509" t="s">
        <v>1103</v>
      </c>
      <c r="F502" s="510" t="s">
        <v>1785</v>
      </c>
      <c r="G502" s="507" t="s">
        <v>1857</v>
      </c>
      <c r="H502" s="511">
        <v>0</v>
      </c>
      <c r="I502" s="512" t="s">
        <v>1719</v>
      </c>
      <c r="J502" s="518">
        <v>350.35</v>
      </c>
      <c r="K502" s="510">
        <v>0</v>
      </c>
      <c r="L502" s="510"/>
      <c r="M502" s="548">
        <v>0</v>
      </c>
      <c r="N502" s="514">
        <f>LANÇ_MOV[[#This Row],[VALOR BRUTO]]-LANÇ_MOV[[#This Row],[DESCONTO]]+LANÇ_MOV[[#This Row],[JUROS]]+LANÇ_MOV[[#This Row],[MULTA]]</f>
        <v>350.35</v>
      </c>
      <c r="O502" s="546">
        <v>46001</v>
      </c>
      <c r="P502" s="547" t="str">
        <f t="shared" ca="1" si="8"/>
        <v>Prazo - Menos de 15 dias</v>
      </c>
      <c r="Q502" s="528"/>
      <c r="R502" s="529" t="s">
        <v>1564</v>
      </c>
      <c r="S502" s="518"/>
      <c r="T502" s="518" t="s">
        <v>1776</v>
      </c>
      <c r="U502" s="519" t="s">
        <v>2008</v>
      </c>
      <c r="V502" s="520" t="str">
        <f>IFERROR(VLOOKUP(LANÇ_MOV[[#This Row],[PLANO DE CONTAS]],Plano_Contas[[PLANO DE CONTAS]:[R / D]],3,0),"")</f>
        <v>Receita</v>
      </c>
      <c r="W502" s="521" t="str">
        <f>IF(LANÇ_MOV[[#This Row],[DATA DE PAGAMENTO]]&lt;&gt;"","Pago","Não Pago")</f>
        <v>Não Pago</v>
      </c>
      <c r="X502" s="522" t="str">
        <f>IFERROR(IF(LANÇ_MOV[[#This Row],[DATA DE PAGAMENTO]]="","",(UPPER(TEXT(LANÇ_MOV[[#This Row],[DATA DE PAGAMENTO]],"mmmm")))),"")</f>
        <v/>
      </c>
      <c r="Y502" s="523" t="str">
        <f>IFERROR(VLOOKUP(LANÇ_MOV[[#This Row],[PLANO DE CONTAS]],Plano_Contas[[PLANO DE CONTAS]:[NOMES INTERVALOS]],2,0),"")</f>
        <v>Receitas_Operacionais</v>
      </c>
      <c r="Z502" s="523" t="str">
        <f>IF(LANÇ_MOV[[#This Row],[FORMA DE PAGAMENTO]]="","",VLOOKUP(LANÇ_MOV[[#This Row],[FORMA DE PAGAMENTO]],CAD_Forma_pagto[],2,0))</f>
        <v>PIX</v>
      </c>
      <c r="AA502" s="524" t="str">
        <f>IF(LANÇ_MOV[[#This Row],[DATA DE LANÇAMENTO]]="","",TEXT(LANÇ_MOV[[#This Row],[DATA DE LANÇAMENTO]],"AAAA"))</f>
        <v>2025</v>
      </c>
      <c r="AB502" s="524" t="str">
        <f>IF(LANÇ_MOV[[#This Row],[DATA DE LANÇAMENTO]]="","",UPPER(TEXT(LANÇ_MOV[[#This Row],[DATA DE LANÇAMENTO]],"MMMM")))</f>
        <v>OUTUBRO</v>
      </c>
      <c r="AC502" s="525" t="str">
        <f>IF(LANÇ_MOV[[#This Row],[DATA DE LANÇAMENTO]]="","",PROPER(TEXT(LANÇ_MOV[[#This Row],[DATA DE LANÇAMENTO]],"M")))</f>
        <v>10</v>
      </c>
      <c r="AD502" s="524" t="str">
        <f>IF(LANÇ_MOV[[#This Row],[DATA DE LANÇAMENTO]]="","",TEXT(LANÇ_MOV[[#This Row],[DATA DE LANÇAMENTO]],"D"))</f>
        <v>10</v>
      </c>
      <c r="AE502" s="526" t="str">
        <f>IF(LANÇ_MOV[[#This Row],[DATA DE VENCIMENTO]]="","",TEXT(LANÇ_MOV[[#This Row],[DATA DE VENCIMENTO]],"AAAA"))</f>
        <v>2025</v>
      </c>
      <c r="AF502" s="526" t="str">
        <f>IF(LANÇ_MOV[[#This Row],[DATA DE VENCIMENTO]]="","",UPPER(TEXT(LANÇ_MOV[[#This Row],[DATA DE VENCIMENTO]],"MMMM")))</f>
        <v>DEZEMBRO</v>
      </c>
      <c r="AG502" s="526" t="str">
        <f>IF(LANÇ_MOV[[#This Row],[DATA DE VENCIMENTO]]="","",TEXT(LANÇ_MOV[[#This Row],[DATA DE VENCIMENTO]],"M"))</f>
        <v>12</v>
      </c>
      <c r="AH502" s="526" t="str">
        <f>IF(LANÇ_MOV[[#This Row],[DATA DE VENCIMENTO]]="","",TEXT(LANÇ_MOV[[#This Row],[DATA DE VENCIMENTO]],"D"))</f>
        <v>10</v>
      </c>
      <c r="AI502" s="526" t="str">
        <f>IF(LANÇ_MOV[[#This Row],[DATA DE PAGAMENTO]]="","",TEXT(LANÇ_MOV[[#This Row],[DATA DE PAGAMENTO]],"AAAA"))</f>
        <v/>
      </c>
      <c r="AJ502" s="527" t="str">
        <f>IF(LANÇ_MOV[[#This Row],[DATA DE PAGAMENTO]]="","",UPPER(TEXT(LANÇ_MOV[[#This Row],[DATA DE PAGAMENTO]],"MMMM")))</f>
        <v/>
      </c>
      <c r="AK502" s="527" t="str">
        <f>IF(LANÇ_MOV[[#This Row],[DATA DE PAGAMENTO]]="","",TEXT(LANÇ_MOV[[#This Row],[DATA DE PAGAMENTO]],"M"))</f>
        <v/>
      </c>
      <c r="AL502" s="526" t="str">
        <f>IF(LANÇ_MOV[[#This Row],[DATA DE PAGAMENTO]]="","",TEXT(LANÇ_MOV[[#This Row],[DATA DE PAGAMENTO]],"D"))</f>
        <v/>
      </c>
    </row>
    <row r="503" spans="2:56" ht="30.05" customHeight="1" x14ac:dyDescent="0.35">
      <c r="B503" s="506">
        <v>45940</v>
      </c>
      <c r="C503" s="507" t="s">
        <v>1661</v>
      </c>
      <c r="D503" s="508" t="s">
        <v>1854</v>
      </c>
      <c r="E503" s="509" t="s">
        <v>1103</v>
      </c>
      <c r="F503" s="510" t="s">
        <v>1785</v>
      </c>
      <c r="G503" s="507" t="s">
        <v>1858</v>
      </c>
      <c r="H503" s="511">
        <v>0</v>
      </c>
      <c r="I503" s="512" t="s">
        <v>1719</v>
      </c>
      <c r="J503" s="518">
        <v>350.35</v>
      </c>
      <c r="K503" s="510">
        <v>0</v>
      </c>
      <c r="L503" s="510"/>
      <c r="M503" s="548">
        <v>0</v>
      </c>
      <c r="N503" s="514">
        <f>LANÇ_MOV[[#This Row],[VALOR BRUTO]]-LANÇ_MOV[[#This Row],[DESCONTO]]+LANÇ_MOV[[#This Row],[JUROS]]+LANÇ_MOV[[#This Row],[MULTA]]</f>
        <v>350.35</v>
      </c>
      <c r="O503" s="546">
        <v>46032</v>
      </c>
      <c r="P503" s="547" t="str">
        <f t="shared" ca="1" si="8"/>
        <v>Prazo - Mais de 1 mês</v>
      </c>
      <c r="Q503" s="528"/>
      <c r="R503" s="529" t="s">
        <v>1564</v>
      </c>
      <c r="S503" s="518"/>
      <c r="T503" s="518" t="s">
        <v>1776</v>
      </c>
      <c r="U503" s="519" t="s">
        <v>2008</v>
      </c>
      <c r="V503" s="520" t="str">
        <f>IFERROR(VLOOKUP(LANÇ_MOV[[#This Row],[PLANO DE CONTAS]],Plano_Contas[[PLANO DE CONTAS]:[R / D]],3,0),"")</f>
        <v>Receita</v>
      </c>
      <c r="W503" s="521" t="str">
        <f>IF(LANÇ_MOV[[#This Row],[DATA DE PAGAMENTO]]&lt;&gt;"","Pago","Não Pago")</f>
        <v>Não Pago</v>
      </c>
      <c r="X503" s="522" t="str">
        <f>IFERROR(IF(LANÇ_MOV[[#This Row],[DATA DE PAGAMENTO]]="","",(UPPER(TEXT(LANÇ_MOV[[#This Row],[DATA DE PAGAMENTO]],"mmmm")))),"")</f>
        <v/>
      </c>
      <c r="Y503" s="523" t="str">
        <f>IFERROR(VLOOKUP(LANÇ_MOV[[#This Row],[PLANO DE CONTAS]],Plano_Contas[[PLANO DE CONTAS]:[NOMES INTERVALOS]],2,0),"")</f>
        <v>Receitas_Operacionais</v>
      </c>
      <c r="Z503" s="523" t="str">
        <f>IF(LANÇ_MOV[[#This Row],[FORMA DE PAGAMENTO]]="","",VLOOKUP(LANÇ_MOV[[#This Row],[FORMA DE PAGAMENTO]],CAD_Forma_pagto[],2,0))</f>
        <v>PIX</v>
      </c>
      <c r="AA503" s="524" t="str">
        <f>IF(LANÇ_MOV[[#This Row],[DATA DE LANÇAMENTO]]="","",TEXT(LANÇ_MOV[[#This Row],[DATA DE LANÇAMENTO]],"AAAA"))</f>
        <v>2025</v>
      </c>
      <c r="AB503" s="524" t="str">
        <f>IF(LANÇ_MOV[[#This Row],[DATA DE LANÇAMENTO]]="","",UPPER(TEXT(LANÇ_MOV[[#This Row],[DATA DE LANÇAMENTO]],"MMMM")))</f>
        <v>OUTUBRO</v>
      </c>
      <c r="AC503" s="525" t="str">
        <f>IF(LANÇ_MOV[[#This Row],[DATA DE LANÇAMENTO]]="","",PROPER(TEXT(LANÇ_MOV[[#This Row],[DATA DE LANÇAMENTO]],"M")))</f>
        <v>10</v>
      </c>
      <c r="AD503" s="524" t="str">
        <f>IF(LANÇ_MOV[[#This Row],[DATA DE LANÇAMENTO]]="","",TEXT(LANÇ_MOV[[#This Row],[DATA DE LANÇAMENTO]],"D"))</f>
        <v>10</v>
      </c>
      <c r="AE503" s="526" t="str">
        <f>IF(LANÇ_MOV[[#This Row],[DATA DE VENCIMENTO]]="","",TEXT(LANÇ_MOV[[#This Row],[DATA DE VENCIMENTO]],"AAAA"))</f>
        <v>2026</v>
      </c>
      <c r="AF503" s="526" t="str">
        <f>IF(LANÇ_MOV[[#This Row],[DATA DE VENCIMENTO]]="","",UPPER(TEXT(LANÇ_MOV[[#This Row],[DATA DE VENCIMENTO]],"MMMM")))</f>
        <v>JANEIRO</v>
      </c>
      <c r="AG503" s="526" t="str">
        <f>IF(LANÇ_MOV[[#This Row],[DATA DE VENCIMENTO]]="","",TEXT(LANÇ_MOV[[#This Row],[DATA DE VENCIMENTO]],"M"))</f>
        <v>1</v>
      </c>
      <c r="AH503" s="526" t="str">
        <f>IF(LANÇ_MOV[[#This Row],[DATA DE VENCIMENTO]]="","",TEXT(LANÇ_MOV[[#This Row],[DATA DE VENCIMENTO]],"D"))</f>
        <v>10</v>
      </c>
      <c r="AI503" s="526" t="str">
        <f>IF(LANÇ_MOV[[#This Row],[DATA DE PAGAMENTO]]="","",TEXT(LANÇ_MOV[[#This Row],[DATA DE PAGAMENTO]],"AAAA"))</f>
        <v/>
      </c>
      <c r="AJ503" s="527" t="str">
        <f>IF(LANÇ_MOV[[#This Row],[DATA DE PAGAMENTO]]="","",UPPER(TEXT(LANÇ_MOV[[#This Row],[DATA DE PAGAMENTO]],"MMMM")))</f>
        <v/>
      </c>
      <c r="AK503" s="527" t="str">
        <f>IF(LANÇ_MOV[[#This Row],[DATA DE PAGAMENTO]]="","",TEXT(LANÇ_MOV[[#This Row],[DATA DE PAGAMENTO]],"M"))</f>
        <v/>
      </c>
      <c r="AL503" s="526" t="str">
        <f>IF(LANÇ_MOV[[#This Row],[DATA DE PAGAMENTO]]="","",TEXT(LANÇ_MOV[[#This Row],[DATA DE PAGAMENTO]],"D"))</f>
        <v/>
      </c>
    </row>
    <row r="504" spans="2:56" ht="30.05" customHeight="1" x14ac:dyDescent="0.35">
      <c r="B504" s="506">
        <v>45940</v>
      </c>
      <c r="C504" s="507" t="s">
        <v>1661</v>
      </c>
      <c r="D504" s="508" t="s">
        <v>1854</v>
      </c>
      <c r="E504" s="509" t="s">
        <v>1103</v>
      </c>
      <c r="F504" s="510" t="s">
        <v>1785</v>
      </c>
      <c r="G504" s="507" t="s">
        <v>1856</v>
      </c>
      <c r="H504" s="511">
        <v>0</v>
      </c>
      <c r="I504" s="512" t="s">
        <v>1686</v>
      </c>
      <c r="J504" s="518">
        <v>378.38</v>
      </c>
      <c r="K504" s="510">
        <v>0</v>
      </c>
      <c r="L504" s="510">
        <v>0</v>
      </c>
      <c r="M504" s="548">
        <v>0</v>
      </c>
      <c r="N504" s="514">
        <f>LANÇ_MOV[[#This Row],[VALOR BRUTO]]-LANÇ_MOV[[#This Row],[DESCONTO]]+LANÇ_MOV[[#This Row],[JUROS]]+LANÇ_MOV[[#This Row],[MULTA]]</f>
        <v>378.38</v>
      </c>
      <c r="O504" s="546">
        <v>45940</v>
      </c>
      <c r="P504" s="547" t="str">
        <f t="shared" ca="1" si="8"/>
        <v>Pago</v>
      </c>
      <c r="Q504" s="528">
        <v>45940</v>
      </c>
      <c r="R504" s="529" t="s">
        <v>1564</v>
      </c>
      <c r="S504" s="518"/>
      <c r="T504" s="518" t="s">
        <v>1776</v>
      </c>
      <c r="U504" s="519" t="s">
        <v>2008</v>
      </c>
      <c r="V504" s="520" t="str">
        <f>IFERROR(VLOOKUP(LANÇ_MOV[[#This Row],[PLANO DE CONTAS]],Plano_Contas[[PLANO DE CONTAS]:[R / D]],3,0),"")</f>
        <v>Receita</v>
      </c>
      <c r="W504" s="521" t="str">
        <f>IF(LANÇ_MOV[[#This Row],[DATA DE PAGAMENTO]]&lt;&gt;"","Pago","Não Pago")</f>
        <v>Pago</v>
      </c>
      <c r="X504" s="522" t="str">
        <f>IFERROR(IF(LANÇ_MOV[[#This Row],[DATA DE PAGAMENTO]]="","",(UPPER(TEXT(LANÇ_MOV[[#This Row],[DATA DE PAGAMENTO]],"mmmm")))),"")</f>
        <v>OUTUBRO</v>
      </c>
      <c r="Y504" s="523" t="str">
        <f>IFERROR(VLOOKUP(LANÇ_MOV[[#This Row],[PLANO DE CONTAS]],Plano_Contas[[PLANO DE CONTAS]:[NOMES INTERVALOS]],2,0),"")</f>
        <v>Receitas_Operacionais</v>
      </c>
      <c r="Z504" s="523" t="str">
        <f>IF(LANÇ_MOV[[#This Row],[FORMA DE PAGAMENTO]]="","",VLOOKUP(LANÇ_MOV[[#This Row],[FORMA DE PAGAMENTO]],CAD_Forma_pagto[],2,0))</f>
        <v>PIX</v>
      </c>
      <c r="AA504" s="524" t="str">
        <f>IF(LANÇ_MOV[[#This Row],[DATA DE LANÇAMENTO]]="","",TEXT(LANÇ_MOV[[#This Row],[DATA DE LANÇAMENTO]],"AAAA"))</f>
        <v>2025</v>
      </c>
      <c r="AB504" s="524" t="str">
        <f>IF(LANÇ_MOV[[#This Row],[DATA DE LANÇAMENTO]]="","",UPPER(TEXT(LANÇ_MOV[[#This Row],[DATA DE LANÇAMENTO]],"MMMM")))</f>
        <v>OUTUBRO</v>
      </c>
      <c r="AC504" s="525" t="str">
        <f>IF(LANÇ_MOV[[#This Row],[DATA DE LANÇAMENTO]]="","",PROPER(TEXT(LANÇ_MOV[[#This Row],[DATA DE LANÇAMENTO]],"M")))</f>
        <v>10</v>
      </c>
      <c r="AD504" s="524" t="str">
        <f>IF(LANÇ_MOV[[#This Row],[DATA DE LANÇAMENTO]]="","",TEXT(LANÇ_MOV[[#This Row],[DATA DE LANÇAMENTO]],"D"))</f>
        <v>10</v>
      </c>
      <c r="AE504" s="526" t="str">
        <f>IF(LANÇ_MOV[[#This Row],[DATA DE VENCIMENTO]]="","",TEXT(LANÇ_MOV[[#This Row],[DATA DE VENCIMENTO]],"AAAA"))</f>
        <v>2025</v>
      </c>
      <c r="AF504" s="526" t="str">
        <f>IF(LANÇ_MOV[[#This Row],[DATA DE VENCIMENTO]]="","",UPPER(TEXT(LANÇ_MOV[[#This Row],[DATA DE VENCIMENTO]],"MMMM")))</f>
        <v>OUTUBRO</v>
      </c>
      <c r="AG504" s="526" t="str">
        <f>IF(LANÇ_MOV[[#This Row],[DATA DE VENCIMENTO]]="","",TEXT(LANÇ_MOV[[#This Row],[DATA DE VENCIMENTO]],"M"))</f>
        <v>10</v>
      </c>
      <c r="AH504" s="526" t="str">
        <f>IF(LANÇ_MOV[[#This Row],[DATA DE VENCIMENTO]]="","",TEXT(LANÇ_MOV[[#This Row],[DATA DE VENCIMENTO]],"D"))</f>
        <v>10</v>
      </c>
      <c r="AI504" s="526" t="str">
        <f>IF(LANÇ_MOV[[#This Row],[DATA DE PAGAMENTO]]="","",TEXT(LANÇ_MOV[[#This Row],[DATA DE PAGAMENTO]],"AAAA"))</f>
        <v>2025</v>
      </c>
      <c r="AJ504" s="527" t="str">
        <f>IF(LANÇ_MOV[[#This Row],[DATA DE PAGAMENTO]]="","",UPPER(TEXT(LANÇ_MOV[[#This Row],[DATA DE PAGAMENTO]],"MMMM")))</f>
        <v>OUTUBRO</v>
      </c>
      <c r="AK504" s="527" t="str">
        <f>IF(LANÇ_MOV[[#This Row],[DATA DE PAGAMENTO]]="","",TEXT(LANÇ_MOV[[#This Row],[DATA DE PAGAMENTO]],"M"))</f>
        <v>10</v>
      </c>
      <c r="AL504" s="526" t="str">
        <f>IF(LANÇ_MOV[[#This Row],[DATA DE PAGAMENTO]]="","",TEXT(LANÇ_MOV[[#This Row],[DATA DE PAGAMENTO]],"D"))</f>
        <v>10</v>
      </c>
    </row>
    <row r="505" spans="2:56" ht="30.05" customHeight="1" x14ac:dyDescent="0.35">
      <c r="B505" s="506">
        <v>45940</v>
      </c>
      <c r="C505" s="507" t="s">
        <v>1661</v>
      </c>
      <c r="D505" s="508" t="s">
        <v>1854</v>
      </c>
      <c r="E505" s="509" t="s">
        <v>1103</v>
      </c>
      <c r="F505" s="510" t="s">
        <v>1785</v>
      </c>
      <c r="G505" s="507" t="s">
        <v>1857</v>
      </c>
      <c r="H505" s="511">
        <v>0</v>
      </c>
      <c r="I505" s="512" t="s">
        <v>1686</v>
      </c>
      <c r="J505" s="518">
        <v>378.38</v>
      </c>
      <c r="K505" s="510">
        <v>0</v>
      </c>
      <c r="L505" s="510">
        <v>0</v>
      </c>
      <c r="M505" s="548">
        <v>0</v>
      </c>
      <c r="N505" s="514">
        <f>LANÇ_MOV[[#This Row],[VALOR BRUTO]]-LANÇ_MOV[[#This Row],[DESCONTO]]+LANÇ_MOV[[#This Row],[JUROS]]+LANÇ_MOV[[#This Row],[MULTA]]</f>
        <v>378.38</v>
      </c>
      <c r="O505" s="546">
        <v>45971</v>
      </c>
      <c r="P505" s="547" t="str">
        <f t="shared" ca="1" si="8"/>
        <v>Pago</v>
      </c>
      <c r="Q505" s="528">
        <v>45971</v>
      </c>
      <c r="R505" s="529" t="s">
        <v>1564</v>
      </c>
      <c r="S505" s="518"/>
      <c r="T505" s="518" t="s">
        <v>1776</v>
      </c>
      <c r="U505" s="519" t="s">
        <v>2008</v>
      </c>
      <c r="V505" s="520" t="str">
        <f>IFERROR(VLOOKUP(LANÇ_MOV[[#This Row],[PLANO DE CONTAS]],Plano_Contas[[PLANO DE CONTAS]:[R / D]],3,0),"")</f>
        <v>Receita</v>
      </c>
      <c r="W505" s="521" t="str">
        <f>IF(LANÇ_MOV[[#This Row],[DATA DE PAGAMENTO]]&lt;&gt;"","Pago","Não Pago")</f>
        <v>Pago</v>
      </c>
      <c r="X505" s="522" t="str">
        <f>IFERROR(IF(LANÇ_MOV[[#This Row],[DATA DE PAGAMENTO]]="","",(UPPER(TEXT(LANÇ_MOV[[#This Row],[DATA DE PAGAMENTO]],"mmmm")))),"")</f>
        <v>NOVEMBRO</v>
      </c>
      <c r="Y505" s="523" t="str">
        <f>IFERROR(VLOOKUP(LANÇ_MOV[[#This Row],[PLANO DE CONTAS]],Plano_Contas[[PLANO DE CONTAS]:[NOMES INTERVALOS]],2,0),"")</f>
        <v>Receitas_Operacionais</v>
      </c>
      <c r="Z505" s="523" t="str">
        <f>IF(LANÇ_MOV[[#This Row],[FORMA DE PAGAMENTO]]="","",VLOOKUP(LANÇ_MOV[[#This Row],[FORMA DE PAGAMENTO]],CAD_Forma_pagto[],2,0))</f>
        <v>PIX</v>
      </c>
      <c r="AA505" s="524" t="str">
        <f>IF(LANÇ_MOV[[#This Row],[DATA DE LANÇAMENTO]]="","",TEXT(LANÇ_MOV[[#This Row],[DATA DE LANÇAMENTO]],"AAAA"))</f>
        <v>2025</v>
      </c>
      <c r="AB505" s="524" t="str">
        <f>IF(LANÇ_MOV[[#This Row],[DATA DE LANÇAMENTO]]="","",UPPER(TEXT(LANÇ_MOV[[#This Row],[DATA DE LANÇAMENTO]],"MMMM")))</f>
        <v>OUTUBRO</v>
      </c>
      <c r="AC505" s="525" t="str">
        <f>IF(LANÇ_MOV[[#This Row],[DATA DE LANÇAMENTO]]="","",PROPER(TEXT(LANÇ_MOV[[#This Row],[DATA DE LANÇAMENTO]],"M")))</f>
        <v>10</v>
      </c>
      <c r="AD505" s="524" t="str">
        <f>IF(LANÇ_MOV[[#This Row],[DATA DE LANÇAMENTO]]="","",TEXT(LANÇ_MOV[[#This Row],[DATA DE LANÇAMENTO]],"D"))</f>
        <v>10</v>
      </c>
      <c r="AE505" s="526" t="str">
        <f>IF(LANÇ_MOV[[#This Row],[DATA DE VENCIMENTO]]="","",TEXT(LANÇ_MOV[[#This Row],[DATA DE VENCIMENTO]],"AAAA"))</f>
        <v>2025</v>
      </c>
      <c r="AF505" s="526" t="str">
        <f>IF(LANÇ_MOV[[#This Row],[DATA DE VENCIMENTO]]="","",UPPER(TEXT(LANÇ_MOV[[#This Row],[DATA DE VENCIMENTO]],"MMMM")))</f>
        <v>NOVEMBRO</v>
      </c>
      <c r="AG505" s="526" t="str">
        <f>IF(LANÇ_MOV[[#This Row],[DATA DE VENCIMENTO]]="","",TEXT(LANÇ_MOV[[#This Row],[DATA DE VENCIMENTO]],"M"))</f>
        <v>11</v>
      </c>
      <c r="AH505" s="526" t="str">
        <f>IF(LANÇ_MOV[[#This Row],[DATA DE VENCIMENTO]]="","",TEXT(LANÇ_MOV[[#This Row],[DATA DE VENCIMENTO]],"D"))</f>
        <v>10</v>
      </c>
      <c r="AI505" s="526" t="str">
        <f>IF(LANÇ_MOV[[#This Row],[DATA DE PAGAMENTO]]="","",TEXT(LANÇ_MOV[[#This Row],[DATA DE PAGAMENTO]],"AAAA"))</f>
        <v>2025</v>
      </c>
      <c r="AJ505" s="527" t="str">
        <f>IF(LANÇ_MOV[[#This Row],[DATA DE PAGAMENTO]]="","",UPPER(TEXT(LANÇ_MOV[[#This Row],[DATA DE PAGAMENTO]],"MMMM")))</f>
        <v>NOVEMBRO</v>
      </c>
      <c r="AK505" s="527" t="str">
        <f>IF(LANÇ_MOV[[#This Row],[DATA DE PAGAMENTO]]="","",TEXT(LANÇ_MOV[[#This Row],[DATA DE PAGAMENTO]],"M"))</f>
        <v>11</v>
      </c>
      <c r="AL505" s="526" t="str">
        <f>IF(LANÇ_MOV[[#This Row],[DATA DE PAGAMENTO]]="","",TEXT(LANÇ_MOV[[#This Row],[DATA DE PAGAMENTO]],"D"))</f>
        <v>10</v>
      </c>
    </row>
    <row r="506" spans="2:56" ht="30.05" customHeight="1" x14ac:dyDescent="0.35">
      <c r="B506" s="506">
        <v>45940</v>
      </c>
      <c r="C506" s="507" t="s">
        <v>1661</v>
      </c>
      <c r="D506" s="508" t="s">
        <v>1854</v>
      </c>
      <c r="E506" s="509" t="s">
        <v>1103</v>
      </c>
      <c r="F506" s="510" t="s">
        <v>1785</v>
      </c>
      <c r="G506" s="507" t="s">
        <v>1858</v>
      </c>
      <c r="H506" s="511">
        <v>0</v>
      </c>
      <c r="I506" s="512" t="s">
        <v>1686</v>
      </c>
      <c r="J506" s="518">
        <v>378.38</v>
      </c>
      <c r="K506" s="510">
        <v>0</v>
      </c>
      <c r="L506" s="510"/>
      <c r="M506" s="548">
        <v>0</v>
      </c>
      <c r="N506" s="514">
        <f>LANÇ_MOV[[#This Row],[VALOR BRUTO]]-LANÇ_MOV[[#This Row],[DESCONTO]]+LANÇ_MOV[[#This Row],[JUROS]]+LANÇ_MOV[[#This Row],[MULTA]]</f>
        <v>378.38</v>
      </c>
      <c r="O506" s="546">
        <v>46001</v>
      </c>
      <c r="P506" s="547" t="str">
        <f t="shared" ca="1" si="8"/>
        <v>Prazo - Menos de 15 dias</v>
      </c>
      <c r="Q506" s="528"/>
      <c r="R506" s="529" t="s">
        <v>1564</v>
      </c>
      <c r="S506" s="518"/>
      <c r="T506" s="518" t="s">
        <v>1776</v>
      </c>
      <c r="U506" s="519" t="s">
        <v>2008</v>
      </c>
      <c r="V506" s="520" t="str">
        <f>IFERROR(VLOOKUP(LANÇ_MOV[[#This Row],[PLANO DE CONTAS]],Plano_Contas[[PLANO DE CONTAS]:[R / D]],3,0),"")</f>
        <v>Receita</v>
      </c>
      <c r="W506" s="521" t="str">
        <f>IF(LANÇ_MOV[[#This Row],[DATA DE PAGAMENTO]]&lt;&gt;"","Pago","Não Pago")</f>
        <v>Não Pago</v>
      </c>
      <c r="X506" s="522" t="str">
        <f>IFERROR(IF(LANÇ_MOV[[#This Row],[DATA DE PAGAMENTO]]="","",(UPPER(TEXT(LANÇ_MOV[[#This Row],[DATA DE PAGAMENTO]],"mmmm")))),"")</f>
        <v/>
      </c>
      <c r="Y506" s="523" t="str">
        <f>IFERROR(VLOOKUP(LANÇ_MOV[[#This Row],[PLANO DE CONTAS]],Plano_Contas[[PLANO DE CONTAS]:[NOMES INTERVALOS]],2,0),"")</f>
        <v>Receitas_Operacionais</v>
      </c>
      <c r="Z506" s="523" t="str">
        <f>IF(LANÇ_MOV[[#This Row],[FORMA DE PAGAMENTO]]="","",VLOOKUP(LANÇ_MOV[[#This Row],[FORMA DE PAGAMENTO]],CAD_Forma_pagto[],2,0))</f>
        <v>PIX</v>
      </c>
      <c r="AA506" s="524" t="str">
        <f>IF(LANÇ_MOV[[#This Row],[DATA DE LANÇAMENTO]]="","",TEXT(LANÇ_MOV[[#This Row],[DATA DE LANÇAMENTO]],"AAAA"))</f>
        <v>2025</v>
      </c>
      <c r="AB506" s="524" t="str">
        <f>IF(LANÇ_MOV[[#This Row],[DATA DE LANÇAMENTO]]="","",UPPER(TEXT(LANÇ_MOV[[#This Row],[DATA DE LANÇAMENTO]],"MMMM")))</f>
        <v>OUTUBRO</v>
      </c>
      <c r="AC506" s="525" t="str">
        <f>IF(LANÇ_MOV[[#This Row],[DATA DE LANÇAMENTO]]="","",PROPER(TEXT(LANÇ_MOV[[#This Row],[DATA DE LANÇAMENTO]],"M")))</f>
        <v>10</v>
      </c>
      <c r="AD506" s="524" t="str">
        <f>IF(LANÇ_MOV[[#This Row],[DATA DE LANÇAMENTO]]="","",TEXT(LANÇ_MOV[[#This Row],[DATA DE LANÇAMENTO]],"D"))</f>
        <v>10</v>
      </c>
      <c r="AE506" s="526" t="str">
        <f>IF(LANÇ_MOV[[#This Row],[DATA DE VENCIMENTO]]="","",TEXT(LANÇ_MOV[[#This Row],[DATA DE VENCIMENTO]],"AAAA"))</f>
        <v>2025</v>
      </c>
      <c r="AF506" s="526" t="str">
        <f>IF(LANÇ_MOV[[#This Row],[DATA DE VENCIMENTO]]="","",UPPER(TEXT(LANÇ_MOV[[#This Row],[DATA DE VENCIMENTO]],"MMMM")))</f>
        <v>DEZEMBRO</v>
      </c>
      <c r="AG506" s="526" t="str">
        <f>IF(LANÇ_MOV[[#This Row],[DATA DE VENCIMENTO]]="","",TEXT(LANÇ_MOV[[#This Row],[DATA DE VENCIMENTO]],"M"))</f>
        <v>12</v>
      </c>
      <c r="AH506" s="526" t="str">
        <f>IF(LANÇ_MOV[[#This Row],[DATA DE VENCIMENTO]]="","",TEXT(LANÇ_MOV[[#This Row],[DATA DE VENCIMENTO]],"D"))</f>
        <v>10</v>
      </c>
      <c r="AI506" s="526" t="str">
        <f>IF(LANÇ_MOV[[#This Row],[DATA DE PAGAMENTO]]="","",TEXT(LANÇ_MOV[[#This Row],[DATA DE PAGAMENTO]],"AAAA"))</f>
        <v/>
      </c>
      <c r="AJ506" s="527" t="str">
        <f>IF(LANÇ_MOV[[#This Row],[DATA DE PAGAMENTO]]="","",UPPER(TEXT(LANÇ_MOV[[#This Row],[DATA DE PAGAMENTO]],"MMMM")))</f>
        <v/>
      </c>
      <c r="AK506" s="527" t="str">
        <f>IF(LANÇ_MOV[[#This Row],[DATA DE PAGAMENTO]]="","",TEXT(LANÇ_MOV[[#This Row],[DATA DE PAGAMENTO]],"M"))</f>
        <v/>
      </c>
      <c r="AL506" s="526" t="str">
        <f>IF(LANÇ_MOV[[#This Row],[DATA DE PAGAMENTO]]="","",TEXT(LANÇ_MOV[[#This Row],[DATA DE PAGAMENTO]],"D"))</f>
        <v/>
      </c>
    </row>
    <row r="507" spans="2:56" ht="30.05" customHeight="1" x14ac:dyDescent="0.35">
      <c r="B507" s="506">
        <v>45940</v>
      </c>
      <c r="C507" s="507" t="s">
        <v>1661</v>
      </c>
      <c r="D507" s="508" t="s">
        <v>1854</v>
      </c>
      <c r="E507" s="509" t="s">
        <v>1103</v>
      </c>
      <c r="F507" s="510" t="s">
        <v>1785</v>
      </c>
      <c r="G507" s="507"/>
      <c r="H507" s="511">
        <v>0</v>
      </c>
      <c r="I507" s="512" t="s">
        <v>1715</v>
      </c>
      <c r="J507" s="518">
        <v>300.3</v>
      </c>
      <c r="K507" s="510">
        <v>0</v>
      </c>
      <c r="L507" s="510">
        <v>0</v>
      </c>
      <c r="M507" s="548">
        <v>0</v>
      </c>
      <c r="N507" s="514">
        <f>LANÇ_MOV[[#This Row],[VALOR BRUTO]]-LANÇ_MOV[[#This Row],[DESCONTO]]+LANÇ_MOV[[#This Row],[JUROS]]+LANÇ_MOV[[#This Row],[MULTA]]</f>
        <v>300.3</v>
      </c>
      <c r="O507" s="546">
        <v>45940</v>
      </c>
      <c r="P507" s="547" t="str">
        <f t="shared" ca="1" si="8"/>
        <v>Pago</v>
      </c>
      <c r="Q507" s="528">
        <v>45940</v>
      </c>
      <c r="R507" s="529" t="s">
        <v>1564</v>
      </c>
      <c r="S507" s="518"/>
      <c r="T507" s="518" t="s">
        <v>1776</v>
      </c>
      <c r="U507" s="519" t="s">
        <v>2008</v>
      </c>
      <c r="V507" s="520" t="str">
        <f>IFERROR(VLOOKUP(LANÇ_MOV[[#This Row],[PLANO DE CONTAS]],Plano_Contas[[PLANO DE CONTAS]:[R / D]],3,0),"")</f>
        <v>Receita</v>
      </c>
      <c r="W507" s="521" t="str">
        <f>IF(LANÇ_MOV[[#This Row],[DATA DE PAGAMENTO]]&lt;&gt;"","Pago","Não Pago")</f>
        <v>Pago</v>
      </c>
      <c r="X507" s="522" t="str">
        <f>IFERROR(IF(LANÇ_MOV[[#This Row],[DATA DE PAGAMENTO]]="","",(UPPER(TEXT(LANÇ_MOV[[#This Row],[DATA DE PAGAMENTO]],"mmmm")))),"")</f>
        <v>OUTUBRO</v>
      </c>
      <c r="Y507" s="523" t="str">
        <f>IFERROR(VLOOKUP(LANÇ_MOV[[#This Row],[PLANO DE CONTAS]],Plano_Contas[[PLANO DE CONTAS]:[NOMES INTERVALOS]],2,0),"")</f>
        <v>Receitas_Operacionais</v>
      </c>
      <c r="Z507" s="523" t="str">
        <f>IF(LANÇ_MOV[[#This Row],[FORMA DE PAGAMENTO]]="","",VLOOKUP(LANÇ_MOV[[#This Row],[FORMA DE PAGAMENTO]],CAD_Forma_pagto[],2,0))</f>
        <v>PIX</v>
      </c>
      <c r="AA507" s="524" t="str">
        <f>IF(LANÇ_MOV[[#This Row],[DATA DE LANÇAMENTO]]="","",TEXT(LANÇ_MOV[[#This Row],[DATA DE LANÇAMENTO]],"AAAA"))</f>
        <v>2025</v>
      </c>
      <c r="AB507" s="524" t="str">
        <f>IF(LANÇ_MOV[[#This Row],[DATA DE LANÇAMENTO]]="","",UPPER(TEXT(LANÇ_MOV[[#This Row],[DATA DE LANÇAMENTO]],"MMMM")))</f>
        <v>OUTUBRO</v>
      </c>
      <c r="AC507" s="525" t="str">
        <f>IF(LANÇ_MOV[[#This Row],[DATA DE LANÇAMENTO]]="","",PROPER(TEXT(LANÇ_MOV[[#This Row],[DATA DE LANÇAMENTO]],"M")))</f>
        <v>10</v>
      </c>
      <c r="AD507" s="524" t="str">
        <f>IF(LANÇ_MOV[[#This Row],[DATA DE LANÇAMENTO]]="","",TEXT(LANÇ_MOV[[#This Row],[DATA DE LANÇAMENTO]],"D"))</f>
        <v>10</v>
      </c>
      <c r="AE507" s="526" t="str">
        <f>IF(LANÇ_MOV[[#This Row],[DATA DE VENCIMENTO]]="","",TEXT(LANÇ_MOV[[#This Row],[DATA DE VENCIMENTO]],"AAAA"))</f>
        <v>2025</v>
      </c>
      <c r="AF507" s="526" t="str">
        <f>IF(LANÇ_MOV[[#This Row],[DATA DE VENCIMENTO]]="","",UPPER(TEXT(LANÇ_MOV[[#This Row],[DATA DE VENCIMENTO]],"MMMM")))</f>
        <v>OUTUBRO</v>
      </c>
      <c r="AG507" s="526" t="str">
        <f>IF(LANÇ_MOV[[#This Row],[DATA DE VENCIMENTO]]="","",TEXT(LANÇ_MOV[[#This Row],[DATA DE VENCIMENTO]],"M"))</f>
        <v>10</v>
      </c>
      <c r="AH507" s="526" t="str">
        <f>IF(LANÇ_MOV[[#This Row],[DATA DE VENCIMENTO]]="","",TEXT(LANÇ_MOV[[#This Row],[DATA DE VENCIMENTO]],"D"))</f>
        <v>10</v>
      </c>
      <c r="AI507" s="526" t="str">
        <f>IF(LANÇ_MOV[[#This Row],[DATA DE PAGAMENTO]]="","",TEXT(LANÇ_MOV[[#This Row],[DATA DE PAGAMENTO]],"AAAA"))</f>
        <v>2025</v>
      </c>
      <c r="AJ507" s="527" t="str">
        <f>IF(LANÇ_MOV[[#This Row],[DATA DE PAGAMENTO]]="","",UPPER(TEXT(LANÇ_MOV[[#This Row],[DATA DE PAGAMENTO]],"MMMM")))</f>
        <v>OUTUBRO</v>
      </c>
      <c r="AK507" s="527" t="str">
        <f>IF(LANÇ_MOV[[#This Row],[DATA DE PAGAMENTO]]="","",TEXT(LANÇ_MOV[[#This Row],[DATA DE PAGAMENTO]],"M"))</f>
        <v>10</v>
      </c>
      <c r="AL507" s="526" t="str">
        <f>IF(LANÇ_MOV[[#This Row],[DATA DE PAGAMENTO]]="","",TEXT(LANÇ_MOV[[#This Row],[DATA DE PAGAMENTO]],"D"))</f>
        <v>10</v>
      </c>
    </row>
    <row r="508" spans="2:56" ht="30.05" customHeight="1" x14ac:dyDescent="0.35">
      <c r="B508" s="506">
        <v>45940</v>
      </c>
      <c r="C508" s="507" t="s">
        <v>1661</v>
      </c>
      <c r="D508" s="508" t="s">
        <v>1854</v>
      </c>
      <c r="E508" s="509" t="s">
        <v>1103</v>
      </c>
      <c r="F508" s="510" t="s">
        <v>1785</v>
      </c>
      <c r="G508" s="507" t="s">
        <v>1855</v>
      </c>
      <c r="H508" s="511">
        <v>0</v>
      </c>
      <c r="I508" s="512" t="s">
        <v>1689</v>
      </c>
      <c r="J508" s="518">
        <v>350.35</v>
      </c>
      <c r="K508" s="510">
        <v>0</v>
      </c>
      <c r="L508" s="510">
        <v>0</v>
      </c>
      <c r="M508" s="548">
        <v>0</v>
      </c>
      <c r="N508" s="514">
        <f>LANÇ_MOV[[#This Row],[VALOR BRUTO]]-LANÇ_MOV[[#This Row],[DESCONTO]]+LANÇ_MOV[[#This Row],[JUROS]]+LANÇ_MOV[[#This Row],[MULTA]]</f>
        <v>350.35</v>
      </c>
      <c r="O508" s="546">
        <v>45940</v>
      </c>
      <c r="P508" s="547" t="str">
        <f t="shared" ca="1" si="8"/>
        <v>Pago</v>
      </c>
      <c r="Q508" s="528">
        <v>45940</v>
      </c>
      <c r="R508" s="529" t="s">
        <v>1564</v>
      </c>
      <c r="S508" s="518"/>
      <c r="T508" s="518" t="s">
        <v>1776</v>
      </c>
      <c r="U508" s="519" t="s">
        <v>2008</v>
      </c>
      <c r="V508" s="520" t="str">
        <f>IFERROR(VLOOKUP(LANÇ_MOV[[#This Row],[PLANO DE CONTAS]],Plano_Contas[[PLANO DE CONTAS]:[R / D]],3,0),"")</f>
        <v>Receita</v>
      </c>
      <c r="W508" s="521" t="str">
        <f>IF(LANÇ_MOV[[#This Row],[DATA DE PAGAMENTO]]&lt;&gt;"","Pago","Não Pago")</f>
        <v>Pago</v>
      </c>
      <c r="X508" s="522" t="str">
        <f>IFERROR(IF(LANÇ_MOV[[#This Row],[DATA DE PAGAMENTO]]="","",(UPPER(TEXT(LANÇ_MOV[[#This Row],[DATA DE PAGAMENTO]],"mmmm")))),"")</f>
        <v>OUTUBRO</v>
      </c>
      <c r="Y508" s="523" t="str">
        <f>IFERROR(VLOOKUP(LANÇ_MOV[[#This Row],[PLANO DE CONTAS]],Plano_Contas[[PLANO DE CONTAS]:[NOMES INTERVALOS]],2,0),"")</f>
        <v>Receitas_Operacionais</v>
      </c>
      <c r="Z508" s="523" t="str">
        <f>IF(LANÇ_MOV[[#This Row],[FORMA DE PAGAMENTO]]="","",VLOOKUP(LANÇ_MOV[[#This Row],[FORMA DE PAGAMENTO]],CAD_Forma_pagto[],2,0))</f>
        <v>PIX</v>
      </c>
      <c r="AA508" s="524" t="str">
        <f>IF(LANÇ_MOV[[#This Row],[DATA DE LANÇAMENTO]]="","",TEXT(LANÇ_MOV[[#This Row],[DATA DE LANÇAMENTO]],"AAAA"))</f>
        <v>2025</v>
      </c>
      <c r="AB508" s="524" t="str">
        <f>IF(LANÇ_MOV[[#This Row],[DATA DE LANÇAMENTO]]="","",UPPER(TEXT(LANÇ_MOV[[#This Row],[DATA DE LANÇAMENTO]],"MMMM")))</f>
        <v>OUTUBRO</v>
      </c>
      <c r="AC508" s="525" t="str">
        <f>IF(LANÇ_MOV[[#This Row],[DATA DE LANÇAMENTO]]="","",PROPER(TEXT(LANÇ_MOV[[#This Row],[DATA DE LANÇAMENTO]],"M")))</f>
        <v>10</v>
      </c>
      <c r="AD508" s="524" t="str">
        <f>IF(LANÇ_MOV[[#This Row],[DATA DE LANÇAMENTO]]="","",TEXT(LANÇ_MOV[[#This Row],[DATA DE LANÇAMENTO]],"D"))</f>
        <v>10</v>
      </c>
      <c r="AE508" s="526" t="str">
        <f>IF(LANÇ_MOV[[#This Row],[DATA DE VENCIMENTO]]="","",TEXT(LANÇ_MOV[[#This Row],[DATA DE VENCIMENTO]],"AAAA"))</f>
        <v>2025</v>
      </c>
      <c r="AF508" s="526" t="str">
        <f>IF(LANÇ_MOV[[#This Row],[DATA DE VENCIMENTO]]="","",UPPER(TEXT(LANÇ_MOV[[#This Row],[DATA DE VENCIMENTO]],"MMMM")))</f>
        <v>OUTUBRO</v>
      </c>
      <c r="AG508" s="526" t="str">
        <f>IF(LANÇ_MOV[[#This Row],[DATA DE VENCIMENTO]]="","",TEXT(LANÇ_MOV[[#This Row],[DATA DE VENCIMENTO]],"M"))</f>
        <v>10</v>
      </c>
      <c r="AH508" s="526" t="str">
        <f>IF(LANÇ_MOV[[#This Row],[DATA DE VENCIMENTO]]="","",TEXT(LANÇ_MOV[[#This Row],[DATA DE VENCIMENTO]],"D"))</f>
        <v>10</v>
      </c>
      <c r="AI508" s="526" t="str">
        <f>IF(LANÇ_MOV[[#This Row],[DATA DE PAGAMENTO]]="","",TEXT(LANÇ_MOV[[#This Row],[DATA DE PAGAMENTO]],"AAAA"))</f>
        <v>2025</v>
      </c>
      <c r="AJ508" s="527" t="str">
        <f>IF(LANÇ_MOV[[#This Row],[DATA DE PAGAMENTO]]="","",UPPER(TEXT(LANÇ_MOV[[#This Row],[DATA DE PAGAMENTO]],"MMMM")))</f>
        <v>OUTUBRO</v>
      </c>
      <c r="AK508" s="527" t="str">
        <f>IF(LANÇ_MOV[[#This Row],[DATA DE PAGAMENTO]]="","",TEXT(LANÇ_MOV[[#This Row],[DATA DE PAGAMENTO]],"M"))</f>
        <v>10</v>
      </c>
      <c r="AL508" s="526" t="str">
        <f>IF(LANÇ_MOV[[#This Row],[DATA DE PAGAMENTO]]="","",TEXT(LANÇ_MOV[[#This Row],[DATA DE PAGAMENTO]],"D"))</f>
        <v>10</v>
      </c>
    </row>
    <row r="509" spans="2:56" ht="30.05" customHeight="1" x14ac:dyDescent="0.35">
      <c r="B509" s="506">
        <v>45940</v>
      </c>
      <c r="C509" s="507" t="s">
        <v>1661</v>
      </c>
      <c r="D509" s="508" t="s">
        <v>1854</v>
      </c>
      <c r="E509" s="509" t="s">
        <v>1103</v>
      </c>
      <c r="F509" s="510" t="s">
        <v>1785</v>
      </c>
      <c r="G509" s="507" t="s">
        <v>1856</v>
      </c>
      <c r="H509" s="511">
        <v>0</v>
      </c>
      <c r="I509" s="512" t="s">
        <v>1689</v>
      </c>
      <c r="J509" s="518">
        <v>350.35</v>
      </c>
      <c r="K509" s="510">
        <v>0</v>
      </c>
      <c r="L509" s="510">
        <v>0</v>
      </c>
      <c r="M509" s="548">
        <v>0</v>
      </c>
      <c r="N509" s="514">
        <f>LANÇ_MOV[[#This Row],[VALOR BRUTO]]-LANÇ_MOV[[#This Row],[DESCONTO]]+LANÇ_MOV[[#This Row],[JUROS]]+LANÇ_MOV[[#This Row],[MULTA]]</f>
        <v>350.35</v>
      </c>
      <c r="O509" s="546">
        <v>45971</v>
      </c>
      <c r="P509" s="547" t="str">
        <f t="shared" ca="1" si="8"/>
        <v>Venceu</v>
      </c>
      <c r="Q509" s="528"/>
      <c r="R509" s="529" t="s">
        <v>1564</v>
      </c>
      <c r="S509" s="518"/>
      <c r="T509" s="518" t="s">
        <v>1776</v>
      </c>
      <c r="U509" s="519" t="s">
        <v>2008</v>
      </c>
      <c r="V509" s="520" t="str">
        <f>IFERROR(VLOOKUP(LANÇ_MOV[[#This Row],[PLANO DE CONTAS]],Plano_Contas[[PLANO DE CONTAS]:[R / D]],3,0),"")</f>
        <v>Receita</v>
      </c>
      <c r="W509" s="521" t="str">
        <f>IF(LANÇ_MOV[[#This Row],[DATA DE PAGAMENTO]]&lt;&gt;"","Pago","Não Pago")</f>
        <v>Não Pago</v>
      </c>
      <c r="X509" s="522" t="str">
        <f>IFERROR(IF(LANÇ_MOV[[#This Row],[DATA DE PAGAMENTO]]="","",(UPPER(TEXT(LANÇ_MOV[[#This Row],[DATA DE PAGAMENTO]],"mmmm")))),"")</f>
        <v/>
      </c>
      <c r="Y509" s="523" t="str">
        <f>IFERROR(VLOOKUP(LANÇ_MOV[[#This Row],[PLANO DE CONTAS]],Plano_Contas[[PLANO DE CONTAS]:[NOMES INTERVALOS]],2,0),"")</f>
        <v>Receitas_Operacionais</v>
      </c>
      <c r="Z509" s="523" t="str">
        <f>IF(LANÇ_MOV[[#This Row],[FORMA DE PAGAMENTO]]="","",VLOOKUP(LANÇ_MOV[[#This Row],[FORMA DE PAGAMENTO]],CAD_Forma_pagto[],2,0))</f>
        <v>PIX</v>
      </c>
      <c r="AA509" s="524" t="str">
        <f>IF(LANÇ_MOV[[#This Row],[DATA DE LANÇAMENTO]]="","",TEXT(LANÇ_MOV[[#This Row],[DATA DE LANÇAMENTO]],"AAAA"))</f>
        <v>2025</v>
      </c>
      <c r="AB509" s="524" t="str">
        <f>IF(LANÇ_MOV[[#This Row],[DATA DE LANÇAMENTO]]="","",UPPER(TEXT(LANÇ_MOV[[#This Row],[DATA DE LANÇAMENTO]],"MMMM")))</f>
        <v>OUTUBRO</v>
      </c>
      <c r="AC509" s="525" t="str">
        <f>IF(LANÇ_MOV[[#This Row],[DATA DE LANÇAMENTO]]="","",PROPER(TEXT(LANÇ_MOV[[#This Row],[DATA DE LANÇAMENTO]],"M")))</f>
        <v>10</v>
      </c>
      <c r="AD509" s="524" t="str">
        <f>IF(LANÇ_MOV[[#This Row],[DATA DE LANÇAMENTO]]="","",TEXT(LANÇ_MOV[[#This Row],[DATA DE LANÇAMENTO]],"D"))</f>
        <v>10</v>
      </c>
      <c r="AE509" s="526" t="str">
        <f>IF(LANÇ_MOV[[#This Row],[DATA DE VENCIMENTO]]="","",TEXT(LANÇ_MOV[[#This Row],[DATA DE VENCIMENTO]],"AAAA"))</f>
        <v>2025</v>
      </c>
      <c r="AF509" s="526" t="str">
        <f>IF(LANÇ_MOV[[#This Row],[DATA DE VENCIMENTO]]="","",UPPER(TEXT(LANÇ_MOV[[#This Row],[DATA DE VENCIMENTO]],"MMMM")))</f>
        <v>NOVEMBRO</v>
      </c>
      <c r="AG509" s="526" t="str">
        <f>IF(LANÇ_MOV[[#This Row],[DATA DE VENCIMENTO]]="","",TEXT(LANÇ_MOV[[#This Row],[DATA DE VENCIMENTO]],"M"))</f>
        <v>11</v>
      </c>
      <c r="AH509" s="526" t="str">
        <f>IF(LANÇ_MOV[[#This Row],[DATA DE VENCIMENTO]]="","",TEXT(LANÇ_MOV[[#This Row],[DATA DE VENCIMENTO]],"D"))</f>
        <v>10</v>
      </c>
      <c r="AI509" s="526" t="str">
        <f>IF(LANÇ_MOV[[#This Row],[DATA DE PAGAMENTO]]="","",TEXT(LANÇ_MOV[[#This Row],[DATA DE PAGAMENTO]],"AAAA"))</f>
        <v/>
      </c>
      <c r="AJ509" s="527" t="str">
        <f>IF(LANÇ_MOV[[#This Row],[DATA DE PAGAMENTO]]="","",UPPER(TEXT(LANÇ_MOV[[#This Row],[DATA DE PAGAMENTO]],"MMMM")))</f>
        <v/>
      </c>
      <c r="AK509" s="527" t="str">
        <f>IF(LANÇ_MOV[[#This Row],[DATA DE PAGAMENTO]]="","",TEXT(LANÇ_MOV[[#This Row],[DATA DE PAGAMENTO]],"M"))</f>
        <v/>
      </c>
      <c r="AL509" s="526" t="str">
        <f>IF(LANÇ_MOV[[#This Row],[DATA DE PAGAMENTO]]="","",TEXT(LANÇ_MOV[[#This Row],[DATA DE PAGAMENTO]],"D"))</f>
        <v/>
      </c>
    </row>
    <row r="510" spans="2:56" ht="30.05" customHeight="1" x14ac:dyDescent="0.35">
      <c r="B510" s="506">
        <v>45940</v>
      </c>
      <c r="C510" s="507" t="s">
        <v>1661</v>
      </c>
      <c r="D510" s="508" t="s">
        <v>1854</v>
      </c>
      <c r="E510" s="509" t="s">
        <v>1103</v>
      </c>
      <c r="F510" s="510" t="s">
        <v>1785</v>
      </c>
      <c r="G510" s="507" t="s">
        <v>1857</v>
      </c>
      <c r="H510" s="511">
        <v>0</v>
      </c>
      <c r="I510" s="512" t="s">
        <v>1689</v>
      </c>
      <c r="J510" s="518">
        <v>350.35</v>
      </c>
      <c r="K510" s="510">
        <v>0</v>
      </c>
      <c r="L510" s="510"/>
      <c r="M510" s="548">
        <v>0</v>
      </c>
      <c r="N510" s="514">
        <f>LANÇ_MOV[[#This Row],[VALOR BRUTO]]-LANÇ_MOV[[#This Row],[DESCONTO]]+LANÇ_MOV[[#This Row],[JUROS]]+LANÇ_MOV[[#This Row],[MULTA]]</f>
        <v>350.35</v>
      </c>
      <c r="O510" s="546">
        <v>46001</v>
      </c>
      <c r="P510" s="547" t="str">
        <f t="shared" ca="1" si="8"/>
        <v>Prazo - Menos de 15 dias</v>
      </c>
      <c r="Q510" s="528"/>
      <c r="R510" s="529" t="s">
        <v>1564</v>
      </c>
      <c r="S510" s="518"/>
      <c r="T510" s="518" t="s">
        <v>1776</v>
      </c>
      <c r="U510" s="519" t="s">
        <v>2008</v>
      </c>
      <c r="V510" s="520" t="str">
        <f>IFERROR(VLOOKUP(LANÇ_MOV[[#This Row],[PLANO DE CONTAS]],Plano_Contas[[PLANO DE CONTAS]:[R / D]],3,0),"")</f>
        <v>Receita</v>
      </c>
      <c r="W510" s="521" t="str">
        <f>IF(LANÇ_MOV[[#This Row],[DATA DE PAGAMENTO]]&lt;&gt;"","Pago","Não Pago")</f>
        <v>Não Pago</v>
      </c>
      <c r="X510" s="522" t="str">
        <f>IFERROR(IF(LANÇ_MOV[[#This Row],[DATA DE PAGAMENTO]]="","",(UPPER(TEXT(LANÇ_MOV[[#This Row],[DATA DE PAGAMENTO]],"mmmm")))),"")</f>
        <v/>
      </c>
      <c r="Y510" s="523" t="str">
        <f>IFERROR(VLOOKUP(LANÇ_MOV[[#This Row],[PLANO DE CONTAS]],Plano_Contas[[PLANO DE CONTAS]:[NOMES INTERVALOS]],2,0),"")</f>
        <v>Receitas_Operacionais</v>
      </c>
      <c r="Z510" s="523" t="str">
        <f>IF(LANÇ_MOV[[#This Row],[FORMA DE PAGAMENTO]]="","",VLOOKUP(LANÇ_MOV[[#This Row],[FORMA DE PAGAMENTO]],CAD_Forma_pagto[],2,0))</f>
        <v>PIX</v>
      </c>
      <c r="AA510" s="524" t="str">
        <f>IF(LANÇ_MOV[[#This Row],[DATA DE LANÇAMENTO]]="","",TEXT(LANÇ_MOV[[#This Row],[DATA DE LANÇAMENTO]],"AAAA"))</f>
        <v>2025</v>
      </c>
      <c r="AB510" s="524" t="str">
        <f>IF(LANÇ_MOV[[#This Row],[DATA DE LANÇAMENTO]]="","",UPPER(TEXT(LANÇ_MOV[[#This Row],[DATA DE LANÇAMENTO]],"MMMM")))</f>
        <v>OUTUBRO</v>
      </c>
      <c r="AC510" s="525" t="str">
        <f>IF(LANÇ_MOV[[#This Row],[DATA DE LANÇAMENTO]]="","",PROPER(TEXT(LANÇ_MOV[[#This Row],[DATA DE LANÇAMENTO]],"M")))</f>
        <v>10</v>
      </c>
      <c r="AD510" s="524" t="str">
        <f>IF(LANÇ_MOV[[#This Row],[DATA DE LANÇAMENTO]]="","",TEXT(LANÇ_MOV[[#This Row],[DATA DE LANÇAMENTO]],"D"))</f>
        <v>10</v>
      </c>
      <c r="AE510" s="526" t="str">
        <f>IF(LANÇ_MOV[[#This Row],[DATA DE VENCIMENTO]]="","",TEXT(LANÇ_MOV[[#This Row],[DATA DE VENCIMENTO]],"AAAA"))</f>
        <v>2025</v>
      </c>
      <c r="AF510" s="526" t="str">
        <f>IF(LANÇ_MOV[[#This Row],[DATA DE VENCIMENTO]]="","",UPPER(TEXT(LANÇ_MOV[[#This Row],[DATA DE VENCIMENTO]],"MMMM")))</f>
        <v>DEZEMBRO</v>
      </c>
      <c r="AG510" s="526" t="str">
        <f>IF(LANÇ_MOV[[#This Row],[DATA DE VENCIMENTO]]="","",TEXT(LANÇ_MOV[[#This Row],[DATA DE VENCIMENTO]],"M"))</f>
        <v>12</v>
      </c>
      <c r="AH510" s="526" t="str">
        <f>IF(LANÇ_MOV[[#This Row],[DATA DE VENCIMENTO]]="","",TEXT(LANÇ_MOV[[#This Row],[DATA DE VENCIMENTO]],"D"))</f>
        <v>10</v>
      </c>
      <c r="AI510" s="526" t="str">
        <f>IF(LANÇ_MOV[[#This Row],[DATA DE PAGAMENTO]]="","",TEXT(LANÇ_MOV[[#This Row],[DATA DE PAGAMENTO]],"AAAA"))</f>
        <v/>
      </c>
      <c r="AJ510" s="527" t="str">
        <f>IF(LANÇ_MOV[[#This Row],[DATA DE PAGAMENTO]]="","",UPPER(TEXT(LANÇ_MOV[[#This Row],[DATA DE PAGAMENTO]],"MMMM")))</f>
        <v/>
      </c>
      <c r="AK510" s="527" t="str">
        <f>IF(LANÇ_MOV[[#This Row],[DATA DE PAGAMENTO]]="","",TEXT(LANÇ_MOV[[#This Row],[DATA DE PAGAMENTO]],"M"))</f>
        <v/>
      </c>
      <c r="AL510" s="526" t="str">
        <f>IF(LANÇ_MOV[[#This Row],[DATA DE PAGAMENTO]]="","",TEXT(LANÇ_MOV[[#This Row],[DATA DE PAGAMENTO]],"D"))</f>
        <v/>
      </c>
    </row>
    <row r="511" spans="2:56" ht="30.05" customHeight="1" x14ac:dyDescent="0.35">
      <c r="B511" s="506">
        <v>45940</v>
      </c>
      <c r="C511" s="507" t="s">
        <v>1661</v>
      </c>
      <c r="D511" s="508" t="s">
        <v>1854</v>
      </c>
      <c r="E511" s="509" t="s">
        <v>1103</v>
      </c>
      <c r="F511" s="510" t="s">
        <v>1785</v>
      </c>
      <c r="G511" s="507" t="s">
        <v>1858</v>
      </c>
      <c r="H511" s="511">
        <v>0</v>
      </c>
      <c r="I511" s="512" t="s">
        <v>1689</v>
      </c>
      <c r="J511" s="518">
        <v>350.35</v>
      </c>
      <c r="K511" s="510">
        <v>0</v>
      </c>
      <c r="L511" s="510"/>
      <c r="M511" s="548">
        <v>0</v>
      </c>
      <c r="N511" s="514">
        <f>LANÇ_MOV[[#This Row],[VALOR BRUTO]]-LANÇ_MOV[[#This Row],[DESCONTO]]+LANÇ_MOV[[#This Row],[JUROS]]+LANÇ_MOV[[#This Row],[MULTA]]</f>
        <v>350.35</v>
      </c>
      <c r="O511" s="546">
        <v>46032</v>
      </c>
      <c r="P511" s="547" t="str">
        <f t="shared" ca="1" si="8"/>
        <v>Prazo - Mais de 1 mês</v>
      </c>
      <c r="Q511" s="528"/>
      <c r="R511" s="529" t="s">
        <v>1564</v>
      </c>
      <c r="S511" s="518"/>
      <c r="T511" s="518" t="s">
        <v>1776</v>
      </c>
      <c r="U511" s="519" t="s">
        <v>2008</v>
      </c>
      <c r="V511" s="520" t="str">
        <f>IFERROR(VLOOKUP(LANÇ_MOV[[#This Row],[PLANO DE CONTAS]],Plano_Contas[[PLANO DE CONTAS]:[R / D]],3,0),"")</f>
        <v>Receita</v>
      </c>
      <c r="W511" s="521" t="str">
        <f>IF(LANÇ_MOV[[#This Row],[DATA DE PAGAMENTO]]&lt;&gt;"","Pago","Não Pago")</f>
        <v>Não Pago</v>
      </c>
      <c r="X511" s="522" t="str">
        <f>IFERROR(IF(LANÇ_MOV[[#This Row],[DATA DE PAGAMENTO]]="","",(UPPER(TEXT(LANÇ_MOV[[#This Row],[DATA DE PAGAMENTO]],"mmmm")))),"")</f>
        <v/>
      </c>
      <c r="Y511" s="523" t="str">
        <f>IFERROR(VLOOKUP(LANÇ_MOV[[#This Row],[PLANO DE CONTAS]],Plano_Contas[[PLANO DE CONTAS]:[NOMES INTERVALOS]],2,0),"")</f>
        <v>Receitas_Operacionais</v>
      </c>
      <c r="Z511" s="523" t="str">
        <f>IF(LANÇ_MOV[[#This Row],[FORMA DE PAGAMENTO]]="","",VLOOKUP(LANÇ_MOV[[#This Row],[FORMA DE PAGAMENTO]],CAD_Forma_pagto[],2,0))</f>
        <v>PIX</v>
      </c>
      <c r="AA511" s="524" t="str">
        <f>IF(LANÇ_MOV[[#This Row],[DATA DE LANÇAMENTO]]="","",TEXT(LANÇ_MOV[[#This Row],[DATA DE LANÇAMENTO]],"AAAA"))</f>
        <v>2025</v>
      </c>
      <c r="AB511" s="524" t="str">
        <f>IF(LANÇ_MOV[[#This Row],[DATA DE LANÇAMENTO]]="","",UPPER(TEXT(LANÇ_MOV[[#This Row],[DATA DE LANÇAMENTO]],"MMMM")))</f>
        <v>OUTUBRO</v>
      </c>
      <c r="AC511" s="525" t="str">
        <f>IF(LANÇ_MOV[[#This Row],[DATA DE LANÇAMENTO]]="","",PROPER(TEXT(LANÇ_MOV[[#This Row],[DATA DE LANÇAMENTO]],"M")))</f>
        <v>10</v>
      </c>
      <c r="AD511" s="524" t="str">
        <f>IF(LANÇ_MOV[[#This Row],[DATA DE LANÇAMENTO]]="","",TEXT(LANÇ_MOV[[#This Row],[DATA DE LANÇAMENTO]],"D"))</f>
        <v>10</v>
      </c>
      <c r="AE511" s="526" t="str">
        <f>IF(LANÇ_MOV[[#This Row],[DATA DE VENCIMENTO]]="","",TEXT(LANÇ_MOV[[#This Row],[DATA DE VENCIMENTO]],"AAAA"))</f>
        <v>2026</v>
      </c>
      <c r="AF511" s="526" t="str">
        <f>IF(LANÇ_MOV[[#This Row],[DATA DE VENCIMENTO]]="","",UPPER(TEXT(LANÇ_MOV[[#This Row],[DATA DE VENCIMENTO]],"MMMM")))</f>
        <v>JANEIRO</v>
      </c>
      <c r="AG511" s="526" t="str">
        <f>IF(LANÇ_MOV[[#This Row],[DATA DE VENCIMENTO]]="","",TEXT(LANÇ_MOV[[#This Row],[DATA DE VENCIMENTO]],"M"))</f>
        <v>1</v>
      </c>
      <c r="AH511" s="526" t="str">
        <f>IF(LANÇ_MOV[[#This Row],[DATA DE VENCIMENTO]]="","",TEXT(LANÇ_MOV[[#This Row],[DATA DE VENCIMENTO]],"D"))</f>
        <v>10</v>
      </c>
      <c r="AI511" s="526" t="str">
        <f>IF(LANÇ_MOV[[#This Row],[DATA DE PAGAMENTO]]="","",TEXT(LANÇ_MOV[[#This Row],[DATA DE PAGAMENTO]],"AAAA"))</f>
        <v/>
      </c>
      <c r="AJ511" s="527" t="str">
        <f>IF(LANÇ_MOV[[#This Row],[DATA DE PAGAMENTO]]="","",UPPER(TEXT(LANÇ_MOV[[#This Row],[DATA DE PAGAMENTO]],"MMMM")))</f>
        <v/>
      </c>
      <c r="AK511" s="527" t="str">
        <f>IF(LANÇ_MOV[[#This Row],[DATA DE PAGAMENTO]]="","",TEXT(LANÇ_MOV[[#This Row],[DATA DE PAGAMENTO]],"M"))</f>
        <v/>
      </c>
      <c r="AL511" s="526" t="str">
        <f>IF(LANÇ_MOV[[#This Row],[DATA DE PAGAMENTO]]="","",TEXT(LANÇ_MOV[[#This Row],[DATA DE PAGAMENTO]],"D"))</f>
        <v/>
      </c>
    </row>
    <row r="512" spans="2:56" ht="30.05" customHeight="1" x14ac:dyDescent="0.35">
      <c r="B512" s="506">
        <v>45940</v>
      </c>
      <c r="C512" s="507" t="s">
        <v>1661</v>
      </c>
      <c r="D512" s="508" t="s">
        <v>1854</v>
      </c>
      <c r="E512" s="509" t="s">
        <v>1103</v>
      </c>
      <c r="F512" s="510" t="s">
        <v>1785</v>
      </c>
      <c r="G512" s="507"/>
      <c r="H512" s="511">
        <v>0</v>
      </c>
      <c r="I512" s="512" t="s">
        <v>1675</v>
      </c>
      <c r="J512" s="518">
        <v>250.35</v>
      </c>
      <c r="K512" s="510">
        <v>0</v>
      </c>
      <c r="L512" s="510">
        <v>0</v>
      </c>
      <c r="M512" s="548">
        <v>0</v>
      </c>
      <c r="N512" s="514">
        <f>LANÇ_MOV[[#This Row],[VALOR BRUTO]]-LANÇ_MOV[[#This Row],[DESCONTO]]+LANÇ_MOV[[#This Row],[JUROS]]+LANÇ_MOV[[#This Row],[MULTA]]</f>
        <v>250.35</v>
      </c>
      <c r="O512" s="546">
        <v>45940</v>
      </c>
      <c r="P512" s="547" t="str">
        <f t="shared" ca="1" si="8"/>
        <v>Pago</v>
      </c>
      <c r="Q512" s="528">
        <v>45940</v>
      </c>
      <c r="R512" s="529" t="s">
        <v>1564</v>
      </c>
      <c r="S512" s="518"/>
      <c r="T512" s="518" t="s">
        <v>1776</v>
      </c>
      <c r="U512" s="519" t="s">
        <v>2008</v>
      </c>
      <c r="V512" s="520" t="str">
        <f>IFERROR(VLOOKUP(LANÇ_MOV[[#This Row],[PLANO DE CONTAS]],Plano_Contas[[PLANO DE CONTAS]:[R / D]],3,0),"")</f>
        <v>Receita</v>
      </c>
      <c r="W512" s="521" t="str">
        <f>IF(LANÇ_MOV[[#This Row],[DATA DE PAGAMENTO]]&lt;&gt;"","Pago","Não Pago")</f>
        <v>Pago</v>
      </c>
      <c r="X512" s="522" t="str">
        <f>IFERROR(IF(LANÇ_MOV[[#This Row],[DATA DE PAGAMENTO]]="","",(UPPER(TEXT(LANÇ_MOV[[#This Row],[DATA DE PAGAMENTO]],"mmmm")))),"")</f>
        <v>OUTUBRO</v>
      </c>
      <c r="Y512" s="523" t="str">
        <f>IFERROR(VLOOKUP(LANÇ_MOV[[#This Row],[PLANO DE CONTAS]],Plano_Contas[[PLANO DE CONTAS]:[NOMES INTERVALOS]],2,0),"")</f>
        <v>Receitas_Operacionais</v>
      </c>
      <c r="Z512" s="523" t="str">
        <f>IF(LANÇ_MOV[[#This Row],[FORMA DE PAGAMENTO]]="","",VLOOKUP(LANÇ_MOV[[#This Row],[FORMA DE PAGAMENTO]],CAD_Forma_pagto[],2,0))</f>
        <v>PIX</v>
      </c>
      <c r="AA512" s="524" t="str">
        <f>IF(LANÇ_MOV[[#This Row],[DATA DE LANÇAMENTO]]="","",TEXT(LANÇ_MOV[[#This Row],[DATA DE LANÇAMENTO]],"AAAA"))</f>
        <v>2025</v>
      </c>
      <c r="AB512" s="524" t="str">
        <f>IF(LANÇ_MOV[[#This Row],[DATA DE LANÇAMENTO]]="","",UPPER(TEXT(LANÇ_MOV[[#This Row],[DATA DE LANÇAMENTO]],"MMMM")))</f>
        <v>OUTUBRO</v>
      </c>
      <c r="AC512" s="525" t="str">
        <f>IF(LANÇ_MOV[[#This Row],[DATA DE LANÇAMENTO]]="","",PROPER(TEXT(LANÇ_MOV[[#This Row],[DATA DE LANÇAMENTO]],"M")))</f>
        <v>10</v>
      </c>
      <c r="AD512" s="524" t="str">
        <f>IF(LANÇ_MOV[[#This Row],[DATA DE LANÇAMENTO]]="","",TEXT(LANÇ_MOV[[#This Row],[DATA DE LANÇAMENTO]],"D"))</f>
        <v>10</v>
      </c>
      <c r="AE512" s="526" t="str">
        <f>IF(LANÇ_MOV[[#This Row],[DATA DE VENCIMENTO]]="","",TEXT(LANÇ_MOV[[#This Row],[DATA DE VENCIMENTO]],"AAAA"))</f>
        <v>2025</v>
      </c>
      <c r="AF512" s="526" t="str">
        <f>IF(LANÇ_MOV[[#This Row],[DATA DE VENCIMENTO]]="","",UPPER(TEXT(LANÇ_MOV[[#This Row],[DATA DE VENCIMENTO]],"MMMM")))</f>
        <v>OUTUBRO</v>
      </c>
      <c r="AG512" s="526" t="str">
        <f>IF(LANÇ_MOV[[#This Row],[DATA DE VENCIMENTO]]="","",TEXT(LANÇ_MOV[[#This Row],[DATA DE VENCIMENTO]],"M"))</f>
        <v>10</v>
      </c>
      <c r="AH512" s="526" t="str">
        <f>IF(LANÇ_MOV[[#This Row],[DATA DE VENCIMENTO]]="","",TEXT(LANÇ_MOV[[#This Row],[DATA DE VENCIMENTO]],"D"))</f>
        <v>10</v>
      </c>
      <c r="AI512" s="526" t="str">
        <f>IF(LANÇ_MOV[[#This Row],[DATA DE PAGAMENTO]]="","",TEXT(LANÇ_MOV[[#This Row],[DATA DE PAGAMENTO]],"AAAA"))</f>
        <v>2025</v>
      </c>
      <c r="AJ512" s="527" t="str">
        <f>IF(LANÇ_MOV[[#This Row],[DATA DE PAGAMENTO]]="","",UPPER(TEXT(LANÇ_MOV[[#This Row],[DATA DE PAGAMENTO]],"MMMM")))</f>
        <v>OUTUBRO</v>
      </c>
      <c r="AK512" s="527" t="str">
        <f>IF(LANÇ_MOV[[#This Row],[DATA DE PAGAMENTO]]="","",TEXT(LANÇ_MOV[[#This Row],[DATA DE PAGAMENTO]],"M"))</f>
        <v>10</v>
      </c>
      <c r="AL512" s="526" t="str">
        <f>IF(LANÇ_MOV[[#This Row],[DATA DE PAGAMENTO]]="","",TEXT(LANÇ_MOV[[#This Row],[DATA DE PAGAMENTO]],"D"))</f>
        <v>10</v>
      </c>
    </row>
    <row r="513" spans="2:38" ht="30.05" customHeight="1" x14ac:dyDescent="0.35">
      <c r="B513" s="506">
        <v>45940</v>
      </c>
      <c r="C513" s="507" t="s">
        <v>1661</v>
      </c>
      <c r="D513" s="508" t="s">
        <v>1854</v>
      </c>
      <c r="E513" s="509" t="s">
        <v>1103</v>
      </c>
      <c r="F513" s="510" t="s">
        <v>1785</v>
      </c>
      <c r="G513" s="507" t="s">
        <v>1856</v>
      </c>
      <c r="H513" s="511">
        <v>0</v>
      </c>
      <c r="I513" s="512" t="s">
        <v>1727</v>
      </c>
      <c r="J513" s="518">
        <v>375.38</v>
      </c>
      <c r="K513" s="510">
        <v>0</v>
      </c>
      <c r="L513" s="510">
        <v>0</v>
      </c>
      <c r="M513" s="548">
        <v>0</v>
      </c>
      <c r="N513" s="514">
        <f>LANÇ_MOV[[#This Row],[VALOR BRUTO]]-LANÇ_MOV[[#This Row],[DESCONTO]]+LANÇ_MOV[[#This Row],[JUROS]]+LANÇ_MOV[[#This Row],[MULTA]]</f>
        <v>375.38</v>
      </c>
      <c r="O513" s="546">
        <v>45940</v>
      </c>
      <c r="P513" s="547" t="str">
        <f t="shared" ca="1" si="8"/>
        <v>Pago</v>
      </c>
      <c r="Q513" s="528">
        <v>45940</v>
      </c>
      <c r="R513" s="529" t="s">
        <v>1564</v>
      </c>
      <c r="S513" s="518"/>
      <c r="T513" s="518" t="s">
        <v>1776</v>
      </c>
      <c r="U513" s="519" t="s">
        <v>2008</v>
      </c>
      <c r="V513" s="520" t="str">
        <f>IFERROR(VLOOKUP(LANÇ_MOV[[#This Row],[PLANO DE CONTAS]],Plano_Contas[[PLANO DE CONTAS]:[R / D]],3,0),"")</f>
        <v>Receita</v>
      </c>
      <c r="W513" s="521" t="str">
        <f>IF(LANÇ_MOV[[#This Row],[DATA DE PAGAMENTO]]&lt;&gt;"","Pago","Não Pago")</f>
        <v>Pago</v>
      </c>
      <c r="X513" s="522" t="str">
        <f>IFERROR(IF(LANÇ_MOV[[#This Row],[DATA DE PAGAMENTO]]="","",(UPPER(TEXT(LANÇ_MOV[[#This Row],[DATA DE PAGAMENTO]],"mmmm")))),"")</f>
        <v>OUTUBRO</v>
      </c>
      <c r="Y513" s="523" t="str">
        <f>IFERROR(VLOOKUP(LANÇ_MOV[[#This Row],[PLANO DE CONTAS]],Plano_Contas[[PLANO DE CONTAS]:[NOMES INTERVALOS]],2,0),"")</f>
        <v>Receitas_Operacionais</v>
      </c>
      <c r="Z513" s="523" t="str">
        <f>IF(LANÇ_MOV[[#This Row],[FORMA DE PAGAMENTO]]="","",VLOOKUP(LANÇ_MOV[[#This Row],[FORMA DE PAGAMENTO]],CAD_Forma_pagto[],2,0))</f>
        <v>PIX</v>
      </c>
      <c r="AA513" s="524" t="str">
        <f>IF(LANÇ_MOV[[#This Row],[DATA DE LANÇAMENTO]]="","",TEXT(LANÇ_MOV[[#This Row],[DATA DE LANÇAMENTO]],"AAAA"))</f>
        <v>2025</v>
      </c>
      <c r="AB513" s="524" t="str">
        <f>IF(LANÇ_MOV[[#This Row],[DATA DE LANÇAMENTO]]="","",UPPER(TEXT(LANÇ_MOV[[#This Row],[DATA DE LANÇAMENTO]],"MMMM")))</f>
        <v>OUTUBRO</v>
      </c>
      <c r="AC513" s="525" t="str">
        <f>IF(LANÇ_MOV[[#This Row],[DATA DE LANÇAMENTO]]="","",PROPER(TEXT(LANÇ_MOV[[#This Row],[DATA DE LANÇAMENTO]],"M")))</f>
        <v>10</v>
      </c>
      <c r="AD513" s="524" t="str">
        <f>IF(LANÇ_MOV[[#This Row],[DATA DE LANÇAMENTO]]="","",TEXT(LANÇ_MOV[[#This Row],[DATA DE LANÇAMENTO]],"D"))</f>
        <v>10</v>
      </c>
      <c r="AE513" s="526" t="str">
        <f>IF(LANÇ_MOV[[#This Row],[DATA DE VENCIMENTO]]="","",TEXT(LANÇ_MOV[[#This Row],[DATA DE VENCIMENTO]],"AAAA"))</f>
        <v>2025</v>
      </c>
      <c r="AF513" s="526" t="str">
        <f>IF(LANÇ_MOV[[#This Row],[DATA DE VENCIMENTO]]="","",UPPER(TEXT(LANÇ_MOV[[#This Row],[DATA DE VENCIMENTO]],"MMMM")))</f>
        <v>OUTUBRO</v>
      </c>
      <c r="AG513" s="526" t="str">
        <f>IF(LANÇ_MOV[[#This Row],[DATA DE VENCIMENTO]]="","",TEXT(LANÇ_MOV[[#This Row],[DATA DE VENCIMENTO]],"M"))</f>
        <v>10</v>
      </c>
      <c r="AH513" s="526" t="str">
        <f>IF(LANÇ_MOV[[#This Row],[DATA DE VENCIMENTO]]="","",TEXT(LANÇ_MOV[[#This Row],[DATA DE VENCIMENTO]],"D"))</f>
        <v>10</v>
      </c>
      <c r="AI513" s="526" t="str">
        <f>IF(LANÇ_MOV[[#This Row],[DATA DE PAGAMENTO]]="","",TEXT(LANÇ_MOV[[#This Row],[DATA DE PAGAMENTO]],"AAAA"))</f>
        <v>2025</v>
      </c>
      <c r="AJ513" s="527" t="str">
        <f>IF(LANÇ_MOV[[#This Row],[DATA DE PAGAMENTO]]="","",UPPER(TEXT(LANÇ_MOV[[#This Row],[DATA DE PAGAMENTO]],"MMMM")))</f>
        <v>OUTUBRO</v>
      </c>
      <c r="AK513" s="527" t="str">
        <f>IF(LANÇ_MOV[[#This Row],[DATA DE PAGAMENTO]]="","",TEXT(LANÇ_MOV[[#This Row],[DATA DE PAGAMENTO]],"M"))</f>
        <v>10</v>
      </c>
      <c r="AL513" s="526" t="str">
        <f>IF(LANÇ_MOV[[#This Row],[DATA DE PAGAMENTO]]="","",TEXT(LANÇ_MOV[[#This Row],[DATA DE PAGAMENTO]],"D"))</f>
        <v>10</v>
      </c>
    </row>
    <row r="514" spans="2:38" ht="30.05" customHeight="1" x14ac:dyDescent="0.35">
      <c r="B514" s="506">
        <v>45940</v>
      </c>
      <c r="C514" s="507" t="s">
        <v>1661</v>
      </c>
      <c r="D514" s="508" t="s">
        <v>1854</v>
      </c>
      <c r="E514" s="509" t="s">
        <v>1103</v>
      </c>
      <c r="F514" s="510" t="s">
        <v>1785</v>
      </c>
      <c r="G514" s="507" t="s">
        <v>1857</v>
      </c>
      <c r="H514" s="511">
        <v>0</v>
      </c>
      <c r="I514" s="512" t="s">
        <v>1727</v>
      </c>
      <c r="J514" s="518">
        <v>375.38</v>
      </c>
      <c r="K514" s="510">
        <v>0</v>
      </c>
      <c r="L514" s="510">
        <v>0</v>
      </c>
      <c r="M514" s="548">
        <v>0</v>
      </c>
      <c r="N514" s="514">
        <f>LANÇ_MOV[[#This Row],[VALOR BRUTO]]-LANÇ_MOV[[#This Row],[DESCONTO]]+LANÇ_MOV[[#This Row],[JUROS]]+LANÇ_MOV[[#This Row],[MULTA]]</f>
        <v>375.38</v>
      </c>
      <c r="O514" s="546">
        <v>45971</v>
      </c>
      <c r="P514" s="547" t="str">
        <f t="shared" ca="1" si="8"/>
        <v>Venceu</v>
      </c>
      <c r="Q514" s="528"/>
      <c r="R514" s="529" t="s">
        <v>1564</v>
      </c>
      <c r="S514" s="518"/>
      <c r="T514" s="518" t="s">
        <v>1776</v>
      </c>
      <c r="U514" s="519" t="s">
        <v>2008</v>
      </c>
      <c r="V514" s="520" t="str">
        <f>IFERROR(VLOOKUP(LANÇ_MOV[[#This Row],[PLANO DE CONTAS]],Plano_Contas[[PLANO DE CONTAS]:[R / D]],3,0),"")</f>
        <v>Receita</v>
      </c>
      <c r="W514" s="521" t="str">
        <f>IF(LANÇ_MOV[[#This Row],[DATA DE PAGAMENTO]]&lt;&gt;"","Pago","Não Pago")</f>
        <v>Não Pago</v>
      </c>
      <c r="X514" s="522" t="str">
        <f>IFERROR(IF(LANÇ_MOV[[#This Row],[DATA DE PAGAMENTO]]="","",(UPPER(TEXT(LANÇ_MOV[[#This Row],[DATA DE PAGAMENTO]],"mmmm")))),"")</f>
        <v/>
      </c>
      <c r="Y514" s="523" t="str">
        <f>IFERROR(VLOOKUP(LANÇ_MOV[[#This Row],[PLANO DE CONTAS]],Plano_Contas[[PLANO DE CONTAS]:[NOMES INTERVALOS]],2,0),"")</f>
        <v>Receitas_Operacionais</v>
      </c>
      <c r="Z514" s="523" t="str">
        <f>IF(LANÇ_MOV[[#This Row],[FORMA DE PAGAMENTO]]="","",VLOOKUP(LANÇ_MOV[[#This Row],[FORMA DE PAGAMENTO]],CAD_Forma_pagto[],2,0))</f>
        <v>PIX</v>
      </c>
      <c r="AA514" s="524" t="str">
        <f>IF(LANÇ_MOV[[#This Row],[DATA DE LANÇAMENTO]]="","",TEXT(LANÇ_MOV[[#This Row],[DATA DE LANÇAMENTO]],"AAAA"))</f>
        <v>2025</v>
      </c>
      <c r="AB514" s="524" t="str">
        <f>IF(LANÇ_MOV[[#This Row],[DATA DE LANÇAMENTO]]="","",UPPER(TEXT(LANÇ_MOV[[#This Row],[DATA DE LANÇAMENTO]],"MMMM")))</f>
        <v>OUTUBRO</v>
      </c>
      <c r="AC514" s="525" t="str">
        <f>IF(LANÇ_MOV[[#This Row],[DATA DE LANÇAMENTO]]="","",PROPER(TEXT(LANÇ_MOV[[#This Row],[DATA DE LANÇAMENTO]],"M")))</f>
        <v>10</v>
      </c>
      <c r="AD514" s="524" t="str">
        <f>IF(LANÇ_MOV[[#This Row],[DATA DE LANÇAMENTO]]="","",TEXT(LANÇ_MOV[[#This Row],[DATA DE LANÇAMENTO]],"D"))</f>
        <v>10</v>
      </c>
      <c r="AE514" s="526" t="str">
        <f>IF(LANÇ_MOV[[#This Row],[DATA DE VENCIMENTO]]="","",TEXT(LANÇ_MOV[[#This Row],[DATA DE VENCIMENTO]],"AAAA"))</f>
        <v>2025</v>
      </c>
      <c r="AF514" s="526" t="str">
        <f>IF(LANÇ_MOV[[#This Row],[DATA DE VENCIMENTO]]="","",UPPER(TEXT(LANÇ_MOV[[#This Row],[DATA DE VENCIMENTO]],"MMMM")))</f>
        <v>NOVEMBRO</v>
      </c>
      <c r="AG514" s="526" t="str">
        <f>IF(LANÇ_MOV[[#This Row],[DATA DE VENCIMENTO]]="","",TEXT(LANÇ_MOV[[#This Row],[DATA DE VENCIMENTO]],"M"))</f>
        <v>11</v>
      </c>
      <c r="AH514" s="526" t="str">
        <f>IF(LANÇ_MOV[[#This Row],[DATA DE VENCIMENTO]]="","",TEXT(LANÇ_MOV[[#This Row],[DATA DE VENCIMENTO]],"D"))</f>
        <v>10</v>
      </c>
      <c r="AI514" s="526" t="str">
        <f>IF(LANÇ_MOV[[#This Row],[DATA DE PAGAMENTO]]="","",TEXT(LANÇ_MOV[[#This Row],[DATA DE PAGAMENTO]],"AAAA"))</f>
        <v/>
      </c>
      <c r="AJ514" s="527" t="str">
        <f>IF(LANÇ_MOV[[#This Row],[DATA DE PAGAMENTO]]="","",UPPER(TEXT(LANÇ_MOV[[#This Row],[DATA DE PAGAMENTO]],"MMMM")))</f>
        <v/>
      </c>
      <c r="AK514" s="527" t="str">
        <f>IF(LANÇ_MOV[[#This Row],[DATA DE PAGAMENTO]]="","",TEXT(LANÇ_MOV[[#This Row],[DATA DE PAGAMENTO]],"M"))</f>
        <v/>
      </c>
      <c r="AL514" s="526" t="str">
        <f>IF(LANÇ_MOV[[#This Row],[DATA DE PAGAMENTO]]="","",TEXT(LANÇ_MOV[[#This Row],[DATA DE PAGAMENTO]],"D"))</f>
        <v/>
      </c>
    </row>
    <row r="515" spans="2:38" ht="30.05" customHeight="1" x14ac:dyDescent="0.35">
      <c r="B515" s="506">
        <v>45940</v>
      </c>
      <c r="C515" s="507" t="s">
        <v>1661</v>
      </c>
      <c r="D515" s="508" t="s">
        <v>1854</v>
      </c>
      <c r="E515" s="509" t="s">
        <v>1103</v>
      </c>
      <c r="F515" s="510" t="s">
        <v>1785</v>
      </c>
      <c r="G515" s="507" t="s">
        <v>1858</v>
      </c>
      <c r="H515" s="511">
        <v>0</v>
      </c>
      <c r="I515" s="512" t="s">
        <v>1727</v>
      </c>
      <c r="J515" s="518">
        <v>375.38</v>
      </c>
      <c r="K515" s="510">
        <v>0</v>
      </c>
      <c r="L515" s="510"/>
      <c r="M515" s="548">
        <v>0</v>
      </c>
      <c r="N515" s="514">
        <f>LANÇ_MOV[[#This Row],[VALOR BRUTO]]-LANÇ_MOV[[#This Row],[DESCONTO]]+LANÇ_MOV[[#This Row],[JUROS]]+LANÇ_MOV[[#This Row],[MULTA]]</f>
        <v>375.38</v>
      </c>
      <c r="O515" s="546">
        <v>46001</v>
      </c>
      <c r="P515" s="547" t="str">
        <f t="shared" ca="1" si="8"/>
        <v>Prazo - Menos de 15 dias</v>
      </c>
      <c r="Q515" s="528"/>
      <c r="R515" s="529" t="s">
        <v>1564</v>
      </c>
      <c r="S515" s="518"/>
      <c r="T515" s="518" t="s">
        <v>1776</v>
      </c>
      <c r="U515" s="519" t="s">
        <v>2008</v>
      </c>
      <c r="V515" s="520" t="str">
        <f>IFERROR(VLOOKUP(LANÇ_MOV[[#This Row],[PLANO DE CONTAS]],Plano_Contas[[PLANO DE CONTAS]:[R / D]],3,0),"")</f>
        <v>Receita</v>
      </c>
      <c r="W515" s="521" t="str">
        <f>IF(LANÇ_MOV[[#This Row],[DATA DE PAGAMENTO]]&lt;&gt;"","Pago","Não Pago")</f>
        <v>Não Pago</v>
      </c>
      <c r="X515" s="522" t="str">
        <f>IFERROR(IF(LANÇ_MOV[[#This Row],[DATA DE PAGAMENTO]]="","",(UPPER(TEXT(LANÇ_MOV[[#This Row],[DATA DE PAGAMENTO]],"mmmm")))),"")</f>
        <v/>
      </c>
      <c r="Y515" s="523" t="str">
        <f>IFERROR(VLOOKUP(LANÇ_MOV[[#This Row],[PLANO DE CONTAS]],Plano_Contas[[PLANO DE CONTAS]:[NOMES INTERVALOS]],2,0),"")</f>
        <v>Receitas_Operacionais</v>
      </c>
      <c r="Z515" s="523" t="str">
        <f>IF(LANÇ_MOV[[#This Row],[FORMA DE PAGAMENTO]]="","",VLOOKUP(LANÇ_MOV[[#This Row],[FORMA DE PAGAMENTO]],CAD_Forma_pagto[],2,0))</f>
        <v>PIX</v>
      </c>
      <c r="AA515" s="524" t="str">
        <f>IF(LANÇ_MOV[[#This Row],[DATA DE LANÇAMENTO]]="","",TEXT(LANÇ_MOV[[#This Row],[DATA DE LANÇAMENTO]],"AAAA"))</f>
        <v>2025</v>
      </c>
      <c r="AB515" s="524" t="str">
        <f>IF(LANÇ_MOV[[#This Row],[DATA DE LANÇAMENTO]]="","",UPPER(TEXT(LANÇ_MOV[[#This Row],[DATA DE LANÇAMENTO]],"MMMM")))</f>
        <v>OUTUBRO</v>
      </c>
      <c r="AC515" s="525" t="str">
        <f>IF(LANÇ_MOV[[#This Row],[DATA DE LANÇAMENTO]]="","",PROPER(TEXT(LANÇ_MOV[[#This Row],[DATA DE LANÇAMENTO]],"M")))</f>
        <v>10</v>
      </c>
      <c r="AD515" s="524" t="str">
        <f>IF(LANÇ_MOV[[#This Row],[DATA DE LANÇAMENTO]]="","",TEXT(LANÇ_MOV[[#This Row],[DATA DE LANÇAMENTO]],"D"))</f>
        <v>10</v>
      </c>
      <c r="AE515" s="526" t="str">
        <f>IF(LANÇ_MOV[[#This Row],[DATA DE VENCIMENTO]]="","",TEXT(LANÇ_MOV[[#This Row],[DATA DE VENCIMENTO]],"AAAA"))</f>
        <v>2025</v>
      </c>
      <c r="AF515" s="526" t="str">
        <f>IF(LANÇ_MOV[[#This Row],[DATA DE VENCIMENTO]]="","",UPPER(TEXT(LANÇ_MOV[[#This Row],[DATA DE VENCIMENTO]],"MMMM")))</f>
        <v>DEZEMBRO</v>
      </c>
      <c r="AG515" s="526" t="str">
        <f>IF(LANÇ_MOV[[#This Row],[DATA DE VENCIMENTO]]="","",TEXT(LANÇ_MOV[[#This Row],[DATA DE VENCIMENTO]],"M"))</f>
        <v>12</v>
      </c>
      <c r="AH515" s="526" t="str">
        <f>IF(LANÇ_MOV[[#This Row],[DATA DE VENCIMENTO]]="","",TEXT(LANÇ_MOV[[#This Row],[DATA DE VENCIMENTO]],"D"))</f>
        <v>10</v>
      </c>
      <c r="AI515" s="526" t="str">
        <f>IF(LANÇ_MOV[[#This Row],[DATA DE PAGAMENTO]]="","",TEXT(LANÇ_MOV[[#This Row],[DATA DE PAGAMENTO]],"AAAA"))</f>
        <v/>
      </c>
      <c r="AJ515" s="527" t="str">
        <f>IF(LANÇ_MOV[[#This Row],[DATA DE PAGAMENTO]]="","",UPPER(TEXT(LANÇ_MOV[[#This Row],[DATA DE PAGAMENTO]],"MMMM")))</f>
        <v/>
      </c>
      <c r="AK515" s="527" t="str">
        <f>IF(LANÇ_MOV[[#This Row],[DATA DE PAGAMENTO]]="","",TEXT(LANÇ_MOV[[#This Row],[DATA DE PAGAMENTO]],"M"))</f>
        <v/>
      </c>
      <c r="AL515" s="526" t="str">
        <f>IF(LANÇ_MOV[[#This Row],[DATA DE PAGAMENTO]]="","",TEXT(LANÇ_MOV[[#This Row],[DATA DE PAGAMENTO]],"D"))</f>
        <v/>
      </c>
    </row>
    <row r="516" spans="2:38" ht="30.05" customHeight="1" x14ac:dyDescent="0.35">
      <c r="B516" s="506">
        <v>45940</v>
      </c>
      <c r="C516" s="507" t="s">
        <v>1661</v>
      </c>
      <c r="D516" s="508" t="s">
        <v>1854</v>
      </c>
      <c r="E516" s="509" t="s">
        <v>1103</v>
      </c>
      <c r="F516" s="510" t="s">
        <v>1785</v>
      </c>
      <c r="G516" s="507" t="s">
        <v>1855</v>
      </c>
      <c r="H516" s="511">
        <v>0</v>
      </c>
      <c r="I516" s="512" t="s">
        <v>1735</v>
      </c>
      <c r="J516" s="518">
        <v>375.38</v>
      </c>
      <c r="K516" s="510">
        <v>0</v>
      </c>
      <c r="L516" s="510">
        <v>0</v>
      </c>
      <c r="M516" s="548">
        <v>0</v>
      </c>
      <c r="N516" s="514">
        <f>LANÇ_MOV[[#This Row],[VALOR BRUTO]]-LANÇ_MOV[[#This Row],[DESCONTO]]+LANÇ_MOV[[#This Row],[JUROS]]+LANÇ_MOV[[#This Row],[MULTA]]</f>
        <v>375.38</v>
      </c>
      <c r="O516" s="546">
        <v>45940</v>
      </c>
      <c r="P516" s="547" t="str">
        <f t="shared" ca="1" si="8"/>
        <v>Pago</v>
      </c>
      <c r="Q516" s="528">
        <v>45940</v>
      </c>
      <c r="R516" s="529" t="s">
        <v>1564</v>
      </c>
      <c r="S516" s="518"/>
      <c r="T516" s="518" t="s">
        <v>1776</v>
      </c>
      <c r="U516" s="519" t="s">
        <v>2008</v>
      </c>
      <c r="V516" s="520" t="str">
        <f>IFERROR(VLOOKUP(LANÇ_MOV[[#This Row],[PLANO DE CONTAS]],Plano_Contas[[PLANO DE CONTAS]:[R / D]],3,0),"")</f>
        <v>Receita</v>
      </c>
      <c r="W516" s="521" t="str">
        <f>IF(LANÇ_MOV[[#This Row],[DATA DE PAGAMENTO]]&lt;&gt;"","Pago","Não Pago")</f>
        <v>Pago</v>
      </c>
      <c r="X516" s="522" t="str">
        <f>IFERROR(IF(LANÇ_MOV[[#This Row],[DATA DE PAGAMENTO]]="","",(UPPER(TEXT(LANÇ_MOV[[#This Row],[DATA DE PAGAMENTO]],"mmmm")))),"")</f>
        <v>OUTUBRO</v>
      </c>
      <c r="Y516" s="523" t="str">
        <f>IFERROR(VLOOKUP(LANÇ_MOV[[#This Row],[PLANO DE CONTAS]],Plano_Contas[[PLANO DE CONTAS]:[NOMES INTERVALOS]],2,0),"")</f>
        <v>Receitas_Operacionais</v>
      </c>
      <c r="Z516" s="523" t="str">
        <f>IF(LANÇ_MOV[[#This Row],[FORMA DE PAGAMENTO]]="","",VLOOKUP(LANÇ_MOV[[#This Row],[FORMA DE PAGAMENTO]],CAD_Forma_pagto[],2,0))</f>
        <v>PIX</v>
      </c>
      <c r="AA516" s="524" t="str">
        <f>IF(LANÇ_MOV[[#This Row],[DATA DE LANÇAMENTO]]="","",TEXT(LANÇ_MOV[[#This Row],[DATA DE LANÇAMENTO]],"AAAA"))</f>
        <v>2025</v>
      </c>
      <c r="AB516" s="524" t="str">
        <f>IF(LANÇ_MOV[[#This Row],[DATA DE LANÇAMENTO]]="","",UPPER(TEXT(LANÇ_MOV[[#This Row],[DATA DE LANÇAMENTO]],"MMMM")))</f>
        <v>OUTUBRO</v>
      </c>
      <c r="AC516" s="525" t="str">
        <f>IF(LANÇ_MOV[[#This Row],[DATA DE LANÇAMENTO]]="","",PROPER(TEXT(LANÇ_MOV[[#This Row],[DATA DE LANÇAMENTO]],"M")))</f>
        <v>10</v>
      </c>
      <c r="AD516" s="524" t="str">
        <f>IF(LANÇ_MOV[[#This Row],[DATA DE LANÇAMENTO]]="","",TEXT(LANÇ_MOV[[#This Row],[DATA DE LANÇAMENTO]],"D"))</f>
        <v>10</v>
      </c>
      <c r="AE516" s="526" t="str">
        <f>IF(LANÇ_MOV[[#This Row],[DATA DE VENCIMENTO]]="","",TEXT(LANÇ_MOV[[#This Row],[DATA DE VENCIMENTO]],"AAAA"))</f>
        <v>2025</v>
      </c>
      <c r="AF516" s="526" t="str">
        <f>IF(LANÇ_MOV[[#This Row],[DATA DE VENCIMENTO]]="","",UPPER(TEXT(LANÇ_MOV[[#This Row],[DATA DE VENCIMENTO]],"MMMM")))</f>
        <v>OUTUBRO</v>
      </c>
      <c r="AG516" s="526" t="str">
        <f>IF(LANÇ_MOV[[#This Row],[DATA DE VENCIMENTO]]="","",TEXT(LANÇ_MOV[[#This Row],[DATA DE VENCIMENTO]],"M"))</f>
        <v>10</v>
      </c>
      <c r="AH516" s="526" t="str">
        <f>IF(LANÇ_MOV[[#This Row],[DATA DE VENCIMENTO]]="","",TEXT(LANÇ_MOV[[#This Row],[DATA DE VENCIMENTO]],"D"))</f>
        <v>10</v>
      </c>
      <c r="AI516" s="526" t="str">
        <f>IF(LANÇ_MOV[[#This Row],[DATA DE PAGAMENTO]]="","",TEXT(LANÇ_MOV[[#This Row],[DATA DE PAGAMENTO]],"AAAA"))</f>
        <v>2025</v>
      </c>
      <c r="AJ516" s="527" t="str">
        <f>IF(LANÇ_MOV[[#This Row],[DATA DE PAGAMENTO]]="","",UPPER(TEXT(LANÇ_MOV[[#This Row],[DATA DE PAGAMENTO]],"MMMM")))</f>
        <v>OUTUBRO</v>
      </c>
      <c r="AK516" s="527" t="str">
        <f>IF(LANÇ_MOV[[#This Row],[DATA DE PAGAMENTO]]="","",TEXT(LANÇ_MOV[[#This Row],[DATA DE PAGAMENTO]],"M"))</f>
        <v>10</v>
      </c>
      <c r="AL516" s="526" t="str">
        <f>IF(LANÇ_MOV[[#This Row],[DATA DE PAGAMENTO]]="","",TEXT(LANÇ_MOV[[#This Row],[DATA DE PAGAMENTO]],"D"))</f>
        <v>10</v>
      </c>
    </row>
    <row r="517" spans="2:38" ht="30.05" customHeight="1" x14ac:dyDescent="0.35">
      <c r="B517" s="506">
        <v>45940</v>
      </c>
      <c r="C517" s="507" t="s">
        <v>1661</v>
      </c>
      <c r="D517" s="508" t="s">
        <v>1854</v>
      </c>
      <c r="E517" s="509" t="s">
        <v>1103</v>
      </c>
      <c r="F517" s="510" t="s">
        <v>1785</v>
      </c>
      <c r="G517" s="507" t="s">
        <v>1856</v>
      </c>
      <c r="H517" s="511">
        <v>0</v>
      </c>
      <c r="I517" s="512" t="s">
        <v>1735</v>
      </c>
      <c r="J517" s="518">
        <v>375.38</v>
      </c>
      <c r="K517" s="510">
        <v>0</v>
      </c>
      <c r="L517" s="510">
        <v>0</v>
      </c>
      <c r="M517" s="548">
        <v>0</v>
      </c>
      <c r="N517" s="514">
        <f>LANÇ_MOV[[#This Row],[VALOR BRUTO]]-LANÇ_MOV[[#This Row],[DESCONTO]]+LANÇ_MOV[[#This Row],[JUROS]]+LANÇ_MOV[[#This Row],[MULTA]]</f>
        <v>375.38</v>
      </c>
      <c r="O517" s="546">
        <v>45971</v>
      </c>
      <c r="P517" s="547" t="str">
        <f t="shared" ca="1" si="8"/>
        <v>Venceu</v>
      </c>
      <c r="Q517" s="528"/>
      <c r="R517" s="529" t="s">
        <v>1564</v>
      </c>
      <c r="S517" s="518"/>
      <c r="T517" s="518" t="s">
        <v>1776</v>
      </c>
      <c r="U517" s="519" t="s">
        <v>2008</v>
      </c>
      <c r="V517" s="520" t="str">
        <f>IFERROR(VLOOKUP(LANÇ_MOV[[#This Row],[PLANO DE CONTAS]],Plano_Contas[[PLANO DE CONTAS]:[R / D]],3,0),"")</f>
        <v>Receita</v>
      </c>
      <c r="W517" s="521" t="str">
        <f>IF(LANÇ_MOV[[#This Row],[DATA DE PAGAMENTO]]&lt;&gt;"","Pago","Não Pago")</f>
        <v>Não Pago</v>
      </c>
      <c r="X517" s="522" t="str">
        <f>IFERROR(IF(LANÇ_MOV[[#This Row],[DATA DE PAGAMENTO]]="","",(UPPER(TEXT(LANÇ_MOV[[#This Row],[DATA DE PAGAMENTO]],"mmmm")))),"")</f>
        <v/>
      </c>
      <c r="Y517" s="523" t="str">
        <f>IFERROR(VLOOKUP(LANÇ_MOV[[#This Row],[PLANO DE CONTAS]],Plano_Contas[[PLANO DE CONTAS]:[NOMES INTERVALOS]],2,0),"")</f>
        <v>Receitas_Operacionais</v>
      </c>
      <c r="Z517" s="523" t="str">
        <f>IF(LANÇ_MOV[[#This Row],[FORMA DE PAGAMENTO]]="","",VLOOKUP(LANÇ_MOV[[#This Row],[FORMA DE PAGAMENTO]],CAD_Forma_pagto[],2,0))</f>
        <v>PIX</v>
      </c>
      <c r="AA517" s="524" t="str">
        <f>IF(LANÇ_MOV[[#This Row],[DATA DE LANÇAMENTO]]="","",TEXT(LANÇ_MOV[[#This Row],[DATA DE LANÇAMENTO]],"AAAA"))</f>
        <v>2025</v>
      </c>
      <c r="AB517" s="524" t="str">
        <f>IF(LANÇ_MOV[[#This Row],[DATA DE LANÇAMENTO]]="","",UPPER(TEXT(LANÇ_MOV[[#This Row],[DATA DE LANÇAMENTO]],"MMMM")))</f>
        <v>OUTUBRO</v>
      </c>
      <c r="AC517" s="525" t="str">
        <f>IF(LANÇ_MOV[[#This Row],[DATA DE LANÇAMENTO]]="","",PROPER(TEXT(LANÇ_MOV[[#This Row],[DATA DE LANÇAMENTO]],"M")))</f>
        <v>10</v>
      </c>
      <c r="AD517" s="524" t="str">
        <f>IF(LANÇ_MOV[[#This Row],[DATA DE LANÇAMENTO]]="","",TEXT(LANÇ_MOV[[#This Row],[DATA DE LANÇAMENTO]],"D"))</f>
        <v>10</v>
      </c>
      <c r="AE517" s="526" t="str">
        <f>IF(LANÇ_MOV[[#This Row],[DATA DE VENCIMENTO]]="","",TEXT(LANÇ_MOV[[#This Row],[DATA DE VENCIMENTO]],"AAAA"))</f>
        <v>2025</v>
      </c>
      <c r="AF517" s="526" t="str">
        <f>IF(LANÇ_MOV[[#This Row],[DATA DE VENCIMENTO]]="","",UPPER(TEXT(LANÇ_MOV[[#This Row],[DATA DE VENCIMENTO]],"MMMM")))</f>
        <v>NOVEMBRO</v>
      </c>
      <c r="AG517" s="526" t="str">
        <f>IF(LANÇ_MOV[[#This Row],[DATA DE VENCIMENTO]]="","",TEXT(LANÇ_MOV[[#This Row],[DATA DE VENCIMENTO]],"M"))</f>
        <v>11</v>
      </c>
      <c r="AH517" s="526" t="str">
        <f>IF(LANÇ_MOV[[#This Row],[DATA DE VENCIMENTO]]="","",TEXT(LANÇ_MOV[[#This Row],[DATA DE VENCIMENTO]],"D"))</f>
        <v>10</v>
      </c>
      <c r="AI517" s="526" t="str">
        <f>IF(LANÇ_MOV[[#This Row],[DATA DE PAGAMENTO]]="","",TEXT(LANÇ_MOV[[#This Row],[DATA DE PAGAMENTO]],"AAAA"))</f>
        <v/>
      </c>
      <c r="AJ517" s="527" t="str">
        <f>IF(LANÇ_MOV[[#This Row],[DATA DE PAGAMENTO]]="","",UPPER(TEXT(LANÇ_MOV[[#This Row],[DATA DE PAGAMENTO]],"MMMM")))</f>
        <v/>
      </c>
      <c r="AK517" s="527" t="str">
        <f>IF(LANÇ_MOV[[#This Row],[DATA DE PAGAMENTO]]="","",TEXT(LANÇ_MOV[[#This Row],[DATA DE PAGAMENTO]],"M"))</f>
        <v/>
      </c>
      <c r="AL517" s="526" t="str">
        <f>IF(LANÇ_MOV[[#This Row],[DATA DE PAGAMENTO]]="","",TEXT(LANÇ_MOV[[#This Row],[DATA DE PAGAMENTO]],"D"))</f>
        <v/>
      </c>
    </row>
    <row r="518" spans="2:38" ht="30.05" customHeight="1" x14ac:dyDescent="0.35">
      <c r="B518" s="506">
        <v>45940</v>
      </c>
      <c r="C518" s="507" t="s">
        <v>1661</v>
      </c>
      <c r="D518" s="508" t="s">
        <v>1854</v>
      </c>
      <c r="E518" s="509" t="s">
        <v>1103</v>
      </c>
      <c r="F518" s="510" t="s">
        <v>1785</v>
      </c>
      <c r="G518" s="507" t="s">
        <v>1857</v>
      </c>
      <c r="H518" s="511">
        <v>0</v>
      </c>
      <c r="I518" s="512" t="s">
        <v>1735</v>
      </c>
      <c r="J518" s="518">
        <v>375.38</v>
      </c>
      <c r="K518" s="510">
        <v>0</v>
      </c>
      <c r="L518" s="510"/>
      <c r="M518" s="548">
        <v>0</v>
      </c>
      <c r="N518" s="514">
        <f>LANÇ_MOV[[#This Row],[VALOR BRUTO]]-LANÇ_MOV[[#This Row],[DESCONTO]]+LANÇ_MOV[[#This Row],[JUROS]]+LANÇ_MOV[[#This Row],[MULTA]]</f>
        <v>375.38</v>
      </c>
      <c r="O518" s="546">
        <v>46001</v>
      </c>
      <c r="P518" s="547" t="str">
        <f t="shared" ca="1" si="8"/>
        <v>Prazo - Menos de 15 dias</v>
      </c>
      <c r="Q518" s="528"/>
      <c r="R518" s="529" t="s">
        <v>1564</v>
      </c>
      <c r="S518" s="518"/>
      <c r="T518" s="518" t="s">
        <v>1776</v>
      </c>
      <c r="U518" s="519" t="s">
        <v>2008</v>
      </c>
      <c r="V518" s="520" t="str">
        <f>IFERROR(VLOOKUP(LANÇ_MOV[[#This Row],[PLANO DE CONTAS]],Plano_Contas[[PLANO DE CONTAS]:[R / D]],3,0),"")</f>
        <v>Receita</v>
      </c>
      <c r="W518" s="521" t="str">
        <f>IF(LANÇ_MOV[[#This Row],[DATA DE PAGAMENTO]]&lt;&gt;"","Pago","Não Pago")</f>
        <v>Não Pago</v>
      </c>
      <c r="X518" s="522" t="str">
        <f>IFERROR(IF(LANÇ_MOV[[#This Row],[DATA DE PAGAMENTO]]="","",(UPPER(TEXT(LANÇ_MOV[[#This Row],[DATA DE PAGAMENTO]],"mmmm")))),"")</f>
        <v/>
      </c>
      <c r="Y518" s="523" t="str">
        <f>IFERROR(VLOOKUP(LANÇ_MOV[[#This Row],[PLANO DE CONTAS]],Plano_Contas[[PLANO DE CONTAS]:[NOMES INTERVALOS]],2,0),"")</f>
        <v>Receitas_Operacionais</v>
      </c>
      <c r="Z518" s="523" t="str">
        <f>IF(LANÇ_MOV[[#This Row],[FORMA DE PAGAMENTO]]="","",VLOOKUP(LANÇ_MOV[[#This Row],[FORMA DE PAGAMENTO]],CAD_Forma_pagto[],2,0))</f>
        <v>PIX</v>
      </c>
      <c r="AA518" s="524" t="str">
        <f>IF(LANÇ_MOV[[#This Row],[DATA DE LANÇAMENTO]]="","",TEXT(LANÇ_MOV[[#This Row],[DATA DE LANÇAMENTO]],"AAAA"))</f>
        <v>2025</v>
      </c>
      <c r="AB518" s="524" t="str">
        <f>IF(LANÇ_MOV[[#This Row],[DATA DE LANÇAMENTO]]="","",UPPER(TEXT(LANÇ_MOV[[#This Row],[DATA DE LANÇAMENTO]],"MMMM")))</f>
        <v>OUTUBRO</v>
      </c>
      <c r="AC518" s="525" t="str">
        <f>IF(LANÇ_MOV[[#This Row],[DATA DE LANÇAMENTO]]="","",PROPER(TEXT(LANÇ_MOV[[#This Row],[DATA DE LANÇAMENTO]],"M")))</f>
        <v>10</v>
      </c>
      <c r="AD518" s="524" t="str">
        <f>IF(LANÇ_MOV[[#This Row],[DATA DE LANÇAMENTO]]="","",TEXT(LANÇ_MOV[[#This Row],[DATA DE LANÇAMENTO]],"D"))</f>
        <v>10</v>
      </c>
      <c r="AE518" s="526" t="str">
        <f>IF(LANÇ_MOV[[#This Row],[DATA DE VENCIMENTO]]="","",TEXT(LANÇ_MOV[[#This Row],[DATA DE VENCIMENTO]],"AAAA"))</f>
        <v>2025</v>
      </c>
      <c r="AF518" s="526" t="str">
        <f>IF(LANÇ_MOV[[#This Row],[DATA DE VENCIMENTO]]="","",UPPER(TEXT(LANÇ_MOV[[#This Row],[DATA DE VENCIMENTO]],"MMMM")))</f>
        <v>DEZEMBRO</v>
      </c>
      <c r="AG518" s="526" t="str">
        <f>IF(LANÇ_MOV[[#This Row],[DATA DE VENCIMENTO]]="","",TEXT(LANÇ_MOV[[#This Row],[DATA DE VENCIMENTO]],"M"))</f>
        <v>12</v>
      </c>
      <c r="AH518" s="526" t="str">
        <f>IF(LANÇ_MOV[[#This Row],[DATA DE VENCIMENTO]]="","",TEXT(LANÇ_MOV[[#This Row],[DATA DE VENCIMENTO]],"D"))</f>
        <v>10</v>
      </c>
      <c r="AI518" s="526" t="str">
        <f>IF(LANÇ_MOV[[#This Row],[DATA DE PAGAMENTO]]="","",TEXT(LANÇ_MOV[[#This Row],[DATA DE PAGAMENTO]],"AAAA"))</f>
        <v/>
      </c>
      <c r="AJ518" s="527" t="str">
        <f>IF(LANÇ_MOV[[#This Row],[DATA DE PAGAMENTO]]="","",UPPER(TEXT(LANÇ_MOV[[#This Row],[DATA DE PAGAMENTO]],"MMMM")))</f>
        <v/>
      </c>
      <c r="AK518" s="527" t="str">
        <f>IF(LANÇ_MOV[[#This Row],[DATA DE PAGAMENTO]]="","",TEXT(LANÇ_MOV[[#This Row],[DATA DE PAGAMENTO]],"M"))</f>
        <v/>
      </c>
      <c r="AL518" s="526" t="str">
        <f>IF(LANÇ_MOV[[#This Row],[DATA DE PAGAMENTO]]="","",TEXT(LANÇ_MOV[[#This Row],[DATA DE PAGAMENTO]],"D"))</f>
        <v/>
      </c>
    </row>
    <row r="519" spans="2:38" ht="30.05" customHeight="1" x14ac:dyDescent="0.35">
      <c r="B519" s="506">
        <v>45940</v>
      </c>
      <c r="C519" s="507" t="s">
        <v>1661</v>
      </c>
      <c r="D519" s="508" t="s">
        <v>1854</v>
      </c>
      <c r="E519" s="509" t="s">
        <v>1103</v>
      </c>
      <c r="F519" s="510" t="s">
        <v>1785</v>
      </c>
      <c r="G519" s="507" t="s">
        <v>1858</v>
      </c>
      <c r="H519" s="511">
        <v>0</v>
      </c>
      <c r="I519" s="512" t="s">
        <v>1735</v>
      </c>
      <c r="J519" s="518">
        <v>375.38</v>
      </c>
      <c r="K519" s="510">
        <v>0</v>
      </c>
      <c r="L519" s="510"/>
      <c r="M519" s="548">
        <v>0</v>
      </c>
      <c r="N519" s="514">
        <f>LANÇ_MOV[[#This Row],[VALOR BRUTO]]-LANÇ_MOV[[#This Row],[DESCONTO]]+LANÇ_MOV[[#This Row],[JUROS]]+LANÇ_MOV[[#This Row],[MULTA]]</f>
        <v>375.38</v>
      </c>
      <c r="O519" s="546">
        <v>46032</v>
      </c>
      <c r="P519" s="547" t="str">
        <f t="shared" ca="1" si="8"/>
        <v>Prazo - Mais de 1 mês</v>
      </c>
      <c r="Q519" s="528"/>
      <c r="R519" s="529" t="s">
        <v>1564</v>
      </c>
      <c r="S519" s="518"/>
      <c r="T519" s="518" t="s">
        <v>1776</v>
      </c>
      <c r="U519" s="519" t="s">
        <v>2008</v>
      </c>
      <c r="V519" s="520" t="str">
        <f>IFERROR(VLOOKUP(LANÇ_MOV[[#This Row],[PLANO DE CONTAS]],Plano_Contas[[PLANO DE CONTAS]:[R / D]],3,0),"")</f>
        <v>Receita</v>
      </c>
      <c r="W519" s="521" t="str">
        <f>IF(LANÇ_MOV[[#This Row],[DATA DE PAGAMENTO]]&lt;&gt;"","Pago","Não Pago")</f>
        <v>Não Pago</v>
      </c>
      <c r="X519" s="522" t="str">
        <f>IFERROR(IF(LANÇ_MOV[[#This Row],[DATA DE PAGAMENTO]]="","",(UPPER(TEXT(LANÇ_MOV[[#This Row],[DATA DE PAGAMENTO]],"mmmm")))),"")</f>
        <v/>
      </c>
      <c r="Y519" s="523" t="str">
        <f>IFERROR(VLOOKUP(LANÇ_MOV[[#This Row],[PLANO DE CONTAS]],Plano_Contas[[PLANO DE CONTAS]:[NOMES INTERVALOS]],2,0),"")</f>
        <v>Receitas_Operacionais</v>
      </c>
      <c r="Z519" s="523" t="str">
        <f>IF(LANÇ_MOV[[#This Row],[FORMA DE PAGAMENTO]]="","",VLOOKUP(LANÇ_MOV[[#This Row],[FORMA DE PAGAMENTO]],CAD_Forma_pagto[],2,0))</f>
        <v>PIX</v>
      </c>
      <c r="AA519" s="524" t="str">
        <f>IF(LANÇ_MOV[[#This Row],[DATA DE LANÇAMENTO]]="","",TEXT(LANÇ_MOV[[#This Row],[DATA DE LANÇAMENTO]],"AAAA"))</f>
        <v>2025</v>
      </c>
      <c r="AB519" s="524" t="str">
        <f>IF(LANÇ_MOV[[#This Row],[DATA DE LANÇAMENTO]]="","",UPPER(TEXT(LANÇ_MOV[[#This Row],[DATA DE LANÇAMENTO]],"MMMM")))</f>
        <v>OUTUBRO</v>
      </c>
      <c r="AC519" s="525" t="str">
        <f>IF(LANÇ_MOV[[#This Row],[DATA DE LANÇAMENTO]]="","",PROPER(TEXT(LANÇ_MOV[[#This Row],[DATA DE LANÇAMENTO]],"M")))</f>
        <v>10</v>
      </c>
      <c r="AD519" s="524" t="str">
        <f>IF(LANÇ_MOV[[#This Row],[DATA DE LANÇAMENTO]]="","",TEXT(LANÇ_MOV[[#This Row],[DATA DE LANÇAMENTO]],"D"))</f>
        <v>10</v>
      </c>
      <c r="AE519" s="526" t="str">
        <f>IF(LANÇ_MOV[[#This Row],[DATA DE VENCIMENTO]]="","",TEXT(LANÇ_MOV[[#This Row],[DATA DE VENCIMENTO]],"AAAA"))</f>
        <v>2026</v>
      </c>
      <c r="AF519" s="526" t="str">
        <f>IF(LANÇ_MOV[[#This Row],[DATA DE VENCIMENTO]]="","",UPPER(TEXT(LANÇ_MOV[[#This Row],[DATA DE VENCIMENTO]],"MMMM")))</f>
        <v>JANEIRO</v>
      </c>
      <c r="AG519" s="526" t="str">
        <f>IF(LANÇ_MOV[[#This Row],[DATA DE VENCIMENTO]]="","",TEXT(LANÇ_MOV[[#This Row],[DATA DE VENCIMENTO]],"M"))</f>
        <v>1</v>
      </c>
      <c r="AH519" s="526" t="str">
        <f>IF(LANÇ_MOV[[#This Row],[DATA DE VENCIMENTO]]="","",TEXT(LANÇ_MOV[[#This Row],[DATA DE VENCIMENTO]],"D"))</f>
        <v>10</v>
      </c>
      <c r="AI519" s="526" t="str">
        <f>IF(LANÇ_MOV[[#This Row],[DATA DE PAGAMENTO]]="","",TEXT(LANÇ_MOV[[#This Row],[DATA DE PAGAMENTO]],"AAAA"))</f>
        <v/>
      </c>
      <c r="AJ519" s="527" t="str">
        <f>IF(LANÇ_MOV[[#This Row],[DATA DE PAGAMENTO]]="","",UPPER(TEXT(LANÇ_MOV[[#This Row],[DATA DE PAGAMENTO]],"MMMM")))</f>
        <v/>
      </c>
      <c r="AK519" s="527" t="str">
        <f>IF(LANÇ_MOV[[#This Row],[DATA DE PAGAMENTO]]="","",TEXT(LANÇ_MOV[[#This Row],[DATA DE PAGAMENTO]],"M"))</f>
        <v/>
      </c>
      <c r="AL519" s="526" t="str">
        <f>IF(LANÇ_MOV[[#This Row],[DATA DE PAGAMENTO]]="","",TEXT(LANÇ_MOV[[#This Row],[DATA DE PAGAMENTO]],"D"))</f>
        <v/>
      </c>
    </row>
    <row r="520" spans="2:38" ht="30.05" customHeight="1" x14ac:dyDescent="0.35">
      <c r="B520" s="506">
        <v>45940</v>
      </c>
      <c r="C520" s="507" t="s">
        <v>1661</v>
      </c>
      <c r="D520" s="508" t="s">
        <v>1854</v>
      </c>
      <c r="E520" s="509" t="s">
        <v>1103</v>
      </c>
      <c r="F520" s="510" t="s">
        <v>1785</v>
      </c>
      <c r="G520" s="507" t="s">
        <v>1855</v>
      </c>
      <c r="H520" s="511">
        <v>0</v>
      </c>
      <c r="I520" s="512" t="s">
        <v>1704</v>
      </c>
      <c r="J520" s="518">
        <v>375.38</v>
      </c>
      <c r="K520" s="510">
        <v>0</v>
      </c>
      <c r="L520" s="510">
        <v>0</v>
      </c>
      <c r="M520" s="548">
        <v>0</v>
      </c>
      <c r="N520" s="514">
        <f>LANÇ_MOV[[#This Row],[VALOR BRUTO]]-LANÇ_MOV[[#This Row],[DESCONTO]]+LANÇ_MOV[[#This Row],[JUROS]]+LANÇ_MOV[[#This Row],[MULTA]]</f>
        <v>375.38</v>
      </c>
      <c r="O520" s="546">
        <v>45940</v>
      </c>
      <c r="P520" s="547" t="str">
        <f t="shared" ca="1" si="8"/>
        <v>Pago</v>
      </c>
      <c r="Q520" s="528">
        <v>45940</v>
      </c>
      <c r="R520" s="529" t="s">
        <v>1564</v>
      </c>
      <c r="S520" s="518"/>
      <c r="T520" s="518" t="s">
        <v>1776</v>
      </c>
      <c r="U520" s="519" t="s">
        <v>2008</v>
      </c>
      <c r="V520" s="520" t="str">
        <f>IFERROR(VLOOKUP(LANÇ_MOV[[#This Row],[PLANO DE CONTAS]],Plano_Contas[[PLANO DE CONTAS]:[R / D]],3,0),"")</f>
        <v>Receita</v>
      </c>
      <c r="W520" s="521" t="str">
        <f>IF(LANÇ_MOV[[#This Row],[DATA DE PAGAMENTO]]&lt;&gt;"","Pago","Não Pago")</f>
        <v>Pago</v>
      </c>
      <c r="X520" s="522" t="str">
        <f>IFERROR(IF(LANÇ_MOV[[#This Row],[DATA DE PAGAMENTO]]="","",(UPPER(TEXT(LANÇ_MOV[[#This Row],[DATA DE PAGAMENTO]],"mmmm")))),"")</f>
        <v>OUTUBRO</v>
      </c>
      <c r="Y520" s="523" t="str">
        <f>IFERROR(VLOOKUP(LANÇ_MOV[[#This Row],[PLANO DE CONTAS]],Plano_Contas[[PLANO DE CONTAS]:[NOMES INTERVALOS]],2,0),"")</f>
        <v>Receitas_Operacionais</v>
      </c>
      <c r="Z520" s="523" t="str">
        <f>IF(LANÇ_MOV[[#This Row],[FORMA DE PAGAMENTO]]="","",VLOOKUP(LANÇ_MOV[[#This Row],[FORMA DE PAGAMENTO]],CAD_Forma_pagto[],2,0))</f>
        <v>PIX</v>
      </c>
      <c r="AA520" s="524" t="str">
        <f>IF(LANÇ_MOV[[#This Row],[DATA DE LANÇAMENTO]]="","",TEXT(LANÇ_MOV[[#This Row],[DATA DE LANÇAMENTO]],"AAAA"))</f>
        <v>2025</v>
      </c>
      <c r="AB520" s="524" t="str">
        <f>IF(LANÇ_MOV[[#This Row],[DATA DE LANÇAMENTO]]="","",UPPER(TEXT(LANÇ_MOV[[#This Row],[DATA DE LANÇAMENTO]],"MMMM")))</f>
        <v>OUTUBRO</v>
      </c>
      <c r="AC520" s="525" t="str">
        <f>IF(LANÇ_MOV[[#This Row],[DATA DE LANÇAMENTO]]="","",PROPER(TEXT(LANÇ_MOV[[#This Row],[DATA DE LANÇAMENTO]],"M")))</f>
        <v>10</v>
      </c>
      <c r="AD520" s="524" t="str">
        <f>IF(LANÇ_MOV[[#This Row],[DATA DE LANÇAMENTO]]="","",TEXT(LANÇ_MOV[[#This Row],[DATA DE LANÇAMENTO]],"D"))</f>
        <v>10</v>
      </c>
      <c r="AE520" s="526" t="str">
        <f>IF(LANÇ_MOV[[#This Row],[DATA DE VENCIMENTO]]="","",TEXT(LANÇ_MOV[[#This Row],[DATA DE VENCIMENTO]],"AAAA"))</f>
        <v>2025</v>
      </c>
      <c r="AF520" s="526" t="str">
        <f>IF(LANÇ_MOV[[#This Row],[DATA DE VENCIMENTO]]="","",UPPER(TEXT(LANÇ_MOV[[#This Row],[DATA DE VENCIMENTO]],"MMMM")))</f>
        <v>OUTUBRO</v>
      </c>
      <c r="AG520" s="526" t="str">
        <f>IF(LANÇ_MOV[[#This Row],[DATA DE VENCIMENTO]]="","",TEXT(LANÇ_MOV[[#This Row],[DATA DE VENCIMENTO]],"M"))</f>
        <v>10</v>
      </c>
      <c r="AH520" s="526" t="str">
        <f>IF(LANÇ_MOV[[#This Row],[DATA DE VENCIMENTO]]="","",TEXT(LANÇ_MOV[[#This Row],[DATA DE VENCIMENTO]],"D"))</f>
        <v>10</v>
      </c>
      <c r="AI520" s="526" t="str">
        <f>IF(LANÇ_MOV[[#This Row],[DATA DE PAGAMENTO]]="","",TEXT(LANÇ_MOV[[#This Row],[DATA DE PAGAMENTO]],"AAAA"))</f>
        <v>2025</v>
      </c>
      <c r="AJ520" s="527" t="str">
        <f>IF(LANÇ_MOV[[#This Row],[DATA DE PAGAMENTO]]="","",UPPER(TEXT(LANÇ_MOV[[#This Row],[DATA DE PAGAMENTO]],"MMMM")))</f>
        <v>OUTUBRO</v>
      </c>
      <c r="AK520" s="527" t="str">
        <f>IF(LANÇ_MOV[[#This Row],[DATA DE PAGAMENTO]]="","",TEXT(LANÇ_MOV[[#This Row],[DATA DE PAGAMENTO]],"M"))</f>
        <v>10</v>
      </c>
      <c r="AL520" s="526" t="str">
        <f>IF(LANÇ_MOV[[#This Row],[DATA DE PAGAMENTO]]="","",TEXT(LANÇ_MOV[[#This Row],[DATA DE PAGAMENTO]],"D"))</f>
        <v>10</v>
      </c>
    </row>
    <row r="521" spans="2:38" ht="30.05" customHeight="1" x14ac:dyDescent="0.35">
      <c r="B521" s="506">
        <v>45940</v>
      </c>
      <c r="C521" s="507" t="s">
        <v>1661</v>
      </c>
      <c r="D521" s="508" t="s">
        <v>1854</v>
      </c>
      <c r="E521" s="509" t="s">
        <v>1103</v>
      </c>
      <c r="F521" s="510" t="s">
        <v>1785</v>
      </c>
      <c r="G521" s="507" t="s">
        <v>1856</v>
      </c>
      <c r="H521" s="511">
        <v>0</v>
      </c>
      <c r="I521" s="512" t="s">
        <v>1704</v>
      </c>
      <c r="J521" s="518">
        <v>375.38</v>
      </c>
      <c r="K521" s="510">
        <v>0</v>
      </c>
      <c r="L521" s="510">
        <v>0</v>
      </c>
      <c r="M521" s="548">
        <v>0</v>
      </c>
      <c r="N521" s="514">
        <f>LANÇ_MOV[[#This Row],[VALOR BRUTO]]-LANÇ_MOV[[#This Row],[DESCONTO]]+LANÇ_MOV[[#This Row],[JUROS]]+LANÇ_MOV[[#This Row],[MULTA]]</f>
        <v>375.38</v>
      </c>
      <c r="O521" s="546">
        <v>45971</v>
      </c>
      <c r="P521" s="547" t="str">
        <f t="shared" ca="1" si="8"/>
        <v>Venceu</v>
      </c>
      <c r="Q521" s="528"/>
      <c r="R521" s="529" t="s">
        <v>1564</v>
      </c>
      <c r="S521" s="518"/>
      <c r="T521" s="518" t="s">
        <v>1776</v>
      </c>
      <c r="U521" s="519" t="s">
        <v>2008</v>
      </c>
      <c r="V521" s="520" t="str">
        <f>IFERROR(VLOOKUP(LANÇ_MOV[[#This Row],[PLANO DE CONTAS]],Plano_Contas[[PLANO DE CONTAS]:[R / D]],3,0),"")</f>
        <v>Receita</v>
      </c>
      <c r="W521" s="521" t="str">
        <f>IF(LANÇ_MOV[[#This Row],[DATA DE PAGAMENTO]]&lt;&gt;"","Pago","Não Pago")</f>
        <v>Não Pago</v>
      </c>
      <c r="X521" s="522" t="str">
        <f>IFERROR(IF(LANÇ_MOV[[#This Row],[DATA DE PAGAMENTO]]="","",(UPPER(TEXT(LANÇ_MOV[[#This Row],[DATA DE PAGAMENTO]],"mmmm")))),"")</f>
        <v/>
      </c>
      <c r="Y521" s="523" t="str">
        <f>IFERROR(VLOOKUP(LANÇ_MOV[[#This Row],[PLANO DE CONTAS]],Plano_Contas[[PLANO DE CONTAS]:[NOMES INTERVALOS]],2,0),"")</f>
        <v>Receitas_Operacionais</v>
      </c>
      <c r="Z521" s="523" t="str">
        <f>IF(LANÇ_MOV[[#This Row],[FORMA DE PAGAMENTO]]="","",VLOOKUP(LANÇ_MOV[[#This Row],[FORMA DE PAGAMENTO]],CAD_Forma_pagto[],2,0))</f>
        <v>PIX</v>
      </c>
      <c r="AA521" s="524" t="str">
        <f>IF(LANÇ_MOV[[#This Row],[DATA DE LANÇAMENTO]]="","",TEXT(LANÇ_MOV[[#This Row],[DATA DE LANÇAMENTO]],"AAAA"))</f>
        <v>2025</v>
      </c>
      <c r="AB521" s="524" t="str">
        <f>IF(LANÇ_MOV[[#This Row],[DATA DE LANÇAMENTO]]="","",UPPER(TEXT(LANÇ_MOV[[#This Row],[DATA DE LANÇAMENTO]],"MMMM")))</f>
        <v>OUTUBRO</v>
      </c>
      <c r="AC521" s="525" t="str">
        <f>IF(LANÇ_MOV[[#This Row],[DATA DE LANÇAMENTO]]="","",PROPER(TEXT(LANÇ_MOV[[#This Row],[DATA DE LANÇAMENTO]],"M")))</f>
        <v>10</v>
      </c>
      <c r="AD521" s="524" t="str">
        <f>IF(LANÇ_MOV[[#This Row],[DATA DE LANÇAMENTO]]="","",TEXT(LANÇ_MOV[[#This Row],[DATA DE LANÇAMENTO]],"D"))</f>
        <v>10</v>
      </c>
      <c r="AE521" s="526" t="str">
        <f>IF(LANÇ_MOV[[#This Row],[DATA DE VENCIMENTO]]="","",TEXT(LANÇ_MOV[[#This Row],[DATA DE VENCIMENTO]],"AAAA"))</f>
        <v>2025</v>
      </c>
      <c r="AF521" s="526" t="str">
        <f>IF(LANÇ_MOV[[#This Row],[DATA DE VENCIMENTO]]="","",UPPER(TEXT(LANÇ_MOV[[#This Row],[DATA DE VENCIMENTO]],"MMMM")))</f>
        <v>NOVEMBRO</v>
      </c>
      <c r="AG521" s="526" t="str">
        <f>IF(LANÇ_MOV[[#This Row],[DATA DE VENCIMENTO]]="","",TEXT(LANÇ_MOV[[#This Row],[DATA DE VENCIMENTO]],"M"))</f>
        <v>11</v>
      </c>
      <c r="AH521" s="526" t="str">
        <f>IF(LANÇ_MOV[[#This Row],[DATA DE VENCIMENTO]]="","",TEXT(LANÇ_MOV[[#This Row],[DATA DE VENCIMENTO]],"D"))</f>
        <v>10</v>
      </c>
      <c r="AI521" s="526" t="str">
        <f>IF(LANÇ_MOV[[#This Row],[DATA DE PAGAMENTO]]="","",TEXT(LANÇ_MOV[[#This Row],[DATA DE PAGAMENTO]],"AAAA"))</f>
        <v/>
      </c>
      <c r="AJ521" s="527" t="str">
        <f>IF(LANÇ_MOV[[#This Row],[DATA DE PAGAMENTO]]="","",UPPER(TEXT(LANÇ_MOV[[#This Row],[DATA DE PAGAMENTO]],"MMMM")))</f>
        <v/>
      </c>
      <c r="AK521" s="527" t="str">
        <f>IF(LANÇ_MOV[[#This Row],[DATA DE PAGAMENTO]]="","",TEXT(LANÇ_MOV[[#This Row],[DATA DE PAGAMENTO]],"M"))</f>
        <v/>
      </c>
      <c r="AL521" s="526" t="str">
        <f>IF(LANÇ_MOV[[#This Row],[DATA DE PAGAMENTO]]="","",TEXT(LANÇ_MOV[[#This Row],[DATA DE PAGAMENTO]],"D"))</f>
        <v/>
      </c>
    </row>
    <row r="522" spans="2:38" ht="30.05" customHeight="1" x14ac:dyDescent="0.35">
      <c r="B522" s="506">
        <v>45940</v>
      </c>
      <c r="C522" s="507" t="s">
        <v>1661</v>
      </c>
      <c r="D522" s="508" t="s">
        <v>1854</v>
      </c>
      <c r="E522" s="509" t="s">
        <v>1103</v>
      </c>
      <c r="F522" s="510" t="s">
        <v>1785</v>
      </c>
      <c r="G522" s="507" t="s">
        <v>1857</v>
      </c>
      <c r="H522" s="511">
        <v>0</v>
      </c>
      <c r="I522" s="512" t="s">
        <v>1704</v>
      </c>
      <c r="J522" s="518">
        <v>375.38</v>
      </c>
      <c r="K522" s="510">
        <v>0</v>
      </c>
      <c r="L522" s="510"/>
      <c r="M522" s="548">
        <v>0</v>
      </c>
      <c r="N522" s="514">
        <f>LANÇ_MOV[[#This Row],[VALOR BRUTO]]-LANÇ_MOV[[#This Row],[DESCONTO]]+LANÇ_MOV[[#This Row],[JUROS]]+LANÇ_MOV[[#This Row],[MULTA]]</f>
        <v>375.38</v>
      </c>
      <c r="O522" s="546">
        <v>46001</v>
      </c>
      <c r="P522" s="547" t="str">
        <f t="shared" ca="1" si="8"/>
        <v>Prazo - Menos de 15 dias</v>
      </c>
      <c r="Q522" s="528"/>
      <c r="R522" s="529" t="s">
        <v>1564</v>
      </c>
      <c r="S522" s="518"/>
      <c r="T522" s="518" t="s">
        <v>1776</v>
      </c>
      <c r="U522" s="519" t="s">
        <v>2008</v>
      </c>
      <c r="V522" s="520" t="str">
        <f>IFERROR(VLOOKUP(LANÇ_MOV[[#This Row],[PLANO DE CONTAS]],Plano_Contas[[PLANO DE CONTAS]:[R / D]],3,0),"")</f>
        <v>Receita</v>
      </c>
      <c r="W522" s="521" t="str">
        <f>IF(LANÇ_MOV[[#This Row],[DATA DE PAGAMENTO]]&lt;&gt;"","Pago","Não Pago")</f>
        <v>Não Pago</v>
      </c>
      <c r="X522" s="522" t="str">
        <f>IFERROR(IF(LANÇ_MOV[[#This Row],[DATA DE PAGAMENTO]]="","",(UPPER(TEXT(LANÇ_MOV[[#This Row],[DATA DE PAGAMENTO]],"mmmm")))),"")</f>
        <v/>
      </c>
      <c r="Y522" s="523" t="str">
        <f>IFERROR(VLOOKUP(LANÇ_MOV[[#This Row],[PLANO DE CONTAS]],Plano_Contas[[PLANO DE CONTAS]:[NOMES INTERVALOS]],2,0),"")</f>
        <v>Receitas_Operacionais</v>
      </c>
      <c r="Z522" s="523" t="str">
        <f>IF(LANÇ_MOV[[#This Row],[FORMA DE PAGAMENTO]]="","",VLOOKUP(LANÇ_MOV[[#This Row],[FORMA DE PAGAMENTO]],CAD_Forma_pagto[],2,0))</f>
        <v>PIX</v>
      </c>
      <c r="AA522" s="524" t="str">
        <f>IF(LANÇ_MOV[[#This Row],[DATA DE LANÇAMENTO]]="","",TEXT(LANÇ_MOV[[#This Row],[DATA DE LANÇAMENTO]],"AAAA"))</f>
        <v>2025</v>
      </c>
      <c r="AB522" s="524" t="str">
        <f>IF(LANÇ_MOV[[#This Row],[DATA DE LANÇAMENTO]]="","",UPPER(TEXT(LANÇ_MOV[[#This Row],[DATA DE LANÇAMENTO]],"MMMM")))</f>
        <v>OUTUBRO</v>
      </c>
      <c r="AC522" s="525" t="str">
        <f>IF(LANÇ_MOV[[#This Row],[DATA DE LANÇAMENTO]]="","",PROPER(TEXT(LANÇ_MOV[[#This Row],[DATA DE LANÇAMENTO]],"M")))</f>
        <v>10</v>
      </c>
      <c r="AD522" s="524" t="str">
        <f>IF(LANÇ_MOV[[#This Row],[DATA DE LANÇAMENTO]]="","",TEXT(LANÇ_MOV[[#This Row],[DATA DE LANÇAMENTO]],"D"))</f>
        <v>10</v>
      </c>
      <c r="AE522" s="526" t="str">
        <f>IF(LANÇ_MOV[[#This Row],[DATA DE VENCIMENTO]]="","",TEXT(LANÇ_MOV[[#This Row],[DATA DE VENCIMENTO]],"AAAA"))</f>
        <v>2025</v>
      </c>
      <c r="AF522" s="526" t="str">
        <f>IF(LANÇ_MOV[[#This Row],[DATA DE VENCIMENTO]]="","",UPPER(TEXT(LANÇ_MOV[[#This Row],[DATA DE VENCIMENTO]],"MMMM")))</f>
        <v>DEZEMBRO</v>
      </c>
      <c r="AG522" s="526" t="str">
        <f>IF(LANÇ_MOV[[#This Row],[DATA DE VENCIMENTO]]="","",TEXT(LANÇ_MOV[[#This Row],[DATA DE VENCIMENTO]],"M"))</f>
        <v>12</v>
      </c>
      <c r="AH522" s="526" t="str">
        <f>IF(LANÇ_MOV[[#This Row],[DATA DE VENCIMENTO]]="","",TEXT(LANÇ_MOV[[#This Row],[DATA DE VENCIMENTO]],"D"))</f>
        <v>10</v>
      </c>
      <c r="AI522" s="526" t="str">
        <f>IF(LANÇ_MOV[[#This Row],[DATA DE PAGAMENTO]]="","",TEXT(LANÇ_MOV[[#This Row],[DATA DE PAGAMENTO]],"AAAA"))</f>
        <v/>
      </c>
      <c r="AJ522" s="527" t="str">
        <f>IF(LANÇ_MOV[[#This Row],[DATA DE PAGAMENTO]]="","",UPPER(TEXT(LANÇ_MOV[[#This Row],[DATA DE PAGAMENTO]],"MMMM")))</f>
        <v/>
      </c>
      <c r="AK522" s="527" t="str">
        <f>IF(LANÇ_MOV[[#This Row],[DATA DE PAGAMENTO]]="","",TEXT(LANÇ_MOV[[#This Row],[DATA DE PAGAMENTO]],"M"))</f>
        <v/>
      </c>
      <c r="AL522" s="526" t="str">
        <f>IF(LANÇ_MOV[[#This Row],[DATA DE PAGAMENTO]]="","",TEXT(LANÇ_MOV[[#This Row],[DATA DE PAGAMENTO]],"D"))</f>
        <v/>
      </c>
    </row>
    <row r="523" spans="2:38" ht="30.05" customHeight="1" x14ac:dyDescent="0.35">
      <c r="B523" s="506">
        <v>45940</v>
      </c>
      <c r="C523" s="507" t="s">
        <v>1661</v>
      </c>
      <c r="D523" s="508" t="s">
        <v>1854</v>
      </c>
      <c r="E523" s="509" t="s">
        <v>1103</v>
      </c>
      <c r="F523" s="510" t="s">
        <v>1785</v>
      </c>
      <c r="G523" s="507" t="s">
        <v>1858</v>
      </c>
      <c r="H523" s="511">
        <v>0</v>
      </c>
      <c r="I523" s="512" t="s">
        <v>1704</v>
      </c>
      <c r="J523" s="518">
        <v>375.38</v>
      </c>
      <c r="K523" s="510">
        <v>0</v>
      </c>
      <c r="L523" s="510"/>
      <c r="M523" s="548">
        <v>0</v>
      </c>
      <c r="N523" s="514">
        <f>LANÇ_MOV[[#This Row],[VALOR BRUTO]]-LANÇ_MOV[[#This Row],[DESCONTO]]+LANÇ_MOV[[#This Row],[JUROS]]+LANÇ_MOV[[#This Row],[MULTA]]</f>
        <v>375.38</v>
      </c>
      <c r="O523" s="546">
        <v>46032</v>
      </c>
      <c r="P523" s="547" t="str">
        <f t="shared" ca="1" si="8"/>
        <v>Prazo - Mais de 1 mês</v>
      </c>
      <c r="Q523" s="528"/>
      <c r="R523" s="529" t="s">
        <v>1564</v>
      </c>
      <c r="S523" s="518"/>
      <c r="T523" s="518" t="s">
        <v>1776</v>
      </c>
      <c r="U523" s="519" t="s">
        <v>2008</v>
      </c>
      <c r="V523" s="520" t="str">
        <f>IFERROR(VLOOKUP(LANÇ_MOV[[#This Row],[PLANO DE CONTAS]],Plano_Contas[[PLANO DE CONTAS]:[R / D]],3,0),"")</f>
        <v>Receita</v>
      </c>
      <c r="W523" s="521" t="str">
        <f>IF(LANÇ_MOV[[#This Row],[DATA DE PAGAMENTO]]&lt;&gt;"","Pago","Não Pago")</f>
        <v>Não Pago</v>
      </c>
      <c r="X523" s="522" t="str">
        <f>IFERROR(IF(LANÇ_MOV[[#This Row],[DATA DE PAGAMENTO]]="","",(UPPER(TEXT(LANÇ_MOV[[#This Row],[DATA DE PAGAMENTO]],"mmmm")))),"")</f>
        <v/>
      </c>
      <c r="Y523" s="523" t="str">
        <f>IFERROR(VLOOKUP(LANÇ_MOV[[#This Row],[PLANO DE CONTAS]],Plano_Contas[[PLANO DE CONTAS]:[NOMES INTERVALOS]],2,0),"")</f>
        <v>Receitas_Operacionais</v>
      </c>
      <c r="Z523" s="523" t="str">
        <f>IF(LANÇ_MOV[[#This Row],[FORMA DE PAGAMENTO]]="","",VLOOKUP(LANÇ_MOV[[#This Row],[FORMA DE PAGAMENTO]],CAD_Forma_pagto[],2,0))</f>
        <v>PIX</v>
      </c>
      <c r="AA523" s="524" t="str">
        <f>IF(LANÇ_MOV[[#This Row],[DATA DE LANÇAMENTO]]="","",TEXT(LANÇ_MOV[[#This Row],[DATA DE LANÇAMENTO]],"AAAA"))</f>
        <v>2025</v>
      </c>
      <c r="AB523" s="524" t="str">
        <f>IF(LANÇ_MOV[[#This Row],[DATA DE LANÇAMENTO]]="","",UPPER(TEXT(LANÇ_MOV[[#This Row],[DATA DE LANÇAMENTO]],"MMMM")))</f>
        <v>OUTUBRO</v>
      </c>
      <c r="AC523" s="525" t="str">
        <f>IF(LANÇ_MOV[[#This Row],[DATA DE LANÇAMENTO]]="","",PROPER(TEXT(LANÇ_MOV[[#This Row],[DATA DE LANÇAMENTO]],"M")))</f>
        <v>10</v>
      </c>
      <c r="AD523" s="524" t="str">
        <f>IF(LANÇ_MOV[[#This Row],[DATA DE LANÇAMENTO]]="","",TEXT(LANÇ_MOV[[#This Row],[DATA DE LANÇAMENTO]],"D"))</f>
        <v>10</v>
      </c>
      <c r="AE523" s="526" t="str">
        <f>IF(LANÇ_MOV[[#This Row],[DATA DE VENCIMENTO]]="","",TEXT(LANÇ_MOV[[#This Row],[DATA DE VENCIMENTO]],"AAAA"))</f>
        <v>2026</v>
      </c>
      <c r="AF523" s="526" t="str">
        <f>IF(LANÇ_MOV[[#This Row],[DATA DE VENCIMENTO]]="","",UPPER(TEXT(LANÇ_MOV[[#This Row],[DATA DE VENCIMENTO]],"MMMM")))</f>
        <v>JANEIRO</v>
      </c>
      <c r="AG523" s="526" t="str">
        <f>IF(LANÇ_MOV[[#This Row],[DATA DE VENCIMENTO]]="","",TEXT(LANÇ_MOV[[#This Row],[DATA DE VENCIMENTO]],"M"))</f>
        <v>1</v>
      </c>
      <c r="AH523" s="526" t="str">
        <f>IF(LANÇ_MOV[[#This Row],[DATA DE VENCIMENTO]]="","",TEXT(LANÇ_MOV[[#This Row],[DATA DE VENCIMENTO]],"D"))</f>
        <v>10</v>
      </c>
      <c r="AI523" s="526" t="str">
        <f>IF(LANÇ_MOV[[#This Row],[DATA DE PAGAMENTO]]="","",TEXT(LANÇ_MOV[[#This Row],[DATA DE PAGAMENTO]],"AAAA"))</f>
        <v/>
      </c>
      <c r="AJ523" s="527" t="str">
        <f>IF(LANÇ_MOV[[#This Row],[DATA DE PAGAMENTO]]="","",UPPER(TEXT(LANÇ_MOV[[#This Row],[DATA DE PAGAMENTO]],"MMMM")))</f>
        <v/>
      </c>
      <c r="AK523" s="527" t="str">
        <f>IF(LANÇ_MOV[[#This Row],[DATA DE PAGAMENTO]]="","",TEXT(LANÇ_MOV[[#This Row],[DATA DE PAGAMENTO]],"M"))</f>
        <v/>
      </c>
      <c r="AL523" s="526" t="str">
        <f>IF(LANÇ_MOV[[#This Row],[DATA DE PAGAMENTO]]="","",TEXT(LANÇ_MOV[[#This Row],[DATA DE PAGAMENTO]],"D"))</f>
        <v/>
      </c>
    </row>
    <row r="524" spans="2:38" ht="30.05" customHeight="1" x14ac:dyDescent="0.35">
      <c r="B524" s="506">
        <v>45940</v>
      </c>
      <c r="C524" s="507" t="s">
        <v>1661</v>
      </c>
      <c r="D524" s="508" t="s">
        <v>1854</v>
      </c>
      <c r="E524" s="509" t="s">
        <v>1103</v>
      </c>
      <c r="F524" s="510" t="s">
        <v>1785</v>
      </c>
      <c r="G524" s="507"/>
      <c r="H524" s="511">
        <v>0</v>
      </c>
      <c r="I524" s="512" t="s">
        <v>1724</v>
      </c>
      <c r="J524" s="518">
        <v>375.38</v>
      </c>
      <c r="K524" s="510">
        <v>0</v>
      </c>
      <c r="L524" s="510">
        <v>0</v>
      </c>
      <c r="M524" s="548">
        <v>0</v>
      </c>
      <c r="N524" s="514">
        <f>LANÇ_MOV[[#This Row],[VALOR BRUTO]]-LANÇ_MOV[[#This Row],[DESCONTO]]+LANÇ_MOV[[#This Row],[JUROS]]+LANÇ_MOV[[#This Row],[MULTA]]</f>
        <v>375.38</v>
      </c>
      <c r="O524" s="546">
        <v>45940</v>
      </c>
      <c r="P524" s="547" t="str">
        <f t="shared" ca="1" si="8"/>
        <v>Pago</v>
      </c>
      <c r="Q524" s="528">
        <v>45940</v>
      </c>
      <c r="R524" s="529" t="s">
        <v>1564</v>
      </c>
      <c r="S524" s="518"/>
      <c r="T524" s="518" t="s">
        <v>1776</v>
      </c>
      <c r="U524" s="519" t="s">
        <v>2008</v>
      </c>
      <c r="V524" s="520" t="str">
        <f>IFERROR(VLOOKUP(LANÇ_MOV[[#This Row],[PLANO DE CONTAS]],Plano_Contas[[PLANO DE CONTAS]:[R / D]],3,0),"")</f>
        <v>Receita</v>
      </c>
      <c r="W524" s="521" t="str">
        <f>IF(LANÇ_MOV[[#This Row],[DATA DE PAGAMENTO]]&lt;&gt;"","Pago","Não Pago")</f>
        <v>Pago</v>
      </c>
      <c r="X524" s="522" t="str">
        <f>IFERROR(IF(LANÇ_MOV[[#This Row],[DATA DE PAGAMENTO]]="","",(UPPER(TEXT(LANÇ_MOV[[#This Row],[DATA DE PAGAMENTO]],"mmmm")))),"")</f>
        <v>OUTUBRO</v>
      </c>
      <c r="Y524" s="523" t="str">
        <f>IFERROR(VLOOKUP(LANÇ_MOV[[#This Row],[PLANO DE CONTAS]],Plano_Contas[[PLANO DE CONTAS]:[NOMES INTERVALOS]],2,0),"")</f>
        <v>Receitas_Operacionais</v>
      </c>
      <c r="Z524" s="523" t="str">
        <f>IF(LANÇ_MOV[[#This Row],[FORMA DE PAGAMENTO]]="","",VLOOKUP(LANÇ_MOV[[#This Row],[FORMA DE PAGAMENTO]],CAD_Forma_pagto[],2,0))</f>
        <v>PIX</v>
      </c>
      <c r="AA524" s="524" t="str">
        <f>IF(LANÇ_MOV[[#This Row],[DATA DE LANÇAMENTO]]="","",TEXT(LANÇ_MOV[[#This Row],[DATA DE LANÇAMENTO]],"AAAA"))</f>
        <v>2025</v>
      </c>
      <c r="AB524" s="524" t="str">
        <f>IF(LANÇ_MOV[[#This Row],[DATA DE LANÇAMENTO]]="","",UPPER(TEXT(LANÇ_MOV[[#This Row],[DATA DE LANÇAMENTO]],"MMMM")))</f>
        <v>OUTUBRO</v>
      </c>
      <c r="AC524" s="525" t="str">
        <f>IF(LANÇ_MOV[[#This Row],[DATA DE LANÇAMENTO]]="","",PROPER(TEXT(LANÇ_MOV[[#This Row],[DATA DE LANÇAMENTO]],"M")))</f>
        <v>10</v>
      </c>
      <c r="AD524" s="524" t="str">
        <f>IF(LANÇ_MOV[[#This Row],[DATA DE LANÇAMENTO]]="","",TEXT(LANÇ_MOV[[#This Row],[DATA DE LANÇAMENTO]],"D"))</f>
        <v>10</v>
      </c>
      <c r="AE524" s="526" t="str">
        <f>IF(LANÇ_MOV[[#This Row],[DATA DE VENCIMENTO]]="","",TEXT(LANÇ_MOV[[#This Row],[DATA DE VENCIMENTO]],"AAAA"))</f>
        <v>2025</v>
      </c>
      <c r="AF524" s="526" t="str">
        <f>IF(LANÇ_MOV[[#This Row],[DATA DE VENCIMENTO]]="","",UPPER(TEXT(LANÇ_MOV[[#This Row],[DATA DE VENCIMENTO]],"MMMM")))</f>
        <v>OUTUBRO</v>
      </c>
      <c r="AG524" s="526" t="str">
        <f>IF(LANÇ_MOV[[#This Row],[DATA DE VENCIMENTO]]="","",TEXT(LANÇ_MOV[[#This Row],[DATA DE VENCIMENTO]],"M"))</f>
        <v>10</v>
      </c>
      <c r="AH524" s="526" t="str">
        <f>IF(LANÇ_MOV[[#This Row],[DATA DE VENCIMENTO]]="","",TEXT(LANÇ_MOV[[#This Row],[DATA DE VENCIMENTO]],"D"))</f>
        <v>10</v>
      </c>
      <c r="AI524" s="526" t="str">
        <f>IF(LANÇ_MOV[[#This Row],[DATA DE PAGAMENTO]]="","",TEXT(LANÇ_MOV[[#This Row],[DATA DE PAGAMENTO]],"AAAA"))</f>
        <v>2025</v>
      </c>
      <c r="AJ524" s="527" t="str">
        <f>IF(LANÇ_MOV[[#This Row],[DATA DE PAGAMENTO]]="","",UPPER(TEXT(LANÇ_MOV[[#This Row],[DATA DE PAGAMENTO]],"MMMM")))</f>
        <v>OUTUBRO</v>
      </c>
      <c r="AK524" s="527" t="str">
        <f>IF(LANÇ_MOV[[#This Row],[DATA DE PAGAMENTO]]="","",TEXT(LANÇ_MOV[[#This Row],[DATA DE PAGAMENTO]],"M"))</f>
        <v>10</v>
      </c>
      <c r="AL524" s="526" t="str">
        <f>IF(LANÇ_MOV[[#This Row],[DATA DE PAGAMENTO]]="","",TEXT(LANÇ_MOV[[#This Row],[DATA DE PAGAMENTO]],"D"))</f>
        <v>10</v>
      </c>
    </row>
    <row r="525" spans="2:38" ht="30.05" customHeight="1" x14ac:dyDescent="0.35">
      <c r="B525" s="506">
        <v>45940</v>
      </c>
      <c r="C525" s="507" t="s">
        <v>1661</v>
      </c>
      <c r="D525" s="508" t="s">
        <v>1854</v>
      </c>
      <c r="E525" s="509" t="s">
        <v>1103</v>
      </c>
      <c r="F525" s="510" t="s">
        <v>1785</v>
      </c>
      <c r="G525" s="507"/>
      <c r="H525" s="511">
        <v>0</v>
      </c>
      <c r="I525" s="512" t="s">
        <v>1670</v>
      </c>
      <c r="J525" s="518">
        <v>375.38</v>
      </c>
      <c r="K525" s="510">
        <v>0</v>
      </c>
      <c r="L525" s="510">
        <v>0</v>
      </c>
      <c r="M525" s="548">
        <v>0</v>
      </c>
      <c r="N525" s="514">
        <f>LANÇ_MOV[[#This Row],[VALOR BRUTO]]-LANÇ_MOV[[#This Row],[DESCONTO]]+LANÇ_MOV[[#This Row],[JUROS]]+LANÇ_MOV[[#This Row],[MULTA]]</f>
        <v>375.38</v>
      </c>
      <c r="O525" s="546">
        <v>45940</v>
      </c>
      <c r="P525" s="547" t="str">
        <f t="shared" ca="1" si="8"/>
        <v>Pago</v>
      </c>
      <c r="Q525" s="528">
        <v>45940</v>
      </c>
      <c r="R525" s="529" t="s">
        <v>1564</v>
      </c>
      <c r="S525" s="518"/>
      <c r="T525" s="518" t="s">
        <v>1776</v>
      </c>
      <c r="U525" s="519" t="s">
        <v>2008</v>
      </c>
      <c r="V525" s="520" t="str">
        <f>IFERROR(VLOOKUP(LANÇ_MOV[[#This Row],[PLANO DE CONTAS]],Plano_Contas[[PLANO DE CONTAS]:[R / D]],3,0),"")</f>
        <v>Receita</v>
      </c>
      <c r="W525" s="521" t="str">
        <f>IF(LANÇ_MOV[[#This Row],[DATA DE PAGAMENTO]]&lt;&gt;"","Pago","Não Pago")</f>
        <v>Pago</v>
      </c>
      <c r="X525" s="522" t="str">
        <f>IFERROR(IF(LANÇ_MOV[[#This Row],[DATA DE PAGAMENTO]]="","",(UPPER(TEXT(LANÇ_MOV[[#This Row],[DATA DE PAGAMENTO]],"mmmm")))),"")</f>
        <v>OUTUBRO</v>
      </c>
      <c r="Y525" s="523" t="str">
        <f>IFERROR(VLOOKUP(LANÇ_MOV[[#This Row],[PLANO DE CONTAS]],Plano_Contas[[PLANO DE CONTAS]:[NOMES INTERVALOS]],2,0),"")</f>
        <v>Receitas_Operacionais</v>
      </c>
      <c r="Z525" s="523" t="str">
        <f>IF(LANÇ_MOV[[#This Row],[FORMA DE PAGAMENTO]]="","",VLOOKUP(LANÇ_MOV[[#This Row],[FORMA DE PAGAMENTO]],CAD_Forma_pagto[],2,0))</f>
        <v>PIX</v>
      </c>
      <c r="AA525" s="524" t="str">
        <f>IF(LANÇ_MOV[[#This Row],[DATA DE LANÇAMENTO]]="","",TEXT(LANÇ_MOV[[#This Row],[DATA DE LANÇAMENTO]],"AAAA"))</f>
        <v>2025</v>
      </c>
      <c r="AB525" s="524" t="str">
        <f>IF(LANÇ_MOV[[#This Row],[DATA DE LANÇAMENTO]]="","",UPPER(TEXT(LANÇ_MOV[[#This Row],[DATA DE LANÇAMENTO]],"MMMM")))</f>
        <v>OUTUBRO</v>
      </c>
      <c r="AC525" s="525" t="str">
        <f>IF(LANÇ_MOV[[#This Row],[DATA DE LANÇAMENTO]]="","",PROPER(TEXT(LANÇ_MOV[[#This Row],[DATA DE LANÇAMENTO]],"M")))</f>
        <v>10</v>
      </c>
      <c r="AD525" s="524" t="str">
        <f>IF(LANÇ_MOV[[#This Row],[DATA DE LANÇAMENTO]]="","",TEXT(LANÇ_MOV[[#This Row],[DATA DE LANÇAMENTO]],"D"))</f>
        <v>10</v>
      </c>
      <c r="AE525" s="526" t="str">
        <f>IF(LANÇ_MOV[[#This Row],[DATA DE VENCIMENTO]]="","",TEXT(LANÇ_MOV[[#This Row],[DATA DE VENCIMENTO]],"AAAA"))</f>
        <v>2025</v>
      </c>
      <c r="AF525" s="526" t="str">
        <f>IF(LANÇ_MOV[[#This Row],[DATA DE VENCIMENTO]]="","",UPPER(TEXT(LANÇ_MOV[[#This Row],[DATA DE VENCIMENTO]],"MMMM")))</f>
        <v>OUTUBRO</v>
      </c>
      <c r="AG525" s="526" t="str">
        <f>IF(LANÇ_MOV[[#This Row],[DATA DE VENCIMENTO]]="","",TEXT(LANÇ_MOV[[#This Row],[DATA DE VENCIMENTO]],"M"))</f>
        <v>10</v>
      </c>
      <c r="AH525" s="526" t="str">
        <f>IF(LANÇ_MOV[[#This Row],[DATA DE VENCIMENTO]]="","",TEXT(LANÇ_MOV[[#This Row],[DATA DE VENCIMENTO]],"D"))</f>
        <v>10</v>
      </c>
      <c r="AI525" s="526" t="str">
        <f>IF(LANÇ_MOV[[#This Row],[DATA DE PAGAMENTO]]="","",TEXT(LANÇ_MOV[[#This Row],[DATA DE PAGAMENTO]],"AAAA"))</f>
        <v>2025</v>
      </c>
      <c r="AJ525" s="527" t="str">
        <f>IF(LANÇ_MOV[[#This Row],[DATA DE PAGAMENTO]]="","",UPPER(TEXT(LANÇ_MOV[[#This Row],[DATA DE PAGAMENTO]],"MMMM")))</f>
        <v>OUTUBRO</v>
      </c>
      <c r="AK525" s="527" t="str">
        <f>IF(LANÇ_MOV[[#This Row],[DATA DE PAGAMENTO]]="","",TEXT(LANÇ_MOV[[#This Row],[DATA DE PAGAMENTO]],"M"))</f>
        <v>10</v>
      </c>
      <c r="AL525" s="526" t="str">
        <f>IF(LANÇ_MOV[[#This Row],[DATA DE PAGAMENTO]]="","",TEXT(LANÇ_MOV[[#This Row],[DATA DE PAGAMENTO]],"D"))</f>
        <v>10</v>
      </c>
    </row>
    <row r="526" spans="2:38" ht="30.05" customHeight="1" x14ac:dyDescent="0.35">
      <c r="B526" s="506">
        <v>45940</v>
      </c>
      <c r="C526" s="507" t="s">
        <v>1661</v>
      </c>
      <c r="D526" s="508" t="s">
        <v>1854</v>
      </c>
      <c r="E526" s="509" t="s">
        <v>1103</v>
      </c>
      <c r="F526" s="510" t="s">
        <v>1785</v>
      </c>
      <c r="G526" s="507"/>
      <c r="H526" s="511">
        <v>0</v>
      </c>
      <c r="I526" s="512" t="s">
        <v>1670</v>
      </c>
      <c r="J526" s="518">
        <v>375.38</v>
      </c>
      <c r="K526" s="510">
        <v>0</v>
      </c>
      <c r="L526" s="510">
        <v>0</v>
      </c>
      <c r="M526" s="548">
        <v>0</v>
      </c>
      <c r="N526" s="514">
        <f>LANÇ_MOV[[#This Row],[VALOR BRUTO]]-LANÇ_MOV[[#This Row],[DESCONTO]]+LANÇ_MOV[[#This Row],[JUROS]]+LANÇ_MOV[[#This Row],[MULTA]]</f>
        <v>375.38</v>
      </c>
      <c r="O526" s="546">
        <v>45971</v>
      </c>
      <c r="P526" s="547" t="str">
        <f t="shared" ca="1" si="8"/>
        <v>Pago</v>
      </c>
      <c r="Q526" s="528">
        <v>45969</v>
      </c>
      <c r="R526" s="529" t="s">
        <v>1564</v>
      </c>
      <c r="S526" s="518"/>
      <c r="T526" s="518" t="s">
        <v>1776</v>
      </c>
      <c r="U526" s="519" t="s">
        <v>2008</v>
      </c>
      <c r="V526" s="520" t="str">
        <f>IFERROR(VLOOKUP(LANÇ_MOV[[#This Row],[PLANO DE CONTAS]],Plano_Contas[[PLANO DE CONTAS]:[R / D]],3,0),"")</f>
        <v>Receita</v>
      </c>
      <c r="W526" s="521" t="str">
        <f>IF(LANÇ_MOV[[#This Row],[DATA DE PAGAMENTO]]&lt;&gt;"","Pago","Não Pago")</f>
        <v>Pago</v>
      </c>
      <c r="X526" s="522" t="str">
        <f>IFERROR(IF(LANÇ_MOV[[#This Row],[DATA DE PAGAMENTO]]="","",(UPPER(TEXT(LANÇ_MOV[[#This Row],[DATA DE PAGAMENTO]],"mmmm")))),"")</f>
        <v>NOVEMBRO</v>
      </c>
      <c r="Y526" s="523" t="str">
        <f>IFERROR(VLOOKUP(LANÇ_MOV[[#This Row],[PLANO DE CONTAS]],Plano_Contas[[PLANO DE CONTAS]:[NOMES INTERVALOS]],2,0),"")</f>
        <v>Receitas_Operacionais</v>
      </c>
      <c r="Z526" s="523" t="str">
        <f>IF(LANÇ_MOV[[#This Row],[FORMA DE PAGAMENTO]]="","",VLOOKUP(LANÇ_MOV[[#This Row],[FORMA DE PAGAMENTO]],CAD_Forma_pagto[],2,0))</f>
        <v>PIX</v>
      </c>
      <c r="AA526" s="524" t="str">
        <f>IF(LANÇ_MOV[[#This Row],[DATA DE LANÇAMENTO]]="","",TEXT(LANÇ_MOV[[#This Row],[DATA DE LANÇAMENTO]],"AAAA"))</f>
        <v>2025</v>
      </c>
      <c r="AB526" s="524" t="str">
        <f>IF(LANÇ_MOV[[#This Row],[DATA DE LANÇAMENTO]]="","",UPPER(TEXT(LANÇ_MOV[[#This Row],[DATA DE LANÇAMENTO]],"MMMM")))</f>
        <v>OUTUBRO</v>
      </c>
      <c r="AC526" s="525" t="str">
        <f>IF(LANÇ_MOV[[#This Row],[DATA DE LANÇAMENTO]]="","",PROPER(TEXT(LANÇ_MOV[[#This Row],[DATA DE LANÇAMENTO]],"M")))</f>
        <v>10</v>
      </c>
      <c r="AD526" s="524" t="str">
        <f>IF(LANÇ_MOV[[#This Row],[DATA DE LANÇAMENTO]]="","",TEXT(LANÇ_MOV[[#This Row],[DATA DE LANÇAMENTO]],"D"))</f>
        <v>10</v>
      </c>
      <c r="AE526" s="526" t="str">
        <f>IF(LANÇ_MOV[[#This Row],[DATA DE VENCIMENTO]]="","",TEXT(LANÇ_MOV[[#This Row],[DATA DE VENCIMENTO]],"AAAA"))</f>
        <v>2025</v>
      </c>
      <c r="AF526" s="526" t="str">
        <f>IF(LANÇ_MOV[[#This Row],[DATA DE VENCIMENTO]]="","",UPPER(TEXT(LANÇ_MOV[[#This Row],[DATA DE VENCIMENTO]],"MMMM")))</f>
        <v>NOVEMBRO</v>
      </c>
      <c r="AG526" s="526" t="str">
        <f>IF(LANÇ_MOV[[#This Row],[DATA DE VENCIMENTO]]="","",TEXT(LANÇ_MOV[[#This Row],[DATA DE VENCIMENTO]],"M"))</f>
        <v>11</v>
      </c>
      <c r="AH526" s="526" t="str">
        <f>IF(LANÇ_MOV[[#This Row],[DATA DE VENCIMENTO]]="","",TEXT(LANÇ_MOV[[#This Row],[DATA DE VENCIMENTO]],"D"))</f>
        <v>10</v>
      </c>
      <c r="AI526" s="526" t="str">
        <f>IF(LANÇ_MOV[[#This Row],[DATA DE PAGAMENTO]]="","",TEXT(LANÇ_MOV[[#This Row],[DATA DE PAGAMENTO]],"AAAA"))</f>
        <v>2025</v>
      </c>
      <c r="AJ526" s="527" t="str">
        <f>IF(LANÇ_MOV[[#This Row],[DATA DE PAGAMENTO]]="","",UPPER(TEXT(LANÇ_MOV[[#This Row],[DATA DE PAGAMENTO]],"MMMM")))</f>
        <v>NOVEMBRO</v>
      </c>
      <c r="AK526" s="527" t="str">
        <f>IF(LANÇ_MOV[[#This Row],[DATA DE PAGAMENTO]]="","",TEXT(LANÇ_MOV[[#This Row],[DATA DE PAGAMENTO]],"M"))</f>
        <v>11</v>
      </c>
      <c r="AL526" s="526" t="str">
        <f>IF(LANÇ_MOV[[#This Row],[DATA DE PAGAMENTO]]="","",TEXT(LANÇ_MOV[[#This Row],[DATA DE PAGAMENTO]],"D"))</f>
        <v>8</v>
      </c>
    </row>
    <row r="527" spans="2:38" ht="30.05" customHeight="1" x14ac:dyDescent="0.35">
      <c r="B527" s="506">
        <v>45940</v>
      </c>
      <c r="C527" s="507" t="s">
        <v>1661</v>
      </c>
      <c r="D527" s="508" t="s">
        <v>1854</v>
      </c>
      <c r="E527" s="509" t="s">
        <v>1144</v>
      </c>
      <c r="F527" s="510" t="s">
        <v>1489</v>
      </c>
      <c r="G527" s="507"/>
      <c r="H527" s="511">
        <v>0</v>
      </c>
      <c r="I527" s="512" t="s">
        <v>1688</v>
      </c>
      <c r="J527" s="518">
        <v>2000</v>
      </c>
      <c r="K527" s="510">
        <v>0</v>
      </c>
      <c r="L527" s="510"/>
      <c r="M527" s="548">
        <v>0</v>
      </c>
      <c r="N527" s="514">
        <f>LANÇ_MOV[[#This Row],[VALOR BRUTO]]-LANÇ_MOV[[#This Row],[DESCONTO]]+LANÇ_MOV[[#This Row],[JUROS]]+LANÇ_MOV[[#This Row],[MULTA]]</f>
        <v>2000</v>
      </c>
      <c r="O527" s="546">
        <v>45940</v>
      </c>
      <c r="P527" s="547" t="str">
        <f t="shared" ca="1" si="8"/>
        <v>Pago</v>
      </c>
      <c r="Q527" s="528">
        <v>45940</v>
      </c>
      <c r="R527" s="529" t="s">
        <v>1564</v>
      </c>
      <c r="S527" s="518"/>
      <c r="T527" s="518" t="s">
        <v>1776</v>
      </c>
      <c r="U527" s="519" t="s">
        <v>2007</v>
      </c>
      <c r="V527" s="520" t="str">
        <f>IFERROR(VLOOKUP(LANÇ_MOV[[#This Row],[PLANO DE CONTAS]],Plano_Contas[[PLANO DE CONTAS]:[R / D]],3,0),"")</f>
        <v>Despesa</v>
      </c>
      <c r="W527" s="521" t="str">
        <f>IF(LANÇ_MOV[[#This Row],[DATA DE PAGAMENTO]]&lt;&gt;"","Pago","Não Pago")</f>
        <v>Pago</v>
      </c>
      <c r="X527" s="522" t="str">
        <f>IFERROR(IF(LANÇ_MOV[[#This Row],[DATA DE PAGAMENTO]]="","",(UPPER(TEXT(LANÇ_MOV[[#This Row],[DATA DE PAGAMENTO]],"mmmm")))),"")</f>
        <v>OUTUBRO</v>
      </c>
      <c r="Y527" s="523" t="str">
        <f>IFERROR(VLOOKUP(LANÇ_MOV[[#This Row],[PLANO DE CONTAS]],Plano_Contas[[PLANO DE CONTAS]:[NOMES INTERVALOS]],2,0),"")</f>
        <v>Despesas_Administrativas</v>
      </c>
      <c r="Z527" s="523" t="str">
        <f>IF(LANÇ_MOV[[#This Row],[FORMA DE PAGAMENTO]]="","",VLOOKUP(LANÇ_MOV[[#This Row],[FORMA DE PAGAMENTO]],CAD_Forma_pagto[],2,0))</f>
        <v>PIX</v>
      </c>
      <c r="AA527" s="524" t="str">
        <f>IF(LANÇ_MOV[[#This Row],[DATA DE LANÇAMENTO]]="","",TEXT(LANÇ_MOV[[#This Row],[DATA DE LANÇAMENTO]],"AAAA"))</f>
        <v>2025</v>
      </c>
      <c r="AB527" s="524" t="str">
        <f>IF(LANÇ_MOV[[#This Row],[DATA DE LANÇAMENTO]]="","",UPPER(TEXT(LANÇ_MOV[[#This Row],[DATA DE LANÇAMENTO]],"MMMM")))</f>
        <v>OUTUBRO</v>
      </c>
      <c r="AC527" s="525" t="str">
        <f>IF(LANÇ_MOV[[#This Row],[DATA DE LANÇAMENTO]]="","",PROPER(TEXT(LANÇ_MOV[[#This Row],[DATA DE LANÇAMENTO]],"M")))</f>
        <v>10</v>
      </c>
      <c r="AD527" s="524" t="str">
        <f>IF(LANÇ_MOV[[#This Row],[DATA DE LANÇAMENTO]]="","",TEXT(LANÇ_MOV[[#This Row],[DATA DE LANÇAMENTO]],"D"))</f>
        <v>10</v>
      </c>
      <c r="AE527" s="526" t="str">
        <f>IF(LANÇ_MOV[[#This Row],[DATA DE VENCIMENTO]]="","",TEXT(LANÇ_MOV[[#This Row],[DATA DE VENCIMENTO]],"AAAA"))</f>
        <v>2025</v>
      </c>
      <c r="AF527" s="526" t="str">
        <f>IF(LANÇ_MOV[[#This Row],[DATA DE VENCIMENTO]]="","",UPPER(TEXT(LANÇ_MOV[[#This Row],[DATA DE VENCIMENTO]],"MMMM")))</f>
        <v>OUTUBRO</v>
      </c>
      <c r="AG527" s="526" t="str">
        <f>IF(LANÇ_MOV[[#This Row],[DATA DE VENCIMENTO]]="","",TEXT(LANÇ_MOV[[#This Row],[DATA DE VENCIMENTO]],"M"))</f>
        <v>10</v>
      </c>
      <c r="AH527" s="526" t="str">
        <f>IF(LANÇ_MOV[[#This Row],[DATA DE VENCIMENTO]]="","",TEXT(LANÇ_MOV[[#This Row],[DATA DE VENCIMENTO]],"D"))</f>
        <v>10</v>
      </c>
      <c r="AI527" s="526" t="str">
        <f>IF(LANÇ_MOV[[#This Row],[DATA DE PAGAMENTO]]="","",TEXT(LANÇ_MOV[[#This Row],[DATA DE PAGAMENTO]],"AAAA"))</f>
        <v>2025</v>
      </c>
      <c r="AJ527" s="527" t="str">
        <f>IF(LANÇ_MOV[[#This Row],[DATA DE PAGAMENTO]]="","",UPPER(TEXT(LANÇ_MOV[[#This Row],[DATA DE PAGAMENTO]],"MMMM")))</f>
        <v>OUTUBRO</v>
      </c>
      <c r="AK527" s="527" t="str">
        <f>IF(LANÇ_MOV[[#This Row],[DATA DE PAGAMENTO]]="","",TEXT(LANÇ_MOV[[#This Row],[DATA DE PAGAMENTO]],"M"))</f>
        <v>10</v>
      </c>
      <c r="AL527" s="526" t="str">
        <f>IF(LANÇ_MOV[[#This Row],[DATA DE PAGAMENTO]]="","",TEXT(LANÇ_MOV[[#This Row],[DATA DE PAGAMENTO]],"D"))</f>
        <v>10</v>
      </c>
    </row>
    <row r="528" spans="2:38" ht="30.05" customHeight="1" x14ac:dyDescent="0.35">
      <c r="B528" s="506">
        <v>45940</v>
      </c>
      <c r="C528" s="507" t="s">
        <v>1661</v>
      </c>
      <c r="D528" s="508" t="s">
        <v>1854</v>
      </c>
      <c r="E528" s="509" t="s">
        <v>1103</v>
      </c>
      <c r="F528" s="510" t="s">
        <v>1785</v>
      </c>
      <c r="G528" s="507" t="s">
        <v>1855</v>
      </c>
      <c r="H528" s="511">
        <v>0</v>
      </c>
      <c r="I528" s="512" t="s">
        <v>1728</v>
      </c>
      <c r="J528" s="518">
        <v>350.35</v>
      </c>
      <c r="K528" s="510">
        <v>0</v>
      </c>
      <c r="L528" s="510">
        <v>0</v>
      </c>
      <c r="M528" s="548">
        <v>0</v>
      </c>
      <c r="N528" s="514">
        <f>LANÇ_MOV[[#This Row],[VALOR BRUTO]]-LANÇ_MOV[[#This Row],[DESCONTO]]+LANÇ_MOV[[#This Row],[JUROS]]+LANÇ_MOV[[#This Row],[MULTA]]</f>
        <v>350.35</v>
      </c>
      <c r="O528" s="546">
        <v>45940</v>
      </c>
      <c r="P528" s="547" t="str">
        <f t="shared" ca="1" si="8"/>
        <v>Pago</v>
      </c>
      <c r="Q528" s="528">
        <v>45940</v>
      </c>
      <c r="R528" s="529" t="s">
        <v>1564</v>
      </c>
      <c r="S528" s="518"/>
      <c r="T528" s="518" t="s">
        <v>1776</v>
      </c>
      <c r="U528" s="519" t="s">
        <v>2008</v>
      </c>
      <c r="V528" s="520" t="str">
        <f>IFERROR(VLOOKUP(LANÇ_MOV[[#This Row],[PLANO DE CONTAS]],Plano_Contas[[PLANO DE CONTAS]:[R / D]],3,0),"")</f>
        <v>Receita</v>
      </c>
      <c r="W528" s="521" t="str">
        <f>IF(LANÇ_MOV[[#This Row],[DATA DE PAGAMENTO]]&lt;&gt;"","Pago","Não Pago")</f>
        <v>Pago</v>
      </c>
      <c r="X528" s="522" t="str">
        <f>IFERROR(IF(LANÇ_MOV[[#This Row],[DATA DE PAGAMENTO]]="","",(UPPER(TEXT(LANÇ_MOV[[#This Row],[DATA DE PAGAMENTO]],"mmmm")))),"")</f>
        <v>OUTUBRO</v>
      </c>
      <c r="Y528" s="523" t="str">
        <f>IFERROR(VLOOKUP(LANÇ_MOV[[#This Row],[PLANO DE CONTAS]],Plano_Contas[[PLANO DE CONTAS]:[NOMES INTERVALOS]],2,0),"")</f>
        <v>Receitas_Operacionais</v>
      </c>
      <c r="Z528" s="523" t="str">
        <f>IF(LANÇ_MOV[[#This Row],[FORMA DE PAGAMENTO]]="","",VLOOKUP(LANÇ_MOV[[#This Row],[FORMA DE PAGAMENTO]],CAD_Forma_pagto[],2,0))</f>
        <v>PIX</v>
      </c>
      <c r="AA528" s="524" t="str">
        <f>IF(LANÇ_MOV[[#This Row],[DATA DE LANÇAMENTO]]="","",TEXT(LANÇ_MOV[[#This Row],[DATA DE LANÇAMENTO]],"AAAA"))</f>
        <v>2025</v>
      </c>
      <c r="AB528" s="524" t="str">
        <f>IF(LANÇ_MOV[[#This Row],[DATA DE LANÇAMENTO]]="","",UPPER(TEXT(LANÇ_MOV[[#This Row],[DATA DE LANÇAMENTO]],"MMMM")))</f>
        <v>OUTUBRO</v>
      </c>
      <c r="AC528" s="525" t="str">
        <f>IF(LANÇ_MOV[[#This Row],[DATA DE LANÇAMENTO]]="","",PROPER(TEXT(LANÇ_MOV[[#This Row],[DATA DE LANÇAMENTO]],"M")))</f>
        <v>10</v>
      </c>
      <c r="AD528" s="524" t="str">
        <f>IF(LANÇ_MOV[[#This Row],[DATA DE LANÇAMENTO]]="","",TEXT(LANÇ_MOV[[#This Row],[DATA DE LANÇAMENTO]],"D"))</f>
        <v>10</v>
      </c>
      <c r="AE528" s="526" t="str">
        <f>IF(LANÇ_MOV[[#This Row],[DATA DE VENCIMENTO]]="","",TEXT(LANÇ_MOV[[#This Row],[DATA DE VENCIMENTO]],"AAAA"))</f>
        <v>2025</v>
      </c>
      <c r="AF528" s="526" t="str">
        <f>IF(LANÇ_MOV[[#This Row],[DATA DE VENCIMENTO]]="","",UPPER(TEXT(LANÇ_MOV[[#This Row],[DATA DE VENCIMENTO]],"MMMM")))</f>
        <v>OUTUBRO</v>
      </c>
      <c r="AG528" s="526" t="str">
        <f>IF(LANÇ_MOV[[#This Row],[DATA DE VENCIMENTO]]="","",TEXT(LANÇ_MOV[[#This Row],[DATA DE VENCIMENTO]],"M"))</f>
        <v>10</v>
      </c>
      <c r="AH528" s="526" t="str">
        <f>IF(LANÇ_MOV[[#This Row],[DATA DE VENCIMENTO]]="","",TEXT(LANÇ_MOV[[#This Row],[DATA DE VENCIMENTO]],"D"))</f>
        <v>10</v>
      </c>
      <c r="AI528" s="526" t="str">
        <f>IF(LANÇ_MOV[[#This Row],[DATA DE PAGAMENTO]]="","",TEXT(LANÇ_MOV[[#This Row],[DATA DE PAGAMENTO]],"AAAA"))</f>
        <v>2025</v>
      </c>
      <c r="AJ528" s="527" t="str">
        <f>IF(LANÇ_MOV[[#This Row],[DATA DE PAGAMENTO]]="","",UPPER(TEXT(LANÇ_MOV[[#This Row],[DATA DE PAGAMENTO]],"MMMM")))</f>
        <v>OUTUBRO</v>
      </c>
      <c r="AK528" s="527" t="str">
        <f>IF(LANÇ_MOV[[#This Row],[DATA DE PAGAMENTO]]="","",TEXT(LANÇ_MOV[[#This Row],[DATA DE PAGAMENTO]],"M"))</f>
        <v>10</v>
      </c>
      <c r="AL528" s="526" t="str">
        <f>IF(LANÇ_MOV[[#This Row],[DATA DE PAGAMENTO]]="","",TEXT(LANÇ_MOV[[#This Row],[DATA DE PAGAMENTO]],"D"))</f>
        <v>10</v>
      </c>
    </row>
    <row r="529" spans="2:38" ht="30.05" customHeight="1" x14ac:dyDescent="0.35">
      <c r="B529" s="506">
        <v>45940</v>
      </c>
      <c r="C529" s="507" t="s">
        <v>1661</v>
      </c>
      <c r="D529" s="508" t="s">
        <v>1854</v>
      </c>
      <c r="E529" s="509" t="s">
        <v>1103</v>
      </c>
      <c r="F529" s="510" t="s">
        <v>1785</v>
      </c>
      <c r="G529" s="507" t="s">
        <v>1856</v>
      </c>
      <c r="H529" s="511">
        <v>0</v>
      </c>
      <c r="I529" s="512" t="s">
        <v>1728</v>
      </c>
      <c r="J529" s="518">
        <v>350.35</v>
      </c>
      <c r="K529" s="510">
        <v>0</v>
      </c>
      <c r="L529" s="510">
        <v>0</v>
      </c>
      <c r="M529" s="548">
        <v>0</v>
      </c>
      <c r="N529" s="514">
        <f>LANÇ_MOV[[#This Row],[VALOR BRUTO]]-LANÇ_MOV[[#This Row],[DESCONTO]]+LANÇ_MOV[[#This Row],[JUROS]]+LANÇ_MOV[[#This Row],[MULTA]]</f>
        <v>350.35</v>
      </c>
      <c r="O529" s="546">
        <v>45971</v>
      </c>
      <c r="P529" s="547" t="str">
        <f t="shared" ca="1" si="8"/>
        <v>Venceu</v>
      </c>
      <c r="Q529" s="528"/>
      <c r="R529" s="529" t="s">
        <v>1564</v>
      </c>
      <c r="S529" s="518"/>
      <c r="T529" s="518" t="s">
        <v>1776</v>
      </c>
      <c r="U529" s="519" t="s">
        <v>2008</v>
      </c>
      <c r="V529" s="520" t="str">
        <f>IFERROR(VLOOKUP(LANÇ_MOV[[#This Row],[PLANO DE CONTAS]],Plano_Contas[[PLANO DE CONTAS]:[R / D]],3,0),"")</f>
        <v>Receita</v>
      </c>
      <c r="W529" s="521" t="str">
        <f>IF(LANÇ_MOV[[#This Row],[DATA DE PAGAMENTO]]&lt;&gt;"","Pago","Não Pago")</f>
        <v>Não Pago</v>
      </c>
      <c r="X529" s="522" t="str">
        <f>IFERROR(IF(LANÇ_MOV[[#This Row],[DATA DE PAGAMENTO]]="","",(UPPER(TEXT(LANÇ_MOV[[#This Row],[DATA DE PAGAMENTO]],"mmmm")))),"")</f>
        <v/>
      </c>
      <c r="Y529" s="523" t="str">
        <f>IFERROR(VLOOKUP(LANÇ_MOV[[#This Row],[PLANO DE CONTAS]],Plano_Contas[[PLANO DE CONTAS]:[NOMES INTERVALOS]],2,0),"")</f>
        <v>Receitas_Operacionais</v>
      </c>
      <c r="Z529" s="523" t="str">
        <f>IF(LANÇ_MOV[[#This Row],[FORMA DE PAGAMENTO]]="","",VLOOKUP(LANÇ_MOV[[#This Row],[FORMA DE PAGAMENTO]],CAD_Forma_pagto[],2,0))</f>
        <v>PIX</v>
      </c>
      <c r="AA529" s="524" t="str">
        <f>IF(LANÇ_MOV[[#This Row],[DATA DE LANÇAMENTO]]="","",TEXT(LANÇ_MOV[[#This Row],[DATA DE LANÇAMENTO]],"AAAA"))</f>
        <v>2025</v>
      </c>
      <c r="AB529" s="524" t="str">
        <f>IF(LANÇ_MOV[[#This Row],[DATA DE LANÇAMENTO]]="","",UPPER(TEXT(LANÇ_MOV[[#This Row],[DATA DE LANÇAMENTO]],"MMMM")))</f>
        <v>OUTUBRO</v>
      </c>
      <c r="AC529" s="525" t="str">
        <f>IF(LANÇ_MOV[[#This Row],[DATA DE LANÇAMENTO]]="","",PROPER(TEXT(LANÇ_MOV[[#This Row],[DATA DE LANÇAMENTO]],"M")))</f>
        <v>10</v>
      </c>
      <c r="AD529" s="524" t="str">
        <f>IF(LANÇ_MOV[[#This Row],[DATA DE LANÇAMENTO]]="","",TEXT(LANÇ_MOV[[#This Row],[DATA DE LANÇAMENTO]],"D"))</f>
        <v>10</v>
      </c>
      <c r="AE529" s="526" t="str">
        <f>IF(LANÇ_MOV[[#This Row],[DATA DE VENCIMENTO]]="","",TEXT(LANÇ_MOV[[#This Row],[DATA DE VENCIMENTO]],"AAAA"))</f>
        <v>2025</v>
      </c>
      <c r="AF529" s="526" t="str">
        <f>IF(LANÇ_MOV[[#This Row],[DATA DE VENCIMENTO]]="","",UPPER(TEXT(LANÇ_MOV[[#This Row],[DATA DE VENCIMENTO]],"MMMM")))</f>
        <v>NOVEMBRO</v>
      </c>
      <c r="AG529" s="526" t="str">
        <f>IF(LANÇ_MOV[[#This Row],[DATA DE VENCIMENTO]]="","",TEXT(LANÇ_MOV[[#This Row],[DATA DE VENCIMENTO]],"M"))</f>
        <v>11</v>
      </c>
      <c r="AH529" s="526" t="str">
        <f>IF(LANÇ_MOV[[#This Row],[DATA DE VENCIMENTO]]="","",TEXT(LANÇ_MOV[[#This Row],[DATA DE VENCIMENTO]],"D"))</f>
        <v>10</v>
      </c>
      <c r="AI529" s="526" t="str">
        <f>IF(LANÇ_MOV[[#This Row],[DATA DE PAGAMENTO]]="","",TEXT(LANÇ_MOV[[#This Row],[DATA DE PAGAMENTO]],"AAAA"))</f>
        <v/>
      </c>
      <c r="AJ529" s="527" t="str">
        <f>IF(LANÇ_MOV[[#This Row],[DATA DE PAGAMENTO]]="","",UPPER(TEXT(LANÇ_MOV[[#This Row],[DATA DE PAGAMENTO]],"MMMM")))</f>
        <v/>
      </c>
      <c r="AK529" s="527" t="str">
        <f>IF(LANÇ_MOV[[#This Row],[DATA DE PAGAMENTO]]="","",TEXT(LANÇ_MOV[[#This Row],[DATA DE PAGAMENTO]],"M"))</f>
        <v/>
      </c>
      <c r="AL529" s="526" t="str">
        <f>IF(LANÇ_MOV[[#This Row],[DATA DE PAGAMENTO]]="","",TEXT(LANÇ_MOV[[#This Row],[DATA DE PAGAMENTO]],"D"))</f>
        <v/>
      </c>
    </row>
    <row r="530" spans="2:38" ht="30.05" customHeight="1" x14ac:dyDescent="0.35">
      <c r="B530" s="506">
        <v>45940</v>
      </c>
      <c r="C530" s="507" t="s">
        <v>1661</v>
      </c>
      <c r="D530" s="508" t="s">
        <v>1854</v>
      </c>
      <c r="E530" s="509" t="s">
        <v>1103</v>
      </c>
      <c r="F530" s="510" t="s">
        <v>1785</v>
      </c>
      <c r="G530" s="507" t="s">
        <v>1857</v>
      </c>
      <c r="H530" s="511">
        <v>0</v>
      </c>
      <c r="I530" s="512" t="s">
        <v>1728</v>
      </c>
      <c r="J530" s="518">
        <v>350.35</v>
      </c>
      <c r="K530" s="510">
        <v>0</v>
      </c>
      <c r="L530" s="510"/>
      <c r="M530" s="548">
        <v>0</v>
      </c>
      <c r="N530" s="514">
        <f>LANÇ_MOV[[#This Row],[VALOR BRUTO]]-LANÇ_MOV[[#This Row],[DESCONTO]]+LANÇ_MOV[[#This Row],[JUROS]]+LANÇ_MOV[[#This Row],[MULTA]]</f>
        <v>350.35</v>
      </c>
      <c r="O530" s="546">
        <v>46001</v>
      </c>
      <c r="P530" s="547" t="str">
        <f t="shared" ca="1" si="8"/>
        <v>Prazo - Menos de 15 dias</v>
      </c>
      <c r="Q530" s="528"/>
      <c r="R530" s="529" t="s">
        <v>1564</v>
      </c>
      <c r="S530" s="518"/>
      <c r="T530" s="518" t="s">
        <v>1776</v>
      </c>
      <c r="U530" s="519" t="s">
        <v>2008</v>
      </c>
      <c r="V530" s="520" t="str">
        <f>IFERROR(VLOOKUP(LANÇ_MOV[[#This Row],[PLANO DE CONTAS]],Plano_Contas[[PLANO DE CONTAS]:[R / D]],3,0),"")</f>
        <v>Receita</v>
      </c>
      <c r="W530" s="521" t="str">
        <f>IF(LANÇ_MOV[[#This Row],[DATA DE PAGAMENTO]]&lt;&gt;"","Pago","Não Pago")</f>
        <v>Não Pago</v>
      </c>
      <c r="X530" s="522" t="str">
        <f>IFERROR(IF(LANÇ_MOV[[#This Row],[DATA DE PAGAMENTO]]="","",(UPPER(TEXT(LANÇ_MOV[[#This Row],[DATA DE PAGAMENTO]],"mmmm")))),"")</f>
        <v/>
      </c>
      <c r="Y530" s="523" t="str">
        <f>IFERROR(VLOOKUP(LANÇ_MOV[[#This Row],[PLANO DE CONTAS]],Plano_Contas[[PLANO DE CONTAS]:[NOMES INTERVALOS]],2,0),"")</f>
        <v>Receitas_Operacionais</v>
      </c>
      <c r="Z530" s="523" t="str">
        <f>IF(LANÇ_MOV[[#This Row],[FORMA DE PAGAMENTO]]="","",VLOOKUP(LANÇ_MOV[[#This Row],[FORMA DE PAGAMENTO]],CAD_Forma_pagto[],2,0))</f>
        <v>PIX</v>
      </c>
      <c r="AA530" s="524" t="str">
        <f>IF(LANÇ_MOV[[#This Row],[DATA DE LANÇAMENTO]]="","",TEXT(LANÇ_MOV[[#This Row],[DATA DE LANÇAMENTO]],"AAAA"))</f>
        <v>2025</v>
      </c>
      <c r="AB530" s="524" t="str">
        <f>IF(LANÇ_MOV[[#This Row],[DATA DE LANÇAMENTO]]="","",UPPER(TEXT(LANÇ_MOV[[#This Row],[DATA DE LANÇAMENTO]],"MMMM")))</f>
        <v>OUTUBRO</v>
      </c>
      <c r="AC530" s="525" t="str">
        <f>IF(LANÇ_MOV[[#This Row],[DATA DE LANÇAMENTO]]="","",PROPER(TEXT(LANÇ_MOV[[#This Row],[DATA DE LANÇAMENTO]],"M")))</f>
        <v>10</v>
      </c>
      <c r="AD530" s="524" t="str">
        <f>IF(LANÇ_MOV[[#This Row],[DATA DE LANÇAMENTO]]="","",TEXT(LANÇ_MOV[[#This Row],[DATA DE LANÇAMENTO]],"D"))</f>
        <v>10</v>
      </c>
      <c r="AE530" s="526" t="str">
        <f>IF(LANÇ_MOV[[#This Row],[DATA DE VENCIMENTO]]="","",TEXT(LANÇ_MOV[[#This Row],[DATA DE VENCIMENTO]],"AAAA"))</f>
        <v>2025</v>
      </c>
      <c r="AF530" s="526" t="str">
        <f>IF(LANÇ_MOV[[#This Row],[DATA DE VENCIMENTO]]="","",UPPER(TEXT(LANÇ_MOV[[#This Row],[DATA DE VENCIMENTO]],"MMMM")))</f>
        <v>DEZEMBRO</v>
      </c>
      <c r="AG530" s="526" t="str">
        <f>IF(LANÇ_MOV[[#This Row],[DATA DE VENCIMENTO]]="","",TEXT(LANÇ_MOV[[#This Row],[DATA DE VENCIMENTO]],"M"))</f>
        <v>12</v>
      </c>
      <c r="AH530" s="526" t="str">
        <f>IF(LANÇ_MOV[[#This Row],[DATA DE VENCIMENTO]]="","",TEXT(LANÇ_MOV[[#This Row],[DATA DE VENCIMENTO]],"D"))</f>
        <v>10</v>
      </c>
      <c r="AI530" s="526" t="str">
        <f>IF(LANÇ_MOV[[#This Row],[DATA DE PAGAMENTO]]="","",TEXT(LANÇ_MOV[[#This Row],[DATA DE PAGAMENTO]],"AAAA"))</f>
        <v/>
      </c>
      <c r="AJ530" s="527" t="str">
        <f>IF(LANÇ_MOV[[#This Row],[DATA DE PAGAMENTO]]="","",UPPER(TEXT(LANÇ_MOV[[#This Row],[DATA DE PAGAMENTO]],"MMMM")))</f>
        <v/>
      </c>
      <c r="AK530" s="527" t="str">
        <f>IF(LANÇ_MOV[[#This Row],[DATA DE PAGAMENTO]]="","",TEXT(LANÇ_MOV[[#This Row],[DATA DE PAGAMENTO]],"M"))</f>
        <v/>
      </c>
      <c r="AL530" s="526" t="str">
        <f>IF(LANÇ_MOV[[#This Row],[DATA DE PAGAMENTO]]="","",TEXT(LANÇ_MOV[[#This Row],[DATA DE PAGAMENTO]],"D"))</f>
        <v/>
      </c>
    </row>
    <row r="531" spans="2:38" ht="30.05" customHeight="1" x14ac:dyDescent="0.35">
      <c r="B531" s="506">
        <v>45940</v>
      </c>
      <c r="C531" s="507" t="s">
        <v>1661</v>
      </c>
      <c r="D531" s="508" t="s">
        <v>1854</v>
      </c>
      <c r="E531" s="509" t="s">
        <v>1103</v>
      </c>
      <c r="F531" s="510" t="s">
        <v>1785</v>
      </c>
      <c r="G531" s="507" t="s">
        <v>1858</v>
      </c>
      <c r="H531" s="511">
        <v>0</v>
      </c>
      <c r="I531" s="512" t="s">
        <v>1728</v>
      </c>
      <c r="J531" s="518">
        <v>350.35</v>
      </c>
      <c r="K531" s="510">
        <v>0</v>
      </c>
      <c r="L531" s="510"/>
      <c r="M531" s="548">
        <v>0</v>
      </c>
      <c r="N531" s="514">
        <f>LANÇ_MOV[[#This Row],[VALOR BRUTO]]-LANÇ_MOV[[#This Row],[DESCONTO]]+LANÇ_MOV[[#This Row],[JUROS]]+LANÇ_MOV[[#This Row],[MULTA]]</f>
        <v>350.35</v>
      </c>
      <c r="O531" s="546">
        <v>46032</v>
      </c>
      <c r="P531" s="547" t="str">
        <f t="shared" ca="1" si="8"/>
        <v>Prazo - Mais de 1 mês</v>
      </c>
      <c r="Q531" s="528"/>
      <c r="R531" s="529" t="s">
        <v>1564</v>
      </c>
      <c r="S531" s="518"/>
      <c r="T531" s="518" t="s">
        <v>1776</v>
      </c>
      <c r="U531" s="519" t="s">
        <v>2008</v>
      </c>
      <c r="V531" s="520" t="str">
        <f>IFERROR(VLOOKUP(LANÇ_MOV[[#This Row],[PLANO DE CONTAS]],Plano_Contas[[PLANO DE CONTAS]:[R / D]],3,0),"")</f>
        <v>Receita</v>
      </c>
      <c r="W531" s="521" t="str">
        <f>IF(LANÇ_MOV[[#This Row],[DATA DE PAGAMENTO]]&lt;&gt;"","Pago","Não Pago")</f>
        <v>Não Pago</v>
      </c>
      <c r="X531" s="522" t="str">
        <f>IFERROR(IF(LANÇ_MOV[[#This Row],[DATA DE PAGAMENTO]]="","",(UPPER(TEXT(LANÇ_MOV[[#This Row],[DATA DE PAGAMENTO]],"mmmm")))),"")</f>
        <v/>
      </c>
      <c r="Y531" s="523" t="str">
        <f>IFERROR(VLOOKUP(LANÇ_MOV[[#This Row],[PLANO DE CONTAS]],Plano_Contas[[PLANO DE CONTAS]:[NOMES INTERVALOS]],2,0),"")</f>
        <v>Receitas_Operacionais</v>
      </c>
      <c r="Z531" s="523" t="str">
        <f>IF(LANÇ_MOV[[#This Row],[FORMA DE PAGAMENTO]]="","",VLOOKUP(LANÇ_MOV[[#This Row],[FORMA DE PAGAMENTO]],CAD_Forma_pagto[],2,0))</f>
        <v>PIX</v>
      </c>
      <c r="AA531" s="524" t="str">
        <f>IF(LANÇ_MOV[[#This Row],[DATA DE LANÇAMENTO]]="","",TEXT(LANÇ_MOV[[#This Row],[DATA DE LANÇAMENTO]],"AAAA"))</f>
        <v>2025</v>
      </c>
      <c r="AB531" s="524" t="str">
        <f>IF(LANÇ_MOV[[#This Row],[DATA DE LANÇAMENTO]]="","",UPPER(TEXT(LANÇ_MOV[[#This Row],[DATA DE LANÇAMENTO]],"MMMM")))</f>
        <v>OUTUBRO</v>
      </c>
      <c r="AC531" s="525" t="str">
        <f>IF(LANÇ_MOV[[#This Row],[DATA DE LANÇAMENTO]]="","",PROPER(TEXT(LANÇ_MOV[[#This Row],[DATA DE LANÇAMENTO]],"M")))</f>
        <v>10</v>
      </c>
      <c r="AD531" s="524" t="str">
        <f>IF(LANÇ_MOV[[#This Row],[DATA DE LANÇAMENTO]]="","",TEXT(LANÇ_MOV[[#This Row],[DATA DE LANÇAMENTO]],"D"))</f>
        <v>10</v>
      </c>
      <c r="AE531" s="526" t="str">
        <f>IF(LANÇ_MOV[[#This Row],[DATA DE VENCIMENTO]]="","",TEXT(LANÇ_MOV[[#This Row],[DATA DE VENCIMENTO]],"AAAA"))</f>
        <v>2026</v>
      </c>
      <c r="AF531" s="526" t="str">
        <f>IF(LANÇ_MOV[[#This Row],[DATA DE VENCIMENTO]]="","",UPPER(TEXT(LANÇ_MOV[[#This Row],[DATA DE VENCIMENTO]],"MMMM")))</f>
        <v>JANEIRO</v>
      </c>
      <c r="AG531" s="526" t="str">
        <f>IF(LANÇ_MOV[[#This Row],[DATA DE VENCIMENTO]]="","",TEXT(LANÇ_MOV[[#This Row],[DATA DE VENCIMENTO]],"M"))</f>
        <v>1</v>
      </c>
      <c r="AH531" s="526" t="str">
        <f>IF(LANÇ_MOV[[#This Row],[DATA DE VENCIMENTO]]="","",TEXT(LANÇ_MOV[[#This Row],[DATA DE VENCIMENTO]],"D"))</f>
        <v>10</v>
      </c>
      <c r="AI531" s="526" t="str">
        <f>IF(LANÇ_MOV[[#This Row],[DATA DE PAGAMENTO]]="","",TEXT(LANÇ_MOV[[#This Row],[DATA DE PAGAMENTO]],"AAAA"))</f>
        <v/>
      </c>
      <c r="AJ531" s="527" t="str">
        <f>IF(LANÇ_MOV[[#This Row],[DATA DE PAGAMENTO]]="","",UPPER(TEXT(LANÇ_MOV[[#This Row],[DATA DE PAGAMENTO]],"MMMM")))</f>
        <v/>
      </c>
      <c r="AK531" s="527" t="str">
        <f>IF(LANÇ_MOV[[#This Row],[DATA DE PAGAMENTO]]="","",TEXT(LANÇ_MOV[[#This Row],[DATA DE PAGAMENTO]],"M"))</f>
        <v/>
      </c>
      <c r="AL531" s="526" t="str">
        <f>IF(LANÇ_MOV[[#This Row],[DATA DE PAGAMENTO]]="","",TEXT(LANÇ_MOV[[#This Row],[DATA DE PAGAMENTO]],"D"))</f>
        <v/>
      </c>
    </row>
    <row r="532" spans="2:38" ht="30.05" customHeight="1" x14ac:dyDescent="0.35">
      <c r="B532" s="506">
        <v>45940</v>
      </c>
      <c r="C532" s="507" t="s">
        <v>1661</v>
      </c>
      <c r="D532" s="508" t="s">
        <v>1854</v>
      </c>
      <c r="E532" s="509" t="s">
        <v>1103</v>
      </c>
      <c r="F532" s="510" t="s">
        <v>1785</v>
      </c>
      <c r="G532" s="507"/>
      <c r="H532" s="511">
        <v>0</v>
      </c>
      <c r="I532" s="512" t="s">
        <v>1678</v>
      </c>
      <c r="J532" s="518">
        <v>325.33</v>
      </c>
      <c r="K532" s="510">
        <v>0</v>
      </c>
      <c r="L532" s="510">
        <v>0</v>
      </c>
      <c r="M532" s="548">
        <v>0</v>
      </c>
      <c r="N532" s="514">
        <f>LANÇ_MOV[[#This Row],[VALOR BRUTO]]-LANÇ_MOV[[#This Row],[DESCONTO]]+LANÇ_MOV[[#This Row],[JUROS]]+LANÇ_MOV[[#This Row],[MULTA]]</f>
        <v>325.33</v>
      </c>
      <c r="O532" s="546">
        <v>45940</v>
      </c>
      <c r="P532" s="547" t="str">
        <f t="shared" ca="1" si="8"/>
        <v>Pago</v>
      </c>
      <c r="Q532" s="528">
        <v>45940</v>
      </c>
      <c r="R532" s="529" t="s">
        <v>1564</v>
      </c>
      <c r="S532" s="518"/>
      <c r="T532" s="518" t="s">
        <v>1776</v>
      </c>
      <c r="U532" s="519" t="s">
        <v>2008</v>
      </c>
      <c r="V532" s="520" t="str">
        <f>IFERROR(VLOOKUP(LANÇ_MOV[[#This Row],[PLANO DE CONTAS]],Plano_Contas[[PLANO DE CONTAS]:[R / D]],3,0),"")</f>
        <v>Receita</v>
      </c>
      <c r="W532" s="521" t="str">
        <f>IF(LANÇ_MOV[[#This Row],[DATA DE PAGAMENTO]]&lt;&gt;"","Pago","Não Pago")</f>
        <v>Pago</v>
      </c>
      <c r="X532" s="522" t="str">
        <f>IFERROR(IF(LANÇ_MOV[[#This Row],[DATA DE PAGAMENTO]]="","",(UPPER(TEXT(LANÇ_MOV[[#This Row],[DATA DE PAGAMENTO]],"mmmm")))),"")</f>
        <v>OUTUBRO</v>
      </c>
      <c r="Y532" s="523" t="str">
        <f>IFERROR(VLOOKUP(LANÇ_MOV[[#This Row],[PLANO DE CONTAS]],Plano_Contas[[PLANO DE CONTAS]:[NOMES INTERVALOS]],2,0),"")</f>
        <v>Receitas_Operacionais</v>
      </c>
      <c r="Z532" s="523" t="str">
        <f>IF(LANÇ_MOV[[#This Row],[FORMA DE PAGAMENTO]]="","",VLOOKUP(LANÇ_MOV[[#This Row],[FORMA DE PAGAMENTO]],CAD_Forma_pagto[],2,0))</f>
        <v>PIX</v>
      </c>
      <c r="AA532" s="524" t="str">
        <f>IF(LANÇ_MOV[[#This Row],[DATA DE LANÇAMENTO]]="","",TEXT(LANÇ_MOV[[#This Row],[DATA DE LANÇAMENTO]],"AAAA"))</f>
        <v>2025</v>
      </c>
      <c r="AB532" s="524" t="str">
        <f>IF(LANÇ_MOV[[#This Row],[DATA DE LANÇAMENTO]]="","",UPPER(TEXT(LANÇ_MOV[[#This Row],[DATA DE LANÇAMENTO]],"MMMM")))</f>
        <v>OUTUBRO</v>
      </c>
      <c r="AC532" s="525" t="str">
        <f>IF(LANÇ_MOV[[#This Row],[DATA DE LANÇAMENTO]]="","",PROPER(TEXT(LANÇ_MOV[[#This Row],[DATA DE LANÇAMENTO]],"M")))</f>
        <v>10</v>
      </c>
      <c r="AD532" s="524" t="str">
        <f>IF(LANÇ_MOV[[#This Row],[DATA DE LANÇAMENTO]]="","",TEXT(LANÇ_MOV[[#This Row],[DATA DE LANÇAMENTO]],"D"))</f>
        <v>10</v>
      </c>
      <c r="AE532" s="526" t="str">
        <f>IF(LANÇ_MOV[[#This Row],[DATA DE VENCIMENTO]]="","",TEXT(LANÇ_MOV[[#This Row],[DATA DE VENCIMENTO]],"AAAA"))</f>
        <v>2025</v>
      </c>
      <c r="AF532" s="526" t="str">
        <f>IF(LANÇ_MOV[[#This Row],[DATA DE VENCIMENTO]]="","",UPPER(TEXT(LANÇ_MOV[[#This Row],[DATA DE VENCIMENTO]],"MMMM")))</f>
        <v>OUTUBRO</v>
      </c>
      <c r="AG532" s="526" t="str">
        <f>IF(LANÇ_MOV[[#This Row],[DATA DE VENCIMENTO]]="","",TEXT(LANÇ_MOV[[#This Row],[DATA DE VENCIMENTO]],"M"))</f>
        <v>10</v>
      </c>
      <c r="AH532" s="526" t="str">
        <f>IF(LANÇ_MOV[[#This Row],[DATA DE VENCIMENTO]]="","",TEXT(LANÇ_MOV[[#This Row],[DATA DE VENCIMENTO]],"D"))</f>
        <v>10</v>
      </c>
      <c r="AI532" s="526" t="str">
        <f>IF(LANÇ_MOV[[#This Row],[DATA DE PAGAMENTO]]="","",TEXT(LANÇ_MOV[[#This Row],[DATA DE PAGAMENTO]],"AAAA"))</f>
        <v>2025</v>
      </c>
      <c r="AJ532" s="527" t="str">
        <f>IF(LANÇ_MOV[[#This Row],[DATA DE PAGAMENTO]]="","",UPPER(TEXT(LANÇ_MOV[[#This Row],[DATA DE PAGAMENTO]],"MMMM")))</f>
        <v>OUTUBRO</v>
      </c>
      <c r="AK532" s="527" t="str">
        <f>IF(LANÇ_MOV[[#This Row],[DATA DE PAGAMENTO]]="","",TEXT(LANÇ_MOV[[#This Row],[DATA DE PAGAMENTO]],"M"))</f>
        <v>10</v>
      </c>
      <c r="AL532" s="526" t="str">
        <f>IF(LANÇ_MOV[[#This Row],[DATA DE PAGAMENTO]]="","",TEXT(LANÇ_MOV[[#This Row],[DATA DE PAGAMENTO]],"D"))</f>
        <v>10</v>
      </c>
    </row>
    <row r="533" spans="2:38" ht="30.05" customHeight="1" x14ac:dyDescent="0.35">
      <c r="B533" s="506">
        <v>45940</v>
      </c>
      <c r="C533" s="507" t="s">
        <v>1661</v>
      </c>
      <c r="D533" s="508" t="s">
        <v>1854</v>
      </c>
      <c r="E533" s="509" t="s">
        <v>1103</v>
      </c>
      <c r="F533" s="510" t="s">
        <v>1785</v>
      </c>
      <c r="G533" s="507"/>
      <c r="H533" s="511">
        <v>0</v>
      </c>
      <c r="I533" s="512" t="s">
        <v>1677</v>
      </c>
      <c r="J533" s="518">
        <v>372.37</v>
      </c>
      <c r="K533" s="510">
        <v>0</v>
      </c>
      <c r="L533" s="510">
        <v>0</v>
      </c>
      <c r="M533" s="548">
        <v>0</v>
      </c>
      <c r="N533" s="514">
        <f>LANÇ_MOV[[#This Row],[VALOR BRUTO]]-LANÇ_MOV[[#This Row],[DESCONTO]]+LANÇ_MOV[[#This Row],[JUROS]]+LANÇ_MOV[[#This Row],[MULTA]]</f>
        <v>372.37</v>
      </c>
      <c r="O533" s="546">
        <v>45940</v>
      </c>
      <c r="P533" s="547" t="str">
        <f t="shared" ca="1" si="8"/>
        <v>Pago</v>
      </c>
      <c r="Q533" s="528">
        <v>45940</v>
      </c>
      <c r="R533" s="529" t="s">
        <v>1564</v>
      </c>
      <c r="S533" s="518"/>
      <c r="T533" s="518" t="s">
        <v>1776</v>
      </c>
      <c r="U533" s="519" t="s">
        <v>2008</v>
      </c>
      <c r="V533" s="520" t="str">
        <f>IFERROR(VLOOKUP(LANÇ_MOV[[#This Row],[PLANO DE CONTAS]],Plano_Contas[[PLANO DE CONTAS]:[R / D]],3,0),"")</f>
        <v>Receita</v>
      </c>
      <c r="W533" s="521" t="str">
        <f>IF(LANÇ_MOV[[#This Row],[DATA DE PAGAMENTO]]&lt;&gt;"","Pago","Não Pago")</f>
        <v>Pago</v>
      </c>
      <c r="X533" s="522" t="str">
        <f>IFERROR(IF(LANÇ_MOV[[#This Row],[DATA DE PAGAMENTO]]="","",(UPPER(TEXT(LANÇ_MOV[[#This Row],[DATA DE PAGAMENTO]],"mmmm")))),"")</f>
        <v>OUTUBRO</v>
      </c>
      <c r="Y533" s="523" t="str">
        <f>IFERROR(VLOOKUP(LANÇ_MOV[[#This Row],[PLANO DE CONTAS]],Plano_Contas[[PLANO DE CONTAS]:[NOMES INTERVALOS]],2,0),"")</f>
        <v>Receitas_Operacionais</v>
      </c>
      <c r="Z533" s="523" t="str">
        <f>IF(LANÇ_MOV[[#This Row],[FORMA DE PAGAMENTO]]="","",VLOOKUP(LANÇ_MOV[[#This Row],[FORMA DE PAGAMENTO]],CAD_Forma_pagto[],2,0))</f>
        <v>PIX</v>
      </c>
      <c r="AA533" s="524" t="str">
        <f>IF(LANÇ_MOV[[#This Row],[DATA DE LANÇAMENTO]]="","",TEXT(LANÇ_MOV[[#This Row],[DATA DE LANÇAMENTO]],"AAAA"))</f>
        <v>2025</v>
      </c>
      <c r="AB533" s="524" t="str">
        <f>IF(LANÇ_MOV[[#This Row],[DATA DE LANÇAMENTO]]="","",UPPER(TEXT(LANÇ_MOV[[#This Row],[DATA DE LANÇAMENTO]],"MMMM")))</f>
        <v>OUTUBRO</v>
      </c>
      <c r="AC533" s="525" t="str">
        <f>IF(LANÇ_MOV[[#This Row],[DATA DE LANÇAMENTO]]="","",PROPER(TEXT(LANÇ_MOV[[#This Row],[DATA DE LANÇAMENTO]],"M")))</f>
        <v>10</v>
      </c>
      <c r="AD533" s="524" t="str">
        <f>IF(LANÇ_MOV[[#This Row],[DATA DE LANÇAMENTO]]="","",TEXT(LANÇ_MOV[[#This Row],[DATA DE LANÇAMENTO]],"D"))</f>
        <v>10</v>
      </c>
      <c r="AE533" s="526" t="str">
        <f>IF(LANÇ_MOV[[#This Row],[DATA DE VENCIMENTO]]="","",TEXT(LANÇ_MOV[[#This Row],[DATA DE VENCIMENTO]],"AAAA"))</f>
        <v>2025</v>
      </c>
      <c r="AF533" s="526" t="str">
        <f>IF(LANÇ_MOV[[#This Row],[DATA DE VENCIMENTO]]="","",UPPER(TEXT(LANÇ_MOV[[#This Row],[DATA DE VENCIMENTO]],"MMMM")))</f>
        <v>OUTUBRO</v>
      </c>
      <c r="AG533" s="526" t="str">
        <f>IF(LANÇ_MOV[[#This Row],[DATA DE VENCIMENTO]]="","",TEXT(LANÇ_MOV[[#This Row],[DATA DE VENCIMENTO]],"M"))</f>
        <v>10</v>
      </c>
      <c r="AH533" s="526" t="str">
        <f>IF(LANÇ_MOV[[#This Row],[DATA DE VENCIMENTO]]="","",TEXT(LANÇ_MOV[[#This Row],[DATA DE VENCIMENTO]],"D"))</f>
        <v>10</v>
      </c>
      <c r="AI533" s="526" t="str">
        <f>IF(LANÇ_MOV[[#This Row],[DATA DE PAGAMENTO]]="","",TEXT(LANÇ_MOV[[#This Row],[DATA DE PAGAMENTO]],"AAAA"))</f>
        <v>2025</v>
      </c>
      <c r="AJ533" s="527" t="str">
        <f>IF(LANÇ_MOV[[#This Row],[DATA DE PAGAMENTO]]="","",UPPER(TEXT(LANÇ_MOV[[#This Row],[DATA DE PAGAMENTO]],"MMMM")))</f>
        <v>OUTUBRO</v>
      </c>
      <c r="AK533" s="527" t="str">
        <f>IF(LANÇ_MOV[[#This Row],[DATA DE PAGAMENTO]]="","",TEXT(LANÇ_MOV[[#This Row],[DATA DE PAGAMENTO]],"M"))</f>
        <v>10</v>
      </c>
      <c r="AL533" s="526" t="str">
        <f>IF(LANÇ_MOV[[#This Row],[DATA DE PAGAMENTO]]="","",TEXT(LANÇ_MOV[[#This Row],[DATA DE PAGAMENTO]],"D"))</f>
        <v>10</v>
      </c>
    </row>
    <row r="534" spans="2:38" ht="30.05" customHeight="1" x14ac:dyDescent="0.35">
      <c r="B534" s="506">
        <v>45940</v>
      </c>
      <c r="C534" s="507" t="s">
        <v>1661</v>
      </c>
      <c r="D534" s="508" t="s">
        <v>1854</v>
      </c>
      <c r="E534" s="509" t="s">
        <v>1103</v>
      </c>
      <c r="F534" s="510" t="s">
        <v>1785</v>
      </c>
      <c r="G534" s="507"/>
      <c r="H534" s="511">
        <v>0</v>
      </c>
      <c r="I534" s="512" t="s">
        <v>1677</v>
      </c>
      <c r="J534" s="518">
        <v>372.37</v>
      </c>
      <c r="K534" s="510">
        <v>0</v>
      </c>
      <c r="L534" s="510">
        <v>0</v>
      </c>
      <c r="M534" s="548">
        <v>0</v>
      </c>
      <c r="N534" s="514">
        <f>LANÇ_MOV[[#This Row],[VALOR BRUTO]]-LANÇ_MOV[[#This Row],[DESCONTO]]+LANÇ_MOV[[#This Row],[JUROS]]+LANÇ_MOV[[#This Row],[MULTA]]</f>
        <v>372.37</v>
      </c>
      <c r="O534" s="546">
        <v>45971</v>
      </c>
      <c r="P534" s="547" t="str">
        <f t="shared" ca="1" si="8"/>
        <v>Pago</v>
      </c>
      <c r="Q534" s="528">
        <v>45971</v>
      </c>
      <c r="R534" s="529" t="s">
        <v>1564</v>
      </c>
      <c r="S534" s="518"/>
      <c r="T534" s="518" t="s">
        <v>1776</v>
      </c>
      <c r="U534" s="519" t="s">
        <v>2008</v>
      </c>
      <c r="V534" s="520" t="str">
        <f>IFERROR(VLOOKUP(LANÇ_MOV[[#This Row],[PLANO DE CONTAS]],Plano_Contas[[PLANO DE CONTAS]:[R / D]],3,0),"")</f>
        <v>Receita</v>
      </c>
      <c r="W534" s="521" t="str">
        <f>IF(LANÇ_MOV[[#This Row],[DATA DE PAGAMENTO]]&lt;&gt;"","Pago","Não Pago")</f>
        <v>Pago</v>
      </c>
      <c r="X534" s="522" t="str">
        <f>IFERROR(IF(LANÇ_MOV[[#This Row],[DATA DE PAGAMENTO]]="","",(UPPER(TEXT(LANÇ_MOV[[#This Row],[DATA DE PAGAMENTO]],"mmmm")))),"")</f>
        <v>NOVEMBRO</v>
      </c>
      <c r="Y534" s="523" t="str">
        <f>IFERROR(VLOOKUP(LANÇ_MOV[[#This Row],[PLANO DE CONTAS]],Plano_Contas[[PLANO DE CONTAS]:[NOMES INTERVALOS]],2,0),"")</f>
        <v>Receitas_Operacionais</v>
      </c>
      <c r="Z534" s="523" t="str">
        <f>IF(LANÇ_MOV[[#This Row],[FORMA DE PAGAMENTO]]="","",VLOOKUP(LANÇ_MOV[[#This Row],[FORMA DE PAGAMENTO]],CAD_Forma_pagto[],2,0))</f>
        <v>PIX</v>
      </c>
      <c r="AA534" s="524" t="str">
        <f>IF(LANÇ_MOV[[#This Row],[DATA DE LANÇAMENTO]]="","",TEXT(LANÇ_MOV[[#This Row],[DATA DE LANÇAMENTO]],"AAAA"))</f>
        <v>2025</v>
      </c>
      <c r="AB534" s="524" t="str">
        <f>IF(LANÇ_MOV[[#This Row],[DATA DE LANÇAMENTO]]="","",UPPER(TEXT(LANÇ_MOV[[#This Row],[DATA DE LANÇAMENTO]],"MMMM")))</f>
        <v>OUTUBRO</v>
      </c>
      <c r="AC534" s="525" t="str">
        <f>IF(LANÇ_MOV[[#This Row],[DATA DE LANÇAMENTO]]="","",PROPER(TEXT(LANÇ_MOV[[#This Row],[DATA DE LANÇAMENTO]],"M")))</f>
        <v>10</v>
      </c>
      <c r="AD534" s="524" t="str">
        <f>IF(LANÇ_MOV[[#This Row],[DATA DE LANÇAMENTO]]="","",TEXT(LANÇ_MOV[[#This Row],[DATA DE LANÇAMENTO]],"D"))</f>
        <v>10</v>
      </c>
      <c r="AE534" s="526" t="str">
        <f>IF(LANÇ_MOV[[#This Row],[DATA DE VENCIMENTO]]="","",TEXT(LANÇ_MOV[[#This Row],[DATA DE VENCIMENTO]],"AAAA"))</f>
        <v>2025</v>
      </c>
      <c r="AF534" s="526" t="str">
        <f>IF(LANÇ_MOV[[#This Row],[DATA DE VENCIMENTO]]="","",UPPER(TEXT(LANÇ_MOV[[#This Row],[DATA DE VENCIMENTO]],"MMMM")))</f>
        <v>NOVEMBRO</v>
      </c>
      <c r="AG534" s="526" t="str">
        <f>IF(LANÇ_MOV[[#This Row],[DATA DE VENCIMENTO]]="","",TEXT(LANÇ_MOV[[#This Row],[DATA DE VENCIMENTO]],"M"))</f>
        <v>11</v>
      </c>
      <c r="AH534" s="526" t="str">
        <f>IF(LANÇ_MOV[[#This Row],[DATA DE VENCIMENTO]]="","",TEXT(LANÇ_MOV[[#This Row],[DATA DE VENCIMENTO]],"D"))</f>
        <v>10</v>
      </c>
      <c r="AI534" s="526" t="str">
        <f>IF(LANÇ_MOV[[#This Row],[DATA DE PAGAMENTO]]="","",TEXT(LANÇ_MOV[[#This Row],[DATA DE PAGAMENTO]],"AAAA"))</f>
        <v>2025</v>
      </c>
      <c r="AJ534" s="527" t="str">
        <f>IF(LANÇ_MOV[[#This Row],[DATA DE PAGAMENTO]]="","",UPPER(TEXT(LANÇ_MOV[[#This Row],[DATA DE PAGAMENTO]],"MMMM")))</f>
        <v>NOVEMBRO</v>
      </c>
      <c r="AK534" s="527" t="str">
        <f>IF(LANÇ_MOV[[#This Row],[DATA DE PAGAMENTO]]="","",TEXT(LANÇ_MOV[[#This Row],[DATA DE PAGAMENTO]],"M"))</f>
        <v>11</v>
      </c>
      <c r="AL534" s="526" t="str">
        <f>IF(LANÇ_MOV[[#This Row],[DATA DE PAGAMENTO]]="","",TEXT(LANÇ_MOV[[#This Row],[DATA DE PAGAMENTO]],"D"))</f>
        <v>10</v>
      </c>
    </row>
    <row r="535" spans="2:38" ht="30.05" customHeight="1" x14ac:dyDescent="0.35">
      <c r="B535" s="506">
        <v>45941</v>
      </c>
      <c r="C535" s="507" t="s">
        <v>1661</v>
      </c>
      <c r="D535" s="508" t="s">
        <v>1854</v>
      </c>
      <c r="E535" s="509" t="s">
        <v>1103</v>
      </c>
      <c r="F535" s="510" t="s">
        <v>1785</v>
      </c>
      <c r="G535" s="507"/>
      <c r="H535" s="511">
        <v>0</v>
      </c>
      <c r="I535" s="512" t="s">
        <v>1731</v>
      </c>
      <c r="J535" s="518">
        <v>7.51</v>
      </c>
      <c r="K535" s="510">
        <v>0</v>
      </c>
      <c r="L535" s="510">
        <v>0</v>
      </c>
      <c r="M535" s="548">
        <v>0</v>
      </c>
      <c r="N535" s="514">
        <f>LANÇ_MOV[[#This Row],[VALOR BRUTO]]-LANÇ_MOV[[#This Row],[DESCONTO]]+LANÇ_MOV[[#This Row],[JUROS]]+LANÇ_MOV[[#This Row],[MULTA]]</f>
        <v>7.51</v>
      </c>
      <c r="O535" s="546">
        <v>45941</v>
      </c>
      <c r="P535" s="547" t="str">
        <f t="shared" ca="1" si="8"/>
        <v>Pago</v>
      </c>
      <c r="Q535" s="528">
        <v>45941</v>
      </c>
      <c r="R535" s="529" t="s">
        <v>1564</v>
      </c>
      <c r="S535" s="518"/>
      <c r="T535" s="518" t="s">
        <v>1776</v>
      </c>
      <c r="U535" s="519" t="s">
        <v>2008</v>
      </c>
      <c r="V535" s="520" t="str">
        <f>IFERROR(VLOOKUP(LANÇ_MOV[[#This Row],[PLANO DE CONTAS]],Plano_Contas[[PLANO DE CONTAS]:[R / D]],3,0),"")</f>
        <v>Receita</v>
      </c>
      <c r="W535" s="521" t="str">
        <f>IF(LANÇ_MOV[[#This Row],[DATA DE PAGAMENTO]]&lt;&gt;"","Pago","Não Pago")</f>
        <v>Pago</v>
      </c>
      <c r="X535" s="522" t="str">
        <f>IFERROR(IF(LANÇ_MOV[[#This Row],[DATA DE PAGAMENTO]]="","",(UPPER(TEXT(LANÇ_MOV[[#This Row],[DATA DE PAGAMENTO]],"mmmm")))),"")</f>
        <v>OUTUBRO</v>
      </c>
      <c r="Y535" s="523" t="str">
        <f>IFERROR(VLOOKUP(LANÇ_MOV[[#This Row],[PLANO DE CONTAS]],Plano_Contas[[PLANO DE CONTAS]:[NOMES INTERVALOS]],2,0),"")</f>
        <v>Receitas_Operacionais</v>
      </c>
      <c r="Z535" s="523" t="str">
        <f>IF(LANÇ_MOV[[#This Row],[FORMA DE PAGAMENTO]]="","",VLOOKUP(LANÇ_MOV[[#This Row],[FORMA DE PAGAMENTO]],CAD_Forma_pagto[],2,0))</f>
        <v>PIX</v>
      </c>
      <c r="AA535" s="524" t="str">
        <f>IF(LANÇ_MOV[[#This Row],[DATA DE LANÇAMENTO]]="","",TEXT(LANÇ_MOV[[#This Row],[DATA DE LANÇAMENTO]],"AAAA"))</f>
        <v>2025</v>
      </c>
      <c r="AB535" s="524" t="str">
        <f>IF(LANÇ_MOV[[#This Row],[DATA DE LANÇAMENTO]]="","",UPPER(TEXT(LANÇ_MOV[[#This Row],[DATA DE LANÇAMENTO]],"MMMM")))</f>
        <v>OUTUBRO</v>
      </c>
      <c r="AC535" s="525" t="str">
        <f>IF(LANÇ_MOV[[#This Row],[DATA DE LANÇAMENTO]]="","",PROPER(TEXT(LANÇ_MOV[[#This Row],[DATA DE LANÇAMENTO]],"M")))</f>
        <v>10</v>
      </c>
      <c r="AD535" s="524" t="str">
        <f>IF(LANÇ_MOV[[#This Row],[DATA DE LANÇAMENTO]]="","",TEXT(LANÇ_MOV[[#This Row],[DATA DE LANÇAMENTO]],"D"))</f>
        <v>11</v>
      </c>
      <c r="AE535" s="526" t="str">
        <f>IF(LANÇ_MOV[[#This Row],[DATA DE VENCIMENTO]]="","",TEXT(LANÇ_MOV[[#This Row],[DATA DE VENCIMENTO]],"AAAA"))</f>
        <v>2025</v>
      </c>
      <c r="AF535" s="526" t="str">
        <f>IF(LANÇ_MOV[[#This Row],[DATA DE VENCIMENTO]]="","",UPPER(TEXT(LANÇ_MOV[[#This Row],[DATA DE VENCIMENTO]],"MMMM")))</f>
        <v>OUTUBRO</v>
      </c>
      <c r="AG535" s="526" t="str">
        <f>IF(LANÇ_MOV[[#This Row],[DATA DE VENCIMENTO]]="","",TEXT(LANÇ_MOV[[#This Row],[DATA DE VENCIMENTO]],"M"))</f>
        <v>10</v>
      </c>
      <c r="AH535" s="526" t="str">
        <f>IF(LANÇ_MOV[[#This Row],[DATA DE VENCIMENTO]]="","",TEXT(LANÇ_MOV[[#This Row],[DATA DE VENCIMENTO]],"D"))</f>
        <v>11</v>
      </c>
      <c r="AI535" s="526" t="str">
        <f>IF(LANÇ_MOV[[#This Row],[DATA DE PAGAMENTO]]="","",TEXT(LANÇ_MOV[[#This Row],[DATA DE PAGAMENTO]],"AAAA"))</f>
        <v>2025</v>
      </c>
      <c r="AJ535" s="527" t="str">
        <f>IF(LANÇ_MOV[[#This Row],[DATA DE PAGAMENTO]]="","",UPPER(TEXT(LANÇ_MOV[[#This Row],[DATA DE PAGAMENTO]],"MMMM")))</f>
        <v>OUTUBRO</v>
      </c>
      <c r="AK535" s="527" t="str">
        <f>IF(LANÇ_MOV[[#This Row],[DATA DE PAGAMENTO]]="","",TEXT(LANÇ_MOV[[#This Row],[DATA DE PAGAMENTO]],"M"))</f>
        <v>10</v>
      </c>
      <c r="AL535" s="526" t="str">
        <f>IF(LANÇ_MOV[[#This Row],[DATA DE PAGAMENTO]]="","",TEXT(LANÇ_MOV[[#This Row],[DATA DE PAGAMENTO]],"D"))</f>
        <v>11</v>
      </c>
    </row>
    <row r="536" spans="2:38" ht="30.05" customHeight="1" x14ac:dyDescent="0.35">
      <c r="B536" s="506">
        <v>45941</v>
      </c>
      <c r="C536" s="507" t="s">
        <v>1661</v>
      </c>
      <c r="D536" s="508" t="s">
        <v>1854</v>
      </c>
      <c r="E536" s="509" t="s">
        <v>1103</v>
      </c>
      <c r="F536" s="510" t="s">
        <v>1785</v>
      </c>
      <c r="G536" s="507"/>
      <c r="H536" s="511">
        <v>0</v>
      </c>
      <c r="I536" s="512" t="s">
        <v>1709</v>
      </c>
      <c r="J536" s="518">
        <v>7.01</v>
      </c>
      <c r="K536" s="510">
        <v>0</v>
      </c>
      <c r="L536" s="510">
        <v>0</v>
      </c>
      <c r="M536" s="548">
        <v>0</v>
      </c>
      <c r="N536" s="514">
        <f>LANÇ_MOV[[#This Row],[VALOR BRUTO]]-LANÇ_MOV[[#This Row],[DESCONTO]]+LANÇ_MOV[[#This Row],[JUROS]]+LANÇ_MOV[[#This Row],[MULTA]]</f>
        <v>7.01</v>
      </c>
      <c r="O536" s="546">
        <v>45941</v>
      </c>
      <c r="P536" s="547" t="str">
        <f t="shared" ca="1" si="8"/>
        <v>Pago</v>
      </c>
      <c r="Q536" s="528">
        <v>45941</v>
      </c>
      <c r="R536" s="529" t="s">
        <v>1564</v>
      </c>
      <c r="S536" s="518"/>
      <c r="T536" s="518" t="s">
        <v>1776</v>
      </c>
      <c r="U536" s="519" t="s">
        <v>2008</v>
      </c>
      <c r="V536" s="520" t="str">
        <f>IFERROR(VLOOKUP(LANÇ_MOV[[#This Row],[PLANO DE CONTAS]],Plano_Contas[[PLANO DE CONTAS]:[R / D]],3,0),"")</f>
        <v>Receita</v>
      </c>
      <c r="W536" s="521" t="str">
        <f>IF(LANÇ_MOV[[#This Row],[DATA DE PAGAMENTO]]&lt;&gt;"","Pago","Não Pago")</f>
        <v>Pago</v>
      </c>
      <c r="X536" s="522" t="str">
        <f>IFERROR(IF(LANÇ_MOV[[#This Row],[DATA DE PAGAMENTO]]="","",(UPPER(TEXT(LANÇ_MOV[[#This Row],[DATA DE PAGAMENTO]],"mmmm")))),"")</f>
        <v>OUTUBRO</v>
      </c>
      <c r="Y536" s="523" t="str">
        <f>IFERROR(VLOOKUP(LANÇ_MOV[[#This Row],[PLANO DE CONTAS]],Plano_Contas[[PLANO DE CONTAS]:[NOMES INTERVALOS]],2,0),"")</f>
        <v>Receitas_Operacionais</v>
      </c>
      <c r="Z536" s="523" t="str">
        <f>IF(LANÇ_MOV[[#This Row],[FORMA DE PAGAMENTO]]="","",VLOOKUP(LANÇ_MOV[[#This Row],[FORMA DE PAGAMENTO]],CAD_Forma_pagto[],2,0))</f>
        <v>PIX</v>
      </c>
      <c r="AA536" s="524" t="str">
        <f>IF(LANÇ_MOV[[#This Row],[DATA DE LANÇAMENTO]]="","",TEXT(LANÇ_MOV[[#This Row],[DATA DE LANÇAMENTO]],"AAAA"))</f>
        <v>2025</v>
      </c>
      <c r="AB536" s="524" t="str">
        <f>IF(LANÇ_MOV[[#This Row],[DATA DE LANÇAMENTO]]="","",UPPER(TEXT(LANÇ_MOV[[#This Row],[DATA DE LANÇAMENTO]],"MMMM")))</f>
        <v>OUTUBRO</v>
      </c>
      <c r="AC536" s="525" t="str">
        <f>IF(LANÇ_MOV[[#This Row],[DATA DE LANÇAMENTO]]="","",PROPER(TEXT(LANÇ_MOV[[#This Row],[DATA DE LANÇAMENTO]],"M")))</f>
        <v>10</v>
      </c>
      <c r="AD536" s="524" t="str">
        <f>IF(LANÇ_MOV[[#This Row],[DATA DE LANÇAMENTO]]="","",TEXT(LANÇ_MOV[[#This Row],[DATA DE LANÇAMENTO]],"D"))</f>
        <v>11</v>
      </c>
      <c r="AE536" s="526" t="str">
        <f>IF(LANÇ_MOV[[#This Row],[DATA DE VENCIMENTO]]="","",TEXT(LANÇ_MOV[[#This Row],[DATA DE VENCIMENTO]],"AAAA"))</f>
        <v>2025</v>
      </c>
      <c r="AF536" s="526" t="str">
        <f>IF(LANÇ_MOV[[#This Row],[DATA DE VENCIMENTO]]="","",UPPER(TEXT(LANÇ_MOV[[#This Row],[DATA DE VENCIMENTO]],"MMMM")))</f>
        <v>OUTUBRO</v>
      </c>
      <c r="AG536" s="526" t="str">
        <f>IF(LANÇ_MOV[[#This Row],[DATA DE VENCIMENTO]]="","",TEXT(LANÇ_MOV[[#This Row],[DATA DE VENCIMENTO]],"M"))</f>
        <v>10</v>
      </c>
      <c r="AH536" s="526" t="str">
        <f>IF(LANÇ_MOV[[#This Row],[DATA DE VENCIMENTO]]="","",TEXT(LANÇ_MOV[[#This Row],[DATA DE VENCIMENTO]],"D"))</f>
        <v>11</v>
      </c>
      <c r="AI536" s="526" t="str">
        <f>IF(LANÇ_MOV[[#This Row],[DATA DE PAGAMENTO]]="","",TEXT(LANÇ_MOV[[#This Row],[DATA DE PAGAMENTO]],"AAAA"))</f>
        <v>2025</v>
      </c>
      <c r="AJ536" s="527" t="str">
        <f>IF(LANÇ_MOV[[#This Row],[DATA DE PAGAMENTO]]="","",UPPER(TEXT(LANÇ_MOV[[#This Row],[DATA DE PAGAMENTO]],"MMMM")))</f>
        <v>OUTUBRO</v>
      </c>
      <c r="AK536" s="527" t="str">
        <f>IF(LANÇ_MOV[[#This Row],[DATA DE PAGAMENTO]]="","",TEXT(LANÇ_MOV[[#This Row],[DATA DE PAGAMENTO]],"M"))</f>
        <v>10</v>
      </c>
      <c r="AL536" s="526" t="str">
        <f>IF(LANÇ_MOV[[#This Row],[DATA DE PAGAMENTO]]="","",TEXT(LANÇ_MOV[[#This Row],[DATA DE PAGAMENTO]],"D"))</f>
        <v>11</v>
      </c>
    </row>
    <row r="537" spans="2:38" ht="30.05" customHeight="1" x14ac:dyDescent="0.35">
      <c r="B537" s="506">
        <v>45941</v>
      </c>
      <c r="C537" s="507" t="s">
        <v>1661</v>
      </c>
      <c r="D537" s="508" t="s">
        <v>1854</v>
      </c>
      <c r="E537" s="509" t="s">
        <v>1441</v>
      </c>
      <c r="F537" s="510" t="s">
        <v>1789</v>
      </c>
      <c r="G537" s="507"/>
      <c r="H537" s="511"/>
      <c r="I537" s="512" t="s">
        <v>1726</v>
      </c>
      <c r="J537" s="518">
        <v>0.02</v>
      </c>
      <c r="K537" s="510">
        <v>0</v>
      </c>
      <c r="L537" s="510"/>
      <c r="M537" s="548">
        <v>0</v>
      </c>
      <c r="N537" s="514">
        <f>LANÇ_MOV[[#This Row],[VALOR BRUTO]]-LANÇ_MOV[[#This Row],[DESCONTO]]+LANÇ_MOV[[#This Row],[JUROS]]+LANÇ_MOV[[#This Row],[MULTA]]</f>
        <v>0.02</v>
      </c>
      <c r="O537" s="546">
        <v>45941</v>
      </c>
      <c r="P537" s="547" t="str">
        <f t="shared" ca="1" si="8"/>
        <v>Pago</v>
      </c>
      <c r="Q537" s="528">
        <v>45941</v>
      </c>
      <c r="R537" s="529" t="s">
        <v>1629</v>
      </c>
      <c r="S537" s="518"/>
      <c r="T537" s="518" t="s">
        <v>1776</v>
      </c>
      <c r="U537" s="519" t="s">
        <v>2007</v>
      </c>
      <c r="V537" s="520" t="str">
        <f>IFERROR(VLOOKUP(LANÇ_MOV[[#This Row],[PLANO DE CONTAS]],Plano_Contas[[PLANO DE CONTAS]:[R / D]],3,0),"")</f>
        <v>Receita</v>
      </c>
      <c r="W537" s="521" t="str">
        <f>IF(LANÇ_MOV[[#This Row],[DATA DE PAGAMENTO]]&lt;&gt;"","Pago","Não Pago")</f>
        <v>Pago</v>
      </c>
      <c r="X537" s="522" t="str">
        <f>IFERROR(IF(LANÇ_MOV[[#This Row],[DATA DE PAGAMENTO]]="","",(UPPER(TEXT(LANÇ_MOV[[#This Row],[DATA DE PAGAMENTO]],"mmmm")))),"")</f>
        <v>OUTUBRO</v>
      </c>
      <c r="Y537" s="523" t="str">
        <f>IFERROR(VLOOKUP(LANÇ_MOV[[#This Row],[PLANO DE CONTAS]],Plano_Contas[[PLANO DE CONTAS]:[NOMES INTERVALOS]],2,0),"")</f>
        <v>Receitas_Outros_Creditos</v>
      </c>
      <c r="Z537" s="523" t="str">
        <f>IF(LANÇ_MOV[[#This Row],[FORMA DE PAGAMENTO]]="","",VLOOKUP(LANÇ_MOV[[#This Row],[FORMA DE PAGAMENTO]],CAD_Forma_pagto[],2,0))</f>
        <v>DEPÓSITO EM CONTA</v>
      </c>
      <c r="AA537" s="524" t="str">
        <f>IF(LANÇ_MOV[[#This Row],[DATA DE LANÇAMENTO]]="","",TEXT(LANÇ_MOV[[#This Row],[DATA DE LANÇAMENTO]],"AAAA"))</f>
        <v>2025</v>
      </c>
      <c r="AB537" s="524" t="str">
        <f>IF(LANÇ_MOV[[#This Row],[DATA DE LANÇAMENTO]]="","",UPPER(TEXT(LANÇ_MOV[[#This Row],[DATA DE LANÇAMENTO]],"MMMM")))</f>
        <v>OUTUBRO</v>
      </c>
      <c r="AC537" s="525" t="str">
        <f>IF(LANÇ_MOV[[#This Row],[DATA DE LANÇAMENTO]]="","",PROPER(TEXT(LANÇ_MOV[[#This Row],[DATA DE LANÇAMENTO]],"M")))</f>
        <v>10</v>
      </c>
      <c r="AD537" s="524" t="str">
        <f>IF(LANÇ_MOV[[#This Row],[DATA DE LANÇAMENTO]]="","",TEXT(LANÇ_MOV[[#This Row],[DATA DE LANÇAMENTO]],"D"))</f>
        <v>11</v>
      </c>
      <c r="AE537" s="526" t="str">
        <f>IF(LANÇ_MOV[[#This Row],[DATA DE VENCIMENTO]]="","",TEXT(LANÇ_MOV[[#This Row],[DATA DE VENCIMENTO]],"AAAA"))</f>
        <v>2025</v>
      </c>
      <c r="AF537" s="526" t="str">
        <f>IF(LANÇ_MOV[[#This Row],[DATA DE VENCIMENTO]]="","",UPPER(TEXT(LANÇ_MOV[[#This Row],[DATA DE VENCIMENTO]],"MMMM")))</f>
        <v>OUTUBRO</v>
      </c>
      <c r="AG537" s="526" t="str">
        <f>IF(LANÇ_MOV[[#This Row],[DATA DE VENCIMENTO]]="","",TEXT(LANÇ_MOV[[#This Row],[DATA DE VENCIMENTO]],"M"))</f>
        <v>10</v>
      </c>
      <c r="AH537" s="526" t="str">
        <f>IF(LANÇ_MOV[[#This Row],[DATA DE VENCIMENTO]]="","",TEXT(LANÇ_MOV[[#This Row],[DATA DE VENCIMENTO]],"D"))</f>
        <v>11</v>
      </c>
      <c r="AI537" s="526" t="str">
        <f>IF(LANÇ_MOV[[#This Row],[DATA DE PAGAMENTO]]="","",TEXT(LANÇ_MOV[[#This Row],[DATA DE PAGAMENTO]],"AAAA"))</f>
        <v>2025</v>
      </c>
      <c r="AJ537" s="527" t="str">
        <f>IF(LANÇ_MOV[[#This Row],[DATA DE PAGAMENTO]]="","",UPPER(TEXT(LANÇ_MOV[[#This Row],[DATA DE PAGAMENTO]],"MMMM")))</f>
        <v>OUTUBRO</v>
      </c>
      <c r="AK537" s="527" t="str">
        <f>IF(LANÇ_MOV[[#This Row],[DATA DE PAGAMENTO]]="","",TEXT(LANÇ_MOV[[#This Row],[DATA DE PAGAMENTO]],"M"))</f>
        <v>10</v>
      </c>
      <c r="AL537" s="526" t="str">
        <f>IF(LANÇ_MOV[[#This Row],[DATA DE PAGAMENTO]]="","",TEXT(LANÇ_MOV[[#This Row],[DATA DE PAGAMENTO]],"D"))</f>
        <v>11</v>
      </c>
    </row>
    <row r="538" spans="2:38" ht="30.05" customHeight="1" x14ac:dyDescent="0.35">
      <c r="B538" s="506">
        <v>45941</v>
      </c>
      <c r="C538" s="507" t="s">
        <v>1661</v>
      </c>
      <c r="D538" s="508" t="s">
        <v>1854</v>
      </c>
      <c r="E538" s="509" t="s">
        <v>1103</v>
      </c>
      <c r="F538" s="510" t="s">
        <v>1785</v>
      </c>
      <c r="G538" s="507" t="s">
        <v>1992</v>
      </c>
      <c r="H538" s="511">
        <v>0</v>
      </c>
      <c r="I538" s="512" t="s">
        <v>1731</v>
      </c>
      <c r="J538" s="518">
        <v>375.38</v>
      </c>
      <c r="K538" s="510">
        <v>0</v>
      </c>
      <c r="L538" s="510">
        <v>0</v>
      </c>
      <c r="M538" s="548">
        <v>0</v>
      </c>
      <c r="N538" s="514">
        <f>LANÇ_MOV[[#This Row],[VALOR BRUTO]]-LANÇ_MOV[[#This Row],[DESCONTO]]+LANÇ_MOV[[#This Row],[JUROS]]+LANÇ_MOV[[#This Row],[MULTA]]</f>
        <v>375.38</v>
      </c>
      <c r="O538" s="546">
        <v>45941</v>
      </c>
      <c r="P538" s="547" t="str">
        <f t="shared" ca="1" si="8"/>
        <v>Pago</v>
      </c>
      <c r="Q538" s="528">
        <v>45941</v>
      </c>
      <c r="R538" s="529" t="s">
        <v>1564</v>
      </c>
      <c r="S538" s="518"/>
      <c r="T538" s="518" t="s">
        <v>1776</v>
      </c>
      <c r="U538" s="519" t="s">
        <v>2008</v>
      </c>
      <c r="V538" s="520" t="str">
        <f>IFERROR(VLOOKUP(LANÇ_MOV[[#This Row],[PLANO DE CONTAS]],Plano_Contas[[PLANO DE CONTAS]:[R / D]],3,0),"")</f>
        <v>Receita</v>
      </c>
      <c r="W538" s="521" t="str">
        <f>IF(LANÇ_MOV[[#This Row],[DATA DE PAGAMENTO]]&lt;&gt;"","Pago","Não Pago")</f>
        <v>Pago</v>
      </c>
      <c r="X538" s="522" t="str">
        <f>IFERROR(IF(LANÇ_MOV[[#This Row],[DATA DE PAGAMENTO]]="","",(UPPER(TEXT(LANÇ_MOV[[#This Row],[DATA DE PAGAMENTO]],"mmmm")))),"")</f>
        <v>OUTUBRO</v>
      </c>
      <c r="Y538" s="523" t="str">
        <f>IFERROR(VLOOKUP(LANÇ_MOV[[#This Row],[PLANO DE CONTAS]],Plano_Contas[[PLANO DE CONTAS]:[NOMES INTERVALOS]],2,0),"")</f>
        <v>Receitas_Operacionais</v>
      </c>
      <c r="Z538" s="523" t="str">
        <f>IF(LANÇ_MOV[[#This Row],[FORMA DE PAGAMENTO]]="","",VLOOKUP(LANÇ_MOV[[#This Row],[FORMA DE PAGAMENTO]],CAD_Forma_pagto[],2,0))</f>
        <v>PIX</v>
      </c>
      <c r="AA538" s="524" t="str">
        <f>IF(LANÇ_MOV[[#This Row],[DATA DE LANÇAMENTO]]="","",TEXT(LANÇ_MOV[[#This Row],[DATA DE LANÇAMENTO]],"AAAA"))</f>
        <v>2025</v>
      </c>
      <c r="AB538" s="524" t="str">
        <f>IF(LANÇ_MOV[[#This Row],[DATA DE LANÇAMENTO]]="","",UPPER(TEXT(LANÇ_MOV[[#This Row],[DATA DE LANÇAMENTO]],"MMMM")))</f>
        <v>OUTUBRO</v>
      </c>
      <c r="AC538" s="525" t="str">
        <f>IF(LANÇ_MOV[[#This Row],[DATA DE LANÇAMENTO]]="","",PROPER(TEXT(LANÇ_MOV[[#This Row],[DATA DE LANÇAMENTO]],"M")))</f>
        <v>10</v>
      </c>
      <c r="AD538" s="524" t="str">
        <f>IF(LANÇ_MOV[[#This Row],[DATA DE LANÇAMENTO]]="","",TEXT(LANÇ_MOV[[#This Row],[DATA DE LANÇAMENTO]],"D"))</f>
        <v>11</v>
      </c>
      <c r="AE538" s="526" t="str">
        <f>IF(LANÇ_MOV[[#This Row],[DATA DE VENCIMENTO]]="","",TEXT(LANÇ_MOV[[#This Row],[DATA DE VENCIMENTO]],"AAAA"))</f>
        <v>2025</v>
      </c>
      <c r="AF538" s="526" t="str">
        <f>IF(LANÇ_MOV[[#This Row],[DATA DE VENCIMENTO]]="","",UPPER(TEXT(LANÇ_MOV[[#This Row],[DATA DE VENCIMENTO]],"MMMM")))</f>
        <v>OUTUBRO</v>
      </c>
      <c r="AG538" s="526" t="str">
        <f>IF(LANÇ_MOV[[#This Row],[DATA DE VENCIMENTO]]="","",TEXT(LANÇ_MOV[[#This Row],[DATA DE VENCIMENTO]],"M"))</f>
        <v>10</v>
      </c>
      <c r="AH538" s="526" t="str">
        <f>IF(LANÇ_MOV[[#This Row],[DATA DE VENCIMENTO]]="","",TEXT(LANÇ_MOV[[#This Row],[DATA DE VENCIMENTO]],"D"))</f>
        <v>11</v>
      </c>
      <c r="AI538" s="526" t="str">
        <f>IF(LANÇ_MOV[[#This Row],[DATA DE PAGAMENTO]]="","",TEXT(LANÇ_MOV[[#This Row],[DATA DE PAGAMENTO]],"AAAA"))</f>
        <v>2025</v>
      </c>
      <c r="AJ538" s="527" t="str">
        <f>IF(LANÇ_MOV[[#This Row],[DATA DE PAGAMENTO]]="","",UPPER(TEXT(LANÇ_MOV[[#This Row],[DATA DE PAGAMENTO]],"MMMM")))</f>
        <v>OUTUBRO</v>
      </c>
      <c r="AK538" s="527" t="str">
        <f>IF(LANÇ_MOV[[#This Row],[DATA DE PAGAMENTO]]="","",TEXT(LANÇ_MOV[[#This Row],[DATA DE PAGAMENTO]],"M"))</f>
        <v>10</v>
      </c>
      <c r="AL538" s="526" t="str">
        <f>IF(LANÇ_MOV[[#This Row],[DATA DE PAGAMENTO]]="","",TEXT(LANÇ_MOV[[#This Row],[DATA DE PAGAMENTO]],"D"))</f>
        <v>11</v>
      </c>
    </row>
    <row r="539" spans="2:38" ht="30.05" customHeight="1" x14ac:dyDescent="0.35">
      <c r="B539" s="506">
        <v>45941</v>
      </c>
      <c r="C539" s="507" t="s">
        <v>1661</v>
      </c>
      <c r="D539" s="508" t="s">
        <v>1854</v>
      </c>
      <c r="E539" s="509" t="s">
        <v>1103</v>
      </c>
      <c r="F539" s="510" t="s">
        <v>1785</v>
      </c>
      <c r="G539" s="507" t="s">
        <v>1993</v>
      </c>
      <c r="H539" s="511">
        <v>0</v>
      </c>
      <c r="I539" s="512" t="s">
        <v>1731</v>
      </c>
      <c r="J539" s="518">
        <v>375.38</v>
      </c>
      <c r="K539" s="510">
        <v>0</v>
      </c>
      <c r="L539" s="510">
        <v>0</v>
      </c>
      <c r="M539" s="548">
        <v>0</v>
      </c>
      <c r="N539" s="514">
        <f>LANÇ_MOV[[#This Row],[VALOR BRUTO]]-LANÇ_MOV[[#This Row],[DESCONTO]]+LANÇ_MOV[[#This Row],[JUROS]]+LANÇ_MOV[[#This Row],[MULTA]]</f>
        <v>375.38</v>
      </c>
      <c r="O539" s="546">
        <v>45971</v>
      </c>
      <c r="P539" s="547" t="str">
        <f t="shared" ca="1" si="8"/>
        <v>Pago</v>
      </c>
      <c r="Q539" s="528">
        <v>45968</v>
      </c>
      <c r="R539" s="529" t="s">
        <v>1564</v>
      </c>
      <c r="S539" s="518"/>
      <c r="T539" s="518" t="s">
        <v>1776</v>
      </c>
      <c r="U539" s="519" t="s">
        <v>2008</v>
      </c>
      <c r="V539" s="520" t="str">
        <f>IFERROR(VLOOKUP(LANÇ_MOV[[#This Row],[PLANO DE CONTAS]],Plano_Contas[[PLANO DE CONTAS]:[R / D]],3,0),"")</f>
        <v>Receita</v>
      </c>
      <c r="W539" s="521" t="str">
        <f>IF(LANÇ_MOV[[#This Row],[DATA DE PAGAMENTO]]&lt;&gt;"","Pago","Não Pago")</f>
        <v>Pago</v>
      </c>
      <c r="X539" s="522" t="str">
        <f>IFERROR(IF(LANÇ_MOV[[#This Row],[DATA DE PAGAMENTO]]="","",(UPPER(TEXT(LANÇ_MOV[[#This Row],[DATA DE PAGAMENTO]],"mmmm")))),"")</f>
        <v>NOVEMBRO</v>
      </c>
      <c r="Y539" s="523" t="str">
        <f>IFERROR(VLOOKUP(LANÇ_MOV[[#This Row],[PLANO DE CONTAS]],Plano_Contas[[PLANO DE CONTAS]:[NOMES INTERVALOS]],2,0),"")</f>
        <v>Receitas_Operacionais</v>
      </c>
      <c r="Z539" s="523" t="str">
        <f>IF(LANÇ_MOV[[#This Row],[FORMA DE PAGAMENTO]]="","",VLOOKUP(LANÇ_MOV[[#This Row],[FORMA DE PAGAMENTO]],CAD_Forma_pagto[],2,0))</f>
        <v>PIX</v>
      </c>
      <c r="AA539" s="524" t="str">
        <f>IF(LANÇ_MOV[[#This Row],[DATA DE LANÇAMENTO]]="","",TEXT(LANÇ_MOV[[#This Row],[DATA DE LANÇAMENTO]],"AAAA"))</f>
        <v>2025</v>
      </c>
      <c r="AB539" s="524" t="str">
        <f>IF(LANÇ_MOV[[#This Row],[DATA DE LANÇAMENTO]]="","",UPPER(TEXT(LANÇ_MOV[[#This Row],[DATA DE LANÇAMENTO]],"MMMM")))</f>
        <v>OUTUBRO</v>
      </c>
      <c r="AC539" s="525" t="str">
        <f>IF(LANÇ_MOV[[#This Row],[DATA DE LANÇAMENTO]]="","",PROPER(TEXT(LANÇ_MOV[[#This Row],[DATA DE LANÇAMENTO]],"M")))</f>
        <v>10</v>
      </c>
      <c r="AD539" s="524" t="str">
        <f>IF(LANÇ_MOV[[#This Row],[DATA DE LANÇAMENTO]]="","",TEXT(LANÇ_MOV[[#This Row],[DATA DE LANÇAMENTO]],"D"))</f>
        <v>11</v>
      </c>
      <c r="AE539" s="526" t="str">
        <f>IF(LANÇ_MOV[[#This Row],[DATA DE VENCIMENTO]]="","",TEXT(LANÇ_MOV[[#This Row],[DATA DE VENCIMENTO]],"AAAA"))</f>
        <v>2025</v>
      </c>
      <c r="AF539" s="526" t="str">
        <f>IF(LANÇ_MOV[[#This Row],[DATA DE VENCIMENTO]]="","",UPPER(TEXT(LANÇ_MOV[[#This Row],[DATA DE VENCIMENTO]],"MMMM")))</f>
        <v>NOVEMBRO</v>
      </c>
      <c r="AG539" s="526" t="str">
        <f>IF(LANÇ_MOV[[#This Row],[DATA DE VENCIMENTO]]="","",TEXT(LANÇ_MOV[[#This Row],[DATA DE VENCIMENTO]],"M"))</f>
        <v>11</v>
      </c>
      <c r="AH539" s="526" t="str">
        <f>IF(LANÇ_MOV[[#This Row],[DATA DE VENCIMENTO]]="","",TEXT(LANÇ_MOV[[#This Row],[DATA DE VENCIMENTO]],"D"))</f>
        <v>10</v>
      </c>
      <c r="AI539" s="526" t="str">
        <f>IF(LANÇ_MOV[[#This Row],[DATA DE PAGAMENTO]]="","",TEXT(LANÇ_MOV[[#This Row],[DATA DE PAGAMENTO]],"AAAA"))</f>
        <v>2025</v>
      </c>
      <c r="AJ539" s="527" t="str">
        <f>IF(LANÇ_MOV[[#This Row],[DATA DE PAGAMENTO]]="","",UPPER(TEXT(LANÇ_MOV[[#This Row],[DATA DE PAGAMENTO]],"MMMM")))</f>
        <v>NOVEMBRO</v>
      </c>
      <c r="AK539" s="527" t="str">
        <f>IF(LANÇ_MOV[[#This Row],[DATA DE PAGAMENTO]]="","",TEXT(LANÇ_MOV[[#This Row],[DATA DE PAGAMENTO]],"M"))</f>
        <v>11</v>
      </c>
      <c r="AL539" s="526" t="str">
        <f>IF(LANÇ_MOV[[#This Row],[DATA DE PAGAMENTO]]="","",TEXT(LANÇ_MOV[[#This Row],[DATA DE PAGAMENTO]],"D"))</f>
        <v>7</v>
      </c>
    </row>
    <row r="540" spans="2:38" ht="30.05" customHeight="1" x14ac:dyDescent="0.35">
      <c r="B540" s="506">
        <v>45941</v>
      </c>
      <c r="C540" s="507" t="s">
        <v>1661</v>
      </c>
      <c r="D540" s="508" t="s">
        <v>1854</v>
      </c>
      <c r="E540" s="509" t="s">
        <v>1103</v>
      </c>
      <c r="F540" s="510" t="s">
        <v>1785</v>
      </c>
      <c r="G540" s="507" t="s">
        <v>1994</v>
      </c>
      <c r="H540" s="511">
        <v>0</v>
      </c>
      <c r="I540" s="512" t="s">
        <v>1731</v>
      </c>
      <c r="J540" s="518">
        <v>375.38</v>
      </c>
      <c r="K540" s="510">
        <v>0</v>
      </c>
      <c r="L540" s="510"/>
      <c r="M540" s="548">
        <v>0</v>
      </c>
      <c r="N540" s="514">
        <f>LANÇ_MOV[[#This Row],[VALOR BRUTO]]-LANÇ_MOV[[#This Row],[DESCONTO]]+LANÇ_MOV[[#This Row],[JUROS]]+LANÇ_MOV[[#This Row],[MULTA]]</f>
        <v>375.38</v>
      </c>
      <c r="O540" s="546">
        <v>46001</v>
      </c>
      <c r="P540" s="547" t="str">
        <f t="shared" ca="1" si="8"/>
        <v>Prazo - Menos de 15 dias</v>
      </c>
      <c r="Q540" s="528"/>
      <c r="R540" s="529" t="s">
        <v>1564</v>
      </c>
      <c r="S540" s="518"/>
      <c r="T540" s="518" t="s">
        <v>1776</v>
      </c>
      <c r="U540" s="519" t="s">
        <v>2008</v>
      </c>
      <c r="V540" s="520" t="str">
        <f>IFERROR(VLOOKUP(LANÇ_MOV[[#This Row],[PLANO DE CONTAS]],Plano_Contas[[PLANO DE CONTAS]:[R / D]],3,0),"")</f>
        <v>Receita</v>
      </c>
      <c r="W540" s="521" t="str">
        <f>IF(LANÇ_MOV[[#This Row],[DATA DE PAGAMENTO]]&lt;&gt;"","Pago","Não Pago")</f>
        <v>Não Pago</v>
      </c>
      <c r="X540" s="522" t="str">
        <f>IFERROR(IF(LANÇ_MOV[[#This Row],[DATA DE PAGAMENTO]]="","",(UPPER(TEXT(LANÇ_MOV[[#This Row],[DATA DE PAGAMENTO]],"mmmm")))),"")</f>
        <v/>
      </c>
      <c r="Y540" s="523" t="str">
        <f>IFERROR(VLOOKUP(LANÇ_MOV[[#This Row],[PLANO DE CONTAS]],Plano_Contas[[PLANO DE CONTAS]:[NOMES INTERVALOS]],2,0),"")</f>
        <v>Receitas_Operacionais</v>
      </c>
      <c r="Z540" s="523" t="str">
        <f>IF(LANÇ_MOV[[#This Row],[FORMA DE PAGAMENTO]]="","",VLOOKUP(LANÇ_MOV[[#This Row],[FORMA DE PAGAMENTO]],CAD_Forma_pagto[],2,0))</f>
        <v>PIX</v>
      </c>
      <c r="AA540" s="524" t="str">
        <f>IF(LANÇ_MOV[[#This Row],[DATA DE LANÇAMENTO]]="","",TEXT(LANÇ_MOV[[#This Row],[DATA DE LANÇAMENTO]],"AAAA"))</f>
        <v>2025</v>
      </c>
      <c r="AB540" s="524" t="str">
        <f>IF(LANÇ_MOV[[#This Row],[DATA DE LANÇAMENTO]]="","",UPPER(TEXT(LANÇ_MOV[[#This Row],[DATA DE LANÇAMENTO]],"MMMM")))</f>
        <v>OUTUBRO</v>
      </c>
      <c r="AC540" s="525" t="str">
        <f>IF(LANÇ_MOV[[#This Row],[DATA DE LANÇAMENTO]]="","",PROPER(TEXT(LANÇ_MOV[[#This Row],[DATA DE LANÇAMENTO]],"M")))</f>
        <v>10</v>
      </c>
      <c r="AD540" s="524" t="str">
        <f>IF(LANÇ_MOV[[#This Row],[DATA DE LANÇAMENTO]]="","",TEXT(LANÇ_MOV[[#This Row],[DATA DE LANÇAMENTO]],"D"))</f>
        <v>11</v>
      </c>
      <c r="AE540" s="526" t="str">
        <f>IF(LANÇ_MOV[[#This Row],[DATA DE VENCIMENTO]]="","",TEXT(LANÇ_MOV[[#This Row],[DATA DE VENCIMENTO]],"AAAA"))</f>
        <v>2025</v>
      </c>
      <c r="AF540" s="526" t="str">
        <f>IF(LANÇ_MOV[[#This Row],[DATA DE VENCIMENTO]]="","",UPPER(TEXT(LANÇ_MOV[[#This Row],[DATA DE VENCIMENTO]],"MMMM")))</f>
        <v>DEZEMBRO</v>
      </c>
      <c r="AG540" s="526" t="str">
        <f>IF(LANÇ_MOV[[#This Row],[DATA DE VENCIMENTO]]="","",TEXT(LANÇ_MOV[[#This Row],[DATA DE VENCIMENTO]],"M"))</f>
        <v>12</v>
      </c>
      <c r="AH540" s="526" t="str">
        <f>IF(LANÇ_MOV[[#This Row],[DATA DE VENCIMENTO]]="","",TEXT(LANÇ_MOV[[#This Row],[DATA DE VENCIMENTO]],"D"))</f>
        <v>10</v>
      </c>
      <c r="AI540" s="526" t="str">
        <f>IF(LANÇ_MOV[[#This Row],[DATA DE PAGAMENTO]]="","",TEXT(LANÇ_MOV[[#This Row],[DATA DE PAGAMENTO]],"AAAA"))</f>
        <v/>
      </c>
      <c r="AJ540" s="527" t="str">
        <f>IF(LANÇ_MOV[[#This Row],[DATA DE PAGAMENTO]]="","",UPPER(TEXT(LANÇ_MOV[[#This Row],[DATA DE PAGAMENTO]],"MMMM")))</f>
        <v/>
      </c>
      <c r="AK540" s="527" t="str">
        <f>IF(LANÇ_MOV[[#This Row],[DATA DE PAGAMENTO]]="","",TEXT(LANÇ_MOV[[#This Row],[DATA DE PAGAMENTO]],"M"))</f>
        <v/>
      </c>
      <c r="AL540" s="526" t="str">
        <f>IF(LANÇ_MOV[[#This Row],[DATA DE PAGAMENTO]]="","",TEXT(LANÇ_MOV[[#This Row],[DATA DE PAGAMENTO]],"D"))</f>
        <v/>
      </c>
    </row>
    <row r="541" spans="2:38" ht="30.05" customHeight="1" x14ac:dyDescent="0.35">
      <c r="B541" s="506">
        <v>45941</v>
      </c>
      <c r="C541" s="507" t="s">
        <v>1661</v>
      </c>
      <c r="D541" s="508" t="s">
        <v>1854</v>
      </c>
      <c r="E541" s="509" t="s">
        <v>1103</v>
      </c>
      <c r="F541" s="510" t="s">
        <v>1785</v>
      </c>
      <c r="G541" s="507" t="s">
        <v>1995</v>
      </c>
      <c r="H541" s="511">
        <v>0</v>
      </c>
      <c r="I541" s="512" t="s">
        <v>1731</v>
      </c>
      <c r="J541" s="518">
        <v>375.38</v>
      </c>
      <c r="K541" s="510">
        <v>0</v>
      </c>
      <c r="L541" s="510"/>
      <c r="M541" s="548">
        <v>0</v>
      </c>
      <c r="N541" s="514">
        <f>LANÇ_MOV[[#This Row],[VALOR BRUTO]]-LANÇ_MOV[[#This Row],[DESCONTO]]+LANÇ_MOV[[#This Row],[JUROS]]+LANÇ_MOV[[#This Row],[MULTA]]</f>
        <v>375.38</v>
      </c>
      <c r="O541" s="546">
        <v>46032</v>
      </c>
      <c r="P541" s="547" t="str">
        <f t="shared" ca="1" si="8"/>
        <v>Prazo - Mais de 1 mês</v>
      </c>
      <c r="Q541" s="528"/>
      <c r="R541" s="529" t="s">
        <v>1564</v>
      </c>
      <c r="S541" s="518"/>
      <c r="T541" s="518" t="s">
        <v>1776</v>
      </c>
      <c r="U541" s="519" t="s">
        <v>2008</v>
      </c>
      <c r="V541" s="520" t="str">
        <f>IFERROR(VLOOKUP(LANÇ_MOV[[#This Row],[PLANO DE CONTAS]],Plano_Contas[[PLANO DE CONTAS]:[R / D]],3,0),"")</f>
        <v>Receita</v>
      </c>
      <c r="W541" s="521" t="str">
        <f>IF(LANÇ_MOV[[#This Row],[DATA DE PAGAMENTO]]&lt;&gt;"","Pago","Não Pago")</f>
        <v>Não Pago</v>
      </c>
      <c r="X541" s="522" t="str">
        <f>IFERROR(IF(LANÇ_MOV[[#This Row],[DATA DE PAGAMENTO]]="","",(UPPER(TEXT(LANÇ_MOV[[#This Row],[DATA DE PAGAMENTO]],"mmmm")))),"")</f>
        <v/>
      </c>
      <c r="Y541" s="523" t="str">
        <f>IFERROR(VLOOKUP(LANÇ_MOV[[#This Row],[PLANO DE CONTAS]],Plano_Contas[[PLANO DE CONTAS]:[NOMES INTERVALOS]],2,0),"")</f>
        <v>Receitas_Operacionais</v>
      </c>
      <c r="Z541" s="523" t="str">
        <f>IF(LANÇ_MOV[[#This Row],[FORMA DE PAGAMENTO]]="","",VLOOKUP(LANÇ_MOV[[#This Row],[FORMA DE PAGAMENTO]],CAD_Forma_pagto[],2,0))</f>
        <v>PIX</v>
      </c>
      <c r="AA541" s="524" t="str">
        <f>IF(LANÇ_MOV[[#This Row],[DATA DE LANÇAMENTO]]="","",TEXT(LANÇ_MOV[[#This Row],[DATA DE LANÇAMENTO]],"AAAA"))</f>
        <v>2025</v>
      </c>
      <c r="AB541" s="524" t="str">
        <f>IF(LANÇ_MOV[[#This Row],[DATA DE LANÇAMENTO]]="","",UPPER(TEXT(LANÇ_MOV[[#This Row],[DATA DE LANÇAMENTO]],"MMMM")))</f>
        <v>OUTUBRO</v>
      </c>
      <c r="AC541" s="525" t="str">
        <f>IF(LANÇ_MOV[[#This Row],[DATA DE LANÇAMENTO]]="","",PROPER(TEXT(LANÇ_MOV[[#This Row],[DATA DE LANÇAMENTO]],"M")))</f>
        <v>10</v>
      </c>
      <c r="AD541" s="524" t="str">
        <f>IF(LANÇ_MOV[[#This Row],[DATA DE LANÇAMENTO]]="","",TEXT(LANÇ_MOV[[#This Row],[DATA DE LANÇAMENTO]],"D"))</f>
        <v>11</v>
      </c>
      <c r="AE541" s="526" t="str">
        <f>IF(LANÇ_MOV[[#This Row],[DATA DE VENCIMENTO]]="","",TEXT(LANÇ_MOV[[#This Row],[DATA DE VENCIMENTO]],"AAAA"))</f>
        <v>2026</v>
      </c>
      <c r="AF541" s="526" t="str">
        <f>IF(LANÇ_MOV[[#This Row],[DATA DE VENCIMENTO]]="","",UPPER(TEXT(LANÇ_MOV[[#This Row],[DATA DE VENCIMENTO]],"MMMM")))</f>
        <v>JANEIRO</v>
      </c>
      <c r="AG541" s="526" t="str">
        <f>IF(LANÇ_MOV[[#This Row],[DATA DE VENCIMENTO]]="","",TEXT(LANÇ_MOV[[#This Row],[DATA DE VENCIMENTO]],"M"))</f>
        <v>1</v>
      </c>
      <c r="AH541" s="526" t="str">
        <f>IF(LANÇ_MOV[[#This Row],[DATA DE VENCIMENTO]]="","",TEXT(LANÇ_MOV[[#This Row],[DATA DE VENCIMENTO]],"D"))</f>
        <v>10</v>
      </c>
      <c r="AI541" s="526" t="str">
        <f>IF(LANÇ_MOV[[#This Row],[DATA DE PAGAMENTO]]="","",TEXT(LANÇ_MOV[[#This Row],[DATA DE PAGAMENTO]],"AAAA"))</f>
        <v/>
      </c>
      <c r="AJ541" s="527" t="str">
        <f>IF(LANÇ_MOV[[#This Row],[DATA DE PAGAMENTO]]="","",UPPER(TEXT(LANÇ_MOV[[#This Row],[DATA DE PAGAMENTO]],"MMMM")))</f>
        <v/>
      </c>
      <c r="AK541" s="527" t="str">
        <f>IF(LANÇ_MOV[[#This Row],[DATA DE PAGAMENTO]]="","",TEXT(LANÇ_MOV[[#This Row],[DATA DE PAGAMENTO]],"M"))</f>
        <v/>
      </c>
      <c r="AL541" s="526" t="str">
        <f>IF(LANÇ_MOV[[#This Row],[DATA DE PAGAMENTO]]="","",TEXT(LANÇ_MOV[[#This Row],[DATA DE PAGAMENTO]],"D"))</f>
        <v/>
      </c>
    </row>
    <row r="542" spans="2:38" ht="30.05" customHeight="1" x14ac:dyDescent="0.35">
      <c r="B542" s="506">
        <v>45941</v>
      </c>
      <c r="C542" s="507" t="s">
        <v>1661</v>
      </c>
      <c r="D542" s="508" t="s">
        <v>1854</v>
      </c>
      <c r="E542" s="509" t="s">
        <v>1103</v>
      </c>
      <c r="F542" s="510" t="s">
        <v>1785</v>
      </c>
      <c r="G542" s="507" t="s">
        <v>1996</v>
      </c>
      <c r="H542" s="511">
        <v>0</v>
      </c>
      <c r="I542" s="512" t="s">
        <v>1731</v>
      </c>
      <c r="J542" s="518">
        <v>375.38</v>
      </c>
      <c r="K542" s="510">
        <v>0</v>
      </c>
      <c r="L542" s="510"/>
      <c r="M542" s="548">
        <v>0</v>
      </c>
      <c r="N542" s="514">
        <f>LANÇ_MOV[[#This Row],[VALOR BRUTO]]-LANÇ_MOV[[#This Row],[DESCONTO]]+LANÇ_MOV[[#This Row],[JUROS]]+LANÇ_MOV[[#This Row],[MULTA]]</f>
        <v>375.38</v>
      </c>
      <c r="O542" s="546">
        <v>46063</v>
      </c>
      <c r="P542" s="547" t="str">
        <f t="shared" ca="1" si="8"/>
        <v>Prazo - Mais de 1 mês</v>
      </c>
      <c r="Q542" s="528"/>
      <c r="R542" s="529" t="s">
        <v>1564</v>
      </c>
      <c r="S542" s="518"/>
      <c r="T542" s="518" t="s">
        <v>1776</v>
      </c>
      <c r="U542" s="519" t="s">
        <v>2008</v>
      </c>
      <c r="V542" s="520" t="str">
        <f>IFERROR(VLOOKUP(LANÇ_MOV[[#This Row],[PLANO DE CONTAS]],Plano_Contas[[PLANO DE CONTAS]:[R / D]],3,0),"")</f>
        <v>Receita</v>
      </c>
      <c r="W542" s="521" t="str">
        <f>IF(LANÇ_MOV[[#This Row],[DATA DE PAGAMENTO]]&lt;&gt;"","Pago","Não Pago")</f>
        <v>Não Pago</v>
      </c>
      <c r="X542" s="522" t="str">
        <f>IFERROR(IF(LANÇ_MOV[[#This Row],[DATA DE PAGAMENTO]]="","",(UPPER(TEXT(LANÇ_MOV[[#This Row],[DATA DE PAGAMENTO]],"mmmm")))),"")</f>
        <v/>
      </c>
      <c r="Y542" s="523" t="str">
        <f>IFERROR(VLOOKUP(LANÇ_MOV[[#This Row],[PLANO DE CONTAS]],Plano_Contas[[PLANO DE CONTAS]:[NOMES INTERVALOS]],2,0),"")</f>
        <v>Receitas_Operacionais</v>
      </c>
      <c r="Z542" s="523" t="str">
        <f>IF(LANÇ_MOV[[#This Row],[FORMA DE PAGAMENTO]]="","",VLOOKUP(LANÇ_MOV[[#This Row],[FORMA DE PAGAMENTO]],CAD_Forma_pagto[],2,0))</f>
        <v>PIX</v>
      </c>
      <c r="AA542" s="524" t="str">
        <f>IF(LANÇ_MOV[[#This Row],[DATA DE LANÇAMENTO]]="","",TEXT(LANÇ_MOV[[#This Row],[DATA DE LANÇAMENTO]],"AAAA"))</f>
        <v>2025</v>
      </c>
      <c r="AB542" s="524" t="str">
        <f>IF(LANÇ_MOV[[#This Row],[DATA DE LANÇAMENTO]]="","",UPPER(TEXT(LANÇ_MOV[[#This Row],[DATA DE LANÇAMENTO]],"MMMM")))</f>
        <v>OUTUBRO</v>
      </c>
      <c r="AC542" s="525" t="str">
        <f>IF(LANÇ_MOV[[#This Row],[DATA DE LANÇAMENTO]]="","",PROPER(TEXT(LANÇ_MOV[[#This Row],[DATA DE LANÇAMENTO]],"M")))</f>
        <v>10</v>
      </c>
      <c r="AD542" s="524" t="str">
        <f>IF(LANÇ_MOV[[#This Row],[DATA DE LANÇAMENTO]]="","",TEXT(LANÇ_MOV[[#This Row],[DATA DE LANÇAMENTO]],"D"))</f>
        <v>11</v>
      </c>
      <c r="AE542" s="526" t="str">
        <f>IF(LANÇ_MOV[[#This Row],[DATA DE VENCIMENTO]]="","",TEXT(LANÇ_MOV[[#This Row],[DATA DE VENCIMENTO]],"AAAA"))</f>
        <v>2026</v>
      </c>
      <c r="AF542" s="526" t="str">
        <f>IF(LANÇ_MOV[[#This Row],[DATA DE VENCIMENTO]]="","",UPPER(TEXT(LANÇ_MOV[[#This Row],[DATA DE VENCIMENTO]],"MMMM")))</f>
        <v>FEVEREIRO</v>
      </c>
      <c r="AG542" s="526" t="str">
        <f>IF(LANÇ_MOV[[#This Row],[DATA DE VENCIMENTO]]="","",TEXT(LANÇ_MOV[[#This Row],[DATA DE VENCIMENTO]],"M"))</f>
        <v>2</v>
      </c>
      <c r="AH542" s="526" t="str">
        <f>IF(LANÇ_MOV[[#This Row],[DATA DE VENCIMENTO]]="","",TEXT(LANÇ_MOV[[#This Row],[DATA DE VENCIMENTO]],"D"))</f>
        <v>10</v>
      </c>
      <c r="AI542" s="526" t="str">
        <f>IF(LANÇ_MOV[[#This Row],[DATA DE PAGAMENTO]]="","",TEXT(LANÇ_MOV[[#This Row],[DATA DE PAGAMENTO]],"AAAA"))</f>
        <v/>
      </c>
      <c r="AJ542" s="527" t="str">
        <f>IF(LANÇ_MOV[[#This Row],[DATA DE PAGAMENTO]]="","",UPPER(TEXT(LANÇ_MOV[[#This Row],[DATA DE PAGAMENTO]],"MMMM")))</f>
        <v/>
      </c>
      <c r="AK542" s="527" t="str">
        <f>IF(LANÇ_MOV[[#This Row],[DATA DE PAGAMENTO]]="","",TEXT(LANÇ_MOV[[#This Row],[DATA DE PAGAMENTO]],"M"))</f>
        <v/>
      </c>
      <c r="AL542" s="526" t="str">
        <f>IF(LANÇ_MOV[[#This Row],[DATA DE PAGAMENTO]]="","",TEXT(LANÇ_MOV[[#This Row],[DATA DE PAGAMENTO]],"D"))</f>
        <v/>
      </c>
    </row>
    <row r="543" spans="2:38" ht="30.05" customHeight="1" x14ac:dyDescent="0.35">
      <c r="B543" s="506">
        <v>45941</v>
      </c>
      <c r="C543" s="507" t="s">
        <v>1661</v>
      </c>
      <c r="D543" s="508" t="s">
        <v>1854</v>
      </c>
      <c r="E543" s="509" t="s">
        <v>1103</v>
      </c>
      <c r="F543" s="510" t="s">
        <v>1785</v>
      </c>
      <c r="G543" s="507" t="s">
        <v>1997</v>
      </c>
      <c r="H543" s="511">
        <v>0</v>
      </c>
      <c r="I543" s="512" t="s">
        <v>1709</v>
      </c>
      <c r="J543" s="518">
        <v>350.35</v>
      </c>
      <c r="K543" s="510">
        <v>0</v>
      </c>
      <c r="L543" s="510">
        <v>0</v>
      </c>
      <c r="M543" s="548">
        <v>0</v>
      </c>
      <c r="N543" s="514">
        <f>LANÇ_MOV[[#This Row],[VALOR BRUTO]]-LANÇ_MOV[[#This Row],[DESCONTO]]+LANÇ_MOV[[#This Row],[JUROS]]+LANÇ_MOV[[#This Row],[MULTA]]</f>
        <v>350.35</v>
      </c>
      <c r="O543" s="546">
        <v>45940</v>
      </c>
      <c r="P543" s="547" t="str">
        <f t="shared" ca="1" si="8"/>
        <v>Pago</v>
      </c>
      <c r="Q543" s="528">
        <v>45941</v>
      </c>
      <c r="R543" s="529" t="s">
        <v>1564</v>
      </c>
      <c r="S543" s="518"/>
      <c r="T543" s="518" t="s">
        <v>1776</v>
      </c>
      <c r="U543" s="519" t="s">
        <v>2008</v>
      </c>
      <c r="V543" s="520" t="str">
        <f>IFERROR(VLOOKUP(LANÇ_MOV[[#This Row],[PLANO DE CONTAS]],Plano_Contas[[PLANO DE CONTAS]:[R / D]],3,0),"")</f>
        <v>Receita</v>
      </c>
      <c r="W543" s="521" t="str">
        <f>IF(LANÇ_MOV[[#This Row],[DATA DE PAGAMENTO]]&lt;&gt;"","Pago","Não Pago")</f>
        <v>Pago</v>
      </c>
      <c r="X543" s="522" t="str">
        <f>IFERROR(IF(LANÇ_MOV[[#This Row],[DATA DE PAGAMENTO]]="","",(UPPER(TEXT(LANÇ_MOV[[#This Row],[DATA DE PAGAMENTO]],"mmmm")))),"")</f>
        <v>OUTUBRO</v>
      </c>
      <c r="Y543" s="523" t="str">
        <f>IFERROR(VLOOKUP(LANÇ_MOV[[#This Row],[PLANO DE CONTAS]],Plano_Contas[[PLANO DE CONTAS]:[NOMES INTERVALOS]],2,0),"")</f>
        <v>Receitas_Operacionais</v>
      </c>
      <c r="Z543" s="523" t="str">
        <f>IF(LANÇ_MOV[[#This Row],[FORMA DE PAGAMENTO]]="","",VLOOKUP(LANÇ_MOV[[#This Row],[FORMA DE PAGAMENTO]],CAD_Forma_pagto[],2,0))</f>
        <v>PIX</v>
      </c>
      <c r="AA543" s="524" t="str">
        <f>IF(LANÇ_MOV[[#This Row],[DATA DE LANÇAMENTO]]="","",TEXT(LANÇ_MOV[[#This Row],[DATA DE LANÇAMENTO]],"AAAA"))</f>
        <v>2025</v>
      </c>
      <c r="AB543" s="524" t="str">
        <f>IF(LANÇ_MOV[[#This Row],[DATA DE LANÇAMENTO]]="","",UPPER(TEXT(LANÇ_MOV[[#This Row],[DATA DE LANÇAMENTO]],"MMMM")))</f>
        <v>OUTUBRO</v>
      </c>
      <c r="AC543" s="525" t="str">
        <f>IF(LANÇ_MOV[[#This Row],[DATA DE LANÇAMENTO]]="","",PROPER(TEXT(LANÇ_MOV[[#This Row],[DATA DE LANÇAMENTO]],"M")))</f>
        <v>10</v>
      </c>
      <c r="AD543" s="524" t="str">
        <f>IF(LANÇ_MOV[[#This Row],[DATA DE LANÇAMENTO]]="","",TEXT(LANÇ_MOV[[#This Row],[DATA DE LANÇAMENTO]],"D"))</f>
        <v>11</v>
      </c>
      <c r="AE543" s="526" t="str">
        <f>IF(LANÇ_MOV[[#This Row],[DATA DE VENCIMENTO]]="","",TEXT(LANÇ_MOV[[#This Row],[DATA DE VENCIMENTO]],"AAAA"))</f>
        <v>2025</v>
      </c>
      <c r="AF543" s="526" t="str">
        <f>IF(LANÇ_MOV[[#This Row],[DATA DE VENCIMENTO]]="","",UPPER(TEXT(LANÇ_MOV[[#This Row],[DATA DE VENCIMENTO]],"MMMM")))</f>
        <v>OUTUBRO</v>
      </c>
      <c r="AG543" s="526" t="str">
        <f>IF(LANÇ_MOV[[#This Row],[DATA DE VENCIMENTO]]="","",TEXT(LANÇ_MOV[[#This Row],[DATA DE VENCIMENTO]],"M"))</f>
        <v>10</v>
      </c>
      <c r="AH543" s="526" t="str">
        <f>IF(LANÇ_MOV[[#This Row],[DATA DE VENCIMENTO]]="","",TEXT(LANÇ_MOV[[#This Row],[DATA DE VENCIMENTO]],"D"))</f>
        <v>10</v>
      </c>
      <c r="AI543" s="526" t="str">
        <f>IF(LANÇ_MOV[[#This Row],[DATA DE PAGAMENTO]]="","",TEXT(LANÇ_MOV[[#This Row],[DATA DE PAGAMENTO]],"AAAA"))</f>
        <v>2025</v>
      </c>
      <c r="AJ543" s="527" t="str">
        <f>IF(LANÇ_MOV[[#This Row],[DATA DE PAGAMENTO]]="","",UPPER(TEXT(LANÇ_MOV[[#This Row],[DATA DE PAGAMENTO]],"MMMM")))</f>
        <v>OUTUBRO</v>
      </c>
      <c r="AK543" s="527" t="str">
        <f>IF(LANÇ_MOV[[#This Row],[DATA DE PAGAMENTO]]="","",TEXT(LANÇ_MOV[[#This Row],[DATA DE PAGAMENTO]],"M"))</f>
        <v>10</v>
      </c>
      <c r="AL543" s="526" t="str">
        <f>IF(LANÇ_MOV[[#This Row],[DATA DE PAGAMENTO]]="","",TEXT(LANÇ_MOV[[#This Row],[DATA DE PAGAMENTO]],"D"))</f>
        <v>11</v>
      </c>
    </row>
    <row r="544" spans="2:38" ht="30.05" customHeight="1" x14ac:dyDescent="0.35">
      <c r="B544" s="506">
        <v>45941</v>
      </c>
      <c r="C544" s="507" t="s">
        <v>1661</v>
      </c>
      <c r="D544" s="508" t="s">
        <v>1854</v>
      </c>
      <c r="E544" s="509" t="s">
        <v>1103</v>
      </c>
      <c r="F544" s="510" t="s">
        <v>1785</v>
      </c>
      <c r="G544" s="507" t="s">
        <v>1992</v>
      </c>
      <c r="H544" s="511">
        <v>0</v>
      </c>
      <c r="I544" s="512" t="s">
        <v>1709</v>
      </c>
      <c r="J544" s="518">
        <v>350.35</v>
      </c>
      <c r="K544" s="510">
        <v>0</v>
      </c>
      <c r="L544" s="510">
        <v>0</v>
      </c>
      <c r="M544" s="548">
        <v>0</v>
      </c>
      <c r="N544" s="514">
        <f>LANÇ_MOV[[#This Row],[VALOR BRUTO]]-LANÇ_MOV[[#This Row],[DESCONTO]]+LANÇ_MOV[[#This Row],[JUROS]]+LANÇ_MOV[[#This Row],[MULTA]]</f>
        <v>350.35</v>
      </c>
      <c r="O544" s="546">
        <v>45971</v>
      </c>
      <c r="P544" s="547" t="str">
        <f t="shared" ca="1" si="8"/>
        <v>Venceu</v>
      </c>
      <c r="Q544" s="528"/>
      <c r="R544" s="529" t="s">
        <v>1564</v>
      </c>
      <c r="S544" s="518"/>
      <c r="T544" s="518" t="s">
        <v>1776</v>
      </c>
      <c r="U544" s="519" t="s">
        <v>2008</v>
      </c>
      <c r="V544" s="520" t="str">
        <f>IFERROR(VLOOKUP(LANÇ_MOV[[#This Row],[PLANO DE CONTAS]],Plano_Contas[[PLANO DE CONTAS]:[R / D]],3,0),"")</f>
        <v>Receita</v>
      </c>
      <c r="W544" s="521" t="str">
        <f>IF(LANÇ_MOV[[#This Row],[DATA DE PAGAMENTO]]&lt;&gt;"","Pago","Não Pago")</f>
        <v>Não Pago</v>
      </c>
      <c r="X544" s="522" t="str">
        <f>IFERROR(IF(LANÇ_MOV[[#This Row],[DATA DE PAGAMENTO]]="","",(UPPER(TEXT(LANÇ_MOV[[#This Row],[DATA DE PAGAMENTO]],"mmmm")))),"")</f>
        <v/>
      </c>
      <c r="Y544" s="523" t="str">
        <f>IFERROR(VLOOKUP(LANÇ_MOV[[#This Row],[PLANO DE CONTAS]],Plano_Contas[[PLANO DE CONTAS]:[NOMES INTERVALOS]],2,0),"")</f>
        <v>Receitas_Operacionais</v>
      </c>
      <c r="Z544" s="523" t="str">
        <f>IF(LANÇ_MOV[[#This Row],[FORMA DE PAGAMENTO]]="","",VLOOKUP(LANÇ_MOV[[#This Row],[FORMA DE PAGAMENTO]],CAD_Forma_pagto[],2,0))</f>
        <v>PIX</v>
      </c>
      <c r="AA544" s="524" t="str">
        <f>IF(LANÇ_MOV[[#This Row],[DATA DE LANÇAMENTO]]="","",TEXT(LANÇ_MOV[[#This Row],[DATA DE LANÇAMENTO]],"AAAA"))</f>
        <v>2025</v>
      </c>
      <c r="AB544" s="524" t="str">
        <f>IF(LANÇ_MOV[[#This Row],[DATA DE LANÇAMENTO]]="","",UPPER(TEXT(LANÇ_MOV[[#This Row],[DATA DE LANÇAMENTO]],"MMMM")))</f>
        <v>OUTUBRO</v>
      </c>
      <c r="AC544" s="525" t="str">
        <f>IF(LANÇ_MOV[[#This Row],[DATA DE LANÇAMENTO]]="","",PROPER(TEXT(LANÇ_MOV[[#This Row],[DATA DE LANÇAMENTO]],"M")))</f>
        <v>10</v>
      </c>
      <c r="AD544" s="524" t="str">
        <f>IF(LANÇ_MOV[[#This Row],[DATA DE LANÇAMENTO]]="","",TEXT(LANÇ_MOV[[#This Row],[DATA DE LANÇAMENTO]],"D"))</f>
        <v>11</v>
      </c>
      <c r="AE544" s="526" t="str">
        <f>IF(LANÇ_MOV[[#This Row],[DATA DE VENCIMENTO]]="","",TEXT(LANÇ_MOV[[#This Row],[DATA DE VENCIMENTO]],"AAAA"))</f>
        <v>2025</v>
      </c>
      <c r="AF544" s="526" t="str">
        <f>IF(LANÇ_MOV[[#This Row],[DATA DE VENCIMENTO]]="","",UPPER(TEXT(LANÇ_MOV[[#This Row],[DATA DE VENCIMENTO]],"MMMM")))</f>
        <v>NOVEMBRO</v>
      </c>
      <c r="AG544" s="526" t="str">
        <f>IF(LANÇ_MOV[[#This Row],[DATA DE VENCIMENTO]]="","",TEXT(LANÇ_MOV[[#This Row],[DATA DE VENCIMENTO]],"M"))</f>
        <v>11</v>
      </c>
      <c r="AH544" s="526" t="str">
        <f>IF(LANÇ_MOV[[#This Row],[DATA DE VENCIMENTO]]="","",TEXT(LANÇ_MOV[[#This Row],[DATA DE VENCIMENTO]],"D"))</f>
        <v>10</v>
      </c>
      <c r="AI544" s="526" t="str">
        <f>IF(LANÇ_MOV[[#This Row],[DATA DE PAGAMENTO]]="","",TEXT(LANÇ_MOV[[#This Row],[DATA DE PAGAMENTO]],"AAAA"))</f>
        <v/>
      </c>
      <c r="AJ544" s="527" t="str">
        <f>IF(LANÇ_MOV[[#This Row],[DATA DE PAGAMENTO]]="","",UPPER(TEXT(LANÇ_MOV[[#This Row],[DATA DE PAGAMENTO]],"MMMM")))</f>
        <v/>
      </c>
      <c r="AK544" s="527" t="str">
        <f>IF(LANÇ_MOV[[#This Row],[DATA DE PAGAMENTO]]="","",TEXT(LANÇ_MOV[[#This Row],[DATA DE PAGAMENTO]],"M"))</f>
        <v/>
      </c>
      <c r="AL544" s="526" t="str">
        <f>IF(LANÇ_MOV[[#This Row],[DATA DE PAGAMENTO]]="","",TEXT(LANÇ_MOV[[#This Row],[DATA DE PAGAMENTO]],"D"))</f>
        <v/>
      </c>
    </row>
    <row r="545" spans="2:38" ht="30.05" customHeight="1" x14ac:dyDescent="0.35">
      <c r="B545" s="506">
        <v>45941</v>
      </c>
      <c r="C545" s="507" t="s">
        <v>1661</v>
      </c>
      <c r="D545" s="508" t="s">
        <v>1854</v>
      </c>
      <c r="E545" s="509" t="s">
        <v>1103</v>
      </c>
      <c r="F545" s="510" t="s">
        <v>1785</v>
      </c>
      <c r="G545" s="507" t="s">
        <v>1993</v>
      </c>
      <c r="H545" s="511">
        <v>0</v>
      </c>
      <c r="I545" s="512" t="s">
        <v>1709</v>
      </c>
      <c r="J545" s="518">
        <v>350.35</v>
      </c>
      <c r="K545" s="510">
        <v>0</v>
      </c>
      <c r="L545" s="510"/>
      <c r="M545" s="548">
        <v>0</v>
      </c>
      <c r="N545" s="514">
        <f>LANÇ_MOV[[#This Row],[VALOR BRUTO]]-LANÇ_MOV[[#This Row],[DESCONTO]]+LANÇ_MOV[[#This Row],[JUROS]]+LANÇ_MOV[[#This Row],[MULTA]]</f>
        <v>350.35</v>
      </c>
      <c r="O545" s="546">
        <v>46001</v>
      </c>
      <c r="P545" s="547" t="str">
        <f t="shared" ca="1" si="8"/>
        <v>Prazo - Menos de 15 dias</v>
      </c>
      <c r="Q545" s="528"/>
      <c r="R545" s="529" t="s">
        <v>1564</v>
      </c>
      <c r="S545" s="518"/>
      <c r="T545" s="518" t="s">
        <v>1776</v>
      </c>
      <c r="U545" s="519" t="s">
        <v>2008</v>
      </c>
      <c r="V545" s="520" t="str">
        <f>IFERROR(VLOOKUP(LANÇ_MOV[[#This Row],[PLANO DE CONTAS]],Plano_Contas[[PLANO DE CONTAS]:[R / D]],3,0),"")</f>
        <v>Receita</v>
      </c>
      <c r="W545" s="521" t="str">
        <f>IF(LANÇ_MOV[[#This Row],[DATA DE PAGAMENTO]]&lt;&gt;"","Pago","Não Pago")</f>
        <v>Não Pago</v>
      </c>
      <c r="X545" s="522" t="str">
        <f>IFERROR(IF(LANÇ_MOV[[#This Row],[DATA DE PAGAMENTO]]="","",(UPPER(TEXT(LANÇ_MOV[[#This Row],[DATA DE PAGAMENTO]],"mmmm")))),"")</f>
        <v/>
      </c>
      <c r="Y545" s="523" t="str">
        <f>IFERROR(VLOOKUP(LANÇ_MOV[[#This Row],[PLANO DE CONTAS]],Plano_Contas[[PLANO DE CONTAS]:[NOMES INTERVALOS]],2,0),"")</f>
        <v>Receitas_Operacionais</v>
      </c>
      <c r="Z545" s="523" t="str">
        <f>IF(LANÇ_MOV[[#This Row],[FORMA DE PAGAMENTO]]="","",VLOOKUP(LANÇ_MOV[[#This Row],[FORMA DE PAGAMENTO]],CAD_Forma_pagto[],2,0))</f>
        <v>PIX</v>
      </c>
      <c r="AA545" s="524" t="str">
        <f>IF(LANÇ_MOV[[#This Row],[DATA DE LANÇAMENTO]]="","",TEXT(LANÇ_MOV[[#This Row],[DATA DE LANÇAMENTO]],"AAAA"))</f>
        <v>2025</v>
      </c>
      <c r="AB545" s="524" t="str">
        <f>IF(LANÇ_MOV[[#This Row],[DATA DE LANÇAMENTO]]="","",UPPER(TEXT(LANÇ_MOV[[#This Row],[DATA DE LANÇAMENTO]],"MMMM")))</f>
        <v>OUTUBRO</v>
      </c>
      <c r="AC545" s="525" t="str">
        <f>IF(LANÇ_MOV[[#This Row],[DATA DE LANÇAMENTO]]="","",PROPER(TEXT(LANÇ_MOV[[#This Row],[DATA DE LANÇAMENTO]],"M")))</f>
        <v>10</v>
      </c>
      <c r="AD545" s="524" t="str">
        <f>IF(LANÇ_MOV[[#This Row],[DATA DE LANÇAMENTO]]="","",TEXT(LANÇ_MOV[[#This Row],[DATA DE LANÇAMENTO]],"D"))</f>
        <v>11</v>
      </c>
      <c r="AE545" s="526" t="str">
        <f>IF(LANÇ_MOV[[#This Row],[DATA DE VENCIMENTO]]="","",TEXT(LANÇ_MOV[[#This Row],[DATA DE VENCIMENTO]],"AAAA"))</f>
        <v>2025</v>
      </c>
      <c r="AF545" s="526" t="str">
        <f>IF(LANÇ_MOV[[#This Row],[DATA DE VENCIMENTO]]="","",UPPER(TEXT(LANÇ_MOV[[#This Row],[DATA DE VENCIMENTO]],"MMMM")))</f>
        <v>DEZEMBRO</v>
      </c>
      <c r="AG545" s="526" t="str">
        <f>IF(LANÇ_MOV[[#This Row],[DATA DE VENCIMENTO]]="","",TEXT(LANÇ_MOV[[#This Row],[DATA DE VENCIMENTO]],"M"))</f>
        <v>12</v>
      </c>
      <c r="AH545" s="526" t="str">
        <f>IF(LANÇ_MOV[[#This Row],[DATA DE VENCIMENTO]]="","",TEXT(LANÇ_MOV[[#This Row],[DATA DE VENCIMENTO]],"D"))</f>
        <v>10</v>
      </c>
      <c r="AI545" s="526" t="str">
        <f>IF(LANÇ_MOV[[#This Row],[DATA DE PAGAMENTO]]="","",TEXT(LANÇ_MOV[[#This Row],[DATA DE PAGAMENTO]],"AAAA"))</f>
        <v/>
      </c>
      <c r="AJ545" s="527" t="str">
        <f>IF(LANÇ_MOV[[#This Row],[DATA DE PAGAMENTO]]="","",UPPER(TEXT(LANÇ_MOV[[#This Row],[DATA DE PAGAMENTO]],"MMMM")))</f>
        <v/>
      </c>
      <c r="AK545" s="527" t="str">
        <f>IF(LANÇ_MOV[[#This Row],[DATA DE PAGAMENTO]]="","",TEXT(LANÇ_MOV[[#This Row],[DATA DE PAGAMENTO]],"M"))</f>
        <v/>
      </c>
      <c r="AL545" s="526" t="str">
        <f>IF(LANÇ_MOV[[#This Row],[DATA DE PAGAMENTO]]="","",TEXT(LANÇ_MOV[[#This Row],[DATA DE PAGAMENTO]],"D"))</f>
        <v/>
      </c>
    </row>
    <row r="546" spans="2:38" ht="30.05" customHeight="1" x14ac:dyDescent="0.35">
      <c r="B546" s="506">
        <v>45941</v>
      </c>
      <c r="C546" s="507" t="s">
        <v>1661</v>
      </c>
      <c r="D546" s="508" t="s">
        <v>1854</v>
      </c>
      <c r="E546" s="509" t="s">
        <v>1103</v>
      </c>
      <c r="F546" s="510" t="s">
        <v>1785</v>
      </c>
      <c r="G546" s="507" t="s">
        <v>1994</v>
      </c>
      <c r="H546" s="511">
        <v>0</v>
      </c>
      <c r="I546" s="512" t="s">
        <v>1709</v>
      </c>
      <c r="J546" s="518">
        <v>350.35</v>
      </c>
      <c r="K546" s="510">
        <v>0</v>
      </c>
      <c r="L546" s="510"/>
      <c r="M546" s="548">
        <v>0</v>
      </c>
      <c r="N546" s="514">
        <f>LANÇ_MOV[[#This Row],[VALOR BRUTO]]-LANÇ_MOV[[#This Row],[DESCONTO]]+LANÇ_MOV[[#This Row],[JUROS]]+LANÇ_MOV[[#This Row],[MULTA]]</f>
        <v>350.35</v>
      </c>
      <c r="O546" s="546">
        <v>46032</v>
      </c>
      <c r="P546" s="547" t="str">
        <f t="shared" ca="1" si="8"/>
        <v>Prazo - Mais de 1 mês</v>
      </c>
      <c r="Q546" s="528"/>
      <c r="R546" s="529" t="s">
        <v>1564</v>
      </c>
      <c r="S546" s="518"/>
      <c r="T546" s="518" t="s">
        <v>1776</v>
      </c>
      <c r="U546" s="519" t="s">
        <v>2008</v>
      </c>
      <c r="V546" s="520" t="str">
        <f>IFERROR(VLOOKUP(LANÇ_MOV[[#This Row],[PLANO DE CONTAS]],Plano_Contas[[PLANO DE CONTAS]:[R / D]],3,0),"")</f>
        <v>Receita</v>
      </c>
      <c r="W546" s="521" t="str">
        <f>IF(LANÇ_MOV[[#This Row],[DATA DE PAGAMENTO]]&lt;&gt;"","Pago","Não Pago")</f>
        <v>Não Pago</v>
      </c>
      <c r="X546" s="522" t="str">
        <f>IFERROR(IF(LANÇ_MOV[[#This Row],[DATA DE PAGAMENTO]]="","",(UPPER(TEXT(LANÇ_MOV[[#This Row],[DATA DE PAGAMENTO]],"mmmm")))),"")</f>
        <v/>
      </c>
      <c r="Y546" s="523" t="str">
        <f>IFERROR(VLOOKUP(LANÇ_MOV[[#This Row],[PLANO DE CONTAS]],Plano_Contas[[PLANO DE CONTAS]:[NOMES INTERVALOS]],2,0),"")</f>
        <v>Receitas_Operacionais</v>
      </c>
      <c r="Z546" s="523" t="str">
        <f>IF(LANÇ_MOV[[#This Row],[FORMA DE PAGAMENTO]]="","",VLOOKUP(LANÇ_MOV[[#This Row],[FORMA DE PAGAMENTO]],CAD_Forma_pagto[],2,0))</f>
        <v>PIX</v>
      </c>
      <c r="AA546" s="524" t="str">
        <f>IF(LANÇ_MOV[[#This Row],[DATA DE LANÇAMENTO]]="","",TEXT(LANÇ_MOV[[#This Row],[DATA DE LANÇAMENTO]],"AAAA"))</f>
        <v>2025</v>
      </c>
      <c r="AB546" s="524" t="str">
        <f>IF(LANÇ_MOV[[#This Row],[DATA DE LANÇAMENTO]]="","",UPPER(TEXT(LANÇ_MOV[[#This Row],[DATA DE LANÇAMENTO]],"MMMM")))</f>
        <v>OUTUBRO</v>
      </c>
      <c r="AC546" s="525" t="str">
        <f>IF(LANÇ_MOV[[#This Row],[DATA DE LANÇAMENTO]]="","",PROPER(TEXT(LANÇ_MOV[[#This Row],[DATA DE LANÇAMENTO]],"M")))</f>
        <v>10</v>
      </c>
      <c r="AD546" s="524" t="str">
        <f>IF(LANÇ_MOV[[#This Row],[DATA DE LANÇAMENTO]]="","",TEXT(LANÇ_MOV[[#This Row],[DATA DE LANÇAMENTO]],"D"))</f>
        <v>11</v>
      </c>
      <c r="AE546" s="526" t="str">
        <f>IF(LANÇ_MOV[[#This Row],[DATA DE VENCIMENTO]]="","",TEXT(LANÇ_MOV[[#This Row],[DATA DE VENCIMENTO]],"AAAA"))</f>
        <v>2026</v>
      </c>
      <c r="AF546" s="526" t="str">
        <f>IF(LANÇ_MOV[[#This Row],[DATA DE VENCIMENTO]]="","",UPPER(TEXT(LANÇ_MOV[[#This Row],[DATA DE VENCIMENTO]],"MMMM")))</f>
        <v>JANEIRO</v>
      </c>
      <c r="AG546" s="526" t="str">
        <f>IF(LANÇ_MOV[[#This Row],[DATA DE VENCIMENTO]]="","",TEXT(LANÇ_MOV[[#This Row],[DATA DE VENCIMENTO]],"M"))</f>
        <v>1</v>
      </c>
      <c r="AH546" s="526" t="str">
        <f>IF(LANÇ_MOV[[#This Row],[DATA DE VENCIMENTO]]="","",TEXT(LANÇ_MOV[[#This Row],[DATA DE VENCIMENTO]],"D"))</f>
        <v>10</v>
      </c>
      <c r="AI546" s="526" t="str">
        <f>IF(LANÇ_MOV[[#This Row],[DATA DE PAGAMENTO]]="","",TEXT(LANÇ_MOV[[#This Row],[DATA DE PAGAMENTO]],"AAAA"))</f>
        <v/>
      </c>
      <c r="AJ546" s="527" t="str">
        <f>IF(LANÇ_MOV[[#This Row],[DATA DE PAGAMENTO]]="","",UPPER(TEXT(LANÇ_MOV[[#This Row],[DATA DE PAGAMENTO]],"MMMM")))</f>
        <v/>
      </c>
      <c r="AK546" s="527" t="str">
        <f>IF(LANÇ_MOV[[#This Row],[DATA DE PAGAMENTO]]="","",TEXT(LANÇ_MOV[[#This Row],[DATA DE PAGAMENTO]],"M"))</f>
        <v/>
      </c>
      <c r="AL546" s="526" t="str">
        <f>IF(LANÇ_MOV[[#This Row],[DATA DE PAGAMENTO]]="","",TEXT(LANÇ_MOV[[#This Row],[DATA DE PAGAMENTO]],"D"))</f>
        <v/>
      </c>
    </row>
    <row r="547" spans="2:38" ht="30.05" customHeight="1" x14ac:dyDescent="0.35">
      <c r="B547" s="506">
        <v>45941</v>
      </c>
      <c r="C547" s="507" t="s">
        <v>1661</v>
      </c>
      <c r="D547" s="508" t="s">
        <v>1854</v>
      </c>
      <c r="E547" s="509" t="s">
        <v>1103</v>
      </c>
      <c r="F547" s="510" t="s">
        <v>1785</v>
      </c>
      <c r="G547" s="507" t="s">
        <v>1995</v>
      </c>
      <c r="H547" s="511">
        <v>0</v>
      </c>
      <c r="I547" s="512" t="s">
        <v>1709</v>
      </c>
      <c r="J547" s="518">
        <v>350.35</v>
      </c>
      <c r="K547" s="510">
        <v>0</v>
      </c>
      <c r="L547" s="510"/>
      <c r="M547" s="548">
        <v>0</v>
      </c>
      <c r="N547" s="514">
        <f>LANÇ_MOV[[#This Row],[VALOR BRUTO]]-LANÇ_MOV[[#This Row],[DESCONTO]]+LANÇ_MOV[[#This Row],[JUROS]]+LANÇ_MOV[[#This Row],[MULTA]]</f>
        <v>350.35</v>
      </c>
      <c r="O547" s="546">
        <v>46063</v>
      </c>
      <c r="P547" s="547" t="str">
        <f t="shared" ca="1" si="8"/>
        <v>Prazo - Mais de 1 mês</v>
      </c>
      <c r="Q547" s="528"/>
      <c r="R547" s="529" t="s">
        <v>1564</v>
      </c>
      <c r="S547" s="518"/>
      <c r="T547" s="518" t="s">
        <v>1776</v>
      </c>
      <c r="U547" s="519" t="s">
        <v>2008</v>
      </c>
      <c r="V547" s="520" t="str">
        <f>IFERROR(VLOOKUP(LANÇ_MOV[[#This Row],[PLANO DE CONTAS]],Plano_Contas[[PLANO DE CONTAS]:[R / D]],3,0),"")</f>
        <v>Receita</v>
      </c>
      <c r="W547" s="521" t="str">
        <f>IF(LANÇ_MOV[[#This Row],[DATA DE PAGAMENTO]]&lt;&gt;"","Pago","Não Pago")</f>
        <v>Não Pago</v>
      </c>
      <c r="X547" s="522" t="str">
        <f>IFERROR(IF(LANÇ_MOV[[#This Row],[DATA DE PAGAMENTO]]="","",(UPPER(TEXT(LANÇ_MOV[[#This Row],[DATA DE PAGAMENTO]],"mmmm")))),"")</f>
        <v/>
      </c>
      <c r="Y547" s="523" t="str">
        <f>IFERROR(VLOOKUP(LANÇ_MOV[[#This Row],[PLANO DE CONTAS]],Plano_Contas[[PLANO DE CONTAS]:[NOMES INTERVALOS]],2,0),"")</f>
        <v>Receitas_Operacionais</v>
      </c>
      <c r="Z547" s="523" t="str">
        <f>IF(LANÇ_MOV[[#This Row],[FORMA DE PAGAMENTO]]="","",VLOOKUP(LANÇ_MOV[[#This Row],[FORMA DE PAGAMENTO]],CAD_Forma_pagto[],2,0))</f>
        <v>PIX</v>
      </c>
      <c r="AA547" s="524" t="str">
        <f>IF(LANÇ_MOV[[#This Row],[DATA DE LANÇAMENTO]]="","",TEXT(LANÇ_MOV[[#This Row],[DATA DE LANÇAMENTO]],"AAAA"))</f>
        <v>2025</v>
      </c>
      <c r="AB547" s="524" t="str">
        <f>IF(LANÇ_MOV[[#This Row],[DATA DE LANÇAMENTO]]="","",UPPER(TEXT(LANÇ_MOV[[#This Row],[DATA DE LANÇAMENTO]],"MMMM")))</f>
        <v>OUTUBRO</v>
      </c>
      <c r="AC547" s="525" t="str">
        <f>IF(LANÇ_MOV[[#This Row],[DATA DE LANÇAMENTO]]="","",PROPER(TEXT(LANÇ_MOV[[#This Row],[DATA DE LANÇAMENTO]],"M")))</f>
        <v>10</v>
      </c>
      <c r="AD547" s="524" t="str">
        <f>IF(LANÇ_MOV[[#This Row],[DATA DE LANÇAMENTO]]="","",TEXT(LANÇ_MOV[[#This Row],[DATA DE LANÇAMENTO]],"D"))</f>
        <v>11</v>
      </c>
      <c r="AE547" s="526" t="str">
        <f>IF(LANÇ_MOV[[#This Row],[DATA DE VENCIMENTO]]="","",TEXT(LANÇ_MOV[[#This Row],[DATA DE VENCIMENTO]],"AAAA"))</f>
        <v>2026</v>
      </c>
      <c r="AF547" s="526" t="str">
        <f>IF(LANÇ_MOV[[#This Row],[DATA DE VENCIMENTO]]="","",UPPER(TEXT(LANÇ_MOV[[#This Row],[DATA DE VENCIMENTO]],"MMMM")))</f>
        <v>FEVEREIRO</v>
      </c>
      <c r="AG547" s="526" t="str">
        <f>IF(LANÇ_MOV[[#This Row],[DATA DE VENCIMENTO]]="","",TEXT(LANÇ_MOV[[#This Row],[DATA DE VENCIMENTO]],"M"))</f>
        <v>2</v>
      </c>
      <c r="AH547" s="526" t="str">
        <f>IF(LANÇ_MOV[[#This Row],[DATA DE VENCIMENTO]]="","",TEXT(LANÇ_MOV[[#This Row],[DATA DE VENCIMENTO]],"D"))</f>
        <v>10</v>
      </c>
      <c r="AI547" s="526" t="str">
        <f>IF(LANÇ_MOV[[#This Row],[DATA DE PAGAMENTO]]="","",TEXT(LANÇ_MOV[[#This Row],[DATA DE PAGAMENTO]],"AAAA"))</f>
        <v/>
      </c>
      <c r="AJ547" s="527" t="str">
        <f>IF(LANÇ_MOV[[#This Row],[DATA DE PAGAMENTO]]="","",UPPER(TEXT(LANÇ_MOV[[#This Row],[DATA DE PAGAMENTO]],"MMMM")))</f>
        <v/>
      </c>
      <c r="AK547" s="527" t="str">
        <f>IF(LANÇ_MOV[[#This Row],[DATA DE PAGAMENTO]]="","",TEXT(LANÇ_MOV[[#This Row],[DATA DE PAGAMENTO]],"M"))</f>
        <v/>
      </c>
      <c r="AL547" s="526" t="str">
        <f>IF(LANÇ_MOV[[#This Row],[DATA DE PAGAMENTO]]="","",TEXT(LANÇ_MOV[[#This Row],[DATA DE PAGAMENTO]],"D"))</f>
        <v/>
      </c>
    </row>
    <row r="548" spans="2:38" ht="30.05" customHeight="1" x14ac:dyDescent="0.35">
      <c r="B548" s="506">
        <v>45941</v>
      </c>
      <c r="C548" s="507" t="s">
        <v>1661</v>
      </c>
      <c r="D548" s="508" t="s">
        <v>1854</v>
      </c>
      <c r="E548" s="509" t="s">
        <v>1103</v>
      </c>
      <c r="F548" s="510" t="s">
        <v>1785</v>
      </c>
      <c r="G548" s="507" t="s">
        <v>1996</v>
      </c>
      <c r="H548" s="511">
        <v>0</v>
      </c>
      <c r="I548" s="512" t="s">
        <v>1709</v>
      </c>
      <c r="J548" s="518">
        <v>350.35</v>
      </c>
      <c r="K548" s="510">
        <v>0</v>
      </c>
      <c r="L548" s="510"/>
      <c r="M548" s="548">
        <v>0</v>
      </c>
      <c r="N548" s="514">
        <f>LANÇ_MOV[[#This Row],[VALOR BRUTO]]-LANÇ_MOV[[#This Row],[DESCONTO]]+LANÇ_MOV[[#This Row],[JUROS]]+LANÇ_MOV[[#This Row],[MULTA]]</f>
        <v>350.35</v>
      </c>
      <c r="O548" s="546">
        <v>46091</v>
      </c>
      <c r="P548" s="547" t="str">
        <f t="shared" ca="1" si="8"/>
        <v>Prazo - Mais de 1 mês</v>
      </c>
      <c r="Q548" s="528"/>
      <c r="R548" s="529" t="s">
        <v>1564</v>
      </c>
      <c r="S548" s="518"/>
      <c r="T548" s="518" t="s">
        <v>1776</v>
      </c>
      <c r="U548" s="519" t="s">
        <v>2008</v>
      </c>
      <c r="V548" s="520" t="str">
        <f>IFERROR(VLOOKUP(LANÇ_MOV[[#This Row],[PLANO DE CONTAS]],Plano_Contas[[PLANO DE CONTAS]:[R / D]],3,0),"")</f>
        <v>Receita</v>
      </c>
      <c r="W548" s="521" t="str">
        <f>IF(LANÇ_MOV[[#This Row],[DATA DE PAGAMENTO]]&lt;&gt;"","Pago","Não Pago")</f>
        <v>Não Pago</v>
      </c>
      <c r="X548" s="522" t="str">
        <f>IFERROR(IF(LANÇ_MOV[[#This Row],[DATA DE PAGAMENTO]]="","",(UPPER(TEXT(LANÇ_MOV[[#This Row],[DATA DE PAGAMENTO]],"mmmm")))),"")</f>
        <v/>
      </c>
      <c r="Y548" s="523" t="str">
        <f>IFERROR(VLOOKUP(LANÇ_MOV[[#This Row],[PLANO DE CONTAS]],Plano_Contas[[PLANO DE CONTAS]:[NOMES INTERVALOS]],2,0),"")</f>
        <v>Receitas_Operacionais</v>
      </c>
      <c r="Z548" s="523" t="str">
        <f>IF(LANÇ_MOV[[#This Row],[FORMA DE PAGAMENTO]]="","",VLOOKUP(LANÇ_MOV[[#This Row],[FORMA DE PAGAMENTO]],CAD_Forma_pagto[],2,0))</f>
        <v>PIX</v>
      </c>
      <c r="AA548" s="524" t="str">
        <f>IF(LANÇ_MOV[[#This Row],[DATA DE LANÇAMENTO]]="","",TEXT(LANÇ_MOV[[#This Row],[DATA DE LANÇAMENTO]],"AAAA"))</f>
        <v>2025</v>
      </c>
      <c r="AB548" s="524" t="str">
        <f>IF(LANÇ_MOV[[#This Row],[DATA DE LANÇAMENTO]]="","",UPPER(TEXT(LANÇ_MOV[[#This Row],[DATA DE LANÇAMENTO]],"MMMM")))</f>
        <v>OUTUBRO</v>
      </c>
      <c r="AC548" s="525" t="str">
        <f>IF(LANÇ_MOV[[#This Row],[DATA DE LANÇAMENTO]]="","",PROPER(TEXT(LANÇ_MOV[[#This Row],[DATA DE LANÇAMENTO]],"M")))</f>
        <v>10</v>
      </c>
      <c r="AD548" s="524" t="str">
        <f>IF(LANÇ_MOV[[#This Row],[DATA DE LANÇAMENTO]]="","",TEXT(LANÇ_MOV[[#This Row],[DATA DE LANÇAMENTO]],"D"))</f>
        <v>11</v>
      </c>
      <c r="AE548" s="526" t="str">
        <f>IF(LANÇ_MOV[[#This Row],[DATA DE VENCIMENTO]]="","",TEXT(LANÇ_MOV[[#This Row],[DATA DE VENCIMENTO]],"AAAA"))</f>
        <v>2026</v>
      </c>
      <c r="AF548" s="526" t="str">
        <f>IF(LANÇ_MOV[[#This Row],[DATA DE VENCIMENTO]]="","",UPPER(TEXT(LANÇ_MOV[[#This Row],[DATA DE VENCIMENTO]],"MMMM")))</f>
        <v>MARÇO</v>
      </c>
      <c r="AG548" s="526" t="str">
        <f>IF(LANÇ_MOV[[#This Row],[DATA DE VENCIMENTO]]="","",TEXT(LANÇ_MOV[[#This Row],[DATA DE VENCIMENTO]],"M"))</f>
        <v>3</v>
      </c>
      <c r="AH548" s="526" t="str">
        <f>IF(LANÇ_MOV[[#This Row],[DATA DE VENCIMENTO]]="","",TEXT(LANÇ_MOV[[#This Row],[DATA DE VENCIMENTO]],"D"))</f>
        <v>10</v>
      </c>
      <c r="AI548" s="526" t="str">
        <f>IF(LANÇ_MOV[[#This Row],[DATA DE PAGAMENTO]]="","",TEXT(LANÇ_MOV[[#This Row],[DATA DE PAGAMENTO]],"AAAA"))</f>
        <v/>
      </c>
      <c r="AJ548" s="527" t="str">
        <f>IF(LANÇ_MOV[[#This Row],[DATA DE PAGAMENTO]]="","",UPPER(TEXT(LANÇ_MOV[[#This Row],[DATA DE PAGAMENTO]],"MMMM")))</f>
        <v/>
      </c>
      <c r="AK548" s="527" t="str">
        <f>IF(LANÇ_MOV[[#This Row],[DATA DE PAGAMENTO]]="","",TEXT(LANÇ_MOV[[#This Row],[DATA DE PAGAMENTO]],"M"))</f>
        <v/>
      </c>
      <c r="AL548" s="526" t="str">
        <f>IF(LANÇ_MOV[[#This Row],[DATA DE PAGAMENTO]]="","",TEXT(LANÇ_MOV[[#This Row],[DATA DE PAGAMENTO]],"D"))</f>
        <v/>
      </c>
    </row>
    <row r="549" spans="2:38" ht="30.05" customHeight="1" x14ac:dyDescent="0.35">
      <c r="B549" s="506">
        <v>45942</v>
      </c>
      <c r="C549" s="507" t="s">
        <v>1661</v>
      </c>
      <c r="D549" s="508" t="s">
        <v>1854</v>
      </c>
      <c r="E549" s="509" t="s">
        <v>1103</v>
      </c>
      <c r="F549" s="510" t="s">
        <v>1785</v>
      </c>
      <c r="G549" s="507" t="s">
        <v>1855</v>
      </c>
      <c r="H549" s="511">
        <v>0</v>
      </c>
      <c r="I549" s="512" t="s">
        <v>1705</v>
      </c>
      <c r="J549" s="518">
        <v>357.36</v>
      </c>
      <c r="K549" s="510">
        <v>0</v>
      </c>
      <c r="L549" s="510">
        <v>0</v>
      </c>
      <c r="M549" s="548">
        <v>0</v>
      </c>
      <c r="N549" s="514">
        <f>LANÇ_MOV[[#This Row],[VALOR BRUTO]]-LANÇ_MOV[[#This Row],[DESCONTO]]+LANÇ_MOV[[#This Row],[JUROS]]+LANÇ_MOV[[#This Row],[MULTA]]</f>
        <v>357.36</v>
      </c>
      <c r="O549" s="546">
        <v>45940</v>
      </c>
      <c r="P549" s="547" t="str">
        <f t="shared" ca="1" si="8"/>
        <v>Pago</v>
      </c>
      <c r="Q549" s="528">
        <v>45942</v>
      </c>
      <c r="R549" s="529" t="s">
        <v>1564</v>
      </c>
      <c r="S549" s="518"/>
      <c r="T549" s="518" t="s">
        <v>1776</v>
      </c>
      <c r="U549" s="519" t="s">
        <v>2008</v>
      </c>
      <c r="V549" s="520" t="str">
        <f>IFERROR(VLOOKUP(LANÇ_MOV[[#This Row],[PLANO DE CONTAS]],Plano_Contas[[PLANO DE CONTAS]:[R / D]],3,0),"")</f>
        <v>Receita</v>
      </c>
      <c r="W549" s="521" t="str">
        <f>IF(LANÇ_MOV[[#This Row],[DATA DE PAGAMENTO]]&lt;&gt;"","Pago","Não Pago")</f>
        <v>Pago</v>
      </c>
      <c r="X549" s="522" t="str">
        <f>IFERROR(IF(LANÇ_MOV[[#This Row],[DATA DE PAGAMENTO]]="","",(UPPER(TEXT(LANÇ_MOV[[#This Row],[DATA DE PAGAMENTO]],"mmmm")))),"")</f>
        <v>OUTUBRO</v>
      </c>
      <c r="Y549" s="523" t="str">
        <f>IFERROR(VLOOKUP(LANÇ_MOV[[#This Row],[PLANO DE CONTAS]],Plano_Contas[[PLANO DE CONTAS]:[NOMES INTERVALOS]],2,0),"")</f>
        <v>Receitas_Operacionais</v>
      </c>
      <c r="Z549" s="523" t="str">
        <f>IF(LANÇ_MOV[[#This Row],[FORMA DE PAGAMENTO]]="","",VLOOKUP(LANÇ_MOV[[#This Row],[FORMA DE PAGAMENTO]],CAD_Forma_pagto[],2,0))</f>
        <v>PIX</v>
      </c>
      <c r="AA549" s="524" t="str">
        <f>IF(LANÇ_MOV[[#This Row],[DATA DE LANÇAMENTO]]="","",TEXT(LANÇ_MOV[[#This Row],[DATA DE LANÇAMENTO]],"AAAA"))</f>
        <v>2025</v>
      </c>
      <c r="AB549" s="524" t="str">
        <f>IF(LANÇ_MOV[[#This Row],[DATA DE LANÇAMENTO]]="","",UPPER(TEXT(LANÇ_MOV[[#This Row],[DATA DE LANÇAMENTO]],"MMMM")))</f>
        <v>OUTUBRO</v>
      </c>
      <c r="AC549" s="525" t="str">
        <f>IF(LANÇ_MOV[[#This Row],[DATA DE LANÇAMENTO]]="","",PROPER(TEXT(LANÇ_MOV[[#This Row],[DATA DE LANÇAMENTO]],"M")))</f>
        <v>10</v>
      </c>
      <c r="AD549" s="524" t="str">
        <f>IF(LANÇ_MOV[[#This Row],[DATA DE LANÇAMENTO]]="","",TEXT(LANÇ_MOV[[#This Row],[DATA DE LANÇAMENTO]],"D"))</f>
        <v>12</v>
      </c>
      <c r="AE549" s="526" t="str">
        <f>IF(LANÇ_MOV[[#This Row],[DATA DE VENCIMENTO]]="","",TEXT(LANÇ_MOV[[#This Row],[DATA DE VENCIMENTO]],"AAAA"))</f>
        <v>2025</v>
      </c>
      <c r="AF549" s="526" t="str">
        <f>IF(LANÇ_MOV[[#This Row],[DATA DE VENCIMENTO]]="","",UPPER(TEXT(LANÇ_MOV[[#This Row],[DATA DE VENCIMENTO]],"MMMM")))</f>
        <v>OUTUBRO</v>
      </c>
      <c r="AG549" s="526" t="str">
        <f>IF(LANÇ_MOV[[#This Row],[DATA DE VENCIMENTO]]="","",TEXT(LANÇ_MOV[[#This Row],[DATA DE VENCIMENTO]],"M"))</f>
        <v>10</v>
      </c>
      <c r="AH549" s="526" t="str">
        <f>IF(LANÇ_MOV[[#This Row],[DATA DE VENCIMENTO]]="","",TEXT(LANÇ_MOV[[#This Row],[DATA DE VENCIMENTO]],"D"))</f>
        <v>10</v>
      </c>
      <c r="AI549" s="526" t="str">
        <f>IF(LANÇ_MOV[[#This Row],[DATA DE PAGAMENTO]]="","",TEXT(LANÇ_MOV[[#This Row],[DATA DE PAGAMENTO]],"AAAA"))</f>
        <v>2025</v>
      </c>
      <c r="AJ549" s="527" t="str">
        <f>IF(LANÇ_MOV[[#This Row],[DATA DE PAGAMENTO]]="","",UPPER(TEXT(LANÇ_MOV[[#This Row],[DATA DE PAGAMENTO]],"MMMM")))</f>
        <v>OUTUBRO</v>
      </c>
      <c r="AK549" s="527" t="str">
        <f>IF(LANÇ_MOV[[#This Row],[DATA DE PAGAMENTO]]="","",TEXT(LANÇ_MOV[[#This Row],[DATA DE PAGAMENTO]],"M"))</f>
        <v>10</v>
      </c>
      <c r="AL549" s="526" t="str">
        <f>IF(LANÇ_MOV[[#This Row],[DATA DE PAGAMENTO]]="","",TEXT(LANÇ_MOV[[#This Row],[DATA DE PAGAMENTO]],"D"))</f>
        <v>12</v>
      </c>
    </row>
    <row r="550" spans="2:38" ht="30.05" customHeight="1" x14ac:dyDescent="0.35">
      <c r="B550" s="506">
        <v>45942</v>
      </c>
      <c r="C550" s="507" t="s">
        <v>1661</v>
      </c>
      <c r="D550" s="508" t="s">
        <v>1854</v>
      </c>
      <c r="E550" s="509" t="s">
        <v>1103</v>
      </c>
      <c r="F550" s="510" t="s">
        <v>1785</v>
      </c>
      <c r="G550" s="507" t="s">
        <v>1856</v>
      </c>
      <c r="H550" s="511">
        <v>0</v>
      </c>
      <c r="I550" s="512" t="s">
        <v>1705</v>
      </c>
      <c r="J550" s="518">
        <v>357.36</v>
      </c>
      <c r="K550" s="510">
        <v>0</v>
      </c>
      <c r="L550" s="510">
        <v>0</v>
      </c>
      <c r="M550" s="548">
        <v>0</v>
      </c>
      <c r="N550" s="514">
        <f>LANÇ_MOV[[#This Row],[VALOR BRUTO]]-LANÇ_MOV[[#This Row],[DESCONTO]]+LANÇ_MOV[[#This Row],[JUROS]]+LANÇ_MOV[[#This Row],[MULTA]]</f>
        <v>357.36</v>
      </c>
      <c r="O550" s="546">
        <v>45971</v>
      </c>
      <c r="P550" s="547" t="str">
        <f t="shared" ca="1" si="8"/>
        <v>Venceu</v>
      </c>
      <c r="Q550" s="528"/>
      <c r="R550" s="529" t="s">
        <v>1564</v>
      </c>
      <c r="S550" s="518"/>
      <c r="T550" s="518" t="s">
        <v>1776</v>
      </c>
      <c r="U550" s="519" t="s">
        <v>2008</v>
      </c>
      <c r="V550" s="520" t="str">
        <f>IFERROR(VLOOKUP(LANÇ_MOV[[#This Row],[PLANO DE CONTAS]],Plano_Contas[[PLANO DE CONTAS]:[R / D]],3,0),"")</f>
        <v>Receita</v>
      </c>
      <c r="W550" s="521" t="str">
        <f>IF(LANÇ_MOV[[#This Row],[DATA DE PAGAMENTO]]&lt;&gt;"","Pago","Não Pago")</f>
        <v>Não Pago</v>
      </c>
      <c r="X550" s="522" t="str">
        <f>IFERROR(IF(LANÇ_MOV[[#This Row],[DATA DE PAGAMENTO]]="","",(UPPER(TEXT(LANÇ_MOV[[#This Row],[DATA DE PAGAMENTO]],"mmmm")))),"")</f>
        <v/>
      </c>
      <c r="Y550" s="523" t="str">
        <f>IFERROR(VLOOKUP(LANÇ_MOV[[#This Row],[PLANO DE CONTAS]],Plano_Contas[[PLANO DE CONTAS]:[NOMES INTERVALOS]],2,0),"")</f>
        <v>Receitas_Operacionais</v>
      </c>
      <c r="Z550" s="523" t="str">
        <f>IF(LANÇ_MOV[[#This Row],[FORMA DE PAGAMENTO]]="","",VLOOKUP(LANÇ_MOV[[#This Row],[FORMA DE PAGAMENTO]],CAD_Forma_pagto[],2,0))</f>
        <v>PIX</v>
      </c>
      <c r="AA550" s="524" t="str">
        <f>IF(LANÇ_MOV[[#This Row],[DATA DE LANÇAMENTO]]="","",TEXT(LANÇ_MOV[[#This Row],[DATA DE LANÇAMENTO]],"AAAA"))</f>
        <v>2025</v>
      </c>
      <c r="AB550" s="524" t="str">
        <f>IF(LANÇ_MOV[[#This Row],[DATA DE LANÇAMENTO]]="","",UPPER(TEXT(LANÇ_MOV[[#This Row],[DATA DE LANÇAMENTO]],"MMMM")))</f>
        <v>OUTUBRO</v>
      </c>
      <c r="AC550" s="525" t="str">
        <f>IF(LANÇ_MOV[[#This Row],[DATA DE LANÇAMENTO]]="","",PROPER(TEXT(LANÇ_MOV[[#This Row],[DATA DE LANÇAMENTO]],"M")))</f>
        <v>10</v>
      </c>
      <c r="AD550" s="524" t="str">
        <f>IF(LANÇ_MOV[[#This Row],[DATA DE LANÇAMENTO]]="","",TEXT(LANÇ_MOV[[#This Row],[DATA DE LANÇAMENTO]],"D"))</f>
        <v>12</v>
      </c>
      <c r="AE550" s="526" t="str">
        <f>IF(LANÇ_MOV[[#This Row],[DATA DE VENCIMENTO]]="","",TEXT(LANÇ_MOV[[#This Row],[DATA DE VENCIMENTO]],"AAAA"))</f>
        <v>2025</v>
      </c>
      <c r="AF550" s="526" t="str">
        <f>IF(LANÇ_MOV[[#This Row],[DATA DE VENCIMENTO]]="","",UPPER(TEXT(LANÇ_MOV[[#This Row],[DATA DE VENCIMENTO]],"MMMM")))</f>
        <v>NOVEMBRO</v>
      </c>
      <c r="AG550" s="526" t="str">
        <f>IF(LANÇ_MOV[[#This Row],[DATA DE VENCIMENTO]]="","",TEXT(LANÇ_MOV[[#This Row],[DATA DE VENCIMENTO]],"M"))</f>
        <v>11</v>
      </c>
      <c r="AH550" s="526" t="str">
        <f>IF(LANÇ_MOV[[#This Row],[DATA DE VENCIMENTO]]="","",TEXT(LANÇ_MOV[[#This Row],[DATA DE VENCIMENTO]],"D"))</f>
        <v>10</v>
      </c>
      <c r="AI550" s="526" t="str">
        <f>IF(LANÇ_MOV[[#This Row],[DATA DE PAGAMENTO]]="","",TEXT(LANÇ_MOV[[#This Row],[DATA DE PAGAMENTO]],"AAAA"))</f>
        <v/>
      </c>
      <c r="AJ550" s="527" t="str">
        <f>IF(LANÇ_MOV[[#This Row],[DATA DE PAGAMENTO]]="","",UPPER(TEXT(LANÇ_MOV[[#This Row],[DATA DE PAGAMENTO]],"MMMM")))</f>
        <v/>
      </c>
      <c r="AK550" s="527" t="str">
        <f>IF(LANÇ_MOV[[#This Row],[DATA DE PAGAMENTO]]="","",TEXT(LANÇ_MOV[[#This Row],[DATA DE PAGAMENTO]],"M"))</f>
        <v/>
      </c>
      <c r="AL550" s="526" t="str">
        <f>IF(LANÇ_MOV[[#This Row],[DATA DE PAGAMENTO]]="","",TEXT(LANÇ_MOV[[#This Row],[DATA DE PAGAMENTO]],"D"))</f>
        <v/>
      </c>
    </row>
    <row r="551" spans="2:38" ht="30.05" customHeight="1" x14ac:dyDescent="0.35">
      <c r="B551" s="506">
        <v>45942</v>
      </c>
      <c r="C551" s="507" t="s">
        <v>1661</v>
      </c>
      <c r="D551" s="508" t="s">
        <v>1854</v>
      </c>
      <c r="E551" s="509" t="s">
        <v>1103</v>
      </c>
      <c r="F551" s="510" t="s">
        <v>1785</v>
      </c>
      <c r="G551" s="507" t="s">
        <v>1857</v>
      </c>
      <c r="H551" s="511">
        <v>0</v>
      </c>
      <c r="I551" s="512" t="s">
        <v>1705</v>
      </c>
      <c r="J551" s="518">
        <v>357.36</v>
      </c>
      <c r="K551" s="510">
        <v>0</v>
      </c>
      <c r="L551" s="510"/>
      <c r="M551" s="548">
        <v>0</v>
      </c>
      <c r="N551" s="514">
        <f>LANÇ_MOV[[#This Row],[VALOR BRUTO]]-LANÇ_MOV[[#This Row],[DESCONTO]]+LANÇ_MOV[[#This Row],[JUROS]]+LANÇ_MOV[[#This Row],[MULTA]]</f>
        <v>357.36</v>
      </c>
      <c r="O551" s="546">
        <v>46001</v>
      </c>
      <c r="P551" s="547" t="str">
        <f t="shared" ca="1" si="8"/>
        <v>Prazo - Menos de 15 dias</v>
      </c>
      <c r="Q551" s="528"/>
      <c r="R551" s="529" t="s">
        <v>1564</v>
      </c>
      <c r="S551" s="518"/>
      <c r="T551" s="518" t="s">
        <v>1776</v>
      </c>
      <c r="U551" s="519" t="s">
        <v>2008</v>
      </c>
      <c r="V551" s="520" t="str">
        <f>IFERROR(VLOOKUP(LANÇ_MOV[[#This Row],[PLANO DE CONTAS]],Plano_Contas[[PLANO DE CONTAS]:[R / D]],3,0),"")</f>
        <v>Receita</v>
      </c>
      <c r="W551" s="521" t="str">
        <f>IF(LANÇ_MOV[[#This Row],[DATA DE PAGAMENTO]]&lt;&gt;"","Pago","Não Pago")</f>
        <v>Não Pago</v>
      </c>
      <c r="X551" s="522" t="str">
        <f>IFERROR(IF(LANÇ_MOV[[#This Row],[DATA DE PAGAMENTO]]="","",(UPPER(TEXT(LANÇ_MOV[[#This Row],[DATA DE PAGAMENTO]],"mmmm")))),"")</f>
        <v/>
      </c>
      <c r="Y551" s="523" t="str">
        <f>IFERROR(VLOOKUP(LANÇ_MOV[[#This Row],[PLANO DE CONTAS]],Plano_Contas[[PLANO DE CONTAS]:[NOMES INTERVALOS]],2,0),"")</f>
        <v>Receitas_Operacionais</v>
      </c>
      <c r="Z551" s="523" t="str">
        <f>IF(LANÇ_MOV[[#This Row],[FORMA DE PAGAMENTO]]="","",VLOOKUP(LANÇ_MOV[[#This Row],[FORMA DE PAGAMENTO]],CAD_Forma_pagto[],2,0))</f>
        <v>PIX</v>
      </c>
      <c r="AA551" s="524" t="str">
        <f>IF(LANÇ_MOV[[#This Row],[DATA DE LANÇAMENTO]]="","",TEXT(LANÇ_MOV[[#This Row],[DATA DE LANÇAMENTO]],"AAAA"))</f>
        <v>2025</v>
      </c>
      <c r="AB551" s="524" t="str">
        <f>IF(LANÇ_MOV[[#This Row],[DATA DE LANÇAMENTO]]="","",UPPER(TEXT(LANÇ_MOV[[#This Row],[DATA DE LANÇAMENTO]],"MMMM")))</f>
        <v>OUTUBRO</v>
      </c>
      <c r="AC551" s="525" t="str">
        <f>IF(LANÇ_MOV[[#This Row],[DATA DE LANÇAMENTO]]="","",PROPER(TEXT(LANÇ_MOV[[#This Row],[DATA DE LANÇAMENTO]],"M")))</f>
        <v>10</v>
      </c>
      <c r="AD551" s="524" t="str">
        <f>IF(LANÇ_MOV[[#This Row],[DATA DE LANÇAMENTO]]="","",TEXT(LANÇ_MOV[[#This Row],[DATA DE LANÇAMENTO]],"D"))</f>
        <v>12</v>
      </c>
      <c r="AE551" s="526" t="str">
        <f>IF(LANÇ_MOV[[#This Row],[DATA DE VENCIMENTO]]="","",TEXT(LANÇ_MOV[[#This Row],[DATA DE VENCIMENTO]],"AAAA"))</f>
        <v>2025</v>
      </c>
      <c r="AF551" s="526" t="str">
        <f>IF(LANÇ_MOV[[#This Row],[DATA DE VENCIMENTO]]="","",UPPER(TEXT(LANÇ_MOV[[#This Row],[DATA DE VENCIMENTO]],"MMMM")))</f>
        <v>DEZEMBRO</v>
      </c>
      <c r="AG551" s="526" t="str">
        <f>IF(LANÇ_MOV[[#This Row],[DATA DE VENCIMENTO]]="","",TEXT(LANÇ_MOV[[#This Row],[DATA DE VENCIMENTO]],"M"))</f>
        <v>12</v>
      </c>
      <c r="AH551" s="526" t="str">
        <f>IF(LANÇ_MOV[[#This Row],[DATA DE VENCIMENTO]]="","",TEXT(LANÇ_MOV[[#This Row],[DATA DE VENCIMENTO]],"D"))</f>
        <v>10</v>
      </c>
      <c r="AI551" s="526" t="str">
        <f>IF(LANÇ_MOV[[#This Row],[DATA DE PAGAMENTO]]="","",TEXT(LANÇ_MOV[[#This Row],[DATA DE PAGAMENTO]],"AAAA"))</f>
        <v/>
      </c>
      <c r="AJ551" s="527" t="str">
        <f>IF(LANÇ_MOV[[#This Row],[DATA DE PAGAMENTO]]="","",UPPER(TEXT(LANÇ_MOV[[#This Row],[DATA DE PAGAMENTO]],"MMMM")))</f>
        <v/>
      </c>
      <c r="AK551" s="527" t="str">
        <f>IF(LANÇ_MOV[[#This Row],[DATA DE PAGAMENTO]]="","",TEXT(LANÇ_MOV[[#This Row],[DATA DE PAGAMENTO]],"M"))</f>
        <v/>
      </c>
      <c r="AL551" s="526" t="str">
        <f>IF(LANÇ_MOV[[#This Row],[DATA DE PAGAMENTO]]="","",TEXT(LANÇ_MOV[[#This Row],[DATA DE PAGAMENTO]],"D"))</f>
        <v/>
      </c>
    </row>
    <row r="552" spans="2:38" ht="30.05" customHeight="1" x14ac:dyDescent="0.35">
      <c r="B552" s="506">
        <v>45942</v>
      </c>
      <c r="C552" s="507" t="s">
        <v>1661</v>
      </c>
      <c r="D552" s="508" t="s">
        <v>1854</v>
      </c>
      <c r="E552" s="509" t="s">
        <v>1103</v>
      </c>
      <c r="F552" s="510" t="s">
        <v>1785</v>
      </c>
      <c r="G552" s="507" t="s">
        <v>1858</v>
      </c>
      <c r="H552" s="511">
        <v>0</v>
      </c>
      <c r="I552" s="512" t="s">
        <v>1705</v>
      </c>
      <c r="J552" s="518">
        <v>357.36</v>
      </c>
      <c r="K552" s="510">
        <v>0</v>
      </c>
      <c r="L552" s="510"/>
      <c r="M552" s="548">
        <v>0</v>
      </c>
      <c r="N552" s="514">
        <f>LANÇ_MOV[[#This Row],[VALOR BRUTO]]-LANÇ_MOV[[#This Row],[DESCONTO]]+LANÇ_MOV[[#This Row],[JUROS]]+LANÇ_MOV[[#This Row],[MULTA]]</f>
        <v>357.36</v>
      </c>
      <c r="O552" s="546">
        <v>46032</v>
      </c>
      <c r="P552" s="547" t="str">
        <f t="shared" ca="1" si="8"/>
        <v>Prazo - Mais de 1 mês</v>
      </c>
      <c r="Q552" s="528"/>
      <c r="R552" s="529" t="s">
        <v>1564</v>
      </c>
      <c r="S552" s="518"/>
      <c r="T552" s="518" t="s">
        <v>1776</v>
      </c>
      <c r="U552" s="519" t="s">
        <v>2008</v>
      </c>
      <c r="V552" s="520" t="str">
        <f>IFERROR(VLOOKUP(LANÇ_MOV[[#This Row],[PLANO DE CONTAS]],Plano_Contas[[PLANO DE CONTAS]:[R / D]],3,0),"")</f>
        <v>Receita</v>
      </c>
      <c r="W552" s="521" t="str">
        <f>IF(LANÇ_MOV[[#This Row],[DATA DE PAGAMENTO]]&lt;&gt;"","Pago","Não Pago")</f>
        <v>Não Pago</v>
      </c>
      <c r="X552" s="522" t="str">
        <f>IFERROR(IF(LANÇ_MOV[[#This Row],[DATA DE PAGAMENTO]]="","",(UPPER(TEXT(LANÇ_MOV[[#This Row],[DATA DE PAGAMENTO]],"mmmm")))),"")</f>
        <v/>
      </c>
      <c r="Y552" s="523" t="str">
        <f>IFERROR(VLOOKUP(LANÇ_MOV[[#This Row],[PLANO DE CONTAS]],Plano_Contas[[PLANO DE CONTAS]:[NOMES INTERVALOS]],2,0),"")</f>
        <v>Receitas_Operacionais</v>
      </c>
      <c r="Z552" s="523" t="str">
        <f>IF(LANÇ_MOV[[#This Row],[FORMA DE PAGAMENTO]]="","",VLOOKUP(LANÇ_MOV[[#This Row],[FORMA DE PAGAMENTO]],CAD_Forma_pagto[],2,0))</f>
        <v>PIX</v>
      </c>
      <c r="AA552" s="524" t="str">
        <f>IF(LANÇ_MOV[[#This Row],[DATA DE LANÇAMENTO]]="","",TEXT(LANÇ_MOV[[#This Row],[DATA DE LANÇAMENTO]],"AAAA"))</f>
        <v>2025</v>
      </c>
      <c r="AB552" s="524" t="str">
        <f>IF(LANÇ_MOV[[#This Row],[DATA DE LANÇAMENTO]]="","",UPPER(TEXT(LANÇ_MOV[[#This Row],[DATA DE LANÇAMENTO]],"MMMM")))</f>
        <v>OUTUBRO</v>
      </c>
      <c r="AC552" s="525" t="str">
        <f>IF(LANÇ_MOV[[#This Row],[DATA DE LANÇAMENTO]]="","",PROPER(TEXT(LANÇ_MOV[[#This Row],[DATA DE LANÇAMENTO]],"M")))</f>
        <v>10</v>
      </c>
      <c r="AD552" s="524" t="str">
        <f>IF(LANÇ_MOV[[#This Row],[DATA DE LANÇAMENTO]]="","",TEXT(LANÇ_MOV[[#This Row],[DATA DE LANÇAMENTO]],"D"))</f>
        <v>12</v>
      </c>
      <c r="AE552" s="526" t="str">
        <f>IF(LANÇ_MOV[[#This Row],[DATA DE VENCIMENTO]]="","",TEXT(LANÇ_MOV[[#This Row],[DATA DE VENCIMENTO]],"AAAA"))</f>
        <v>2026</v>
      </c>
      <c r="AF552" s="526" t="str">
        <f>IF(LANÇ_MOV[[#This Row],[DATA DE VENCIMENTO]]="","",UPPER(TEXT(LANÇ_MOV[[#This Row],[DATA DE VENCIMENTO]],"MMMM")))</f>
        <v>JANEIRO</v>
      </c>
      <c r="AG552" s="526" t="str">
        <f>IF(LANÇ_MOV[[#This Row],[DATA DE VENCIMENTO]]="","",TEXT(LANÇ_MOV[[#This Row],[DATA DE VENCIMENTO]],"M"))</f>
        <v>1</v>
      </c>
      <c r="AH552" s="526" t="str">
        <f>IF(LANÇ_MOV[[#This Row],[DATA DE VENCIMENTO]]="","",TEXT(LANÇ_MOV[[#This Row],[DATA DE VENCIMENTO]],"D"))</f>
        <v>10</v>
      </c>
      <c r="AI552" s="526" t="str">
        <f>IF(LANÇ_MOV[[#This Row],[DATA DE PAGAMENTO]]="","",TEXT(LANÇ_MOV[[#This Row],[DATA DE PAGAMENTO]],"AAAA"))</f>
        <v/>
      </c>
      <c r="AJ552" s="527" t="str">
        <f>IF(LANÇ_MOV[[#This Row],[DATA DE PAGAMENTO]]="","",UPPER(TEXT(LANÇ_MOV[[#This Row],[DATA DE PAGAMENTO]],"MMMM")))</f>
        <v/>
      </c>
      <c r="AK552" s="527" t="str">
        <f>IF(LANÇ_MOV[[#This Row],[DATA DE PAGAMENTO]]="","",TEXT(LANÇ_MOV[[#This Row],[DATA DE PAGAMENTO]],"M"))</f>
        <v/>
      </c>
      <c r="AL552" s="526" t="str">
        <f>IF(LANÇ_MOV[[#This Row],[DATA DE PAGAMENTO]]="","",TEXT(LANÇ_MOV[[#This Row],[DATA DE PAGAMENTO]],"D"))</f>
        <v/>
      </c>
    </row>
    <row r="553" spans="2:38" ht="30.05" customHeight="1" x14ac:dyDescent="0.35">
      <c r="B553" s="506">
        <v>45943</v>
      </c>
      <c r="C553" s="507" t="s">
        <v>1661</v>
      </c>
      <c r="D553" s="508" t="s">
        <v>1854</v>
      </c>
      <c r="E553" s="509" t="s">
        <v>1103</v>
      </c>
      <c r="F553" s="510" t="s">
        <v>1785</v>
      </c>
      <c r="G553" s="507" t="s">
        <v>1994</v>
      </c>
      <c r="H553" s="511">
        <v>0</v>
      </c>
      <c r="I553" s="512" t="s">
        <v>1718</v>
      </c>
      <c r="J553" s="518">
        <v>375.3</v>
      </c>
      <c r="K553" s="510">
        <v>0</v>
      </c>
      <c r="L553" s="510">
        <v>0</v>
      </c>
      <c r="M553" s="548">
        <v>0</v>
      </c>
      <c r="N553" s="514">
        <f>LANÇ_MOV[[#This Row],[VALOR BRUTO]]-LANÇ_MOV[[#This Row],[DESCONTO]]+LANÇ_MOV[[#This Row],[JUROS]]+LANÇ_MOV[[#This Row],[MULTA]]</f>
        <v>375.3</v>
      </c>
      <c r="O553" s="546">
        <v>45940</v>
      </c>
      <c r="P553" s="547" t="str">
        <f t="shared" ca="1" si="8"/>
        <v>Pago</v>
      </c>
      <c r="Q553" s="528">
        <v>45943</v>
      </c>
      <c r="R553" s="529" t="s">
        <v>1564</v>
      </c>
      <c r="S553" s="518"/>
      <c r="T553" s="518" t="s">
        <v>1776</v>
      </c>
      <c r="U553" s="519" t="s">
        <v>2008</v>
      </c>
      <c r="V553" s="520" t="str">
        <f>IFERROR(VLOOKUP(LANÇ_MOV[[#This Row],[PLANO DE CONTAS]],Plano_Contas[[PLANO DE CONTAS]:[R / D]],3,0),"")</f>
        <v>Receita</v>
      </c>
      <c r="W553" s="521" t="str">
        <f>IF(LANÇ_MOV[[#This Row],[DATA DE PAGAMENTO]]&lt;&gt;"","Pago","Não Pago")</f>
        <v>Pago</v>
      </c>
      <c r="X553" s="522" t="str">
        <f>IFERROR(IF(LANÇ_MOV[[#This Row],[DATA DE PAGAMENTO]]="","",(UPPER(TEXT(LANÇ_MOV[[#This Row],[DATA DE PAGAMENTO]],"mmmm")))),"")</f>
        <v>OUTUBRO</v>
      </c>
      <c r="Y553" s="523" t="str">
        <f>IFERROR(VLOOKUP(LANÇ_MOV[[#This Row],[PLANO DE CONTAS]],Plano_Contas[[PLANO DE CONTAS]:[NOMES INTERVALOS]],2,0),"")</f>
        <v>Receitas_Operacionais</v>
      </c>
      <c r="Z553" s="523" t="str">
        <f>IF(LANÇ_MOV[[#This Row],[FORMA DE PAGAMENTO]]="","",VLOOKUP(LANÇ_MOV[[#This Row],[FORMA DE PAGAMENTO]],CAD_Forma_pagto[],2,0))</f>
        <v>PIX</v>
      </c>
      <c r="AA553" s="524" t="str">
        <f>IF(LANÇ_MOV[[#This Row],[DATA DE LANÇAMENTO]]="","",TEXT(LANÇ_MOV[[#This Row],[DATA DE LANÇAMENTO]],"AAAA"))</f>
        <v>2025</v>
      </c>
      <c r="AB553" s="524" t="str">
        <f>IF(LANÇ_MOV[[#This Row],[DATA DE LANÇAMENTO]]="","",UPPER(TEXT(LANÇ_MOV[[#This Row],[DATA DE LANÇAMENTO]],"MMMM")))</f>
        <v>OUTUBRO</v>
      </c>
      <c r="AC553" s="525" t="str">
        <f>IF(LANÇ_MOV[[#This Row],[DATA DE LANÇAMENTO]]="","",PROPER(TEXT(LANÇ_MOV[[#This Row],[DATA DE LANÇAMENTO]],"M")))</f>
        <v>10</v>
      </c>
      <c r="AD553" s="524" t="str">
        <f>IF(LANÇ_MOV[[#This Row],[DATA DE LANÇAMENTO]]="","",TEXT(LANÇ_MOV[[#This Row],[DATA DE LANÇAMENTO]],"D"))</f>
        <v>13</v>
      </c>
      <c r="AE553" s="526" t="str">
        <f>IF(LANÇ_MOV[[#This Row],[DATA DE VENCIMENTO]]="","",TEXT(LANÇ_MOV[[#This Row],[DATA DE VENCIMENTO]],"AAAA"))</f>
        <v>2025</v>
      </c>
      <c r="AF553" s="526" t="str">
        <f>IF(LANÇ_MOV[[#This Row],[DATA DE VENCIMENTO]]="","",UPPER(TEXT(LANÇ_MOV[[#This Row],[DATA DE VENCIMENTO]],"MMMM")))</f>
        <v>OUTUBRO</v>
      </c>
      <c r="AG553" s="526" t="str">
        <f>IF(LANÇ_MOV[[#This Row],[DATA DE VENCIMENTO]]="","",TEXT(LANÇ_MOV[[#This Row],[DATA DE VENCIMENTO]],"M"))</f>
        <v>10</v>
      </c>
      <c r="AH553" s="526" t="str">
        <f>IF(LANÇ_MOV[[#This Row],[DATA DE VENCIMENTO]]="","",TEXT(LANÇ_MOV[[#This Row],[DATA DE VENCIMENTO]],"D"))</f>
        <v>10</v>
      </c>
      <c r="AI553" s="526" t="str">
        <f>IF(LANÇ_MOV[[#This Row],[DATA DE PAGAMENTO]]="","",TEXT(LANÇ_MOV[[#This Row],[DATA DE PAGAMENTO]],"AAAA"))</f>
        <v>2025</v>
      </c>
      <c r="AJ553" s="527" t="str">
        <f>IF(LANÇ_MOV[[#This Row],[DATA DE PAGAMENTO]]="","",UPPER(TEXT(LANÇ_MOV[[#This Row],[DATA DE PAGAMENTO]],"MMMM")))</f>
        <v>OUTUBRO</v>
      </c>
      <c r="AK553" s="527" t="str">
        <f>IF(LANÇ_MOV[[#This Row],[DATA DE PAGAMENTO]]="","",TEXT(LANÇ_MOV[[#This Row],[DATA DE PAGAMENTO]],"M"))</f>
        <v>10</v>
      </c>
      <c r="AL553" s="526" t="str">
        <f>IF(LANÇ_MOV[[#This Row],[DATA DE PAGAMENTO]]="","",TEXT(LANÇ_MOV[[#This Row],[DATA DE PAGAMENTO]],"D"))</f>
        <v>13</v>
      </c>
    </row>
    <row r="554" spans="2:38" ht="30.05" customHeight="1" x14ac:dyDescent="0.35">
      <c r="B554" s="506">
        <v>45943</v>
      </c>
      <c r="C554" s="507" t="s">
        <v>1661</v>
      </c>
      <c r="D554" s="508" t="s">
        <v>1854</v>
      </c>
      <c r="E554" s="509" t="s">
        <v>1103</v>
      </c>
      <c r="F554" s="510" t="s">
        <v>1785</v>
      </c>
      <c r="G554" s="507" t="s">
        <v>1995</v>
      </c>
      <c r="H554" s="511">
        <v>0</v>
      </c>
      <c r="I554" s="512" t="s">
        <v>1718</v>
      </c>
      <c r="J554" s="518">
        <v>375.3</v>
      </c>
      <c r="K554" s="510">
        <v>0</v>
      </c>
      <c r="L554" s="510">
        <v>0</v>
      </c>
      <c r="M554" s="548">
        <v>0</v>
      </c>
      <c r="N554" s="514">
        <f>LANÇ_MOV[[#This Row],[VALOR BRUTO]]-LANÇ_MOV[[#This Row],[DESCONTO]]+LANÇ_MOV[[#This Row],[JUROS]]+LANÇ_MOV[[#This Row],[MULTA]]</f>
        <v>375.3</v>
      </c>
      <c r="O554" s="546">
        <v>45971</v>
      </c>
      <c r="P554" s="547" t="str">
        <f t="shared" ca="1" si="8"/>
        <v>Venceu</v>
      </c>
      <c r="Q554" s="528"/>
      <c r="R554" s="529" t="s">
        <v>1564</v>
      </c>
      <c r="S554" s="518"/>
      <c r="T554" s="518" t="s">
        <v>1776</v>
      </c>
      <c r="U554" s="519" t="s">
        <v>2008</v>
      </c>
      <c r="V554" s="520" t="str">
        <f>IFERROR(VLOOKUP(LANÇ_MOV[[#This Row],[PLANO DE CONTAS]],Plano_Contas[[PLANO DE CONTAS]:[R / D]],3,0),"")</f>
        <v>Receita</v>
      </c>
      <c r="W554" s="521" t="str">
        <f>IF(LANÇ_MOV[[#This Row],[DATA DE PAGAMENTO]]&lt;&gt;"","Pago","Não Pago")</f>
        <v>Não Pago</v>
      </c>
      <c r="X554" s="522" t="str">
        <f>IFERROR(IF(LANÇ_MOV[[#This Row],[DATA DE PAGAMENTO]]="","",(UPPER(TEXT(LANÇ_MOV[[#This Row],[DATA DE PAGAMENTO]],"mmmm")))),"")</f>
        <v/>
      </c>
      <c r="Y554" s="523" t="str">
        <f>IFERROR(VLOOKUP(LANÇ_MOV[[#This Row],[PLANO DE CONTAS]],Plano_Contas[[PLANO DE CONTAS]:[NOMES INTERVALOS]],2,0),"")</f>
        <v>Receitas_Operacionais</v>
      </c>
      <c r="Z554" s="523" t="str">
        <f>IF(LANÇ_MOV[[#This Row],[FORMA DE PAGAMENTO]]="","",VLOOKUP(LANÇ_MOV[[#This Row],[FORMA DE PAGAMENTO]],CAD_Forma_pagto[],2,0))</f>
        <v>PIX</v>
      </c>
      <c r="AA554" s="524" t="str">
        <f>IF(LANÇ_MOV[[#This Row],[DATA DE LANÇAMENTO]]="","",TEXT(LANÇ_MOV[[#This Row],[DATA DE LANÇAMENTO]],"AAAA"))</f>
        <v>2025</v>
      </c>
      <c r="AB554" s="524" t="str">
        <f>IF(LANÇ_MOV[[#This Row],[DATA DE LANÇAMENTO]]="","",UPPER(TEXT(LANÇ_MOV[[#This Row],[DATA DE LANÇAMENTO]],"MMMM")))</f>
        <v>OUTUBRO</v>
      </c>
      <c r="AC554" s="525" t="str">
        <f>IF(LANÇ_MOV[[#This Row],[DATA DE LANÇAMENTO]]="","",PROPER(TEXT(LANÇ_MOV[[#This Row],[DATA DE LANÇAMENTO]],"M")))</f>
        <v>10</v>
      </c>
      <c r="AD554" s="524" t="str">
        <f>IF(LANÇ_MOV[[#This Row],[DATA DE LANÇAMENTO]]="","",TEXT(LANÇ_MOV[[#This Row],[DATA DE LANÇAMENTO]],"D"))</f>
        <v>13</v>
      </c>
      <c r="AE554" s="526" t="str">
        <f>IF(LANÇ_MOV[[#This Row],[DATA DE VENCIMENTO]]="","",TEXT(LANÇ_MOV[[#This Row],[DATA DE VENCIMENTO]],"AAAA"))</f>
        <v>2025</v>
      </c>
      <c r="AF554" s="526" t="str">
        <f>IF(LANÇ_MOV[[#This Row],[DATA DE VENCIMENTO]]="","",UPPER(TEXT(LANÇ_MOV[[#This Row],[DATA DE VENCIMENTO]],"MMMM")))</f>
        <v>NOVEMBRO</v>
      </c>
      <c r="AG554" s="526" t="str">
        <f>IF(LANÇ_MOV[[#This Row],[DATA DE VENCIMENTO]]="","",TEXT(LANÇ_MOV[[#This Row],[DATA DE VENCIMENTO]],"M"))</f>
        <v>11</v>
      </c>
      <c r="AH554" s="526" t="str">
        <f>IF(LANÇ_MOV[[#This Row],[DATA DE VENCIMENTO]]="","",TEXT(LANÇ_MOV[[#This Row],[DATA DE VENCIMENTO]],"D"))</f>
        <v>10</v>
      </c>
      <c r="AI554" s="526" t="str">
        <f>IF(LANÇ_MOV[[#This Row],[DATA DE PAGAMENTO]]="","",TEXT(LANÇ_MOV[[#This Row],[DATA DE PAGAMENTO]],"AAAA"))</f>
        <v/>
      </c>
      <c r="AJ554" s="527" t="str">
        <f>IF(LANÇ_MOV[[#This Row],[DATA DE PAGAMENTO]]="","",UPPER(TEXT(LANÇ_MOV[[#This Row],[DATA DE PAGAMENTO]],"MMMM")))</f>
        <v/>
      </c>
      <c r="AK554" s="527" t="str">
        <f>IF(LANÇ_MOV[[#This Row],[DATA DE PAGAMENTO]]="","",TEXT(LANÇ_MOV[[#This Row],[DATA DE PAGAMENTO]],"M"))</f>
        <v/>
      </c>
      <c r="AL554" s="526" t="str">
        <f>IF(LANÇ_MOV[[#This Row],[DATA DE PAGAMENTO]]="","",TEXT(LANÇ_MOV[[#This Row],[DATA DE PAGAMENTO]],"D"))</f>
        <v/>
      </c>
    </row>
    <row r="555" spans="2:38" ht="30.05" customHeight="1" x14ac:dyDescent="0.35">
      <c r="B555" s="506">
        <v>45943</v>
      </c>
      <c r="C555" s="507" t="s">
        <v>1661</v>
      </c>
      <c r="D555" s="508" t="s">
        <v>1854</v>
      </c>
      <c r="E555" s="509" t="s">
        <v>1103</v>
      </c>
      <c r="F555" s="510" t="s">
        <v>1785</v>
      </c>
      <c r="G555" s="507" t="s">
        <v>1996</v>
      </c>
      <c r="H555" s="511">
        <v>0</v>
      </c>
      <c r="I555" s="512" t="s">
        <v>1718</v>
      </c>
      <c r="J555" s="518">
        <v>375.3</v>
      </c>
      <c r="K555" s="510">
        <v>0</v>
      </c>
      <c r="L555" s="510"/>
      <c r="M555" s="548">
        <v>0</v>
      </c>
      <c r="N555" s="514">
        <f>LANÇ_MOV[[#This Row],[VALOR BRUTO]]-LANÇ_MOV[[#This Row],[DESCONTO]]+LANÇ_MOV[[#This Row],[JUROS]]+LANÇ_MOV[[#This Row],[MULTA]]</f>
        <v>375.3</v>
      </c>
      <c r="O555" s="546">
        <v>46001</v>
      </c>
      <c r="P555" s="547" t="str">
        <f t="shared" ca="1" si="8"/>
        <v>Prazo - Menos de 15 dias</v>
      </c>
      <c r="Q555" s="528"/>
      <c r="R555" s="529" t="s">
        <v>1564</v>
      </c>
      <c r="S555" s="518"/>
      <c r="T555" s="518" t="s">
        <v>1776</v>
      </c>
      <c r="U555" s="519" t="s">
        <v>2008</v>
      </c>
      <c r="V555" s="520" t="str">
        <f>IFERROR(VLOOKUP(LANÇ_MOV[[#This Row],[PLANO DE CONTAS]],Plano_Contas[[PLANO DE CONTAS]:[R / D]],3,0),"")</f>
        <v>Receita</v>
      </c>
      <c r="W555" s="521" t="str">
        <f>IF(LANÇ_MOV[[#This Row],[DATA DE PAGAMENTO]]&lt;&gt;"","Pago","Não Pago")</f>
        <v>Não Pago</v>
      </c>
      <c r="X555" s="522" t="str">
        <f>IFERROR(IF(LANÇ_MOV[[#This Row],[DATA DE PAGAMENTO]]="","",(UPPER(TEXT(LANÇ_MOV[[#This Row],[DATA DE PAGAMENTO]],"mmmm")))),"")</f>
        <v/>
      </c>
      <c r="Y555" s="523" t="str">
        <f>IFERROR(VLOOKUP(LANÇ_MOV[[#This Row],[PLANO DE CONTAS]],Plano_Contas[[PLANO DE CONTAS]:[NOMES INTERVALOS]],2,0),"")</f>
        <v>Receitas_Operacionais</v>
      </c>
      <c r="Z555" s="523" t="str">
        <f>IF(LANÇ_MOV[[#This Row],[FORMA DE PAGAMENTO]]="","",VLOOKUP(LANÇ_MOV[[#This Row],[FORMA DE PAGAMENTO]],CAD_Forma_pagto[],2,0))</f>
        <v>PIX</v>
      </c>
      <c r="AA555" s="524" t="str">
        <f>IF(LANÇ_MOV[[#This Row],[DATA DE LANÇAMENTO]]="","",TEXT(LANÇ_MOV[[#This Row],[DATA DE LANÇAMENTO]],"AAAA"))</f>
        <v>2025</v>
      </c>
      <c r="AB555" s="524" t="str">
        <f>IF(LANÇ_MOV[[#This Row],[DATA DE LANÇAMENTO]]="","",UPPER(TEXT(LANÇ_MOV[[#This Row],[DATA DE LANÇAMENTO]],"MMMM")))</f>
        <v>OUTUBRO</v>
      </c>
      <c r="AC555" s="525" t="str">
        <f>IF(LANÇ_MOV[[#This Row],[DATA DE LANÇAMENTO]]="","",PROPER(TEXT(LANÇ_MOV[[#This Row],[DATA DE LANÇAMENTO]],"M")))</f>
        <v>10</v>
      </c>
      <c r="AD555" s="524" t="str">
        <f>IF(LANÇ_MOV[[#This Row],[DATA DE LANÇAMENTO]]="","",TEXT(LANÇ_MOV[[#This Row],[DATA DE LANÇAMENTO]],"D"))</f>
        <v>13</v>
      </c>
      <c r="AE555" s="526" t="str">
        <f>IF(LANÇ_MOV[[#This Row],[DATA DE VENCIMENTO]]="","",TEXT(LANÇ_MOV[[#This Row],[DATA DE VENCIMENTO]],"AAAA"))</f>
        <v>2025</v>
      </c>
      <c r="AF555" s="526" t="str">
        <f>IF(LANÇ_MOV[[#This Row],[DATA DE VENCIMENTO]]="","",UPPER(TEXT(LANÇ_MOV[[#This Row],[DATA DE VENCIMENTO]],"MMMM")))</f>
        <v>DEZEMBRO</v>
      </c>
      <c r="AG555" s="526" t="str">
        <f>IF(LANÇ_MOV[[#This Row],[DATA DE VENCIMENTO]]="","",TEXT(LANÇ_MOV[[#This Row],[DATA DE VENCIMENTO]],"M"))</f>
        <v>12</v>
      </c>
      <c r="AH555" s="526" t="str">
        <f>IF(LANÇ_MOV[[#This Row],[DATA DE VENCIMENTO]]="","",TEXT(LANÇ_MOV[[#This Row],[DATA DE VENCIMENTO]],"D"))</f>
        <v>10</v>
      </c>
      <c r="AI555" s="526" t="str">
        <f>IF(LANÇ_MOV[[#This Row],[DATA DE PAGAMENTO]]="","",TEXT(LANÇ_MOV[[#This Row],[DATA DE PAGAMENTO]],"AAAA"))</f>
        <v/>
      </c>
      <c r="AJ555" s="527" t="str">
        <f>IF(LANÇ_MOV[[#This Row],[DATA DE PAGAMENTO]]="","",UPPER(TEXT(LANÇ_MOV[[#This Row],[DATA DE PAGAMENTO]],"MMMM")))</f>
        <v/>
      </c>
      <c r="AK555" s="527" t="str">
        <f>IF(LANÇ_MOV[[#This Row],[DATA DE PAGAMENTO]]="","",TEXT(LANÇ_MOV[[#This Row],[DATA DE PAGAMENTO]],"M"))</f>
        <v/>
      </c>
      <c r="AL555" s="526" t="str">
        <f>IF(LANÇ_MOV[[#This Row],[DATA DE PAGAMENTO]]="","",TEXT(LANÇ_MOV[[#This Row],[DATA DE PAGAMENTO]],"D"))</f>
        <v/>
      </c>
    </row>
    <row r="556" spans="2:38" ht="30.05" customHeight="1" x14ac:dyDescent="0.35">
      <c r="B556" s="506">
        <v>45943</v>
      </c>
      <c r="C556" s="507" t="s">
        <v>1661</v>
      </c>
      <c r="D556" s="508" t="s">
        <v>1854</v>
      </c>
      <c r="E556" s="509" t="s">
        <v>1103</v>
      </c>
      <c r="F556" s="510" t="s">
        <v>1785</v>
      </c>
      <c r="G556" s="507"/>
      <c r="H556" s="511">
        <v>0</v>
      </c>
      <c r="I556" s="512" t="s">
        <v>1716</v>
      </c>
      <c r="J556" s="518">
        <v>1640</v>
      </c>
      <c r="K556" s="510">
        <v>0</v>
      </c>
      <c r="L556" s="510">
        <v>0</v>
      </c>
      <c r="M556" s="548">
        <v>0</v>
      </c>
      <c r="N556" s="514">
        <f>LANÇ_MOV[[#This Row],[VALOR BRUTO]]-LANÇ_MOV[[#This Row],[DESCONTO]]+LANÇ_MOV[[#This Row],[JUROS]]+LANÇ_MOV[[#This Row],[MULTA]]</f>
        <v>1640</v>
      </c>
      <c r="O556" s="546">
        <v>45943</v>
      </c>
      <c r="P556" s="547" t="str">
        <f t="shared" ca="1" si="8"/>
        <v>Pago</v>
      </c>
      <c r="Q556" s="528">
        <v>45943</v>
      </c>
      <c r="R556" s="529" t="s">
        <v>1564</v>
      </c>
      <c r="S556" s="518"/>
      <c r="T556" s="518" t="s">
        <v>1776</v>
      </c>
      <c r="U556" s="519" t="s">
        <v>2008</v>
      </c>
      <c r="V556" s="520" t="str">
        <f>IFERROR(VLOOKUP(LANÇ_MOV[[#This Row],[PLANO DE CONTAS]],Plano_Contas[[PLANO DE CONTAS]:[R / D]],3,0),"")</f>
        <v>Receita</v>
      </c>
      <c r="W556" s="521" t="str">
        <f>IF(LANÇ_MOV[[#This Row],[DATA DE PAGAMENTO]]&lt;&gt;"","Pago","Não Pago")</f>
        <v>Pago</v>
      </c>
      <c r="X556" s="522" t="str">
        <f>IFERROR(IF(LANÇ_MOV[[#This Row],[DATA DE PAGAMENTO]]="","",(UPPER(TEXT(LANÇ_MOV[[#This Row],[DATA DE PAGAMENTO]],"mmmm")))),"")</f>
        <v>OUTUBRO</v>
      </c>
      <c r="Y556" s="523" t="str">
        <f>IFERROR(VLOOKUP(LANÇ_MOV[[#This Row],[PLANO DE CONTAS]],Plano_Contas[[PLANO DE CONTAS]:[NOMES INTERVALOS]],2,0),"")</f>
        <v>Receitas_Operacionais</v>
      </c>
      <c r="Z556" s="523" t="str">
        <f>IF(LANÇ_MOV[[#This Row],[FORMA DE PAGAMENTO]]="","",VLOOKUP(LANÇ_MOV[[#This Row],[FORMA DE PAGAMENTO]],CAD_Forma_pagto[],2,0))</f>
        <v>PIX</v>
      </c>
      <c r="AA556" s="524" t="str">
        <f>IF(LANÇ_MOV[[#This Row],[DATA DE LANÇAMENTO]]="","",TEXT(LANÇ_MOV[[#This Row],[DATA DE LANÇAMENTO]],"AAAA"))</f>
        <v>2025</v>
      </c>
      <c r="AB556" s="524" t="str">
        <f>IF(LANÇ_MOV[[#This Row],[DATA DE LANÇAMENTO]]="","",UPPER(TEXT(LANÇ_MOV[[#This Row],[DATA DE LANÇAMENTO]],"MMMM")))</f>
        <v>OUTUBRO</v>
      </c>
      <c r="AC556" s="525" t="str">
        <f>IF(LANÇ_MOV[[#This Row],[DATA DE LANÇAMENTO]]="","",PROPER(TEXT(LANÇ_MOV[[#This Row],[DATA DE LANÇAMENTO]],"M")))</f>
        <v>10</v>
      </c>
      <c r="AD556" s="524" t="str">
        <f>IF(LANÇ_MOV[[#This Row],[DATA DE LANÇAMENTO]]="","",TEXT(LANÇ_MOV[[#This Row],[DATA DE LANÇAMENTO]],"D"))</f>
        <v>13</v>
      </c>
      <c r="AE556" s="526" t="str">
        <f>IF(LANÇ_MOV[[#This Row],[DATA DE VENCIMENTO]]="","",TEXT(LANÇ_MOV[[#This Row],[DATA DE VENCIMENTO]],"AAAA"))</f>
        <v>2025</v>
      </c>
      <c r="AF556" s="526" t="str">
        <f>IF(LANÇ_MOV[[#This Row],[DATA DE VENCIMENTO]]="","",UPPER(TEXT(LANÇ_MOV[[#This Row],[DATA DE VENCIMENTO]],"MMMM")))</f>
        <v>OUTUBRO</v>
      </c>
      <c r="AG556" s="526" t="str">
        <f>IF(LANÇ_MOV[[#This Row],[DATA DE VENCIMENTO]]="","",TEXT(LANÇ_MOV[[#This Row],[DATA DE VENCIMENTO]],"M"))</f>
        <v>10</v>
      </c>
      <c r="AH556" s="526" t="str">
        <f>IF(LANÇ_MOV[[#This Row],[DATA DE VENCIMENTO]]="","",TEXT(LANÇ_MOV[[#This Row],[DATA DE VENCIMENTO]],"D"))</f>
        <v>13</v>
      </c>
      <c r="AI556" s="526" t="str">
        <f>IF(LANÇ_MOV[[#This Row],[DATA DE PAGAMENTO]]="","",TEXT(LANÇ_MOV[[#This Row],[DATA DE PAGAMENTO]],"AAAA"))</f>
        <v>2025</v>
      </c>
      <c r="AJ556" s="527" t="str">
        <f>IF(LANÇ_MOV[[#This Row],[DATA DE PAGAMENTO]]="","",UPPER(TEXT(LANÇ_MOV[[#This Row],[DATA DE PAGAMENTO]],"MMMM")))</f>
        <v>OUTUBRO</v>
      </c>
      <c r="AK556" s="527" t="str">
        <f>IF(LANÇ_MOV[[#This Row],[DATA DE PAGAMENTO]]="","",TEXT(LANÇ_MOV[[#This Row],[DATA DE PAGAMENTO]],"M"))</f>
        <v>10</v>
      </c>
      <c r="AL556" s="526" t="str">
        <f>IF(LANÇ_MOV[[#This Row],[DATA DE PAGAMENTO]]="","",TEXT(LANÇ_MOV[[#This Row],[DATA DE PAGAMENTO]],"D"))</f>
        <v>13</v>
      </c>
    </row>
    <row r="557" spans="2:38" ht="30.05" customHeight="1" x14ac:dyDescent="0.35">
      <c r="B557" s="506">
        <v>45945</v>
      </c>
      <c r="C557" s="507" t="s">
        <v>1661</v>
      </c>
      <c r="D557" s="508" t="s">
        <v>1854</v>
      </c>
      <c r="E557" s="509" t="s">
        <v>1103</v>
      </c>
      <c r="F557" s="510" t="s">
        <v>1785</v>
      </c>
      <c r="G557" s="507"/>
      <c r="H557" s="511">
        <v>0</v>
      </c>
      <c r="I557" s="512" t="s">
        <v>1725</v>
      </c>
      <c r="J557" s="518">
        <v>2921.25</v>
      </c>
      <c r="K557" s="510">
        <v>0</v>
      </c>
      <c r="L557" s="510">
        <v>0</v>
      </c>
      <c r="M557" s="548">
        <v>0</v>
      </c>
      <c r="N557" s="514">
        <f>LANÇ_MOV[[#This Row],[VALOR BRUTO]]-LANÇ_MOV[[#This Row],[DESCONTO]]+LANÇ_MOV[[#This Row],[JUROS]]+LANÇ_MOV[[#This Row],[MULTA]]</f>
        <v>2921.25</v>
      </c>
      <c r="O557" s="546">
        <v>45945</v>
      </c>
      <c r="P557" s="547" t="str">
        <f t="shared" ca="1" si="8"/>
        <v>Pago</v>
      </c>
      <c r="Q557" s="528">
        <v>45945</v>
      </c>
      <c r="R557" s="529" t="s">
        <v>1564</v>
      </c>
      <c r="S557" s="518"/>
      <c r="T557" s="518" t="s">
        <v>1776</v>
      </c>
      <c r="U557" s="519" t="s">
        <v>2008</v>
      </c>
      <c r="V557" s="520" t="str">
        <f>IFERROR(VLOOKUP(LANÇ_MOV[[#This Row],[PLANO DE CONTAS]],Plano_Contas[[PLANO DE CONTAS]:[R / D]],3,0),"")</f>
        <v>Receita</v>
      </c>
      <c r="W557" s="521" t="str">
        <f>IF(LANÇ_MOV[[#This Row],[DATA DE PAGAMENTO]]&lt;&gt;"","Pago","Não Pago")</f>
        <v>Pago</v>
      </c>
      <c r="X557" s="522" t="str">
        <f>IFERROR(IF(LANÇ_MOV[[#This Row],[DATA DE PAGAMENTO]]="","",(UPPER(TEXT(LANÇ_MOV[[#This Row],[DATA DE PAGAMENTO]],"mmmm")))),"")</f>
        <v>OUTUBRO</v>
      </c>
      <c r="Y557" s="523" t="str">
        <f>IFERROR(VLOOKUP(LANÇ_MOV[[#This Row],[PLANO DE CONTAS]],Plano_Contas[[PLANO DE CONTAS]:[NOMES INTERVALOS]],2,0),"")</f>
        <v>Receitas_Operacionais</v>
      </c>
      <c r="Z557" s="523" t="str">
        <f>IF(LANÇ_MOV[[#This Row],[FORMA DE PAGAMENTO]]="","",VLOOKUP(LANÇ_MOV[[#This Row],[FORMA DE PAGAMENTO]],CAD_Forma_pagto[],2,0))</f>
        <v>PIX</v>
      </c>
      <c r="AA557" s="524" t="str">
        <f>IF(LANÇ_MOV[[#This Row],[DATA DE LANÇAMENTO]]="","",TEXT(LANÇ_MOV[[#This Row],[DATA DE LANÇAMENTO]],"AAAA"))</f>
        <v>2025</v>
      </c>
      <c r="AB557" s="524" t="str">
        <f>IF(LANÇ_MOV[[#This Row],[DATA DE LANÇAMENTO]]="","",UPPER(TEXT(LANÇ_MOV[[#This Row],[DATA DE LANÇAMENTO]],"MMMM")))</f>
        <v>OUTUBRO</v>
      </c>
      <c r="AC557" s="525" t="str">
        <f>IF(LANÇ_MOV[[#This Row],[DATA DE LANÇAMENTO]]="","",PROPER(TEXT(LANÇ_MOV[[#This Row],[DATA DE LANÇAMENTO]],"M")))</f>
        <v>10</v>
      </c>
      <c r="AD557" s="524" t="str">
        <f>IF(LANÇ_MOV[[#This Row],[DATA DE LANÇAMENTO]]="","",TEXT(LANÇ_MOV[[#This Row],[DATA DE LANÇAMENTO]],"D"))</f>
        <v>15</v>
      </c>
      <c r="AE557" s="526" t="str">
        <f>IF(LANÇ_MOV[[#This Row],[DATA DE VENCIMENTO]]="","",TEXT(LANÇ_MOV[[#This Row],[DATA DE VENCIMENTO]],"AAAA"))</f>
        <v>2025</v>
      </c>
      <c r="AF557" s="526" t="str">
        <f>IF(LANÇ_MOV[[#This Row],[DATA DE VENCIMENTO]]="","",UPPER(TEXT(LANÇ_MOV[[#This Row],[DATA DE VENCIMENTO]],"MMMM")))</f>
        <v>OUTUBRO</v>
      </c>
      <c r="AG557" s="526" t="str">
        <f>IF(LANÇ_MOV[[#This Row],[DATA DE VENCIMENTO]]="","",TEXT(LANÇ_MOV[[#This Row],[DATA DE VENCIMENTO]],"M"))</f>
        <v>10</v>
      </c>
      <c r="AH557" s="526" t="str">
        <f>IF(LANÇ_MOV[[#This Row],[DATA DE VENCIMENTO]]="","",TEXT(LANÇ_MOV[[#This Row],[DATA DE VENCIMENTO]],"D"))</f>
        <v>15</v>
      </c>
      <c r="AI557" s="526" t="str">
        <f>IF(LANÇ_MOV[[#This Row],[DATA DE PAGAMENTO]]="","",TEXT(LANÇ_MOV[[#This Row],[DATA DE PAGAMENTO]],"AAAA"))</f>
        <v>2025</v>
      </c>
      <c r="AJ557" s="527" t="str">
        <f>IF(LANÇ_MOV[[#This Row],[DATA DE PAGAMENTO]]="","",UPPER(TEXT(LANÇ_MOV[[#This Row],[DATA DE PAGAMENTO]],"MMMM")))</f>
        <v>OUTUBRO</v>
      </c>
      <c r="AK557" s="527" t="str">
        <f>IF(LANÇ_MOV[[#This Row],[DATA DE PAGAMENTO]]="","",TEXT(LANÇ_MOV[[#This Row],[DATA DE PAGAMENTO]],"M"))</f>
        <v>10</v>
      </c>
      <c r="AL557" s="526" t="str">
        <f>IF(LANÇ_MOV[[#This Row],[DATA DE PAGAMENTO]]="","",TEXT(LANÇ_MOV[[#This Row],[DATA DE PAGAMENTO]],"D"))</f>
        <v>15</v>
      </c>
    </row>
    <row r="558" spans="2:38" ht="30.05" customHeight="1" x14ac:dyDescent="0.35">
      <c r="B558" s="506">
        <v>45945</v>
      </c>
      <c r="C558" s="507" t="s">
        <v>1661</v>
      </c>
      <c r="D558" s="508" t="s">
        <v>1854</v>
      </c>
      <c r="E558" s="509" t="s">
        <v>1103</v>
      </c>
      <c r="F558" s="510" t="s">
        <v>1785</v>
      </c>
      <c r="G558" s="507" t="s">
        <v>1998</v>
      </c>
      <c r="H558" s="511">
        <v>0</v>
      </c>
      <c r="I558" s="512" t="s">
        <v>1729</v>
      </c>
      <c r="J558" s="518">
        <v>428.83</v>
      </c>
      <c r="K558" s="510">
        <v>0</v>
      </c>
      <c r="L558" s="510">
        <v>0</v>
      </c>
      <c r="M558" s="548">
        <v>0</v>
      </c>
      <c r="N558" s="514">
        <f>LANÇ_MOV[[#This Row],[VALOR BRUTO]]-LANÇ_MOV[[#This Row],[DESCONTO]]+LANÇ_MOV[[#This Row],[JUROS]]+LANÇ_MOV[[#This Row],[MULTA]]</f>
        <v>428.83</v>
      </c>
      <c r="O558" s="546">
        <v>45945</v>
      </c>
      <c r="P558" s="547" t="str">
        <f t="shared" ca="1" si="8"/>
        <v>Pago</v>
      </c>
      <c r="Q558" s="528">
        <v>45945</v>
      </c>
      <c r="R558" s="529" t="s">
        <v>1564</v>
      </c>
      <c r="S558" s="518"/>
      <c r="T558" s="518" t="s">
        <v>1776</v>
      </c>
      <c r="U558" s="519" t="s">
        <v>2008</v>
      </c>
      <c r="V558" s="520" t="str">
        <f>IFERROR(VLOOKUP(LANÇ_MOV[[#This Row],[PLANO DE CONTAS]],Plano_Contas[[PLANO DE CONTAS]:[R / D]],3,0),"")</f>
        <v>Receita</v>
      </c>
      <c r="W558" s="521" t="str">
        <f>IF(LANÇ_MOV[[#This Row],[DATA DE PAGAMENTO]]&lt;&gt;"","Pago","Não Pago")</f>
        <v>Pago</v>
      </c>
      <c r="X558" s="522" t="str">
        <f>IFERROR(IF(LANÇ_MOV[[#This Row],[DATA DE PAGAMENTO]]="","",(UPPER(TEXT(LANÇ_MOV[[#This Row],[DATA DE PAGAMENTO]],"mmmm")))),"")</f>
        <v>OUTUBRO</v>
      </c>
      <c r="Y558" s="523" t="str">
        <f>IFERROR(VLOOKUP(LANÇ_MOV[[#This Row],[PLANO DE CONTAS]],Plano_Contas[[PLANO DE CONTAS]:[NOMES INTERVALOS]],2,0),"")</f>
        <v>Receitas_Operacionais</v>
      </c>
      <c r="Z558" s="523" t="str">
        <f>IF(LANÇ_MOV[[#This Row],[FORMA DE PAGAMENTO]]="","",VLOOKUP(LANÇ_MOV[[#This Row],[FORMA DE PAGAMENTO]],CAD_Forma_pagto[],2,0))</f>
        <v>PIX</v>
      </c>
      <c r="AA558" s="524" t="str">
        <f>IF(LANÇ_MOV[[#This Row],[DATA DE LANÇAMENTO]]="","",TEXT(LANÇ_MOV[[#This Row],[DATA DE LANÇAMENTO]],"AAAA"))</f>
        <v>2025</v>
      </c>
      <c r="AB558" s="524" t="str">
        <f>IF(LANÇ_MOV[[#This Row],[DATA DE LANÇAMENTO]]="","",UPPER(TEXT(LANÇ_MOV[[#This Row],[DATA DE LANÇAMENTO]],"MMMM")))</f>
        <v>OUTUBRO</v>
      </c>
      <c r="AC558" s="525" t="str">
        <f>IF(LANÇ_MOV[[#This Row],[DATA DE LANÇAMENTO]]="","",PROPER(TEXT(LANÇ_MOV[[#This Row],[DATA DE LANÇAMENTO]],"M")))</f>
        <v>10</v>
      </c>
      <c r="AD558" s="524" t="str">
        <f>IF(LANÇ_MOV[[#This Row],[DATA DE LANÇAMENTO]]="","",TEXT(LANÇ_MOV[[#This Row],[DATA DE LANÇAMENTO]],"D"))</f>
        <v>15</v>
      </c>
      <c r="AE558" s="526" t="str">
        <f>IF(LANÇ_MOV[[#This Row],[DATA DE VENCIMENTO]]="","",TEXT(LANÇ_MOV[[#This Row],[DATA DE VENCIMENTO]],"AAAA"))</f>
        <v>2025</v>
      </c>
      <c r="AF558" s="526" t="str">
        <f>IF(LANÇ_MOV[[#This Row],[DATA DE VENCIMENTO]]="","",UPPER(TEXT(LANÇ_MOV[[#This Row],[DATA DE VENCIMENTO]],"MMMM")))</f>
        <v>OUTUBRO</v>
      </c>
      <c r="AG558" s="526" t="str">
        <f>IF(LANÇ_MOV[[#This Row],[DATA DE VENCIMENTO]]="","",TEXT(LANÇ_MOV[[#This Row],[DATA DE VENCIMENTO]],"M"))</f>
        <v>10</v>
      </c>
      <c r="AH558" s="526" t="str">
        <f>IF(LANÇ_MOV[[#This Row],[DATA DE VENCIMENTO]]="","",TEXT(LANÇ_MOV[[#This Row],[DATA DE VENCIMENTO]],"D"))</f>
        <v>15</v>
      </c>
      <c r="AI558" s="526" t="str">
        <f>IF(LANÇ_MOV[[#This Row],[DATA DE PAGAMENTO]]="","",TEXT(LANÇ_MOV[[#This Row],[DATA DE PAGAMENTO]],"AAAA"))</f>
        <v>2025</v>
      </c>
      <c r="AJ558" s="527" t="str">
        <f>IF(LANÇ_MOV[[#This Row],[DATA DE PAGAMENTO]]="","",UPPER(TEXT(LANÇ_MOV[[#This Row],[DATA DE PAGAMENTO]],"MMMM")))</f>
        <v>OUTUBRO</v>
      </c>
      <c r="AK558" s="527" t="str">
        <f>IF(LANÇ_MOV[[#This Row],[DATA DE PAGAMENTO]]="","",TEXT(LANÇ_MOV[[#This Row],[DATA DE PAGAMENTO]],"M"))</f>
        <v>10</v>
      </c>
      <c r="AL558" s="526" t="str">
        <f>IF(LANÇ_MOV[[#This Row],[DATA DE PAGAMENTO]]="","",TEXT(LANÇ_MOV[[#This Row],[DATA DE PAGAMENTO]],"D"))</f>
        <v>15</v>
      </c>
    </row>
    <row r="559" spans="2:38" ht="30.05" customHeight="1" x14ac:dyDescent="0.35">
      <c r="B559" s="506">
        <v>45945</v>
      </c>
      <c r="C559" s="507" t="s">
        <v>1661</v>
      </c>
      <c r="D559" s="508" t="s">
        <v>1854</v>
      </c>
      <c r="E559" s="509" t="s">
        <v>1103</v>
      </c>
      <c r="F559" s="510" t="s">
        <v>1785</v>
      </c>
      <c r="G559" s="507" t="s">
        <v>1999</v>
      </c>
      <c r="H559" s="511">
        <v>0</v>
      </c>
      <c r="I559" s="512" t="s">
        <v>1729</v>
      </c>
      <c r="J559" s="518">
        <v>428.83</v>
      </c>
      <c r="K559" s="510">
        <v>0</v>
      </c>
      <c r="L559" s="510">
        <v>0</v>
      </c>
      <c r="M559" s="548">
        <v>0</v>
      </c>
      <c r="N559" s="514">
        <f>LANÇ_MOV[[#This Row],[VALOR BRUTO]]-LANÇ_MOV[[#This Row],[DESCONTO]]+LANÇ_MOV[[#This Row],[JUROS]]+LANÇ_MOV[[#This Row],[MULTA]]</f>
        <v>428.83</v>
      </c>
      <c r="O559" s="546">
        <v>45971</v>
      </c>
      <c r="P559" s="547" t="str">
        <f t="shared" ca="1" si="8"/>
        <v>Venceu</v>
      </c>
      <c r="Q559" s="528"/>
      <c r="R559" s="529" t="s">
        <v>1564</v>
      </c>
      <c r="S559" s="518"/>
      <c r="T559" s="518" t="s">
        <v>1776</v>
      </c>
      <c r="U559" s="519" t="s">
        <v>2008</v>
      </c>
      <c r="V559" s="520" t="str">
        <f>IFERROR(VLOOKUP(LANÇ_MOV[[#This Row],[PLANO DE CONTAS]],Plano_Contas[[PLANO DE CONTAS]:[R / D]],3,0),"")</f>
        <v>Receita</v>
      </c>
      <c r="W559" s="521" t="str">
        <f>IF(LANÇ_MOV[[#This Row],[DATA DE PAGAMENTO]]&lt;&gt;"","Pago","Não Pago")</f>
        <v>Não Pago</v>
      </c>
      <c r="X559" s="522" t="str">
        <f>IFERROR(IF(LANÇ_MOV[[#This Row],[DATA DE PAGAMENTO]]="","",(UPPER(TEXT(LANÇ_MOV[[#This Row],[DATA DE PAGAMENTO]],"mmmm")))),"")</f>
        <v/>
      </c>
      <c r="Y559" s="523" t="str">
        <f>IFERROR(VLOOKUP(LANÇ_MOV[[#This Row],[PLANO DE CONTAS]],Plano_Contas[[PLANO DE CONTAS]:[NOMES INTERVALOS]],2,0),"")</f>
        <v>Receitas_Operacionais</v>
      </c>
      <c r="Z559" s="523" t="str">
        <f>IF(LANÇ_MOV[[#This Row],[FORMA DE PAGAMENTO]]="","",VLOOKUP(LANÇ_MOV[[#This Row],[FORMA DE PAGAMENTO]],CAD_Forma_pagto[],2,0))</f>
        <v>PIX</v>
      </c>
      <c r="AA559" s="524" t="str">
        <f>IF(LANÇ_MOV[[#This Row],[DATA DE LANÇAMENTO]]="","",TEXT(LANÇ_MOV[[#This Row],[DATA DE LANÇAMENTO]],"AAAA"))</f>
        <v>2025</v>
      </c>
      <c r="AB559" s="524" t="str">
        <f>IF(LANÇ_MOV[[#This Row],[DATA DE LANÇAMENTO]]="","",UPPER(TEXT(LANÇ_MOV[[#This Row],[DATA DE LANÇAMENTO]],"MMMM")))</f>
        <v>OUTUBRO</v>
      </c>
      <c r="AC559" s="525" t="str">
        <f>IF(LANÇ_MOV[[#This Row],[DATA DE LANÇAMENTO]]="","",PROPER(TEXT(LANÇ_MOV[[#This Row],[DATA DE LANÇAMENTO]],"M")))</f>
        <v>10</v>
      </c>
      <c r="AD559" s="524" t="str">
        <f>IF(LANÇ_MOV[[#This Row],[DATA DE LANÇAMENTO]]="","",TEXT(LANÇ_MOV[[#This Row],[DATA DE LANÇAMENTO]],"D"))</f>
        <v>15</v>
      </c>
      <c r="AE559" s="526" t="str">
        <f>IF(LANÇ_MOV[[#This Row],[DATA DE VENCIMENTO]]="","",TEXT(LANÇ_MOV[[#This Row],[DATA DE VENCIMENTO]],"AAAA"))</f>
        <v>2025</v>
      </c>
      <c r="AF559" s="526" t="str">
        <f>IF(LANÇ_MOV[[#This Row],[DATA DE VENCIMENTO]]="","",UPPER(TEXT(LANÇ_MOV[[#This Row],[DATA DE VENCIMENTO]],"MMMM")))</f>
        <v>NOVEMBRO</v>
      </c>
      <c r="AG559" s="526" t="str">
        <f>IF(LANÇ_MOV[[#This Row],[DATA DE VENCIMENTO]]="","",TEXT(LANÇ_MOV[[#This Row],[DATA DE VENCIMENTO]],"M"))</f>
        <v>11</v>
      </c>
      <c r="AH559" s="526" t="str">
        <f>IF(LANÇ_MOV[[#This Row],[DATA DE VENCIMENTO]]="","",TEXT(LANÇ_MOV[[#This Row],[DATA DE VENCIMENTO]],"D"))</f>
        <v>10</v>
      </c>
      <c r="AI559" s="526" t="str">
        <f>IF(LANÇ_MOV[[#This Row],[DATA DE PAGAMENTO]]="","",TEXT(LANÇ_MOV[[#This Row],[DATA DE PAGAMENTO]],"AAAA"))</f>
        <v/>
      </c>
      <c r="AJ559" s="527" t="str">
        <f>IF(LANÇ_MOV[[#This Row],[DATA DE PAGAMENTO]]="","",UPPER(TEXT(LANÇ_MOV[[#This Row],[DATA DE PAGAMENTO]],"MMMM")))</f>
        <v/>
      </c>
      <c r="AK559" s="527" t="str">
        <f>IF(LANÇ_MOV[[#This Row],[DATA DE PAGAMENTO]]="","",TEXT(LANÇ_MOV[[#This Row],[DATA DE PAGAMENTO]],"M"))</f>
        <v/>
      </c>
      <c r="AL559" s="526" t="str">
        <f>IF(LANÇ_MOV[[#This Row],[DATA DE PAGAMENTO]]="","",TEXT(LANÇ_MOV[[#This Row],[DATA DE PAGAMENTO]],"D"))</f>
        <v/>
      </c>
    </row>
    <row r="560" spans="2:38" ht="30.05" customHeight="1" x14ac:dyDescent="0.35">
      <c r="B560" s="506">
        <v>45945</v>
      </c>
      <c r="C560" s="507" t="s">
        <v>1661</v>
      </c>
      <c r="D560" s="508" t="s">
        <v>1854</v>
      </c>
      <c r="E560" s="509" t="s">
        <v>1103</v>
      </c>
      <c r="F560" s="510" t="s">
        <v>1785</v>
      </c>
      <c r="G560" s="507" t="s">
        <v>2000</v>
      </c>
      <c r="H560" s="511">
        <v>0</v>
      </c>
      <c r="I560" s="512" t="s">
        <v>1729</v>
      </c>
      <c r="J560" s="518">
        <v>428.83</v>
      </c>
      <c r="K560" s="510">
        <v>0</v>
      </c>
      <c r="L560" s="510"/>
      <c r="M560" s="548">
        <v>0</v>
      </c>
      <c r="N560" s="514">
        <f>LANÇ_MOV[[#This Row],[VALOR BRUTO]]-LANÇ_MOV[[#This Row],[DESCONTO]]+LANÇ_MOV[[#This Row],[JUROS]]+LANÇ_MOV[[#This Row],[MULTA]]</f>
        <v>428.83</v>
      </c>
      <c r="O560" s="546">
        <v>46001</v>
      </c>
      <c r="P560" s="547" t="str">
        <f t="shared" ca="1" si="8"/>
        <v>Prazo - Menos de 15 dias</v>
      </c>
      <c r="Q560" s="528"/>
      <c r="R560" s="529" t="s">
        <v>1564</v>
      </c>
      <c r="S560" s="518"/>
      <c r="T560" s="518" t="s">
        <v>1776</v>
      </c>
      <c r="U560" s="519" t="s">
        <v>2008</v>
      </c>
      <c r="V560" s="520" t="str">
        <f>IFERROR(VLOOKUP(LANÇ_MOV[[#This Row],[PLANO DE CONTAS]],Plano_Contas[[PLANO DE CONTAS]:[R / D]],3,0),"")</f>
        <v>Receita</v>
      </c>
      <c r="W560" s="521" t="str">
        <f>IF(LANÇ_MOV[[#This Row],[DATA DE PAGAMENTO]]&lt;&gt;"","Pago","Não Pago")</f>
        <v>Não Pago</v>
      </c>
      <c r="X560" s="522" t="str">
        <f>IFERROR(IF(LANÇ_MOV[[#This Row],[DATA DE PAGAMENTO]]="","",(UPPER(TEXT(LANÇ_MOV[[#This Row],[DATA DE PAGAMENTO]],"mmmm")))),"")</f>
        <v/>
      </c>
      <c r="Y560" s="523" t="str">
        <f>IFERROR(VLOOKUP(LANÇ_MOV[[#This Row],[PLANO DE CONTAS]],Plano_Contas[[PLANO DE CONTAS]:[NOMES INTERVALOS]],2,0),"")</f>
        <v>Receitas_Operacionais</v>
      </c>
      <c r="Z560" s="523" t="str">
        <f>IF(LANÇ_MOV[[#This Row],[FORMA DE PAGAMENTO]]="","",VLOOKUP(LANÇ_MOV[[#This Row],[FORMA DE PAGAMENTO]],CAD_Forma_pagto[],2,0))</f>
        <v>PIX</v>
      </c>
      <c r="AA560" s="524" t="str">
        <f>IF(LANÇ_MOV[[#This Row],[DATA DE LANÇAMENTO]]="","",TEXT(LANÇ_MOV[[#This Row],[DATA DE LANÇAMENTO]],"AAAA"))</f>
        <v>2025</v>
      </c>
      <c r="AB560" s="524" t="str">
        <f>IF(LANÇ_MOV[[#This Row],[DATA DE LANÇAMENTO]]="","",UPPER(TEXT(LANÇ_MOV[[#This Row],[DATA DE LANÇAMENTO]],"MMMM")))</f>
        <v>OUTUBRO</v>
      </c>
      <c r="AC560" s="525" t="str">
        <f>IF(LANÇ_MOV[[#This Row],[DATA DE LANÇAMENTO]]="","",PROPER(TEXT(LANÇ_MOV[[#This Row],[DATA DE LANÇAMENTO]],"M")))</f>
        <v>10</v>
      </c>
      <c r="AD560" s="524" t="str">
        <f>IF(LANÇ_MOV[[#This Row],[DATA DE LANÇAMENTO]]="","",TEXT(LANÇ_MOV[[#This Row],[DATA DE LANÇAMENTO]],"D"))</f>
        <v>15</v>
      </c>
      <c r="AE560" s="526" t="str">
        <f>IF(LANÇ_MOV[[#This Row],[DATA DE VENCIMENTO]]="","",TEXT(LANÇ_MOV[[#This Row],[DATA DE VENCIMENTO]],"AAAA"))</f>
        <v>2025</v>
      </c>
      <c r="AF560" s="526" t="str">
        <f>IF(LANÇ_MOV[[#This Row],[DATA DE VENCIMENTO]]="","",UPPER(TEXT(LANÇ_MOV[[#This Row],[DATA DE VENCIMENTO]],"MMMM")))</f>
        <v>DEZEMBRO</v>
      </c>
      <c r="AG560" s="526" t="str">
        <f>IF(LANÇ_MOV[[#This Row],[DATA DE VENCIMENTO]]="","",TEXT(LANÇ_MOV[[#This Row],[DATA DE VENCIMENTO]],"M"))</f>
        <v>12</v>
      </c>
      <c r="AH560" s="526" t="str">
        <f>IF(LANÇ_MOV[[#This Row],[DATA DE VENCIMENTO]]="","",TEXT(LANÇ_MOV[[#This Row],[DATA DE VENCIMENTO]],"D"))</f>
        <v>10</v>
      </c>
      <c r="AI560" s="526" t="str">
        <f>IF(LANÇ_MOV[[#This Row],[DATA DE PAGAMENTO]]="","",TEXT(LANÇ_MOV[[#This Row],[DATA DE PAGAMENTO]],"AAAA"))</f>
        <v/>
      </c>
      <c r="AJ560" s="527" t="str">
        <f>IF(LANÇ_MOV[[#This Row],[DATA DE PAGAMENTO]]="","",UPPER(TEXT(LANÇ_MOV[[#This Row],[DATA DE PAGAMENTO]],"MMMM")))</f>
        <v/>
      </c>
      <c r="AK560" s="527" t="str">
        <f>IF(LANÇ_MOV[[#This Row],[DATA DE PAGAMENTO]]="","",TEXT(LANÇ_MOV[[#This Row],[DATA DE PAGAMENTO]],"M"))</f>
        <v/>
      </c>
      <c r="AL560" s="526" t="str">
        <f>IF(LANÇ_MOV[[#This Row],[DATA DE PAGAMENTO]]="","",TEXT(LANÇ_MOV[[#This Row],[DATA DE PAGAMENTO]],"D"))</f>
        <v/>
      </c>
    </row>
    <row r="561" spans="2:38" ht="30.05" customHeight="1" x14ac:dyDescent="0.35">
      <c r="B561" s="506">
        <v>45946</v>
      </c>
      <c r="C561" s="507" t="s">
        <v>1661</v>
      </c>
      <c r="D561" s="508" t="s">
        <v>1854</v>
      </c>
      <c r="E561" s="509" t="s">
        <v>1103</v>
      </c>
      <c r="F561" s="510" t="s">
        <v>1785</v>
      </c>
      <c r="G561" s="507" t="s">
        <v>1993</v>
      </c>
      <c r="H561" s="511">
        <v>0</v>
      </c>
      <c r="I561" s="512" t="s">
        <v>1700</v>
      </c>
      <c r="J561" s="518">
        <v>357.33</v>
      </c>
      <c r="K561" s="510">
        <v>0</v>
      </c>
      <c r="L561" s="510">
        <v>0</v>
      </c>
      <c r="M561" s="548">
        <v>0</v>
      </c>
      <c r="N561" s="514">
        <f>LANÇ_MOV[[#This Row],[VALOR BRUTO]]-LANÇ_MOV[[#This Row],[DESCONTO]]+LANÇ_MOV[[#This Row],[JUROS]]+LANÇ_MOV[[#This Row],[MULTA]]</f>
        <v>357.33</v>
      </c>
      <c r="O561" s="546">
        <v>45940</v>
      </c>
      <c r="P561" s="547" t="str">
        <f t="shared" ca="1" si="8"/>
        <v>Pago</v>
      </c>
      <c r="Q561" s="528">
        <v>45946</v>
      </c>
      <c r="R561" s="529" t="s">
        <v>1564</v>
      </c>
      <c r="S561" s="518"/>
      <c r="T561" s="518" t="s">
        <v>1776</v>
      </c>
      <c r="U561" s="519" t="s">
        <v>2008</v>
      </c>
      <c r="V561" s="520" t="str">
        <f>IFERROR(VLOOKUP(LANÇ_MOV[[#This Row],[PLANO DE CONTAS]],Plano_Contas[[PLANO DE CONTAS]:[R / D]],3,0),"")</f>
        <v>Receita</v>
      </c>
      <c r="W561" s="521" t="str">
        <f>IF(LANÇ_MOV[[#This Row],[DATA DE PAGAMENTO]]&lt;&gt;"","Pago","Não Pago")</f>
        <v>Pago</v>
      </c>
      <c r="X561" s="522" t="str">
        <f>IFERROR(IF(LANÇ_MOV[[#This Row],[DATA DE PAGAMENTO]]="","",(UPPER(TEXT(LANÇ_MOV[[#This Row],[DATA DE PAGAMENTO]],"mmmm")))),"")</f>
        <v>OUTUBRO</v>
      </c>
      <c r="Y561" s="523" t="str">
        <f>IFERROR(VLOOKUP(LANÇ_MOV[[#This Row],[PLANO DE CONTAS]],Plano_Contas[[PLANO DE CONTAS]:[NOMES INTERVALOS]],2,0),"")</f>
        <v>Receitas_Operacionais</v>
      </c>
      <c r="Z561" s="523" t="str">
        <f>IF(LANÇ_MOV[[#This Row],[FORMA DE PAGAMENTO]]="","",VLOOKUP(LANÇ_MOV[[#This Row],[FORMA DE PAGAMENTO]],CAD_Forma_pagto[],2,0))</f>
        <v>PIX</v>
      </c>
      <c r="AA561" s="524" t="str">
        <f>IF(LANÇ_MOV[[#This Row],[DATA DE LANÇAMENTO]]="","",TEXT(LANÇ_MOV[[#This Row],[DATA DE LANÇAMENTO]],"AAAA"))</f>
        <v>2025</v>
      </c>
      <c r="AB561" s="524" t="str">
        <f>IF(LANÇ_MOV[[#This Row],[DATA DE LANÇAMENTO]]="","",UPPER(TEXT(LANÇ_MOV[[#This Row],[DATA DE LANÇAMENTO]],"MMMM")))</f>
        <v>OUTUBRO</v>
      </c>
      <c r="AC561" s="525" t="str">
        <f>IF(LANÇ_MOV[[#This Row],[DATA DE LANÇAMENTO]]="","",PROPER(TEXT(LANÇ_MOV[[#This Row],[DATA DE LANÇAMENTO]],"M")))</f>
        <v>10</v>
      </c>
      <c r="AD561" s="524" t="str">
        <f>IF(LANÇ_MOV[[#This Row],[DATA DE LANÇAMENTO]]="","",TEXT(LANÇ_MOV[[#This Row],[DATA DE LANÇAMENTO]],"D"))</f>
        <v>16</v>
      </c>
      <c r="AE561" s="526" t="str">
        <f>IF(LANÇ_MOV[[#This Row],[DATA DE VENCIMENTO]]="","",TEXT(LANÇ_MOV[[#This Row],[DATA DE VENCIMENTO]],"AAAA"))</f>
        <v>2025</v>
      </c>
      <c r="AF561" s="526" t="str">
        <f>IF(LANÇ_MOV[[#This Row],[DATA DE VENCIMENTO]]="","",UPPER(TEXT(LANÇ_MOV[[#This Row],[DATA DE VENCIMENTO]],"MMMM")))</f>
        <v>OUTUBRO</v>
      </c>
      <c r="AG561" s="526" t="str">
        <f>IF(LANÇ_MOV[[#This Row],[DATA DE VENCIMENTO]]="","",TEXT(LANÇ_MOV[[#This Row],[DATA DE VENCIMENTO]],"M"))</f>
        <v>10</v>
      </c>
      <c r="AH561" s="526" t="str">
        <f>IF(LANÇ_MOV[[#This Row],[DATA DE VENCIMENTO]]="","",TEXT(LANÇ_MOV[[#This Row],[DATA DE VENCIMENTO]],"D"))</f>
        <v>10</v>
      </c>
      <c r="AI561" s="526" t="str">
        <f>IF(LANÇ_MOV[[#This Row],[DATA DE PAGAMENTO]]="","",TEXT(LANÇ_MOV[[#This Row],[DATA DE PAGAMENTO]],"AAAA"))</f>
        <v>2025</v>
      </c>
      <c r="AJ561" s="527" t="str">
        <f>IF(LANÇ_MOV[[#This Row],[DATA DE PAGAMENTO]]="","",UPPER(TEXT(LANÇ_MOV[[#This Row],[DATA DE PAGAMENTO]],"MMMM")))</f>
        <v>OUTUBRO</v>
      </c>
      <c r="AK561" s="527" t="str">
        <f>IF(LANÇ_MOV[[#This Row],[DATA DE PAGAMENTO]]="","",TEXT(LANÇ_MOV[[#This Row],[DATA DE PAGAMENTO]],"M"))</f>
        <v>10</v>
      </c>
      <c r="AL561" s="526" t="str">
        <f>IF(LANÇ_MOV[[#This Row],[DATA DE PAGAMENTO]]="","",TEXT(LANÇ_MOV[[#This Row],[DATA DE PAGAMENTO]],"D"))</f>
        <v>16</v>
      </c>
    </row>
    <row r="562" spans="2:38" ht="30.05" customHeight="1" x14ac:dyDescent="0.35">
      <c r="B562" s="506">
        <v>45946</v>
      </c>
      <c r="C562" s="507" t="s">
        <v>1661</v>
      </c>
      <c r="D562" s="508" t="s">
        <v>1854</v>
      </c>
      <c r="E562" s="509" t="s">
        <v>1103</v>
      </c>
      <c r="F562" s="510" t="s">
        <v>1785</v>
      </c>
      <c r="G562" s="507" t="s">
        <v>1994</v>
      </c>
      <c r="H562" s="511">
        <v>0</v>
      </c>
      <c r="I562" s="512" t="s">
        <v>1700</v>
      </c>
      <c r="J562" s="518">
        <v>357.33</v>
      </c>
      <c r="K562" s="510">
        <v>0</v>
      </c>
      <c r="L562" s="510">
        <v>0</v>
      </c>
      <c r="M562" s="548">
        <v>0</v>
      </c>
      <c r="N562" s="514">
        <f>LANÇ_MOV[[#This Row],[VALOR BRUTO]]-LANÇ_MOV[[#This Row],[DESCONTO]]+LANÇ_MOV[[#This Row],[JUROS]]+LANÇ_MOV[[#This Row],[MULTA]]</f>
        <v>357.33</v>
      </c>
      <c r="O562" s="546">
        <v>45971</v>
      </c>
      <c r="P562" s="547" t="str">
        <f t="shared" ca="1" si="8"/>
        <v>Venceu</v>
      </c>
      <c r="Q562" s="528"/>
      <c r="R562" s="529" t="s">
        <v>1564</v>
      </c>
      <c r="S562" s="518"/>
      <c r="T562" s="518" t="s">
        <v>1776</v>
      </c>
      <c r="U562" s="519" t="s">
        <v>2008</v>
      </c>
      <c r="V562" s="520" t="str">
        <f>IFERROR(VLOOKUP(LANÇ_MOV[[#This Row],[PLANO DE CONTAS]],Plano_Contas[[PLANO DE CONTAS]:[R / D]],3,0),"")</f>
        <v>Receita</v>
      </c>
      <c r="W562" s="521" t="str">
        <f>IF(LANÇ_MOV[[#This Row],[DATA DE PAGAMENTO]]&lt;&gt;"","Pago","Não Pago")</f>
        <v>Não Pago</v>
      </c>
      <c r="X562" s="522" t="str">
        <f>IFERROR(IF(LANÇ_MOV[[#This Row],[DATA DE PAGAMENTO]]="","",(UPPER(TEXT(LANÇ_MOV[[#This Row],[DATA DE PAGAMENTO]],"mmmm")))),"")</f>
        <v/>
      </c>
      <c r="Y562" s="523" t="str">
        <f>IFERROR(VLOOKUP(LANÇ_MOV[[#This Row],[PLANO DE CONTAS]],Plano_Contas[[PLANO DE CONTAS]:[NOMES INTERVALOS]],2,0),"")</f>
        <v>Receitas_Operacionais</v>
      </c>
      <c r="Z562" s="523" t="str">
        <f>IF(LANÇ_MOV[[#This Row],[FORMA DE PAGAMENTO]]="","",VLOOKUP(LANÇ_MOV[[#This Row],[FORMA DE PAGAMENTO]],CAD_Forma_pagto[],2,0))</f>
        <v>PIX</v>
      </c>
      <c r="AA562" s="524" t="str">
        <f>IF(LANÇ_MOV[[#This Row],[DATA DE LANÇAMENTO]]="","",TEXT(LANÇ_MOV[[#This Row],[DATA DE LANÇAMENTO]],"AAAA"))</f>
        <v>2025</v>
      </c>
      <c r="AB562" s="524" t="str">
        <f>IF(LANÇ_MOV[[#This Row],[DATA DE LANÇAMENTO]]="","",UPPER(TEXT(LANÇ_MOV[[#This Row],[DATA DE LANÇAMENTO]],"MMMM")))</f>
        <v>OUTUBRO</v>
      </c>
      <c r="AC562" s="525" t="str">
        <f>IF(LANÇ_MOV[[#This Row],[DATA DE LANÇAMENTO]]="","",PROPER(TEXT(LANÇ_MOV[[#This Row],[DATA DE LANÇAMENTO]],"M")))</f>
        <v>10</v>
      </c>
      <c r="AD562" s="524" t="str">
        <f>IF(LANÇ_MOV[[#This Row],[DATA DE LANÇAMENTO]]="","",TEXT(LANÇ_MOV[[#This Row],[DATA DE LANÇAMENTO]],"D"))</f>
        <v>16</v>
      </c>
      <c r="AE562" s="526" t="str">
        <f>IF(LANÇ_MOV[[#This Row],[DATA DE VENCIMENTO]]="","",TEXT(LANÇ_MOV[[#This Row],[DATA DE VENCIMENTO]],"AAAA"))</f>
        <v>2025</v>
      </c>
      <c r="AF562" s="526" t="str">
        <f>IF(LANÇ_MOV[[#This Row],[DATA DE VENCIMENTO]]="","",UPPER(TEXT(LANÇ_MOV[[#This Row],[DATA DE VENCIMENTO]],"MMMM")))</f>
        <v>NOVEMBRO</v>
      </c>
      <c r="AG562" s="526" t="str">
        <f>IF(LANÇ_MOV[[#This Row],[DATA DE VENCIMENTO]]="","",TEXT(LANÇ_MOV[[#This Row],[DATA DE VENCIMENTO]],"M"))</f>
        <v>11</v>
      </c>
      <c r="AH562" s="526" t="str">
        <f>IF(LANÇ_MOV[[#This Row],[DATA DE VENCIMENTO]]="","",TEXT(LANÇ_MOV[[#This Row],[DATA DE VENCIMENTO]],"D"))</f>
        <v>10</v>
      </c>
      <c r="AI562" s="526" t="str">
        <f>IF(LANÇ_MOV[[#This Row],[DATA DE PAGAMENTO]]="","",TEXT(LANÇ_MOV[[#This Row],[DATA DE PAGAMENTO]],"AAAA"))</f>
        <v/>
      </c>
      <c r="AJ562" s="527" t="str">
        <f>IF(LANÇ_MOV[[#This Row],[DATA DE PAGAMENTO]]="","",UPPER(TEXT(LANÇ_MOV[[#This Row],[DATA DE PAGAMENTO]],"MMMM")))</f>
        <v/>
      </c>
      <c r="AK562" s="527" t="str">
        <f>IF(LANÇ_MOV[[#This Row],[DATA DE PAGAMENTO]]="","",TEXT(LANÇ_MOV[[#This Row],[DATA DE PAGAMENTO]],"M"))</f>
        <v/>
      </c>
      <c r="AL562" s="526" t="str">
        <f>IF(LANÇ_MOV[[#This Row],[DATA DE PAGAMENTO]]="","",TEXT(LANÇ_MOV[[#This Row],[DATA DE PAGAMENTO]],"D"))</f>
        <v/>
      </c>
    </row>
    <row r="563" spans="2:38" ht="30.05" customHeight="1" x14ac:dyDescent="0.35">
      <c r="B563" s="506">
        <v>45946</v>
      </c>
      <c r="C563" s="507" t="s">
        <v>1661</v>
      </c>
      <c r="D563" s="508" t="s">
        <v>1854</v>
      </c>
      <c r="E563" s="509" t="s">
        <v>1103</v>
      </c>
      <c r="F563" s="510" t="s">
        <v>1785</v>
      </c>
      <c r="G563" s="507" t="s">
        <v>1995</v>
      </c>
      <c r="H563" s="511">
        <v>0</v>
      </c>
      <c r="I563" s="512" t="s">
        <v>1700</v>
      </c>
      <c r="J563" s="518">
        <v>357.33</v>
      </c>
      <c r="K563" s="510">
        <v>0</v>
      </c>
      <c r="L563" s="510"/>
      <c r="M563" s="548">
        <v>0</v>
      </c>
      <c r="N563" s="514">
        <f>LANÇ_MOV[[#This Row],[VALOR BRUTO]]-LANÇ_MOV[[#This Row],[DESCONTO]]+LANÇ_MOV[[#This Row],[JUROS]]+LANÇ_MOV[[#This Row],[MULTA]]</f>
        <v>357.33</v>
      </c>
      <c r="O563" s="546">
        <v>46001</v>
      </c>
      <c r="P563" s="547" t="str">
        <f t="shared" ca="1" si="8"/>
        <v>Prazo - Menos de 15 dias</v>
      </c>
      <c r="Q563" s="528"/>
      <c r="R563" s="529" t="s">
        <v>1564</v>
      </c>
      <c r="S563" s="518"/>
      <c r="T563" s="518" t="s">
        <v>1776</v>
      </c>
      <c r="U563" s="519" t="s">
        <v>2008</v>
      </c>
      <c r="V563" s="520" t="str">
        <f>IFERROR(VLOOKUP(LANÇ_MOV[[#This Row],[PLANO DE CONTAS]],Plano_Contas[[PLANO DE CONTAS]:[R / D]],3,0),"")</f>
        <v>Receita</v>
      </c>
      <c r="W563" s="521" t="str">
        <f>IF(LANÇ_MOV[[#This Row],[DATA DE PAGAMENTO]]&lt;&gt;"","Pago","Não Pago")</f>
        <v>Não Pago</v>
      </c>
      <c r="X563" s="522" t="str">
        <f>IFERROR(IF(LANÇ_MOV[[#This Row],[DATA DE PAGAMENTO]]="","",(UPPER(TEXT(LANÇ_MOV[[#This Row],[DATA DE PAGAMENTO]],"mmmm")))),"")</f>
        <v/>
      </c>
      <c r="Y563" s="523" t="str">
        <f>IFERROR(VLOOKUP(LANÇ_MOV[[#This Row],[PLANO DE CONTAS]],Plano_Contas[[PLANO DE CONTAS]:[NOMES INTERVALOS]],2,0),"")</f>
        <v>Receitas_Operacionais</v>
      </c>
      <c r="Z563" s="523" t="str">
        <f>IF(LANÇ_MOV[[#This Row],[FORMA DE PAGAMENTO]]="","",VLOOKUP(LANÇ_MOV[[#This Row],[FORMA DE PAGAMENTO]],CAD_Forma_pagto[],2,0))</f>
        <v>PIX</v>
      </c>
      <c r="AA563" s="524" t="str">
        <f>IF(LANÇ_MOV[[#This Row],[DATA DE LANÇAMENTO]]="","",TEXT(LANÇ_MOV[[#This Row],[DATA DE LANÇAMENTO]],"AAAA"))</f>
        <v>2025</v>
      </c>
      <c r="AB563" s="524" t="str">
        <f>IF(LANÇ_MOV[[#This Row],[DATA DE LANÇAMENTO]]="","",UPPER(TEXT(LANÇ_MOV[[#This Row],[DATA DE LANÇAMENTO]],"MMMM")))</f>
        <v>OUTUBRO</v>
      </c>
      <c r="AC563" s="525" t="str">
        <f>IF(LANÇ_MOV[[#This Row],[DATA DE LANÇAMENTO]]="","",PROPER(TEXT(LANÇ_MOV[[#This Row],[DATA DE LANÇAMENTO]],"M")))</f>
        <v>10</v>
      </c>
      <c r="AD563" s="524" t="str">
        <f>IF(LANÇ_MOV[[#This Row],[DATA DE LANÇAMENTO]]="","",TEXT(LANÇ_MOV[[#This Row],[DATA DE LANÇAMENTO]],"D"))</f>
        <v>16</v>
      </c>
      <c r="AE563" s="526" t="str">
        <f>IF(LANÇ_MOV[[#This Row],[DATA DE VENCIMENTO]]="","",TEXT(LANÇ_MOV[[#This Row],[DATA DE VENCIMENTO]],"AAAA"))</f>
        <v>2025</v>
      </c>
      <c r="AF563" s="526" t="str">
        <f>IF(LANÇ_MOV[[#This Row],[DATA DE VENCIMENTO]]="","",UPPER(TEXT(LANÇ_MOV[[#This Row],[DATA DE VENCIMENTO]],"MMMM")))</f>
        <v>DEZEMBRO</v>
      </c>
      <c r="AG563" s="526" t="str">
        <f>IF(LANÇ_MOV[[#This Row],[DATA DE VENCIMENTO]]="","",TEXT(LANÇ_MOV[[#This Row],[DATA DE VENCIMENTO]],"M"))</f>
        <v>12</v>
      </c>
      <c r="AH563" s="526" t="str">
        <f>IF(LANÇ_MOV[[#This Row],[DATA DE VENCIMENTO]]="","",TEXT(LANÇ_MOV[[#This Row],[DATA DE VENCIMENTO]],"D"))</f>
        <v>10</v>
      </c>
      <c r="AI563" s="526" t="str">
        <f>IF(LANÇ_MOV[[#This Row],[DATA DE PAGAMENTO]]="","",TEXT(LANÇ_MOV[[#This Row],[DATA DE PAGAMENTO]],"AAAA"))</f>
        <v/>
      </c>
      <c r="AJ563" s="527" t="str">
        <f>IF(LANÇ_MOV[[#This Row],[DATA DE PAGAMENTO]]="","",UPPER(TEXT(LANÇ_MOV[[#This Row],[DATA DE PAGAMENTO]],"MMMM")))</f>
        <v/>
      </c>
      <c r="AK563" s="527" t="str">
        <f>IF(LANÇ_MOV[[#This Row],[DATA DE PAGAMENTO]]="","",TEXT(LANÇ_MOV[[#This Row],[DATA DE PAGAMENTO]],"M"))</f>
        <v/>
      </c>
      <c r="AL563" s="526" t="str">
        <f>IF(LANÇ_MOV[[#This Row],[DATA DE PAGAMENTO]]="","",TEXT(LANÇ_MOV[[#This Row],[DATA DE PAGAMENTO]],"D"))</f>
        <v/>
      </c>
    </row>
    <row r="564" spans="2:38" ht="30.05" customHeight="1" x14ac:dyDescent="0.35">
      <c r="B564" s="506">
        <v>45946</v>
      </c>
      <c r="C564" s="507" t="s">
        <v>1661</v>
      </c>
      <c r="D564" s="508" t="s">
        <v>1854</v>
      </c>
      <c r="E564" s="509" t="s">
        <v>1103</v>
      </c>
      <c r="F564" s="510" t="s">
        <v>1785</v>
      </c>
      <c r="G564" s="507" t="s">
        <v>1996</v>
      </c>
      <c r="H564" s="511">
        <v>0</v>
      </c>
      <c r="I564" s="512" t="s">
        <v>1700</v>
      </c>
      <c r="J564" s="518">
        <v>357.33</v>
      </c>
      <c r="K564" s="510">
        <v>0</v>
      </c>
      <c r="L564" s="510"/>
      <c r="M564" s="548">
        <v>0</v>
      </c>
      <c r="N564" s="514">
        <f>LANÇ_MOV[[#This Row],[VALOR BRUTO]]-LANÇ_MOV[[#This Row],[DESCONTO]]+LANÇ_MOV[[#This Row],[JUROS]]+LANÇ_MOV[[#This Row],[MULTA]]</f>
        <v>357.33</v>
      </c>
      <c r="O564" s="546">
        <v>46032</v>
      </c>
      <c r="P564" s="547" t="str">
        <f t="shared" ca="1" si="8"/>
        <v>Prazo - Mais de 1 mês</v>
      </c>
      <c r="Q564" s="528"/>
      <c r="R564" s="529" t="s">
        <v>1564</v>
      </c>
      <c r="S564" s="518"/>
      <c r="T564" s="518" t="s">
        <v>1776</v>
      </c>
      <c r="U564" s="519" t="s">
        <v>2008</v>
      </c>
      <c r="V564" s="520" t="str">
        <f>IFERROR(VLOOKUP(LANÇ_MOV[[#This Row],[PLANO DE CONTAS]],Plano_Contas[[PLANO DE CONTAS]:[R / D]],3,0),"")</f>
        <v>Receita</v>
      </c>
      <c r="W564" s="521" t="str">
        <f>IF(LANÇ_MOV[[#This Row],[DATA DE PAGAMENTO]]&lt;&gt;"","Pago","Não Pago")</f>
        <v>Não Pago</v>
      </c>
      <c r="X564" s="522" t="str">
        <f>IFERROR(IF(LANÇ_MOV[[#This Row],[DATA DE PAGAMENTO]]="","",(UPPER(TEXT(LANÇ_MOV[[#This Row],[DATA DE PAGAMENTO]],"mmmm")))),"")</f>
        <v/>
      </c>
      <c r="Y564" s="523" t="str">
        <f>IFERROR(VLOOKUP(LANÇ_MOV[[#This Row],[PLANO DE CONTAS]],Plano_Contas[[PLANO DE CONTAS]:[NOMES INTERVALOS]],2,0),"")</f>
        <v>Receitas_Operacionais</v>
      </c>
      <c r="Z564" s="523" t="str">
        <f>IF(LANÇ_MOV[[#This Row],[FORMA DE PAGAMENTO]]="","",VLOOKUP(LANÇ_MOV[[#This Row],[FORMA DE PAGAMENTO]],CAD_Forma_pagto[],2,0))</f>
        <v>PIX</v>
      </c>
      <c r="AA564" s="524" t="str">
        <f>IF(LANÇ_MOV[[#This Row],[DATA DE LANÇAMENTO]]="","",TEXT(LANÇ_MOV[[#This Row],[DATA DE LANÇAMENTO]],"AAAA"))</f>
        <v>2025</v>
      </c>
      <c r="AB564" s="524" t="str">
        <f>IF(LANÇ_MOV[[#This Row],[DATA DE LANÇAMENTO]]="","",UPPER(TEXT(LANÇ_MOV[[#This Row],[DATA DE LANÇAMENTO]],"MMMM")))</f>
        <v>OUTUBRO</v>
      </c>
      <c r="AC564" s="525" t="str">
        <f>IF(LANÇ_MOV[[#This Row],[DATA DE LANÇAMENTO]]="","",PROPER(TEXT(LANÇ_MOV[[#This Row],[DATA DE LANÇAMENTO]],"M")))</f>
        <v>10</v>
      </c>
      <c r="AD564" s="524" t="str">
        <f>IF(LANÇ_MOV[[#This Row],[DATA DE LANÇAMENTO]]="","",TEXT(LANÇ_MOV[[#This Row],[DATA DE LANÇAMENTO]],"D"))</f>
        <v>16</v>
      </c>
      <c r="AE564" s="526" t="str">
        <f>IF(LANÇ_MOV[[#This Row],[DATA DE VENCIMENTO]]="","",TEXT(LANÇ_MOV[[#This Row],[DATA DE VENCIMENTO]],"AAAA"))</f>
        <v>2026</v>
      </c>
      <c r="AF564" s="526" t="str">
        <f>IF(LANÇ_MOV[[#This Row],[DATA DE VENCIMENTO]]="","",UPPER(TEXT(LANÇ_MOV[[#This Row],[DATA DE VENCIMENTO]],"MMMM")))</f>
        <v>JANEIRO</v>
      </c>
      <c r="AG564" s="526" t="str">
        <f>IF(LANÇ_MOV[[#This Row],[DATA DE VENCIMENTO]]="","",TEXT(LANÇ_MOV[[#This Row],[DATA DE VENCIMENTO]],"M"))</f>
        <v>1</v>
      </c>
      <c r="AH564" s="526" t="str">
        <f>IF(LANÇ_MOV[[#This Row],[DATA DE VENCIMENTO]]="","",TEXT(LANÇ_MOV[[#This Row],[DATA DE VENCIMENTO]],"D"))</f>
        <v>10</v>
      </c>
      <c r="AI564" s="526" t="str">
        <f>IF(LANÇ_MOV[[#This Row],[DATA DE PAGAMENTO]]="","",TEXT(LANÇ_MOV[[#This Row],[DATA DE PAGAMENTO]],"AAAA"))</f>
        <v/>
      </c>
      <c r="AJ564" s="527" t="str">
        <f>IF(LANÇ_MOV[[#This Row],[DATA DE PAGAMENTO]]="","",UPPER(TEXT(LANÇ_MOV[[#This Row],[DATA DE PAGAMENTO]],"MMMM")))</f>
        <v/>
      </c>
      <c r="AK564" s="527" t="str">
        <f>IF(LANÇ_MOV[[#This Row],[DATA DE PAGAMENTO]]="","",TEXT(LANÇ_MOV[[#This Row],[DATA DE PAGAMENTO]],"M"))</f>
        <v/>
      </c>
      <c r="AL564" s="526" t="str">
        <f>IF(LANÇ_MOV[[#This Row],[DATA DE PAGAMENTO]]="","",TEXT(LANÇ_MOV[[#This Row],[DATA DE PAGAMENTO]],"D"))</f>
        <v/>
      </c>
    </row>
    <row r="565" spans="2:38" ht="30.05" customHeight="1" x14ac:dyDescent="0.35">
      <c r="B565" s="506">
        <v>45946</v>
      </c>
      <c r="C565" s="507" t="s">
        <v>1661</v>
      </c>
      <c r="D565" s="508" t="s">
        <v>1854</v>
      </c>
      <c r="E565" s="509" t="s">
        <v>1103</v>
      </c>
      <c r="F565" s="510" t="s">
        <v>1785</v>
      </c>
      <c r="G565" s="507"/>
      <c r="H565" s="511">
        <v>0</v>
      </c>
      <c r="I565" s="512" t="s">
        <v>1717</v>
      </c>
      <c r="J565" s="518">
        <v>439.3</v>
      </c>
      <c r="K565" s="510">
        <v>0</v>
      </c>
      <c r="L565" s="510">
        <v>0</v>
      </c>
      <c r="M565" s="548">
        <v>0</v>
      </c>
      <c r="N565" s="514">
        <f>LANÇ_MOV[[#This Row],[VALOR BRUTO]]-LANÇ_MOV[[#This Row],[DESCONTO]]+LANÇ_MOV[[#This Row],[JUROS]]+LANÇ_MOV[[#This Row],[MULTA]]</f>
        <v>439.3</v>
      </c>
      <c r="O565" s="546">
        <v>45946</v>
      </c>
      <c r="P565" s="547" t="str">
        <f t="shared" ref="P565:P628" ca="1" si="9">IF(O565="","",IF(Q565&lt;&gt;"","Pago",IF(O565-TODAY()&gt;30,"Prazo - Mais de 1 mês",IF(O565=TODAY(),"Hoje",IF(O565&lt;TODAY(),"Venceu",IF(O565-TODAY()&lt;10,"Prazo - Menos de 10 dias",IF(O565-TODAY()&lt;15,"Prazo - Menos de 15 dias","Prazo - Menos de 1 Mês")))))))</f>
        <v>Pago</v>
      </c>
      <c r="Q565" s="528">
        <v>45946</v>
      </c>
      <c r="R565" s="529" t="s">
        <v>1564</v>
      </c>
      <c r="S565" s="518"/>
      <c r="T565" s="518" t="s">
        <v>1776</v>
      </c>
      <c r="U565" s="519" t="s">
        <v>2008</v>
      </c>
      <c r="V565" s="520" t="str">
        <f>IFERROR(VLOOKUP(LANÇ_MOV[[#This Row],[PLANO DE CONTAS]],Plano_Contas[[PLANO DE CONTAS]:[R / D]],3,0),"")</f>
        <v>Receita</v>
      </c>
      <c r="W565" s="521" t="str">
        <f>IF(LANÇ_MOV[[#This Row],[DATA DE PAGAMENTO]]&lt;&gt;"","Pago","Não Pago")</f>
        <v>Pago</v>
      </c>
      <c r="X565" s="522" t="str">
        <f>IFERROR(IF(LANÇ_MOV[[#This Row],[DATA DE PAGAMENTO]]="","",(UPPER(TEXT(LANÇ_MOV[[#This Row],[DATA DE PAGAMENTO]],"mmmm")))),"")</f>
        <v>OUTUBRO</v>
      </c>
      <c r="Y565" s="523" t="str">
        <f>IFERROR(VLOOKUP(LANÇ_MOV[[#This Row],[PLANO DE CONTAS]],Plano_Contas[[PLANO DE CONTAS]:[NOMES INTERVALOS]],2,0),"")</f>
        <v>Receitas_Operacionais</v>
      </c>
      <c r="Z565" s="523" t="str">
        <f>IF(LANÇ_MOV[[#This Row],[FORMA DE PAGAMENTO]]="","",VLOOKUP(LANÇ_MOV[[#This Row],[FORMA DE PAGAMENTO]],CAD_Forma_pagto[],2,0))</f>
        <v>PIX</v>
      </c>
      <c r="AA565" s="524" t="str">
        <f>IF(LANÇ_MOV[[#This Row],[DATA DE LANÇAMENTO]]="","",TEXT(LANÇ_MOV[[#This Row],[DATA DE LANÇAMENTO]],"AAAA"))</f>
        <v>2025</v>
      </c>
      <c r="AB565" s="524" t="str">
        <f>IF(LANÇ_MOV[[#This Row],[DATA DE LANÇAMENTO]]="","",UPPER(TEXT(LANÇ_MOV[[#This Row],[DATA DE LANÇAMENTO]],"MMMM")))</f>
        <v>OUTUBRO</v>
      </c>
      <c r="AC565" s="525" t="str">
        <f>IF(LANÇ_MOV[[#This Row],[DATA DE LANÇAMENTO]]="","",PROPER(TEXT(LANÇ_MOV[[#This Row],[DATA DE LANÇAMENTO]],"M")))</f>
        <v>10</v>
      </c>
      <c r="AD565" s="524" t="str">
        <f>IF(LANÇ_MOV[[#This Row],[DATA DE LANÇAMENTO]]="","",TEXT(LANÇ_MOV[[#This Row],[DATA DE LANÇAMENTO]],"D"))</f>
        <v>16</v>
      </c>
      <c r="AE565" s="526" t="str">
        <f>IF(LANÇ_MOV[[#This Row],[DATA DE VENCIMENTO]]="","",TEXT(LANÇ_MOV[[#This Row],[DATA DE VENCIMENTO]],"AAAA"))</f>
        <v>2025</v>
      </c>
      <c r="AF565" s="526" t="str">
        <f>IF(LANÇ_MOV[[#This Row],[DATA DE VENCIMENTO]]="","",UPPER(TEXT(LANÇ_MOV[[#This Row],[DATA DE VENCIMENTO]],"MMMM")))</f>
        <v>OUTUBRO</v>
      </c>
      <c r="AG565" s="526" t="str">
        <f>IF(LANÇ_MOV[[#This Row],[DATA DE VENCIMENTO]]="","",TEXT(LANÇ_MOV[[#This Row],[DATA DE VENCIMENTO]],"M"))</f>
        <v>10</v>
      </c>
      <c r="AH565" s="526" t="str">
        <f>IF(LANÇ_MOV[[#This Row],[DATA DE VENCIMENTO]]="","",TEXT(LANÇ_MOV[[#This Row],[DATA DE VENCIMENTO]],"D"))</f>
        <v>16</v>
      </c>
      <c r="AI565" s="526" t="str">
        <f>IF(LANÇ_MOV[[#This Row],[DATA DE PAGAMENTO]]="","",TEXT(LANÇ_MOV[[#This Row],[DATA DE PAGAMENTO]],"AAAA"))</f>
        <v>2025</v>
      </c>
      <c r="AJ565" s="527" t="str">
        <f>IF(LANÇ_MOV[[#This Row],[DATA DE PAGAMENTO]]="","",UPPER(TEXT(LANÇ_MOV[[#This Row],[DATA DE PAGAMENTO]],"MMMM")))</f>
        <v>OUTUBRO</v>
      </c>
      <c r="AK565" s="527" t="str">
        <f>IF(LANÇ_MOV[[#This Row],[DATA DE PAGAMENTO]]="","",TEXT(LANÇ_MOV[[#This Row],[DATA DE PAGAMENTO]],"M"))</f>
        <v>10</v>
      </c>
      <c r="AL565" s="526" t="str">
        <f>IF(LANÇ_MOV[[#This Row],[DATA DE PAGAMENTO]]="","",TEXT(LANÇ_MOV[[#This Row],[DATA DE PAGAMENTO]],"D"))</f>
        <v>16</v>
      </c>
    </row>
    <row r="566" spans="2:38" ht="30.05" customHeight="1" x14ac:dyDescent="0.35">
      <c r="B566" s="506">
        <v>45946</v>
      </c>
      <c r="C566" s="507" t="s">
        <v>1661</v>
      </c>
      <c r="D566" s="508" t="s">
        <v>1854</v>
      </c>
      <c r="E566" s="509" t="s">
        <v>1441</v>
      </c>
      <c r="F566" s="510"/>
      <c r="G566" s="507"/>
      <c r="H566" s="511"/>
      <c r="I566" s="512" t="s">
        <v>1732</v>
      </c>
      <c r="J566" s="518">
        <v>2040.72</v>
      </c>
      <c r="K566" s="510">
        <v>0</v>
      </c>
      <c r="L566" s="510"/>
      <c r="M566" s="548">
        <v>0</v>
      </c>
      <c r="N566" s="514">
        <f>LANÇ_MOV[[#This Row],[VALOR BRUTO]]-LANÇ_MOV[[#This Row],[DESCONTO]]+LANÇ_MOV[[#This Row],[JUROS]]+LANÇ_MOV[[#This Row],[MULTA]]</f>
        <v>2040.72</v>
      </c>
      <c r="O566" s="546">
        <v>45946</v>
      </c>
      <c r="P566" s="547" t="str">
        <f t="shared" ca="1" si="9"/>
        <v>Pago</v>
      </c>
      <c r="Q566" s="528">
        <v>45946</v>
      </c>
      <c r="R566" s="529" t="s">
        <v>1564</v>
      </c>
      <c r="S566" s="518"/>
      <c r="T566" s="518" t="s">
        <v>1776</v>
      </c>
      <c r="U566" s="519" t="s">
        <v>2007</v>
      </c>
      <c r="V566" s="520" t="str">
        <f>IFERROR(VLOOKUP(LANÇ_MOV[[#This Row],[PLANO DE CONTAS]],Plano_Contas[[PLANO DE CONTAS]:[R / D]],3,0),"")</f>
        <v>Receita</v>
      </c>
      <c r="W566" s="521" t="str">
        <f>IF(LANÇ_MOV[[#This Row],[DATA DE PAGAMENTO]]&lt;&gt;"","Pago","Não Pago")</f>
        <v>Pago</v>
      </c>
      <c r="X566" s="522" t="str">
        <f>IFERROR(IF(LANÇ_MOV[[#This Row],[DATA DE PAGAMENTO]]="","",(UPPER(TEXT(LANÇ_MOV[[#This Row],[DATA DE PAGAMENTO]],"mmmm")))),"")</f>
        <v>OUTUBRO</v>
      </c>
      <c r="Y566" s="523" t="str">
        <f>IFERROR(VLOOKUP(LANÇ_MOV[[#This Row],[PLANO DE CONTAS]],Plano_Contas[[PLANO DE CONTAS]:[NOMES INTERVALOS]],2,0),"")</f>
        <v>Receitas_Outros_Creditos</v>
      </c>
      <c r="Z566" s="523" t="str">
        <f>IF(LANÇ_MOV[[#This Row],[FORMA DE PAGAMENTO]]="","",VLOOKUP(LANÇ_MOV[[#This Row],[FORMA DE PAGAMENTO]],CAD_Forma_pagto[],2,0))</f>
        <v>PIX</v>
      </c>
      <c r="AA566" s="524" t="str">
        <f>IF(LANÇ_MOV[[#This Row],[DATA DE LANÇAMENTO]]="","",TEXT(LANÇ_MOV[[#This Row],[DATA DE LANÇAMENTO]],"AAAA"))</f>
        <v>2025</v>
      </c>
      <c r="AB566" s="524" t="str">
        <f>IF(LANÇ_MOV[[#This Row],[DATA DE LANÇAMENTO]]="","",UPPER(TEXT(LANÇ_MOV[[#This Row],[DATA DE LANÇAMENTO]],"MMMM")))</f>
        <v>OUTUBRO</v>
      </c>
      <c r="AC566" s="525" t="str">
        <f>IF(LANÇ_MOV[[#This Row],[DATA DE LANÇAMENTO]]="","",PROPER(TEXT(LANÇ_MOV[[#This Row],[DATA DE LANÇAMENTO]],"M")))</f>
        <v>10</v>
      </c>
      <c r="AD566" s="524" t="str">
        <f>IF(LANÇ_MOV[[#This Row],[DATA DE LANÇAMENTO]]="","",TEXT(LANÇ_MOV[[#This Row],[DATA DE LANÇAMENTO]],"D"))</f>
        <v>16</v>
      </c>
      <c r="AE566" s="526" t="str">
        <f>IF(LANÇ_MOV[[#This Row],[DATA DE VENCIMENTO]]="","",TEXT(LANÇ_MOV[[#This Row],[DATA DE VENCIMENTO]],"AAAA"))</f>
        <v>2025</v>
      </c>
      <c r="AF566" s="526" t="str">
        <f>IF(LANÇ_MOV[[#This Row],[DATA DE VENCIMENTO]]="","",UPPER(TEXT(LANÇ_MOV[[#This Row],[DATA DE VENCIMENTO]],"MMMM")))</f>
        <v>OUTUBRO</v>
      </c>
      <c r="AG566" s="526" t="str">
        <f>IF(LANÇ_MOV[[#This Row],[DATA DE VENCIMENTO]]="","",TEXT(LANÇ_MOV[[#This Row],[DATA DE VENCIMENTO]],"M"))</f>
        <v>10</v>
      </c>
      <c r="AH566" s="526" t="str">
        <f>IF(LANÇ_MOV[[#This Row],[DATA DE VENCIMENTO]]="","",TEXT(LANÇ_MOV[[#This Row],[DATA DE VENCIMENTO]],"D"))</f>
        <v>16</v>
      </c>
      <c r="AI566" s="526" t="str">
        <f>IF(LANÇ_MOV[[#This Row],[DATA DE PAGAMENTO]]="","",TEXT(LANÇ_MOV[[#This Row],[DATA DE PAGAMENTO]],"AAAA"))</f>
        <v>2025</v>
      </c>
      <c r="AJ566" s="527" t="str">
        <f>IF(LANÇ_MOV[[#This Row],[DATA DE PAGAMENTO]]="","",UPPER(TEXT(LANÇ_MOV[[#This Row],[DATA DE PAGAMENTO]],"MMMM")))</f>
        <v>OUTUBRO</v>
      </c>
      <c r="AK566" s="527" t="str">
        <f>IF(LANÇ_MOV[[#This Row],[DATA DE PAGAMENTO]]="","",TEXT(LANÇ_MOV[[#This Row],[DATA DE PAGAMENTO]],"M"))</f>
        <v>10</v>
      </c>
      <c r="AL566" s="526" t="str">
        <f>IF(LANÇ_MOV[[#This Row],[DATA DE PAGAMENTO]]="","",TEXT(LANÇ_MOV[[#This Row],[DATA DE PAGAMENTO]],"D"))</f>
        <v>16</v>
      </c>
    </row>
    <row r="567" spans="2:38" ht="30.05" customHeight="1" x14ac:dyDescent="0.35">
      <c r="B567" s="506">
        <v>45951</v>
      </c>
      <c r="C567" s="507" t="s">
        <v>1661</v>
      </c>
      <c r="D567" s="508" t="s">
        <v>1854</v>
      </c>
      <c r="E567" s="509" t="s">
        <v>1144</v>
      </c>
      <c r="F567" s="510" t="s">
        <v>1489</v>
      </c>
      <c r="G567" s="507"/>
      <c r="H567" s="511"/>
      <c r="I567" s="512" t="s">
        <v>1757</v>
      </c>
      <c r="J567" s="518">
        <v>862.65</v>
      </c>
      <c r="K567" s="510">
        <v>0</v>
      </c>
      <c r="L567" s="510"/>
      <c r="M567" s="548">
        <v>0</v>
      </c>
      <c r="N567" s="514">
        <f>LANÇ_MOV[[#This Row],[VALOR BRUTO]]-LANÇ_MOV[[#This Row],[DESCONTO]]+LANÇ_MOV[[#This Row],[JUROS]]+LANÇ_MOV[[#This Row],[MULTA]]</f>
        <v>862.65</v>
      </c>
      <c r="O567" s="546">
        <v>45951</v>
      </c>
      <c r="P567" s="547" t="str">
        <f t="shared" ca="1" si="9"/>
        <v>Pago</v>
      </c>
      <c r="Q567" s="528">
        <v>45951</v>
      </c>
      <c r="R567" s="529" t="s">
        <v>1564</v>
      </c>
      <c r="S567" s="518"/>
      <c r="T567" s="518" t="s">
        <v>1776</v>
      </c>
      <c r="U567" s="519" t="s">
        <v>2007</v>
      </c>
      <c r="V567" s="520" t="str">
        <f>IFERROR(VLOOKUP(LANÇ_MOV[[#This Row],[PLANO DE CONTAS]],Plano_Contas[[PLANO DE CONTAS]:[R / D]],3,0),"")</f>
        <v>Despesa</v>
      </c>
      <c r="W567" s="521" t="str">
        <f>IF(LANÇ_MOV[[#This Row],[DATA DE PAGAMENTO]]&lt;&gt;"","Pago","Não Pago")</f>
        <v>Pago</v>
      </c>
      <c r="X567" s="522" t="str">
        <f>IFERROR(IF(LANÇ_MOV[[#This Row],[DATA DE PAGAMENTO]]="","",(UPPER(TEXT(LANÇ_MOV[[#This Row],[DATA DE PAGAMENTO]],"mmmm")))),"")</f>
        <v>OUTUBRO</v>
      </c>
      <c r="Y567" s="523" t="str">
        <f>IFERROR(VLOOKUP(LANÇ_MOV[[#This Row],[PLANO DE CONTAS]],Plano_Contas[[PLANO DE CONTAS]:[NOMES INTERVALOS]],2,0),"")</f>
        <v>Despesas_Administrativas</v>
      </c>
      <c r="Z567" s="523" t="str">
        <f>IF(LANÇ_MOV[[#This Row],[FORMA DE PAGAMENTO]]="","",VLOOKUP(LANÇ_MOV[[#This Row],[FORMA DE PAGAMENTO]],CAD_Forma_pagto[],2,0))</f>
        <v>PIX</v>
      </c>
      <c r="AA567" s="524" t="str">
        <f>IF(LANÇ_MOV[[#This Row],[DATA DE LANÇAMENTO]]="","",TEXT(LANÇ_MOV[[#This Row],[DATA DE LANÇAMENTO]],"AAAA"))</f>
        <v>2025</v>
      </c>
      <c r="AB567" s="524" t="str">
        <f>IF(LANÇ_MOV[[#This Row],[DATA DE LANÇAMENTO]]="","",UPPER(TEXT(LANÇ_MOV[[#This Row],[DATA DE LANÇAMENTO]],"MMMM")))</f>
        <v>OUTUBRO</v>
      </c>
      <c r="AC567" s="525" t="str">
        <f>IF(LANÇ_MOV[[#This Row],[DATA DE LANÇAMENTO]]="","",PROPER(TEXT(LANÇ_MOV[[#This Row],[DATA DE LANÇAMENTO]],"M")))</f>
        <v>10</v>
      </c>
      <c r="AD567" s="524" t="str">
        <f>IF(LANÇ_MOV[[#This Row],[DATA DE LANÇAMENTO]]="","",TEXT(LANÇ_MOV[[#This Row],[DATA DE LANÇAMENTO]],"D"))</f>
        <v>21</v>
      </c>
      <c r="AE567" s="526" t="str">
        <f>IF(LANÇ_MOV[[#This Row],[DATA DE VENCIMENTO]]="","",TEXT(LANÇ_MOV[[#This Row],[DATA DE VENCIMENTO]],"AAAA"))</f>
        <v>2025</v>
      </c>
      <c r="AF567" s="526" t="str">
        <f>IF(LANÇ_MOV[[#This Row],[DATA DE VENCIMENTO]]="","",UPPER(TEXT(LANÇ_MOV[[#This Row],[DATA DE VENCIMENTO]],"MMMM")))</f>
        <v>OUTUBRO</v>
      </c>
      <c r="AG567" s="526" t="str">
        <f>IF(LANÇ_MOV[[#This Row],[DATA DE VENCIMENTO]]="","",TEXT(LANÇ_MOV[[#This Row],[DATA DE VENCIMENTO]],"M"))</f>
        <v>10</v>
      </c>
      <c r="AH567" s="526" t="str">
        <f>IF(LANÇ_MOV[[#This Row],[DATA DE VENCIMENTO]]="","",TEXT(LANÇ_MOV[[#This Row],[DATA DE VENCIMENTO]],"D"))</f>
        <v>21</v>
      </c>
      <c r="AI567" s="526" t="str">
        <f>IF(LANÇ_MOV[[#This Row],[DATA DE PAGAMENTO]]="","",TEXT(LANÇ_MOV[[#This Row],[DATA DE PAGAMENTO]],"AAAA"))</f>
        <v>2025</v>
      </c>
      <c r="AJ567" s="527" t="str">
        <f>IF(LANÇ_MOV[[#This Row],[DATA DE PAGAMENTO]]="","",UPPER(TEXT(LANÇ_MOV[[#This Row],[DATA DE PAGAMENTO]],"MMMM")))</f>
        <v>OUTUBRO</v>
      </c>
      <c r="AK567" s="527" t="str">
        <f>IF(LANÇ_MOV[[#This Row],[DATA DE PAGAMENTO]]="","",TEXT(LANÇ_MOV[[#This Row],[DATA DE PAGAMENTO]],"M"))</f>
        <v>10</v>
      </c>
      <c r="AL567" s="526" t="str">
        <f>IF(LANÇ_MOV[[#This Row],[DATA DE PAGAMENTO]]="","",TEXT(LANÇ_MOV[[#This Row],[DATA DE PAGAMENTO]],"D"))</f>
        <v>21</v>
      </c>
    </row>
    <row r="568" spans="2:38" ht="30.05" customHeight="1" x14ac:dyDescent="0.35">
      <c r="B568" s="506">
        <v>45951</v>
      </c>
      <c r="C568" s="507" t="s">
        <v>1661</v>
      </c>
      <c r="D568" s="508" t="s">
        <v>1854</v>
      </c>
      <c r="E568" s="509" t="s">
        <v>1144</v>
      </c>
      <c r="F568" s="510" t="s">
        <v>1489</v>
      </c>
      <c r="G568" s="507"/>
      <c r="H568" s="511"/>
      <c r="I568" s="512" t="s">
        <v>1754</v>
      </c>
      <c r="J568" s="518">
        <v>1948.95</v>
      </c>
      <c r="K568" s="510">
        <v>0</v>
      </c>
      <c r="L568" s="510"/>
      <c r="M568" s="548">
        <v>0</v>
      </c>
      <c r="N568" s="514">
        <f>LANÇ_MOV[[#This Row],[VALOR BRUTO]]-LANÇ_MOV[[#This Row],[DESCONTO]]+LANÇ_MOV[[#This Row],[JUROS]]+LANÇ_MOV[[#This Row],[MULTA]]</f>
        <v>1948.95</v>
      </c>
      <c r="O568" s="546">
        <v>45951</v>
      </c>
      <c r="P568" s="547" t="str">
        <f t="shared" ca="1" si="9"/>
        <v>Pago</v>
      </c>
      <c r="Q568" s="528">
        <v>45951</v>
      </c>
      <c r="R568" s="529" t="s">
        <v>1564</v>
      </c>
      <c r="S568" s="518"/>
      <c r="T568" s="518" t="s">
        <v>1776</v>
      </c>
      <c r="U568" s="519" t="s">
        <v>2007</v>
      </c>
      <c r="V568" s="520" t="str">
        <f>IFERROR(VLOOKUP(LANÇ_MOV[[#This Row],[PLANO DE CONTAS]],Plano_Contas[[PLANO DE CONTAS]:[R / D]],3,0),"")</f>
        <v>Despesa</v>
      </c>
      <c r="W568" s="521" t="str">
        <f>IF(LANÇ_MOV[[#This Row],[DATA DE PAGAMENTO]]&lt;&gt;"","Pago","Não Pago")</f>
        <v>Pago</v>
      </c>
      <c r="X568" s="522" t="str">
        <f>IFERROR(IF(LANÇ_MOV[[#This Row],[DATA DE PAGAMENTO]]="","",(UPPER(TEXT(LANÇ_MOV[[#This Row],[DATA DE PAGAMENTO]],"mmmm")))),"")</f>
        <v>OUTUBRO</v>
      </c>
      <c r="Y568" s="523" t="str">
        <f>IFERROR(VLOOKUP(LANÇ_MOV[[#This Row],[PLANO DE CONTAS]],Plano_Contas[[PLANO DE CONTAS]:[NOMES INTERVALOS]],2,0),"")</f>
        <v>Despesas_Administrativas</v>
      </c>
      <c r="Z568" s="523" t="str">
        <f>IF(LANÇ_MOV[[#This Row],[FORMA DE PAGAMENTO]]="","",VLOOKUP(LANÇ_MOV[[#This Row],[FORMA DE PAGAMENTO]],CAD_Forma_pagto[],2,0))</f>
        <v>PIX</v>
      </c>
      <c r="AA568" s="524" t="str">
        <f>IF(LANÇ_MOV[[#This Row],[DATA DE LANÇAMENTO]]="","",TEXT(LANÇ_MOV[[#This Row],[DATA DE LANÇAMENTO]],"AAAA"))</f>
        <v>2025</v>
      </c>
      <c r="AB568" s="524" t="str">
        <f>IF(LANÇ_MOV[[#This Row],[DATA DE LANÇAMENTO]]="","",UPPER(TEXT(LANÇ_MOV[[#This Row],[DATA DE LANÇAMENTO]],"MMMM")))</f>
        <v>OUTUBRO</v>
      </c>
      <c r="AC568" s="525" t="str">
        <f>IF(LANÇ_MOV[[#This Row],[DATA DE LANÇAMENTO]]="","",PROPER(TEXT(LANÇ_MOV[[#This Row],[DATA DE LANÇAMENTO]],"M")))</f>
        <v>10</v>
      </c>
      <c r="AD568" s="524" t="str">
        <f>IF(LANÇ_MOV[[#This Row],[DATA DE LANÇAMENTO]]="","",TEXT(LANÇ_MOV[[#This Row],[DATA DE LANÇAMENTO]],"D"))</f>
        <v>21</v>
      </c>
      <c r="AE568" s="526" t="str">
        <f>IF(LANÇ_MOV[[#This Row],[DATA DE VENCIMENTO]]="","",TEXT(LANÇ_MOV[[#This Row],[DATA DE VENCIMENTO]],"AAAA"))</f>
        <v>2025</v>
      </c>
      <c r="AF568" s="526" t="str">
        <f>IF(LANÇ_MOV[[#This Row],[DATA DE VENCIMENTO]]="","",UPPER(TEXT(LANÇ_MOV[[#This Row],[DATA DE VENCIMENTO]],"MMMM")))</f>
        <v>OUTUBRO</v>
      </c>
      <c r="AG568" s="526" t="str">
        <f>IF(LANÇ_MOV[[#This Row],[DATA DE VENCIMENTO]]="","",TEXT(LANÇ_MOV[[#This Row],[DATA DE VENCIMENTO]],"M"))</f>
        <v>10</v>
      </c>
      <c r="AH568" s="526" t="str">
        <f>IF(LANÇ_MOV[[#This Row],[DATA DE VENCIMENTO]]="","",TEXT(LANÇ_MOV[[#This Row],[DATA DE VENCIMENTO]],"D"))</f>
        <v>21</v>
      </c>
      <c r="AI568" s="526" t="str">
        <f>IF(LANÇ_MOV[[#This Row],[DATA DE PAGAMENTO]]="","",TEXT(LANÇ_MOV[[#This Row],[DATA DE PAGAMENTO]],"AAAA"))</f>
        <v>2025</v>
      </c>
      <c r="AJ568" s="527" t="str">
        <f>IF(LANÇ_MOV[[#This Row],[DATA DE PAGAMENTO]]="","",UPPER(TEXT(LANÇ_MOV[[#This Row],[DATA DE PAGAMENTO]],"MMMM")))</f>
        <v>OUTUBRO</v>
      </c>
      <c r="AK568" s="527" t="str">
        <f>IF(LANÇ_MOV[[#This Row],[DATA DE PAGAMENTO]]="","",TEXT(LANÇ_MOV[[#This Row],[DATA DE PAGAMENTO]],"M"))</f>
        <v>10</v>
      </c>
      <c r="AL568" s="526" t="str">
        <f>IF(LANÇ_MOV[[#This Row],[DATA DE PAGAMENTO]]="","",TEXT(LANÇ_MOV[[#This Row],[DATA DE PAGAMENTO]],"D"))</f>
        <v>21</v>
      </c>
    </row>
    <row r="569" spans="2:38" ht="30.05" customHeight="1" x14ac:dyDescent="0.35">
      <c r="B569" s="506">
        <v>45951</v>
      </c>
      <c r="C569" s="507" t="s">
        <v>1661</v>
      </c>
      <c r="D569" s="508" t="s">
        <v>1854</v>
      </c>
      <c r="E569" s="509" t="s">
        <v>1144</v>
      </c>
      <c r="F569" s="510" t="s">
        <v>1489</v>
      </c>
      <c r="G569" s="507"/>
      <c r="H569" s="511"/>
      <c r="I569" s="512" t="s">
        <v>1748</v>
      </c>
      <c r="J569" s="518">
        <v>2396.25</v>
      </c>
      <c r="K569" s="510">
        <v>0</v>
      </c>
      <c r="L569" s="510"/>
      <c r="M569" s="548">
        <v>0</v>
      </c>
      <c r="N569" s="514">
        <f>LANÇ_MOV[[#This Row],[VALOR BRUTO]]-LANÇ_MOV[[#This Row],[DESCONTO]]+LANÇ_MOV[[#This Row],[JUROS]]+LANÇ_MOV[[#This Row],[MULTA]]</f>
        <v>2396.25</v>
      </c>
      <c r="O569" s="546">
        <v>45951</v>
      </c>
      <c r="P569" s="547" t="str">
        <f t="shared" ca="1" si="9"/>
        <v>Pago</v>
      </c>
      <c r="Q569" s="528">
        <v>45951</v>
      </c>
      <c r="R569" s="529" t="s">
        <v>1564</v>
      </c>
      <c r="S569" s="518"/>
      <c r="T569" s="518" t="s">
        <v>1776</v>
      </c>
      <c r="U569" s="519" t="s">
        <v>2007</v>
      </c>
      <c r="V569" s="520" t="str">
        <f>IFERROR(VLOOKUP(LANÇ_MOV[[#This Row],[PLANO DE CONTAS]],Plano_Contas[[PLANO DE CONTAS]:[R / D]],3,0),"")</f>
        <v>Despesa</v>
      </c>
      <c r="W569" s="521" t="str">
        <f>IF(LANÇ_MOV[[#This Row],[DATA DE PAGAMENTO]]&lt;&gt;"","Pago","Não Pago")</f>
        <v>Pago</v>
      </c>
      <c r="X569" s="522" t="str">
        <f>IFERROR(IF(LANÇ_MOV[[#This Row],[DATA DE PAGAMENTO]]="","",(UPPER(TEXT(LANÇ_MOV[[#This Row],[DATA DE PAGAMENTO]],"mmmm")))),"")</f>
        <v>OUTUBRO</v>
      </c>
      <c r="Y569" s="523" t="str">
        <f>IFERROR(VLOOKUP(LANÇ_MOV[[#This Row],[PLANO DE CONTAS]],Plano_Contas[[PLANO DE CONTAS]:[NOMES INTERVALOS]],2,0),"")</f>
        <v>Despesas_Administrativas</v>
      </c>
      <c r="Z569" s="523" t="str">
        <f>IF(LANÇ_MOV[[#This Row],[FORMA DE PAGAMENTO]]="","",VLOOKUP(LANÇ_MOV[[#This Row],[FORMA DE PAGAMENTO]],CAD_Forma_pagto[],2,0))</f>
        <v>PIX</v>
      </c>
      <c r="AA569" s="524" t="str">
        <f>IF(LANÇ_MOV[[#This Row],[DATA DE LANÇAMENTO]]="","",TEXT(LANÇ_MOV[[#This Row],[DATA DE LANÇAMENTO]],"AAAA"))</f>
        <v>2025</v>
      </c>
      <c r="AB569" s="524" t="str">
        <f>IF(LANÇ_MOV[[#This Row],[DATA DE LANÇAMENTO]]="","",UPPER(TEXT(LANÇ_MOV[[#This Row],[DATA DE LANÇAMENTO]],"MMMM")))</f>
        <v>OUTUBRO</v>
      </c>
      <c r="AC569" s="525" t="str">
        <f>IF(LANÇ_MOV[[#This Row],[DATA DE LANÇAMENTO]]="","",PROPER(TEXT(LANÇ_MOV[[#This Row],[DATA DE LANÇAMENTO]],"M")))</f>
        <v>10</v>
      </c>
      <c r="AD569" s="524" t="str">
        <f>IF(LANÇ_MOV[[#This Row],[DATA DE LANÇAMENTO]]="","",TEXT(LANÇ_MOV[[#This Row],[DATA DE LANÇAMENTO]],"D"))</f>
        <v>21</v>
      </c>
      <c r="AE569" s="526" t="str">
        <f>IF(LANÇ_MOV[[#This Row],[DATA DE VENCIMENTO]]="","",TEXT(LANÇ_MOV[[#This Row],[DATA DE VENCIMENTO]],"AAAA"))</f>
        <v>2025</v>
      </c>
      <c r="AF569" s="526" t="str">
        <f>IF(LANÇ_MOV[[#This Row],[DATA DE VENCIMENTO]]="","",UPPER(TEXT(LANÇ_MOV[[#This Row],[DATA DE VENCIMENTO]],"MMMM")))</f>
        <v>OUTUBRO</v>
      </c>
      <c r="AG569" s="526" t="str">
        <f>IF(LANÇ_MOV[[#This Row],[DATA DE VENCIMENTO]]="","",TEXT(LANÇ_MOV[[#This Row],[DATA DE VENCIMENTO]],"M"))</f>
        <v>10</v>
      </c>
      <c r="AH569" s="526" t="str">
        <f>IF(LANÇ_MOV[[#This Row],[DATA DE VENCIMENTO]]="","",TEXT(LANÇ_MOV[[#This Row],[DATA DE VENCIMENTO]],"D"))</f>
        <v>21</v>
      </c>
      <c r="AI569" s="526" t="str">
        <f>IF(LANÇ_MOV[[#This Row],[DATA DE PAGAMENTO]]="","",TEXT(LANÇ_MOV[[#This Row],[DATA DE PAGAMENTO]],"AAAA"))</f>
        <v>2025</v>
      </c>
      <c r="AJ569" s="527" t="str">
        <f>IF(LANÇ_MOV[[#This Row],[DATA DE PAGAMENTO]]="","",UPPER(TEXT(LANÇ_MOV[[#This Row],[DATA DE PAGAMENTO]],"MMMM")))</f>
        <v>OUTUBRO</v>
      </c>
      <c r="AK569" s="527" t="str">
        <f>IF(LANÇ_MOV[[#This Row],[DATA DE PAGAMENTO]]="","",TEXT(LANÇ_MOV[[#This Row],[DATA DE PAGAMENTO]],"M"))</f>
        <v>10</v>
      </c>
      <c r="AL569" s="526" t="str">
        <f>IF(LANÇ_MOV[[#This Row],[DATA DE PAGAMENTO]]="","",TEXT(LANÇ_MOV[[#This Row],[DATA DE PAGAMENTO]],"D"))</f>
        <v>21</v>
      </c>
    </row>
    <row r="570" spans="2:38" ht="30.05" customHeight="1" x14ac:dyDescent="0.35">
      <c r="B570" s="506">
        <v>45951</v>
      </c>
      <c r="C570" s="507" t="s">
        <v>1661</v>
      </c>
      <c r="D570" s="508" t="s">
        <v>1854</v>
      </c>
      <c r="E570" s="509" t="s">
        <v>1144</v>
      </c>
      <c r="F570" s="510" t="s">
        <v>1489</v>
      </c>
      <c r="G570" s="507"/>
      <c r="H570" s="511"/>
      <c r="I570" s="512" t="s">
        <v>1745</v>
      </c>
      <c r="J570" s="518">
        <v>958.5</v>
      </c>
      <c r="K570" s="510">
        <v>0</v>
      </c>
      <c r="L570" s="510"/>
      <c r="M570" s="548">
        <v>0</v>
      </c>
      <c r="N570" s="514">
        <f>LANÇ_MOV[[#This Row],[VALOR BRUTO]]-LANÇ_MOV[[#This Row],[DESCONTO]]+LANÇ_MOV[[#This Row],[JUROS]]+LANÇ_MOV[[#This Row],[MULTA]]</f>
        <v>958.5</v>
      </c>
      <c r="O570" s="546">
        <v>45951</v>
      </c>
      <c r="P570" s="547" t="str">
        <f t="shared" ca="1" si="9"/>
        <v>Pago</v>
      </c>
      <c r="Q570" s="528">
        <v>45951</v>
      </c>
      <c r="R570" s="529" t="s">
        <v>1564</v>
      </c>
      <c r="S570" s="518"/>
      <c r="T570" s="518" t="s">
        <v>1776</v>
      </c>
      <c r="U570" s="519" t="s">
        <v>2007</v>
      </c>
      <c r="V570" s="520" t="str">
        <f>IFERROR(VLOOKUP(LANÇ_MOV[[#This Row],[PLANO DE CONTAS]],Plano_Contas[[PLANO DE CONTAS]:[R / D]],3,0),"")</f>
        <v>Despesa</v>
      </c>
      <c r="W570" s="521" t="str">
        <f>IF(LANÇ_MOV[[#This Row],[DATA DE PAGAMENTO]]&lt;&gt;"","Pago","Não Pago")</f>
        <v>Pago</v>
      </c>
      <c r="X570" s="522" t="str">
        <f>IFERROR(IF(LANÇ_MOV[[#This Row],[DATA DE PAGAMENTO]]="","",(UPPER(TEXT(LANÇ_MOV[[#This Row],[DATA DE PAGAMENTO]],"mmmm")))),"")</f>
        <v>OUTUBRO</v>
      </c>
      <c r="Y570" s="523" t="str">
        <f>IFERROR(VLOOKUP(LANÇ_MOV[[#This Row],[PLANO DE CONTAS]],Plano_Contas[[PLANO DE CONTAS]:[NOMES INTERVALOS]],2,0),"")</f>
        <v>Despesas_Administrativas</v>
      </c>
      <c r="Z570" s="523" t="str">
        <f>IF(LANÇ_MOV[[#This Row],[FORMA DE PAGAMENTO]]="","",VLOOKUP(LANÇ_MOV[[#This Row],[FORMA DE PAGAMENTO]],CAD_Forma_pagto[],2,0))</f>
        <v>PIX</v>
      </c>
      <c r="AA570" s="524" t="str">
        <f>IF(LANÇ_MOV[[#This Row],[DATA DE LANÇAMENTO]]="","",TEXT(LANÇ_MOV[[#This Row],[DATA DE LANÇAMENTO]],"AAAA"))</f>
        <v>2025</v>
      </c>
      <c r="AB570" s="524" t="str">
        <f>IF(LANÇ_MOV[[#This Row],[DATA DE LANÇAMENTO]]="","",UPPER(TEXT(LANÇ_MOV[[#This Row],[DATA DE LANÇAMENTO]],"MMMM")))</f>
        <v>OUTUBRO</v>
      </c>
      <c r="AC570" s="525" t="str">
        <f>IF(LANÇ_MOV[[#This Row],[DATA DE LANÇAMENTO]]="","",PROPER(TEXT(LANÇ_MOV[[#This Row],[DATA DE LANÇAMENTO]],"M")))</f>
        <v>10</v>
      </c>
      <c r="AD570" s="524" t="str">
        <f>IF(LANÇ_MOV[[#This Row],[DATA DE LANÇAMENTO]]="","",TEXT(LANÇ_MOV[[#This Row],[DATA DE LANÇAMENTO]],"D"))</f>
        <v>21</v>
      </c>
      <c r="AE570" s="526" t="str">
        <f>IF(LANÇ_MOV[[#This Row],[DATA DE VENCIMENTO]]="","",TEXT(LANÇ_MOV[[#This Row],[DATA DE VENCIMENTO]],"AAAA"))</f>
        <v>2025</v>
      </c>
      <c r="AF570" s="526" t="str">
        <f>IF(LANÇ_MOV[[#This Row],[DATA DE VENCIMENTO]]="","",UPPER(TEXT(LANÇ_MOV[[#This Row],[DATA DE VENCIMENTO]],"MMMM")))</f>
        <v>OUTUBRO</v>
      </c>
      <c r="AG570" s="526" t="str">
        <f>IF(LANÇ_MOV[[#This Row],[DATA DE VENCIMENTO]]="","",TEXT(LANÇ_MOV[[#This Row],[DATA DE VENCIMENTO]],"M"))</f>
        <v>10</v>
      </c>
      <c r="AH570" s="526" t="str">
        <f>IF(LANÇ_MOV[[#This Row],[DATA DE VENCIMENTO]]="","",TEXT(LANÇ_MOV[[#This Row],[DATA DE VENCIMENTO]],"D"))</f>
        <v>21</v>
      </c>
      <c r="AI570" s="526" t="str">
        <f>IF(LANÇ_MOV[[#This Row],[DATA DE PAGAMENTO]]="","",TEXT(LANÇ_MOV[[#This Row],[DATA DE PAGAMENTO]],"AAAA"))</f>
        <v>2025</v>
      </c>
      <c r="AJ570" s="527" t="str">
        <f>IF(LANÇ_MOV[[#This Row],[DATA DE PAGAMENTO]]="","",UPPER(TEXT(LANÇ_MOV[[#This Row],[DATA DE PAGAMENTO]],"MMMM")))</f>
        <v>OUTUBRO</v>
      </c>
      <c r="AK570" s="527" t="str">
        <f>IF(LANÇ_MOV[[#This Row],[DATA DE PAGAMENTO]]="","",TEXT(LANÇ_MOV[[#This Row],[DATA DE PAGAMENTO]],"M"))</f>
        <v>10</v>
      </c>
      <c r="AL570" s="526" t="str">
        <f>IF(LANÇ_MOV[[#This Row],[DATA DE PAGAMENTO]]="","",TEXT(LANÇ_MOV[[#This Row],[DATA DE PAGAMENTO]],"D"))</f>
        <v>21</v>
      </c>
    </row>
    <row r="571" spans="2:38" ht="30.05" customHeight="1" x14ac:dyDescent="0.35">
      <c r="B571" s="506">
        <v>45952</v>
      </c>
      <c r="C571" s="507" t="s">
        <v>1661</v>
      </c>
      <c r="D571" s="508" t="s">
        <v>1854</v>
      </c>
      <c r="E571" s="509" t="s">
        <v>1144</v>
      </c>
      <c r="F571" s="510" t="s">
        <v>1489</v>
      </c>
      <c r="G571" s="507"/>
      <c r="H571" s="511"/>
      <c r="I571" s="512" t="s">
        <v>1742</v>
      </c>
      <c r="J571" s="518">
        <v>2300.4</v>
      </c>
      <c r="K571" s="510">
        <v>0</v>
      </c>
      <c r="L571" s="510"/>
      <c r="M571" s="548">
        <v>0</v>
      </c>
      <c r="N571" s="514">
        <f>LANÇ_MOV[[#This Row],[VALOR BRUTO]]-LANÇ_MOV[[#This Row],[DESCONTO]]+LANÇ_MOV[[#This Row],[JUROS]]+LANÇ_MOV[[#This Row],[MULTA]]</f>
        <v>2300.4</v>
      </c>
      <c r="O571" s="546">
        <v>45951</v>
      </c>
      <c r="P571" s="547" t="str">
        <f t="shared" ca="1" si="9"/>
        <v>Pago</v>
      </c>
      <c r="Q571" s="528">
        <v>45951</v>
      </c>
      <c r="R571" s="529" t="s">
        <v>1564</v>
      </c>
      <c r="S571" s="518"/>
      <c r="T571" s="518" t="s">
        <v>1776</v>
      </c>
      <c r="U571" s="519" t="s">
        <v>2007</v>
      </c>
      <c r="V571" s="520" t="str">
        <f>IFERROR(VLOOKUP(LANÇ_MOV[[#This Row],[PLANO DE CONTAS]],Plano_Contas[[PLANO DE CONTAS]:[R / D]],3,0),"")</f>
        <v>Despesa</v>
      </c>
      <c r="W571" s="521" t="str">
        <f>IF(LANÇ_MOV[[#This Row],[DATA DE PAGAMENTO]]&lt;&gt;"","Pago","Não Pago")</f>
        <v>Pago</v>
      </c>
      <c r="X571" s="522" t="str">
        <f>IFERROR(IF(LANÇ_MOV[[#This Row],[DATA DE PAGAMENTO]]="","",(UPPER(TEXT(LANÇ_MOV[[#This Row],[DATA DE PAGAMENTO]],"mmmm")))),"")</f>
        <v>OUTUBRO</v>
      </c>
      <c r="Y571" s="523" t="str">
        <f>IFERROR(VLOOKUP(LANÇ_MOV[[#This Row],[PLANO DE CONTAS]],Plano_Contas[[PLANO DE CONTAS]:[NOMES INTERVALOS]],2,0),"")</f>
        <v>Despesas_Administrativas</v>
      </c>
      <c r="Z571" s="523" t="str">
        <f>IF(LANÇ_MOV[[#This Row],[FORMA DE PAGAMENTO]]="","",VLOOKUP(LANÇ_MOV[[#This Row],[FORMA DE PAGAMENTO]],CAD_Forma_pagto[],2,0))</f>
        <v>PIX</v>
      </c>
      <c r="AA571" s="524" t="str">
        <f>IF(LANÇ_MOV[[#This Row],[DATA DE LANÇAMENTO]]="","",TEXT(LANÇ_MOV[[#This Row],[DATA DE LANÇAMENTO]],"AAAA"))</f>
        <v>2025</v>
      </c>
      <c r="AB571" s="524" t="str">
        <f>IF(LANÇ_MOV[[#This Row],[DATA DE LANÇAMENTO]]="","",UPPER(TEXT(LANÇ_MOV[[#This Row],[DATA DE LANÇAMENTO]],"MMMM")))</f>
        <v>OUTUBRO</v>
      </c>
      <c r="AC571" s="525" t="str">
        <f>IF(LANÇ_MOV[[#This Row],[DATA DE LANÇAMENTO]]="","",PROPER(TEXT(LANÇ_MOV[[#This Row],[DATA DE LANÇAMENTO]],"M")))</f>
        <v>10</v>
      </c>
      <c r="AD571" s="524" t="str">
        <f>IF(LANÇ_MOV[[#This Row],[DATA DE LANÇAMENTO]]="","",TEXT(LANÇ_MOV[[#This Row],[DATA DE LANÇAMENTO]],"D"))</f>
        <v>22</v>
      </c>
      <c r="AE571" s="526" t="str">
        <f>IF(LANÇ_MOV[[#This Row],[DATA DE VENCIMENTO]]="","",TEXT(LANÇ_MOV[[#This Row],[DATA DE VENCIMENTO]],"AAAA"))</f>
        <v>2025</v>
      </c>
      <c r="AF571" s="526" t="str">
        <f>IF(LANÇ_MOV[[#This Row],[DATA DE VENCIMENTO]]="","",UPPER(TEXT(LANÇ_MOV[[#This Row],[DATA DE VENCIMENTO]],"MMMM")))</f>
        <v>OUTUBRO</v>
      </c>
      <c r="AG571" s="526" t="str">
        <f>IF(LANÇ_MOV[[#This Row],[DATA DE VENCIMENTO]]="","",TEXT(LANÇ_MOV[[#This Row],[DATA DE VENCIMENTO]],"M"))</f>
        <v>10</v>
      </c>
      <c r="AH571" s="526" t="str">
        <f>IF(LANÇ_MOV[[#This Row],[DATA DE VENCIMENTO]]="","",TEXT(LANÇ_MOV[[#This Row],[DATA DE VENCIMENTO]],"D"))</f>
        <v>21</v>
      </c>
      <c r="AI571" s="526" t="str">
        <f>IF(LANÇ_MOV[[#This Row],[DATA DE PAGAMENTO]]="","",TEXT(LANÇ_MOV[[#This Row],[DATA DE PAGAMENTO]],"AAAA"))</f>
        <v>2025</v>
      </c>
      <c r="AJ571" s="527" t="str">
        <f>IF(LANÇ_MOV[[#This Row],[DATA DE PAGAMENTO]]="","",UPPER(TEXT(LANÇ_MOV[[#This Row],[DATA DE PAGAMENTO]],"MMMM")))</f>
        <v>OUTUBRO</v>
      </c>
      <c r="AK571" s="527" t="str">
        <f>IF(LANÇ_MOV[[#This Row],[DATA DE PAGAMENTO]]="","",TEXT(LANÇ_MOV[[#This Row],[DATA DE PAGAMENTO]],"M"))</f>
        <v>10</v>
      </c>
      <c r="AL571" s="526" t="str">
        <f>IF(LANÇ_MOV[[#This Row],[DATA DE PAGAMENTO]]="","",TEXT(LANÇ_MOV[[#This Row],[DATA DE PAGAMENTO]],"D"))</f>
        <v>21</v>
      </c>
    </row>
    <row r="572" spans="2:38" ht="30.05" customHeight="1" x14ac:dyDescent="0.35">
      <c r="B572" s="506">
        <v>45952</v>
      </c>
      <c r="C572" s="507" t="s">
        <v>1661</v>
      </c>
      <c r="D572" s="508" t="s">
        <v>1854</v>
      </c>
      <c r="E572" s="509" t="s">
        <v>1441</v>
      </c>
      <c r="F572" s="510" t="s">
        <v>1502</v>
      </c>
      <c r="G572" s="507"/>
      <c r="H572" s="511"/>
      <c r="I572" s="512" t="s">
        <v>1734</v>
      </c>
      <c r="J572" s="518">
        <v>0.5</v>
      </c>
      <c r="K572" s="510">
        <v>0</v>
      </c>
      <c r="L572" s="510"/>
      <c r="M572" s="548"/>
      <c r="N572" s="514">
        <f>LANÇ_MOV[[#This Row],[VALOR BRUTO]]-LANÇ_MOV[[#This Row],[DESCONTO]]+LANÇ_MOV[[#This Row],[JUROS]]+LANÇ_MOV[[#This Row],[MULTA]]</f>
        <v>0.5</v>
      </c>
      <c r="O572" s="546">
        <v>45952</v>
      </c>
      <c r="P572" s="547" t="str">
        <f t="shared" ca="1" si="9"/>
        <v>Pago</v>
      </c>
      <c r="Q572" s="528">
        <v>45952</v>
      </c>
      <c r="R572" s="529" t="s">
        <v>1564</v>
      </c>
      <c r="S572" s="518"/>
      <c r="T572" s="518" t="s">
        <v>1776</v>
      </c>
      <c r="U572" s="519" t="s">
        <v>2007</v>
      </c>
      <c r="V572" s="520" t="str">
        <f>IFERROR(VLOOKUP(LANÇ_MOV[[#This Row],[PLANO DE CONTAS]],Plano_Contas[[PLANO DE CONTAS]:[R / D]],3,0),"")</f>
        <v>Receita</v>
      </c>
      <c r="W572" s="521" t="str">
        <f>IF(LANÇ_MOV[[#This Row],[DATA DE PAGAMENTO]]&lt;&gt;"","Pago","Não Pago")</f>
        <v>Pago</v>
      </c>
      <c r="X572" s="522" t="str">
        <f>IFERROR(IF(LANÇ_MOV[[#This Row],[DATA DE PAGAMENTO]]="","",(UPPER(TEXT(LANÇ_MOV[[#This Row],[DATA DE PAGAMENTO]],"mmmm")))),"")</f>
        <v>OUTUBRO</v>
      </c>
      <c r="Y572" s="523" t="str">
        <f>IFERROR(VLOOKUP(LANÇ_MOV[[#This Row],[PLANO DE CONTAS]],Plano_Contas[[PLANO DE CONTAS]:[NOMES INTERVALOS]],2,0),"")</f>
        <v>Receitas_Outros_Creditos</v>
      </c>
      <c r="Z572" s="523" t="str">
        <f>IF(LANÇ_MOV[[#This Row],[FORMA DE PAGAMENTO]]="","",VLOOKUP(LANÇ_MOV[[#This Row],[FORMA DE PAGAMENTO]],CAD_Forma_pagto[],2,0))</f>
        <v>PIX</v>
      </c>
      <c r="AA572" s="524" t="str">
        <f>IF(LANÇ_MOV[[#This Row],[DATA DE LANÇAMENTO]]="","",TEXT(LANÇ_MOV[[#This Row],[DATA DE LANÇAMENTO]],"AAAA"))</f>
        <v>2025</v>
      </c>
      <c r="AB572" s="524" t="str">
        <f>IF(LANÇ_MOV[[#This Row],[DATA DE LANÇAMENTO]]="","",UPPER(TEXT(LANÇ_MOV[[#This Row],[DATA DE LANÇAMENTO]],"MMMM")))</f>
        <v>OUTUBRO</v>
      </c>
      <c r="AC572" s="525" t="str">
        <f>IF(LANÇ_MOV[[#This Row],[DATA DE LANÇAMENTO]]="","",PROPER(TEXT(LANÇ_MOV[[#This Row],[DATA DE LANÇAMENTO]],"M")))</f>
        <v>10</v>
      </c>
      <c r="AD572" s="524" t="str">
        <f>IF(LANÇ_MOV[[#This Row],[DATA DE LANÇAMENTO]]="","",TEXT(LANÇ_MOV[[#This Row],[DATA DE LANÇAMENTO]],"D"))</f>
        <v>22</v>
      </c>
      <c r="AE572" s="526" t="str">
        <f>IF(LANÇ_MOV[[#This Row],[DATA DE VENCIMENTO]]="","",TEXT(LANÇ_MOV[[#This Row],[DATA DE VENCIMENTO]],"AAAA"))</f>
        <v>2025</v>
      </c>
      <c r="AF572" s="526" t="str">
        <f>IF(LANÇ_MOV[[#This Row],[DATA DE VENCIMENTO]]="","",UPPER(TEXT(LANÇ_MOV[[#This Row],[DATA DE VENCIMENTO]],"MMMM")))</f>
        <v>OUTUBRO</v>
      </c>
      <c r="AG572" s="526" t="str">
        <f>IF(LANÇ_MOV[[#This Row],[DATA DE VENCIMENTO]]="","",TEXT(LANÇ_MOV[[#This Row],[DATA DE VENCIMENTO]],"M"))</f>
        <v>10</v>
      </c>
      <c r="AH572" s="526" t="str">
        <f>IF(LANÇ_MOV[[#This Row],[DATA DE VENCIMENTO]]="","",TEXT(LANÇ_MOV[[#This Row],[DATA DE VENCIMENTO]],"D"))</f>
        <v>22</v>
      </c>
      <c r="AI572" s="526" t="str">
        <f>IF(LANÇ_MOV[[#This Row],[DATA DE PAGAMENTO]]="","",TEXT(LANÇ_MOV[[#This Row],[DATA DE PAGAMENTO]],"AAAA"))</f>
        <v>2025</v>
      </c>
      <c r="AJ572" s="527" t="str">
        <f>IF(LANÇ_MOV[[#This Row],[DATA DE PAGAMENTO]]="","",UPPER(TEXT(LANÇ_MOV[[#This Row],[DATA DE PAGAMENTO]],"MMMM")))</f>
        <v>OUTUBRO</v>
      </c>
      <c r="AK572" s="527" t="str">
        <f>IF(LANÇ_MOV[[#This Row],[DATA DE PAGAMENTO]]="","",TEXT(LANÇ_MOV[[#This Row],[DATA DE PAGAMENTO]],"M"))</f>
        <v>10</v>
      </c>
      <c r="AL572" s="526" t="str">
        <f>IF(LANÇ_MOV[[#This Row],[DATA DE PAGAMENTO]]="","",TEXT(LANÇ_MOV[[#This Row],[DATA DE PAGAMENTO]],"D"))</f>
        <v>22</v>
      </c>
    </row>
    <row r="573" spans="2:38" ht="30.05" customHeight="1" x14ac:dyDescent="0.35">
      <c r="B573" s="506">
        <v>45952</v>
      </c>
      <c r="C573" s="507" t="s">
        <v>1661</v>
      </c>
      <c r="D573" s="508" t="s">
        <v>1854</v>
      </c>
      <c r="E573" s="509" t="s">
        <v>228</v>
      </c>
      <c r="F573" s="510" t="s">
        <v>1511</v>
      </c>
      <c r="G573" s="507" t="s">
        <v>2001</v>
      </c>
      <c r="H573" s="511">
        <v>0</v>
      </c>
      <c r="I573" s="512" t="s">
        <v>1759</v>
      </c>
      <c r="J573" s="518">
        <v>488.73</v>
      </c>
      <c r="K573" s="510">
        <v>0</v>
      </c>
      <c r="L573" s="510"/>
      <c r="M573" s="548">
        <v>0</v>
      </c>
      <c r="N573" s="514">
        <f>LANÇ_MOV[[#This Row],[VALOR BRUTO]]-LANÇ_MOV[[#This Row],[DESCONTO]]+LANÇ_MOV[[#This Row],[JUROS]]+LANÇ_MOV[[#This Row],[MULTA]]</f>
        <v>488.73</v>
      </c>
      <c r="O573" s="546">
        <v>45968</v>
      </c>
      <c r="P573" s="547" t="str">
        <f t="shared" ca="1" si="9"/>
        <v>Pago</v>
      </c>
      <c r="Q573" s="528">
        <v>45952</v>
      </c>
      <c r="R573" s="529" t="s">
        <v>1506</v>
      </c>
      <c r="S573" s="518"/>
      <c r="T573" s="518" t="s">
        <v>1776</v>
      </c>
      <c r="U573" s="519" t="s">
        <v>2008</v>
      </c>
      <c r="V573" s="520" t="str">
        <f>IFERROR(VLOOKUP(LANÇ_MOV[[#This Row],[PLANO DE CONTAS]],Plano_Contas[[PLANO DE CONTAS]:[R / D]],3,0),"")</f>
        <v>Despesa</v>
      </c>
      <c r="W573" s="521" t="str">
        <f>IF(LANÇ_MOV[[#This Row],[DATA DE PAGAMENTO]]&lt;&gt;"","Pago","Não Pago")</f>
        <v>Pago</v>
      </c>
      <c r="X573" s="522" t="str">
        <f>IFERROR(IF(LANÇ_MOV[[#This Row],[DATA DE PAGAMENTO]]="","",(UPPER(TEXT(LANÇ_MOV[[#This Row],[DATA DE PAGAMENTO]],"mmmm")))),"")</f>
        <v>OUTUBRO</v>
      </c>
      <c r="Y573" s="523" t="str">
        <f>IFERROR(VLOOKUP(LANÇ_MOV[[#This Row],[PLANO DE CONTAS]],Plano_Contas[[PLANO DE CONTAS]:[NOMES INTERVALOS]],2,0),"")</f>
        <v>Despesas_Com_RH</v>
      </c>
      <c r="Z573" s="523" t="str">
        <f>IF(LANÇ_MOV[[#This Row],[FORMA DE PAGAMENTO]]="","",VLOOKUP(LANÇ_MOV[[#This Row],[FORMA DE PAGAMENTO]],CAD_Forma_pagto[],2,0))</f>
        <v>BOLETO</v>
      </c>
      <c r="AA573" s="524" t="str">
        <f>IF(LANÇ_MOV[[#This Row],[DATA DE LANÇAMENTO]]="","",TEXT(LANÇ_MOV[[#This Row],[DATA DE LANÇAMENTO]],"AAAA"))</f>
        <v>2025</v>
      </c>
      <c r="AB573" s="524" t="str">
        <f>IF(LANÇ_MOV[[#This Row],[DATA DE LANÇAMENTO]]="","",UPPER(TEXT(LANÇ_MOV[[#This Row],[DATA DE LANÇAMENTO]],"MMMM")))</f>
        <v>OUTUBRO</v>
      </c>
      <c r="AC573" s="525" t="str">
        <f>IF(LANÇ_MOV[[#This Row],[DATA DE LANÇAMENTO]]="","",PROPER(TEXT(LANÇ_MOV[[#This Row],[DATA DE LANÇAMENTO]],"M")))</f>
        <v>10</v>
      </c>
      <c r="AD573" s="524" t="str">
        <f>IF(LANÇ_MOV[[#This Row],[DATA DE LANÇAMENTO]]="","",TEXT(LANÇ_MOV[[#This Row],[DATA DE LANÇAMENTO]],"D"))</f>
        <v>22</v>
      </c>
      <c r="AE573" s="526" t="str">
        <f>IF(LANÇ_MOV[[#This Row],[DATA DE VENCIMENTO]]="","",TEXT(LANÇ_MOV[[#This Row],[DATA DE VENCIMENTO]],"AAAA"))</f>
        <v>2025</v>
      </c>
      <c r="AF573" s="526" t="str">
        <f>IF(LANÇ_MOV[[#This Row],[DATA DE VENCIMENTO]]="","",UPPER(TEXT(LANÇ_MOV[[#This Row],[DATA DE VENCIMENTO]],"MMMM")))</f>
        <v>NOVEMBRO</v>
      </c>
      <c r="AG573" s="526" t="str">
        <f>IF(LANÇ_MOV[[#This Row],[DATA DE VENCIMENTO]]="","",TEXT(LANÇ_MOV[[#This Row],[DATA DE VENCIMENTO]],"M"))</f>
        <v>11</v>
      </c>
      <c r="AH573" s="526" t="str">
        <f>IF(LANÇ_MOV[[#This Row],[DATA DE VENCIMENTO]]="","",TEXT(LANÇ_MOV[[#This Row],[DATA DE VENCIMENTO]],"D"))</f>
        <v>7</v>
      </c>
      <c r="AI573" s="526" t="str">
        <f>IF(LANÇ_MOV[[#This Row],[DATA DE PAGAMENTO]]="","",TEXT(LANÇ_MOV[[#This Row],[DATA DE PAGAMENTO]],"AAAA"))</f>
        <v>2025</v>
      </c>
      <c r="AJ573" s="527" t="str">
        <f>IF(LANÇ_MOV[[#This Row],[DATA DE PAGAMENTO]]="","",UPPER(TEXT(LANÇ_MOV[[#This Row],[DATA DE PAGAMENTO]],"MMMM")))</f>
        <v>OUTUBRO</v>
      </c>
      <c r="AK573" s="527" t="str">
        <f>IF(LANÇ_MOV[[#This Row],[DATA DE PAGAMENTO]]="","",TEXT(LANÇ_MOV[[#This Row],[DATA DE PAGAMENTO]],"M"))</f>
        <v>10</v>
      </c>
      <c r="AL573" s="526" t="str">
        <f>IF(LANÇ_MOV[[#This Row],[DATA DE PAGAMENTO]]="","",TEXT(LANÇ_MOV[[#This Row],[DATA DE PAGAMENTO]],"D"))</f>
        <v>22</v>
      </c>
    </row>
    <row r="574" spans="2:38" ht="30.05" customHeight="1" x14ac:dyDescent="0.35">
      <c r="B574" s="506">
        <v>45952</v>
      </c>
      <c r="C574" s="507" t="s">
        <v>1661</v>
      </c>
      <c r="D574" s="508" t="s">
        <v>1854</v>
      </c>
      <c r="E574" s="509" t="s">
        <v>228</v>
      </c>
      <c r="F574" s="510" t="s">
        <v>1511</v>
      </c>
      <c r="G574" s="507" t="s">
        <v>2002</v>
      </c>
      <c r="H574" s="511">
        <v>0</v>
      </c>
      <c r="I574" s="512" t="s">
        <v>1759</v>
      </c>
      <c r="J574" s="518">
        <v>497.64</v>
      </c>
      <c r="K574" s="510">
        <v>0</v>
      </c>
      <c r="L574" s="510"/>
      <c r="M574" s="548">
        <v>0</v>
      </c>
      <c r="N574" s="514">
        <f>LANÇ_MOV[[#This Row],[VALOR BRUTO]]-LANÇ_MOV[[#This Row],[DESCONTO]]+LANÇ_MOV[[#This Row],[JUROS]]+LANÇ_MOV[[#This Row],[MULTA]]</f>
        <v>497.64</v>
      </c>
      <c r="O574" s="546">
        <v>45968</v>
      </c>
      <c r="P574" s="547" t="str">
        <f t="shared" ca="1" si="9"/>
        <v>Pago</v>
      </c>
      <c r="Q574" s="528">
        <v>45952</v>
      </c>
      <c r="R574" s="529" t="s">
        <v>1506</v>
      </c>
      <c r="S574" s="518"/>
      <c r="T574" s="518" t="s">
        <v>1776</v>
      </c>
      <c r="U574" s="519" t="s">
        <v>2008</v>
      </c>
      <c r="V574" s="520" t="str">
        <f>IFERROR(VLOOKUP(LANÇ_MOV[[#This Row],[PLANO DE CONTAS]],Plano_Contas[[PLANO DE CONTAS]:[R / D]],3,0),"")</f>
        <v>Despesa</v>
      </c>
      <c r="W574" s="521" t="str">
        <f>IF(LANÇ_MOV[[#This Row],[DATA DE PAGAMENTO]]&lt;&gt;"","Pago","Não Pago")</f>
        <v>Pago</v>
      </c>
      <c r="X574" s="522" t="str">
        <f>IFERROR(IF(LANÇ_MOV[[#This Row],[DATA DE PAGAMENTO]]="","",(UPPER(TEXT(LANÇ_MOV[[#This Row],[DATA DE PAGAMENTO]],"mmmm")))),"")</f>
        <v>OUTUBRO</v>
      </c>
      <c r="Y574" s="523" t="str">
        <f>IFERROR(VLOOKUP(LANÇ_MOV[[#This Row],[PLANO DE CONTAS]],Plano_Contas[[PLANO DE CONTAS]:[NOMES INTERVALOS]],2,0),"")</f>
        <v>Despesas_Com_RH</v>
      </c>
      <c r="Z574" s="523" t="str">
        <f>IF(LANÇ_MOV[[#This Row],[FORMA DE PAGAMENTO]]="","",VLOOKUP(LANÇ_MOV[[#This Row],[FORMA DE PAGAMENTO]],CAD_Forma_pagto[],2,0))</f>
        <v>BOLETO</v>
      </c>
      <c r="AA574" s="524" t="str">
        <f>IF(LANÇ_MOV[[#This Row],[DATA DE LANÇAMENTO]]="","",TEXT(LANÇ_MOV[[#This Row],[DATA DE LANÇAMENTO]],"AAAA"))</f>
        <v>2025</v>
      </c>
      <c r="AB574" s="524" t="str">
        <f>IF(LANÇ_MOV[[#This Row],[DATA DE LANÇAMENTO]]="","",UPPER(TEXT(LANÇ_MOV[[#This Row],[DATA DE LANÇAMENTO]],"MMMM")))</f>
        <v>OUTUBRO</v>
      </c>
      <c r="AC574" s="525" t="str">
        <f>IF(LANÇ_MOV[[#This Row],[DATA DE LANÇAMENTO]]="","",PROPER(TEXT(LANÇ_MOV[[#This Row],[DATA DE LANÇAMENTO]],"M")))</f>
        <v>10</v>
      </c>
      <c r="AD574" s="524" t="str">
        <f>IF(LANÇ_MOV[[#This Row],[DATA DE LANÇAMENTO]]="","",TEXT(LANÇ_MOV[[#This Row],[DATA DE LANÇAMENTO]],"D"))</f>
        <v>22</v>
      </c>
      <c r="AE574" s="526" t="str">
        <f>IF(LANÇ_MOV[[#This Row],[DATA DE VENCIMENTO]]="","",TEXT(LANÇ_MOV[[#This Row],[DATA DE VENCIMENTO]],"AAAA"))</f>
        <v>2025</v>
      </c>
      <c r="AF574" s="526" t="str">
        <f>IF(LANÇ_MOV[[#This Row],[DATA DE VENCIMENTO]]="","",UPPER(TEXT(LANÇ_MOV[[#This Row],[DATA DE VENCIMENTO]],"MMMM")))</f>
        <v>NOVEMBRO</v>
      </c>
      <c r="AG574" s="526" t="str">
        <f>IF(LANÇ_MOV[[#This Row],[DATA DE VENCIMENTO]]="","",TEXT(LANÇ_MOV[[#This Row],[DATA DE VENCIMENTO]],"M"))</f>
        <v>11</v>
      </c>
      <c r="AH574" s="526" t="str">
        <f>IF(LANÇ_MOV[[#This Row],[DATA DE VENCIMENTO]]="","",TEXT(LANÇ_MOV[[#This Row],[DATA DE VENCIMENTO]],"D"))</f>
        <v>7</v>
      </c>
      <c r="AI574" s="526" t="str">
        <f>IF(LANÇ_MOV[[#This Row],[DATA DE PAGAMENTO]]="","",TEXT(LANÇ_MOV[[#This Row],[DATA DE PAGAMENTO]],"AAAA"))</f>
        <v>2025</v>
      </c>
      <c r="AJ574" s="527" t="str">
        <f>IF(LANÇ_MOV[[#This Row],[DATA DE PAGAMENTO]]="","",UPPER(TEXT(LANÇ_MOV[[#This Row],[DATA DE PAGAMENTO]],"MMMM")))</f>
        <v>OUTUBRO</v>
      </c>
      <c r="AK574" s="527" t="str">
        <f>IF(LANÇ_MOV[[#This Row],[DATA DE PAGAMENTO]]="","",TEXT(LANÇ_MOV[[#This Row],[DATA DE PAGAMENTO]],"M"))</f>
        <v>10</v>
      </c>
      <c r="AL574" s="526" t="str">
        <f>IF(LANÇ_MOV[[#This Row],[DATA DE PAGAMENTO]]="","",TEXT(LANÇ_MOV[[#This Row],[DATA DE PAGAMENTO]],"D"))</f>
        <v>22</v>
      </c>
    </row>
    <row r="575" spans="2:38" ht="30.05" customHeight="1" x14ac:dyDescent="0.35">
      <c r="B575" s="506">
        <v>45952</v>
      </c>
      <c r="C575" s="507" t="s">
        <v>1661</v>
      </c>
      <c r="D575" s="508" t="s">
        <v>1854</v>
      </c>
      <c r="E575" s="509" t="s">
        <v>228</v>
      </c>
      <c r="F575" s="510" t="s">
        <v>1511</v>
      </c>
      <c r="G575" s="507" t="s">
        <v>2003</v>
      </c>
      <c r="H575" s="511">
        <v>0</v>
      </c>
      <c r="I575" s="512" t="s">
        <v>1759</v>
      </c>
      <c r="J575" s="518">
        <v>500.28</v>
      </c>
      <c r="K575" s="510">
        <v>0</v>
      </c>
      <c r="L575" s="510"/>
      <c r="M575" s="548">
        <v>0</v>
      </c>
      <c r="N575" s="514">
        <f>LANÇ_MOV[[#This Row],[VALOR BRUTO]]-LANÇ_MOV[[#This Row],[DESCONTO]]+LANÇ_MOV[[#This Row],[JUROS]]+LANÇ_MOV[[#This Row],[MULTA]]</f>
        <v>500.28</v>
      </c>
      <c r="O575" s="546">
        <v>45968</v>
      </c>
      <c r="P575" s="547" t="str">
        <f t="shared" ca="1" si="9"/>
        <v>Pago</v>
      </c>
      <c r="Q575" s="528">
        <v>45952</v>
      </c>
      <c r="R575" s="529" t="s">
        <v>1506</v>
      </c>
      <c r="S575" s="518"/>
      <c r="T575" s="518" t="s">
        <v>1776</v>
      </c>
      <c r="U575" s="519" t="s">
        <v>2008</v>
      </c>
      <c r="V575" s="520" t="str">
        <f>IFERROR(VLOOKUP(LANÇ_MOV[[#This Row],[PLANO DE CONTAS]],Plano_Contas[[PLANO DE CONTAS]:[R / D]],3,0),"")</f>
        <v>Despesa</v>
      </c>
      <c r="W575" s="521" t="str">
        <f>IF(LANÇ_MOV[[#This Row],[DATA DE PAGAMENTO]]&lt;&gt;"","Pago","Não Pago")</f>
        <v>Pago</v>
      </c>
      <c r="X575" s="522" t="str">
        <f>IFERROR(IF(LANÇ_MOV[[#This Row],[DATA DE PAGAMENTO]]="","",(UPPER(TEXT(LANÇ_MOV[[#This Row],[DATA DE PAGAMENTO]],"mmmm")))),"")</f>
        <v>OUTUBRO</v>
      </c>
      <c r="Y575" s="523" t="str">
        <f>IFERROR(VLOOKUP(LANÇ_MOV[[#This Row],[PLANO DE CONTAS]],Plano_Contas[[PLANO DE CONTAS]:[NOMES INTERVALOS]],2,0),"")</f>
        <v>Despesas_Com_RH</v>
      </c>
      <c r="Z575" s="523" t="str">
        <f>IF(LANÇ_MOV[[#This Row],[FORMA DE PAGAMENTO]]="","",VLOOKUP(LANÇ_MOV[[#This Row],[FORMA DE PAGAMENTO]],CAD_Forma_pagto[],2,0))</f>
        <v>BOLETO</v>
      </c>
      <c r="AA575" s="524" t="str">
        <f>IF(LANÇ_MOV[[#This Row],[DATA DE LANÇAMENTO]]="","",TEXT(LANÇ_MOV[[#This Row],[DATA DE LANÇAMENTO]],"AAAA"))</f>
        <v>2025</v>
      </c>
      <c r="AB575" s="524" t="str">
        <f>IF(LANÇ_MOV[[#This Row],[DATA DE LANÇAMENTO]]="","",UPPER(TEXT(LANÇ_MOV[[#This Row],[DATA DE LANÇAMENTO]],"MMMM")))</f>
        <v>OUTUBRO</v>
      </c>
      <c r="AC575" s="525" t="str">
        <f>IF(LANÇ_MOV[[#This Row],[DATA DE LANÇAMENTO]]="","",PROPER(TEXT(LANÇ_MOV[[#This Row],[DATA DE LANÇAMENTO]],"M")))</f>
        <v>10</v>
      </c>
      <c r="AD575" s="524" t="str">
        <f>IF(LANÇ_MOV[[#This Row],[DATA DE LANÇAMENTO]]="","",TEXT(LANÇ_MOV[[#This Row],[DATA DE LANÇAMENTO]],"D"))</f>
        <v>22</v>
      </c>
      <c r="AE575" s="526" t="str">
        <f>IF(LANÇ_MOV[[#This Row],[DATA DE VENCIMENTO]]="","",TEXT(LANÇ_MOV[[#This Row],[DATA DE VENCIMENTO]],"AAAA"))</f>
        <v>2025</v>
      </c>
      <c r="AF575" s="526" t="str">
        <f>IF(LANÇ_MOV[[#This Row],[DATA DE VENCIMENTO]]="","",UPPER(TEXT(LANÇ_MOV[[#This Row],[DATA DE VENCIMENTO]],"MMMM")))</f>
        <v>NOVEMBRO</v>
      </c>
      <c r="AG575" s="526" t="str">
        <f>IF(LANÇ_MOV[[#This Row],[DATA DE VENCIMENTO]]="","",TEXT(LANÇ_MOV[[#This Row],[DATA DE VENCIMENTO]],"M"))</f>
        <v>11</v>
      </c>
      <c r="AH575" s="526" t="str">
        <f>IF(LANÇ_MOV[[#This Row],[DATA DE VENCIMENTO]]="","",TEXT(LANÇ_MOV[[#This Row],[DATA DE VENCIMENTO]],"D"))</f>
        <v>7</v>
      </c>
      <c r="AI575" s="526" t="str">
        <f>IF(LANÇ_MOV[[#This Row],[DATA DE PAGAMENTO]]="","",TEXT(LANÇ_MOV[[#This Row],[DATA DE PAGAMENTO]],"AAAA"))</f>
        <v>2025</v>
      </c>
      <c r="AJ575" s="527" t="str">
        <f>IF(LANÇ_MOV[[#This Row],[DATA DE PAGAMENTO]]="","",UPPER(TEXT(LANÇ_MOV[[#This Row],[DATA DE PAGAMENTO]],"MMMM")))</f>
        <v>OUTUBRO</v>
      </c>
      <c r="AK575" s="527" t="str">
        <f>IF(LANÇ_MOV[[#This Row],[DATA DE PAGAMENTO]]="","",TEXT(LANÇ_MOV[[#This Row],[DATA DE PAGAMENTO]],"M"))</f>
        <v>10</v>
      </c>
      <c r="AL575" s="526" t="str">
        <f>IF(LANÇ_MOV[[#This Row],[DATA DE PAGAMENTO]]="","",TEXT(LANÇ_MOV[[#This Row],[DATA DE PAGAMENTO]],"D"))</f>
        <v>22</v>
      </c>
    </row>
    <row r="576" spans="2:38" ht="30.05" customHeight="1" x14ac:dyDescent="0.35">
      <c r="B576" s="506">
        <v>45952</v>
      </c>
      <c r="C576" s="507" t="s">
        <v>1661</v>
      </c>
      <c r="D576" s="508" t="s">
        <v>1854</v>
      </c>
      <c r="E576" s="509" t="s">
        <v>228</v>
      </c>
      <c r="F576" s="510" t="s">
        <v>1511</v>
      </c>
      <c r="G576" s="507"/>
      <c r="H576" s="511">
        <v>0</v>
      </c>
      <c r="I576" s="512" t="s">
        <v>1759</v>
      </c>
      <c r="J576" s="518">
        <v>662.87</v>
      </c>
      <c r="K576" s="510">
        <v>0</v>
      </c>
      <c r="L576" s="510"/>
      <c r="M576" s="548">
        <v>0</v>
      </c>
      <c r="N576" s="514">
        <f>LANÇ_MOV[[#This Row],[VALOR BRUTO]]-LANÇ_MOV[[#This Row],[DESCONTO]]+LANÇ_MOV[[#This Row],[JUROS]]+LANÇ_MOV[[#This Row],[MULTA]]</f>
        <v>662.87</v>
      </c>
      <c r="O576" s="546">
        <v>45950</v>
      </c>
      <c r="P576" s="547" t="str">
        <f t="shared" ca="1" si="9"/>
        <v>Pago</v>
      </c>
      <c r="Q576" s="528">
        <v>45952</v>
      </c>
      <c r="R576" s="529" t="s">
        <v>1506</v>
      </c>
      <c r="S576" s="518"/>
      <c r="T576" s="518" t="s">
        <v>1776</v>
      </c>
      <c r="U576" s="519" t="s">
        <v>2008</v>
      </c>
      <c r="V576" s="520" t="str">
        <f>IFERROR(VLOOKUP(LANÇ_MOV[[#This Row],[PLANO DE CONTAS]],Plano_Contas[[PLANO DE CONTAS]:[R / D]],3,0),"")</f>
        <v>Despesa</v>
      </c>
      <c r="W576" s="521" t="str">
        <f>IF(LANÇ_MOV[[#This Row],[DATA DE PAGAMENTO]]&lt;&gt;"","Pago","Não Pago")</f>
        <v>Pago</v>
      </c>
      <c r="X576" s="522" t="str">
        <f>IFERROR(IF(LANÇ_MOV[[#This Row],[DATA DE PAGAMENTO]]="","",(UPPER(TEXT(LANÇ_MOV[[#This Row],[DATA DE PAGAMENTO]],"mmmm")))),"")</f>
        <v>OUTUBRO</v>
      </c>
      <c r="Y576" s="523" t="str">
        <f>IFERROR(VLOOKUP(LANÇ_MOV[[#This Row],[PLANO DE CONTAS]],Plano_Contas[[PLANO DE CONTAS]:[NOMES INTERVALOS]],2,0),"")</f>
        <v>Despesas_Com_RH</v>
      </c>
      <c r="Z576" s="523" t="str">
        <f>IF(LANÇ_MOV[[#This Row],[FORMA DE PAGAMENTO]]="","",VLOOKUP(LANÇ_MOV[[#This Row],[FORMA DE PAGAMENTO]],CAD_Forma_pagto[],2,0))</f>
        <v>BOLETO</v>
      </c>
      <c r="AA576" s="524" t="str">
        <f>IF(LANÇ_MOV[[#This Row],[DATA DE LANÇAMENTO]]="","",TEXT(LANÇ_MOV[[#This Row],[DATA DE LANÇAMENTO]],"AAAA"))</f>
        <v>2025</v>
      </c>
      <c r="AB576" s="524" t="str">
        <f>IF(LANÇ_MOV[[#This Row],[DATA DE LANÇAMENTO]]="","",UPPER(TEXT(LANÇ_MOV[[#This Row],[DATA DE LANÇAMENTO]],"MMMM")))</f>
        <v>OUTUBRO</v>
      </c>
      <c r="AC576" s="525" t="str">
        <f>IF(LANÇ_MOV[[#This Row],[DATA DE LANÇAMENTO]]="","",PROPER(TEXT(LANÇ_MOV[[#This Row],[DATA DE LANÇAMENTO]],"M")))</f>
        <v>10</v>
      </c>
      <c r="AD576" s="524" t="str">
        <f>IF(LANÇ_MOV[[#This Row],[DATA DE LANÇAMENTO]]="","",TEXT(LANÇ_MOV[[#This Row],[DATA DE LANÇAMENTO]],"D"))</f>
        <v>22</v>
      </c>
      <c r="AE576" s="526" t="str">
        <f>IF(LANÇ_MOV[[#This Row],[DATA DE VENCIMENTO]]="","",TEXT(LANÇ_MOV[[#This Row],[DATA DE VENCIMENTO]],"AAAA"))</f>
        <v>2025</v>
      </c>
      <c r="AF576" s="526" t="str">
        <f>IF(LANÇ_MOV[[#This Row],[DATA DE VENCIMENTO]]="","",UPPER(TEXT(LANÇ_MOV[[#This Row],[DATA DE VENCIMENTO]],"MMMM")))</f>
        <v>OUTUBRO</v>
      </c>
      <c r="AG576" s="526" t="str">
        <f>IF(LANÇ_MOV[[#This Row],[DATA DE VENCIMENTO]]="","",TEXT(LANÇ_MOV[[#This Row],[DATA DE VENCIMENTO]],"M"))</f>
        <v>10</v>
      </c>
      <c r="AH576" s="526" t="str">
        <f>IF(LANÇ_MOV[[#This Row],[DATA DE VENCIMENTO]]="","",TEXT(LANÇ_MOV[[#This Row],[DATA DE VENCIMENTO]],"D"))</f>
        <v>20</v>
      </c>
      <c r="AI576" s="526" t="str">
        <f>IF(LANÇ_MOV[[#This Row],[DATA DE PAGAMENTO]]="","",TEXT(LANÇ_MOV[[#This Row],[DATA DE PAGAMENTO]],"AAAA"))</f>
        <v>2025</v>
      </c>
      <c r="AJ576" s="527" t="str">
        <f>IF(LANÇ_MOV[[#This Row],[DATA DE PAGAMENTO]]="","",UPPER(TEXT(LANÇ_MOV[[#This Row],[DATA DE PAGAMENTO]],"MMMM")))</f>
        <v>OUTUBRO</v>
      </c>
      <c r="AK576" s="527" t="str">
        <f>IF(LANÇ_MOV[[#This Row],[DATA DE PAGAMENTO]]="","",TEXT(LANÇ_MOV[[#This Row],[DATA DE PAGAMENTO]],"M"))</f>
        <v>10</v>
      </c>
      <c r="AL576" s="526" t="str">
        <f>IF(LANÇ_MOV[[#This Row],[DATA DE PAGAMENTO]]="","",TEXT(LANÇ_MOV[[#This Row],[DATA DE PAGAMENTO]],"D"))</f>
        <v>22</v>
      </c>
    </row>
    <row r="577" spans="2:38" ht="30.05" customHeight="1" x14ac:dyDescent="0.35">
      <c r="B577" s="506">
        <v>45952</v>
      </c>
      <c r="C577" s="507" t="s">
        <v>1661</v>
      </c>
      <c r="D577" s="508" t="s">
        <v>1854</v>
      </c>
      <c r="E577" s="509" t="s">
        <v>228</v>
      </c>
      <c r="F577" s="510" t="s">
        <v>1511</v>
      </c>
      <c r="G577" s="507"/>
      <c r="H577" s="511">
        <v>0</v>
      </c>
      <c r="I577" s="512" t="s">
        <v>1759</v>
      </c>
      <c r="J577" s="518">
        <v>560.4</v>
      </c>
      <c r="K577" s="510">
        <v>0</v>
      </c>
      <c r="L577" s="510"/>
      <c r="M577" s="548">
        <v>0</v>
      </c>
      <c r="N577" s="514">
        <f>LANÇ_MOV[[#This Row],[VALOR BRUTO]]-LANÇ_MOV[[#This Row],[DESCONTO]]+LANÇ_MOV[[#This Row],[JUROS]]+LANÇ_MOV[[#This Row],[MULTA]]</f>
        <v>560.4</v>
      </c>
      <c r="O577" s="546">
        <v>45968</v>
      </c>
      <c r="P577" s="547" t="str">
        <f t="shared" ca="1" si="9"/>
        <v>Venceu</v>
      </c>
      <c r="Q577" s="528"/>
      <c r="R577" s="529" t="s">
        <v>1506</v>
      </c>
      <c r="S577" s="518"/>
      <c r="T577" s="518" t="s">
        <v>1776</v>
      </c>
      <c r="U577" s="519" t="s">
        <v>2008</v>
      </c>
      <c r="V577" s="520" t="str">
        <f>IFERROR(VLOOKUP(LANÇ_MOV[[#This Row],[PLANO DE CONTAS]],Plano_Contas[[PLANO DE CONTAS]:[R / D]],3,0),"")</f>
        <v>Despesa</v>
      </c>
      <c r="W577" s="521" t="str">
        <f>IF(LANÇ_MOV[[#This Row],[DATA DE PAGAMENTO]]&lt;&gt;"","Pago","Não Pago")</f>
        <v>Não Pago</v>
      </c>
      <c r="X577" s="522" t="str">
        <f>IFERROR(IF(LANÇ_MOV[[#This Row],[DATA DE PAGAMENTO]]="","",(UPPER(TEXT(LANÇ_MOV[[#This Row],[DATA DE PAGAMENTO]],"mmmm")))),"")</f>
        <v/>
      </c>
      <c r="Y577" s="523" t="str">
        <f>IFERROR(VLOOKUP(LANÇ_MOV[[#This Row],[PLANO DE CONTAS]],Plano_Contas[[PLANO DE CONTAS]:[NOMES INTERVALOS]],2,0),"")</f>
        <v>Despesas_Com_RH</v>
      </c>
      <c r="Z577" s="523" t="str">
        <f>IF(LANÇ_MOV[[#This Row],[FORMA DE PAGAMENTO]]="","",VLOOKUP(LANÇ_MOV[[#This Row],[FORMA DE PAGAMENTO]],CAD_Forma_pagto[],2,0))</f>
        <v>BOLETO</v>
      </c>
      <c r="AA577" s="524" t="str">
        <f>IF(LANÇ_MOV[[#This Row],[DATA DE LANÇAMENTO]]="","",TEXT(LANÇ_MOV[[#This Row],[DATA DE LANÇAMENTO]],"AAAA"))</f>
        <v>2025</v>
      </c>
      <c r="AB577" s="524" t="str">
        <f>IF(LANÇ_MOV[[#This Row],[DATA DE LANÇAMENTO]]="","",UPPER(TEXT(LANÇ_MOV[[#This Row],[DATA DE LANÇAMENTO]],"MMMM")))</f>
        <v>OUTUBRO</v>
      </c>
      <c r="AC577" s="525" t="str">
        <f>IF(LANÇ_MOV[[#This Row],[DATA DE LANÇAMENTO]]="","",PROPER(TEXT(LANÇ_MOV[[#This Row],[DATA DE LANÇAMENTO]],"M")))</f>
        <v>10</v>
      </c>
      <c r="AD577" s="524" t="str">
        <f>IF(LANÇ_MOV[[#This Row],[DATA DE LANÇAMENTO]]="","",TEXT(LANÇ_MOV[[#This Row],[DATA DE LANÇAMENTO]],"D"))</f>
        <v>22</v>
      </c>
      <c r="AE577" s="526" t="str">
        <f>IF(LANÇ_MOV[[#This Row],[DATA DE VENCIMENTO]]="","",TEXT(LANÇ_MOV[[#This Row],[DATA DE VENCIMENTO]],"AAAA"))</f>
        <v>2025</v>
      </c>
      <c r="AF577" s="526" t="str">
        <f>IF(LANÇ_MOV[[#This Row],[DATA DE VENCIMENTO]]="","",UPPER(TEXT(LANÇ_MOV[[#This Row],[DATA DE VENCIMENTO]],"MMMM")))</f>
        <v>NOVEMBRO</v>
      </c>
      <c r="AG577" s="526" t="str">
        <f>IF(LANÇ_MOV[[#This Row],[DATA DE VENCIMENTO]]="","",TEXT(LANÇ_MOV[[#This Row],[DATA DE VENCIMENTO]],"M"))</f>
        <v>11</v>
      </c>
      <c r="AH577" s="526" t="str">
        <f>IF(LANÇ_MOV[[#This Row],[DATA DE VENCIMENTO]]="","",TEXT(LANÇ_MOV[[#This Row],[DATA DE VENCIMENTO]],"D"))</f>
        <v>7</v>
      </c>
      <c r="AI577" s="526" t="str">
        <f>IF(LANÇ_MOV[[#This Row],[DATA DE PAGAMENTO]]="","",TEXT(LANÇ_MOV[[#This Row],[DATA DE PAGAMENTO]],"AAAA"))</f>
        <v/>
      </c>
      <c r="AJ577" s="527" t="str">
        <f>IF(LANÇ_MOV[[#This Row],[DATA DE PAGAMENTO]]="","",UPPER(TEXT(LANÇ_MOV[[#This Row],[DATA DE PAGAMENTO]],"MMMM")))</f>
        <v/>
      </c>
      <c r="AK577" s="527" t="str">
        <f>IF(LANÇ_MOV[[#This Row],[DATA DE PAGAMENTO]]="","",TEXT(LANÇ_MOV[[#This Row],[DATA DE PAGAMENTO]],"M"))</f>
        <v/>
      </c>
      <c r="AL577" s="526" t="str">
        <f>IF(LANÇ_MOV[[#This Row],[DATA DE PAGAMENTO]]="","",TEXT(LANÇ_MOV[[#This Row],[DATA DE PAGAMENTO]],"D"))</f>
        <v/>
      </c>
    </row>
    <row r="578" spans="2:38" ht="30.05" customHeight="1" x14ac:dyDescent="0.35">
      <c r="B578" s="506">
        <v>45952</v>
      </c>
      <c r="C578" s="507" t="s">
        <v>1661</v>
      </c>
      <c r="D578" s="508" t="s">
        <v>1854</v>
      </c>
      <c r="E578" s="509" t="s">
        <v>228</v>
      </c>
      <c r="F578" s="510" t="s">
        <v>1511</v>
      </c>
      <c r="G578" s="507"/>
      <c r="H578" s="511">
        <v>0</v>
      </c>
      <c r="I578" s="512" t="s">
        <v>1759</v>
      </c>
      <c r="J578" s="518">
        <v>480.36</v>
      </c>
      <c r="K578" s="510">
        <v>0</v>
      </c>
      <c r="L578" s="510"/>
      <c r="M578" s="548">
        <v>0</v>
      </c>
      <c r="N578" s="514">
        <f>LANÇ_MOV[[#This Row],[VALOR BRUTO]]-LANÇ_MOV[[#This Row],[DESCONTO]]+LANÇ_MOV[[#This Row],[JUROS]]+LANÇ_MOV[[#This Row],[MULTA]]</f>
        <v>480.36</v>
      </c>
      <c r="O578" s="546">
        <v>45968</v>
      </c>
      <c r="P578" s="547" t="str">
        <f t="shared" ca="1" si="9"/>
        <v>Venceu</v>
      </c>
      <c r="Q578" s="528"/>
      <c r="R578" s="529" t="s">
        <v>1506</v>
      </c>
      <c r="S578" s="518"/>
      <c r="T578" s="518" t="s">
        <v>1776</v>
      </c>
      <c r="U578" s="519" t="s">
        <v>2008</v>
      </c>
      <c r="V578" s="520" t="str">
        <f>IFERROR(VLOOKUP(LANÇ_MOV[[#This Row],[PLANO DE CONTAS]],Plano_Contas[[PLANO DE CONTAS]:[R / D]],3,0),"")</f>
        <v>Despesa</v>
      </c>
      <c r="W578" s="521" t="str">
        <f>IF(LANÇ_MOV[[#This Row],[DATA DE PAGAMENTO]]&lt;&gt;"","Pago","Não Pago")</f>
        <v>Não Pago</v>
      </c>
      <c r="X578" s="522" t="str">
        <f>IFERROR(IF(LANÇ_MOV[[#This Row],[DATA DE PAGAMENTO]]="","",(UPPER(TEXT(LANÇ_MOV[[#This Row],[DATA DE PAGAMENTO]],"mmmm")))),"")</f>
        <v/>
      </c>
      <c r="Y578" s="523" t="str">
        <f>IFERROR(VLOOKUP(LANÇ_MOV[[#This Row],[PLANO DE CONTAS]],Plano_Contas[[PLANO DE CONTAS]:[NOMES INTERVALOS]],2,0),"")</f>
        <v>Despesas_Com_RH</v>
      </c>
      <c r="Z578" s="523" t="str">
        <f>IF(LANÇ_MOV[[#This Row],[FORMA DE PAGAMENTO]]="","",VLOOKUP(LANÇ_MOV[[#This Row],[FORMA DE PAGAMENTO]],CAD_Forma_pagto[],2,0))</f>
        <v>BOLETO</v>
      </c>
      <c r="AA578" s="524" t="str">
        <f>IF(LANÇ_MOV[[#This Row],[DATA DE LANÇAMENTO]]="","",TEXT(LANÇ_MOV[[#This Row],[DATA DE LANÇAMENTO]],"AAAA"))</f>
        <v>2025</v>
      </c>
      <c r="AB578" s="524" t="str">
        <f>IF(LANÇ_MOV[[#This Row],[DATA DE LANÇAMENTO]]="","",UPPER(TEXT(LANÇ_MOV[[#This Row],[DATA DE LANÇAMENTO]],"MMMM")))</f>
        <v>OUTUBRO</v>
      </c>
      <c r="AC578" s="525" t="str">
        <f>IF(LANÇ_MOV[[#This Row],[DATA DE LANÇAMENTO]]="","",PROPER(TEXT(LANÇ_MOV[[#This Row],[DATA DE LANÇAMENTO]],"M")))</f>
        <v>10</v>
      </c>
      <c r="AD578" s="524" t="str">
        <f>IF(LANÇ_MOV[[#This Row],[DATA DE LANÇAMENTO]]="","",TEXT(LANÇ_MOV[[#This Row],[DATA DE LANÇAMENTO]],"D"))</f>
        <v>22</v>
      </c>
      <c r="AE578" s="526" t="str">
        <f>IF(LANÇ_MOV[[#This Row],[DATA DE VENCIMENTO]]="","",TEXT(LANÇ_MOV[[#This Row],[DATA DE VENCIMENTO]],"AAAA"))</f>
        <v>2025</v>
      </c>
      <c r="AF578" s="526" t="str">
        <f>IF(LANÇ_MOV[[#This Row],[DATA DE VENCIMENTO]]="","",UPPER(TEXT(LANÇ_MOV[[#This Row],[DATA DE VENCIMENTO]],"MMMM")))</f>
        <v>NOVEMBRO</v>
      </c>
      <c r="AG578" s="526" t="str">
        <f>IF(LANÇ_MOV[[#This Row],[DATA DE VENCIMENTO]]="","",TEXT(LANÇ_MOV[[#This Row],[DATA DE VENCIMENTO]],"M"))</f>
        <v>11</v>
      </c>
      <c r="AH578" s="526" t="str">
        <f>IF(LANÇ_MOV[[#This Row],[DATA DE VENCIMENTO]]="","",TEXT(LANÇ_MOV[[#This Row],[DATA DE VENCIMENTO]],"D"))</f>
        <v>7</v>
      </c>
      <c r="AI578" s="526" t="str">
        <f>IF(LANÇ_MOV[[#This Row],[DATA DE PAGAMENTO]]="","",TEXT(LANÇ_MOV[[#This Row],[DATA DE PAGAMENTO]],"AAAA"))</f>
        <v/>
      </c>
      <c r="AJ578" s="527" t="str">
        <f>IF(LANÇ_MOV[[#This Row],[DATA DE PAGAMENTO]]="","",UPPER(TEXT(LANÇ_MOV[[#This Row],[DATA DE PAGAMENTO]],"MMMM")))</f>
        <v/>
      </c>
      <c r="AK578" s="527" t="str">
        <f>IF(LANÇ_MOV[[#This Row],[DATA DE PAGAMENTO]]="","",TEXT(LANÇ_MOV[[#This Row],[DATA DE PAGAMENTO]],"M"))</f>
        <v/>
      </c>
      <c r="AL578" s="526" t="str">
        <f>IF(LANÇ_MOV[[#This Row],[DATA DE PAGAMENTO]]="","",TEXT(LANÇ_MOV[[#This Row],[DATA DE PAGAMENTO]],"D"))</f>
        <v/>
      </c>
    </row>
    <row r="579" spans="2:38" ht="30.05" customHeight="1" x14ac:dyDescent="0.35">
      <c r="B579" s="506">
        <v>45952</v>
      </c>
      <c r="C579" s="507" t="s">
        <v>1661</v>
      </c>
      <c r="D579" s="508" t="s">
        <v>1854</v>
      </c>
      <c r="E579" s="509" t="s">
        <v>228</v>
      </c>
      <c r="F579" s="510" t="s">
        <v>1511</v>
      </c>
      <c r="G579" s="507"/>
      <c r="H579" s="511">
        <v>0</v>
      </c>
      <c r="I579" s="512" t="s">
        <v>1759</v>
      </c>
      <c r="J579" s="518">
        <v>477.52</v>
      </c>
      <c r="K579" s="510">
        <v>0</v>
      </c>
      <c r="L579" s="510"/>
      <c r="M579" s="548">
        <v>0</v>
      </c>
      <c r="N579" s="514">
        <f>LANÇ_MOV[[#This Row],[VALOR BRUTO]]-LANÇ_MOV[[#This Row],[DESCONTO]]+LANÇ_MOV[[#This Row],[JUROS]]+LANÇ_MOV[[#This Row],[MULTA]]</f>
        <v>477.52</v>
      </c>
      <c r="O579" s="546">
        <v>45968</v>
      </c>
      <c r="P579" s="547" t="str">
        <f t="shared" ca="1" si="9"/>
        <v>Venceu</v>
      </c>
      <c r="Q579" s="528"/>
      <c r="R579" s="529" t="s">
        <v>1506</v>
      </c>
      <c r="S579" s="518"/>
      <c r="T579" s="518" t="s">
        <v>1776</v>
      </c>
      <c r="U579" s="519" t="s">
        <v>2008</v>
      </c>
      <c r="V579" s="520" t="str">
        <f>IFERROR(VLOOKUP(LANÇ_MOV[[#This Row],[PLANO DE CONTAS]],Plano_Contas[[PLANO DE CONTAS]:[R / D]],3,0),"")</f>
        <v>Despesa</v>
      </c>
      <c r="W579" s="521" t="str">
        <f>IF(LANÇ_MOV[[#This Row],[DATA DE PAGAMENTO]]&lt;&gt;"","Pago","Não Pago")</f>
        <v>Não Pago</v>
      </c>
      <c r="X579" s="522" t="str">
        <f>IFERROR(IF(LANÇ_MOV[[#This Row],[DATA DE PAGAMENTO]]="","",(UPPER(TEXT(LANÇ_MOV[[#This Row],[DATA DE PAGAMENTO]],"mmmm")))),"")</f>
        <v/>
      </c>
      <c r="Y579" s="523" t="str">
        <f>IFERROR(VLOOKUP(LANÇ_MOV[[#This Row],[PLANO DE CONTAS]],Plano_Contas[[PLANO DE CONTAS]:[NOMES INTERVALOS]],2,0),"")</f>
        <v>Despesas_Com_RH</v>
      </c>
      <c r="Z579" s="523" t="str">
        <f>IF(LANÇ_MOV[[#This Row],[FORMA DE PAGAMENTO]]="","",VLOOKUP(LANÇ_MOV[[#This Row],[FORMA DE PAGAMENTO]],CAD_Forma_pagto[],2,0))</f>
        <v>BOLETO</v>
      </c>
      <c r="AA579" s="524" t="str">
        <f>IF(LANÇ_MOV[[#This Row],[DATA DE LANÇAMENTO]]="","",TEXT(LANÇ_MOV[[#This Row],[DATA DE LANÇAMENTO]],"AAAA"))</f>
        <v>2025</v>
      </c>
      <c r="AB579" s="524" t="str">
        <f>IF(LANÇ_MOV[[#This Row],[DATA DE LANÇAMENTO]]="","",UPPER(TEXT(LANÇ_MOV[[#This Row],[DATA DE LANÇAMENTO]],"MMMM")))</f>
        <v>OUTUBRO</v>
      </c>
      <c r="AC579" s="525" t="str">
        <f>IF(LANÇ_MOV[[#This Row],[DATA DE LANÇAMENTO]]="","",PROPER(TEXT(LANÇ_MOV[[#This Row],[DATA DE LANÇAMENTO]],"M")))</f>
        <v>10</v>
      </c>
      <c r="AD579" s="524" t="str">
        <f>IF(LANÇ_MOV[[#This Row],[DATA DE LANÇAMENTO]]="","",TEXT(LANÇ_MOV[[#This Row],[DATA DE LANÇAMENTO]],"D"))</f>
        <v>22</v>
      </c>
      <c r="AE579" s="526" t="str">
        <f>IF(LANÇ_MOV[[#This Row],[DATA DE VENCIMENTO]]="","",TEXT(LANÇ_MOV[[#This Row],[DATA DE VENCIMENTO]],"AAAA"))</f>
        <v>2025</v>
      </c>
      <c r="AF579" s="526" t="str">
        <f>IF(LANÇ_MOV[[#This Row],[DATA DE VENCIMENTO]]="","",UPPER(TEXT(LANÇ_MOV[[#This Row],[DATA DE VENCIMENTO]],"MMMM")))</f>
        <v>NOVEMBRO</v>
      </c>
      <c r="AG579" s="526" t="str">
        <f>IF(LANÇ_MOV[[#This Row],[DATA DE VENCIMENTO]]="","",TEXT(LANÇ_MOV[[#This Row],[DATA DE VENCIMENTO]],"M"))</f>
        <v>11</v>
      </c>
      <c r="AH579" s="526" t="str">
        <f>IF(LANÇ_MOV[[#This Row],[DATA DE VENCIMENTO]]="","",TEXT(LANÇ_MOV[[#This Row],[DATA DE VENCIMENTO]],"D"))</f>
        <v>7</v>
      </c>
      <c r="AI579" s="526" t="str">
        <f>IF(LANÇ_MOV[[#This Row],[DATA DE PAGAMENTO]]="","",TEXT(LANÇ_MOV[[#This Row],[DATA DE PAGAMENTO]],"AAAA"))</f>
        <v/>
      </c>
      <c r="AJ579" s="527" t="str">
        <f>IF(LANÇ_MOV[[#This Row],[DATA DE PAGAMENTO]]="","",UPPER(TEXT(LANÇ_MOV[[#This Row],[DATA DE PAGAMENTO]],"MMMM")))</f>
        <v/>
      </c>
      <c r="AK579" s="527" t="str">
        <f>IF(LANÇ_MOV[[#This Row],[DATA DE PAGAMENTO]]="","",TEXT(LANÇ_MOV[[#This Row],[DATA DE PAGAMENTO]],"M"))</f>
        <v/>
      </c>
      <c r="AL579" s="526" t="str">
        <f>IF(LANÇ_MOV[[#This Row],[DATA DE PAGAMENTO]]="","",TEXT(LANÇ_MOV[[#This Row],[DATA DE PAGAMENTO]],"D"))</f>
        <v/>
      </c>
    </row>
    <row r="580" spans="2:38" ht="30.05" customHeight="1" x14ac:dyDescent="0.35">
      <c r="B580" s="506">
        <v>45952</v>
      </c>
      <c r="C580" s="507" t="s">
        <v>1661</v>
      </c>
      <c r="D580" s="508" t="s">
        <v>1854</v>
      </c>
      <c r="E580" s="509" t="s">
        <v>228</v>
      </c>
      <c r="F580" s="510" t="s">
        <v>1511</v>
      </c>
      <c r="G580" s="507"/>
      <c r="H580" s="511">
        <v>0</v>
      </c>
      <c r="I580" s="512" t="s">
        <v>1759</v>
      </c>
      <c r="J580" s="518">
        <v>556.63</v>
      </c>
      <c r="K580" s="510">
        <v>0</v>
      </c>
      <c r="L580" s="510"/>
      <c r="M580" s="548">
        <v>0</v>
      </c>
      <c r="N580" s="514">
        <f>LANÇ_MOV[[#This Row],[VALOR BRUTO]]-LANÇ_MOV[[#This Row],[DESCONTO]]+LANÇ_MOV[[#This Row],[JUROS]]+LANÇ_MOV[[#This Row],[MULTA]]</f>
        <v>556.63</v>
      </c>
      <c r="O580" s="546">
        <v>45968</v>
      </c>
      <c r="P580" s="547" t="str">
        <f t="shared" ca="1" si="9"/>
        <v>Venceu</v>
      </c>
      <c r="Q580" s="528"/>
      <c r="R580" s="529" t="s">
        <v>1506</v>
      </c>
      <c r="S580" s="518"/>
      <c r="T580" s="518" t="s">
        <v>1776</v>
      </c>
      <c r="U580" s="519" t="s">
        <v>2008</v>
      </c>
      <c r="V580" s="520" t="str">
        <f>IFERROR(VLOOKUP(LANÇ_MOV[[#This Row],[PLANO DE CONTAS]],Plano_Contas[[PLANO DE CONTAS]:[R / D]],3,0),"")</f>
        <v>Despesa</v>
      </c>
      <c r="W580" s="521" t="str">
        <f>IF(LANÇ_MOV[[#This Row],[DATA DE PAGAMENTO]]&lt;&gt;"","Pago","Não Pago")</f>
        <v>Não Pago</v>
      </c>
      <c r="X580" s="522" t="str">
        <f>IFERROR(IF(LANÇ_MOV[[#This Row],[DATA DE PAGAMENTO]]="","",(UPPER(TEXT(LANÇ_MOV[[#This Row],[DATA DE PAGAMENTO]],"mmmm")))),"")</f>
        <v/>
      </c>
      <c r="Y580" s="523" t="str">
        <f>IFERROR(VLOOKUP(LANÇ_MOV[[#This Row],[PLANO DE CONTAS]],Plano_Contas[[PLANO DE CONTAS]:[NOMES INTERVALOS]],2,0),"")</f>
        <v>Despesas_Com_RH</v>
      </c>
      <c r="Z580" s="523" t="str">
        <f>IF(LANÇ_MOV[[#This Row],[FORMA DE PAGAMENTO]]="","",VLOOKUP(LANÇ_MOV[[#This Row],[FORMA DE PAGAMENTO]],CAD_Forma_pagto[],2,0))</f>
        <v>BOLETO</v>
      </c>
      <c r="AA580" s="524" t="str">
        <f>IF(LANÇ_MOV[[#This Row],[DATA DE LANÇAMENTO]]="","",TEXT(LANÇ_MOV[[#This Row],[DATA DE LANÇAMENTO]],"AAAA"))</f>
        <v>2025</v>
      </c>
      <c r="AB580" s="524" t="str">
        <f>IF(LANÇ_MOV[[#This Row],[DATA DE LANÇAMENTO]]="","",UPPER(TEXT(LANÇ_MOV[[#This Row],[DATA DE LANÇAMENTO]],"MMMM")))</f>
        <v>OUTUBRO</v>
      </c>
      <c r="AC580" s="525" t="str">
        <f>IF(LANÇ_MOV[[#This Row],[DATA DE LANÇAMENTO]]="","",PROPER(TEXT(LANÇ_MOV[[#This Row],[DATA DE LANÇAMENTO]],"M")))</f>
        <v>10</v>
      </c>
      <c r="AD580" s="524" t="str">
        <f>IF(LANÇ_MOV[[#This Row],[DATA DE LANÇAMENTO]]="","",TEXT(LANÇ_MOV[[#This Row],[DATA DE LANÇAMENTO]],"D"))</f>
        <v>22</v>
      </c>
      <c r="AE580" s="526" t="str">
        <f>IF(LANÇ_MOV[[#This Row],[DATA DE VENCIMENTO]]="","",TEXT(LANÇ_MOV[[#This Row],[DATA DE VENCIMENTO]],"AAAA"))</f>
        <v>2025</v>
      </c>
      <c r="AF580" s="526" t="str">
        <f>IF(LANÇ_MOV[[#This Row],[DATA DE VENCIMENTO]]="","",UPPER(TEXT(LANÇ_MOV[[#This Row],[DATA DE VENCIMENTO]],"MMMM")))</f>
        <v>NOVEMBRO</v>
      </c>
      <c r="AG580" s="526" t="str">
        <f>IF(LANÇ_MOV[[#This Row],[DATA DE VENCIMENTO]]="","",TEXT(LANÇ_MOV[[#This Row],[DATA DE VENCIMENTO]],"M"))</f>
        <v>11</v>
      </c>
      <c r="AH580" s="526" t="str">
        <f>IF(LANÇ_MOV[[#This Row],[DATA DE VENCIMENTO]]="","",TEXT(LANÇ_MOV[[#This Row],[DATA DE VENCIMENTO]],"D"))</f>
        <v>7</v>
      </c>
      <c r="AI580" s="526" t="str">
        <f>IF(LANÇ_MOV[[#This Row],[DATA DE PAGAMENTO]]="","",TEXT(LANÇ_MOV[[#This Row],[DATA DE PAGAMENTO]],"AAAA"))</f>
        <v/>
      </c>
      <c r="AJ580" s="527" t="str">
        <f>IF(LANÇ_MOV[[#This Row],[DATA DE PAGAMENTO]]="","",UPPER(TEXT(LANÇ_MOV[[#This Row],[DATA DE PAGAMENTO]],"MMMM")))</f>
        <v/>
      </c>
      <c r="AK580" s="527" t="str">
        <f>IF(LANÇ_MOV[[#This Row],[DATA DE PAGAMENTO]]="","",TEXT(LANÇ_MOV[[#This Row],[DATA DE PAGAMENTO]],"M"))</f>
        <v/>
      </c>
      <c r="AL580" s="526" t="str">
        <f>IF(LANÇ_MOV[[#This Row],[DATA DE PAGAMENTO]]="","",TEXT(LANÇ_MOV[[#This Row],[DATA DE PAGAMENTO]],"D"))</f>
        <v/>
      </c>
    </row>
    <row r="581" spans="2:38" ht="30.05" customHeight="1" x14ac:dyDescent="0.35">
      <c r="B581" s="506">
        <v>45952</v>
      </c>
      <c r="C581" s="507" t="s">
        <v>1661</v>
      </c>
      <c r="D581" s="508" t="s">
        <v>1854</v>
      </c>
      <c r="E581" s="509" t="s">
        <v>228</v>
      </c>
      <c r="F581" s="510" t="s">
        <v>1511</v>
      </c>
      <c r="G581" s="507"/>
      <c r="H581" s="511">
        <v>0</v>
      </c>
      <c r="I581" s="512" t="s">
        <v>1759</v>
      </c>
      <c r="J581" s="518">
        <v>500.28</v>
      </c>
      <c r="K581" s="510">
        <v>0</v>
      </c>
      <c r="L581" s="510"/>
      <c r="M581" s="548">
        <v>0</v>
      </c>
      <c r="N581" s="514">
        <f>LANÇ_MOV[[#This Row],[VALOR BRUTO]]-LANÇ_MOV[[#This Row],[DESCONTO]]+LANÇ_MOV[[#This Row],[JUROS]]+LANÇ_MOV[[#This Row],[MULTA]]</f>
        <v>500.28</v>
      </c>
      <c r="O581" s="546">
        <v>45968</v>
      </c>
      <c r="P581" s="547" t="str">
        <f t="shared" ca="1" si="9"/>
        <v>Venceu</v>
      </c>
      <c r="Q581" s="528"/>
      <c r="R581" s="529" t="s">
        <v>1506</v>
      </c>
      <c r="S581" s="518"/>
      <c r="T581" s="518" t="s">
        <v>1776</v>
      </c>
      <c r="U581" s="519" t="s">
        <v>2008</v>
      </c>
      <c r="V581" s="520" t="str">
        <f>IFERROR(VLOOKUP(LANÇ_MOV[[#This Row],[PLANO DE CONTAS]],Plano_Contas[[PLANO DE CONTAS]:[R / D]],3,0),"")</f>
        <v>Despesa</v>
      </c>
      <c r="W581" s="521" t="str">
        <f>IF(LANÇ_MOV[[#This Row],[DATA DE PAGAMENTO]]&lt;&gt;"","Pago","Não Pago")</f>
        <v>Não Pago</v>
      </c>
      <c r="X581" s="522" t="str">
        <f>IFERROR(IF(LANÇ_MOV[[#This Row],[DATA DE PAGAMENTO]]="","",(UPPER(TEXT(LANÇ_MOV[[#This Row],[DATA DE PAGAMENTO]],"mmmm")))),"")</f>
        <v/>
      </c>
      <c r="Y581" s="523" t="str">
        <f>IFERROR(VLOOKUP(LANÇ_MOV[[#This Row],[PLANO DE CONTAS]],Plano_Contas[[PLANO DE CONTAS]:[NOMES INTERVALOS]],2,0),"")</f>
        <v>Despesas_Com_RH</v>
      </c>
      <c r="Z581" s="523" t="str">
        <f>IF(LANÇ_MOV[[#This Row],[FORMA DE PAGAMENTO]]="","",VLOOKUP(LANÇ_MOV[[#This Row],[FORMA DE PAGAMENTO]],CAD_Forma_pagto[],2,0))</f>
        <v>BOLETO</v>
      </c>
      <c r="AA581" s="524" t="str">
        <f>IF(LANÇ_MOV[[#This Row],[DATA DE LANÇAMENTO]]="","",TEXT(LANÇ_MOV[[#This Row],[DATA DE LANÇAMENTO]],"AAAA"))</f>
        <v>2025</v>
      </c>
      <c r="AB581" s="524" t="str">
        <f>IF(LANÇ_MOV[[#This Row],[DATA DE LANÇAMENTO]]="","",UPPER(TEXT(LANÇ_MOV[[#This Row],[DATA DE LANÇAMENTO]],"MMMM")))</f>
        <v>OUTUBRO</v>
      </c>
      <c r="AC581" s="525" t="str">
        <f>IF(LANÇ_MOV[[#This Row],[DATA DE LANÇAMENTO]]="","",PROPER(TEXT(LANÇ_MOV[[#This Row],[DATA DE LANÇAMENTO]],"M")))</f>
        <v>10</v>
      </c>
      <c r="AD581" s="524" t="str">
        <f>IF(LANÇ_MOV[[#This Row],[DATA DE LANÇAMENTO]]="","",TEXT(LANÇ_MOV[[#This Row],[DATA DE LANÇAMENTO]],"D"))</f>
        <v>22</v>
      </c>
      <c r="AE581" s="526" t="str">
        <f>IF(LANÇ_MOV[[#This Row],[DATA DE VENCIMENTO]]="","",TEXT(LANÇ_MOV[[#This Row],[DATA DE VENCIMENTO]],"AAAA"))</f>
        <v>2025</v>
      </c>
      <c r="AF581" s="526" t="str">
        <f>IF(LANÇ_MOV[[#This Row],[DATA DE VENCIMENTO]]="","",UPPER(TEXT(LANÇ_MOV[[#This Row],[DATA DE VENCIMENTO]],"MMMM")))</f>
        <v>NOVEMBRO</v>
      </c>
      <c r="AG581" s="526" t="str">
        <f>IF(LANÇ_MOV[[#This Row],[DATA DE VENCIMENTO]]="","",TEXT(LANÇ_MOV[[#This Row],[DATA DE VENCIMENTO]],"M"))</f>
        <v>11</v>
      </c>
      <c r="AH581" s="526" t="str">
        <f>IF(LANÇ_MOV[[#This Row],[DATA DE VENCIMENTO]]="","",TEXT(LANÇ_MOV[[#This Row],[DATA DE VENCIMENTO]],"D"))</f>
        <v>7</v>
      </c>
      <c r="AI581" s="526" t="str">
        <f>IF(LANÇ_MOV[[#This Row],[DATA DE PAGAMENTO]]="","",TEXT(LANÇ_MOV[[#This Row],[DATA DE PAGAMENTO]],"AAAA"))</f>
        <v/>
      </c>
      <c r="AJ581" s="527" t="str">
        <f>IF(LANÇ_MOV[[#This Row],[DATA DE PAGAMENTO]]="","",UPPER(TEXT(LANÇ_MOV[[#This Row],[DATA DE PAGAMENTO]],"MMMM")))</f>
        <v/>
      </c>
      <c r="AK581" s="527" t="str">
        <f>IF(LANÇ_MOV[[#This Row],[DATA DE PAGAMENTO]]="","",TEXT(LANÇ_MOV[[#This Row],[DATA DE PAGAMENTO]],"M"))</f>
        <v/>
      </c>
      <c r="AL581" s="526" t="str">
        <f>IF(LANÇ_MOV[[#This Row],[DATA DE PAGAMENTO]]="","",TEXT(LANÇ_MOV[[#This Row],[DATA DE PAGAMENTO]],"D"))</f>
        <v/>
      </c>
    </row>
    <row r="582" spans="2:38" ht="30.05" customHeight="1" x14ac:dyDescent="0.35">
      <c r="B582" s="506">
        <v>45955</v>
      </c>
      <c r="C582" s="507" t="s">
        <v>1661</v>
      </c>
      <c r="D582" s="508" t="s">
        <v>1854</v>
      </c>
      <c r="E582" s="509" t="s">
        <v>1103</v>
      </c>
      <c r="F582" s="510" t="s">
        <v>1785</v>
      </c>
      <c r="G582" s="507" t="s">
        <v>2004</v>
      </c>
      <c r="H582" s="511">
        <v>0</v>
      </c>
      <c r="I582" s="512" t="s">
        <v>1694</v>
      </c>
      <c r="J582" s="518">
        <v>1230</v>
      </c>
      <c r="K582" s="510">
        <v>0</v>
      </c>
      <c r="L582" s="510">
        <v>0</v>
      </c>
      <c r="M582" s="548">
        <v>0</v>
      </c>
      <c r="N582" s="514">
        <f>LANÇ_MOV[[#This Row],[VALOR BRUTO]]-LANÇ_MOV[[#This Row],[DESCONTO]]+LANÇ_MOV[[#This Row],[JUROS]]+LANÇ_MOV[[#This Row],[MULTA]]</f>
        <v>1230</v>
      </c>
      <c r="O582" s="546">
        <v>45955</v>
      </c>
      <c r="P582" s="547" t="str">
        <f t="shared" ca="1" si="9"/>
        <v>Pago</v>
      </c>
      <c r="Q582" s="528">
        <v>45955</v>
      </c>
      <c r="R582" s="529" t="s">
        <v>1564</v>
      </c>
      <c r="S582" s="518"/>
      <c r="T582" s="518" t="s">
        <v>1776</v>
      </c>
      <c r="U582" s="519" t="s">
        <v>2008</v>
      </c>
      <c r="V582" s="520" t="str">
        <f>IFERROR(VLOOKUP(LANÇ_MOV[[#This Row],[PLANO DE CONTAS]],Plano_Contas[[PLANO DE CONTAS]:[R / D]],3,0),"")</f>
        <v>Receita</v>
      </c>
      <c r="W582" s="521" t="str">
        <f>IF(LANÇ_MOV[[#This Row],[DATA DE PAGAMENTO]]&lt;&gt;"","Pago","Não Pago")</f>
        <v>Pago</v>
      </c>
      <c r="X582" s="522" t="str">
        <f>IFERROR(IF(LANÇ_MOV[[#This Row],[DATA DE PAGAMENTO]]="","",(UPPER(TEXT(LANÇ_MOV[[#This Row],[DATA DE PAGAMENTO]],"mmmm")))),"")</f>
        <v>OUTUBRO</v>
      </c>
      <c r="Y582" s="523" t="str">
        <f>IFERROR(VLOOKUP(LANÇ_MOV[[#This Row],[PLANO DE CONTAS]],Plano_Contas[[PLANO DE CONTAS]:[NOMES INTERVALOS]],2,0),"")</f>
        <v>Receitas_Operacionais</v>
      </c>
      <c r="Z582" s="523" t="str">
        <f>IF(LANÇ_MOV[[#This Row],[FORMA DE PAGAMENTO]]="","",VLOOKUP(LANÇ_MOV[[#This Row],[FORMA DE PAGAMENTO]],CAD_Forma_pagto[],2,0))</f>
        <v>PIX</v>
      </c>
      <c r="AA582" s="524" t="str">
        <f>IF(LANÇ_MOV[[#This Row],[DATA DE LANÇAMENTO]]="","",TEXT(LANÇ_MOV[[#This Row],[DATA DE LANÇAMENTO]],"AAAA"))</f>
        <v>2025</v>
      </c>
      <c r="AB582" s="524" t="str">
        <f>IF(LANÇ_MOV[[#This Row],[DATA DE LANÇAMENTO]]="","",UPPER(TEXT(LANÇ_MOV[[#This Row],[DATA DE LANÇAMENTO]],"MMMM")))</f>
        <v>OUTUBRO</v>
      </c>
      <c r="AC582" s="525" t="str">
        <f>IF(LANÇ_MOV[[#This Row],[DATA DE LANÇAMENTO]]="","",PROPER(TEXT(LANÇ_MOV[[#This Row],[DATA DE LANÇAMENTO]],"M")))</f>
        <v>10</v>
      </c>
      <c r="AD582" s="524" t="str">
        <f>IF(LANÇ_MOV[[#This Row],[DATA DE LANÇAMENTO]]="","",TEXT(LANÇ_MOV[[#This Row],[DATA DE LANÇAMENTO]],"D"))</f>
        <v>25</v>
      </c>
      <c r="AE582" s="526" t="str">
        <f>IF(LANÇ_MOV[[#This Row],[DATA DE VENCIMENTO]]="","",TEXT(LANÇ_MOV[[#This Row],[DATA DE VENCIMENTO]],"AAAA"))</f>
        <v>2025</v>
      </c>
      <c r="AF582" s="526" t="str">
        <f>IF(LANÇ_MOV[[#This Row],[DATA DE VENCIMENTO]]="","",UPPER(TEXT(LANÇ_MOV[[#This Row],[DATA DE VENCIMENTO]],"MMMM")))</f>
        <v>OUTUBRO</v>
      </c>
      <c r="AG582" s="526" t="str">
        <f>IF(LANÇ_MOV[[#This Row],[DATA DE VENCIMENTO]]="","",TEXT(LANÇ_MOV[[#This Row],[DATA DE VENCIMENTO]],"M"))</f>
        <v>10</v>
      </c>
      <c r="AH582" s="526" t="str">
        <f>IF(LANÇ_MOV[[#This Row],[DATA DE VENCIMENTO]]="","",TEXT(LANÇ_MOV[[#This Row],[DATA DE VENCIMENTO]],"D"))</f>
        <v>25</v>
      </c>
      <c r="AI582" s="526" t="str">
        <f>IF(LANÇ_MOV[[#This Row],[DATA DE PAGAMENTO]]="","",TEXT(LANÇ_MOV[[#This Row],[DATA DE PAGAMENTO]],"AAAA"))</f>
        <v>2025</v>
      </c>
      <c r="AJ582" s="527" t="str">
        <f>IF(LANÇ_MOV[[#This Row],[DATA DE PAGAMENTO]]="","",UPPER(TEXT(LANÇ_MOV[[#This Row],[DATA DE PAGAMENTO]],"MMMM")))</f>
        <v>OUTUBRO</v>
      </c>
      <c r="AK582" s="527" t="str">
        <f>IF(LANÇ_MOV[[#This Row],[DATA DE PAGAMENTO]]="","",TEXT(LANÇ_MOV[[#This Row],[DATA DE PAGAMENTO]],"M"))</f>
        <v>10</v>
      </c>
      <c r="AL582" s="526" t="str">
        <f>IF(LANÇ_MOV[[#This Row],[DATA DE PAGAMENTO]]="","",TEXT(LANÇ_MOV[[#This Row],[DATA DE PAGAMENTO]],"D"))</f>
        <v>25</v>
      </c>
    </row>
    <row r="583" spans="2:38" ht="30.05" customHeight="1" x14ac:dyDescent="0.35">
      <c r="B583" s="506">
        <v>45955</v>
      </c>
      <c r="C583" s="507" t="s">
        <v>1661</v>
      </c>
      <c r="D583" s="508" t="s">
        <v>1854</v>
      </c>
      <c r="E583" s="509" t="s">
        <v>1103</v>
      </c>
      <c r="F583" s="510" t="s">
        <v>1785</v>
      </c>
      <c r="G583" s="507" t="s">
        <v>2005</v>
      </c>
      <c r="H583" s="511">
        <v>0</v>
      </c>
      <c r="I583" s="512" t="s">
        <v>1694</v>
      </c>
      <c r="J583" s="518">
        <v>1300</v>
      </c>
      <c r="K583" s="510">
        <v>0</v>
      </c>
      <c r="L583" s="510">
        <v>0</v>
      </c>
      <c r="M583" s="548">
        <v>0</v>
      </c>
      <c r="N583" s="514">
        <f>LANÇ_MOV[[#This Row],[VALOR BRUTO]]-LANÇ_MOV[[#This Row],[DESCONTO]]+LANÇ_MOV[[#This Row],[JUROS]]+LANÇ_MOV[[#This Row],[MULTA]]</f>
        <v>1300</v>
      </c>
      <c r="O583" s="546">
        <v>45967</v>
      </c>
      <c r="P583" s="547" t="str">
        <f t="shared" ca="1" si="9"/>
        <v>Pago</v>
      </c>
      <c r="Q583" s="528">
        <v>45967</v>
      </c>
      <c r="R583" s="529" t="s">
        <v>1564</v>
      </c>
      <c r="S583" s="518"/>
      <c r="T583" s="518" t="s">
        <v>1776</v>
      </c>
      <c r="U583" s="519" t="s">
        <v>2008</v>
      </c>
      <c r="V583" s="520" t="str">
        <f>IFERROR(VLOOKUP(LANÇ_MOV[[#This Row],[PLANO DE CONTAS]],Plano_Contas[[PLANO DE CONTAS]:[R / D]],3,0),"")</f>
        <v>Receita</v>
      </c>
      <c r="W583" s="521" t="str">
        <f>IF(LANÇ_MOV[[#This Row],[DATA DE PAGAMENTO]]&lt;&gt;"","Pago","Não Pago")</f>
        <v>Pago</v>
      </c>
      <c r="X583" s="522" t="str">
        <f>IFERROR(IF(LANÇ_MOV[[#This Row],[DATA DE PAGAMENTO]]="","",(UPPER(TEXT(LANÇ_MOV[[#This Row],[DATA DE PAGAMENTO]],"mmmm")))),"")</f>
        <v>NOVEMBRO</v>
      </c>
      <c r="Y583" s="523" t="str">
        <f>IFERROR(VLOOKUP(LANÇ_MOV[[#This Row],[PLANO DE CONTAS]],Plano_Contas[[PLANO DE CONTAS]:[NOMES INTERVALOS]],2,0),"")</f>
        <v>Receitas_Operacionais</v>
      </c>
      <c r="Z583" s="523" t="str">
        <f>IF(LANÇ_MOV[[#This Row],[FORMA DE PAGAMENTO]]="","",VLOOKUP(LANÇ_MOV[[#This Row],[FORMA DE PAGAMENTO]],CAD_Forma_pagto[],2,0))</f>
        <v>PIX</v>
      </c>
      <c r="AA583" s="524" t="str">
        <f>IF(LANÇ_MOV[[#This Row],[DATA DE LANÇAMENTO]]="","",TEXT(LANÇ_MOV[[#This Row],[DATA DE LANÇAMENTO]],"AAAA"))</f>
        <v>2025</v>
      </c>
      <c r="AB583" s="524" t="str">
        <f>IF(LANÇ_MOV[[#This Row],[DATA DE LANÇAMENTO]]="","",UPPER(TEXT(LANÇ_MOV[[#This Row],[DATA DE LANÇAMENTO]],"MMMM")))</f>
        <v>OUTUBRO</v>
      </c>
      <c r="AC583" s="525" t="str">
        <f>IF(LANÇ_MOV[[#This Row],[DATA DE LANÇAMENTO]]="","",PROPER(TEXT(LANÇ_MOV[[#This Row],[DATA DE LANÇAMENTO]],"M")))</f>
        <v>10</v>
      </c>
      <c r="AD583" s="524" t="str">
        <f>IF(LANÇ_MOV[[#This Row],[DATA DE LANÇAMENTO]]="","",TEXT(LANÇ_MOV[[#This Row],[DATA DE LANÇAMENTO]],"D"))</f>
        <v>25</v>
      </c>
      <c r="AE583" s="526" t="str">
        <f>IF(LANÇ_MOV[[#This Row],[DATA DE VENCIMENTO]]="","",TEXT(LANÇ_MOV[[#This Row],[DATA DE VENCIMENTO]],"AAAA"))</f>
        <v>2025</v>
      </c>
      <c r="AF583" s="526" t="str">
        <f>IF(LANÇ_MOV[[#This Row],[DATA DE VENCIMENTO]]="","",UPPER(TEXT(LANÇ_MOV[[#This Row],[DATA DE VENCIMENTO]],"MMMM")))</f>
        <v>NOVEMBRO</v>
      </c>
      <c r="AG583" s="526" t="str">
        <f>IF(LANÇ_MOV[[#This Row],[DATA DE VENCIMENTO]]="","",TEXT(LANÇ_MOV[[#This Row],[DATA DE VENCIMENTO]],"M"))</f>
        <v>11</v>
      </c>
      <c r="AH583" s="526" t="str">
        <f>IF(LANÇ_MOV[[#This Row],[DATA DE VENCIMENTO]]="","",TEXT(LANÇ_MOV[[#This Row],[DATA DE VENCIMENTO]],"D"))</f>
        <v>6</v>
      </c>
      <c r="AI583" s="526" t="str">
        <f>IF(LANÇ_MOV[[#This Row],[DATA DE PAGAMENTO]]="","",TEXT(LANÇ_MOV[[#This Row],[DATA DE PAGAMENTO]],"AAAA"))</f>
        <v>2025</v>
      </c>
      <c r="AJ583" s="527" t="str">
        <f>IF(LANÇ_MOV[[#This Row],[DATA DE PAGAMENTO]]="","",UPPER(TEXT(LANÇ_MOV[[#This Row],[DATA DE PAGAMENTO]],"MMMM")))</f>
        <v>NOVEMBRO</v>
      </c>
      <c r="AK583" s="527" t="str">
        <f>IF(LANÇ_MOV[[#This Row],[DATA DE PAGAMENTO]]="","",TEXT(LANÇ_MOV[[#This Row],[DATA DE PAGAMENTO]],"M"))</f>
        <v>11</v>
      </c>
      <c r="AL583" s="526" t="str">
        <f>IF(LANÇ_MOV[[#This Row],[DATA DE PAGAMENTO]]="","",TEXT(LANÇ_MOV[[#This Row],[DATA DE PAGAMENTO]],"D"))</f>
        <v>6</v>
      </c>
    </row>
    <row r="584" spans="2:38" ht="30.05" customHeight="1" x14ac:dyDescent="0.35">
      <c r="B584" s="506">
        <v>45955</v>
      </c>
      <c r="C584" s="507" t="s">
        <v>1661</v>
      </c>
      <c r="D584" s="508" t="s">
        <v>1854</v>
      </c>
      <c r="E584" s="509" t="s">
        <v>1103</v>
      </c>
      <c r="F584" s="510" t="s">
        <v>1785</v>
      </c>
      <c r="G584" s="507" t="s">
        <v>2006</v>
      </c>
      <c r="H584" s="511">
        <v>0</v>
      </c>
      <c r="I584" s="512" t="s">
        <v>1694</v>
      </c>
      <c r="J584" s="518">
        <v>1226.92</v>
      </c>
      <c r="K584" s="510">
        <v>0</v>
      </c>
      <c r="L584" s="510">
        <v>0</v>
      </c>
      <c r="M584" s="548">
        <v>0</v>
      </c>
      <c r="N584" s="514">
        <f>LANÇ_MOV[[#This Row],[VALOR BRUTO]]-LANÇ_MOV[[#This Row],[DESCONTO]]+LANÇ_MOV[[#This Row],[JUROS]]+LANÇ_MOV[[#This Row],[MULTA]]</f>
        <v>1226.92</v>
      </c>
      <c r="O584" s="546">
        <v>45967</v>
      </c>
      <c r="P584" s="547" t="str">
        <f t="shared" ca="1" si="9"/>
        <v>Pago</v>
      </c>
      <c r="Q584" s="528">
        <v>45967</v>
      </c>
      <c r="R584" s="529" t="s">
        <v>1564</v>
      </c>
      <c r="S584" s="518"/>
      <c r="T584" s="518" t="s">
        <v>1776</v>
      </c>
      <c r="U584" s="519" t="s">
        <v>2008</v>
      </c>
      <c r="V584" s="520" t="str">
        <f>IFERROR(VLOOKUP(LANÇ_MOV[[#This Row],[PLANO DE CONTAS]],Plano_Contas[[PLANO DE CONTAS]:[R / D]],3,0),"")</f>
        <v>Receita</v>
      </c>
      <c r="W584" s="521" t="str">
        <f>IF(LANÇ_MOV[[#This Row],[DATA DE PAGAMENTO]]&lt;&gt;"","Pago","Não Pago")</f>
        <v>Pago</v>
      </c>
      <c r="X584" s="522" t="str">
        <f>IFERROR(IF(LANÇ_MOV[[#This Row],[DATA DE PAGAMENTO]]="","",(UPPER(TEXT(LANÇ_MOV[[#This Row],[DATA DE PAGAMENTO]],"mmmm")))),"")</f>
        <v>NOVEMBRO</v>
      </c>
      <c r="Y584" s="523" t="str">
        <f>IFERROR(VLOOKUP(LANÇ_MOV[[#This Row],[PLANO DE CONTAS]],Plano_Contas[[PLANO DE CONTAS]:[NOMES INTERVALOS]],2,0),"")</f>
        <v>Receitas_Operacionais</v>
      </c>
      <c r="Z584" s="523" t="str">
        <f>IF(LANÇ_MOV[[#This Row],[FORMA DE PAGAMENTO]]="","",VLOOKUP(LANÇ_MOV[[#This Row],[FORMA DE PAGAMENTO]],CAD_Forma_pagto[],2,0))</f>
        <v>PIX</v>
      </c>
      <c r="AA584" s="524" t="str">
        <f>IF(LANÇ_MOV[[#This Row],[DATA DE LANÇAMENTO]]="","",TEXT(LANÇ_MOV[[#This Row],[DATA DE LANÇAMENTO]],"AAAA"))</f>
        <v>2025</v>
      </c>
      <c r="AB584" s="524" t="str">
        <f>IF(LANÇ_MOV[[#This Row],[DATA DE LANÇAMENTO]]="","",UPPER(TEXT(LANÇ_MOV[[#This Row],[DATA DE LANÇAMENTO]],"MMMM")))</f>
        <v>OUTUBRO</v>
      </c>
      <c r="AC584" s="525" t="str">
        <f>IF(LANÇ_MOV[[#This Row],[DATA DE LANÇAMENTO]]="","",PROPER(TEXT(LANÇ_MOV[[#This Row],[DATA DE LANÇAMENTO]],"M")))</f>
        <v>10</v>
      </c>
      <c r="AD584" s="524" t="str">
        <f>IF(LANÇ_MOV[[#This Row],[DATA DE LANÇAMENTO]]="","",TEXT(LANÇ_MOV[[#This Row],[DATA DE LANÇAMENTO]],"D"))</f>
        <v>25</v>
      </c>
      <c r="AE584" s="526" t="str">
        <f>IF(LANÇ_MOV[[#This Row],[DATA DE VENCIMENTO]]="","",TEXT(LANÇ_MOV[[#This Row],[DATA DE VENCIMENTO]],"AAAA"))</f>
        <v>2025</v>
      </c>
      <c r="AF584" s="526" t="str">
        <f>IF(LANÇ_MOV[[#This Row],[DATA DE VENCIMENTO]]="","",UPPER(TEXT(LANÇ_MOV[[#This Row],[DATA DE VENCIMENTO]],"MMMM")))</f>
        <v>NOVEMBRO</v>
      </c>
      <c r="AG584" s="526" t="str">
        <f>IF(LANÇ_MOV[[#This Row],[DATA DE VENCIMENTO]]="","",TEXT(LANÇ_MOV[[#This Row],[DATA DE VENCIMENTO]],"M"))</f>
        <v>11</v>
      </c>
      <c r="AH584" s="526" t="str">
        <f>IF(LANÇ_MOV[[#This Row],[DATA DE VENCIMENTO]]="","",TEXT(LANÇ_MOV[[#This Row],[DATA DE VENCIMENTO]],"D"))</f>
        <v>6</v>
      </c>
      <c r="AI584" s="526" t="str">
        <f>IF(LANÇ_MOV[[#This Row],[DATA DE PAGAMENTO]]="","",TEXT(LANÇ_MOV[[#This Row],[DATA DE PAGAMENTO]],"AAAA"))</f>
        <v>2025</v>
      </c>
      <c r="AJ584" s="527" t="str">
        <f>IF(LANÇ_MOV[[#This Row],[DATA DE PAGAMENTO]]="","",UPPER(TEXT(LANÇ_MOV[[#This Row],[DATA DE PAGAMENTO]],"MMMM")))</f>
        <v>NOVEMBRO</v>
      </c>
      <c r="AK584" s="527" t="str">
        <f>IF(LANÇ_MOV[[#This Row],[DATA DE PAGAMENTO]]="","",TEXT(LANÇ_MOV[[#This Row],[DATA DE PAGAMENTO]],"M"))</f>
        <v>11</v>
      </c>
      <c r="AL584" s="526" t="str">
        <f>IF(LANÇ_MOV[[#This Row],[DATA DE PAGAMENTO]]="","",TEXT(LANÇ_MOV[[#This Row],[DATA DE PAGAMENTO]],"D"))</f>
        <v>6</v>
      </c>
    </row>
    <row r="585" spans="2:38" ht="30.05" customHeight="1" x14ac:dyDescent="0.35">
      <c r="B585" s="506">
        <v>45955</v>
      </c>
      <c r="C585" s="507" t="s">
        <v>1661</v>
      </c>
      <c r="D585" s="508" t="s">
        <v>1854</v>
      </c>
      <c r="E585" s="509" t="s">
        <v>1441</v>
      </c>
      <c r="F585" s="510" t="s">
        <v>1502</v>
      </c>
      <c r="G585" s="507"/>
      <c r="H585" s="511"/>
      <c r="I585" s="512" t="s">
        <v>1726</v>
      </c>
      <c r="J585" s="518">
        <v>0.02</v>
      </c>
      <c r="K585" s="510">
        <v>0</v>
      </c>
      <c r="L585" s="510"/>
      <c r="M585" s="548">
        <v>0</v>
      </c>
      <c r="N585" s="514">
        <f>LANÇ_MOV[[#This Row],[VALOR BRUTO]]-LANÇ_MOV[[#This Row],[DESCONTO]]+LANÇ_MOV[[#This Row],[JUROS]]+LANÇ_MOV[[#This Row],[MULTA]]</f>
        <v>0.02</v>
      </c>
      <c r="O585" s="546">
        <v>45955</v>
      </c>
      <c r="P585" s="547" t="str">
        <f t="shared" ca="1" si="9"/>
        <v>Pago</v>
      </c>
      <c r="Q585" s="528">
        <v>45955</v>
      </c>
      <c r="R585" s="529" t="s">
        <v>1564</v>
      </c>
      <c r="S585" s="518"/>
      <c r="T585" s="518" t="s">
        <v>1776</v>
      </c>
      <c r="U585" s="519" t="s">
        <v>2007</v>
      </c>
      <c r="V585" s="520" t="str">
        <f>IFERROR(VLOOKUP(LANÇ_MOV[[#This Row],[PLANO DE CONTAS]],Plano_Contas[[PLANO DE CONTAS]:[R / D]],3,0),"")</f>
        <v>Receita</v>
      </c>
      <c r="W585" s="521" t="str">
        <f>IF(LANÇ_MOV[[#This Row],[DATA DE PAGAMENTO]]&lt;&gt;"","Pago","Não Pago")</f>
        <v>Pago</v>
      </c>
      <c r="X585" s="522" t="str">
        <f>IFERROR(IF(LANÇ_MOV[[#This Row],[DATA DE PAGAMENTO]]="","",(UPPER(TEXT(LANÇ_MOV[[#This Row],[DATA DE PAGAMENTO]],"mmmm")))),"")</f>
        <v>OUTUBRO</v>
      </c>
      <c r="Y585" s="523" t="str">
        <f>IFERROR(VLOOKUP(LANÇ_MOV[[#This Row],[PLANO DE CONTAS]],Plano_Contas[[PLANO DE CONTAS]:[NOMES INTERVALOS]],2,0),"")</f>
        <v>Receitas_Outros_Creditos</v>
      </c>
      <c r="Z585" s="523" t="str">
        <f>IF(LANÇ_MOV[[#This Row],[FORMA DE PAGAMENTO]]="","",VLOOKUP(LANÇ_MOV[[#This Row],[FORMA DE PAGAMENTO]],CAD_Forma_pagto[],2,0))</f>
        <v>PIX</v>
      </c>
      <c r="AA585" s="524" t="str">
        <f>IF(LANÇ_MOV[[#This Row],[DATA DE LANÇAMENTO]]="","",TEXT(LANÇ_MOV[[#This Row],[DATA DE LANÇAMENTO]],"AAAA"))</f>
        <v>2025</v>
      </c>
      <c r="AB585" s="524" t="str">
        <f>IF(LANÇ_MOV[[#This Row],[DATA DE LANÇAMENTO]]="","",UPPER(TEXT(LANÇ_MOV[[#This Row],[DATA DE LANÇAMENTO]],"MMMM")))</f>
        <v>OUTUBRO</v>
      </c>
      <c r="AC585" s="525" t="str">
        <f>IF(LANÇ_MOV[[#This Row],[DATA DE LANÇAMENTO]]="","",PROPER(TEXT(LANÇ_MOV[[#This Row],[DATA DE LANÇAMENTO]],"M")))</f>
        <v>10</v>
      </c>
      <c r="AD585" s="524" t="str">
        <f>IF(LANÇ_MOV[[#This Row],[DATA DE LANÇAMENTO]]="","",TEXT(LANÇ_MOV[[#This Row],[DATA DE LANÇAMENTO]],"D"))</f>
        <v>25</v>
      </c>
      <c r="AE585" s="526" t="str">
        <f>IF(LANÇ_MOV[[#This Row],[DATA DE VENCIMENTO]]="","",TEXT(LANÇ_MOV[[#This Row],[DATA DE VENCIMENTO]],"AAAA"))</f>
        <v>2025</v>
      </c>
      <c r="AF585" s="526" t="str">
        <f>IF(LANÇ_MOV[[#This Row],[DATA DE VENCIMENTO]]="","",UPPER(TEXT(LANÇ_MOV[[#This Row],[DATA DE VENCIMENTO]],"MMMM")))</f>
        <v>OUTUBRO</v>
      </c>
      <c r="AG585" s="526" t="str">
        <f>IF(LANÇ_MOV[[#This Row],[DATA DE VENCIMENTO]]="","",TEXT(LANÇ_MOV[[#This Row],[DATA DE VENCIMENTO]],"M"))</f>
        <v>10</v>
      </c>
      <c r="AH585" s="526" t="str">
        <f>IF(LANÇ_MOV[[#This Row],[DATA DE VENCIMENTO]]="","",TEXT(LANÇ_MOV[[#This Row],[DATA DE VENCIMENTO]],"D"))</f>
        <v>25</v>
      </c>
      <c r="AI585" s="526" t="str">
        <f>IF(LANÇ_MOV[[#This Row],[DATA DE PAGAMENTO]]="","",TEXT(LANÇ_MOV[[#This Row],[DATA DE PAGAMENTO]],"AAAA"))</f>
        <v>2025</v>
      </c>
      <c r="AJ585" s="527" t="str">
        <f>IF(LANÇ_MOV[[#This Row],[DATA DE PAGAMENTO]]="","",UPPER(TEXT(LANÇ_MOV[[#This Row],[DATA DE PAGAMENTO]],"MMMM")))</f>
        <v>OUTUBRO</v>
      </c>
      <c r="AK585" s="527" t="str">
        <f>IF(LANÇ_MOV[[#This Row],[DATA DE PAGAMENTO]]="","",TEXT(LANÇ_MOV[[#This Row],[DATA DE PAGAMENTO]],"M"))</f>
        <v>10</v>
      </c>
      <c r="AL585" s="526" t="str">
        <f>IF(LANÇ_MOV[[#This Row],[DATA DE PAGAMENTO]]="","",TEXT(LANÇ_MOV[[#This Row],[DATA DE PAGAMENTO]],"D"))</f>
        <v>25</v>
      </c>
    </row>
    <row r="586" spans="2:38" ht="30.05" customHeight="1" x14ac:dyDescent="0.35">
      <c r="B586" s="506">
        <v>45962</v>
      </c>
      <c r="C586" s="507" t="s">
        <v>1661</v>
      </c>
      <c r="D586" s="508" t="s">
        <v>1854</v>
      </c>
      <c r="E586" s="509" t="s">
        <v>1144</v>
      </c>
      <c r="F586" s="510" t="s">
        <v>1552</v>
      </c>
      <c r="G586" s="507"/>
      <c r="H586" s="511"/>
      <c r="I586" s="512" t="s">
        <v>1767</v>
      </c>
      <c r="J586" s="518"/>
      <c r="K586" s="510"/>
      <c r="L586" s="510"/>
      <c r="M586" s="548"/>
      <c r="N586" s="514">
        <f>LANÇ_MOV[[#This Row],[VALOR BRUTO]]-LANÇ_MOV[[#This Row],[DESCONTO]]+LANÇ_MOV[[#This Row],[JUROS]]+LANÇ_MOV[[#This Row],[MULTA]]</f>
        <v>0</v>
      </c>
      <c r="O586" s="546"/>
      <c r="P586" s="547" t="str">
        <f t="shared" ca="1" si="9"/>
        <v/>
      </c>
      <c r="Q586" s="528"/>
      <c r="R586" s="529"/>
      <c r="S586" s="518"/>
      <c r="T586" s="518"/>
      <c r="U586" s="519"/>
      <c r="V586" s="520" t="str">
        <f>IFERROR(VLOOKUP(LANÇ_MOV[[#This Row],[PLANO DE CONTAS]],Plano_Contas[[PLANO DE CONTAS]:[R / D]],3,0),"")</f>
        <v>Despesa</v>
      </c>
      <c r="W586" s="521" t="str">
        <f>IF(LANÇ_MOV[[#This Row],[DATA DE PAGAMENTO]]&lt;&gt;"","Pago","Não Pago")</f>
        <v>Não Pago</v>
      </c>
      <c r="X586" s="522" t="str">
        <f>IFERROR(IF(LANÇ_MOV[[#This Row],[DATA DE PAGAMENTO]]="","",(UPPER(TEXT(LANÇ_MOV[[#This Row],[DATA DE PAGAMENTO]],"mmmm")))),"")</f>
        <v/>
      </c>
      <c r="Y586" s="523" t="str">
        <f>IFERROR(VLOOKUP(LANÇ_MOV[[#This Row],[PLANO DE CONTAS]],Plano_Contas[[PLANO DE CONTAS]:[NOMES INTERVALOS]],2,0),"")</f>
        <v>Despesas_Administrativas</v>
      </c>
      <c r="Z586" s="523" t="str">
        <f>IF(LANÇ_MOV[[#This Row],[FORMA DE PAGAMENTO]]="","",VLOOKUP(LANÇ_MOV[[#This Row],[FORMA DE PAGAMENTO]],CAD_Forma_pagto[],2,0))</f>
        <v/>
      </c>
      <c r="AA586" s="524" t="str">
        <f>IF(LANÇ_MOV[[#This Row],[DATA DE LANÇAMENTO]]="","",TEXT(LANÇ_MOV[[#This Row],[DATA DE LANÇAMENTO]],"AAAA"))</f>
        <v>2025</v>
      </c>
      <c r="AB586" s="524" t="str">
        <f>IF(LANÇ_MOV[[#This Row],[DATA DE LANÇAMENTO]]="","",UPPER(TEXT(LANÇ_MOV[[#This Row],[DATA DE LANÇAMENTO]],"MMMM")))</f>
        <v>NOVEMBRO</v>
      </c>
      <c r="AC586" s="525" t="str">
        <f>IF(LANÇ_MOV[[#This Row],[DATA DE LANÇAMENTO]]="","",PROPER(TEXT(LANÇ_MOV[[#This Row],[DATA DE LANÇAMENTO]],"M")))</f>
        <v>11</v>
      </c>
      <c r="AD586" s="524" t="str">
        <f>IF(LANÇ_MOV[[#This Row],[DATA DE LANÇAMENTO]]="","",TEXT(LANÇ_MOV[[#This Row],[DATA DE LANÇAMENTO]],"D"))</f>
        <v>1</v>
      </c>
      <c r="AE586" s="526" t="str">
        <f>IF(LANÇ_MOV[[#This Row],[DATA DE VENCIMENTO]]="","",TEXT(LANÇ_MOV[[#This Row],[DATA DE VENCIMENTO]],"AAAA"))</f>
        <v/>
      </c>
      <c r="AF586" s="526" t="str">
        <f>IF(LANÇ_MOV[[#This Row],[DATA DE VENCIMENTO]]="","",UPPER(TEXT(LANÇ_MOV[[#This Row],[DATA DE VENCIMENTO]],"MMMM")))</f>
        <v/>
      </c>
      <c r="AG586" s="526" t="str">
        <f>IF(LANÇ_MOV[[#This Row],[DATA DE VENCIMENTO]]="","",TEXT(LANÇ_MOV[[#This Row],[DATA DE VENCIMENTO]],"M"))</f>
        <v/>
      </c>
      <c r="AH586" s="526" t="str">
        <f>IF(LANÇ_MOV[[#This Row],[DATA DE VENCIMENTO]]="","",TEXT(LANÇ_MOV[[#This Row],[DATA DE VENCIMENTO]],"D"))</f>
        <v/>
      </c>
      <c r="AI586" s="526" t="str">
        <f>IF(LANÇ_MOV[[#This Row],[DATA DE PAGAMENTO]]="","",TEXT(LANÇ_MOV[[#This Row],[DATA DE PAGAMENTO]],"AAAA"))</f>
        <v/>
      </c>
      <c r="AJ586" s="527" t="str">
        <f>IF(LANÇ_MOV[[#This Row],[DATA DE PAGAMENTO]]="","",UPPER(TEXT(LANÇ_MOV[[#This Row],[DATA DE PAGAMENTO]],"MMMM")))</f>
        <v/>
      </c>
      <c r="AK586" s="527" t="str">
        <f>IF(LANÇ_MOV[[#This Row],[DATA DE PAGAMENTO]]="","",TEXT(LANÇ_MOV[[#This Row],[DATA DE PAGAMENTO]],"M"))</f>
        <v/>
      </c>
      <c r="AL586" s="526" t="str">
        <f>IF(LANÇ_MOV[[#This Row],[DATA DE PAGAMENTO]]="","",TEXT(LANÇ_MOV[[#This Row],[DATA DE PAGAMENTO]],"D"))</f>
        <v/>
      </c>
    </row>
    <row r="587" spans="2:38" ht="30.05" customHeight="1" x14ac:dyDescent="0.35">
      <c r="B587" s="506"/>
      <c r="C587" s="507"/>
      <c r="D587" s="508" t="s">
        <v>1854</v>
      </c>
      <c r="E587" s="509"/>
      <c r="F587" s="510"/>
      <c r="G587" s="507"/>
      <c r="H587" s="511"/>
      <c r="I587" s="512"/>
      <c r="J587" s="518"/>
      <c r="K587" s="510"/>
      <c r="L587" s="510"/>
      <c r="M587" s="548"/>
      <c r="N587" s="514">
        <f>LANÇ_MOV[[#This Row],[VALOR BRUTO]]-LANÇ_MOV[[#This Row],[DESCONTO]]+LANÇ_MOV[[#This Row],[JUROS]]+LANÇ_MOV[[#This Row],[MULTA]]</f>
        <v>0</v>
      </c>
      <c r="O587" s="546"/>
      <c r="P587" s="547" t="str">
        <f t="shared" ca="1" si="9"/>
        <v/>
      </c>
      <c r="Q587" s="528"/>
      <c r="R587" s="529"/>
      <c r="S587" s="518"/>
      <c r="T587" s="518"/>
      <c r="U587" s="519"/>
      <c r="V587" s="520" t="str">
        <f>IFERROR(VLOOKUP(LANÇ_MOV[[#This Row],[PLANO DE CONTAS]],Plano_Contas[[PLANO DE CONTAS]:[R / D]],3,0),"")</f>
        <v/>
      </c>
      <c r="W587" s="521" t="str">
        <f>IF(LANÇ_MOV[[#This Row],[DATA DE PAGAMENTO]]&lt;&gt;"","Pago","Não Pago")</f>
        <v>Não Pago</v>
      </c>
      <c r="X587" s="522" t="str">
        <f>IFERROR(IF(LANÇ_MOV[[#This Row],[DATA DE PAGAMENTO]]="","",(UPPER(TEXT(LANÇ_MOV[[#This Row],[DATA DE PAGAMENTO]],"mmmm")))),"")</f>
        <v/>
      </c>
      <c r="Y587" s="523" t="str">
        <f>IFERROR(VLOOKUP(LANÇ_MOV[[#This Row],[PLANO DE CONTAS]],Plano_Contas[[PLANO DE CONTAS]:[NOMES INTERVALOS]],2,0),"")</f>
        <v/>
      </c>
      <c r="Z587" s="523" t="str">
        <f>IF(LANÇ_MOV[[#This Row],[FORMA DE PAGAMENTO]]="","",VLOOKUP(LANÇ_MOV[[#This Row],[FORMA DE PAGAMENTO]],CAD_Forma_pagto[],2,0))</f>
        <v/>
      </c>
      <c r="AA587" s="524" t="str">
        <f>IF(LANÇ_MOV[[#This Row],[DATA DE LANÇAMENTO]]="","",TEXT(LANÇ_MOV[[#This Row],[DATA DE LANÇAMENTO]],"AAAA"))</f>
        <v/>
      </c>
      <c r="AB587" s="524" t="str">
        <f>IF(LANÇ_MOV[[#This Row],[DATA DE LANÇAMENTO]]="","",UPPER(TEXT(LANÇ_MOV[[#This Row],[DATA DE LANÇAMENTO]],"MMMM")))</f>
        <v/>
      </c>
      <c r="AC587" s="525" t="str">
        <f>IF(LANÇ_MOV[[#This Row],[DATA DE LANÇAMENTO]]="","",PROPER(TEXT(LANÇ_MOV[[#This Row],[DATA DE LANÇAMENTO]],"M")))</f>
        <v/>
      </c>
      <c r="AD587" s="524" t="str">
        <f>IF(LANÇ_MOV[[#This Row],[DATA DE LANÇAMENTO]]="","",TEXT(LANÇ_MOV[[#This Row],[DATA DE LANÇAMENTO]],"D"))</f>
        <v/>
      </c>
      <c r="AE587" s="526" t="str">
        <f>IF(LANÇ_MOV[[#This Row],[DATA DE VENCIMENTO]]="","",TEXT(LANÇ_MOV[[#This Row],[DATA DE VENCIMENTO]],"AAAA"))</f>
        <v/>
      </c>
      <c r="AF587" s="526" t="str">
        <f>IF(LANÇ_MOV[[#This Row],[DATA DE VENCIMENTO]]="","",UPPER(TEXT(LANÇ_MOV[[#This Row],[DATA DE VENCIMENTO]],"MMMM")))</f>
        <v/>
      </c>
      <c r="AG587" s="526" t="str">
        <f>IF(LANÇ_MOV[[#This Row],[DATA DE VENCIMENTO]]="","",TEXT(LANÇ_MOV[[#This Row],[DATA DE VENCIMENTO]],"M"))</f>
        <v/>
      </c>
      <c r="AH587" s="526" t="str">
        <f>IF(LANÇ_MOV[[#This Row],[DATA DE VENCIMENTO]]="","",TEXT(LANÇ_MOV[[#This Row],[DATA DE VENCIMENTO]],"D"))</f>
        <v/>
      </c>
      <c r="AI587" s="526" t="str">
        <f>IF(LANÇ_MOV[[#This Row],[DATA DE PAGAMENTO]]="","",TEXT(LANÇ_MOV[[#This Row],[DATA DE PAGAMENTO]],"AAAA"))</f>
        <v/>
      </c>
      <c r="AJ587" s="527" t="str">
        <f>IF(LANÇ_MOV[[#This Row],[DATA DE PAGAMENTO]]="","",UPPER(TEXT(LANÇ_MOV[[#This Row],[DATA DE PAGAMENTO]],"MMMM")))</f>
        <v/>
      </c>
      <c r="AK587" s="527" t="str">
        <f>IF(LANÇ_MOV[[#This Row],[DATA DE PAGAMENTO]]="","",TEXT(LANÇ_MOV[[#This Row],[DATA DE PAGAMENTO]],"M"))</f>
        <v/>
      </c>
      <c r="AL587" s="526" t="str">
        <f>IF(LANÇ_MOV[[#This Row],[DATA DE PAGAMENTO]]="","",TEXT(LANÇ_MOV[[#This Row],[DATA DE PAGAMENTO]],"D"))</f>
        <v/>
      </c>
    </row>
    <row r="588" spans="2:38" ht="30.05" customHeight="1" x14ac:dyDescent="0.35">
      <c r="B588" s="506"/>
      <c r="C588" s="507"/>
      <c r="D588" s="508" t="s">
        <v>1854</v>
      </c>
      <c r="E588" s="509"/>
      <c r="F588" s="510"/>
      <c r="G588" s="507"/>
      <c r="H588" s="511"/>
      <c r="I588" s="512"/>
      <c r="J588" s="518"/>
      <c r="K588" s="510"/>
      <c r="L588" s="510"/>
      <c r="M588" s="548"/>
      <c r="N588" s="514">
        <f>LANÇ_MOV[[#This Row],[VALOR BRUTO]]-LANÇ_MOV[[#This Row],[DESCONTO]]+LANÇ_MOV[[#This Row],[JUROS]]+LANÇ_MOV[[#This Row],[MULTA]]</f>
        <v>0</v>
      </c>
      <c r="O588" s="546"/>
      <c r="P588" s="547" t="str">
        <f t="shared" ca="1" si="9"/>
        <v/>
      </c>
      <c r="Q588" s="528"/>
      <c r="R588" s="529"/>
      <c r="S588" s="518"/>
      <c r="T588" s="518"/>
      <c r="U588" s="519"/>
      <c r="V588" s="520" t="str">
        <f>IFERROR(VLOOKUP(LANÇ_MOV[[#This Row],[PLANO DE CONTAS]],Plano_Contas[[PLANO DE CONTAS]:[R / D]],3,0),"")</f>
        <v/>
      </c>
      <c r="W588" s="521" t="str">
        <f>IF(LANÇ_MOV[[#This Row],[DATA DE PAGAMENTO]]&lt;&gt;"","Pago","Não Pago")</f>
        <v>Não Pago</v>
      </c>
      <c r="X588" s="522" t="str">
        <f>IFERROR(IF(LANÇ_MOV[[#This Row],[DATA DE PAGAMENTO]]="","",(UPPER(TEXT(LANÇ_MOV[[#This Row],[DATA DE PAGAMENTO]],"mmmm")))),"")</f>
        <v/>
      </c>
      <c r="Y588" s="523" t="str">
        <f>IFERROR(VLOOKUP(LANÇ_MOV[[#This Row],[PLANO DE CONTAS]],Plano_Contas[[PLANO DE CONTAS]:[NOMES INTERVALOS]],2,0),"")</f>
        <v/>
      </c>
      <c r="Z588" s="523" t="str">
        <f>IF(LANÇ_MOV[[#This Row],[FORMA DE PAGAMENTO]]="","",VLOOKUP(LANÇ_MOV[[#This Row],[FORMA DE PAGAMENTO]],CAD_Forma_pagto[],2,0))</f>
        <v/>
      </c>
      <c r="AA588" s="524" t="str">
        <f>IF(LANÇ_MOV[[#This Row],[DATA DE LANÇAMENTO]]="","",TEXT(LANÇ_MOV[[#This Row],[DATA DE LANÇAMENTO]],"AAAA"))</f>
        <v/>
      </c>
      <c r="AB588" s="524" t="str">
        <f>IF(LANÇ_MOV[[#This Row],[DATA DE LANÇAMENTO]]="","",UPPER(TEXT(LANÇ_MOV[[#This Row],[DATA DE LANÇAMENTO]],"MMMM")))</f>
        <v/>
      </c>
      <c r="AC588" s="525" t="str">
        <f>IF(LANÇ_MOV[[#This Row],[DATA DE LANÇAMENTO]]="","",PROPER(TEXT(LANÇ_MOV[[#This Row],[DATA DE LANÇAMENTO]],"M")))</f>
        <v/>
      </c>
      <c r="AD588" s="524" t="str">
        <f>IF(LANÇ_MOV[[#This Row],[DATA DE LANÇAMENTO]]="","",TEXT(LANÇ_MOV[[#This Row],[DATA DE LANÇAMENTO]],"D"))</f>
        <v/>
      </c>
      <c r="AE588" s="526" t="str">
        <f>IF(LANÇ_MOV[[#This Row],[DATA DE VENCIMENTO]]="","",TEXT(LANÇ_MOV[[#This Row],[DATA DE VENCIMENTO]],"AAAA"))</f>
        <v/>
      </c>
      <c r="AF588" s="526" t="str">
        <f>IF(LANÇ_MOV[[#This Row],[DATA DE VENCIMENTO]]="","",UPPER(TEXT(LANÇ_MOV[[#This Row],[DATA DE VENCIMENTO]],"MMMM")))</f>
        <v/>
      </c>
      <c r="AG588" s="526" t="str">
        <f>IF(LANÇ_MOV[[#This Row],[DATA DE VENCIMENTO]]="","",TEXT(LANÇ_MOV[[#This Row],[DATA DE VENCIMENTO]],"M"))</f>
        <v/>
      </c>
      <c r="AH588" s="526" t="str">
        <f>IF(LANÇ_MOV[[#This Row],[DATA DE VENCIMENTO]]="","",TEXT(LANÇ_MOV[[#This Row],[DATA DE VENCIMENTO]],"D"))</f>
        <v/>
      </c>
      <c r="AI588" s="526" t="str">
        <f>IF(LANÇ_MOV[[#This Row],[DATA DE PAGAMENTO]]="","",TEXT(LANÇ_MOV[[#This Row],[DATA DE PAGAMENTO]],"AAAA"))</f>
        <v/>
      </c>
      <c r="AJ588" s="527" t="str">
        <f>IF(LANÇ_MOV[[#This Row],[DATA DE PAGAMENTO]]="","",UPPER(TEXT(LANÇ_MOV[[#This Row],[DATA DE PAGAMENTO]],"MMMM")))</f>
        <v/>
      </c>
      <c r="AK588" s="527" t="str">
        <f>IF(LANÇ_MOV[[#This Row],[DATA DE PAGAMENTO]]="","",TEXT(LANÇ_MOV[[#This Row],[DATA DE PAGAMENTO]],"M"))</f>
        <v/>
      </c>
      <c r="AL588" s="526" t="str">
        <f>IF(LANÇ_MOV[[#This Row],[DATA DE PAGAMENTO]]="","",TEXT(LANÇ_MOV[[#This Row],[DATA DE PAGAMENTO]],"D"))</f>
        <v/>
      </c>
    </row>
    <row r="589" spans="2:38" ht="30.05" customHeight="1" x14ac:dyDescent="0.35">
      <c r="B589" s="506"/>
      <c r="C589" s="507"/>
      <c r="D589" s="508" t="s">
        <v>1854</v>
      </c>
      <c r="E589" s="509"/>
      <c r="F589" s="510"/>
      <c r="G589" s="507"/>
      <c r="H589" s="511"/>
      <c r="I589" s="512"/>
      <c r="J589" s="518"/>
      <c r="K589" s="510"/>
      <c r="L589" s="510"/>
      <c r="M589" s="548"/>
      <c r="N589" s="514">
        <f>LANÇ_MOV[[#This Row],[VALOR BRUTO]]-LANÇ_MOV[[#This Row],[DESCONTO]]+LANÇ_MOV[[#This Row],[JUROS]]+LANÇ_MOV[[#This Row],[MULTA]]</f>
        <v>0</v>
      </c>
      <c r="O589" s="546"/>
      <c r="P589" s="547" t="str">
        <f t="shared" ca="1" si="9"/>
        <v/>
      </c>
      <c r="Q589" s="528"/>
      <c r="R589" s="529"/>
      <c r="S589" s="518"/>
      <c r="T589" s="518"/>
      <c r="U589" s="519"/>
      <c r="V589" s="520" t="str">
        <f>IFERROR(VLOOKUP(LANÇ_MOV[[#This Row],[PLANO DE CONTAS]],Plano_Contas[[PLANO DE CONTAS]:[R / D]],3,0),"")</f>
        <v/>
      </c>
      <c r="W589" s="521" t="str">
        <f>IF(LANÇ_MOV[[#This Row],[DATA DE PAGAMENTO]]&lt;&gt;"","Pago","Não Pago")</f>
        <v>Não Pago</v>
      </c>
      <c r="X589" s="522" t="str">
        <f>IFERROR(IF(LANÇ_MOV[[#This Row],[DATA DE PAGAMENTO]]="","",(UPPER(TEXT(LANÇ_MOV[[#This Row],[DATA DE PAGAMENTO]],"mmmm")))),"")</f>
        <v/>
      </c>
      <c r="Y589" s="523" t="str">
        <f>IFERROR(VLOOKUP(LANÇ_MOV[[#This Row],[PLANO DE CONTAS]],Plano_Contas[[PLANO DE CONTAS]:[NOMES INTERVALOS]],2,0),"")</f>
        <v/>
      </c>
      <c r="Z589" s="523" t="str">
        <f>IF(LANÇ_MOV[[#This Row],[FORMA DE PAGAMENTO]]="","",VLOOKUP(LANÇ_MOV[[#This Row],[FORMA DE PAGAMENTO]],CAD_Forma_pagto[],2,0))</f>
        <v/>
      </c>
      <c r="AA589" s="524" t="str">
        <f>IF(LANÇ_MOV[[#This Row],[DATA DE LANÇAMENTO]]="","",TEXT(LANÇ_MOV[[#This Row],[DATA DE LANÇAMENTO]],"AAAA"))</f>
        <v/>
      </c>
      <c r="AB589" s="524" t="str">
        <f>IF(LANÇ_MOV[[#This Row],[DATA DE LANÇAMENTO]]="","",UPPER(TEXT(LANÇ_MOV[[#This Row],[DATA DE LANÇAMENTO]],"MMMM")))</f>
        <v/>
      </c>
      <c r="AC589" s="525" t="str">
        <f>IF(LANÇ_MOV[[#This Row],[DATA DE LANÇAMENTO]]="","",PROPER(TEXT(LANÇ_MOV[[#This Row],[DATA DE LANÇAMENTO]],"M")))</f>
        <v/>
      </c>
      <c r="AD589" s="524" t="str">
        <f>IF(LANÇ_MOV[[#This Row],[DATA DE LANÇAMENTO]]="","",TEXT(LANÇ_MOV[[#This Row],[DATA DE LANÇAMENTO]],"D"))</f>
        <v/>
      </c>
      <c r="AE589" s="526" t="str">
        <f>IF(LANÇ_MOV[[#This Row],[DATA DE VENCIMENTO]]="","",TEXT(LANÇ_MOV[[#This Row],[DATA DE VENCIMENTO]],"AAAA"))</f>
        <v/>
      </c>
      <c r="AF589" s="526" t="str">
        <f>IF(LANÇ_MOV[[#This Row],[DATA DE VENCIMENTO]]="","",UPPER(TEXT(LANÇ_MOV[[#This Row],[DATA DE VENCIMENTO]],"MMMM")))</f>
        <v/>
      </c>
      <c r="AG589" s="526" t="str">
        <f>IF(LANÇ_MOV[[#This Row],[DATA DE VENCIMENTO]]="","",TEXT(LANÇ_MOV[[#This Row],[DATA DE VENCIMENTO]],"M"))</f>
        <v/>
      </c>
      <c r="AH589" s="526" t="str">
        <f>IF(LANÇ_MOV[[#This Row],[DATA DE VENCIMENTO]]="","",TEXT(LANÇ_MOV[[#This Row],[DATA DE VENCIMENTO]],"D"))</f>
        <v/>
      </c>
      <c r="AI589" s="526" t="str">
        <f>IF(LANÇ_MOV[[#This Row],[DATA DE PAGAMENTO]]="","",TEXT(LANÇ_MOV[[#This Row],[DATA DE PAGAMENTO]],"AAAA"))</f>
        <v/>
      </c>
      <c r="AJ589" s="527" t="str">
        <f>IF(LANÇ_MOV[[#This Row],[DATA DE PAGAMENTO]]="","",UPPER(TEXT(LANÇ_MOV[[#This Row],[DATA DE PAGAMENTO]],"MMMM")))</f>
        <v/>
      </c>
      <c r="AK589" s="527" t="str">
        <f>IF(LANÇ_MOV[[#This Row],[DATA DE PAGAMENTO]]="","",TEXT(LANÇ_MOV[[#This Row],[DATA DE PAGAMENTO]],"M"))</f>
        <v/>
      </c>
      <c r="AL589" s="526" t="str">
        <f>IF(LANÇ_MOV[[#This Row],[DATA DE PAGAMENTO]]="","",TEXT(LANÇ_MOV[[#This Row],[DATA DE PAGAMENTO]],"D"))</f>
        <v/>
      </c>
    </row>
    <row r="590" spans="2:38" ht="30.05" customHeight="1" x14ac:dyDescent="0.35">
      <c r="B590" s="506"/>
      <c r="C590" s="507"/>
      <c r="D590" s="508" t="s">
        <v>1854</v>
      </c>
      <c r="E590" s="509"/>
      <c r="F590" s="510"/>
      <c r="G590" s="507"/>
      <c r="H590" s="511"/>
      <c r="I590" s="512"/>
      <c r="J590" s="518"/>
      <c r="K590" s="510"/>
      <c r="L590" s="510"/>
      <c r="M590" s="548"/>
      <c r="N590" s="514">
        <f>LANÇ_MOV[[#This Row],[VALOR BRUTO]]-LANÇ_MOV[[#This Row],[DESCONTO]]+LANÇ_MOV[[#This Row],[JUROS]]+LANÇ_MOV[[#This Row],[MULTA]]</f>
        <v>0</v>
      </c>
      <c r="O590" s="546"/>
      <c r="P590" s="547" t="str">
        <f t="shared" ca="1" si="9"/>
        <v/>
      </c>
      <c r="Q590" s="528"/>
      <c r="R590" s="529"/>
      <c r="S590" s="518"/>
      <c r="T590" s="518"/>
      <c r="U590" s="519"/>
      <c r="V590" s="520" t="str">
        <f>IFERROR(VLOOKUP(LANÇ_MOV[[#This Row],[PLANO DE CONTAS]],Plano_Contas[[PLANO DE CONTAS]:[R / D]],3,0),"")</f>
        <v/>
      </c>
      <c r="W590" s="521" t="str">
        <f>IF(LANÇ_MOV[[#This Row],[DATA DE PAGAMENTO]]&lt;&gt;"","Pago","Não Pago")</f>
        <v>Não Pago</v>
      </c>
      <c r="X590" s="522" t="str">
        <f>IFERROR(IF(LANÇ_MOV[[#This Row],[DATA DE PAGAMENTO]]="","",(UPPER(TEXT(LANÇ_MOV[[#This Row],[DATA DE PAGAMENTO]],"mmmm")))),"")</f>
        <v/>
      </c>
      <c r="Y590" s="523" t="str">
        <f>IFERROR(VLOOKUP(LANÇ_MOV[[#This Row],[PLANO DE CONTAS]],Plano_Contas[[PLANO DE CONTAS]:[NOMES INTERVALOS]],2,0),"")</f>
        <v/>
      </c>
      <c r="Z590" s="523" t="str">
        <f>IF(LANÇ_MOV[[#This Row],[FORMA DE PAGAMENTO]]="","",VLOOKUP(LANÇ_MOV[[#This Row],[FORMA DE PAGAMENTO]],CAD_Forma_pagto[],2,0))</f>
        <v/>
      </c>
      <c r="AA590" s="524" t="str">
        <f>IF(LANÇ_MOV[[#This Row],[DATA DE LANÇAMENTO]]="","",TEXT(LANÇ_MOV[[#This Row],[DATA DE LANÇAMENTO]],"AAAA"))</f>
        <v/>
      </c>
      <c r="AB590" s="524" t="str">
        <f>IF(LANÇ_MOV[[#This Row],[DATA DE LANÇAMENTO]]="","",UPPER(TEXT(LANÇ_MOV[[#This Row],[DATA DE LANÇAMENTO]],"MMMM")))</f>
        <v/>
      </c>
      <c r="AC590" s="525" t="str">
        <f>IF(LANÇ_MOV[[#This Row],[DATA DE LANÇAMENTO]]="","",PROPER(TEXT(LANÇ_MOV[[#This Row],[DATA DE LANÇAMENTO]],"M")))</f>
        <v/>
      </c>
      <c r="AD590" s="524" t="str">
        <f>IF(LANÇ_MOV[[#This Row],[DATA DE LANÇAMENTO]]="","",TEXT(LANÇ_MOV[[#This Row],[DATA DE LANÇAMENTO]],"D"))</f>
        <v/>
      </c>
      <c r="AE590" s="526" t="str">
        <f>IF(LANÇ_MOV[[#This Row],[DATA DE VENCIMENTO]]="","",TEXT(LANÇ_MOV[[#This Row],[DATA DE VENCIMENTO]],"AAAA"))</f>
        <v/>
      </c>
      <c r="AF590" s="526" t="str">
        <f>IF(LANÇ_MOV[[#This Row],[DATA DE VENCIMENTO]]="","",UPPER(TEXT(LANÇ_MOV[[#This Row],[DATA DE VENCIMENTO]],"MMMM")))</f>
        <v/>
      </c>
      <c r="AG590" s="526" t="str">
        <f>IF(LANÇ_MOV[[#This Row],[DATA DE VENCIMENTO]]="","",TEXT(LANÇ_MOV[[#This Row],[DATA DE VENCIMENTO]],"M"))</f>
        <v/>
      </c>
      <c r="AH590" s="526" t="str">
        <f>IF(LANÇ_MOV[[#This Row],[DATA DE VENCIMENTO]]="","",TEXT(LANÇ_MOV[[#This Row],[DATA DE VENCIMENTO]],"D"))</f>
        <v/>
      </c>
      <c r="AI590" s="526" t="str">
        <f>IF(LANÇ_MOV[[#This Row],[DATA DE PAGAMENTO]]="","",TEXT(LANÇ_MOV[[#This Row],[DATA DE PAGAMENTO]],"AAAA"))</f>
        <v/>
      </c>
      <c r="AJ590" s="527" t="str">
        <f>IF(LANÇ_MOV[[#This Row],[DATA DE PAGAMENTO]]="","",UPPER(TEXT(LANÇ_MOV[[#This Row],[DATA DE PAGAMENTO]],"MMMM")))</f>
        <v/>
      </c>
      <c r="AK590" s="527" t="str">
        <f>IF(LANÇ_MOV[[#This Row],[DATA DE PAGAMENTO]]="","",TEXT(LANÇ_MOV[[#This Row],[DATA DE PAGAMENTO]],"M"))</f>
        <v/>
      </c>
      <c r="AL590" s="526" t="str">
        <f>IF(LANÇ_MOV[[#This Row],[DATA DE PAGAMENTO]]="","",TEXT(LANÇ_MOV[[#This Row],[DATA DE PAGAMENTO]],"D"))</f>
        <v/>
      </c>
    </row>
    <row r="591" spans="2:38" ht="30.05" customHeight="1" x14ac:dyDescent="0.35">
      <c r="B591" s="506"/>
      <c r="C591" s="507"/>
      <c r="D591" s="508" t="s">
        <v>1854</v>
      </c>
      <c r="E591" s="509"/>
      <c r="F591" s="510"/>
      <c r="G591" s="507"/>
      <c r="H591" s="511"/>
      <c r="I591" s="512"/>
      <c r="J591" s="518"/>
      <c r="K591" s="510"/>
      <c r="L591" s="510"/>
      <c r="M591" s="548"/>
      <c r="N591" s="514">
        <f>LANÇ_MOV[[#This Row],[VALOR BRUTO]]-LANÇ_MOV[[#This Row],[DESCONTO]]+LANÇ_MOV[[#This Row],[JUROS]]+LANÇ_MOV[[#This Row],[MULTA]]</f>
        <v>0</v>
      </c>
      <c r="O591" s="546"/>
      <c r="P591" s="547" t="str">
        <f t="shared" ca="1" si="9"/>
        <v/>
      </c>
      <c r="Q591" s="528"/>
      <c r="R591" s="529"/>
      <c r="S591" s="518"/>
      <c r="T591" s="518"/>
      <c r="U591" s="519"/>
      <c r="V591" s="520" t="str">
        <f>IFERROR(VLOOKUP(LANÇ_MOV[[#This Row],[PLANO DE CONTAS]],Plano_Contas[[PLANO DE CONTAS]:[R / D]],3,0),"")</f>
        <v/>
      </c>
      <c r="W591" s="521" t="str">
        <f>IF(LANÇ_MOV[[#This Row],[DATA DE PAGAMENTO]]&lt;&gt;"","Pago","Não Pago")</f>
        <v>Não Pago</v>
      </c>
      <c r="X591" s="522" t="str">
        <f>IFERROR(IF(LANÇ_MOV[[#This Row],[DATA DE PAGAMENTO]]="","",(UPPER(TEXT(LANÇ_MOV[[#This Row],[DATA DE PAGAMENTO]],"mmmm")))),"")</f>
        <v/>
      </c>
      <c r="Y591" s="523" t="str">
        <f>IFERROR(VLOOKUP(LANÇ_MOV[[#This Row],[PLANO DE CONTAS]],Plano_Contas[[PLANO DE CONTAS]:[NOMES INTERVALOS]],2,0),"")</f>
        <v/>
      </c>
      <c r="Z591" s="523" t="str">
        <f>IF(LANÇ_MOV[[#This Row],[FORMA DE PAGAMENTO]]="","",VLOOKUP(LANÇ_MOV[[#This Row],[FORMA DE PAGAMENTO]],CAD_Forma_pagto[],2,0))</f>
        <v/>
      </c>
      <c r="AA591" s="524" t="str">
        <f>IF(LANÇ_MOV[[#This Row],[DATA DE LANÇAMENTO]]="","",TEXT(LANÇ_MOV[[#This Row],[DATA DE LANÇAMENTO]],"AAAA"))</f>
        <v/>
      </c>
      <c r="AB591" s="524" t="str">
        <f>IF(LANÇ_MOV[[#This Row],[DATA DE LANÇAMENTO]]="","",UPPER(TEXT(LANÇ_MOV[[#This Row],[DATA DE LANÇAMENTO]],"MMMM")))</f>
        <v/>
      </c>
      <c r="AC591" s="525" t="str">
        <f>IF(LANÇ_MOV[[#This Row],[DATA DE LANÇAMENTO]]="","",PROPER(TEXT(LANÇ_MOV[[#This Row],[DATA DE LANÇAMENTO]],"M")))</f>
        <v/>
      </c>
      <c r="AD591" s="524" t="str">
        <f>IF(LANÇ_MOV[[#This Row],[DATA DE LANÇAMENTO]]="","",TEXT(LANÇ_MOV[[#This Row],[DATA DE LANÇAMENTO]],"D"))</f>
        <v/>
      </c>
      <c r="AE591" s="526" t="str">
        <f>IF(LANÇ_MOV[[#This Row],[DATA DE VENCIMENTO]]="","",TEXT(LANÇ_MOV[[#This Row],[DATA DE VENCIMENTO]],"AAAA"))</f>
        <v/>
      </c>
      <c r="AF591" s="526" t="str">
        <f>IF(LANÇ_MOV[[#This Row],[DATA DE VENCIMENTO]]="","",UPPER(TEXT(LANÇ_MOV[[#This Row],[DATA DE VENCIMENTO]],"MMMM")))</f>
        <v/>
      </c>
      <c r="AG591" s="526" t="str">
        <f>IF(LANÇ_MOV[[#This Row],[DATA DE VENCIMENTO]]="","",TEXT(LANÇ_MOV[[#This Row],[DATA DE VENCIMENTO]],"M"))</f>
        <v/>
      </c>
      <c r="AH591" s="526" t="str">
        <f>IF(LANÇ_MOV[[#This Row],[DATA DE VENCIMENTO]]="","",TEXT(LANÇ_MOV[[#This Row],[DATA DE VENCIMENTO]],"D"))</f>
        <v/>
      </c>
      <c r="AI591" s="526" t="str">
        <f>IF(LANÇ_MOV[[#This Row],[DATA DE PAGAMENTO]]="","",TEXT(LANÇ_MOV[[#This Row],[DATA DE PAGAMENTO]],"AAAA"))</f>
        <v/>
      </c>
      <c r="AJ591" s="527" t="str">
        <f>IF(LANÇ_MOV[[#This Row],[DATA DE PAGAMENTO]]="","",UPPER(TEXT(LANÇ_MOV[[#This Row],[DATA DE PAGAMENTO]],"MMMM")))</f>
        <v/>
      </c>
      <c r="AK591" s="527" t="str">
        <f>IF(LANÇ_MOV[[#This Row],[DATA DE PAGAMENTO]]="","",TEXT(LANÇ_MOV[[#This Row],[DATA DE PAGAMENTO]],"M"))</f>
        <v/>
      </c>
      <c r="AL591" s="526" t="str">
        <f>IF(LANÇ_MOV[[#This Row],[DATA DE PAGAMENTO]]="","",TEXT(LANÇ_MOV[[#This Row],[DATA DE PAGAMENTO]],"D"))</f>
        <v/>
      </c>
    </row>
    <row r="592" spans="2:38" ht="30.05" customHeight="1" x14ac:dyDescent="0.35">
      <c r="B592" s="506"/>
      <c r="C592" s="507"/>
      <c r="D592" s="508" t="s">
        <v>1854</v>
      </c>
      <c r="E592" s="509"/>
      <c r="F592" s="510"/>
      <c r="G592" s="507"/>
      <c r="H592" s="511"/>
      <c r="I592" s="512"/>
      <c r="J592" s="518"/>
      <c r="K592" s="510"/>
      <c r="L592" s="510"/>
      <c r="M592" s="548"/>
      <c r="N592" s="514">
        <f>LANÇ_MOV[[#This Row],[VALOR BRUTO]]-LANÇ_MOV[[#This Row],[DESCONTO]]+LANÇ_MOV[[#This Row],[JUROS]]+LANÇ_MOV[[#This Row],[MULTA]]</f>
        <v>0</v>
      </c>
      <c r="O592" s="546"/>
      <c r="P592" s="547" t="str">
        <f t="shared" ca="1" si="9"/>
        <v/>
      </c>
      <c r="Q592" s="528"/>
      <c r="R592" s="529"/>
      <c r="S592" s="518"/>
      <c r="T592" s="518"/>
      <c r="U592" s="519"/>
      <c r="V592" s="520" t="str">
        <f>IFERROR(VLOOKUP(LANÇ_MOV[[#This Row],[PLANO DE CONTAS]],Plano_Contas[[PLANO DE CONTAS]:[R / D]],3,0),"")</f>
        <v/>
      </c>
      <c r="W592" s="521" t="str">
        <f>IF(LANÇ_MOV[[#This Row],[DATA DE PAGAMENTO]]&lt;&gt;"","Pago","Não Pago")</f>
        <v>Não Pago</v>
      </c>
      <c r="X592" s="522" t="str">
        <f>IFERROR(IF(LANÇ_MOV[[#This Row],[DATA DE PAGAMENTO]]="","",(UPPER(TEXT(LANÇ_MOV[[#This Row],[DATA DE PAGAMENTO]],"mmmm")))),"")</f>
        <v/>
      </c>
      <c r="Y592" s="523" t="str">
        <f>IFERROR(VLOOKUP(LANÇ_MOV[[#This Row],[PLANO DE CONTAS]],Plano_Contas[[PLANO DE CONTAS]:[NOMES INTERVALOS]],2,0),"")</f>
        <v/>
      </c>
      <c r="Z592" s="523" t="str">
        <f>IF(LANÇ_MOV[[#This Row],[FORMA DE PAGAMENTO]]="","",VLOOKUP(LANÇ_MOV[[#This Row],[FORMA DE PAGAMENTO]],CAD_Forma_pagto[],2,0))</f>
        <v/>
      </c>
      <c r="AA592" s="524" t="str">
        <f>IF(LANÇ_MOV[[#This Row],[DATA DE LANÇAMENTO]]="","",TEXT(LANÇ_MOV[[#This Row],[DATA DE LANÇAMENTO]],"AAAA"))</f>
        <v/>
      </c>
      <c r="AB592" s="524" t="str">
        <f>IF(LANÇ_MOV[[#This Row],[DATA DE LANÇAMENTO]]="","",UPPER(TEXT(LANÇ_MOV[[#This Row],[DATA DE LANÇAMENTO]],"MMMM")))</f>
        <v/>
      </c>
      <c r="AC592" s="525" t="str">
        <f>IF(LANÇ_MOV[[#This Row],[DATA DE LANÇAMENTO]]="","",PROPER(TEXT(LANÇ_MOV[[#This Row],[DATA DE LANÇAMENTO]],"M")))</f>
        <v/>
      </c>
      <c r="AD592" s="524" t="str">
        <f>IF(LANÇ_MOV[[#This Row],[DATA DE LANÇAMENTO]]="","",TEXT(LANÇ_MOV[[#This Row],[DATA DE LANÇAMENTO]],"D"))</f>
        <v/>
      </c>
      <c r="AE592" s="526" t="str">
        <f>IF(LANÇ_MOV[[#This Row],[DATA DE VENCIMENTO]]="","",TEXT(LANÇ_MOV[[#This Row],[DATA DE VENCIMENTO]],"AAAA"))</f>
        <v/>
      </c>
      <c r="AF592" s="526" t="str">
        <f>IF(LANÇ_MOV[[#This Row],[DATA DE VENCIMENTO]]="","",UPPER(TEXT(LANÇ_MOV[[#This Row],[DATA DE VENCIMENTO]],"MMMM")))</f>
        <v/>
      </c>
      <c r="AG592" s="526" t="str">
        <f>IF(LANÇ_MOV[[#This Row],[DATA DE VENCIMENTO]]="","",TEXT(LANÇ_MOV[[#This Row],[DATA DE VENCIMENTO]],"M"))</f>
        <v/>
      </c>
      <c r="AH592" s="526" t="str">
        <f>IF(LANÇ_MOV[[#This Row],[DATA DE VENCIMENTO]]="","",TEXT(LANÇ_MOV[[#This Row],[DATA DE VENCIMENTO]],"D"))</f>
        <v/>
      </c>
      <c r="AI592" s="526" t="str">
        <f>IF(LANÇ_MOV[[#This Row],[DATA DE PAGAMENTO]]="","",TEXT(LANÇ_MOV[[#This Row],[DATA DE PAGAMENTO]],"AAAA"))</f>
        <v/>
      </c>
      <c r="AJ592" s="527" t="str">
        <f>IF(LANÇ_MOV[[#This Row],[DATA DE PAGAMENTO]]="","",UPPER(TEXT(LANÇ_MOV[[#This Row],[DATA DE PAGAMENTO]],"MMMM")))</f>
        <v/>
      </c>
      <c r="AK592" s="527" t="str">
        <f>IF(LANÇ_MOV[[#This Row],[DATA DE PAGAMENTO]]="","",TEXT(LANÇ_MOV[[#This Row],[DATA DE PAGAMENTO]],"M"))</f>
        <v/>
      </c>
      <c r="AL592" s="526" t="str">
        <f>IF(LANÇ_MOV[[#This Row],[DATA DE PAGAMENTO]]="","",TEXT(LANÇ_MOV[[#This Row],[DATA DE PAGAMENTO]],"D"))</f>
        <v/>
      </c>
    </row>
    <row r="593" spans="2:38" ht="30.05" customHeight="1" x14ac:dyDescent="0.35">
      <c r="B593" s="506"/>
      <c r="C593" s="507"/>
      <c r="D593" s="508" t="s">
        <v>1854</v>
      </c>
      <c r="E593" s="509"/>
      <c r="F593" s="510"/>
      <c r="G593" s="507"/>
      <c r="H593" s="511"/>
      <c r="I593" s="512"/>
      <c r="J593" s="518"/>
      <c r="K593" s="510"/>
      <c r="L593" s="510"/>
      <c r="M593" s="548"/>
      <c r="N593" s="514">
        <f>LANÇ_MOV[[#This Row],[VALOR BRUTO]]-LANÇ_MOV[[#This Row],[DESCONTO]]+LANÇ_MOV[[#This Row],[JUROS]]+LANÇ_MOV[[#This Row],[MULTA]]</f>
        <v>0</v>
      </c>
      <c r="O593" s="546"/>
      <c r="P593" s="547" t="str">
        <f t="shared" ca="1" si="9"/>
        <v/>
      </c>
      <c r="Q593" s="528"/>
      <c r="R593" s="529"/>
      <c r="S593" s="518"/>
      <c r="T593" s="518"/>
      <c r="U593" s="519"/>
      <c r="V593" s="520" t="str">
        <f>IFERROR(VLOOKUP(LANÇ_MOV[[#This Row],[PLANO DE CONTAS]],Plano_Contas[[PLANO DE CONTAS]:[R / D]],3,0),"")</f>
        <v/>
      </c>
      <c r="W593" s="521" t="str">
        <f>IF(LANÇ_MOV[[#This Row],[DATA DE PAGAMENTO]]&lt;&gt;"","Pago","Não Pago")</f>
        <v>Não Pago</v>
      </c>
      <c r="X593" s="522" t="str">
        <f>IFERROR(IF(LANÇ_MOV[[#This Row],[DATA DE PAGAMENTO]]="","",(UPPER(TEXT(LANÇ_MOV[[#This Row],[DATA DE PAGAMENTO]],"mmmm")))),"")</f>
        <v/>
      </c>
      <c r="Y593" s="523" t="str">
        <f>IFERROR(VLOOKUP(LANÇ_MOV[[#This Row],[PLANO DE CONTAS]],Plano_Contas[[PLANO DE CONTAS]:[NOMES INTERVALOS]],2,0),"")</f>
        <v/>
      </c>
      <c r="Z593" s="523" t="str">
        <f>IF(LANÇ_MOV[[#This Row],[FORMA DE PAGAMENTO]]="","",VLOOKUP(LANÇ_MOV[[#This Row],[FORMA DE PAGAMENTO]],CAD_Forma_pagto[],2,0))</f>
        <v/>
      </c>
      <c r="AA593" s="524" t="str">
        <f>IF(LANÇ_MOV[[#This Row],[DATA DE LANÇAMENTO]]="","",TEXT(LANÇ_MOV[[#This Row],[DATA DE LANÇAMENTO]],"AAAA"))</f>
        <v/>
      </c>
      <c r="AB593" s="524" t="str">
        <f>IF(LANÇ_MOV[[#This Row],[DATA DE LANÇAMENTO]]="","",UPPER(TEXT(LANÇ_MOV[[#This Row],[DATA DE LANÇAMENTO]],"MMMM")))</f>
        <v/>
      </c>
      <c r="AC593" s="525" t="str">
        <f>IF(LANÇ_MOV[[#This Row],[DATA DE LANÇAMENTO]]="","",PROPER(TEXT(LANÇ_MOV[[#This Row],[DATA DE LANÇAMENTO]],"M")))</f>
        <v/>
      </c>
      <c r="AD593" s="524" t="str">
        <f>IF(LANÇ_MOV[[#This Row],[DATA DE LANÇAMENTO]]="","",TEXT(LANÇ_MOV[[#This Row],[DATA DE LANÇAMENTO]],"D"))</f>
        <v/>
      </c>
      <c r="AE593" s="526" t="str">
        <f>IF(LANÇ_MOV[[#This Row],[DATA DE VENCIMENTO]]="","",TEXT(LANÇ_MOV[[#This Row],[DATA DE VENCIMENTO]],"AAAA"))</f>
        <v/>
      </c>
      <c r="AF593" s="526" t="str">
        <f>IF(LANÇ_MOV[[#This Row],[DATA DE VENCIMENTO]]="","",UPPER(TEXT(LANÇ_MOV[[#This Row],[DATA DE VENCIMENTO]],"MMMM")))</f>
        <v/>
      </c>
      <c r="AG593" s="526" t="str">
        <f>IF(LANÇ_MOV[[#This Row],[DATA DE VENCIMENTO]]="","",TEXT(LANÇ_MOV[[#This Row],[DATA DE VENCIMENTO]],"M"))</f>
        <v/>
      </c>
      <c r="AH593" s="526" t="str">
        <f>IF(LANÇ_MOV[[#This Row],[DATA DE VENCIMENTO]]="","",TEXT(LANÇ_MOV[[#This Row],[DATA DE VENCIMENTO]],"D"))</f>
        <v/>
      </c>
      <c r="AI593" s="526" t="str">
        <f>IF(LANÇ_MOV[[#This Row],[DATA DE PAGAMENTO]]="","",TEXT(LANÇ_MOV[[#This Row],[DATA DE PAGAMENTO]],"AAAA"))</f>
        <v/>
      </c>
      <c r="AJ593" s="527" t="str">
        <f>IF(LANÇ_MOV[[#This Row],[DATA DE PAGAMENTO]]="","",UPPER(TEXT(LANÇ_MOV[[#This Row],[DATA DE PAGAMENTO]],"MMMM")))</f>
        <v/>
      </c>
      <c r="AK593" s="527" t="str">
        <f>IF(LANÇ_MOV[[#This Row],[DATA DE PAGAMENTO]]="","",TEXT(LANÇ_MOV[[#This Row],[DATA DE PAGAMENTO]],"M"))</f>
        <v/>
      </c>
      <c r="AL593" s="526" t="str">
        <f>IF(LANÇ_MOV[[#This Row],[DATA DE PAGAMENTO]]="","",TEXT(LANÇ_MOV[[#This Row],[DATA DE PAGAMENTO]],"D"))</f>
        <v/>
      </c>
    </row>
    <row r="594" spans="2:38" ht="30.05" customHeight="1" x14ac:dyDescent="0.35">
      <c r="B594" s="506"/>
      <c r="C594" s="507"/>
      <c r="D594" s="508" t="s">
        <v>1854</v>
      </c>
      <c r="E594" s="509"/>
      <c r="F594" s="510"/>
      <c r="G594" s="507"/>
      <c r="H594" s="511"/>
      <c r="I594" s="512"/>
      <c r="J594" s="518"/>
      <c r="K594" s="510"/>
      <c r="L594" s="510"/>
      <c r="M594" s="548"/>
      <c r="N594" s="514">
        <f>LANÇ_MOV[[#This Row],[VALOR BRUTO]]-LANÇ_MOV[[#This Row],[DESCONTO]]+LANÇ_MOV[[#This Row],[JUROS]]+LANÇ_MOV[[#This Row],[MULTA]]</f>
        <v>0</v>
      </c>
      <c r="O594" s="546"/>
      <c r="P594" s="547" t="str">
        <f t="shared" ca="1" si="9"/>
        <v/>
      </c>
      <c r="Q594" s="528"/>
      <c r="R594" s="529"/>
      <c r="S594" s="518"/>
      <c r="T594" s="518"/>
      <c r="U594" s="519"/>
      <c r="V594" s="520" t="str">
        <f>IFERROR(VLOOKUP(LANÇ_MOV[[#This Row],[PLANO DE CONTAS]],Plano_Contas[[PLANO DE CONTAS]:[R / D]],3,0),"")</f>
        <v/>
      </c>
      <c r="W594" s="521" t="str">
        <f>IF(LANÇ_MOV[[#This Row],[DATA DE PAGAMENTO]]&lt;&gt;"","Pago","Não Pago")</f>
        <v>Não Pago</v>
      </c>
      <c r="X594" s="522" t="str">
        <f>IFERROR(IF(LANÇ_MOV[[#This Row],[DATA DE PAGAMENTO]]="","",(UPPER(TEXT(LANÇ_MOV[[#This Row],[DATA DE PAGAMENTO]],"mmmm")))),"")</f>
        <v/>
      </c>
      <c r="Y594" s="523" t="str">
        <f>IFERROR(VLOOKUP(LANÇ_MOV[[#This Row],[PLANO DE CONTAS]],Plano_Contas[[PLANO DE CONTAS]:[NOMES INTERVALOS]],2,0),"")</f>
        <v/>
      </c>
      <c r="Z594" s="523" t="str">
        <f>IF(LANÇ_MOV[[#This Row],[FORMA DE PAGAMENTO]]="","",VLOOKUP(LANÇ_MOV[[#This Row],[FORMA DE PAGAMENTO]],CAD_Forma_pagto[],2,0))</f>
        <v/>
      </c>
      <c r="AA594" s="524" t="str">
        <f>IF(LANÇ_MOV[[#This Row],[DATA DE LANÇAMENTO]]="","",TEXT(LANÇ_MOV[[#This Row],[DATA DE LANÇAMENTO]],"AAAA"))</f>
        <v/>
      </c>
      <c r="AB594" s="524" t="str">
        <f>IF(LANÇ_MOV[[#This Row],[DATA DE LANÇAMENTO]]="","",UPPER(TEXT(LANÇ_MOV[[#This Row],[DATA DE LANÇAMENTO]],"MMMM")))</f>
        <v/>
      </c>
      <c r="AC594" s="525" t="str">
        <f>IF(LANÇ_MOV[[#This Row],[DATA DE LANÇAMENTO]]="","",PROPER(TEXT(LANÇ_MOV[[#This Row],[DATA DE LANÇAMENTO]],"M")))</f>
        <v/>
      </c>
      <c r="AD594" s="524" t="str">
        <f>IF(LANÇ_MOV[[#This Row],[DATA DE LANÇAMENTO]]="","",TEXT(LANÇ_MOV[[#This Row],[DATA DE LANÇAMENTO]],"D"))</f>
        <v/>
      </c>
      <c r="AE594" s="526" t="str">
        <f>IF(LANÇ_MOV[[#This Row],[DATA DE VENCIMENTO]]="","",TEXT(LANÇ_MOV[[#This Row],[DATA DE VENCIMENTO]],"AAAA"))</f>
        <v/>
      </c>
      <c r="AF594" s="526" t="str">
        <f>IF(LANÇ_MOV[[#This Row],[DATA DE VENCIMENTO]]="","",UPPER(TEXT(LANÇ_MOV[[#This Row],[DATA DE VENCIMENTO]],"MMMM")))</f>
        <v/>
      </c>
      <c r="AG594" s="526" t="str">
        <f>IF(LANÇ_MOV[[#This Row],[DATA DE VENCIMENTO]]="","",TEXT(LANÇ_MOV[[#This Row],[DATA DE VENCIMENTO]],"M"))</f>
        <v/>
      </c>
      <c r="AH594" s="526" t="str">
        <f>IF(LANÇ_MOV[[#This Row],[DATA DE VENCIMENTO]]="","",TEXT(LANÇ_MOV[[#This Row],[DATA DE VENCIMENTO]],"D"))</f>
        <v/>
      </c>
      <c r="AI594" s="526" t="str">
        <f>IF(LANÇ_MOV[[#This Row],[DATA DE PAGAMENTO]]="","",TEXT(LANÇ_MOV[[#This Row],[DATA DE PAGAMENTO]],"AAAA"))</f>
        <v/>
      </c>
      <c r="AJ594" s="527" t="str">
        <f>IF(LANÇ_MOV[[#This Row],[DATA DE PAGAMENTO]]="","",UPPER(TEXT(LANÇ_MOV[[#This Row],[DATA DE PAGAMENTO]],"MMMM")))</f>
        <v/>
      </c>
      <c r="AK594" s="527" t="str">
        <f>IF(LANÇ_MOV[[#This Row],[DATA DE PAGAMENTO]]="","",TEXT(LANÇ_MOV[[#This Row],[DATA DE PAGAMENTO]],"M"))</f>
        <v/>
      </c>
      <c r="AL594" s="526" t="str">
        <f>IF(LANÇ_MOV[[#This Row],[DATA DE PAGAMENTO]]="","",TEXT(LANÇ_MOV[[#This Row],[DATA DE PAGAMENTO]],"D"))</f>
        <v/>
      </c>
    </row>
    <row r="595" spans="2:38" ht="30.05" customHeight="1" x14ac:dyDescent="0.35">
      <c r="B595" s="506"/>
      <c r="C595" s="507"/>
      <c r="D595" s="508" t="s">
        <v>1854</v>
      </c>
      <c r="E595" s="509"/>
      <c r="F595" s="510"/>
      <c r="G595" s="507"/>
      <c r="H595" s="511"/>
      <c r="I595" s="512"/>
      <c r="J595" s="518"/>
      <c r="K595" s="510"/>
      <c r="L595" s="510"/>
      <c r="M595" s="548"/>
      <c r="N595" s="514">
        <f>LANÇ_MOV[[#This Row],[VALOR BRUTO]]-LANÇ_MOV[[#This Row],[DESCONTO]]+LANÇ_MOV[[#This Row],[JUROS]]+LANÇ_MOV[[#This Row],[MULTA]]</f>
        <v>0</v>
      </c>
      <c r="O595" s="546"/>
      <c r="P595" s="547" t="str">
        <f t="shared" ca="1" si="9"/>
        <v/>
      </c>
      <c r="Q595" s="528"/>
      <c r="R595" s="529"/>
      <c r="S595" s="518"/>
      <c r="T595" s="518"/>
      <c r="U595" s="519"/>
      <c r="V595" s="520" t="str">
        <f>IFERROR(VLOOKUP(LANÇ_MOV[[#This Row],[PLANO DE CONTAS]],Plano_Contas[[PLANO DE CONTAS]:[R / D]],3,0),"")</f>
        <v/>
      </c>
      <c r="W595" s="521" t="str">
        <f>IF(LANÇ_MOV[[#This Row],[DATA DE PAGAMENTO]]&lt;&gt;"","Pago","Não Pago")</f>
        <v>Não Pago</v>
      </c>
      <c r="X595" s="522" t="str">
        <f>IFERROR(IF(LANÇ_MOV[[#This Row],[DATA DE PAGAMENTO]]="","",(UPPER(TEXT(LANÇ_MOV[[#This Row],[DATA DE PAGAMENTO]],"mmmm")))),"")</f>
        <v/>
      </c>
      <c r="Y595" s="523" t="str">
        <f>IFERROR(VLOOKUP(LANÇ_MOV[[#This Row],[PLANO DE CONTAS]],Plano_Contas[[PLANO DE CONTAS]:[NOMES INTERVALOS]],2,0),"")</f>
        <v/>
      </c>
      <c r="Z595" s="523" t="str">
        <f>IF(LANÇ_MOV[[#This Row],[FORMA DE PAGAMENTO]]="","",VLOOKUP(LANÇ_MOV[[#This Row],[FORMA DE PAGAMENTO]],CAD_Forma_pagto[],2,0))</f>
        <v/>
      </c>
      <c r="AA595" s="524" t="str">
        <f>IF(LANÇ_MOV[[#This Row],[DATA DE LANÇAMENTO]]="","",TEXT(LANÇ_MOV[[#This Row],[DATA DE LANÇAMENTO]],"AAAA"))</f>
        <v/>
      </c>
      <c r="AB595" s="524" t="str">
        <f>IF(LANÇ_MOV[[#This Row],[DATA DE LANÇAMENTO]]="","",UPPER(TEXT(LANÇ_MOV[[#This Row],[DATA DE LANÇAMENTO]],"MMMM")))</f>
        <v/>
      </c>
      <c r="AC595" s="525" t="str">
        <f>IF(LANÇ_MOV[[#This Row],[DATA DE LANÇAMENTO]]="","",PROPER(TEXT(LANÇ_MOV[[#This Row],[DATA DE LANÇAMENTO]],"M")))</f>
        <v/>
      </c>
      <c r="AD595" s="524" t="str">
        <f>IF(LANÇ_MOV[[#This Row],[DATA DE LANÇAMENTO]]="","",TEXT(LANÇ_MOV[[#This Row],[DATA DE LANÇAMENTO]],"D"))</f>
        <v/>
      </c>
      <c r="AE595" s="526" t="str">
        <f>IF(LANÇ_MOV[[#This Row],[DATA DE VENCIMENTO]]="","",TEXT(LANÇ_MOV[[#This Row],[DATA DE VENCIMENTO]],"AAAA"))</f>
        <v/>
      </c>
      <c r="AF595" s="526" t="str">
        <f>IF(LANÇ_MOV[[#This Row],[DATA DE VENCIMENTO]]="","",UPPER(TEXT(LANÇ_MOV[[#This Row],[DATA DE VENCIMENTO]],"MMMM")))</f>
        <v/>
      </c>
      <c r="AG595" s="526" t="str">
        <f>IF(LANÇ_MOV[[#This Row],[DATA DE VENCIMENTO]]="","",TEXT(LANÇ_MOV[[#This Row],[DATA DE VENCIMENTO]],"M"))</f>
        <v/>
      </c>
      <c r="AH595" s="526" t="str">
        <f>IF(LANÇ_MOV[[#This Row],[DATA DE VENCIMENTO]]="","",TEXT(LANÇ_MOV[[#This Row],[DATA DE VENCIMENTO]],"D"))</f>
        <v/>
      </c>
      <c r="AI595" s="526" t="str">
        <f>IF(LANÇ_MOV[[#This Row],[DATA DE PAGAMENTO]]="","",TEXT(LANÇ_MOV[[#This Row],[DATA DE PAGAMENTO]],"AAAA"))</f>
        <v/>
      </c>
      <c r="AJ595" s="527" t="str">
        <f>IF(LANÇ_MOV[[#This Row],[DATA DE PAGAMENTO]]="","",UPPER(TEXT(LANÇ_MOV[[#This Row],[DATA DE PAGAMENTO]],"MMMM")))</f>
        <v/>
      </c>
      <c r="AK595" s="527" t="str">
        <f>IF(LANÇ_MOV[[#This Row],[DATA DE PAGAMENTO]]="","",TEXT(LANÇ_MOV[[#This Row],[DATA DE PAGAMENTO]],"M"))</f>
        <v/>
      </c>
      <c r="AL595" s="526" t="str">
        <f>IF(LANÇ_MOV[[#This Row],[DATA DE PAGAMENTO]]="","",TEXT(LANÇ_MOV[[#This Row],[DATA DE PAGAMENTO]],"D"))</f>
        <v/>
      </c>
    </row>
    <row r="596" spans="2:38" ht="30.05" customHeight="1" x14ac:dyDescent="0.35">
      <c r="B596" s="506"/>
      <c r="C596" s="507"/>
      <c r="D596" s="508" t="s">
        <v>1854</v>
      </c>
      <c r="E596" s="509"/>
      <c r="F596" s="510"/>
      <c r="G596" s="507"/>
      <c r="H596" s="511"/>
      <c r="I596" s="512"/>
      <c r="J596" s="518"/>
      <c r="K596" s="510"/>
      <c r="L596" s="510"/>
      <c r="M596" s="548"/>
      <c r="N596" s="514">
        <f>LANÇ_MOV[[#This Row],[VALOR BRUTO]]-LANÇ_MOV[[#This Row],[DESCONTO]]+LANÇ_MOV[[#This Row],[JUROS]]+LANÇ_MOV[[#This Row],[MULTA]]</f>
        <v>0</v>
      </c>
      <c r="O596" s="546"/>
      <c r="P596" s="547" t="str">
        <f t="shared" ca="1" si="9"/>
        <v/>
      </c>
      <c r="Q596" s="528"/>
      <c r="R596" s="529"/>
      <c r="S596" s="518"/>
      <c r="T596" s="518"/>
      <c r="U596" s="519"/>
      <c r="V596" s="520" t="str">
        <f>IFERROR(VLOOKUP(LANÇ_MOV[[#This Row],[PLANO DE CONTAS]],Plano_Contas[[PLANO DE CONTAS]:[R / D]],3,0),"")</f>
        <v/>
      </c>
      <c r="W596" s="521" t="str">
        <f>IF(LANÇ_MOV[[#This Row],[DATA DE PAGAMENTO]]&lt;&gt;"","Pago","Não Pago")</f>
        <v>Não Pago</v>
      </c>
      <c r="X596" s="522" t="str">
        <f>IFERROR(IF(LANÇ_MOV[[#This Row],[DATA DE PAGAMENTO]]="","",(UPPER(TEXT(LANÇ_MOV[[#This Row],[DATA DE PAGAMENTO]],"mmmm")))),"")</f>
        <v/>
      </c>
      <c r="Y596" s="523" t="str">
        <f>IFERROR(VLOOKUP(LANÇ_MOV[[#This Row],[PLANO DE CONTAS]],Plano_Contas[[PLANO DE CONTAS]:[NOMES INTERVALOS]],2,0),"")</f>
        <v/>
      </c>
      <c r="Z596" s="523" t="str">
        <f>IF(LANÇ_MOV[[#This Row],[FORMA DE PAGAMENTO]]="","",VLOOKUP(LANÇ_MOV[[#This Row],[FORMA DE PAGAMENTO]],CAD_Forma_pagto[],2,0))</f>
        <v/>
      </c>
      <c r="AA596" s="524" t="str">
        <f>IF(LANÇ_MOV[[#This Row],[DATA DE LANÇAMENTO]]="","",TEXT(LANÇ_MOV[[#This Row],[DATA DE LANÇAMENTO]],"AAAA"))</f>
        <v/>
      </c>
      <c r="AB596" s="524" t="str">
        <f>IF(LANÇ_MOV[[#This Row],[DATA DE LANÇAMENTO]]="","",UPPER(TEXT(LANÇ_MOV[[#This Row],[DATA DE LANÇAMENTO]],"MMMM")))</f>
        <v/>
      </c>
      <c r="AC596" s="525" t="str">
        <f>IF(LANÇ_MOV[[#This Row],[DATA DE LANÇAMENTO]]="","",PROPER(TEXT(LANÇ_MOV[[#This Row],[DATA DE LANÇAMENTO]],"M")))</f>
        <v/>
      </c>
      <c r="AD596" s="524" t="str">
        <f>IF(LANÇ_MOV[[#This Row],[DATA DE LANÇAMENTO]]="","",TEXT(LANÇ_MOV[[#This Row],[DATA DE LANÇAMENTO]],"D"))</f>
        <v/>
      </c>
      <c r="AE596" s="526" t="str">
        <f>IF(LANÇ_MOV[[#This Row],[DATA DE VENCIMENTO]]="","",TEXT(LANÇ_MOV[[#This Row],[DATA DE VENCIMENTO]],"AAAA"))</f>
        <v/>
      </c>
      <c r="AF596" s="526" t="str">
        <f>IF(LANÇ_MOV[[#This Row],[DATA DE VENCIMENTO]]="","",UPPER(TEXT(LANÇ_MOV[[#This Row],[DATA DE VENCIMENTO]],"MMMM")))</f>
        <v/>
      </c>
      <c r="AG596" s="526" t="str">
        <f>IF(LANÇ_MOV[[#This Row],[DATA DE VENCIMENTO]]="","",TEXT(LANÇ_MOV[[#This Row],[DATA DE VENCIMENTO]],"M"))</f>
        <v/>
      </c>
      <c r="AH596" s="526" t="str">
        <f>IF(LANÇ_MOV[[#This Row],[DATA DE VENCIMENTO]]="","",TEXT(LANÇ_MOV[[#This Row],[DATA DE VENCIMENTO]],"D"))</f>
        <v/>
      </c>
      <c r="AI596" s="526" t="str">
        <f>IF(LANÇ_MOV[[#This Row],[DATA DE PAGAMENTO]]="","",TEXT(LANÇ_MOV[[#This Row],[DATA DE PAGAMENTO]],"AAAA"))</f>
        <v/>
      </c>
      <c r="AJ596" s="527" t="str">
        <f>IF(LANÇ_MOV[[#This Row],[DATA DE PAGAMENTO]]="","",UPPER(TEXT(LANÇ_MOV[[#This Row],[DATA DE PAGAMENTO]],"MMMM")))</f>
        <v/>
      </c>
      <c r="AK596" s="527" t="str">
        <f>IF(LANÇ_MOV[[#This Row],[DATA DE PAGAMENTO]]="","",TEXT(LANÇ_MOV[[#This Row],[DATA DE PAGAMENTO]],"M"))</f>
        <v/>
      </c>
      <c r="AL596" s="526" t="str">
        <f>IF(LANÇ_MOV[[#This Row],[DATA DE PAGAMENTO]]="","",TEXT(LANÇ_MOV[[#This Row],[DATA DE PAGAMENTO]],"D"))</f>
        <v/>
      </c>
    </row>
    <row r="597" spans="2:38" ht="30.05" customHeight="1" x14ac:dyDescent="0.35">
      <c r="B597" s="506"/>
      <c r="C597" s="507"/>
      <c r="D597" s="508" t="s">
        <v>1854</v>
      </c>
      <c r="E597" s="509"/>
      <c r="F597" s="510"/>
      <c r="G597" s="507"/>
      <c r="H597" s="511"/>
      <c r="I597" s="512"/>
      <c r="J597" s="518"/>
      <c r="K597" s="510"/>
      <c r="L597" s="510"/>
      <c r="M597" s="548"/>
      <c r="N597" s="514">
        <f>LANÇ_MOV[[#This Row],[VALOR BRUTO]]-LANÇ_MOV[[#This Row],[DESCONTO]]+LANÇ_MOV[[#This Row],[JUROS]]+LANÇ_MOV[[#This Row],[MULTA]]</f>
        <v>0</v>
      </c>
      <c r="O597" s="546"/>
      <c r="P597" s="547" t="str">
        <f t="shared" ca="1" si="9"/>
        <v/>
      </c>
      <c r="Q597" s="528"/>
      <c r="R597" s="529"/>
      <c r="S597" s="518"/>
      <c r="T597" s="518"/>
      <c r="U597" s="519"/>
      <c r="V597" s="520" t="str">
        <f>IFERROR(VLOOKUP(LANÇ_MOV[[#This Row],[PLANO DE CONTAS]],Plano_Contas[[PLANO DE CONTAS]:[R / D]],3,0),"")</f>
        <v/>
      </c>
      <c r="W597" s="521" t="str">
        <f>IF(LANÇ_MOV[[#This Row],[DATA DE PAGAMENTO]]&lt;&gt;"","Pago","Não Pago")</f>
        <v>Não Pago</v>
      </c>
      <c r="X597" s="522" t="str">
        <f>IFERROR(IF(LANÇ_MOV[[#This Row],[DATA DE PAGAMENTO]]="","",(UPPER(TEXT(LANÇ_MOV[[#This Row],[DATA DE PAGAMENTO]],"mmmm")))),"")</f>
        <v/>
      </c>
      <c r="Y597" s="523" t="str">
        <f>IFERROR(VLOOKUP(LANÇ_MOV[[#This Row],[PLANO DE CONTAS]],Plano_Contas[[PLANO DE CONTAS]:[NOMES INTERVALOS]],2,0),"")</f>
        <v/>
      </c>
      <c r="Z597" s="523" t="str">
        <f>IF(LANÇ_MOV[[#This Row],[FORMA DE PAGAMENTO]]="","",VLOOKUP(LANÇ_MOV[[#This Row],[FORMA DE PAGAMENTO]],CAD_Forma_pagto[],2,0))</f>
        <v/>
      </c>
      <c r="AA597" s="524" t="str">
        <f>IF(LANÇ_MOV[[#This Row],[DATA DE LANÇAMENTO]]="","",TEXT(LANÇ_MOV[[#This Row],[DATA DE LANÇAMENTO]],"AAAA"))</f>
        <v/>
      </c>
      <c r="AB597" s="524" t="str">
        <f>IF(LANÇ_MOV[[#This Row],[DATA DE LANÇAMENTO]]="","",UPPER(TEXT(LANÇ_MOV[[#This Row],[DATA DE LANÇAMENTO]],"MMMM")))</f>
        <v/>
      </c>
      <c r="AC597" s="525" t="str">
        <f>IF(LANÇ_MOV[[#This Row],[DATA DE LANÇAMENTO]]="","",PROPER(TEXT(LANÇ_MOV[[#This Row],[DATA DE LANÇAMENTO]],"M")))</f>
        <v/>
      </c>
      <c r="AD597" s="524" t="str">
        <f>IF(LANÇ_MOV[[#This Row],[DATA DE LANÇAMENTO]]="","",TEXT(LANÇ_MOV[[#This Row],[DATA DE LANÇAMENTO]],"D"))</f>
        <v/>
      </c>
      <c r="AE597" s="526" t="str">
        <f>IF(LANÇ_MOV[[#This Row],[DATA DE VENCIMENTO]]="","",TEXT(LANÇ_MOV[[#This Row],[DATA DE VENCIMENTO]],"AAAA"))</f>
        <v/>
      </c>
      <c r="AF597" s="526" t="str">
        <f>IF(LANÇ_MOV[[#This Row],[DATA DE VENCIMENTO]]="","",UPPER(TEXT(LANÇ_MOV[[#This Row],[DATA DE VENCIMENTO]],"MMMM")))</f>
        <v/>
      </c>
      <c r="AG597" s="526" t="str">
        <f>IF(LANÇ_MOV[[#This Row],[DATA DE VENCIMENTO]]="","",TEXT(LANÇ_MOV[[#This Row],[DATA DE VENCIMENTO]],"M"))</f>
        <v/>
      </c>
      <c r="AH597" s="526" t="str">
        <f>IF(LANÇ_MOV[[#This Row],[DATA DE VENCIMENTO]]="","",TEXT(LANÇ_MOV[[#This Row],[DATA DE VENCIMENTO]],"D"))</f>
        <v/>
      </c>
      <c r="AI597" s="526" t="str">
        <f>IF(LANÇ_MOV[[#This Row],[DATA DE PAGAMENTO]]="","",TEXT(LANÇ_MOV[[#This Row],[DATA DE PAGAMENTO]],"AAAA"))</f>
        <v/>
      </c>
      <c r="AJ597" s="527" t="str">
        <f>IF(LANÇ_MOV[[#This Row],[DATA DE PAGAMENTO]]="","",UPPER(TEXT(LANÇ_MOV[[#This Row],[DATA DE PAGAMENTO]],"MMMM")))</f>
        <v/>
      </c>
      <c r="AK597" s="527" t="str">
        <f>IF(LANÇ_MOV[[#This Row],[DATA DE PAGAMENTO]]="","",TEXT(LANÇ_MOV[[#This Row],[DATA DE PAGAMENTO]],"M"))</f>
        <v/>
      </c>
      <c r="AL597" s="526" t="str">
        <f>IF(LANÇ_MOV[[#This Row],[DATA DE PAGAMENTO]]="","",TEXT(LANÇ_MOV[[#This Row],[DATA DE PAGAMENTO]],"D"))</f>
        <v/>
      </c>
    </row>
    <row r="598" spans="2:38" ht="30.05" customHeight="1" x14ac:dyDescent="0.35">
      <c r="B598" s="506"/>
      <c r="C598" s="507"/>
      <c r="D598" s="508" t="s">
        <v>1854</v>
      </c>
      <c r="E598" s="509"/>
      <c r="F598" s="510"/>
      <c r="G598" s="507"/>
      <c r="H598" s="511"/>
      <c r="I598" s="512"/>
      <c r="J598" s="518"/>
      <c r="K598" s="510"/>
      <c r="L598" s="510"/>
      <c r="M598" s="548"/>
      <c r="N598" s="514">
        <f>LANÇ_MOV[[#This Row],[VALOR BRUTO]]-LANÇ_MOV[[#This Row],[DESCONTO]]+LANÇ_MOV[[#This Row],[JUROS]]+LANÇ_MOV[[#This Row],[MULTA]]</f>
        <v>0</v>
      </c>
      <c r="O598" s="546"/>
      <c r="P598" s="547" t="str">
        <f t="shared" ca="1" si="9"/>
        <v/>
      </c>
      <c r="Q598" s="528"/>
      <c r="R598" s="529"/>
      <c r="S598" s="518"/>
      <c r="T598" s="518"/>
      <c r="U598" s="519"/>
      <c r="V598" s="520" t="str">
        <f>IFERROR(VLOOKUP(LANÇ_MOV[[#This Row],[PLANO DE CONTAS]],Plano_Contas[[PLANO DE CONTAS]:[R / D]],3,0),"")</f>
        <v/>
      </c>
      <c r="W598" s="521" t="str">
        <f>IF(LANÇ_MOV[[#This Row],[DATA DE PAGAMENTO]]&lt;&gt;"","Pago","Não Pago")</f>
        <v>Não Pago</v>
      </c>
      <c r="X598" s="522" t="str">
        <f>IFERROR(IF(LANÇ_MOV[[#This Row],[DATA DE PAGAMENTO]]="","",(UPPER(TEXT(LANÇ_MOV[[#This Row],[DATA DE PAGAMENTO]],"mmmm")))),"")</f>
        <v/>
      </c>
      <c r="Y598" s="523" t="str">
        <f>IFERROR(VLOOKUP(LANÇ_MOV[[#This Row],[PLANO DE CONTAS]],Plano_Contas[[PLANO DE CONTAS]:[NOMES INTERVALOS]],2,0),"")</f>
        <v/>
      </c>
      <c r="Z598" s="523" t="str">
        <f>IF(LANÇ_MOV[[#This Row],[FORMA DE PAGAMENTO]]="","",VLOOKUP(LANÇ_MOV[[#This Row],[FORMA DE PAGAMENTO]],CAD_Forma_pagto[],2,0))</f>
        <v/>
      </c>
      <c r="AA598" s="524" t="str">
        <f>IF(LANÇ_MOV[[#This Row],[DATA DE LANÇAMENTO]]="","",TEXT(LANÇ_MOV[[#This Row],[DATA DE LANÇAMENTO]],"AAAA"))</f>
        <v/>
      </c>
      <c r="AB598" s="524" t="str">
        <f>IF(LANÇ_MOV[[#This Row],[DATA DE LANÇAMENTO]]="","",UPPER(TEXT(LANÇ_MOV[[#This Row],[DATA DE LANÇAMENTO]],"MMMM")))</f>
        <v/>
      </c>
      <c r="AC598" s="525" t="str">
        <f>IF(LANÇ_MOV[[#This Row],[DATA DE LANÇAMENTO]]="","",PROPER(TEXT(LANÇ_MOV[[#This Row],[DATA DE LANÇAMENTO]],"M")))</f>
        <v/>
      </c>
      <c r="AD598" s="524" t="str">
        <f>IF(LANÇ_MOV[[#This Row],[DATA DE LANÇAMENTO]]="","",TEXT(LANÇ_MOV[[#This Row],[DATA DE LANÇAMENTO]],"D"))</f>
        <v/>
      </c>
      <c r="AE598" s="526" t="str">
        <f>IF(LANÇ_MOV[[#This Row],[DATA DE VENCIMENTO]]="","",TEXT(LANÇ_MOV[[#This Row],[DATA DE VENCIMENTO]],"AAAA"))</f>
        <v/>
      </c>
      <c r="AF598" s="526" t="str">
        <f>IF(LANÇ_MOV[[#This Row],[DATA DE VENCIMENTO]]="","",UPPER(TEXT(LANÇ_MOV[[#This Row],[DATA DE VENCIMENTO]],"MMMM")))</f>
        <v/>
      </c>
      <c r="AG598" s="526" t="str">
        <f>IF(LANÇ_MOV[[#This Row],[DATA DE VENCIMENTO]]="","",TEXT(LANÇ_MOV[[#This Row],[DATA DE VENCIMENTO]],"M"))</f>
        <v/>
      </c>
      <c r="AH598" s="526" t="str">
        <f>IF(LANÇ_MOV[[#This Row],[DATA DE VENCIMENTO]]="","",TEXT(LANÇ_MOV[[#This Row],[DATA DE VENCIMENTO]],"D"))</f>
        <v/>
      </c>
      <c r="AI598" s="526" t="str">
        <f>IF(LANÇ_MOV[[#This Row],[DATA DE PAGAMENTO]]="","",TEXT(LANÇ_MOV[[#This Row],[DATA DE PAGAMENTO]],"AAAA"))</f>
        <v/>
      </c>
      <c r="AJ598" s="527" t="str">
        <f>IF(LANÇ_MOV[[#This Row],[DATA DE PAGAMENTO]]="","",UPPER(TEXT(LANÇ_MOV[[#This Row],[DATA DE PAGAMENTO]],"MMMM")))</f>
        <v/>
      </c>
      <c r="AK598" s="527" t="str">
        <f>IF(LANÇ_MOV[[#This Row],[DATA DE PAGAMENTO]]="","",TEXT(LANÇ_MOV[[#This Row],[DATA DE PAGAMENTO]],"M"))</f>
        <v/>
      </c>
      <c r="AL598" s="526" t="str">
        <f>IF(LANÇ_MOV[[#This Row],[DATA DE PAGAMENTO]]="","",TEXT(LANÇ_MOV[[#This Row],[DATA DE PAGAMENTO]],"D"))</f>
        <v/>
      </c>
    </row>
    <row r="599" spans="2:38" ht="30.05" customHeight="1" x14ac:dyDescent="0.35">
      <c r="B599" s="506"/>
      <c r="C599" s="507"/>
      <c r="D599" s="508" t="s">
        <v>1854</v>
      </c>
      <c r="E599" s="509"/>
      <c r="F599" s="510"/>
      <c r="G599" s="507"/>
      <c r="H599" s="511"/>
      <c r="I599" s="512"/>
      <c r="J599" s="518"/>
      <c r="K599" s="510"/>
      <c r="L599" s="510"/>
      <c r="M599" s="548"/>
      <c r="N599" s="514">
        <f>LANÇ_MOV[[#This Row],[VALOR BRUTO]]-LANÇ_MOV[[#This Row],[DESCONTO]]+LANÇ_MOV[[#This Row],[JUROS]]+LANÇ_MOV[[#This Row],[MULTA]]</f>
        <v>0</v>
      </c>
      <c r="O599" s="546"/>
      <c r="P599" s="547" t="str">
        <f t="shared" ca="1" si="9"/>
        <v/>
      </c>
      <c r="Q599" s="528"/>
      <c r="R599" s="529"/>
      <c r="S599" s="518"/>
      <c r="T599" s="518"/>
      <c r="U599" s="519"/>
      <c r="V599" s="520" t="str">
        <f>IFERROR(VLOOKUP(LANÇ_MOV[[#This Row],[PLANO DE CONTAS]],Plano_Contas[[PLANO DE CONTAS]:[R / D]],3,0),"")</f>
        <v/>
      </c>
      <c r="W599" s="521" t="str">
        <f>IF(LANÇ_MOV[[#This Row],[DATA DE PAGAMENTO]]&lt;&gt;"","Pago","Não Pago")</f>
        <v>Não Pago</v>
      </c>
      <c r="X599" s="522" t="str">
        <f>IFERROR(IF(LANÇ_MOV[[#This Row],[DATA DE PAGAMENTO]]="","",(UPPER(TEXT(LANÇ_MOV[[#This Row],[DATA DE PAGAMENTO]],"mmmm")))),"")</f>
        <v/>
      </c>
      <c r="Y599" s="523" t="str">
        <f>IFERROR(VLOOKUP(LANÇ_MOV[[#This Row],[PLANO DE CONTAS]],Plano_Contas[[PLANO DE CONTAS]:[NOMES INTERVALOS]],2,0),"")</f>
        <v/>
      </c>
      <c r="Z599" s="523" t="str">
        <f>IF(LANÇ_MOV[[#This Row],[FORMA DE PAGAMENTO]]="","",VLOOKUP(LANÇ_MOV[[#This Row],[FORMA DE PAGAMENTO]],CAD_Forma_pagto[],2,0))</f>
        <v/>
      </c>
      <c r="AA599" s="524" t="str">
        <f>IF(LANÇ_MOV[[#This Row],[DATA DE LANÇAMENTO]]="","",TEXT(LANÇ_MOV[[#This Row],[DATA DE LANÇAMENTO]],"AAAA"))</f>
        <v/>
      </c>
      <c r="AB599" s="524" t="str">
        <f>IF(LANÇ_MOV[[#This Row],[DATA DE LANÇAMENTO]]="","",UPPER(TEXT(LANÇ_MOV[[#This Row],[DATA DE LANÇAMENTO]],"MMMM")))</f>
        <v/>
      </c>
      <c r="AC599" s="525" t="str">
        <f>IF(LANÇ_MOV[[#This Row],[DATA DE LANÇAMENTO]]="","",PROPER(TEXT(LANÇ_MOV[[#This Row],[DATA DE LANÇAMENTO]],"M")))</f>
        <v/>
      </c>
      <c r="AD599" s="524" t="str">
        <f>IF(LANÇ_MOV[[#This Row],[DATA DE LANÇAMENTO]]="","",TEXT(LANÇ_MOV[[#This Row],[DATA DE LANÇAMENTO]],"D"))</f>
        <v/>
      </c>
      <c r="AE599" s="526" t="str">
        <f>IF(LANÇ_MOV[[#This Row],[DATA DE VENCIMENTO]]="","",TEXT(LANÇ_MOV[[#This Row],[DATA DE VENCIMENTO]],"AAAA"))</f>
        <v/>
      </c>
      <c r="AF599" s="526" t="str">
        <f>IF(LANÇ_MOV[[#This Row],[DATA DE VENCIMENTO]]="","",UPPER(TEXT(LANÇ_MOV[[#This Row],[DATA DE VENCIMENTO]],"MMMM")))</f>
        <v/>
      </c>
      <c r="AG599" s="526" t="str">
        <f>IF(LANÇ_MOV[[#This Row],[DATA DE VENCIMENTO]]="","",TEXT(LANÇ_MOV[[#This Row],[DATA DE VENCIMENTO]],"M"))</f>
        <v/>
      </c>
      <c r="AH599" s="526" t="str">
        <f>IF(LANÇ_MOV[[#This Row],[DATA DE VENCIMENTO]]="","",TEXT(LANÇ_MOV[[#This Row],[DATA DE VENCIMENTO]],"D"))</f>
        <v/>
      </c>
      <c r="AI599" s="526" t="str">
        <f>IF(LANÇ_MOV[[#This Row],[DATA DE PAGAMENTO]]="","",TEXT(LANÇ_MOV[[#This Row],[DATA DE PAGAMENTO]],"AAAA"))</f>
        <v/>
      </c>
      <c r="AJ599" s="527" t="str">
        <f>IF(LANÇ_MOV[[#This Row],[DATA DE PAGAMENTO]]="","",UPPER(TEXT(LANÇ_MOV[[#This Row],[DATA DE PAGAMENTO]],"MMMM")))</f>
        <v/>
      </c>
      <c r="AK599" s="527" t="str">
        <f>IF(LANÇ_MOV[[#This Row],[DATA DE PAGAMENTO]]="","",TEXT(LANÇ_MOV[[#This Row],[DATA DE PAGAMENTO]],"M"))</f>
        <v/>
      </c>
      <c r="AL599" s="526" t="str">
        <f>IF(LANÇ_MOV[[#This Row],[DATA DE PAGAMENTO]]="","",TEXT(LANÇ_MOV[[#This Row],[DATA DE PAGAMENTO]],"D"))</f>
        <v/>
      </c>
    </row>
    <row r="600" spans="2:38" ht="30.05" customHeight="1" x14ac:dyDescent="0.35">
      <c r="B600" s="506">
        <v>45964</v>
      </c>
      <c r="C600" s="507" t="s">
        <v>1661</v>
      </c>
      <c r="D600" s="508" t="s">
        <v>1854</v>
      </c>
      <c r="E600" s="509" t="s">
        <v>1103</v>
      </c>
      <c r="F600" s="510" t="s">
        <v>1785</v>
      </c>
      <c r="G600" s="507"/>
      <c r="H600" s="511"/>
      <c r="I600" s="512" t="s">
        <v>1737</v>
      </c>
      <c r="J600" s="518">
        <v>404.6</v>
      </c>
      <c r="K600" s="510"/>
      <c r="L600" s="510"/>
      <c r="M600" s="548"/>
      <c r="N600" s="514">
        <f>LANÇ_MOV[[#This Row],[VALOR BRUTO]]-LANÇ_MOV[[#This Row],[DESCONTO]]+LANÇ_MOV[[#This Row],[JUROS]]+LANÇ_MOV[[#This Row],[MULTA]]</f>
        <v>404.6</v>
      </c>
      <c r="O600" s="546"/>
      <c r="P600" s="547" t="str">
        <f t="shared" ca="1" si="9"/>
        <v/>
      </c>
      <c r="Q600" s="528"/>
      <c r="R600" s="529"/>
      <c r="S600" s="518"/>
      <c r="T600" s="518"/>
      <c r="U600" s="519"/>
      <c r="V600" s="520" t="str">
        <f>IFERROR(VLOOKUP(LANÇ_MOV[[#This Row],[PLANO DE CONTAS]],Plano_Contas[[PLANO DE CONTAS]:[R / D]],3,0),"")</f>
        <v>Receita</v>
      </c>
      <c r="W600" s="521" t="str">
        <f>IF(LANÇ_MOV[[#This Row],[DATA DE PAGAMENTO]]&lt;&gt;"","Pago","Não Pago")</f>
        <v>Não Pago</v>
      </c>
      <c r="X600" s="522" t="str">
        <f>IFERROR(IF(LANÇ_MOV[[#This Row],[DATA DE PAGAMENTO]]="","",(UPPER(TEXT(LANÇ_MOV[[#This Row],[DATA DE PAGAMENTO]],"mmmm")))),"")</f>
        <v/>
      </c>
      <c r="Y600" s="523" t="str">
        <f>IFERROR(VLOOKUP(LANÇ_MOV[[#This Row],[PLANO DE CONTAS]],Plano_Contas[[PLANO DE CONTAS]:[NOMES INTERVALOS]],2,0),"")</f>
        <v>Receitas_Operacionais</v>
      </c>
      <c r="Z600" s="523" t="str">
        <f>IF(LANÇ_MOV[[#This Row],[FORMA DE PAGAMENTO]]="","",VLOOKUP(LANÇ_MOV[[#This Row],[FORMA DE PAGAMENTO]],CAD_Forma_pagto[],2,0))</f>
        <v/>
      </c>
      <c r="AA600" s="524" t="str">
        <f>IF(LANÇ_MOV[[#This Row],[DATA DE LANÇAMENTO]]="","",TEXT(LANÇ_MOV[[#This Row],[DATA DE LANÇAMENTO]],"AAAA"))</f>
        <v>2025</v>
      </c>
      <c r="AB600" s="524" t="str">
        <f>IF(LANÇ_MOV[[#This Row],[DATA DE LANÇAMENTO]]="","",UPPER(TEXT(LANÇ_MOV[[#This Row],[DATA DE LANÇAMENTO]],"MMMM")))</f>
        <v>NOVEMBRO</v>
      </c>
      <c r="AC600" s="525" t="str">
        <f>IF(LANÇ_MOV[[#This Row],[DATA DE LANÇAMENTO]]="","",PROPER(TEXT(LANÇ_MOV[[#This Row],[DATA DE LANÇAMENTO]],"M")))</f>
        <v>11</v>
      </c>
      <c r="AD600" s="524" t="str">
        <f>IF(LANÇ_MOV[[#This Row],[DATA DE LANÇAMENTO]]="","",TEXT(LANÇ_MOV[[#This Row],[DATA DE LANÇAMENTO]],"D"))</f>
        <v>3</v>
      </c>
      <c r="AE600" s="526" t="str">
        <f>IF(LANÇ_MOV[[#This Row],[DATA DE VENCIMENTO]]="","",TEXT(LANÇ_MOV[[#This Row],[DATA DE VENCIMENTO]],"AAAA"))</f>
        <v/>
      </c>
      <c r="AF600" s="526" t="str">
        <f>IF(LANÇ_MOV[[#This Row],[DATA DE VENCIMENTO]]="","",UPPER(TEXT(LANÇ_MOV[[#This Row],[DATA DE VENCIMENTO]],"MMMM")))</f>
        <v/>
      </c>
      <c r="AG600" s="526" t="str">
        <f>IF(LANÇ_MOV[[#This Row],[DATA DE VENCIMENTO]]="","",TEXT(LANÇ_MOV[[#This Row],[DATA DE VENCIMENTO]],"M"))</f>
        <v/>
      </c>
      <c r="AH600" s="526" t="str">
        <f>IF(LANÇ_MOV[[#This Row],[DATA DE VENCIMENTO]]="","",TEXT(LANÇ_MOV[[#This Row],[DATA DE VENCIMENTO]],"D"))</f>
        <v/>
      </c>
      <c r="AI600" s="526" t="str">
        <f>IF(LANÇ_MOV[[#This Row],[DATA DE PAGAMENTO]]="","",TEXT(LANÇ_MOV[[#This Row],[DATA DE PAGAMENTO]],"AAAA"))</f>
        <v/>
      </c>
      <c r="AJ600" s="527" t="str">
        <f>IF(LANÇ_MOV[[#This Row],[DATA DE PAGAMENTO]]="","",UPPER(TEXT(LANÇ_MOV[[#This Row],[DATA DE PAGAMENTO]],"MMMM")))</f>
        <v/>
      </c>
      <c r="AK600" s="527" t="str">
        <f>IF(LANÇ_MOV[[#This Row],[DATA DE PAGAMENTO]]="","",TEXT(LANÇ_MOV[[#This Row],[DATA DE PAGAMENTO]],"M"))</f>
        <v/>
      </c>
      <c r="AL600" s="526" t="str">
        <f>IF(LANÇ_MOV[[#This Row],[DATA DE PAGAMENTO]]="","",TEXT(LANÇ_MOV[[#This Row],[DATA DE PAGAMENTO]],"D"))</f>
        <v/>
      </c>
    </row>
    <row r="601" spans="2:38" ht="30.05" customHeight="1" x14ac:dyDescent="0.35">
      <c r="B601" s="506">
        <v>45964</v>
      </c>
      <c r="C601" s="507" t="s">
        <v>1661</v>
      </c>
      <c r="D601" s="508" t="s">
        <v>1854</v>
      </c>
      <c r="E601" s="509" t="s">
        <v>1441</v>
      </c>
      <c r="F601" s="510" t="s">
        <v>1502</v>
      </c>
      <c r="G601" s="507" t="s">
        <v>1989</v>
      </c>
      <c r="H601" s="511"/>
      <c r="I601" s="512" t="s">
        <v>1723</v>
      </c>
      <c r="J601" s="518">
        <v>321.27</v>
      </c>
      <c r="K601" s="510">
        <v>0</v>
      </c>
      <c r="L601" s="510">
        <v>0</v>
      </c>
      <c r="M601" s="548">
        <v>0</v>
      </c>
      <c r="N601" s="514">
        <f>LANÇ_MOV[[#This Row],[VALOR BRUTO]]-LANÇ_MOV[[#This Row],[DESCONTO]]+LANÇ_MOV[[#This Row],[JUROS]]+LANÇ_MOV[[#This Row],[MULTA]]</f>
        <v>321.27</v>
      </c>
      <c r="O601" s="546">
        <v>45964</v>
      </c>
      <c r="P601" s="547" t="str">
        <f t="shared" ca="1" si="9"/>
        <v>Pago</v>
      </c>
      <c r="Q601" s="528">
        <v>45964</v>
      </c>
      <c r="R601" s="529" t="s">
        <v>1629</v>
      </c>
      <c r="S601" s="518"/>
      <c r="T601" s="518" t="s">
        <v>1776</v>
      </c>
      <c r="U601" s="519" t="s">
        <v>2007</v>
      </c>
      <c r="V601" s="520" t="str">
        <f>IFERROR(VLOOKUP(LANÇ_MOV[[#This Row],[PLANO DE CONTAS]],Plano_Contas[[PLANO DE CONTAS]:[R / D]],3,0),"")</f>
        <v>Receita</v>
      </c>
      <c r="W601" s="521" t="str">
        <f>IF(LANÇ_MOV[[#This Row],[DATA DE PAGAMENTO]]&lt;&gt;"","Pago","Não Pago")</f>
        <v>Pago</v>
      </c>
      <c r="X601" s="522" t="str">
        <f>IFERROR(IF(LANÇ_MOV[[#This Row],[DATA DE PAGAMENTO]]="","",(UPPER(TEXT(LANÇ_MOV[[#This Row],[DATA DE PAGAMENTO]],"mmmm")))),"")</f>
        <v>NOVEMBRO</v>
      </c>
      <c r="Y601" s="523" t="str">
        <f>IFERROR(VLOOKUP(LANÇ_MOV[[#This Row],[PLANO DE CONTAS]],Plano_Contas[[PLANO DE CONTAS]:[NOMES INTERVALOS]],2,0),"")</f>
        <v>Receitas_Outros_Creditos</v>
      </c>
      <c r="Z601" s="523" t="str">
        <f>IF(LANÇ_MOV[[#This Row],[FORMA DE PAGAMENTO]]="","",VLOOKUP(LANÇ_MOV[[#This Row],[FORMA DE PAGAMENTO]],CAD_Forma_pagto[],2,0))</f>
        <v>DEPÓSITO EM CONTA</v>
      </c>
      <c r="AA601" s="524" t="str">
        <f>IF(LANÇ_MOV[[#This Row],[DATA DE LANÇAMENTO]]="","",TEXT(LANÇ_MOV[[#This Row],[DATA DE LANÇAMENTO]],"AAAA"))</f>
        <v>2025</v>
      </c>
      <c r="AB601" s="524" t="str">
        <f>IF(LANÇ_MOV[[#This Row],[DATA DE LANÇAMENTO]]="","",UPPER(TEXT(LANÇ_MOV[[#This Row],[DATA DE LANÇAMENTO]],"MMMM")))</f>
        <v>NOVEMBRO</v>
      </c>
      <c r="AC601" s="525" t="str">
        <f>IF(LANÇ_MOV[[#This Row],[DATA DE LANÇAMENTO]]="","",PROPER(TEXT(LANÇ_MOV[[#This Row],[DATA DE LANÇAMENTO]],"M")))</f>
        <v>11</v>
      </c>
      <c r="AD601" s="524" t="str">
        <f>IF(LANÇ_MOV[[#This Row],[DATA DE LANÇAMENTO]]="","",TEXT(LANÇ_MOV[[#This Row],[DATA DE LANÇAMENTO]],"D"))</f>
        <v>3</v>
      </c>
      <c r="AE601" s="526" t="str">
        <f>IF(LANÇ_MOV[[#This Row],[DATA DE VENCIMENTO]]="","",TEXT(LANÇ_MOV[[#This Row],[DATA DE VENCIMENTO]],"AAAA"))</f>
        <v>2025</v>
      </c>
      <c r="AF601" s="526" t="str">
        <f>IF(LANÇ_MOV[[#This Row],[DATA DE VENCIMENTO]]="","",UPPER(TEXT(LANÇ_MOV[[#This Row],[DATA DE VENCIMENTO]],"MMMM")))</f>
        <v>NOVEMBRO</v>
      </c>
      <c r="AG601" s="526" t="str">
        <f>IF(LANÇ_MOV[[#This Row],[DATA DE VENCIMENTO]]="","",TEXT(LANÇ_MOV[[#This Row],[DATA DE VENCIMENTO]],"M"))</f>
        <v>11</v>
      </c>
      <c r="AH601" s="526" t="str">
        <f>IF(LANÇ_MOV[[#This Row],[DATA DE VENCIMENTO]]="","",TEXT(LANÇ_MOV[[#This Row],[DATA DE VENCIMENTO]],"D"))</f>
        <v>3</v>
      </c>
      <c r="AI601" s="526" t="str">
        <f>IF(LANÇ_MOV[[#This Row],[DATA DE PAGAMENTO]]="","",TEXT(LANÇ_MOV[[#This Row],[DATA DE PAGAMENTO]],"AAAA"))</f>
        <v>2025</v>
      </c>
      <c r="AJ601" s="527" t="str">
        <f>IF(LANÇ_MOV[[#This Row],[DATA DE PAGAMENTO]]="","",UPPER(TEXT(LANÇ_MOV[[#This Row],[DATA DE PAGAMENTO]],"MMMM")))</f>
        <v>NOVEMBRO</v>
      </c>
      <c r="AK601" s="527" t="str">
        <f>IF(LANÇ_MOV[[#This Row],[DATA DE PAGAMENTO]]="","",TEXT(LANÇ_MOV[[#This Row],[DATA DE PAGAMENTO]],"M"))</f>
        <v>11</v>
      </c>
      <c r="AL601" s="526" t="str">
        <f>IF(LANÇ_MOV[[#This Row],[DATA DE PAGAMENTO]]="","",TEXT(LANÇ_MOV[[#This Row],[DATA DE PAGAMENTO]],"D"))</f>
        <v>3</v>
      </c>
    </row>
    <row r="602" spans="2:38" ht="30.05" customHeight="1" x14ac:dyDescent="0.35">
      <c r="B602" s="506">
        <v>45964</v>
      </c>
      <c r="C602" s="507" t="s">
        <v>1661</v>
      </c>
      <c r="D602" s="508" t="s">
        <v>1854</v>
      </c>
      <c r="E602" s="509" t="s">
        <v>1441</v>
      </c>
      <c r="F602" s="510" t="s">
        <v>1789</v>
      </c>
      <c r="G602" s="507"/>
      <c r="H602" s="511">
        <v>0</v>
      </c>
      <c r="I602" s="512" t="s">
        <v>1726</v>
      </c>
      <c r="J602" s="518">
        <v>0.04</v>
      </c>
      <c r="K602" s="510">
        <v>0</v>
      </c>
      <c r="L602" s="510">
        <v>0</v>
      </c>
      <c r="M602" s="548">
        <v>0</v>
      </c>
      <c r="N602" s="514">
        <f>LANÇ_MOV[[#This Row],[VALOR BRUTO]]-LANÇ_MOV[[#This Row],[DESCONTO]]+LANÇ_MOV[[#This Row],[JUROS]]+LANÇ_MOV[[#This Row],[MULTA]]</f>
        <v>0.04</v>
      </c>
      <c r="O602" s="546">
        <v>45965</v>
      </c>
      <c r="P602" s="547" t="str">
        <f t="shared" ca="1" si="9"/>
        <v>Pago</v>
      </c>
      <c r="Q602" s="528">
        <v>45965</v>
      </c>
      <c r="R602" s="529" t="s">
        <v>1629</v>
      </c>
      <c r="S602" s="518"/>
      <c r="T602" s="518" t="s">
        <v>1776</v>
      </c>
      <c r="U602" s="519" t="s">
        <v>2007</v>
      </c>
      <c r="V602" s="520" t="str">
        <f>IFERROR(VLOOKUP(LANÇ_MOV[[#This Row],[PLANO DE CONTAS]],Plano_Contas[[PLANO DE CONTAS]:[R / D]],3,0),"")</f>
        <v>Receita</v>
      </c>
      <c r="W602" s="521" t="str">
        <f>IF(LANÇ_MOV[[#This Row],[DATA DE PAGAMENTO]]&lt;&gt;"","Pago","Não Pago")</f>
        <v>Pago</v>
      </c>
      <c r="X602" s="522" t="str">
        <f>IFERROR(IF(LANÇ_MOV[[#This Row],[DATA DE PAGAMENTO]]="","",(UPPER(TEXT(LANÇ_MOV[[#This Row],[DATA DE PAGAMENTO]],"mmmm")))),"")</f>
        <v>NOVEMBRO</v>
      </c>
      <c r="Y602" s="523" t="str">
        <f>IFERROR(VLOOKUP(LANÇ_MOV[[#This Row],[PLANO DE CONTAS]],Plano_Contas[[PLANO DE CONTAS]:[NOMES INTERVALOS]],2,0),"")</f>
        <v>Receitas_Outros_Creditos</v>
      </c>
      <c r="Z602" s="523" t="str">
        <f>IF(LANÇ_MOV[[#This Row],[FORMA DE PAGAMENTO]]="","",VLOOKUP(LANÇ_MOV[[#This Row],[FORMA DE PAGAMENTO]],CAD_Forma_pagto[],2,0))</f>
        <v>DEPÓSITO EM CONTA</v>
      </c>
      <c r="AA602" s="524" t="str">
        <f>IF(LANÇ_MOV[[#This Row],[DATA DE LANÇAMENTO]]="","",TEXT(LANÇ_MOV[[#This Row],[DATA DE LANÇAMENTO]],"AAAA"))</f>
        <v>2025</v>
      </c>
      <c r="AB602" s="524" t="str">
        <f>IF(LANÇ_MOV[[#This Row],[DATA DE LANÇAMENTO]]="","",UPPER(TEXT(LANÇ_MOV[[#This Row],[DATA DE LANÇAMENTO]],"MMMM")))</f>
        <v>NOVEMBRO</v>
      </c>
      <c r="AC602" s="525" t="str">
        <f>IF(LANÇ_MOV[[#This Row],[DATA DE LANÇAMENTO]]="","",PROPER(TEXT(LANÇ_MOV[[#This Row],[DATA DE LANÇAMENTO]],"M")))</f>
        <v>11</v>
      </c>
      <c r="AD602" s="524" t="str">
        <f>IF(LANÇ_MOV[[#This Row],[DATA DE LANÇAMENTO]]="","",TEXT(LANÇ_MOV[[#This Row],[DATA DE LANÇAMENTO]],"D"))</f>
        <v>3</v>
      </c>
      <c r="AE602" s="526" t="str">
        <f>IF(LANÇ_MOV[[#This Row],[DATA DE VENCIMENTO]]="","",TEXT(LANÇ_MOV[[#This Row],[DATA DE VENCIMENTO]],"AAAA"))</f>
        <v>2025</v>
      </c>
      <c r="AF602" s="526" t="str">
        <f>IF(LANÇ_MOV[[#This Row],[DATA DE VENCIMENTO]]="","",UPPER(TEXT(LANÇ_MOV[[#This Row],[DATA DE VENCIMENTO]],"MMMM")))</f>
        <v>NOVEMBRO</v>
      </c>
      <c r="AG602" s="526" t="str">
        <f>IF(LANÇ_MOV[[#This Row],[DATA DE VENCIMENTO]]="","",TEXT(LANÇ_MOV[[#This Row],[DATA DE VENCIMENTO]],"M"))</f>
        <v>11</v>
      </c>
      <c r="AH602" s="526" t="str">
        <f>IF(LANÇ_MOV[[#This Row],[DATA DE VENCIMENTO]]="","",TEXT(LANÇ_MOV[[#This Row],[DATA DE VENCIMENTO]],"D"))</f>
        <v>4</v>
      </c>
      <c r="AI602" s="526" t="str">
        <f>IF(LANÇ_MOV[[#This Row],[DATA DE PAGAMENTO]]="","",TEXT(LANÇ_MOV[[#This Row],[DATA DE PAGAMENTO]],"AAAA"))</f>
        <v>2025</v>
      </c>
      <c r="AJ602" s="527" t="str">
        <f>IF(LANÇ_MOV[[#This Row],[DATA DE PAGAMENTO]]="","",UPPER(TEXT(LANÇ_MOV[[#This Row],[DATA DE PAGAMENTO]],"MMMM")))</f>
        <v>NOVEMBRO</v>
      </c>
      <c r="AK602" s="527" t="str">
        <f>IF(LANÇ_MOV[[#This Row],[DATA DE PAGAMENTO]]="","",TEXT(LANÇ_MOV[[#This Row],[DATA DE PAGAMENTO]],"M"))</f>
        <v>11</v>
      </c>
      <c r="AL602" s="526" t="str">
        <f>IF(LANÇ_MOV[[#This Row],[DATA DE PAGAMENTO]]="","",TEXT(LANÇ_MOV[[#This Row],[DATA DE PAGAMENTO]],"D"))</f>
        <v>4</v>
      </c>
    </row>
    <row r="603" spans="2:38" ht="30.05" customHeight="1" x14ac:dyDescent="0.35">
      <c r="B603" s="506">
        <v>45964</v>
      </c>
      <c r="C603" s="507" t="s">
        <v>1661</v>
      </c>
      <c r="D603" s="508" t="s">
        <v>1854</v>
      </c>
      <c r="E603" s="509" t="s">
        <v>1103</v>
      </c>
      <c r="F603" s="510"/>
      <c r="G603" s="507"/>
      <c r="H603" s="511"/>
      <c r="I603" s="512"/>
      <c r="J603" s="518"/>
      <c r="K603" s="510"/>
      <c r="L603" s="510"/>
      <c r="M603" s="548"/>
      <c r="N603" s="514">
        <f>LANÇ_MOV[[#This Row],[VALOR BRUTO]]-LANÇ_MOV[[#This Row],[DESCONTO]]+LANÇ_MOV[[#This Row],[JUROS]]+LANÇ_MOV[[#This Row],[MULTA]]</f>
        <v>0</v>
      </c>
      <c r="O603" s="546"/>
      <c r="P603" s="547" t="str">
        <f t="shared" ca="1" si="9"/>
        <v/>
      </c>
      <c r="Q603" s="528"/>
      <c r="R603" s="529"/>
      <c r="S603" s="518"/>
      <c r="T603" s="518"/>
      <c r="U603" s="519"/>
      <c r="V603" s="520" t="str">
        <f>IFERROR(VLOOKUP(LANÇ_MOV[[#This Row],[PLANO DE CONTAS]],Plano_Contas[[PLANO DE CONTAS]:[R / D]],3,0),"")</f>
        <v>Receita</v>
      </c>
      <c r="W603" s="521" t="str">
        <f>IF(LANÇ_MOV[[#This Row],[DATA DE PAGAMENTO]]&lt;&gt;"","Pago","Não Pago")</f>
        <v>Não Pago</v>
      </c>
      <c r="X603" s="522" t="str">
        <f>IFERROR(IF(LANÇ_MOV[[#This Row],[DATA DE PAGAMENTO]]="","",(UPPER(TEXT(LANÇ_MOV[[#This Row],[DATA DE PAGAMENTO]],"mmmm")))),"")</f>
        <v/>
      </c>
      <c r="Y603" s="523" t="str">
        <f>IFERROR(VLOOKUP(LANÇ_MOV[[#This Row],[PLANO DE CONTAS]],Plano_Contas[[PLANO DE CONTAS]:[NOMES INTERVALOS]],2,0),"")</f>
        <v>Receitas_Operacionais</v>
      </c>
      <c r="Z603" s="523" t="str">
        <f>IF(LANÇ_MOV[[#This Row],[FORMA DE PAGAMENTO]]="","",VLOOKUP(LANÇ_MOV[[#This Row],[FORMA DE PAGAMENTO]],CAD_Forma_pagto[],2,0))</f>
        <v/>
      </c>
      <c r="AA603" s="524" t="str">
        <f>IF(LANÇ_MOV[[#This Row],[DATA DE LANÇAMENTO]]="","",TEXT(LANÇ_MOV[[#This Row],[DATA DE LANÇAMENTO]],"AAAA"))</f>
        <v>2025</v>
      </c>
      <c r="AB603" s="524" t="str">
        <f>IF(LANÇ_MOV[[#This Row],[DATA DE LANÇAMENTO]]="","",UPPER(TEXT(LANÇ_MOV[[#This Row],[DATA DE LANÇAMENTO]],"MMMM")))</f>
        <v>NOVEMBRO</v>
      </c>
      <c r="AC603" s="525" t="str">
        <f>IF(LANÇ_MOV[[#This Row],[DATA DE LANÇAMENTO]]="","",PROPER(TEXT(LANÇ_MOV[[#This Row],[DATA DE LANÇAMENTO]],"M")))</f>
        <v>11</v>
      </c>
      <c r="AD603" s="524" t="str">
        <f>IF(LANÇ_MOV[[#This Row],[DATA DE LANÇAMENTO]]="","",TEXT(LANÇ_MOV[[#This Row],[DATA DE LANÇAMENTO]],"D"))</f>
        <v>3</v>
      </c>
      <c r="AE603" s="526" t="str">
        <f>IF(LANÇ_MOV[[#This Row],[DATA DE VENCIMENTO]]="","",TEXT(LANÇ_MOV[[#This Row],[DATA DE VENCIMENTO]],"AAAA"))</f>
        <v/>
      </c>
      <c r="AF603" s="526" t="str">
        <f>IF(LANÇ_MOV[[#This Row],[DATA DE VENCIMENTO]]="","",UPPER(TEXT(LANÇ_MOV[[#This Row],[DATA DE VENCIMENTO]],"MMMM")))</f>
        <v/>
      </c>
      <c r="AG603" s="526" t="str">
        <f>IF(LANÇ_MOV[[#This Row],[DATA DE VENCIMENTO]]="","",TEXT(LANÇ_MOV[[#This Row],[DATA DE VENCIMENTO]],"M"))</f>
        <v/>
      </c>
      <c r="AH603" s="526" t="str">
        <f>IF(LANÇ_MOV[[#This Row],[DATA DE VENCIMENTO]]="","",TEXT(LANÇ_MOV[[#This Row],[DATA DE VENCIMENTO]],"D"))</f>
        <v/>
      </c>
      <c r="AI603" s="526" t="str">
        <f>IF(LANÇ_MOV[[#This Row],[DATA DE PAGAMENTO]]="","",TEXT(LANÇ_MOV[[#This Row],[DATA DE PAGAMENTO]],"AAAA"))</f>
        <v/>
      </c>
      <c r="AJ603" s="527" t="str">
        <f>IF(LANÇ_MOV[[#This Row],[DATA DE PAGAMENTO]]="","",UPPER(TEXT(LANÇ_MOV[[#This Row],[DATA DE PAGAMENTO]],"MMMM")))</f>
        <v/>
      </c>
      <c r="AK603" s="527" t="str">
        <f>IF(LANÇ_MOV[[#This Row],[DATA DE PAGAMENTO]]="","",TEXT(LANÇ_MOV[[#This Row],[DATA DE PAGAMENTO]],"M"))</f>
        <v/>
      </c>
      <c r="AL603" s="526" t="str">
        <f>IF(LANÇ_MOV[[#This Row],[DATA DE PAGAMENTO]]="","",TEXT(LANÇ_MOV[[#This Row],[DATA DE PAGAMENTO]],"D"))</f>
        <v/>
      </c>
    </row>
    <row r="604" spans="2:38" ht="30.05" customHeight="1" x14ac:dyDescent="0.35">
      <c r="B604" s="506">
        <v>45967</v>
      </c>
      <c r="C604" s="507" t="s">
        <v>1661</v>
      </c>
      <c r="D604" s="508" t="s">
        <v>1854</v>
      </c>
      <c r="E604" s="509" t="s">
        <v>1441</v>
      </c>
      <c r="F604" s="510"/>
      <c r="G604" s="507"/>
      <c r="H604" s="511"/>
      <c r="I604" s="512" t="s">
        <v>1736</v>
      </c>
      <c r="J604" s="518">
        <v>230</v>
      </c>
      <c r="K604" s="510">
        <v>0</v>
      </c>
      <c r="L604" s="510">
        <v>0</v>
      </c>
      <c r="M604" s="548">
        <v>0</v>
      </c>
      <c r="N604" s="514">
        <f>LANÇ_MOV[[#This Row],[VALOR BRUTO]]-LANÇ_MOV[[#This Row],[DESCONTO]]+LANÇ_MOV[[#This Row],[JUROS]]+LANÇ_MOV[[#This Row],[MULTA]]</f>
        <v>230</v>
      </c>
      <c r="O604" s="546">
        <v>45967</v>
      </c>
      <c r="P604" s="547" t="str">
        <f t="shared" ca="1" si="9"/>
        <v>Pago</v>
      </c>
      <c r="Q604" s="528">
        <v>45967</v>
      </c>
      <c r="R604" s="529" t="s">
        <v>1564</v>
      </c>
      <c r="S604" s="518"/>
      <c r="T604" s="518" t="s">
        <v>1776</v>
      </c>
      <c r="U604" s="519" t="s">
        <v>2007</v>
      </c>
      <c r="V604" s="520" t="str">
        <f>IFERROR(VLOOKUP(LANÇ_MOV[[#This Row],[PLANO DE CONTAS]],Plano_Contas[[PLANO DE CONTAS]:[R / D]],3,0),"")</f>
        <v>Receita</v>
      </c>
      <c r="W604" s="521" t="str">
        <f>IF(LANÇ_MOV[[#This Row],[DATA DE PAGAMENTO]]&lt;&gt;"","Pago","Não Pago")</f>
        <v>Pago</v>
      </c>
      <c r="X604" s="522" t="str">
        <f>IFERROR(IF(LANÇ_MOV[[#This Row],[DATA DE PAGAMENTO]]="","",(UPPER(TEXT(LANÇ_MOV[[#This Row],[DATA DE PAGAMENTO]],"mmmm")))),"")</f>
        <v>NOVEMBRO</v>
      </c>
      <c r="Y604" s="523" t="str">
        <f>IFERROR(VLOOKUP(LANÇ_MOV[[#This Row],[PLANO DE CONTAS]],Plano_Contas[[PLANO DE CONTAS]:[NOMES INTERVALOS]],2,0),"")</f>
        <v>Receitas_Outros_Creditos</v>
      </c>
      <c r="Z604" s="523" t="str">
        <f>IF(LANÇ_MOV[[#This Row],[FORMA DE PAGAMENTO]]="","",VLOOKUP(LANÇ_MOV[[#This Row],[FORMA DE PAGAMENTO]],CAD_Forma_pagto[],2,0))</f>
        <v>PIX</v>
      </c>
      <c r="AA604" s="524" t="str">
        <f>IF(LANÇ_MOV[[#This Row],[DATA DE LANÇAMENTO]]="","",TEXT(LANÇ_MOV[[#This Row],[DATA DE LANÇAMENTO]],"AAAA"))</f>
        <v>2025</v>
      </c>
      <c r="AB604" s="524" t="str">
        <f>IF(LANÇ_MOV[[#This Row],[DATA DE LANÇAMENTO]]="","",UPPER(TEXT(LANÇ_MOV[[#This Row],[DATA DE LANÇAMENTO]],"MMMM")))</f>
        <v>NOVEMBRO</v>
      </c>
      <c r="AC604" s="525" t="str">
        <f>IF(LANÇ_MOV[[#This Row],[DATA DE LANÇAMENTO]]="","",PROPER(TEXT(LANÇ_MOV[[#This Row],[DATA DE LANÇAMENTO]],"M")))</f>
        <v>11</v>
      </c>
      <c r="AD604" s="524" t="str">
        <f>IF(LANÇ_MOV[[#This Row],[DATA DE LANÇAMENTO]]="","",TEXT(LANÇ_MOV[[#This Row],[DATA DE LANÇAMENTO]],"D"))</f>
        <v>6</v>
      </c>
      <c r="AE604" s="526" t="str">
        <f>IF(LANÇ_MOV[[#This Row],[DATA DE VENCIMENTO]]="","",TEXT(LANÇ_MOV[[#This Row],[DATA DE VENCIMENTO]],"AAAA"))</f>
        <v>2025</v>
      </c>
      <c r="AF604" s="526" t="str">
        <f>IF(LANÇ_MOV[[#This Row],[DATA DE VENCIMENTO]]="","",UPPER(TEXT(LANÇ_MOV[[#This Row],[DATA DE VENCIMENTO]],"MMMM")))</f>
        <v>NOVEMBRO</v>
      </c>
      <c r="AG604" s="526" t="str">
        <f>IF(LANÇ_MOV[[#This Row],[DATA DE VENCIMENTO]]="","",TEXT(LANÇ_MOV[[#This Row],[DATA DE VENCIMENTO]],"M"))</f>
        <v>11</v>
      </c>
      <c r="AH604" s="526" t="str">
        <f>IF(LANÇ_MOV[[#This Row],[DATA DE VENCIMENTO]]="","",TEXT(LANÇ_MOV[[#This Row],[DATA DE VENCIMENTO]],"D"))</f>
        <v>6</v>
      </c>
      <c r="AI604" s="526" t="str">
        <f>IF(LANÇ_MOV[[#This Row],[DATA DE PAGAMENTO]]="","",TEXT(LANÇ_MOV[[#This Row],[DATA DE PAGAMENTO]],"AAAA"))</f>
        <v>2025</v>
      </c>
      <c r="AJ604" s="527" t="str">
        <f>IF(LANÇ_MOV[[#This Row],[DATA DE PAGAMENTO]]="","",UPPER(TEXT(LANÇ_MOV[[#This Row],[DATA DE PAGAMENTO]],"MMMM")))</f>
        <v>NOVEMBRO</v>
      </c>
      <c r="AK604" s="527" t="str">
        <f>IF(LANÇ_MOV[[#This Row],[DATA DE PAGAMENTO]]="","",TEXT(LANÇ_MOV[[#This Row],[DATA DE PAGAMENTO]],"M"))</f>
        <v>11</v>
      </c>
      <c r="AL604" s="526" t="str">
        <f>IF(LANÇ_MOV[[#This Row],[DATA DE PAGAMENTO]]="","",TEXT(LANÇ_MOV[[#This Row],[DATA DE PAGAMENTO]],"D"))</f>
        <v>6</v>
      </c>
    </row>
    <row r="605" spans="2:38" ht="30.05" customHeight="1" x14ac:dyDescent="0.35">
      <c r="B605" s="506"/>
      <c r="C605" s="507"/>
      <c r="D605" s="508" t="s">
        <v>1854</v>
      </c>
      <c r="E605" s="509"/>
      <c r="F605" s="510"/>
      <c r="G605" s="507"/>
      <c r="H605" s="511"/>
      <c r="I605" s="512"/>
      <c r="J605" s="518"/>
      <c r="K605" s="510"/>
      <c r="L605" s="510"/>
      <c r="M605" s="548"/>
      <c r="N605" s="514">
        <f>LANÇ_MOV[[#This Row],[VALOR BRUTO]]-LANÇ_MOV[[#This Row],[DESCONTO]]+LANÇ_MOV[[#This Row],[JUROS]]+LANÇ_MOV[[#This Row],[MULTA]]</f>
        <v>0</v>
      </c>
      <c r="O605" s="546"/>
      <c r="P605" s="547" t="str">
        <f t="shared" ca="1" si="9"/>
        <v/>
      </c>
      <c r="Q605" s="528"/>
      <c r="R605" s="529"/>
      <c r="S605" s="518"/>
      <c r="T605" s="518"/>
      <c r="U605" s="519"/>
      <c r="V605" s="520" t="str">
        <f>IFERROR(VLOOKUP(LANÇ_MOV[[#This Row],[PLANO DE CONTAS]],Plano_Contas[[PLANO DE CONTAS]:[R / D]],3,0),"")</f>
        <v/>
      </c>
      <c r="W605" s="521" t="str">
        <f>IF(LANÇ_MOV[[#This Row],[DATA DE PAGAMENTO]]&lt;&gt;"","Pago","Não Pago")</f>
        <v>Não Pago</v>
      </c>
      <c r="X605" s="522" t="str">
        <f>IFERROR(IF(LANÇ_MOV[[#This Row],[DATA DE PAGAMENTO]]="","",(UPPER(TEXT(LANÇ_MOV[[#This Row],[DATA DE PAGAMENTO]],"mmmm")))),"")</f>
        <v/>
      </c>
      <c r="Y605" s="523" t="str">
        <f>IFERROR(VLOOKUP(LANÇ_MOV[[#This Row],[PLANO DE CONTAS]],Plano_Contas[[PLANO DE CONTAS]:[NOMES INTERVALOS]],2,0),"")</f>
        <v/>
      </c>
      <c r="Z605" s="523" t="str">
        <f>IF(LANÇ_MOV[[#This Row],[FORMA DE PAGAMENTO]]="","",VLOOKUP(LANÇ_MOV[[#This Row],[FORMA DE PAGAMENTO]],CAD_Forma_pagto[],2,0))</f>
        <v/>
      </c>
      <c r="AA605" s="524" t="str">
        <f>IF(LANÇ_MOV[[#This Row],[DATA DE LANÇAMENTO]]="","",TEXT(LANÇ_MOV[[#This Row],[DATA DE LANÇAMENTO]],"AAAA"))</f>
        <v/>
      </c>
      <c r="AB605" s="524" t="str">
        <f>IF(LANÇ_MOV[[#This Row],[DATA DE LANÇAMENTO]]="","",UPPER(TEXT(LANÇ_MOV[[#This Row],[DATA DE LANÇAMENTO]],"MMMM")))</f>
        <v/>
      </c>
      <c r="AC605" s="525" t="str">
        <f>IF(LANÇ_MOV[[#This Row],[DATA DE LANÇAMENTO]]="","",PROPER(TEXT(LANÇ_MOV[[#This Row],[DATA DE LANÇAMENTO]],"M")))</f>
        <v/>
      </c>
      <c r="AD605" s="524" t="str">
        <f>IF(LANÇ_MOV[[#This Row],[DATA DE LANÇAMENTO]]="","",TEXT(LANÇ_MOV[[#This Row],[DATA DE LANÇAMENTO]],"D"))</f>
        <v/>
      </c>
      <c r="AE605" s="526" t="str">
        <f>IF(LANÇ_MOV[[#This Row],[DATA DE VENCIMENTO]]="","",TEXT(LANÇ_MOV[[#This Row],[DATA DE VENCIMENTO]],"AAAA"))</f>
        <v/>
      </c>
      <c r="AF605" s="526" t="str">
        <f>IF(LANÇ_MOV[[#This Row],[DATA DE VENCIMENTO]]="","",UPPER(TEXT(LANÇ_MOV[[#This Row],[DATA DE VENCIMENTO]],"MMMM")))</f>
        <v/>
      </c>
      <c r="AG605" s="526" t="str">
        <f>IF(LANÇ_MOV[[#This Row],[DATA DE VENCIMENTO]]="","",TEXT(LANÇ_MOV[[#This Row],[DATA DE VENCIMENTO]],"M"))</f>
        <v/>
      </c>
      <c r="AH605" s="526" t="str">
        <f>IF(LANÇ_MOV[[#This Row],[DATA DE VENCIMENTO]]="","",TEXT(LANÇ_MOV[[#This Row],[DATA DE VENCIMENTO]],"D"))</f>
        <v/>
      </c>
      <c r="AI605" s="526" t="str">
        <f>IF(LANÇ_MOV[[#This Row],[DATA DE PAGAMENTO]]="","",TEXT(LANÇ_MOV[[#This Row],[DATA DE PAGAMENTO]],"AAAA"))</f>
        <v/>
      </c>
      <c r="AJ605" s="527" t="str">
        <f>IF(LANÇ_MOV[[#This Row],[DATA DE PAGAMENTO]]="","",UPPER(TEXT(LANÇ_MOV[[#This Row],[DATA DE PAGAMENTO]],"MMMM")))</f>
        <v/>
      </c>
      <c r="AK605" s="527" t="str">
        <f>IF(LANÇ_MOV[[#This Row],[DATA DE PAGAMENTO]]="","",TEXT(LANÇ_MOV[[#This Row],[DATA DE PAGAMENTO]],"M"))</f>
        <v/>
      </c>
      <c r="AL605" s="526" t="str">
        <f>IF(LANÇ_MOV[[#This Row],[DATA DE PAGAMENTO]]="","",TEXT(LANÇ_MOV[[#This Row],[DATA DE PAGAMENTO]],"D"))</f>
        <v/>
      </c>
    </row>
    <row r="606" spans="2:38" ht="30.05" customHeight="1" x14ac:dyDescent="0.35">
      <c r="B606" s="506"/>
      <c r="C606" s="507"/>
      <c r="D606" s="508" t="s">
        <v>1854</v>
      </c>
      <c r="E606" s="509"/>
      <c r="F606" s="510"/>
      <c r="G606" s="507"/>
      <c r="H606" s="511"/>
      <c r="I606" s="512"/>
      <c r="J606" s="518"/>
      <c r="K606" s="510"/>
      <c r="L606" s="510"/>
      <c r="M606" s="548"/>
      <c r="N606" s="514">
        <f>LANÇ_MOV[[#This Row],[VALOR BRUTO]]-LANÇ_MOV[[#This Row],[DESCONTO]]+LANÇ_MOV[[#This Row],[JUROS]]+LANÇ_MOV[[#This Row],[MULTA]]</f>
        <v>0</v>
      </c>
      <c r="O606" s="546"/>
      <c r="P606" s="547" t="str">
        <f t="shared" ca="1" si="9"/>
        <v/>
      </c>
      <c r="Q606" s="528"/>
      <c r="R606" s="529"/>
      <c r="S606" s="518"/>
      <c r="T606" s="518"/>
      <c r="U606" s="519"/>
      <c r="V606" s="520" t="str">
        <f>IFERROR(VLOOKUP(LANÇ_MOV[[#This Row],[PLANO DE CONTAS]],Plano_Contas[[PLANO DE CONTAS]:[R / D]],3,0),"")</f>
        <v/>
      </c>
      <c r="W606" s="521" t="str">
        <f>IF(LANÇ_MOV[[#This Row],[DATA DE PAGAMENTO]]&lt;&gt;"","Pago","Não Pago")</f>
        <v>Não Pago</v>
      </c>
      <c r="X606" s="522" t="str">
        <f>IFERROR(IF(LANÇ_MOV[[#This Row],[DATA DE PAGAMENTO]]="","",(UPPER(TEXT(LANÇ_MOV[[#This Row],[DATA DE PAGAMENTO]],"mmmm")))),"")</f>
        <v/>
      </c>
      <c r="Y606" s="523" t="str">
        <f>IFERROR(VLOOKUP(LANÇ_MOV[[#This Row],[PLANO DE CONTAS]],Plano_Contas[[PLANO DE CONTAS]:[NOMES INTERVALOS]],2,0),"")</f>
        <v/>
      </c>
      <c r="Z606" s="523" t="str">
        <f>IF(LANÇ_MOV[[#This Row],[FORMA DE PAGAMENTO]]="","",VLOOKUP(LANÇ_MOV[[#This Row],[FORMA DE PAGAMENTO]],CAD_Forma_pagto[],2,0))</f>
        <v/>
      </c>
      <c r="AA606" s="524" t="str">
        <f>IF(LANÇ_MOV[[#This Row],[DATA DE LANÇAMENTO]]="","",TEXT(LANÇ_MOV[[#This Row],[DATA DE LANÇAMENTO]],"AAAA"))</f>
        <v/>
      </c>
      <c r="AB606" s="524" t="str">
        <f>IF(LANÇ_MOV[[#This Row],[DATA DE LANÇAMENTO]]="","",UPPER(TEXT(LANÇ_MOV[[#This Row],[DATA DE LANÇAMENTO]],"MMMM")))</f>
        <v/>
      </c>
      <c r="AC606" s="525" t="str">
        <f>IF(LANÇ_MOV[[#This Row],[DATA DE LANÇAMENTO]]="","",PROPER(TEXT(LANÇ_MOV[[#This Row],[DATA DE LANÇAMENTO]],"M")))</f>
        <v/>
      </c>
      <c r="AD606" s="524" t="str">
        <f>IF(LANÇ_MOV[[#This Row],[DATA DE LANÇAMENTO]]="","",TEXT(LANÇ_MOV[[#This Row],[DATA DE LANÇAMENTO]],"D"))</f>
        <v/>
      </c>
      <c r="AE606" s="526" t="str">
        <f>IF(LANÇ_MOV[[#This Row],[DATA DE VENCIMENTO]]="","",TEXT(LANÇ_MOV[[#This Row],[DATA DE VENCIMENTO]],"AAAA"))</f>
        <v/>
      </c>
      <c r="AF606" s="526" t="str">
        <f>IF(LANÇ_MOV[[#This Row],[DATA DE VENCIMENTO]]="","",UPPER(TEXT(LANÇ_MOV[[#This Row],[DATA DE VENCIMENTO]],"MMMM")))</f>
        <v/>
      </c>
      <c r="AG606" s="526" t="str">
        <f>IF(LANÇ_MOV[[#This Row],[DATA DE VENCIMENTO]]="","",TEXT(LANÇ_MOV[[#This Row],[DATA DE VENCIMENTO]],"M"))</f>
        <v/>
      </c>
      <c r="AH606" s="526" t="str">
        <f>IF(LANÇ_MOV[[#This Row],[DATA DE VENCIMENTO]]="","",TEXT(LANÇ_MOV[[#This Row],[DATA DE VENCIMENTO]],"D"))</f>
        <v/>
      </c>
      <c r="AI606" s="526" t="str">
        <f>IF(LANÇ_MOV[[#This Row],[DATA DE PAGAMENTO]]="","",TEXT(LANÇ_MOV[[#This Row],[DATA DE PAGAMENTO]],"AAAA"))</f>
        <v/>
      </c>
      <c r="AJ606" s="527" t="str">
        <f>IF(LANÇ_MOV[[#This Row],[DATA DE PAGAMENTO]]="","",UPPER(TEXT(LANÇ_MOV[[#This Row],[DATA DE PAGAMENTO]],"MMMM")))</f>
        <v/>
      </c>
      <c r="AK606" s="527" t="str">
        <f>IF(LANÇ_MOV[[#This Row],[DATA DE PAGAMENTO]]="","",TEXT(LANÇ_MOV[[#This Row],[DATA DE PAGAMENTO]],"M"))</f>
        <v/>
      </c>
      <c r="AL606" s="526" t="str">
        <f>IF(LANÇ_MOV[[#This Row],[DATA DE PAGAMENTO]]="","",TEXT(LANÇ_MOV[[#This Row],[DATA DE PAGAMENTO]],"D"))</f>
        <v/>
      </c>
    </row>
    <row r="607" spans="2:38" ht="30.05" customHeight="1" x14ac:dyDescent="0.35">
      <c r="B607" s="506"/>
      <c r="C607" s="507"/>
      <c r="D607" s="508" t="s">
        <v>1854</v>
      </c>
      <c r="E607" s="509"/>
      <c r="F607" s="510"/>
      <c r="G607" s="507"/>
      <c r="H607" s="511"/>
      <c r="I607" s="512"/>
      <c r="J607" s="518"/>
      <c r="K607" s="510"/>
      <c r="L607" s="510"/>
      <c r="M607" s="548"/>
      <c r="N607" s="514">
        <f>LANÇ_MOV[[#This Row],[VALOR BRUTO]]-LANÇ_MOV[[#This Row],[DESCONTO]]+LANÇ_MOV[[#This Row],[JUROS]]+LANÇ_MOV[[#This Row],[MULTA]]</f>
        <v>0</v>
      </c>
      <c r="O607" s="546"/>
      <c r="P607" s="547" t="str">
        <f t="shared" ca="1" si="9"/>
        <v/>
      </c>
      <c r="Q607" s="528"/>
      <c r="R607" s="529"/>
      <c r="S607" s="518"/>
      <c r="T607" s="518"/>
      <c r="U607" s="519"/>
      <c r="V607" s="520" t="str">
        <f>IFERROR(VLOOKUP(LANÇ_MOV[[#This Row],[PLANO DE CONTAS]],Plano_Contas[[PLANO DE CONTAS]:[R / D]],3,0),"")</f>
        <v/>
      </c>
      <c r="W607" s="521" t="str">
        <f>IF(LANÇ_MOV[[#This Row],[DATA DE PAGAMENTO]]&lt;&gt;"","Pago","Não Pago")</f>
        <v>Não Pago</v>
      </c>
      <c r="X607" s="522" t="str">
        <f>IFERROR(IF(LANÇ_MOV[[#This Row],[DATA DE PAGAMENTO]]="","",(UPPER(TEXT(LANÇ_MOV[[#This Row],[DATA DE PAGAMENTO]],"mmmm")))),"")</f>
        <v/>
      </c>
      <c r="Y607" s="523" t="str">
        <f>IFERROR(VLOOKUP(LANÇ_MOV[[#This Row],[PLANO DE CONTAS]],Plano_Contas[[PLANO DE CONTAS]:[NOMES INTERVALOS]],2,0),"")</f>
        <v/>
      </c>
      <c r="Z607" s="523" t="str">
        <f>IF(LANÇ_MOV[[#This Row],[FORMA DE PAGAMENTO]]="","",VLOOKUP(LANÇ_MOV[[#This Row],[FORMA DE PAGAMENTO]],CAD_Forma_pagto[],2,0))</f>
        <v/>
      </c>
      <c r="AA607" s="524" t="str">
        <f>IF(LANÇ_MOV[[#This Row],[DATA DE LANÇAMENTO]]="","",TEXT(LANÇ_MOV[[#This Row],[DATA DE LANÇAMENTO]],"AAAA"))</f>
        <v/>
      </c>
      <c r="AB607" s="524" t="str">
        <f>IF(LANÇ_MOV[[#This Row],[DATA DE LANÇAMENTO]]="","",UPPER(TEXT(LANÇ_MOV[[#This Row],[DATA DE LANÇAMENTO]],"MMMM")))</f>
        <v/>
      </c>
      <c r="AC607" s="525" t="str">
        <f>IF(LANÇ_MOV[[#This Row],[DATA DE LANÇAMENTO]]="","",PROPER(TEXT(LANÇ_MOV[[#This Row],[DATA DE LANÇAMENTO]],"M")))</f>
        <v/>
      </c>
      <c r="AD607" s="524" t="str">
        <f>IF(LANÇ_MOV[[#This Row],[DATA DE LANÇAMENTO]]="","",TEXT(LANÇ_MOV[[#This Row],[DATA DE LANÇAMENTO]],"D"))</f>
        <v/>
      </c>
      <c r="AE607" s="526" t="str">
        <f>IF(LANÇ_MOV[[#This Row],[DATA DE VENCIMENTO]]="","",TEXT(LANÇ_MOV[[#This Row],[DATA DE VENCIMENTO]],"AAAA"))</f>
        <v/>
      </c>
      <c r="AF607" s="526" t="str">
        <f>IF(LANÇ_MOV[[#This Row],[DATA DE VENCIMENTO]]="","",UPPER(TEXT(LANÇ_MOV[[#This Row],[DATA DE VENCIMENTO]],"MMMM")))</f>
        <v/>
      </c>
      <c r="AG607" s="526" t="str">
        <f>IF(LANÇ_MOV[[#This Row],[DATA DE VENCIMENTO]]="","",TEXT(LANÇ_MOV[[#This Row],[DATA DE VENCIMENTO]],"M"))</f>
        <v/>
      </c>
      <c r="AH607" s="526" t="str">
        <f>IF(LANÇ_MOV[[#This Row],[DATA DE VENCIMENTO]]="","",TEXT(LANÇ_MOV[[#This Row],[DATA DE VENCIMENTO]],"D"))</f>
        <v/>
      </c>
      <c r="AI607" s="526" t="str">
        <f>IF(LANÇ_MOV[[#This Row],[DATA DE PAGAMENTO]]="","",TEXT(LANÇ_MOV[[#This Row],[DATA DE PAGAMENTO]],"AAAA"))</f>
        <v/>
      </c>
      <c r="AJ607" s="527" t="str">
        <f>IF(LANÇ_MOV[[#This Row],[DATA DE PAGAMENTO]]="","",UPPER(TEXT(LANÇ_MOV[[#This Row],[DATA DE PAGAMENTO]],"MMMM")))</f>
        <v/>
      </c>
      <c r="AK607" s="527" t="str">
        <f>IF(LANÇ_MOV[[#This Row],[DATA DE PAGAMENTO]]="","",TEXT(LANÇ_MOV[[#This Row],[DATA DE PAGAMENTO]],"M"))</f>
        <v/>
      </c>
      <c r="AL607" s="526" t="str">
        <f>IF(LANÇ_MOV[[#This Row],[DATA DE PAGAMENTO]]="","",TEXT(LANÇ_MOV[[#This Row],[DATA DE PAGAMENTO]],"D"))</f>
        <v/>
      </c>
    </row>
    <row r="608" spans="2:38" ht="30.05" customHeight="1" x14ac:dyDescent="0.35">
      <c r="B608" s="506"/>
      <c r="C608" s="507"/>
      <c r="D608" s="508" t="s">
        <v>1854</v>
      </c>
      <c r="E608" s="509"/>
      <c r="F608" s="510"/>
      <c r="G608" s="507"/>
      <c r="H608" s="511"/>
      <c r="I608" s="512"/>
      <c r="J608" s="518"/>
      <c r="K608" s="510"/>
      <c r="L608" s="510"/>
      <c r="M608" s="548"/>
      <c r="N608" s="514">
        <f>LANÇ_MOV[[#This Row],[VALOR BRUTO]]-LANÇ_MOV[[#This Row],[DESCONTO]]+LANÇ_MOV[[#This Row],[JUROS]]+LANÇ_MOV[[#This Row],[MULTA]]</f>
        <v>0</v>
      </c>
      <c r="O608" s="546"/>
      <c r="P608" s="547" t="str">
        <f t="shared" ca="1" si="9"/>
        <v/>
      </c>
      <c r="Q608" s="528"/>
      <c r="R608" s="529"/>
      <c r="S608" s="518"/>
      <c r="T608" s="518"/>
      <c r="U608" s="519"/>
      <c r="V608" s="520" t="str">
        <f>IFERROR(VLOOKUP(LANÇ_MOV[[#This Row],[PLANO DE CONTAS]],Plano_Contas[[PLANO DE CONTAS]:[R / D]],3,0),"")</f>
        <v/>
      </c>
      <c r="W608" s="521" t="str">
        <f>IF(LANÇ_MOV[[#This Row],[DATA DE PAGAMENTO]]&lt;&gt;"","Pago","Não Pago")</f>
        <v>Não Pago</v>
      </c>
      <c r="X608" s="522" t="str">
        <f>IFERROR(IF(LANÇ_MOV[[#This Row],[DATA DE PAGAMENTO]]="","",(UPPER(TEXT(LANÇ_MOV[[#This Row],[DATA DE PAGAMENTO]],"mmmm")))),"")</f>
        <v/>
      </c>
      <c r="Y608" s="523" t="str">
        <f>IFERROR(VLOOKUP(LANÇ_MOV[[#This Row],[PLANO DE CONTAS]],Plano_Contas[[PLANO DE CONTAS]:[NOMES INTERVALOS]],2,0),"")</f>
        <v/>
      </c>
      <c r="Z608" s="523" t="str">
        <f>IF(LANÇ_MOV[[#This Row],[FORMA DE PAGAMENTO]]="","",VLOOKUP(LANÇ_MOV[[#This Row],[FORMA DE PAGAMENTO]],CAD_Forma_pagto[],2,0))</f>
        <v/>
      </c>
      <c r="AA608" s="524" t="str">
        <f>IF(LANÇ_MOV[[#This Row],[DATA DE LANÇAMENTO]]="","",TEXT(LANÇ_MOV[[#This Row],[DATA DE LANÇAMENTO]],"AAAA"))</f>
        <v/>
      </c>
      <c r="AB608" s="524" t="str">
        <f>IF(LANÇ_MOV[[#This Row],[DATA DE LANÇAMENTO]]="","",UPPER(TEXT(LANÇ_MOV[[#This Row],[DATA DE LANÇAMENTO]],"MMMM")))</f>
        <v/>
      </c>
      <c r="AC608" s="525" t="str">
        <f>IF(LANÇ_MOV[[#This Row],[DATA DE LANÇAMENTO]]="","",PROPER(TEXT(LANÇ_MOV[[#This Row],[DATA DE LANÇAMENTO]],"M")))</f>
        <v/>
      </c>
      <c r="AD608" s="524" t="str">
        <f>IF(LANÇ_MOV[[#This Row],[DATA DE LANÇAMENTO]]="","",TEXT(LANÇ_MOV[[#This Row],[DATA DE LANÇAMENTO]],"D"))</f>
        <v/>
      </c>
      <c r="AE608" s="526" t="str">
        <f>IF(LANÇ_MOV[[#This Row],[DATA DE VENCIMENTO]]="","",TEXT(LANÇ_MOV[[#This Row],[DATA DE VENCIMENTO]],"AAAA"))</f>
        <v/>
      </c>
      <c r="AF608" s="526" t="str">
        <f>IF(LANÇ_MOV[[#This Row],[DATA DE VENCIMENTO]]="","",UPPER(TEXT(LANÇ_MOV[[#This Row],[DATA DE VENCIMENTO]],"MMMM")))</f>
        <v/>
      </c>
      <c r="AG608" s="526" t="str">
        <f>IF(LANÇ_MOV[[#This Row],[DATA DE VENCIMENTO]]="","",TEXT(LANÇ_MOV[[#This Row],[DATA DE VENCIMENTO]],"M"))</f>
        <v/>
      </c>
      <c r="AH608" s="526" t="str">
        <f>IF(LANÇ_MOV[[#This Row],[DATA DE VENCIMENTO]]="","",TEXT(LANÇ_MOV[[#This Row],[DATA DE VENCIMENTO]],"D"))</f>
        <v/>
      </c>
      <c r="AI608" s="526" t="str">
        <f>IF(LANÇ_MOV[[#This Row],[DATA DE PAGAMENTO]]="","",TEXT(LANÇ_MOV[[#This Row],[DATA DE PAGAMENTO]],"AAAA"))</f>
        <v/>
      </c>
      <c r="AJ608" s="527" t="str">
        <f>IF(LANÇ_MOV[[#This Row],[DATA DE PAGAMENTO]]="","",UPPER(TEXT(LANÇ_MOV[[#This Row],[DATA DE PAGAMENTO]],"MMMM")))</f>
        <v/>
      </c>
      <c r="AK608" s="527" t="str">
        <f>IF(LANÇ_MOV[[#This Row],[DATA DE PAGAMENTO]]="","",TEXT(LANÇ_MOV[[#This Row],[DATA DE PAGAMENTO]],"M"))</f>
        <v/>
      </c>
      <c r="AL608" s="526" t="str">
        <f>IF(LANÇ_MOV[[#This Row],[DATA DE PAGAMENTO]]="","",TEXT(LANÇ_MOV[[#This Row],[DATA DE PAGAMENTO]],"D"))</f>
        <v/>
      </c>
    </row>
    <row r="609" spans="2:38" ht="30.05" customHeight="1" x14ac:dyDescent="0.35">
      <c r="B609" s="506"/>
      <c r="C609" s="507"/>
      <c r="D609" s="508" t="s">
        <v>1854</v>
      </c>
      <c r="E609" s="509"/>
      <c r="F609" s="510"/>
      <c r="G609" s="507"/>
      <c r="H609" s="511"/>
      <c r="I609" s="512"/>
      <c r="J609" s="518"/>
      <c r="K609" s="510"/>
      <c r="L609" s="510"/>
      <c r="M609" s="548"/>
      <c r="N609" s="514">
        <f>LANÇ_MOV[[#This Row],[VALOR BRUTO]]-LANÇ_MOV[[#This Row],[DESCONTO]]+LANÇ_MOV[[#This Row],[JUROS]]+LANÇ_MOV[[#This Row],[MULTA]]</f>
        <v>0</v>
      </c>
      <c r="O609" s="546"/>
      <c r="P609" s="547" t="str">
        <f t="shared" ca="1" si="9"/>
        <v/>
      </c>
      <c r="Q609" s="528"/>
      <c r="R609" s="529"/>
      <c r="S609" s="518"/>
      <c r="T609" s="518"/>
      <c r="U609" s="519"/>
      <c r="V609" s="520" t="str">
        <f>IFERROR(VLOOKUP(LANÇ_MOV[[#This Row],[PLANO DE CONTAS]],Plano_Contas[[PLANO DE CONTAS]:[R / D]],3,0),"")</f>
        <v/>
      </c>
      <c r="W609" s="521" t="str">
        <f>IF(LANÇ_MOV[[#This Row],[DATA DE PAGAMENTO]]&lt;&gt;"","Pago","Não Pago")</f>
        <v>Não Pago</v>
      </c>
      <c r="X609" s="522" t="str">
        <f>IFERROR(IF(LANÇ_MOV[[#This Row],[DATA DE PAGAMENTO]]="","",(UPPER(TEXT(LANÇ_MOV[[#This Row],[DATA DE PAGAMENTO]],"mmmm")))),"")</f>
        <v/>
      </c>
      <c r="Y609" s="523" t="str">
        <f>IFERROR(VLOOKUP(LANÇ_MOV[[#This Row],[PLANO DE CONTAS]],Plano_Contas[[PLANO DE CONTAS]:[NOMES INTERVALOS]],2,0),"")</f>
        <v/>
      </c>
      <c r="Z609" s="523" t="str">
        <f>IF(LANÇ_MOV[[#This Row],[FORMA DE PAGAMENTO]]="","",VLOOKUP(LANÇ_MOV[[#This Row],[FORMA DE PAGAMENTO]],CAD_Forma_pagto[],2,0))</f>
        <v/>
      </c>
      <c r="AA609" s="524" t="str">
        <f>IF(LANÇ_MOV[[#This Row],[DATA DE LANÇAMENTO]]="","",TEXT(LANÇ_MOV[[#This Row],[DATA DE LANÇAMENTO]],"AAAA"))</f>
        <v/>
      </c>
      <c r="AB609" s="524" t="str">
        <f>IF(LANÇ_MOV[[#This Row],[DATA DE LANÇAMENTO]]="","",UPPER(TEXT(LANÇ_MOV[[#This Row],[DATA DE LANÇAMENTO]],"MMMM")))</f>
        <v/>
      </c>
      <c r="AC609" s="525" t="str">
        <f>IF(LANÇ_MOV[[#This Row],[DATA DE LANÇAMENTO]]="","",PROPER(TEXT(LANÇ_MOV[[#This Row],[DATA DE LANÇAMENTO]],"M")))</f>
        <v/>
      </c>
      <c r="AD609" s="524" t="str">
        <f>IF(LANÇ_MOV[[#This Row],[DATA DE LANÇAMENTO]]="","",TEXT(LANÇ_MOV[[#This Row],[DATA DE LANÇAMENTO]],"D"))</f>
        <v/>
      </c>
      <c r="AE609" s="526" t="str">
        <f>IF(LANÇ_MOV[[#This Row],[DATA DE VENCIMENTO]]="","",TEXT(LANÇ_MOV[[#This Row],[DATA DE VENCIMENTO]],"AAAA"))</f>
        <v/>
      </c>
      <c r="AF609" s="526" t="str">
        <f>IF(LANÇ_MOV[[#This Row],[DATA DE VENCIMENTO]]="","",UPPER(TEXT(LANÇ_MOV[[#This Row],[DATA DE VENCIMENTO]],"MMMM")))</f>
        <v/>
      </c>
      <c r="AG609" s="526" t="str">
        <f>IF(LANÇ_MOV[[#This Row],[DATA DE VENCIMENTO]]="","",TEXT(LANÇ_MOV[[#This Row],[DATA DE VENCIMENTO]],"M"))</f>
        <v/>
      </c>
      <c r="AH609" s="526" t="str">
        <f>IF(LANÇ_MOV[[#This Row],[DATA DE VENCIMENTO]]="","",TEXT(LANÇ_MOV[[#This Row],[DATA DE VENCIMENTO]],"D"))</f>
        <v/>
      </c>
      <c r="AI609" s="526" t="str">
        <f>IF(LANÇ_MOV[[#This Row],[DATA DE PAGAMENTO]]="","",TEXT(LANÇ_MOV[[#This Row],[DATA DE PAGAMENTO]],"AAAA"))</f>
        <v/>
      </c>
      <c r="AJ609" s="527" t="str">
        <f>IF(LANÇ_MOV[[#This Row],[DATA DE PAGAMENTO]]="","",UPPER(TEXT(LANÇ_MOV[[#This Row],[DATA DE PAGAMENTO]],"MMMM")))</f>
        <v/>
      </c>
      <c r="AK609" s="527" t="str">
        <f>IF(LANÇ_MOV[[#This Row],[DATA DE PAGAMENTO]]="","",TEXT(LANÇ_MOV[[#This Row],[DATA DE PAGAMENTO]],"M"))</f>
        <v/>
      </c>
      <c r="AL609" s="526" t="str">
        <f>IF(LANÇ_MOV[[#This Row],[DATA DE PAGAMENTO]]="","",TEXT(LANÇ_MOV[[#This Row],[DATA DE PAGAMENTO]],"D"))</f>
        <v/>
      </c>
    </row>
    <row r="610" spans="2:38" ht="30.05" customHeight="1" x14ac:dyDescent="0.35">
      <c r="B610" s="506"/>
      <c r="C610" s="507"/>
      <c r="D610" s="508" t="s">
        <v>1854</v>
      </c>
      <c r="E610" s="509"/>
      <c r="F610" s="510"/>
      <c r="G610" s="507"/>
      <c r="H610" s="511"/>
      <c r="I610" s="512"/>
      <c r="J610" s="518"/>
      <c r="K610" s="510"/>
      <c r="L610" s="510"/>
      <c r="M610" s="548"/>
      <c r="N610" s="514">
        <f>LANÇ_MOV[[#This Row],[VALOR BRUTO]]-LANÇ_MOV[[#This Row],[DESCONTO]]+LANÇ_MOV[[#This Row],[JUROS]]+LANÇ_MOV[[#This Row],[MULTA]]</f>
        <v>0</v>
      </c>
      <c r="O610" s="546"/>
      <c r="P610" s="547" t="str">
        <f t="shared" ca="1" si="9"/>
        <v/>
      </c>
      <c r="Q610" s="528"/>
      <c r="R610" s="529"/>
      <c r="S610" s="518"/>
      <c r="T610" s="518"/>
      <c r="U610" s="519"/>
      <c r="V610" s="520" t="str">
        <f>IFERROR(VLOOKUP(LANÇ_MOV[[#This Row],[PLANO DE CONTAS]],Plano_Contas[[PLANO DE CONTAS]:[R / D]],3,0),"")</f>
        <v/>
      </c>
      <c r="W610" s="521" t="str">
        <f>IF(LANÇ_MOV[[#This Row],[DATA DE PAGAMENTO]]&lt;&gt;"","Pago","Não Pago")</f>
        <v>Não Pago</v>
      </c>
      <c r="X610" s="522" t="str">
        <f>IFERROR(IF(LANÇ_MOV[[#This Row],[DATA DE PAGAMENTO]]="","",(UPPER(TEXT(LANÇ_MOV[[#This Row],[DATA DE PAGAMENTO]],"mmmm")))),"")</f>
        <v/>
      </c>
      <c r="Y610" s="523" t="str">
        <f>IFERROR(VLOOKUP(LANÇ_MOV[[#This Row],[PLANO DE CONTAS]],Plano_Contas[[PLANO DE CONTAS]:[NOMES INTERVALOS]],2,0),"")</f>
        <v/>
      </c>
      <c r="Z610" s="523" t="str">
        <f>IF(LANÇ_MOV[[#This Row],[FORMA DE PAGAMENTO]]="","",VLOOKUP(LANÇ_MOV[[#This Row],[FORMA DE PAGAMENTO]],CAD_Forma_pagto[],2,0))</f>
        <v/>
      </c>
      <c r="AA610" s="524" t="str">
        <f>IF(LANÇ_MOV[[#This Row],[DATA DE LANÇAMENTO]]="","",TEXT(LANÇ_MOV[[#This Row],[DATA DE LANÇAMENTO]],"AAAA"))</f>
        <v/>
      </c>
      <c r="AB610" s="524" t="str">
        <f>IF(LANÇ_MOV[[#This Row],[DATA DE LANÇAMENTO]]="","",UPPER(TEXT(LANÇ_MOV[[#This Row],[DATA DE LANÇAMENTO]],"MMMM")))</f>
        <v/>
      </c>
      <c r="AC610" s="525" t="str">
        <f>IF(LANÇ_MOV[[#This Row],[DATA DE LANÇAMENTO]]="","",PROPER(TEXT(LANÇ_MOV[[#This Row],[DATA DE LANÇAMENTO]],"M")))</f>
        <v/>
      </c>
      <c r="AD610" s="524" t="str">
        <f>IF(LANÇ_MOV[[#This Row],[DATA DE LANÇAMENTO]]="","",TEXT(LANÇ_MOV[[#This Row],[DATA DE LANÇAMENTO]],"D"))</f>
        <v/>
      </c>
      <c r="AE610" s="526" t="str">
        <f>IF(LANÇ_MOV[[#This Row],[DATA DE VENCIMENTO]]="","",TEXT(LANÇ_MOV[[#This Row],[DATA DE VENCIMENTO]],"AAAA"))</f>
        <v/>
      </c>
      <c r="AF610" s="526" t="str">
        <f>IF(LANÇ_MOV[[#This Row],[DATA DE VENCIMENTO]]="","",UPPER(TEXT(LANÇ_MOV[[#This Row],[DATA DE VENCIMENTO]],"MMMM")))</f>
        <v/>
      </c>
      <c r="AG610" s="526" t="str">
        <f>IF(LANÇ_MOV[[#This Row],[DATA DE VENCIMENTO]]="","",TEXT(LANÇ_MOV[[#This Row],[DATA DE VENCIMENTO]],"M"))</f>
        <v/>
      </c>
      <c r="AH610" s="526" t="str">
        <f>IF(LANÇ_MOV[[#This Row],[DATA DE VENCIMENTO]]="","",TEXT(LANÇ_MOV[[#This Row],[DATA DE VENCIMENTO]],"D"))</f>
        <v/>
      </c>
      <c r="AI610" s="526" t="str">
        <f>IF(LANÇ_MOV[[#This Row],[DATA DE PAGAMENTO]]="","",TEXT(LANÇ_MOV[[#This Row],[DATA DE PAGAMENTO]],"AAAA"))</f>
        <v/>
      </c>
      <c r="AJ610" s="527" t="str">
        <f>IF(LANÇ_MOV[[#This Row],[DATA DE PAGAMENTO]]="","",UPPER(TEXT(LANÇ_MOV[[#This Row],[DATA DE PAGAMENTO]],"MMMM")))</f>
        <v/>
      </c>
      <c r="AK610" s="527" t="str">
        <f>IF(LANÇ_MOV[[#This Row],[DATA DE PAGAMENTO]]="","",TEXT(LANÇ_MOV[[#This Row],[DATA DE PAGAMENTO]],"M"))</f>
        <v/>
      </c>
      <c r="AL610" s="526" t="str">
        <f>IF(LANÇ_MOV[[#This Row],[DATA DE PAGAMENTO]]="","",TEXT(LANÇ_MOV[[#This Row],[DATA DE PAGAMENTO]],"D"))</f>
        <v/>
      </c>
    </row>
    <row r="611" spans="2:38" ht="30.05" customHeight="1" x14ac:dyDescent="0.35">
      <c r="B611" s="506"/>
      <c r="C611" s="507"/>
      <c r="D611" s="508" t="s">
        <v>1854</v>
      </c>
      <c r="E611" s="509"/>
      <c r="F611" s="510"/>
      <c r="G611" s="507"/>
      <c r="H611" s="511"/>
      <c r="I611" s="512"/>
      <c r="J611" s="518"/>
      <c r="K611" s="510"/>
      <c r="L611" s="510"/>
      <c r="M611" s="548"/>
      <c r="N611" s="514">
        <f>LANÇ_MOV[[#This Row],[VALOR BRUTO]]-LANÇ_MOV[[#This Row],[DESCONTO]]+LANÇ_MOV[[#This Row],[JUROS]]+LANÇ_MOV[[#This Row],[MULTA]]</f>
        <v>0</v>
      </c>
      <c r="O611" s="546"/>
      <c r="P611" s="547" t="str">
        <f t="shared" ca="1" si="9"/>
        <v/>
      </c>
      <c r="Q611" s="528"/>
      <c r="R611" s="529"/>
      <c r="S611" s="518"/>
      <c r="T611" s="518"/>
      <c r="U611" s="519"/>
      <c r="V611" s="520" t="str">
        <f>IFERROR(VLOOKUP(LANÇ_MOV[[#This Row],[PLANO DE CONTAS]],Plano_Contas[[PLANO DE CONTAS]:[R / D]],3,0),"")</f>
        <v/>
      </c>
      <c r="W611" s="521" t="str">
        <f>IF(LANÇ_MOV[[#This Row],[DATA DE PAGAMENTO]]&lt;&gt;"","Pago","Não Pago")</f>
        <v>Não Pago</v>
      </c>
      <c r="X611" s="522" t="str">
        <f>IFERROR(IF(LANÇ_MOV[[#This Row],[DATA DE PAGAMENTO]]="","",(UPPER(TEXT(LANÇ_MOV[[#This Row],[DATA DE PAGAMENTO]],"mmmm")))),"")</f>
        <v/>
      </c>
      <c r="Y611" s="523" t="str">
        <f>IFERROR(VLOOKUP(LANÇ_MOV[[#This Row],[PLANO DE CONTAS]],Plano_Contas[[PLANO DE CONTAS]:[NOMES INTERVALOS]],2,0),"")</f>
        <v/>
      </c>
      <c r="Z611" s="523" t="str">
        <f>IF(LANÇ_MOV[[#This Row],[FORMA DE PAGAMENTO]]="","",VLOOKUP(LANÇ_MOV[[#This Row],[FORMA DE PAGAMENTO]],CAD_Forma_pagto[],2,0))</f>
        <v/>
      </c>
      <c r="AA611" s="524" t="str">
        <f>IF(LANÇ_MOV[[#This Row],[DATA DE LANÇAMENTO]]="","",TEXT(LANÇ_MOV[[#This Row],[DATA DE LANÇAMENTO]],"AAAA"))</f>
        <v/>
      </c>
      <c r="AB611" s="524" t="str">
        <f>IF(LANÇ_MOV[[#This Row],[DATA DE LANÇAMENTO]]="","",UPPER(TEXT(LANÇ_MOV[[#This Row],[DATA DE LANÇAMENTO]],"MMMM")))</f>
        <v/>
      </c>
      <c r="AC611" s="525" t="str">
        <f>IF(LANÇ_MOV[[#This Row],[DATA DE LANÇAMENTO]]="","",PROPER(TEXT(LANÇ_MOV[[#This Row],[DATA DE LANÇAMENTO]],"M")))</f>
        <v/>
      </c>
      <c r="AD611" s="524" t="str">
        <f>IF(LANÇ_MOV[[#This Row],[DATA DE LANÇAMENTO]]="","",TEXT(LANÇ_MOV[[#This Row],[DATA DE LANÇAMENTO]],"D"))</f>
        <v/>
      </c>
      <c r="AE611" s="526" t="str">
        <f>IF(LANÇ_MOV[[#This Row],[DATA DE VENCIMENTO]]="","",TEXT(LANÇ_MOV[[#This Row],[DATA DE VENCIMENTO]],"AAAA"))</f>
        <v/>
      </c>
      <c r="AF611" s="526" t="str">
        <f>IF(LANÇ_MOV[[#This Row],[DATA DE VENCIMENTO]]="","",UPPER(TEXT(LANÇ_MOV[[#This Row],[DATA DE VENCIMENTO]],"MMMM")))</f>
        <v/>
      </c>
      <c r="AG611" s="526" t="str">
        <f>IF(LANÇ_MOV[[#This Row],[DATA DE VENCIMENTO]]="","",TEXT(LANÇ_MOV[[#This Row],[DATA DE VENCIMENTO]],"M"))</f>
        <v/>
      </c>
      <c r="AH611" s="526" t="str">
        <f>IF(LANÇ_MOV[[#This Row],[DATA DE VENCIMENTO]]="","",TEXT(LANÇ_MOV[[#This Row],[DATA DE VENCIMENTO]],"D"))</f>
        <v/>
      </c>
      <c r="AI611" s="526" t="str">
        <f>IF(LANÇ_MOV[[#This Row],[DATA DE PAGAMENTO]]="","",TEXT(LANÇ_MOV[[#This Row],[DATA DE PAGAMENTO]],"AAAA"))</f>
        <v/>
      </c>
      <c r="AJ611" s="527" t="str">
        <f>IF(LANÇ_MOV[[#This Row],[DATA DE PAGAMENTO]]="","",UPPER(TEXT(LANÇ_MOV[[#This Row],[DATA DE PAGAMENTO]],"MMMM")))</f>
        <v/>
      </c>
      <c r="AK611" s="527" t="str">
        <f>IF(LANÇ_MOV[[#This Row],[DATA DE PAGAMENTO]]="","",TEXT(LANÇ_MOV[[#This Row],[DATA DE PAGAMENTO]],"M"))</f>
        <v/>
      </c>
      <c r="AL611" s="526" t="str">
        <f>IF(LANÇ_MOV[[#This Row],[DATA DE PAGAMENTO]]="","",TEXT(LANÇ_MOV[[#This Row],[DATA DE PAGAMENTO]],"D"))</f>
        <v/>
      </c>
    </row>
    <row r="612" spans="2:38" ht="30.05" customHeight="1" x14ac:dyDescent="0.35">
      <c r="B612" s="506"/>
      <c r="C612" s="507"/>
      <c r="D612" s="508" t="s">
        <v>1854</v>
      </c>
      <c r="E612" s="509"/>
      <c r="F612" s="510"/>
      <c r="G612" s="507"/>
      <c r="H612" s="511"/>
      <c r="I612" s="512"/>
      <c r="J612" s="518"/>
      <c r="K612" s="510"/>
      <c r="L612" s="510"/>
      <c r="M612" s="548"/>
      <c r="N612" s="514">
        <f>LANÇ_MOV[[#This Row],[VALOR BRUTO]]-LANÇ_MOV[[#This Row],[DESCONTO]]+LANÇ_MOV[[#This Row],[JUROS]]+LANÇ_MOV[[#This Row],[MULTA]]</f>
        <v>0</v>
      </c>
      <c r="O612" s="546"/>
      <c r="P612" s="547" t="str">
        <f t="shared" ca="1" si="9"/>
        <v/>
      </c>
      <c r="Q612" s="528"/>
      <c r="R612" s="529"/>
      <c r="S612" s="518"/>
      <c r="T612" s="518"/>
      <c r="U612" s="519"/>
      <c r="V612" s="520" t="str">
        <f>IFERROR(VLOOKUP(LANÇ_MOV[[#This Row],[PLANO DE CONTAS]],Plano_Contas[[PLANO DE CONTAS]:[R / D]],3,0),"")</f>
        <v/>
      </c>
      <c r="W612" s="521" t="str">
        <f>IF(LANÇ_MOV[[#This Row],[DATA DE PAGAMENTO]]&lt;&gt;"","Pago","Não Pago")</f>
        <v>Não Pago</v>
      </c>
      <c r="X612" s="522" t="str">
        <f>IFERROR(IF(LANÇ_MOV[[#This Row],[DATA DE PAGAMENTO]]="","",(UPPER(TEXT(LANÇ_MOV[[#This Row],[DATA DE PAGAMENTO]],"mmmm")))),"")</f>
        <v/>
      </c>
      <c r="Y612" s="523" t="str">
        <f>IFERROR(VLOOKUP(LANÇ_MOV[[#This Row],[PLANO DE CONTAS]],Plano_Contas[[PLANO DE CONTAS]:[NOMES INTERVALOS]],2,0),"")</f>
        <v/>
      </c>
      <c r="Z612" s="523" t="str">
        <f>IF(LANÇ_MOV[[#This Row],[FORMA DE PAGAMENTO]]="","",VLOOKUP(LANÇ_MOV[[#This Row],[FORMA DE PAGAMENTO]],CAD_Forma_pagto[],2,0))</f>
        <v/>
      </c>
      <c r="AA612" s="524" t="str">
        <f>IF(LANÇ_MOV[[#This Row],[DATA DE LANÇAMENTO]]="","",TEXT(LANÇ_MOV[[#This Row],[DATA DE LANÇAMENTO]],"AAAA"))</f>
        <v/>
      </c>
      <c r="AB612" s="524" t="str">
        <f>IF(LANÇ_MOV[[#This Row],[DATA DE LANÇAMENTO]]="","",UPPER(TEXT(LANÇ_MOV[[#This Row],[DATA DE LANÇAMENTO]],"MMMM")))</f>
        <v/>
      </c>
      <c r="AC612" s="525" t="str">
        <f>IF(LANÇ_MOV[[#This Row],[DATA DE LANÇAMENTO]]="","",PROPER(TEXT(LANÇ_MOV[[#This Row],[DATA DE LANÇAMENTO]],"M")))</f>
        <v/>
      </c>
      <c r="AD612" s="524" t="str">
        <f>IF(LANÇ_MOV[[#This Row],[DATA DE LANÇAMENTO]]="","",TEXT(LANÇ_MOV[[#This Row],[DATA DE LANÇAMENTO]],"D"))</f>
        <v/>
      </c>
      <c r="AE612" s="526" t="str">
        <f>IF(LANÇ_MOV[[#This Row],[DATA DE VENCIMENTO]]="","",TEXT(LANÇ_MOV[[#This Row],[DATA DE VENCIMENTO]],"AAAA"))</f>
        <v/>
      </c>
      <c r="AF612" s="526" t="str">
        <f>IF(LANÇ_MOV[[#This Row],[DATA DE VENCIMENTO]]="","",UPPER(TEXT(LANÇ_MOV[[#This Row],[DATA DE VENCIMENTO]],"MMMM")))</f>
        <v/>
      </c>
      <c r="AG612" s="526" t="str">
        <f>IF(LANÇ_MOV[[#This Row],[DATA DE VENCIMENTO]]="","",TEXT(LANÇ_MOV[[#This Row],[DATA DE VENCIMENTO]],"M"))</f>
        <v/>
      </c>
      <c r="AH612" s="526" t="str">
        <f>IF(LANÇ_MOV[[#This Row],[DATA DE VENCIMENTO]]="","",TEXT(LANÇ_MOV[[#This Row],[DATA DE VENCIMENTO]],"D"))</f>
        <v/>
      </c>
      <c r="AI612" s="526" t="str">
        <f>IF(LANÇ_MOV[[#This Row],[DATA DE PAGAMENTO]]="","",TEXT(LANÇ_MOV[[#This Row],[DATA DE PAGAMENTO]],"AAAA"))</f>
        <v/>
      </c>
      <c r="AJ612" s="527" t="str">
        <f>IF(LANÇ_MOV[[#This Row],[DATA DE PAGAMENTO]]="","",UPPER(TEXT(LANÇ_MOV[[#This Row],[DATA DE PAGAMENTO]],"MMMM")))</f>
        <v/>
      </c>
      <c r="AK612" s="527" t="str">
        <f>IF(LANÇ_MOV[[#This Row],[DATA DE PAGAMENTO]]="","",TEXT(LANÇ_MOV[[#This Row],[DATA DE PAGAMENTO]],"M"))</f>
        <v/>
      </c>
      <c r="AL612" s="526" t="str">
        <f>IF(LANÇ_MOV[[#This Row],[DATA DE PAGAMENTO]]="","",TEXT(LANÇ_MOV[[#This Row],[DATA DE PAGAMENTO]],"D"))</f>
        <v/>
      </c>
    </row>
    <row r="613" spans="2:38" ht="30.05" customHeight="1" x14ac:dyDescent="0.35">
      <c r="B613" s="506"/>
      <c r="C613" s="507"/>
      <c r="D613" s="508" t="s">
        <v>1854</v>
      </c>
      <c r="E613" s="509"/>
      <c r="F613" s="510"/>
      <c r="G613" s="507"/>
      <c r="H613" s="511"/>
      <c r="I613" s="512"/>
      <c r="J613" s="518"/>
      <c r="K613" s="510"/>
      <c r="L613" s="510"/>
      <c r="M613" s="548"/>
      <c r="N613" s="514">
        <f>LANÇ_MOV[[#This Row],[VALOR BRUTO]]-LANÇ_MOV[[#This Row],[DESCONTO]]+LANÇ_MOV[[#This Row],[JUROS]]+LANÇ_MOV[[#This Row],[MULTA]]</f>
        <v>0</v>
      </c>
      <c r="O613" s="546"/>
      <c r="P613" s="547" t="str">
        <f t="shared" ca="1" si="9"/>
        <v/>
      </c>
      <c r="Q613" s="528"/>
      <c r="R613" s="529"/>
      <c r="S613" s="518"/>
      <c r="T613" s="518"/>
      <c r="U613" s="519"/>
      <c r="V613" s="520" t="str">
        <f>IFERROR(VLOOKUP(LANÇ_MOV[[#This Row],[PLANO DE CONTAS]],Plano_Contas[[PLANO DE CONTAS]:[R / D]],3,0),"")</f>
        <v/>
      </c>
      <c r="W613" s="521" t="str">
        <f>IF(LANÇ_MOV[[#This Row],[DATA DE PAGAMENTO]]&lt;&gt;"","Pago","Não Pago")</f>
        <v>Não Pago</v>
      </c>
      <c r="X613" s="522" t="str">
        <f>IFERROR(IF(LANÇ_MOV[[#This Row],[DATA DE PAGAMENTO]]="","",(UPPER(TEXT(LANÇ_MOV[[#This Row],[DATA DE PAGAMENTO]],"mmmm")))),"")</f>
        <v/>
      </c>
      <c r="Y613" s="523" t="str">
        <f>IFERROR(VLOOKUP(LANÇ_MOV[[#This Row],[PLANO DE CONTAS]],Plano_Contas[[PLANO DE CONTAS]:[NOMES INTERVALOS]],2,0),"")</f>
        <v/>
      </c>
      <c r="Z613" s="523" t="str">
        <f>IF(LANÇ_MOV[[#This Row],[FORMA DE PAGAMENTO]]="","",VLOOKUP(LANÇ_MOV[[#This Row],[FORMA DE PAGAMENTO]],CAD_Forma_pagto[],2,0))</f>
        <v/>
      </c>
      <c r="AA613" s="524" t="str">
        <f>IF(LANÇ_MOV[[#This Row],[DATA DE LANÇAMENTO]]="","",TEXT(LANÇ_MOV[[#This Row],[DATA DE LANÇAMENTO]],"AAAA"))</f>
        <v/>
      </c>
      <c r="AB613" s="524" t="str">
        <f>IF(LANÇ_MOV[[#This Row],[DATA DE LANÇAMENTO]]="","",UPPER(TEXT(LANÇ_MOV[[#This Row],[DATA DE LANÇAMENTO]],"MMMM")))</f>
        <v/>
      </c>
      <c r="AC613" s="525" t="str">
        <f>IF(LANÇ_MOV[[#This Row],[DATA DE LANÇAMENTO]]="","",PROPER(TEXT(LANÇ_MOV[[#This Row],[DATA DE LANÇAMENTO]],"M")))</f>
        <v/>
      </c>
      <c r="AD613" s="524" t="str">
        <f>IF(LANÇ_MOV[[#This Row],[DATA DE LANÇAMENTO]]="","",TEXT(LANÇ_MOV[[#This Row],[DATA DE LANÇAMENTO]],"D"))</f>
        <v/>
      </c>
      <c r="AE613" s="526" t="str">
        <f>IF(LANÇ_MOV[[#This Row],[DATA DE VENCIMENTO]]="","",TEXT(LANÇ_MOV[[#This Row],[DATA DE VENCIMENTO]],"AAAA"))</f>
        <v/>
      </c>
      <c r="AF613" s="526" t="str">
        <f>IF(LANÇ_MOV[[#This Row],[DATA DE VENCIMENTO]]="","",UPPER(TEXT(LANÇ_MOV[[#This Row],[DATA DE VENCIMENTO]],"MMMM")))</f>
        <v/>
      </c>
      <c r="AG613" s="526" t="str">
        <f>IF(LANÇ_MOV[[#This Row],[DATA DE VENCIMENTO]]="","",TEXT(LANÇ_MOV[[#This Row],[DATA DE VENCIMENTO]],"M"))</f>
        <v/>
      </c>
      <c r="AH613" s="526" t="str">
        <f>IF(LANÇ_MOV[[#This Row],[DATA DE VENCIMENTO]]="","",TEXT(LANÇ_MOV[[#This Row],[DATA DE VENCIMENTO]],"D"))</f>
        <v/>
      </c>
      <c r="AI613" s="526" t="str">
        <f>IF(LANÇ_MOV[[#This Row],[DATA DE PAGAMENTO]]="","",TEXT(LANÇ_MOV[[#This Row],[DATA DE PAGAMENTO]],"AAAA"))</f>
        <v/>
      </c>
      <c r="AJ613" s="527" t="str">
        <f>IF(LANÇ_MOV[[#This Row],[DATA DE PAGAMENTO]]="","",UPPER(TEXT(LANÇ_MOV[[#This Row],[DATA DE PAGAMENTO]],"MMMM")))</f>
        <v/>
      </c>
      <c r="AK613" s="527" t="str">
        <f>IF(LANÇ_MOV[[#This Row],[DATA DE PAGAMENTO]]="","",TEXT(LANÇ_MOV[[#This Row],[DATA DE PAGAMENTO]],"M"))</f>
        <v/>
      </c>
      <c r="AL613" s="526" t="str">
        <f>IF(LANÇ_MOV[[#This Row],[DATA DE PAGAMENTO]]="","",TEXT(LANÇ_MOV[[#This Row],[DATA DE PAGAMENTO]],"D"))</f>
        <v/>
      </c>
    </row>
    <row r="614" spans="2:38" ht="30.05" customHeight="1" x14ac:dyDescent="0.35">
      <c r="B614" s="506"/>
      <c r="C614" s="507"/>
      <c r="D614" s="508" t="s">
        <v>1854</v>
      </c>
      <c r="E614" s="509"/>
      <c r="F614" s="510"/>
      <c r="G614" s="507"/>
      <c r="H614" s="511"/>
      <c r="I614" s="512"/>
      <c r="J614" s="518"/>
      <c r="K614" s="510"/>
      <c r="L614" s="510"/>
      <c r="M614" s="548"/>
      <c r="N614" s="514">
        <f>LANÇ_MOV[[#This Row],[VALOR BRUTO]]-LANÇ_MOV[[#This Row],[DESCONTO]]+LANÇ_MOV[[#This Row],[JUROS]]+LANÇ_MOV[[#This Row],[MULTA]]</f>
        <v>0</v>
      </c>
      <c r="O614" s="546"/>
      <c r="P614" s="547" t="str">
        <f t="shared" ca="1" si="9"/>
        <v/>
      </c>
      <c r="Q614" s="528"/>
      <c r="R614" s="529"/>
      <c r="S614" s="518"/>
      <c r="T614" s="518"/>
      <c r="U614" s="519"/>
      <c r="V614" s="520" t="str">
        <f>IFERROR(VLOOKUP(LANÇ_MOV[[#This Row],[PLANO DE CONTAS]],Plano_Contas[[PLANO DE CONTAS]:[R / D]],3,0),"")</f>
        <v/>
      </c>
      <c r="W614" s="521" t="str">
        <f>IF(LANÇ_MOV[[#This Row],[DATA DE PAGAMENTO]]&lt;&gt;"","Pago","Não Pago")</f>
        <v>Não Pago</v>
      </c>
      <c r="X614" s="522" t="str">
        <f>IFERROR(IF(LANÇ_MOV[[#This Row],[DATA DE PAGAMENTO]]="","",(UPPER(TEXT(LANÇ_MOV[[#This Row],[DATA DE PAGAMENTO]],"mmmm")))),"")</f>
        <v/>
      </c>
      <c r="Y614" s="523" t="str">
        <f>IFERROR(VLOOKUP(LANÇ_MOV[[#This Row],[PLANO DE CONTAS]],Plano_Contas[[PLANO DE CONTAS]:[NOMES INTERVALOS]],2,0),"")</f>
        <v/>
      </c>
      <c r="Z614" s="523" t="str">
        <f>IF(LANÇ_MOV[[#This Row],[FORMA DE PAGAMENTO]]="","",VLOOKUP(LANÇ_MOV[[#This Row],[FORMA DE PAGAMENTO]],CAD_Forma_pagto[],2,0))</f>
        <v/>
      </c>
      <c r="AA614" s="524" t="str">
        <f>IF(LANÇ_MOV[[#This Row],[DATA DE LANÇAMENTO]]="","",TEXT(LANÇ_MOV[[#This Row],[DATA DE LANÇAMENTO]],"AAAA"))</f>
        <v/>
      </c>
      <c r="AB614" s="524" t="str">
        <f>IF(LANÇ_MOV[[#This Row],[DATA DE LANÇAMENTO]]="","",UPPER(TEXT(LANÇ_MOV[[#This Row],[DATA DE LANÇAMENTO]],"MMMM")))</f>
        <v/>
      </c>
      <c r="AC614" s="525" t="str">
        <f>IF(LANÇ_MOV[[#This Row],[DATA DE LANÇAMENTO]]="","",PROPER(TEXT(LANÇ_MOV[[#This Row],[DATA DE LANÇAMENTO]],"M")))</f>
        <v/>
      </c>
      <c r="AD614" s="524" t="str">
        <f>IF(LANÇ_MOV[[#This Row],[DATA DE LANÇAMENTO]]="","",TEXT(LANÇ_MOV[[#This Row],[DATA DE LANÇAMENTO]],"D"))</f>
        <v/>
      </c>
      <c r="AE614" s="526" t="str">
        <f>IF(LANÇ_MOV[[#This Row],[DATA DE VENCIMENTO]]="","",TEXT(LANÇ_MOV[[#This Row],[DATA DE VENCIMENTO]],"AAAA"))</f>
        <v/>
      </c>
      <c r="AF614" s="526" t="str">
        <f>IF(LANÇ_MOV[[#This Row],[DATA DE VENCIMENTO]]="","",UPPER(TEXT(LANÇ_MOV[[#This Row],[DATA DE VENCIMENTO]],"MMMM")))</f>
        <v/>
      </c>
      <c r="AG614" s="526" t="str">
        <f>IF(LANÇ_MOV[[#This Row],[DATA DE VENCIMENTO]]="","",TEXT(LANÇ_MOV[[#This Row],[DATA DE VENCIMENTO]],"M"))</f>
        <v/>
      </c>
      <c r="AH614" s="526" t="str">
        <f>IF(LANÇ_MOV[[#This Row],[DATA DE VENCIMENTO]]="","",TEXT(LANÇ_MOV[[#This Row],[DATA DE VENCIMENTO]],"D"))</f>
        <v/>
      </c>
      <c r="AI614" s="526" t="str">
        <f>IF(LANÇ_MOV[[#This Row],[DATA DE PAGAMENTO]]="","",TEXT(LANÇ_MOV[[#This Row],[DATA DE PAGAMENTO]],"AAAA"))</f>
        <v/>
      </c>
      <c r="AJ614" s="527" t="str">
        <f>IF(LANÇ_MOV[[#This Row],[DATA DE PAGAMENTO]]="","",UPPER(TEXT(LANÇ_MOV[[#This Row],[DATA DE PAGAMENTO]],"MMMM")))</f>
        <v/>
      </c>
      <c r="AK614" s="527" t="str">
        <f>IF(LANÇ_MOV[[#This Row],[DATA DE PAGAMENTO]]="","",TEXT(LANÇ_MOV[[#This Row],[DATA DE PAGAMENTO]],"M"))</f>
        <v/>
      </c>
      <c r="AL614" s="526" t="str">
        <f>IF(LANÇ_MOV[[#This Row],[DATA DE PAGAMENTO]]="","",TEXT(LANÇ_MOV[[#This Row],[DATA DE PAGAMENTO]],"D"))</f>
        <v/>
      </c>
    </row>
    <row r="615" spans="2:38" ht="30.05" customHeight="1" x14ac:dyDescent="0.35">
      <c r="B615" s="506"/>
      <c r="C615" s="507"/>
      <c r="D615" s="508" t="s">
        <v>1854</v>
      </c>
      <c r="E615" s="509"/>
      <c r="F615" s="510"/>
      <c r="G615" s="507"/>
      <c r="H615" s="511"/>
      <c r="I615" s="512"/>
      <c r="J615" s="518"/>
      <c r="K615" s="510"/>
      <c r="L615" s="510"/>
      <c r="M615" s="548"/>
      <c r="N615" s="514">
        <f>LANÇ_MOV[[#This Row],[VALOR BRUTO]]-LANÇ_MOV[[#This Row],[DESCONTO]]+LANÇ_MOV[[#This Row],[JUROS]]+LANÇ_MOV[[#This Row],[MULTA]]</f>
        <v>0</v>
      </c>
      <c r="O615" s="546"/>
      <c r="P615" s="547" t="str">
        <f t="shared" ca="1" si="9"/>
        <v/>
      </c>
      <c r="Q615" s="528"/>
      <c r="R615" s="529"/>
      <c r="S615" s="518"/>
      <c r="T615" s="518"/>
      <c r="U615" s="519"/>
      <c r="V615" s="520" t="str">
        <f>IFERROR(VLOOKUP(LANÇ_MOV[[#This Row],[PLANO DE CONTAS]],Plano_Contas[[PLANO DE CONTAS]:[R / D]],3,0),"")</f>
        <v/>
      </c>
      <c r="W615" s="521" t="str">
        <f>IF(LANÇ_MOV[[#This Row],[DATA DE PAGAMENTO]]&lt;&gt;"","Pago","Não Pago")</f>
        <v>Não Pago</v>
      </c>
      <c r="X615" s="522" t="str">
        <f>IFERROR(IF(LANÇ_MOV[[#This Row],[DATA DE PAGAMENTO]]="","",(UPPER(TEXT(LANÇ_MOV[[#This Row],[DATA DE PAGAMENTO]],"mmmm")))),"")</f>
        <v/>
      </c>
      <c r="Y615" s="523" t="str">
        <f>IFERROR(VLOOKUP(LANÇ_MOV[[#This Row],[PLANO DE CONTAS]],Plano_Contas[[PLANO DE CONTAS]:[NOMES INTERVALOS]],2,0),"")</f>
        <v/>
      </c>
      <c r="Z615" s="523" t="str">
        <f>IF(LANÇ_MOV[[#This Row],[FORMA DE PAGAMENTO]]="","",VLOOKUP(LANÇ_MOV[[#This Row],[FORMA DE PAGAMENTO]],CAD_Forma_pagto[],2,0))</f>
        <v/>
      </c>
      <c r="AA615" s="524" t="str">
        <f>IF(LANÇ_MOV[[#This Row],[DATA DE LANÇAMENTO]]="","",TEXT(LANÇ_MOV[[#This Row],[DATA DE LANÇAMENTO]],"AAAA"))</f>
        <v/>
      </c>
      <c r="AB615" s="524" t="str">
        <f>IF(LANÇ_MOV[[#This Row],[DATA DE LANÇAMENTO]]="","",UPPER(TEXT(LANÇ_MOV[[#This Row],[DATA DE LANÇAMENTO]],"MMMM")))</f>
        <v/>
      </c>
      <c r="AC615" s="525" t="str">
        <f>IF(LANÇ_MOV[[#This Row],[DATA DE LANÇAMENTO]]="","",PROPER(TEXT(LANÇ_MOV[[#This Row],[DATA DE LANÇAMENTO]],"M")))</f>
        <v/>
      </c>
      <c r="AD615" s="524" t="str">
        <f>IF(LANÇ_MOV[[#This Row],[DATA DE LANÇAMENTO]]="","",TEXT(LANÇ_MOV[[#This Row],[DATA DE LANÇAMENTO]],"D"))</f>
        <v/>
      </c>
      <c r="AE615" s="526" t="str">
        <f>IF(LANÇ_MOV[[#This Row],[DATA DE VENCIMENTO]]="","",TEXT(LANÇ_MOV[[#This Row],[DATA DE VENCIMENTO]],"AAAA"))</f>
        <v/>
      </c>
      <c r="AF615" s="526" t="str">
        <f>IF(LANÇ_MOV[[#This Row],[DATA DE VENCIMENTO]]="","",UPPER(TEXT(LANÇ_MOV[[#This Row],[DATA DE VENCIMENTO]],"MMMM")))</f>
        <v/>
      </c>
      <c r="AG615" s="526" t="str">
        <f>IF(LANÇ_MOV[[#This Row],[DATA DE VENCIMENTO]]="","",TEXT(LANÇ_MOV[[#This Row],[DATA DE VENCIMENTO]],"M"))</f>
        <v/>
      </c>
      <c r="AH615" s="526" t="str">
        <f>IF(LANÇ_MOV[[#This Row],[DATA DE VENCIMENTO]]="","",TEXT(LANÇ_MOV[[#This Row],[DATA DE VENCIMENTO]],"D"))</f>
        <v/>
      </c>
      <c r="AI615" s="526" t="str">
        <f>IF(LANÇ_MOV[[#This Row],[DATA DE PAGAMENTO]]="","",TEXT(LANÇ_MOV[[#This Row],[DATA DE PAGAMENTO]],"AAAA"))</f>
        <v/>
      </c>
      <c r="AJ615" s="527" t="str">
        <f>IF(LANÇ_MOV[[#This Row],[DATA DE PAGAMENTO]]="","",UPPER(TEXT(LANÇ_MOV[[#This Row],[DATA DE PAGAMENTO]],"MMMM")))</f>
        <v/>
      </c>
      <c r="AK615" s="527" t="str">
        <f>IF(LANÇ_MOV[[#This Row],[DATA DE PAGAMENTO]]="","",TEXT(LANÇ_MOV[[#This Row],[DATA DE PAGAMENTO]],"M"))</f>
        <v/>
      </c>
      <c r="AL615" s="526" t="str">
        <f>IF(LANÇ_MOV[[#This Row],[DATA DE PAGAMENTO]]="","",TEXT(LANÇ_MOV[[#This Row],[DATA DE PAGAMENTO]],"D"))</f>
        <v/>
      </c>
    </row>
    <row r="616" spans="2:38" ht="30.05" customHeight="1" x14ac:dyDescent="0.35">
      <c r="B616" s="506"/>
      <c r="C616" s="507"/>
      <c r="D616" s="508" t="s">
        <v>1854</v>
      </c>
      <c r="E616" s="509"/>
      <c r="F616" s="510"/>
      <c r="G616" s="507"/>
      <c r="H616" s="511"/>
      <c r="I616" s="512"/>
      <c r="J616" s="518"/>
      <c r="K616" s="510"/>
      <c r="L616" s="510"/>
      <c r="M616" s="548"/>
      <c r="N616" s="514">
        <f>LANÇ_MOV[[#This Row],[VALOR BRUTO]]-LANÇ_MOV[[#This Row],[DESCONTO]]+LANÇ_MOV[[#This Row],[JUROS]]+LANÇ_MOV[[#This Row],[MULTA]]</f>
        <v>0</v>
      </c>
      <c r="O616" s="546"/>
      <c r="P616" s="547" t="str">
        <f t="shared" ca="1" si="9"/>
        <v/>
      </c>
      <c r="Q616" s="528"/>
      <c r="R616" s="529"/>
      <c r="S616" s="518"/>
      <c r="T616" s="518"/>
      <c r="U616" s="519"/>
      <c r="V616" s="520" t="str">
        <f>IFERROR(VLOOKUP(LANÇ_MOV[[#This Row],[PLANO DE CONTAS]],Plano_Contas[[PLANO DE CONTAS]:[R / D]],3,0),"")</f>
        <v/>
      </c>
      <c r="W616" s="521" t="str">
        <f>IF(LANÇ_MOV[[#This Row],[DATA DE PAGAMENTO]]&lt;&gt;"","Pago","Não Pago")</f>
        <v>Não Pago</v>
      </c>
      <c r="X616" s="522" t="str">
        <f>IFERROR(IF(LANÇ_MOV[[#This Row],[DATA DE PAGAMENTO]]="","",(UPPER(TEXT(LANÇ_MOV[[#This Row],[DATA DE PAGAMENTO]],"mmmm")))),"")</f>
        <v/>
      </c>
      <c r="Y616" s="523" t="str">
        <f>IFERROR(VLOOKUP(LANÇ_MOV[[#This Row],[PLANO DE CONTAS]],Plano_Contas[[PLANO DE CONTAS]:[NOMES INTERVALOS]],2,0),"")</f>
        <v/>
      </c>
      <c r="Z616" s="523" t="str">
        <f>IF(LANÇ_MOV[[#This Row],[FORMA DE PAGAMENTO]]="","",VLOOKUP(LANÇ_MOV[[#This Row],[FORMA DE PAGAMENTO]],CAD_Forma_pagto[],2,0))</f>
        <v/>
      </c>
      <c r="AA616" s="524" t="str">
        <f>IF(LANÇ_MOV[[#This Row],[DATA DE LANÇAMENTO]]="","",TEXT(LANÇ_MOV[[#This Row],[DATA DE LANÇAMENTO]],"AAAA"))</f>
        <v/>
      </c>
      <c r="AB616" s="524" t="str">
        <f>IF(LANÇ_MOV[[#This Row],[DATA DE LANÇAMENTO]]="","",UPPER(TEXT(LANÇ_MOV[[#This Row],[DATA DE LANÇAMENTO]],"MMMM")))</f>
        <v/>
      </c>
      <c r="AC616" s="525" t="str">
        <f>IF(LANÇ_MOV[[#This Row],[DATA DE LANÇAMENTO]]="","",PROPER(TEXT(LANÇ_MOV[[#This Row],[DATA DE LANÇAMENTO]],"M")))</f>
        <v/>
      </c>
      <c r="AD616" s="524" t="str">
        <f>IF(LANÇ_MOV[[#This Row],[DATA DE LANÇAMENTO]]="","",TEXT(LANÇ_MOV[[#This Row],[DATA DE LANÇAMENTO]],"D"))</f>
        <v/>
      </c>
      <c r="AE616" s="526" t="str">
        <f>IF(LANÇ_MOV[[#This Row],[DATA DE VENCIMENTO]]="","",TEXT(LANÇ_MOV[[#This Row],[DATA DE VENCIMENTO]],"AAAA"))</f>
        <v/>
      </c>
      <c r="AF616" s="526" t="str">
        <f>IF(LANÇ_MOV[[#This Row],[DATA DE VENCIMENTO]]="","",UPPER(TEXT(LANÇ_MOV[[#This Row],[DATA DE VENCIMENTO]],"MMMM")))</f>
        <v/>
      </c>
      <c r="AG616" s="526" t="str">
        <f>IF(LANÇ_MOV[[#This Row],[DATA DE VENCIMENTO]]="","",TEXT(LANÇ_MOV[[#This Row],[DATA DE VENCIMENTO]],"M"))</f>
        <v/>
      </c>
      <c r="AH616" s="526" t="str">
        <f>IF(LANÇ_MOV[[#This Row],[DATA DE VENCIMENTO]]="","",TEXT(LANÇ_MOV[[#This Row],[DATA DE VENCIMENTO]],"D"))</f>
        <v/>
      </c>
      <c r="AI616" s="526" t="str">
        <f>IF(LANÇ_MOV[[#This Row],[DATA DE PAGAMENTO]]="","",TEXT(LANÇ_MOV[[#This Row],[DATA DE PAGAMENTO]],"AAAA"))</f>
        <v/>
      </c>
      <c r="AJ616" s="527" t="str">
        <f>IF(LANÇ_MOV[[#This Row],[DATA DE PAGAMENTO]]="","",UPPER(TEXT(LANÇ_MOV[[#This Row],[DATA DE PAGAMENTO]],"MMMM")))</f>
        <v/>
      </c>
      <c r="AK616" s="527" t="str">
        <f>IF(LANÇ_MOV[[#This Row],[DATA DE PAGAMENTO]]="","",TEXT(LANÇ_MOV[[#This Row],[DATA DE PAGAMENTO]],"M"))</f>
        <v/>
      </c>
      <c r="AL616" s="526" t="str">
        <f>IF(LANÇ_MOV[[#This Row],[DATA DE PAGAMENTO]]="","",TEXT(LANÇ_MOV[[#This Row],[DATA DE PAGAMENTO]],"D"))</f>
        <v/>
      </c>
    </row>
    <row r="617" spans="2:38" ht="30.05" customHeight="1" x14ac:dyDescent="0.35">
      <c r="B617" s="506"/>
      <c r="C617" s="507"/>
      <c r="D617" s="508" t="s">
        <v>1854</v>
      </c>
      <c r="E617" s="509"/>
      <c r="F617" s="510"/>
      <c r="G617" s="507"/>
      <c r="H617" s="511"/>
      <c r="I617" s="512"/>
      <c r="J617" s="518"/>
      <c r="K617" s="510"/>
      <c r="L617" s="510"/>
      <c r="M617" s="548"/>
      <c r="N617" s="514">
        <f>LANÇ_MOV[[#This Row],[VALOR BRUTO]]-LANÇ_MOV[[#This Row],[DESCONTO]]+LANÇ_MOV[[#This Row],[JUROS]]+LANÇ_MOV[[#This Row],[MULTA]]</f>
        <v>0</v>
      </c>
      <c r="O617" s="546"/>
      <c r="P617" s="547" t="str">
        <f t="shared" ca="1" si="9"/>
        <v/>
      </c>
      <c r="Q617" s="528"/>
      <c r="R617" s="529"/>
      <c r="S617" s="518"/>
      <c r="T617" s="518"/>
      <c r="U617" s="519"/>
      <c r="V617" s="520" t="str">
        <f>IFERROR(VLOOKUP(LANÇ_MOV[[#This Row],[PLANO DE CONTAS]],Plano_Contas[[PLANO DE CONTAS]:[R / D]],3,0),"")</f>
        <v/>
      </c>
      <c r="W617" s="521" t="str">
        <f>IF(LANÇ_MOV[[#This Row],[DATA DE PAGAMENTO]]&lt;&gt;"","Pago","Não Pago")</f>
        <v>Não Pago</v>
      </c>
      <c r="X617" s="522" t="str">
        <f>IFERROR(IF(LANÇ_MOV[[#This Row],[DATA DE PAGAMENTO]]="","",(UPPER(TEXT(LANÇ_MOV[[#This Row],[DATA DE PAGAMENTO]],"mmmm")))),"")</f>
        <v/>
      </c>
      <c r="Y617" s="523" t="str">
        <f>IFERROR(VLOOKUP(LANÇ_MOV[[#This Row],[PLANO DE CONTAS]],Plano_Contas[[PLANO DE CONTAS]:[NOMES INTERVALOS]],2,0),"")</f>
        <v/>
      </c>
      <c r="Z617" s="523" t="str">
        <f>IF(LANÇ_MOV[[#This Row],[FORMA DE PAGAMENTO]]="","",VLOOKUP(LANÇ_MOV[[#This Row],[FORMA DE PAGAMENTO]],CAD_Forma_pagto[],2,0))</f>
        <v/>
      </c>
      <c r="AA617" s="524" t="str">
        <f>IF(LANÇ_MOV[[#This Row],[DATA DE LANÇAMENTO]]="","",TEXT(LANÇ_MOV[[#This Row],[DATA DE LANÇAMENTO]],"AAAA"))</f>
        <v/>
      </c>
      <c r="AB617" s="524" t="str">
        <f>IF(LANÇ_MOV[[#This Row],[DATA DE LANÇAMENTO]]="","",UPPER(TEXT(LANÇ_MOV[[#This Row],[DATA DE LANÇAMENTO]],"MMMM")))</f>
        <v/>
      </c>
      <c r="AC617" s="525" t="str">
        <f>IF(LANÇ_MOV[[#This Row],[DATA DE LANÇAMENTO]]="","",PROPER(TEXT(LANÇ_MOV[[#This Row],[DATA DE LANÇAMENTO]],"M")))</f>
        <v/>
      </c>
      <c r="AD617" s="524" t="str">
        <f>IF(LANÇ_MOV[[#This Row],[DATA DE LANÇAMENTO]]="","",TEXT(LANÇ_MOV[[#This Row],[DATA DE LANÇAMENTO]],"D"))</f>
        <v/>
      </c>
      <c r="AE617" s="526" t="str">
        <f>IF(LANÇ_MOV[[#This Row],[DATA DE VENCIMENTO]]="","",TEXT(LANÇ_MOV[[#This Row],[DATA DE VENCIMENTO]],"AAAA"))</f>
        <v/>
      </c>
      <c r="AF617" s="526" t="str">
        <f>IF(LANÇ_MOV[[#This Row],[DATA DE VENCIMENTO]]="","",UPPER(TEXT(LANÇ_MOV[[#This Row],[DATA DE VENCIMENTO]],"MMMM")))</f>
        <v/>
      </c>
      <c r="AG617" s="526" t="str">
        <f>IF(LANÇ_MOV[[#This Row],[DATA DE VENCIMENTO]]="","",TEXT(LANÇ_MOV[[#This Row],[DATA DE VENCIMENTO]],"M"))</f>
        <v/>
      </c>
      <c r="AH617" s="526" t="str">
        <f>IF(LANÇ_MOV[[#This Row],[DATA DE VENCIMENTO]]="","",TEXT(LANÇ_MOV[[#This Row],[DATA DE VENCIMENTO]],"D"))</f>
        <v/>
      </c>
      <c r="AI617" s="526" t="str">
        <f>IF(LANÇ_MOV[[#This Row],[DATA DE PAGAMENTO]]="","",TEXT(LANÇ_MOV[[#This Row],[DATA DE PAGAMENTO]],"AAAA"))</f>
        <v/>
      </c>
      <c r="AJ617" s="527" t="str">
        <f>IF(LANÇ_MOV[[#This Row],[DATA DE PAGAMENTO]]="","",UPPER(TEXT(LANÇ_MOV[[#This Row],[DATA DE PAGAMENTO]],"MMMM")))</f>
        <v/>
      </c>
      <c r="AK617" s="527" t="str">
        <f>IF(LANÇ_MOV[[#This Row],[DATA DE PAGAMENTO]]="","",TEXT(LANÇ_MOV[[#This Row],[DATA DE PAGAMENTO]],"M"))</f>
        <v/>
      </c>
      <c r="AL617" s="526" t="str">
        <f>IF(LANÇ_MOV[[#This Row],[DATA DE PAGAMENTO]]="","",TEXT(LANÇ_MOV[[#This Row],[DATA DE PAGAMENTO]],"D"))</f>
        <v/>
      </c>
    </row>
    <row r="618" spans="2:38" ht="30.05" customHeight="1" x14ac:dyDescent="0.35">
      <c r="B618" s="506"/>
      <c r="C618" s="507"/>
      <c r="D618" s="508" t="s">
        <v>1854</v>
      </c>
      <c r="E618" s="509"/>
      <c r="F618" s="510"/>
      <c r="G618" s="507"/>
      <c r="H618" s="511"/>
      <c r="I618" s="512"/>
      <c r="J618" s="518"/>
      <c r="K618" s="510"/>
      <c r="L618" s="510"/>
      <c r="M618" s="548"/>
      <c r="N618" s="514">
        <f>LANÇ_MOV[[#This Row],[VALOR BRUTO]]-LANÇ_MOV[[#This Row],[DESCONTO]]+LANÇ_MOV[[#This Row],[JUROS]]+LANÇ_MOV[[#This Row],[MULTA]]</f>
        <v>0</v>
      </c>
      <c r="O618" s="546"/>
      <c r="P618" s="547" t="str">
        <f t="shared" ca="1" si="9"/>
        <v/>
      </c>
      <c r="Q618" s="528"/>
      <c r="R618" s="529"/>
      <c r="S618" s="518"/>
      <c r="T618" s="518"/>
      <c r="U618" s="519"/>
      <c r="V618" s="520" t="str">
        <f>IFERROR(VLOOKUP(LANÇ_MOV[[#This Row],[PLANO DE CONTAS]],Plano_Contas[[PLANO DE CONTAS]:[R / D]],3,0),"")</f>
        <v/>
      </c>
      <c r="W618" s="521" t="str">
        <f>IF(LANÇ_MOV[[#This Row],[DATA DE PAGAMENTO]]&lt;&gt;"","Pago","Não Pago")</f>
        <v>Não Pago</v>
      </c>
      <c r="X618" s="522" t="str">
        <f>IFERROR(IF(LANÇ_MOV[[#This Row],[DATA DE PAGAMENTO]]="","",(UPPER(TEXT(LANÇ_MOV[[#This Row],[DATA DE PAGAMENTO]],"mmmm")))),"")</f>
        <v/>
      </c>
      <c r="Y618" s="523" t="str">
        <f>IFERROR(VLOOKUP(LANÇ_MOV[[#This Row],[PLANO DE CONTAS]],Plano_Contas[[PLANO DE CONTAS]:[NOMES INTERVALOS]],2,0),"")</f>
        <v/>
      </c>
      <c r="Z618" s="523" t="str">
        <f>IF(LANÇ_MOV[[#This Row],[FORMA DE PAGAMENTO]]="","",VLOOKUP(LANÇ_MOV[[#This Row],[FORMA DE PAGAMENTO]],CAD_Forma_pagto[],2,0))</f>
        <v/>
      </c>
      <c r="AA618" s="524" t="str">
        <f>IF(LANÇ_MOV[[#This Row],[DATA DE LANÇAMENTO]]="","",TEXT(LANÇ_MOV[[#This Row],[DATA DE LANÇAMENTO]],"AAAA"))</f>
        <v/>
      </c>
      <c r="AB618" s="524" t="str">
        <f>IF(LANÇ_MOV[[#This Row],[DATA DE LANÇAMENTO]]="","",UPPER(TEXT(LANÇ_MOV[[#This Row],[DATA DE LANÇAMENTO]],"MMMM")))</f>
        <v/>
      </c>
      <c r="AC618" s="525" t="str">
        <f>IF(LANÇ_MOV[[#This Row],[DATA DE LANÇAMENTO]]="","",PROPER(TEXT(LANÇ_MOV[[#This Row],[DATA DE LANÇAMENTO]],"M")))</f>
        <v/>
      </c>
      <c r="AD618" s="524" t="str">
        <f>IF(LANÇ_MOV[[#This Row],[DATA DE LANÇAMENTO]]="","",TEXT(LANÇ_MOV[[#This Row],[DATA DE LANÇAMENTO]],"D"))</f>
        <v/>
      </c>
      <c r="AE618" s="526" t="str">
        <f>IF(LANÇ_MOV[[#This Row],[DATA DE VENCIMENTO]]="","",TEXT(LANÇ_MOV[[#This Row],[DATA DE VENCIMENTO]],"AAAA"))</f>
        <v/>
      </c>
      <c r="AF618" s="526" t="str">
        <f>IF(LANÇ_MOV[[#This Row],[DATA DE VENCIMENTO]]="","",UPPER(TEXT(LANÇ_MOV[[#This Row],[DATA DE VENCIMENTO]],"MMMM")))</f>
        <v/>
      </c>
      <c r="AG618" s="526" t="str">
        <f>IF(LANÇ_MOV[[#This Row],[DATA DE VENCIMENTO]]="","",TEXT(LANÇ_MOV[[#This Row],[DATA DE VENCIMENTO]],"M"))</f>
        <v/>
      </c>
      <c r="AH618" s="526" t="str">
        <f>IF(LANÇ_MOV[[#This Row],[DATA DE VENCIMENTO]]="","",TEXT(LANÇ_MOV[[#This Row],[DATA DE VENCIMENTO]],"D"))</f>
        <v/>
      </c>
      <c r="AI618" s="526" t="str">
        <f>IF(LANÇ_MOV[[#This Row],[DATA DE PAGAMENTO]]="","",TEXT(LANÇ_MOV[[#This Row],[DATA DE PAGAMENTO]],"AAAA"))</f>
        <v/>
      </c>
      <c r="AJ618" s="527" t="str">
        <f>IF(LANÇ_MOV[[#This Row],[DATA DE PAGAMENTO]]="","",UPPER(TEXT(LANÇ_MOV[[#This Row],[DATA DE PAGAMENTO]],"MMMM")))</f>
        <v/>
      </c>
      <c r="AK618" s="527" t="str">
        <f>IF(LANÇ_MOV[[#This Row],[DATA DE PAGAMENTO]]="","",TEXT(LANÇ_MOV[[#This Row],[DATA DE PAGAMENTO]],"M"))</f>
        <v/>
      </c>
      <c r="AL618" s="526" t="str">
        <f>IF(LANÇ_MOV[[#This Row],[DATA DE PAGAMENTO]]="","",TEXT(LANÇ_MOV[[#This Row],[DATA DE PAGAMENTO]],"D"))</f>
        <v/>
      </c>
    </row>
    <row r="619" spans="2:38" ht="30.05" customHeight="1" x14ac:dyDescent="0.35">
      <c r="B619" s="506"/>
      <c r="C619" s="507"/>
      <c r="D619" s="508" t="s">
        <v>1854</v>
      </c>
      <c r="E619" s="509"/>
      <c r="F619" s="510"/>
      <c r="G619" s="507"/>
      <c r="H619" s="511"/>
      <c r="I619" s="512"/>
      <c r="J619" s="518"/>
      <c r="K619" s="510"/>
      <c r="L619" s="510"/>
      <c r="M619" s="548"/>
      <c r="N619" s="514">
        <f>LANÇ_MOV[[#This Row],[VALOR BRUTO]]-LANÇ_MOV[[#This Row],[DESCONTO]]+LANÇ_MOV[[#This Row],[JUROS]]+LANÇ_MOV[[#This Row],[MULTA]]</f>
        <v>0</v>
      </c>
      <c r="O619" s="546"/>
      <c r="P619" s="547" t="str">
        <f t="shared" ca="1" si="9"/>
        <v/>
      </c>
      <c r="Q619" s="528"/>
      <c r="R619" s="529"/>
      <c r="S619" s="518"/>
      <c r="T619" s="518"/>
      <c r="U619" s="519"/>
      <c r="V619" s="520" t="str">
        <f>IFERROR(VLOOKUP(LANÇ_MOV[[#This Row],[PLANO DE CONTAS]],Plano_Contas[[PLANO DE CONTAS]:[R / D]],3,0),"")</f>
        <v/>
      </c>
      <c r="W619" s="521" t="str">
        <f>IF(LANÇ_MOV[[#This Row],[DATA DE PAGAMENTO]]&lt;&gt;"","Pago","Não Pago")</f>
        <v>Não Pago</v>
      </c>
      <c r="X619" s="522" t="str">
        <f>IFERROR(IF(LANÇ_MOV[[#This Row],[DATA DE PAGAMENTO]]="","",(UPPER(TEXT(LANÇ_MOV[[#This Row],[DATA DE PAGAMENTO]],"mmmm")))),"")</f>
        <v/>
      </c>
      <c r="Y619" s="523" t="str">
        <f>IFERROR(VLOOKUP(LANÇ_MOV[[#This Row],[PLANO DE CONTAS]],Plano_Contas[[PLANO DE CONTAS]:[NOMES INTERVALOS]],2,0),"")</f>
        <v/>
      </c>
      <c r="Z619" s="523" t="str">
        <f>IF(LANÇ_MOV[[#This Row],[FORMA DE PAGAMENTO]]="","",VLOOKUP(LANÇ_MOV[[#This Row],[FORMA DE PAGAMENTO]],CAD_Forma_pagto[],2,0))</f>
        <v/>
      </c>
      <c r="AA619" s="524" t="str">
        <f>IF(LANÇ_MOV[[#This Row],[DATA DE LANÇAMENTO]]="","",TEXT(LANÇ_MOV[[#This Row],[DATA DE LANÇAMENTO]],"AAAA"))</f>
        <v/>
      </c>
      <c r="AB619" s="524" t="str">
        <f>IF(LANÇ_MOV[[#This Row],[DATA DE LANÇAMENTO]]="","",UPPER(TEXT(LANÇ_MOV[[#This Row],[DATA DE LANÇAMENTO]],"MMMM")))</f>
        <v/>
      </c>
      <c r="AC619" s="525" t="str">
        <f>IF(LANÇ_MOV[[#This Row],[DATA DE LANÇAMENTO]]="","",PROPER(TEXT(LANÇ_MOV[[#This Row],[DATA DE LANÇAMENTO]],"M")))</f>
        <v/>
      </c>
      <c r="AD619" s="524" t="str">
        <f>IF(LANÇ_MOV[[#This Row],[DATA DE LANÇAMENTO]]="","",TEXT(LANÇ_MOV[[#This Row],[DATA DE LANÇAMENTO]],"D"))</f>
        <v/>
      </c>
      <c r="AE619" s="526" t="str">
        <f>IF(LANÇ_MOV[[#This Row],[DATA DE VENCIMENTO]]="","",TEXT(LANÇ_MOV[[#This Row],[DATA DE VENCIMENTO]],"AAAA"))</f>
        <v/>
      </c>
      <c r="AF619" s="526" t="str">
        <f>IF(LANÇ_MOV[[#This Row],[DATA DE VENCIMENTO]]="","",UPPER(TEXT(LANÇ_MOV[[#This Row],[DATA DE VENCIMENTO]],"MMMM")))</f>
        <v/>
      </c>
      <c r="AG619" s="526" t="str">
        <f>IF(LANÇ_MOV[[#This Row],[DATA DE VENCIMENTO]]="","",TEXT(LANÇ_MOV[[#This Row],[DATA DE VENCIMENTO]],"M"))</f>
        <v/>
      </c>
      <c r="AH619" s="526" t="str">
        <f>IF(LANÇ_MOV[[#This Row],[DATA DE VENCIMENTO]]="","",TEXT(LANÇ_MOV[[#This Row],[DATA DE VENCIMENTO]],"D"))</f>
        <v/>
      </c>
      <c r="AI619" s="526" t="str">
        <f>IF(LANÇ_MOV[[#This Row],[DATA DE PAGAMENTO]]="","",TEXT(LANÇ_MOV[[#This Row],[DATA DE PAGAMENTO]],"AAAA"))</f>
        <v/>
      </c>
      <c r="AJ619" s="527" t="str">
        <f>IF(LANÇ_MOV[[#This Row],[DATA DE PAGAMENTO]]="","",UPPER(TEXT(LANÇ_MOV[[#This Row],[DATA DE PAGAMENTO]],"MMMM")))</f>
        <v/>
      </c>
      <c r="AK619" s="527" t="str">
        <f>IF(LANÇ_MOV[[#This Row],[DATA DE PAGAMENTO]]="","",TEXT(LANÇ_MOV[[#This Row],[DATA DE PAGAMENTO]],"M"))</f>
        <v/>
      </c>
      <c r="AL619" s="526" t="str">
        <f>IF(LANÇ_MOV[[#This Row],[DATA DE PAGAMENTO]]="","",TEXT(LANÇ_MOV[[#This Row],[DATA DE PAGAMENTO]],"D"))</f>
        <v/>
      </c>
    </row>
    <row r="620" spans="2:38" ht="30.05" customHeight="1" x14ac:dyDescent="0.35">
      <c r="B620" s="506"/>
      <c r="C620" s="507"/>
      <c r="D620" s="508" t="s">
        <v>1854</v>
      </c>
      <c r="E620" s="509"/>
      <c r="F620" s="510"/>
      <c r="G620" s="507"/>
      <c r="H620" s="511"/>
      <c r="I620" s="512"/>
      <c r="J620" s="518"/>
      <c r="K620" s="510"/>
      <c r="L620" s="510"/>
      <c r="M620" s="548"/>
      <c r="N620" s="514">
        <f>LANÇ_MOV[[#This Row],[VALOR BRUTO]]-LANÇ_MOV[[#This Row],[DESCONTO]]+LANÇ_MOV[[#This Row],[JUROS]]+LANÇ_MOV[[#This Row],[MULTA]]</f>
        <v>0</v>
      </c>
      <c r="O620" s="546"/>
      <c r="P620" s="547" t="str">
        <f t="shared" ca="1" si="9"/>
        <v/>
      </c>
      <c r="Q620" s="528"/>
      <c r="R620" s="529"/>
      <c r="S620" s="518"/>
      <c r="T620" s="518"/>
      <c r="U620" s="519"/>
      <c r="V620" s="520" t="str">
        <f>IFERROR(VLOOKUP(LANÇ_MOV[[#This Row],[PLANO DE CONTAS]],Plano_Contas[[PLANO DE CONTAS]:[R / D]],3,0),"")</f>
        <v/>
      </c>
      <c r="W620" s="521" t="str">
        <f>IF(LANÇ_MOV[[#This Row],[DATA DE PAGAMENTO]]&lt;&gt;"","Pago","Não Pago")</f>
        <v>Não Pago</v>
      </c>
      <c r="X620" s="522" t="str">
        <f>IFERROR(IF(LANÇ_MOV[[#This Row],[DATA DE PAGAMENTO]]="","",(UPPER(TEXT(LANÇ_MOV[[#This Row],[DATA DE PAGAMENTO]],"mmmm")))),"")</f>
        <v/>
      </c>
      <c r="Y620" s="523" t="str">
        <f>IFERROR(VLOOKUP(LANÇ_MOV[[#This Row],[PLANO DE CONTAS]],Plano_Contas[[PLANO DE CONTAS]:[NOMES INTERVALOS]],2,0),"")</f>
        <v/>
      </c>
      <c r="Z620" s="523" t="str">
        <f>IF(LANÇ_MOV[[#This Row],[FORMA DE PAGAMENTO]]="","",VLOOKUP(LANÇ_MOV[[#This Row],[FORMA DE PAGAMENTO]],CAD_Forma_pagto[],2,0))</f>
        <v/>
      </c>
      <c r="AA620" s="524" t="str">
        <f>IF(LANÇ_MOV[[#This Row],[DATA DE LANÇAMENTO]]="","",TEXT(LANÇ_MOV[[#This Row],[DATA DE LANÇAMENTO]],"AAAA"))</f>
        <v/>
      </c>
      <c r="AB620" s="524" t="str">
        <f>IF(LANÇ_MOV[[#This Row],[DATA DE LANÇAMENTO]]="","",UPPER(TEXT(LANÇ_MOV[[#This Row],[DATA DE LANÇAMENTO]],"MMMM")))</f>
        <v/>
      </c>
      <c r="AC620" s="525" t="str">
        <f>IF(LANÇ_MOV[[#This Row],[DATA DE LANÇAMENTO]]="","",PROPER(TEXT(LANÇ_MOV[[#This Row],[DATA DE LANÇAMENTO]],"M")))</f>
        <v/>
      </c>
      <c r="AD620" s="524" t="str">
        <f>IF(LANÇ_MOV[[#This Row],[DATA DE LANÇAMENTO]]="","",TEXT(LANÇ_MOV[[#This Row],[DATA DE LANÇAMENTO]],"D"))</f>
        <v/>
      </c>
      <c r="AE620" s="526" t="str">
        <f>IF(LANÇ_MOV[[#This Row],[DATA DE VENCIMENTO]]="","",TEXT(LANÇ_MOV[[#This Row],[DATA DE VENCIMENTO]],"AAAA"))</f>
        <v/>
      </c>
      <c r="AF620" s="526" t="str">
        <f>IF(LANÇ_MOV[[#This Row],[DATA DE VENCIMENTO]]="","",UPPER(TEXT(LANÇ_MOV[[#This Row],[DATA DE VENCIMENTO]],"MMMM")))</f>
        <v/>
      </c>
      <c r="AG620" s="526" t="str">
        <f>IF(LANÇ_MOV[[#This Row],[DATA DE VENCIMENTO]]="","",TEXT(LANÇ_MOV[[#This Row],[DATA DE VENCIMENTO]],"M"))</f>
        <v/>
      </c>
      <c r="AH620" s="526" t="str">
        <f>IF(LANÇ_MOV[[#This Row],[DATA DE VENCIMENTO]]="","",TEXT(LANÇ_MOV[[#This Row],[DATA DE VENCIMENTO]],"D"))</f>
        <v/>
      </c>
      <c r="AI620" s="526" t="str">
        <f>IF(LANÇ_MOV[[#This Row],[DATA DE PAGAMENTO]]="","",TEXT(LANÇ_MOV[[#This Row],[DATA DE PAGAMENTO]],"AAAA"))</f>
        <v/>
      </c>
      <c r="AJ620" s="527" t="str">
        <f>IF(LANÇ_MOV[[#This Row],[DATA DE PAGAMENTO]]="","",UPPER(TEXT(LANÇ_MOV[[#This Row],[DATA DE PAGAMENTO]],"MMMM")))</f>
        <v/>
      </c>
      <c r="AK620" s="527" t="str">
        <f>IF(LANÇ_MOV[[#This Row],[DATA DE PAGAMENTO]]="","",TEXT(LANÇ_MOV[[#This Row],[DATA DE PAGAMENTO]],"M"))</f>
        <v/>
      </c>
      <c r="AL620" s="526" t="str">
        <f>IF(LANÇ_MOV[[#This Row],[DATA DE PAGAMENTO]]="","",TEXT(LANÇ_MOV[[#This Row],[DATA DE PAGAMENTO]],"D"))</f>
        <v/>
      </c>
    </row>
    <row r="621" spans="2:38" ht="30.05" customHeight="1" x14ac:dyDescent="0.35">
      <c r="B621" s="506"/>
      <c r="C621" s="507"/>
      <c r="D621" s="508" t="s">
        <v>1854</v>
      </c>
      <c r="E621" s="509"/>
      <c r="F621" s="510"/>
      <c r="G621" s="507"/>
      <c r="H621" s="511"/>
      <c r="I621" s="512"/>
      <c r="J621" s="518"/>
      <c r="K621" s="510"/>
      <c r="L621" s="510"/>
      <c r="M621" s="548"/>
      <c r="N621" s="514">
        <f>LANÇ_MOV[[#This Row],[VALOR BRUTO]]-LANÇ_MOV[[#This Row],[DESCONTO]]+LANÇ_MOV[[#This Row],[JUROS]]+LANÇ_MOV[[#This Row],[MULTA]]</f>
        <v>0</v>
      </c>
      <c r="O621" s="546"/>
      <c r="P621" s="547" t="str">
        <f t="shared" ca="1" si="9"/>
        <v/>
      </c>
      <c r="Q621" s="528"/>
      <c r="R621" s="529"/>
      <c r="S621" s="518"/>
      <c r="T621" s="518"/>
      <c r="U621" s="519"/>
      <c r="V621" s="520" t="str">
        <f>IFERROR(VLOOKUP(LANÇ_MOV[[#This Row],[PLANO DE CONTAS]],Plano_Contas[[PLANO DE CONTAS]:[R / D]],3,0),"")</f>
        <v/>
      </c>
      <c r="W621" s="521" t="str">
        <f>IF(LANÇ_MOV[[#This Row],[DATA DE PAGAMENTO]]&lt;&gt;"","Pago","Não Pago")</f>
        <v>Não Pago</v>
      </c>
      <c r="X621" s="522" t="str">
        <f>IFERROR(IF(LANÇ_MOV[[#This Row],[DATA DE PAGAMENTO]]="","",(UPPER(TEXT(LANÇ_MOV[[#This Row],[DATA DE PAGAMENTO]],"mmmm")))),"")</f>
        <v/>
      </c>
      <c r="Y621" s="523" t="str">
        <f>IFERROR(VLOOKUP(LANÇ_MOV[[#This Row],[PLANO DE CONTAS]],Plano_Contas[[PLANO DE CONTAS]:[NOMES INTERVALOS]],2,0),"")</f>
        <v/>
      </c>
      <c r="Z621" s="523" t="str">
        <f>IF(LANÇ_MOV[[#This Row],[FORMA DE PAGAMENTO]]="","",VLOOKUP(LANÇ_MOV[[#This Row],[FORMA DE PAGAMENTO]],CAD_Forma_pagto[],2,0))</f>
        <v/>
      </c>
      <c r="AA621" s="524" t="str">
        <f>IF(LANÇ_MOV[[#This Row],[DATA DE LANÇAMENTO]]="","",TEXT(LANÇ_MOV[[#This Row],[DATA DE LANÇAMENTO]],"AAAA"))</f>
        <v/>
      </c>
      <c r="AB621" s="524" t="str">
        <f>IF(LANÇ_MOV[[#This Row],[DATA DE LANÇAMENTO]]="","",UPPER(TEXT(LANÇ_MOV[[#This Row],[DATA DE LANÇAMENTO]],"MMMM")))</f>
        <v/>
      </c>
      <c r="AC621" s="525" t="str">
        <f>IF(LANÇ_MOV[[#This Row],[DATA DE LANÇAMENTO]]="","",PROPER(TEXT(LANÇ_MOV[[#This Row],[DATA DE LANÇAMENTO]],"M")))</f>
        <v/>
      </c>
      <c r="AD621" s="524" t="str">
        <f>IF(LANÇ_MOV[[#This Row],[DATA DE LANÇAMENTO]]="","",TEXT(LANÇ_MOV[[#This Row],[DATA DE LANÇAMENTO]],"D"))</f>
        <v/>
      </c>
      <c r="AE621" s="526" t="str">
        <f>IF(LANÇ_MOV[[#This Row],[DATA DE VENCIMENTO]]="","",TEXT(LANÇ_MOV[[#This Row],[DATA DE VENCIMENTO]],"AAAA"))</f>
        <v/>
      </c>
      <c r="AF621" s="526" t="str">
        <f>IF(LANÇ_MOV[[#This Row],[DATA DE VENCIMENTO]]="","",UPPER(TEXT(LANÇ_MOV[[#This Row],[DATA DE VENCIMENTO]],"MMMM")))</f>
        <v/>
      </c>
      <c r="AG621" s="526" t="str">
        <f>IF(LANÇ_MOV[[#This Row],[DATA DE VENCIMENTO]]="","",TEXT(LANÇ_MOV[[#This Row],[DATA DE VENCIMENTO]],"M"))</f>
        <v/>
      </c>
      <c r="AH621" s="526" t="str">
        <f>IF(LANÇ_MOV[[#This Row],[DATA DE VENCIMENTO]]="","",TEXT(LANÇ_MOV[[#This Row],[DATA DE VENCIMENTO]],"D"))</f>
        <v/>
      </c>
      <c r="AI621" s="526" t="str">
        <f>IF(LANÇ_MOV[[#This Row],[DATA DE PAGAMENTO]]="","",TEXT(LANÇ_MOV[[#This Row],[DATA DE PAGAMENTO]],"AAAA"))</f>
        <v/>
      </c>
      <c r="AJ621" s="527" t="str">
        <f>IF(LANÇ_MOV[[#This Row],[DATA DE PAGAMENTO]]="","",UPPER(TEXT(LANÇ_MOV[[#This Row],[DATA DE PAGAMENTO]],"MMMM")))</f>
        <v/>
      </c>
      <c r="AK621" s="527" t="str">
        <f>IF(LANÇ_MOV[[#This Row],[DATA DE PAGAMENTO]]="","",TEXT(LANÇ_MOV[[#This Row],[DATA DE PAGAMENTO]],"M"))</f>
        <v/>
      </c>
      <c r="AL621" s="526" t="str">
        <f>IF(LANÇ_MOV[[#This Row],[DATA DE PAGAMENTO]]="","",TEXT(LANÇ_MOV[[#This Row],[DATA DE PAGAMENTO]],"D"))</f>
        <v/>
      </c>
    </row>
    <row r="622" spans="2:38" ht="30.05" customHeight="1" x14ac:dyDescent="0.35">
      <c r="B622" s="506"/>
      <c r="C622" s="507"/>
      <c r="D622" s="508" t="s">
        <v>1854</v>
      </c>
      <c r="E622" s="509"/>
      <c r="F622" s="510"/>
      <c r="G622" s="507"/>
      <c r="H622" s="511"/>
      <c r="I622" s="512"/>
      <c r="J622" s="518"/>
      <c r="K622" s="510"/>
      <c r="L622" s="510"/>
      <c r="M622" s="548"/>
      <c r="N622" s="514">
        <f>LANÇ_MOV[[#This Row],[VALOR BRUTO]]-LANÇ_MOV[[#This Row],[DESCONTO]]+LANÇ_MOV[[#This Row],[JUROS]]+LANÇ_MOV[[#This Row],[MULTA]]</f>
        <v>0</v>
      </c>
      <c r="O622" s="546"/>
      <c r="P622" s="547" t="str">
        <f t="shared" ca="1" si="9"/>
        <v/>
      </c>
      <c r="Q622" s="528"/>
      <c r="R622" s="529"/>
      <c r="S622" s="518"/>
      <c r="T622" s="518"/>
      <c r="U622" s="519"/>
      <c r="V622" s="520" t="str">
        <f>IFERROR(VLOOKUP(LANÇ_MOV[[#This Row],[PLANO DE CONTAS]],Plano_Contas[[PLANO DE CONTAS]:[R / D]],3,0),"")</f>
        <v/>
      </c>
      <c r="W622" s="521" t="str">
        <f>IF(LANÇ_MOV[[#This Row],[DATA DE PAGAMENTO]]&lt;&gt;"","Pago","Não Pago")</f>
        <v>Não Pago</v>
      </c>
      <c r="X622" s="522" t="str">
        <f>IFERROR(IF(LANÇ_MOV[[#This Row],[DATA DE PAGAMENTO]]="","",(UPPER(TEXT(LANÇ_MOV[[#This Row],[DATA DE PAGAMENTO]],"mmmm")))),"")</f>
        <v/>
      </c>
      <c r="Y622" s="523" t="str">
        <f>IFERROR(VLOOKUP(LANÇ_MOV[[#This Row],[PLANO DE CONTAS]],Plano_Contas[[PLANO DE CONTAS]:[NOMES INTERVALOS]],2,0),"")</f>
        <v/>
      </c>
      <c r="Z622" s="523" t="str">
        <f>IF(LANÇ_MOV[[#This Row],[FORMA DE PAGAMENTO]]="","",VLOOKUP(LANÇ_MOV[[#This Row],[FORMA DE PAGAMENTO]],CAD_Forma_pagto[],2,0))</f>
        <v/>
      </c>
      <c r="AA622" s="524" t="str">
        <f>IF(LANÇ_MOV[[#This Row],[DATA DE LANÇAMENTO]]="","",TEXT(LANÇ_MOV[[#This Row],[DATA DE LANÇAMENTO]],"AAAA"))</f>
        <v/>
      </c>
      <c r="AB622" s="524" t="str">
        <f>IF(LANÇ_MOV[[#This Row],[DATA DE LANÇAMENTO]]="","",UPPER(TEXT(LANÇ_MOV[[#This Row],[DATA DE LANÇAMENTO]],"MMMM")))</f>
        <v/>
      </c>
      <c r="AC622" s="525" t="str">
        <f>IF(LANÇ_MOV[[#This Row],[DATA DE LANÇAMENTO]]="","",PROPER(TEXT(LANÇ_MOV[[#This Row],[DATA DE LANÇAMENTO]],"M")))</f>
        <v/>
      </c>
      <c r="AD622" s="524" t="str">
        <f>IF(LANÇ_MOV[[#This Row],[DATA DE LANÇAMENTO]]="","",TEXT(LANÇ_MOV[[#This Row],[DATA DE LANÇAMENTO]],"D"))</f>
        <v/>
      </c>
      <c r="AE622" s="526" t="str">
        <f>IF(LANÇ_MOV[[#This Row],[DATA DE VENCIMENTO]]="","",TEXT(LANÇ_MOV[[#This Row],[DATA DE VENCIMENTO]],"AAAA"))</f>
        <v/>
      </c>
      <c r="AF622" s="526" t="str">
        <f>IF(LANÇ_MOV[[#This Row],[DATA DE VENCIMENTO]]="","",UPPER(TEXT(LANÇ_MOV[[#This Row],[DATA DE VENCIMENTO]],"MMMM")))</f>
        <v/>
      </c>
      <c r="AG622" s="526" t="str">
        <f>IF(LANÇ_MOV[[#This Row],[DATA DE VENCIMENTO]]="","",TEXT(LANÇ_MOV[[#This Row],[DATA DE VENCIMENTO]],"M"))</f>
        <v/>
      </c>
      <c r="AH622" s="526" t="str">
        <f>IF(LANÇ_MOV[[#This Row],[DATA DE VENCIMENTO]]="","",TEXT(LANÇ_MOV[[#This Row],[DATA DE VENCIMENTO]],"D"))</f>
        <v/>
      </c>
      <c r="AI622" s="526" t="str">
        <f>IF(LANÇ_MOV[[#This Row],[DATA DE PAGAMENTO]]="","",TEXT(LANÇ_MOV[[#This Row],[DATA DE PAGAMENTO]],"AAAA"))</f>
        <v/>
      </c>
      <c r="AJ622" s="527" t="str">
        <f>IF(LANÇ_MOV[[#This Row],[DATA DE PAGAMENTO]]="","",UPPER(TEXT(LANÇ_MOV[[#This Row],[DATA DE PAGAMENTO]],"MMMM")))</f>
        <v/>
      </c>
      <c r="AK622" s="527" t="str">
        <f>IF(LANÇ_MOV[[#This Row],[DATA DE PAGAMENTO]]="","",TEXT(LANÇ_MOV[[#This Row],[DATA DE PAGAMENTO]],"M"))</f>
        <v/>
      </c>
      <c r="AL622" s="526" t="str">
        <f>IF(LANÇ_MOV[[#This Row],[DATA DE PAGAMENTO]]="","",TEXT(LANÇ_MOV[[#This Row],[DATA DE PAGAMENTO]],"D"))</f>
        <v/>
      </c>
    </row>
    <row r="623" spans="2:38" ht="30.05" customHeight="1" x14ac:dyDescent="0.35">
      <c r="B623" s="506"/>
      <c r="C623" s="507"/>
      <c r="D623" s="508" t="s">
        <v>1854</v>
      </c>
      <c r="E623" s="509"/>
      <c r="F623" s="510"/>
      <c r="G623" s="507"/>
      <c r="H623" s="511"/>
      <c r="I623" s="512"/>
      <c r="J623" s="518"/>
      <c r="K623" s="510"/>
      <c r="L623" s="510"/>
      <c r="M623" s="548"/>
      <c r="N623" s="514">
        <f>LANÇ_MOV[[#This Row],[VALOR BRUTO]]-LANÇ_MOV[[#This Row],[DESCONTO]]+LANÇ_MOV[[#This Row],[JUROS]]+LANÇ_MOV[[#This Row],[MULTA]]</f>
        <v>0</v>
      </c>
      <c r="O623" s="546"/>
      <c r="P623" s="547" t="str">
        <f t="shared" ca="1" si="9"/>
        <v/>
      </c>
      <c r="Q623" s="528"/>
      <c r="R623" s="529"/>
      <c r="S623" s="518"/>
      <c r="T623" s="518"/>
      <c r="U623" s="519"/>
      <c r="V623" s="520" t="str">
        <f>IFERROR(VLOOKUP(LANÇ_MOV[[#This Row],[PLANO DE CONTAS]],Plano_Contas[[PLANO DE CONTAS]:[R / D]],3,0),"")</f>
        <v/>
      </c>
      <c r="W623" s="521" t="str">
        <f>IF(LANÇ_MOV[[#This Row],[DATA DE PAGAMENTO]]&lt;&gt;"","Pago","Não Pago")</f>
        <v>Não Pago</v>
      </c>
      <c r="X623" s="522" t="str">
        <f>IFERROR(IF(LANÇ_MOV[[#This Row],[DATA DE PAGAMENTO]]="","",(UPPER(TEXT(LANÇ_MOV[[#This Row],[DATA DE PAGAMENTO]],"mmmm")))),"")</f>
        <v/>
      </c>
      <c r="Y623" s="523" t="str">
        <f>IFERROR(VLOOKUP(LANÇ_MOV[[#This Row],[PLANO DE CONTAS]],Plano_Contas[[PLANO DE CONTAS]:[NOMES INTERVALOS]],2,0),"")</f>
        <v/>
      </c>
      <c r="Z623" s="523" t="str">
        <f>IF(LANÇ_MOV[[#This Row],[FORMA DE PAGAMENTO]]="","",VLOOKUP(LANÇ_MOV[[#This Row],[FORMA DE PAGAMENTO]],CAD_Forma_pagto[],2,0))</f>
        <v/>
      </c>
      <c r="AA623" s="524" t="str">
        <f>IF(LANÇ_MOV[[#This Row],[DATA DE LANÇAMENTO]]="","",TEXT(LANÇ_MOV[[#This Row],[DATA DE LANÇAMENTO]],"AAAA"))</f>
        <v/>
      </c>
      <c r="AB623" s="524" t="str">
        <f>IF(LANÇ_MOV[[#This Row],[DATA DE LANÇAMENTO]]="","",UPPER(TEXT(LANÇ_MOV[[#This Row],[DATA DE LANÇAMENTO]],"MMMM")))</f>
        <v/>
      </c>
      <c r="AC623" s="525" t="str">
        <f>IF(LANÇ_MOV[[#This Row],[DATA DE LANÇAMENTO]]="","",PROPER(TEXT(LANÇ_MOV[[#This Row],[DATA DE LANÇAMENTO]],"M")))</f>
        <v/>
      </c>
      <c r="AD623" s="524" t="str">
        <f>IF(LANÇ_MOV[[#This Row],[DATA DE LANÇAMENTO]]="","",TEXT(LANÇ_MOV[[#This Row],[DATA DE LANÇAMENTO]],"D"))</f>
        <v/>
      </c>
      <c r="AE623" s="526" t="str">
        <f>IF(LANÇ_MOV[[#This Row],[DATA DE VENCIMENTO]]="","",TEXT(LANÇ_MOV[[#This Row],[DATA DE VENCIMENTO]],"AAAA"))</f>
        <v/>
      </c>
      <c r="AF623" s="526" t="str">
        <f>IF(LANÇ_MOV[[#This Row],[DATA DE VENCIMENTO]]="","",UPPER(TEXT(LANÇ_MOV[[#This Row],[DATA DE VENCIMENTO]],"MMMM")))</f>
        <v/>
      </c>
      <c r="AG623" s="526" t="str">
        <f>IF(LANÇ_MOV[[#This Row],[DATA DE VENCIMENTO]]="","",TEXT(LANÇ_MOV[[#This Row],[DATA DE VENCIMENTO]],"M"))</f>
        <v/>
      </c>
      <c r="AH623" s="526" t="str">
        <f>IF(LANÇ_MOV[[#This Row],[DATA DE VENCIMENTO]]="","",TEXT(LANÇ_MOV[[#This Row],[DATA DE VENCIMENTO]],"D"))</f>
        <v/>
      </c>
      <c r="AI623" s="526" t="str">
        <f>IF(LANÇ_MOV[[#This Row],[DATA DE PAGAMENTO]]="","",TEXT(LANÇ_MOV[[#This Row],[DATA DE PAGAMENTO]],"AAAA"))</f>
        <v/>
      </c>
      <c r="AJ623" s="527" t="str">
        <f>IF(LANÇ_MOV[[#This Row],[DATA DE PAGAMENTO]]="","",UPPER(TEXT(LANÇ_MOV[[#This Row],[DATA DE PAGAMENTO]],"MMMM")))</f>
        <v/>
      </c>
      <c r="AK623" s="527" t="str">
        <f>IF(LANÇ_MOV[[#This Row],[DATA DE PAGAMENTO]]="","",TEXT(LANÇ_MOV[[#This Row],[DATA DE PAGAMENTO]],"M"))</f>
        <v/>
      </c>
      <c r="AL623" s="526" t="str">
        <f>IF(LANÇ_MOV[[#This Row],[DATA DE PAGAMENTO]]="","",TEXT(LANÇ_MOV[[#This Row],[DATA DE PAGAMENTO]],"D"))</f>
        <v/>
      </c>
    </row>
    <row r="624" spans="2:38" ht="30.05" customHeight="1" x14ac:dyDescent="0.35">
      <c r="B624" s="506"/>
      <c r="C624" s="507"/>
      <c r="D624" s="508" t="s">
        <v>1854</v>
      </c>
      <c r="E624" s="509"/>
      <c r="F624" s="510"/>
      <c r="G624" s="507"/>
      <c r="H624" s="511"/>
      <c r="I624" s="512"/>
      <c r="J624" s="518"/>
      <c r="K624" s="510"/>
      <c r="L624" s="510"/>
      <c r="M624" s="548"/>
      <c r="N624" s="514">
        <f>LANÇ_MOV[[#This Row],[VALOR BRUTO]]-LANÇ_MOV[[#This Row],[DESCONTO]]+LANÇ_MOV[[#This Row],[JUROS]]+LANÇ_MOV[[#This Row],[MULTA]]</f>
        <v>0</v>
      </c>
      <c r="O624" s="546"/>
      <c r="P624" s="547" t="str">
        <f t="shared" ca="1" si="9"/>
        <v/>
      </c>
      <c r="Q624" s="528"/>
      <c r="R624" s="529"/>
      <c r="S624" s="518"/>
      <c r="T624" s="518"/>
      <c r="U624" s="519"/>
      <c r="V624" s="520" t="str">
        <f>IFERROR(VLOOKUP(LANÇ_MOV[[#This Row],[PLANO DE CONTAS]],Plano_Contas[[PLANO DE CONTAS]:[R / D]],3,0),"")</f>
        <v/>
      </c>
      <c r="W624" s="521" t="str">
        <f>IF(LANÇ_MOV[[#This Row],[DATA DE PAGAMENTO]]&lt;&gt;"","Pago","Não Pago")</f>
        <v>Não Pago</v>
      </c>
      <c r="X624" s="522" t="str">
        <f>IFERROR(IF(LANÇ_MOV[[#This Row],[DATA DE PAGAMENTO]]="","",(UPPER(TEXT(LANÇ_MOV[[#This Row],[DATA DE PAGAMENTO]],"mmmm")))),"")</f>
        <v/>
      </c>
      <c r="Y624" s="523" t="str">
        <f>IFERROR(VLOOKUP(LANÇ_MOV[[#This Row],[PLANO DE CONTAS]],Plano_Contas[[PLANO DE CONTAS]:[NOMES INTERVALOS]],2,0),"")</f>
        <v/>
      </c>
      <c r="Z624" s="523" t="str">
        <f>IF(LANÇ_MOV[[#This Row],[FORMA DE PAGAMENTO]]="","",VLOOKUP(LANÇ_MOV[[#This Row],[FORMA DE PAGAMENTO]],CAD_Forma_pagto[],2,0))</f>
        <v/>
      </c>
      <c r="AA624" s="524" t="str">
        <f>IF(LANÇ_MOV[[#This Row],[DATA DE LANÇAMENTO]]="","",TEXT(LANÇ_MOV[[#This Row],[DATA DE LANÇAMENTO]],"AAAA"))</f>
        <v/>
      </c>
      <c r="AB624" s="524" t="str">
        <f>IF(LANÇ_MOV[[#This Row],[DATA DE LANÇAMENTO]]="","",UPPER(TEXT(LANÇ_MOV[[#This Row],[DATA DE LANÇAMENTO]],"MMMM")))</f>
        <v/>
      </c>
      <c r="AC624" s="525" t="str">
        <f>IF(LANÇ_MOV[[#This Row],[DATA DE LANÇAMENTO]]="","",PROPER(TEXT(LANÇ_MOV[[#This Row],[DATA DE LANÇAMENTO]],"M")))</f>
        <v/>
      </c>
      <c r="AD624" s="524" t="str">
        <f>IF(LANÇ_MOV[[#This Row],[DATA DE LANÇAMENTO]]="","",TEXT(LANÇ_MOV[[#This Row],[DATA DE LANÇAMENTO]],"D"))</f>
        <v/>
      </c>
      <c r="AE624" s="526" t="str">
        <f>IF(LANÇ_MOV[[#This Row],[DATA DE VENCIMENTO]]="","",TEXT(LANÇ_MOV[[#This Row],[DATA DE VENCIMENTO]],"AAAA"))</f>
        <v/>
      </c>
      <c r="AF624" s="526" t="str">
        <f>IF(LANÇ_MOV[[#This Row],[DATA DE VENCIMENTO]]="","",UPPER(TEXT(LANÇ_MOV[[#This Row],[DATA DE VENCIMENTO]],"MMMM")))</f>
        <v/>
      </c>
      <c r="AG624" s="526" t="str">
        <f>IF(LANÇ_MOV[[#This Row],[DATA DE VENCIMENTO]]="","",TEXT(LANÇ_MOV[[#This Row],[DATA DE VENCIMENTO]],"M"))</f>
        <v/>
      </c>
      <c r="AH624" s="526" t="str">
        <f>IF(LANÇ_MOV[[#This Row],[DATA DE VENCIMENTO]]="","",TEXT(LANÇ_MOV[[#This Row],[DATA DE VENCIMENTO]],"D"))</f>
        <v/>
      </c>
      <c r="AI624" s="526" t="str">
        <f>IF(LANÇ_MOV[[#This Row],[DATA DE PAGAMENTO]]="","",TEXT(LANÇ_MOV[[#This Row],[DATA DE PAGAMENTO]],"AAAA"))</f>
        <v/>
      </c>
      <c r="AJ624" s="527" t="str">
        <f>IF(LANÇ_MOV[[#This Row],[DATA DE PAGAMENTO]]="","",UPPER(TEXT(LANÇ_MOV[[#This Row],[DATA DE PAGAMENTO]],"MMMM")))</f>
        <v/>
      </c>
      <c r="AK624" s="527" t="str">
        <f>IF(LANÇ_MOV[[#This Row],[DATA DE PAGAMENTO]]="","",TEXT(LANÇ_MOV[[#This Row],[DATA DE PAGAMENTO]],"M"))</f>
        <v/>
      </c>
      <c r="AL624" s="526" t="str">
        <f>IF(LANÇ_MOV[[#This Row],[DATA DE PAGAMENTO]]="","",TEXT(LANÇ_MOV[[#This Row],[DATA DE PAGAMENTO]],"D"))</f>
        <v/>
      </c>
    </row>
    <row r="625" spans="2:38" ht="30.05" customHeight="1" x14ac:dyDescent="0.35">
      <c r="B625" s="506"/>
      <c r="C625" s="507"/>
      <c r="D625" s="508" t="s">
        <v>1854</v>
      </c>
      <c r="E625" s="509"/>
      <c r="F625" s="510"/>
      <c r="G625" s="507"/>
      <c r="H625" s="511"/>
      <c r="I625" s="512"/>
      <c r="J625" s="518"/>
      <c r="K625" s="510"/>
      <c r="L625" s="510"/>
      <c r="M625" s="548"/>
      <c r="N625" s="514">
        <f>LANÇ_MOV[[#This Row],[VALOR BRUTO]]-LANÇ_MOV[[#This Row],[DESCONTO]]+LANÇ_MOV[[#This Row],[JUROS]]+LANÇ_MOV[[#This Row],[MULTA]]</f>
        <v>0</v>
      </c>
      <c r="O625" s="546"/>
      <c r="P625" s="547" t="str">
        <f t="shared" ca="1" si="9"/>
        <v/>
      </c>
      <c r="Q625" s="528"/>
      <c r="R625" s="529"/>
      <c r="S625" s="518"/>
      <c r="T625" s="518"/>
      <c r="U625" s="519"/>
      <c r="V625" s="520" t="str">
        <f>IFERROR(VLOOKUP(LANÇ_MOV[[#This Row],[PLANO DE CONTAS]],Plano_Contas[[PLANO DE CONTAS]:[R / D]],3,0),"")</f>
        <v/>
      </c>
      <c r="W625" s="521" t="str">
        <f>IF(LANÇ_MOV[[#This Row],[DATA DE PAGAMENTO]]&lt;&gt;"","Pago","Não Pago")</f>
        <v>Não Pago</v>
      </c>
      <c r="X625" s="522" t="str">
        <f>IFERROR(IF(LANÇ_MOV[[#This Row],[DATA DE PAGAMENTO]]="","",(UPPER(TEXT(LANÇ_MOV[[#This Row],[DATA DE PAGAMENTO]],"mmmm")))),"")</f>
        <v/>
      </c>
      <c r="Y625" s="523" t="str">
        <f>IFERROR(VLOOKUP(LANÇ_MOV[[#This Row],[PLANO DE CONTAS]],Plano_Contas[[PLANO DE CONTAS]:[NOMES INTERVALOS]],2,0),"")</f>
        <v/>
      </c>
      <c r="Z625" s="523" t="str">
        <f>IF(LANÇ_MOV[[#This Row],[FORMA DE PAGAMENTO]]="","",VLOOKUP(LANÇ_MOV[[#This Row],[FORMA DE PAGAMENTO]],CAD_Forma_pagto[],2,0))</f>
        <v/>
      </c>
      <c r="AA625" s="524" t="str">
        <f>IF(LANÇ_MOV[[#This Row],[DATA DE LANÇAMENTO]]="","",TEXT(LANÇ_MOV[[#This Row],[DATA DE LANÇAMENTO]],"AAAA"))</f>
        <v/>
      </c>
      <c r="AB625" s="524" t="str">
        <f>IF(LANÇ_MOV[[#This Row],[DATA DE LANÇAMENTO]]="","",UPPER(TEXT(LANÇ_MOV[[#This Row],[DATA DE LANÇAMENTO]],"MMMM")))</f>
        <v/>
      </c>
      <c r="AC625" s="525" t="str">
        <f>IF(LANÇ_MOV[[#This Row],[DATA DE LANÇAMENTO]]="","",PROPER(TEXT(LANÇ_MOV[[#This Row],[DATA DE LANÇAMENTO]],"M")))</f>
        <v/>
      </c>
      <c r="AD625" s="524" t="str">
        <f>IF(LANÇ_MOV[[#This Row],[DATA DE LANÇAMENTO]]="","",TEXT(LANÇ_MOV[[#This Row],[DATA DE LANÇAMENTO]],"D"))</f>
        <v/>
      </c>
      <c r="AE625" s="526" t="str">
        <f>IF(LANÇ_MOV[[#This Row],[DATA DE VENCIMENTO]]="","",TEXT(LANÇ_MOV[[#This Row],[DATA DE VENCIMENTO]],"AAAA"))</f>
        <v/>
      </c>
      <c r="AF625" s="526" t="str">
        <f>IF(LANÇ_MOV[[#This Row],[DATA DE VENCIMENTO]]="","",UPPER(TEXT(LANÇ_MOV[[#This Row],[DATA DE VENCIMENTO]],"MMMM")))</f>
        <v/>
      </c>
      <c r="AG625" s="526" t="str">
        <f>IF(LANÇ_MOV[[#This Row],[DATA DE VENCIMENTO]]="","",TEXT(LANÇ_MOV[[#This Row],[DATA DE VENCIMENTO]],"M"))</f>
        <v/>
      </c>
      <c r="AH625" s="526" t="str">
        <f>IF(LANÇ_MOV[[#This Row],[DATA DE VENCIMENTO]]="","",TEXT(LANÇ_MOV[[#This Row],[DATA DE VENCIMENTO]],"D"))</f>
        <v/>
      </c>
      <c r="AI625" s="526" t="str">
        <f>IF(LANÇ_MOV[[#This Row],[DATA DE PAGAMENTO]]="","",TEXT(LANÇ_MOV[[#This Row],[DATA DE PAGAMENTO]],"AAAA"))</f>
        <v/>
      </c>
      <c r="AJ625" s="527" t="str">
        <f>IF(LANÇ_MOV[[#This Row],[DATA DE PAGAMENTO]]="","",UPPER(TEXT(LANÇ_MOV[[#This Row],[DATA DE PAGAMENTO]],"MMMM")))</f>
        <v/>
      </c>
      <c r="AK625" s="527" t="str">
        <f>IF(LANÇ_MOV[[#This Row],[DATA DE PAGAMENTO]]="","",TEXT(LANÇ_MOV[[#This Row],[DATA DE PAGAMENTO]],"M"))</f>
        <v/>
      </c>
      <c r="AL625" s="526" t="str">
        <f>IF(LANÇ_MOV[[#This Row],[DATA DE PAGAMENTO]]="","",TEXT(LANÇ_MOV[[#This Row],[DATA DE PAGAMENTO]],"D"))</f>
        <v/>
      </c>
    </row>
    <row r="626" spans="2:38" ht="30.05" customHeight="1" x14ac:dyDescent="0.35">
      <c r="B626" s="506"/>
      <c r="C626" s="507"/>
      <c r="D626" s="508" t="s">
        <v>1854</v>
      </c>
      <c r="E626" s="509"/>
      <c r="F626" s="510"/>
      <c r="G626" s="507"/>
      <c r="H626" s="511"/>
      <c r="I626" s="512"/>
      <c r="J626" s="518"/>
      <c r="K626" s="510"/>
      <c r="L626" s="510"/>
      <c r="M626" s="548"/>
      <c r="N626" s="514">
        <f>LANÇ_MOV[[#This Row],[VALOR BRUTO]]-LANÇ_MOV[[#This Row],[DESCONTO]]+LANÇ_MOV[[#This Row],[JUROS]]+LANÇ_MOV[[#This Row],[MULTA]]</f>
        <v>0</v>
      </c>
      <c r="O626" s="546"/>
      <c r="P626" s="547" t="str">
        <f t="shared" ca="1" si="9"/>
        <v/>
      </c>
      <c r="Q626" s="528"/>
      <c r="R626" s="529"/>
      <c r="S626" s="518"/>
      <c r="T626" s="518"/>
      <c r="U626" s="519"/>
      <c r="V626" s="520" t="str">
        <f>IFERROR(VLOOKUP(LANÇ_MOV[[#This Row],[PLANO DE CONTAS]],Plano_Contas[[PLANO DE CONTAS]:[R / D]],3,0),"")</f>
        <v/>
      </c>
      <c r="W626" s="521" t="str">
        <f>IF(LANÇ_MOV[[#This Row],[DATA DE PAGAMENTO]]&lt;&gt;"","Pago","Não Pago")</f>
        <v>Não Pago</v>
      </c>
      <c r="X626" s="522" t="str">
        <f>IFERROR(IF(LANÇ_MOV[[#This Row],[DATA DE PAGAMENTO]]="","",(UPPER(TEXT(LANÇ_MOV[[#This Row],[DATA DE PAGAMENTO]],"mmmm")))),"")</f>
        <v/>
      </c>
      <c r="Y626" s="523" t="str">
        <f>IFERROR(VLOOKUP(LANÇ_MOV[[#This Row],[PLANO DE CONTAS]],Plano_Contas[[PLANO DE CONTAS]:[NOMES INTERVALOS]],2,0),"")</f>
        <v/>
      </c>
      <c r="Z626" s="523" t="str">
        <f>IF(LANÇ_MOV[[#This Row],[FORMA DE PAGAMENTO]]="","",VLOOKUP(LANÇ_MOV[[#This Row],[FORMA DE PAGAMENTO]],CAD_Forma_pagto[],2,0))</f>
        <v/>
      </c>
      <c r="AA626" s="524" t="str">
        <f>IF(LANÇ_MOV[[#This Row],[DATA DE LANÇAMENTO]]="","",TEXT(LANÇ_MOV[[#This Row],[DATA DE LANÇAMENTO]],"AAAA"))</f>
        <v/>
      </c>
      <c r="AB626" s="524" t="str">
        <f>IF(LANÇ_MOV[[#This Row],[DATA DE LANÇAMENTO]]="","",UPPER(TEXT(LANÇ_MOV[[#This Row],[DATA DE LANÇAMENTO]],"MMMM")))</f>
        <v/>
      </c>
      <c r="AC626" s="525" t="str">
        <f>IF(LANÇ_MOV[[#This Row],[DATA DE LANÇAMENTO]]="","",PROPER(TEXT(LANÇ_MOV[[#This Row],[DATA DE LANÇAMENTO]],"M")))</f>
        <v/>
      </c>
      <c r="AD626" s="524" t="str">
        <f>IF(LANÇ_MOV[[#This Row],[DATA DE LANÇAMENTO]]="","",TEXT(LANÇ_MOV[[#This Row],[DATA DE LANÇAMENTO]],"D"))</f>
        <v/>
      </c>
      <c r="AE626" s="526" t="str">
        <f>IF(LANÇ_MOV[[#This Row],[DATA DE VENCIMENTO]]="","",TEXT(LANÇ_MOV[[#This Row],[DATA DE VENCIMENTO]],"AAAA"))</f>
        <v/>
      </c>
      <c r="AF626" s="526" t="str">
        <f>IF(LANÇ_MOV[[#This Row],[DATA DE VENCIMENTO]]="","",UPPER(TEXT(LANÇ_MOV[[#This Row],[DATA DE VENCIMENTO]],"MMMM")))</f>
        <v/>
      </c>
      <c r="AG626" s="526" t="str">
        <f>IF(LANÇ_MOV[[#This Row],[DATA DE VENCIMENTO]]="","",TEXT(LANÇ_MOV[[#This Row],[DATA DE VENCIMENTO]],"M"))</f>
        <v/>
      </c>
      <c r="AH626" s="526" t="str">
        <f>IF(LANÇ_MOV[[#This Row],[DATA DE VENCIMENTO]]="","",TEXT(LANÇ_MOV[[#This Row],[DATA DE VENCIMENTO]],"D"))</f>
        <v/>
      </c>
      <c r="AI626" s="526" t="str">
        <f>IF(LANÇ_MOV[[#This Row],[DATA DE PAGAMENTO]]="","",TEXT(LANÇ_MOV[[#This Row],[DATA DE PAGAMENTO]],"AAAA"))</f>
        <v/>
      </c>
      <c r="AJ626" s="527" t="str">
        <f>IF(LANÇ_MOV[[#This Row],[DATA DE PAGAMENTO]]="","",UPPER(TEXT(LANÇ_MOV[[#This Row],[DATA DE PAGAMENTO]],"MMMM")))</f>
        <v/>
      </c>
      <c r="AK626" s="527" t="str">
        <f>IF(LANÇ_MOV[[#This Row],[DATA DE PAGAMENTO]]="","",TEXT(LANÇ_MOV[[#This Row],[DATA DE PAGAMENTO]],"M"))</f>
        <v/>
      </c>
      <c r="AL626" s="526" t="str">
        <f>IF(LANÇ_MOV[[#This Row],[DATA DE PAGAMENTO]]="","",TEXT(LANÇ_MOV[[#This Row],[DATA DE PAGAMENTO]],"D"))</f>
        <v/>
      </c>
    </row>
    <row r="627" spans="2:38" ht="30.05" customHeight="1" x14ac:dyDescent="0.35">
      <c r="B627" s="506"/>
      <c r="C627" s="507"/>
      <c r="D627" s="508" t="s">
        <v>1854</v>
      </c>
      <c r="E627" s="509"/>
      <c r="F627" s="510"/>
      <c r="G627" s="507"/>
      <c r="H627" s="511"/>
      <c r="I627" s="512"/>
      <c r="J627" s="518"/>
      <c r="K627" s="510"/>
      <c r="L627" s="510"/>
      <c r="M627" s="548"/>
      <c r="N627" s="514">
        <f>LANÇ_MOV[[#This Row],[VALOR BRUTO]]-LANÇ_MOV[[#This Row],[DESCONTO]]+LANÇ_MOV[[#This Row],[JUROS]]+LANÇ_MOV[[#This Row],[MULTA]]</f>
        <v>0</v>
      </c>
      <c r="O627" s="546"/>
      <c r="P627" s="547" t="str">
        <f t="shared" ca="1" si="9"/>
        <v/>
      </c>
      <c r="Q627" s="528"/>
      <c r="R627" s="529"/>
      <c r="S627" s="518"/>
      <c r="T627" s="518"/>
      <c r="U627" s="519"/>
      <c r="V627" s="520" t="str">
        <f>IFERROR(VLOOKUP(LANÇ_MOV[[#This Row],[PLANO DE CONTAS]],Plano_Contas[[PLANO DE CONTAS]:[R / D]],3,0),"")</f>
        <v/>
      </c>
      <c r="W627" s="521" t="str">
        <f>IF(LANÇ_MOV[[#This Row],[DATA DE PAGAMENTO]]&lt;&gt;"","Pago","Não Pago")</f>
        <v>Não Pago</v>
      </c>
      <c r="X627" s="522" t="str">
        <f>IFERROR(IF(LANÇ_MOV[[#This Row],[DATA DE PAGAMENTO]]="","",(UPPER(TEXT(LANÇ_MOV[[#This Row],[DATA DE PAGAMENTO]],"mmmm")))),"")</f>
        <v/>
      </c>
      <c r="Y627" s="523" t="str">
        <f>IFERROR(VLOOKUP(LANÇ_MOV[[#This Row],[PLANO DE CONTAS]],Plano_Contas[[PLANO DE CONTAS]:[NOMES INTERVALOS]],2,0),"")</f>
        <v/>
      </c>
      <c r="Z627" s="523" t="str">
        <f>IF(LANÇ_MOV[[#This Row],[FORMA DE PAGAMENTO]]="","",VLOOKUP(LANÇ_MOV[[#This Row],[FORMA DE PAGAMENTO]],CAD_Forma_pagto[],2,0))</f>
        <v/>
      </c>
      <c r="AA627" s="524" t="str">
        <f>IF(LANÇ_MOV[[#This Row],[DATA DE LANÇAMENTO]]="","",TEXT(LANÇ_MOV[[#This Row],[DATA DE LANÇAMENTO]],"AAAA"))</f>
        <v/>
      </c>
      <c r="AB627" s="524" t="str">
        <f>IF(LANÇ_MOV[[#This Row],[DATA DE LANÇAMENTO]]="","",UPPER(TEXT(LANÇ_MOV[[#This Row],[DATA DE LANÇAMENTO]],"MMMM")))</f>
        <v/>
      </c>
      <c r="AC627" s="525" t="str">
        <f>IF(LANÇ_MOV[[#This Row],[DATA DE LANÇAMENTO]]="","",PROPER(TEXT(LANÇ_MOV[[#This Row],[DATA DE LANÇAMENTO]],"M")))</f>
        <v/>
      </c>
      <c r="AD627" s="524" t="str">
        <f>IF(LANÇ_MOV[[#This Row],[DATA DE LANÇAMENTO]]="","",TEXT(LANÇ_MOV[[#This Row],[DATA DE LANÇAMENTO]],"D"))</f>
        <v/>
      </c>
      <c r="AE627" s="526" t="str">
        <f>IF(LANÇ_MOV[[#This Row],[DATA DE VENCIMENTO]]="","",TEXT(LANÇ_MOV[[#This Row],[DATA DE VENCIMENTO]],"AAAA"))</f>
        <v/>
      </c>
      <c r="AF627" s="526" t="str">
        <f>IF(LANÇ_MOV[[#This Row],[DATA DE VENCIMENTO]]="","",UPPER(TEXT(LANÇ_MOV[[#This Row],[DATA DE VENCIMENTO]],"MMMM")))</f>
        <v/>
      </c>
      <c r="AG627" s="526" t="str">
        <f>IF(LANÇ_MOV[[#This Row],[DATA DE VENCIMENTO]]="","",TEXT(LANÇ_MOV[[#This Row],[DATA DE VENCIMENTO]],"M"))</f>
        <v/>
      </c>
      <c r="AH627" s="526" t="str">
        <f>IF(LANÇ_MOV[[#This Row],[DATA DE VENCIMENTO]]="","",TEXT(LANÇ_MOV[[#This Row],[DATA DE VENCIMENTO]],"D"))</f>
        <v/>
      </c>
      <c r="AI627" s="526" t="str">
        <f>IF(LANÇ_MOV[[#This Row],[DATA DE PAGAMENTO]]="","",TEXT(LANÇ_MOV[[#This Row],[DATA DE PAGAMENTO]],"AAAA"))</f>
        <v/>
      </c>
      <c r="AJ627" s="527" t="str">
        <f>IF(LANÇ_MOV[[#This Row],[DATA DE PAGAMENTO]]="","",UPPER(TEXT(LANÇ_MOV[[#This Row],[DATA DE PAGAMENTO]],"MMMM")))</f>
        <v/>
      </c>
      <c r="AK627" s="527" t="str">
        <f>IF(LANÇ_MOV[[#This Row],[DATA DE PAGAMENTO]]="","",TEXT(LANÇ_MOV[[#This Row],[DATA DE PAGAMENTO]],"M"))</f>
        <v/>
      </c>
      <c r="AL627" s="526" t="str">
        <f>IF(LANÇ_MOV[[#This Row],[DATA DE PAGAMENTO]]="","",TEXT(LANÇ_MOV[[#This Row],[DATA DE PAGAMENTO]],"D"))</f>
        <v/>
      </c>
    </row>
    <row r="628" spans="2:38" ht="30.05" customHeight="1" x14ac:dyDescent="0.35">
      <c r="B628" s="506"/>
      <c r="C628" s="507"/>
      <c r="D628" s="508" t="s">
        <v>1854</v>
      </c>
      <c r="E628" s="509"/>
      <c r="F628" s="510"/>
      <c r="G628" s="507"/>
      <c r="H628" s="511"/>
      <c r="I628" s="512"/>
      <c r="J628" s="518"/>
      <c r="K628" s="510"/>
      <c r="L628" s="510"/>
      <c r="M628" s="548"/>
      <c r="N628" s="514">
        <f>LANÇ_MOV[[#This Row],[VALOR BRUTO]]-LANÇ_MOV[[#This Row],[DESCONTO]]+LANÇ_MOV[[#This Row],[JUROS]]+LANÇ_MOV[[#This Row],[MULTA]]</f>
        <v>0</v>
      </c>
      <c r="O628" s="546"/>
      <c r="P628" s="547" t="str">
        <f t="shared" ca="1" si="9"/>
        <v/>
      </c>
      <c r="Q628" s="528"/>
      <c r="R628" s="529"/>
      <c r="S628" s="518"/>
      <c r="T628" s="518"/>
      <c r="U628" s="519"/>
      <c r="V628" s="520" t="str">
        <f>IFERROR(VLOOKUP(LANÇ_MOV[[#This Row],[PLANO DE CONTAS]],Plano_Contas[[PLANO DE CONTAS]:[R / D]],3,0),"")</f>
        <v/>
      </c>
      <c r="W628" s="521" t="str">
        <f>IF(LANÇ_MOV[[#This Row],[DATA DE PAGAMENTO]]&lt;&gt;"","Pago","Não Pago")</f>
        <v>Não Pago</v>
      </c>
      <c r="X628" s="522" t="str">
        <f>IFERROR(IF(LANÇ_MOV[[#This Row],[DATA DE PAGAMENTO]]="","",(UPPER(TEXT(LANÇ_MOV[[#This Row],[DATA DE PAGAMENTO]],"mmmm")))),"")</f>
        <v/>
      </c>
      <c r="Y628" s="523" t="str">
        <f>IFERROR(VLOOKUP(LANÇ_MOV[[#This Row],[PLANO DE CONTAS]],Plano_Contas[[PLANO DE CONTAS]:[NOMES INTERVALOS]],2,0),"")</f>
        <v/>
      </c>
      <c r="Z628" s="523" t="str">
        <f>IF(LANÇ_MOV[[#This Row],[FORMA DE PAGAMENTO]]="","",VLOOKUP(LANÇ_MOV[[#This Row],[FORMA DE PAGAMENTO]],CAD_Forma_pagto[],2,0))</f>
        <v/>
      </c>
      <c r="AA628" s="524" t="str">
        <f>IF(LANÇ_MOV[[#This Row],[DATA DE LANÇAMENTO]]="","",TEXT(LANÇ_MOV[[#This Row],[DATA DE LANÇAMENTO]],"AAAA"))</f>
        <v/>
      </c>
      <c r="AB628" s="524" t="str">
        <f>IF(LANÇ_MOV[[#This Row],[DATA DE LANÇAMENTO]]="","",UPPER(TEXT(LANÇ_MOV[[#This Row],[DATA DE LANÇAMENTO]],"MMMM")))</f>
        <v/>
      </c>
      <c r="AC628" s="525" t="str">
        <f>IF(LANÇ_MOV[[#This Row],[DATA DE LANÇAMENTO]]="","",PROPER(TEXT(LANÇ_MOV[[#This Row],[DATA DE LANÇAMENTO]],"M")))</f>
        <v/>
      </c>
      <c r="AD628" s="524" t="str">
        <f>IF(LANÇ_MOV[[#This Row],[DATA DE LANÇAMENTO]]="","",TEXT(LANÇ_MOV[[#This Row],[DATA DE LANÇAMENTO]],"D"))</f>
        <v/>
      </c>
      <c r="AE628" s="526" t="str">
        <f>IF(LANÇ_MOV[[#This Row],[DATA DE VENCIMENTO]]="","",TEXT(LANÇ_MOV[[#This Row],[DATA DE VENCIMENTO]],"AAAA"))</f>
        <v/>
      </c>
      <c r="AF628" s="526" t="str">
        <f>IF(LANÇ_MOV[[#This Row],[DATA DE VENCIMENTO]]="","",UPPER(TEXT(LANÇ_MOV[[#This Row],[DATA DE VENCIMENTO]],"MMMM")))</f>
        <v/>
      </c>
      <c r="AG628" s="526" t="str">
        <f>IF(LANÇ_MOV[[#This Row],[DATA DE VENCIMENTO]]="","",TEXT(LANÇ_MOV[[#This Row],[DATA DE VENCIMENTO]],"M"))</f>
        <v/>
      </c>
      <c r="AH628" s="526" t="str">
        <f>IF(LANÇ_MOV[[#This Row],[DATA DE VENCIMENTO]]="","",TEXT(LANÇ_MOV[[#This Row],[DATA DE VENCIMENTO]],"D"))</f>
        <v/>
      </c>
      <c r="AI628" s="526" t="str">
        <f>IF(LANÇ_MOV[[#This Row],[DATA DE PAGAMENTO]]="","",TEXT(LANÇ_MOV[[#This Row],[DATA DE PAGAMENTO]],"AAAA"))</f>
        <v/>
      </c>
      <c r="AJ628" s="527" t="str">
        <f>IF(LANÇ_MOV[[#This Row],[DATA DE PAGAMENTO]]="","",UPPER(TEXT(LANÇ_MOV[[#This Row],[DATA DE PAGAMENTO]],"MMMM")))</f>
        <v/>
      </c>
      <c r="AK628" s="527" t="str">
        <f>IF(LANÇ_MOV[[#This Row],[DATA DE PAGAMENTO]]="","",TEXT(LANÇ_MOV[[#This Row],[DATA DE PAGAMENTO]],"M"))</f>
        <v/>
      </c>
      <c r="AL628" s="526" t="str">
        <f>IF(LANÇ_MOV[[#This Row],[DATA DE PAGAMENTO]]="","",TEXT(LANÇ_MOV[[#This Row],[DATA DE PAGAMENTO]],"D"))</f>
        <v/>
      </c>
    </row>
    <row r="629" spans="2:38" ht="30.05" customHeight="1" x14ac:dyDescent="0.35">
      <c r="B629" s="506"/>
      <c r="C629" s="507"/>
      <c r="D629" s="508" t="s">
        <v>1854</v>
      </c>
      <c r="E629" s="509"/>
      <c r="F629" s="510"/>
      <c r="G629" s="507"/>
      <c r="H629" s="511"/>
      <c r="I629" s="512"/>
      <c r="J629" s="518"/>
      <c r="K629" s="510"/>
      <c r="L629" s="510"/>
      <c r="M629" s="548"/>
      <c r="N629" s="514">
        <f>LANÇ_MOV[[#This Row],[VALOR BRUTO]]-LANÇ_MOV[[#This Row],[DESCONTO]]+LANÇ_MOV[[#This Row],[JUROS]]+LANÇ_MOV[[#This Row],[MULTA]]</f>
        <v>0</v>
      </c>
      <c r="O629" s="546"/>
      <c r="P629" s="547" t="str">
        <f t="shared" ref="P629:P692" ca="1" si="10">IF(O629="","",IF(Q629&lt;&gt;"","Pago",IF(O629-TODAY()&gt;30,"Prazo - Mais de 1 mês",IF(O629=TODAY(),"Hoje",IF(O629&lt;TODAY(),"Venceu",IF(O629-TODAY()&lt;10,"Prazo - Menos de 10 dias",IF(O629-TODAY()&lt;15,"Prazo - Menos de 15 dias","Prazo - Menos de 1 Mês")))))))</f>
        <v/>
      </c>
      <c r="Q629" s="528"/>
      <c r="R629" s="529"/>
      <c r="S629" s="518"/>
      <c r="T629" s="518"/>
      <c r="U629" s="519"/>
      <c r="V629" s="520" t="str">
        <f>IFERROR(VLOOKUP(LANÇ_MOV[[#This Row],[PLANO DE CONTAS]],Plano_Contas[[PLANO DE CONTAS]:[R / D]],3,0),"")</f>
        <v/>
      </c>
      <c r="W629" s="521" t="str">
        <f>IF(LANÇ_MOV[[#This Row],[DATA DE PAGAMENTO]]&lt;&gt;"","Pago","Não Pago")</f>
        <v>Não Pago</v>
      </c>
      <c r="X629" s="522" t="str">
        <f>IFERROR(IF(LANÇ_MOV[[#This Row],[DATA DE PAGAMENTO]]="","",(UPPER(TEXT(LANÇ_MOV[[#This Row],[DATA DE PAGAMENTO]],"mmmm")))),"")</f>
        <v/>
      </c>
      <c r="Y629" s="523" t="str">
        <f>IFERROR(VLOOKUP(LANÇ_MOV[[#This Row],[PLANO DE CONTAS]],Plano_Contas[[PLANO DE CONTAS]:[NOMES INTERVALOS]],2,0),"")</f>
        <v/>
      </c>
      <c r="Z629" s="523" t="str">
        <f>IF(LANÇ_MOV[[#This Row],[FORMA DE PAGAMENTO]]="","",VLOOKUP(LANÇ_MOV[[#This Row],[FORMA DE PAGAMENTO]],CAD_Forma_pagto[],2,0))</f>
        <v/>
      </c>
      <c r="AA629" s="524" t="str">
        <f>IF(LANÇ_MOV[[#This Row],[DATA DE LANÇAMENTO]]="","",TEXT(LANÇ_MOV[[#This Row],[DATA DE LANÇAMENTO]],"AAAA"))</f>
        <v/>
      </c>
      <c r="AB629" s="524" t="str">
        <f>IF(LANÇ_MOV[[#This Row],[DATA DE LANÇAMENTO]]="","",UPPER(TEXT(LANÇ_MOV[[#This Row],[DATA DE LANÇAMENTO]],"MMMM")))</f>
        <v/>
      </c>
      <c r="AC629" s="525" t="str">
        <f>IF(LANÇ_MOV[[#This Row],[DATA DE LANÇAMENTO]]="","",PROPER(TEXT(LANÇ_MOV[[#This Row],[DATA DE LANÇAMENTO]],"M")))</f>
        <v/>
      </c>
      <c r="AD629" s="524" t="str">
        <f>IF(LANÇ_MOV[[#This Row],[DATA DE LANÇAMENTO]]="","",TEXT(LANÇ_MOV[[#This Row],[DATA DE LANÇAMENTO]],"D"))</f>
        <v/>
      </c>
      <c r="AE629" s="526" t="str">
        <f>IF(LANÇ_MOV[[#This Row],[DATA DE VENCIMENTO]]="","",TEXT(LANÇ_MOV[[#This Row],[DATA DE VENCIMENTO]],"AAAA"))</f>
        <v/>
      </c>
      <c r="AF629" s="526" t="str">
        <f>IF(LANÇ_MOV[[#This Row],[DATA DE VENCIMENTO]]="","",UPPER(TEXT(LANÇ_MOV[[#This Row],[DATA DE VENCIMENTO]],"MMMM")))</f>
        <v/>
      </c>
      <c r="AG629" s="526" t="str">
        <f>IF(LANÇ_MOV[[#This Row],[DATA DE VENCIMENTO]]="","",TEXT(LANÇ_MOV[[#This Row],[DATA DE VENCIMENTO]],"M"))</f>
        <v/>
      </c>
      <c r="AH629" s="526" t="str">
        <f>IF(LANÇ_MOV[[#This Row],[DATA DE VENCIMENTO]]="","",TEXT(LANÇ_MOV[[#This Row],[DATA DE VENCIMENTO]],"D"))</f>
        <v/>
      </c>
      <c r="AI629" s="526" t="str">
        <f>IF(LANÇ_MOV[[#This Row],[DATA DE PAGAMENTO]]="","",TEXT(LANÇ_MOV[[#This Row],[DATA DE PAGAMENTO]],"AAAA"))</f>
        <v/>
      </c>
      <c r="AJ629" s="527" t="str">
        <f>IF(LANÇ_MOV[[#This Row],[DATA DE PAGAMENTO]]="","",UPPER(TEXT(LANÇ_MOV[[#This Row],[DATA DE PAGAMENTO]],"MMMM")))</f>
        <v/>
      </c>
      <c r="AK629" s="527" t="str">
        <f>IF(LANÇ_MOV[[#This Row],[DATA DE PAGAMENTO]]="","",TEXT(LANÇ_MOV[[#This Row],[DATA DE PAGAMENTO]],"M"))</f>
        <v/>
      </c>
      <c r="AL629" s="526" t="str">
        <f>IF(LANÇ_MOV[[#This Row],[DATA DE PAGAMENTO]]="","",TEXT(LANÇ_MOV[[#This Row],[DATA DE PAGAMENTO]],"D"))</f>
        <v/>
      </c>
    </row>
    <row r="630" spans="2:38" ht="30.05" customHeight="1" x14ac:dyDescent="0.35">
      <c r="B630" s="506"/>
      <c r="C630" s="507"/>
      <c r="D630" s="508" t="s">
        <v>1854</v>
      </c>
      <c r="E630" s="509"/>
      <c r="F630" s="510"/>
      <c r="G630" s="507"/>
      <c r="H630" s="511"/>
      <c r="I630" s="512"/>
      <c r="J630" s="518"/>
      <c r="K630" s="510"/>
      <c r="L630" s="510"/>
      <c r="M630" s="548"/>
      <c r="N630" s="514">
        <f>LANÇ_MOV[[#This Row],[VALOR BRUTO]]-LANÇ_MOV[[#This Row],[DESCONTO]]+LANÇ_MOV[[#This Row],[JUROS]]+LANÇ_MOV[[#This Row],[MULTA]]</f>
        <v>0</v>
      </c>
      <c r="O630" s="546"/>
      <c r="P630" s="547" t="str">
        <f t="shared" ca="1" si="10"/>
        <v/>
      </c>
      <c r="Q630" s="528"/>
      <c r="R630" s="529"/>
      <c r="S630" s="518"/>
      <c r="T630" s="518"/>
      <c r="U630" s="519"/>
      <c r="V630" s="520" t="str">
        <f>IFERROR(VLOOKUP(LANÇ_MOV[[#This Row],[PLANO DE CONTAS]],Plano_Contas[[PLANO DE CONTAS]:[R / D]],3,0),"")</f>
        <v/>
      </c>
      <c r="W630" s="521" t="str">
        <f>IF(LANÇ_MOV[[#This Row],[DATA DE PAGAMENTO]]&lt;&gt;"","Pago","Não Pago")</f>
        <v>Não Pago</v>
      </c>
      <c r="X630" s="522" t="str">
        <f>IFERROR(IF(LANÇ_MOV[[#This Row],[DATA DE PAGAMENTO]]="","",(UPPER(TEXT(LANÇ_MOV[[#This Row],[DATA DE PAGAMENTO]],"mmmm")))),"")</f>
        <v/>
      </c>
      <c r="Y630" s="523" t="str">
        <f>IFERROR(VLOOKUP(LANÇ_MOV[[#This Row],[PLANO DE CONTAS]],Plano_Contas[[PLANO DE CONTAS]:[NOMES INTERVALOS]],2,0),"")</f>
        <v/>
      </c>
      <c r="Z630" s="523" t="str">
        <f>IF(LANÇ_MOV[[#This Row],[FORMA DE PAGAMENTO]]="","",VLOOKUP(LANÇ_MOV[[#This Row],[FORMA DE PAGAMENTO]],CAD_Forma_pagto[],2,0))</f>
        <v/>
      </c>
      <c r="AA630" s="524" t="str">
        <f>IF(LANÇ_MOV[[#This Row],[DATA DE LANÇAMENTO]]="","",TEXT(LANÇ_MOV[[#This Row],[DATA DE LANÇAMENTO]],"AAAA"))</f>
        <v/>
      </c>
      <c r="AB630" s="524" t="str">
        <f>IF(LANÇ_MOV[[#This Row],[DATA DE LANÇAMENTO]]="","",UPPER(TEXT(LANÇ_MOV[[#This Row],[DATA DE LANÇAMENTO]],"MMMM")))</f>
        <v/>
      </c>
      <c r="AC630" s="525" t="str">
        <f>IF(LANÇ_MOV[[#This Row],[DATA DE LANÇAMENTO]]="","",PROPER(TEXT(LANÇ_MOV[[#This Row],[DATA DE LANÇAMENTO]],"M")))</f>
        <v/>
      </c>
      <c r="AD630" s="524" t="str">
        <f>IF(LANÇ_MOV[[#This Row],[DATA DE LANÇAMENTO]]="","",TEXT(LANÇ_MOV[[#This Row],[DATA DE LANÇAMENTO]],"D"))</f>
        <v/>
      </c>
      <c r="AE630" s="526" t="str">
        <f>IF(LANÇ_MOV[[#This Row],[DATA DE VENCIMENTO]]="","",TEXT(LANÇ_MOV[[#This Row],[DATA DE VENCIMENTO]],"AAAA"))</f>
        <v/>
      </c>
      <c r="AF630" s="526" t="str">
        <f>IF(LANÇ_MOV[[#This Row],[DATA DE VENCIMENTO]]="","",UPPER(TEXT(LANÇ_MOV[[#This Row],[DATA DE VENCIMENTO]],"MMMM")))</f>
        <v/>
      </c>
      <c r="AG630" s="526" t="str">
        <f>IF(LANÇ_MOV[[#This Row],[DATA DE VENCIMENTO]]="","",TEXT(LANÇ_MOV[[#This Row],[DATA DE VENCIMENTO]],"M"))</f>
        <v/>
      </c>
      <c r="AH630" s="526" t="str">
        <f>IF(LANÇ_MOV[[#This Row],[DATA DE VENCIMENTO]]="","",TEXT(LANÇ_MOV[[#This Row],[DATA DE VENCIMENTO]],"D"))</f>
        <v/>
      </c>
      <c r="AI630" s="526" t="str">
        <f>IF(LANÇ_MOV[[#This Row],[DATA DE PAGAMENTO]]="","",TEXT(LANÇ_MOV[[#This Row],[DATA DE PAGAMENTO]],"AAAA"))</f>
        <v/>
      </c>
      <c r="AJ630" s="527" t="str">
        <f>IF(LANÇ_MOV[[#This Row],[DATA DE PAGAMENTO]]="","",UPPER(TEXT(LANÇ_MOV[[#This Row],[DATA DE PAGAMENTO]],"MMMM")))</f>
        <v/>
      </c>
      <c r="AK630" s="527" t="str">
        <f>IF(LANÇ_MOV[[#This Row],[DATA DE PAGAMENTO]]="","",TEXT(LANÇ_MOV[[#This Row],[DATA DE PAGAMENTO]],"M"))</f>
        <v/>
      </c>
      <c r="AL630" s="526" t="str">
        <f>IF(LANÇ_MOV[[#This Row],[DATA DE PAGAMENTO]]="","",TEXT(LANÇ_MOV[[#This Row],[DATA DE PAGAMENTO]],"D"))</f>
        <v/>
      </c>
    </row>
    <row r="631" spans="2:38" ht="30.05" customHeight="1" x14ac:dyDescent="0.35">
      <c r="B631" s="506"/>
      <c r="C631" s="507"/>
      <c r="D631" s="508" t="s">
        <v>1854</v>
      </c>
      <c r="E631" s="509"/>
      <c r="F631" s="510"/>
      <c r="G631" s="507"/>
      <c r="H631" s="511"/>
      <c r="I631" s="512"/>
      <c r="J631" s="518"/>
      <c r="K631" s="510"/>
      <c r="L631" s="510"/>
      <c r="M631" s="548"/>
      <c r="N631" s="514">
        <f>LANÇ_MOV[[#This Row],[VALOR BRUTO]]-LANÇ_MOV[[#This Row],[DESCONTO]]+LANÇ_MOV[[#This Row],[JUROS]]+LANÇ_MOV[[#This Row],[MULTA]]</f>
        <v>0</v>
      </c>
      <c r="O631" s="546"/>
      <c r="P631" s="547" t="str">
        <f t="shared" ca="1" si="10"/>
        <v/>
      </c>
      <c r="Q631" s="528"/>
      <c r="R631" s="529"/>
      <c r="S631" s="518"/>
      <c r="T631" s="518"/>
      <c r="U631" s="519"/>
      <c r="V631" s="520" t="str">
        <f>IFERROR(VLOOKUP(LANÇ_MOV[[#This Row],[PLANO DE CONTAS]],Plano_Contas[[PLANO DE CONTAS]:[R / D]],3,0),"")</f>
        <v/>
      </c>
      <c r="W631" s="521" t="str">
        <f>IF(LANÇ_MOV[[#This Row],[DATA DE PAGAMENTO]]&lt;&gt;"","Pago","Não Pago")</f>
        <v>Não Pago</v>
      </c>
      <c r="X631" s="522" t="str">
        <f>IFERROR(IF(LANÇ_MOV[[#This Row],[DATA DE PAGAMENTO]]="","",(UPPER(TEXT(LANÇ_MOV[[#This Row],[DATA DE PAGAMENTO]],"mmmm")))),"")</f>
        <v/>
      </c>
      <c r="Y631" s="523" t="str">
        <f>IFERROR(VLOOKUP(LANÇ_MOV[[#This Row],[PLANO DE CONTAS]],Plano_Contas[[PLANO DE CONTAS]:[NOMES INTERVALOS]],2,0),"")</f>
        <v/>
      </c>
      <c r="Z631" s="523" t="str">
        <f>IF(LANÇ_MOV[[#This Row],[FORMA DE PAGAMENTO]]="","",VLOOKUP(LANÇ_MOV[[#This Row],[FORMA DE PAGAMENTO]],CAD_Forma_pagto[],2,0))</f>
        <v/>
      </c>
      <c r="AA631" s="524" t="str">
        <f>IF(LANÇ_MOV[[#This Row],[DATA DE LANÇAMENTO]]="","",TEXT(LANÇ_MOV[[#This Row],[DATA DE LANÇAMENTO]],"AAAA"))</f>
        <v/>
      </c>
      <c r="AB631" s="524" t="str">
        <f>IF(LANÇ_MOV[[#This Row],[DATA DE LANÇAMENTO]]="","",UPPER(TEXT(LANÇ_MOV[[#This Row],[DATA DE LANÇAMENTO]],"MMMM")))</f>
        <v/>
      </c>
      <c r="AC631" s="525" t="str">
        <f>IF(LANÇ_MOV[[#This Row],[DATA DE LANÇAMENTO]]="","",PROPER(TEXT(LANÇ_MOV[[#This Row],[DATA DE LANÇAMENTO]],"M")))</f>
        <v/>
      </c>
      <c r="AD631" s="524" t="str">
        <f>IF(LANÇ_MOV[[#This Row],[DATA DE LANÇAMENTO]]="","",TEXT(LANÇ_MOV[[#This Row],[DATA DE LANÇAMENTO]],"D"))</f>
        <v/>
      </c>
      <c r="AE631" s="526" t="str">
        <f>IF(LANÇ_MOV[[#This Row],[DATA DE VENCIMENTO]]="","",TEXT(LANÇ_MOV[[#This Row],[DATA DE VENCIMENTO]],"AAAA"))</f>
        <v/>
      </c>
      <c r="AF631" s="526" t="str">
        <f>IF(LANÇ_MOV[[#This Row],[DATA DE VENCIMENTO]]="","",UPPER(TEXT(LANÇ_MOV[[#This Row],[DATA DE VENCIMENTO]],"MMMM")))</f>
        <v/>
      </c>
      <c r="AG631" s="526" t="str">
        <f>IF(LANÇ_MOV[[#This Row],[DATA DE VENCIMENTO]]="","",TEXT(LANÇ_MOV[[#This Row],[DATA DE VENCIMENTO]],"M"))</f>
        <v/>
      </c>
      <c r="AH631" s="526" t="str">
        <f>IF(LANÇ_MOV[[#This Row],[DATA DE VENCIMENTO]]="","",TEXT(LANÇ_MOV[[#This Row],[DATA DE VENCIMENTO]],"D"))</f>
        <v/>
      </c>
      <c r="AI631" s="526" t="str">
        <f>IF(LANÇ_MOV[[#This Row],[DATA DE PAGAMENTO]]="","",TEXT(LANÇ_MOV[[#This Row],[DATA DE PAGAMENTO]],"AAAA"))</f>
        <v/>
      </c>
      <c r="AJ631" s="527" t="str">
        <f>IF(LANÇ_MOV[[#This Row],[DATA DE PAGAMENTO]]="","",UPPER(TEXT(LANÇ_MOV[[#This Row],[DATA DE PAGAMENTO]],"MMMM")))</f>
        <v/>
      </c>
      <c r="AK631" s="527" t="str">
        <f>IF(LANÇ_MOV[[#This Row],[DATA DE PAGAMENTO]]="","",TEXT(LANÇ_MOV[[#This Row],[DATA DE PAGAMENTO]],"M"))</f>
        <v/>
      </c>
      <c r="AL631" s="526" t="str">
        <f>IF(LANÇ_MOV[[#This Row],[DATA DE PAGAMENTO]]="","",TEXT(LANÇ_MOV[[#This Row],[DATA DE PAGAMENTO]],"D"))</f>
        <v/>
      </c>
    </row>
    <row r="632" spans="2:38" ht="30.05" customHeight="1" x14ac:dyDescent="0.35">
      <c r="B632" s="506"/>
      <c r="C632" s="507"/>
      <c r="D632" s="508" t="s">
        <v>1854</v>
      </c>
      <c r="E632" s="509"/>
      <c r="F632" s="510"/>
      <c r="G632" s="507"/>
      <c r="H632" s="511"/>
      <c r="I632" s="512"/>
      <c r="J632" s="518"/>
      <c r="K632" s="510"/>
      <c r="L632" s="510"/>
      <c r="M632" s="548"/>
      <c r="N632" s="514">
        <f>LANÇ_MOV[[#This Row],[VALOR BRUTO]]-LANÇ_MOV[[#This Row],[DESCONTO]]+LANÇ_MOV[[#This Row],[JUROS]]+LANÇ_MOV[[#This Row],[MULTA]]</f>
        <v>0</v>
      </c>
      <c r="O632" s="546"/>
      <c r="P632" s="547" t="str">
        <f t="shared" ca="1" si="10"/>
        <v/>
      </c>
      <c r="Q632" s="528"/>
      <c r="R632" s="529"/>
      <c r="S632" s="518"/>
      <c r="T632" s="518"/>
      <c r="U632" s="519"/>
      <c r="V632" s="520" t="str">
        <f>IFERROR(VLOOKUP(LANÇ_MOV[[#This Row],[PLANO DE CONTAS]],Plano_Contas[[PLANO DE CONTAS]:[R / D]],3,0),"")</f>
        <v/>
      </c>
      <c r="W632" s="521" t="str">
        <f>IF(LANÇ_MOV[[#This Row],[DATA DE PAGAMENTO]]&lt;&gt;"","Pago","Não Pago")</f>
        <v>Não Pago</v>
      </c>
      <c r="X632" s="522" t="str">
        <f>IFERROR(IF(LANÇ_MOV[[#This Row],[DATA DE PAGAMENTO]]="","",(UPPER(TEXT(LANÇ_MOV[[#This Row],[DATA DE PAGAMENTO]],"mmmm")))),"")</f>
        <v/>
      </c>
      <c r="Y632" s="523" t="str">
        <f>IFERROR(VLOOKUP(LANÇ_MOV[[#This Row],[PLANO DE CONTAS]],Plano_Contas[[PLANO DE CONTAS]:[NOMES INTERVALOS]],2,0),"")</f>
        <v/>
      </c>
      <c r="Z632" s="523" t="str">
        <f>IF(LANÇ_MOV[[#This Row],[FORMA DE PAGAMENTO]]="","",VLOOKUP(LANÇ_MOV[[#This Row],[FORMA DE PAGAMENTO]],CAD_Forma_pagto[],2,0))</f>
        <v/>
      </c>
      <c r="AA632" s="524" t="str">
        <f>IF(LANÇ_MOV[[#This Row],[DATA DE LANÇAMENTO]]="","",TEXT(LANÇ_MOV[[#This Row],[DATA DE LANÇAMENTO]],"AAAA"))</f>
        <v/>
      </c>
      <c r="AB632" s="524" t="str">
        <f>IF(LANÇ_MOV[[#This Row],[DATA DE LANÇAMENTO]]="","",UPPER(TEXT(LANÇ_MOV[[#This Row],[DATA DE LANÇAMENTO]],"MMMM")))</f>
        <v/>
      </c>
      <c r="AC632" s="525" t="str">
        <f>IF(LANÇ_MOV[[#This Row],[DATA DE LANÇAMENTO]]="","",PROPER(TEXT(LANÇ_MOV[[#This Row],[DATA DE LANÇAMENTO]],"M")))</f>
        <v/>
      </c>
      <c r="AD632" s="524" t="str">
        <f>IF(LANÇ_MOV[[#This Row],[DATA DE LANÇAMENTO]]="","",TEXT(LANÇ_MOV[[#This Row],[DATA DE LANÇAMENTO]],"D"))</f>
        <v/>
      </c>
      <c r="AE632" s="526" t="str">
        <f>IF(LANÇ_MOV[[#This Row],[DATA DE VENCIMENTO]]="","",TEXT(LANÇ_MOV[[#This Row],[DATA DE VENCIMENTO]],"AAAA"))</f>
        <v/>
      </c>
      <c r="AF632" s="526" t="str">
        <f>IF(LANÇ_MOV[[#This Row],[DATA DE VENCIMENTO]]="","",UPPER(TEXT(LANÇ_MOV[[#This Row],[DATA DE VENCIMENTO]],"MMMM")))</f>
        <v/>
      </c>
      <c r="AG632" s="526" t="str">
        <f>IF(LANÇ_MOV[[#This Row],[DATA DE VENCIMENTO]]="","",TEXT(LANÇ_MOV[[#This Row],[DATA DE VENCIMENTO]],"M"))</f>
        <v/>
      </c>
      <c r="AH632" s="526" t="str">
        <f>IF(LANÇ_MOV[[#This Row],[DATA DE VENCIMENTO]]="","",TEXT(LANÇ_MOV[[#This Row],[DATA DE VENCIMENTO]],"D"))</f>
        <v/>
      </c>
      <c r="AI632" s="526" t="str">
        <f>IF(LANÇ_MOV[[#This Row],[DATA DE PAGAMENTO]]="","",TEXT(LANÇ_MOV[[#This Row],[DATA DE PAGAMENTO]],"AAAA"))</f>
        <v/>
      </c>
      <c r="AJ632" s="527" t="str">
        <f>IF(LANÇ_MOV[[#This Row],[DATA DE PAGAMENTO]]="","",UPPER(TEXT(LANÇ_MOV[[#This Row],[DATA DE PAGAMENTO]],"MMMM")))</f>
        <v/>
      </c>
      <c r="AK632" s="527" t="str">
        <f>IF(LANÇ_MOV[[#This Row],[DATA DE PAGAMENTO]]="","",TEXT(LANÇ_MOV[[#This Row],[DATA DE PAGAMENTO]],"M"))</f>
        <v/>
      </c>
      <c r="AL632" s="526" t="str">
        <f>IF(LANÇ_MOV[[#This Row],[DATA DE PAGAMENTO]]="","",TEXT(LANÇ_MOV[[#This Row],[DATA DE PAGAMENTO]],"D"))</f>
        <v/>
      </c>
    </row>
    <row r="633" spans="2:38" ht="30.05" customHeight="1" x14ac:dyDescent="0.35">
      <c r="B633" s="506"/>
      <c r="C633" s="507"/>
      <c r="D633" s="508" t="s">
        <v>1854</v>
      </c>
      <c r="E633" s="509"/>
      <c r="F633" s="510"/>
      <c r="G633" s="507"/>
      <c r="H633" s="511"/>
      <c r="I633" s="512"/>
      <c r="J633" s="518"/>
      <c r="K633" s="510"/>
      <c r="L633" s="510"/>
      <c r="M633" s="548"/>
      <c r="N633" s="514">
        <f>LANÇ_MOV[[#This Row],[VALOR BRUTO]]-LANÇ_MOV[[#This Row],[DESCONTO]]+LANÇ_MOV[[#This Row],[JUROS]]+LANÇ_MOV[[#This Row],[MULTA]]</f>
        <v>0</v>
      </c>
      <c r="O633" s="546"/>
      <c r="P633" s="547" t="str">
        <f t="shared" ca="1" si="10"/>
        <v/>
      </c>
      <c r="Q633" s="528"/>
      <c r="R633" s="529"/>
      <c r="S633" s="518"/>
      <c r="T633" s="518"/>
      <c r="U633" s="519"/>
      <c r="V633" s="520" t="str">
        <f>IFERROR(VLOOKUP(LANÇ_MOV[[#This Row],[PLANO DE CONTAS]],Plano_Contas[[PLANO DE CONTAS]:[R / D]],3,0),"")</f>
        <v/>
      </c>
      <c r="W633" s="521" t="str">
        <f>IF(LANÇ_MOV[[#This Row],[DATA DE PAGAMENTO]]&lt;&gt;"","Pago","Não Pago")</f>
        <v>Não Pago</v>
      </c>
      <c r="X633" s="522" t="str">
        <f>IFERROR(IF(LANÇ_MOV[[#This Row],[DATA DE PAGAMENTO]]="","",(UPPER(TEXT(LANÇ_MOV[[#This Row],[DATA DE PAGAMENTO]],"mmmm")))),"")</f>
        <v/>
      </c>
      <c r="Y633" s="523" t="str">
        <f>IFERROR(VLOOKUP(LANÇ_MOV[[#This Row],[PLANO DE CONTAS]],Plano_Contas[[PLANO DE CONTAS]:[NOMES INTERVALOS]],2,0),"")</f>
        <v/>
      </c>
      <c r="Z633" s="523" t="str">
        <f>IF(LANÇ_MOV[[#This Row],[FORMA DE PAGAMENTO]]="","",VLOOKUP(LANÇ_MOV[[#This Row],[FORMA DE PAGAMENTO]],CAD_Forma_pagto[],2,0))</f>
        <v/>
      </c>
      <c r="AA633" s="524" t="str">
        <f>IF(LANÇ_MOV[[#This Row],[DATA DE LANÇAMENTO]]="","",TEXT(LANÇ_MOV[[#This Row],[DATA DE LANÇAMENTO]],"AAAA"))</f>
        <v/>
      </c>
      <c r="AB633" s="524" t="str">
        <f>IF(LANÇ_MOV[[#This Row],[DATA DE LANÇAMENTO]]="","",UPPER(TEXT(LANÇ_MOV[[#This Row],[DATA DE LANÇAMENTO]],"MMMM")))</f>
        <v/>
      </c>
      <c r="AC633" s="525" t="str">
        <f>IF(LANÇ_MOV[[#This Row],[DATA DE LANÇAMENTO]]="","",PROPER(TEXT(LANÇ_MOV[[#This Row],[DATA DE LANÇAMENTO]],"M")))</f>
        <v/>
      </c>
      <c r="AD633" s="524" t="str">
        <f>IF(LANÇ_MOV[[#This Row],[DATA DE LANÇAMENTO]]="","",TEXT(LANÇ_MOV[[#This Row],[DATA DE LANÇAMENTO]],"D"))</f>
        <v/>
      </c>
      <c r="AE633" s="526" t="str">
        <f>IF(LANÇ_MOV[[#This Row],[DATA DE VENCIMENTO]]="","",TEXT(LANÇ_MOV[[#This Row],[DATA DE VENCIMENTO]],"AAAA"))</f>
        <v/>
      </c>
      <c r="AF633" s="526" t="str">
        <f>IF(LANÇ_MOV[[#This Row],[DATA DE VENCIMENTO]]="","",UPPER(TEXT(LANÇ_MOV[[#This Row],[DATA DE VENCIMENTO]],"MMMM")))</f>
        <v/>
      </c>
      <c r="AG633" s="526" t="str">
        <f>IF(LANÇ_MOV[[#This Row],[DATA DE VENCIMENTO]]="","",TEXT(LANÇ_MOV[[#This Row],[DATA DE VENCIMENTO]],"M"))</f>
        <v/>
      </c>
      <c r="AH633" s="526" t="str">
        <f>IF(LANÇ_MOV[[#This Row],[DATA DE VENCIMENTO]]="","",TEXT(LANÇ_MOV[[#This Row],[DATA DE VENCIMENTO]],"D"))</f>
        <v/>
      </c>
      <c r="AI633" s="526" t="str">
        <f>IF(LANÇ_MOV[[#This Row],[DATA DE PAGAMENTO]]="","",TEXT(LANÇ_MOV[[#This Row],[DATA DE PAGAMENTO]],"AAAA"))</f>
        <v/>
      </c>
      <c r="AJ633" s="527" t="str">
        <f>IF(LANÇ_MOV[[#This Row],[DATA DE PAGAMENTO]]="","",UPPER(TEXT(LANÇ_MOV[[#This Row],[DATA DE PAGAMENTO]],"MMMM")))</f>
        <v/>
      </c>
      <c r="AK633" s="527" t="str">
        <f>IF(LANÇ_MOV[[#This Row],[DATA DE PAGAMENTO]]="","",TEXT(LANÇ_MOV[[#This Row],[DATA DE PAGAMENTO]],"M"))</f>
        <v/>
      </c>
      <c r="AL633" s="526" t="str">
        <f>IF(LANÇ_MOV[[#This Row],[DATA DE PAGAMENTO]]="","",TEXT(LANÇ_MOV[[#This Row],[DATA DE PAGAMENTO]],"D"))</f>
        <v/>
      </c>
    </row>
    <row r="634" spans="2:38" ht="30.05" customHeight="1" x14ac:dyDescent="0.35">
      <c r="B634" s="506"/>
      <c r="C634" s="507"/>
      <c r="D634" s="508" t="s">
        <v>1854</v>
      </c>
      <c r="E634" s="509"/>
      <c r="F634" s="510"/>
      <c r="G634" s="507"/>
      <c r="H634" s="511"/>
      <c r="I634" s="512"/>
      <c r="J634" s="518"/>
      <c r="K634" s="510"/>
      <c r="L634" s="510"/>
      <c r="M634" s="548"/>
      <c r="N634" s="514">
        <f>LANÇ_MOV[[#This Row],[VALOR BRUTO]]-LANÇ_MOV[[#This Row],[DESCONTO]]+LANÇ_MOV[[#This Row],[JUROS]]+LANÇ_MOV[[#This Row],[MULTA]]</f>
        <v>0</v>
      </c>
      <c r="O634" s="546"/>
      <c r="P634" s="547" t="str">
        <f t="shared" ca="1" si="10"/>
        <v/>
      </c>
      <c r="Q634" s="528"/>
      <c r="R634" s="529"/>
      <c r="S634" s="518"/>
      <c r="T634" s="518"/>
      <c r="U634" s="519"/>
      <c r="V634" s="520" t="str">
        <f>IFERROR(VLOOKUP(LANÇ_MOV[[#This Row],[PLANO DE CONTAS]],Plano_Contas[[PLANO DE CONTAS]:[R / D]],3,0),"")</f>
        <v/>
      </c>
      <c r="W634" s="521" t="str">
        <f>IF(LANÇ_MOV[[#This Row],[DATA DE PAGAMENTO]]&lt;&gt;"","Pago","Não Pago")</f>
        <v>Não Pago</v>
      </c>
      <c r="X634" s="522" t="str">
        <f>IFERROR(IF(LANÇ_MOV[[#This Row],[DATA DE PAGAMENTO]]="","",(UPPER(TEXT(LANÇ_MOV[[#This Row],[DATA DE PAGAMENTO]],"mmmm")))),"")</f>
        <v/>
      </c>
      <c r="Y634" s="523" t="str">
        <f>IFERROR(VLOOKUP(LANÇ_MOV[[#This Row],[PLANO DE CONTAS]],Plano_Contas[[PLANO DE CONTAS]:[NOMES INTERVALOS]],2,0),"")</f>
        <v/>
      </c>
      <c r="Z634" s="523" t="str">
        <f>IF(LANÇ_MOV[[#This Row],[FORMA DE PAGAMENTO]]="","",VLOOKUP(LANÇ_MOV[[#This Row],[FORMA DE PAGAMENTO]],CAD_Forma_pagto[],2,0))</f>
        <v/>
      </c>
      <c r="AA634" s="524" t="str">
        <f>IF(LANÇ_MOV[[#This Row],[DATA DE LANÇAMENTO]]="","",TEXT(LANÇ_MOV[[#This Row],[DATA DE LANÇAMENTO]],"AAAA"))</f>
        <v/>
      </c>
      <c r="AB634" s="524" t="str">
        <f>IF(LANÇ_MOV[[#This Row],[DATA DE LANÇAMENTO]]="","",UPPER(TEXT(LANÇ_MOV[[#This Row],[DATA DE LANÇAMENTO]],"MMMM")))</f>
        <v/>
      </c>
      <c r="AC634" s="525" t="str">
        <f>IF(LANÇ_MOV[[#This Row],[DATA DE LANÇAMENTO]]="","",PROPER(TEXT(LANÇ_MOV[[#This Row],[DATA DE LANÇAMENTO]],"M")))</f>
        <v/>
      </c>
      <c r="AD634" s="524" t="str">
        <f>IF(LANÇ_MOV[[#This Row],[DATA DE LANÇAMENTO]]="","",TEXT(LANÇ_MOV[[#This Row],[DATA DE LANÇAMENTO]],"D"))</f>
        <v/>
      </c>
      <c r="AE634" s="526" t="str">
        <f>IF(LANÇ_MOV[[#This Row],[DATA DE VENCIMENTO]]="","",TEXT(LANÇ_MOV[[#This Row],[DATA DE VENCIMENTO]],"AAAA"))</f>
        <v/>
      </c>
      <c r="AF634" s="526" t="str">
        <f>IF(LANÇ_MOV[[#This Row],[DATA DE VENCIMENTO]]="","",UPPER(TEXT(LANÇ_MOV[[#This Row],[DATA DE VENCIMENTO]],"MMMM")))</f>
        <v/>
      </c>
      <c r="AG634" s="526" t="str">
        <f>IF(LANÇ_MOV[[#This Row],[DATA DE VENCIMENTO]]="","",TEXT(LANÇ_MOV[[#This Row],[DATA DE VENCIMENTO]],"M"))</f>
        <v/>
      </c>
      <c r="AH634" s="526" t="str">
        <f>IF(LANÇ_MOV[[#This Row],[DATA DE VENCIMENTO]]="","",TEXT(LANÇ_MOV[[#This Row],[DATA DE VENCIMENTO]],"D"))</f>
        <v/>
      </c>
      <c r="AI634" s="526" t="str">
        <f>IF(LANÇ_MOV[[#This Row],[DATA DE PAGAMENTO]]="","",TEXT(LANÇ_MOV[[#This Row],[DATA DE PAGAMENTO]],"AAAA"))</f>
        <v/>
      </c>
      <c r="AJ634" s="527" t="str">
        <f>IF(LANÇ_MOV[[#This Row],[DATA DE PAGAMENTO]]="","",UPPER(TEXT(LANÇ_MOV[[#This Row],[DATA DE PAGAMENTO]],"MMMM")))</f>
        <v/>
      </c>
      <c r="AK634" s="527" t="str">
        <f>IF(LANÇ_MOV[[#This Row],[DATA DE PAGAMENTO]]="","",TEXT(LANÇ_MOV[[#This Row],[DATA DE PAGAMENTO]],"M"))</f>
        <v/>
      </c>
      <c r="AL634" s="526" t="str">
        <f>IF(LANÇ_MOV[[#This Row],[DATA DE PAGAMENTO]]="","",TEXT(LANÇ_MOV[[#This Row],[DATA DE PAGAMENTO]],"D"))</f>
        <v/>
      </c>
    </row>
    <row r="635" spans="2:38" ht="30.05" customHeight="1" x14ac:dyDescent="0.35">
      <c r="B635" s="506"/>
      <c r="C635" s="507"/>
      <c r="D635" s="508" t="s">
        <v>1854</v>
      </c>
      <c r="E635" s="509"/>
      <c r="F635" s="510"/>
      <c r="G635" s="507"/>
      <c r="H635" s="511"/>
      <c r="I635" s="512"/>
      <c r="J635" s="518"/>
      <c r="K635" s="510"/>
      <c r="L635" s="510"/>
      <c r="M635" s="548"/>
      <c r="N635" s="514">
        <f>LANÇ_MOV[[#This Row],[VALOR BRUTO]]-LANÇ_MOV[[#This Row],[DESCONTO]]+LANÇ_MOV[[#This Row],[JUROS]]+LANÇ_MOV[[#This Row],[MULTA]]</f>
        <v>0</v>
      </c>
      <c r="O635" s="546"/>
      <c r="P635" s="547" t="str">
        <f t="shared" ca="1" si="10"/>
        <v/>
      </c>
      <c r="Q635" s="528"/>
      <c r="R635" s="529"/>
      <c r="S635" s="518"/>
      <c r="T635" s="518"/>
      <c r="U635" s="519"/>
      <c r="V635" s="520" t="str">
        <f>IFERROR(VLOOKUP(LANÇ_MOV[[#This Row],[PLANO DE CONTAS]],Plano_Contas[[PLANO DE CONTAS]:[R / D]],3,0),"")</f>
        <v/>
      </c>
      <c r="W635" s="521" t="str">
        <f>IF(LANÇ_MOV[[#This Row],[DATA DE PAGAMENTO]]&lt;&gt;"","Pago","Não Pago")</f>
        <v>Não Pago</v>
      </c>
      <c r="X635" s="522" t="str">
        <f>IFERROR(IF(LANÇ_MOV[[#This Row],[DATA DE PAGAMENTO]]="","",(UPPER(TEXT(LANÇ_MOV[[#This Row],[DATA DE PAGAMENTO]],"mmmm")))),"")</f>
        <v/>
      </c>
      <c r="Y635" s="523" t="str">
        <f>IFERROR(VLOOKUP(LANÇ_MOV[[#This Row],[PLANO DE CONTAS]],Plano_Contas[[PLANO DE CONTAS]:[NOMES INTERVALOS]],2,0),"")</f>
        <v/>
      </c>
      <c r="Z635" s="523" t="str">
        <f>IF(LANÇ_MOV[[#This Row],[FORMA DE PAGAMENTO]]="","",VLOOKUP(LANÇ_MOV[[#This Row],[FORMA DE PAGAMENTO]],CAD_Forma_pagto[],2,0))</f>
        <v/>
      </c>
      <c r="AA635" s="524" t="str">
        <f>IF(LANÇ_MOV[[#This Row],[DATA DE LANÇAMENTO]]="","",TEXT(LANÇ_MOV[[#This Row],[DATA DE LANÇAMENTO]],"AAAA"))</f>
        <v/>
      </c>
      <c r="AB635" s="524" t="str">
        <f>IF(LANÇ_MOV[[#This Row],[DATA DE LANÇAMENTO]]="","",UPPER(TEXT(LANÇ_MOV[[#This Row],[DATA DE LANÇAMENTO]],"MMMM")))</f>
        <v/>
      </c>
      <c r="AC635" s="525" t="str">
        <f>IF(LANÇ_MOV[[#This Row],[DATA DE LANÇAMENTO]]="","",PROPER(TEXT(LANÇ_MOV[[#This Row],[DATA DE LANÇAMENTO]],"M")))</f>
        <v/>
      </c>
      <c r="AD635" s="524" t="str">
        <f>IF(LANÇ_MOV[[#This Row],[DATA DE LANÇAMENTO]]="","",TEXT(LANÇ_MOV[[#This Row],[DATA DE LANÇAMENTO]],"D"))</f>
        <v/>
      </c>
      <c r="AE635" s="526" t="str">
        <f>IF(LANÇ_MOV[[#This Row],[DATA DE VENCIMENTO]]="","",TEXT(LANÇ_MOV[[#This Row],[DATA DE VENCIMENTO]],"AAAA"))</f>
        <v/>
      </c>
      <c r="AF635" s="526" t="str">
        <f>IF(LANÇ_MOV[[#This Row],[DATA DE VENCIMENTO]]="","",UPPER(TEXT(LANÇ_MOV[[#This Row],[DATA DE VENCIMENTO]],"MMMM")))</f>
        <v/>
      </c>
      <c r="AG635" s="526" t="str">
        <f>IF(LANÇ_MOV[[#This Row],[DATA DE VENCIMENTO]]="","",TEXT(LANÇ_MOV[[#This Row],[DATA DE VENCIMENTO]],"M"))</f>
        <v/>
      </c>
      <c r="AH635" s="526" t="str">
        <f>IF(LANÇ_MOV[[#This Row],[DATA DE VENCIMENTO]]="","",TEXT(LANÇ_MOV[[#This Row],[DATA DE VENCIMENTO]],"D"))</f>
        <v/>
      </c>
      <c r="AI635" s="526" t="str">
        <f>IF(LANÇ_MOV[[#This Row],[DATA DE PAGAMENTO]]="","",TEXT(LANÇ_MOV[[#This Row],[DATA DE PAGAMENTO]],"AAAA"))</f>
        <v/>
      </c>
      <c r="AJ635" s="527" t="str">
        <f>IF(LANÇ_MOV[[#This Row],[DATA DE PAGAMENTO]]="","",UPPER(TEXT(LANÇ_MOV[[#This Row],[DATA DE PAGAMENTO]],"MMMM")))</f>
        <v/>
      </c>
      <c r="AK635" s="527" t="str">
        <f>IF(LANÇ_MOV[[#This Row],[DATA DE PAGAMENTO]]="","",TEXT(LANÇ_MOV[[#This Row],[DATA DE PAGAMENTO]],"M"))</f>
        <v/>
      </c>
      <c r="AL635" s="526" t="str">
        <f>IF(LANÇ_MOV[[#This Row],[DATA DE PAGAMENTO]]="","",TEXT(LANÇ_MOV[[#This Row],[DATA DE PAGAMENTO]],"D"))</f>
        <v/>
      </c>
    </row>
    <row r="636" spans="2:38" ht="30.05" customHeight="1" x14ac:dyDescent="0.35">
      <c r="B636" s="506"/>
      <c r="C636" s="507"/>
      <c r="D636" s="508" t="s">
        <v>1854</v>
      </c>
      <c r="E636" s="509"/>
      <c r="F636" s="510"/>
      <c r="G636" s="507"/>
      <c r="H636" s="511"/>
      <c r="I636" s="512"/>
      <c r="J636" s="518"/>
      <c r="K636" s="510"/>
      <c r="L636" s="510"/>
      <c r="M636" s="548"/>
      <c r="N636" s="514">
        <f>LANÇ_MOV[[#This Row],[VALOR BRUTO]]-LANÇ_MOV[[#This Row],[DESCONTO]]+LANÇ_MOV[[#This Row],[JUROS]]+LANÇ_MOV[[#This Row],[MULTA]]</f>
        <v>0</v>
      </c>
      <c r="O636" s="546"/>
      <c r="P636" s="547" t="str">
        <f t="shared" ca="1" si="10"/>
        <v/>
      </c>
      <c r="Q636" s="528"/>
      <c r="R636" s="529"/>
      <c r="S636" s="518"/>
      <c r="T636" s="518"/>
      <c r="U636" s="519"/>
      <c r="V636" s="520" t="str">
        <f>IFERROR(VLOOKUP(LANÇ_MOV[[#This Row],[PLANO DE CONTAS]],Plano_Contas[[PLANO DE CONTAS]:[R / D]],3,0),"")</f>
        <v/>
      </c>
      <c r="W636" s="521" t="str">
        <f>IF(LANÇ_MOV[[#This Row],[DATA DE PAGAMENTO]]&lt;&gt;"","Pago","Não Pago")</f>
        <v>Não Pago</v>
      </c>
      <c r="X636" s="522" t="str">
        <f>IFERROR(IF(LANÇ_MOV[[#This Row],[DATA DE PAGAMENTO]]="","",(UPPER(TEXT(LANÇ_MOV[[#This Row],[DATA DE PAGAMENTO]],"mmmm")))),"")</f>
        <v/>
      </c>
      <c r="Y636" s="523" t="str">
        <f>IFERROR(VLOOKUP(LANÇ_MOV[[#This Row],[PLANO DE CONTAS]],Plano_Contas[[PLANO DE CONTAS]:[NOMES INTERVALOS]],2,0),"")</f>
        <v/>
      </c>
      <c r="Z636" s="523" t="str">
        <f>IF(LANÇ_MOV[[#This Row],[FORMA DE PAGAMENTO]]="","",VLOOKUP(LANÇ_MOV[[#This Row],[FORMA DE PAGAMENTO]],CAD_Forma_pagto[],2,0))</f>
        <v/>
      </c>
      <c r="AA636" s="524" t="str">
        <f>IF(LANÇ_MOV[[#This Row],[DATA DE LANÇAMENTO]]="","",TEXT(LANÇ_MOV[[#This Row],[DATA DE LANÇAMENTO]],"AAAA"))</f>
        <v/>
      </c>
      <c r="AB636" s="524" t="str">
        <f>IF(LANÇ_MOV[[#This Row],[DATA DE LANÇAMENTO]]="","",UPPER(TEXT(LANÇ_MOV[[#This Row],[DATA DE LANÇAMENTO]],"MMMM")))</f>
        <v/>
      </c>
      <c r="AC636" s="525" t="str">
        <f>IF(LANÇ_MOV[[#This Row],[DATA DE LANÇAMENTO]]="","",PROPER(TEXT(LANÇ_MOV[[#This Row],[DATA DE LANÇAMENTO]],"M")))</f>
        <v/>
      </c>
      <c r="AD636" s="524" t="str">
        <f>IF(LANÇ_MOV[[#This Row],[DATA DE LANÇAMENTO]]="","",TEXT(LANÇ_MOV[[#This Row],[DATA DE LANÇAMENTO]],"D"))</f>
        <v/>
      </c>
      <c r="AE636" s="526" t="str">
        <f>IF(LANÇ_MOV[[#This Row],[DATA DE VENCIMENTO]]="","",TEXT(LANÇ_MOV[[#This Row],[DATA DE VENCIMENTO]],"AAAA"))</f>
        <v/>
      </c>
      <c r="AF636" s="526" t="str">
        <f>IF(LANÇ_MOV[[#This Row],[DATA DE VENCIMENTO]]="","",UPPER(TEXT(LANÇ_MOV[[#This Row],[DATA DE VENCIMENTO]],"MMMM")))</f>
        <v/>
      </c>
      <c r="AG636" s="526" t="str">
        <f>IF(LANÇ_MOV[[#This Row],[DATA DE VENCIMENTO]]="","",TEXT(LANÇ_MOV[[#This Row],[DATA DE VENCIMENTO]],"M"))</f>
        <v/>
      </c>
      <c r="AH636" s="526" t="str">
        <f>IF(LANÇ_MOV[[#This Row],[DATA DE VENCIMENTO]]="","",TEXT(LANÇ_MOV[[#This Row],[DATA DE VENCIMENTO]],"D"))</f>
        <v/>
      </c>
      <c r="AI636" s="526" t="str">
        <f>IF(LANÇ_MOV[[#This Row],[DATA DE PAGAMENTO]]="","",TEXT(LANÇ_MOV[[#This Row],[DATA DE PAGAMENTO]],"AAAA"))</f>
        <v/>
      </c>
      <c r="AJ636" s="527" t="str">
        <f>IF(LANÇ_MOV[[#This Row],[DATA DE PAGAMENTO]]="","",UPPER(TEXT(LANÇ_MOV[[#This Row],[DATA DE PAGAMENTO]],"MMMM")))</f>
        <v/>
      </c>
      <c r="AK636" s="527" t="str">
        <f>IF(LANÇ_MOV[[#This Row],[DATA DE PAGAMENTO]]="","",TEXT(LANÇ_MOV[[#This Row],[DATA DE PAGAMENTO]],"M"))</f>
        <v/>
      </c>
      <c r="AL636" s="526" t="str">
        <f>IF(LANÇ_MOV[[#This Row],[DATA DE PAGAMENTO]]="","",TEXT(LANÇ_MOV[[#This Row],[DATA DE PAGAMENTO]],"D"))</f>
        <v/>
      </c>
    </row>
    <row r="637" spans="2:38" ht="30.05" customHeight="1" x14ac:dyDescent="0.35">
      <c r="B637" s="506"/>
      <c r="C637" s="507"/>
      <c r="D637" s="508" t="s">
        <v>1854</v>
      </c>
      <c r="E637" s="509"/>
      <c r="F637" s="510"/>
      <c r="G637" s="507"/>
      <c r="H637" s="511"/>
      <c r="I637" s="512"/>
      <c r="J637" s="518"/>
      <c r="K637" s="510"/>
      <c r="L637" s="510"/>
      <c r="M637" s="548"/>
      <c r="N637" s="514">
        <f>LANÇ_MOV[[#This Row],[VALOR BRUTO]]-LANÇ_MOV[[#This Row],[DESCONTO]]+LANÇ_MOV[[#This Row],[JUROS]]+LANÇ_MOV[[#This Row],[MULTA]]</f>
        <v>0</v>
      </c>
      <c r="O637" s="546"/>
      <c r="P637" s="547" t="str">
        <f t="shared" ca="1" si="10"/>
        <v/>
      </c>
      <c r="Q637" s="528"/>
      <c r="R637" s="529"/>
      <c r="S637" s="518"/>
      <c r="T637" s="518"/>
      <c r="U637" s="519"/>
      <c r="V637" s="520" t="str">
        <f>IFERROR(VLOOKUP(LANÇ_MOV[[#This Row],[PLANO DE CONTAS]],Plano_Contas[[PLANO DE CONTAS]:[R / D]],3,0),"")</f>
        <v/>
      </c>
      <c r="W637" s="521" t="str">
        <f>IF(LANÇ_MOV[[#This Row],[DATA DE PAGAMENTO]]&lt;&gt;"","Pago","Não Pago")</f>
        <v>Não Pago</v>
      </c>
      <c r="X637" s="522" t="str">
        <f>IFERROR(IF(LANÇ_MOV[[#This Row],[DATA DE PAGAMENTO]]="","",(UPPER(TEXT(LANÇ_MOV[[#This Row],[DATA DE PAGAMENTO]],"mmmm")))),"")</f>
        <v/>
      </c>
      <c r="Y637" s="523" t="str">
        <f>IFERROR(VLOOKUP(LANÇ_MOV[[#This Row],[PLANO DE CONTAS]],Plano_Contas[[PLANO DE CONTAS]:[NOMES INTERVALOS]],2,0),"")</f>
        <v/>
      </c>
      <c r="Z637" s="523" t="str">
        <f>IF(LANÇ_MOV[[#This Row],[FORMA DE PAGAMENTO]]="","",VLOOKUP(LANÇ_MOV[[#This Row],[FORMA DE PAGAMENTO]],CAD_Forma_pagto[],2,0))</f>
        <v/>
      </c>
      <c r="AA637" s="524" t="str">
        <f>IF(LANÇ_MOV[[#This Row],[DATA DE LANÇAMENTO]]="","",TEXT(LANÇ_MOV[[#This Row],[DATA DE LANÇAMENTO]],"AAAA"))</f>
        <v/>
      </c>
      <c r="AB637" s="524" t="str">
        <f>IF(LANÇ_MOV[[#This Row],[DATA DE LANÇAMENTO]]="","",UPPER(TEXT(LANÇ_MOV[[#This Row],[DATA DE LANÇAMENTO]],"MMMM")))</f>
        <v/>
      </c>
      <c r="AC637" s="525" t="str">
        <f>IF(LANÇ_MOV[[#This Row],[DATA DE LANÇAMENTO]]="","",PROPER(TEXT(LANÇ_MOV[[#This Row],[DATA DE LANÇAMENTO]],"M")))</f>
        <v/>
      </c>
      <c r="AD637" s="524" t="str">
        <f>IF(LANÇ_MOV[[#This Row],[DATA DE LANÇAMENTO]]="","",TEXT(LANÇ_MOV[[#This Row],[DATA DE LANÇAMENTO]],"D"))</f>
        <v/>
      </c>
      <c r="AE637" s="526" t="str">
        <f>IF(LANÇ_MOV[[#This Row],[DATA DE VENCIMENTO]]="","",TEXT(LANÇ_MOV[[#This Row],[DATA DE VENCIMENTO]],"AAAA"))</f>
        <v/>
      </c>
      <c r="AF637" s="526" t="str">
        <f>IF(LANÇ_MOV[[#This Row],[DATA DE VENCIMENTO]]="","",UPPER(TEXT(LANÇ_MOV[[#This Row],[DATA DE VENCIMENTO]],"MMMM")))</f>
        <v/>
      </c>
      <c r="AG637" s="526" t="str">
        <f>IF(LANÇ_MOV[[#This Row],[DATA DE VENCIMENTO]]="","",TEXT(LANÇ_MOV[[#This Row],[DATA DE VENCIMENTO]],"M"))</f>
        <v/>
      </c>
      <c r="AH637" s="526" t="str">
        <f>IF(LANÇ_MOV[[#This Row],[DATA DE VENCIMENTO]]="","",TEXT(LANÇ_MOV[[#This Row],[DATA DE VENCIMENTO]],"D"))</f>
        <v/>
      </c>
      <c r="AI637" s="526" t="str">
        <f>IF(LANÇ_MOV[[#This Row],[DATA DE PAGAMENTO]]="","",TEXT(LANÇ_MOV[[#This Row],[DATA DE PAGAMENTO]],"AAAA"))</f>
        <v/>
      </c>
      <c r="AJ637" s="527" t="str">
        <f>IF(LANÇ_MOV[[#This Row],[DATA DE PAGAMENTO]]="","",UPPER(TEXT(LANÇ_MOV[[#This Row],[DATA DE PAGAMENTO]],"MMMM")))</f>
        <v/>
      </c>
      <c r="AK637" s="527" t="str">
        <f>IF(LANÇ_MOV[[#This Row],[DATA DE PAGAMENTO]]="","",TEXT(LANÇ_MOV[[#This Row],[DATA DE PAGAMENTO]],"M"))</f>
        <v/>
      </c>
      <c r="AL637" s="526" t="str">
        <f>IF(LANÇ_MOV[[#This Row],[DATA DE PAGAMENTO]]="","",TEXT(LANÇ_MOV[[#This Row],[DATA DE PAGAMENTO]],"D"))</f>
        <v/>
      </c>
    </row>
    <row r="638" spans="2:38" ht="30.05" customHeight="1" x14ac:dyDescent="0.35">
      <c r="B638" s="506"/>
      <c r="C638" s="507"/>
      <c r="D638" s="508" t="s">
        <v>1854</v>
      </c>
      <c r="E638" s="509"/>
      <c r="F638" s="510"/>
      <c r="G638" s="507"/>
      <c r="H638" s="511"/>
      <c r="I638" s="512"/>
      <c r="J638" s="518"/>
      <c r="K638" s="510"/>
      <c r="L638" s="510"/>
      <c r="M638" s="548"/>
      <c r="N638" s="514">
        <f>LANÇ_MOV[[#This Row],[VALOR BRUTO]]-LANÇ_MOV[[#This Row],[DESCONTO]]+LANÇ_MOV[[#This Row],[JUROS]]+LANÇ_MOV[[#This Row],[MULTA]]</f>
        <v>0</v>
      </c>
      <c r="O638" s="546"/>
      <c r="P638" s="547" t="str">
        <f t="shared" ca="1" si="10"/>
        <v/>
      </c>
      <c r="Q638" s="528"/>
      <c r="R638" s="529"/>
      <c r="S638" s="518"/>
      <c r="T638" s="518"/>
      <c r="U638" s="519"/>
      <c r="V638" s="520" t="str">
        <f>IFERROR(VLOOKUP(LANÇ_MOV[[#This Row],[PLANO DE CONTAS]],Plano_Contas[[PLANO DE CONTAS]:[R / D]],3,0),"")</f>
        <v/>
      </c>
      <c r="W638" s="521" t="str">
        <f>IF(LANÇ_MOV[[#This Row],[DATA DE PAGAMENTO]]&lt;&gt;"","Pago","Não Pago")</f>
        <v>Não Pago</v>
      </c>
      <c r="X638" s="522" t="str">
        <f>IFERROR(IF(LANÇ_MOV[[#This Row],[DATA DE PAGAMENTO]]="","",(UPPER(TEXT(LANÇ_MOV[[#This Row],[DATA DE PAGAMENTO]],"mmmm")))),"")</f>
        <v/>
      </c>
      <c r="Y638" s="523" t="str">
        <f>IFERROR(VLOOKUP(LANÇ_MOV[[#This Row],[PLANO DE CONTAS]],Plano_Contas[[PLANO DE CONTAS]:[NOMES INTERVALOS]],2,0),"")</f>
        <v/>
      </c>
      <c r="Z638" s="523" t="str">
        <f>IF(LANÇ_MOV[[#This Row],[FORMA DE PAGAMENTO]]="","",VLOOKUP(LANÇ_MOV[[#This Row],[FORMA DE PAGAMENTO]],CAD_Forma_pagto[],2,0))</f>
        <v/>
      </c>
      <c r="AA638" s="524" t="str">
        <f>IF(LANÇ_MOV[[#This Row],[DATA DE LANÇAMENTO]]="","",TEXT(LANÇ_MOV[[#This Row],[DATA DE LANÇAMENTO]],"AAAA"))</f>
        <v/>
      </c>
      <c r="AB638" s="524" t="str">
        <f>IF(LANÇ_MOV[[#This Row],[DATA DE LANÇAMENTO]]="","",UPPER(TEXT(LANÇ_MOV[[#This Row],[DATA DE LANÇAMENTO]],"MMMM")))</f>
        <v/>
      </c>
      <c r="AC638" s="525" t="str">
        <f>IF(LANÇ_MOV[[#This Row],[DATA DE LANÇAMENTO]]="","",PROPER(TEXT(LANÇ_MOV[[#This Row],[DATA DE LANÇAMENTO]],"M")))</f>
        <v/>
      </c>
      <c r="AD638" s="524" t="str">
        <f>IF(LANÇ_MOV[[#This Row],[DATA DE LANÇAMENTO]]="","",TEXT(LANÇ_MOV[[#This Row],[DATA DE LANÇAMENTO]],"D"))</f>
        <v/>
      </c>
      <c r="AE638" s="526" t="str">
        <f>IF(LANÇ_MOV[[#This Row],[DATA DE VENCIMENTO]]="","",TEXT(LANÇ_MOV[[#This Row],[DATA DE VENCIMENTO]],"AAAA"))</f>
        <v/>
      </c>
      <c r="AF638" s="526" t="str">
        <f>IF(LANÇ_MOV[[#This Row],[DATA DE VENCIMENTO]]="","",UPPER(TEXT(LANÇ_MOV[[#This Row],[DATA DE VENCIMENTO]],"MMMM")))</f>
        <v/>
      </c>
      <c r="AG638" s="526" t="str">
        <f>IF(LANÇ_MOV[[#This Row],[DATA DE VENCIMENTO]]="","",TEXT(LANÇ_MOV[[#This Row],[DATA DE VENCIMENTO]],"M"))</f>
        <v/>
      </c>
      <c r="AH638" s="526" t="str">
        <f>IF(LANÇ_MOV[[#This Row],[DATA DE VENCIMENTO]]="","",TEXT(LANÇ_MOV[[#This Row],[DATA DE VENCIMENTO]],"D"))</f>
        <v/>
      </c>
      <c r="AI638" s="526" t="str">
        <f>IF(LANÇ_MOV[[#This Row],[DATA DE PAGAMENTO]]="","",TEXT(LANÇ_MOV[[#This Row],[DATA DE PAGAMENTO]],"AAAA"))</f>
        <v/>
      </c>
      <c r="AJ638" s="527" t="str">
        <f>IF(LANÇ_MOV[[#This Row],[DATA DE PAGAMENTO]]="","",UPPER(TEXT(LANÇ_MOV[[#This Row],[DATA DE PAGAMENTO]],"MMMM")))</f>
        <v/>
      </c>
      <c r="AK638" s="527" t="str">
        <f>IF(LANÇ_MOV[[#This Row],[DATA DE PAGAMENTO]]="","",TEXT(LANÇ_MOV[[#This Row],[DATA DE PAGAMENTO]],"M"))</f>
        <v/>
      </c>
      <c r="AL638" s="526" t="str">
        <f>IF(LANÇ_MOV[[#This Row],[DATA DE PAGAMENTO]]="","",TEXT(LANÇ_MOV[[#This Row],[DATA DE PAGAMENTO]],"D"))</f>
        <v/>
      </c>
    </row>
    <row r="639" spans="2:38" ht="30.05" customHeight="1" x14ac:dyDescent="0.35">
      <c r="B639" s="506"/>
      <c r="C639" s="507"/>
      <c r="D639" s="508" t="s">
        <v>1854</v>
      </c>
      <c r="E639" s="509"/>
      <c r="F639" s="510"/>
      <c r="G639" s="507"/>
      <c r="H639" s="511"/>
      <c r="I639" s="512"/>
      <c r="J639" s="518"/>
      <c r="K639" s="510"/>
      <c r="L639" s="510"/>
      <c r="M639" s="548"/>
      <c r="N639" s="514">
        <f>LANÇ_MOV[[#This Row],[VALOR BRUTO]]-LANÇ_MOV[[#This Row],[DESCONTO]]+LANÇ_MOV[[#This Row],[JUROS]]+LANÇ_MOV[[#This Row],[MULTA]]</f>
        <v>0</v>
      </c>
      <c r="O639" s="546"/>
      <c r="P639" s="547" t="str">
        <f t="shared" ca="1" si="10"/>
        <v/>
      </c>
      <c r="Q639" s="528"/>
      <c r="R639" s="529"/>
      <c r="S639" s="518"/>
      <c r="T639" s="518"/>
      <c r="U639" s="519"/>
      <c r="V639" s="520" t="str">
        <f>IFERROR(VLOOKUP(LANÇ_MOV[[#This Row],[PLANO DE CONTAS]],Plano_Contas[[PLANO DE CONTAS]:[R / D]],3,0),"")</f>
        <v/>
      </c>
      <c r="W639" s="521" t="str">
        <f>IF(LANÇ_MOV[[#This Row],[DATA DE PAGAMENTO]]&lt;&gt;"","Pago","Não Pago")</f>
        <v>Não Pago</v>
      </c>
      <c r="X639" s="522" t="str">
        <f>IFERROR(IF(LANÇ_MOV[[#This Row],[DATA DE PAGAMENTO]]="","",(UPPER(TEXT(LANÇ_MOV[[#This Row],[DATA DE PAGAMENTO]],"mmmm")))),"")</f>
        <v/>
      </c>
      <c r="Y639" s="523" t="str">
        <f>IFERROR(VLOOKUP(LANÇ_MOV[[#This Row],[PLANO DE CONTAS]],Plano_Contas[[PLANO DE CONTAS]:[NOMES INTERVALOS]],2,0),"")</f>
        <v/>
      </c>
      <c r="Z639" s="523" t="str">
        <f>IF(LANÇ_MOV[[#This Row],[FORMA DE PAGAMENTO]]="","",VLOOKUP(LANÇ_MOV[[#This Row],[FORMA DE PAGAMENTO]],CAD_Forma_pagto[],2,0))</f>
        <v/>
      </c>
      <c r="AA639" s="524" t="str">
        <f>IF(LANÇ_MOV[[#This Row],[DATA DE LANÇAMENTO]]="","",TEXT(LANÇ_MOV[[#This Row],[DATA DE LANÇAMENTO]],"AAAA"))</f>
        <v/>
      </c>
      <c r="AB639" s="524" t="str">
        <f>IF(LANÇ_MOV[[#This Row],[DATA DE LANÇAMENTO]]="","",UPPER(TEXT(LANÇ_MOV[[#This Row],[DATA DE LANÇAMENTO]],"MMMM")))</f>
        <v/>
      </c>
      <c r="AC639" s="525" t="str">
        <f>IF(LANÇ_MOV[[#This Row],[DATA DE LANÇAMENTO]]="","",PROPER(TEXT(LANÇ_MOV[[#This Row],[DATA DE LANÇAMENTO]],"M")))</f>
        <v/>
      </c>
      <c r="AD639" s="524" t="str">
        <f>IF(LANÇ_MOV[[#This Row],[DATA DE LANÇAMENTO]]="","",TEXT(LANÇ_MOV[[#This Row],[DATA DE LANÇAMENTO]],"D"))</f>
        <v/>
      </c>
      <c r="AE639" s="526" t="str">
        <f>IF(LANÇ_MOV[[#This Row],[DATA DE VENCIMENTO]]="","",TEXT(LANÇ_MOV[[#This Row],[DATA DE VENCIMENTO]],"AAAA"))</f>
        <v/>
      </c>
      <c r="AF639" s="526" t="str">
        <f>IF(LANÇ_MOV[[#This Row],[DATA DE VENCIMENTO]]="","",UPPER(TEXT(LANÇ_MOV[[#This Row],[DATA DE VENCIMENTO]],"MMMM")))</f>
        <v/>
      </c>
      <c r="AG639" s="526" t="str">
        <f>IF(LANÇ_MOV[[#This Row],[DATA DE VENCIMENTO]]="","",TEXT(LANÇ_MOV[[#This Row],[DATA DE VENCIMENTO]],"M"))</f>
        <v/>
      </c>
      <c r="AH639" s="526" t="str">
        <f>IF(LANÇ_MOV[[#This Row],[DATA DE VENCIMENTO]]="","",TEXT(LANÇ_MOV[[#This Row],[DATA DE VENCIMENTO]],"D"))</f>
        <v/>
      </c>
      <c r="AI639" s="526" t="str">
        <f>IF(LANÇ_MOV[[#This Row],[DATA DE PAGAMENTO]]="","",TEXT(LANÇ_MOV[[#This Row],[DATA DE PAGAMENTO]],"AAAA"))</f>
        <v/>
      </c>
      <c r="AJ639" s="527" t="str">
        <f>IF(LANÇ_MOV[[#This Row],[DATA DE PAGAMENTO]]="","",UPPER(TEXT(LANÇ_MOV[[#This Row],[DATA DE PAGAMENTO]],"MMMM")))</f>
        <v/>
      </c>
      <c r="AK639" s="527" t="str">
        <f>IF(LANÇ_MOV[[#This Row],[DATA DE PAGAMENTO]]="","",TEXT(LANÇ_MOV[[#This Row],[DATA DE PAGAMENTO]],"M"))</f>
        <v/>
      </c>
      <c r="AL639" s="526" t="str">
        <f>IF(LANÇ_MOV[[#This Row],[DATA DE PAGAMENTO]]="","",TEXT(LANÇ_MOV[[#This Row],[DATA DE PAGAMENTO]],"D"))</f>
        <v/>
      </c>
    </row>
    <row r="640" spans="2:38" ht="30.05" customHeight="1" x14ac:dyDescent="0.35">
      <c r="B640" s="506"/>
      <c r="C640" s="507"/>
      <c r="D640" s="508" t="s">
        <v>1854</v>
      </c>
      <c r="E640" s="509"/>
      <c r="F640" s="510"/>
      <c r="G640" s="507"/>
      <c r="H640" s="511"/>
      <c r="I640" s="512"/>
      <c r="J640" s="518"/>
      <c r="K640" s="510"/>
      <c r="L640" s="510"/>
      <c r="M640" s="548"/>
      <c r="N640" s="514">
        <f>LANÇ_MOV[[#This Row],[VALOR BRUTO]]-LANÇ_MOV[[#This Row],[DESCONTO]]+LANÇ_MOV[[#This Row],[JUROS]]+LANÇ_MOV[[#This Row],[MULTA]]</f>
        <v>0</v>
      </c>
      <c r="O640" s="546"/>
      <c r="P640" s="547" t="str">
        <f t="shared" ca="1" si="10"/>
        <v/>
      </c>
      <c r="Q640" s="528"/>
      <c r="R640" s="529"/>
      <c r="S640" s="518"/>
      <c r="T640" s="518"/>
      <c r="U640" s="519"/>
      <c r="V640" s="520" t="str">
        <f>IFERROR(VLOOKUP(LANÇ_MOV[[#This Row],[PLANO DE CONTAS]],Plano_Contas[[PLANO DE CONTAS]:[R / D]],3,0),"")</f>
        <v/>
      </c>
      <c r="W640" s="521" t="str">
        <f>IF(LANÇ_MOV[[#This Row],[DATA DE PAGAMENTO]]&lt;&gt;"","Pago","Não Pago")</f>
        <v>Não Pago</v>
      </c>
      <c r="X640" s="522" t="str">
        <f>IFERROR(IF(LANÇ_MOV[[#This Row],[DATA DE PAGAMENTO]]="","",(UPPER(TEXT(LANÇ_MOV[[#This Row],[DATA DE PAGAMENTO]],"mmmm")))),"")</f>
        <v/>
      </c>
      <c r="Y640" s="523" t="str">
        <f>IFERROR(VLOOKUP(LANÇ_MOV[[#This Row],[PLANO DE CONTAS]],Plano_Contas[[PLANO DE CONTAS]:[NOMES INTERVALOS]],2,0),"")</f>
        <v/>
      </c>
      <c r="Z640" s="523" t="str">
        <f>IF(LANÇ_MOV[[#This Row],[FORMA DE PAGAMENTO]]="","",VLOOKUP(LANÇ_MOV[[#This Row],[FORMA DE PAGAMENTO]],CAD_Forma_pagto[],2,0))</f>
        <v/>
      </c>
      <c r="AA640" s="524" t="str">
        <f>IF(LANÇ_MOV[[#This Row],[DATA DE LANÇAMENTO]]="","",TEXT(LANÇ_MOV[[#This Row],[DATA DE LANÇAMENTO]],"AAAA"))</f>
        <v/>
      </c>
      <c r="AB640" s="524" t="str">
        <f>IF(LANÇ_MOV[[#This Row],[DATA DE LANÇAMENTO]]="","",UPPER(TEXT(LANÇ_MOV[[#This Row],[DATA DE LANÇAMENTO]],"MMMM")))</f>
        <v/>
      </c>
      <c r="AC640" s="525" t="str">
        <f>IF(LANÇ_MOV[[#This Row],[DATA DE LANÇAMENTO]]="","",PROPER(TEXT(LANÇ_MOV[[#This Row],[DATA DE LANÇAMENTO]],"M")))</f>
        <v/>
      </c>
      <c r="AD640" s="524" t="str">
        <f>IF(LANÇ_MOV[[#This Row],[DATA DE LANÇAMENTO]]="","",TEXT(LANÇ_MOV[[#This Row],[DATA DE LANÇAMENTO]],"D"))</f>
        <v/>
      </c>
      <c r="AE640" s="526" t="str">
        <f>IF(LANÇ_MOV[[#This Row],[DATA DE VENCIMENTO]]="","",TEXT(LANÇ_MOV[[#This Row],[DATA DE VENCIMENTO]],"AAAA"))</f>
        <v/>
      </c>
      <c r="AF640" s="526" t="str">
        <f>IF(LANÇ_MOV[[#This Row],[DATA DE VENCIMENTO]]="","",UPPER(TEXT(LANÇ_MOV[[#This Row],[DATA DE VENCIMENTO]],"MMMM")))</f>
        <v/>
      </c>
      <c r="AG640" s="526" t="str">
        <f>IF(LANÇ_MOV[[#This Row],[DATA DE VENCIMENTO]]="","",TEXT(LANÇ_MOV[[#This Row],[DATA DE VENCIMENTO]],"M"))</f>
        <v/>
      </c>
      <c r="AH640" s="526" t="str">
        <f>IF(LANÇ_MOV[[#This Row],[DATA DE VENCIMENTO]]="","",TEXT(LANÇ_MOV[[#This Row],[DATA DE VENCIMENTO]],"D"))</f>
        <v/>
      </c>
      <c r="AI640" s="526" t="str">
        <f>IF(LANÇ_MOV[[#This Row],[DATA DE PAGAMENTO]]="","",TEXT(LANÇ_MOV[[#This Row],[DATA DE PAGAMENTO]],"AAAA"))</f>
        <v/>
      </c>
      <c r="AJ640" s="527" t="str">
        <f>IF(LANÇ_MOV[[#This Row],[DATA DE PAGAMENTO]]="","",UPPER(TEXT(LANÇ_MOV[[#This Row],[DATA DE PAGAMENTO]],"MMMM")))</f>
        <v/>
      </c>
      <c r="AK640" s="527" t="str">
        <f>IF(LANÇ_MOV[[#This Row],[DATA DE PAGAMENTO]]="","",TEXT(LANÇ_MOV[[#This Row],[DATA DE PAGAMENTO]],"M"))</f>
        <v/>
      </c>
      <c r="AL640" s="526" t="str">
        <f>IF(LANÇ_MOV[[#This Row],[DATA DE PAGAMENTO]]="","",TEXT(LANÇ_MOV[[#This Row],[DATA DE PAGAMENTO]],"D"))</f>
        <v/>
      </c>
    </row>
    <row r="641" spans="2:38" ht="30.05" customHeight="1" x14ac:dyDescent="0.35">
      <c r="B641" s="506"/>
      <c r="C641" s="507"/>
      <c r="D641" s="508" t="s">
        <v>1854</v>
      </c>
      <c r="E641" s="509"/>
      <c r="F641" s="510"/>
      <c r="G641" s="507"/>
      <c r="H641" s="511"/>
      <c r="I641" s="512"/>
      <c r="J641" s="518"/>
      <c r="K641" s="510"/>
      <c r="L641" s="510"/>
      <c r="M641" s="548"/>
      <c r="N641" s="514">
        <f>LANÇ_MOV[[#This Row],[VALOR BRUTO]]-LANÇ_MOV[[#This Row],[DESCONTO]]+LANÇ_MOV[[#This Row],[JUROS]]+LANÇ_MOV[[#This Row],[MULTA]]</f>
        <v>0</v>
      </c>
      <c r="O641" s="546"/>
      <c r="P641" s="547" t="str">
        <f t="shared" ca="1" si="10"/>
        <v/>
      </c>
      <c r="Q641" s="528"/>
      <c r="R641" s="529"/>
      <c r="S641" s="518"/>
      <c r="T641" s="518"/>
      <c r="U641" s="519"/>
      <c r="V641" s="520" t="str">
        <f>IFERROR(VLOOKUP(LANÇ_MOV[[#This Row],[PLANO DE CONTAS]],Plano_Contas[[PLANO DE CONTAS]:[R / D]],3,0),"")</f>
        <v/>
      </c>
      <c r="W641" s="521" t="str">
        <f>IF(LANÇ_MOV[[#This Row],[DATA DE PAGAMENTO]]&lt;&gt;"","Pago","Não Pago")</f>
        <v>Não Pago</v>
      </c>
      <c r="X641" s="522" t="str">
        <f>IFERROR(IF(LANÇ_MOV[[#This Row],[DATA DE PAGAMENTO]]="","",(UPPER(TEXT(LANÇ_MOV[[#This Row],[DATA DE PAGAMENTO]],"mmmm")))),"")</f>
        <v/>
      </c>
      <c r="Y641" s="523" t="str">
        <f>IFERROR(VLOOKUP(LANÇ_MOV[[#This Row],[PLANO DE CONTAS]],Plano_Contas[[PLANO DE CONTAS]:[NOMES INTERVALOS]],2,0),"")</f>
        <v/>
      </c>
      <c r="Z641" s="523" t="str">
        <f>IF(LANÇ_MOV[[#This Row],[FORMA DE PAGAMENTO]]="","",VLOOKUP(LANÇ_MOV[[#This Row],[FORMA DE PAGAMENTO]],CAD_Forma_pagto[],2,0))</f>
        <v/>
      </c>
      <c r="AA641" s="524" t="str">
        <f>IF(LANÇ_MOV[[#This Row],[DATA DE LANÇAMENTO]]="","",TEXT(LANÇ_MOV[[#This Row],[DATA DE LANÇAMENTO]],"AAAA"))</f>
        <v/>
      </c>
      <c r="AB641" s="524" t="str">
        <f>IF(LANÇ_MOV[[#This Row],[DATA DE LANÇAMENTO]]="","",UPPER(TEXT(LANÇ_MOV[[#This Row],[DATA DE LANÇAMENTO]],"MMMM")))</f>
        <v/>
      </c>
      <c r="AC641" s="525" t="str">
        <f>IF(LANÇ_MOV[[#This Row],[DATA DE LANÇAMENTO]]="","",PROPER(TEXT(LANÇ_MOV[[#This Row],[DATA DE LANÇAMENTO]],"M")))</f>
        <v/>
      </c>
      <c r="AD641" s="524" t="str">
        <f>IF(LANÇ_MOV[[#This Row],[DATA DE LANÇAMENTO]]="","",TEXT(LANÇ_MOV[[#This Row],[DATA DE LANÇAMENTO]],"D"))</f>
        <v/>
      </c>
      <c r="AE641" s="526" t="str">
        <f>IF(LANÇ_MOV[[#This Row],[DATA DE VENCIMENTO]]="","",TEXT(LANÇ_MOV[[#This Row],[DATA DE VENCIMENTO]],"AAAA"))</f>
        <v/>
      </c>
      <c r="AF641" s="526" t="str">
        <f>IF(LANÇ_MOV[[#This Row],[DATA DE VENCIMENTO]]="","",UPPER(TEXT(LANÇ_MOV[[#This Row],[DATA DE VENCIMENTO]],"MMMM")))</f>
        <v/>
      </c>
      <c r="AG641" s="526" t="str">
        <f>IF(LANÇ_MOV[[#This Row],[DATA DE VENCIMENTO]]="","",TEXT(LANÇ_MOV[[#This Row],[DATA DE VENCIMENTO]],"M"))</f>
        <v/>
      </c>
      <c r="AH641" s="526" t="str">
        <f>IF(LANÇ_MOV[[#This Row],[DATA DE VENCIMENTO]]="","",TEXT(LANÇ_MOV[[#This Row],[DATA DE VENCIMENTO]],"D"))</f>
        <v/>
      </c>
      <c r="AI641" s="526" t="str">
        <f>IF(LANÇ_MOV[[#This Row],[DATA DE PAGAMENTO]]="","",TEXT(LANÇ_MOV[[#This Row],[DATA DE PAGAMENTO]],"AAAA"))</f>
        <v/>
      </c>
      <c r="AJ641" s="527" t="str">
        <f>IF(LANÇ_MOV[[#This Row],[DATA DE PAGAMENTO]]="","",UPPER(TEXT(LANÇ_MOV[[#This Row],[DATA DE PAGAMENTO]],"MMMM")))</f>
        <v/>
      </c>
      <c r="AK641" s="527" t="str">
        <f>IF(LANÇ_MOV[[#This Row],[DATA DE PAGAMENTO]]="","",TEXT(LANÇ_MOV[[#This Row],[DATA DE PAGAMENTO]],"M"))</f>
        <v/>
      </c>
      <c r="AL641" s="526" t="str">
        <f>IF(LANÇ_MOV[[#This Row],[DATA DE PAGAMENTO]]="","",TEXT(LANÇ_MOV[[#This Row],[DATA DE PAGAMENTO]],"D"))</f>
        <v/>
      </c>
    </row>
    <row r="642" spans="2:38" ht="30.05" customHeight="1" x14ac:dyDescent="0.35">
      <c r="B642" s="506"/>
      <c r="C642" s="507"/>
      <c r="D642" s="508" t="s">
        <v>1854</v>
      </c>
      <c r="E642" s="509"/>
      <c r="F642" s="510"/>
      <c r="G642" s="507"/>
      <c r="H642" s="511"/>
      <c r="I642" s="512"/>
      <c r="J642" s="518"/>
      <c r="K642" s="510"/>
      <c r="L642" s="510"/>
      <c r="M642" s="548"/>
      <c r="N642" s="514">
        <f>LANÇ_MOV[[#This Row],[VALOR BRUTO]]-LANÇ_MOV[[#This Row],[DESCONTO]]+LANÇ_MOV[[#This Row],[JUROS]]+LANÇ_MOV[[#This Row],[MULTA]]</f>
        <v>0</v>
      </c>
      <c r="O642" s="546"/>
      <c r="P642" s="547" t="str">
        <f t="shared" ca="1" si="10"/>
        <v/>
      </c>
      <c r="Q642" s="528"/>
      <c r="R642" s="529"/>
      <c r="S642" s="518"/>
      <c r="T642" s="518"/>
      <c r="U642" s="519"/>
      <c r="V642" s="520" t="str">
        <f>IFERROR(VLOOKUP(LANÇ_MOV[[#This Row],[PLANO DE CONTAS]],Plano_Contas[[PLANO DE CONTAS]:[R / D]],3,0),"")</f>
        <v/>
      </c>
      <c r="W642" s="521" t="str">
        <f>IF(LANÇ_MOV[[#This Row],[DATA DE PAGAMENTO]]&lt;&gt;"","Pago","Não Pago")</f>
        <v>Não Pago</v>
      </c>
      <c r="X642" s="522" t="str">
        <f>IFERROR(IF(LANÇ_MOV[[#This Row],[DATA DE PAGAMENTO]]="","",(UPPER(TEXT(LANÇ_MOV[[#This Row],[DATA DE PAGAMENTO]],"mmmm")))),"")</f>
        <v/>
      </c>
      <c r="Y642" s="523" t="str">
        <f>IFERROR(VLOOKUP(LANÇ_MOV[[#This Row],[PLANO DE CONTAS]],Plano_Contas[[PLANO DE CONTAS]:[NOMES INTERVALOS]],2,0),"")</f>
        <v/>
      </c>
      <c r="Z642" s="523" t="str">
        <f>IF(LANÇ_MOV[[#This Row],[FORMA DE PAGAMENTO]]="","",VLOOKUP(LANÇ_MOV[[#This Row],[FORMA DE PAGAMENTO]],CAD_Forma_pagto[],2,0))</f>
        <v/>
      </c>
      <c r="AA642" s="524" t="str">
        <f>IF(LANÇ_MOV[[#This Row],[DATA DE LANÇAMENTO]]="","",TEXT(LANÇ_MOV[[#This Row],[DATA DE LANÇAMENTO]],"AAAA"))</f>
        <v/>
      </c>
      <c r="AB642" s="524" t="str">
        <f>IF(LANÇ_MOV[[#This Row],[DATA DE LANÇAMENTO]]="","",UPPER(TEXT(LANÇ_MOV[[#This Row],[DATA DE LANÇAMENTO]],"MMMM")))</f>
        <v/>
      </c>
      <c r="AC642" s="525" t="str">
        <f>IF(LANÇ_MOV[[#This Row],[DATA DE LANÇAMENTO]]="","",PROPER(TEXT(LANÇ_MOV[[#This Row],[DATA DE LANÇAMENTO]],"M")))</f>
        <v/>
      </c>
      <c r="AD642" s="524" t="str">
        <f>IF(LANÇ_MOV[[#This Row],[DATA DE LANÇAMENTO]]="","",TEXT(LANÇ_MOV[[#This Row],[DATA DE LANÇAMENTO]],"D"))</f>
        <v/>
      </c>
      <c r="AE642" s="526" t="str">
        <f>IF(LANÇ_MOV[[#This Row],[DATA DE VENCIMENTO]]="","",TEXT(LANÇ_MOV[[#This Row],[DATA DE VENCIMENTO]],"AAAA"))</f>
        <v/>
      </c>
      <c r="AF642" s="526" t="str">
        <f>IF(LANÇ_MOV[[#This Row],[DATA DE VENCIMENTO]]="","",UPPER(TEXT(LANÇ_MOV[[#This Row],[DATA DE VENCIMENTO]],"MMMM")))</f>
        <v/>
      </c>
      <c r="AG642" s="526" t="str">
        <f>IF(LANÇ_MOV[[#This Row],[DATA DE VENCIMENTO]]="","",TEXT(LANÇ_MOV[[#This Row],[DATA DE VENCIMENTO]],"M"))</f>
        <v/>
      </c>
      <c r="AH642" s="526" t="str">
        <f>IF(LANÇ_MOV[[#This Row],[DATA DE VENCIMENTO]]="","",TEXT(LANÇ_MOV[[#This Row],[DATA DE VENCIMENTO]],"D"))</f>
        <v/>
      </c>
      <c r="AI642" s="526" t="str">
        <f>IF(LANÇ_MOV[[#This Row],[DATA DE PAGAMENTO]]="","",TEXT(LANÇ_MOV[[#This Row],[DATA DE PAGAMENTO]],"AAAA"))</f>
        <v/>
      </c>
      <c r="AJ642" s="527" t="str">
        <f>IF(LANÇ_MOV[[#This Row],[DATA DE PAGAMENTO]]="","",UPPER(TEXT(LANÇ_MOV[[#This Row],[DATA DE PAGAMENTO]],"MMMM")))</f>
        <v/>
      </c>
      <c r="AK642" s="527" t="str">
        <f>IF(LANÇ_MOV[[#This Row],[DATA DE PAGAMENTO]]="","",TEXT(LANÇ_MOV[[#This Row],[DATA DE PAGAMENTO]],"M"))</f>
        <v/>
      </c>
      <c r="AL642" s="526" t="str">
        <f>IF(LANÇ_MOV[[#This Row],[DATA DE PAGAMENTO]]="","",TEXT(LANÇ_MOV[[#This Row],[DATA DE PAGAMENTO]],"D"))</f>
        <v/>
      </c>
    </row>
    <row r="643" spans="2:38" ht="30.05" customHeight="1" x14ac:dyDescent="0.35">
      <c r="B643" s="506"/>
      <c r="C643" s="507"/>
      <c r="D643" s="508" t="s">
        <v>1854</v>
      </c>
      <c r="E643" s="509"/>
      <c r="F643" s="510"/>
      <c r="G643" s="507"/>
      <c r="H643" s="511"/>
      <c r="I643" s="512"/>
      <c r="J643" s="518"/>
      <c r="K643" s="510"/>
      <c r="L643" s="510"/>
      <c r="M643" s="548"/>
      <c r="N643" s="514">
        <f>LANÇ_MOV[[#This Row],[VALOR BRUTO]]-LANÇ_MOV[[#This Row],[DESCONTO]]+LANÇ_MOV[[#This Row],[JUROS]]+LANÇ_MOV[[#This Row],[MULTA]]</f>
        <v>0</v>
      </c>
      <c r="O643" s="546"/>
      <c r="P643" s="547" t="str">
        <f t="shared" ca="1" si="10"/>
        <v/>
      </c>
      <c r="Q643" s="528"/>
      <c r="R643" s="529"/>
      <c r="S643" s="518"/>
      <c r="T643" s="518"/>
      <c r="U643" s="519"/>
      <c r="V643" s="520" t="str">
        <f>IFERROR(VLOOKUP(LANÇ_MOV[[#This Row],[PLANO DE CONTAS]],Plano_Contas[[PLANO DE CONTAS]:[R / D]],3,0),"")</f>
        <v/>
      </c>
      <c r="W643" s="521" t="str">
        <f>IF(LANÇ_MOV[[#This Row],[DATA DE PAGAMENTO]]&lt;&gt;"","Pago","Não Pago")</f>
        <v>Não Pago</v>
      </c>
      <c r="X643" s="522" t="str">
        <f>IFERROR(IF(LANÇ_MOV[[#This Row],[DATA DE PAGAMENTO]]="","",(UPPER(TEXT(LANÇ_MOV[[#This Row],[DATA DE PAGAMENTO]],"mmmm")))),"")</f>
        <v/>
      </c>
      <c r="Y643" s="523" t="str">
        <f>IFERROR(VLOOKUP(LANÇ_MOV[[#This Row],[PLANO DE CONTAS]],Plano_Contas[[PLANO DE CONTAS]:[NOMES INTERVALOS]],2,0),"")</f>
        <v/>
      </c>
      <c r="Z643" s="523" t="str">
        <f>IF(LANÇ_MOV[[#This Row],[FORMA DE PAGAMENTO]]="","",VLOOKUP(LANÇ_MOV[[#This Row],[FORMA DE PAGAMENTO]],CAD_Forma_pagto[],2,0))</f>
        <v/>
      </c>
      <c r="AA643" s="524" t="str">
        <f>IF(LANÇ_MOV[[#This Row],[DATA DE LANÇAMENTO]]="","",TEXT(LANÇ_MOV[[#This Row],[DATA DE LANÇAMENTO]],"AAAA"))</f>
        <v/>
      </c>
      <c r="AB643" s="524" t="str">
        <f>IF(LANÇ_MOV[[#This Row],[DATA DE LANÇAMENTO]]="","",UPPER(TEXT(LANÇ_MOV[[#This Row],[DATA DE LANÇAMENTO]],"MMMM")))</f>
        <v/>
      </c>
      <c r="AC643" s="525" t="str">
        <f>IF(LANÇ_MOV[[#This Row],[DATA DE LANÇAMENTO]]="","",PROPER(TEXT(LANÇ_MOV[[#This Row],[DATA DE LANÇAMENTO]],"M")))</f>
        <v/>
      </c>
      <c r="AD643" s="524" t="str">
        <f>IF(LANÇ_MOV[[#This Row],[DATA DE LANÇAMENTO]]="","",TEXT(LANÇ_MOV[[#This Row],[DATA DE LANÇAMENTO]],"D"))</f>
        <v/>
      </c>
      <c r="AE643" s="526" t="str">
        <f>IF(LANÇ_MOV[[#This Row],[DATA DE VENCIMENTO]]="","",TEXT(LANÇ_MOV[[#This Row],[DATA DE VENCIMENTO]],"AAAA"))</f>
        <v/>
      </c>
      <c r="AF643" s="526" t="str">
        <f>IF(LANÇ_MOV[[#This Row],[DATA DE VENCIMENTO]]="","",UPPER(TEXT(LANÇ_MOV[[#This Row],[DATA DE VENCIMENTO]],"MMMM")))</f>
        <v/>
      </c>
      <c r="AG643" s="526" t="str">
        <f>IF(LANÇ_MOV[[#This Row],[DATA DE VENCIMENTO]]="","",TEXT(LANÇ_MOV[[#This Row],[DATA DE VENCIMENTO]],"M"))</f>
        <v/>
      </c>
      <c r="AH643" s="526" t="str">
        <f>IF(LANÇ_MOV[[#This Row],[DATA DE VENCIMENTO]]="","",TEXT(LANÇ_MOV[[#This Row],[DATA DE VENCIMENTO]],"D"))</f>
        <v/>
      </c>
      <c r="AI643" s="526" t="str">
        <f>IF(LANÇ_MOV[[#This Row],[DATA DE PAGAMENTO]]="","",TEXT(LANÇ_MOV[[#This Row],[DATA DE PAGAMENTO]],"AAAA"))</f>
        <v/>
      </c>
      <c r="AJ643" s="527" t="str">
        <f>IF(LANÇ_MOV[[#This Row],[DATA DE PAGAMENTO]]="","",UPPER(TEXT(LANÇ_MOV[[#This Row],[DATA DE PAGAMENTO]],"MMMM")))</f>
        <v/>
      </c>
      <c r="AK643" s="527" t="str">
        <f>IF(LANÇ_MOV[[#This Row],[DATA DE PAGAMENTO]]="","",TEXT(LANÇ_MOV[[#This Row],[DATA DE PAGAMENTO]],"M"))</f>
        <v/>
      </c>
      <c r="AL643" s="526" t="str">
        <f>IF(LANÇ_MOV[[#This Row],[DATA DE PAGAMENTO]]="","",TEXT(LANÇ_MOV[[#This Row],[DATA DE PAGAMENTO]],"D"))</f>
        <v/>
      </c>
    </row>
    <row r="644" spans="2:38" ht="30.05" customHeight="1" x14ac:dyDescent="0.35">
      <c r="B644" s="506"/>
      <c r="C644" s="507"/>
      <c r="D644" s="508" t="s">
        <v>1854</v>
      </c>
      <c r="E644" s="509"/>
      <c r="F644" s="510"/>
      <c r="G644" s="507"/>
      <c r="H644" s="511"/>
      <c r="I644" s="512"/>
      <c r="J644" s="518"/>
      <c r="K644" s="510"/>
      <c r="L644" s="510"/>
      <c r="M644" s="548"/>
      <c r="N644" s="514">
        <f>LANÇ_MOV[[#This Row],[VALOR BRUTO]]-LANÇ_MOV[[#This Row],[DESCONTO]]+LANÇ_MOV[[#This Row],[JUROS]]+LANÇ_MOV[[#This Row],[MULTA]]</f>
        <v>0</v>
      </c>
      <c r="O644" s="546"/>
      <c r="P644" s="547" t="str">
        <f t="shared" ca="1" si="10"/>
        <v/>
      </c>
      <c r="Q644" s="528"/>
      <c r="R644" s="529"/>
      <c r="S644" s="518"/>
      <c r="T644" s="518"/>
      <c r="U644" s="519"/>
      <c r="V644" s="520" t="str">
        <f>IFERROR(VLOOKUP(LANÇ_MOV[[#This Row],[PLANO DE CONTAS]],Plano_Contas[[PLANO DE CONTAS]:[R / D]],3,0),"")</f>
        <v/>
      </c>
      <c r="W644" s="521" t="str">
        <f>IF(LANÇ_MOV[[#This Row],[DATA DE PAGAMENTO]]&lt;&gt;"","Pago","Não Pago")</f>
        <v>Não Pago</v>
      </c>
      <c r="X644" s="522" t="str">
        <f>IFERROR(IF(LANÇ_MOV[[#This Row],[DATA DE PAGAMENTO]]="","",(UPPER(TEXT(LANÇ_MOV[[#This Row],[DATA DE PAGAMENTO]],"mmmm")))),"")</f>
        <v/>
      </c>
      <c r="Y644" s="523" t="str">
        <f>IFERROR(VLOOKUP(LANÇ_MOV[[#This Row],[PLANO DE CONTAS]],Plano_Contas[[PLANO DE CONTAS]:[NOMES INTERVALOS]],2,0),"")</f>
        <v/>
      </c>
      <c r="Z644" s="523" t="str">
        <f>IF(LANÇ_MOV[[#This Row],[FORMA DE PAGAMENTO]]="","",VLOOKUP(LANÇ_MOV[[#This Row],[FORMA DE PAGAMENTO]],CAD_Forma_pagto[],2,0))</f>
        <v/>
      </c>
      <c r="AA644" s="524" t="str">
        <f>IF(LANÇ_MOV[[#This Row],[DATA DE LANÇAMENTO]]="","",TEXT(LANÇ_MOV[[#This Row],[DATA DE LANÇAMENTO]],"AAAA"))</f>
        <v/>
      </c>
      <c r="AB644" s="524" t="str">
        <f>IF(LANÇ_MOV[[#This Row],[DATA DE LANÇAMENTO]]="","",UPPER(TEXT(LANÇ_MOV[[#This Row],[DATA DE LANÇAMENTO]],"MMMM")))</f>
        <v/>
      </c>
      <c r="AC644" s="525" t="str">
        <f>IF(LANÇ_MOV[[#This Row],[DATA DE LANÇAMENTO]]="","",PROPER(TEXT(LANÇ_MOV[[#This Row],[DATA DE LANÇAMENTO]],"M")))</f>
        <v/>
      </c>
      <c r="AD644" s="524" t="str">
        <f>IF(LANÇ_MOV[[#This Row],[DATA DE LANÇAMENTO]]="","",TEXT(LANÇ_MOV[[#This Row],[DATA DE LANÇAMENTO]],"D"))</f>
        <v/>
      </c>
      <c r="AE644" s="526" t="str">
        <f>IF(LANÇ_MOV[[#This Row],[DATA DE VENCIMENTO]]="","",TEXT(LANÇ_MOV[[#This Row],[DATA DE VENCIMENTO]],"AAAA"))</f>
        <v/>
      </c>
      <c r="AF644" s="526" t="str">
        <f>IF(LANÇ_MOV[[#This Row],[DATA DE VENCIMENTO]]="","",UPPER(TEXT(LANÇ_MOV[[#This Row],[DATA DE VENCIMENTO]],"MMMM")))</f>
        <v/>
      </c>
      <c r="AG644" s="526" t="str">
        <f>IF(LANÇ_MOV[[#This Row],[DATA DE VENCIMENTO]]="","",TEXT(LANÇ_MOV[[#This Row],[DATA DE VENCIMENTO]],"M"))</f>
        <v/>
      </c>
      <c r="AH644" s="526" t="str">
        <f>IF(LANÇ_MOV[[#This Row],[DATA DE VENCIMENTO]]="","",TEXT(LANÇ_MOV[[#This Row],[DATA DE VENCIMENTO]],"D"))</f>
        <v/>
      </c>
      <c r="AI644" s="526" t="str">
        <f>IF(LANÇ_MOV[[#This Row],[DATA DE PAGAMENTO]]="","",TEXT(LANÇ_MOV[[#This Row],[DATA DE PAGAMENTO]],"AAAA"))</f>
        <v/>
      </c>
      <c r="AJ644" s="527" t="str">
        <f>IF(LANÇ_MOV[[#This Row],[DATA DE PAGAMENTO]]="","",UPPER(TEXT(LANÇ_MOV[[#This Row],[DATA DE PAGAMENTO]],"MMMM")))</f>
        <v/>
      </c>
      <c r="AK644" s="527" t="str">
        <f>IF(LANÇ_MOV[[#This Row],[DATA DE PAGAMENTO]]="","",TEXT(LANÇ_MOV[[#This Row],[DATA DE PAGAMENTO]],"M"))</f>
        <v/>
      </c>
      <c r="AL644" s="526" t="str">
        <f>IF(LANÇ_MOV[[#This Row],[DATA DE PAGAMENTO]]="","",TEXT(LANÇ_MOV[[#This Row],[DATA DE PAGAMENTO]],"D"))</f>
        <v/>
      </c>
    </row>
    <row r="645" spans="2:38" ht="30.05" customHeight="1" x14ac:dyDescent="0.35">
      <c r="B645" s="506"/>
      <c r="C645" s="507"/>
      <c r="D645" s="508" t="s">
        <v>1854</v>
      </c>
      <c r="E645" s="509"/>
      <c r="F645" s="510"/>
      <c r="G645" s="507"/>
      <c r="H645" s="511"/>
      <c r="I645" s="512"/>
      <c r="J645" s="518"/>
      <c r="K645" s="510"/>
      <c r="L645" s="510"/>
      <c r="M645" s="548"/>
      <c r="N645" s="514">
        <f>LANÇ_MOV[[#This Row],[VALOR BRUTO]]-LANÇ_MOV[[#This Row],[DESCONTO]]+LANÇ_MOV[[#This Row],[JUROS]]+LANÇ_MOV[[#This Row],[MULTA]]</f>
        <v>0</v>
      </c>
      <c r="O645" s="546"/>
      <c r="P645" s="547" t="str">
        <f t="shared" ca="1" si="10"/>
        <v/>
      </c>
      <c r="Q645" s="528"/>
      <c r="R645" s="529"/>
      <c r="S645" s="518"/>
      <c r="T645" s="518"/>
      <c r="U645" s="519"/>
      <c r="V645" s="520" t="str">
        <f>IFERROR(VLOOKUP(LANÇ_MOV[[#This Row],[PLANO DE CONTAS]],Plano_Contas[[PLANO DE CONTAS]:[R / D]],3,0),"")</f>
        <v/>
      </c>
      <c r="W645" s="521" t="str">
        <f>IF(LANÇ_MOV[[#This Row],[DATA DE PAGAMENTO]]&lt;&gt;"","Pago","Não Pago")</f>
        <v>Não Pago</v>
      </c>
      <c r="X645" s="522" t="str">
        <f>IFERROR(IF(LANÇ_MOV[[#This Row],[DATA DE PAGAMENTO]]="","",(UPPER(TEXT(LANÇ_MOV[[#This Row],[DATA DE PAGAMENTO]],"mmmm")))),"")</f>
        <v/>
      </c>
      <c r="Y645" s="523" t="str">
        <f>IFERROR(VLOOKUP(LANÇ_MOV[[#This Row],[PLANO DE CONTAS]],Plano_Contas[[PLANO DE CONTAS]:[NOMES INTERVALOS]],2,0),"")</f>
        <v/>
      </c>
      <c r="Z645" s="523" t="str">
        <f>IF(LANÇ_MOV[[#This Row],[FORMA DE PAGAMENTO]]="","",VLOOKUP(LANÇ_MOV[[#This Row],[FORMA DE PAGAMENTO]],CAD_Forma_pagto[],2,0))</f>
        <v/>
      </c>
      <c r="AA645" s="524" t="str">
        <f>IF(LANÇ_MOV[[#This Row],[DATA DE LANÇAMENTO]]="","",TEXT(LANÇ_MOV[[#This Row],[DATA DE LANÇAMENTO]],"AAAA"))</f>
        <v/>
      </c>
      <c r="AB645" s="524" t="str">
        <f>IF(LANÇ_MOV[[#This Row],[DATA DE LANÇAMENTO]]="","",UPPER(TEXT(LANÇ_MOV[[#This Row],[DATA DE LANÇAMENTO]],"MMMM")))</f>
        <v/>
      </c>
      <c r="AC645" s="525" t="str">
        <f>IF(LANÇ_MOV[[#This Row],[DATA DE LANÇAMENTO]]="","",PROPER(TEXT(LANÇ_MOV[[#This Row],[DATA DE LANÇAMENTO]],"M")))</f>
        <v/>
      </c>
      <c r="AD645" s="524" t="str">
        <f>IF(LANÇ_MOV[[#This Row],[DATA DE LANÇAMENTO]]="","",TEXT(LANÇ_MOV[[#This Row],[DATA DE LANÇAMENTO]],"D"))</f>
        <v/>
      </c>
      <c r="AE645" s="526" t="str">
        <f>IF(LANÇ_MOV[[#This Row],[DATA DE VENCIMENTO]]="","",TEXT(LANÇ_MOV[[#This Row],[DATA DE VENCIMENTO]],"AAAA"))</f>
        <v/>
      </c>
      <c r="AF645" s="526" t="str">
        <f>IF(LANÇ_MOV[[#This Row],[DATA DE VENCIMENTO]]="","",UPPER(TEXT(LANÇ_MOV[[#This Row],[DATA DE VENCIMENTO]],"MMMM")))</f>
        <v/>
      </c>
      <c r="AG645" s="526" t="str">
        <f>IF(LANÇ_MOV[[#This Row],[DATA DE VENCIMENTO]]="","",TEXT(LANÇ_MOV[[#This Row],[DATA DE VENCIMENTO]],"M"))</f>
        <v/>
      </c>
      <c r="AH645" s="526" t="str">
        <f>IF(LANÇ_MOV[[#This Row],[DATA DE VENCIMENTO]]="","",TEXT(LANÇ_MOV[[#This Row],[DATA DE VENCIMENTO]],"D"))</f>
        <v/>
      </c>
      <c r="AI645" s="526" t="str">
        <f>IF(LANÇ_MOV[[#This Row],[DATA DE PAGAMENTO]]="","",TEXT(LANÇ_MOV[[#This Row],[DATA DE PAGAMENTO]],"AAAA"))</f>
        <v/>
      </c>
      <c r="AJ645" s="527" t="str">
        <f>IF(LANÇ_MOV[[#This Row],[DATA DE PAGAMENTO]]="","",UPPER(TEXT(LANÇ_MOV[[#This Row],[DATA DE PAGAMENTO]],"MMMM")))</f>
        <v/>
      </c>
      <c r="AK645" s="527" t="str">
        <f>IF(LANÇ_MOV[[#This Row],[DATA DE PAGAMENTO]]="","",TEXT(LANÇ_MOV[[#This Row],[DATA DE PAGAMENTO]],"M"))</f>
        <v/>
      </c>
      <c r="AL645" s="526" t="str">
        <f>IF(LANÇ_MOV[[#This Row],[DATA DE PAGAMENTO]]="","",TEXT(LANÇ_MOV[[#This Row],[DATA DE PAGAMENTO]],"D"))</f>
        <v/>
      </c>
    </row>
    <row r="646" spans="2:38" ht="30.05" customHeight="1" x14ac:dyDescent="0.35">
      <c r="B646" s="506"/>
      <c r="C646" s="507"/>
      <c r="D646" s="508" t="s">
        <v>1854</v>
      </c>
      <c r="E646" s="509"/>
      <c r="F646" s="510"/>
      <c r="G646" s="507"/>
      <c r="H646" s="511"/>
      <c r="I646" s="512"/>
      <c r="J646" s="518"/>
      <c r="K646" s="510"/>
      <c r="L646" s="510"/>
      <c r="M646" s="548"/>
      <c r="N646" s="514">
        <f>LANÇ_MOV[[#This Row],[VALOR BRUTO]]-LANÇ_MOV[[#This Row],[DESCONTO]]+LANÇ_MOV[[#This Row],[JUROS]]+LANÇ_MOV[[#This Row],[MULTA]]</f>
        <v>0</v>
      </c>
      <c r="O646" s="546"/>
      <c r="P646" s="547" t="str">
        <f t="shared" ca="1" si="10"/>
        <v/>
      </c>
      <c r="Q646" s="528"/>
      <c r="R646" s="529"/>
      <c r="S646" s="518"/>
      <c r="T646" s="518"/>
      <c r="U646" s="519"/>
      <c r="V646" s="520" t="str">
        <f>IFERROR(VLOOKUP(LANÇ_MOV[[#This Row],[PLANO DE CONTAS]],Plano_Contas[[PLANO DE CONTAS]:[R / D]],3,0),"")</f>
        <v/>
      </c>
      <c r="W646" s="521" t="str">
        <f>IF(LANÇ_MOV[[#This Row],[DATA DE PAGAMENTO]]&lt;&gt;"","Pago","Não Pago")</f>
        <v>Não Pago</v>
      </c>
      <c r="X646" s="522" t="str">
        <f>IFERROR(IF(LANÇ_MOV[[#This Row],[DATA DE PAGAMENTO]]="","",(UPPER(TEXT(LANÇ_MOV[[#This Row],[DATA DE PAGAMENTO]],"mmmm")))),"")</f>
        <v/>
      </c>
      <c r="Y646" s="523" t="str">
        <f>IFERROR(VLOOKUP(LANÇ_MOV[[#This Row],[PLANO DE CONTAS]],Plano_Contas[[PLANO DE CONTAS]:[NOMES INTERVALOS]],2,0),"")</f>
        <v/>
      </c>
      <c r="Z646" s="523" t="str">
        <f>IF(LANÇ_MOV[[#This Row],[FORMA DE PAGAMENTO]]="","",VLOOKUP(LANÇ_MOV[[#This Row],[FORMA DE PAGAMENTO]],CAD_Forma_pagto[],2,0))</f>
        <v/>
      </c>
      <c r="AA646" s="524" t="str">
        <f>IF(LANÇ_MOV[[#This Row],[DATA DE LANÇAMENTO]]="","",TEXT(LANÇ_MOV[[#This Row],[DATA DE LANÇAMENTO]],"AAAA"))</f>
        <v/>
      </c>
      <c r="AB646" s="524" t="str">
        <f>IF(LANÇ_MOV[[#This Row],[DATA DE LANÇAMENTO]]="","",UPPER(TEXT(LANÇ_MOV[[#This Row],[DATA DE LANÇAMENTO]],"MMMM")))</f>
        <v/>
      </c>
      <c r="AC646" s="525" t="str">
        <f>IF(LANÇ_MOV[[#This Row],[DATA DE LANÇAMENTO]]="","",PROPER(TEXT(LANÇ_MOV[[#This Row],[DATA DE LANÇAMENTO]],"M")))</f>
        <v/>
      </c>
      <c r="AD646" s="524" t="str">
        <f>IF(LANÇ_MOV[[#This Row],[DATA DE LANÇAMENTO]]="","",TEXT(LANÇ_MOV[[#This Row],[DATA DE LANÇAMENTO]],"D"))</f>
        <v/>
      </c>
      <c r="AE646" s="526" t="str">
        <f>IF(LANÇ_MOV[[#This Row],[DATA DE VENCIMENTO]]="","",TEXT(LANÇ_MOV[[#This Row],[DATA DE VENCIMENTO]],"AAAA"))</f>
        <v/>
      </c>
      <c r="AF646" s="526" t="str">
        <f>IF(LANÇ_MOV[[#This Row],[DATA DE VENCIMENTO]]="","",UPPER(TEXT(LANÇ_MOV[[#This Row],[DATA DE VENCIMENTO]],"MMMM")))</f>
        <v/>
      </c>
      <c r="AG646" s="526" t="str">
        <f>IF(LANÇ_MOV[[#This Row],[DATA DE VENCIMENTO]]="","",TEXT(LANÇ_MOV[[#This Row],[DATA DE VENCIMENTO]],"M"))</f>
        <v/>
      </c>
      <c r="AH646" s="526" t="str">
        <f>IF(LANÇ_MOV[[#This Row],[DATA DE VENCIMENTO]]="","",TEXT(LANÇ_MOV[[#This Row],[DATA DE VENCIMENTO]],"D"))</f>
        <v/>
      </c>
      <c r="AI646" s="526" t="str">
        <f>IF(LANÇ_MOV[[#This Row],[DATA DE PAGAMENTO]]="","",TEXT(LANÇ_MOV[[#This Row],[DATA DE PAGAMENTO]],"AAAA"))</f>
        <v/>
      </c>
      <c r="AJ646" s="527" t="str">
        <f>IF(LANÇ_MOV[[#This Row],[DATA DE PAGAMENTO]]="","",UPPER(TEXT(LANÇ_MOV[[#This Row],[DATA DE PAGAMENTO]],"MMMM")))</f>
        <v/>
      </c>
      <c r="AK646" s="527" t="str">
        <f>IF(LANÇ_MOV[[#This Row],[DATA DE PAGAMENTO]]="","",TEXT(LANÇ_MOV[[#This Row],[DATA DE PAGAMENTO]],"M"))</f>
        <v/>
      </c>
      <c r="AL646" s="526" t="str">
        <f>IF(LANÇ_MOV[[#This Row],[DATA DE PAGAMENTO]]="","",TEXT(LANÇ_MOV[[#This Row],[DATA DE PAGAMENTO]],"D"))</f>
        <v/>
      </c>
    </row>
    <row r="647" spans="2:38" ht="30.05" customHeight="1" x14ac:dyDescent="0.35">
      <c r="B647" s="506"/>
      <c r="C647" s="507"/>
      <c r="D647" s="508" t="s">
        <v>1854</v>
      </c>
      <c r="E647" s="509"/>
      <c r="F647" s="510"/>
      <c r="G647" s="507"/>
      <c r="H647" s="511"/>
      <c r="I647" s="512"/>
      <c r="J647" s="518"/>
      <c r="K647" s="510"/>
      <c r="L647" s="510"/>
      <c r="M647" s="548"/>
      <c r="N647" s="514">
        <f>LANÇ_MOV[[#This Row],[VALOR BRUTO]]-LANÇ_MOV[[#This Row],[DESCONTO]]+LANÇ_MOV[[#This Row],[JUROS]]+LANÇ_MOV[[#This Row],[MULTA]]</f>
        <v>0</v>
      </c>
      <c r="O647" s="546"/>
      <c r="P647" s="547" t="str">
        <f t="shared" ca="1" si="10"/>
        <v/>
      </c>
      <c r="Q647" s="528"/>
      <c r="R647" s="529"/>
      <c r="S647" s="518"/>
      <c r="T647" s="518"/>
      <c r="U647" s="519"/>
      <c r="V647" s="520" t="str">
        <f>IFERROR(VLOOKUP(LANÇ_MOV[[#This Row],[PLANO DE CONTAS]],Plano_Contas[[PLANO DE CONTAS]:[R / D]],3,0),"")</f>
        <v/>
      </c>
      <c r="W647" s="521" t="str">
        <f>IF(LANÇ_MOV[[#This Row],[DATA DE PAGAMENTO]]&lt;&gt;"","Pago","Não Pago")</f>
        <v>Não Pago</v>
      </c>
      <c r="X647" s="522" t="str">
        <f>IFERROR(IF(LANÇ_MOV[[#This Row],[DATA DE PAGAMENTO]]="","",(UPPER(TEXT(LANÇ_MOV[[#This Row],[DATA DE PAGAMENTO]],"mmmm")))),"")</f>
        <v/>
      </c>
      <c r="Y647" s="523" t="str">
        <f>IFERROR(VLOOKUP(LANÇ_MOV[[#This Row],[PLANO DE CONTAS]],Plano_Contas[[PLANO DE CONTAS]:[NOMES INTERVALOS]],2,0),"")</f>
        <v/>
      </c>
      <c r="Z647" s="523" t="str">
        <f>IF(LANÇ_MOV[[#This Row],[FORMA DE PAGAMENTO]]="","",VLOOKUP(LANÇ_MOV[[#This Row],[FORMA DE PAGAMENTO]],CAD_Forma_pagto[],2,0))</f>
        <v/>
      </c>
      <c r="AA647" s="524" t="str">
        <f>IF(LANÇ_MOV[[#This Row],[DATA DE LANÇAMENTO]]="","",TEXT(LANÇ_MOV[[#This Row],[DATA DE LANÇAMENTO]],"AAAA"))</f>
        <v/>
      </c>
      <c r="AB647" s="524" t="str">
        <f>IF(LANÇ_MOV[[#This Row],[DATA DE LANÇAMENTO]]="","",UPPER(TEXT(LANÇ_MOV[[#This Row],[DATA DE LANÇAMENTO]],"MMMM")))</f>
        <v/>
      </c>
      <c r="AC647" s="525" t="str">
        <f>IF(LANÇ_MOV[[#This Row],[DATA DE LANÇAMENTO]]="","",PROPER(TEXT(LANÇ_MOV[[#This Row],[DATA DE LANÇAMENTO]],"M")))</f>
        <v/>
      </c>
      <c r="AD647" s="524" t="str">
        <f>IF(LANÇ_MOV[[#This Row],[DATA DE LANÇAMENTO]]="","",TEXT(LANÇ_MOV[[#This Row],[DATA DE LANÇAMENTO]],"D"))</f>
        <v/>
      </c>
      <c r="AE647" s="526" t="str">
        <f>IF(LANÇ_MOV[[#This Row],[DATA DE VENCIMENTO]]="","",TEXT(LANÇ_MOV[[#This Row],[DATA DE VENCIMENTO]],"AAAA"))</f>
        <v/>
      </c>
      <c r="AF647" s="526" t="str">
        <f>IF(LANÇ_MOV[[#This Row],[DATA DE VENCIMENTO]]="","",UPPER(TEXT(LANÇ_MOV[[#This Row],[DATA DE VENCIMENTO]],"MMMM")))</f>
        <v/>
      </c>
      <c r="AG647" s="526" t="str">
        <f>IF(LANÇ_MOV[[#This Row],[DATA DE VENCIMENTO]]="","",TEXT(LANÇ_MOV[[#This Row],[DATA DE VENCIMENTO]],"M"))</f>
        <v/>
      </c>
      <c r="AH647" s="526" t="str">
        <f>IF(LANÇ_MOV[[#This Row],[DATA DE VENCIMENTO]]="","",TEXT(LANÇ_MOV[[#This Row],[DATA DE VENCIMENTO]],"D"))</f>
        <v/>
      </c>
      <c r="AI647" s="526" t="str">
        <f>IF(LANÇ_MOV[[#This Row],[DATA DE PAGAMENTO]]="","",TEXT(LANÇ_MOV[[#This Row],[DATA DE PAGAMENTO]],"AAAA"))</f>
        <v/>
      </c>
      <c r="AJ647" s="527" t="str">
        <f>IF(LANÇ_MOV[[#This Row],[DATA DE PAGAMENTO]]="","",UPPER(TEXT(LANÇ_MOV[[#This Row],[DATA DE PAGAMENTO]],"MMMM")))</f>
        <v/>
      </c>
      <c r="AK647" s="527" t="str">
        <f>IF(LANÇ_MOV[[#This Row],[DATA DE PAGAMENTO]]="","",TEXT(LANÇ_MOV[[#This Row],[DATA DE PAGAMENTO]],"M"))</f>
        <v/>
      </c>
      <c r="AL647" s="526" t="str">
        <f>IF(LANÇ_MOV[[#This Row],[DATA DE PAGAMENTO]]="","",TEXT(LANÇ_MOV[[#This Row],[DATA DE PAGAMENTO]],"D"))</f>
        <v/>
      </c>
    </row>
    <row r="648" spans="2:38" ht="30.05" customHeight="1" x14ac:dyDescent="0.35">
      <c r="B648" s="506"/>
      <c r="C648" s="507"/>
      <c r="D648" s="508" t="s">
        <v>1854</v>
      </c>
      <c r="E648" s="509"/>
      <c r="F648" s="510"/>
      <c r="G648" s="507"/>
      <c r="H648" s="511"/>
      <c r="I648" s="512"/>
      <c r="J648" s="518"/>
      <c r="K648" s="510"/>
      <c r="L648" s="510"/>
      <c r="M648" s="548"/>
      <c r="N648" s="514">
        <f>LANÇ_MOV[[#This Row],[VALOR BRUTO]]-LANÇ_MOV[[#This Row],[DESCONTO]]+LANÇ_MOV[[#This Row],[JUROS]]+LANÇ_MOV[[#This Row],[MULTA]]</f>
        <v>0</v>
      </c>
      <c r="O648" s="546"/>
      <c r="P648" s="547" t="str">
        <f t="shared" ca="1" si="10"/>
        <v/>
      </c>
      <c r="Q648" s="528"/>
      <c r="R648" s="529"/>
      <c r="S648" s="518"/>
      <c r="T648" s="518"/>
      <c r="U648" s="519"/>
      <c r="V648" s="520" t="str">
        <f>IFERROR(VLOOKUP(LANÇ_MOV[[#This Row],[PLANO DE CONTAS]],Plano_Contas[[PLANO DE CONTAS]:[R / D]],3,0),"")</f>
        <v/>
      </c>
      <c r="W648" s="521" t="str">
        <f>IF(LANÇ_MOV[[#This Row],[DATA DE PAGAMENTO]]&lt;&gt;"","Pago","Não Pago")</f>
        <v>Não Pago</v>
      </c>
      <c r="X648" s="522" t="str">
        <f>IFERROR(IF(LANÇ_MOV[[#This Row],[DATA DE PAGAMENTO]]="","",(UPPER(TEXT(LANÇ_MOV[[#This Row],[DATA DE PAGAMENTO]],"mmmm")))),"")</f>
        <v/>
      </c>
      <c r="Y648" s="523" t="str">
        <f>IFERROR(VLOOKUP(LANÇ_MOV[[#This Row],[PLANO DE CONTAS]],Plano_Contas[[PLANO DE CONTAS]:[NOMES INTERVALOS]],2,0),"")</f>
        <v/>
      </c>
      <c r="Z648" s="523" t="str">
        <f>IF(LANÇ_MOV[[#This Row],[FORMA DE PAGAMENTO]]="","",VLOOKUP(LANÇ_MOV[[#This Row],[FORMA DE PAGAMENTO]],CAD_Forma_pagto[],2,0))</f>
        <v/>
      </c>
      <c r="AA648" s="524" t="str">
        <f>IF(LANÇ_MOV[[#This Row],[DATA DE LANÇAMENTO]]="","",TEXT(LANÇ_MOV[[#This Row],[DATA DE LANÇAMENTO]],"AAAA"))</f>
        <v/>
      </c>
      <c r="AB648" s="524" t="str">
        <f>IF(LANÇ_MOV[[#This Row],[DATA DE LANÇAMENTO]]="","",UPPER(TEXT(LANÇ_MOV[[#This Row],[DATA DE LANÇAMENTO]],"MMMM")))</f>
        <v/>
      </c>
      <c r="AC648" s="525" t="str">
        <f>IF(LANÇ_MOV[[#This Row],[DATA DE LANÇAMENTO]]="","",PROPER(TEXT(LANÇ_MOV[[#This Row],[DATA DE LANÇAMENTO]],"M")))</f>
        <v/>
      </c>
      <c r="AD648" s="524" t="str">
        <f>IF(LANÇ_MOV[[#This Row],[DATA DE LANÇAMENTO]]="","",TEXT(LANÇ_MOV[[#This Row],[DATA DE LANÇAMENTO]],"D"))</f>
        <v/>
      </c>
      <c r="AE648" s="526" t="str">
        <f>IF(LANÇ_MOV[[#This Row],[DATA DE VENCIMENTO]]="","",TEXT(LANÇ_MOV[[#This Row],[DATA DE VENCIMENTO]],"AAAA"))</f>
        <v/>
      </c>
      <c r="AF648" s="526" t="str">
        <f>IF(LANÇ_MOV[[#This Row],[DATA DE VENCIMENTO]]="","",UPPER(TEXT(LANÇ_MOV[[#This Row],[DATA DE VENCIMENTO]],"MMMM")))</f>
        <v/>
      </c>
      <c r="AG648" s="526" t="str">
        <f>IF(LANÇ_MOV[[#This Row],[DATA DE VENCIMENTO]]="","",TEXT(LANÇ_MOV[[#This Row],[DATA DE VENCIMENTO]],"M"))</f>
        <v/>
      </c>
      <c r="AH648" s="526" t="str">
        <f>IF(LANÇ_MOV[[#This Row],[DATA DE VENCIMENTO]]="","",TEXT(LANÇ_MOV[[#This Row],[DATA DE VENCIMENTO]],"D"))</f>
        <v/>
      </c>
      <c r="AI648" s="526" t="str">
        <f>IF(LANÇ_MOV[[#This Row],[DATA DE PAGAMENTO]]="","",TEXT(LANÇ_MOV[[#This Row],[DATA DE PAGAMENTO]],"AAAA"))</f>
        <v/>
      </c>
      <c r="AJ648" s="527" t="str">
        <f>IF(LANÇ_MOV[[#This Row],[DATA DE PAGAMENTO]]="","",UPPER(TEXT(LANÇ_MOV[[#This Row],[DATA DE PAGAMENTO]],"MMMM")))</f>
        <v/>
      </c>
      <c r="AK648" s="527" t="str">
        <f>IF(LANÇ_MOV[[#This Row],[DATA DE PAGAMENTO]]="","",TEXT(LANÇ_MOV[[#This Row],[DATA DE PAGAMENTO]],"M"))</f>
        <v/>
      </c>
      <c r="AL648" s="526" t="str">
        <f>IF(LANÇ_MOV[[#This Row],[DATA DE PAGAMENTO]]="","",TEXT(LANÇ_MOV[[#This Row],[DATA DE PAGAMENTO]],"D"))</f>
        <v/>
      </c>
    </row>
    <row r="649" spans="2:38" ht="30.05" customHeight="1" x14ac:dyDescent="0.35">
      <c r="B649" s="506"/>
      <c r="C649" s="507"/>
      <c r="D649" s="508" t="s">
        <v>1854</v>
      </c>
      <c r="E649" s="509"/>
      <c r="F649" s="510"/>
      <c r="G649" s="507"/>
      <c r="H649" s="511"/>
      <c r="I649" s="512"/>
      <c r="J649" s="518"/>
      <c r="K649" s="510"/>
      <c r="L649" s="510"/>
      <c r="M649" s="548"/>
      <c r="N649" s="514">
        <f>LANÇ_MOV[[#This Row],[VALOR BRUTO]]-LANÇ_MOV[[#This Row],[DESCONTO]]+LANÇ_MOV[[#This Row],[JUROS]]+LANÇ_MOV[[#This Row],[MULTA]]</f>
        <v>0</v>
      </c>
      <c r="O649" s="546"/>
      <c r="P649" s="547" t="str">
        <f t="shared" ca="1" si="10"/>
        <v/>
      </c>
      <c r="Q649" s="528"/>
      <c r="R649" s="529"/>
      <c r="S649" s="518"/>
      <c r="T649" s="518"/>
      <c r="U649" s="519"/>
      <c r="V649" s="520" t="str">
        <f>IFERROR(VLOOKUP(LANÇ_MOV[[#This Row],[PLANO DE CONTAS]],Plano_Contas[[PLANO DE CONTAS]:[R / D]],3,0),"")</f>
        <v/>
      </c>
      <c r="W649" s="521" t="str">
        <f>IF(LANÇ_MOV[[#This Row],[DATA DE PAGAMENTO]]&lt;&gt;"","Pago","Não Pago")</f>
        <v>Não Pago</v>
      </c>
      <c r="X649" s="522" t="str">
        <f>IFERROR(IF(LANÇ_MOV[[#This Row],[DATA DE PAGAMENTO]]="","",(UPPER(TEXT(LANÇ_MOV[[#This Row],[DATA DE PAGAMENTO]],"mmmm")))),"")</f>
        <v/>
      </c>
      <c r="Y649" s="523" t="str">
        <f>IFERROR(VLOOKUP(LANÇ_MOV[[#This Row],[PLANO DE CONTAS]],Plano_Contas[[PLANO DE CONTAS]:[NOMES INTERVALOS]],2,0),"")</f>
        <v/>
      </c>
      <c r="Z649" s="523" t="str">
        <f>IF(LANÇ_MOV[[#This Row],[FORMA DE PAGAMENTO]]="","",VLOOKUP(LANÇ_MOV[[#This Row],[FORMA DE PAGAMENTO]],CAD_Forma_pagto[],2,0))</f>
        <v/>
      </c>
      <c r="AA649" s="524" t="str">
        <f>IF(LANÇ_MOV[[#This Row],[DATA DE LANÇAMENTO]]="","",TEXT(LANÇ_MOV[[#This Row],[DATA DE LANÇAMENTO]],"AAAA"))</f>
        <v/>
      </c>
      <c r="AB649" s="524" t="str">
        <f>IF(LANÇ_MOV[[#This Row],[DATA DE LANÇAMENTO]]="","",UPPER(TEXT(LANÇ_MOV[[#This Row],[DATA DE LANÇAMENTO]],"MMMM")))</f>
        <v/>
      </c>
      <c r="AC649" s="525" t="str">
        <f>IF(LANÇ_MOV[[#This Row],[DATA DE LANÇAMENTO]]="","",PROPER(TEXT(LANÇ_MOV[[#This Row],[DATA DE LANÇAMENTO]],"M")))</f>
        <v/>
      </c>
      <c r="AD649" s="524" t="str">
        <f>IF(LANÇ_MOV[[#This Row],[DATA DE LANÇAMENTO]]="","",TEXT(LANÇ_MOV[[#This Row],[DATA DE LANÇAMENTO]],"D"))</f>
        <v/>
      </c>
      <c r="AE649" s="526" t="str">
        <f>IF(LANÇ_MOV[[#This Row],[DATA DE VENCIMENTO]]="","",TEXT(LANÇ_MOV[[#This Row],[DATA DE VENCIMENTO]],"AAAA"))</f>
        <v/>
      </c>
      <c r="AF649" s="526" t="str">
        <f>IF(LANÇ_MOV[[#This Row],[DATA DE VENCIMENTO]]="","",UPPER(TEXT(LANÇ_MOV[[#This Row],[DATA DE VENCIMENTO]],"MMMM")))</f>
        <v/>
      </c>
      <c r="AG649" s="526" t="str">
        <f>IF(LANÇ_MOV[[#This Row],[DATA DE VENCIMENTO]]="","",TEXT(LANÇ_MOV[[#This Row],[DATA DE VENCIMENTO]],"M"))</f>
        <v/>
      </c>
      <c r="AH649" s="526" t="str">
        <f>IF(LANÇ_MOV[[#This Row],[DATA DE VENCIMENTO]]="","",TEXT(LANÇ_MOV[[#This Row],[DATA DE VENCIMENTO]],"D"))</f>
        <v/>
      </c>
      <c r="AI649" s="526" t="str">
        <f>IF(LANÇ_MOV[[#This Row],[DATA DE PAGAMENTO]]="","",TEXT(LANÇ_MOV[[#This Row],[DATA DE PAGAMENTO]],"AAAA"))</f>
        <v/>
      </c>
      <c r="AJ649" s="527" t="str">
        <f>IF(LANÇ_MOV[[#This Row],[DATA DE PAGAMENTO]]="","",UPPER(TEXT(LANÇ_MOV[[#This Row],[DATA DE PAGAMENTO]],"MMMM")))</f>
        <v/>
      </c>
      <c r="AK649" s="527" t="str">
        <f>IF(LANÇ_MOV[[#This Row],[DATA DE PAGAMENTO]]="","",TEXT(LANÇ_MOV[[#This Row],[DATA DE PAGAMENTO]],"M"))</f>
        <v/>
      </c>
      <c r="AL649" s="526" t="str">
        <f>IF(LANÇ_MOV[[#This Row],[DATA DE PAGAMENTO]]="","",TEXT(LANÇ_MOV[[#This Row],[DATA DE PAGAMENTO]],"D"))</f>
        <v/>
      </c>
    </row>
    <row r="650" spans="2:38" ht="30.05" customHeight="1" x14ac:dyDescent="0.35">
      <c r="B650" s="506"/>
      <c r="C650" s="507"/>
      <c r="D650" s="508" t="s">
        <v>1854</v>
      </c>
      <c r="E650" s="509"/>
      <c r="F650" s="510"/>
      <c r="G650" s="507"/>
      <c r="H650" s="511"/>
      <c r="I650" s="512"/>
      <c r="J650" s="518"/>
      <c r="K650" s="510"/>
      <c r="L650" s="510"/>
      <c r="M650" s="548"/>
      <c r="N650" s="514">
        <f>LANÇ_MOV[[#This Row],[VALOR BRUTO]]-LANÇ_MOV[[#This Row],[DESCONTO]]+LANÇ_MOV[[#This Row],[JUROS]]+LANÇ_MOV[[#This Row],[MULTA]]</f>
        <v>0</v>
      </c>
      <c r="O650" s="546"/>
      <c r="P650" s="547" t="str">
        <f t="shared" ca="1" si="10"/>
        <v/>
      </c>
      <c r="Q650" s="528"/>
      <c r="R650" s="529"/>
      <c r="S650" s="518"/>
      <c r="T650" s="518"/>
      <c r="U650" s="519"/>
      <c r="V650" s="520" t="str">
        <f>IFERROR(VLOOKUP(LANÇ_MOV[[#This Row],[PLANO DE CONTAS]],Plano_Contas[[PLANO DE CONTAS]:[R / D]],3,0),"")</f>
        <v/>
      </c>
      <c r="W650" s="521" t="str">
        <f>IF(LANÇ_MOV[[#This Row],[DATA DE PAGAMENTO]]&lt;&gt;"","Pago","Não Pago")</f>
        <v>Não Pago</v>
      </c>
      <c r="X650" s="522" t="str">
        <f>IFERROR(IF(LANÇ_MOV[[#This Row],[DATA DE PAGAMENTO]]="","",(UPPER(TEXT(LANÇ_MOV[[#This Row],[DATA DE PAGAMENTO]],"mmmm")))),"")</f>
        <v/>
      </c>
      <c r="Y650" s="523" t="str">
        <f>IFERROR(VLOOKUP(LANÇ_MOV[[#This Row],[PLANO DE CONTAS]],Plano_Contas[[PLANO DE CONTAS]:[NOMES INTERVALOS]],2,0),"")</f>
        <v/>
      </c>
      <c r="Z650" s="523" t="str">
        <f>IF(LANÇ_MOV[[#This Row],[FORMA DE PAGAMENTO]]="","",VLOOKUP(LANÇ_MOV[[#This Row],[FORMA DE PAGAMENTO]],CAD_Forma_pagto[],2,0))</f>
        <v/>
      </c>
      <c r="AA650" s="524" t="str">
        <f>IF(LANÇ_MOV[[#This Row],[DATA DE LANÇAMENTO]]="","",TEXT(LANÇ_MOV[[#This Row],[DATA DE LANÇAMENTO]],"AAAA"))</f>
        <v/>
      </c>
      <c r="AB650" s="524" t="str">
        <f>IF(LANÇ_MOV[[#This Row],[DATA DE LANÇAMENTO]]="","",UPPER(TEXT(LANÇ_MOV[[#This Row],[DATA DE LANÇAMENTO]],"MMMM")))</f>
        <v/>
      </c>
      <c r="AC650" s="525" t="str">
        <f>IF(LANÇ_MOV[[#This Row],[DATA DE LANÇAMENTO]]="","",PROPER(TEXT(LANÇ_MOV[[#This Row],[DATA DE LANÇAMENTO]],"M")))</f>
        <v/>
      </c>
      <c r="AD650" s="524" t="str">
        <f>IF(LANÇ_MOV[[#This Row],[DATA DE LANÇAMENTO]]="","",TEXT(LANÇ_MOV[[#This Row],[DATA DE LANÇAMENTO]],"D"))</f>
        <v/>
      </c>
      <c r="AE650" s="526" t="str">
        <f>IF(LANÇ_MOV[[#This Row],[DATA DE VENCIMENTO]]="","",TEXT(LANÇ_MOV[[#This Row],[DATA DE VENCIMENTO]],"AAAA"))</f>
        <v/>
      </c>
      <c r="AF650" s="526" t="str">
        <f>IF(LANÇ_MOV[[#This Row],[DATA DE VENCIMENTO]]="","",UPPER(TEXT(LANÇ_MOV[[#This Row],[DATA DE VENCIMENTO]],"MMMM")))</f>
        <v/>
      </c>
      <c r="AG650" s="526" t="str">
        <f>IF(LANÇ_MOV[[#This Row],[DATA DE VENCIMENTO]]="","",TEXT(LANÇ_MOV[[#This Row],[DATA DE VENCIMENTO]],"M"))</f>
        <v/>
      </c>
      <c r="AH650" s="526" t="str">
        <f>IF(LANÇ_MOV[[#This Row],[DATA DE VENCIMENTO]]="","",TEXT(LANÇ_MOV[[#This Row],[DATA DE VENCIMENTO]],"D"))</f>
        <v/>
      </c>
      <c r="AI650" s="526" t="str">
        <f>IF(LANÇ_MOV[[#This Row],[DATA DE PAGAMENTO]]="","",TEXT(LANÇ_MOV[[#This Row],[DATA DE PAGAMENTO]],"AAAA"))</f>
        <v/>
      </c>
      <c r="AJ650" s="527" t="str">
        <f>IF(LANÇ_MOV[[#This Row],[DATA DE PAGAMENTO]]="","",UPPER(TEXT(LANÇ_MOV[[#This Row],[DATA DE PAGAMENTO]],"MMMM")))</f>
        <v/>
      </c>
      <c r="AK650" s="527" t="str">
        <f>IF(LANÇ_MOV[[#This Row],[DATA DE PAGAMENTO]]="","",TEXT(LANÇ_MOV[[#This Row],[DATA DE PAGAMENTO]],"M"))</f>
        <v/>
      </c>
      <c r="AL650" s="526" t="str">
        <f>IF(LANÇ_MOV[[#This Row],[DATA DE PAGAMENTO]]="","",TEXT(LANÇ_MOV[[#This Row],[DATA DE PAGAMENTO]],"D"))</f>
        <v/>
      </c>
    </row>
    <row r="651" spans="2:38" ht="30.05" customHeight="1" x14ac:dyDescent="0.35">
      <c r="B651" s="506"/>
      <c r="C651" s="507"/>
      <c r="D651" s="508" t="s">
        <v>1854</v>
      </c>
      <c r="E651" s="509"/>
      <c r="F651" s="510"/>
      <c r="G651" s="507"/>
      <c r="H651" s="511"/>
      <c r="I651" s="512"/>
      <c r="J651" s="518"/>
      <c r="K651" s="510"/>
      <c r="L651" s="510"/>
      <c r="M651" s="548"/>
      <c r="N651" s="514">
        <f>LANÇ_MOV[[#This Row],[VALOR BRUTO]]-LANÇ_MOV[[#This Row],[DESCONTO]]+LANÇ_MOV[[#This Row],[JUROS]]+LANÇ_MOV[[#This Row],[MULTA]]</f>
        <v>0</v>
      </c>
      <c r="O651" s="546"/>
      <c r="P651" s="547" t="str">
        <f t="shared" ca="1" si="10"/>
        <v/>
      </c>
      <c r="Q651" s="528"/>
      <c r="R651" s="529"/>
      <c r="S651" s="518"/>
      <c r="T651" s="518"/>
      <c r="U651" s="519"/>
      <c r="V651" s="520" t="str">
        <f>IFERROR(VLOOKUP(LANÇ_MOV[[#This Row],[PLANO DE CONTAS]],Plano_Contas[[PLANO DE CONTAS]:[R / D]],3,0),"")</f>
        <v/>
      </c>
      <c r="W651" s="521" t="str">
        <f>IF(LANÇ_MOV[[#This Row],[DATA DE PAGAMENTO]]&lt;&gt;"","Pago","Não Pago")</f>
        <v>Não Pago</v>
      </c>
      <c r="X651" s="522" t="str">
        <f>IFERROR(IF(LANÇ_MOV[[#This Row],[DATA DE PAGAMENTO]]="","",(UPPER(TEXT(LANÇ_MOV[[#This Row],[DATA DE PAGAMENTO]],"mmmm")))),"")</f>
        <v/>
      </c>
      <c r="Y651" s="523" t="str">
        <f>IFERROR(VLOOKUP(LANÇ_MOV[[#This Row],[PLANO DE CONTAS]],Plano_Contas[[PLANO DE CONTAS]:[NOMES INTERVALOS]],2,0),"")</f>
        <v/>
      </c>
      <c r="Z651" s="523" t="str">
        <f>IF(LANÇ_MOV[[#This Row],[FORMA DE PAGAMENTO]]="","",VLOOKUP(LANÇ_MOV[[#This Row],[FORMA DE PAGAMENTO]],CAD_Forma_pagto[],2,0))</f>
        <v/>
      </c>
      <c r="AA651" s="524" t="str">
        <f>IF(LANÇ_MOV[[#This Row],[DATA DE LANÇAMENTO]]="","",TEXT(LANÇ_MOV[[#This Row],[DATA DE LANÇAMENTO]],"AAAA"))</f>
        <v/>
      </c>
      <c r="AB651" s="524" t="str">
        <f>IF(LANÇ_MOV[[#This Row],[DATA DE LANÇAMENTO]]="","",UPPER(TEXT(LANÇ_MOV[[#This Row],[DATA DE LANÇAMENTO]],"MMMM")))</f>
        <v/>
      </c>
      <c r="AC651" s="525" t="str">
        <f>IF(LANÇ_MOV[[#This Row],[DATA DE LANÇAMENTO]]="","",PROPER(TEXT(LANÇ_MOV[[#This Row],[DATA DE LANÇAMENTO]],"M")))</f>
        <v/>
      </c>
      <c r="AD651" s="524" t="str">
        <f>IF(LANÇ_MOV[[#This Row],[DATA DE LANÇAMENTO]]="","",TEXT(LANÇ_MOV[[#This Row],[DATA DE LANÇAMENTO]],"D"))</f>
        <v/>
      </c>
      <c r="AE651" s="526" t="str">
        <f>IF(LANÇ_MOV[[#This Row],[DATA DE VENCIMENTO]]="","",TEXT(LANÇ_MOV[[#This Row],[DATA DE VENCIMENTO]],"AAAA"))</f>
        <v/>
      </c>
      <c r="AF651" s="526" t="str">
        <f>IF(LANÇ_MOV[[#This Row],[DATA DE VENCIMENTO]]="","",UPPER(TEXT(LANÇ_MOV[[#This Row],[DATA DE VENCIMENTO]],"MMMM")))</f>
        <v/>
      </c>
      <c r="AG651" s="526" t="str">
        <f>IF(LANÇ_MOV[[#This Row],[DATA DE VENCIMENTO]]="","",TEXT(LANÇ_MOV[[#This Row],[DATA DE VENCIMENTO]],"M"))</f>
        <v/>
      </c>
      <c r="AH651" s="526" t="str">
        <f>IF(LANÇ_MOV[[#This Row],[DATA DE VENCIMENTO]]="","",TEXT(LANÇ_MOV[[#This Row],[DATA DE VENCIMENTO]],"D"))</f>
        <v/>
      </c>
      <c r="AI651" s="526" t="str">
        <f>IF(LANÇ_MOV[[#This Row],[DATA DE PAGAMENTO]]="","",TEXT(LANÇ_MOV[[#This Row],[DATA DE PAGAMENTO]],"AAAA"))</f>
        <v/>
      </c>
      <c r="AJ651" s="527" t="str">
        <f>IF(LANÇ_MOV[[#This Row],[DATA DE PAGAMENTO]]="","",UPPER(TEXT(LANÇ_MOV[[#This Row],[DATA DE PAGAMENTO]],"MMMM")))</f>
        <v/>
      </c>
      <c r="AK651" s="527" t="str">
        <f>IF(LANÇ_MOV[[#This Row],[DATA DE PAGAMENTO]]="","",TEXT(LANÇ_MOV[[#This Row],[DATA DE PAGAMENTO]],"M"))</f>
        <v/>
      </c>
      <c r="AL651" s="526" t="str">
        <f>IF(LANÇ_MOV[[#This Row],[DATA DE PAGAMENTO]]="","",TEXT(LANÇ_MOV[[#This Row],[DATA DE PAGAMENTO]],"D"))</f>
        <v/>
      </c>
    </row>
    <row r="652" spans="2:38" ht="30.05" customHeight="1" x14ac:dyDescent="0.35">
      <c r="B652" s="506"/>
      <c r="C652" s="507"/>
      <c r="D652" s="508" t="s">
        <v>1854</v>
      </c>
      <c r="E652" s="509"/>
      <c r="F652" s="510"/>
      <c r="G652" s="507"/>
      <c r="H652" s="511"/>
      <c r="I652" s="512"/>
      <c r="J652" s="518"/>
      <c r="K652" s="510"/>
      <c r="L652" s="510"/>
      <c r="M652" s="548"/>
      <c r="N652" s="514">
        <f>LANÇ_MOV[[#This Row],[VALOR BRUTO]]-LANÇ_MOV[[#This Row],[DESCONTO]]+LANÇ_MOV[[#This Row],[JUROS]]+LANÇ_MOV[[#This Row],[MULTA]]</f>
        <v>0</v>
      </c>
      <c r="O652" s="546"/>
      <c r="P652" s="547" t="str">
        <f t="shared" ca="1" si="10"/>
        <v/>
      </c>
      <c r="Q652" s="528"/>
      <c r="R652" s="529"/>
      <c r="S652" s="518"/>
      <c r="T652" s="518"/>
      <c r="U652" s="519"/>
      <c r="V652" s="520" t="str">
        <f>IFERROR(VLOOKUP(LANÇ_MOV[[#This Row],[PLANO DE CONTAS]],Plano_Contas[[PLANO DE CONTAS]:[R / D]],3,0),"")</f>
        <v/>
      </c>
      <c r="W652" s="521" t="str">
        <f>IF(LANÇ_MOV[[#This Row],[DATA DE PAGAMENTO]]&lt;&gt;"","Pago","Não Pago")</f>
        <v>Não Pago</v>
      </c>
      <c r="X652" s="522" t="str">
        <f>IFERROR(IF(LANÇ_MOV[[#This Row],[DATA DE PAGAMENTO]]="","",(UPPER(TEXT(LANÇ_MOV[[#This Row],[DATA DE PAGAMENTO]],"mmmm")))),"")</f>
        <v/>
      </c>
      <c r="Y652" s="523" t="str">
        <f>IFERROR(VLOOKUP(LANÇ_MOV[[#This Row],[PLANO DE CONTAS]],Plano_Contas[[PLANO DE CONTAS]:[NOMES INTERVALOS]],2,0),"")</f>
        <v/>
      </c>
      <c r="Z652" s="523" t="str">
        <f>IF(LANÇ_MOV[[#This Row],[FORMA DE PAGAMENTO]]="","",VLOOKUP(LANÇ_MOV[[#This Row],[FORMA DE PAGAMENTO]],CAD_Forma_pagto[],2,0))</f>
        <v/>
      </c>
      <c r="AA652" s="524" t="str">
        <f>IF(LANÇ_MOV[[#This Row],[DATA DE LANÇAMENTO]]="","",TEXT(LANÇ_MOV[[#This Row],[DATA DE LANÇAMENTO]],"AAAA"))</f>
        <v/>
      </c>
      <c r="AB652" s="524" t="str">
        <f>IF(LANÇ_MOV[[#This Row],[DATA DE LANÇAMENTO]]="","",UPPER(TEXT(LANÇ_MOV[[#This Row],[DATA DE LANÇAMENTO]],"MMMM")))</f>
        <v/>
      </c>
      <c r="AC652" s="525" t="str">
        <f>IF(LANÇ_MOV[[#This Row],[DATA DE LANÇAMENTO]]="","",PROPER(TEXT(LANÇ_MOV[[#This Row],[DATA DE LANÇAMENTO]],"M")))</f>
        <v/>
      </c>
      <c r="AD652" s="524" t="str">
        <f>IF(LANÇ_MOV[[#This Row],[DATA DE LANÇAMENTO]]="","",TEXT(LANÇ_MOV[[#This Row],[DATA DE LANÇAMENTO]],"D"))</f>
        <v/>
      </c>
      <c r="AE652" s="526" t="str">
        <f>IF(LANÇ_MOV[[#This Row],[DATA DE VENCIMENTO]]="","",TEXT(LANÇ_MOV[[#This Row],[DATA DE VENCIMENTO]],"AAAA"))</f>
        <v/>
      </c>
      <c r="AF652" s="526" t="str">
        <f>IF(LANÇ_MOV[[#This Row],[DATA DE VENCIMENTO]]="","",UPPER(TEXT(LANÇ_MOV[[#This Row],[DATA DE VENCIMENTO]],"MMMM")))</f>
        <v/>
      </c>
      <c r="AG652" s="526" t="str">
        <f>IF(LANÇ_MOV[[#This Row],[DATA DE VENCIMENTO]]="","",TEXT(LANÇ_MOV[[#This Row],[DATA DE VENCIMENTO]],"M"))</f>
        <v/>
      </c>
      <c r="AH652" s="526" t="str">
        <f>IF(LANÇ_MOV[[#This Row],[DATA DE VENCIMENTO]]="","",TEXT(LANÇ_MOV[[#This Row],[DATA DE VENCIMENTO]],"D"))</f>
        <v/>
      </c>
      <c r="AI652" s="526" t="str">
        <f>IF(LANÇ_MOV[[#This Row],[DATA DE PAGAMENTO]]="","",TEXT(LANÇ_MOV[[#This Row],[DATA DE PAGAMENTO]],"AAAA"))</f>
        <v/>
      </c>
      <c r="AJ652" s="527" t="str">
        <f>IF(LANÇ_MOV[[#This Row],[DATA DE PAGAMENTO]]="","",UPPER(TEXT(LANÇ_MOV[[#This Row],[DATA DE PAGAMENTO]],"MMMM")))</f>
        <v/>
      </c>
      <c r="AK652" s="527" t="str">
        <f>IF(LANÇ_MOV[[#This Row],[DATA DE PAGAMENTO]]="","",TEXT(LANÇ_MOV[[#This Row],[DATA DE PAGAMENTO]],"M"))</f>
        <v/>
      </c>
      <c r="AL652" s="526" t="str">
        <f>IF(LANÇ_MOV[[#This Row],[DATA DE PAGAMENTO]]="","",TEXT(LANÇ_MOV[[#This Row],[DATA DE PAGAMENTO]],"D"))</f>
        <v/>
      </c>
    </row>
    <row r="653" spans="2:38" ht="30.05" customHeight="1" x14ac:dyDescent="0.35">
      <c r="B653" s="506"/>
      <c r="C653" s="507"/>
      <c r="D653" s="508" t="s">
        <v>1854</v>
      </c>
      <c r="E653" s="509"/>
      <c r="F653" s="510"/>
      <c r="G653" s="507"/>
      <c r="H653" s="511"/>
      <c r="I653" s="512"/>
      <c r="J653" s="518"/>
      <c r="K653" s="510"/>
      <c r="L653" s="510"/>
      <c r="M653" s="548"/>
      <c r="N653" s="514">
        <f>LANÇ_MOV[[#This Row],[VALOR BRUTO]]-LANÇ_MOV[[#This Row],[DESCONTO]]+LANÇ_MOV[[#This Row],[JUROS]]+LANÇ_MOV[[#This Row],[MULTA]]</f>
        <v>0</v>
      </c>
      <c r="O653" s="546"/>
      <c r="P653" s="547" t="str">
        <f t="shared" ca="1" si="10"/>
        <v/>
      </c>
      <c r="Q653" s="528"/>
      <c r="R653" s="529"/>
      <c r="S653" s="518"/>
      <c r="T653" s="518"/>
      <c r="U653" s="519"/>
      <c r="V653" s="520" t="str">
        <f>IFERROR(VLOOKUP(LANÇ_MOV[[#This Row],[PLANO DE CONTAS]],Plano_Contas[[PLANO DE CONTAS]:[R / D]],3,0),"")</f>
        <v/>
      </c>
      <c r="W653" s="521" t="str">
        <f>IF(LANÇ_MOV[[#This Row],[DATA DE PAGAMENTO]]&lt;&gt;"","Pago","Não Pago")</f>
        <v>Não Pago</v>
      </c>
      <c r="X653" s="522" t="str">
        <f>IFERROR(IF(LANÇ_MOV[[#This Row],[DATA DE PAGAMENTO]]="","",(UPPER(TEXT(LANÇ_MOV[[#This Row],[DATA DE PAGAMENTO]],"mmmm")))),"")</f>
        <v/>
      </c>
      <c r="Y653" s="523" t="str">
        <f>IFERROR(VLOOKUP(LANÇ_MOV[[#This Row],[PLANO DE CONTAS]],Plano_Contas[[PLANO DE CONTAS]:[NOMES INTERVALOS]],2,0),"")</f>
        <v/>
      </c>
      <c r="Z653" s="523" t="str">
        <f>IF(LANÇ_MOV[[#This Row],[FORMA DE PAGAMENTO]]="","",VLOOKUP(LANÇ_MOV[[#This Row],[FORMA DE PAGAMENTO]],CAD_Forma_pagto[],2,0))</f>
        <v/>
      </c>
      <c r="AA653" s="524" t="str">
        <f>IF(LANÇ_MOV[[#This Row],[DATA DE LANÇAMENTO]]="","",TEXT(LANÇ_MOV[[#This Row],[DATA DE LANÇAMENTO]],"AAAA"))</f>
        <v/>
      </c>
      <c r="AB653" s="524" t="str">
        <f>IF(LANÇ_MOV[[#This Row],[DATA DE LANÇAMENTO]]="","",UPPER(TEXT(LANÇ_MOV[[#This Row],[DATA DE LANÇAMENTO]],"MMMM")))</f>
        <v/>
      </c>
      <c r="AC653" s="525" t="str">
        <f>IF(LANÇ_MOV[[#This Row],[DATA DE LANÇAMENTO]]="","",PROPER(TEXT(LANÇ_MOV[[#This Row],[DATA DE LANÇAMENTO]],"M")))</f>
        <v/>
      </c>
      <c r="AD653" s="524" t="str">
        <f>IF(LANÇ_MOV[[#This Row],[DATA DE LANÇAMENTO]]="","",TEXT(LANÇ_MOV[[#This Row],[DATA DE LANÇAMENTO]],"D"))</f>
        <v/>
      </c>
      <c r="AE653" s="526" t="str">
        <f>IF(LANÇ_MOV[[#This Row],[DATA DE VENCIMENTO]]="","",TEXT(LANÇ_MOV[[#This Row],[DATA DE VENCIMENTO]],"AAAA"))</f>
        <v/>
      </c>
      <c r="AF653" s="526" t="str">
        <f>IF(LANÇ_MOV[[#This Row],[DATA DE VENCIMENTO]]="","",UPPER(TEXT(LANÇ_MOV[[#This Row],[DATA DE VENCIMENTO]],"MMMM")))</f>
        <v/>
      </c>
      <c r="AG653" s="526" t="str">
        <f>IF(LANÇ_MOV[[#This Row],[DATA DE VENCIMENTO]]="","",TEXT(LANÇ_MOV[[#This Row],[DATA DE VENCIMENTO]],"M"))</f>
        <v/>
      </c>
      <c r="AH653" s="526" t="str">
        <f>IF(LANÇ_MOV[[#This Row],[DATA DE VENCIMENTO]]="","",TEXT(LANÇ_MOV[[#This Row],[DATA DE VENCIMENTO]],"D"))</f>
        <v/>
      </c>
      <c r="AI653" s="526" t="str">
        <f>IF(LANÇ_MOV[[#This Row],[DATA DE PAGAMENTO]]="","",TEXT(LANÇ_MOV[[#This Row],[DATA DE PAGAMENTO]],"AAAA"))</f>
        <v/>
      </c>
      <c r="AJ653" s="527" t="str">
        <f>IF(LANÇ_MOV[[#This Row],[DATA DE PAGAMENTO]]="","",UPPER(TEXT(LANÇ_MOV[[#This Row],[DATA DE PAGAMENTO]],"MMMM")))</f>
        <v/>
      </c>
      <c r="AK653" s="527" t="str">
        <f>IF(LANÇ_MOV[[#This Row],[DATA DE PAGAMENTO]]="","",TEXT(LANÇ_MOV[[#This Row],[DATA DE PAGAMENTO]],"M"))</f>
        <v/>
      </c>
      <c r="AL653" s="526" t="str">
        <f>IF(LANÇ_MOV[[#This Row],[DATA DE PAGAMENTO]]="","",TEXT(LANÇ_MOV[[#This Row],[DATA DE PAGAMENTO]],"D"))</f>
        <v/>
      </c>
    </row>
    <row r="654" spans="2:38" ht="30.05" customHeight="1" x14ac:dyDescent="0.35">
      <c r="B654" s="506"/>
      <c r="C654" s="507"/>
      <c r="D654" s="508" t="s">
        <v>1854</v>
      </c>
      <c r="E654" s="509"/>
      <c r="F654" s="510"/>
      <c r="G654" s="507"/>
      <c r="H654" s="511"/>
      <c r="I654" s="512"/>
      <c r="J654" s="518"/>
      <c r="K654" s="510"/>
      <c r="L654" s="510"/>
      <c r="M654" s="548"/>
      <c r="N654" s="514">
        <f>LANÇ_MOV[[#This Row],[VALOR BRUTO]]-LANÇ_MOV[[#This Row],[DESCONTO]]+LANÇ_MOV[[#This Row],[JUROS]]+LANÇ_MOV[[#This Row],[MULTA]]</f>
        <v>0</v>
      </c>
      <c r="O654" s="546"/>
      <c r="P654" s="547" t="str">
        <f t="shared" ca="1" si="10"/>
        <v/>
      </c>
      <c r="Q654" s="528"/>
      <c r="R654" s="529"/>
      <c r="S654" s="518"/>
      <c r="T654" s="518"/>
      <c r="U654" s="519"/>
      <c r="V654" s="520" t="str">
        <f>IFERROR(VLOOKUP(LANÇ_MOV[[#This Row],[PLANO DE CONTAS]],Plano_Contas[[PLANO DE CONTAS]:[R / D]],3,0),"")</f>
        <v/>
      </c>
      <c r="W654" s="521" t="str">
        <f>IF(LANÇ_MOV[[#This Row],[DATA DE PAGAMENTO]]&lt;&gt;"","Pago","Não Pago")</f>
        <v>Não Pago</v>
      </c>
      <c r="X654" s="522" t="str">
        <f>IFERROR(IF(LANÇ_MOV[[#This Row],[DATA DE PAGAMENTO]]="","",(UPPER(TEXT(LANÇ_MOV[[#This Row],[DATA DE PAGAMENTO]],"mmmm")))),"")</f>
        <v/>
      </c>
      <c r="Y654" s="523" t="str">
        <f>IFERROR(VLOOKUP(LANÇ_MOV[[#This Row],[PLANO DE CONTAS]],Plano_Contas[[PLANO DE CONTAS]:[NOMES INTERVALOS]],2,0),"")</f>
        <v/>
      </c>
      <c r="Z654" s="523" t="str">
        <f>IF(LANÇ_MOV[[#This Row],[FORMA DE PAGAMENTO]]="","",VLOOKUP(LANÇ_MOV[[#This Row],[FORMA DE PAGAMENTO]],CAD_Forma_pagto[],2,0))</f>
        <v/>
      </c>
      <c r="AA654" s="524" t="str">
        <f>IF(LANÇ_MOV[[#This Row],[DATA DE LANÇAMENTO]]="","",TEXT(LANÇ_MOV[[#This Row],[DATA DE LANÇAMENTO]],"AAAA"))</f>
        <v/>
      </c>
      <c r="AB654" s="524" t="str">
        <f>IF(LANÇ_MOV[[#This Row],[DATA DE LANÇAMENTO]]="","",UPPER(TEXT(LANÇ_MOV[[#This Row],[DATA DE LANÇAMENTO]],"MMMM")))</f>
        <v/>
      </c>
      <c r="AC654" s="525" t="str">
        <f>IF(LANÇ_MOV[[#This Row],[DATA DE LANÇAMENTO]]="","",PROPER(TEXT(LANÇ_MOV[[#This Row],[DATA DE LANÇAMENTO]],"M")))</f>
        <v/>
      </c>
      <c r="AD654" s="524" t="str">
        <f>IF(LANÇ_MOV[[#This Row],[DATA DE LANÇAMENTO]]="","",TEXT(LANÇ_MOV[[#This Row],[DATA DE LANÇAMENTO]],"D"))</f>
        <v/>
      </c>
      <c r="AE654" s="526" t="str">
        <f>IF(LANÇ_MOV[[#This Row],[DATA DE VENCIMENTO]]="","",TEXT(LANÇ_MOV[[#This Row],[DATA DE VENCIMENTO]],"AAAA"))</f>
        <v/>
      </c>
      <c r="AF654" s="526" t="str">
        <f>IF(LANÇ_MOV[[#This Row],[DATA DE VENCIMENTO]]="","",UPPER(TEXT(LANÇ_MOV[[#This Row],[DATA DE VENCIMENTO]],"MMMM")))</f>
        <v/>
      </c>
      <c r="AG654" s="526" t="str">
        <f>IF(LANÇ_MOV[[#This Row],[DATA DE VENCIMENTO]]="","",TEXT(LANÇ_MOV[[#This Row],[DATA DE VENCIMENTO]],"M"))</f>
        <v/>
      </c>
      <c r="AH654" s="526" t="str">
        <f>IF(LANÇ_MOV[[#This Row],[DATA DE VENCIMENTO]]="","",TEXT(LANÇ_MOV[[#This Row],[DATA DE VENCIMENTO]],"D"))</f>
        <v/>
      </c>
      <c r="AI654" s="526" t="str">
        <f>IF(LANÇ_MOV[[#This Row],[DATA DE PAGAMENTO]]="","",TEXT(LANÇ_MOV[[#This Row],[DATA DE PAGAMENTO]],"AAAA"))</f>
        <v/>
      </c>
      <c r="AJ654" s="527" t="str">
        <f>IF(LANÇ_MOV[[#This Row],[DATA DE PAGAMENTO]]="","",UPPER(TEXT(LANÇ_MOV[[#This Row],[DATA DE PAGAMENTO]],"MMMM")))</f>
        <v/>
      </c>
      <c r="AK654" s="527" t="str">
        <f>IF(LANÇ_MOV[[#This Row],[DATA DE PAGAMENTO]]="","",TEXT(LANÇ_MOV[[#This Row],[DATA DE PAGAMENTO]],"M"))</f>
        <v/>
      </c>
      <c r="AL654" s="526" t="str">
        <f>IF(LANÇ_MOV[[#This Row],[DATA DE PAGAMENTO]]="","",TEXT(LANÇ_MOV[[#This Row],[DATA DE PAGAMENTO]],"D"))</f>
        <v/>
      </c>
    </row>
    <row r="655" spans="2:38" ht="30.05" customHeight="1" x14ac:dyDescent="0.35">
      <c r="B655" s="506"/>
      <c r="C655" s="507"/>
      <c r="D655" s="508" t="s">
        <v>1854</v>
      </c>
      <c r="E655" s="509"/>
      <c r="F655" s="510"/>
      <c r="G655" s="507"/>
      <c r="H655" s="511"/>
      <c r="I655" s="512"/>
      <c r="J655" s="518"/>
      <c r="K655" s="510"/>
      <c r="L655" s="510"/>
      <c r="M655" s="548"/>
      <c r="N655" s="514">
        <f>LANÇ_MOV[[#This Row],[VALOR BRUTO]]-LANÇ_MOV[[#This Row],[DESCONTO]]+LANÇ_MOV[[#This Row],[JUROS]]+LANÇ_MOV[[#This Row],[MULTA]]</f>
        <v>0</v>
      </c>
      <c r="O655" s="546"/>
      <c r="P655" s="547" t="str">
        <f t="shared" ca="1" si="10"/>
        <v/>
      </c>
      <c r="Q655" s="528"/>
      <c r="R655" s="529"/>
      <c r="S655" s="518"/>
      <c r="T655" s="518"/>
      <c r="U655" s="519"/>
      <c r="V655" s="520" t="str">
        <f>IFERROR(VLOOKUP(LANÇ_MOV[[#This Row],[PLANO DE CONTAS]],Plano_Contas[[PLANO DE CONTAS]:[R / D]],3,0),"")</f>
        <v/>
      </c>
      <c r="W655" s="521" t="str">
        <f>IF(LANÇ_MOV[[#This Row],[DATA DE PAGAMENTO]]&lt;&gt;"","Pago","Não Pago")</f>
        <v>Não Pago</v>
      </c>
      <c r="X655" s="522" t="str">
        <f>IFERROR(IF(LANÇ_MOV[[#This Row],[DATA DE PAGAMENTO]]="","",(UPPER(TEXT(LANÇ_MOV[[#This Row],[DATA DE PAGAMENTO]],"mmmm")))),"")</f>
        <v/>
      </c>
      <c r="Y655" s="523" t="str">
        <f>IFERROR(VLOOKUP(LANÇ_MOV[[#This Row],[PLANO DE CONTAS]],Plano_Contas[[PLANO DE CONTAS]:[NOMES INTERVALOS]],2,0),"")</f>
        <v/>
      </c>
      <c r="Z655" s="523" t="str">
        <f>IF(LANÇ_MOV[[#This Row],[FORMA DE PAGAMENTO]]="","",VLOOKUP(LANÇ_MOV[[#This Row],[FORMA DE PAGAMENTO]],CAD_Forma_pagto[],2,0))</f>
        <v/>
      </c>
      <c r="AA655" s="524" t="str">
        <f>IF(LANÇ_MOV[[#This Row],[DATA DE LANÇAMENTO]]="","",TEXT(LANÇ_MOV[[#This Row],[DATA DE LANÇAMENTO]],"AAAA"))</f>
        <v/>
      </c>
      <c r="AB655" s="524" t="str">
        <f>IF(LANÇ_MOV[[#This Row],[DATA DE LANÇAMENTO]]="","",UPPER(TEXT(LANÇ_MOV[[#This Row],[DATA DE LANÇAMENTO]],"MMMM")))</f>
        <v/>
      </c>
      <c r="AC655" s="525" t="str">
        <f>IF(LANÇ_MOV[[#This Row],[DATA DE LANÇAMENTO]]="","",PROPER(TEXT(LANÇ_MOV[[#This Row],[DATA DE LANÇAMENTO]],"M")))</f>
        <v/>
      </c>
      <c r="AD655" s="524" t="str">
        <f>IF(LANÇ_MOV[[#This Row],[DATA DE LANÇAMENTO]]="","",TEXT(LANÇ_MOV[[#This Row],[DATA DE LANÇAMENTO]],"D"))</f>
        <v/>
      </c>
      <c r="AE655" s="526" t="str">
        <f>IF(LANÇ_MOV[[#This Row],[DATA DE VENCIMENTO]]="","",TEXT(LANÇ_MOV[[#This Row],[DATA DE VENCIMENTO]],"AAAA"))</f>
        <v/>
      </c>
      <c r="AF655" s="526" t="str">
        <f>IF(LANÇ_MOV[[#This Row],[DATA DE VENCIMENTO]]="","",UPPER(TEXT(LANÇ_MOV[[#This Row],[DATA DE VENCIMENTO]],"MMMM")))</f>
        <v/>
      </c>
      <c r="AG655" s="526" t="str">
        <f>IF(LANÇ_MOV[[#This Row],[DATA DE VENCIMENTO]]="","",TEXT(LANÇ_MOV[[#This Row],[DATA DE VENCIMENTO]],"M"))</f>
        <v/>
      </c>
      <c r="AH655" s="526" t="str">
        <f>IF(LANÇ_MOV[[#This Row],[DATA DE VENCIMENTO]]="","",TEXT(LANÇ_MOV[[#This Row],[DATA DE VENCIMENTO]],"D"))</f>
        <v/>
      </c>
      <c r="AI655" s="526" t="str">
        <f>IF(LANÇ_MOV[[#This Row],[DATA DE PAGAMENTO]]="","",TEXT(LANÇ_MOV[[#This Row],[DATA DE PAGAMENTO]],"AAAA"))</f>
        <v/>
      </c>
      <c r="AJ655" s="527" t="str">
        <f>IF(LANÇ_MOV[[#This Row],[DATA DE PAGAMENTO]]="","",UPPER(TEXT(LANÇ_MOV[[#This Row],[DATA DE PAGAMENTO]],"MMMM")))</f>
        <v/>
      </c>
      <c r="AK655" s="527" t="str">
        <f>IF(LANÇ_MOV[[#This Row],[DATA DE PAGAMENTO]]="","",TEXT(LANÇ_MOV[[#This Row],[DATA DE PAGAMENTO]],"M"))</f>
        <v/>
      </c>
      <c r="AL655" s="526" t="str">
        <f>IF(LANÇ_MOV[[#This Row],[DATA DE PAGAMENTO]]="","",TEXT(LANÇ_MOV[[#This Row],[DATA DE PAGAMENTO]],"D"))</f>
        <v/>
      </c>
    </row>
    <row r="656" spans="2:38" ht="30.05" customHeight="1" x14ac:dyDescent="0.35">
      <c r="B656" s="506"/>
      <c r="C656" s="507"/>
      <c r="D656" s="508" t="s">
        <v>1854</v>
      </c>
      <c r="E656" s="509"/>
      <c r="F656" s="510"/>
      <c r="G656" s="507"/>
      <c r="H656" s="511"/>
      <c r="I656" s="512"/>
      <c r="J656" s="518"/>
      <c r="K656" s="510"/>
      <c r="L656" s="510"/>
      <c r="M656" s="548"/>
      <c r="N656" s="514">
        <f>LANÇ_MOV[[#This Row],[VALOR BRUTO]]-LANÇ_MOV[[#This Row],[DESCONTO]]+LANÇ_MOV[[#This Row],[JUROS]]+LANÇ_MOV[[#This Row],[MULTA]]</f>
        <v>0</v>
      </c>
      <c r="O656" s="546"/>
      <c r="P656" s="547" t="str">
        <f t="shared" ca="1" si="10"/>
        <v/>
      </c>
      <c r="Q656" s="528"/>
      <c r="R656" s="529"/>
      <c r="S656" s="518"/>
      <c r="T656" s="518"/>
      <c r="U656" s="519"/>
      <c r="V656" s="520" t="str">
        <f>IFERROR(VLOOKUP(LANÇ_MOV[[#This Row],[PLANO DE CONTAS]],Plano_Contas[[PLANO DE CONTAS]:[R / D]],3,0),"")</f>
        <v/>
      </c>
      <c r="W656" s="521" t="str">
        <f>IF(LANÇ_MOV[[#This Row],[DATA DE PAGAMENTO]]&lt;&gt;"","Pago","Não Pago")</f>
        <v>Não Pago</v>
      </c>
      <c r="X656" s="522" t="str">
        <f>IFERROR(IF(LANÇ_MOV[[#This Row],[DATA DE PAGAMENTO]]="","",(UPPER(TEXT(LANÇ_MOV[[#This Row],[DATA DE PAGAMENTO]],"mmmm")))),"")</f>
        <v/>
      </c>
      <c r="Y656" s="523" t="str">
        <f>IFERROR(VLOOKUP(LANÇ_MOV[[#This Row],[PLANO DE CONTAS]],Plano_Contas[[PLANO DE CONTAS]:[NOMES INTERVALOS]],2,0),"")</f>
        <v/>
      </c>
      <c r="Z656" s="523" t="str">
        <f>IF(LANÇ_MOV[[#This Row],[FORMA DE PAGAMENTO]]="","",VLOOKUP(LANÇ_MOV[[#This Row],[FORMA DE PAGAMENTO]],CAD_Forma_pagto[],2,0))</f>
        <v/>
      </c>
      <c r="AA656" s="524" t="str">
        <f>IF(LANÇ_MOV[[#This Row],[DATA DE LANÇAMENTO]]="","",TEXT(LANÇ_MOV[[#This Row],[DATA DE LANÇAMENTO]],"AAAA"))</f>
        <v/>
      </c>
      <c r="AB656" s="524" t="str">
        <f>IF(LANÇ_MOV[[#This Row],[DATA DE LANÇAMENTO]]="","",UPPER(TEXT(LANÇ_MOV[[#This Row],[DATA DE LANÇAMENTO]],"MMMM")))</f>
        <v/>
      </c>
      <c r="AC656" s="525" t="str">
        <f>IF(LANÇ_MOV[[#This Row],[DATA DE LANÇAMENTO]]="","",PROPER(TEXT(LANÇ_MOV[[#This Row],[DATA DE LANÇAMENTO]],"M")))</f>
        <v/>
      </c>
      <c r="AD656" s="524" t="str">
        <f>IF(LANÇ_MOV[[#This Row],[DATA DE LANÇAMENTO]]="","",TEXT(LANÇ_MOV[[#This Row],[DATA DE LANÇAMENTO]],"D"))</f>
        <v/>
      </c>
      <c r="AE656" s="526" t="str">
        <f>IF(LANÇ_MOV[[#This Row],[DATA DE VENCIMENTO]]="","",TEXT(LANÇ_MOV[[#This Row],[DATA DE VENCIMENTO]],"AAAA"))</f>
        <v/>
      </c>
      <c r="AF656" s="526" t="str">
        <f>IF(LANÇ_MOV[[#This Row],[DATA DE VENCIMENTO]]="","",UPPER(TEXT(LANÇ_MOV[[#This Row],[DATA DE VENCIMENTO]],"MMMM")))</f>
        <v/>
      </c>
      <c r="AG656" s="526" t="str">
        <f>IF(LANÇ_MOV[[#This Row],[DATA DE VENCIMENTO]]="","",TEXT(LANÇ_MOV[[#This Row],[DATA DE VENCIMENTO]],"M"))</f>
        <v/>
      </c>
      <c r="AH656" s="526" t="str">
        <f>IF(LANÇ_MOV[[#This Row],[DATA DE VENCIMENTO]]="","",TEXT(LANÇ_MOV[[#This Row],[DATA DE VENCIMENTO]],"D"))</f>
        <v/>
      </c>
      <c r="AI656" s="526" t="str">
        <f>IF(LANÇ_MOV[[#This Row],[DATA DE PAGAMENTO]]="","",TEXT(LANÇ_MOV[[#This Row],[DATA DE PAGAMENTO]],"AAAA"))</f>
        <v/>
      </c>
      <c r="AJ656" s="527" t="str">
        <f>IF(LANÇ_MOV[[#This Row],[DATA DE PAGAMENTO]]="","",UPPER(TEXT(LANÇ_MOV[[#This Row],[DATA DE PAGAMENTO]],"MMMM")))</f>
        <v/>
      </c>
      <c r="AK656" s="527" t="str">
        <f>IF(LANÇ_MOV[[#This Row],[DATA DE PAGAMENTO]]="","",TEXT(LANÇ_MOV[[#This Row],[DATA DE PAGAMENTO]],"M"))</f>
        <v/>
      </c>
      <c r="AL656" s="526" t="str">
        <f>IF(LANÇ_MOV[[#This Row],[DATA DE PAGAMENTO]]="","",TEXT(LANÇ_MOV[[#This Row],[DATA DE PAGAMENTO]],"D"))</f>
        <v/>
      </c>
    </row>
    <row r="657" spans="2:38" ht="30.05" customHeight="1" x14ac:dyDescent="0.35">
      <c r="B657" s="506"/>
      <c r="C657" s="507"/>
      <c r="D657" s="508" t="s">
        <v>1854</v>
      </c>
      <c r="E657" s="509"/>
      <c r="F657" s="510"/>
      <c r="G657" s="507"/>
      <c r="H657" s="511"/>
      <c r="I657" s="512"/>
      <c r="J657" s="518"/>
      <c r="K657" s="510"/>
      <c r="L657" s="510"/>
      <c r="M657" s="548"/>
      <c r="N657" s="514">
        <f>LANÇ_MOV[[#This Row],[VALOR BRUTO]]-LANÇ_MOV[[#This Row],[DESCONTO]]+LANÇ_MOV[[#This Row],[JUROS]]+LANÇ_MOV[[#This Row],[MULTA]]</f>
        <v>0</v>
      </c>
      <c r="O657" s="546"/>
      <c r="P657" s="547" t="str">
        <f t="shared" ca="1" si="10"/>
        <v/>
      </c>
      <c r="Q657" s="528"/>
      <c r="R657" s="529"/>
      <c r="S657" s="518"/>
      <c r="T657" s="518"/>
      <c r="U657" s="519"/>
      <c r="V657" s="520" t="str">
        <f>IFERROR(VLOOKUP(LANÇ_MOV[[#This Row],[PLANO DE CONTAS]],Plano_Contas[[PLANO DE CONTAS]:[R / D]],3,0),"")</f>
        <v/>
      </c>
      <c r="W657" s="521" t="str">
        <f>IF(LANÇ_MOV[[#This Row],[DATA DE PAGAMENTO]]&lt;&gt;"","Pago","Não Pago")</f>
        <v>Não Pago</v>
      </c>
      <c r="X657" s="522" t="str">
        <f>IFERROR(IF(LANÇ_MOV[[#This Row],[DATA DE PAGAMENTO]]="","",(UPPER(TEXT(LANÇ_MOV[[#This Row],[DATA DE PAGAMENTO]],"mmmm")))),"")</f>
        <v/>
      </c>
      <c r="Y657" s="523" t="str">
        <f>IFERROR(VLOOKUP(LANÇ_MOV[[#This Row],[PLANO DE CONTAS]],Plano_Contas[[PLANO DE CONTAS]:[NOMES INTERVALOS]],2,0),"")</f>
        <v/>
      </c>
      <c r="Z657" s="523" t="str">
        <f>IF(LANÇ_MOV[[#This Row],[FORMA DE PAGAMENTO]]="","",VLOOKUP(LANÇ_MOV[[#This Row],[FORMA DE PAGAMENTO]],CAD_Forma_pagto[],2,0))</f>
        <v/>
      </c>
      <c r="AA657" s="524" t="str">
        <f>IF(LANÇ_MOV[[#This Row],[DATA DE LANÇAMENTO]]="","",TEXT(LANÇ_MOV[[#This Row],[DATA DE LANÇAMENTO]],"AAAA"))</f>
        <v/>
      </c>
      <c r="AB657" s="524" t="str">
        <f>IF(LANÇ_MOV[[#This Row],[DATA DE LANÇAMENTO]]="","",UPPER(TEXT(LANÇ_MOV[[#This Row],[DATA DE LANÇAMENTO]],"MMMM")))</f>
        <v/>
      </c>
      <c r="AC657" s="525" t="str">
        <f>IF(LANÇ_MOV[[#This Row],[DATA DE LANÇAMENTO]]="","",PROPER(TEXT(LANÇ_MOV[[#This Row],[DATA DE LANÇAMENTO]],"M")))</f>
        <v/>
      </c>
      <c r="AD657" s="524" t="str">
        <f>IF(LANÇ_MOV[[#This Row],[DATA DE LANÇAMENTO]]="","",TEXT(LANÇ_MOV[[#This Row],[DATA DE LANÇAMENTO]],"D"))</f>
        <v/>
      </c>
      <c r="AE657" s="526" t="str">
        <f>IF(LANÇ_MOV[[#This Row],[DATA DE VENCIMENTO]]="","",TEXT(LANÇ_MOV[[#This Row],[DATA DE VENCIMENTO]],"AAAA"))</f>
        <v/>
      </c>
      <c r="AF657" s="526" t="str">
        <f>IF(LANÇ_MOV[[#This Row],[DATA DE VENCIMENTO]]="","",UPPER(TEXT(LANÇ_MOV[[#This Row],[DATA DE VENCIMENTO]],"MMMM")))</f>
        <v/>
      </c>
      <c r="AG657" s="526" t="str">
        <f>IF(LANÇ_MOV[[#This Row],[DATA DE VENCIMENTO]]="","",TEXT(LANÇ_MOV[[#This Row],[DATA DE VENCIMENTO]],"M"))</f>
        <v/>
      </c>
      <c r="AH657" s="526" t="str">
        <f>IF(LANÇ_MOV[[#This Row],[DATA DE VENCIMENTO]]="","",TEXT(LANÇ_MOV[[#This Row],[DATA DE VENCIMENTO]],"D"))</f>
        <v/>
      </c>
      <c r="AI657" s="526" t="str">
        <f>IF(LANÇ_MOV[[#This Row],[DATA DE PAGAMENTO]]="","",TEXT(LANÇ_MOV[[#This Row],[DATA DE PAGAMENTO]],"AAAA"))</f>
        <v/>
      </c>
      <c r="AJ657" s="527" t="str">
        <f>IF(LANÇ_MOV[[#This Row],[DATA DE PAGAMENTO]]="","",UPPER(TEXT(LANÇ_MOV[[#This Row],[DATA DE PAGAMENTO]],"MMMM")))</f>
        <v/>
      </c>
      <c r="AK657" s="527" t="str">
        <f>IF(LANÇ_MOV[[#This Row],[DATA DE PAGAMENTO]]="","",TEXT(LANÇ_MOV[[#This Row],[DATA DE PAGAMENTO]],"M"))</f>
        <v/>
      </c>
      <c r="AL657" s="526" t="str">
        <f>IF(LANÇ_MOV[[#This Row],[DATA DE PAGAMENTO]]="","",TEXT(LANÇ_MOV[[#This Row],[DATA DE PAGAMENTO]],"D"))</f>
        <v/>
      </c>
    </row>
    <row r="658" spans="2:38" ht="30.05" customHeight="1" x14ac:dyDescent="0.35">
      <c r="B658" s="506"/>
      <c r="C658" s="507"/>
      <c r="D658" s="508" t="s">
        <v>1854</v>
      </c>
      <c r="E658" s="509"/>
      <c r="F658" s="510"/>
      <c r="G658" s="507"/>
      <c r="H658" s="511"/>
      <c r="I658" s="512"/>
      <c r="J658" s="518"/>
      <c r="K658" s="510"/>
      <c r="L658" s="510"/>
      <c r="M658" s="548"/>
      <c r="N658" s="514">
        <f>LANÇ_MOV[[#This Row],[VALOR BRUTO]]-LANÇ_MOV[[#This Row],[DESCONTO]]+LANÇ_MOV[[#This Row],[JUROS]]+LANÇ_MOV[[#This Row],[MULTA]]</f>
        <v>0</v>
      </c>
      <c r="O658" s="546"/>
      <c r="P658" s="547" t="str">
        <f t="shared" ca="1" si="10"/>
        <v/>
      </c>
      <c r="Q658" s="528"/>
      <c r="R658" s="529"/>
      <c r="S658" s="518"/>
      <c r="T658" s="518"/>
      <c r="U658" s="519"/>
      <c r="V658" s="520" t="str">
        <f>IFERROR(VLOOKUP(LANÇ_MOV[[#This Row],[PLANO DE CONTAS]],Plano_Contas[[PLANO DE CONTAS]:[R / D]],3,0),"")</f>
        <v/>
      </c>
      <c r="W658" s="521" t="str">
        <f>IF(LANÇ_MOV[[#This Row],[DATA DE PAGAMENTO]]&lt;&gt;"","Pago","Não Pago")</f>
        <v>Não Pago</v>
      </c>
      <c r="X658" s="522" t="str">
        <f>IFERROR(IF(LANÇ_MOV[[#This Row],[DATA DE PAGAMENTO]]="","",(UPPER(TEXT(LANÇ_MOV[[#This Row],[DATA DE PAGAMENTO]],"mmmm")))),"")</f>
        <v/>
      </c>
      <c r="Y658" s="523" t="str">
        <f>IFERROR(VLOOKUP(LANÇ_MOV[[#This Row],[PLANO DE CONTAS]],Plano_Contas[[PLANO DE CONTAS]:[NOMES INTERVALOS]],2,0),"")</f>
        <v/>
      </c>
      <c r="Z658" s="523" t="str">
        <f>IF(LANÇ_MOV[[#This Row],[FORMA DE PAGAMENTO]]="","",VLOOKUP(LANÇ_MOV[[#This Row],[FORMA DE PAGAMENTO]],CAD_Forma_pagto[],2,0))</f>
        <v/>
      </c>
      <c r="AA658" s="524" t="str">
        <f>IF(LANÇ_MOV[[#This Row],[DATA DE LANÇAMENTO]]="","",TEXT(LANÇ_MOV[[#This Row],[DATA DE LANÇAMENTO]],"AAAA"))</f>
        <v/>
      </c>
      <c r="AB658" s="524" t="str">
        <f>IF(LANÇ_MOV[[#This Row],[DATA DE LANÇAMENTO]]="","",UPPER(TEXT(LANÇ_MOV[[#This Row],[DATA DE LANÇAMENTO]],"MMMM")))</f>
        <v/>
      </c>
      <c r="AC658" s="525" t="str">
        <f>IF(LANÇ_MOV[[#This Row],[DATA DE LANÇAMENTO]]="","",PROPER(TEXT(LANÇ_MOV[[#This Row],[DATA DE LANÇAMENTO]],"M")))</f>
        <v/>
      </c>
      <c r="AD658" s="524" t="str">
        <f>IF(LANÇ_MOV[[#This Row],[DATA DE LANÇAMENTO]]="","",TEXT(LANÇ_MOV[[#This Row],[DATA DE LANÇAMENTO]],"D"))</f>
        <v/>
      </c>
      <c r="AE658" s="526" t="str">
        <f>IF(LANÇ_MOV[[#This Row],[DATA DE VENCIMENTO]]="","",TEXT(LANÇ_MOV[[#This Row],[DATA DE VENCIMENTO]],"AAAA"))</f>
        <v/>
      </c>
      <c r="AF658" s="526" t="str">
        <f>IF(LANÇ_MOV[[#This Row],[DATA DE VENCIMENTO]]="","",UPPER(TEXT(LANÇ_MOV[[#This Row],[DATA DE VENCIMENTO]],"MMMM")))</f>
        <v/>
      </c>
      <c r="AG658" s="526" t="str">
        <f>IF(LANÇ_MOV[[#This Row],[DATA DE VENCIMENTO]]="","",TEXT(LANÇ_MOV[[#This Row],[DATA DE VENCIMENTO]],"M"))</f>
        <v/>
      </c>
      <c r="AH658" s="526" t="str">
        <f>IF(LANÇ_MOV[[#This Row],[DATA DE VENCIMENTO]]="","",TEXT(LANÇ_MOV[[#This Row],[DATA DE VENCIMENTO]],"D"))</f>
        <v/>
      </c>
      <c r="AI658" s="526" t="str">
        <f>IF(LANÇ_MOV[[#This Row],[DATA DE PAGAMENTO]]="","",TEXT(LANÇ_MOV[[#This Row],[DATA DE PAGAMENTO]],"AAAA"))</f>
        <v/>
      </c>
      <c r="AJ658" s="527" t="str">
        <f>IF(LANÇ_MOV[[#This Row],[DATA DE PAGAMENTO]]="","",UPPER(TEXT(LANÇ_MOV[[#This Row],[DATA DE PAGAMENTO]],"MMMM")))</f>
        <v/>
      </c>
      <c r="AK658" s="527" t="str">
        <f>IF(LANÇ_MOV[[#This Row],[DATA DE PAGAMENTO]]="","",TEXT(LANÇ_MOV[[#This Row],[DATA DE PAGAMENTO]],"M"))</f>
        <v/>
      </c>
      <c r="AL658" s="526" t="str">
        <f>IF(LANÇ_MOV[[#This Row],[DATA DE PAGAMENTO]]="","",TEXT(LANÇ_MOV[[#This Row],[DATA DE PAGAMENTO]],"D"))</f>
        <v/>
      </c>
    </row>
    <row r="659" spans="2:38" ht="30.05" customHeight="1" x14ac:dyDescent="0.35">
      <c r="B659" s="506"/>
      <c r="C659" s="507"/>
      <c r="D659" s="508" t="s">
        <v>1854</v>
      </c>
      <c r="E659" s="509"/>
      <c r="F659" s="510"/>
      <c r="G659" s="507"/>
      <c r="H659" s="511"/>
      <c r="I659" s="512"/>
      <c r="J659" s="518"/>
      <c r="K659" s="510"/>
      <c r="L659" s="510"/>
      <c r="M659" s="548"/>
      <c r="N659" s="514">
        <f>LANÇ_MOV[[#This Row],[VALOR BRUTO]]-LANÇ_MOV[[#This Row],[DESCONTO]]+LANÇ_MOV[[#This Row],[JUROS]]+LANÇ_MOV[[#This Row],[MULTA]]</f>
        <v>0</v>
      </c>
      <c r="O659" s="546"/>
      <c r="P659" s="547" t="str">
        <f t="shared" ca="1" si="10"/>
        <v/>
      </c>
      <c r="Q659" s="528"/>
      <c r="R659" s="529"/>
      <c r="S659" s="518"/>
      <c r="T659" s="518"/>
      <c r="U659" s="519"/>
      <c r="V659" s="520" t="str">
        <f>IFERROR(VLOOKUP(LANÇ_MOV[[#This Row],[PLANO DE CONTAS]],Plano_Contas[[PLANO DE CONTAS]:[R / D]],3,0),"")</f>
        <v/>
      </c>
      <c r="W659" s="521" t="str">
        <f>IF(LANÇ_MOV[[#This Row],[DATA DE PAGAMENTO]]&lt;&gt;"","Pago","Não Pago")</f>
        <v>Não Pago</v>
      </c>
      <c r="X659" s="522" t="str">
        <f>IFERROR(IF(LANÇ_MOV[[#This Row],[DATA DE PAGAMENTO]]="","",(UPPER(TEXT(LANÇ_MOV[[#This Row],[DATA DE PAGAMENTO]],"mmmm")))),"")</f>
        <v/>
      </c>
      <c r="Y659" s="523" t="str">
        <f>IFERROR(VLOOKUP(LANÇ_MOV[[#This Row],[PLANO DE CONTAS]],Plano_Contas[[PLANO DE CONTAS]:[NOMES INTERVALOS]],2,0),"")</f>
        <v/>
      </c>
      <c r="Z659" s="523" t="str">
        <f>IF(LANÇ_MOV[[#This Row],[FORMA DE PAGAMENTO]]="","",VLOOKUP(LANÇ_MOV[[#This Row],[FORMA DE PAGAMENTO]],CAD_Forma_pagto[],2,0))</f>
        <v/>
      </c>
      <c r="AA659" s="524" t="str">
        <f>IF(LANÇ_MOV[[#This Row],[DATA DE LANÇAMENTO]]="","",TEXT(LANÇ_MOV[[#This Row],[DATA DE LANÇAMENTO]],"AAAA"))</f>
        <v/>
      </c>
      <c r="AB659" s="524" t="str">
        <f>IF(LANÇ_MOV[[#This Row],[DATA DE LANÇAMENTO]]="","",UPPER(TEXT(LANÇ_MOV[[#This Row],[DATA DE LANÇAMENTO]],"MMMM")))</f>
        <v/>
      </c>
      <c r="AC659" s="525" t="str">
        <f>IF(LANÇ_MOV[[#This Row],[DATA DE LANÇAMENTO]]="","",PROPER(TEXT(LANÇ_MOV[[#This Row],[DATA DE LANÇAMENTO]],"M")))</f>
        <v/>
      </c>
      <c r="AD659" s="524" t="str">
        <f>IF(LANÇ_MOV[[#This Row],[DATA DE LANÇAMENTO]]="","",TEXT(LANÇ_MOV[[#This Row],[DATA DE LANÇAMENTO]],"D"))</f>
        <v/>
      </c>
      <c r="AE659" s="526" t="str">
        <f>IF(LANÇ_MOV[[#This Row],[DATA DE VENCIMENTO]]="","",TEXT(LANÇ_MOV[[#This Row],[DATA DE VENCIMENTO]],"AAAA"))</f>
        <v/>
      </c>
      <c r="AF659" s="526" t="str">
        <f>IF(LANÇ_MOV[[#This Row],[DATA DE VENCIMENTO]]="","",UPPER(TEXT(LANÇ_MOV[[#This Row],[DATA DE VENCIMENTO]],"MMMM")))</f>
        <v/>
      </c>
      <c r="AG659" s="526" t="str">
        <f>IF(LANÇ_MOV[[#This Row],[DATA DE VENCIMENTO]]="","",TEXT(LANÇ_MOV[[#This Row],[DATA DE VENCIMENTO]],"M"))</f>
        <v/>
      </c>
      <c r="AH659" s="526" t="str">
        <f>IF(LANÇ_MOV[[#This Row],[DATA DE VENCIMENTO]]="","",TEXT(LANÇ_MOV[[#This Row],[DATA DE VENCIMENTO]],"D"))</f>
        <v/>
      </c>
      <c r="AI659" s="526" t="str">
        <f>IF(LANÇ_MOV[[#This Row],[DATA DE PAGAMENTO]]="","",TEXT(LANÇ_MOV[[#This Row],[DATA DE PAGAMENTO]],"AAAA"))</f>
        <v/>
      </c>
      <c r="AJ659" s="527" t="str">
        <f>IF(LANÇ_MOV[[#This Row],[DATA DE PAGAMENTO]]="","",UPPER(TEXT(LANÇ_MOV[[#This Row],[DATA DE PAGAMENTO]],"MMMM")))</f>
        <v/>
      </c>
      <c r="AK659" s="527" t="str">
        <f>IF(LANÇ_MOV[[#This Row],[DATA DE PAGAMENTO]]="","",TEXT(LANÇ_MOV[[#This Row],[DATA DE PAGAMENTO]],"M"))</f>
        <v/>
      </c>
      <c r="AL659" s="526" t="str">
        <f>IF(LANÇ_MOV[[#This Row],[DATA DE PAGAMENTO]]="","",TEXT(LANÇ_MOV[[#This Row],[DATA DE PAGAMENTO]],"D"))</f>
        <v/>
      </c>
    </row>
    <row r="660" spans="2:38" ht="30.05" customHeight="1" x14ac:dyDescent="0.35">
      <c r="B660" s="506"/>
      <c r="C660" s="507"/>
      <c r="D660" s="508" t="s">
        <v>1854</v>
      </c>
      <c r="E660" s="509"/>
      <c r="F660" s="510"/>
      <c r="G660" s="507"/>
      <c r="H660" s="511"/>
      <c r="I660" s="512"/>
      <c r="J660" s="518"/>
      <c r="K660" s="510"/>
      <c r="L660" s="510"/>
      <c r="M660" s="548"/>
      <c r="N660" s="514">
        <f>LANÇ_MOV[[#This Row],[VALOR BRUTO]]-LANÇ_MOV[[#This Row],[DESCONTO]]+LANÇ_MOV[[#This Row],[JUROS]]+LANÇ_MOV[[#This Row],[MULTA]]</f>
        <v>0</v>
      </c>
      <c r="O660" s="546"/>
      <c r="P660" s="547" t="str">
        <f t="shared" ca="1" si="10"/>
        <v/>
      </c>
      <c r="Q660" s="528"/>
      <c r="R660" s="529"/>
      <c r="S660" s="518"/>
      <c r="T660" s="518"/>
      <c r="U660" s="519"/>
      <c r="V660" s="520" t="str">
        <f>IFERROR(VLOOKUP(LANÇ_MOV[[#This Row],[PLANO DE CONTAS]],Plano_Contas[[PLANO DE CONTAS]:[R / D]],3,0),"")</f>
        <v/>
      </c>
      <c r="W660" s="521" t="str">
        <f>IF(LANÇ_MOV[[#This Row],[DATA DE PAGAMENTO]]&lt;&gt;"","Pago","Não Pago")</f>
        <v>Não Pago</v>
      </c>
      <c r="X660" s="522" t="str">
        <f>IFERROR(IF(LANÇ_MOV[[#This Row],[DATA DE PAGAMENTO]]="","",(UPPER(TEXT(LANÇ_MOV[[#This Row],[DATA DE PAGAMENTO]],"mmmm")))),"")</f>
        <v/>
      </c>
      <c r="Y660" s="523" t="str">
        <f>IFERROR(VLOOKUP(LANÇ_MOV[[#This Row],[PLANO DE CONTAS]],Plano_Contas[[PLANO DE CONTAS]:[NOMES INTERVALOS]],2,0),"")</f>
        <v/>
      </c>
      <c r="Z660" s="523" t="str">
        <f>IF(LANÇ_MOV[[#This Row],[FORMA DE PAGAMENTO]]="","",VLOOKUP(LANÇ_MOV[[#This Row],[FORMA DE PAGAMENTO]],CAD_Forma_pagto[],2,0))</f>
        <v/>
      </c>
      <c r="AA660" s="524" t="str">
        <f>IF(LANÇ_MOV[[#This Row],[DATA DE LANÇAMENTO]]="","",TEXT(LANÇ_MOV[[#This Row],[DATA DE LANÇAMENTO]],"AAAA"))</f>
        <v/>
      </c>
      <c r="AB660" s="524" t="str">
        <f>IF(LANÇ_MOV[[#This Row],[DATA DE LANÇAMENTO]]="","",UPPER(TEXT(LANÇ_MOV[[#This Row],[DATA DE LANÇAMENTO]],"MMMM")))</f>
        <v/>
      </c>
      <c r="AC660" s="525" t="str">
        <f>IF(LANÇ_MOV[[#This Row],[DATA DE LANÇAMENTO]]="","",PROPER(TEXT(LANÇ_MOV[[#This Row],[DATA DE LANÇAMENTO]],"M")))</f>
        <v/>
      </c>
      <c r="AD660" s="524" t="str">
        <f>IF(LANÇ_MOV[[#This Row],[DATA DE LANÇAMENTO]]="","",TEXT(LANÇ_MOV[[#This Row],[DATA DE LANÇAMENTO]],"D"))</f>
        <v/>
      </c>
      <c r="AE660" s="526" t="str">
        <f>IF(LANÇ_MOV[[#This Row],[DATA DE VENCIMENTO]]="","",TEXT(LANÇ_MOV[[#This Row],[DATA DE VENCIMENTO]],"AAAA"))</f>
        <v/>
      </c>
      <c r="AF660" s="526" t="str">
        <f>IF(LANÇ_MOV[[#This Row],[DATA DE VENCIMENTO]]="","",UPPER(TEXT(LANÇ_MOV[[#This Row],[DATA DE VENCIMENTO]],"MMMM")))</f>
        <v/>
      </c>
      <c r="AG660" s="526" t="str">
        <f>IF(LANÇ_MOV[[#This Row],[DATA DE VENCIMENTO]]="","",TEXT(LANÇ_MOV[[#This Row],[DATA DE VENCIMENTO]],"M"))</f>
        <v/>
      </c>
      <c r="AH660" s="526" t="str">
        <f>IF(LANÇ_MOV[[#This Row],[DATA DE VENCIMENTO]]="","",TEXT(LANÇ_MOV[[#This Row],[DATA DE VENCIMENTO]],"D"))</f>
        <v/>
      </c>
      <c r="AI660" s="526" t="str">
        <f>IF(LANÇ_MOV[[#This Row],[DATA DE PAGAMENTO]]="","",TEXT(LANÇ_MOV[[#This Row],[DATA DE PAGAMENTO]],"AAAA"))</f>
        <v/>
      </c>
      <c r="AJ660" s="527" t="str">
        <f>IF(LANÇ_MOV[[#This Row],[DATA DE PAGAMENTO]]="","",UPPER(TEXT(LANÇ_MOV[[#This Row],[DATA DE PAGAMENTO]],"MMMM")))</f>
        <v/>
      </c>
      <c r="AK660" s="527" t="str">
        <f>IF(LANÇ_MOV[[#This Row],[DATA DE PAGAMENTO]]="","",TEXT(LANÇ_MOV[[#This Row],[DATA DE PAGAMENTO]],"M"))</f>
        <v/>
      </c>
      <c r="AL660" s="526" t="str">
        <f>IF(LANÇ_MOV[[#This Row],[DATA DE PAGAMENTO]]="","",TEXT(LANÇ_MOV[[#This Row],[DATA DE PAGAMENTO]],"D"))</f>
        <v/>
      </c>
    </row>
    <row r="661" spans="2:38" ht="30.05" customHeight="1" x14ac:dyDescent="0.35">
      <c r="B661" s="506"/>
      <c r="C661" s="507"/>
      <c r="D661" s="508" t="s">
        <v>1854</v>
      </c>
      <c r="E661" s="509"/>
      <c r="F661" s="510"/>
      <c r="G661" s="507"/>
      <c r="H661" s="511"/>
      <c r="I661" s="512"/>
      <c r="J661" s="518"/>
      <c r="K661" s="510"/>
      <c r="L661" s="510"/>
      <c r="M661" s="548"/>
      <c r="N661" s="514">
        <f>LANÇ_MOV[[#This Row],[VALOR BRUTO]]-LANÇ_MOV[[#This Row],[DESCONTO]]+LANÇ_MOV[[#This Row],[JUROS]]+LANÇ_MOV[[#This Row],[MULTA]]</f>
        <v>0</v>
      </c>
      <c r="O661" s="546"/>
      <c r="P661" s="547" t="str">
        <f t="shared" ca="1" si="10"/>
        <v/>
      </c>
      <c r="Q661" s="528"/>
      <c r="R661" s="529"/>
      <c r="S661" s="518"/>
      <c r="T661" s="518"/>
      <c r="U661" s="519"/>
      <c r="V661" s="520" t="str">
        <f>IFERROR(VLOOKUP(LANÇ_MOV[[#This Row],[PLANO DE CONTAS]],Plano_Contas[[PLANO DE CONTAS]:[R / D]],3,0),"")</f>
        <v/>
      </c>
      <c r="W661" s="521" t="str">
        <f>IF(LANÇ_MOV[[#This Row],[DATA DE PAGAMENTO]]&lt;&gt;"","Pago","Não Pago")</f>
        <v>Não Pago</v>
      </c>
      <c r="X661" s="522" t="str">
        <f>IFERROR(IF(LANÇ_MOV[[#This Row],[DATA DE PAGAMENTO]]="","",(UPPER(TEXT(LANÇ_MOV[[#This Row],[DATA DE PAGAMENTO]],"mmmm")))),"")</f>
        <v/>
      </c>
      <c r="Y661" s="523" t="str">
        <f>IFERROR(VLOOKUP(LANÇ_MOV[[#This Row],[PLANO DE CONTAS]],Plano_Contas[[PLANO DE CONTAS]:[NOMES INTERVALOS]],2,0),"")</f>
        <v/>
      </c>
      <c r="Z661" s="523" t="str">
        <f>IF(LANÇ_MOV[[#This Row],[FORMA DE PAGAMENTO]]="","",VLOOKUP(LANÇ_MOV[[#This Row],[FORMA DE PAGAMENTO]],CAD_Forma_pagto[],2,0))</f>
        <v/>
      </c>
      <c r="AA661" s="524" t="str">
        <f>IF(LANÇ_MOV[[#This Row],[DATA DE LANÇAMENTO]]="","",TEXT(LANÇ_MOV[[#This Row],[DATA DE LANÇAMENTO]],"AAAA"))</f>
        <v/>
      </c>
      <c r="AB661" s="524" t="str">
        <f>IF(LANÇ_MOV[[#This Row],[DATA DE LANÇAMENTO]]="","",UPPER(TEXT(LANÇ_MOV[[#This Row],[DATA DE LANÇAMENTO]],"MMMM")))</f>
        <v/>
      </c>
      <c r="AC661" s="525" t="str">
        <f>IF(LANÇ_MOV[[#This Row],[DATA DE LANÇAMENTO]]="","",PROPER(TEXT(LANÇ_MOV[[#This Row],[DATA DE LANÇAMENTO]],"M")))</f>
        <v/>
      </c>
      <c r="AD661" s="524" t="str">
        <f>IF(LANÇ_MOV[[#This Row],[DATA DE LANÇAMENTO]]="","",TEXT(LANÇ_MOV[[#This Row],[DATA DE LANÇAMENTO]],"D"))</f>
        <v/>
      </c>
      <c r="AE661" s="526" t="str">
        <f>IF(LANÇ_MOV[[#This Row],[DATA DE VENCIMENTO]]="","",TEXT(LANÇ_MOV[[#This Row],[DATA DE VENCIMENTO]],"AAAA"))</f>
        <v/>
      </c>
      <c r="AF661" s="526" t="str">
        <f>IF(LANÇ_MOV[[#This Row],[DATA DE VENCIMENTO]]="","",UPPER(TEXT(LANÇ_MOV[[#This Row],[DATA DE VENCIMENTO]],"MMMM")))</f>
        <v/>
      </c>
      <c r="AG661" s="526" t="str">
        <f>IF(LANÇ_MOV[[#This Row],[DATA DE VENCIMENTO]]="","",TEXT(LANÇ_MOV[[#This Row],[DATA DE VENCIMENTO]],"M"))</f>
        <v/>
      </c>
      <c r="AH661" s="526" t="str">
        <f>IF(LANÇ_MOV[[#This Row],[DATA DE VENCIMENTO]]="","",TEXT(LANÇ_MOV[[#This Row],[DATA DE VENCIMENTO]],"D"))</f>
        <v/>
      </c>
      <c r="AI661" s="526" t="str">
        <f>IF(LANÇ_MOV[[#This Row],[DATA DE PAGAMENTO]]="","",TEXT(LANÇ_MOV[[#This Row],[DATA DE PAGAMENTO]],"AAAA"))</f>
        <v/>
      </c>
      <c r="AJ661" s="527" t="str">
        <f>IF(LANÇ_MOV[[#This Row],[DATA DE PAGAMENTO]]="","",UPPER(TEXT(LANÇ_MOV[[#This Row],[DATA DE PAGAMENTO]],"MMMM")))</f>
        <v/>
      </c>
      <c r="AK661" s="527" t="str">
        <f>IF(LANÇ_MOV[[#This Row],[DATA DE PAGAMENTO]]="","",TEXT(LANÇ_MOV[[#This Row],[DATA DE PAGAMENTO]],"M"))</f>
        <v/>
      </c>
      <c r="AL661" s="526" t="str">
        <f>IF(LANÇ_MOV[[#This Row],[DATA DE PAGAMENTO]]="","",TEXT(LANÇ_MOV[[#This Row],[DATA DE PAGAMENTO]],"D"))</f>
        <v/>
      </c>
    </row>
    <row r="662" spans="2:38" ht="30.05" customHeight="1" x14ac:dyDescent="0.35">
      <c r="B662" s="506"/>
      <c r="C662" s="507"/>
      <c r="D662" s="508" t="s">
        <v>1854</v>
      </c>
      <c r="E662" s="509"/>
      <c r="F662" s="510"/>
      <c r="G662" s="507"/>
      <c r="H662" s="511"/>
      <c r="I662" s="512"/>
      <c r="J662" s="518"/>
      <c r="K662" s="510"/>
      <c r="L662" s="510"/>
      <c r="M662" s="548"/>
      <c r="N662" s="514">
        <f>LANÇ_MOV[[#This Row],[VALOR BRUTO]]-LANÇ_MOV[[#This Row],[DESCONTO]]+LANÇ_MOV[[#This Row],[JUROS]]+LANÇ_MOV[[#This Row],[MULTA]]</f>
        <v>0</v>
      </c>
      <c r="O662" s="546"/>
      <c r="P662" s="547" t="str">
        <f t="shared" ca="1" si="10"/>
        <v/>
      </c>
      <c r="Q662" s="528"/>
      <c r="R662" s="529"/>
      <c r="S662" s="518"/>
      <c r="T662" s="518"/>
      <c r="U662" s="519"/>
      <c r="V662" s="520" t="str">
        <f>IFERROR(VLOOKUP(LANÇ_MOV[[#This Row],[PLANO DE CONTAS]],Plano_Contas[[PLANO DE CONTAS]:[R / D]],3,0),"")</f>
        <v/>
      </c>
      <c r="W662" s="521" t="str">
        <f>IF(LANÇ_MOV[[#This Row],[DATA DE PAGAMENTO]]&lt;&gt;"","Pago","Não Pago")</f>
        <v>Não Pago</v>
      </c>
      <c r="X662" s="522" t="str">
        <f>IFERROR(IF(LANÇ_MOV[[#This Row],[DATA DE PAGAMENTO]]="","",(UPPER(TEXT(LANÇ_MOV[[#This Row],[DATA DE PAGAMENTO]],"mmmm")))),"")</f>
        <v/>
      </c>
      <c r="Y662" s="523" t="str">
        <f>IFERROR(VLOOKUP(LANÇ_MOV[[#This Row],[PLANO DE CONTAS]],Plano_Contas[[PLANO DE CONTAS]:[NOMES INTERVALOS]],2,0),"")</f>
        <v/>
      </c>
      <c r="Z662" s="523" t="str">
        <f>IF(LANÇ_MOV[[#This Row],[FORMA DE PAGAMENTO]]="","",VLOOKUP(LANÇ_MOV[[#This Row],[FORMA DE PAGAMENTO]],CAD_Forma_pagto[],2,0))</f>
        <v/>
      </c>
      <c r="AA662" s="524" t="str">
        <f>IF(LANÇ_MOV[[#This Row],[DATA DE LANÇAMENTO]]="","",TEXT(LANÇ_MOV[[#This Row],[DATA DE LANÇAMENTO]],"AAAA"))</f>
        <v/>
      </c>
      <c r="AB662" s="524" t="str">
        <f>IF(LANÇ_MOV[[#This Row],[DATA DE LANÇAMENTO]]="","",UPPER(TEXT(LANÇ_MOV[[#This Row],[DATA DE LANÇAMENTO]],"MMMM")))</f>
        <v/>
      </c>
      <c r="AC662" s="525" t="str">
        <f>IF(LANÇ_MOV[[#This Row],[DATA DE LANÇAMENTO]]="","",PROPER(TEXT(LANÇ_MOV[[#This Row],[DATA DE LANÇAMENTO]],"M")))</f>
        <v/>
      </c>
      <c r="AD662" s="524" t="str">
        <f>IF(LANÇ_MOV[[#This Row],[DATA DE LANÇAMENTO]]="","",TEXT(LANÇ_MOV[[#This Row],[DATA DE LANÇAMENTO]],"D"))</f>
        <v/>
      </c>
      <c r="AE662" s="526" t="str">
        <f>IF(LANÇ_MOV[[#This Row],[DATA DE VENCIMENTO]]="","",TEXT(LANÇ_MOV[[#This Row],[DATA DE VENCIMENTO]],"AAAA"))</f>
        <v/>
      </c>
      <c r="AF662" s="526" t="str">
        <f>IF(LANÇ_MOV[[#This Row],[DATA DE VENCIMENTO]]="","",UPPER(TEXT(LANÇ_MOV[[#This Row],[DATA DE VENCIMENTO]],"MMMM")))</f>
        <v/>
      </c>
      <c r="AG662" s="526" t="str">
        <f>IF(LANÇ_MOV[[#This Row],[DATA DE VENCIMENTO]]="","",TEXT(LANÇ_MOV[[#This Row],[DATA DE VENCIMENTO]],"M"))</f>
        <v/>
      </c>
      <c r="AH662" s="526" t="str">
        <f>IF(LANÇ_MOV[[#This Row],[DATA DE VENCIMENTO]]="","",TEXT(LANÇ_MOV[[#This Row],[DATA DE VENCIMENTO]],"D"))</f>
        <v/>
      </c>
      <c r="AI662" s="526" t="str">
        <f>IF(LANÇ_MOV[[#This Row],[DATA DE PAGAMENTO]]="","",TEXT(LANÇ_MOV[[#This Row],[DATA DE PAGAMENTO]],"AAAA"))</f>
        <v/>
      </c>
      <c r="AJ662" s="527" t="str">
        <f>IF(LANÇ_MOV[[#This Row],[DATA DE PAGAMENTO]]="","",UPPER(TEXT(LANÇ_MOV[[#This Row],[DATA DE PAGAMENTO]],"MMMM")))</f>
        <v/>
      </c>
      <c r="AK662" s="527" t="str">
        <f>IF(LANÇ_MOV[[#This Row],[DATA DE PAGAMENTO]]="","",TEXT(LANÇ_MOV[[#This Row],[DATA DE PAGAMENTO]],"M"))</f>
        <v/>
      </c>
      <c r="AL662" s="526" t="str">
        <f>IF(LANÇ_MOV[[#This Row],[DATA DE PAGAMENTO]]="","",TEXT(LANÇ_MOV[[#This Row],[DATA DE PAGAMENTO]],"D"))</f>
        <v/>
      </c>
    </row>
    <row r="663" spans="2:38" ht="30.05" customHeight="1" x14ac:dyDescent="0.35">
      <c r="B663" s="506"/>
      <c r="C663" s="507"/>
      <c r="D663" s="508" t="s">
        <v>1854</v>
      </c>
      <c r="E663" s="509"/>
      <c r="F663" s="510"/>
      <c r="G663" s="507"/>
      <c r="H663" s="511"/>
      <c r="I663" s="512"/>
      <c r="J663" s="518"/>
      <c r="K663" s="510"/>
      <c r="L663" s="510"/>
      <c r="M663" s="548"/>
      <c r="N663" s="514">
        <f>LANÇ_MOV[[#This Row],[VALOR BRUTO]]-LANÇ_MOV[[#This Row],[DESCONTO]]+LANÇ_MOV[[#This Row],[JUROS]]+LANÇ_MOV[[#This Row],[MULTA]]</f>
        <v>0</v>
      </c>
      <c r="O663" s="546"/>
      <c r="P663" s="547" t="str">
        <f t="shared" ca="1" si="10"/>
        <v/>
      </c>
      <c r="Q663" s="528"/>
      <c r="R663" s="529"/>
      <c r="S663" s="518"/>
      <c r="T663" s="518"/>
      <c r="U663" s="519"/>
      <c r="V663" s="520" t="str">
        <f>IFERROR(VLOOKUP(LANÇ_MOV[[#This Row],[PLANO DE CONTAS]],Plano_Contas[[PLANO DE CONTAS]:[R / D]],3,0),"")</f>
        <v/>
      </c>
      <c r="W663" s="521" t="str">
        <f>IF(LANÇ_MOV[[#This Row],[DATA DE PAGAMENTO]]&lt;&gt;"","Pago","Não Pago")</f>
        <v>Não Pago</v>
      </c>
      <c r="X663" s="522" t="str">
        <f>IFERROR(IF(LANÇ_MOV[[#This Row],[DATA DE PAGAMENTO]]="","",(UPPER(TEXT(LANÇ_MOV[[#This Row],[DATA DE PAGAMENTO]],"mmmm")))),"")</f>
        <v/>
      </c>
      <c r="Y663" s="523" t="str">
        <f>IFERROR(VLOOKUP(LANÇ_MOV[[#This Row],[PLANO DE CONTAS]],Plano_Contas[[PLANO DE CONTAS]:[NOMES INTERVALOS]],2,0),"")</f>
        <v/>
      </c>
      <c r="Z663" s="523" t="str">
        <f>IF(LANÇ_MOV[[#This Row],[FORMA DE PAGAMENTO]]="","",VLOOKUP(LANÇ_MOV[[#This Row],[FORMA DE PAGAMENTO]],CAD_Forma_pagto[],2,0))</f>
        <v/>
      </c>
      <c r="AA663" s="524" t="str">
        <f>IF(LANÇ_MOV[[#This Row],[DATA DE LANÇAMENTO]]="","",TEXT(LANÇ_MOV[[#This Row],[DATA DE LANÇAMENTO]],"AAAA"))</f>
        <v/>
      </c>
      <c r="AB663" s="524" t="str">
        <f>IF(LANÇ_MOV[[#This Row],[DATA DE LANÇAMENTO]]="","",UPPER(TEXT(LANÇ_MOV[[#This Row],[DATA DE LANÇAMENTO]],"MMMM")))</f>
        <v/>
      </c>
      <c r="AC663" s="525" t="str">
        <f>IF(LANÇ_MOV[[#This Row],[DATA DE LANÇAMENTO]]="","",PROPER(TEXT(LANÇ_MOV[[#This Row],[DATA DE LANÇAMENTO]],"M")))</f>
        <v/>
      </c>
      <c r="AD663" s="524" t="str">
        <f>IF(LANÇ_MOV[[#This Row],[DATA DE LANÇAMENTO]]="","",TEXT(LANÇ_MOV[[#This Row],[DATA DE LANÇAMENTO]],"D"))</f>
        <v/>
      </c>
      <c r="AE663" s="526" t="str">
        <f>IF(LANÇ_MOV[[#This Row],[DATA DE VENCIMENTO]]="","",TEXT(LANÇ_MOV[[#This Row],[DATA DE VENCIMENTO]],"AAAA"))</f>
        <v/>
      </c>
      <c r="AF663" s="526" t="str">
        <f>IF(LANÇ_MOV[[#This Row],[DATA DE VENCIMENTO]]="","",UPPER(TEXT(LANÇ_MOV[[#This Row],[DATA DE VENCIMENTO]],"MMMM")))</f>
        <v/>
      </c>
      <c r="AG663" s="526" t="str">
        <f>IF(LANÇ_MOV[[#This Row],[DATA DE VENCIMENTO]]="","",TEXT(LANÇ_MOV[[#This Row],[DATA DE VENCIMENTO]],"M"))</f>
        <v/>
      </c>
      <c r="AH663" s="526" t="str">
        <f>IF(LANÇ_MOV[[#This Row],[DATA DE VENCIMENTO]]="","",TEXT(LANÇ_MOV[[#This Row],[DATA DE VENCIMENTO]],"D"))</f>
        <v/>
      </c>
      <c r="AI663" s="526" t="str">
        <f>IF(LANÇ_MOV[[#This Row],[DATA DE PAGAMENTO]]="","",TEXT(LANÇ_MOV[[#This Row],[DATA DE PAGAMENTO]],"AAAA"))</f>
        <v/>
      </c>
      <c r="AJ663" s="527" t="str">
        <f>IF(LANÇ_MOV[[#This Row],[DATA DE PAGAMENTO]]="","",UPPER(TEXT(LANÇ_MOV[[#This Row],[DATA DE PAGAMENTO]],"MMMM")))</f>
        <v/>
      </c>
      <c r="AK663" s="527" t="str">
        <f>IF(LANÇ_MOV[[#This Row],[DATA DE PAGAMENTO]]="","",TEXT(LANÇ_MOV[[#This Row],[DATA DE PAGAMENTO]],"M"))</f>
        <v/>
      </c>
      <c r="AL663" s="526" t="str">
        <f>IF(LANÇ_MOV[[#This Row],[DATA DE PAGAMENTO]]="","",TEXT(LANÇ_MOV[[#This Row],[DATA DE PAGAMENTO]],"D"))</f>
        <v/>
      </c>
    </row>
    <row r="664" spans="2:38" ht="30.05" customHeight="1" x14ac:dyDescent="0.35">
      <c r="B664" s="506"/>
      <c r="C664" s="507"/>
      <c r="D664" s="508" t="s">
        <v>1854</v>
      </c>
      <c r="E664" s="509"/>
      <c r="F664" s="510"/>
      <c r="G664" s="507"/>
      <c r="H664" s="511"/>
      <c r="I664" s="512"/>
      <c r="J664" s="518"/>
      <c r="K664" s="510"/>
      <c r="L664" s="510"/>
      <c r="M664" s="548"/>
      <c r="N664" s="514">
        <f>LANÇ_MOV[[#This Row],[VALOR BRUTO]]-LANÇ_MOV[[#This Row],[DESCONTO]]+LANÇ_MOV[[#This Row],[JUROS]]+LANÇ_MOV[[#This Row],[MULTA]]</f>
        <v>0</v>
      </c>
      <c r="O664" s="546"/>
      <c r="P664" s="547" t="str">
        <f t="shared" ca="1" si="10"/>
        <v/>
      </c>
      <c r="Q664" s="528"/>
      <c r="R664" s="529"/>
      <c r="S664" s="518"/>
      <c r="T664" s="518"/>
      <c r="U664" s="519"/>
      <c r="V664" s="520" t="str">
        <f>IFERROR(VLOOKUP(LANÇ_MOV[[#This Row],[PLANO DE CONTAS]],Plano_Contas[[PLANO DE CONTAS]:[R / D]],3,0),"")</f>
        <v/>
      </c>
      <c r="W664" s="521" t="str">
        <f>IF(LANÇ_MOV[[#This Row],[DATA DE PAGAMENTO]]&lt;&gt;"","Pago","Não Pago")</f>
        <v>Não Pago</v>
      </c>
      <c r="X664" s="522" t="str">
        <f>IFERROR(IF(LANÇ_MOV[[#This Row],[DATA DE PAGAMENTO]]="","",(UPPER(TEXT(LANÇ_MOV[[#This Row],[DATA DE PAGAMENTO]],"mmmm")))),"")</f>
        <v/>
      </c>
      <c r="Y664" s="523" t="str">
        <f>IFERROR(VLOOKUP(LANÇ_MOV[[#This Row],[PLANO DE CONTAS]],Plano_Contas[[PLANO DE CONTAS]:[NOMES INTERVALOS]],2,0),"")</f>
        <v/>
      </c>
      <c r="Z664" s="523" t="str">
        <f>IF(LANÇ_MOV[[#This Row],[FORMA DE PAGAMENTO]]="","",VLOOKUP(LANÇ_MOV[[#This Row],[FORMA DE PAGAMENTO]],CAD_Forma_pagto[],2,0))</f>
        <v/>
      </c>
      <c r="AA664" s="524" t="str">
        <f>IF(LANÇ_MOV[[#This Row],[DATA DE LANÇAMENTO]]="","",TEXT(LANÇ_MOV[[#This Row],[DATA DE LANÇAMENTO]],"AAAA"))</f>
        <v/>
      </c>
      <c r="AB664" s="524" t="str">
        <f>IF(LANÇ_MOV[[#This Row],[DATA DE LANÇAMENTO]]="","",UPPER(TEXT(LANÇ_MOV[[#This Row],[DATA DE LANÇAMENTO]],"MMMM")))</f>
        <v/>
      </c>
      <c r="AC664" s="525" t="str">
        <f>IF(LANÇ_MOV[[#This Row],[DATA DE LANÇAMENTO]]="","",PROPER(TEXT(LANÇ_MOV[[#This Row],[DATA DE LANÇAMENTO]],"M")))</f>
        <v/>
      </c>
      <c r="AD664" s="524" t="str">
        <f>IF(LANÇ_MOV[[#This Row],[DATA DE LANÇAMENTO]]="","",TEXT(LANÇ_MOV[[#This Row],[DATA DE LANÇAMENTO]],"D"))</f>
        <v/>
      </c>
      <c r="AE664" s="526" t="str">
        <f>IF(LANÇ_MOV[[#This Row],[DATA DE VENCIMENTO]]="","",TEXT(LANÇ_MOV[[#This Row],[DATA DE VENCIMENTO]],"AAAA"))</f>
        <v/>
      </c>
      <c r="AF664" s="526" t="str">
        <f>IF(LANÇ_MOV[[#This Row],[DATA DE VENCIMENTO]]="","",UPPER(TEXT(LANÇ_MOV[[#This Row],[DATA DE VENCIMENTO]],"MMMM")))</f>
        <v/>
      </c>
      <c r="AG664" s="526" t="str">
        <f>IF(LANÇ_MOV[[#This Row],[DATA DE VENCIMENTO]]="","",TEXT(LANÇ_MOV[[#This Row],[DATA DE VENCIMENTO]],"M"))</f>
        <v/>
      </c>
      <c r="AH664" s="526" t="str">
        <f>IF(LANÇ_MOV[[#This Row],[DATA DE VENCIMENTO]]="","",TEXT(LANÇ_MOV[[#This Row],[DATA DE VENCIMENTO]],"D"))</f>
        <v/>
      </c>
      <c r="AI664" s="526" t="str">
        <f>IF(LANÇ_MOV[[#This Row],[DATA DE PAGAMENTO]]="","",TEXT(LANÇ_MOV[[#This Row],[DATA DE PAGAMENTO]],"AAAA"))</f>
        <v/>
      </c>
      <c r="AJ664" s="527" t="str">
        <f>IF(LANÇ_MOV[[#This Row],[DATA DE PAGAMENTO]]="","",UPPER(TEXT(LANÇ_MOV[[#This Row],[DATA DE PAGAMENTO]],"MMMM")))</f>
        <v/>
      </c>
      <c r="AK664" s="527" t="str">
        <f>IF(LANÇ_MOV[[#This Row],[DATA DE PAGAMENTO]]="","",TEXT(LANÇ_MOV[[#This Row],[DATA DE PAGAMENTO]],"M"))</f>
        <v/>
      </c>
      <c r="AL664" s="526" t="str">
        <f>IF(LANÇ_MOV[[#This Row],[DATA DE PAGAMENTO]]="","",TEXT(LANÇ_MOV[[#This Row],[DATA DE PAGAMENTO]],"D"))</f>
        <v/>
      </c>
    </row>
    <row r="665" spans="2:38" ht="30.05" customHeight="1" x14ac:dyDescent="0.35">
      <c r="B665" s="506"/>
      <c r="C665" s="507"/>
      <c r="D665" s="508" t="s">
        <v>1854</v>
      </c>
      <c r="E665" s="509"/>
      <c r="F665" s="510"/>
      <c r="G665" s="507"/>
      <c r="H665" s="511"/>
      <c r="I665" s="512"/>
      <c r="J665" s="518"/>
      <c r="K665" s="510"/>
      <c r="L665" s="510"/>
      <c r="M665" s="548"/>
      <c r="N665" s="514">
        <f>LANÇ_MOV[[#This Row],[VALOR BRUTO]]-LANÇ_MOV[[#This Row],[DESCONTO]]+LANÇ_MOV[[#This Row],[JUROS]]+LANÇ_MOV[[#This Row],[MULTA]]</f>
        <v>0</v>
      </c>
      <c r="O665" s="546"/>
      <c r="P665" s="547" t="str">
        <f t="shared" ca="1" si="10"/>
        <v/>
      </c>
      <c r="Q665" s="528"/>
      <c r="R665" s="529"/>
      <c r="S665" s="518"/>
      <c r="T665" s="518"/>
      <c r="U665" s="519"/>
      <c r="V665" s="520" t="str">
        <f>IFERROR(VLOOKUP(LANÇ_MOV[[#This Row],[PLANO DE CONTAS]],Plano_Contas[[PLANO DE CONTAS]:[R / D]],3,0),"")</f>
        <v/>
      </c>
      <c r="W665" s="521" t="str">
        <f>IF(LANÇ_MOV[[#This Row],[DATA DE PAGAMENTO]]&lt;&gt;"","Pago","Não Pago")</f>
        <v>Não Pago</v>
      </c>
      <c r="X665" s="522" t="str">
        <f>IFERROR(IF(LANÇ_MOV[[#This Row],[DATA DE PAGAMENTO]]="","",(UPPER(TEXT(LANÇ_MOV[[#This Row],[DATA DE PAGAMENTO]],"mmmm")))),"")</f>
        <v/>
      </c>
      <c r="Y665" s="523" t="str">
        <f>IFERROR(VLOOKUP(LANÇ_MOV[[#This Row],[PLANO DE CONTAS]],Plano_Contas[[PLANO DE CONTAS]:[NOMES INTERVALOS]],2,0),"")</f>
        <v/>
      </c>
      <c r="Z665" s="523" t="str">
        <f>IF(LANÇ_MOV[[#This Row],[FORMA DE PAGAMENTO]]="","",VLOOKUP(LANÇ_MOV[[#This Row],[FORMA DE PAGAMENTO]],CAD_Forma_pagto[],2,0))</f>
        <v/>
      </c>
      <c r="AA665" s="524" t="str">
        <f>IF(LANÇ_MOV[[#This Row],[DATA DE LANÇAMENTO]]="","",TEXT(LANÇ_MOV[[#This Row],[DATA DE LANÇAMENTO]],"AAAA"))</f>
        <v/>
      </c>
      <c r="AB665" s="524" t="str">
        <f>IF(LANÇ_MOV[[#This Row],[DATA DE LANÇAMENTO]]="","",UPPER(TEXT(LANÇ_MOV[[#This Row],[DATA DE LANÇAMENTO]],"MMMM")))</f>
        <v/>
      </c>
      <c r="AC665" s="525" t="str">
        <f>IF(LANÇ_MOV[[#This Row],[DATA DE LANÇAMENTO]]="","",PROPER(TEXT(LANÇ_MOV[[#This Row],[DATA DE LANÇAMENTO]],"M")))</f>
        <v/>
      </c>
      <c r="AD665" s="524" t="str">
        <f>IF(LANÇ_MOV[[#This Row],[DATA DE LANÇAMENTO]]="","",TEXT(LANÇ_MOV[[#This Row],[DATA DE LANÇAMENTO]],"D"))</f>
        <v/>
      </c>
      <c r="AE665" s="526" t="str">
        <f>IF(LANÇ_MOV[[#This Row],[DATA DE VENCIMENTO]]="","",TEXT(LANÇ_MOV[[#This Row],[DATA DE VENCIMENTO]],"AAAA"))</f>
        <v/>
      </c>
      <c r="AF665" s="526" t="str">
        <f>IF(LANÇ_MOV[[#This Row],[DATA DE VENCIMENTO]]="","",UPPER(TEXT(LANÇ_MOV[[#This Row],[DATA DE VENCIMENTO]],"MMMM")))</f>
        <v/>
      </c>
      <c r="AG665" s="526" t="str">
        <f>IF(LANÇ_MOV[[#This Row],[DATA DE VENCIMENTO]]="","",TEXT(LANÇ_MOV[[#This Row],[DATA DE VENCIMENTO]],"M"))</f>
        <v/>
      </c>
      <c r="AH665" s="526" t="str">
        <f>IF(LANÇ_MOV[[#This Row],[DATA DE VENCIMENTO]]="","",TEXT(LANÇ_MOV[[#This Row],[DATA DE VENCIMENTO]],"D"))</f>
        <v/>
      </c>
      <c r="AI665" s="526" t="str">
        <f>IF(LANÇ_MOV[[#This Row],[DATA DE PAGAMENTO]]="","",TEXT(LANÇ_MOV[[#This Row],[DATA DE PAGAMENTO]],"AAAA"))</f>
        <v/>
      </c>
      <c r="AJ665" s="527" t="str">
        <f>IF(LANÇ_MOV[[#This Row],[DATA DE PAGAMENTO]]="","",UPPER(TEXT(LANÇ_MOV[[#This Row],[DATA DE PAGAMENTO]],"MMMM")))</f>
        <v/>
      </c>
      <c r="AK665" s="527" t="str">
        <f>IF(LANÇ_MOV[[#This Row],[DATA DE PAGAMENTO]]="","",TEXT(LANÇ_MOV[[#This Row],[DATA DE PAGAMENTO]],"M"))</f>
        <v/>
      </c>
      <c r="AL665" s="526" t="str">
        <f>IF(LANÇ_MOV[[#This Row],[DATA DE PAGAMENTO]]="","",TEXT(LANÇ_MOV[[#This Row],[DATA DE PAGAMENTO]],"D"))</f>
        <v/>
      </c>
    </row>
    <row r="666" spans="2:38" ht="30.05" customHeight="1" x14ac:dyDescent="0.35">
      <c r="B666" s="506"/>
      <c r="C666" s="507"/>
      <c r="D666" s="508" t="s">
        <v>1854</v>
      </c>
      <c r="E666" s="509"/>
      <c r="F666" s="510"/>
      <c r="G666" s="507"/>
      <c r="H666" s="511"/>
      <c r="I666" s="512"/>
      <c r="J666" s="518"/>
      <c r="K666" s="510"/>
      <c r="L666" s="510"/>
      <c r="M666" s="548"/>
      <c r="N666" s="514">
        <f>LANÇ_MOV[[#This Row],[VALOR BRUTO]]-LANÇ_MOV[[#This Row],[DESCONTO]]+LANÇ_MOV[[#This Row],[JUROS]]+LANÇ_MOV[[#This Row],[MULTA]]</f>
        <v>0</v>
      </c>
      <c r="O666" s="546"/>
      <c r="P666" s="547" t="str">
        <f t="shared" ca="1" si="10"/>
        <v/>
      </c>
      <c r="Q666" s="528"/>
      <c r="R666" s="529"/>
      <c r="S666" s="518"/>
      <c r="T666" s="518"/>
      <c r="U666" s="519"/>
      <c r="V666" s="520" t="str">
        <f>IFERROR(VLOOKUP(LANÇ_MOV[[#This Row],[PLANO DE CONTAS]],Plano_Contas[[PLANO DE CONTAS]:[R / D]],3,0),"")</f>
        <v/>
      </c>
      <c r="W666" s="521" t="str">
        <f>IF(LANÇ_MOV[[#This Row],[DATA DE PAGAMENTO]]&lt;&gt;"","Pago","Não Pago")</f>
        <v>Não Pago</v>
      </c>
      <c r="X666" s="522" t="str">
        <f>IFERROR(IF(LANÇ_MOV[[#This Row],[DATA DE PAGAMENTO]]="","",(UPPER(TEXT(LANÇ_MOV[[#This Row],[DATA DE PAGAMENTO]],"mmmm")))),"")</f>
        <v/>
      </c>
      <c r="Y666" s="523" t="str">
        <f>IFERROR(VLOOKUP(LANÇ_MOV[[#This Row],[PLANO DE CONTAS]],Plano_Contas[[PLANO DE CONTAS]:[NOMES INTERVALOS]],2,0),"")</f>
        <v/>
      </c>
      <c r="Z666" s="523" t="str">
        <f>IF(LANÇ_MOV[[#This Row],[FORMA DE PAGAMENTO]]="","",VLOOKUP(LANÇ_MOV[[#This Row],[FORMA DE PAGAMENTO]],CAD_Forma_pagto[],2,0))</f>
        <v/>
      </c>
      <c r="AA666" s="524" t="str">
        <f>IF(LANÇ_MOV[[#This Row],[DATA DE LANÇAMENTO]]="","",TEXT(LANÇ_MOV[[#This Row],[DATA DE LANÇAMENTO]],"AAAA"))</f>
        <v/>
      </c>
      <c r="AB666" s="524" t="str">
        <f>IF(LANÇ_MOV[[#This Row],[DATA DE LANÇAMENTO]]="","",UPPER(TEXT(LANÇ_MOV[[#This Row],[DATA DE LANÇAMENTO]],"MMMM")))</f>
        <v/>
      </c>
      <c r="AC666" s="525" t="str">
        <f>IF(LANÇ_MOV[[#This Row],[DATA DE LANÇAMENTO]]="","",PROPER(TEXT(LANÇ_MOV[[#This Row],[DATA DE LANÇAMENTO]],"M")))</f>
        <v/>
      </c>
      <c r="AD666" s="524" t="str">
        <f>IF(LANÇ_MOV[[#This Row],[DATA DE LANÇAMENTO]]="","",TEXT(LANÇ_MOV[[#This Row],[DATA DE LANÇAMENTO]],"D"))</f>
        <v/>
      </c>
      <c r="AE666" s="526" t="str">
        <f>IF(LANÇ_MOV[[#This Row],[DATA DE VENCIMENTO]]="","",TEXT(LANÇ_MOV[[#This Row],[DATA DE VENCIMENTO]],"AAAA"))</f>
        <v/>
      </c>
      <c r="AF666" s="526" t="str">
        <f>IF(LANÇ_MOV[[#This Row],[DATA DE VENCIMENTO]]="","",UPPER(TEXT(LANÇ_MOV[[#This Row],[DATA DE VENCIMENTO]],"MMMM")))</f>
        <v/>
      </c>
      <c r="AG666" s="526" t="str">
        <f>IF(LANÇ_MOV[[#This Row],[DATA DE VENCIMENTO]]="","",TEXT(LANÇ_MOV[[#This Row],[DATA DE VENCIMENTO]],"M"))</f>
        <v/>
      </c>
      <c r="AH666" s="526" t="str">
        <f>IF(LANÇ_MOV[[#This Row],[DATA DE VENCIMENTO]]="","",TEXT(LANÇ_MOV[[#This Row],[DATA DE VENCIMENTO]],"D"))</f>
        <v/>
      </c>
      <c r="AI666" s="526" t="str">
        <f>IF(LANÇ_MOV[[#This Row],[DATA DE PAGAMENTO]]="","",TEXT(LANÇ_MOV[[#This Row],[DATA DE PAGAMENTO]],"AAAA"))</f>
        <v/>
      </c>
      <c r="AJ666" s="527" t="str">
        <f>IF(LANÇ_MOV[[#This Row],[DATA DE PAGAMENTO]]="","",UPPER(TEXT(LANÇ_MOV[[#This Row],[DATA DE PAGAMENTO]],"MMMM")))</f>
        <v/>
      </c>
      <c r="AK666" s="527" t="str">
        <f>IF(LANÇ_MOV[[#This Row],[DATA DE PAGAMENTO]]="","",TEXT(LANÇ_MOV[[#This Row],[DATA DE PAGAMENTO]],"M"))</f>
        <v/>
      </c>
      <c r="AL666" s="526" t="str">
        <f>IF(LANÇ_MOV[[#This Row],[DATA DE PAGAMENTO]]="","",TEXT(LANÇ_MOV[[#This Row],[DATA DE PAGAMENTO]],"D"))</f>
        <v/>
      </c>
    </row>
    <row r="667" spans="2:38" ht="30.05" customHeight="1" x14ac:dyDescent="0.35">
      <c r="B667" s="506"/>
      <c r="C667" s="507"/>
      <c r="D667" s="508" t="s">
        <v>1854</v>
      </c>
      <c r="E667" s="509"/>
      <c r="F667" s="510"/>
      <c r="G667" s="507"/>
      <c r="H667" s="511"/>
      <c r="I667" s="512"/>
      <c r="J667" s="518"/>
      <c r="K667" s="510"/>
      <c r="L667" s="510"/>
      <c r="M667" s="548"/>
      <c r="N667" s="514">
        <f>LANÇ_MOV[[#This Row],[VALOR BRUTO]]-LANÇ_MOV[[#This Row],[DESCONTO]]+LANÇ_MOV[[#This Row],[JUROS]]+LANÇ_MOV[[#This Row],[MULTA]]</f>
        <v>0</v>
      </c>
      <c r="O667" s="546"/>
      <c r="P667" s="547" t="str">
        <f t="shared" ca="1" si="10"/>
        <v/>
      </c>
      <c r="Q667" s="528"/>
      <c r="R667" s="529"/>
      <c r="S667" s="518"/>
      <c r="T667" s="518"/>
      <c r="U667" s="519"/>
      <c r="V667" s="520" t="str">
        <f>IFERROR(VLOOKUP(LANÇ_MOV[[#This Row],[PLANO DE CONTAS]],Plano_Contas[[PLANO DE CONTAS]:[R / D]],3,0),"")</f>
        <v/>
      </c>
      <c r="W667" s="521" t="str">
        <f>IF(LANÇ_MOV[[#This Row],[DATA DE PAGAMENTO]]&lt;&gt;"","Pago","Não Pago")</f>
        <v>Não Pago</v>
      </c>
      <c r="X667" s="522" t="str">
        <f>IFERROR(IF(LANÇ_MOV[[#This Row],[DATA DE PAGAMENTO]]="","",(UPPER(TEXT(LANÇ_MOV[[#This Row],[DATA DE PAGAMENTO]],"mmmm")))),"")</f>
        <v/>
      </c>
      <c r="Y667" s="523" t="str">
        <f>IFERROR(VLOOKUP(LANÇ_MOV[[#This Row],[PLANO DE CONTAS]],Plano_Contas[[PLANO DE CONTAS]:[NOMES INTERVALOS]],2,0),"")</f>
        <v/>
      </c>
      <c r="Z667" s="523" t="str">
        <f>IF(LANÇ_MOV[[#This Row],[FORMA DE PAGAMENTO]]="","",VLOOKUP(LANÇ_MOV[[#This Row],[FORMA DE PAGAMENTO]],CAD_Forma_pagto[],2,0))</f>
        <v/>
      </c>
      <c r="AA667" s="524" t="str">
        <f>IF(LANÇ_MOV[[#This Row],[DATA DE LANÇAMENTO]]="","",TEXT(LANÇ_MOV[[#This Row],[DATA DE LANÇAMENTO]],"AAAA"))</f>
        <v/>
      </c>
      <c r="AB667" s="524" t="str">
        <f>IF(LANÇ_MOV[[#This Row],[DATA DE LANÇAMENTO]]="","",UPPER(TEXT(LANÇ_MOV[[#This Row],[DATA DE LANÇAMENTO]],"MMMM")))</f>
        <v/>
      </c>
      <c r="AC667" s="525" t="str">
        <f>IF(LANÇ_MOV[[#This Row],[DATA DE LANÇAMENTO]]="","",PROPER(TEXT(LANÇ_MOV[[#This Row],[DATA DE LANÇAMENTO]],"M")))</f>
        <v/>
      </c>
      <c r="AD667" s="524" t="str">
        <f>IF(LANÇ_MOV[[#This Row],[DATA DE LANÇAMENTO]]="","",TEXT(LANÇ_MOV[[#This Row],[DATA DE LANÇAMENTO]],"D"))</f>
        <v/>
      </c>
      <c r="AE667" s="526" t="str">
        <f>IF(LANÇ_MOV[[#This Row],[DATA DE VENCIMENTO]]="","",TEXT(LANÇ_MOV[[#This Row],[DATA DE VENCIMENTO]],"AAAA"))</f>
        <v/>
      </c>
      <c r="AF667" s="526" t="str">
        <f>IF(LANÇ_MOV[[#This Row],[DATA DE VENCIMENTO]]="","",UPPER(TEXT(LANÇ_MOV[[#This Row],[DATA DE VENCIMENTO]],"MMMM")))</f>
        <v/>
      </c>
      <c r="AG667" s="526" t="str">
        <f>IF(LANÇ_MOV[[#This Row],[DATA DE VENCIMENTO]]="","",TEXT(LANÇ_MOV[[#This Row],[DATA DE VENCIMENTO]],"M"))</f>
        <v/>
      </c>
      <c r="AH667" s="526" t="str">
        <f>IF(LANÇ_MOV[[#This Row],[DATA DE VENCIMENTO]]="","",TEXT(LANÇ_MOV[[#This Row],[DATA DE VENCIMENTO]],"D"))</f>
        <v/>
      </c>
      <c r="AI667" s="526" t="str">
        <f>IF(LANÇ_MOV[[#This Row],[DATA DE PAGAMENTO]]="","",TEXT(LANÇ_MOV[[#This Row],[DATA DE PAGAMENTO]],"AAAA"))</f>
        <v/>
      </c>
      <c r="AJ667" s="527" t="str">
        <f>IF(LANÇ_MOV[[#This Row],[DATA DE PAGAMENTO]]="","",UPPER(TEXT(LANÇ_MOV[[#This Row],[DATA DE PAGAMENTO]],"MMMM")))</f>
        <v/>
      </c>
      <c r="AK667" s="527" t="str">
        <f>IF(LANÇ_MOV[[#This Row],[DATA DE PAGAMENTO]]="","",TEXT(LANÇ_MOV[[#This Row],[DATA DE PAGAMENTO]],"M"))</f>
        <v/>
      </c>
      <c r="AL667" s="526" t="str">
        <f>IF(LANÇ_MOV[[#This Row],[DATA DE PAGAMENTO]]="","",TEXT(LANÇ_MOV[[#This Row],[DATA DE PAGAMENTO]],"D"))</f>
        <v/>
      </c>
    </row>
    <row r="668" spans="2:38" ht="30.05" customHeight="1" x14ac:dyDescent="0.35">
      <c r="B668" s="506"/>
      <c r="C668" s="507"/>
      <c r="D668" s="508" t="s">
        <v>1854</v>
      </c>
      <c r="E668" s="509"/>
      <c r="F668" s="510"/>
      <c r="G668" s="507"/>
      <c r="H668" s="511"/>
      <c r="I668" s="512"/>
      <c r="J668" s="518"/>
      <c r="K668" s="510"/>
      <c r="L668" s="510"/>
      <c r="M668" s="548"/>
      <c r="N668" s="514">
        <f>LANÇ_MOV[[#This Row],[VALOR BRUTO]]-LANÇ_MOV[[#This Row],[DESCONTO]]+LANÇ_MOV[[#This Row],[JUROS]]+LANÇ_MOV[[#This Row],[MULTA]]</f>
        <v>0</v>
      </c>
      <c r="O668" s="546"/>
      <c r="P668" s="547" t="str">
        <f t="shared" ca="1" si="10"/>
        <v/>
      </c>
      <c r="Q668" s="528"/>
      <c r="R668" s="529"/>
      <c r="S668" s="518"/>
      <c r="T668" s="518"/>
      <c r="U668" s="519"/>
      <c r="V668" s="520" t="str">
        <f>IFERROR(VLOOKUP(LANÇ_MOV[[#This Row],[PLANO DE CONTAS]],Plano_Contas[[PLANO DE CONTAS]:[R / D]],3,0),"")</f>
        <v/>
      </c>
      <c r="W668" s="521" t="str">
        <f>IF(LANÇ_MOV[[#This Row],[DATA DE PAGAMENTO]]&lt;&gt;"","Pago","Não Pago")</f>
        <v>Não Pago</v>
      </c>
      <c r="X668" s="522" t="str">
        <f>IFERROR(IF(LANÇ_MOV[[#This Row],[DATA DE PAGAMENTO]]="","",(UPPER(TEXT(LANÇ_MOV[[#This Row],[DATA DE PAGAMENTO]],"mmmm")))),"")</f>
        <v/>
      </c>
      <c r="Y668" s="523" t="str">
        <f>IFERROR(VLOOKUP(LANÇ_MOV[[#This Row],[PLANO DE CONTAS]],Plano_Contas[[PLANO DE CONTAS]:[NOMES INTERVALOS]],2,0),"")</f>
        <v/>
      </c>
      <c r="Z668" s="523" t="str">
        <f>IF(LANÇ_MOV[[#This Row],[FORMA DE PAGAMENTO]]="","",VLOOKUP(LANÇ_MOV[[#This Row],[FORMA DE PAGAMENTO]],CAD_Forma_pagto[],2,0))</f>
        <v/>
      </c>
      <c r="AA668" s="524" t="str">
        <f>IF(LANÇ_MOV[[#This Row],[DATA DE LANÇAMENTO]]="","",TEXT(LANÇ_MOV[[#This Row],[DATA DE LANÇAMENTO]],"AAAA"))</f>
        <v/>
      </c>
      <c r="AB668" s="524" t="str">
        <f>IF(LANÇ_MOV[[#This Row],[DATA DE LANÇAMENTO]]="","",UPPER(TEXT(LANÇ_MOV[[#This Row],[DATA DE LANÇAMENTO]],"MMMM")))</f>
        <v/>
      </c>
      <c r="AC668" s="525" t="str">
        <f>IF(LANÇ_MOV[[#This Row],[DATA DE LANÇAMENTO]]="","",PROPER(TEXT(LANÇ_MOV[[#This Row],[DATA DE LANÇAMENTO]],"M")))</f>
        <v/>
      </c>
      <c r="AD668" s="524" t="str">
        <f>IF(LANÇ_MOV[[#This Row],[DATA DE LANÇAMENTO]]="","",TEXT(LANÇ_MOV[[#This Row],[DATA DE LANÇAMENTO]],"D"))</f>
        <v/>
      </c>
      <c r="AE668" s="526" t="str">
        <f>IF(LANÇ_MOV[[#This Row],[DATA DE VENCIMENTO]]="","",TEXT(LANÇ_MOV[[#This Row],[DATA DE VENCIMENTO]],"AAAA"))</f>
        <v/>
      </c>
      <c r="AF668" s="526" t="str">
        <f>IF(LANÇ_MOV[[#This Row],[DATA DE VENCIMENTO]]="","",UPPER(TEXT(LANÇ_MOV[[#This Row],[DATA DE VENCIMENTO]],"MMMM")))</f>
        <v/>
      </c>
      <c r="AG668" s="526" t="str">
        <f>IF(LANÇ_MOV[[#This Row],[DATA DE VENCIMENTO]]="","",TEXT(LANÇ_MOV[[#This Row],[DATA DE VENCIMENTO]],"M"))</f>
        <v/>
      </c>
      <c r="AH668" s="526" t="str">
        <f>IF(LANÇ_MOV[[#This Row],[DATA DE VENCIMENTO]]="","",TEXT(LANÇ_MOV[[#This Row],[DATA DE VENCIMENTO]],"D"))</f>
        <v/>
      </c>
      <c r="AI668" s="526" t="str">
        <f>IF(LANÇ_MOV[[#This Row],[DATA DE PAGAMENTO]]="","",TEXT(LANÇ_MOV[[#This Row],[DATA DE PAGAMENTO]],"AAAA"))</f>
        <v/>
      </c>
      <c r="AJ668" s="527" t="str">
        <f>IF(LANÇ_MOV[[#This Row],[DATA DE PAGAMENTO]]="","",UPPER(TEXT(LANÇ_MOV[[#This Row],[DATA DE PAGAMENTO]],"MMMM")))</f>
        <v/>
      </c>
      <c r="AK668" s="527" t="str">
        <f>IF(LANÇ_MOV[[#This Row],[DATA DE PAGAMENTO]]="","",TEXT(LANÇ_MOV[[#This Row],[DATA DE PAGAMENTO]],"M"))</f>
        <v/>
      </c>
      <c r="AL668" s="526" t="str">
        <f>IF(LANÇ_MOV[[#This Row],[DATA DE PAGAMENTO]]="","",TEXT(LANÇ_MOV[[#This Row],[DATA DE PAGAMENTO]],"D"))</f>
        <v/>
      </c>
    </row>
    <row r="669" spans="2:38" ht="30.05" customHeight="1" x14ac:dyDescent="0.35">
      <c r="B669" s="506"/>
      <c r="C669" s="507"/>
      <c r="D669" s="508" t="s">
        <v>1854</v>
      </c>
      <c r="E669" s="509"/>
      <c r="F669" s="510"/>
      <c r="G669" s="507"/>
      <c r="H669" s="511"/>
      <c r="I669" s="512"/>
      <c r="J669" s="518"/>
      <c r="K669" s="510"/>
      <c r="L669" s="510"/>
      <c r="M669" s="548"/>
      <c r="N669" s="514">
        <f>LANÇ_MOV[[#This Row],[VALOR BRUTO]]-LANÇ_MOV[[#This Row],[DESCONTO]]+LANÇ_MOV[[#This Row],[JUROS]]+LANÇ_MOV[[#This Row],[MULTA]]</f>
        <v>0</v>
      </c>
      <c r="O669" s="546"/>
      <c r="P669" s="547" t="str">
        <f t="shared" ca="1" si="10"/>
        <v/>
      </c>
      <c r="Q669" s="528"/>
      <c r="R669" s="529"/>
      <c r="S669" s="518"/>
      <c r="T669" s="518"/>
      <c r="U669" s="519"/>
      <c r="V669" s="520" t="str">
        <f>IFERROR(VLOOKUP(LANÇ_MOV[[#This Row],[PLANO DE CONTAS]],Plano_Contas[[PLANO DE CONTAS]:[R / D]],3,0),"")</f>
        <v/>
      </c>
      <c r="W669" s="521" t="str">
        <f>IF(LANÇ_MOV[[#This Row],[DATA DE PAGAMENTO]]&lt;&gt;"","Pago","Não Pago")</f>
        <v>Não Pago</v>
      </c>
      <c r="X669" s="522" t="str">
        <f>IFERROR(IF(LANÇ_MOV[[#This Row],[DATA DE PAGAMENTO]]="","",(UPPER(TEXT(LANÇ_MOV[[#This Row],[DATA DE PAGAMENTO]],"mmmm")))),"")</f>
        <v/>
      </c>
      <c r="Y669" s="523" t="str">
        <f>IFERROR(VLOOKUP(LANÇ_MOV[[#This Row],[PLANO DE CONTAS]],Plano_Contas[[PLANO DE CONTAS]:[NOMES INTERVALOS]],2,0),"")</f>
        <v/>
      </c>
      <c r="Z669" s="523" t="str">
        <f>IF(LANÇ_MOV[[#This Row],[FORMA DE PAGAMENTO]]="","",VLOOKUP(LANÇ_MOV[[#This Row],[FORMA DE PAGAMENTO]],CAD_Forma_pagto[],2,0))</f>
        <v/>
      </c>
      <c r="AA669" s="524" t="str">
        <f>IF(LANÇ_MOV[[#This Row],[DATA DE LANÇAMENTO]]="","",TEXT(LANÇ_MOV[[#This Row],[DATA DE LANÇAMENTO]],"AAAA"))</f>
        <v/>
      </c>
      <c r="AB669" s="524" t="str">
        <f>IF(LANÇ_MOV[[#This Row],[DATA DE LANÇAMENTO]]="","",UPPER(TEXT(LANÇ_MOV[[#This Row],[DATA DE LANÇAMENTO]],"MMMM")))</f>
        <v/>
      </c>
      <c r="AC669" s="525" t="str">
        <f>IF(LANÇ_MOV[[#This Row],[DATA DE LANÇAMENTO]]="","",PROPER(TEXT(LANÇ_MOV[[#This Row],[DATA DE LANÇAMENTO]],"M")))</f>
        <v/>
      </c>
      <c r="AD669" s="524" t="str">
        <f>IF(LANÇ_MOV[[#This Row],[DATA DE LANÇAMENTO]]="","",TEXT(LANÇ_MOV[[#This Row],[DATA DE LANÇAMENTO]],"D"))</f>
        <v/>
      </c>
      <c r="AE669" s="526" t="str">
        <f>IF(LANÇ_MOV[[#This Row],[DATA DE VENCIMENTO]]="","",TEXT(LANÇ_MOV[[#This Row],[DATA DE VENCIMENTO]],"AAAA"))</f>
        <v/>
      </c>
      <c r="AF669" s="526" t="str">
        <f>IF(LANÇ_MOV[[#This Row],[DATA DE VENCIMENTO]]="","",UPPER(TEXT(LANÇ_MOV[[#This Row],[DATA DE VENCIMENTO]],"MMMM")))</f>
        <v/>
      </c>
      <c r="AG669" s="526" t="str">
        <f>IF(LANÇ_MOV[[#This Row],[DATA DE VENCIMENTO]]="","",TEXT(LANÇ_MOV[[#This Row],[DATA DE VENCIMENTO]],"M"))</f>
        <v/>
      </c>
      <c r="AH669" s="526" t="str">
        <f>IF(LANÇ_MOV[[#This Row],[DATA DE VENCIMENTO]]="","",TEXT(LANÇ_MOV[[#This Row],[DATA DE VENCIMENTO]],"D"))</f>
        <v/>
      </c>
      <c r="AI669" s="526" t="str">
        <f>IF(LANÇ_MOV[[#This Row],[DATA DE PAGAMENTO]]="","",TEXT(LANÇ_MOV[[#This Row],[DATA DE PAGAMENTO]],"AAAA"))</f>
        <v/>
      </c>
      <c r="AJ669" s="527" t="str">
        <f>IF(LANÇ_MOV[[#This Row],[DATA DE PAGAMENTO]]="","",UPPER(TEXT(LANÇ_MOV[[#This Row],[DATA DE PAGAMENTO]],"MMMM")))</f>
        <v/>
      </c>
      <c r="AK669" s="527" t="str">
        <f>IF(LANÇ_MOV[[#This Row],[DATA DE PAGAMENTO]]="","",TEXT(LANÇ_MOV[[#This Row],[DATA DE PAGAMENTO]],"M"))</f>
        <v/>
      </c>
      <c r="AL669" s="526" t="str">
        <f>IF(LANÇ_MOV[[#This Row],[DATA DE PAGAMENTO]]="","",TEXT(LANÇ_MOV[[#This Row],[DATA DE PAGAMENTO]],"D"))</f>
        <v/>
      </c>
    </row>
    <row r="670" spans="2:38" ht="30.05" customHeight="1" x14ac:dyDescent="0.35">
      <c r="B670" s="506"/>
      <c r="C670" s="507"/>
      <c r="D670" s="508" t="s">
        <v>1854</v>
      </c>
      <c r="E670" s="509"/>
      <c r="F670" s="510"/>
      <c r="G670" s="507"/>
      <c r="H670" s="511"/>
      <c r="I670" s="512"/>
      <c r="J670" s="518"/>
      <c r="K670" s="510"/>
      <c r="L670" s="510"/>
      <c r="M670" s="548"/>
      <c r="N670" s="514">
        <f>LANÇ_MOV[[#This Row],[VALOR BRUTO]]-LANÇ_MOV[[#This Row],[DESCONTO]]+LANÇ_MOV[[#This Row],[JUROS]]+LANÇ_MOV[[#This Row],[MULTA]]</f>
        <v>0</v>
      </c>
      <c r="O670" s="546"/>
      <c r="P670" s="547" t="str">
        <f t="shared" ca="1" si="10"/>
        <v/>
      </c>
      <c r="Q670" s="528"/>
      <c r="R670" s="529"/>
      <c r="S670" s="518"/>
      <c r="T670" s="518"/>
      <c r="U670" s="519"/>
      <c r="V670" s="520" t="str">
        <f>IFERROR(VLOOKUP(LANÇ_MOV[[#This Row],[PLANO DE CONTAS]],Plano_Contas[[PLANO DE CONTAS]:[R / D]],3,0),"")</f>
        <v/>
      </c>
      <c r="W670" s="521" t="str">
        <f>IF(LANÇ_MOV[[#This Row],[DATA DE PAGAMENTO]]&lt;&gt;"","Pago","Não Pago")</f>
        <v>Não Pago</v>
      </c>
      <c r="X670" s="522" t="str">
        <f>IFERROR(IF(LANÇ_MOV[[#This Row],[DATA DE PAGAMENTO]]="","",(UPPER(TEXT(LANÇ_MOV[[#This Row],[DATA DE PAGAMENTO]],"mmmm")))),"")</f>
        <v/>
      </c>
      <c r="Y670" s="523" t="str">
        <f>IFERROR(VLOOKUP(LANÇ_MOV[[#This Row],[PLANO DE CONTAS]],Plano_Contas[[PLANO DE CONTAS]:[NOMES INTERVALOS]],2,0),"")</f>
        <v/>
      </c>
      <c r="Z670" s="523" t="str">
        <f>IF(LANÇ_MOV[[#This Row],[FORMA DE PAGAMENTO]]="","",VLOOKUP(LANÇ_MOV[[#This Row],[FORMA DE PAGAMENTO]],CAD_Forma_pagto[],2,0))</f>
        <v/>
      </c>
      <c r="AA670" s="524" t="str">
        <f>IF(LANÇ_MOV[[#This Row],[DATA DE LANÇAMENTO]]="","",TEXT(LANÇ_MOV[[#This Row],[DATA DE LANÇAMENTO]],"AAAA"))</f>
        <v/>
      </c>
      <c r="AB670" s="524" t="str">
        <f>IF(LANÇ_MOV[[#This Row],[DATA DE LANÇAMENTO]]="","",UPPER(TEXT(LANÇ_MOV[[#This Row],[DATA DE LANÇAMENTO]],"MMMM")))</f>
        <v/>
      </c>
      <c r="AC670" s="525" t="str">
        <f>IF(LANÇ_MOV[[#This Row],[DATA DE LANÇAMENTO]]="","",PROPER(TEXT(LANÇ_MOV[[#This Row],[DATA DE LANÇAMENTO]],"M")))</f>
        <v/>
      </c>
      <c r="AD670" s="524" t="str">
        <f>IF(LANÇ_MOV[[#This Row],[DATA DE LANÇAMENTO]]="","",TEXT(LANÇ_MOV[[#This Row],[DATA DE LANÇAMENTO]],"D"))</f>
        <v/>
      </c>
      <c r="AE670" s="526" t="str">
        <f>IF(LANÇ_MOV[[#This Row],[DATA DE VENCIMENTO]]="","",TEXT(LANÇ_MOV[[#This Row],[DATA DE VENCIMENTO]],"AAAA"))</f>
        <v/>
      </c>
      <c r="AF670" s="526" t="str">
        <f>IF(LANÇ_MOV[[#This Row],[DATA DE VENCIMENTO]]="","",UPPER(TEXT(LANÇ_MOV[[#This Row],[DATA DE VENCIMENTO]],"MMMM")))</f>
        <v/>
      </c>
      <c r="AG670" s="526" t="str">
        <f>IF(LANÇ_MOV[[#This Row],[DATA DE VENCIMENTO]]="","",TEXT(LANÇ_MOV[[#This Row],[DATA DE VENCIMENTO]],"M"))</f>
        <v/>
      </c>
      <c r="AH670" s="526" t="str">
        <f>IF(LANÇ_MOV[[#This Row],[DATA DE VENCIMENTO]]="","",TEXT(LANÇ_MOV[[#This Row],[DATA DE VENCIMENTO]],"D"))</f>
        <v/>
      </c>
      <c r="AI670" s="526" t="str">
        <f>IF(LANÇ_MOV[[#This Row],[DATA DE PAGAMENTO]]="","",TEXT(LANÇ_MOV[[#This Row],[DATA DE PAGAMENTO]],"AAAA"))</f>
        <v/>
      </c>
      <c r="AJ670" s="527" t="str">
        <f>IF(LANÇ_MOV[[#This Row],[DATA DE PAGAMENTO]]="","",UPPER(TEXT(LANÇ_MOV[[#This Row],[DATA DE PAGAMENTO]],"MMMM")))</f>
        <v/>
      </c>
      <c r="AK670" s="527" t="str">
        <f>IF(LANÇ_MOV[[#This Row],[DATA DE PAGAMENTO]]="","",TEXT(LANÇ_MOV[[#This Row],[DATA DE PAGAMENTO]],"M"))</f>
        <v/>
      </c>
      <c r="AL670" s="526" t="str">
        <f>IF(LANÇ_MOV[[#This Row],[DATA DE PAGAMENTO]]="","",TEXT(LANÇ_MOV[[#This Row],[DATA DE PAGAMENTO]],"D"))</f>
        <v/>
      </c>
    </row>
    <row r="671" spans="2:38" ht="30.05" customHeight="1" x14ac:dyDescent="0.35">
      <c r="B671" s="506"/>
      <c r="C671" s="507"/>
      <c r="D671" s="508" t="s">
        <v>1854</v>
      </c>
      <c r="E671" s="509"/>
      <c r="F671" s="510"/>
      <c r="G671" s="507"/>
      <c r="H671" s="511"/>
      <c r="I671" s="512"/>
      <c r="J671" s="518"/>
      <c r="K671" s="510"/>
      <c r="L671" s="510"/>
      <c r="M671" s="548"/>
      <c r="N671" s="514">
        <f>LANÇ_MOV[[#This Row],[VALOR BRUTO]]-LANÇ_MOV[[#This Row],[DESCONTO]]+LANÇ_MOV[[#This Row],[JUROS]]+LANÇ_MOV[[#This Row],[MULTA]]</f>
        <v>0</v>
      </c>
      <c r="O671" s="546"/>
      <c r="P671" s="547" t="str">
        <f t="shared" ca="1" si="10"/>
        <v/>
      </c>
      <c r="Q671" s="528"/>
      <c r="R671" s="529"/>
      <c r="S671" s="518"/>
      <c r="T671" s="518"/>
      <c r="U671" s="519"/>
      <c r="V671" s="520" t="str">
        <f>IFERROR(VLOOKUP(LANÇ_MOV[[#This Row],[PLANO DE CONTAS]],Plano_Contas[[PLANO DE CONTAS]:[R / D]],3,0),"")</f>
        <v/>
      </c>
      <c r="W671" s="521" t="str">
        <f>IF(LANÇ_MOV[[#This Row],[DATA DE PAGAMENTO]]&lt;&gt;"","Pago","Não Pago")</f>
        <v>Não Pago</v>
      </c>
      <c r="X671" s="522" t="str">
        <f>IFERROR(IF(LANÇ_MOV[[#This Row],[DATA DE PAGAMENTO]]="","",(UPPER(TEXT(LANÇ_MOV[[#This Row],[DATA DE PAGAMENTO]],"mmmm")))),"")</f>
        <v/>
      </c>
      <c r="Y671" s="523" t="str">
        <f>IFERROR(VLOOKUP(LANÇ_MOV[[#This Row],[PLANO DE CONTAS]],Plano_Contas[[PLANO DE CONTAS]:[NOMES INTERVALOS]],2,0),"")</f>
        <v/>
      </c>
      <c r="Z671" s="523" t="str">
        <f>IF(LANÇ_MOV[[#This Row],[FORMA DE PAGAMENTO]]="","",VLOOKUP(LANÇ_MOV[[#This Row],[FORMA DE PAGAMENTO]],CAD_Forma_pagto[],2,0))</f>
        <v/>
      </c>
      <c r="AA671" s="524" t="str">
        <f>IF(LANÇ_MOV[[#This Row],[DATA DE LANÇAMENTO]]="","",TEXT(LANÇ_MOV[[#This Row],[DATA DE LANÇAMENTO]],"AAAA"))</f>
        <v/>
      </c>
      <c r="AB671" s="524" t="str">
        <f>IF(LANÇ_MOV[[#This Row],[DATA DE LANÇAMENTO]]="","",UPPER(TEXT(LANÇ_MOV[[#This Row],[DATA DE LANÇAMENTO]],"MMMM")))</f>
        <v/>
      </c>
      <c r="AC671" s="525" t="str">
        <f>IF(LANÇ_MOV[[#This Row],[DATA DE LANÇAMENTO]]="","",PROPER(TEXT(LANÇ_MOV[[#This Row],[DATA DE LANÇAMENTO]],"M")))</f>
        <v/>
      </c>
      <c r="AD671" s="524" t="str">
        <f>IF(LANÇ_MOV[[#This Row],[DATA DE LANÇAMENTO]]="","",TEXT(LANÇ_MOV[[#This Row],[DATA DE LANÇAMENTO]],"D"))</f>
        <v/>
      </c>
      <c r="AE671" s="526" t="str">
        <f>IF(LANÇ_MOV[[#This Row],[DATA DE VENCIMENTO]]="","",TEXT(LANÇ_MOV[[#This Row],[DATA DE VENCIMENTO]],"AAAA"))</f>
        <v/>
      </c>
      <c r="AF671" s="526" t="str">
        <f>IF(LANÇ_MOV[[#This Row],[DATA DE VENCIMENTO]]="","",UPPER(TEXT(LANÇ_MOV[[#This Row],[DATA DE VENCIMENTO]],"MMMM")))</f>
        <v/>
      </c>
      <c r="AG671" s="526" t="str">
        <f>IF(LANÇ_MOV[[#This Row],[DATA DE VENCIMENTO]]="","",TEXT(LANÇ_MOV[[#This Row],[DATA DE VENCIMENTO]],"M"))</f>
        <v/>
      </c>
      <c r="AH671" s="526" t="str">
        <f>IF(LANÇ_MOV[[#This Row],[DATA DE VENCIMENTO]]="","",TEXT(LANÇ_MOV[[#This Row],[DATA DE VENCIMENTO]],"D"))</f>
        <v/>
      </c>
      <c r="AI671" s="526" t="str">
        <f>IF(LANÇ_MOV[[#This Row],[DATA DE PAGAMENTO]]="","",TEXT(LANÇ_MOV[[#This Row],[DATA DE PAGAMENTO]],"AAAA"))</f>
        <v/>
      </c>
      <c r="AJ671" s="527" t="str">
        <f>IF(LANÇ_MOV[[#This Row],[DATA DE PAGAMENTO]]="","",UPPER(TEXT(LANÇ_MOV[[#This Row],[DATA DE PAGAMENTO]],"MMMM")))</f>
        <v/>
      </c>
      <c r="AK671" s="527" t="str">
        <f>IF(LANÇ_MOV[[#This Row],[DATA DE PAGAMENTO]]="","",TEXT(LANÇ_MOV[[#This Row],[DATA DE PAGAMENTO]],"M"))</f>
        <v/>
      </c>
      <c r="AL671" s="526" t="str">
        <f>IF(LANÇ_MOV[[#This Row],[DATA DE PAGAMENTO]]="","",TEXT(LANÇ_MOV[[#This Row],[DATA DE PAGAMENTO]],"D"))</f>
        <v/>
      </c>
    </row>
    <row r="672" spans="2:38" ht="30.05" customHeight="1" x14ac:dyDescent="0.35">
      <c r="B672" s="506"/>
      <c r="C672" s="507"/>
      <c r="D672" s="508" t="s">
        <v>1854</v>
      </c>
      <c r="E672" s="509"/>
      <c r="F672" s="510"/>
      <c r="G672" s="507"/>
      <c r="H672" s="511"/>
      <c r="I672" s="512"/>
      <c r="J672" s="518"/>
      <c r="K672" s="510"/>
      <c r="L672" s="510"/>
      <c r="M672" s="548"/>
      <c r="N672" s="514">
        <f>LANÇ_MOV[[#This Row],[VALOR BRUTO]]-LANÇ_MOV[[#This Row],[DESCONTO]]+LANÇ_MOV[[#This Row],[JUROS]]+LANÇ_MOV[[#This Row],[MULTA]]</f>
        <v>0</v>
      </c>
      <c r="O672" s="546"/>
      <c r="P672" s="547" t="str">
        <f t="shared" ca="1" si="10"/>
        <v/>
      </c>
      <c r="Q672" s="528"/>
      <c r="R672" s="529"/>
      <c r="S672" s="518"/>
      <c r="T672" s="518"/>
      <c r="U672" s="519"/>
      <c r="V672" s="520" t="str">
        <f>IFERROR(VLOOKUP(LANÇ_MOV[[#This Row],[PLANO DE CONTAS]],Plano_Contas[[PLANO DE CONTAS]:[R / D]],3,0),"")</f>
        <v/>
      </c>
      <c r="W672" s="521" t="str">
        <f>IF(LANÇ_MOV[[#This Row],[DATA DE PAGAMENTO]]&lt;&gt;"","Pago","Não Pago")</f>
        <v>Não Pago</v>
      </c>
      <c r="X672" s="522" t="str">
        <f>IFERROR(IF(LANÇ_MOV[[#This Row],[DATA DE PAGAMENTO]]="","",(UPPER(TEXT(LANÇ_MOV[[#This Row],[DATA DE PAGAMENTO]],"mmmm")))),"")</f>
        <v/>
      </c>
      <c r="Y672" s="523" t="str">
        <f>IFERROR(VLOOKUP(LANÇ_MOV[[#This Row],[PLANO DE CONTAS]],Plano_Contas[[PLANO DE CONTAS]:[NOMES INTERVALOS]],2,0),"")</f>
        <v/>
      </c>
      <c r="Z672" s="523" t="str">
        <f>IF(LANÇ_MOV[[#This Row],[FORMA DE PAGAMENTO]]="","",VLOOKUP(LANÇ_MOV[[#This Row],[FORMA DE PAGAMENTO]],CAD_Forma_pagto[],2,0))</f>
        <v/>
      </c>
      <c r="AA672" s="524" t="str">
        <f>IF(LANÇ_MOV[[#This Row],[DATA DE LANÇAMENTO]]="","",TEXT(LANÇ_MOV[[#This Row],[DATA DE LANÇAMENTO]],"AAAA"))</f>
        <v/>
      </c>
      <c r="AB672" s="524" t="str">
        <f>IF(LANÇ_MOV[[#This Row],[DATA DE LANÇAMENTO]]="","",UPPER(TEXT(LANÇ_MOV[[#This Row],[DATA DE LANÇAMENTO]],"MMMM")))</f>
        <v/>
      </c>
      <c r="AC672" s="525" t="str">
        <f>IF(LANÇ_MOV[[#This Row],[DATA DE LANÇAMENTO]]="","",PROPER(TEXT(LANÇ_MOV[[#This Row],[DATA DE LANÇAMENTO]],"M")))</f>
        <v/>
      </c>
      <c r="AD672" s="524" t="str">
        <f>IF(LANÇ_MOV[[#This Row],[DATA DE LANÇAMENTO]]="","",TEXT(LANÇ_MOV[[#This Row],[DATA DE LANÇAMENTO]],"D"))</f>
        <v/>
      </c>
      <c r="AE672" s="526" t="str">
        <f>IF(LANÇ_MOV[[#This Row],[DATA DE VENCIMENTO]]="","",TEXT(LANÇ_MOV[[#This Row],[DATA DE VENCIMENTO]],"AAAA"))</f>
        <v/>
      </c>
      <c r="AF672" s="526" t="str">
        <f>IF(LANÇ_MOV[[#This Row],[DATA DE VENCIMENTO]]="","",UPPER(TEXT(LANÇ_MOV[[#This Row],[DATA DE VENCIMENTO]],"MMMM")))</f>
        <v/>
      </c>
      <c r="AG672" s="526" t="str">
        <f>IF(LANÇ_MOV[[#This Row],[DATA DE VENCIMENTO]]="","",TEXT(LANÇ_MOV[[#This Row],[DATA DE VENCIMENTO]],"M"))</f>
        <v/>
      </c>
      <c r="AH672" s="526" t="str">
        <f>IF(LANÇ_MOV[[#This Row],[DATA DE VENCIMENTO]]="","",TEXT(LANÇ_MOV[[#This Row],[DATA DE VENCIMENTO]],"D"))</f>
        <v/>
      </c>
      <c r="AI672" s="526" t="str">
        <f>IF(LANÇ_MOV[[#This Row],[DATA DE PAGAMENTO]]="","",TEXT(LANÇ_MOV[[#This Row],[DATA DE PAGAMENTO]],"AAAA"))</f>
        <v/>
      </c>
      <c r="AJ672" s="527" t="str">
        <f>IF(LANÇ_MOV[[#This Row],[DATA DE PAGAMENTO]]="","",UPPER(TEXT(LANÇ_MOV[[#This Row],[DATA DE PAGAMENTO]],"MMMM")))</f>
        <v/>
      </c>
      <c r="AK672" s="527" t="str">
        <f>IF(LANÇ_MOV[[#This Row],[DATA DE PAGAMENTO]]="","",TEXT(LANÇ_MOV[[#This Row],[DATA DE PAGAMENTO]],"M"))</f>
        <v/>
      </c>
      <c r="AL672" s="526" t="str">
        <f>IF(LANÇ_MOV[[#This Row],[DATA DE PAGAMENTO]]="","",TEXT(LANÇ_MOV[[#This Row],[DATA DE PAGAMENTO]],"D"))</f>
        <v/>
      </c>
    </row>
    <row r="673" spans="2:38" ht="30.05" customHeight="1" x14ac:dyDescent="0.35">
      <c r="B673" s="506"/>
      <c r="C673" s="507"/>
      <c r="D673" s="508" t="s">
        <v>1854</v>
      </c>
      <c r="E673" s="509"/>
      <c r="F673" s="510"/>
      <c r="G673" s="507"/>
      <c r="H673" s="511"/>
      <c r="I673" s="512"/>
      <c r="J673" s="518"/>
      <c r="K673" s="510"/>
      <c r="L673" s="510"/>
      <c r="M673" s="548"/>
      <c r="N673" s="514">
        <f>LANÇ_MOV[[#This Row],[VALOR BRUTO]]-LANÇ_MOV[[#This Row],[DESCONTO]]+LANÇ_MOV[[#This Row],[JUROS]]+LANÇ_MOV[[#This Row],[MULTA]]</f>
        <v>0</v>
      </c>
      <c r="O673" s="546"/>
      <c r="P673" s="547" t="str">
        <f t="shared" ca="1" si="10"/>
        <v/>
      </c>
      <c r="Q673" s="528"/>
      <c r="R673" s="529"/>
      <c r="S673" s="518"/>
      <c r="T673" s="518"/>
      <c r="U673" s="519"/>
      <c r="V673" s="520" t="str">
        <f>IFERROR(VLOOKUP(LANÇ_MOV[[#This Row],[PLANO DE CONTAS]],Plano_Contas[[PLANO DE CONTAS]:[R / D]],3,0),"")</f>
        <v/>
      </c>
      <c r="W673" s="521" t="str">
        <f>IF(LANÇ_MOV[[#This Row],[DATA DE PAGAMENTO]]&lt;&gt;"","Pago","Não Pago")</f>
        <v>Não Pago</v>
      </c>
      <c r="X673" s="522" t="str">
        <f>IFERROR(IF(LANÇ_MOV[[#This Row],[DATA DE PAGAMENTO]]="","",(UPPER(TEXT(LANÇ_MOV[[#This Row],[DATA DE PAGAMENTO]],"mmmm")))),"")</f>
        <v/>
      </c>
      <c r="Y673" s="523" t="str">
        <f>IFERROR(VLOOKUP(LANÇ_MOV[[#This Row],[PLANO DE CONTAS]],Plano_Contas[[PLANO DE CONTAS]:[NOMES INTERVALOS]],2,0),"")</f>
        <v/>
      </c>
      <c r="Z673" s="523" t="str">
        <f>IF(LANÇ_MOV[[#This Row],[FORMA DE PAGAMENTO]]="","",VLOOKUP(LANÇ_MOV[[#This Row],[FORMA DE PAGAMENTO]],CAD_Forma_pagto[],2,0))</f>
        <v/>
      </c>
      <c r="AA673" s="524" t="str">
        <f>IF(LANÇ_MOV[[#This Row],[DATA DE LANÇAMENTO]]="","",TEXT(LANÇ_MOV[[#This Row],[DATA DE LANÇAMENTO]],"AAAA"))</f>
        <v/>
      </c>
      <c r="AB673" s="524" t="str">
        <f>IF(LANÇ_MOV[[#This Row],[DATA DE LANÇAMENTO]]="","",UPPER(TEXT(LANÇ_MOV[[#This Row],[DATA DE LANÇAMENTO]],"MMMM")))</f>
        <v/>
      </c>
      <c r="AC673" s="525" t="str">
        <f>IF(LANÇ_MOV[[#This Row],[DATA DE LANÇAMENTO]]="","",PROPER(TEXT(LANÇ_MOV[[#This Row],[DATA DE LANÇAMENTO]],"M")))</f>
        <v/>
      </c>
      <c r="AD673" s="524" t="str">
        <f>IF(LANÇ_MOV[[#This Row],[DATA DE LANÇAMENTO]]="","",TEXT(LANÇ_MOV[[#This Row],[DATA DE LANÇAMENTO]],"D"))</f>
        <v/>
      </c>
      <c r="AE673" s="526" t="str">
        <f>IF(LANÇ_MOV[[#This Row],[DATA DE VENCIMENTO]]="","",TEXT(LANÇ_MOV[[#This Row],[DATA DE VENCIMENTO]],"AAAA"))</f>
        <v/>
      </c>
      <c r="AF673" s="526" t="str">
        <f>IF(LANÇ_MOV[[#This Row],[DATA DE VENCIMENTO]]="","",UPPER(TEXT(LANÇ_MOV[[#This Row],[DATA DE VENCIMENTO]],"MMMM")))</f>
        <v/>
      </c>
      <c r="AG673" s="526" t="str">
        <f>IF(LANÇ_MOV[[#This Row],[DATA DE VENCIMENTO]]="","",TEXT(LANÇ_MOV[[#This Row],[DATA DE VENCIMENTO]],"M"))</f>
        <v/>
      </c>
      <c r="AH673" s="526" t="str">
        <f>IF(LANÇ_MOV[[#This Row],[DATA DE VENCIMENTO]]="","",TEXT(LANÇ_MOV[[#This Row],[DATA DE VENCIMENTO]],"D"))</f>
        <v/>
      </c>
      <c r="AI673" s="526" t="str">
        <f>IF(LANÇ_MOV[[#This Row],[DATA DE PAGAMENTO]]="","",TEXT(LANÇ_MOV[[#This Row],[DATA DE PAGAMENTO]],"AAAA"))</f>
        <v/>
      </c>
      <c r="AJ673" s="527" t="str">
        <f>IF(LANÇ_MOV[[#This Row],[DATA DE PAGAMENTO]]="","",UPPER(TEXT(LANÇ_MOV[[#This Row],[DATA DE PAGAMENTO]],"MMMM")))</f>
        <v/>
      </c>
      <c r="AK673" s="527" t="str">
        <f>IF(LANÇ_MOV[[#This Row],[DATA DE PAGAMENTO]]="","",TEXT(LANÇ_MOV[[#This Row],[DATA DE PAGAMENTO]],"M"))</f>
        <v/>
      </c>
      <c r="AL673" s="526" t="str">
        <f>IF(LANÇ_MOV[[#This Row],[DATA DE PAGAMENTO]]="","",TEXT(LANÇ_MOV[[#This Row],[DATA DE PAGAMENTO]],"D"))</f>
        <v/>
      </c>
    </row>
    <row r="674" spans="2:38" ht="30.05" customHeight="1" x14ac:dyDescent="0.35">
      <c r="B674" s="506"/>
      <c r="C674" s="507"/>
      <c r="D674" s="508" t="s">
        <v>1854</v>
      </c>
      <c r="E674" s="509"/>
      <c r="F674" s="510"/>
      <c r="G674" s="507"/>
      <c r="H674" s="511"/>
      <c r="I674" s="512"/>
      <c r="J674" s="518"/>
      <c r="K674" s="510"/>
      <c r="L674" s="510"/>
      <c r="M674" s="548"/>
      <c r="N674" s="514">
        <f>LANÇ_MOV[[#This Row],[VALOR BRUTO]]-LANÇ_MOV[[#This Row],[DESCONTO]]+LANÇ_MOV[[#This Row],[JUROS]]+LANÇ_MOV[[#This Row],[MULTA]]</f>
        <v>0</v>
      </c>
      <c r="O674" s="546"/>
      <c r="P674" s="547" t="str">
        <f t="shared" ca="1" si="10"/>
        <v/>
      </c>
      <c r="Q674" s="528"/>
      <c r="R674" s="529"/>
      <c r="S674" s="518"/>
      <c r="T674" s="518"/>
      <c r="U674" s="519"/>
      <c r="V674" s="520" t="str">
        <f>IFERROR(VLOOKUP(LANÇ_MOV[[#This Row],[PLANO DE CONTAS]],Plano_Contas[[PLANO DE CONTAS]:[R / D]],3,0),"")</f>
        <v/>
      </c>
      <c r="W674" s="521" t="str">
        <f>IF(LANÇ_MOV[[#This Row],[DATA DE PAGAMENTO]]&lt;&gt;"","Pago","Não Pago")</f>
        <v>Não Pago</v>
      </c>
      <c r="X674" s="522" t="str">
        <f>IFERROR(IF(LANÇ_MOV[[#This Row],[DATA DE PAGAMENTO]]="","",(UPPER(TEXT(LANÇ_MOV[[#This Row],[DATA DE PAGAMENTO]],"mmmm")))),"")</f>
        <v/>
      </c>
      <c r="Y674" s="523" t="str">
        <f>IFERROR(VLOOKUP(LANÇ_MOV[[#This Row],[PLANO DE CONTAS]],Plano_Contas[[PLANO DE CONTAS]:[NOMES INTERVALOS]],2,0),"")</f>
        <v/>
      </c>
      <c r="Z674" s="523" t="str">
        <f>IF(LANÇ_MOV[[#This Row],[FORMA DE PAGAMENTO]]="","",VLOOKUP(LANÇ_MOV[[#This Row],[FORMA DE PAGAMENTO]],CAD_Forma_pagto[],2,0))</f>
        <v/>
      </c>
      <c r="AA674" s="524" t="str">
        <f>IF(LANÇ_MOV[[#This Row],[DATA DE LANÇAMENTO]]="","",TEXT(LANÇ_MOV[[#This Row],[DATA DE LANÇAMENTO]],"AAAA"))</f>
        <v/>
      </c>
      <c r="AB674" s="524" t="str">
        <f>IF(LANÇ_MOV[[#This Row],[DATA DE LANÇAMENTO]]="","",UPPER(TEXT(LANÇ_MOV[[#This Row],[DATA DE LANÇAMENTO]],"MMMM")))</f>
        <v/>
      </c>
      <c r="AC674" s="525" t="str">
        <f>IF(LANÇ_MOV[[#This Row],[DATA DE LANÇAMENTO]]="","",PROPER(TEXT(LANÇ_MOV[[#This Row],[DATA DE LANÇAMENTO]],"M")))</f>
        <v/>
      </c>
      <c r="AD674" s="524" t="str">
        <f>IF(LANÇ_MOV[[#This Row],[DATA DE LANÇAMENTO]]="","",TEXT(LANÇ_MOV[[#This Row],[DATA DE LANÇAMENTO]],"D"))</f>
        <v/>
      </c>
      <c r="AE674" s="526" t="str">
        <f>IF(LANÇ_MOV[[#This Row],[DATA DE VENCIMENTO]]="","",TEXT(LANÇ_MOV[[#This Row],[DATA DE VENCIMENTO]],"AAAA"))</f>
        <v/>
      </c>
      <c r="AF674" s="526" t="str">
        <f>IF(LANÇ_MOV[[#This Row],[DATA DE VENCIMENTO]]="","",UPPER(TEXT(LANÇ_MOV[[#This Row],[DATA DE VENCIMENTO]],"MMMM")))</f>
        <v/>
      </c>
      <c r="AG674" s="526" t="str">
        <f>IF(LANÇ_MOV[[#This Row],[DATA DE VENCIMENTO]]="","",TEXT(LANÇ_MOV[[#This Row],[DATA DE VENCIMENTO]],"M"))</f>
        <v/>
      </c>
      <c r="AH674" s="526" t="str">
        <f>IF(LANÇ_MOV[[#This Row],[DATA DE VENCIMENTO]]="","",TEXT(LANÇ_MOV[[#This Row],[DATA DE VENCIMENTO]],"D"))</f>
        <v/>
      </c>
      <c r="AI674" s="526" t="str">
        <f>IF(LANÇ_MOV[[#This Row],[DATA DE PAGAMENTO]]="","",TEXT(LANÇ_MOV[[#This Row],[DATA DE PAGAMENTO]],"AAAA"))</f>
        <v/>
      </c>
      <c r="AJ674" s="527" t="str">
        <f>IF(LANÇ_MOV[[#This Row],[DATA DE PAGAMENTO]]="","",UPPER(TEXT(LANÇ_MOV[[#This Row],[DATA DE PAGAMENTO]],"MMMM")))</f>
        <v/>
      </c>
      <c r="AK674" s="527" t="str">
        <f>IF(LANÇ_MOV[[#This Row],[DATA DE PAGAMENTO]]="","",TEXT(LANÇ_MOV[[#This Row],[DATA DE PAGAMENTO]],"M"))</f>
        <v/>
      </c>
      <c r="AL674" s="526" t="str">
        <f>IF(LANÇ_MOV[[#This Row],[DATA DE PAGAMENTO]]="","",TEXT(LANÇ_MOV[[#This Row],[DATA DE PAGAMENTO]],"D"))</f>
        <v/>
      </c>
    </row>
    <row r="675" spans="2:38" ht="30.05" customHeight="1" x14ac:dyDescent="0.35">
      <c r="B675" s="506"/>
      <c r="C675" s="507"/>
      <c r="D675" s="508" t="s">
        <v>1854</v>
      </c>
      <c r="E675" s="509"/>
      <c r="F675" s="510"/>
      <c r="G675" s="507"/>
      <c r="H675" s="511"/>
      <c r="I675" s="512"/>
      <c r="J675" s="518"/>
      <c r="K675" s="510"/>
      <c r="L675" s="510"/>
      <c r="M675" s="548"/>
      <c r="N675" s="514">
        <f>LANÇ_MOV[[#This Row],[VALOR BRUTO]]-LANÇ_MOV[[#This Row],[DESCONTO]]+LANÇ_MOV[[#This Row],[JUROS]]+LANÇ_MOV[[#This Row],[MULTA]]</f>
        <v>0</v>
      </c>
      <c r="O675" s="546"/>
      <c r="P675" s="547" t="str">
        <f t="shared" ca="1" si="10"/>
        <v/>
      </c>
      <c r="Q675" s="528"/>
      <c r="R675" s="529"/>
      <c r="S675" s="518"/>
      <c r="T675" s="518"/>
      <c r="U675" s="519"/>
      <c r="V675" s="520" t="str">
        <f>IFERROR(VLOOKUP(LANÇ_MOV[[#This Row],[PLANO DE CONTAS]],Plano_Contas[[PLANO DE CONTAS]:[R / D]],3,0),"")</f>
        <v/>
      </c>
      <c r="W675" s="521" t="str">
        <f>IF(LANÇ_MOV[[#This Row],[DATA DE PAGAMENTO]]&lt;&gt;"","Pago","Não Pago")</f>
        <v>Não Pago</v>
      </c>
      <c r="X675" s="522" t="str">
        <f>IFERROR(IF(LANÇ_MOV[[#This Row],[DATA DE PAGAMENTO]]="","",(UPPER(TEXT(LANÇ_MOV[[#This Row],[DATA DE PAGAMENTO]],"mmmm")))),"")</f>
        <v/>
      </c>
      <c r="Y675" s="523" t="str">
        <f>IFERROR(VLOOKUP(LANÇ_MOV[[#This Row],[PLANO DE CONTAS]],Plano_Contas[[PLANO DE CONTAS]:[NOMES INTERVALOS]],2,0),"")</f>
        <v/>
      </c>
      <c r="Z675" s="523" t="str">
        <f>IF(LANÇ_MOV[[#This Row],[FORMA DE PAGAMENTO]]="","",VLOOKUP(LANÇ_MOV[[#This Row],[FORMA DE PAGAMENTO]],CAD_Forma_pagto[],2,0))</f>
        <v/>
      </c>
      <c r="AA675" s="524" t="str">
        <f>IF(LANÇ_MOV[[#This Row],[DATA DE LANÇAMENTO]]="","",TEXT(LANÇ_MOV[[#This Row],[DATA DE LANÇAMENTO]],"AAAA"))</f>
        <v/>
      </c>
      <c r="AB675" s="524" t="str">
        <f>IF(LANÇ_MOV[[#This Row],[DATA DE LANÇAMENTO]]="","",UPPER(TEXT(LANÇ_MOV[[#This Row],[DATA DE LANÇAMENTO]],"MMMM")))</f>
        <v/>
      </c>
      <c r="AC675" s="525" t="str">
        <f>IF(LANÇ_MOV[[#This Row],[DATA DE LANÇAMENTO]]="","",PROPER(TEXT(LANÇ_MOV[[#This Row],[DATA DE LANÇAMENTO]],"M")))</f>
        <v/>
      </c>
      <c r="AD675" s="524" t="str">
        <f>IF(LANÇ_MOV[[#This Row],[DATA DE LANÇAMENTO]]="","",TEXT(LANÇ_MOV[[#This Row],[DATA DE LANÇAMENTO]],"D"))</f>
        <v/>
      </c>
      <c r="AE675" s="526" t="str">
        <f>IF(LANÇ_MOV[[#This Row],[DATA DE VENCIMENTO]]="","",TEXT(LANÇ_MOV[[#This Row],[DATA DE VENCIMENTO]],"AAAA"))</f>
        <v/>
      </c>
      <c r="AF675" s="526" t="str">
        <f>IF(LANÇ_MOV[[#This Row],[DATA DE VENCIMENTO]]="","",UPPER(TEXT(LANÇ_MOV[[#This Row],[DATA DE VENCIMENTO]],"MMMM")))</f>
        <v/>
      </c>
      <c r="AG675" s="526" t="str">
        <f>IF(LANÇ_MOV[[#This Row],[DATA DE VENCIMENTO]]="","",TEXT(LANÇ_MOV[[#This Row],[DATA DE VENCIMENTO]],"M"))</f>
        <v/>
      </c>
      <c r="AH675" s="526" t="str">
        <f>IF(LANÇ_MOV[[#This Row],[DATA DE VENCIMENTO]]="","",TEXT(LANÇ_MOV[[#This Row],[DATA DE VENCIMENTO]],"D"))</f>
        <v/>
      </c>
      <c r="AI675" s="526" t="str">
        <f>IF(LANÇ_MOV[[#This Row],[DATA DE PAGAMENTO]]="","",TEXT(LANÇ_MOV[[#This Row],[DATA DE PAGAMENTO]],"AAAA"))</f>
        <v/>
      </c>
      <c r="AJ675" s="527" t="str">
        <f>IF(LANÇ_MOV[[#This Row],[DATA DE PAGAMENTO]]="","",UPPER(TEXT(LANÇ_MOV[[#This Row],[DATA DE PAGAMENTO]],"MMMM")))</f>
        <v/>
      </c>
      <c r="AK675" s="527" t="str">
        <f>IF(LANÇ_MOV[[#This Row],[DATA DE PAGAMENTO]]="","",TEXT(LANÇ_MOV[[#This Row],[DATA DE PAGAMENTO]],"M"))</f>
        <v/>
      </c>
      <c r="AL675" s="526" t="str">
        <f>IF(LANÇ_MOV[[#This Row],[DATA DE PAGAMENTO]]="","",TEXT(LANÇ_MOV[[#This Row],[DATA DE PAGAMENTO]],"D"))</f>
        <v/>
      </c>
    </row>
    <row r="676" spans="2:38" ht="30.05" customHeight="1" x14ac:dyDescent="0.35">
      <c r="B676" s="506"/>
      <c r="C676" s="507"/>
      <c r="D676" s="508" t="s">
        <v>1854</v>
      </c>
      <c r="E676" s="509"/>
      <c r="F676" s="510"/>
      <c r="G676" s="507"/>
      <c r="H676" s="511"/>
      <c r="I676" s="512"/>
      <c r="J676" s="518"/>
      <c r="K676" s="510"/>
      <c r="L676" s="510"/>
      <c r="M676" s="548"/>
      <c r="N676" s="514">
        <f>LANÇ_MOV[[#This Row],[VALOR BRUTO]]-LANÇ_MOV[[#This Row],[DESCONTO]]+LANÇ_MOV[[#This Row],[JUROS]]+LANÇ_MOV[[#This Row],[MULTA]]</f>
        <v>0</v>
      </c>
      <c r="O676" s="546"/>
      <c r="P676" s="547" t="str">
        <f t="shared" ca="1" si="10"/>
        <v/>
      </c>
      <c r="Q676" s="528"/>
      <c r="R676" s="529"/>
      <c r="S676" s="518"/>
      <c r="T676" s="518"/>
      <c r="U676" s="519"/>
      <c r="V676" s="520" t="str">
        <f>IFERROR(VLOOKUP(LANÇ_MOV[[#This Row],[PLANO DE CONTAS]],Plano_Contas[[PLANO DE CONTAS]:[R / D]],3,0),"")</f>
        <v/>
      </c>
      <c r="W676" s="521" t="str">
        <f>IF(LANÇ_MOV[[#This Row],[DATA DE PAGAMENTO]]&lt;&gt;"","Pago","Não Pago")</f>
        <v>Não Pago</v>
      </c>
      <c r="X676" s="522" t="str">
        <f>IFERROR(IF(LANÇ_MOV[[#This Row],[DATA DE PAGAMENTO]]="","",(UPPER(TEXT(LANÇ_MOV[[#This Row],[DATA DE PAGAMENTO]],"mmmm")))),"")</f>
        <v/>
      </c>
      <c r="Y676" s="523" t="str">
        <f>IFERROR(VLOOKUP(LANÇ_MOV[[#This Row],[PLANO DE CONTAS]],Plano_Contas[[PLANO DE CONTAS]:[NOMES INTERVALOS]],2,0),"")</f>
        <v/>
      </c>
      <c r="Z676" s="523" t="str">
        <f>IF(LANÇ_MOV[[#This Row],[FORMA DE PAGAMENTO]]="","",VLOOKUP(LANÇ_MOV[[#This Row],[FORMA DE PAGAMENTO]],CAD_Forma_pagto[],2,0))</f>
        <v/>
      </c>
      <c r="AA676" s="524" t="str">
        <f>IF(LANÇ_MOV[[#This Row],[DATA DE LANÇAMENTO]]="","",TEXT(LANÇ_MOV[[#This Row],[DATA DE LANÇAMENTO]],"AAAA"))</f>
        <v/>
      </c>
      <c r="AB676" s="524" t="str">
        <f>IF(LANÇ_MOV[[#This Row],[DATA DE LANÇAMENTO]]="","",UPPER(TEXT(LANÇ_MOV[[#This Row],[DATA DE LANÇAMENTO]],"MMMM")))</f>
        <v/>
      </c>
      <c r="AC676" s="525" t="str">
        <f>IF(LANÇ_MOV[[#This Row],[DATA DE LANÇAMENTO]]="","",PROPER(TEXT(LANÇ_MOV[[#This Row],[DATA DE LANÇAMENTO]],"M")))</f>
        <v/>
      </c>
      <c r="AD676" s="524" t="str">
        <f>IF(LANÇ_MOV[[#This Row],[DATA DE LANÇAMENTO]]="","",TEXT(LANÇ_MOV[[#This Row],[DATA DE LANÇAMENTO]],"D"))</f>
        <v/>
      </c>
      <c r="AE676" s="526" t="str">
        <f>IF(LANÇ_MOV[[#This Row],[DATA DE VENCIMENTO]]="","",TEXT(LANÇ_MOV[[#This Row],[DATA DE VENCIMENTO]],"AAAA"))</f>
        <v/>
      </c>
      <c r="AF676" s="526" t="str">
        <f>IF(LANÇ_MOV[[#This Row],[DATA DE VENCIMENTO]]="","",UPPER(TEXT(LANÇ_MOV[[#This Row],[DATA DE VENCIMENTO]],"MMMM")))</f>
        <v/>
      </c>
      <c r="AG676" s="526" t="str">
        <f>IF(LANÇ_MOV[[#This Row],[DATA DE VENCIMENTO]]="","",TEXT(LANÇ_MOV[[#This Row],[DATA DE VENCIMENTO]],"M"))</f>
        <v/>
      </c>
      <c r="AH676" s="526" t="str">
        <f>IF(LANÇ_MOV[[#This Row],[DATA DE VENCIMENTO]]="","",TEXT(LANÇ_MOV[[#This Row],[DATA DE VENCIMENTO]],"D"))</f>
        <v/>
      </c>
      <c r="AI676" s="526" t="str">
        <f>IF(LANÇ_MOV[[#This Row],[DATA DE PAGAMENTO]]="","",TEXT(LANÇ_MOV[[#This Row],[DATA DE PAGAMENTO]],"AAAA"))</f>
        <v/>
      </c>
      <c r="AJ676" s="527" t="str">
        <f>IF(LANÇ_MOV[[#This Row],[DATA DE PAGAMENTO]]="","",UPPER(TEXT(LANÇ_MOV[[#This Row],[DATA DE PAGAMENTO]],"MMMM")))</f>
        <v/>
      </c>
      <c r="AK676" s="527" t="str">
        <f>IF(LANÇ_MOV[[#This Row],[DATA DE PAGAMENTO]]="","",TEXT(LANÇ_MOV[[#This Row],[DATA DE PAGAMENTO]],"M"))</f>
        <v/>
      </c>
      <c r="AL676" s="526" t="str">
        <f>IF(LANÇ_MOV[[#This Row],[DATA DE PAGAMENTO]]="","",TEXT(LANÇ_MOV[[#This Row],[DATA DE PAGAMENTO]],"D"))</f>
        <v/>
      </c>
    </row>
    <row r="677" spans="2:38" ht="30.05" customHeight="1" x14ac:dyDescent="0.35">
      <c r="B677" s="506"/>
      <c r="C677" s="507"/>
      <c r="D677" s="508" t="s">
        <v>1854</v>
      </c>
      <c r="E677" s="509"/>
      <c r="F677" s="510"/>
      <c r="G677" s="507"/>
      <c r="H677" s="511"/>
      <c r="I677" s="512"/>
      <c r="J677" s="518"/>
      <c r="K677" s="510"/>
      <c r="L677" s="510"/>
      <c r="M677" s="548"/>
      <c r="N677" s="514">
        <f>LANÇ_MOV[[#This Row],[VALOR BRUTO]]-LANÇ_MOV[[#This Row],[DESCONTO]]+LANÇ_MOV[[#This Row],[JUROS]]+LANÇ_MOV[[#This Row],[MULTA]]</f>
        <v>0</v>
      </c>
      <c r="O677" s="546"/>
      <c r="P677" s="547" t="str">
        <f t="shared" ca="1" si="10"/>
        <v/>
      </c>
      <c r="Q677" s="528"/>
      <c r="R677" s="529"/>
      <c r="S677" s="518"/>
      <c r="T677" s="518"/>
      <c r="U677" s="519"/>
      <c r="V677" s="520" t="str">
        <f>IFERROR(VLOOKUP(LANÇ_MOV[[#This Row],[PLANO DE CONTAS]],Plano_Contas[[PLANO DE CONTAS]:[R / D]],3,0),"")</f>
        <v/>
      </c>
      <c r="W677" s="521" t="str">
        <f>IF(LANÇ_MOV[[#This Row],[DATA DE PAGAMENTO]]&lt;&gt;"","Pago","Não Pago")</f>
        <v>Não Pago</v>
      </c>
      <c r="X677" s="522" t="str">
        <f>IFERROR(IF(LANÇ_MOV[[#This Row],[DATA DE PAGAMENTO]]="","",(UPPER(TEXT(LANÇ_MOV[[#This Row],[DATA DE PAGAMENTO]],"mmmm")))),"")</f>
        <v/>
      </c>
      <c r="Y677" s="523" t="str">
        <f>IFERROR(VLOOKUP(LANÇ_MOV[[#This Row],[PLANO DE CONTAS]],Plano_Contas[[PLANO DE CONTAS]:[NOMES INTERVALOS]],2,0),"")</f>
        <v/>
      </c>
      <c r="Z677" s="523" t="str">
        <f>IF(LANÇ_MOV[[#This Row],[FORMA DE PAGAMENTO]]="","",VLOOKUP(LANÇ_MOV[[#This Row],[FORMA DE PAGAMENTO]],CAD_Forma_pagto[],2,0))</f>
        <v/>
      </c>
      <c r="AA677" s="524" t="str">
        <f>IF(LANÇ_MOV[[#This Row],[DATA DE LANÇAMENTO]]="","",TEXT(LANÇ_MOV[[#This Row],[DATA DE LANÇAMENTO]],"AAAA"))</f>
        <v/>
      </c>
      <c r="AB677" s="524" t="str">
        <f>IF(LANÇ_MOV[[#This Row],[DATA DE LANÇAMENTO]]="","",UPPER(TEXT(LANÇ_MOV[[#This Row],[DATA DE LANÇAMENTO]],"MMMM")))</f>
        <v/>
      </c>
      <c r="AC677" s="525" t="str">
        <f>IF(LANÇ_MOV[[#This Row],[DATA DE LANÇAMENTO]]="","",PROPER(TEXT(LANÇ_MOV[[#This Row],[DATA DE LANÇAMENTO]],"M")))</f>
        <v/>
      </c>
      <c r="AD677" s="524" t="str">
        <f>IF(LANÇ_MOV[[#This Row],[DATA DE LANÇAMENTO]]="","",TEXT(LANÇ_MOV[[#This Row],[DATA DE LANÇAMENTO]],"D"))</f>
        <v/>
      </c>
      <c r="AE677" s="526" t="str">
        <f>IF(LANÇ_MOV[[#This Row],[DATA DE VENCIMENTO]]="","",TEXT(LANÇ_MOV[[#This Row],[DATA DE VENCIMENTO]],"AAAA"))</f>
        <v/>
      </c>
      <c r="AF677" s="526" t="str">
        <f>IF(LANÇ_MOV[[#This Row],[DATA DE VENCIMENTO]]="","",UPPER(TEXT(LANÇ_MOV[[#This Row],[DATA DE VENCIMENTO]],"MMMM")))</f>
        <v/>
      </c>
      <c r="AG677" s="526" t="str">
        <f>IF(LANÇ_MOV[[#This Row],[DATA DE VENCIMENTO]]="","",TEXT(LANÇ_MOV[[#This Row],[DATA DE VENCIMENTO]],"M"))</f>
        <v/>
      </c>
      <c r="AH677" s="526" t="str">
        <f>IF(LANÇ_MOV[[#This Row],[DATA DE VENCIMENTO]]="","",TEXT(LANÇ_MOV[[#This Row],[DATA DE VENCIMENTO]],"D"))</f>
        <v/>
      </c>
      <c r="AI677" s="526" t="str">
        <f>IF(LANÇ_MOV[[#This Row],[DATA DE PAGAMENTO]]="","",TEXT(LANÇ_MOV[[#This Row],[DATA DE PAGAMENTO]],"AAAA"))</f>
        <v/>
      </c>
      <c r="AJ677" s="527" t="str">
        <f>IF(LANÇ_MOV[[#This Row],[DATA DE PAGAMENTO]]="","",UPPER(TEXT(LANÇ_MOV[[#This Row],[DATA DE PAGAMENTO]],"MMMM")))</f>
        <v/>
      </c>
      <c r="AK677" s="527" t="str">
        <f>IF(LANÇ_MOV[[#This Row],[DATA DE PAGAMENTO]]="","",TEXT(LANÇ_MOV[[#This Row],[DATA DE PAGAMENTO]],"M"))</f>
        <v/>
      </c>
      <c r="AL677" s="526" t="str">
        <f>IF(LANÇ_MOV[[#This Row],[DATA DE PAGAMENTO]]="","",TEXT(LANÇ_MOV[[#This Row],[DATA DE PAGAMENTO]],"D"))</f>
        <v/>
      </c>
    </row>
    <row r="678" spans="2:38" ht="30.05" customHeight="1" x14ac:dyDescent="0.35">
      <c r="B678" s="506"/>
      <c r="C678" s="507"/>
      <c r="D678" s="508" t="s">
        <v>1854</v>
      </c>
      <c r="E678" s="509"/>
      <c r="F678" s="510"/>
      <c r="G678" s="507"/>
      <c r="H678" s="511"/>
      <c r="I678" s="512"/>
      <c r="J678" s="518"/>
      <c r="K678" s="510"/>
      <c r="L678" s="510"/>
      <c r="M678" s="548"/>
      <c r="N678" s="514">
        <f>LANÇ_MOV[[#This Row],[VALOR BRUTO]]-LANÇ_MOV[[#This Row],[DESCONTO]]+LANÇ_MOV[[#This Row],[JUROS]]+LANÇ_MOV[[#This Row],[MULTA]]</f>
        <v>0</v>
      </c>
      <c r="O678" s="546"/>
      <c r="P678" s="547" t="str">
        <f t="shared" ca="1" si="10"/>
        <v/>
      </c>
      <c r="Q678" s="528"/>
      <c r="R678" s="529"/>
      <c r="S678" s="518"/>
      <c r="T678" s="518"/>
      <c r="U678" s="519"/>
      <c r="V678" s="520" t="str">
        <f>IFERROR(VLOOKUP(LANÇ_MOV[[#This Row],[PLANO DE CONTAS]],Plano_Contas[[PLANO DE CONTAS]:[R / D]],3,0),"")</f>
        <v/>
      </c>
      <c r="W678" s="521" t="str">
        <f>IF(LANÇ_MOV[[#This Row],[DATA DE PAGAMENTO]]&lt;&gt;"","Pago","Não Pago")</f>
        <v>Não Pago</v>
      </c>
      <c r="X678" s="522" t="str">
        <f>IFERROR(IF(LANÇ_MOV[[#This Row],[DATA DE PAGAMENTO]]="","",(UPPER(TEXT(LANÇ_MOV[[#This Row],[DATA DE PAGAMENTO]],"mmmm")))),"")</f>
        <v/>
      </c>
      <c r="Y678" s="523" t="str">
        <f>IFERROR(VLOOKUP(LANÇ_MOV[[#This Row],[PLANO DE CONTAS]],Plano_Contas[[PLANO DE CONTAS]:[NOMES INTERVALOS]],2,0),"")</f>
        <v/>
      </c>
      <c r="Z678" s="523" t="str">
        <f>IF(LANÇ_MOV[[#This Row],[FORMA DE PAGAMENTO]]="","",VLOOKUP(LANÇ_MOV[[#This Row],[FORMA DE PAGAMENTO]],CAD_Forma_pagto[],2,0))</f>
        <v/>
      </c>
      <c r="AA678" s="524" t="str">
        <f>IF(LANÇ_MOV[[#This Row],[DATA DE LANÇAMENTO]]="","",TEXT(LANÇ_MOV[[#This Row],[DATA DE LANÇAMENTO]],"AAAA"))</f>
        <v/>
      </c>
      <c r="AB678" s="524" t="str">
        <f>IF(LANÇ_MOV[[#This Row],[DATA DE LANÇAMENTO]]="","",UPPER(TEXT(LANÇ_MOV[[#This Row],[DATA DE LANÇAMENTO]],"MMMM")))</f>
        <v/>
      </c>
      <c r="AC678" s="525" t="str">
        <f>IF(LANÇ_MOV[[#This Row],[DATA DE LANÇAMENTO]]="","",PROPER(TEXT(LANÇ_MOV[[#This Row],[DATA DE LANÇAMENTO]],"M")))</f>
        <v/>
      </c>
      <c r="AD678" s="524" t="str">
        <f>IF(LANÇ_MOV[[#This Row],[DATA DE LANÇAMENTO]]="","",TEXT(LANÇ_MOV[[#This Row],[DATA DE LANÇAMENTO]],"D"))</f>
        <v/>
      </c>
      <c r="AE678" s="526" t="str">
        <f>IF(LANÇ_MOV[[#This Row],[DATA DE VENCIMENTO]]="","",TEXT(LANÇ_MOV[[#This Row],[DATA DE VENCIMENTO]],"AAAA"))</f>
        <v/>
      </c>
      <c r="AF678" s="526" t="str">
        <f>IF(LANÇ_MOV[[#This Row],[DATA DE VENCIMENTO]]="","",UPPER(TEXT(LANÇ_MOV[[#This Row],[DATA DE VENCIMENTO]],"MMMM")))</f>
        <v/>
      </c>
      <c r="AG678" s="526" t="str">
        <f>IF(LANÇ_MOV[[#This Row],[DATA DE VENCIMENTO]]="","",TEXT(LANÇ_MOV[[#This Row],[DATA DE VENCIMENTO]],"M"))</f>
        <v/>
      </c>
      <c r="AH678" s="526" t="str">
        <f>IF(LANÇ_MOV[[#This Row],[DATA DE VENCIMENTO]]="","",TEXT(LANÇ_MOV[[#This Row],[DATA DE VENCIMENTO]],"D"))</f>
        <v/>
      </c>
      <c r="AI678" s="526" t="str">
        <f>IF(LANÇ_MOV[[#This Row],[DATA DE PAGAMENTO]]="","",TEXT(LANÇ_MOV[[#This Row],[DATA DE PAGAMENTO]],"AAAA"))</f>
        <v/>
      </c>
      <c r="AJ678" s="527" t="str">
        <f>IF(LANÇ_MOV[[#This Row],[DATA DE PAGAMENTO]]="","",UPPER(TEXT(LANÇ_MOV[[#This Row],[DATA DE PAGAMENTO]],"MMMM")))</f>
        <v/>
      </c>
      <c r="AK678" s="527" t="str">
        <f>IF(LANÇ_MOV[[#This Row],[DATA DE PAGAMENTO]]="","",TEXT(LANÇ_MOV[[#This Row],[DATA DE PAGAMENTO]],"M"))</f>
        <v/>
      </c>
      <c r="AL678" s="526" t="str">
        <f>IF(LANÇ_MOV[[#This Row],[DATA DE PAGAMENTO]]="","",TEXT(LANÇ_MOV[[#This Row],[DATA DE PAGAMENTO]],"D"))</f>
        <v/>
      </c>
    </row>
    <row r="679" spans="2:38" ht="30.05" customHeight="1" x14ac:dyDescent="0.35">
      <c r="B679" s="506"/>
      <c r="C679" s="507"/>
      <c r="D679" s="508" t="s">
        <v>1854</v>
      </c>
      <c r="E679" s="509"/>
      <c r="F679" s="510"/>
      <c r="G679" s="507"/>
      <c r="H679" s="511"/>
      <c r="I679" s="512"/>
      <c r="J679" s="518"/>
      <c r="K679" s="510"/>
      <c r="L679" s="510"/>
      <c r="M679" s="548"/>
      <c r="N679" s="514">
        <f>LANÇ_MOV[[#This Row],[VALOR BRUTO]]-LANÇ_MOV[[#This Row],[DESCONTO]]+LANÇ_MOV[[#This Row],[JUROS]]+LANÇ_MOV[[#This Row],[MULTA]]</f>
        <v>0</v>
      </c>
      <c r="O679" s="546"/>
      <c r="P679" s="547" t="str">
        <f t="shared" ca="1" si="10"/>
        <v/>
      </c>
      <c r="Q679" s="528"/>
      <c r="R679" s="529"/>
      <c r="S679" s="518"/>
      <c r="T679" s="518"/>
      <c r="U679" s="519"/>
      <c r="V679" s="520" t="str">
        <f>IFERROR(VLOOKUP(LANÇ_MOV[[#This Row],[PLANO DE CONTAS]],Plano_Contas[[PLANO DE CONTAS]:[R / D]],3,0),"")</f>
        <v/>
      </c>
      <c r="W679" s="521" t="str">
        <f>IF(LANÇ_MOV[[#This Row],[DATA DE PAGAMENTO]]&lt;&gt;"","Pago","Não Pago")</f>
        <v>Não Pago</v>
      </c>
      <c r="X679" s="522" t="str">
        <f>IFERROR(IF(LANÇ_MOV[[#This Row],[DATA DE PAGAMENTO]]="","",(UPPER(TEXT(LANÇ_MOV[[#This Row],[DATA DE PAGAMENTO]],"mmmm")))),"")</f>
        <v/>
      </c>
      <c r="Y679" s="523" t="str">
        <f>IFERROR(VLOOKUP(LANÇ_MOV[[#This Row],[PLANO DE CONTAS]],Plano_Contas[[PLANO DE CONTAS]:[NOMES INTERVALOS]],2,0),"")</f>
        <v/>
      </c>
      <c r="Z679" s="523" t="str">
        <f>IF(LANÇ_MOV[[#This Row],[FORMA DE PAGAMENTO]]="","",VLOOKUP(LANÇ_MOV[[#This Row],[FORMA DE PAGAMENTO]],CAD_Forma_pagto[],2,0))</f>
        <v/>
      </c>
      <c r="AA679" s="524" t="str">
        <f>IF(LANÇ_MOV[[#This Row],[DATA DE LANÇAMENTO]]="","",TEXT(LANÇ_MOV[[#This Row],[DATA DE LANÇAMENTO]],"AAAA"))</f>
        <v/>
      </c>
      <c r="AB679" s="524" t="str">
        <f>IF(LANÇ_MOV[[#This Row],[DATA DE LANÇAMENTO]]="","",UPPER(TEXT(LANÇ_MOV[[#This Row],[DATA DE LANÇAMENTO]],"MMMM")))</f>
        <v/>
      </c>
      <c r="AC679" s="525" t="str">
        <f>IF(LANÇ_MOV[[#This Row],[DATA DE LANÇAMENTO]]="","",PROPER(TEXT(LANÇ_MOV[[#This Row],[DATA DE LANÇAMENTO]],"M")))</f>
        <v/>
      </c>
      <c r="AD679" s="524" t="str">
        <f>IF(LANÇ_MOV[[#This Row],[DATA DE LANÇAMENTO]]="","",TEXT(LANÇ_MOV[[#This Row],[DATA DE LANÇAMENTO]],"D"))</f>
        <v/>
      </c>
      <c r="AE679" s="526" t="str">
        <f>IF(LANÇ_MOV[[#This Row],[DATA DE VENCIMENTO]]="","",TEXT(LANÇ_MOV[[#This Row],[DATA DE VENCIMENTO]],"AAAA"))</f>
        <v/>
      </c>
      <c r="AF679" s="526" t="str">
        <f>IF(LANÇ_MOV[[#This Row],[DATA DE VENCIMENTO]]="","",UPPER(TEXT(LANÇ_MOV[[#This Row],[DATA DE VENCIMENTO]],"MMMM")))</f>
        <v/>
      </c>
      <c r="AG679" s="526" t="str">
        <f>IF(LANÇ_MOV[[#This Row],[DATA DE VENCIMENTO]]="","",TEXT(LANÇ_MOV[[#This Row],[DATA DE VENCIMENTO]],"M"))</f>
        <v/>
      </c>
      <c r="AH679" s="526" t="str">
        <f>IF(LANÇ_MOV[[#This Row],[DATA DE VENCIMENTO]]="","",TEXT(LANÇ_MOV[[#This Row],[DATA DE VENCIMENTO]],"D"))</f>
        <v/>
      </c>
      <c r="AI679" s="526" t="str">
        <f>IF(LANÇ_MOV[[#This Row],[DATA DE PAGAMENTO]]="","",TEXT(LANÇ_MOV[[#This Row],[DATA DE PAGAMENTO]],"AAAA"))</f>
        <v/>
      </c>
      <c r="AJ679" s="527" t="str">
        <f>IF(LANÇ_MOV[[#This Row],[DATA DE PAGAMENTO]]="","",UPPER(TEXT(LANÇ_MOV[[#This Row],[DATA DE PAGAMENTO]],"MMMM")))</f>
        <v/>
      </c>
      <c r="AK679" s="527" t="str">
        <f>IF(LANÇ_MOV[[#This Row],[DATA DE PAGAMENTO]]="","",TEXT(LANÇ_MOV[[#This Row],[DATA DE PAGAMENTO]],"M"))</f>
        <v/>
      </c>
      <c r="AL679" s="526" t="str">
        <f>IF(LANÇ_MOV[[#This Row],[DATA DE PAGAMENTO]]="","",TEXT(LANÇ_MOV[[#This Row],[DATA DE PAGAMENTO]],"D"))</f>
        <v/>
      </c>
    </row>
    <row r="680" spans="2:38" ht="30.05" customHeight="1" x14ac:dyDescent="0.35">
      <c r="B680" s="506"/>
      <c r="C680" s="507"/>
      <c r="D680" s="508" t="s">
        <v>1854</v>
      </c>
      <c r="E680" s="509"/>
      <c r="F680" s="510"/>
      <c r="G680" s="507"/>
      <c r="H680" s="511"/>
      <c r="I680" s="512"/>
      <c r="J680" s="518"/>
      <c r="K680" s="510"/>
      <c r="L680" s="510"/>
      <c r="M680" s="548"/>
      <c r="N680" s="514">
        <f>LANÇ_MOV[[#This Row],[VALOR BRUTO]]-LANÇ_MOV[[#This Row],[DESCONTO]]+LANÇ_MOV[[#This Row],[JUROS]]+LANÇ_MOV[[#This Row],[MULTA]]</f>
        <v>0</v>
      </c>
      <c r="O680" s="546"/>
      <c r="P680" s="547" t="str">
        <f t="shared" ca="1" si="10"/>
        <v/>
      </c>
      <c r="Q680" s="528"/>
      <c r="R680" s="529"/>
      <c r="S680" s="518"/>
      <c r="T680" s="518"/>
      <c r="U680" s="519"/>
      <c r="V680" s="520" t="str">
        <f>IFERROR(VLOOKUP(LANÇ_MOV[[#This Row],[PLANO DE CONTAS]],Plano_Contas[[PLANO DE CONTAS]:[R / D]],3,0),"")</f>
        <v/>
      </c>
      <c r="W680" s="521" t="str">
        <f>IF(LANÇ_MOV[[#This Row],[DATA DE PAGAMENTO]]&lt;&gt;"","Pago","Não Pago")</f>
        <v>Não Pago</v>
      </c>
      <c r="X680" s="522" t="str">
        <f>IFERROR(IF(LANÇ_MOV[[#This Row],[DATA DE PAGAMENTO]]="","",(UPPER(TEXT(LANÇ_MOV[[#This Row],[DATA DE PAGAMENTO]],"mmmm")))),"")</f>
        <v/>
      </c>
      <c r="Y680" s="523" t="str">
        <f>IFERROR(VLOOKUP(LANÇ_MOV[[#This Row],[PLANO DE CONTAS]],Plano_Contas[[PLANO DE CONTAS]:[NOMES INTERVALOS]],2,0),"")</f>
        <v/>
      </c>
      <c r="Z680" s="523" t="str">
        <f>IF(LANÇ_MOV[[#This Row],[FORMA DE PAGAMENTO]]="","",VLOOKUP(LANÇ_MOV[[#This Row],[FORMA DE PAGAMENTO]],CAD_Forma_pagto[],2,0))</f>
        <v/>
      </c>
      <c r="AA680" s="524" t="str">
        <f>IF(LANÇ_MOV[[#This Row],[DATA DE LANÇAMENTO]]="","",TEXT(LANÇ_MOV[[#This Row],[DATA DE LANÇAMENTO]],"AAAA"))</f>
        <v/>
      </c>
      <c r="AB680" s="524" t="str">
        <f>IF(LANÇ_MOV[[#This Row],[DATA DE LANÇAMENTO]]="","",UPPER(TEXT(LANÇ_MOV[[#This Row],[DATA DE LANÇAMENTO]],"MMMM")))</f>
        <v/>
      </c>
      <c r="AC680" s="525" t="str">
        <f>IF(LANÇ_MOV[[#This Row],[DATA DE LANÇAMENTO]]="","",PROPER(TEXT(LANÇ_MOV[[#This Row],[DATA DE LANÇAMENTO]],"M")))</f>
        <v/>
      </c>
      <c r="AD680" s="524" t="str">
        <f>IF(LANÇ_MOV[[#This Row],[DATA DE LANÇAMENTO]]="","",TEXT(LANÇ_MOV[[#This Row],[DATA DE LANÇAMENTO]],"D"))</f>
        <v/>
      </c>
      <c r="AE680" s="526" t="str">
        <f>IF(LANÇ_MOV[[#This Row],[DATA DE VENCIMENTO]]="","",TEXT(LANÇ_MOV[[#This Row],[DATA DE VENCIMENTO]],"AAAA"))</f>
        <v/>
      </c>
      <c r="AF680" s="526" t="str">
        <f>IF(LANÇ_MOV[[#This Row],[DATA DE VENCIMENTO]]="","",UPPER(TEXT(LANÇ_MOV[[#This Row],[DATA DE VENCIMENTO]],"MMMM")))</f>
        <v/>
      </c>
      <c r="AG680" s="526" t="str">
        <f>IF(LANÇ_MOV[[#This Row],[DATA DE VENCIMENTO]]="","",TEXT(LANÇ_MOV[[#This Row],[DATA DE VENCIMENTO]],"M"))</f>
        <v/>
      </c>
      <c r="AH680" s="526" t="str">
        <f>IF(LANÇ_MOV[[#This Row],[DATA DE VENCIMENTO]]="","",TEXT(LANÇ_MOV[[#This Row],[DATA DE VENCIMENTO]],"D"))</f>
        <v/>
      </c>
      <c r="AI680" s="526" t="str">
        <f>IF(LANÇ_MOV[[#This Row],[DATA DE PAGAMENTO]]="","",TEXT(LANÇ_MOV[[#This Row],[DATA DE PAGAMENTO]],"AAAA"))</f>
        <v/>
      </c>
      <c r="AJ680" s="527" t="str">
        <f>IF(LANÇ_MOV[[#This Row],[DATA DE PAGAMENTO]]="","",UPPER(TEXT(LANÇ_MOV[[#This Row],[DATA DE PAGAMENTO]],"MMMM")))</f>
        <v/>
      </c>
      <c r="AK680" s="527" t="str">
        <f>IF(LANÇ_MOV[[#This Row],[DATA DE PAGAMENTO]]="","",TEXT(LANÇ_MOV[[#This Row],[DATA DE PAGAMENTO]],"M"))</f>
        <v/>
      </c>
      <c r="AL680" s="526" t="str">
        <f>IF(LANÇ_MOV[[#This Row],[DATA DE PAGAMENTO]]="","",TEXT(LANÇ_MOV[[#This Row],[DATA DE PAGAMENTO]],"D"))</f>
        <v/>
      </c>
    </row>
    <row r="681" spans="2:38" ht="30.05" customHeight="1" x14ac:dyDescent="0.35">
      <c r="B681" s="506"/>
      <c r="C681" s="507"/>
      <c r="D681" s="508" t="s">
        <v>1854</v>
      </c>
      <c r="E681" s="509"/>
      <c r="F681" s="510"/>
      <c r="G681" s="507"/>
      <c r="H681" s="511"/>
      <c r="I681" s="512"/>
      <c r="J681" s="518"/>
      <c r="K681" s="510"/>
      <c r="L681" s="510"/>
      <c r="M681" s="548"/>
      <c r="N681" s="514">
        <f>LANÇ_MOV[[#This Row],[VALOR BRUTO]]-LANÇ_MOV[[#This Row],[DESCONTO]]+LANÇ_MOV[[#This Row],[JUROS]]+LANÇ_MOV[[#This Row],[MULTA]]</f>
        <v>0</v>
      </c>
      <c r="O681" s="546"/>
      <c r="P681" s="547" t="str">
        <f t="shared" ca="1" si="10"/>
        <v/>
      </c>
      <c r="Q681" s="528"/>
      <c r="R681" s="529"/>
      <c r="S681" s="518"/>
      <c r="T681" s="518"/>
      <c r="U681" s="519"/>
      <c r="V681" s="520" t="str">
        <f>IFERROR(VLOOKUP(LANÇ_MOV[[#This Row],[PLANO DE CONTAS]],Plano_Contas[[PLANO DE CONTAS]:[R / D]],3,0),"")</f>
        <v/>
      </c>
      <c r="W681" s="521" t="str">
        <f>IF(LANÇ_MOV[[#This Row],[DATA DE PAGAMENTO]]&lt;&gt;"","Pago","Não Pago")</f>
        <v>Não Pago</v>
      </c>
      <c r="X681" s="522" t="str">
        <f>IFERROR(IF(LANÇ_MOV[[#This Row],[DATA DE PAGAMENTO]]="","",(UPPER(TEXT(LANÇ_MOV[[#This Row],[DATA DE PAGAMENTO]],"mmmm")))),"")</f>
        <v/>
      </c>
      <c r="Y681" s="523" t="str">
        <f>IFERROR(VLOOKUP(LANÇ_MOV[[#This Row],[PLANO DE CONTAS]],Plano_Contas[[PLANO DE CONTAS]:[NOMES INTERVALOS]],2,0),"")</f>
        <v/>
      </c>
      <c r="Z681" s="523" t="str">
        <f>IF(LANÇ_MOV[[#This Row],[FORMA DE PAGAMENTO]]="","",VLOOKUP(LANÇ_MOV[[#This Row],[FORMA DE PAGAMENTO]],CAD_Forma_pagto[],2,0))</f>
        <v/>
      </c>
      <c r="AA681" s="524" t="str">
        <f>IF(LANÇ_MOV[[#This Row],[DATA DE LANÇAMENTO]]="","",TEXT(LANÇ_MOV[[#This Row],[DATA DE LANÇAMENTO]],"AAAA"))</f>
        <v/>
      </c>
      <c r="AB681" s="524" t="str">
        <f>IF(LANÇ_MOV[[#This Row],[DATA DE LANÇAMENTO]]="","",UPPER(TEXT(LANÇ_MOV[[#This Row],[DATA DE LANÇAMENTO]],"MMMM")))</f>
        <v/>
      </c>
      <c r="AC681" s="525" t="str">
        <f>IF(LANÇ_MOV[[#This Row],[DATA DE LANÇAMENTO]]="","",PROPER(TEXT(LANÇ_MOV[[#This Row],[DATA DE LANÇAMENTO]],"M")))</f>
        <v/>
      </c>
      <c r="AD681" s="524" t="str">
        <f>IF(LANÇ_MOV[[#This Row],[DATA DE LANÇAMENTO]]="","",TEXT(LANÇ_MOV[[#This Row],[DATA DE LANÇAMENTO]],"D"))</f>
        <v/>
      </c>
      <c r="AE681" s="526" t="str">
        <f>IF(LANÇ_MOV[[#This Row],[DATA DE VENCIMENTO]]="","",TEXT(LANÇ_MOV[[#This Row],[DATA DE VENCIMENTO]],"AAAA"))</f>
        <v/>
      </c>
      <c r="AF681" s="526" t="str">
        <f>IF(LANÇ_MOV[[#This Row],[DATA DE VENCIMENTO]]="","",UPPER(TEXT(LANÇ_MOV[[#This Row],[DATA DE VENCIMENTO]],"MMMM")))</f>
        <v/>
      </c>
      <c r="AG681" s="526" t="str">
        <f>IF(LANÇ_MOV[[#This Row],[DATA DE VENCIMENTO]]="","",TEXT(LANÇ_MOV[[#This Row],[DATA DE VENCIMENTO]],"M"))</f>
        <v/>
      </c>
      <c r="AH681" s="526" t="str">
        <f>IF(LANÇ_MOV[[#This Row],[DATA DE VENCIMENTO]]="","",TEXT(LANÇ_MOV[[#This Row],[DATA DE VENCIMENTO]],"D"))</f>
        <v/>
      </c>
      <c r="AI681" s="526" t="str">
        <f>IF(LANÇ_MOV[[#This Row],[DATA DE PAGAMENTO]]="","",TEXT(LANÇ_MOV[[#This Row],[DATA DE PAGAMENTO]],"AAAA"))</f>
        <v/>
      </c>
      <c r="AJ681" s="527" t="str">
        <f>IF(LANÇ_MOV[[#This Row],[DATA DE PAGAMENTO]]="","",UPPER(TEXT(LANÇ_MOV[[#This Row],[DATA DE PAGAMENTO]],"MMMM")))</f>
        <v/>
      </c>
      <c r="AK681" s="527" t="str">
        <f>IF(LANÇ_MOV[[#This Row],[DATA DE PAGAMENTO]]="","",TEXT(LANÇ_MOV[[#This Row],[DATA DE PAGAMENTO]],"M"))</f>
        <v/>
      </c>
      <c r="AL681" s="526" t="str">
        <f>IF(LANÇ_MOV[[#This Row],[DATA DE PAGAMENTO]]="","",TEXT(LANÇ_MOV[[#This Row],[DATA DE PAGAMENTO]],"D"))</f>
        <v/>
      </c>
    </row>
    <row r="682" spans="2:38" ht="30.05" customHeight="1" x14ac:dyDescent="0.35">
      <c r="B682" s="506"/>
      <c r="C682" s="507"/>
      <c r="D682" s="508" t="s">
        <v>1854</v>
      </c>
      <c r="E682" s="509"/>
      <c r="F682" s="510"/>
      <c r="G682" s="507"/>
      <c r="H682" s="511"/>
      <c r="I682" s="512"/>
      <c r="J682" s="518"/>
      <c r="K682" s="510"/>
      <c r="L682" s="510"/>
      <c r="M682" s="548"/>
      <c r="N682" s="514">
        <f>LANÇ_MOV[[#This Row],[VALOR BRUTO]]-LANÇ_MOV[[#This Row],[DESCONTO]]+LANÇ_MOV[[#This Row],[JUROS]]+LANÇ_MOV[[#This Row],[MULTA]]</f>
        <v>0</v>
      </c>
      <c r="O682" s="546"/>
      <c r="P682" s="547" t="str">
        <f t="shared" ca="1" si="10"/>
        <v/>
      </c>
      <c r="Q682" s="528"/>
      <c r="R682" s="529"/>
      <c r="S682" s="518"/>
      <c r="T682" s="518"/>
      <c r="U682" s="519"/>
      <c r="V682" s="520" t="str">
        <f>IFERROR(VLOOKUP(LANÇ_MOV[[#This Row],[PLANO DE CONTAS]],Plano_Contas[[PLANO DE CONTAS]:[R / D]],3,0),"")</f>
        <v/>
      </c>
      <c r="W682" s="521" t="str">
        <f>IF(LANÇ_MOV[[#This Row],[DATA DE PAGAMENTO]]&lt;&gt;"","Pago","Não Pago")</f>
        <v>Não Pago</v>
      </c>
      <c r="X682" s="522" t="str">
        <f>IFERROR(IF(LANÇ_MOV[[#This Row],[DATA DE PAGAMENTO]]="","",(UPPER(TEXT(LANÇ_MOV[[#This Row],[DATA DE PAGAMENTO]],"mmmm")))),"")</f>
        <v/>
      </c>
      <c r="Y682" s="523" t="str">
        <f>IFERROR(VLOOKUP(LANÇ_MOV[[#This Row],[PLANO DE CONTAS]],Plano_Contas[[PLANO DE CONTAS]:[NOMES INTERVALOS]],2,0),"")</f>
        <v/>
      </c>
      <c r="Z682" s="523" t="str">
        <f>IF(LANÇ_MOV[[#This Row],[FORMA DE PAGAMENTO]]="","",VLOOKUP(LANÇ_MOV[[#This Row],[FORMA DE PAGAMENTO]],CAD_Forma_pagto[],2,0))</f>
        <v/>
      </c>
      <c r="AA682" s="524" t="str">
        <f>IF(LANÇ_MOV[[#This Row],[DATA DE LANÇAMENTO]]="","",TEXT(LANÇ_MOV[[#This Row],[DATA DE LANÇAMENTO]],"AAAA"))</f>
        <v/>
      </c>
      <c r="AB682" s="524" t="str">
        <f>IF(LANÇ_MOV[[#This Row],[DATA DE LANÇAMENTO]]="","",UPPER(TEXT(LANÇ_MOV[[#This Row],[DATA DE LANÇAMENTO]],"MMMM")))</f>
        <v/>
      </c>
      <c r="AC682" s="525" t="str">
        <f>IF(LANÇ_MOV[[#This Row],[DATA DE LANÇAMENTO]]="","",PROPER(TEXT(LANÇ_MOV[[#This Row],[DATA DE LANÇAMENTO]],"M")))</f>
        <v/>
      </c>
      <c r="AD682" s="524" t="str">
        <f>IF(LANÇ_MOV[[#This Row],[DATA DE LANÇAMENTO]]="","",TEXT(LANÇ_MOV[[#This Row],[DATA DE LANÇAMENTO]],"D"))</f>
        <v/>
      </c>
      <c r="AE682" s="526" t="str">
        <f>IF(LANÇ_MOV[[#This Row],[DATA DE VENCIMENTO]]="","",TEXT(LANÇ_MOV[[#This Row],[DATA DE VENCIMENTO]],"AAAA"))</f>
        <v/>
      </c>
      <c r="AF682" s="526" t="str">
        <f>IF(LANÇ_MOV[[#This Row],[DATA DE VENCIMENTO]]="","",UPPER(TEXT(LANÇ_MOV[[#This Row],[DATA DE VENCIMENTO]],"MMMM")))</f>
        <v/>
      </c>
      <c r="AG682" s="526" t="str">
        <f>IF(LANÇ_MOV[[#This Row],[DATA DE VENCIMENTO]]="","",TEXT(LANÇ_MOV[[#This Row],[DATA DE VENCIMENTO]],"M"))</f>
        <v/>
      </c>
      <c r="AH682" s="526" t="str">
        <f>IF(LANÇ_MOV[[#This Row],[DATA DE VENCIMENTO]]="","",TEXT(LANÇ_MOV[[#This Row],[DATA DE VENCIMENTO]],"D"))</f>
        <v/>
      </c>
      <c r="AI682" s="526" t="str">
        <f>IF(LANÇ_MOV[[#This Row],[DATA DE PAGAMENTO]]="","",TEXT(LANÇ_MOV[[#This Row],[DATA DE PAGAMENTO]],"AAAA"))</f>
        <v/>
      </c>
      <c r="AJ682" s="527" t="str">
        <f>IF(LANÇ_MOV[[#This Row],[DATA DE PAGAMENTO]]="","",UPPER(TEXT(LANÇ_MOV[[#This Row],[DATA DE PAGAMENTO]],"MMMM")))</f>
        <v/>
      </c>
      <c r="AK682" s="527" t="str">
        <f>IF(LANÇ_MOV[[#This Row],[DATA DE PAGAMENTO]]="","",TEXT(LANÇ_MOV[[#This Row],[DATA DE PAGAMENTO]],"M"))</f>
        <v/>
      </c>
      <c r="AL682" s="526" t="str">
        <f>IF(LANÇ_MOV[[#This Row],[DATA DE PAGAMENTO]]="","",TEXT(LANÇ_MOV[[#This Row],[DATA DE PAGAMENTO]],"D"))</f>
        <v/>
      </c>
    </row>
    <row r="683" spans="2:38" ht="30.05" customHeight="1" x14ac:dyDescent="0.35">
      <c r="B683" s="506"/>
      <c r="C683" s="507"/>
      <c r="D683" s="508" t="s">
        <v>1854</v>
      </c>
      <c r="E683" s="509"/>
      <c r="F683" s="510"/>
      <c r="G683" s="507"/>
      <c r="H683" s="511"/>
      <c r="I683" s="512"/>
      <c r="J683" s="518"/>
      <c r="K683" s="510"/>
      <c r="L683" s="510"/>
      <c r="M683" s="548"/>
      <c r="N683" s="514">
        <f>LANÇ_MOV[[#This Row],[VALOR BRUTO]]-LANÇ_MOV[[#This Row],[DESCONTO]]+LANÇ_MOV[[#This Row],[JUROS]]+LANÇ_MOV[[#This Row],[MULTA]]</f>
        <v>0</v>
      </c>
      <c r="O683" s="546"/>
      <c r="P683" s="547" t="str">
        <f t="shared" ca="1" si="10"/>
        <v/>
      </c>
      <c r="Q683" s="528"/>
      <c r="R683" s="529"/>
      <c r="S683" s="518"/>
      <c r="T683" s="518"/>
      <c r="U683" s="519"/>
      <c r="V683" s="520" t="str">
        <f>IFERROR(VLOOKUP(LANÇ_MOV[[#This Row],[PLANO DE CONTAS]],Plano_Contas[[PLANO DE CONTAS]:[R / D]],3,0),"")</f>
        <v/>
      </c>
      <c r="W683" s="521" t="str">
        <f>IF(LANÇ_MOV[[#This Row],[DATA DE PAGAMENTO]]&lt;&gt;"","Pago","Não Pago")</f>
        <v>Não Pago</v>
      </c>
      <c r="X683" s="522" t="str">
        <f>IFERROR(IF(LANÇ_MOV[[#This Row],[DATA DE PAGAMENTO]]="","",(UPPER(TEXT(LANÇ_MOV[[#This Row],[DATA DE PAGAMENTO]],"mmmm")))),"")</f>
        <v/>
      </c>
      <c r="Y683" s="523" t="str">
        <f>IFERROR(VLOOKUP(LANÇ_MOV[[#This Row],[PLANO DE CONTAS]],Plano_Contas[[PLANO DE CONTAS]:[NOMES INTERVALOS]],2,0),"")</f>
        <v/>
      </c>
      <c r="Z683" s="523" t="str">
        <f>IF(LANÇ_MOV[[#This Row],[FORMA DE PAGAMENTO]]="","",VLOOKUP(LANÇ_MOV[[#This Row],[FORMA DE PAGAMENTO]],CAD_Forma_pagto[],2,0))</f>
        <v/>
      </c>
      <c r="AA683" s="524" t="str">
        <f>IF(LANÇ_MOV[[#This Row],[DATA DE LANÇAMENTO]]="","",TEXT(LANÇ_MOV[[#This Row],[DATA DE LANÇAMENTO]],"AAAA"))</f>
        <v/>
      </c>
      <c r="AB683" s="524" t="str">
        <f>IF(LANÇ_MOV[[#This Row],[DATA DE LANÇAMENTO]]="","",UPPER(TEXT(LANÇ_MOV[[#This Row],[DATA DE LANÇAMENTO]],"MMMM")))</f>
        <v/>
      </c>
      <c r="AC683" s="525" t="str">
        <f>IF(LANÇ_MOV[[#This Row],[DATA DE LANÇAMENTO]]="","",PROPER(TEXT(LANÇ_MOV[[#This Row],[DATA DE LANÇAMENTO]],"M")))</f>
        <v/>
      </c>
      <c r="AD683" s="524" t="str">
        <f>IF(LANÇ_MOV[[#This Row],[DATA DE LANÇAMENTO]]="","",TEXT(LANÇ_MOV[[#This Row],[DATA DE LANÇAMENTO]],"D"))</f>
        <v/>
      </c>
      <c r="AE683" s="526" t="str">
        <f>IF(LANÇ_MOV[[#This Row],[DATA DE VENCIMENTO]]="","",TEXT(LANÇ_MOV[[#This Row],[DATA DE VENCIMENTO]],"AAAA"))</f>
        <v/>
      </c>
      <c r="AF683" s="526" t="str">
        <f>IF(LANÇ_MOV[[#This Row],[DATA DE VENCIMENTO]]="","",UPPER(TEXT(LANÇ_MOV[[#This Row],[DATA DE VENCIMENTO]],"MMMM")))</f>
        <v/>
      </c>
      <c r="AG683" s="526" t="str">
        <f>IF(LANÇ_MOV[[#This Row],[DATA DE VENCIMENTO]]="","",TEXT(LANÇ_MOV[[#This Row],[DATA DE VENCIMENTO]],"M"))</f>
        <v/>
      </c>
      <c r="AH683" s="526" t="str">
        <f>IF(LANÇ_MOV[[#This Row],[DATA DE VENCIMENTO]]="","",TEXT(LANÇ_MOV[[#This Row],[DATA DE VENCIMENTO]],"D"))</f>
        <v/>
      </c>
      <c r="AI683" s="526" t="str">
        <f>IF(LANÇ_MOV[[#This Row],[DATA DE PAGAMENTO]]="","",TEXT(LANÇ_MOV[[#This Row],[DATA DE PAGAMENTO]],"AAAA"))</f>
        <v/>
      </c>
      <c r="AJ683" s="527" t="str">
        <f>IF(LANÇ_MOV[[#This Row],[DATA DE PAGAMENTO]]="","",UPPER(TEXT(LANÇ_MOV[[#This Row],[DATA DE PAGAMENTO]],"MMMM")))</f>
        <v/>
      </c>
      <c r="AK683" s="527" t="str">
        <f>IF(LANÇ_MOV[[#This Row],[DATA DE PAGAMENTO]]="","",TEXT(LANÇ_MOV[[#This Row],[DATA DE PAGAMENTO]],"M"))</f>
        <v/>
      </c>
      <c r="AL683" s="526" t="str">
        <f>IF(LANÇ_MOV[[#This Row],[DATA DE PAGAMENTO]]="","",TEXT(LANÇ_MOV[[#This Row],[DATA DE PAGAMENTO]],"D"))</f>
        <v/>
      </c>
    </row>
    <row r="684" spans="2:38" ht="30.05" customHeight="1" x14ac:dyDescent="0.35">
      <c r="B684" s="506"/>
      <c r="C684" s="507"/>
      <c r="D684" s="508" t="s">
        <v>1854</v>
      </c>
      <c r="E684" s="509"/>
      <c r="F684" s="510"/>
      <c r="G684" s="507"/>
      <c r="H684" s="511"/>
      <c r="I684" s="512"/>
      <c r="J684" s="518"/>
      <c r="K684" s="510"/>
      <c r="L684" s="510"/>
      <c r="M684" s="548"/>
      <c r="N684" s="514">
        <f>LANÇ_MOV[[#This Row],[VALOR BRUTO]]-LANÇ_MOV[[#This Row],[DESCONTO]]+LANÇ_MOV[[#This Row],[JUROS]]+LANÇ_MOV[[#This Row],[MULTA]]</f>
        <v>0</v>
      </c>
      <c r="O684" s="546"/>
      <c r="P684" s="547" t="str">
        <f t="shared" ca="1" si="10"/>
        <v/>
      </c>
      <c r="Q684" s="528"/>
      <c r="R684" s="529"/>
      <c r="S684" s="518"/>
      <c r="T684" s="518"/>
      <c r="U684" s="519"/>
      <c r="V684" s="520" t="str">
        <f>IFERROR(VLOOKUP(LANÇ_MOV[[#This Row],[PLANO DE CONTAS]],Plano_Contas[[PLANO DE CONTAS]:[R / D]],3,0),"")</f>
        <v/>
      </c>
      <c r="W684" s="521" t="str">
        <f>IF(LANÇ_MOV[[#This Row],[DATA DE PAGAMENTO]]&lt;&gt;"","Pago","Não Pago")</f>
        <v>Não Pago</v>
      </c>
      <c r="X684" s="522" t="str">
        <f>IFERROR(IF(LANÇ_MOV[[#This Row],[DATA DE PAGAMENTO]]="","",(UPPER(TEXT(LANÇ_MOV[[#This Row],[DATA DE PAGAMENTO]],"mmmm")))),"")</f>
        <v/>
      </c>
      <c r="Y684" s="523" t="str">
        <f>IFERROR(VLOOKUP(LANÇ_MOV[[#This Row],[PLANO DE CONTAS]],Plano_Contas[[PLANO DE CONTAS]:[NOMES INTERVALOS]],2,0),"")</f>
        <v/>
      </c>
      <c r="Z684" s="523" t="str">
        <f>IF(LANÇ_MOV[[#This Row],[FORMA DE PAGAMENTO]]="","",VLOOKUP(LANÇ_MOV[[#This Row],[FORMA DE PAGAMENTO]],CAD_Forma_pagto[],2,0))</f>
        <v/>
      </c>
      <c r="AA684" s="524" t="str">
        <f>IF(LANÇ_MOV[[#This Row],[DATA DE LANÇAMENTO]]="","",TEXT(LANÇ_MOV[[#This Row],[DATA DE LANÇAMENTO]],"AAAA"))</f>
        <v/>
      </c>
      <c r="AB684" s="524" t="str">
        <f>IF(LANÇ_MOV[[#This Row],[DATA DE LANÇAMENTO]]="","",UPPER(TEXT(LANÇ_MOV[[#This Row],[DATA DE LANÇAMENTO]],"MMMM")))</f>
        <v/>
      </c>
      <c r="AC684" s="525" t="str">
        <f>IF(LANÇ_MOV[[#This Row],[DATA DE LANÇAMENTO]]="","",PROPER(TEXT(LANÇ_MOV[[#This Row],[DATA DE LANÇAMENTO]],"M")))</f>
        <v/>
      </c>
      <c r="AD684" s="524" t="str">
        <f>IF(LANÇ_MOV[[#This Row],[DATA DE LANÇAMENTO]]="","",TEXT(LANÇ_MOV[[#This Row],[DATA DE LANÇAMENTO]],"D"))</f>
        <v/>
      </c>
      <c r="AE684" s="526" t="str">
        <f>IF(LANÇ_MOV[[#This Row],[DATA DE VENCIMENTO]]="","",TEXT(LANÇ_MOV[[#This Row],[DATA DE VENCIMENTO]],"AAAA"))</f>
        <v/>
      </c>
      <c r="AF684" s="526" t="str">
        <f>IF(LANÇ_MOV[[#This Row],[DATA DE VENCIMENTO]]="","",UPPER(TEXT(LANÇ_MOV[[#This Row],[DATA DE VENCIMENTO]],"MMMM")))</f>
        <v/>
      </c>
      <c r="AG684" s="526" t="str">
        <f>IF(LANÇ_MOV[[#This Row],[DATA DE VENCIMENTO]]="","",TEXT(LANÇ_MOV[[#This Row],[DATA DE VENCIMENTO]],"M"))</f>
        <v/>
      </c>
      <c r="AH684" s="526" t="str">
        <f>IF(LANÇ_MOV[[#This Row],[DATA DE VENCIMENTO]]="","",TEXT(LANÇ_MOV[[#This Row],[DATA DE VENCIMENTO]],"D"))</f>
        <v/>
      </c>
      <c r="AI684" s="526" t="str">
        <f>IF(LANÇ_MOV[[#This Row],[DATA DE PAGAMENTO]]="","",TEXT(LANÇ_MOV[[#This Row],[DATA DE PAGAMENTO]],"AAAA"))</f>
        <v/>
      </c>
      <c r="AJ684" s="527" t="str">
        <f>IF(LANÇ_MOV[[#This Row],[DATA DE PAGAMENTO]]="","",UPPER(TEXT(LANÇ_MOV[[#This Row],[DATA DE PAGAMENTO]],"MMMM")))</f>
        <v/>
      </c>
      <c r="AK684" s="527" t="str">
        <f>IF(LANÇ_MOV[[#This Row],[DATA DE PAGAMENTO]]="","",TEXT(LANÇ_MOV[[#This Row],[DATA DE PAGAMENTO]],"M"))</f>
        <v/>
      </c>
      <c r="AL684" s="526" t="str">
        <f>IF(LANÇ_MOV[[#This Row],[DATA DE PAGAMENTO]]="","",TEXT(LANÇ_MOV[[#This Row],[DATA DE PAGAMENTO]],"D"))</f>
        <v/>
      </c>
    </row>
    <row r="685" spans="2:38" ht="30.05" customHeight="1" x14ac:dyDescent="0.35">
      <c r="B685" s="506"/>
      <c r="C685" s="507"/>
      <c r="D685" s="508" t="s">
        <v>1854</v>
      </c>
      <c r="E685" s="509"/>
      <c r="F685" s="510"/>
      <c r="G685" s="507"/>
      <c r="H685" s="511"/>
      <c r="I685" s="512"/>
      <c r="J685" s="518"/>
      <c r="K685" s="510"/>
      <c r="L685" s="510"/>
      <c r="M685" s="548"/>
      <c r="N685" s="514">
        <f>LANÇ_MOV[[#This Row],[VALOR BRUTO]]-LANÇ_MOV[[#This Row],[DESCONTO]]+LANÇ_MOV[[#This Row],[JUROS]]+LANÇ_MOV[[#This Row],[MULTA]]</f>
        <v>0</v>
      </c>
      <c r="O685" s="546"/>
      <c r="P685" s="547" t="str">
        <f t="shared" ca="1" si="10"/>
        <v/>
      </c>
      <c r="Q685" s="528"/>
      <c r="R685" s="529"/>
      <c r="S685" s="518"/>
      <c r="T685" s="518"/>
      <c r="U685" s="519"/>
      <c r="V685" s="520" t="str">
        <f>IFERROR(VLOOKUP(LANÇ_MOV[[#This Row],[PLANO DE CONTAS]],Plano_Contas[[PLANO DE CONTAS]:[R / D]],3,0),"")</f>
        <v/>
      </c>
      <c r="W685" s="521" t="str">
        <f>IF(LANÇ_MOV[[#This Row],[DATA DE PAGAMENTO]]&lt;&gt;"","Pago","Não Pago")</f>
        <v>Não Pago</v>
      </c>
      <c r="X685" s="522" t="str">
        <f>IFERROR(IF(LANÇ_MOV[[#This Row],[DATA DE PAGAMENTO]]="","",(UPPER(TEXT(LANÇ_MOV[[#This Row],[DATA DE PAGAMENTO]],"mmmm")))),"")</f>
        <v/>
      </c>
      <c r="Y685" s="523" t="str">
        <f>IFERROR(VLOOKUP(LANÇ_MOV[[#This Row],[PLANO DE CONTAS]],Plano_Contas[[PLANO DE CONTAS]:[NOMES INTERVALOS]],2,0),"")</f>
        <v/>
      </c>
      <c r="Z685" s="523" t="str">
        <f>IF(LANÇ_MOV[[#This Row],[FORMA DE PAGAMENTO]]="","",VLOOKUP(LANÇ_MOV[[#This Row],[FORMA DE PAGAMENTO]],CAD_Forma_pagto[],2,0))</f>
        <v/>
      </c>
      <c r="AA685" s="524" t="str">
        <f>IF(LANÇ_MOV[[#This Row],[DATA DE LANÇAMENTO]]="","",TEXT(LANÇ_MOV[[#This Row],[DATA DE LANÇAMENTO]],"AAAA"))</f>
        <v/>
      </c>
      <c r="AB685" s="524" t="str">
        <f>IF(LANÇ_MOV[[#This Row],[DATA DE LANÇAMENTO]]="","",UPPER(TEXT(LANÇ_MOV[[#This Row],[DATA DE LANÇAMENTO]],"MMMM")))</f>
        <v/>
      </c>
      <c r="AC685" s="525" t="str">
        <f>IF(LANÇ_MOV[[#This Row],[DATA DE LANÇAMENTO]]="","",PROPER(TEXT(LANÇ_MOV[[#This Row],[DATA DE LANÇAMENTO]],"M")))</f>
        <v/>
      </c>
      <c r="AD685" s="524" t="str">
        <f>IF(LANÇ_MOV[[#This Row],[DATA DE LANÇAMENTO]]="","",TEXT(LANÇ_MOV[[#This Row],[DATA DE LANÇAMENTO]],"D"))</f>
        <v/>
      </c>
      <c r="AE685" s="526" t="str">
        <f>IF(LANÇ_MOV[[#This Row],[DATA DE VENCIMENTO]]="","",TEXT(LANÇ_MOV[[#This Row],[DATA DE VENCIMENTO]],"AAAA"))</f>
        <v/>
      </c>
      <c r="AF685" s="526" t="str">
        <f>IF(LANÇ_MOV[[#This Row],[DATA DE VENCIMENTO]]="","",UPPER(TEXT(LANÇ_MOV[[#This Row],[DATA DE VENCIMENTO]],"MMMM")))</f>
        <v/>
      </c>
      <c r="AG685" s="526" t="str">
        <f>IF(LANÇ_MOV[[#This Row],[DATA DE VENCIMENTO]]="","",TEXT(LANÇ_MOV[[#This Row],[DATA DE VENCIMENTO]],"M"))</f>
        <v/>
      </c>
      <c r="AH685" s="526" t="str">
        <f>IF(LANÇ_MOV[[#This Row],[DATA DE VENCIMENTO]]="","",TEXT(LANÇ_MOV[[#This Row],[DATA DE VENCIMENTO]],"D"))</f>
        <v/>
      </c>
      <c r="AI685" s="526" t="str">
        <f>IF(LANÇ_MOV[[#This Row],[DATA DE PAGAMENTO]]="","",TEXT(LANÇ_MOV[[#This Row],[DATA DE PAGAMENTO]],"AAAA"))</f>
        <v/>
      </c>
      <c r="AJ685" s="527" t="str">
        <f>IF(LANÇ_MOV[[#This Row],[DATA DE PAGAMENTO]]="","",UPPER(TEXT(LANÇ_MOV[[#This Row],[DATA DE PAGAMENTO]],"MMMM")))</f>
        <v/>
      </c>
      <c r="AK685" s="527" t="str">
        <f>IF(LANÇ_MOV[[#This Row],[DATA DE PAGAMENTO]]="","",TEXT(LANÇ_MOV[[#This Row],[DATA DE PAGAMENTO]],"M"))</f>
        <v/>
      </c>
      <c r="AL685" s="526" t="str">
        <f>IF(LANÇ_MOV[[#This Row],[DATA DE PAGAMENTO]]="","",TEXT(LANÇ_MOV[[#This Row],[DATA DE PAGAMENTO]],"D"))</f>
        <v/>
      </c>
    </row>
    <row r="686" spans="2:38" ht="30.05" customHeight="1" x14ac:dyDescent="0.35">
      <c r="B686" s="506"/>
      <c r="C686" s="507"/>
      <c r="D686" s="508" t="s">
        <v>1854</v>
      </c>
      <c r="E686" s="509"/>
      <c r="F686" s="510"/>
      <c r="G686" s="507"/>
      <c r="H686" s="511"/>
      <c r="I686" s="512"/>
      <c r="J686" s="518"/>
      <c r="K686" s="510"/>
      <c r="L686" s="510"/>
      <c r="M686" s="548"/>
      <c r="N686" s="514">
        <f>LANÇ_MOV[[#This Row],[VALOR BRUTO]]-LANÇ_MOV[[#This Row],[DESCONTO]]+LANÇ_MOV[[#This Row],[JUROS]]+LANÇ_MOV[[#This Row],[MULTA]]</f>
        <v>0</v>
      </c>
      <c r="O686" s="546"/>
      <c r="P686" s="547" t="str">
        <f t="shared" ca="1" si="10"/>
        <v/>
      </c>
      <c r="Q686" s="528"/>
      <c r="R686" s="529"/>
      <c r="S686" s="518"/>
      <c r="T686" s="518"/>
      <c r="U686" s="519"/>
      <c r="V686" s="520" t="str">
        <f>IFERROR(VLOOKUP(LANÇ_MOV[[#This Row],[PLANO DE CONTAS]],Plano_Contas[[PLANO DE CONTAS]:[R / D]],3,0),"")</f>
        <v/>
      </c>
      <c r="W686" s="521" t="str">
        <f>IF(LANÇ_MOV[[#This Row],[DATA DE PAGAMENTO]]&lt;&gt;"","Pago","Não Pago")</f>
        <v>Não Pago</v>
      </c>
      <c r="X686" s="522" t="str">
        <f>IFERROR(IF(LANÇ_MOV[[#This Row],[DATA DE PAGAMENTO]]="","",(UPPER(TEXT(LANÇ_MOV[[#This Row],[DATA DE PAGAMENTO]],"mmmm")))),"")</f>
        <v/>
      </c>
      <c r="Y686" s="523" t="str">
        <f>IFERROR(VLOOKUP(LANÇ_MOV[[#This Row],[PLANO DE CONTAS]],Plano_Contas[[PLANO DE CONTAS]:[NOMES INTERVALOS]],2,0),"")</f>
        <v/>
      </c>
      <c r="Z686" s="523" t="str">
        <f>IF(LANÇ_MOV[[#This Row],[FORMA DE PAGAMENTO]]="","",VLOOKUP(LANÇ_MOV[[#This Row],[FORMA DE PAGAMENTO]],CAD_Forma_pagto[],2,0))</f>
        <v/>
      </c>
      <c r="AA686" s="524" t="str">
        <f>IF(LANÇ_MOV[[#This Row],[DATA DE LANÇAMENTO]]="","",TEXT(LANÇ_MOV[[#This Row],[DATA DE LANÇAMENTO]],"AAAA"))</f>
        <v/>
      </c>
      <c r="AB686" s="524" t="str">
        <f>IF(LANÇ_MOV[[#This Row],[DATA DE LANÇAMENTO]]="","",UPPER(TEXT(LANÇ_MOV[[#This Row],[DATA DE LANÇAMENTO]],"MMMM")))</f>
        <v/>
      </c>
      <c r="AC686" s="525" t="str">
        <f>IF(LANÇ_MOV[[#This Row],[DATA DE LANÇAMENTO]]="","",PROPER(TEXT(LANÇ_MOV[[#This Row],[DATA DE LANÇAMENTO]],"M")))</f>
        <v/>
      </c>
      <c r="AD686" s="524" t="str">
        <f>IF(LANÇ_MOV[[#This Row],[DATA DE LANÇAMENTO]]="","",TEXT(LANÇ_MOV[[#This Row],[DATA DE LANÇAMENTO]],"D"))</f>
        <v/>
      </c>
      <c r="AE686" s="526" t="str">
        <f>IF(LANÇ_MOV[[#This Row],[DATA DE VENCIMENTO]]="","",TEXT(LANÇ_MOV[[#This Row],[DATA DE VENCIMENTO]],"AAAA"))</f>
        <v/>
      </c>
      <c r="AF686" s="526" t="str">
        <f>IF(LANÇ_MOV[[#This Row],[DATA DE VENCIMENTO]]="","",UPPER(TEXT(LANÇ_MOV[[#This Row],[DATA DE VENCIMENTO]],"MMMM")))</f>
        <v/>
      </c>
      <c r="AG686" s="526" t="str">
        <f>IF(LANÇ_MOV[[#This Row],[DATA DE VENCIMENTO]]="","",TEXT(LANÇ_MOV[[#This Row],[DATA DE VENCIMENTO]],"M"))</f>
        <v/>
      </c>
      <c r="AH686" s="526" t="str">
        <f>IF(LANÇ_MOV[[#This Row],[DATA DE VENCIMENTO]]="","",TEXT(LANÇ_MOV[[#This Row],[DATA DE VENCIMENTO]],"D"))</f>
        <v/>
      </c>
      <c r="AI686" s="526" t="str">
        <f>IF(LANÇ_MOV[[#This Row],[DATA DE PAGAMENTO]]="","",TEXT(LANÇ_MOV[[#This Row],[DATA DE PAGAMENTO]],"AAAA"))</f>
        <v/>
      </c>
      <c r="AJ686" s="527" t="str">
        <f>IF(LANÇ_MOV[[#This Row],[DATA DE PAGAMENTO]]="","",UPPER(TEXT(LANÇ_MOV[[#This Row],[DATA DE PAGAMENTO]],"MMMM")))</f>
        <v/>
      </c>
      <c r="AK686" s="527" t="str">
        <f>IF(LANÇ_MOV[[#This Row],[DATA DE PAGAMENTO]]="","",TEXT(LANÇ_MOV[[#This Row],[DATA DE PAGAMENTO]],"M"))</f>
        <v/>
      </c>
      <c r="AL686" s="526" t="str">
        <f>IF(LANÇ_MOV[[#This Row],[DATA DE PAGAMENTO]]="","",TEXT(LANÇ_MOV[[#This Row],[DATA DE PAGAMENTO]],"D"))</f>
        <v/>
      </c>
    </row>
    <row r="687" spans="2:38" ht="30.05" customHeight="1" x14ac:dyDescent="0.35">
      <c r="B687" s="506"/>
      <c r="C687" s="507"/>
      <c r="D687" s="508" t="s">
        <v>1854</v>
      </c>
      <c r="E687" s="509"/>
      <c r="F687" s="510"/>
      <c r="G687" s="507"/>
      <c r="H687" s="511"/>
      <c r="I687" s="512"/>
      <c r="J687" s="518"/>
      <c r="K687" s="510"/>
      <c r="L687" s="510"/>
      <c r="M687" s="548"/>
      <c r="N687" s="514">
        <f>LANÇ_MOV[[#This Row],[VALOR BRUTO]]-LANÇ_MOV[[#This Row],[DESCONTO]]+LANÇ_MOV[[#This Row],[JUROS]]+LANÇ_MOV[[#This Row],[MULTA]]</f>
        <v>0</v>
      </c>
      <c r="O687" s="546"/>
      <c r="P687" s="547" t="str">
        <f t="shared" ca="1" si="10"/>
        <v/>
      </c>
      <c r="Q687" s="528"/>
      <c r="R687" s="529"/>
      <c r="S687" s="518"/>
      <c r="T687" s="518"/>
      <c r="U687" s="519"/>
      <c r="V687" s="520" t="str">
        <f>IFERROR(VLOOKUP(LANÇ_MOV[[#This Row],[PLANO DE CONTAS]],Plano_Contas[[PLANO DE CONTAS]:[R / D]],3,0),"")</f>
        <v/>
      </c>
      <c r="W687" s="521" t="str">
        <f>IF(LANÇ_MOV[[#This Row],[DATA DE PAGAMENTO]]&lt;&gt;"","Pago","Não Pago")</f>
        <v>Não Pago</v>
      </c>
      <c r="X687" s="522" t="str">
        <f>IFERROR(IF(LANÇ_MOV[[#This Row],[DATA DE PAGAMENTO]]="","",(UPPER(TEXT(LANÇ_MOV[[#This Row],[DATA DE PAGAMENTO]],"mmmm")))),"")</f>
        <v/>
      </c>
      <c r="Y687" s="523" t="str">
        <f>IFERROR(VLOOKUP(LANÇ_MOV[[#This Row],[PLANO DE CONTAS]],Plano_Contas[[PLANO DE CONTAS]:[NOMES INTERVALOS]],2,0),"")</f>
        <v/>
      </c>
      <c r="Z687" s="523" t="str">
        <f>IF(LANÇ_MOV[[#This Row],[FORMA DE PAGAMENTO]]="","",VLOOKUP(LANÇ_MOV[[#This Row],[FORMA DE PAGAMENTO]],CAD_Forma_pagto[],2,0))</f>
        <v/>
      </c>
      <c r="AA687" s="524" t="str">
        <f>IF(LANÇ_MOV[[#This Row],[DATA DE LANÇAMENTO]]="","",TEXT(LANÇ_MOV[[#This Row],[DATA DE LANÇAMENTO]],"AAAA"))</f>
        <v/>
      </c>
      <c r="AB687" s="524" t="str">
        <f>IF(LANÇ_MOV[[#This Row],[DATA DE LANÇAMENTO]]="","",UPPER(TEXT(LANÇ_MOV[[#This Row],[DATA DE LANÇAMENTO]],"MMMM")))</f>
        <v/>
      </c>
      <c r="AC687" s="525" t="str">
        <f>IF(LANÇ_MOV[[#This Row],[DATA DE LANÇAMENTO]]="","",PROPER(TEXT(LANÇ_MOV[[#This Row],[DATA DE LANÇAMENTO]],"M")))</f>
        <v/>
      </c>
      <c r="AD687" s="524" t="str">
        <f>IF(LANÇ_MOV[[#This Row],[DATA DE LANÇAMENTO]]="","",TEXT(LANÇ_MOV[[#This Row],[DATA DE LANÇAMENTO]],"D"))</f>
        <v/>
      </c>
      <c r="AE687" s="526" t="str">
        <f>IF(LANÇ_MOV[[#This Row],[DATA DE VENCIMENTO]]="","",TEXT(LANÇ_MOV[[#This Row],[DATA DE VENCIMENTO]],"AAAA"))</f>
        <v/>
      </c>
      <c r="AF687" s="526" t="str">
        <f>IF(LANÇ_MOV[[#This Row],[DATA DE VENCIMENTO]]="","",UPPER(TEXT(LANÇ_MOV[[#This Row],[DATA DE VENCIMENTO]],"MMMM")))</f>
        <v/>
      </c>
      <c r="AG687" s="526" t="str">
        <f>IF(LANÇ_MOV[[#This Row],[DATA DE VENCIMENTO]]="","",TEXT(LANÇ_MOV[[#This Row],[DATA DE VENCIMENTO]],"M"))</f>
        <v/>
      </c>
      <c r="AH687" s="526" t="str">
        <f>IF(LANÇ_MOV[[#This Row],[DATA DE VENCIMENTO]]="","",TEXT(LANÇ_MOV[[#This Row],[DATA DE VENCIMENTO]],"D"))</f>
        <v/>
      </c>
      <c r="AI687" s="526" t="str">
        <f>IF(LANÇ_MOV[[#This Row],[DATA DE PAGAMENTO]]="","",TEXT(LANÇ_MOV[[#This Row],[DATA DE PAGAMENTO]],"AAAA"))</f>
        <v/>
      </c>
      <c r="AJ687" s="527" t="str">
        <f>IF(LANÇ_MOV[[#This Row],[DATA DE PAGAMENTO]]="","",UPPER(TEXT(LANÇ_MOV[[#This Row],[DATA DE PAGAMENTO]],"MMMM")))</f>
        <v/>
      </c>
      <c r="AK687" s="527" t="str">
        <f>IF(LANÇ_MOV[[#This Row],[DATA DE PAGAMENTO]]="","",TEXT(LANÇ_MOV[[#This Row],[DATA DE PAGAMENTO]],"M"))</f>
        <v/>
      </c>
      <c r="AL687" s="526" t="str">
        <f>IF(LANÇ_MOV[[#This Row],[DATA DE PAGAMENTO]]="","",TEXT(LANÇ_MOV[[#This Row],[DATA DE PAGAMENTO]],"D"))</f>
        <v/>
      </c>
    </row>
    <row r="688" spans="2:38" ht="30.05" customHeight="1" x14ac:dyDescent="0.35">
      <c r="B688" s="506"/>
      <c r="C688" s="507"/>
      <c r="D688" s="508" t="s">
        <v>1854</v>
      </c>
      <c r="E688" s="509"/>
      <c r="F688" s="510"/>
      <c r="G688" s="507"/>
      <c r="H688" s="511"/>
      <c r="I688" s="512"/>
      <c r="J688" s="518"/>
      <c r="K688" s="510"/>
      <c r="L688" s="510"/>
      <c r="M688" s="548"/>
      <c r="N688" s="514">
        <f>LANÇ_MOV[[#This Row],[VALOR BRUTO]]-LANÇ_MOV[[#This Row],[DESCONTO]]+LANÇ_MOV[[#This Row],[JUROS]]+LANÇ_MOV[[#This Row],[MULTA]]</f>
        <v>0</v>
      </c>
      <c r="O688" s="546"/>
      <c r="P688" s="547" t="str">
        <f t="shared" ca="1" si="10"/>
        <v/>
      </c>
      <c r="Q688" s="528"/>
      <c r="R688" s="529"/>
      <c r="S688" s="518"/>
      <c r="T688" s="518"/>
      <c r="U688" s="519"/>
      <c r="V688" s="520" t="str">
        <f>IFERROR(VLOOKUP(LANÇ_MOV[[#This Row],[PLANO DE CONTAS]],Plano_Contas[[PLANO DE CONTAS]:[R / D]],3,0),"")</f>
        <v/>
      </c>
      <c r="W688" s="521" t="str">
        <f>IF(LANÇ_MOV[[#This Row],[DATA DE PAGAMENTO]]&lt;&gt;"","Pago","Não Pago")</f>
        <v>Não Pago</v>
      </c>
      <c r="X688" s="522" t="str">
        <f>IFERROR(IF(LANÇ_MOV[[#This Row],[DATA DE PAGAMENTO]]="","",(UPPER(TEXT(LANÇ_MOV[[#This Row],[DATA DE PAGAMENTO]],"mmmm")))),"")</f>
        <v/>
      </c>
      <c r="Y688" s="523" t="str">
        <f>IFERROR(VLOOKUP(LANÇ_MOV[[#This Row],[PLANO DE CONTAS]],Plano_Contas[[PLANO DE CONTAS]:[NOMES INTERVALOS]],2,0),"")</f>
        <v/>
      </c>
      <c r="Z688" s="523" t="str">
        <f>IF(LANÇ_MOV[[#This Row],[FORMA DE PAGAMENTO]]="","",VLOOKUP(LANÇ_MOV[[#This Row],[FORMA DE PAGAMENTO]],CAD_Forma_pagto[],2,0))</f>
        <v/>
      </c>
      <c r="AA688" s="524" t="str">
        <f>IF(LANÇ_MOV[[#This Row],[DATA DE LANÇAMENTO]]="","",TEXT(LANÇ_MOV[[#This Row],[DATA DE LANÇAMENTO]],"AAAA"))</f>
        <v/>
      </c>
      <c r="AB688" s="524" t="str">
        <f>IF(LANÇ_MOV[[#This Row],[DATA DE LANÇAMENTO]]="","",UPPER(TEXT(LANÇ_MOV[[#This Row],[DATA DE LANÇAMENTO]],"MMMM")))</f>
        <v/>
      </c>
      <c r="AC688" s="525" t="str">
        <f>IF(LANÇ_MOV[[#This Row],[DATA DE LANÇAMENTO]]="","",PROPER(TEXT(LANÇ_MOV[[#This Row],[DATA DE LANÇAMENTO]],"M")))</f>
        <v/>
      </c>
      <c r="AD688" s="524" t="str">
        <f>IF(LANÇ_MOV[[#This Row],[DATA DE LANÇAMENTO]]="","",TEXT(LANÇ_MOV[[#This Row],[DATA DE LANÇAMENTO]],"D"))</f>
        <v/>
      </c>
      <c r="AE688" s="526" t="str">
        <f>IF(LANÇ_MOV[[#This Row],[DATA DE VENCIMENTO]]="","",TEXT(LANÇ_MOV[[#This Row],[DATA DE VENCIMENTO]],"AAAA"))</f>
        <v/>
      </c>
      <c r="AF688" s="526" t="str">
        <f>IF(LANÇ_MOV[[#This Row],[DATA DE VENCIMENTO]]="","",UPPER(TEXT(LANÇ_MOV[[#This Row],[DATA DE VENCIMENTO]],"MMMM")))</f>
        <v/>
      </c>
      <c r="AG688" s="526" t="str">
        <f>IF(LANÇ_MOV[[#This Row],[DATA DE VENCIMENTO]]="","",TEXT(LANÇ_MOV[[#This Row],[DATA DE VENCIMENTO]],"M"))</f>
        <v/>
      </c>
      <c r="AH688" s="526" t="str">
        <f>IF(LANÇ_MOV[[#This Row],[DATA DE VENCIMENTO]]="","",TEXT(LANÇ_MOV[[#This Row],[DATA DE VENCIMENTO]],"D"))</f>
        <v/>
      </c>
      <c r="AI688" s="526" t="str">
        <f>IF(LANÇ_MOV[[#This Row],[DATA DE PAGAMENTO]]="","",TEXT(LANÇ_MOV[[#This Row],[DATA DE PAGAMENTO]],"AAAA"))</f>
        <v/>
      </c>
      <c r="AJ688" s="527" t="str">
        <f>IF(LANÇ_MOV[[#This Row],[DATA DE PAGAMENTO]]="","",UPPER(TEXT(LANÇ_MOV[[#This Row],[DATA DE PAGAMENTO]],"MMMM")))</f>
        <v/>
      </c>
      <c r="AK688" s="527" t="str">
        <f>IF(LANÇ_MOV[[#This Row],[DATA DE PAGAMENTO]]="","",TEXT(LANÇ_MOV[[#This Row],[DATA DE PAGAMENTO]],"M"))</f>
        <v/>
      </c>
      <c r="AL688" s="526" t="str">
        <f>IF(LANÇ_MOV[[#This Row],[DATA DE PAGAMENTO]]="","",TEXT(LANÇ_MOV[[#This Row],[DATA DE PAGAMENTO]],"D"))</f>
        <v/>
      </c>
    </row>
    <row r="689" spans="2:38" ht="30.05" customHeight="1" x14ac:dyDescent="0.35">
      <c r="B689" s="506"/>
      <c r="C689" s="507"/>
      <c r="D689" s="508" t="s">
        <v>1854</v>
      </c>
      <c r="E689" s="509"/>
      <c r="F689" s="510"/>
      <c r="G689" s="507"/>
      <c r="H689" s="511"/>
      <c r="I689" s="512"/>
      <c r="J689" s="518"/>
      <c r="K689" s="510"/>
      <c r="L689" s="510"/>
      <c r="M689" s="548"/>
      <c r="N689" s="514">
        <f>LANÇ_MOV[[#This Row],[VALOR BRUTO]]-LANÇ_MOV[[#This Row],[DESCONTO]]+LANÇ_MOV[[#This Row],[JUROS]]+LANÇ_MOV[[#This Row],[MULTA]]</f>
        <v>0</v>
      </c>
      <c r="O689" s="546"/>
      <c r="P689" s="547" t="str">
        <f t="shared" ca="1" si="10"/>
        <v/>
      </c>
      <c r="Q689" s="528"/>
      <c r="R689" s="529"/>
      <c r="S689" s="518"/>
      <c r="T689" s="518"/>
      <c r="U689" s="519"/>
      <c r="V689" s="520" t="str">
        <f>IFERROR(VLOOKUP(LANÇ_MOV[[#This Row],[PLANO DE CONTAS]],Plano_Contas[[PLANO DE CONTAS]:[R / D]],3,0),"")</f>
        <v/>
      </c>
      <c r="W689" s="521" t="str">
        <f>IF(LANÇ_MOV[[#This Row],[DATA DE PAGAMENTO]]&lt;&gt;"","Pago","Não Pago")</f>
        <v>Não Pago</v>
      </c>
      <c r="X689" s="522" t="str">
        <f>IFERROR(IF(LANÇ_MOV[[#This Row],[DATA DE PAGAMENTO]]="","",(UPPER(TEXT(LANÇ_MOV[[#This Row],[DATA DE PAGAMENTO]],"mmmm")))),"")</f>
        <v/>
      </c>
      <c r="Y689" s="523" t="str">
        <f>IFERROR(VLOOKUP(LANÇ_MOV[[#This Row],[PLANO DE CONTAS]],Plano_Contas[[PLANO DE CONTAS]:[NOMES INTERVALOS]],2,0),"")</f>
        <v/>
      </c>
      <c r="Z689" s="523" t="str">
        <f>IF(LANÇ_MOV[[#This Row],[FORMA DE PAGAMENTO]]="","",VLOOKUP(LANÇ_MOV[[#This Row],[FORMA DE PAGAMENTO]],CAD_Forma_pagto[],2,0))</f>
        <v/>
      </c>
      <c r="AA689" s="524" t="str">
        <f>IF(LANÇ_MOV[[#This Row],[DATA DE LANÇAMENTO]]="","",TEXT(LANÇ_MOV[[#This Row],[DATA DE LANÇAMENTO]],"AAAA"))</f>
        <v/>
      </c>
      <c r="AB689" s="524" t="str">
        <f>IF(LANÇ_MOV[[#This Row],[DATA DE LANÇAMENTO]]="","",UPPER(TEXT(LANÇ_MOV[[#This Row],[DATA DE LANÇAMENTO]],"MMMM")))</f>
        <v/>
      </c>
      <c r="AC689" s="525" t="str">
        <f>IF(LANÇ_MOV[[#This Row],[DATA DE LANÇAMENTO]]="","",PROPER(TEXT(LANÇ_MOV[[#This Row],[DATA DE LANÇAMENTO]],"M")))</f>
        <v/>
      </c>
      <c r="AD689" s="524" t="str">
        <f>IF(LANÇ_MOV[[#This Row],[DATA DE LANÇAMENTO]]="","",TEXT(LANÇ_MOV[[#This Row],[DATA DE LANÇAMENTO]],"D"))</f>
        <v/>
      </c>
      <c r="AE689" s="526" t="str">
        <f>IF(LANÇ_MOV[[#This Row],[DATA DE VENCIMENTO]]="","",TEXT(LANÇ_MOV[[#This Row],[DATA DE VENCIMENTO]],"AAAA"))</f>
        <v/>
      </c>
      <c r="AF689" s="526" t="str">
        <f>IF(LANÇ_MOV[[#This Row],[DATA DE VENCIMENTO]]="","",UPPER(TEXT(LANÇ_MOV[[#This Row],[DATA DE VENCIMENTO]],"MMMM")))</f>
        <v/>
      </c>
      <c r="AG689" s="526" t="str">
        <f>IF(LANÇ_MOV[[#This Row],[DATA DE VENCIMENTO]]="","",TEXT(LANÇ_MOV[[#This Row],[DATA DE VENCIMENTO]],"M"))</f>
        <v/>
      </c>
      <c r="AH689" s="526" t="str">
        <f>IF(LANÇ_MOV[[#This Row],[DATA DE VENCIMENTO]]="","",TEXT(LANÇ_MOV[[#This Row],[DATA DE VENCIMENTO]],"D"))</f>
        <v/>
      </c>
      <c r="AI689" s="526" t="str">
        <f>IF(LANÇ_MOV[[#This Row],[DATA DE PAGAMENTO]]="","",TEXT(LANÇ_MOV[[#This Row],[DATA DE PAGAMENTO]],"AAAA"))</f>
        <v/>
      </c>
      <c r="AJ689" s="527" t="str">
        <f>IF(LANÇ_MOV[[#This Row],[DATA DE PAGAMENTO]]="","",UPPER(TEXT(LANÇ_MOV[[#This Row],[DATA DE PAGAMENTO]],"MMMM")))</f>
        <v/>
      </c>
      <c r="AK689" s="527" t="str">
        <f>IF(LANÇ_MOV[[#This Row],[DATA DE PAGAMENTO]]="","",TEXT(LANÇ_MOV[[#This Row],[DATA DE PAGAMENTO]],"M"))</f>
        <v/>
      </c>
      <c r="AL689" s="526" t="str">
        <f>IF(LANÇ_MOV[[#This Row],[DATA DE PAGAMENTO]]="","",TEXT(LANÇ_MOV[[#This Row],[DATA DE PAGAMENTO]],"D"))</f>
        <v/>
      </c>
    </row>
    <row r="690" spans="2:38" ht="30.05" customHeight="1" x14ac:dyDescent="0.35">
      <c r="B690" s="506"/>
      <c r="C690" s="507"/>
      <c r="D690" s="508" t="s">
        <v>1854</v>
      </c>
      <c r="E690" s="509"/>
      <c r="F690" s="510"/>
      <c r="G690" s="507"/>
      <c r="H690" s="511"/>
      <c r="I690" s="512"/>
      <c r="J690" s="518"/>
      <c r="K690" s="510"/>
      <c r="L690" s="510"/>
      <c r="M690" s="548"/>
      <c r="N690" s="514">
        <f>LANÇ_MOV[[#This Row],[VALOR BRUTO]]-LANÇ_MOV[[#This Row],[DESCONTO]]+LANÇ_MOV[[#This Row],[JUROS]]+LANÇ_MOV[[#This Row],[MULTA]]</f>
        <v>0</v>
      </c>
      <c r="O690" s="546"/>
      <c r="P690" s="547" t="str">
        <f t="shared" ca="1" si="10"/>
        <v/>
      </c>
      <c r="Q690" s="528"/>
      <c r="R690" s="529"/>
      <c r="S690" s="518"/>
      <c r="T690" s="518"/>
      <c r="U690" s="519"/>
      <c r="V690" s="520" t="str">
        <f>IFERROR(VLOOKUP(LANÇ_MOV[[#This Row],[PLANO DE CONTAS]],Plano_Contas[[PLANO DE CONTAS]:[R / D]],3,0),"")</f>
        <v/>
      </c>
      <c r="W690" s="521" t="str">
        <f>IF(LANÇ_MOV[[#This Row],[DATA DE PAGAMENTO]]&lt;&gt;"","Pago","Não Pago")</f>
        <v>Não Pago</v>
      </c>
      <c r="X690" s="522" t="str">
        <f>IFERROR(IF(LANÇ_MOV[[#This Row],[DATA DE PAGAMENTO]]="","",(UPPER(TEXT(LANÇ_MOV[[#This Row],[DATA DE PAGAMENTO]],"mmmm")))),"")</f>
        <v/>
      </c>
      <c r="Y690" s="523" t="str">
        <f>IFERROR(VLOOKUP(LANÇ_MOV[[#This Row],[PLANO DE CONTAS]],Plano_Contas[[PLANO DE CONTAS]:[NOMES INTERVALOS]],2,0),"")</f>
        <v/>
      </c>
      <c r="Z690" s="523" t="str">
        <f>IF(LANÇ_MOV[[#This Row],[FORMA DE PAGAMENTO]]="","",VLOOKUP(LANÇ_MOV[[#This Row],[FORMA DE PAGAMENTO]],CAD_Forma_pagto[],2,0))</f>
        <v/>
      </c>
      <c r="AA690" s="524" t="str">
        <f>IF(LANÇ_MOV[[#This Row],[DATA DE LANÇAMENTO]]="","",TEXT(LANÇ_MOV[[#This Row],[DATA DE LANÇAMENTO]],"AAAA"))</f>
        <v/>
      </c>
      <c r="AB690" s="524" t="str">
        <f>IF(LANÇ_MOV[[#This Row],[DATA DE LANÇAMENTO]]="","",UPPER(TEXT(LANÇ_MOV[[#This Row],[DATA DE LANÇAMENTO]],"MMMM")))</f>
        <v/>
      </c>
      <c r="AC690" s="525" t="str">
        <f>IF(LANÇ_MOV[[#This Row],[DATA DE LANÇAMENTO]]="","",PROPER(TEXT(LANÇ_MOV[[#This Row],[DATA DE LANÇAMENTO]],"M")))</f>
        <v/>
      </c>
      <c r="AD690" s="524" t="str">
        <f>IF(LANÇ_MOV[[#This Row],[DATA DE LANÇAMENTO]]="","",TEXT(LANÇ_MOV[[#This Row],[DATA DE LANÇAMENTO]],"D"))</f>
        <v/>
      </c>
      <c r="AE690" s="526" t="str">
        <f>IF(LANÇ_MOV[[#This Row],[DATA DE VENCIMENTO]]="","",TEXT(LANÇ_MOV[[#This Row],[DATA DE VENCIMENTO]],"AAAA"))</f>
        <v/>
      </c>
      <c r="AF690" s="526" t="str">
        <f>IF(LANÇ_MOV[[#This Row],[DATA DE VENCIMENTO]]="","",UPPER(TEXT(LANÇ_MOV[[#This Row],[DATA DE VENCIMENTO]],"MMMM")))</f>
        <v/>
      </c>
      <c r="AG690" s="526" t="str">
        <f>IF(LANÇ_MOV[[#This Row],[DATA DE VENCIMENTO]]="","",TEXT(LANÇ_MOV[[#This Row],[DATA DE VENCIMENTO]],"M"))</f>
        <v/>
      </c>
      <c r="AH690" s="526" t="str">
        <f>IF(LANÇ_MOV[[#This Row],[DATA DE VENCIMENTO]]="","",TEXT(LANÇ_MOV[[#This Row],[DATA DE VENCIMENTO]],"D"))</f>
        <v/>
      </c>
      <c r="AI690" s="526" t="str">
        <f>IF(LANÇ_MOV[[#This Row],[DATA DE PAGAMENTO]]="","",TEXT(LANÇ_MOV[[#This Row],[DATA DE PAGAMENTO]],"AAAA"))</f>
        <v/>
      </c>
      <c r="AJ690" s="527" t="str">
        <f>IF(LANÇ_MOV[[#This Row],[DATA DE PAGAMENTO]]="","",UPPER(TEXT(LANÇ_MOV[[#This Row],[DATA DE PAGAMENTO]],"MMMM")))</f>
        <v/>
      </c>
      <c r="AK690" s="527" t="str">
        <f>IF(LANÇ_MOV[[#This Row],[DATA DE PAGAMENTO]]="","",TEXT(LANÇ_MOV[[#This Row],[DATA DE PAGAMENTO]],"M"))</f>
        <v/>
      </c>
      <c r="AL690" s="526" t="str">
        <f>IF(LANÇ_MOV[[#This Row],[DATA DE PAGAMENTO]]="","",TEXT(LANÇ_MOV[[#This Row],[DATA DE PAGAMENTO]],"D"))</f>
        <v/>
      </c>
    </row>
    <row r="691" spans="2:38" ht="30.05" customHeight="1" x14ac:dyDescent="0.35">
      <c r="B691" s="506"/>
      <c r="C691" s="507"/>
      <c r="D691" s="508" t="s">
        <v>1854</v>
      </c>
      <c r="E691" s="509"/>
      <c r="F691" s="510"/>
      <c r="G691" s="507"/>
      <c r="H691" s="511"/>
      <c r="I691" s="512"/>
      <c r="J691" s="518"/>
      <c r="K691" s="510"/>
      <c r="L691" s="510"/>
      <c r="M691" s="548"/>
      <c r="N691" s="514">
        <f>LANÇ_MOV[[#This Row],[VALOR BRUTO]]-LANÇ_MOV[[#This Row],[DESCONTO]]+LANÇ_MOV[[#This Row],[JUROS]]+LANÇ_MOV[[#This Row],[MULTA]]</f>
        <v>0</v>
      </c>
      <c r="O691" s="546"/>
      <c r="P691" s="547" t="str">
        <f t="shared" ca="1" si="10"/>
        <v/>
      </c>
      <c r="Q691" s="528"/>
      <c r="R691" s="529"/>
      <c r="S691" s="518"/>
      <c r="T691" s="518"/>
      <c r="U691" s="519"/>
      <c r="V691" s="520" t="str">
        <f>IFERROR(VLOOKUP(LANÇ_MOV[[#This Row],[PLANO DE CONTAS]],Plano_Contas[[PLANO DE CONTAS]:[R / D]],3,0),"")</f>
        <v/>
      </c>
      <c r="W691" s="521" t="str">
        <f>IF(LANÇ_MOV[[#This Row],[DATA DE PAGAMENTO]]&lt;&gt;"","Pago","Não Pago")</f>
        <v>Não Pago</v>
      </c>
      <c r="X691" s="522" t="str">
        <f>IFERROR(IF(LANÇ_MOV[[#This Row],[DATA DE PAGAMENTO]]="","",(UPPER(TEXT(LANÇ_MOV[[#This Row],[DATA DE PAGAMENTO]],"mmmm")))),"")</f>
        <v/>
      </c>
      <c r="Y691" s="523" t="str">
        <f>IFERROR(VLOOKUP(LANÇ_MOV[[#This Row],[PLANO DE CONTAS]],Plano_Contas[[PLANO DE CONTAS]:[NOMES INTERVALOS]],2,0),"")</f>
        <v/>
      </c>
      <c r="Z691" s="523" t="str">
        <f>IF(LANÇ_MOV[[#This Row],[FORMA DE PAGAMENTO]]="","",VLOOKUP(LANÇ_MOV[[#This Row],[FORMA DE PAGAMENTO]],CAD_Forma_pagto[],2,0))</f>
        <v/>
      </c>
      <c r="AA691" s="524" t="str">
        <f>IF(LANÇ_MOV[[#This Row],[DATA DE LANÇAMENTO]]="","",TEXT(LANÇ_MOV[[#This Row],[DATA DE LANÇAMENTO]],"AAAA"))</f>
        <v/>
      </c>
      <c r="AB691" s="524" t="str">
        <f>IF(LANÇ_MOV[[#This Row],[DATA DE LANÇAMENTO]]="","",UPPER(TEXT(LANÇ_MOV[[#This Row],[DATA DE LANÇAMENTO]],"MMMM")))</f>
        <v/>
      </c>
      <c r="AC691" s="525" t="str">
        <f>IF(LANÇ_MOV[[#This Row],[DATA DE LANÇAMENTO]]="","",PROPER(TEXT(LANÇ_MOV[[#This Row],[DATA DE LANÇAMENTO]],"M")))</f>
        <v/>
      </c>
      <c r="AD691" s="524" t="str">
        <f>IF(LANÇ_MOV[[#This Row],[DATA DE LANÇAMENTO]]="","",TEXT(LANÇ_MOV[[#This Row],[DATA DE LANÇAMENTO]],"D"))</f>
        <v/>
      </c>
      <c r="AE691" s="526" t="str">
        <f>IF(LANÇ_MOV[[#This Row],[DATA DE VENCIMENTO]]="","",TEXT(LANÇ_MOV[[#This Row],[DATA DE VENCIMENTO]],"AAAA"))</f>
        <v/>
      </c>
      <c r="AF691" s="526" t="str">
        <f>IF(LANÇ_MOV[[#This Row],[DATA DE VENCIMENTO]]="","",UPPER(TEXT(LANÇ_MOV[[#This Row],[DATA DE VENCIMENTO]],"MMMM")))</f>
        <v/>
      </c>
      <c r="AG691" s="526" t="str">
        <f>IF(LANÇ_MOV[[#This Row],[DATA DE VENCIMENTO]]="","",TEXT(LANÇ_MOV[[#This Row],[DATA DE VENCIMENTO]],"M"))</f>
        <v/>
      </c>
      <c r="AH691" s="526" t="str">
        <f>IF(LANÇ_MOV[[#This Row],[DATA DE VENCIMENTO]]="","",TEXT(LANÇ_MOV[[#This Row],[DATA DE VENCIMENTO]],"D"))</f>
        <v/>
      </c>
      <c r="AI691" s="526" t="str">
        <f>IF(LANÇ_MOV[[#This Row],[DATA DE PAGAMENTO]]="","",TEXT(LANÇ_MOV[[#This Row],[DATA DE PAGAMENTO]],"AAAA"))</f>
        <v/>
      </c>
      <c r="AJ691" s="527" t="str">
        <f>IF(LANÇ_MOV[[#This Row],[DATA DE PAGAMENTO]]="","",UPPER(TEXT(LANÇ_MOV[[#This Row],[DATA DE PAGAMENTO]],"MMMM")))</f>
        <v/>
      </c>
      <c r="AK691" s="527" t="str">
        <f>IF(LANÇ_MOV[[#This Row],[DATA DE PAGAMENTO]]="","",TEXT(LANÇ_MOV[[#This Row],[DATA DE PAGAMENTO]],"M"))</f>
        <v/>
      </c>
      <c r="AL691" s="526" t="str">
        <f>IF(LANÇ_MOV[[#This Row],[DATA DE PAGAMENTO]]="","",TEXT(LANÇ_MOV[[#This Row],[DATA DE PAGAMENTO]],"D"))</f>
        <v/>
      </c>
    </row>
    <row r="692" spans="2:38" ht="30.05" customHeight="1" x14ac:dyDescent="0.35">
      <c r="B692" s="506"/>
      <c r="C692" s="507"/>
      <c r="D692" s="508" t="s">
        <v>1854</v>
      </c>
      <c r="E692" s="509"/>
      <c r="F692" s="510"/>
      <c r="G692" s="507"/>
      <c r="H692" s="511"/>
      <c r="I692" s="512"/>
      <c r="J692" s="518"/>
      <c r="K692" s="510"/>
      <c r="L692" s="510"/>
      <c r="M692" s="548"/>
      <c r="N692" s="514">
        <f>LANÇ_MOV[[#This Row],[VALOR BRUTO]]-LANÇ_MOV[[#This Row],[DESCONTO]]+LANÇ_MOV[[#This Row],[JUROS]]+LANÇ_MOV[[#This Row],[MULTA]]</f>
        <v>0</v>
      </c>
      <c r="O692" s="546"/>
      <c r="P692" s="547" t="str">
        <f t="shared" ca="1" si="10"/>
        <v/>
      </c>
      <c r="Q692" s="528"/>
      <c r="R692" s="529"/>
      <c r="S692" s="518"/>
      <c r="T692" s="518"/>
      <c r="U692" s="519"/>
      <c r="V692" s="520" t="str">
        <f>IFERROR(VLOOKUP(LANÇ_MOV[[#This Row],[PLANO DE CONTAS]],Plano_Contas[[PLANO DE CONTAS]:[R / D]],3,0),"")</f>
        <v/>
      </c>
      <c r="W692" s="521" t="str">
        <f>IF(LANÇ_MOV[[#This Row],[DATA DE PAGAMENTO]]&lt;&gt;"","Pago","Não Pago")</f>
        <v>Não Pago</v>
      </c>
      <c r="X692" s="522" t="str">
        <f>IFERROR(IF(LANÇ_MOV[[#This Row],[DATA DE PAGAMENTO]]="","",(UPPER(TEXT(LANÇ_MOV[[#This Row],[DATA DE PAGAMENTO]],"mmmm")))),"")</f>
        <v/>
      </c>
      <c r="Y692" s="523" t="str">
        <f>IFERROR(VLOOKUP(LANÇ_MOV[[#This Row],[PLANO DE CONTAS]],Plano_Contas[[PLANO DE CONTAS]:[NOMES INTERVALOS]],2,0),"")</f>
        <v/>
      </c>
      <c r="Z692" s="523" t="str">
        <f>IF(LANÇ_MOV[[#This Row],[FORMA DE PAGAMENTO]]="","",VLOOKUP(LANÇ_MOV[[#This Row],[FORMA DE PAGAMENTO]],CAD_Forma_pagto[],2,0))</f>
        <v/>
      </c>
      <c r="AA692" s="524" t="str">
        <f>IF(LANÇ_MOV[[#This Row],[DATA DE LANÇAMENTO]]="","",TEXT(LANÇ_MOV[[#This Row],[DATA DE LANÇAMENTO]],"AAAA"))</f>
        <v/>
      </c>
      <c r="AB692" s="524" t="str">
        <f>IF(LANÇ_MOV[[#This Row],[DATA DE LANÇAMENTO]]="","",UPPER(TEXT(LANÇ_MOV[[#This Row],[DATA DE LANÇAMENTO]],"MMMM")))</f>
        <v/>
      </c>
      <c r="AC692" s="525" t="str">
        <f>IF(LANÇ_MOV[[#This Row],[DATA DE LANÇAMENTO]]="","",PROPER(TEXT(LANÇ_MOV[[#This Row],[DATA DE LANÇAMENTO]],"M")))</f>
        <v/>
      </c>
      <c r="AD692" s="524" t="str">
        <f>IF(LANÇ_MOV[[#This Row],[DATA DE LANÇAMENTO]]="","",TEXT(LANÇ_MOV[[#This Row],[DATA DE LANÇAMENTO]],"D"))</f>
        <v/>
      </c>
      <c r="AE692" s="526" t="str">
        <f>IF(LANÇ_MOV[[#This Row],[DATA DE VENCIMENTO]]="","",TEXT(LANÇ_MOV[[#This Row],[DATA DE VENCIMENTO]],"AAAA"))</f>
        <v/>
      </c>
      <c r="AF692" s="526" t="str">
        <f>IF(LANÇ_MOV[[#This Row],[DATA DE VENCIMENTO]]="","",UPPER(TEXT(LANÇ_MOV[[#This Row],[DATA DE VENCIMENTO]],"MMMM")))</f>
        <v/>
      </c>
      <c r="AG692" s="526" t="str">
        <f>IF(LANÇ_MOV[[#This Row],[DATA DE VENCIMENTO]]="","",TEXT(LANÇ_MOV[[#This Row],[DATA DE VENCIMENTO]],"M"))</f>
        <v/>
      </c>
      <c r="AH692" s="526" t="str">
        <f>IF(LANÇ_MOV[[#This Row],[DATA DE VENCIMENTO]]="","",TEXT(LANÇ_MOV[[#This Row],[DATA DE VENCIMENTO]],"D"))</f>
        <v/>
      </c>
      <c r="AI692" s="526" t="str">
        <f>IF(LANÇ_MOV[[#This Row],[DATA DE PAGAMENTO]]="","",TEXT(LANÇ_MOV[[#This Row],[DATA DE PAGAMENTO]],"AAAA"))</f>
        <v/>
      </c>
      <c r="AJ692" s="527" t="str">
        <f>IF(LANÇ_MOV[[#This Row],[DATA DE PAGAMENTO]]="","",UPPER(TEXT(LANÇ_MOV[[#This Row],[DATA DE PAGAMENTO]],"MMMM")))</f>
        <v/>
      </c>
      <c r="AK692" s="527" t="str">
        <f>IF(LANÇ_MOV[[#This Row],[DATA DE PAGAMENTO]]="","",TEXT(LANÇ_MOV[[#This Row],[DATA DE PAGAMENTO]],"M"))</f>
        <v/>
      </c>
      <c r="AL692" s="526" t="str">
        <f>IF(LANÇ_MOV[[#This Row],[DATA DE PAGAMENTO]]="","",TEXT(LANÇ_MOV[[#This Row],[DATA DE PAGAMENTO]],"D"))</f>
        <v/>
      </c>
    </row>
    <row r="693" spans="2:38" ht="30.05" customHeight="1" x14ac:dyDescent="0.35">
      <c r="B693" s="506"/>
      <c r="C693" s="507"/>
      <c r="D693" s="508" t="s">
        <v>1854</v>
      </c>
      <c r="E693" s="509"/>
      <c r="F693" s="510"/>
      <c r="G693" s="507"/>
      <c r="H693" s="511"/>
      <c r="I693" s="512"/>
      <c r="J693" s="518"/>
      <c r="K693" s="510"/>
      <c r="L693" s="510"/>
      <c r="M693" s="548"/>
      <c r="N693" s="514">
        <f>LANÇ_MOV[[#This Row],[VALOR BRUTO]]-LANÇ_MOV[[#This Row],[DESCONTO]]+LANÇ_MOV[[#This Row],[JUROS]]+LANÇ_MOV[[#This Row],[MULTA]]</f>
        <v>0</v>
      </c>
      <c r="O693" s="546"/>
      <c r="P693" s="547" t="str">
        <f t="shared" ref="P693:P756" ca="1" si="11">IF(O693="","",IF(Q693&lt;&gt;"","Pago",IF(O693-TODAY()&gt;30,"Prazo - Mais de 1 mês",IF(O693=TODAY(),"Hoje",IF(O693&lt;TODAY(),"Venceu",IF(O693-TODAY()&lt;10,"Prazo - Menos de 10 dias",IF(O693-TODAY()&lt;15,"Prazo - Menos de 15 dias","Prazo - Menos de 1 Mês")))))))</f>
        <v/>
      </c>
      <c r="Q693" s="528"/>
      <c r="R693" s="529"/>
      <c r="S693" s="518"/>
      <c r="T693" s="518"/>
      <c r="U693" s="519"/>
      <c r="V693" s="520" t="str">
        <f>IFERROR(VLOOKUP(LANÇ_MOV[[#This Row],[PLANO DE CONTAS]],Plano_Contas[[PLANO DE CONTAS]:[R / D]],3,0),"")</f>
        <v/>
      </c>
      <c r="W693" s="521" t="str">
        <f>IF(LANÇ_MOV[[#This Row],[DATA DE PAGAMENTO]]&lt;&gt;"","Pago","Não Pago")</f>
        <v>Não Pago</v>
      </c>
      <c r="X693" s="522" t="str">
        <f>IFERROR(IF(LANÇ_MOV[[#This Row],[DATA DE PAGAMENTO]]="","",(UPPER(TEXT(LANÇ_MOV[[#This Row],[DATA DE PAGAMENTO]],"mmmm")))),"")</f>
        <v/>
      </c>
      <c r="Y693" s="523" t="str">
        <f>IFERROR(VLOOKUP(LANÇ_MOV[[#This Row],[PLANO DE CONTAS]],Plano_Contas[[PLANO DE CONTAS]:[NOMES INTERVALOS]],2,0),"")</f>
        <v/>
      </c>
      <c r="Z693" s="523" t="str">
        <f>IF(LANÇ_MOV[[#This Row],[FORMA DE PAGAMENTO]]="","",VLOOKUP(LANÇ_MOV[[#This Row],[FORMA DE PAGAMENTO]],CAD_Forma_pagto[],2,0))</f>
        <v/>
      </c>
      <c r="AA693" s="524" t="str">
        <f>IF(LANÇ_MOV[[#This Row],[DATA DE LANÇAMENTO]]="","",TEXT(LANÇ_MOV[[#This Row],[DATA DE LANÇAMENTO]],"AAAA"))</f>
        <v/>
      </c>
      <c r="AB693" s="524" t="str">
        <f>IF(LANÇ_MOV[[#This Row],[DATA DE LANÇAMENTO]]="","",UPPER(TEXT(LANÇ_MOV[[#This Row],[DATA DE LANÇAMENTO]],"MMMM")))</f>
        <v/>
      </c>
      <c r="AC693" s="525" t="str">
        <f>IF(LANÇ_MOV[[#This Row],[DATA DE LANÇAMENTO]]="","",PROPER(TEXT(LANÇ_MOV[[#This Row],[DATA DE LANÇAMENTO]],"M")))</f>
        <v/>
      </c>
      <c r="AD693" s="524" t="str">
        <f>IF(LANÇ_MOV[[#This Row],[DATA DE LANÇAMENTO]]="","",TEXT(LANÇ_MOV[[#This Row],[DATA DE LANÇAMENTO]],"D"))</f>
        <v/>
      </c>
      <c r="AE693" s="526" t="str">
        <f>IF(LANÇ_MOV[[#This Row],[DATA DE VENCIMENTO]]="","",TEXT(LANÇ_MOV[[#This Row],[DATA DE VENCIMENTO]],"AAAA"))</f>
        <v/>
      </c>
      <c r="AF693" s="526" t="str">
        <f>IF(LANÇ_MOV[[#This Row],[DATA DE VENCIMENTO]]="","",UPPER(TEXT(LANÇ_MOV[[#This Row],[DATA DE VENCIMENTO]],"MMMM")))</f>
        <v/>
      </c>
      <c r="AG693" s="526" t="str">
        <f>IF(LANÇ_MOV[[#This Row],[DATA DE VENCIMENTO]]="","",TEXT(LANÇ_MOV[[#This Row],[DATA DE VENCIMENTO]],"M"))</f>
        <v/>
      </c>
      <c r="AH693" s="526" t="str">
        <f>IF(LANÇ_MOV[[#This Row],[DATA DE VENCIMENTO]]="","",TEXT(LANÇ_MOV[[#This Row],[DATA DE VENCIMENTO]],"D"))</f>
        <v/>
      </c>
      <c r="AI693" s="526" t="str">
        <f>IF(LANÇ_MOV[[#This Row],[DATA DE PAGAMENTO]]="","",TEXT(LANÇ_MOV[[#This Row],[DATA DE PAGAMENTO]],"AAAA"))</f>
        <v/>
      </c>
      <c r="AJ693" s="527" t="str">
        <f>IF(LANÇ_MOV[[#This Row],[DATA DE PAGAMENTO]]="","",UPPER(TEXT(LANÇ_MOV[[#This Row],[DATA DE PAGAMENTO]],"MMMM")))</f>
        <v/>
      </c>
      <c r="AK693" s="527" t="str">
        <f>IF(LANÇ_MOV[[#This Row],[DATA DE PAGAMENTO]]="","",TEXT(LANÇ_MOV[[#This Row],[DATA DE PAGAMENTO]],"M"))</f>
        <v/>
      </c>
      <c r="AL693" s="526" t="str">
        <f>IF(LANÇ_MOV[[#This Row],[DATA DE PAGAMENTO]]="","",TEXT(LANÇ_MOV[[#This Row],[DATA DE PAGAMENTO]],"D"))</f>
        <v/>
      </c>
    </row>
    <row r="694" spans="2:38" ht="30.05" customHeight="1" x14ac:dyDescent="0.35">
      <c r="B694" s="506"/>
      <c r="C694" s="507"/>
      <c r="D694" s="508" t="s">
        <v>1854</v>
      </c>
      <c r="E694" s="509"/>
      <c r="F694" s="510"/>
      <c r="G694" s="507"/>
      <c r="H694" s="511"/>
      <c r="I694" s="512"/>
      <c r="J694" s="518"/>
      <c r="K694" s="510"/>
      <c r="L694" s="510"/>
      <c r="M694" s="548"/>
      <c r="N694" s="514">
        <f>LANÇ_MOV[[#This Row],[VALOR BRUTO]]-LANÇ_MOV[[#This Row],[DESCONTO]]+LANÇ_MOV[[#This Row],[JUROS]]+LANÇ_MOV[[#This Row],[MULTA]]</f>
        <v>0</v>
      </c>
      <c r="O694" s="546"/>
      <c r="P694" s="547" t="str">
        <f t="shared" ca="1" si="11"/>
        <v/>
      </c>
      <c r="Q694" s="528"/>
      <c r="R694" s="529"/>
      <c r="S694" s="518"/>
      <c r="T694" s="518"/>
      <c r="U694" s="519"/>
      <c r="V694" s="520" t="str">
        <f>IFERROR(VLOOKUP(LANÇ_MOV[[#This Row],[PLANO DE CONTAS]],Plano_Contas[[PLANO DE CONTAS]:[R / D]],3,0),"")</f>
        <v/>
      </c>
      <c r="W694" s="521" t="str">
        <f>IF(LANÇ_MOV[[#This Row],[DATA DE PAGAMENTO]]&lt;&gt;"","Pago","Não Pago")</f>
        <v>Não Pago</v>
      </c>
      <c r="X694" s="522" t="str">
        <f>IFERROR(IF(LANÇ_MOV[[#This Row],[DATA DE PAGAMENTO]]="","",(UPPER(TEXT(LANÇ_MOV[[#This Row],[DATA DE PAGAMENTO]],"mmmm")))),"")</f>
        <v/>
      </c>
      <c r="Y694" s="523" t="str">
        <f>IFERROR(VLOOKUP(LANÇ_MOV[[#This Row],[PLANO DE CONTAS]],Plano_Contas[[PLANO DE CONTAS]:[NOMES INTERVALOS]],2,0),"")</f>
        <v/>
      </c>
      <c r="Z694" s="523" t="str">
        <f>IF(LANÇ_MOV[[#This Row],[FORMA DE PAGAMENTO]]="","",VLOOKUP(LANÇ_MOV[[#This Row],[FORMA DE PAGAMENTO]],CAD_Forma_pagto[],2,0))</f>
        <v/>
      </c>
      <c r="AA694" s="524" t="str">
        <f>IF(LANÇ_MOV[[#This Row],[DATA DE LANÇAMENTO]]="","",TEXT(LANÇ_MOV[[#This Row],[DATA DE LANÇAMENTO]],"AAAA"))</f>
        <v/>
      </c>
      <c r="AB694" s="524" t="str">
        <f>IF(LANÇ_MOV[[#This Row],[DATA DE LANÇAMENTO]]="","",UPPER(TEXT(LANÇ_MOV[[#This Row],[DATA DE LANÇAMENTO]],"MMMM")))</f>
        <v/>
      </c>
      <c r="AC694" s="525" t="str">
        <f>IF(LANÇ_MOV[[#This Row],[DATA DE LANÇAMENTO]]="","",PROPER(TEXT(LANÇ_MOV[[#This Row],[DATA DE LANÇAMENTO]],"M")))</f>
        <v/>
      </c>
      <c r="AD694" s="524" t="str">
        <f>IF(LANÇ_MOV[[#This Row],[DATA DE LANÇAMENTO]]="","",TEXT(LANÇ_MOV[[#This Row],[DATA DE LANÇAMENTO]],"D"))</f>
        <v/>
      </c>
      <c r="AE694" s="526" t="str">
        <f>IF(LANÇ_MOV[[#This Row],[DATA DE VENCIMENTO]]="","",TEXT(LANÇ_MOV[[#This Row],[DATA DE VENCIMENTO]],"AAAA"))</f>
        <v/>
      </c>
      <c r="AF694" s="526" t="str">
        <f>IF(LANÇ_MOV[[#This Row],[DATA DE VENCIMENTO]]="","",UPPER(TEXT(LANÇ_MOV[[#This Row],[DATA DE VENCIMENTO]],"MMMM")))</f>
        <v/>
      </c>
      <c r="AG694" s="526" t="str">
        <f>IF(LANÇ_MOV[[#This Row],[DATA DE VENCIMENTO]]="","",TEXT(LANÇ_MOV[[#This Row],[DATA DE VENCIMENTO]],"M"))</f>
        <v/>
      </c>
      <c r="AH694" s="526" t="str">
        <f>IF(LANÇ_MOV[[#This Row],[DATA DE VENCIMENTO]]="","",TEXT(LANÇ_MOV[[#This Row],[DATA DE VENCIMENTO]],"D"))</f>
        <v/>
      </c>
      <c r="AI694" s="526" t="str">
        <f>IF(LANÇ_MOV[[#This Row],[DATA DE PAGAMENTO]]="","",TEXT(LANÇ_MOV[[#This Row],[DATA DE PAGAMENTO]],"AAAA"))</f>
        <v/>
      </c>
      <c r="AJ694" s="527" t="str">
        <f>IF(LANÇ_MOV[[#This Row],[DATA DE PAGAMENTO]]="","",UPPER(TEXT(LANÇ_MOV[[#This Row],[DATA DE PAGAMENTO]],"MMMM")))</f>
        <v/>
      </c>
      <c r="AK694" s="527" t="str">
        <f>IF(LANÇ_MOV[[#This Row],[DATA DE PAGAMENTO]]="","",TEXT(LANÇ_MOV[[#This Row],[DATA DE PAGAMENTO]],"M"))</f>
        <v/>
      </c>
      <c r="AL694" s="526" t="str">
        <f>IF(LANÇ_MOV[[#This Row],[DATA DE PAGAMENTO]]="","",TEXT(LANÇ_MOV[[#This Row],[DATA DE PAGAMENTO]],"D"))</f>
        <v/>
      </c>
    </row>
    <row r="695" spans="2:38" ht="30.05" customHeight="1" x14ac:dyDescent="0.35">
      <c r="B695" s="506"/>
      <c r="C695" s="507"/>
      <c r="D695" s="508" t="s">
        <v>1854</v>
      </c>
      <c r="E695" s="509"/>
      <c r="F695" s="510"/>
      <c r="G695" s="507"/>
      <c r="H695" s="511"/>
      <c r="I695" s="512"/>
      <c r="J695" s="518"/>
      <c r="K695" s="510"/>
      <c r="L695" s="510"/>
      <c r="M695" s="548"/>
      <c r="N695" s="514">
        <f>LANÇ_MOV[[#This Row],[VALOR BRUTO]]-LANÇ_MOV[[#This Row],[DESCONTO]]+LANÇ_MOV[[#This Row],[JUROS]]+LANÇ_MOV[[#This Row],[MULTA]]</f>
        <v>0</v>
      </c>
      <c r="O695" s="546"/>
      <c r="P695" s="547" t="str">
        <f t="shared" ca="1" si="11"/>
        <v/>
      </c>
      <c r="Q695" s="528"/>
      <c r="R695" s="529"/>
      <c r="S695" s="518"/>
      <c r="T695" s="518"/>
      <c r="U695" s="519"/>
      <c r="V695" s="520" t="str">
        <f>IFERROR(VLOOKUP(LANÇ_MOV[[#This Row],[PLANO DE CONTAS]],Plano_Contas[[PLANO DE CONTAS]:[R / D]],3,0),"")</f>
        <v/>
      </c>
      <c r="W695" s="521" t="str">
        <f>IF(LANÇ_MOV[[#This Row],[DATA DE PAGAMENTO]]&lt;&gt;"","Pago","Não Pago")</f>
        <v>Não Pago</v>
      </c>
      <c r="X695" s="522" t="str">
        <f>IFERROR(IF(LANÇ_MOV[[#This Row],[DATA DE PAGAMENTO]]="","",(UPPER(TEXT(LANÇ_MOV[[#This Row],[DATA DE PAGAMENTO]],"mmmm")))),"")</f>
        <v/>
      </c>
      <c r="Y695" s="523" t="str">
        <f>IFERROR(VLOOKUP(LANÇ_MOV[[#This Row],[PLANO DE CONTAS]],Plano_Contas[[PLANO DE CONTAS]:[NOMES INTERVALOS]],2,0),"")</f>
        <v/>
      </c>
      <c r="Z695" s="523" t="str">
        <f>IF(LANÇ_MOV[[#This Row],[FORMA DE PAGAMENTO]]="","",VLOOKUP(LANÇ_MOV[[#This Row],[FORMA DE PAGAMENTO]],CAD_Forma_pagto[],2,0))</f>
        <v/>
      </c>
      <c r="AA695" s="524" t="str">
        <f>IF(LANÇ_MOV[[#This Row],[DATA DE LANÇAMENTO]]="","",TEXT(LANÇ_MOV[[#This Row],[DATA DE LANÇAMENTO]],"AAAA"))</f>
        <v/>
      </c>
      <c r="AB695" s="524" t="str">
        <f>IF(LANÇ_MOV[[#This Row],[DATA DE LANÇAMENTO]]="","",UPPER(TEXT(LANÇ_MOV[[#This Row],[DATA DE LANÇAMENTO]],"MMMM")))</f>
        <v/>
      </c>
      <c r="AC695" s="525" t="str">
        <f>IF(LANÇ_MOV[[#This Row],[DATA DE LANÇAMENTO]]="","",PROPER(TEXT(LANÇ_MOV[[#This Row],[DATA DE LANÇAMENTO]],"M")))</f>
        <v/>
      </c>
      <c r="AD695" s="524" t="str">
        <f>IF(LANÇ_MOV[[#This Row],[DATA DE LANÇAMENTO]]="","",TEXT(LANÇ_MOV[[#This Row],[DATA DE LANÇAMENTO]],"D"))</f>
        <v/>
      </c>
      <c r="AE695" s="526" t="str">
        <f>IF(LANÇ_MOV[[#This Row],[DATA DE VENCIMENTO]]="","",TEXT(LANÇ_MOV[[#This Row],[DATA DE VENCIMENTO]],"AAAA"))</f>
        <v/>
      </c>
      <c r="AF695" s="526" t="str">
        <f>IF(LANÇ_MOV[[#This Row],[DATA DE VENCIMENTO]]="","",UPPER(TEXT(LANÇ_MOV[[#This Row],[DATA DE VENCIMENTO]],"MMMM")))</f>
        <v/>
      </c>
      <c r="AG695" s="526" t="str">
        <f>IF(LANÇ_MOV[[#This Row],[DATA DE VENCIMENTO]]="","",TEXT(LANÇ_MOV[[#This Row],[DATA DE VENCIMENTO]],"M"))</f>
        <v/>
      </c>
      <c r="AH695" s="526" t="str">
        <f>IF(LANÇ_MOV[[#This Row],[DATA DE VENCIMENTO]]="","",TEXT(LANÇ_MOV[[#This Row],[DATA DE VENCIMENTO]],"D"))</f>
        <v/>
      </c>
      <c r="AI695" s="526" t="str">
        <f>IF(LANÇ_MOV[[#This Row],[DATA DE PAGAMENTO]]="","",TEXT(LANÇ_MOV[[#This Row],[DATA DE PAGAMENTO]],"AAAA"))</f>
        <v/>
      </c>
      <c r="AJ695" s="527" t="str">
        <f>IF(LANÇ_MOV[[#This Row],[DATA DE PAGAMENTO]]="","",UPPER(TEXT(LANÇ_MOV[[#This Row],[DATA DE PAGAMENTO]],"MMMM")))</f>
        <v/>
      </c>
      <c r="AK695" s="527" t="str">
        <f>IF(LANÇ_MOV[[#This Row],[DATA DE PAGAMENTO]]="","",TEXT(LANÇ_MOV[[#This Row],[DATA DE PAGAMENTO]],"M"))</f>
        <v/>
      </c>
      <c r="AL695" s="526" t="str">
        <f>IF(LANÇ_MOV[[#This Row],[DATA DE PAGAMENTO]]="","",TEXT(LANÇ_MOV[[#This Row],[DATA DE PAGAMENTO]],"D"))</f>
        <v/>
      </c>
    </row>
    <row r="696" spans="2:38" ht="30.05" customHeight="1" x14ac:dyDescent="0.35">
      <c r="B696" s="506"/>
      <c r="C696" s="507"/>
      <c r="D696" s="508" t="s">
        <v>1854</v>
      </c>
      <c r="E696" s="509"/>
      <c r="F696" s="510"/>
      <c r="G696" s="507"/>
      <c r="H696" s="511"/>
      <c r="I696" s="512"/>
      <c r="J696" s="518"/>
      <c r="K696" s="510"/>
      <c r="L696" s="510"/>
      <c r="M696" s="548"/>
      <c r="N696" s="514">
        <f>LANÇ_MOV[[#This Row],[VALOR BRUTO]]-LANÇ_MOV[[#This Row],[DESCONTO]]+LANÇ_MOV[[#This Row],[JUROS]]+LANÇ_MOV[[#This Row],[MULTA]]</f>
        <v>0</v>
      </c>
      <c r="O696" s="546"/>
      <c r="P696" s="547" t="str">
        <f t="shared" ca="1" si="11"/>
        <v/>
      </c>
      <c r="Q696" s="528"/>
      <c r="R696" s="529"/>
      <c r="S696" s="518"/>
      <c r="T696" s="518"/>
      <c r="U696" s="519"/>
      <c r="V696" s="520" t="str">
        <f>IFERROR(VLOOKUP(LANÇ_MOV[[#This Row],[PLANO DE CONTAS]],Plano_Contas[[PLANO DE CONTAS]:[R / D]],3,0),"")</f>
        <v/>
      </c>
      <c r="W696" s="521" t="str">
        <f>IF(LANÇ_MOV[[#This Row],[DATA DE PAGAMENTO]]&lt;&gt;"","Pago","Não Pago")</f>
        <v>Não Pago</v>
      </c>
      <c r="X696" s="522" t="str">
        <f>IFERROR(IF(LANÇ_MOV[[#This Row],[DATA DE PAGAMENTO]]="","",(UPPER(TEXT(LANÇ_MOV[[#This Row],[DATA DE PAGAMENTO]],"mmmm")))),"")</f>
        <v/>
      </c>
      <c r="Y696" s="523" t="str">
        <f>IFERROR(VLOOKUP(LANÇ_MOV[[#This Row],[PLANO DE CONTAS]],Plano_Contas[[PLANO DE CONTAS]:[NOMES INTERVALOS]],2,0),"")</f>
        <v/>
      </c>
      <c r="Z696" s="523" t="str">
        <f>IF(LANÇ_MOV[[#This Row],[FORMA DE PAGAMENTO]]="","",VLOOKUP(LANÇ_MOV[[#This Row],[FORMA DE PAGAMENTO]],CAD_Forma_pagto[],2,0))</f>
        <v/>
      </c>
      <c r="AA696" s="524" t="str">
        <f>IF(LANÇ_MOV[[#This Row],[DATA DE LANÇAMENTO]]="","",TEXT(LANÇ_MOV[[#This Row],[DATA DE LANÇAMENTO]],"AAAA"))</f>
        <v/>
      </c>
      <c r="AB696" s="524" t="str">
        <f>IF(LANÇ_MOV[[#This Row],[DATA DE LANÇAMENTO]]="","",UPPER(TEXT(LANÇ_MOV[[#This Row],[DATA DE LANÇAMENTO]],"MMMM")))</f>
        <v/>
      </c>
      <c r="AC696" s="525" t="str">
        <f>IF(LANÇ_MOV[[#This Row],[DATA DE LANÇAMENTO]]="","",PROPER(TEXT(LANÇ_MOV[[#This Row],[DATA DE LANÇAMENTO]],"M")))</f>
        <v/>
      </c>
      <c r="AD696" s="524" t="str">
        <f>IF(LANÇ_MOV[[#This Row],[DATA DE LANÇAMENTO]]="","",TEXT(LANÇ_MOV[[#This Row],[DATA DE LANÇAMENTO]],"D"))</f>
        <v/>
      </c>
      <c r="AE696" s="526" t="str">
        <f>IF(LANÇ_MOV[[#This Row],[DATA DE VENCIMENTO]]="","",TEXT(LANÇ_MOV[[#This Row],[DATA DE VENCIMENTO]],"AAAA"))</f>
        <v/>
      </c>
      <c r="AF696" s="526" t="str">
        <f>IF(LANÇ_MOV[[#This Row],[DATA DE VENCIMENTO]]="","",UPPER(TEXT(LANÇ_MOV[[#This Row],[DATA DE VENCIMENTO]],"MMMM")))</f>
        <v/>
      </c>
      <c r="AG696" s="526" t="str">
        <f>IF(LANÇ_MOV[[#This Row],[DATA DE VENCIMENTO]]="","",TEXT(LANÇ_MOV[[#This Row],[DATA DE VENCIMENTO]],"M"))</f>
        <v/>
      </c>
      <c r="AH696" s="526" t="str">
        <f>IF(LANÇ_MOV[[#This Row],[DATA DE VENCIMENTO]]="","",TEXT(LANÇ_MOV[[#This Row],[DATA DE VENCIMENTO]],"D"))</f>
        <v/>
      </c>
      <c r="AI696" s="526" t="str">
        <f>IF(LANÇ_MOV[[#This Row],[DATA DE PAGAMENTO]]="","",TEXT(LANÇ_MOV[[#This Row],[DATA DE PAGAMENTO]],"AAAA"))</f>
        <v/>
      </c>
      <c r="AJ696" s="527" t="str">
        <f>IF(LANÇ_MOV[[#This Row],[DATA DE PAGAMENTO]]="","",UPPER(TEXT(LANÇ_MOV[[#This Row],[DATA DE PAGAMENTO]],"MMMM")))</f>
        <v/>
      </c>
      <c r="AK696" s="527" t="str">
        <f>IF(LANÇ_MOV[[#This Row],[DATA DE PAGAMENTO]]="","",TEXT(LANÇ_MOV[[#This Row],[DATA DE PAGAMENTO]],"M"))</f>
        <v/>
      </c>
      <c r="AL696" s="526" t="str">
        <f>IF(LANÇ_MOV[[#This Row],[DATA DE PAGAMENTO]]="","",TEXT(LANÇ_MOV[[#This Row],[DATA DE PAGAMENTO]],"D"))</f>
        <v/>
      </c>
    </row>
    <row r="697" spans="2:38" ht="30.05" customHeight="1" x14ac:dyDescent="0.35">
      <c r="B697" s="506"/>
      <c r="C697" s="507"/>
      <c r="D697" s="508" t="s">
        <v>1854</v>
      </c>
      <c r="E697" s="509"/>
      <c r="F697" s="510"/>
      <c r="G697" s="507"/>
      <c r="H697" s="511"/>
      <c r="I697" s="512"/>
      <c r="J697" s="518"/>
      <c r="K697" s="510"/>
      <c r="L697" s="510"/>
      <c r="M697" s="548"/>
      <c r="N697" s="514">
        <f>LANÇ_MOV[[#This Row],[VALOR BRUTO]]-LANÇ_MOV[[#This Row],[DESCONTO]]+LANÇ_MOV[[#This Row],[JUROS]]+LANÇ_MOV[[#This Row],[MULTA]]</f>
        <v>0</v>
      </c>
      <c r="O697" s="546"/>
      <c r="P697" s="547" t="str">
        <f t="shared" ca="1" si="11"/>
        <v/>
      </c>
      <c r="Q697" s="528"/>
      <c r="R697" s="529"/>
      <c r="S697" s="518"/>
      <c r="T697" s="518"/>
      <c r="U697" s="519"/>
      <c r="V697" s="520" t="str">
        <f>IFERROR(VLOOKUP(LANÇ_MOV[[#This Row],[PLANO DE CONTAS]],Plano_Contas[[PLANO DE CONTAS]:[R / D]],3,0),"")</f>
        <v/>
      </c>
      <c r="W697" s="521" t="str">
        <f>IF(LANÇ_MOV[[#This Row],[DATA DE PAGAMENTO]]&lt;&gt;"","Pago","Não Pago")</f>
        <v>Não Pago</v>
      </c>
      <c r="X697" s="522" t="str">
        <f>IFERROR(IF(LANÇ_MOV[[#This Row],[DATA DE PAGAMENTO]]="","",(UPPER(TEXT(LANÇ_MOV[[#This Row],[DATA DE PAGAMENTO]],"mmmm")))),"")</f>
        <v/>
      </c>
      <c r="Y697" s="523" t="str">
        <f>IFERROR(VLOOKUP(LANÇ_MOV[[#This Row],[PLANO DE CONTAS]],Plano_Contas[[PLANO DE CONTAS]:[NOMES INTERVALOS]],2,0),"")</f>
        <v/>
      </c>
      <c r="Z697" s="523" t="str">
        <f>IF(LANÇ_MOV[[#This Row],[FORMA DE PAGAMENTO]]="","",VLOOKUP(LANÇ_MOV[[#This Row],[FORMA DE PAGAMENTO]],CAD_Forma_pagto[],2,0))</f>
        <v/>
      </c>
      <c r="AA697" s="524" t="str">
        <f>IF(LANÇ_MOV[[#This Row],[DATA DE LANÇAMENTO]]="","",TEXT(LANÇ_MOV[[#This Row],[DATA DE LANÇAMENTO]],"AAAA"))</f>
        <v/>
      </c>
      <c r="AB697" s="524" t="str">
        <f>IF(LANÇ_MOV[[#This Row],[DATA DE LANÇAMENTO]]="","",UPPER(TEXT(LANÇ_MOV[[#This Row],[DATA DE LANÇAMENTO]],"MMMM")))</f>
        <v/>
      </c>
      <c r="AC697" s="525" t="str">
        <f>IF(LANÇ_MOV[[#This Row],[DATA DE LANÇAMENTO]]="","",PROPER(TEXT(LANÇ_MOV[[#This Row],[DATA DE LANÇAMENTO]],"M")))</f>
        <v/>
      </c>
      <c r="AD697" s="524" t="str">
        <f>IF(LANÇ_MOV[[#This Row],[DATA DE LANÇAMENTO]]="","",TEXT(LANÇ_MOV[[#This Row],[DATA DE LANÇAMENTO]],"D"))</f>
        <v/>
      </c>
      <c r="AE697" s="526" t="str">
        <f>IF(LANÇ_MOV[[#This Row],[DATA DE VENCIMENTO]]="","",TEXT(LANÇ_MOV[[#This Row],[DATA DE VENCIMENTO]],"AAAA"))</f>
        <v/>
      </c>
      <c r="AF697" s="526" t="str">
        <f>IF(LANÇ_MOV[[#This Row],[DATA DE VENCIMENTO]]="","",UPPER(TEXT(LANÇ_MOV[[#This Row],[DATA DE VENCIMENTO]],"MMMM")))</f>
        <v/>
      </c>
      <c r="AG697" s="526" t="str">
        <f>IF(LANÇ_MOV[[#This Row],[DATA DE VENCIMENTO]]="","",TEXT(LANÇ_MOV[[#This Row],[DATA DE VENCIMENTO]],"M"))</f>
        <v/>
      </c>
      <c r="AH697" s="526" t="str">
        <f>IF(LANÇ_MOV[[#This Row],[DATA DE VENCIMENTO]]="","",TEXT(LANÇ_MOV[[#This Row],[DATA DE VENCIMENTO]],"D"))</f>
        <v/>
      </c>
      <c r="AI697" s="526" t="str">
        <f>IF(LANÇ_MOV[[#This Row],[DATA DE PAGAMENTO]]="","",TEXT(LANÇ_MOV[[#This Row],[DATA DE PAGAMENTO]],"AAAA"))</f>
        <v/>
      </c>
      <c r="AJ697" s="527" t="str">
        <f>IF(LANÇ_MOV[[#This Row],[DATA DE PAGAMENTO]]="","",UPPER(TEXT(LANÇ_MOV[[#This Row],[DATA DE PAGAMENTO]],"MMMM")))</f>
        <v/>
      </c>
      <c r="AK697" s="527" t="str">
        <f>IF(LANÇ_MOV[[#This Row],[DATA DE PAGAMENTO]]="","",TEXT(LANÇ_MOV[[#This Row],[DATA DE PAGAMENTO]],"M"))</f>
        <v/>
      </c>
      <c r="AL697" s="526" t="str">
        <f>IF(LANÇ_MOV[[#This Row],[DATA DE PAGAMENTO]]="","",TEXT(LANÇ_MOV[[#This Row],[DATA DE PAGAMENTO]],"D"))</f>
        <v/>
      </c>
    </row>
    <row r="698" spans="2:38" ht="30.05" customHeight="1" x14ac:dyDescent="0.35">
      <c r="B698" s="506"/>
      <c r="C698" s="507"/>
      <c r="D698" s="508" t="s">
        <v>1854</v>
      </c>
      <c r="E698" s="509"/>
      <c r="F698" s="510"/>
      <c r="G698" s="507"/>
      <c r="H698" s="511"/>
      <c r="I698" s="512"/>
      <c r="J698" s="518"/>
      <c r="K698" s="510"/>
      <c r="L698" s="510"/>
      <c r="M698" s="548"/>
      <c r="N698" s="514">
        <f>LANÇ_MOV[[#This Row],[VALOR BRUTO]]-LANÇ_MOV[[#This Row],[DESCONTO]]+LANÇ_MOV[[#This Row],[JUROS]]+LANÇ_MOV[[#This Row],[MULTA]]</f>
        <v>0</v>
      </c>
      <c r="O698" s="546"/>
      <c r="P698" s="547" t="str">
        <f t="shared" ca="1" si="11"/>
        <v/>
      </c>
      <c r="Q698" s="528"/>
      <c r="R698" s="529"/>
      <c r="S698" s="518"/>
      <c r="T698" s="518"/>
      <c r="U698" s="519"/>
      <c r="V698" s="520" t="str">
        <f>IFERROR(VLOOKUP(LANÇ_MOV[[#This Row],[PLANO DE CONTAS]],Plano_Contas[[PLANO DE CONTAS]:[R / D]],3,0),"")</f>
        <v/>
      </c>
      <c r="W698" s="521" t="str">
        <f>IF(LANÇ_MOV[[#This Row],[DATA DE PAGAMENTO]]&lt;&gt;"","Pago","Não Pago")</f>
        <v>Não Pago</v>
      </c>
      <c r="X698" s="522" t="str">
        <f>IFERROR(IF(LANÇ_MOV[[#This Row],[DATA DE PAGAMENTO]]="","",(UPPER(TEXT(LANÇ_MOV[[#This Row],[DATA DE PAGAMENTO]],"mmmm")))),"")</f>
        <v/>
      </c>
      <c r="Y698" s="523" t="str">
        <f>IFERROR(VLOOKUP(LANÇ_MOV[[#This Row],[PLANO DE CONTAS]],Plano_Contas[[PLANO DE CONTAS]:[NOMES INTERVALOS]],2,0),"")</f>
        <v/>
      </c>
      <c r="Z698" s="523" t="str">
        <f>IF(LANÇ_MOV[[#This Row],[FORMA DE PAGAMENTO]]="","",VLOOKUP(LANÇ_MOV[[#This Row],[FORMA DE PAGAMENTO]],CAD_Forma_pagto[],2,0))</f>
        <v/>
      </c>
      <c r="AA698" s="524" t="str">
        <f>IF(LANÇ_MOV[[#This Row],[DATA DE LANÇAMENTO]]="","",TEXT(LANÇ_MOV[[#This Row],[DATA DE LANÇAMENTO]],"AAAA"))</f>
        <v/>
      </c>
      <c r="AB698" s="524" t="str">
        <f>IF(LANÇ_MOV[[#This Row],[DATA DE LANÇAMENTO]]="","",UPPER(TEXT(LANÇ_MOV[[#This Row],[DATA DE LANÇAMENTO]],"MMMM")))</f>
        <v/>
      </c>
      <c r="AC698" s="525" t="str">
        <f>IF(LANÇ_MOV[[#This Row],[DATA DE LANÇAMENTO]]="","",PROPER(TEXT(LANÇ_MOV[[#This Row],[DATA DE LANÇAMENTO]],"M")))</f>
        <v/>
      </c>
      <c r="AD698" s="524" t="str">
        <f>IF(LANÇ_MOV[[#This Row],[DATA DE LANÇAMENTO]]="","",TEXT(LANÇ_MOV[[#This Row],[DATA DE LANÇAMENTO]],"D"))</f>
        <v/>
      </c>
      <c r="AE698" s="526" t="str">
        <f>IF(LANÇ_MOV[[#This Row],[DATA DE VENCIMENTO]]="","",TEXT(LANÇ_MOV[[#This Row],[DATA DE VENCIMENTO]],"AAAA"))</f>
        <v/>
      </c>
      <c r="AF698" s="526" t="str">
        <f>IF(LANÇ_MOV[[#This Row],[DATA DE VENCIMENTO]]="","",UPPER(TEXT(LANÇ_MOV[[#This Row],[DATA DE VENCIMENTO]],"MMMM")))</f>
        <v/>
      </c>
      <c r="AG698" s="526" t="str">
        <f>IF(LANÇ_MOV[[#This Row],[DATA DE VENCIMENTO]]="","",TEXT(LANÇ_MOV[[#This Row],[DATA DE VENCIMENTO]],"M"))</f>
        <v/>
      </c>
      <c r="AH698" s="526" t="str">
        <f>IF(LANÇ_MOV[[#This Row],[DATA DE VENCIMENTO]]="","",TEXT(LANÇ_MOV[[#This Row],[DATA DE VENCIMENTO]],"D"))</f>
        <v/>
      </c>
      <c r="AI698" s="526" t="str">
        <f>IF(LANÇ_MOV[[#This Row],[DATA DE PAGAMENTO]]="","",TEXT(LANÇ_MOV[[#This Row],[DATA DE PAGAMENTO]],"AAAA"))</f>
        <v/>
      </c>
      <c r="AJ698" s="527" t="str">
        <f>IF(LANÇ_MOV[[#This Row],[DATA DE PAGAMENTO]]="","",UPPER(TEXT(LANÇ_MOV[[#This Row],[DATA DE PAGAMENTO]],"MMMM")))</f>
        <v/>
      </c>
      <c r="AK698" s="527" t="str">
        <f>IF(LANÇ_MOV[[#This Row],[DATA DE PAGAMENTO]]="","",TEXT(LANÇ_MOV[[#This Row],[DATA DE PAGAMENTO]],"M"))</f>
        <v/>
      </c>
      <c r="AL698" s="526" t="str">
        <f>IF(LANÇ_MOV[[#This Row],[DATA DE PAGAMENTO]]="","",TEXT(LANÇ_MOV[[#This Row],[DATA DE PAGAMENTO]],"D"))</f>
        <v/>
      </c>
    </row>
    <row r="699" spans="2:38" ht="30.05" customHeight="1" x14ac:dyDescent="0.35">
      <c r="B699" s="506"/>
      <c r="C699" s="507"/>
      <c r="D699" s="508" t="s">
        <v>1854</v>
      </c>
      <c r="E699" s="509"/>
      <c r="F699" s="510"/>
      <c r="G699" s="507"/>
      <c r="H699" s="511"/>
      <c r="I699" s="512"/>
      <c r="J699" s="518"/>
      <c r="K699" s="510"/>
      <c r="L699" s="510"/>
      <c r="M699" s="548"/>
      <c r="N699" s="514">
        <f>LANÇ_MOV[[#This Row],[VALOR BRUTO]]-LANÇ_MOV[[#This Row],[DESCONTO]]+LANÇ_MOV[[#This Row],[JUROS]]+LANÇ_MOV[[#This Row],[MULTA]]</f>
        <v>0</v>
      </c>
      <c r="O699" s="546"/>
      <c r="P699" s="547" t="str">
        <f t="shared" ca="1" si="11"/>
        <v/>
      </c>
      <c r="Q699" s="528"/>
      <c r="R699" s="529"/>
      <c r="S699" s="518"/>
      <c r="T699" s="518"/>
      <c r="U699" s="519"/>
      <c r="V699" s="520" t="str">
        <f>IFERROR(VLOOKUP(LANÇ_MOV[[#This Row],[PLANO DE CONTAS]],Plano_Contas[[PLANO DE CONTAS]:[R / D]],3,0),"")</f>
        <v/>
      </c>
      <c r="W699" s="521" t="str">
        <f>IF(LANÇ_MOV[[#This Row],[DATA DE PAGAMENTO]]&lt;&gt;"","Pago","Não Pago")</f>
        <v>Não Pago</v>
      </c>
      <c r="X699" s="522" t="str">
        <f>IFERROR(IF(LANÇ_MOV[[#This Row],[DATA DE PAGAMENTO]]="","",(UPPER(TEXT(LANÇ_MOV[[#This Row],[DATA DE PAGAMENTO]],"mmmm")))),"")</f>
        <v/>
      </c>
      <c r="Y699" s="523" t="str">
        <f>IFERROR(VLOOKUP(LANÇ_MOV[[#This Row],[PLANO DE CONTAS]],Plano_Contas[[PLANO DE CONTAS]:[NOMES INTERVALOS]],2,0),"")</f>
        <v/>
      </c>
      <c r="Z699" s="523" t="str">
        <f>IF(LANÇ_MOV[[#This Row],[FORMA DE PAGAMENTO]]="","",VLOOKUP(LANÇ_MOV[[#This Row],[FORMA DE PAGAMENTO]],CAD_Forma_pagto[],2,0))</f>
        <v/>
      </c>
      <c r="AA699" s="524" t="str">
        <f>IF(LANÇ_MOV[[#This Row],[DATA DE LANÇAMENTO]]="","",TEXT(LANÇ_MOV[[#This Row],[DATA DE LANÇAMENTO]],"AAAA"))</f>
        <v/>
      </c>
      <c r="AB699" s="524" t="str">
        <f>IF(LANÇ_MOV[[#This Row],[DATA DE LANÇAMENTO]]="","",UPPER(TEXT(LANÇ_MOV[[#This Row],[DATA DE LANÇAMENTO]],"MMMM")))</f>
        <v/>
      </c>
      <c r="AC699" s="525" t="str">
        <f>IF(LANÇ_MOV[[#This Row],[DATA DE LANÇAMENTO]]="","",PROPER(TEXT(LANÇ_MOV[[#This Row],[DATA DE LANÇAMENTO]],"M")))</f>
        <v/>
      </c>
      <c r="AD699" s="524" t="str">
        <f>IF(LANÇ_MOV[[#This Row],[DATA DE LANÇAMENTO]]="","",TEXT(LANÇ_MOV[[#This Row],[DATA DE LANÇAMENTO]],"D"))</f>
        <v/>
      </c>
      <c r="AE699" s="526" t="str">
        <f>IF(LANÇ_MOV[[#This Row],[DATA DE VENCIMENTO]]="","",TEXT(LANÇ_MOV[[#This Row],[DATA DE VENCIMENTO]],"AAAA"))</f>
        <v/>
      </c>
      <c r="AF699" s="526" t="str">
        <f>IF(LANÇ_MOV[[#This Row],[DATA DE VENCIMENTO]]="","",UPPER(TEXT(LANÇ_MOV[[#This Row],[DATA DE VENCIMENTO]],"MMMM")))</f>
        <v/>
      </c>
      <c r="AG699" s="526" t="str">
        <f>IF(LANÇ_MOV[[#This Row],[DATA DE VENCIMENTO]]="","",TEXT(LANÇ_MOV[[#This Row],[DATA DE VENCIMENTO]],"M"))</f>
        <v/>
      </c>
      <c r="AH699" s="526" t="str">
        <f>IF(LANÇ_MOV[[#This Row],[DATA DE VENCIMENTO]]="","",TEXT(LANÇ_MOV[[#This Row],[DATA DE VENCIMENTO]],"D"))</f>
        <v/>
      </c>
      <c r="AI699" s="526" t="str">
        <f>IF(LANÇ_MOV[[#This Row],[DATA DE PAGAMENTO]]="","",TEXT(LANÇ_MOV[[#This Row],[DATA DE PAGAMENTO]],"AAAA"))</f>
        <v/>
      </c>
      <c r="AJ699" s="527" t="str">
        <f>IF(LANÇ_MOV[[#This Row],[DATA DE PAGAMENTO]]="","",UPPER(TEXT(LANÇ_MOV[[#This Row],[DATA DE PAGAMENTO]],"MMMM")))</f>
        <v/>
      </c>
      <c r="AK699" s="527" t="str">
        <f>IF(LANÇ_MOV[[#This Row],[DATA DE PAGAMENTO]]="","",TEXT(LANÇ_MOV[[#This Row],[DATA DE PAGAMENTO]],"M"))</f>
        <v/>
      </c>
      <c r="AL699" s="526" t="str">
        <f>IF(LANÇ_MOV[[#This Row],[DATA DE PAGAMENTO]]="","",TEXT(LANÇ_MOV[[#This Row],[DATA DE PAGAMENTO]],"D"))</f>
        <v/>
      </c>
    </row>
    <row r="700" spans="2:38" ht="30.05" customHeight="1" x14ac:dyDescent="0.35">
      <c r="B700" s="506"/>
      <c r="C700" s="507"/>
      <c r="D700" s="508" t="s">
        <v>1854</v>
      </c>
      <c r="E700" s="509"/>
      <c r="F700" s="510"/>
      <c r="G700" s="507"/>
      <c r="H700" s="511"/>
      <c r="I700" s="512"/>
      <c r="J700" s="518"/>
      <c r="K700" s="510"/>
      <c r="L700" s="510"/>
      <c r="M700" s="548"/>
      <c r="N700" s="514">
        <f>LANÇ_MOV[[#This Row],[VALOR BRUTO]]-LANÇ_MOV[[#This Row],[DESCONTO]]+LANÇ_MOV[[#This Row],[JUROS]]+LANÇ_MOV[[#This Row],[MULTA]]</f>
        <v>0</v>
      </c>
      <c r="O700" s="546"/>
      <c r="P700" s="547" t="str">
        <f t="shared" ca="1" si="11"/>
        <v/>
      </c>
      <c r="Q700" s="528"/>
      <c r="R700" s="529"/>
      <c r="S700" s="518"/>
      <c r="T700" s="518"/>
      <c r="U700" s="519"/>
      <c r="V700" s="520" t="str">
        <f>IFERROR(VLOOKUP(LANÇ_MOV[[#This Row],[PLANO DE CONTAS]],Plano_Contas[[PLANO DE CONTAS]:[R / D]],3,0),"")</f>
        <v/>
      </c>
      <c r="W700" s="521" t="str">
        <f>IF(LANÇ_MOV[[#This Row],[DATA DE PAGAMENTO]]&lt;&gt;"","Pago","Não Pago")</f>
        <v>Não Pago</v>
      </c>
      <c r="X700" s="522" t="str">
        <f>IFERROR(IF(LANÇ_MOV[[#This Row],[DATA DE PAGAMENTO]]="","",(UPPER(TEXT(LANÇ_MOV[[#This Row],[DATA DE PAGAMENTO]],"mmmm")))),"")</f>
        <v/>
      </c>
      <c r="Y700" s="523" t="str">
        <f>IFERROR(VLOOKUP(LANÇ_MOV[[#This Row],[PLANO DE CONTAS]],Plano_Contas[[PLANO DE CONTAS]:[NOMES INTERVALOS]],2,0),"")</f>
        <v/>
      </c>
      <c r="Z700" s="523" t="str">
        <f>IF(LANÇ_MOV[[#This Row],[FORMA DE PAGAMENTO]]="","",VLOOKUP(LANÇ_MOV[[#This Row],[FORMA DE PAGAMENTO]],CAD_Forma_pagto[],2,0))</f>
        <v/>
      </c>
      <c r="AA700" s="524" t="str">
        <f>IF(LANÇ_MOV[[#This Row],[DATA DE LANÇAMENTO]]="","",TEXT(LANÇ_MOV[[#This Row],[DATA DE LANÇAMENTO]],"AAAA"))</f>
        <v/>
      </c>
      <c r="AB700" s="524" t="str">
        <f>IF(LANÇ_MOV[[#This Row],[DATA DE LANÇAMENTO]]="","",UPPER(TEXT(LANÇ_MOV[[#This Row],[DATA DE LANÇAMENTO]],"MMMM")))</f>
        <v/>
      </c>
      <c r="AC700" s="525" t="str">
        <f>IF(LANÇ_MOV[[#This Row],[DATA DE LANÇAMENTO]]="","",PROPER(TEXT(LANÇ_MOV[[#This Row],[DATA DE LANÇAMENTO]],"M")))</f>
        <v/>
      </c>
      <c r="AD700" s="524" t="str">
        <f>IF(LANÇ_MOV[[#This Row],[DATA DE LANÇAMENTO]]="","",TEXT(LANÇ_MOV[[#This Row],[DATA DE LANÇAMENTO]],"D"))</f>
        <v/>
      </c>
      <c r="AE700" s="526" t="str">
        <f>IF(LANÇ_MOV[[#This Row],[DATA DE VENCIMENTO]]="","",TEXT(LANÇ_MOV[[#This Row],[DATA DE VENCIMENTO]],"AAAA"))</f>
        <v/>
      </c>
      <c r="AF700" s="526" t="str">
        <f>IF(LANÇ_MOV[[#This Row],[DATA DE VENCIMENTO]]="","",UPPER(TEXT(LANÇ_MOV[[#This Row],[DATA DE VENCIMENTO]],"MMMM")))</f>
        <v/>
      </c>
      <c r="AG700" s="526" t="str">
        <f>IF(LANÇ_MOV[[#This Row],[DATA DE VENCIMENTO]]="","",TEXT(LANÇ_MOV[[#This Row],[DATA DE VENCIMENTO]],"M"))</f>
        <v/>
      </c>
      <c r="AH700" s="526" t="str">
        <f>IF(LANÇ_MOV[[#This Row],[DATA DE VENCIMENTO]]="","",TEXT(LANÇ_MOV[[#This Row],[DATA DE VENCIMENTO]],"D"))</f>
        <v/>
      </c>
      <c r="AI700" s="526" t="str">
        <f>IF(LANÇ_MOV[[#This Row],[DATA DE PAGAMENTO]]="","",TEXT(LANÇ_MOV[[#This Row],[DATA DE PAGAMENTO]],"AAAA"))</f>
        <v/>
      </c>
      <c r="AJ700" s="527" t="str">
        <f>IF(LANÇ_MOV[[#This Row],[DATA DE PAGAMENTO]]="","",UPPER(TEXT(LANÇ_MOV[[#This Row],[DATA DE PAGAMENTO]],"MMMM")))</f>
        <v/>
      </c>
      <c r="AK700" s="527" t="str">
        <f>IF(LANÇ_MOV[[#This Row],[DATA DE PAGAMENTO]]="","",TEXT(LANÇ_MOV[[#This Row],[DATA DE PAGAMENTO]],"M"))</f>
        <v/>
      </c>
      <c r="AL700" s="526" t="str">
        <f>IF(LANÇ_MOV[[#This Row],[DATA DE PAGAMENTO]]="","",TEXT(LANÇ_MOV[[#This Row],[DATA DE PAGAMENTO]],"D"))</f>
        <v/>
      </c>
    </row>
    <row r="701" spans="2:38" ht="30.05" customHeight="1" x14ac:dyDescent="0.35">
      <c r="B701" s="506"/>
      <c r="C701" s="507"/>
      <c r="D701" s="508" t="s">
        <v>1854</v>
      </c>
      <c r="E701" s="509"/>
      <c r="F701" s="510"/>
      <c r="G701" s="507"/>
      <c r="H701" s="511"/>
      <c r="I701" s="512"/>
      <c r="J701" s="518"/>
      <c r="K701" s="510"/>
      <c r="L701" s="510"/>
      <c r="M701" s="548"/>
      <c r="N701" s="514">
        <f>LANÇ_MOV[[#This Row],[VALOR BRUTO]]-LANÇ_MOV[[#This Row],[DESCONTO]]+LANÇ_MOV[[#This Row],[JUROS]]+LANÇ_MOV[[#This Row],[MULTA]]</f>
        <v>0</v>
      </c>
      <c r="O701" s="546"/>
      <c r="P701" s="547" t="str">
        <f t="shared" ca="1" si="11"/>
        <v/>
      </c>
      <c r="Q701" s="528"/>
      <c r="R701" s="529"/>
      <c r="S701" s="518"/>
      <c r="T701" s="518"/>
      <c r="U701" s="519"/>
      <c r="V701" s="520" t="str">
        <f>IFERROR(VLOOKUP(LANÇ_MOV[[#This Row],[PLANO DE CONTAS]],Plano_Contas[[PLANO DE CONTAS]:[R / D]],3,0),"")</f>
        <v/>
      </c>
      <c r="W701" s="521" t="str">
        <f>IF(LANÇ_MOV[[#This Row],[DATA DE PAGAMENTO]]&lt;&gt;"","Pago","Não Pago")</f>
        <v>Não Pago</v>
      </c>
      <c r="X701" s="522" t="str">
        <f>IFERROR(IF(LANÇ_MOV[[#This Row],[DATA DE PAGAMENTO]]="","",(UPPER(TEXT(LANÇ_MOV[[#This Row],[DATA DE PAGAMENTO]],"mmmm")))),"")</f>
        <v/>
      </c>
      <c r="Y701" s="523" t="str">
        <f>IFERROR(VLOOKUP(LANÇ_MOV[[#This Row],[PLANO DE CONTAS]],Plano_Contas[[PLANO DE CONTAS]:[NOMES INTERVALOS]],2,0),"")</f>
        <v/>
      </c>
      <c r="Z701" s="523" t="str">
        <f>IF(LANÇ_MOV[[#This Row],[FORMA DE PAGAMENTO]]="","",VLOOKUP(LANÇ_MOV[[#This Row],[FORMA DE PAGAMENTO]],CAD_Forma_pagto[],2,0))</f>
        <v/>
      </c>
      <c r="AA701" s="524" t="str">
        <f>IF(LANÇ_MOV[[#This Row],[DATA DE LANÇAMENTO]]="","",TEXT(LANÇ_MOV[[#This Row],[DATA DE LANÇAMENTO]],"AAAA"))</f>
        <v/>
      </c>
      <c r="AB701" s="524" t="str">
        <f>IF(LANÇ_MOV[[#This Row],[DATA DE LANÇAMENTO]]="","",UPPER(TEXT(LANÇ_MOV[[#This Row],[DATA DE LANÇAMENTO]],"MMMM")))</f>
        <v/>
      </c>
      <c r="AC701" s="525" t="str">
        <f>IF(LANÇ_MOV[[#This Row],[DATA DE LANÇAMENTO]]="","",PROPER(TEXT(LANÇ_MOV[[#This Row],[DATA DE LANÇAMENTO]],"M")))</f>
        <v/>
      </c>
      <c r="AD701" s="524" t="str">
        <f>IF(LANÇ_MOV[[#This Row],[DATA DE LANÇAMENTO]]="","",TEXT(LANÇ_MOV[[#This Row],[DATA DE LANÇAMENTO]],"D"))</f>
        <v/>
      </c>
      <c r="AE701" s="526" t="str">
        <f>IF(LANÇ_MOV[[#This Row],[DATA DE VENCIMENTO]]="","",TEXT(LANÇ_MOV[[#This Row],[DATA DE VENCIMENTO]],"AAAA"))</f>
        <v/>
      </c>
      <c r="AF701" s="526" t="str">
        <f>IF(LANÇ_MOV[[#This Row],[DATA DE VENCIMENTO]]="","",UPPER(TEXT(LANÇ_MOV[[#This Row],[DATA DE VENCIMENTO]],"MMMM")))</f>
        <v/>
      </c>
      <c r="AG701" s="526" t="str">
        <f>IF(LANÇ_MOV[[#This Row],[DATA DE VENCIMENTO]]="","",TEXT(LANÇ_MOV[[#This Row],[DATA DE VENCIMENTO]],"M"))</f>
        <v/>
      </c>
      <c r="AH701" s="526" t="str">
        <f>IF(LANÇ_MOV[[#This Row],[DATA DE VENCIMENTO]]="","",TEXT(LANÇ_MOV[[#This Row],[DATA DE VENCIMENTO]],"D"))</f>
        <v/>
      </c>
      <c r="AI701" s="526" t="str">
        <f>IF(LANÇ_MOV[[#This Row],[DATA DE PAGAMENTO]]="","",TEXT(LANÇ_MOV[[#This Row],[DATA DE PAGAMENTO]],"AAAA"))</f>
        <v/>
      </c>
      <c r="AJ701" s="527" t="str">
        <f>IF(LANÇ_MOV[[#This Row],[DATA DE PAGAMENTO]]="","",UPPER(TEXT(LANÇ_MOV[[#This Row],[DATA DE PAGAMENTO]],"MMMM")))</f>
        <v/>
      </c>
      <c r="AK701" s="527" t="str">
        <f>IF(LANÇ_MOV[[#This Row],[DATA DE PAGAMENTO]]="","",TEXT(LANÇ_MOV[[#This Row],[DATA DE PAGAMENTO]],"M"))</f>
        <v/>
      </c>
      <c r="AL701" s="526" t="str">
        <f>IF(LANÇ_MOV[[#This Row],[DATA DE PAGAMENTO]]="","",TEXT(LANÇ_MOV[[#This Row],[DATA DE PAGAMENTO]],"D"))</f>
        <v/>
      </c>
    </row>
    <row r="702" spans="2:38" ht="30.05" customHeight="1" x14ac:dyDescent="0.35">
      <c r="B702" s="506"/>
      <c r="C702" s="507"/>
      <c r="D702" s="508" t="s">
        <v>1854</v>
      </c>
      <c r="E702" s="509"/>
      <c r="F702" s="510"/>
      <c r="G702" s="507"/>
      <c r="H702" s="511"/>
      <c r="I702" s="512"/>
      <c r="J702" s="518"/>
      <c r="K702" s="510"/>
      <c r="L702" s="510"/>
      <c r="M702" s="548"/>
      <c r="N702" s="514">
        <f>LANÇ_MOV[[#This Row],[VALOR BRUTO]]-LANÇ_MOV[[#This Row],[DESCONTO]]+LANÇ_MOV[[#This Row],[JUROS]]+LANÇ_MOV[[#This Row],[MULTA]]</f>
        <v>0</v>
      </c>
      <c r="O702" s="546"/>
      <c r="P702" s="547" t="str">
        <f t="shared" ca="1" si="11"/>
        <v/>
      </c>
      <c r="Q702" s="528"/>
      <c r="R702" s="529"/>
      <c r="S702" s="518"/>
      <c r="T702" s="518"/>
      <c r="U702" s="519"/>
      <c r="V702" s="520" t="str">
        <f>IFERROR(VLOOKUP(LANÇ_MOV[[#This Row],[PLANO DE CONTAS]],Plano_Contas[[PLANO DE CONTAS]:[R / D]],3,0),"")</f>
        <v/>
      </c>
      <c r="W702" s="521" t="str">
        <f>IF(LANÇ_MOV[[#This Row],[DATA DE PAGAMENTO]]&lt;&gt;"","Pago","Não Pago")</f>
        <v>Não Pago</v>
      </c>
      <c r="X702" s="522" t="str">
        <f>IFERROR(IF(LANÇ_MOV[[#This Row],[DATA DE PAGAMENTO]]="","",(UPPER(TEXT(LANÇ_MOV[[#This Row],[DATA DE PAGAMENTO]],"mmmm")))),"")</f>
        <v/>
      </c>
      <c r="Y702" s="523" t="str">
        <f>IFERROR(VLOOKUP(LANÇ_MOV[[#This Row],[PLANO DE CONTAS]],Plano_Contas[[PLANO DE CONTAS]:[NOMES INTERVALOS]],2,0),"")</f>
        <v/>
      </c>
      <c r="Z702" s="523" t="str">
        <f>IF(LANÇ_MOV[[#This Row],[FORMA DE PAGAMENTO]]="","",VLOOKUP(LANÇ_MOV[[#This Row],[FORMA DE PAGAMENTO]],CAD_Forma_pagto[],2,0))</f>
        <v/>
      </c>
      <c r="AA702" s="524" t="str">
        <f>IF(LANÇ_MOV[[#This Row],[DATA DE LANÇAMENTO]]="","",TEXT(LANÇ_MOV[[#This Row],[DATA DE LANÇAMENTO]],"AAAA"))</f>
        <v/>
      </c>
      <c r="AB702" s="524" t="str">
        <f>IF(LANÇ_MOV[[#This Row],[DATA DE LANÇAMENTO]]="","",UPPER(TEXT(LANÇ_MOV[[#This Row],[DATA DE LANÇAMENTO]],"MMMM")))</f>
        <v/>
      </c>
      <c r="AC702" s="525" t="str">
        <f>IF(LANÇ_MOV[[#This Row],[DATA DE LANÇAMENTO]]="","",PROPER(TEXT(LANÇ_MOV[[#This Row],[DATA DE LANÇAMENTO]],"M")))</f>
        <v/>
      </c>
      <c r="AD702" s="524" t="str">
        <f>IF(LANÇ_MOV[[#This Row],[DATA DE LANÇAMENTO]]="","",TEXT(LANÇ_MOV[[#This Row],[DATA DE LANÇAMENTO]],"D"))</f>
        <v/>
      </c>
      <c r="AE702" s="526" t="str">
        <f>IF(LANÇ_MOV[[#This Row],[DATA DE VENCIMENTO]]="","",TEXT(LANÇ_MOV[[#This Row],[DATA DE VENCIMENTO]],"AAAA"))</f>
        <v/>
      </c>
      <c r="AF702" s="526" t="str">
        <f>IF(LANÇ_MOV[[#This Row],[DATA DE VENCIMENTO]]="","",UPPER(TEXT(LANÇ_MOV[[#This Row],[DATA DE VENCIMENTO]],"MMMM")))</f>
        <v/>
      </c>
      <c r="AG702" s="526" t="str">
        <f>IF(LANÇ_MOV[[#This Row],[DATA DE VENCIMENTO]]="","",TEXT(LANÇ_MOV[[#This Row],[DATA DE VENCIMENTO]],"M"))</f>
        <v/>
      </c>
      <c r="AH702" s="526" t="str">
        <f>IF(LANÇ_MOV[[#This Row],[DATA DE VENCIMENTO]]="","",TEXT(LANÇ_MOV[[#This Row],[DATA DE VENCIMENTO]],"D"))</f>
        <v/>
      </c>
      <c r="AI702" s="526" t="str">
        <f>IF(LANÇ_MOV[[#This Row],[DATA DE PAGAMENTO]]="","",TEXT(LANÇ_MOV[[#This Row],[DATA DE PAGAMENTO]],"AAAA"))</f>
        <v/>
      </c>
      <c r="AJ702" s="527" t="str">
        <f>IF(LANÇ_MOV[[#This Row],[DATA DE PAGAMENTO]]="","",UPPER(TEXT(LANÇ_MOV[[#This Row],[DATA DE PAGAMENTO]],"MMMM")))</f>
        <v/>
      </c>
      <c r="AK702" s="527" t="str">
        <f>IF(LANÇ_MOV[[#This Row],[DATA DE PAGAMENTO]]="","",TEXT(LANÇ_MOV[[#This Row],[DATA DE PAGAMENTO]],"M"))</f>
        <v/>
      </c>
      <c r="AL702" s="526" t="str">
        <f>IF(LANÇ_MOV[[#This Row],[DATA DE PAGAMENTO]]="","",TEXT(LANÇ_MOV[[#This Row],[DATA DE PAGAMENTO]],"D"))</f>
        <v/>
      </c>
    </row>
    <row r="703" spans="2:38" ht="30.05" customHeight="1" x14ac:dyDescent="0.35">
      <c r="B703" s="506"/>
      <c r="C703" s="507"/>
      <c r="D703" s="508" t="s">
        <v>1854</v>
      </c>
      <c r="E703" s="509"/>
      <c r="F703" s="510"/>
      <c r="G703" s="507"/>
      <c r="H703" s="511"/>
      <c r="I703" s="512"/>
      <c r="J703" s="518"/>
      <c r="K703" s="510"/>
      <c r="L703" s="510"/>
      <c r="M703" s="548"/>
      <c r="N703" s="514">
        <f>LANÇ_MOV[[#This Row],[VALOR BRUTO]]-LANÇ_MOV[[#This Row],[DESCONTO]]+LANÇ_MOV[[#This Row],[JUROS]]+LANÇ_MOV[[#This Row],[MULTA]]</f>
        <v>0</v>
      </c>
      <c r="O703" s="546"/>
      <c r="P703" s="547" t="str">
        <f t="shared" ca="1" si="11"/>
        <v/>
      </c>
      <c r="Q703" s="528"/>
      <c r="R703" s="529"/>
      <c r="S703" s="518"/>
      <c r="T703" s="518"/>
      <c r="U703" s="519"/>
      <c r="V703" s="520" t="str">
        <f>IFERROR(VLOOKUP(LANÇ_MOV[[#This Row],[PLANO DE CONTAS]],Plano_Contas[[PLANO DE CONTAS]:[R / D]],3,0),"")</f>
        <v/>
      </c>
      <c r="W703" s="521" t="str">
        <f>IF(LANÇ_MOV[[#This Row],[DATA DE PAGAMENTO]]&lt;&gt;"","Pago","Não Pago")</f>
        <v>Não Pago</v>
      </c>
      <c r="X703" s="522" t="str">
        <f>IFERROR(IF(LANÇ_MOV[[#This Row],[DATA DE PAGAMENTO]]="","",(UPPER(TEXT(LANÇ_MOV[[#This Row],[DATA DE PAGAMENTO]],"mmmm")))),"")</f>
        <v/>
      </c>
      <c r="Y703" s="523" t="str">
        <f>IFERROR(VLOOKUP(LANÇ_MOV[[#This Row],[PLANO DE CONTAS]],Plano_Contas[[PLANO DE CONTAS]:[NOMES INTERVALOS]],2,0),"")</f>
        <v/>
      </c>
      <c r="Z703" s="523" t="str">
        <f>IF(LANÇ_MOV[[#This Row],[FORMA DE PAGAMENTO]]="","",VLOOKUP(LANÇ_MOV[[#This Row],[FORMA DE PAGAMENTO]],CAD_Forma_pagto[],2,0))</f>
        <v/>
      </c>
      <c r="AA703" s="524" t="str">
        <f>IF(LANÇ_MOV[[#This Row],[DATA DE LANÇAMENTO]]="","",TEXT(LANÇ_MOV[[#This Row],[DATA DE LANÇAMENTO]],"AAAA"))</f>
        <v/>
      </c>
      <c r="AB703" s="524" t="str">
        <f>IF(LANÇ_MOV[[#This Row],[DATA DE LANÇAMENTO]]="","",UPPER(TEXT(LANÇ_MOV[[#This Row],[DATA DE LANÇAMENTO]],"MMMM")))</f>
        <v/>
      </c>
      <c r="AC703" s="525" t="str">
        <f>IF(LANÇ_MOV[[#This Row],[DATA DE LANÇAMENTO]]="","",PROPER(TEXT(LANÇ_MOV[[#This Row],[DATA DE LANÇAMENTO]],"M")))</f>
        <v/>
      </c>
      <c r="AD703" s="524" t="str">
        <f>IF(LANÇ_MOV[[#This Row],[DATA DE LANÇAMENTO]]="","",TEXT(LANÇ_MOV[[#This Row],[DATA DE LANÇAMENTO]],"D"))</f>
        <v/>
      </c>
      <c r="AE703" s="526" t="str">
        <f>IF(LANÇ_MOV[[#This Row],[DATA DE VENCIMENTO]]="","",TEXT(LANÇ_MOV[[#This Row],[DATA DE VENCIMENTO]],"AAAA"))</f>
        <v/>
      </c>
      <c r="AF703" s="526" t="str">
        <f>IF(LANÇ_MOV[[#This Row],[DATA DE VENCIMENTO]]="","",UPPER(TEXT(LANÇ_MOV[[#This Row],[DATA DE VENCIMENTO]],"MMMM")))</f>
        <v/>
      </c>
      <c r="AG703" s="526" t="str">
        <f>IF(LANÇ_MOV[[#This Row],[DATA DE VENCIMENTO]]="","",TEXT(LANÇ_MOV[[#This Row],[DATA DE VENCIMENTO]],"M"))</f>
        <v/>
      </c>
      <c r="AH703" s="526" t="str">
        <f>IF(LANÇ_MOV[[#This Row],[DATA DE VENCIMENTO]]="","",TEXT(LANÇ_MOV[[#This Row],[DATA DE VENCIMENTO]],"D"))</f>
        <v/>
      </c>
      <c r="AI703" s="526" t="str">
        <f>IF(LANÇ_MOV[[#This Row],[DATA DE PAGAMENTO]]="","",TEXT(LANÇ_MOV[[#This Row],[DATA DE PAGAMENTO]],"AAAA"))</f>
        <v/>
      </c>
      <c r="AJ703" s="527" t="str">
        <f>IF(LANÇ_MOV[[#This Row],[DATA DE PAGAMENTO]]="","",UPPER(TEXT(LANÇ_MOV[[#This Row],[DATA DE PAGAMENTO]],"MMMM")))</f>
        <v/>
      </c>
      <c r="AK703" s="527" t="str">
        <f>IF(LANÇ_MOV[[#This Row],[DATA DE PAGAMENTO]]="","",TEXT(LANÇ_MOV[[#This Row],[DATA DE PAGAMENTO]],"M"))</f>
        <v/>
      </c>
      <c r="AL703" s="526" t="str">
        <f>IF(LANÇ_MOV[[#This Row],[DATA DE PAGAMENTO]]="","",TEXT(LANÇ_MOV[[#This Row],[DATA DE PAGAMENTO]],"D"))</f>
        <v/>
      </c>
    </row>
    <row r="704" spans="2:38" ht="30.05" customHeight="1" x14ac:dyDescent="0.35">
      <c r="B704" s="506"/>
      <c r="C704" s="507"/>
      <c r="D704" s="508" t="s">
        <v>1854</v>
      </c>
      <c r="E704" s="509"/>
      <c r="F704" s="510"/>
      <c r="G704" s="507"/>
      <c r="H704" s="511"/>
      <c r="I704" s="512"/>
      <c r="J704" s="518"/>
      <c r="K704" s="510"/>
      <c r="L704" s="510"/>
      <c r="M704" s="548"/>
      <c r="N704" s="514">
        <f>LANÇ_MOV[[#This Row],[VALOR BRUTO]]-LANÇ_MOV[[#This Row],[DESCONTO]]+LANÇ_MOV[[#This Row],[JUROS]]+LANÇ_MOV[[#This Row],[MULTA]]</f>
        <v>0</v>
      </c>
      <c r="O704" s="546"/>
      <c r="P704" s="547" t="str">
        <f t="shared" ca="1" si="11"/>
        <v/>
      </c>
      <c r="Q704" s="528"/>
      <c r="R704" s="529"/>
      <c r="S704" s="518"/>
      <c r="T704" s="518"/>
      <c r="U704" s="519"/>
      <c r="V704" s="520" t="str">
        <f>IFERROR(VLOOKUP(LANÇ_MOV[[#This Row],[PLANO DE CONTAS]],Plano_Contas[[PLANO DE CONTAS]:[R / D]],3,0),"")</f>
        <v/>
      </c>
      <c r="W704" s="521" t="str">
        <f>IF(LANÇ_MOV[[#This Row],[DATA DE PAGAMENTO]]&lt;&gt;"","Pago","Não Pago")</f>
        <v>Não Pago</v>
      </c>
      <c r="X704" s="522" t="str">
        <f>IFERROR(IF(LANÇ_MOV[[#This Row],[DATA DE PAGAMENTO]]="","",(UPPER(TEXT(LANÇ_MOV[[#This Row],[DATA DE PAGAMENTO]],"mmmm")))),"")</f>
        <v/>
      </c>
      <c r="Y704" s="523" t="str">
        <f>IFERROR(VLOOKUP(LANÇ_MOV[[#This Row],[PLANO DE CONTAS]],Plano_Contas[[PLANO DE CONTAS]:[NOMES INTERVALOS]],2,0),"")</f>
        <v/>
      </c>
      <c r="Z704" s="523" t="str">
        <f>IF(LANÇ_MOV[[#This Row],[FORMA DE PAGAMENTO]]="","",VLOOKUP(LANÇ_MOV[[#This Row],[FORMA DE PAGAMENTO]],CAD_Forma_pagto[],2,0))</f>
        <v/>
      </c>
      <c r="AA704" s="524" t="str">
        <f>IF(LANÇ_MOV[[#This Row],[DATA DE LANÇAMENTO]]="","",TEXT(LANÇ_MOV[[#This Row],[DATA DE LANÇAMENTO]],"AAAA"))</f>
        <v/>
      </c>
      <c r="AB704" s="524" t="str">
        <f>IF(LANÇ_MOV[[#This Row],[DATA DE LANÇAMENTO]]="","",UPPER(TEXT(LANÇ_MOV[[#This Row],[DATA DE LANÇAMENTO]],"MMMM")))</f>
        <v/>
      </c>
      <c r="AC704" s="525" t="str">
        <f>IF(LANÇ_MOV[[#This Row],[DATA DE LANÇAMENTO]]="","",PROPER(TEXT(LANÇ_MOV[[#This Row],[DATA DE LANÇAMENTO]],"M")))</f>
        <v/>
      </c>
      <c r="AD704" s="524" t="str">
        <f>IF(LANÇ_MOV[[#This Row],[DATA DE LANÇAMENTO]]="","",TEXT(LANÇ_MOV[[#This Row],[DATA DE LANÇAMENTO]],"D"))</f>
        <v/>
      </c>
      <c r="AE704" s="526" t="str">
        <f>IF(LANÇ_MOV[[#This Row],[DATA DE VENCIMENTO]]="","",TEXT(LANÇ_MOV[[#This Row],[DATA DE VENCIMENTO]],"AAAA"))</f>
        <v/>
      </c>
      <c r="AF704" s="526" t="str">
        <f>IF(LANÇ_MOV[[#This Row],[DATA DE VENCIMENTO]]="","",UPPER(TEXT(LANÇ_MOV[[#This Row],[DATA DE VENCIMENTO]],"MMMM")))</f>
        <v/>
      </c>
      <c r="AG704" s="526" t="str">
        <f>IF(LANÇ_MOV[[#This Row],[DATA DE VENCIMENTO]]="","",TEXT(LANÇ_MOV[[#This Row],[DATA DE VENCIMENTO]],"M"))</f>
        <v/>
      </c>
      <c r="AH704" s="526" t="str">
        <f>IF(LANÇ_MOV[[#This Row],[DATA DE VENCIMENTO]]="","",TEXT(LANÇ_MOV[[#This Row],[DATA DE VENCIMENTO]],"D"))</f>
        <v/>
      </c>
      <c r="AI704" s="526" t="str">
        <f>IF(LANÇ_MOV[[#This Row],[DATA DE PAGAMENTO]]="","",TEXT(LANÇ_MOV[[#This Row],[DATA DE PAGAMENTO]],"AAAA"))</f>
        <v/>
      </c>
      <c r="AJ704" s="527" t="str">
        <f>IF(LANÇ_MOV[[#This Row],[DATA DE PAGAMENTO]]="","",UPPER(TEXT(LANÇ_MOV[[#This Row],[DATA DE PAGAMENTO]],"MMMM")))</f>
        <v/>
      </c>
      <c r="AK704" s="527" t="str">
        <f>IF(LANÇ_MOV[[#This Row],[DATA DE PAGAMENTO]]="","",TEXT(LANÇ_MOV[[#This Row],[DATA DE PAGAMENTO]],"M"))</f>
        <v/>
      </c>
      <c r="AL704" s="526" t="str">
        <f>IF(LANÇ_MOV[[#This Row],[DATA DE PAGAMENTO]]="","",TEXT(LANÇ_MOV[[#This Row],[DATA DE PAGAMENTO]],"D"))</f>
        <v/>
      </c>
    </row>
    <row r="705" spans="2:38" ht="30.05" customHeight="1" x14ac:dyDescent="0.35">
      <c r="B705" s="506"/>
      <c r="C705" s="507"/>
      <c r="D705" s="508" t="s">
        <v>1854</v>
      </c>
      <c r="E705" s="509"/>
      <c r="F705" s="510"/>
      <c r="G705" s="507"/>
      <c r="H705" s="511"/>
      <c r="I705" s="512"/>
      <c r="J705" s="518"/>
      <c r="K705" s="510"/>
      <c r="L705" s="510"/>
      <c r="M705" s="548"/>
      <c r="N705" s="514">
        <f>LANÇ_MOV[[#This Row],[VALOR BRUTO]]-LANÇ_MOV[[#This Row],[DESCONTO]]+LANÇ_MOV[[#This Row],[JUROS]]+LANÇ_MOV[[#This Row],[MULTA]]</f>
        <v>0</v>
      </c>
      <c r="O705" s="546"/>
      <c r="P705" s="547" t="str">
        <f t="shared" ca="1" si="11"/>
        <v/>
      </c>
      <c r="Q705" s="528"/>
      <c r="R705" s="529"/>
      <c r="S705" s="518"/>
      <c r="T705" s="518"/>
      <c r="U705" s="519"/>
      <c r="V705" s="520" t="str">
        <f>IFERROR(VLOOKUP(LANÇ_MOV[[#This Row],[PLANO DE CONTAS]],Plano_Contas[[PLANO DE CONTAS]:[R / D]],3,0),"")</f>
        <v/>
      </c>
      <c r="W705" s="521" t="str">
        <f>IF(LANÇ_MOV[[#This Row],[DATA DE PAGAMENTO]]&lt;&gt;"","Pago","Não Pago")</f>
        <v>Não Pago</v>
      </c>
      <c r="X705" s="522" t="str">
        <f>IFERROR(IF(LANÇ_MOV[[#This Row],[DATA DE PAGAMENTO]]="","",(UPPER(TEXT(LANÇ_MOV[[#This Row],[DATA DE PAGAMENTO]],"mmmm")))),"")</f>
        <v/>
      </c>
      <c r="Y705" s="523" t="str">
        <f>IFERROR(VLOOKUP(LANÇ_MOV[[#This Row],[PLANO DE CONTAS]],Plano_Contas[[PLANO DE CONTAS]:[NOMES INTERVALOS]],2,0),"")</f>
        <v/>
      </c>
      <c r="Z705" s="523" t="str">
        <f>IF(LANÇ_MOV[[#This Row],[FORMA DE PAGAMENTO]]="","",VLOOKUP(LANÇ_MOV[[#This Row],[FORMA DE PAGAMENTO]],CAD_Forma_pagto[],2,0))</f>
        <v/>
      </c>
      <c r="AA705" s="524" t="str">
        <f>IF(LANÇ_MOV[[#This Row],[DATA DE LANÇAMENTO]]="","",TEXT(LANÇ_MOV[[#This Row],[DATA DE LANÇAMENTO]],"AAAA"))</f>
        <v/>
      </c>
      <c r="AB705" s="524" t="str">
        <f>IF(LANÇ_MOV[[#This Row],[DATA DE LANÇAMENTO]]="","",UPPER(TEXT(LANÇ_MOV[[#This Row],[DATA DE LANÇAMENTO]],"MMMM")))</f>
        <v/>
      </c>
      <c r="AC705" s="525" t="str">
        <f>IF(LANÇ_MOV[[#This Row],[DATA DE LANÇAMENTO]]="","",PROPER(TEXT(LANÇ_MOV[[#This Row],[DATA DE LANÇAMENTO]],"M")))</f>
        <v/>
      </c>
      <c r="AD705" s="524" t="str">
        <f>IF(LANÇ_MOV[[#This Row],[DATA DE LANÇAMENTO]]="","",TEXT(LANÇ_MOV[[#This Row],[DATA DE LANÇAMENTO]],"D"))</f>
        <v/>
      </c>
      <c r="AE705" s="526" t="str">
        <f>IF(LANÇ_MOV[[#This Row],[DATA DE VENCIMENTO]]="","",TEXT(LANÇ_MOV[[#This Row],[DATA DE VENCIMENTO]],"AAAA"))</f>
        <v/>
      </c>
      <c r="AF705" s="526" t="str">
        <f>IF(LANÇ_MOV[[#This Row],[DATA DE VENCIMENTO]]="","",UPPER(TEXT(LANÇ_MOV[[#This Row],[DATA DE VENCIMENTO]],"MMMM")))</f>
        <v/>
      </c>
      <c r="AG705" s="526" t="str">
        <f>IF(LANÇ_MOV[[#This Row],[DATA DE VENCIMENTO]]="","",TEXT(LANÇ_MOV[[#This Row],[DATA DE VENCIMENTO]],"M"))</f>
        <v/>
      </c>
      <c r="AH705" s="526" t="str">
        <f>IF(LANÇ_MOV[[#This Row],[DATA DE VENCIMENTO]]="","",TEXT(LANÇ_MOV[[#This Row],[DATA DE VENCIMENTO]],"D"))</f>
        <v/>
      </c>
      <c r="AI705" s="526" t="str">
        <f>IF(LANÇ_MOV[[#This Row],[DATA DE PAGAMENTO]]="","",TEXT(LANÇ_MOV[[#This Row],[DATA DE PAGAMENTO]],"AAAA"))</f>
        <v/>
      </c>
      <c r="AJ705" s="527" t="str">
        <f>IF(LANÇ_MOV[[#This Row],[DATA DE PAGAMENTO]]="","",UPPER(TEXT(LANÇ_MOV[[#This Row],[DATA DE PAGAMENTO]],"MMMM")))</f>
        <v/>
      </c>
      <c r="AK705" s="527" t="str">
        <f>IF(LANÇ_MOV[[#This Row],[DATA DE PAGAMENTO]]="","",TEXT(LANÇ_MOV[[#This Row],[DATA DE PAGAMENTO]],"M"))</f>
        <v/>
      </c>
      <c r="AL705" s="526" t="str">
        <f>IF(LANÇ_MOV[[#This Row],[DATA DE PAGAMENTO]]="","",TEXT(LANÇ_MOV[[#This Row],[DATA DE PAGAMENTO]],"D"))</f>
        <v/>
      </c>
    </row>
    <row r="706" spans="2:38" ht="30.05" customHeight="1" x14ac:dyDescent="0.35">
      <c r="B706" s="506"/>
      <c r="C706" s="507"/>
      <c r="D706" s="508" t="s">
        <v>1854</v>
      </c>
      <c r="E706" s="509"/>
      <c r="F706" s="510"/>
      <c r="G706" s="507"/>
      <c r="H706" s="511"/>
      <c r="I706" s="512"/>
      <c r="J706" s="518"/>
      <c r="K706" s="510"/>
      <c r="L706" s="510"/>
      <c r="M706" s="548"/>
      <c r="N706" s="514">
        <f>LANÇ_MOV[[#This Row],[VALOR BRUTO]]-LANÇ_MOV[[#This Row],[DESCONTO]]+LANÇ_MOV[[#This Row],[JUROS]]+LANÇ_MOV[[#This Row],[MULTA]]</f>
        <v>0</v>
      </c>
      <c r="O706" s="546"/>
      <c r="P706" s="547" t="str">
        <f t="shared" ca="1" si="11"/>
        <v/>
      </c>
      <c r="Q706" s="528"/>
      <c r="R706" s="529"/>
      <c r="S706" s="518"/>
      <c r="T706" s="518"/>
      <c r="U706" s="519"/>
      <c r="V706" s="520" t="str">
        <f>IFERROR(VLOOKUP(LANÇ_MOV[[#This Row],[PLANO DE CONTAS]],Plano_Contas[[PLANO DE CONTAS]:[R / D]],3,0),"")</f>
        <v/>
      </c>
      <c r="W706" s="521" t="str">
        <f>IF(LANÇ_MOV[[#This Row],[DATA DE PAGAMENTO]]&lt;&gt;"","Pago","Não Pago")</f>
        <v>Não Pago</v>
      </c>
      <c r="X706" s="522" t="str">
        <f>IFERROR(IF(LANÇ_MOV[[#This Row],[DATA DE PAGAMENTO]]="","",(UPPER(TEXT(LANÇ_MOV[[#This Row],[DATA DE PAGAMENTO]],"mmmm")))),"")</f>
        <v/>
      </c>
      <c r="Y706" s="523" t="str">
        <f>IFERROR(VLOOKUP(LANÇ_MOV[[#This Row],[PLANO DE CONTAS]],Plano_Contas[[PLANO DE CONTAS]:[NOMES INTERVALOS]],2,0),"")</f>
        <v/>
      </c>
      <c r="Z706" s="523" t="str">
        <f>IF(LANÇ_MOV[[#This Row],[FORMA DE PAGAMENTO]]="","",VLOOKUP(LANÇ_MOV[[#This Row],[FORMA DE PAGAMENTO]],CAD_Forma_pagto[],2,0))</f>
        <v/>
      </c>
      <c r="AA706" s="524" t="str">
        <f>IF(LANÇ_MOV[[#This Row],[DATA DE LANÇAMENTO]]="","",TEXT(LANÇ_MOV[[#This Row],[DATA DE LANÇAMENTO]],"AAAA"))</f>
        <v/>
      </c>
      <c r="AB706" s="524" t="str">
        <f>IF(LANÇ_MOV[[#This Row],[DATA DE LANÇAMENTO]]="","",UPPER(TEXT(LANÇ_MOV[[#This Row],[DATA DE LANÇAMENTO]],"MMMM")))</f>
        <v/>
      </c>
      <c r="AC706" s="525" t="str">
        <f>IF(LANÇ_MOV[[#This Row],[DATA DE LANÇAMENTO]]="","",PROPER(TEXT(LANÇ_MOV[[#This Row],[DATA DE LANÇAMENTO]],"M")))</f>
        <v/>
      </c>
      <c r="AD706" s="524" t="str">
        <f>IF(LANÇ_MOV[[#This Row],[DATA DE LANÇAMENTO]]="","",TEXT(LANÇ_MOV[[#This Row],[DATA DE LANÇAMENTO]],"D"))</f>
        <v/>
      </c>
      <c r="AE706" s="526" t="str">
        <f>IF(LANÇ_MOV[[#This Row],[DATA DE VENCIMENTO]]="","",TEXT(LANÇ_MOV[[#This Row],[DATA DE VENCIMENTO]],"AAAA"))</f>
        <v/>
      </c>
      <c r="AF706" s="526" t="str">
        <f>IF(LANÇ_MOV[[#This Row],[DATA DE VENCIMENTO]]="","",UPPER(TEXT(LANÇ_MOV[[#This Row],[DATA DE VENCIMENTO]],"MMMM")))</f>
        <v/>
      </c>
      <c r="AG706" s="526" t="str">
        <f>IF(LANÇ_MOV[[#This Row],[DATA DE VENCIMENTO]]="","",TEXT(LANÇ_MOV[[#This Row],[DATA DE VENCIMENTO]],"M"))</f>
        <v/>
      </c>
      <c r="AH706" s="526" t="str">
        <f>IF(LANÇ_MOV[[#This Row],[DATA DE VENCIMENTO]]="","",TEXT(LANÇ_MOV[[#This Row],[DATA DE VENCIMENTO]],"D"))</f>
        <v/>
      </c>
      <c r="AI706" s="526" t="str">
        <f>IF(LANÇ_MOV[[#This Row],[DATA DE PAGAMENTO]]="","",TEXT(LANÇ_MOV[[#This Row],[DATA DE PAGAMENTO]],"AAAA"))</f>
        <v/>
      </c>
      <c r="AJ706" s="527" t="str">
        <f>IF(LANÇ_MOV[[#This Row],[DATA DE PAGAMENTO]]="","",UPPER(TEXT(LANÇ_MOV[[#This Row],[DATA DE PAGAMENTO]],"MMMM")))</f>
        <v/>
      </c>
      <c r="AK706" s="527" t="str">
        <f>IF(LANÇ_MOV[[#This Row],[DATA DE PAGAMENTO]]="","",TEXT(LANÇ_MOV[[#This Row],[DATA DE PAGAMENTO]],"M"))</f>
        <v/>
      </c>
      <c r="AL706" s="526" t="str">
        <f>IF(LANÇ_MOV[[#This Row],[DATA DE PAGAMENTO]]="","",TEXT(LANÇ_MOV[[#This Row],[DATA DE PAGAMENTO]],"D"))</f>
        <v/>
      </c>
    </row>
    <row r="707" spans="2:38" ht="30.05" customHeight="1" x14ac:dyDescent="0.35">
      <c r="B707" s="506"/>
      <c r="C707" s="507"/>
      <c r="D707" s="508" t="s">
        <v>1854</v>
      </c>
      <c r="E707" s="509"/>
      <c r="F707" s="510"/>
      <c r="G707" s="507"/>
      <c r="H707" s="511"/>
      <c r="I707" s="512"/>
      <c r="J707" s="518"/>
      <c r="K707" s="510"/>
      <c r="L707" s="510"/>
      <c r="M707" s="548"/>
      <c r="N707" s="514">
        <f>LANÇ_MOV[[#This Row],[VALOR BRUTO]]-LANÇ_MOV[[#This Row],[DESCONTO]]+LANÇ_MOV[[#This Row],[JUROS]]+LANÇ_MOV[[#This Row],[MULTA]]</f>
        <v>0</v>
      </c>
      <c r="O707" s="546"/>
      <c r="P707" s="547" t="str">
        <f t="shared" ca="1" si="11"/>
        <v/>
      </c>
      <c r="Q707" s="528"/>
      <c r="R707" s="529"/>
      <c r="S707" s="518"/>
      <c r="T707" s="518"/>
      <c r="U707" s="519"/>
      <c r="V707" s="520" t="str">
        <f>IFERROR(VLOOKUP(LANÇ_MOV[[#This Row],[PLANO DE CONTAS]],Plano_Contas[[PLANO DE CONTAS]:[R / D]],3,0),"")</f>
        <v/>
      </c>
      <c r="W707" s="521" t="str">
        <f>IF(LANÇ_MOV[[#This Row],[DATA DE PAGAMENTO]]&lt;&gt;"","Pago","Não Pago")</f>
        <v>Não Pago</v>
      </c>
      <c r="X707" s="522" t="str">
        <f>IFERROR(IF(LANÇ_MOV[[#This Row],[DATA DE PAGAMENTO]]="","",(UPPER(TEXT(LANÇ_MOV[[#This Row],[DATA DE PAGAMENTO]],"mmmm")))),"")</f>
        <v/>
      </c>
      <c r="Y707" s="523" t="str">
        <f>IFERROR(VLOOKUP(LANÇ_MOV[[#This Row],[PLANO DE CONTAS]],Plano_Contas[[PLANO DE CONTAS]:[NOMES INTERVALOS]],2,0),"")</f>
        <v/>
      </c>
      <c r="Z707" s="523" t="str">
        <f>IF(LANÇ_MOV[[#This Row],[FORMA DE PAGAMENTO]]="","",VLOOKUP(LANÇ_MOV[[#This Row],[FORMA DE PAGAMENTO]],CAD_Forma_pagto[],2,0))</f>
        <v/>
      </c>
      <c r="AA707" s="524" t="str">
        <f>IF(LANÇ_MOV[[#This Row],[DATA DE LANÇAMENTO]]="","",TEXT(LANÇ_MOV[[#This Row],[DATA DE LANÇAMENTO]],"AAAA"))</f>
        <v/>
      </c>
      <c r="AB707" s="524" t="str">
        <f>IF(LANÇ_MOV[[#This Row],[DATA DE LANÇAMENTO]]="","",UPPER(TEXT(LANÇ_MOV[[#This Row],[DATA DE LANÇAMENTO]],"MMMM")))</f>
        <v/>
      </c>
      <c r="AC707" s="525" t="str">
        <f>IF(LANÇ_MOV[[#This Row],[DATA DE LANÇAMENTO]]="","",PROPER(TEXT(LANÇ_MOV[[#This Row],[DATA DE LANÇAMENTO]],"M")))</f>
        <v/>
      </c>
      <c r="AD707" s="524" t="str">
        <f>IF(LANÇ_MOV[[#This Row],[DATA DE LANÇAMENTO]]="","",TEXT(LANÇ_MOV[[#This Row],[DATA DE LANÇAMENTO]],"D"))</f>
        <v/>
      </c>
      <c r="AE707" s="526" t="str">
        <f>IF(LANÇ_MOV[[#This Row],[DATA DE VENCIMENTO]]="","",TEXT(LANÇ_MOV[[#This Row],[DATA DE VENCIMENTO]],"AAAA"))</f>
        <v/>
      </c>
      <c r="AF707" s="526" t="str">
        <f>IF(LANÇ_MOV[[#This Row],[DATA DE VENCIMENTO]]="","",UPPER(TEXT(LANÇ_MOV[[#This Row],[DATA DE VENCIMENTO]],"MMMM")))</f>
        <v/>
      </c>
      <c r="AG707" s="526" t="str">
        <f>IF(LANÇ_MOV[[#This Row],[DATA DE VENCIMENTO]]="","",TEXT(LANÇ_MOV[[#This Row],[DATA DE VENCIMENTO]],"M"))</f>
        <v/>
      </c>
      <c r="AH707" s="526" t="str">
        <f>IF(LANÇ_MOV[[#This Row],[DATA DE VENCIMENTO]]="","",TEXT(LANÇ_MOV[[#This Row],[DATA DE VENCIMENTO]],"D"))</f>
        <v/>
      </c>
      <c r="AI707" s="526" t="str">
        <f>IF(LANÇ_MOV[[#This Row],[DATA DE PAGAMENTO]]="","",TEXT(LANÇ_MOV[[#This Row],[DATA DE PAGAMENTO]],"AAAA"))</f>
        <v/>
      </c>
      <c r="AJ707" s="527" t="str">
        <f>IF(LANÇ_MOV[[#This Row],[DATA DE PAGAMENTO]]="","",UPPER(TEXT(LANÇ_MOV[[#This Row],[DATA DE PAGAMENTO]],"MMMM")))</f>
        <v/>
      </c>
      <c r="AK707" s="527" t="str">
        <f>IF(LANÇ_MOV[[#This Row],[DATA DE PAGAMENTO]]="","",TEXT(LANÇ_MOV[[#This Row],[DATA DE PAGAMENTO]],"M"))</f>
        <v/>
      </c>
      <c r="AL707" s="526" t="str">
        <f>IF(LANÇ_MOV[[#This Row],[DATA DE PAGAMENTO]]="","",TEXT(LANÇ_MOV[[#This Row],[DATA DE PAGAMENTO]],"D"))</f>
        <v/>
      </c>
    </row>
    <row r="708" spans="2:38" ht="30.05" customHeight="1" x14ac:dyDescent="0.35">
      <c r="B708" s="506"/>
      <c r="C708" s="507"/>
      <c r="D708" s="508" t="s">
        <v>1854</v>
      </c>
      <c r="E708" s="509"/>
      <c r="F708" s="510"/>
      <c r="G708" s="507"/>
      <c r="H708" s="511"/>
      <c r="I708" s="512"/>
      <c r="J708" s="518"/>
      <c r="K708" s="510"/>
      <c r="L708" s="510"/>
      <c r="M708" s="548"/>
      <c r="N708" s="514">
        <f>LANÇ_MOV[[#This Row],[VALOR BRUTO]]-LANÇ_MOV[[#This Row],[DESCONTO]]+LANÇ_MOV[[#This Row],[JUROS]]+LANÇ_MOV[[#This Row],[MULTA]]</f>
        <v>0</v>
      </c>
      <c r="O708" s="546"/>
      <c r="P708" s="547" t="str">
        <f t="shared" ca="1" si="11"/>
        <v/>
      </c>
      <c r="Q708" s="528"/>
      <c r="R708" s="529"/>
      <c r="S708" s="518"/>
      <c r="T708" s="518"/>
      <c r="U708" s="519"/>
      <c r="V708" s="520" t="str">
        <f>IFERROR(VLOOKUP(LANÇ_MOV[[#This Row],[PLANO DE CONTAS]],Plano_Contas[[PLANO DE CONTAS]:[R / D]],3,0),"")</f>
        <v/>
      </c>
      <c r="W708" s="521" t="str">
        <f>IF(LANÇ_MOV[[#This Row],[DATA DE PAGAMENTO]]&lt;&gt;"","Pago","Não Pago")</f>
        <v>Não Pago</v>
      </c>
      <c r="X708" s="522" t="str">
        <f>IFERROR(IF(LANÇ_MOV[[#This Row],[DATA DE PAGAMENTO]]="","",(UPPER(TEXT(LANÇ_MOV[[#This Row],[DATA DE PAGAMENTO]],"mmmm")))),"")</f>
        <v/>
      </c>
      <c r="Y708" s="523" t="str">
        <f>IFERROR(VLOOKUP(LANÇ_MOV[[#This Row],[PLANO DE CONTAS]],Plano_Contas[[PLANO DE CONTAS]:[NOMES INTERVALOS]],2,0),"")</f>
        <v/>
      </c>
      <c r="Z708" s="523" t="str">
        <f>IF(LANÇ_MOV[[#This Row],[FORMA DE PAGAMENTO]]="","",VLOOKUP(LANÇ_MOV[[#This Row],[FORMA DE PAGAMENTO]],CAD_Forma_pagto[],2,0))</f>
        <v/>
      </c>
      <c r="AA708" s="524" t="str">
        <f>IF(LANÇ_MOV[[#This Row],[DATA DE LANÇAMENTO]]="","",TEXT(LANÇ_MOV[[#This Row],[DATA DE LANÇAMENTO]],"AAAA"))</f>
        <v/>
      </c>
      <c r="AB708" s="524" t="str">
        <f>IF(LANÇ_MOV[[#This Row],[DATA DE LANÇAMENTO]]="","",UPPER(TEXT(LANÇ_MOV[[#This Row],[DATA DE LANÇAMENTO]],"MMMM")))</f>
        <v/>
      </c>
      <c r="AC708" s="525" t="str">
        <f>IF(LANÇ_MOV[[#This Row],[DATA DE LANÇAMENTO]]="","",PROPER(TEXT(LANÇ_MOV[[#This Row],[DATA DE LANÇAMENTO]],"M")))</f>
        <v/>
      </c>
      <c r="AD708" s="524" t="str">
        <f>IF(LANÇ_MOV[[#This Row],[DATA DE LANÇAMENTO]]="","",TEXT(LANÇ_MOV[[#This Row],[DATA DE LANÇAMENTO]],"D"))</f>
        <v/>
      </c>
      <c r="AE708" s="526" t="str">
        <f>IF(LANÇ_MOV[[#This Row],[DATA DE VENCIMENTO]]="","",TEXT(LANÇ_MOV[[#This Row],[DATA DE VENCIMENTO]],"AAAA"))</f>
        <v/>
      </c>
      <c r="AF708" s="526" t="str">
        <f>IF(LANÇ_MOV[[#This Row],[DATA DE VENCIMENTO]]="","",UPPER(TEXT(LANÇ_MOV[[#This Row],[DATA DE VENCIMENTO]],"MMMM")))</f>
        <v/>
      </c>
      <c r="AG708" s="526" t="str">
        <f>IF(LANÇ_MOV[[#This Row],[DATA DE VENCIMENTO]]="","",TEXT(LANÇ_MOV[[#This Row],[DATA DE VENCIMENTO]],"M"))</f>
        <v/>
      </c>
      <c r="AH708" s="526" t="str">
        <f>IF(LANÇ_MOV[[#This Row],[DATA DE VENCIMENTO]]="","",TEXT(LANÇ_MOV[[#This Row],[DATA DE VENCIMENTO]],"D"))</f>
        <v/>
      </c>
      <c r="AI708" s="526" t="str">
        <f>IF(LANÇ_MOV[[#This Row],[DATA DE PAGAMENTO]]="","",TEXT(LANÇ_MOV[[#This Row],[DATA DE PAGAMENTO]],"AAAA"))</f>
        <v/>
      </c>
      <c r="AJ708" s="527" t="str">
        <f>IF(LANÇ_MOV[[#This Row],[DATA DE PAGAMENTO]]="","",UPPER(TEXT(LANÇ_MOV[[#This Row],[DATA DE PAGAMENTO]],"MMMM")))</f>
        <v/>
      </c>
      <c r="AK708" s="527" t="str">
        <f>IF(LANÇ_MOV[[#This Row],[DATA DE PAGAMENTO]]="","",TEXT(LANÇ_MOV[[#This Row],[DATA DE PAGAMENTO]],"M"))</f>
        <v/>
      </c>
      <c r="AL708" s="526" t="str">
        <f>IF(LANÇ_MOV[[#This Row],[DATA DE PAGAMENTO]]="","",TEXT(LANÇ_MOV[[#This Row],[DATA DE PAGAMENTO]],"D"))</f>
        <v/>
      </c>
    </row>
    <row r="709" spans="2:38" ht="30.05" customHeight="1" x14ac:dyDescent="0.35">
      <c r="B709" s="506"/>
      <c r="C709" s="507"/>
      <c r="D709" s="508" t="s">
        <v>1854</v>
      </c>
      <c r="E709" s="509"/>
      <c r="F709" s="510"/>
      <c r="G709" s="507"/>
      <c r="H709" s="511"/>
      <c r="I709" s="512"/>
      <c r="J709" s="518"/>
      <c r="K709" s="510"/>
      <c r="L709" s="510"/>
      <c r="M709" s="548"/>
      <c r="N709" s="514">
        <f>LANÇ_MOV[[#This Row],[VALOR BRUTO]]-LANÇ_MOV[[#This Row],[DESCONTO]]+LANÇ_MOV[[#This Row],[JUROS]]+LANÇ_MOV[[#This Row],[MULTA]]</f>
        <v>0</v>
      </c>
      <c r="O709" s="546"/>
      <c r="P709" s="547" t="str">
        <f t="shared" ca="1" si="11"/>
        <v/>
      </c>
      <c r="Q709" s="528"/>
      <c r="R709" s="529"/>
      <c r="S709" s="518"/>
      <c r="T709" s="518"/>
      <c r="U709" s="519"/>
      <c r="V709" s="520" t="str">
        <f>IFERROR(VLOOKUP(LANÇ_MOV[[#This Row],[PLANO DE CONTAS]],Plano_Contas[[PLANO DE CONTAS]:[R / D]],3,0),"")</f>
        <v/>
      </c>
      <c r="W709" s="521" t="str">
        <f>IF(LANÇ_MOV[[#This Row],[DATA DE PAGAMENTO]]&lt;&gt;"","Pago","Não Pago")</f>
        <v>Não Pago</v>
      </c>
      <c r="X709" s="522" t="str">
        <f>IFERROR(IF(LANÇ_MOV[[#This Row],[DATA DE PAGAMENTO]]="","",(UPPER(TEXT(LANÇ_MOV[[#This Row],[DATA DE PAGAMENTO]],"mmmm")))),"")</f>
        <v/>
      </c>
      <c r="Y709" s="523" t="str">
        <f>IFERROR(VLOOKUP(LANÇ_MOV[[#This Row],[PLANO DE CONTAS]],Plano_Contas[[PLANO DE CONTAS]:[NOMES INTERVALOS]],2,0),"")</f>
        <v/>
      </c>
      <c r="Z709" s="523" t="str">
        <f>IF(LANÇ_MOV[[#This Row],[FORMA DE PAGAMENTO]]="","",VLOOKUP(LANÇ_MOV[[#This Row],[FORMA DE PAGAMENTO]],CAD_Forma_pagto[],2,0))</f>
        <v/>
      </c>
      <c r="AA709" s="524" t="str">
        <f>IF(LANÇ_MOV[[#This Row],[DATA DE LANÇAMENTO]]="","",TEXT(LANÇ_MOV[[#This Row],[DATA DE LANÇAMENTO]],"AAAA"))</f>
        <v/>
      </c>
      <c r="AB709" s="524" t="str">
        <f>IF(LANÇ_MOV[[#This Row],[DATA DE LANÇAMENTO]]="","",UPPER(TEXT(LANÇ_MOV[[#This Row],[DATA DE LANÇAMENTO]],"MMMM")))</f>
        <v/>
      </c>
      <c r="AC709" s="525" t="str">
        <f>IF(LANÇ_MOV[[#This Row],[DATA DE LANÇAMENTO]]="","",PROPER(TEXT(LANÇ_MOV[[#This Row],[DATA DE LANÇAMENTO]],"M")))</f>
        <v/>
      </c>
      <c r="AD709" s="524" t="str">
        <f>IF(LANÇ_MOV[[#This Row],[DATA DE LANÇAMENTO]]="","",TEXT(LANÇ_MOV[[#This Row],[DATA DE LANÇAMENTO]],"D"))</f>
        <v/>
      </c>
      <c r="AE709" s="526" t="str">
        <f>IF(LANÇ_MOV[[#This Row],[DATA DE VENCIMENTO]]="","",TEXT(LANÇ_MOV[[#This Row],[DATA DE VENCIMENTO]],"AAAA"))</f>
        <v/>
      </c>
      <c r="AF709" s="526" t="str">
        <f>IF(LANÇ_MOV[[#This Row],[DATA DE VENCIMENTO]]="","",UPPER(TEXT(LANÇ_MOV[[#This Row],[DATA DE VENCIMENTO]],"MMMM")))</f>
        <v/>
      </c>
      <c r="AG709" s="526" t="str">
        <f>IF(LANÇ_MOV[[#This Row],[DATA DE VENCIMENTO]]="","",TEXT(LANÇ_MOV[[#This Row],[DATA DE VENCIMENTO]],"M"))</f>
        <v/>
      </c>
      <c r="AH709" s="526" t="str">
        <f>IF(LANÇ_MOV[[#This Row],[DATA DE VENCIMENTO]]="","",TEXT(LANÇ_MOV[[#This Row],[DATA DE VENCIMENTO]],"D"))</f>
        <v/>
      </c>
      <c r="AI709" s="526" t="str">
        <f>IF(LANÇ_MOV[[#This Row],[DATA DE PAGAMENTO]]="","",TEXT(LANÇ_MOV[[#This Row],[DATA DE PAGAMENTO]],"AAAA"))</f>
        <v/>
      </c>
      <c r="AJ709" s="527" t="str">
        <f>IF(LANÇ_MOV[[#This Row],[DATA DE PAGAMENTO]]="","",UPPER(TEXT(LANÇ_MOV[[#This Row],[DATA DE PAGAMENTO]],"MMMM")))</f>
        <v/>
      </c>
      <c r="AK709" s="527" t="str">
        <f>IF(LANÇ_MOV[[#This Row],[DATA DE PAGAMENTO]]="","",TEXT(LANÇ_MOV[[#This Row],[DATA DE PAGAMENTO]],"M"))</f>
        <v/>
      </c>
      <c r="AL709" s="526" t="str">
        <f>IF(LANÇ_MOV[[#This Row],[DATA DE PAGAMENTO]]="","",TEXT(LANÇ_MOV[[#This Row],[DATA DE PAGAMENTO]],"D"))</f>
        <v/>
      </c>
    </row>
    <row r="710" spans="2:38" ht="30.05" customHeight="1" x14ac:dyDescent="0.35">
      <c r="B710" s="506"/>
      <c r="C710" s="507"/>
      <c r="D710" s="508" t="s">
        <v>1854</v>
      </c>
      <c r="E710" s="509"/>
      <c r="F710" s="510"/>
      <c r="G710" s="507"/>
      <c r="H710" s="511"/>
      <c r="I710" s="512"/>
      <c r="J710" s="518"/>
      <c r="K710" s="510"/>
      <c r="L710" s="510"/>
      <c r="M710" s="548"/>
      <c r="N710" s="514">
        <f>LANÇ_MOV[[#This Row],[VALOR BRUTO]]-LANÇ_MOV[[#This Row],[DESCONTO]]+LANÇ_MOV[[#This Row],[JUROS]]+LANÇ_MOV[[#This Row],[MULTA]]</f>
        <v>0</v>
      </c>
      <c r="O710" s="546"/>
      <c r="P710" s="547" t="str">
        <f t="shared" ca="1" si="11"/>
        <v/>
      </c>
      <c r="Q710" s="528"/>
      <c r="R710" s="529"/>
      <c r="S710" s="518"/>
      <c r="T710" s="518"/>
      <c r="U710" s="519"/>
      <c r="V710" s="520" t="str">
        <f>IFERROR(VLOOKUP(LANÇ_MOV[[#This Row],[PLANO DE CONTAS]],Plano_Contas[[PLANO DE CONTAS]:[R / D]],3,0),"")</f>
        <v/>
      </c>
      <c r="W710" s="521" t="str">
        <f>IF(LANÇ_MOV[[#This Row],[DATA DE PAGAMENTO]]&lt;&gt;"","Pago","Não Pago")</f>
        <v>Não Pago</v>
      </c>
      <c r="X710" s="522" t="str">
        <f>IFERROR(IF(LANÇ_MOV[[#This Row],[DATA DE PAGAMENTO]]="","",(UPPER(TEXT(LANÇ_MOV[[#This Row],[DATA DE PAGAMENTO]],"mmmm")))),"")</f>
        <v/>
      </c>
      <c r="Y710" s="523" t="str">
        <f>IFERROR(VLOOKUP(LANÇ_MOV[[#This Row],[PLANO DE CONTAS]],Plano_Contas[[PLANO DE CONTAS]:[NOMES INTERVALOS]],2,0),"")</f>
        <v/>
      </c>
      <c r="Z710" s="523" t="str">
        <f>IF(LANÇ_MOV[[#This Row],[FORMA DE PAGAMENTO]]="","",VLOOKUP(LANÇ_MOV[[#This Row],[FORMA DE PAGAMENTO]],CAD_Forma_pagto[],2,0))</f>
        <v/>
      </c>
      <c r="AA710" s="524" t="str">
        <f>IF(LANÇ_MOV[[#This Row],[DATA DE LANÇAMENTO]]="","",TEXT(LANÇ_MOV[[#This Row],[DATA DE LANÇAMENTO]],"AAAA"))</f>
        <v/>
      </c>
      <c r="AB710" s="524" t="str">
        <f>IF(LANÇ_MOV[[#This Row],[DATA DE LANÇAMENTO]]="","",UPPER(TEXT(LANÇ_MOV[[#This Row],[DATA DE LANÇAMENTO]],"MMMM")))</f>
        <v/>
      </c>
      <c r="AC710" s="525" t="str">
        <f>IF(LANÇ_MOV[[#This Row],[DATA DE LANÇAMENTO]]="","",PROPER(TEXT(LANÇ_MOV[[#This Row],[DATA DE LANÇAMENTO]],"M")))</f>
        <v/>
      </c>
      <c r="AD710" s="524" t="str">
        <f>IF(LANÇ_MOV[[#This Row],[DATA DE LANÇAMENTO]]="","",TEXT(LANÇ_MOV[[#This Row],[DATA DE LANÇAMENTO]],"D"))</f>
        <v/>
      </c>
      <c r="AE710" s="526" t="str">
        <f>IF(LANÇ_MOV[[#This Row],[DATA DE VENCIMENTO]]="","",TEXT(LANÇ_MOV[[#This Row],[DATA DE VENCIMENTO]],"AAAA"))</f>
        <v/>
      </c>
      <c r="AF710" s="526" t="str">
        <f>IF(LANÇ_MOV[[#This Row],[DATA DE VENCIMENTO]]="","",UPPER(TEXT(LANÇ_MOV[[#This Row],[DATA DE VENCIMENTO]],"MMMM")))</f>
        <v/>
      </c>
      <c r="AG710" s="526" t="str">
        <f>IF(LANÇ_MOV[[#This Row],[DATA DE VENCIMENTO]]="","",TEXT(LANÇ_MOV[[#This Row],[DATA DE VENCIMENTO]],"M"))</f>
        <v/>
      </c>
      <c r="AH710" s="526" t="str">
        <f>IF(LANÇ_MOV[[#This Row],[DATA DE VENCIMENTO]]="","",TEXT(LANÇ_MOV[[#This Row],[DATA DE VENCIMENTO]],"D"))</f>
        <v/>
      </c>
      <c r="AI710" s="526" t="str">
        <f>IF(LANÇ_MOV[[#This Row],[DATA DE PAGAMENTO]]="","",TEXT(LANÇ_MOV[[#This Row],[DATA DE PAGAMENTO]],"AAAA"))</f>
        <v/>
      </c>
      <c r="AJ710" s="527" t="str">
        <f>IF(LANÇ_MOV[[#This Row],[DATA DE PAGAMENTO]]="","",UPPER(TEXT(LANÇ_MOV[[#This Row],[DATA DE PAGAMENTO]],"MMMM")))</f>
        <v/>
      </c>
      <c r="AK710" s="527" t="str">
        <f>IF(LANÇ_MOV[[#This Row],[DATA DE PAGAMENTO]]="","",TEXT(LANÇ_MOV[[#This Row],[DATA DE PAGAMENTO]],"M"))</f>
        <v/>
      </c>
      <c r="AL710" s="526" t="str">
        <f>IF(LANÇ_MOV[[#This Row],[DATA DE PAGAMENTO]]="","",TEXT(LANÇ_MOV[[#This Row],[DATA DE PAGAMENTO]],"D"))</f>
        <v/>
      </c>
    </row>
    <row r="711" spans="2:38" ht="30.05" customHeight="1" x14ac:dyDescent="0.35">
      <c r="B711" s="506"/>
      <c r="C711" s="507"/>
      <c r="D711" s="508" t="s">
        <v>1854</v>
      </c>
      <c r="E711" s="509"/>
      <c r="F711" s="510"/>
      <c r="G711" s="507"/>
      <c r="H711" s="511"/>
      <c r="I711" s="512"/>
      <c r="J711" s="518"/>
      <c r="K711" s="510"/>
      <c r="L711" s="510"/>
      <c r="M711" s="548"/>
      <c r="N711" s="514">
        <f>LANÇ_MOV[[#This Row],[VALOR BRUTO]]-LANÇ_MOV[[#This Row],[DESCONTO]]+LANÇ_MOV[[#This Row],[JUROS]]+LANÇ_MOV[[#This Row],[MULTA]]</f>
        <v>0</v>
      </c>
      <c r="O711" s="546"/>
      <c r="P711" s="547" t="str">
        <f t="shared" ca="1" si="11"/>
        <v/>
      </c>
      <c r="Q711" s="528"/>
      <c r="R711" s="529"/>
      <c r="S711" s="518"/>
      <c r="T711" s="518"/>
      <c r="U711" s="519"/>
      <c r="V711" s="520" t="str">
        <f>IFERROR(VLOOKUP(LANÇ_MOV[[#This Row],[PLANO DE CONTAS]],Plano_Contas[[PLANO DE CONTAS]:[R / D]],3,0),"")</f>
        <v/>
      </c>
      <c r="W711" s="521" t="str">
        <f>IF(LANÇ_MOV[[#This Row],[DATA DE PAGAMENTO]]&lt;&gt;"","Pago","Não Pago")</f>
        <v>Não Pago</v>
      </c>
      <c r="X711" s="522" t="str">
        <f>IFERROR(IF(LANÇ_MOV[[#This Row],[DATA DE PAGAMENTO]]="","",(UPPER(TEXT(LANÇ_MOV[[#This Row],[DATA DE PAGAMENTO]],"mmmm")))),"")</f>
        <v/>
      </c>
      <c r="Y711" s="523" t="str">
        <f>IFERROR(VLOOKUP(LANÇ_MOV[[#This Row],[PLANO DE CONTAS]],Plano_Contas[[PLANO DE CONTAS]:[NOMES INTERVALOS]],2,0),"")</f>
        <v/>
      </c>
      <c r="Z711" s="523" t="str">
        <f>IF(LANÇ_MOV[[#This Row],[FORMA DE PAGAMENTO]]="","",VLOOKUP(LANÇ_MOV[[#This Row],[FORMA DE PAGAMENTO]],CAD_Forma_pagto[],2,0))</f>
        <v/>
      </c>
      <c r="AA711" s="524" t="str">
        <f>IF(LANÇ_MOV[[#This Row],[DATA DE LANÇAMENTO]]="","",TEXT(LANÇ_MOV[[#This Row],[DATA DE LANÇAMENTO]],"AAAA"))</f>
        <v/>
      </c>
      <c r="AB711" s="524" t="str">
        <f>IF(LANÇ_MOV[[#This Row],[DATA DE LANÇAMENTO]]="","",UPPER(TEXT(LANÇ_MOV[[#This Row],[DATA DE LANÇAMENTO]],"MMMM")))</f>
        <v/>
      </c>
      <c r="AC711" s="525" t="str">
        <f>IF(LANÇ_MOV[[#This Row],[DATA DE LANÇAMENTO]]="","",PROPER(TEXT(LANÇ_MOV[[#This Row],[DATA DE LANÇAMENTO]],"M")))</f>
        <v/>
      </c>
      <c r="AD711" s="524" t="str">
        <f>IF(LANÇ_MOV[[#This Row],[DATA DE LANÇAMENTO]]="","",TEXT(LANÇ_MOV[[#This Row],[DATA DE LANÇAMENTO]],"D"))</f>
        <v/>
      </c>
      <c r="AE711" s="526" t="str">
        <f>IF(LANÇ_MOV[[#This Row],[DATA DE VENCIMENTO]]="","",TEXT(LANÇ_MOV[[#This Row],[DATA DE VENCIMENTO]],"AAAA"))</f>
        <v/>
      </c>
      <c r="AF711" s="526" t="str">
        <f>IF(LANÇ_MOV[[#This Row],[DATA DE VENCIMENTO]]="","",UPPER(TEXT(LANÇ_MOV[[#This Row],[DATA DE VENCIMENTO]],"MMMM")))</f>
        <v/>
      </c>
      <c r="AG711" s="526" t="str">
        <f>IF(LANÇ_MOV[[#This Row],[DATA DE VENCIMENTO]]="","",TEXT(LANÇ_MOV[[#This Row],[DATA DE VENCIMENTO]],"M"))</f>
        <v/>
      </c>
      <c r="AH711" s="526" t="str">
        <f>IF(LANÇ_MOV[[#This Row],[DATA DE VENCIMENTO]]="","",TEXT(LANÇ_MOV[[#This Row],[DATA DE VENCIMENTO]],"D"))</f>
        <v/>
      </c>
      <c r="AI711" s="526" t="str">
        <f>IF(LANÇ_MOV[[#This Row],[DATA DE PAGAMENTO]]="","",TEXT(LANÇ_MOV[[#This Row],[DATA DE PAGAMENTO]],"AAAA"))</f>
        <v/>
      </c>
      <c r="AJ711" s="527" t="str">
        <f>IF(LANÇ_MOV[[#This Row],[DATA DE PAGAMENTO]]="","",UPPER(TEXT(LANÇ_MOV[[#This Row],[DATA DE PAGAMENTO]],"MMMM")))</f>
        <v/>
      </c>
      <c r="AK711" s="527" t="str">
        <f>IF(LANÇ_MOV[[#This Row],[DATA DE PAGAMENTO]]="","",TEXT(LANÇ_MOV[[#This Row],[DATA DE PAGAMENTO]],"M"))</f>
        <v/>
      </c>
      <c r="AL711" s="526" t="str">
        <f>IF(LANÇ_MOV[[#This Row],[DATA DE PAGAMENTO]]="","",TEXT(LANÇ_MOV[[#This Row],[DATA DE PAGAMENTO]],"D"))</f>
        <v/>
      </c>
    </row>
    <row r="712" spans="2:38" ht="30.05" customHeight="1" x14ac:dyDescent="0.35">
      <c r="B712" s="506"/>
      <c r="C712" s="507"/>
      <c r="D712" s="508" t="s">
        <v>1854</v>
      </c>
      <c r="E712" s="509"/>
      <c r="F712" s="510"/>
      <c r="G712" s="507"/>
      <c r="H712" s="511"/>
      <c r="I712" s="512"/>
      <c r="J712" s="518"/>
      <c r="K712" s="510"/>
      <c r="L712" s="510"/>
      <c r="M712" s="548"/>
      <c r="N712" s="514">
        <f>LANÇ_MOV[[#This Row],[VALOR BRUTO]]-LANÇ_MOV[[#This Row],[DESCONTO]]+LANÇ_MOV[[#This Row],[JUROS]]+LANÇ_MOV[[#This Row],[MULTA]]</f>
        <v>0</v>
      </c>
      <c r="O712" s="546"/>
      <c r="P712" s="547" t="str">
        <f t="shared" ca="1" si="11"/>
        <v/>
      </c>
      <c r="Q712" s="528"/>
      <c r="R712" s="529"/>
      <c r="S712" s="518"/>
      <c r="T712" s="518"/>
      <c r="U712" s="519"/>
      <c r="V712" s="520" t="str">
        <f>IFERROR(VLOOKUP(LANÇ_MOV[[#This Row],[PLANO DE CONTAS]],Plano_Contas[[PLANO DE CONTAS]:[R / D]],3,0),"")</f>
        <v/>
      </c>
      <c r="W712" s="521" t="str">
        <f>IF(LANÇ_MOV[[#This Row],[DATA DE PAGAMENTO]]&lt;&gt;"","Pago","Não Pago")</f>
        <v>Não Pago</v>
      </c>
      <c r="X712" s="522" t="str">
        <f>IFERROR(IF(LANÇ_MOV[[#This Row],[DATA DE PAGAMENTO]]="","",(UPPER(TEXT(LANÇ_MOV[[#This Row],[DATA DE PAGAMENTO]],"mmmm")))),"")</f>
        <v/>
      </c>
      <c r="Y712" s="523" t="str">
        <f>IFERROR(VLOOKUP(LANÇ_MOV[[#This Row],[PLANO DE CONTAS]],Plano_Contas[[PLANO DE CONTAS]:[NOMES INTERVALOS]],2,0),"")</f>
        <v/>
      </c>
      <c r="Z712" s="523" t="str">
        <f>IF(LANÇ_MOV[[#This Row],[FORMA DE PAGAMENTO]]="","",VLOOKUP(LANÇ_MOV[[#This Row],[FORMA DE PAGAMENTO]],CAD_Forma_pagto[],2,0))</f>
        <v/>
      </c>
      <c r="AA712" s="524" t="str">
        <f>IF(LANÇ_MOV[[#This Row],[DATA DE LANÇAMENTO]]="","",TEXT(LANÇ_MOV[[#This Row],[DATA DE LANÇAMENTO]],"AAAA"))</f>
        <v/>
      </c>
      <c r="AB712" s="524" t="str">
        <f>IF(LANÇ_MOV[[#This Row],[DATA DE LANÇAMENTO]]="","",UPPER(TEXT(LANÇ_MOV[[#This Row],[DATA DE LANÇAMENTO]],"MMMM")))</f>
        <v/>
      </c>
      <c r="AC712" s="525" t="str">
        <f>IF(LANÇ_MOV[[#This Row],[DATA DE LANÇAMENTO]]="","",PROPER(TEXT(LANÇ_MOV[[#This Row],[DATA DE LANÇAMENTO]],"M")))</f>
        <v/>
      </c>
      <c r="AD712" s="524" t="str">
        <f>IF(LANÇ_MOV[[#This Row],[DATA DE LANÇAMENTO]]="","",TEXT(LANÇ_MOV[[#This Row],[DATA DE LANÇAMENTO]],"D"))</f>
        <v/>
      </c>
      <c r="AE712" s="526" t="str">
        <f>IF(LANÇ_MOV[[#This Row],[DATA DE VENCIMENTO]]="","",TEXT(LANÇ_MOV[[#This Row],[DATA DE VENCIMENTO]],"AAAA"))</f>
        <v/>
      </c>
      <c r="AF712" s="526" t="str">
        <f>IF(LANÇ_MOV[[#This Row],[DATA DE VENCIMENTO]]="","",UPPER(TEXT(LANÇ_MOV[[#This Row],[DATA DE VENCIMENTO]],"MMMM")))</f>
        <v/>
      </c>
      <c r="AG712" s="526" t="str">
        <f>IF(LANÇ_MOV[[#This Row],[DATA DE VENCIMENTO]]="","",TEXT(LANÇ_MOV[[#This Row],[DATA DE VENCIMENTO]],"M"))</f>
        <v/>
      </c>
      <c r="AH712" s="526" t="str">
        <f>IF(LANÇ_MOV[[#This Row],[DATA DE VENCIMENTO]]="","",TEXT(LANÇ_MOV[[#This Row],[DATA DE VENCIMENTO]],"D"))</f>
        <v/>
      </c>
      <c r="AI712" s="526" t="str">
        <f>IF(LANÇ_MOV[[#This Row],[DATA DE PAGAMENTO]]="","",TEXT(LANÇ_MOV[[#This Row],[DATA DE PAGAMENTO]],"AAAA"))</f>
        <v/>
      </c>
      <c r="AJ712" s="527" t="str">
        <f>IF(LANÇ_MOV[[#This Row],[DATA DE PAGAMENTO]]="","",UPPER(TEXT(LANÇ_MOV[[#This Row],[DATA DE PAGAMENTO]],"MMMM")))</f>
        <v/>
      </c>
      <c r="AK712" s="527" t="str">
        <f>IF(LANÇ_MOV[[#This Row],[DATA DE PAGAMENTO]]="","",TEXT(LANÇ_MOV[[#This Row],[DATA DE PAGAMENTO]],"M"))</f>
        <v/>
      </c>
      <c r="AL712" s="526" t="str">
        <f>IF(LANÇ_MOV[[#This Row],[DATA DE PAGAMENTO]]="","",TEXT(LANÇ_MOV[[#This Row],[DATA DE PAGAMENTO]],"D"))</f>
        <v/>
      </c>
    </row>
    <row r="713" spans="2:38" ht="30.05" customHeight="1" x14ac:dyDescent="0.35">
      <c r="B713" s="506"/>
      <c r="C713" s="507"/>
      <c r="D713" s="508" t="s">
        <v>1854</v>
      </c>
      <c r="E713" s="509"/>
      <c r="F713" s="510"/>
      <c r="G713" s="507"/>
      <c r="H713" s="511"/>
      <c r="I713" s="512"/>
      <c r="J713" s="518"/>
      <c r="K713" s="510"/>
      <c r="L713" s="510"/>
      <c r="M713" s="548"/>
      <c r="N713" s="514">
        <f>LANÇ_MOV[[#This Row],[VALOR BRUTO]]-LANÇ_MOV[[#This Row],[DESCONTO]]+LANÇ_MOV[[#This Row],[JUROS]]+LANÇ_MOV[[#This Row],[MULTA]]</f>
        <v>0</v>
      </c>
      <c r="O713" s="546"/>
      <c r="P713" s="547" t="str">
        <f t="shared" ca="1" si="11"/>
        <v/>
      </c>
      <c r="Q713" s="528"/>
      <c r="R713" s="529"/>
      <c r="S713" s="518"/>
      <c r="T713" s="518"/>
      <c r="U713" s="519"/>
      <c r="V713" s="520" t="str">
        <f>IFERROR(VLOOKUP(LANÇ_MOV[[#This Row],[PLANO DE CONTAS]],Plano_Contas[[PLANO DE CONTAS]:[R / D]],3,0),"")</f>
        <v/>
      </c>
      <c r="W713" s="521" t="str">
        <f>IF(LANÇ_MOV[[#This Row],[DATA DE PAGAMENTO]]&lt;&gt;"","Pago","Não Pago")</f>
        <v>Não Pago</v>
      </c>
      <c r="X713" s="522" t="str">
        <f>IFERROR(IF(LANÇ_MOV[[#This Row],[DATA DE PAGAMENTO]]="","",(UPPER(TEXT(LANÇ_MOV[[#This Row],[DATA DE PAGAMENTO]],"mmmm")))),"")</f>
        <v/>
      </c>
      <c r="Y713" s="523" t="str">
        <f>IFERROR(VLOOKUP(LANÇ_MOV[[#This Row],[PLANO DE CONTAS]],Plano_Contas[[PLANO DE CONTAS]:[NOMES INTERVALOS]],2,0),"")</f>
        <v/>
      </c>
      <c r="Z713" s="523" t="str">
        <f>IF(LANÇ_MOV[[#This Row],[FORMA DE PAGAMENTO]]="","",VLOOKUP(LANÇ_MOV[[#This Row],[FORMA DE PAGAMENTO]],CAD_Forma_pagto[],2,0))</f>
        <v/>
      </c>
      <c r="AA713" s="524" t="str">
        <f>IF(LANÇ_MOV[[#This Row],[DATA DE LANÇAMENTO]]="","",TEXT(LANÇ_MOV[[#This Row],[DATA DE LANÇAMENTO]],"AAAA"))</f>
        <v/>
      </c>
      <c r="AB713" s="524" t="str">
        <f>IF(LANÇ_MOV[[#This Row],[DATA DE LANÇAMENTO]]="","",UPPER(TEXT(LANÇ_MOV[[#This Row],[DATA DE LANÇAMENTO]],"MMMM")))</f>
        <v/>
      </c>
      <c r="AC713" s="525" t="str">
        <f>IF(LANÇ_MOV[[#This Row],[DATA DE LANÇAMENTO]]="","",PROPER(TEXT(LANÇ_MOV[[#This Row],[DATA DE LANÇAMENTO]],"M")))</f>
        <v/>
      </c>
      <c r="AD713" s="524" t="str">
        <f>IF(LANÇ_MOV[[#This Row],[DATA DE LANÇAMENTO]]="","",TEXT(LANÇ_MOV[[#This Row],[DATA DE LANÇAMENTO]],"D"))</f>
        <v/>
      </c>
      <c r="AE713" s="526" t="str">
        <f>IF(LANÇ_MOV[[#This Row],[DATA DE VENCIMENTO]]="","",TEXT(LANÇ_MOV[[#This Row],[DATA DE VENCIMENTO]],"AAAA"))</f>
        <v/>
      </c>
      <c r="AF713" s="526" t="str">
        <f>IF(LANÇ_MOV[[#This Row],[DATA DE VENCIMENTO]]="","",UPPER(TEXT(LANÇ_MOV[[#This Row],[DATA DE VENCIMENTO]],"MMMM")))</f>
        <v/>
      </c>
      <c r="AG713" s="526" t="str">
        <f>IF(LANÇ_MOV[[#This Row],[DATA DE VENCIMENTO]]="","",TEXT(LANÇ_MOV[[#This Row],[DATA DE VENCIMENTO]],"M"))</f>
        <v/>
      </c>
      <c r="AH713" s="526" t="str">
        <f>IF(LANÇ_MOV[[#This Row],[DATA DE VENCIMENTO]]="","",TEXT(LANÇ_MOV[[#This Row],[DATA DE VENCIMENTO]],"D"))</f>
        <v/>
      </c>
      <c r="AI713" s="526" t="str">
        <f>IF(LANÇ_MOV[[#This Row],[DATA DE PAGAMENTO]]="","",TEXT(LANÇ_MOV[[#This Row],[DATA DE PAGAMENTO]],"AAAA"))</f>
        <v/>
      </c>
      <c r="AJ713" s="527" t="str">
        <f>IF(LANÇ_MOV[[#This Row],[DATA DE PAGAMENTO]]="","",UPPER(TEXT(LANÇ_MOV[[#This Row],[DATA DE PAGAMENTO]],"MMMM")))</f>
        <v/>
      </c>
      <c r="AK713" s="527" t="str">
        <f>IF(LANÇ_MOV[[#This Row],[DATA DE PAGAMENTO]]="","",TEXT(LANÇ_MOV[[#This Row],[DATA DE PAGAMENTO]],"M"))</f>
        <v/>
      </c>
      <c r="AL713" s="526" t="str">
        <f>IF(LANÇ_MOV[[#This Row],[DATA DE PAGAMENTO]]="","",TEXT(LANÇ_MOV[[#This Row],[DATA DE PAGAMENTO]],"D"))</f>
        <v/>
      </c>
    </row>
    <row r="714" spans="2:38" ht="30.05" customHeight="1" x14ac:dyDescent="0.35">
      <c r="B714" s="506"/>
      <c r="C714" s="507"/>
      <c r="D714" s="508" t="s">
        <v>1854</v>
      </c>
      <c r="E714" s="509"/>
      <c r="F714" s="510"/>
      <c r="G714" s="507"/>
      <c r="H714" s="511"/>
      <c r="I714" s="512"/>
      <c r="J714" s="518"/>
      <c r="K714" s="510"/>
      <c r="L714" s="510"/>
      <c r="M714" s="548"/>
      <c r="N714" s="514">
        <f>LANÇ_MOV[[#This Row],[VALOR BRUTO]]-LANÇ_MOV[[#This Row],[DESCONTO]]+LANÇ_MOV[[#This Row],[JUROS]]+LANÇ_MOV[[#This Row],[MULTA]]</f>
        <v>0</v>
      </c>
      <c r="O714" s="546"/>
      <c r="P714" s="547" t="str">
        <f t="shared" ca="1" si="11"/>
        <v/>
      </c>
      <c r="Q714" s="528"/>
      <c r="R714" s="529"/>
      <c r="S714" s="518"/>
      <c r="T714" s="518"/>
      <c r="U714" s="519"/>
      <c r="V714" s="520" t="str">
        <f>IFERROR(VLOOKUP(LANÇ_MOV[[#This Row],[PLANO DE CONTAS]],Plano_Contas[[PLANO DE CONTAS]:[R / D]],3,0),"")</f>
        <v/>
      </c>
      <c r="W714" s="521" t="str">
        <f>IF(LANÇ_MOV[[#This Row],[DATA DE PAGAMENTO]]&lt;&gt;"","Pago","Não Pago")</f>
        <v>Não Pago</v>
      </c>
      <c r="X714" s="522" t="str">
        <f>IFERROR(IF(LANÇ_MOV[[#This Row],[DATA DE PAGAMENTO]]="","",(UPPER(TEXT(LANÇ_MOV[[#This Row],[DATA DE PAGAMENTO]],"mmmm")))),"")</f>
        <v/>
      </c>
      <c r="Y714" s="523" t="str">
        <f>IFERROR(VLOOKUP(LANÇ_MOV[[#This Row],[PLANO DE CONTAS]],Plano_Contas[[PLANO DE CONTAS]:[NOMES INTERVALOS]],2,0),"")</f>
        <v/>
      </c>
      <c r="Z714" s="523" t="str">
        <f>IF(LANÇ_MOV[[#This Row],[FORMA DE PAGAMENTO]]="","",VLOOKUP(LANÇ_MOV[[#This Row],[FORMA DE PAGAMENTO]],CAD_Forma_pagto[],2,0))</f>
        <v/>
      </c>
      <c r="AA714" s="524" t="str">
        <f>IF(LANÇ_MOV[[#This Row],[DATA DE LANÇAMENTO]]="","",TEXT(LANÇ_MOV[[#This Row],[DATA DE LANÇAMENTO]],"AAAA"))</f>
        <v/>
      </c>
      <c r="AB714" s="524" t="str">
        <f>IF(LANÇ_MOV[[#This Row],[DATA DE LANÇAMENTO]]="","",UPPER(TEXT(LANÇ_MOV[[#This Row],[DATA DE LANÇAMENTO]],"MMMM")))</f>
        <v/>
      </c>
      <c r="AC714" s="525" t="str">
        <f>IF(LANÇ_MOV[[#This Row],[DATA DE LANÇAMENTO]]="","",PROPER(TEXT(LANÇ_MOV[[#This Row],[DATA DE LANÇAMENTO]],"M")))</f>
        <v/>
      </c>
      <c r="AD714" s="524" t="str">
        <f>IF(LANÇ_MOV[[#This Row],[DATA DE LANÇAMENTO]]="","",TEXT(LANÇ_MOV[[#This Row],[DATA DE LANÇAMENTO]],"D"))</f>
        <v/>
      </c>
      <c r="AE714" s="526" t="str">
        <f>IF(LANÇ_MOV[[#This Row],[DATA DE VENCIMENTO]]="","",TEXT(LANÇ_MOV[[#This Row],[DATA DE VENCIMENTO]],"AAAA"))</f>
        <v/>
      </c>
      <c r="AF714" s="526" t="str">
        <f>IF(LANÇ_MOV[[#This Row],[DATA DE VENCIMENTO]]="","",UPPER(TEXT(LANÇ_MOV[[#This Row],[DATA DE VENCIMENTO]],"MMMM")))</f>
        <v/>
      </c>
      <c r="AG714" s="526" t="str">
        <f>IF(LANÇ_MOV[[#This Row],[DATA DE VENCIMENTO]]="","",TEXT(LANÇ_MOV[[#This Row],[DATA DE VENCIMENTO]],"M"))</f>
        <v/>
      </c>
      <c r="AH714" s="526" t="str">
        <f>IF(LANÇ_MOV[[#This Row],[DATA DE VENCIMENTO]]="","",TEXT(LANÇ_MOV[[#This Row],[DATA DE VENCIMENTO]],"D"))</f>
        <v/>
      </c>
      <c r="AI714" s="526" t="str">
        <f>IF(LANÇ_MOV[[#This Row],[DATA DE PAGAMENTO]]="","",TEXT(LANÇ_MOV[[#This Row],[DATA DE PAGAMENTO]],"AAAA"))</f>
        <v/>
      </c>
      <c r="AJ714" s="527" t="str">
        <f>IF(LANÇ_MOV[[#This Row],[DATA DE PAGAMENTO]]="","",UPPER(TEXT(LANÇ_MOV[[#This Row],[DATA DE PAGAMENTO]],"MMMM")))</f>
        <v/>
      </c>
      <c r="AK714" s="527" t="str">
        <f>IF(LANÇ_MOV[[#This Row],[DATA DE PAGAMENTO]]="","",TEXT(LANÇ_MOV[[#This Row],[DATA DE PAGAMENTO]],"M"))</f>
        <v/>
      </c>
      <c r="AL714" s="526" t="str">
        <f>IF(LANÇ_MOV[[#This Row],[DATA DE PAGAMENTO]]="","",TEXT(LANÇ_MOV[[#This Row],[DATA DE PAGAMENTO]],"D"))</f>
        <v/>
      </c>
    </row>
    <row r="715" spans="2:38" ht="30.05" customHeight="1" x14ac:dyDescent="0.35">
      <c r="B715" s="506"/>
      <c r="C715" s="507"/>
      <c r="D715" s="508" t="s">
        <v>1854</v>
      </c>
      <c r="E715" s="509"/>
      <c r="F715" s="510"/>
      <c r="G715" s="507"/>
      <c r="H715" s="511"/>
      <c r="I715" s="512"/>
      <c r="J715" s="518"/>
      <c r="K715" s="510"/>
      <c r="L715" s="510"/>
      <c r="M715" s="548"/>
      <c r="N715" s="514">
        <f>LANÇ_MOV[[#This Row],[VALOR BRUTO]]-LANÇ_MOV[[#This Row],[DESCONTO]]+LANÇ_MOV[[#This Row],[JUROS]]+LANÇ_MOV[[#This Row],[MULTA]]</f>
        <v>0</v>
      </c>
      <c r="O715" s="546"/>
      <c r="P715" s="547" t="str">
        <f t="shared" ca="1" si="11"/>
        <v/>
      </c>
      <c r="Q715" s="528"/>
      <c r="R715" s="529"/>
      <c r="S715" s="518"/>
      <c r="T715" s="518"/>
      <c r="U715" s="519"/>
      <c r="V715" s="520" t="str">
        <f>IFERROR(VLOOKUP(LANÇ_MOV[[#This Row],[PLANO DE CONTAS]],Plano_Contas[[PLANO DE CONTAS]:[R / D]],3,0),"")</f>
        <v/>
      </c>
      <c r="W715" s="521" t="str">
        <f>IF(LANÇ_MOV[[#This Row],[DATA DE PAGAMENTO]]&lt;&gt;"","Pago","Não Pago")</f>
        <v>Não Pago</v>
      </c>
      <c r="X715" s="522" t="str">
        <f>IFERROR(IF(LANÇ_MOV[[#This Row],[DATA DE PAGAMENTO]]="","",(UPPER(TEXT(LANÇ_MOV[[#This Row],[DATA DE PAGAMENTO]],"mmmm")))),"")</f>
        <v/>
      </c>
      <c r="Y715" s="523" t="str">
        <f>IFERROR(VLOOKUP(LANÇ_MOV[[#This Row],[PLANO DE CONTAS]],Plano_Contas[[PLANO DE CONTAS]:[NOMES INTERVALOS]],2,0),"")</f>
        <v/>
      </c>
      <c r="Z715" s="523" t="str">
        <f>IF(LANÇ_MOV[[#This Row],[FORMA DE PAGAMENTO]]="","",VLOOKUP(LANÇ_MOV[[#This Row],[FORMA DE PAGAMENTO]],CAD_Forma_pagto[],2,0))</f>
        <v/>
      </c>
      <c r="AA715" s="524" t="str">
        <f>IF(LANÇ_MOV[[#This Row],[DATA DE LANÇAMENTO]]="","",TEXT(LANÇ_MOV[[#This Row],[DATA DE LANÇAMENTO]],"AAAA"))</f>
        <v/>
      </c>
      <c r="AB715" s="524" t="str">
        <f>IF(LANÇ_MOV[[#This Row],[DATA DE LANÇAMENTO]]="","",UPPER(TEXT(LANÇ_MOV[[#This Row],[DATA DE LANÇAMENTO]],"MMMM")))</f>
        <v/>
      </c>
      <c r="AC715" s="525" t="str">
        <f>IF(LANÇ_MOV[[#This Row],[DATA DE LANÇAMENTO]]="","",PROPER(TEXT(LANÇ_MOV[[#This Row],[DATA DE LANÇAMENTO]],"M")))</f>
        <v/>
      </c>
      <c r="AD715" s="524" t="str">
        <f>IF(LANÇ_MOV[[#This Row],[DATA DE LANÇAMENTO]]="","",TEXT(LANÇ_MOV[[#This Row],[DATA DE LANÇAMENTO]],"D"))</f>
        <v/>
      </c>
      <c r="AE715" s="526" t="str">
        <f>IF(LANÇ_MOV[[#This Row],[DATA DE VENCIMENTO]]="","",TEXT(LANÇ_MOV[[#This Row],[DATA DE VENCIMENTO]],"AAAA"))</f>
        <v/>
      </c>
      <c r="AF715" s="526" t="str">
        <f>IF(LANÇ_MOV[[#This Row],[DATA DE VENCIMENTO]]="","",UPPER(TEXT(LANÇ_MOV[[#This Row],[DATA DE VENCIMENTO]],"MMMM")))</f>
        <v/>
      </c>
      <c r="AG715" s="526" t="str">
        <f>IF(LANÇ_MOV[[#This Row],[DATA DE VENCIMENTO]]="","",TEXT(LANÇ_MOV[[#This Row],[DATA DE VENCIMENTO]],"M"))</f>
        <v/>
      </c>
      <c r="AH715" s="526" t="str">
        <f>IF(LANÇ_MOV[[#This Row],[DATA DE VENCIMENTO]]="","",TEXT(LANÇ_MOV[[#This Row],[DATA DE VENCIMENTO]],"D"))</f>
        <v/>
      </c>
      <c r="AI715" s="526" t="str">
        <f>IF(LANÇ_MOV[[#This Row],[DATA DE PAGAMENTO]]="","",TEXT(LANÇ_MOV[[#This Row],[DATA DE PAGAMENTO]],"AAAA"))</f>
        <v/>
      </c>
      <c r="AJ715" s="527" t="str">
        <f>IF(LANÇ_MOV[[#This Row],[DATA DE PAGAMENTO]]="","",UPPER(TEXT(LANÇ_MOV[[#This Row],[DATA DE PAGAMENTO]],"MMMM")))</f>
        <v/>
      </c>
      <c r="AK715" s="527" t="str">
        <f>IF(LANÇ_MOV[[#This Row],[DATA DE PAGAMENTO]]="","",TEXT(LANÇ_MOV[[#This Row],[DATA DE PAGAMENTO]],"M"))</f>
        <v/>
      </c>
      <c r="AL715" s="526" t="str">
        <f>IF(LANÇ_MOV[[#This Row],[DATA DE PAGAMENTO]]="","",TEXT(LANÇ_MOV[[#This Row],[DATA DE PAGAMENTO]],"D"))</f>
        <v/>
      </c>
    </row>
    <row r="716" spans="2:38" ht="30.05" customHeight="1" x14ac:dyDescent="0.35">
      <c r="B716" s="506"/>
      <c r="C716" s="507"/>
      <c r="D716" s="508" t="s">
        <v>1854</v>
      </c>
      <c r="E716" s="509"/>
      <c r="F716" s="510"/>
      <c r="G716" s="507"/>
      <c r="H716" s="511"/>
      <c r="I716" s="512"/>
      <c r="J716" s="518"/>
      <c r="K716" s="510"/>
      <c r="L716" s="510"/>
      <c r="M716" s="548"/>
      <c r="N716" s="514">
        <f>LANÇ_MOV[[#This Row],[VALOR BRUTO]]-LANÇ_MOV[[#This Row],[DESCONTO]]+LANÇ_MOV[[#This Row],[JUROS]]+LANÇ_MOV[[#This Row],[MULTA]]</f>
        <v>0</v>
      </c>
      <c r="O716" s="546"/>
      <c r="P716" s="547" t="str">
        <f t="shared" ca="1" si="11"/>
        <v/>
      </c>
      <c r="Q716" s="528"/>
      <c r="R716" s="529"/>
      <c r="S716" s="518"/>
      <c r="T716" s="518"/>
      <c r="U716" s="519"/>
      <c r="V716" s="520" t="str">
        <f>IFERROR(VLOOKUP(LANÇ_MOV[[#This Row],[PLANO DE CONTAS]],Plano_Contas[[PLANO DE CONTAS]:[R / D]],3,0),"")</f>
        <v/>
      </c>
      <c r="W716" s="521" t="str">
        <f>IF(LANÇ_MOV[[#This Row],[DATA DE PAGAMENTO]]&lt;&gt;"","Pago","Não Pago")</f>
        <v>Não Pago</v>
      </c>
      <c r="X716" s="522" t="str">
        <f>IFERROR(IF(LANÇ_MOV[[#This Row],[DATA DE PAGAMENTO]]="","",(UPPER(TEXT(LANÇ_MOV[[#This Row],[DATA DE PAGAMENTO]],"mmmm")))),"")</f>
        <v/>
      </c>
      <c r="Y716" s="523" t="str">
        <f>IFERROR(VLOOKUP(LANÇ_MOV[[#This Row],[PLANO DE CONTAS]],Plano_Contas[[PLANO DE CONTAS]:[NOMES INTERVALOS]],2,0),"")</f>
        <v/>
      </c>
      <c r="Z716" s="523" t="str">
        <f>IF(LANÇ_MOV[[#This Row],[FORMA DE PAGAMENTO]]="","",VLOOKUP(LANÇ_MOV[[#This Row],[FORMA DE PAGAMENTO]],CAD_Forma_pagto[],2,0))</f>
        <v/>
      </c>
      <c r="AA716" s="524" t="str">
        <f>IF(LANÇ_MOV[[#This Row],[DATA DE LANÇAMENTO]]="","",TEXT(LANÇ_MOV[[#This Row],[DATA DE LANÇAMENTO]],"AAAA"))</f>
        <v/>
      </c>
      <c r="AB716" s="524" t="str">
        <f>IF(LANÇ_MOV[[#This Row],[DATA DE LANÇAMENTO]]="","",UPPER(TEXT(LANÇ_MOV[[#This Row],[DATA DE LANÇAMENTO]],"MMMM")))</f>
        <v/>
      </c>
      <c r="AC716" s="525" t="str">
        <f>IF(LANÇ_MOV[[#This Row],[DATA DE LANÇAMENTO]]="","",PROPER(TEXT(LANÇ_MOV[[#This Row],[DATA DE LANÇAMENTO]],"M")))</f>
        <v/>
      </c>
      <c r="AD716" s="524" t="str">
        <f>IF(LANÇ_MOV[[#This Row],[DATA DE LANÇAMENTO]]="","",TEXT(LANÇ_MOV[[#This Row],[DATA DE LANÇAMENTO]],"D"))</f>
        <v/>
      </c>
      <c r="AE716" s="526" t="str">
        <f>IF(LANÇ_MOV[[#This Row],[DATA DE VENCIMENTO]]="","",TEXT(LANÇ_MOV[[#This Row],[DATA DE VENCIMENTO]],"AAAA"))</f>
        <v/>
      </c>
      <c r="AF716" s="526" t="str">
        <f>IF(LANÇ_MOV[[#This Row],[DATA DE VENCIMENTO]]="","",UPPER(TEXT(LANÇ_MOV[[#This Row],[DATA DE VENCIMENTO]],"MMMM")))</f>
        <v/>
      </c>
      <c r="AG716" s="526" t="str">
        <f>IF(LANÇ_MOV[[#This Row],[DATA DE VENCIMENTO]]="","",TEXT(LANÇ_MOV[[#This Row],[DATA DE VENCIMENTO]],"M"))</f>
        <v/>
      </c>
      <c r="AH716" s="526" t="str">
        <f>IF(LANÇ_MOV[[#This Row],[DATA DE VENCIMENTO]]="","",TEXT(LANÇ_MOV[[#This Row],[DATA DE VENCIMENTO]],"D"))</f>
        <v/>
      </c>
      <c r="AI716" s="526" t="str">
        <f>IF(LANÇ_MOV[[#This Row],[DATA DE PAGAMENTO]]="","",TEXT(LANÇ_MOV[[#This Row],[DATA DE PAGAMENTO]],"AAAA"))</f>
        <v/>
      </c>
      <c r="AJ716" s="527" t="str">
        <f>IF(LANÇ_MOV[[#This Row],[DATA DE PAGAMENTO]]="","",UPPER(TEXT(LANÇ_MOV[[#This Row],[DATA DE PAGAMENTO]],"MMMM")))</f>
        <v/>
      </c>
      <c r="AK716" s="527" t="str">
        <f>IF(LANÇ_MOV[[#This Row],[DATA DE PAGAMENTO]]="","",TEXT(LANÇ_MOV[[#This Row],[DATA DE PAGAMENTO]],"M"))</f>
        <v/>
      </c>
      <c r="AL716" s="526" t="str">
        <f>IF(LANÇ_MOV[[#This Row],[DATA DE PAGAMENTO]]="","",TEXT(LANÇ_MOV[[#This Row],[DATA DE PAGAMENTO]],"D"))</f>
        <v/>
      </c>
    </row>
    <row r="717" spans="2:38" ht="30.05" customHeight="1" x14ac:dyDescent="0.35">
      <c r="B717" s="506"/>
      <c r="C717" s="507"/>
      <c r="D717" s="508" t="s">
        <v>1854</v>
      </c>
      <c r="E717" s="509"/>
      <c r="F717" s="510"/>
      <c r="G717" s="507"/>
      <c r="H717" s="511"/>
      <c r="I717" s="512"/>
      <c r="J717" s="518"/>
      <c r="K717" s="510"/>
      <c r="L717" s="510"/>
      <c r="M717" s="548"/>
      <c r="N717" s="514">
        <f>LANÇ_MOV[[#This Row],[VALOR BRUTO]]-LANÇ_MOV[[#This Row],[DESCONTO]]+LANÇ_MOV[[#This Row],[JUROS]]+LANÇ_MOV[[#This Row],[MULTA]]</f>
        <v>0</v>
      </c>
      <c r="O717" s="546"/>
      <c r="P717" s="547" t="str">
        <f t="shared" ca="1" si="11"/>
        <v/>
      </c>
      <c r="Q717" s="528"/>
      <c r="R717" s="529"/>
      <c r="S717" s="518"/>
      <c r="T717" s="518"/>
      <c r="U717" s="519"/>
      <c r="V717" s="520" t="str">
        <f>IFERROR(VLOOKUP(LANÇ_MOV[[#This Row],[PLANO DE CONTAS]],Plano_Contas[[PLANO DE CONTAS]:[R / D]],3,0),"")</f>
        <v/>
      </c>
      <c r="W717" s="521" t="str">
        <f>IF(LANÇ_MOV[[#This Row],[DATA DE PAGAMENTO]]&lt;&gt;"","Pago","Não Pago")</f>
        <v>Não Pago</v>
      </c>
      <c r="X717" s="522" t="str">
        <f>IFERROR(IF(LANÇ_MOV[[#This Row],[DATA DE PAGAMENTO]]="","",(UPPER(TEXT(LANÇ_MOV[[#This Row],[DATA DE PAGAMENTO]],"mmmm")))),"")</f>
        <v/>
      </c>
      <c r="Y717" s="523" t="str">
        <f>IFERROR(VLOOKUP(LANÇ_MOV[[#This Row],[PLANO DE CONTAS]],Plano_Contas[[PLANO DE CONTAS]:[NOMES INTERVALOS]],2,0),"")</f>
        <v/>
      </c>
      <c r="Z717" s="523" t="str">
        <f>IF(LANÇ_MOV[[#This Row],[FORMA DE PAGAMENTO]]="","",VLOOKUP(LANÇ_MOV[[#This Row],[FORMA DE PAGAMENTO]],CAD_Forma_pagto[],2,0))</f>
        <v/>
      </c>
      <c r="AA717" s="524" t="str">
        <f>IF(LANÇ_MOV[[#This Row],[DATA DE LANÇAMENTO]]="","",TEXT(LANÇ_MOV[[#This Row],[DATA DE LANÇAMENTO]],"AAAA"))</f>
        <v/>
      </c>
      <c r="AB717" s="524" t="str">
        <f>IF(LANÇ_MOV[[#This Row],[DATA DE LANÇAMENTO]]="","",UPPER(TEXT(LANÇ_MOV[[#This Row],[DATA DE LANÇAMENTO]],"MMMM")))</f>
        <v/>
      </c>
      <c r="AC717" s="525" t="str">
        <f>IF(LANÇ_MOV[[#This Row],[DATA DE LANÇAMENTO]]="","",PROPER(TEXT(LANÇ_MOV[[#This Row],[DATA DE LANÇAMENTO]],"M")))</f>
        <v/>
      </c>
      <c r="AD717" s="524" t="str">
        <f>IF(LANÇ_MOV[[#This Row],[DATA DE LANÇAMENTO]]="","",TEXT(LANÇ_MOV[[#This Row],[DATA DE LANÇAMENTO]],"D"))</f>
        <v/>
      </c>
      <c r="AE717" s="526" t="str">
        <f>IF(LANÇ_MOV[[#This Row],[DATA DE VENCIMENTO]]="","",TEXT(LANÇ_MOV[[#This Row],[DATA DE VENCIMENTO]],"AAAA"))</f>
        <v/>
      </c>
      <c r="AF717" s="526" t="str">
        <f>IF(LANÇ_MOV[[#This Row],[DATA DE VENCIMENTO]]="","",UPPER(TEXT(LANÇ_MOV[[#This Row],[DATA DE VENCIMENTO]],"MMMM")))</f>
        <v/>
      </c>
      <c r="AG717" s="526" t="str">
        <f>IF(LANÇ_MOV[[#This Row],[DATA DE VENCIMENTO]]="","",TEXT(LANÇ_MOV[[#This Row],[DATA DE VENCIMENTO]],"M"))</f>
        <v/>
      </c>
      <c r="AH717" s="526" t="str">
        <f>IF(LANÇ_MOV[[#This Row],[DATA DE VENCIMENTO]]="","",TEXT(LANÇ_MOV[[#This Row],[DATA DE VENCIMENTO]],"D"))</f>
        <v/>
      </c>
      <c r="AI717" s="526" t="str">
        <f>IF(LANÇ_MOV[[#This Row],[DATA DE PAGAMENTO]]="","",TEXT(LANÇ_MOV[[#This Row],[DATA DE PAGAMENTO]],"AAAA"))</f>
        <v/>
      </c>
      <c r="AJ717" s="527" t="str">
        <f>IF(LANÇ_MOV[[#This Row],[DATA DE PAGAMENTO]]="","",UPPER(TEXT(LANÇ_MOV[[#This Row],[DATA DE PAGAMENTO]],"MMMM")))</f>
        <v/>
      </c>
      <c r="AK717" s="527" t="str">
        <f>IF(LANÇ_MOV[[#This Row],[DATA DE PAGAMENTO]]="","",TEXT(LANÇ_MOV[[#This Row],[DATA DE PAGAMENTO]],"M"))</f>
        <v/>
      </c>
      <c r="AL717" s="526" t="str">
        <f>IF(LANÇ_MOV[[#This Row],[DATA DE PAGAMENTO]]="","",TEXT(LANÇ_MOV[[#This Row],[DATA DE PAGAMENTO]],"D"))</f>
        <v/>
      </c>
    </row>
    <row r="718" spans="2:38" ht="30.05" customHeight="1" x14ac:dyDescent="0.35">
      <c r="B718" s="506"/>
      <c r="C718" s="507"/>
      <c r="D718" s="508" t="s">
        <v>1854</v>
      </c>
      <c r="E718" s="509"/>
      <c r="F718" s="510"/>
      <c r="G718" s="507"/>
      <c r="H718" s="511"/>
      <c r="I718" s="512"/>
      <c r="J718" s="518"/>
      <c r="K718" s="510"/>
      <c r="L718" s="510"/>
      <c r="M718" s="548"/>
      <c r="N718" s="514">
        <f>LANÇ_MOV[[#This Row],[VALOR BRUTO]]-LANÇ_MOV[[#This Row],[DESCONTO]]+LANÇ_MOV[[#This Row],[JUROS]]+LANÇ_MOV[[#This Row],[MULTA]]</f>
        <v>0</v>
      </c>
      <c r="O718" s="546"/>
      <c r="P718" s="547" t="str">
        <f t="shared" ca="1" si="11"/>
        <v/>
      </c>
      <c r="Q718" s="528"/>
      <c r="R718" s="529"/>
      <c r="S718" s="518"/>
      <c r="T718" s="518"/>
      <c r="U718" s="519"/>
      <c r="V718" s="520" t="str">
        <f>IFERROR(VLOOKUP(LANÇ_MOV[[#This Row],[PLANO DE CONTAS]],Plano_Contas[[PLANO DE CONTAS]:[R / D]],3,0),"")</f>
        <v/>
      </c>
      <c r="W718" s="521" t="str">
        <f>IF(LANÇ_MOV[[#This Row],[DATA DE PAGAMENTO]]&lt;&gt;"","Pago","Não Pago")</f>
        <v>Não Pago</v>
      </c>
      <c r="X718" s="522" t="str">
        <f>IFERROR(IF(LANÇ_MOV[[#This Row],[DATA DE PAGAMENTO]]="","",(UPPER(TEXT(LANÇ_MOV[[#This Row],[DATA DE PAGAMENTO]],"mmmm")))),"")</f>
        <v/>
      </c>
      <c r="Y718" s="523" t="str">
        <f>IFERROR(VLOOKUP(LANÇ_MOV[[#This Row],[PLANO DE CONTAS]],Plano_Contas[[PLANO DE CONTAS]:[NOMES INTERVALOS]],2,0),"")</f>
        <v/>
      </c>
      <c r="Z718" s="523" t="str">
        <f>IF(LANÇ_MOV[[#This Row],[FORMA DE PAGAMENTO]]="","",VLOOKUP(LANÇ_MOV[[#This Row],[FORMA DE PAGAMENTO]],CAD_Forma_pagto[],2,0))</f>
        <v/>
      </c>
      <c r="AA718" s="524" t="str">
        <f>IF(LANÇ_MOV[[#This Row],[DATA DE LANÇAMENTO]]="","",TEXT(LANÇ_MOV[[#This Row],[DATA DE LANÇAMENTO]],"AAAA"))</f>
        <v/>
      </c>
      <c r="AB718" s="524" t="str">
        <f>IF(LANÇ_MOV[[#This Row],[DATA DE LANÇAMENTO]]="","",UPPER(TEXT(LANÇ_MOV[[#This Row],[DATA DE LANÇAMENTO]],"MMMM")))</f>
        <v/>
      </c>
      <c r="AC718" s="525" t="str">
        <f>IF(LANÇ_MOV[[#This Row],[DATA DE LANÇAMENTO]]="","",PROPER(TEXT(LANÇ_MOV[[#This Row],[DATA DE LANÇAMENTO]],"M")))</f>
        <v/>
      </c>
      <c r="AD718" s="524" t="str">
        <f>IF(LANÇ_MOV[[#This Row],[DATA DE LANÇAMENTO]]="","",TEXT(LANÇ_MOV[[#This Row],[DATA DE LANÇAMENTO]],"D"))</f>
        <v/>
      </c>
      <c r="AE718" s="526" t="str">
        <f>IF(LANÇ_MOV[[#This Row],[DATA DE VENCIMENTO]]="","",TEXT(LANÇ_MOV[[#This Row],[DATA DE VENCIMENTO]],"AAAA"))</f>
        <v/>
      </c>
      <c r="AF718" s="526" t="str">
        <f>IF(LANÇ_MOV[[#This Row],[DATA DE VENCIMENTO]]="","",UPPER(TEXT(LANÇ_MOV[[#This Row],[DATA DE VENCIMENTO]],"MMMM")))</f>
        <v/>
      </c>
      <c r="AG718" s="526" t="str">
        <f>IF(LANÇ_MOV[[#This Row],[DATA DE VENCIMENTO]]="","",TEXT(LANÇ_MOV[[#This Row],[DATA DE VENCIMENTO]],"M"))</f>
        <v/>
      </c>
      <c r="AH718" s="526" t="str">
        <f>IF(LANÇ_MOV[[#This Row],[DATA DE VENCIMENTO]]="","",TEXT(LANÇ_MOV[[#This Row],[DATA DE VENCIMENTO]],"D"))</f>
        <v/>
      </c>
      <c r="AI718" s="526" t="str">
        <f>IF(LANÇ_MOV[[#This Row],[DATA DE PAGAMENTO]]="","",TEXT(LANÇ_MOV[[#This Row],[DATA DE PAGAMENTO]],"AAAA"))</f>
        <v/>
      </c>
      <c r="AJ718" s="527" t="str">
        <f>IF(LANÇ_MOV[[#This Row],[DATA DE PAGAMENTO]]="","",UPPER(TEXT(LANÇ_MOV[[#This Row],[DATA DE PAGAMENTO]],"MMMM")))</f>
        <v/>
      </c>
      <c r="AK718" s="527" t="str">
        <f>IF(LANÇ_MOV[[#This Row],[DATA DE PAGAMENTO]]="","",TEXT(LANÇ_MOV[[#This Row],[DATA DE PAGAMENTO]],"M"))</f>
        <v/>
      </c>
      <c r="AL718" s="526" t="str">
        <f>IF(LANÇ_MOV[[#This Row],[DATA DE PAGAMENTO]]="","",TEXT(LANÇ_MOV[[#This Row],[DATA DE PAGAMENTO]],"D"))</f>
        <v/>
      </c>
    </row>
    <row r="719" spans="2:38" ht="30.05" customHeight="1" x14ac:dyDescent="0.35">
      <c r="B719" s="506"/>
      <c r="C719" s="507"/>
      <c r="D719" s="508" t="s">
        <v>1854</v>
      </c>
      <c r="E719" s="509"/>
      <c r="F719" s="510"/>
      <c r="G719" s="507"/>
      <c r="H719" s="511"/>
      <c r="I719" s="512"/>
      <c r="J719" s="518"/>
      <c r="K719" s="510"/>
      <c r="L719" s="510"/>
      <c r="M719" s="548"/>
      <c r="N719" s="514">
        <f>LANÇ_MOV[[#This Row],[VALOR BRUTO]]-LANÇ_MOV[[#This Row],[DESCONTO]]+LANÇ_MOV[[#This Row],[JUROS]]+LANÇ_MOV[[#This Row],[MULTA]]</f>
        <v>0</v>
      </c>
      <c r="O719" s="546"/>
      <c r="P719" s="547" t="str">
        <f t="shared" ca="1" si="11"/>
        <v/>
      </c>
      <c r="Q719" s="528"/>
      <c r="R719" s="529"/>
      <c r="S719" s="518"/>
      <c r="T719" s="518"/>
      <c r="U719" s="519"/>
      <c r="V719" s="520" t="str">
        <f>IFERROR(VLOOKUP(LANÇ_MOV[[#This Row],[PLANO DE CONTAS]],Plano_Contas[[PLANO DE CONTAS]:[R / D]],3,0),"")</f>
        <v/>
      </c>
      <c r="W719" s="521" t="str">
        <f>IF(LANÇ_MOV[[#This Row],[DATA DE PAGAMENTO]]&lt;&gt;"","Pago","Não Pago")</f>
        <v>Não Pago</v>
      </c>
      <c r="X719" s="522" t="str">
        <f>IFERROR(IF(LANÇ_MOV[[#This Row],[DATA DE PAGAMENTO]]="","",(UPPER(TEXT(LANÇ_MOV[[#This Row],[DATA DE PAGAMENTO]],"mmmm")))),"")</f>
        <v/>
      </c>
      <c r="Y719" s="523" t="str">
        <f>IFERROR(VLOOKUP(LANÇ_MOV[[#This Row],[PLANO DE CONTAS]],Plano_Contas[[PLANO DE CONTAS]:[NOMES INTERVALOS]],2,0),"")</f>
        <v/>
      </c>
      <c r="Z719" s="523" t="str">
        <f>IF(LANÇ_MOV[[#This Row],[FORMA DE PAGAMENTO]]="","",VLOOKUP(LANÇ_MOV[[#This Row],[FORMA DE PAGAMENTO]],CAD_Forma_pagto[],2,0))</f>
        <v/>
      </c>
      <c r="AA719" s="524" t="str">
        <f>IF(LANÇ_MOV[[#This Row],[DATA DE LANÇAMENTO]]="","",TEXT(LANÇ_MOV[[#This Row],[DATA DE LANÇAMENTO]],"AAAA"))</f>
        <v/>
      </c>
      <c r="AB719" s="524" t="str">
        <f>IF(LANÇ_MOV[[#This Row],[DATA DE LANÇAMENTO]]="","",UPPER(TEXT(LANÇ_MOV[[#This Row],[DATA DE LANÇAMENTO]],"MMMM")))</f>
        <v/>
      </c>
      <c r="AC719" s="525" t="str">
        <f>IF(LANÇ_MOV[[#This Row],[DATA DE LANÇAMENTO]]="","",PROPER(TEXT(LANÇ_MOV[[#This Row],[DATA DE LANÇAMENTO]],"M")))</f>
        <v/>
      </c>
      <c r="AD719" s="524" t="str">
        <f>IF(LANÇ_MOV[[#This Row],[DATA DE LANÇAMENTO]]="","",TEXT(LANÇ_MOV[[#This Row],[DATA DE LANÇAMENTO]],"D"))</f>
        <v/>
      </c>
      <c r="AE719" s="526" t="str">
        <f>IF(LANÇ_MOV[[#This Row],[DATA DE VENCIMENTO]]="","",TEXT(LANÇ_MOV[[#This Row],[DATA DE VENCIMENTO]],"AAAA"))</f>
        <v/>
      </c>
      <c r="AF719" s="526" t="str">
        <f>IF(LANÇ_MOV[[#This Row],[DATA DE VENCIMENTO]]="","",UPPER(TEXT(LANÇ_MOV[[#This Row],[DATA DE VENCIMENTO]],"MMMM")))</f>
        <v/>
      </c>
      <c r="AG719" s="526" t="str">
        <f>IF(LANÇ_MOV[[#This Row],[DATA DE VENCIMENTO]]="","",TEXT(LANÇ_MOV[[#This Row],[DATA DE VENCIMENTO]],"M"))</f>
        <v/>
      </c>
      <c r="AH719" s="526" t="str">
        <f>IF(LANÇ_MOV[[#This Row],[DATA DE VENCIMENTO]]="","",TEXT(LANÇ_MOV[[#This Row],[DATA DE VENCIMENTO]],"D"))</f>
        <v/>
      </c>
      <c r="AI719" s="526" t="str">
        <f>IF(LANÇ_MOV[[#This Row],[DATA DE PAGAMENTO]]="","",TEXT(LANÇ_MOV[[#This Row],[DATA DE PAGAMENTO]],"AAAA"))</f>
        <v/>
      </c>
      <c r="AJ719" s="527" t="str">
        <f>IF(LANÇ_MOV[[#This Row],[DATA DE PAGAMENTO]]="","",UPPER(TEXT(LANÇ_MOV[[#This Row],[DATA DE PAGAMENTO]],"MMMM")))</f>
        <v/>
      </c>
      <c r="AK719" s="527" t="str">
        <f>IF(LANÇ_MOV[[#This Row],[DATA DE PAGAMENTO]]="","",TEXT(LANÇ_MOV[[#This Row],[DATA DE PAGAMENTO]],"M"))</f>
        <v/>
      </c>
      <c r="AL719" s="526" t="str">
        <f>IF(LANÇ_MOV[[#This Row],[DATA DE PAGAMENTO]]="","",TEXT(LANÇ_MOV[[#This Row],[DATA DE PAGAMENTO]],"D"))</f>
        <v/>
      </c>
    </row>
    <row r="720" spans="2:38" ht="30.05" customHeight="1" x14ac:dyDescent="0.35">
      <c r="B720" s="506"/>
      <c r="C720" s="507"/>
      <c r="D720" s="508" t="s">
        <v>1854</v>
      </c>
      <c r="E720" s="509"/>
      <c r="F720" s="510"/>
      <c r="G720" s="507"/>
      <c r="H720" s="511"/>
      <c r="I720" s="512"/>
      <c r="J720" s="518"/>
      <c r="K720" s="510"/>
      <c r="L720" s="510"/>
      <c r="M720" s="548"/>
      <c r="N720" s="514">
        <f>LANÇ_MOV[[#This Row],[VALOR BRUTO]]-LANÇ_MOV[[#This Row],[DESCONTO]]+LANÇ_MOV[[#This Row],[JUROS]]+LANÇ_MOV[[#This Row],[MULTA]]</f>
        <v>0</v>
      </c>
      <c r="O720" s="546"/>
      <c r="P720" s="547" t="str">
        <f t="shared" ca="1" si="11"/>
        <v/>
      </c>
      <c r="Q720" s="528"/>
      <c r="R720" s="529"/>
      <c r="S720" s="518"/>
      <c r="T720" s="518"/>
      <c r="U720" s="519"/>
      <c r="V720" s="520" t="str">
        <f>IFERROR(VLOOKUP(LANÇ_MOV[[#This Row],[PLANO DE CONTAS]],Plano_Contas[[PLANO DE CONTAS]:[R / D]],3,0),"")</f>
        <v/>
      </c>
      <c r="W720" s="521" t="str">
        <f>IF(LANÇ_MOV[[#This Row],[DATA DE PAGAMENTO]]&lt;&gt;"","Pago","Não Pago")</f>
        <v>Não Pago</v>
      </c>
      <c r="X720" s="522" t="str">
        <f>IFERROR(IF(LANÇ_MOV[[#This Row],[DATA DE PAGAMENTO]]="","",(UPPER(TEXT(LANÇ_MOV[[#This Row],[DATA DE PAGAMENTO]],"mmmm")))),"")</f>
        <v/>
      </c>
      <c r="Y720" s="523" t="str">
        <f>IFERROR(VLOOKUP(LANÇ_MOV[[#This Row],[PLANO DE CONTAS]],Plano_Contas[[PLANO DE CONTAS]:[NOMES INTERVALOS]],2,0),"")</f>
        <v/>
      </c>
      <c r="Z720" s="523" t="str">
        <f>IF(LANÇ_MOV[[#This Row],[FORMA DE PAGAMENTO]]="","",VLOOKUP(LANÇ_MOV[[#This Row],[FORMA DE PAGAMENTO]],CAD_Forma_pagto[],2,0))</f>
        <v/>
      </c>
      <c r="AA720" s="524" t="str">
        <f>IF(LANÇ_MOV[[#This Row],[DATA DE LANÇAMENTO]]="","",TEXT(LANÇ_MOV[[#This Row],[DATA DE LANÇAMENTO]],"AAAA"))</f>
        <v/>
      </c>
      <c r="AB720" s="524" t="str">
        <f>IF(LANÇ_MOV[[#This Row],[DATA DE LANÇAMENTO]]="","",UPPER(TEXT(LANÇ_MOV[[#This Row],[DATA DE LANÇAMENTO]],"MMMM")))</f>
        <v/>
      </c>
      <c r="AC720" s="525" t="str">
        <f>IF(LANÇ_MOV[[#This Row],[DATA DE LANÇAMENTO]]="","",PROPER(TEXT(LANÇ_MOV[[#This Row],[DATA DE LANÇAMENTO]],"M")))</f>
        <v/>
      </c>
      <c r="AD720" s="524" t="str">
        <f>IF(LANÇ_MOV[[#This Row],[DATA DE LANÇAMENTO]]="","",TEXT(LANÇ_MOV[[#This Row],[DATA DE LANÇAMENTO]],"D"))</f>
        <v/>
      </c>
      <c r="AE720" s="526" t="str">
        <f>IF(LANÇ_MOV[[#This Row],[DATA DE VENCIMENTO]]="","",TEXT(LANÇ_MOV[[#This Row],[DATA DE VENCIMENTO]],"AAAA"))</f>
        <v/>
      </c>
      <c r="AF720" s="526" t="str">
        <f>IF(LANÇ_MOV[[#This Row],[DATA DE VENCIMENTO]]="","",UPPER(TEXT(LANÇ_MOV[[#This Row],[DATA DE VENCIMENTO]],"MMMM")))</f>
        <v/>
      </c>
      <c r="AG720" s="526" t="str">
        <f>IF(LANÇ_MOV[[#This Row],[DATA DE VENCIMENTO]]="","",TEXT(LANÇ_MOV[[#This Row],[DATA DE VENCIMENTO]],"M"))</f>
        <v/>
      </c>
      <c r="AH720" s="526" t="str">
        <f>IF(LANÇ_MOV[[#This Row],[DATA DE VENCIMENTO]]="","",TEXT(LANÇ_MOV[[#This Row],[DATA DE VENCIMENTO]],"D"))</f>
        <v/>
      </c>
      <c r="AI720" s="526" t="str">
        <f>IF(LANÇ_MOV[[#This Row],[DATA DE PAGAMENTO]]="","",TEXT(LANÇ_MOV[[#This Row],[DATA DE PAGAMENTO]],"AAAA"))</f>
        <v/>
      </c>
      <c r="AJ720" s="527" t="str">
        <f>IF(LANÇ_MOV[[#This Row],[DATA DE PAGAMENTO]]="","",UPPER(TEXT(LANÇ_MOV[[#This Row],[DATA DE PAGAMENTO]],"MMMM")))</f>
        <v/>
      </c>
      <c r="AK720" s="527" t="str">
        <f>IF(LANÇ_MOV[[#This Row],[DATA DE PAGAMENTO]]="","",TEXT(LANÇ_MOV[[#This Row],[DATA DE PAGAMENTO]],"M"))</f>
        <v/>
      </c>
      <c r="AL720" s="526" t="str">
        <f>IF(LANÇ_MOV[[#This Row],[DATA DE PAGAMENTO]]="","",TEXT(LANÇ_MOV[[#This Row],[DATA DE PAGAMENTO]],"D"))</f>
        <v/>
      </c>
    </row>
    <row r="721" spans="2:38" ht="30.05" customHeight="1" x14ac:dyDescent="0.35">
      <c r="B721" s="506"/>
      <c r="C721" s="507"/>
      <c r="D721" s="508" t="s">
        <v>1854</v>
      </c>
      <c r="E721" s="509"/>
      <c r="F721" s="510"/>
      <c r="G721" s="507"/>
      <c r="H721" s="511"/>
      <c r="I721" s="512"/>
      <c r="J721" s="518"/>
      <c r="K721" s="510"/>
      <c r="L721" s="510"/>
      <c r="M721" s="548"/>
      <c r="N721" s="514">
        <f>LANÇ_MOV[[#This Row],[VALOR BRUTO]]-LANÇ_MOV[[#This Row],[DESCONTO]]+LANÇ_MOV[[#This Row],[JUROS]]+LANÇ_MOV[[#This Row],[MULTA]]</f>
        <v>0</v>
      </c>
      <c r="O721" s="546"/>
      <c r="P721" s="547" t="str">
        <f t="shared" ca="1" si="11"/>
        <v/>
      </c>
      <c r="Q721" s="528"/>
      <c r="R721" s="529"/>
      <c r="S721" s="518"/>
      <c r="T721" s="518"/>
      <c r="U721" s="519"/>
      <c r="V721" s="520" t="str">
        <f>IFERROR(VLOOKUP(LANÇ_MOV[[#This Row],[PLANO DE CONTAS]],Plano_Contas[[PLANO DE CONTAS]:[R / D]],3,0),"")</f>
        <v/>
      </c>
      <c r="W721" s="521" t="str">
        <f>IF(LANÇ_MOV[[#This Row],[DATA DE PAGAMENTO]]&lt;&gt;"","Pago","Não Pago")</f>
        <v>Não Pago</v>
      </c>
      <c r="X721" s="522" t="str">
        <f>IFERROR(IF(LANÇ_MOV[[#This Row],[DATA DE PAGAMENTO]]="","",(UPPER(TEXT(LANÇ_MOV[[#This Row],[DATA DE PAGAMENTO]],"mmmm")))),"")</f>
        <v/>
      </c>
      <c r="Y721" s="523" t="str">
        <f>IFERROR(VLOOKUP(LANÇ_MOV[[#This Row],[PLANO DE CONTAS]],Plano_Contas[[PLANO DE CONTAS]:[NOMES INTERVALOS]],2,0),"")</f>
        <v/>
      </c>
      <c r="Z721" s="523" t="str">
        <f>IF(LANÇ_MOV[[#This Row],[FORMA DE PAGAMENTO]]="","",VLOOKUP(LANÇ_MOV[[#This Row],[FORMA DE PAGAMENTO]],CAD_Forma_pagto[],2,0))</f>
        <v/>
      </c>
      <c r="AA721" s="524" t="str">
        <f>IF(LANÇ_MOV[[#This Row],[DATA DE LANÇAMENTO]]="","",TEXT(LANÇ_MOV[[#This Row],[DATA DE LANÇAMENTO]],"AAAA"))</f>
        <v/>
      </c>
      <c r="AB721" s="524" t="str">
        <f>IF(LANÇ_MOV[[#This Row],[DATA DE LANÇAMENTO]]="","",UPPER(TEXT(LANÇ_MOV[[#This Row],[DATA DE LANÇAMENTO]],"MMMM")))</f>
        <v/>
      </c>
      <c r="AC721" s="525" t="str">
        <f>IF(LANÇ_MOV[[#This Row],[DATA DE LANÇAMENTO]]="","",PROPER(TEXT(LANÇ_MOV[[#This Row],[DATA DE LANÇAMENTO]],"M")))</f>
        <v/>
      </c>
      <c r="AD721" s="524" t="str">
        <f>IF(LANÇ_MOV[[#This Row],[DATA DE LANÇAMENTO]]="","",TEXT(LANÇ_MOV[[#This Row],[DATA DE LANÇAMENTO]],"D"))</f>
        <v/>
      </c>
      <c r="AE721" s="526" t="str">
        <f>IF(LANÇ_MOV[[#This Row],[DATA DE VENCIMENTO]]="","",TEXT(LANÇ_MOV[[#This Row],[DATA DE VENCIMENTO]],"AAAA"))</f>
        <v/>
      </c>
      <c r="AF721" s="526" t="str">
        <f>IF(LANÇ_MOV[[#This Row],[DATA DE VENCIMENTO]]="","",UPPER(TEXT(LANÇ_MOV[[#This Row],[DATA DE VENCIMENTO]],"MMMM")))</f>
        <v/>
      </c>
      <c r="AG721" s="526" t="str">
        <f>IF(LANÇ_MOV[[#This Row],[DATA DE VENCIMENTO]]="","",TEXT(LANÇ_MOV[[#This Row],[DATA DE VENCIMENTO]],"M"))</f>
        <v/>
      </c>
      <c r="AH721" s="526" t="str">
        <f>IF(LANÇ_MOV[[#This Row],[DATA DE VENCIMENTO]]="","",TEXT(LANÇ_MOV[[#This Row],[DATA DE VENCIMENTO]],"D"))</f>
        <v/>
      </c>
      <c r="AI721" s="526" t="str">
        <f>IF(LANÇ_MOV[[#This Row],[DATA DE PAGAMENTO]]="","",TEXT(LANÇ_MOV[[#This Row],[DATA DE PAGAMENTO]],"AAAA"))</f>
        <v/>
      </c>
      <c r="AJ721" s="527" t="str">
        <f>IF(LANÇ_MOV[[#This Row],[DATA DE PAGAMENTO]]="","",UPPER(TEXT(LANÇ_MOV[[#This Row],[DATA DE PAGAMENTO]],"MMMM")))</f>
        <v/>
      </c>
      <c r="AK721" s="527" t="str">
        <f>IF(LANÇ_MOV[[#This Row],[DATA DE PAGAMENTO]]="","",TEXT(LANÇ_MOV[[#This Row],[DATA DE PAGAMENTO]],"M"))</f>
        <v/>
      </c>
      <c r="AL721" s="526" t="str">
        <f>IF(LANÇ_MOV[[#This Row],[DATA DE PAGAMENTO]]="","",TEXT(LANÇ_MOV[[#This Row],[DATA DE PAGAMENTO]],"D"))</f>
        <v/>
      </c>
    </row>
    <row r="722" spans="2:38" ht="30.05" customHeight="1" x14ac:dyDescent="0.35">
      <c r="B722" s="506"/>
      <c r="C722" s="507"/>
      <c r="D722" s="508" t="s">
        <v>1854</v>
      </c>
      <c r="E722" s="509"/>
      <c r="F722" s="510"/>
      <c r="G722" s="507"/>
      <c r="H722" s="511"/>
      <c r="I722" s="512"/>
      <c r="J722" s="518"/>
      <c r="K722" s="510"/>
      <c r="L722" s="510"/>
      <c r="M722" s="548"/>
      <c r="N722" s="514">
        <f>LANÇ_MOV[[#This Row],[VALOR BRUTO]]-LANÇ_MOV[[#This Row],[DESCONTO]]+LANÇ_MOV[[#This Row],[JUROS]]+LANÇ_MOV[[#This Row],[MULTA]]</f>
        <v>0</v>
      </c>
      <c r="O722" s="546"/>
      <c r="P722" s="547" t="str">
        <f t="shared" ca="1" si="11"/>
        <v/>
      </c>
      <c r="Q722" s="528"/>
      <c r="R722" s="529"/>
      <c r="S722" s="518"/>
      <c r="T722" s="518"/>
      <c r="U722" s="519"/>
      <c r="V722" s="520" t="str">
        <f>IFERROR(VLOOKUP(LANÇ_MOV[[#This Row],[PLANO DE CONTAS]],Plano_Contas[[PLANO DE CONTAS]:[R / D]],3,0),"")</f>
        <v/>
      </c>
      <c r="W722" s="521" t="str">
        <f>IF(LANÇ_MOV[[#This Row],[DATA DE PAGAMENTO]]&lt;&gt;"","Pago","Não Pago")</f>
        <v>Não Pago</v>
      </c>
      <c r="X722" s="522" t="str">
        <f>IFERROR(IF(LANÇ_MOV[[#This Row],[DATA DE PAGAMENTO]]="","",(UPPER(TEXT(LANÇ_MOV[[#This Row],[DATA DE PAGAMENTO]],"mmmm")))),"")</f>
        <v/>
      </c>
      <c r="Y722" s="523" t="str">
        <f>IFERROR(VLOOKUP(LANÇ_MOV[[#This Row],[PLANO DE CONTAS]],Plano_Contas[[PLANO DE CONTAS]:[NOMES INTERVALOS]],2,0),"")</f>
        <v/>
      </c>
      <c r="Z722" s="523" t="str">
        <f>IF(LANÇ_MOV[[#This Row],[FORMA DE PAGAMENTO]]="","",VLOOKUP(LANÇ_MOV[[#This Row],[FORMA DE PAGAMENTO]],CAD_Forma_pagto[],2,0))</f>
        <v/>
      </c>
      <c r="AA722" s="524" t="str">
        <f>IF(LANÇ_MOV[[#This Row],[DATA DE LANÇAMENTO]]="","",TEXT(LANÇ_MOV[[#This Row],[DATA DE LANÇAMENTO]],"AAAA"))</f>
        <v/>
      </c>
      <c r="AB722" s="524" t="str">
        <f>IF(LANÇ_MOV[[#This Row],[DATA DE LANÇAMENTO]]="","",UPPER(TEXT(LANÇ_MOV[[#This Row],[DATA DE LANÇAMENTO]],"MMMM")))</f>
        <v/>
      </c>
      <c r="AC722" s="525" t="str">
        <f>IF(LANÇ_MOV[[#This Row],[DATA DE LANÇAMENTO]]="","",PROPER(TEXT(LANÇ_MOV[[#This Row],[DATA DE LANÇAMENTO]],"M")))</f>
        <v/>
      </c>
      <c r="AD722" s="524" t="str">
        <f>IF(LANÇ_MOV[[#This Row],[DATA DE LANÇAMENTO]]="","",TEXT(LANÇ_MOV[[#This Row],[DATA DE LANÇAMENTO]],"D"))</f>
        <v/>
      </c>
      <c r="AE722" s="526" t="str">
        <f>IF(LANÇ_MOV[[#This Row],[DATA DE VENCIMENTO]]="","",TEXT(LANÇ_MOV[[#This Row],[DATA DE VENCIMENTO]],"AAAA"))</f>
        <v/>
      </c>
      <c r="AF722" s="526" t="str">
        <f>IF(LANÇ_MOV[[#This Row],[DATA DE VENCIMENTO]]="","",UPPER(TEXT(LANÇ_MOV[[#This Row],[DATA DE VENCIMENTO]],"MMMM")))</f>
        <v/>
      </c>
      <c r="AG722" s="526" t="str">
        <f>IF(LANÇ_MOV[[#This Row],[DATA DE VENCIMENTO]]="","",TEXT(LANÇ_MOV[[#This Row],[DATA DE VENCIMENTO]],"M"))</f>
        <v/>
      </c>
      <c r="AH722" s="526" t="str">
        <f>IF(LANÇ_MOV[[#This Row],[DATA DE VENCIMENTO]]="","",TEXT(LANÇ_MOV[[#This Row],[DATA DE VENCIMENTO]],"D"))</f>
        <v/>
      </c>
      <c r="AI722" s="526" t="str">
        <f>IF(LANÇ_MOV[[#This Row],[DATA DE PAGAMENTO]]="","",TEXT(LANÇ_MOV[[#This Row],[DATA DE PAGAMENTO]],"AAAA"))</f>
        <v/>
      </c>
      <c r="AJ722" s="527" t="str">
        <f>IF(LANÇ_MOV[[#This Row],[DATA DE PAGAMENTO]]="","",UPPER(TEXT(LANÇ_MOV[[#This Row],[DATA DE PAGAMENTO]],"MMMM")))</f>
        <v/>
      </c>
      <c r="AK722" s="527" t="str">
        <f>IF(LANÇ_MOV[[#This Row],[DATA DE PAGAMENTO]]="","",TEXT(LANÇ_MOV[[#This Row],[DATA DE PAGAMENTO]],"M"))</f>
        <v/>
      </c>
      <c r="AL722" s="526" t="str">
        <f>IF(LANÇ_MOV[[#This Row],[DATA DE PAGAMENTO]]="","",TEXT(LANÇ_MOV[[#This Row],[DATA DE PAGAMENTO]],"D"))</f>
        <v/>
      </c>
    </row>
    <row r="723" spans="2:38" ht="30.05" customHeight="1" x14ac:dyDescent="0.35">
      <c r="B723" s="506"/>
      <c r="C723" s="507"/>
      <c r="D723" s="508" t="s">
        <v>1854</v>
      </c>
      <c r="E723" s="509"/>
      <c r="F723" s="510"/>
      <c r="G723" s="507"/>
      <c r="H723" s="511"/>
      <c r="I723" s="512"/>
      <c r="J723" s="518"/>
      <c r="K723" s="510"/>
      <c r="L723" s="510"/>
      <c r="M723" s="548"/>
      <c r="N723" s="514">
        <f>LANÇ_MOV[[#This Row],[VALOR BRUTO]]-LANÇ_MOV[[#This Row],[DESCONTO]]+LANÇ_MOV[[#This Row],[JUROS]]+LANÇ_MOV[[#This Row],[MULTA]]</f>
        <v>0</v>
      </c>
      <c r="O723" s="546"/>
      <c r="P723" s="547" t="str">
        <f t="shared" ca="1" si="11"/>
        <v/>
      </c>
      <c r="Q723" s="528"/>
      <c r="R723" s="529"/>
      <c r="S723" s="518"/>
      <c r="T723" s="518"/>
      <c r="U723" s="519"/>
      <c r="V723" s="520" t="str">
        <f>IFERROR(VLOOKUP(LANÇ_MOV[[#This Row],[PLANO DE CONTAS]],Plano_Contas[[PLANO DE CONTAS]:[R / D]],3,0),"")</f>
        <v/>
      </c>
      <c r="W723" s="521" t="str">
        <f>IF(LANÇ_MOV[[#This Row],[DATA DE PAGAMENTO]]&lt;&gt;"","Pago","Não Pago")</f>
        <v>Não Pago</v>
      </c>
      <c r="X723" s="522" t="str">
        <f>IFERROR(IF(LANÇ_MOV[[#This Row],[DATA DE PAGAMENTO]]="","",(UPPER(TEXT(LANÇ_MOV[[#This Row],[DATA DE PAGAMENTO]],"mmmm")))),"")</f>
        <v/>
      </c>
      <c r="Y723" s="523" t="str">
        <f>IFERROR(VLOOKUP(LANÇ_MOV[[#This Row],[PLANO DE CONTAS]],Plano_Contas[[PLANO DE CONTAS]:[NOMES INTERVALOS]],2,0),"")</f>
        <v/>
      </c>
      <c r="Z723" s="523" t="str">
        <f>IF(LANÇ_MOV[[#This Row],[FORMA DE PAGAMENTO]]="","",VLOOKUP(LANÇ_MOV[[#This Row],[FORMA DE PAGAMENTO]],CAD_Forma_pagto[],2,0))</f>
        <v/>
      </c>
      <c r="AA723" s="524" t="str">
        <f>IF(LANÇ_MOV[[#This Row],[DATA DE LANÇAMENTO]]="","",TEXT(LANÇ_MOV[[#This Row],[DATA DE LANÇAMENTO]],"AAAA"))</f>
        <v/>
      </c>
      <c r="AB723" s="524" t="str">
        <f>IF(LANÇ_MOV[[#This Row],[DATA DE LANÇAMENTO]]="","",UPPER(TEXT(LANÇ_MOV[[#This Row],[DATA DE LANÇAMENTO]],"MMMM")))</f>
        <v/>
      </c>
      <c r="AC723" s="525" t="str">
        <f>IF(LANÇ_MOV[[#This Row],[DATA DE LANÇAMENTO]]="","",PROPER(TEXT(LANÇ_MOV[[#This Row],[DATA DE LANÇAMENTO]],"M")))</f>
        <v/>
      </c>
      <c r="AD723" s="524" t="str">
        <f>IF(LANÇ_MOV[[#This Row],[DATA DE LANÇAMENTO]]="","",TEXT(LANÇ_MOV[[#This Row],[DATA DE LANÇAMENTO]],"D"))</f>
        <v/>
      </c>
      <c r="AE723" s="526" t="str">
        <f>IF(LANÇ_MOV[[#This Row],[DATA DE VENCIMENTO]]="","",TEXT(LANÇ_MOV[[#This Row],[DATA DE VENCIMENTO]],"AAAA"))</f>
        <v/>
      </c>
      <c r="AF723" s="526" t="str">
        <f>IF(LANÇ_MOV[[#This Row],[DATA DE VENCIMENTO]]="","",UPPER(TEXT(LANÇ_MOV[[#This Row],[DATA DE VENCIMENTO]],"MMMM")))</f>
        <v/>
      </c>
      <c r="AG723" s="526" t="str">
        <f>IF(LANÇ_MOV[[#This Row],[DATA DE VENCIMENTO]]="","",TEXT(LANÇ_MOV[[#This Row],[DATA DE VENCIMENTO]],"M"))</f>
        <v/>
      </c>
      <c r="AH723" s="526" t="str">
        <f>IF(LANÇ_MOV[[#This Row],[DATA DE VENCIMENTO]]="","",TEXT(LANÇ_MOV[[#This Row],[DATA DE VENCIMENTO]],"D"))</f>
        <v/>
      </c>
      <c r="AI723" s="526" t="str">
        <f>IF(LANÇ_MOV[[#This Row],[DATA DE PAGAMENTO]]="","",TEXT(LANÇ_MOV[[#This Row],[DATA DE PAGAMENTO]],"AAAA"))</f>
        <v/>
      </c>
      <c r="AJ723" s="527" t="str">
        <f>IF(LANÇ_MOV[[#This Row],[DATA DE PAGAMENTO]]="","",UPPER(TEXT(LANÇ_MOV[[#This Row],[DATA DE PAGAMENTO]],"MMMM")))</f>
        <v/>
      </c>
      <c r="AK723" s="527" t="str">
        <f>IF(LANÇ_MOV[[#This Row],[DATA DE PAGAMENTO]]="","",TEXT(LANÇ_MOV[[#This Row],[DATA DE PAGAMENTO]],"M"))</f>
        <v/>
      </c>
      <c r="AL723" s="526" t="str">
        <f>IF(LANÇ_MOV[[#This Row],[DATA DE PAGAMENTO]]="","",TEXT(LANÇ_MOV[[#This Row],[DATA DE PAGAMENTO]],"D"))</f>
        <v/>
      </c>
    </row>
    <row r="724" spans="2:38" ht="30.05" customHeight="1" x14ac:dyDescent="0.35">
      <c r="B724" s="506"/>
      <c r="C724" s="507"/>
      <c r="D724" s="508" t="s">
        <v>1854</v>
      </c>
      <c r="E724" s="509"/>
      <c r="F724" s="510"/>
      <c r="G724" s="507"/>
      <c r="H724" s="511"/>
      <c r="I724" s="512"/>
      <c r="J724" s="518"/>
      <c r="K724" s="510"/>
      <c r="L724" s="510"/>
      <c r="M724" s="548"/>
      <c r="N724" s="514">
        <f>LANÇ_MOV[[#This Row],[VALOR BRUTO]]-LANÇ_MOV[[#This Row],[DESCONTO]]+LANÇ_MOV[[#This Row],[JUROS]]+LANÇ_MOV[[#This Row],[MULTA]]</f>
        <v>0</v>
      </c>
      <c r="O724" s="546"/>
      <c r="P724" s="547" t="str">
        <f t="shared" ca="1" si="11"/>
        <v/>
      </c>
      <c r="Q724" s="528"/>
      <c r="R724" s="529"/>
      <c r="S724" s="518"/>
      <c r="T724" s="518"/>
      <c r="U724" s="519"/>
      <c r="V724" s="520" t="str">
        <f>IFERROR(VLOOKUP(LANÇ_MOV[[#This Row],[PLANO DE CONTAS]],Plano_Contas[[PLANO DE CONTAS]:[R / D]],3,0),"")</f>
        <v/>
      </c>
      <c r="W724" s="521" t="str">
        <f>IF(LANÇ_MOV[[#This Row],[DATA DE PAGAMENTO]]&lt;&gt;"","Pago","Não Pago")</f>
        <v>Não Pago</v>
      </c>
      <c r="X724" s="522" t="str">
        <f>IFERROR(IF(LANÇ_MOV[[#This Row],[DATA DE PAGAMENTO]]="","",(UPPER(TEXT(LANÇ_MOV[[#This Row],[DATA DE PAGAMENTO]],"mmmm")))),"")</f>
        <v/>
      </c>
      <c r="Y724" s="523" t="str">
        <f>IFERROR(VLOOKUP(LANÇ_MOV[[#This Row],[PLANO DE CONTAS]],Plano_Contas[[PLANO DE CONTAS]:[NOMES INTERVALOS]],2,0),"")</f>
        <v/>
      </c>
      <c r="Z724" s="523" t="str">
        <f>IF(LANÇ_MOV[[#This Row],[FORMA DE PAGAMENTO]]="","",VLOOKUP(LANÇ_MOV[[#This Row],[FORMA DE PAGAMENTO]],CAD_Forma_pagto[],2,0))</f>
        <v/>
      </c>
      <c r="AA724" s="524" t="str">
        <f>IF(LANÇ_MOV[[#This Row],[DATA DE LANÇAMENTO]]="","",TEXT(LANÇ_MOV[[#This Row],[DATA DE LANÇAMENTO]],"AAAA"))</f>
        <v/>
      </c>
      <c r="AB724" s="524" t="str">
        <f>IF(LANÇ_MOV[[#This Row],[DATA DE LANÇAMENTO]]="","",UPPER(TEXT(LANÇ_MOV[[#This Row],[DATA DE LANÇAMENTO]],"MMMM")))</f>
        <v/>
      </c>
      <c r="AC724" s="525" t="str">
        <f>IF(LANÇ_MOV[[#This Row],[DATA DE LANÇAMENTO]]="","",PROPER(TEXT(LANÇ_MOV[[#This Row],[DATA DE LANÇAMENTO]],"M")))</f>
        <v/>
      </c>
      <c r="AD724" s="524" t="str">
        <f>IF(LANÇ_MOV[[#This Row],[DATA DE LANÇAMENTO]]="","",TEXT(LANÇ_MOV[[#This Row],[DATA DE LANÇAMENTO]],"D"))</f>
        <v/>
      </c>
      <c r="AE724" s="526" t="str">
        <f>IF(LANÇ_MOV[[#This Row],[DATA DE VENCIMENTO]]="","",TEXT(LANÇ_MOV[[#This Row],[DATA DE VENCIMENTO]],"AAAA"))</f>
        <v/>
      </c>
      <c r="AF724" s="526" t="str">
        <f>IF(LANÇ_MOV[[#This Row],[DATA DE VENCIMENTO]]="","",UPPER(TEXT(LANÇ_MOV[[#This Row],[DATA DE VENCIMENTO]],"MMMM")))</f>
        <v/>
      </c>
      <c r="AG724" s="526" t="str">
        <f>IF(LANÇ_MOV[[#This Row],[DATA DE VENCIMENTO]]="","",TEXT(LANÇ_MOV[[#This Row],[DATA DE VENCIMENTO]],"M"))</f>
        <v/>
      </c>
      <c r="AH724" s="526" t="str">
        <f>IF(LANÇ_MOV[[#This Row],[DATA DE VENCIMENTO]]="","",TEXT(LANÇ_MOV[[#This Row],[DATA DE VENCIMENTO]],"D"))</f>
        <v/>
      </c>
      <c r="AI724" s="526" t="str">
        <f>IF(LANÇ_MOV[[#This Row],[DATA DE PAGAMENTO]]="","",TEXT(LANÇ_MOV[[#This Row],[DATA DE PAGAMENTO]],"AAAA"))</f>
        <v/>
      </c>
      <c r="AJ724" s="527" t="str">
        <f>IF(LANÇ_MOV[[#This Row],[DATA DE PAGAMENTO]]="","",UPPER(TEXT(LANÇ_MOV[[#This Row],[DATA DE PAGAMENTO]],"MMMM")))</f>
        <v/>
      </c>
      <c r="AK724" s="527" t="str">
        <f>IF(LANÇ_MOV[[#This Row],[DATA DE PAGAMENTO]]="","",TEXT(LANÇ_MOV[[#This Row],[DATA DE PAGAMENTO]],"M"))</f>
        <v/>
      </c>
      <c r="AL724" s="526" t="str">
        <f>IF(LANÇ_MOV[[#This Row],[DATA DE PAGAMENTO]]="","",TEXT(LANÇ_MOV[[#This Row],[DATA DE PAGAMENTO]],"D"))</f>
        <v/>
      </c>
    </row>
    <row r="725" spans="2:38" ht="30.05" customHeight="1" x14ac:dyDescent="0.35">
      <c r="B725" s="506"/>
      <c r="C725" s="507"/>
      <c r="D725" s="508" t="s">
        <v>1854</v>
      </c>
      <c r="E725" s="509"/>
      <c r="F725" s="510"/>
      <c r="G725" s="507"/>
      <c r="H725" s="511"/>
      <c r="I725" s="512"/>
      <c r="J725" s="518"/>
      <c r="K725" s="510"/>
      <c r="L725" s="510"/>
      <c r="M725" s="548"/>
      <c r="N725" s="514">
        <f>LANÇ_MOV[[#This Row],[VALOR BRUTO]]-LANÇ_MOV[[#This Row],[DESCONTO]]+LANÇ_MOV[[#This Row],[JUROS]]+LANÇ_MOV[[#This Row],[MULTA]]</f>
        <v>0</v>
      </c>
      <c r="O725" s="546"/>
      <c r="P725" s="547" t="str">
        <f t="shared" ca="1" si="11"/>
        <v/>
      </c>
      <c r="Q725" s="528"/>
      <c r="R725" s="529"/>
      <c r="S725" s="518"/>
      <c r="T725" s="518"/>
      <c r="U725" s="519"/>
      <c r="V725" s="520" t="str">
        <f>IFERROR(VLOOKUP(LANÇ_MOV[[#This Row],[PLANO DE CONTAS]],Plano_Contas[[PLANO DE CONTAS]:[R / D]],3,0),"")</f>
        <v/>
      </c>
      <c r="W725" s="521" t="str">
        <f>IF(LANÇ_MOV[[#This Row],[DATA DE PAGAMENTO]]&lt;&gt;"","Pago","Não Pago")</f>
        <v>Não Pago</v>
      </c>
      <c r="X725" s="522" t="str">
        <f>IFERROR(IF(LANÇ_MOV[[#This Row],[DATA DE PAGAMENTO]]="","",(UPPER(TEXT(LANÇ_MOV[[#This Row],[DATA DE PAGAMENTO]],"mmmm")))),"")</f>
        <v/>
      </c>
      <c r="Y725" s="523" t="str">
        <f>IFERROR(VLOOKUP(LANÇ_MOV[[#This Row],[PLANO DE CONTAS]],Plano_Contas[[PLANO DE CONTAS]:[NOMES INTERVALOS]],2,0),"")</f>
        <v/>
      </c>
      <c r="Z725" s="523" t="str">
        <f>IF(LANÇ_MOV[[#This Row],[FORMA DE PAGAMENTO]]="","",VLOOKUP(LANÇ_MOV[[#This Row],[FORMA DE PAGAMENTO]],CAD_Forma_pagto[],2,0))</f>
        <v/>
      </c>
      <c r="AA725" s="524" t="str">
        <f>IF(LANÇ_MOV[[#This Row],[DATA DE LANÇAMENTO]]="","",TEXT(LANÇ_MOV[[#This Row],[DATA DE LANÇAMENTO]],"AAAA"))</f>
        <v/>
      </c>
      <c r="AB725" s="524" t="str">
        <f>IF(LANÇ_MOV[[#This Row],[DATA DE LANÇAMENTO]]="","",UPPER(TEXT(LANÇ_MOV[[#This Row],[DATA DE LANÇAMENTO]],"MMMM")))</f>
        <v/>
      </c>
      <c r="AC725" s="525" t="str">
        <f>IF(LANÇ_MOV[[#This Row],[DATA DE LANÇAMENTO]]="","",PROPER(TEXT(LANÇ_MOV[[#This Row],[DATA DE LANÇAMENTO]],"M")))</f>
        <v/>
      </c>
      <c r="AD725" s="524" t="str">
        <f>IF(LANÇ_MOV[[#This Row],[DATA DE LANÇAMENTO]]="","",TEXT(LANÇ_MOV[[#This Row],[DATA DE LANÇAMENTO]],"D"))</f>
        <v/>
      </c>
      <c r="AE725" s="526" t="str">
        <f>IF(LANÇ_MOV[[#This Row],[DATA DE VENCIMENTO]]="","",TEXT(LANÇ_MOV[[#This Row],[DATA DE VENCIMENTO]],"AAAA"))</f>
        <v/>
      </c>
      <c r="AF725" s="526" t="str">
        <f>IF(LANÇ_MOV[[#This Row],[DATA DE VENCIMENTO]]="","",UPPER(TEXT(LANÇ_MOV[[#This Row],[DATA DE VENCIMENTO]],"MMMM")))</f>
        <v/>
      </c>
      <c r="AG725" s="526" t="str">
        <f>IF(LANÇ_MOV[[#This Row],[DATA DE VENCIMENTO]]="","",TEXT(LANÇ_MOV[[#This Row],[DATA DE VENCIMENTO]],"M"))</f>
        <v/>
      </c>
      <c r="AH725" s="526" t="str">
        <f>IF(LANÇ_MOV[[#This Row],[DATA DE VENCIMENTO]]="","",TEXT(LANÇ_MOV[[#This Row],[DATA DE VENCIMENTO]],"D"))</f>
        <v/>
      </c>
      <c r="AI725" s="526" t="str">
        <f>IF(LANÇ_MOV[[#This Row],[DATA DE PAGAMENTO]]="","",TEXT(LANÇ_MOV[[#This Row],[DATA DE PAGAMENTO]],"AAAA"))</f>
        <v/>
      </c>
      <c r="AJ725" s="527" t="str">
        <f>IF(LANÇ_MOV[[#This Row],[DATA DE PAGAMENTO]]="","",UPPER(TEXT(LANÇ_MOV[[#This Row],[DATA DE PAGAMENTO]],"MMMM")))</f>
        <v/>
      </c>
      <c r="AK725" s="527" t="str">
        <f>IF(LANÇ_MOV[[#This Row],[DATA DE PAGAMENTO]]="","",TEXT(LANÇ_MOV[[#This Row],[DATA DE PAGAMENTO]],"M"))</f>
        <v/>
      </c>
      <c r="AL725" s="526" t="str">
        <f>IF(LANÇ_MOV[[#This Row],[DATA DE PAGAMENTO]]="","",TEXT(LANÇ_MOV[[#This Row],[DATA DE PAGAMENTO]],"D"))</f>
        <v/>
      </c>
    </row>
    <row r="726" spans="2:38" ht="30.05" customHeight="1" x14ac:dyDescent="0.35">
      <c r="B726" s="506"/>
      <c r="C726" s="507"/>
      <c r="D726" s="508" t="s">
        <v>1854</v>
      </c>
      <c r="E726" s="509"/>
      <c r="F726" s="510"/>
      <c r="G726" s="507"/>
      <c r="H726" s="511"/>
      <c r="I726" s="512"/>
      <c r="J726" s="518"/>
      <c r="K726" s="510"/>
      <c r="L726" s="510"/>
      <c r="M726" s="548"/>
      <c r="N726" s="514">
        <f>LANÇ_MOV[[#This Row],[VALOR BRUTO]]-LANÇ_MOV[[#This Row],[DESCONTO]]+LANÇ_MOV[[#This Row],[JUROS]]+LANÇ_MOV[[#This Row],[MULTA]]</f>
        <v>0</v>
      </c>
      <c r="O726" s="546"/>
      <c r="P726" s="547" t="str">
        <f t="shared" ca="1" si="11"/>
        <v/>
      </c>
      <c r="Q726" s="528"/>
      <c r="R726" s="529"/>
      <c r="S726" s="518"/>
      <c r="T726" s="518"/>
      <c r="U726" s="519"/>
      <c r="V726" s="520" t="str">
        <f>IFERROR(VLOOKUP(LANÇ_MOV[[#This Row],[PLANO DE CONTAS]],Plano_Contas[[PLANO DE CONTAS]:[R / D]],3,0),"")</f>
        <v/>
      </c>
      <c r="W726" s="521" t="str">
        <f>IF(LANÇ_MOV[[#This Row],[DATA DE PAGAMENTO]]&lt;&gt;"","Pago","Não Pago")</f>
        <v>Não Pago</v>
      </c>
      <c r="X726" s="522" t="str">
        <f>IFERROR(IF(LANÇ_MOV[[#This Row],[DATA DE PAGAMENTO]]="","",(UPPER(TEXT(LANÇ_MOV[[#This Row],[DATA DE PAGAMENTO]],"mmmm")))),"")</f>
        <v/>
      </c>
      <c r="Y726" s="523" t="str">
        <f>IFERROR(VLOOKUP(LANÇ_MOV[[#This Row],[PLANO DE CONTAS]],Plano_Contas[[PLANO DE CONTAS]:[NOMES INTERVALOS]],2,0),"")</f>
        <v/>
      </c>
      <c r="Z726" s="523" t="str">
        <f>IF(LANÇ_MOV[[#This Row],[FORMA DE PAGAMENTO]]="","",VLOOKUP(LANÇ_MOV[[#This Row],[FORMA DE PAGAMENTO]],CAD_Forma_pagto[],2,0))</f>
        <v/>
      </c>
      <c r="AA726" s="524" t="str">
        <f>IF(LANÇ_MOV[[#This Row],[DATA DE LANÇAMENTO]]="","",TEXT(LANÇ_MOV[[#This Row],[DATA DE LANÇAMENTO]],"AAAA"))</f>
        <v/>
      </c>
      <c r="AB726" s="524" t="str">
        <f>IF(LANÇ_MOV[[#This Row],[DATA DE LANÇAMENTO]]="","",UPPER(TEXT(LANÇ_MOV[[#This Row],[DATA DE LANÇAMENTO]],"MMMM")))</f>
        <v/>
      </c>
      <c r="AC726" s="525" t="str">
        <f>IF(LANÇ_MOV[[#This Row],[DATA DE LANÇAMENTO]]="","",PROPER(TEXT(LANÇ_MOV[[#This Row],[DATA DE LANÇAMENTO]],"M")))</f>
        <v/>
      </c>
      <c r="AD726" s="524" t="str">
        <f>IF(LANÇ_MOV[[#This Row],[DATA DE LANÇAMENTO]]="","",TEXT(LANÇ_MOV[[#This Row],[DATA DE LANÇAMENTO]],"D"))</f>
        <v/>
      </c>
      <c r="AE726" s="526" t="str">
        <f>IF(LANÇ_MOV[[#This Row],[DATA DE VENCIMENTO]]="","",TEXT(LANÇ_MOV[[#This Row],[DATA DE VENCIMENTO]],"AAAA"))</f>
        <v/>
      </c>
      <c r="AF726" s="526" t="str">
        <f>IF(LANÇ_MOV[[#This Row],[DATA DE VENCIMENTO]]="","",UPPER(TEXT(LANÇ_MOV[[#This Row],[DATA DE VENCIMENTO]],"MMMM")))</f>
        <v/>
      </c>
      <c r="AG726" s="526" t="str">
        <f>IF(LANÇ_MOV[[#This Row],[DATA DE VENCIMENTO]]="","",TEXT(LANÇ_MOV[[#This Row],[DATA DE VENCIMENTO]],"M"))</f>
        <v/>
      </c>
      <c r="AH726" s="526" t="str">
        <f>IF(LANÇ_MOV[[#This Row],[DATA DE VENCIMENTO]]="","",TEXT(LANÇ_MOV[[#This Row],[DATA DE VENCIMENTO]],"D"))</f>
        <v/>
      </c>
      <c r="AI726" s="526" t="str">
        <f>IF(LANÇ_MOV[[#This Row],[DATA DE PAGAMENTO]]="","",TEXT(LANÇ_MOV[[#This Row],[DATA DE PAGAMENTO]],"AAAA"))</f>
        <v/>
      </c>
      <c r="AJ726" s="527" t="str">
        <f>IF(LANÇ_MOV[[#This Row],[DATA DE PAGAMENTO]]="","",UPPER(TEXT(LANÇ_MOV[[#This Row],[DATA DE PAGAMENTO]],"MMMM")))</f>
        <v/>
      </c>
      <c r="AK726" s="527" t="str">
        <f>IF(LANÇ_MOV[[#This Row],[DATA DE PAGAMENTO]]="","",TEXT(LANÇ_MOV[[#This Row],[DATA DE PAGAMENTO]],"M"))</f>
        <v/>
      </c>
      <c r="AL726" s="526" t="str">
        <f>IF(LANÇ_MOV[[#This Row],[DATA DE PAGAMENTO]]="","",TEXT(LANÇ_MOV[[#This Row],[DATA DE PAGAMENTO]],"D"))</f>
        <v/>
      </c>
    </row>
    <row r="727" spans="2:38" ht="30.05" customHeight="1" x14ac:dyDescent="0.35">
      <c r="B727" s="506"/>
      <c r="C727" s="507"/>
      <c r="D727" s="508" t="s">
        <v>1854</v>
      </c>
      <c r="E727" s="509"/>
      <c r="F727" s="510"/>
      <c r="G727" s="507"/>
      <c r="H727" s="511"/>
      <c r="I727" s="512"/>
      <c r="J727" s="518"/>
      <c r="K727" s="510"/>
      <c r="L727" s="510"/>
      <c r="M727" s="548"/>
      <c r="N727" s="514">
        <f>LANÇ_MOV[[#This Row],[VALOR BRUTO]]-LANÇ_MOV[[#This Row],[DESCONTO]]+LANÇ_MOV[[#This Row],[JUROS]]+LANÇ_MOV[[#This Row],[MULTA]]</f>
        <v>0</v>
      </c>
      <c r="O727" s="546"/>
      <c r="P727" s="547" t="str">
        <f t="shared" ca="1" si="11"/>
        <v/>
      </c>
      <c r="Q727" s="528"/>
      <c r="R727" s="529"/>
      <c r="S727" s="518"/>
      <c r="T727" s="518"/>
      <c r="U727" s="519"/>
      <c r="V727" s="520" t="str">
        <f>IFERROR(VLOOKUP(LANÇ_MOV[[#This Row],[PLANO DE CONTAS]],Plano_Contas[[PLANO DE CONTAS]:[R / D]],3,0),"")</f>
        <v/>
      </c>
      <c r="W727" s="521" t="str">
        <f>IF(LANÇ_MOV[[#This Row],[DATA DE PAGAMENTO]]&lt;&gt;"","Pago","Não Pago")</f>
        <v>Não Pago</v>
      </c>
      <c r="X727" s="522" t="str">
        <f>IFERROR(IF(LANÇ_MOV[[#This Row],[DATA DE PAGAMENTO]]="","",(UPPER(TEXT(LANÇ_MOV[[#This Row],[DATA DE PAGAMENTO]],"mmmm")))),"")</f>
        <v/>
      </c>
      <c r="Y727" s="523" t="str">
        <f>IFERROR(VLOOKUP(LANÇ_MOV[[#This Row],[PLANO DE CONTAS]],Plano_Contas[[PLANO DE CONTAS]:[NOMES INTERVALOS]],2,0),"")</f>
        <v/>
      </c>
      <c r="Z727" s="523" t="str">
        <f>IF(LANÇ_MOV[[#This Row],[FORMA DE PAGAMENTO]]="","",VLOOKUP(LANÇ_MOV[[#This Row],[FORMA DE PAGAMENTO]],CAD_Forma_pagto[],2,0))</f>
        <v/>
      </c>
      <c r="AA727" s="524" t="str">
        <f>IF(LANÇ_MOV[[#This Row],[DATA DE LANÇAMENTO]]="","",TEXT(LANÇ_MOV[[#This Row],[DATA DE LANÇAMENTO]],"AAAA"))</f>
        <v/>
      </c>
      <c r="AB727" s="524" t="str">
        <f>IF(LANÇ_MOV[[#This Row],[DATA DE LANÇAMENTO]]="","",UPPER(TEXT(LANÇ_MOV[[#This Row],[DATA DE LANÇAMENTO]],"MMMM")))</f>
        <v/>
      </c>
      <c r="AC727" s="525" t="str">
        <f>IF(LANÇ_MOV[[#This Row],[DATA DE LANÇAMENTO]]="","",PROPER(TEXT(LANÇ_MOV[[#This Row],[DATA DE LANÇAMENTO]],"M")))</f>
        <v/>
      </c>
      <c r="AD727" s="524" t="str">
        <f>IF(LANÇ_MOV[[#This Row],[DATA DE LANÇAMENTO]]="","",TEXT(LANÇ_MOV[[#This Row],[DATA DE LANÇAMENTO]],"D"))</f>
        <v/>
      </c>
      <c r="AE727" s="526" t="str">
        <f>IF(LANÇ_MOV[[#This Row],[DATA DE VENCIMENTO]]="","",TEXT(LANÇ_MOV[[#This Row],[DATA DE VENCIMENTO]],"AAAA"))</f>
        <v/>
      </c>
      <c r="AF727" s="526" t="str">
        <f>IF(LANÇ_MOV[[#This Row],[DATA DE VENCIMENTO]]="","",UPPER(TEXT(LANÇ_MOV[[#This Row],[DATA DE VENCIMENTO]],"MMMM")))</f>
        <v/>
      </c>
      <c r="AG727" s="526" t="str">
        <f>IF(LANÇ_MOV[[#This Row],[DATA DE VENCIMENTO]]="","",TEXT(LANÇ_MOV[[#This Row],[DATA DE VENCIMENTO]],"M"))</f>
        <v/>
      </c>
      <c r="AH727" s="526" t="str">
        <f>IF(LANÇ_MOV[[#This Row],[DATA DE VENCIMENTO]]="","",TEXT(LANÇ_MOV[[#This Row],[DATA DE VENCIMENTO]],"D"))</f>
        <v/>
      </c>
      <c r="AI727" s="526" t="str">
        <f>IF(LANÇ_MOV[[#This Row],[DATA DE PAGAMENTO]]="","",TEXT(LANÇ_MOV[[#This Row],[DATA DE PAGAMENTO]],"AAAA"))</f>
        <v/>
      </c>
      <c r="AJ727" s="527" t="str">
        <f>IF(LANÇ_MOV[[#This Row],[DATA DE PAGAMENTO]]="","",UPPER(TEXT(LANÇ_MOV[[#This Row],[DATA DE PAGAMENTO]],"MMMM")))</f>
        <v/>
      </c>
      <c r="AK727" s="527" t="str">
        <f>IF(LANÇ_MOV[[#This Row],[DATA DE PAGAMENTO]]="","",TEXT(LANÇ_MOV[[#This Row],[DATA DE PAGAMENTO]],"M"))</f>
        <v/>
      </c>
      <c r="AL727" s="526" t="str">
        <f>IF(LANÇ_MOV[[#This Row],[DATA DE PAGAMENTO]]="","",TEXT(LANÇ_MOV[[#This Row],[DATA DE PAGAMENTO]],"D"))</f>
        <v/>
      </c>
    </row>
    <row r="728" spans="2:38" ht="30.05" customHeight="1" x14ac:dyDescent="0.35">
      <c r="B728" s="506"/>
      <c r="C728" s="507"/>
      <c r="D728" s="508" t="s">
        <v>1854</v>
      </c>
      <c r="E728" s="509"/>
      <c r="F728" s="510"/>
      <c r="G728" s="507"/>
      <c r="H728" s="511"/>
      <c r="I728" s="512"/>
      <c r="J728" s="518"/>
      <c r="K728" s="510"/>
      <c r="L728" s="510"/>
      <c r="M728" s="548"/>
      <c r="N728" s="514">
        <f>LANÇ_MOV[[#This Row],[VALOR BRUTO]]-LANÇ_MOV[[#This Row],[DESCONTO]]+LANÇ_MOV[[#This Row],[JUROS]]+LANÇ_MOV[[#This Row],[MULTA]]</f>
        <v>0</v>
      </c>
      <c r="O728" s="546"/>
      <c r="P728" s="547" t="str">
        <f t="shared" ca="1" si="11"/>
        <v/>
      </c>
      <c r="Q728" s="528"/>
      <c r="R728" s="529"/>
      <c r="S728" s="518"/>
      <c r="T728" s="518"/>
      <c r="U728" s="519"/>
      <c r="V728" s="520" t="str">
        <f>IFERROR(VLOOKUP(LANÇ_MOV[[#This Row],[PLANO DE CONTAS]],Plano_Contas[[PLANO DE CONTAS]:[R / D]],3,0),"")</f>
        <v/>
      </c>
      <c r="W728" s="521" t="str">
        <f>IF(LANÇ_MOV[[#This Row],[DATA DE PAGAMENTO]]&lt;&gt;"","Pago","Não Pago")</f>
        <v>Não Pago</v>
      </c>
      <c r="X728" s="522" t="str">
        <f>IFERROR(IF(LANÇ_MOV[[#This Row],[DATA DE PAGAMENTO]]="","",(UPPER(TEXT(LANÇ_MOV[[#This Row],[DATA DE PAGAMENTO]],"mmmm")))),"")</f>
        <v/>
      </c>
      <c r="Y728" s="523" t="str">
        <f>IFERROR(VLOOKUP(LANÇ_MOV[[#This Row],[PLANO DE CONTAS]],Plano_Contas[[PLANO DE CONTAS]:[NOMES INTERVALOS]],2,0),"")</f>
        <v/>
      </c>
      <c r="Z728" s="523" t="str">
        <f>IF(LANÇ_MOV[[#This Row],[FORMA DE PAGAMENTO]]="","",VLOOKUP(LANÇ_MOV[[#This Row],[FORMA DE PAGAMENTO]],CAD_Forma_pagto[],2,0))</f>
        <v/>
      </c>
      <c r="AA728" s="524" t="str">
        <f>IF(LANÇ_MOV[[#This Row],[DATA DE LANÇAMENTO]]="","",TEXT(LANÇ_MOV[[#This Row],[DATA DE LANÇAMENTO]],"AAAA"))</f>
        <v/>
      </c>
      <c r="AB728" s="524" t="str">
        <f>IF(LANÇ_MOV[[#This Row],[DATA DE LANÇAMENTO]]="","",UPPER(TEXT(LANÇ_MOV[[#This Row],[DATA DE LANÇAMENTO]],"MMMM")))</f>
        <v/>
      </c>
      <c r="AC728" s="525" t="str">
        <f>IF(LANÇ_MOV[[#This Row],[DATA DE LANÇAMENTO]]="","",PROPER(TEXT(LANÇ_MOV[[#This Row],[DATA DE LANÇAMENTO]],"M")))</f>
        <v/>
      </c>
      <c r="AD728" s="524" t="str">
        <f>IF(LANÇ_MOV[[#This Row],[DATA DE LANÇAMENTO]]="","",TEXT(LANÇ_MOV[[#This Row],[DATA DE LANÇAMENTO]],"D"))</f>
        <v/>
      </c>
      <c r="AE728" s="526" t="str">
        <f>IF(LANÇ_MOV[[#This Row],[DATA DE VENCIMENTO]]="","",TEXT(LANÇ_MOV[[#This Row],[DATA DE VENCIMENTO]],"AAAA"))</f>
        <v/>
      </c>
      <c r="AF728" s="526" t="str">
        <f>IF(LANÇ_MOV[[#This Row],[DATA DE VENCIMENTO]]="","",UPPER(TEXT(LANÇ_MOV[[#This Row],[DATA DE VENCIMENTO]],"MMMM")))</f>
        <v/>
      </c>
      <c r="AG728" s="526" t="str">
        <f>IF(LANÇ_MOV[[#This Row],[DATA DE VENCIMENTO]]="","",TEXT(LANÇ_MOV[[#This Row],[DATA DE VENCIMENTO]],"M"))</f>
        <v/>
      </c>
      <c r="AH728" s="526" t="str">
        <f>IF(LANÇ_MOV[[#This Row],[DATA DE VENCIMENTO]]="","",TEXT(LANÇ_MOV[[#This Row],[DATA DE VENCIMENTO]],"D"))</f>
        <v/>
      </c>
      <c r="AI728" s="526" t="str">
        <f>IF(LANÇ_MOV[[#This Row],[DATA DE PAGAMENTO]]="","",TEXT(LANÇ_MOV[[#This Row],[DATA DE PAGAMENTO]],"AAAA"))</f>
        <v/>
      </c>
      <c r="AJ728" s="527" t="str">
        <f>IF(LANÇ_MOV[[#This Row],[DATA DE PAGAMENTO]]="","",UPPER(TEXT(LANÇ_MOV[[#This Row],[DATA DE PAGAMENTO]],"MMMM")))</f>
        <v/>
      </c>
      <c r="AK728" s="527" t="str">
        <f>IF(LANÇ_MOV[[#This Row],[DATA DE PAGAMENTO]]="","",TEXT(LANÇ_MOV[[#This Row],[DATA DE PAGAMENTO]],"M"))</f>
        <v/>
      </c>
      <c r="AL728" s="526" t="str">
        <f>IF(LANÇ_MOV[[#This Row],[DATA DE PAGAMENTO]]="","",TEXT(LANÇ_MOV[[#This Row],[DATA DE PAGAMENTO]],"D"))</f>
        <v/>
      </c>
    </row>
    <row r="729" spans="2:38" ht="30.05" customHeight="1" x14ac:dyDescent="0.35">
      <c r="B729" s="506"/>
      <c r="C729" s="507"/>
      <c r="D729" s="508" t="s">
        <v>1854</v>
      </c>
      <c r="E729" s="509"/>
      <c r="F729" s="510"/>
      <c r="G729" s="507"/>
      <c r="H729" s="511"/>
      <c r="I729" s="512"/>
      <c r="J729" s="518"/>
      <c r="K729" s="510"/>
      <c r="L729" s="510"/>
      <c r="M729" s="548"/>
      <c r="N729" s="514">
        <f>LANÇ_MOV[[#This Row],[VALOR BRUTO]]-LANÇ_MOV[[#This Row],[DESCONTO]]+LANÇ_MOV[[#This Row],[JUROS]]+LANÇ_MOV[[#This Row],[MULTA]]</f>
        <v>0</v>
      </c>
      <c r="O729" s="546"/>
      <c r="P729" s="547" t="str">
        <f t="shared" ca="1" si="11"/>
        <v/>
      </c>
      <c r="Q729" s="528"/>
      <c r="R729" s="529"/>
      <c r="S729" s="518"/>
      <c r="T729" s="518"/>
      <c r="U729" s="519"/>
      <c r="V729" s="520" t="str">
        <f>IFERROR(VLOOKUP(LANÇ_MOV[[#This Row],[PLANO DE CONTAS]],Plano_Contas[[PLANO DE CONTAS]:[R / D]],3,0),"")</f>
        <v/>
      </c>
      <c r="W729" s="521" t="str">
        <f>IF(LANÇ_MOV[[#This Row],[DATA DE PAGAMENTO]]&lt;&gt;"","Pago","Não Pago")</f>
        <v>Não Pago</v>
      </c>
      <c r="X729" s="522" t="str">
        <f>IFERROR(IF(LANÇ_MOV[[#This Row],[DATA DE PAGAMENTO]]="","",(UPPER(TEXT(LANÇ_MOV[[#This Row],[DATA DE PAGAMENTO]],"mmmm")))),"")</f>
        <v/>
      </c>
      <c r="Y729" s="523" t="str">
        <f>IFERROR(VLOOKUP(LANÇ_MOV[[#This Row],[PLANO DE CONTAS]],Plano_Contas[[PLANO DE CONTAS]:[NOMES INTERVALOS]],2,0),"")</f>
        <v/>
      </c>
      <c r="Z729" s="523" t="str">
        <f>IF(LANÇ_MOV[[#This Row],[FORMA DE PAGAMENTO]]="","",VLOOKUP(LANÇ_MOV[[#This Row],[FORMA DE PAGAMENTO]],CAD_Forma_pagto[],2,0))</f>
        <v/>
      </c>
      <c r="AA729" s="524" t="str">
        <f>IF(LANÇ_MOV[[#This Row],[DATA DE LANÇAMENTO]]="","",TEXT(LANÇ_MOV[[#This Row],[DATA DE LANÇAMENTO]],"AAAA"))</f>
        <v/>
      </c>
      <c r="AB729" s="524" t="str">
        <f>IF(LANÇ_MOV[[#This Row],[DATA DE LANÇAMENTO]]="","",UPPER(TEXT(LANÇ_MOV[[#This Row],[DATA DE LANÇAMENTO]],"MMMM")))</f>
        <v/>
      </c>
      <c r="AC729" s="525" t="str">
        <f>IF(LANÇ_MOV[[#This Row],[DATA DE LANÇAMENTO]]="","",PROPER(TEXT(LANÇ_MOV[[#This Row],[DATA DE LANÇAMENTO]],"M")))</f>
        <v/>
      </c>
      <c r="AD729" s="524" t="str">
        <f>IF(LANÇ_MOV[[#This Row],[DATA DE LANÇAMENTO]]="","",TEXT(LANÇ_MOV[[#This Row],[DATA DE LANÇAMENTO]],"D"))</f>
        <v/>
      </c>
      <c r="AE729" s="526" t="str">
        <f>IF(LANÇ_MOV[[#This Row],[DATA DE VENCIMENTO]]="","",TEXT(LANÇ_MOV[[#This Row],[DATA DE VENCIMENTO]],"AAAA"))</f>
        <v/>
      </c>
      <c r="AF729" s="526" t="str">
        <f>IF(LANÇ_MOV[[#This Row],[DATA DE VENCIMENTO]]="","",UPPER(TEXT(LANÇ_MOV[[#This Row],[DATA DE VENCIMENTO]],"MMMM")))</f>
        <v/>
      </c>
      <c r="AG729" s="526" t="str">
        <f>IF(LANÇ_MOV[[#This Row],[DATA DE VENCIMENTO]]="","",TEXT(LANÇ_MOV[[#This Row],[DATA DE VENCIMENTO]],"M"))</f>
        <v/>
      </c>
      <c r="AH729" s="526" t="str">
        <f>IF(LANÇ_MOV[[#This Row],[DATA DE VENCIMENTO]]="","",TEXT(LANÇ_MOV[[#This Row],[DATA DE VENCIMENTO]],"D"))</f>
        <v/>
      </c>
      <c r="AI729" s="526" t="str">
        <f>IF(LANÇ_MOV[[#This Row],[DATA DE PAGAMENTO]]="","",TEXT(LANÇ_MOV[[#This Row],[DATA DE PAGAMENTO]],"AAAA"))</f>
        <v/>
      </c>
      <c r="AJ729" s="527" t="str">
        <f>IF(LANÇ_MOV[[#This Row],[DATA DE PAGAMENTO]]="","",UPPER(TEXT(LANÇ_MOV[[#This Row],[DATA DE PAGAMENTO]],"MMMM")))</f>
        <v/>
      </c>
      <c r="AK729" s="527" t="str">
        <f>IF(LANÇ_MOV[[#This Row],[DATA DE PAGAMENTO]]="","",TEXT(LANÇ_MOV[[#This Row],[DATA DE PAGAMENTO]],"M"))</f>
        <v/>
      </c>
      <c r="AL729" s="526" t="str">
        <f>IF(LANÇ_MOV[[#This Row],[DATA DE PAGAMENTO]]="","",TEXT(LANÇ_MOV[[#This Row],[DATA DE PAGAMENTO]],"D"))</f>
        <v/>
      </c>
    </row>
    <row r="730" spans="2:38" ht="30.05" customHeight="1" x14ac:dyDescent="0.35">
      <c r="B730" s="506"/>
      <c r="C730" s="507"/>
      <c r="D730" s="508" t="s">
        <v>1854</v>
      </c>
      <c r="E730" s="509"/>
      <c r="F730" s="510"/>
      <c r="G730" s="507"/>
      <c r="H730" s="511"/>
      <c r="I730" s="512"/>
      <c r="J730" s="518"/>
      <c r="K730" s="510"/>
      <c r="L730" s="510"/>
      <c r="M730" s="548"/>
      <c r="N730" s="514">
        <f>LANÇ_MOV[[#This Row],[VALOR BRUTO]]-LANÇ_MOV[[#This Row],[DESCONTO]]+LANÇ_MOV[[#This Row],[JUROS]]+LANÇ_MOV[[#This Row],[MULTA]]</f>
        <v>0</v>
      </c>
      <c r="O730" s="546"/>
      <c r="P730" s="547" t="str">
        <f t="shared" ca="1" si="11"/>
        <v/>
      </c>
      <c r="Q730" s="528"/>
      <c r="R730" s="529"/>
      <c r="S730" s="518"/>
      <c r="T730" s="518"/>
      <c r="U730" s="519"/>
      <c r="V730" s="520" t="str">
        <f>IFERROR(VLOOKUP(LANÇ_MOV[[#This Row],[PLANO DE CONTAS]],Plano_Contas[[PLANO DE CONTAS]:[R / D]],3,0),"")</f>
        <v/>
      </c>
      <c r="W730" s="521" t="str">
        <f>IF(LANÇ_MOV[[#This Row],[DATA DE PAGAMENTO]]&lt;&gt;"","Pago","Não Pago")</f>
        <v>Não Pago</v>
      </c>
      <c r="X730" s="522" t="str">
        <f>IFERROR(IF(LANÇ_MOV[[#This Row],[DATA DE PAGAMENTO]]="","",(UPPER(TEXT(LANÇ_MOV[[#This Row],[DATA DE PAGAMENTO]],"mmmm")))),"")</f>
        <v/>
      </c>
      <c r="Y730" s="523" t="str">
        <f>IFERROR(VLOOKUP(LANÇ_MOV[[#This Row],[PLANO DE CONTAS]],Plano_Contas[[PLANO DE CONTAS]:[NOMES INTERVALOS]],2,0),"")</f>
        <v/>
      </c>
      <c r="Z730" s="523" t="str">
        <f>IF(LANÇ_MOV[[#This Row],[FORMA DE PAGAMENTO]]="","",VLOOKUP(LANÇ_MOV[[#This Row],[FORMA DE PAGAMENTO]],CAD_Forma_pagto[],2,0))</f>
        <v/>
      </c>
      <c r="AA730" s="524" t="str">
        <f>IF(LANÇ_MOV[[#This Row],[DATA DE LANÇAMENTO]]="","",TEXT(LANÇ_MOV[[#This Row],[DATA DE LANÇAMENTO]],"AAAA"))</f>
        <v/>
      </c>
      <c r="AB730" s="524" t="str">
        <f>IF(LANÇ_MOV[[#This Row],[DATA DE LANÇAMENTO]]="","",UPPER(TEXT(LANÇ_MOV[[#This Row],[DATA DE LANÇAMENTO]],"MMMM")))</f>
        <v/>
      </c>
      <c r="AC730" s="525" t="str">
        <f>IF(LANÇ_MOV[[#This Row],[DATA DE LANÇAMENTO]]="","",PROPER(TEXT(LANÇ_MOV[[#This Row],[DATA DE LANÇAMENTO]],"M")))</f>
        <v/>
      </c>
      <c r="AD730" s="524" t="str">
        <f>IF(LANÇ_MOV[[#This Row],[DATA DE LANÇAMENTO]]="","",TEXT(LANÇ_MOV[[#This Row],[DATA DE LANÇAMENTO]],"D"))</f>
        <v/>
      </c>
      <c r="AE730" s="526" t="str">
        <f>IF(LANÇ_MOV[[#This Row],[DATA DE VENCIMENTO]]="","",TEXT(LANÇ_MOV[[#This Row],[DATA DE VENCIMENTO]],"AAAA"))</f>
        <v/>
      </c>
      <c r="AF730" s="526" t="str">
        <f>IF(LANÇ_MOV[[#This Row],[DATA DE VENCIMENTO]]="","",UPPER(TEXT(LANÇ_MOV[[#This Row],[DATA DE VENCIMENTO]],"MMMM")))</f>
        <v/>
      </c>
      <c r="AG730" s="526" t="str">
        <f>IF(LANÇ_MOV[[#This Row],[DATA DE VENCIMENTO]]="","",TEXT(LANÇ_MOV[[#This Row],[DATA DE VENCIMENTO]],"M"))</f>
        <v/>
      </c>
      <c r="AH730" s="526" t="str">
        <f>IF(LANÇ_MOV[[#This Row],[DATA DE VENCIMENTO]]="","",TEXT(LANÇ_MOV[[#This Row],[DATA DE VENCIMENTO]],"D"))</f>
        <v/>
      </c>
      <c r="AI730" s="526" t="str">
        <f>IF(LANÇ_MOV[[#This Row],[DATA DE PAGAMENTO]]="","",TEXT(LANÇ_MOV[[#This Row],[DATA DE PAGAMENTO]],"AAAA"))</f>
        <v/>
      </c>
      <c r="AJ730" s="527" t="str">
        <f>IF(LANÇ_MOV[[#This Row],[DATA DE PAGAMENTO]]="","",UPPER(TEXT(LANÇ_MOV[[#This Row],[DATA DE PAGAMENTO]],"MMMM")))</f>
        <v/>
      </c>
      <c r="AK730" s="527" t="str">
        <f>IF(LANÇ_MOV[[#This Row],[DATA DE PAGAMENTO]]="","",TEXT(LANÇ_MOV[[#This Row],[DATA DE PAGAMENTO]],"M"))</f>
        <v/>
      </c>
      <c r="AL730" s="526" t="str">
        <f>IF(LANÇ_MOV[[#This Row],[DATA DE PAGAMENTO]]="","",TEXT(LANÇ_MOV[[#This Row],[DATA DE PAGAMENTO]],"D"))</f>
        <v/>
      </c>
    </row>
    <row r="731" spans="2:38" ht="30.05" customHeight="1" x14ac:dyDescent="0.35">
      <c r="B731" s="506"/>
      <c r="C731" s="507"/>
      <c r="D731" s="508" t="s">
        <v>1854</v>
      </c>
      <c r="E731" s="509"/>
      <c r="F731" s="510"/>
      <c r="G731" s="507"/>
      <c r="H731" s="511"/>
      <c r="I731" s="512"/>
      <c r="J731" s="518"/>
      <c r="K731" s="510"/>
      <c r="L731" s="510"/>
      <c r="M731" s="548"/>
      <c r="N731" s="514">
        <f>LANÇ_MOV[[#This Row],[VALOR BRUTO]]-LANÇ_MOV[[#This Row],[DESCONTO]]+LANÇ_MOV[[#This Row],[JUROS]]+LANÇ_MOV[[#This Row],[MULTA]]</f>
        <v>0</v>
      </c>
      <c r="O731" s="546"/>
      <c r="P731" s="547" t="str">
        <f t="shared" ca="1" si="11"/>
        <v/>
      </c>
      <c r="Q731" s="528"/>
      <c r="R731" s="529"/>
      <c r="S731" s="518"/>
      <c r="T731" s="518"/>
      <c r="U731" s="519"/>
      <c r="V731" s="520" t="str">
        <f>IFERROR(VLOOKUP(LANÇ_MOV[[#This Row],[PLANO DE CONTAS]],Plano_Contas[[PLANO DE CONTAS]:[R / D]],3,0),"")</f>
        <v/>
      </c>
      <c r="W731" s="521" t="str">
        <f>IF(LANÇ_MOV[[#This Row],[DATA DE PAGAMENTO]]&lt;&gt;"","Pago","Não Pago")</f>
        <v>Não Pago</v>
      </c>
      <c r="X731" s="522" t="str">
        <f>IFERROR(IF(LANÇ_MOV[[#This Row],[DATA DE PAGAMENTO]]="","",(UPPER(TEXT(LANÇ_MOV[[#This Row],[DATA DE PAGAMENTO]],"mmmm")))),"")</f>
        <v/>
      </c>
      <c r="Y731" s="523" t="str">
        <f>IFERROR(VLOOKUP(LANÇ_MOV[[#This Row],[PLANO DE CONTAS]],Plano_Contas[[PLANO DE CONTAS]:[NOMES INTERVALOS]],2,0),"")</f>
        <v/>
      </c>
      <c r="Z731" s="523" t="str">
        <f>IF(LANÇ_MOV[[#This Row],[FORMA DE PAGAMENTO]]="","",VLOOKUP(LANÇ_MOV[[#This Row],[FORMA DE PAGAMENTO]],CAD_Forma_pagto[],2,0))</f>
        <v/>
      </c>
      <c r="AA731" s="524" t="str">
        <f>IF(LANÇ_MOV[[#This Row],[DATA DE LANÇAMENTO]]="","",TEXT(LANÇ_MOV[[#This Row],[DATA DE LANÇAMENTO]],"AAAA"))</f>
        <v/>
      </c>
      <c r="AB731" s="524" t="str">
        <f>IF(LANÇ_MOV[[#This Row],[DATA DE LANÇAMENTO]]="","",UPPER(TEXT(LANÇ_MOV[[#This Row],[DATA DE LANÇAMENTO]],"MMMM")))</f>
        <v/>
      </c>
      <c r="AC731" s="525" t="str">
        <f>IF(LANÇ_MOV[[#This Row],[DATA DE LANÇAMENTO]]="","",PROPER(TEXT(LANÇ_MOV[[#This Row],[DATA DE LANÇAMENTO]],"M")))</f>
        <v/>
      </c>
      <c r="AD731" s="524" t="str">
        <f>IF(LANÇ_MOV[[#This Row],[DATA DE LANÇAMENTO]]="","",TEXT(LANÇ_MOV[[#This Row],[DATA DE LANÇAMENTO]],"D"))</f>
        <v/>
      </c>
      <c r="AE731" s="526" t="str">
        <f>IF(LANÇ_MOV[[#This Row],[DATA DE VENCIMENTO]]="","",TEXT(LANÇ_MOV[[#This Row],[DATA DE VENCIMENTO]],"AAAA"))</f>
        <v/>
      </c>
      <c r="AF731" s="526" t="str">
        <f>IF(LANÇ_MOV[[#This Row],[DATA DE VENCIMENTO]]="","",UPPER(TEXT(LANÇ_MOV[[#This Row],[DATA DE VENCIMENTO]],"MMMM")))</f>
        <v/>
      </c>
      <c r="AG731" s="526" t="str">
        <f>IF(LANÇ_MOV[[#This Row],[DATA DE VENCIMENTO]]="","",TEXT(LANÇ_MOV[[#This Row],[DATA DE VENCIMENTO]],"M"))</f>
        <v/>
      </c>
      <c r="AH731" s="526" t="str">
        <f>IF(LANÇ_MOV[[#This Row],[DATA DE VENCIMENTO]]="","",TEXT(LANÇ_MOV[[#This Row],[DATA DE VENCIMENTO]],"D"))</f>
        <v/>
      </c>
      <c r="AI731" s="526" t="str">
        <f>IF(LANÇ_MOV[[#This Row],[DATA DE PAGAMENTO]]="","",TEXT(LANÇ_MOV[[#This Row],[DATA DE PAGAMENTO]],"AAAA"))</f>
        <v/>
      </c>
      <c r="AJ731" s="527" t="str">
        <f>IF(LANÇ_MOV[[#This Row],[DATA DE PAGAMENTO]]="","",UPPER(TEXT(LANÇ_MOV[[#This Row],[DATA DE PAGAMENTO]],"MMMM")))</f>
        <v/>
      </c>
      <c r="AK731" s="527" t="str">
        <f>IF(LANÇ_MOV[[#This Row],[DATA DE PAGAMENTO]]="","",TEXT(LANÇ_MOV[[#This Row],[DATA DE PAGAMENTO]],"M"))</f>
        <v/>
      </c>
      <c r="AL731" s="526" t="str">
        <f>IF(LANÇ_MOV[[#This Row],[DATA DE PAGAMENTO]]="","",TEXT(LANÇ_MOV[[#This Row],[DATA DE PAGAMENTO]],"D"))</f>
        <v/>
      </c>
    </row>
    <row r="732" spans="2:38" ht="30.05" customHeight="1" x14ac:dyDescent="0.35">
      <c r="B732" s="506"/>
      <c r="C732" s="507"/>
      <c r="D732" s="508" t="s">
        <v>1854</v>
      </c>
      <c r="E732" s="509"/>
      <c r="F732" s="510"/>
      <c r="G732" s="507"/>
      <c r="H732" s="511"/>
      <c r="I732" s="512"/>
      <c r="J732" s="518"/>
      <c r="K732" s="510"/>
      <c r="L732" s="510"/>
      <c r="M732" s="548"/>
      <c r="N732" s="514">
        <f>LANÇ_MOV[[#This Row],[VALOR BRUTO]]-LANÇ_MOV[[#This Row],[DESCONTO]]+LANÇ_MOV[[#This Row],[JUROS]]+LANÇ_MOV[[#This Row],[MULTA]]</f>
        <v>0</v>
      </c>
      <c r="O732" s="546"/>
      <c r="P732" s="547" t="str">
        <f t="shared" ca="1" si="11"/>
        <v/>
      </c>
      <c r="Q732" s="528"/>
      <c r="R732" s="529"/>
      <c r="S732" s="518"/>
      <c r="T732" s="518"/>
      <c r="U732" s="519"/>
      <c r="V732" s="520" t="str">
        <f>IFERROR(VLOOKUP(LANÇ_MOV[[#This Row],[PLANO DE CONTAS]],Plano_Contas[[PLANO DE CONTAS]:[R / D]],3,0),"")</f>
        <v/>
      </c>
      <c r="W732" s="521" t="str">
        <f>IF(LANÇ_MOV[[#This Row],[DATA DE PAGAMENTO]]&lt;&gt;"","Pago","Não Pago")</f>
        <v>Não Pago</v>
      </c>
      <c r="X732" s="522" t="str">
        <f>IFERROR(IF(LANÇ_MOV[[#This Row],[DATA DE PAGAMENTO]]="","",(UPPER(TEXT(LANÇ_MOV[[#This Row],[DATA DE PAGAMENTO]],"mmmm")))),"")</f>
        <v/>
      </c>
      <c r="Y732" s="523" t="str">
        <f>IFERROR(VLOOKUP(LANÇ_MOV[[#This Row],[PLANO DE CONTAS]],Plano_Contas[[PLANO DE CONTAS]:[NOMES INTERVALOS]],2,0),"")</f>
        <v/>
      </c>
      <c r="Z732" s="523" t="str">
        <f>IF(LANÇ_MOV[[#This Row],[FORMA DE PAGAMENTO]]="","",VLOOKUP(LANÇ_MOV[[#This Row],[FORMA DE PAGAMENTO]],CAD_Forma_pagto[],2,0))</f>
        <v/>
      </c>
      <c r="AA732" s="524" t="str">
        <f>IF(LANÇ_MOV[[#This Row],[DATA DE LANÇAMENTO]]="","",TEXT(LANÇ_MOV[[#This Row],[DATA DE LANÇAMENTO]],"AAAA"))</f>
        <v/>
      </c>
      <c r="AB732" s="524" t="str">
        <f>IF(LANÇ_MOV[[#This Row],[DATA DE LANÇAMENTO]]="","",UPPER(TEXT(LANÇ_MOV[[#This Row],[DATA DE LANÇAMENTO]],"MMMM")))</f>
        <v/>
      </c>
      <c r="AC732" s="525" t="str">
        <f>IF(LANÇ_MOV[[#This Row],[DATA DE LANÇAMENTO]]="","",PROPER(TEXT(LANÇ_MOV[[#This Row],[DATA DE LANÇAMENTO]],"M")))</f>
        <v/>
      </c>
      <c r="AD732" s="524" t="str">
        <f>IF(LANÇ_MOV[[#This Row],[DATA DE LANÇAMENTO]]="","",TEXT(LANÇ_MOV[[#This Row],[DATA DE LANÇAMENTO]],"D"))</f>
        <v/>
      </c>
      <c r="AE732" s="526" t="str">
        <f>IF(LANÇ_MOV[[#This Row],[DATA DE VENCIMENTO]]="","",TEXT(LANÇ_MOV[[#This Row],[DATA DE VENCIMENTO]],"AAAA"))</f>
        <v/>
      </c>
      <c r="AF732" s="526" t="str">
        <f>IF(LANÇ_MOV[[#This Row],[DATA DE VENCIMENTO]]="","",UPPER(TEXT(LANÇ_MOV[[#This Row],[DATA DE VENCIMENTO]],"MMMM")))</f>
        <v/>
      </c>
      <c r="AG732" s="526" t="str">
        <f>IF(LANÇ_MOV[[#This Row],[DATA DE VENCIMENTO]]="","",TEXT(LANÇ_MOV[[#This Row],[DATA DE VENCIMENTO]],"M"))</f>
        <v/>
      </c>
      <c r="AH732" s="526" t="str">
        <f>IF(LANÇ_MOV[[#This Row],[DATA DE VENCIMENTO]]="","",TEXT(LANÇ_MOV[[#This Row],[DATA DE VENCIMENTO]],"D"))</f>
        <v/>
      </c>
      <c r="AI732" s="526" t="str">
        <f>IF(LANÇ_MOV[[#This Row],[DATA DE PAGAMENTO]]="","",TEXT(LANÇ_MOV[[#This Row],[DATA DE PAGAMENTO]],"AAAA"))</f>
        <v/>
      </c>
      <c r="AJ732" s="527" t="str">
        <f>IF(LANÇ_MOV[[#This Row],[DATA DE PAGAMENTO]]="","",UPPER(TEXT(LANÇ_MOV[[#This Row],[DATA DE PAGAMENTO]],"MMMM")))</f>
        <v/>
      </c>
      <c r="AK732" s="527" t="str">
        <f>IF(LANÇ_MOV[[#This Row],[DATA DE PAGAMENTO]]="","",TEXT(LANÇ_MOV[[#This Row],[DATA DE PAGAMENTO]],"M"))</f>
        <v/>
      </c>
      <c r="AL732" s="526" t="str">
        <f>IF(LANÇ_MOV[[#This Row],[DATA DE PAGAMENTO]]="","",TEXT(LANÇ_MOV[[#This Row],[DATA DE PAGAMENTO]],"D"))</f>
        <v/>
      </c>
    </row>
    <row r="733" spans="2:38" ht="30.05" customHeight="1" x14ac:dyDescent="0.35">
      <c r="B733" s="506"/>
      <c r="C733" s="507"/>
      <c r="D733" s="508" t="s">
        <v>1854</v>
      </c>
      <c r="E733" s="509"/>
      <c r="F733" s="510"/>
      <c r="G733" s="507"/>
      <c r="H733" s="511"/>
      <c r="I733" s="512"/>
      <c r="J733" s="518"/>
      <c r="K733" s="510"/>
      <c r="L733" s="510"/>
      <c r="M733" s="548"/>
      <c r="N733" s="514">
        <f>LANÇ_MOV[[#This Row],[VALOR BRUTO]]-LANÇ_MOV[[#This Row],[DESCONTO]]+LANÇ_MOV[[#This Row],[JUROS]]+LANÇ_MOV[[#This Row],[MULTA]]</f>
        <v>0</v>
      </c>
      <c r="O733" s="546"/>
      <c r="P733" s="547" t="str">
        <f t="shared" ca="1" si="11"/>
        <v/>
      </c>
      <c r="Q733" s="528"/>
      <c r="R733" s="529"/>
      <c r="S733" s="518"/>
      <c r="T733" s="518"/>
      <c r="U733" s="519"/>
      <c r="V733" s="520" t="str">
        <f>IFERROR(VLOOKUP(LANÇ_MOV[[#This Row],[PLANO DE CONTAS]],Plano_Contas[[PLANO DE CONTAS]:[R / D]],3,0),"")</f>
        <v/>
      </c>
      <c r="W733" s="521" t="str">
        <f>IF(LANÇ_MOV[[#This Row],[DATA DE PAGAMENTO]]&lt;&gt;"","Pago","Não Pago")</f>
        <v>Não Pago</v>
      </c>
      <c r="X733" s="522" t="str">
        <f>IFERROR(IF(LANÇ_MOV[[#This Row],[DATA DE PAGAMENTO]]="","",(UPPER(TEXT(LANÇ_MOV[[#This Row],[DATA DE PAGAMENTO]],"mmmm")))),"")</f>
        <v/>
      </c>
      <c r="Y733" s="523" t="str">
        <f>IFERROR(VLOOKUP(LANÇ_MOV[[#This Row],[PLANO DE CONTAS]],Plano_Contas[[PLANO DE CONTAS]:[NOMES INTERVALOS]],2,0),"")</f>
        <v/>
      </c>
      <c r="Z733" s="523" t="str">
        <f>IF(LANÇ_MOV[[#This Row],[FORMA DE PAGAMENTO]]="","",VLOOKUP(LANÇ_MOV[[#This Row],[FORMA DE PAGAMENTO]],CAD_Forma_pagto[],2,0))</f>
        <v/>
      </c>
      <c r="AA733" s="524" t="str">
        <f>IF(LANÇ_MOV[[#This Row],[DATA DE LANÇAMENTO]]="","",TEXT(LANÇ_MOV[[#This Row],[DATA DE LANÇAMENTO]],"AAAA"))</f>
        <v/>
      </c>
      <c r="AB733" s="524" t="str">
        <f>IF(LANÇ_MOV[[#This Row],[DATA DE LANÇAMENTO]]="","",UPPER(TEXT(LANÇ_MOV[[#This Row],[DATA DE LANÇAMENTO]],"MMMM")))</f>
        <v/>
      </c>
      <c r="AC733" s="525" t="str">
        <f>IF(LANÇ_MOV[[#This Row],[DATA DE LANÇAMENTO]]="","",PROPER(TEXT(LANÇ_MOV[[#This Row],[DATA DE LANÇAMENTO]],"M")))</f>
        <v/>
      </c>
      <c r="AD733" s="524" t="str">
        <f>IF(LANÇ_MOV[[#This Row],[DATA DE LANÇAMENTO]]="","",TEXT(LANÇ_MOV[[#This Row],[DATA DE LANÇAMENTO]],"D"))</f>
        <v/>
      </c>
      <c r="AE733" s="526" t="str">
        <f>IF(LANÇ_MOV[[#This Row],[DATA DE VENCIMENTO]]="","",TEXT(LANÇ_MOV[[#This Row],[DATA DE VENCIMENTO]],"AAAA"))</f>
        <v/>
      </c>
      <c r="AF733" s="526" t="str">
        <f>IF(LANÇ_MOV[[#This Row],[DATA DE VENCIMENTO]]="","",UPPER(TEXT(LANÇ_MOV[[#This Row],[DATA DE VENCIMENTO]],"MMMM")))</f>
        <v/>
      </c>
      <c r="AG733" s="526" t="str">
        <f>IF(LANÇ_MOV[[#This Row],[DATA DE VENCIMENTO]]="","",TEXT(LANÇ_MOV[[#This Row],[DATA DE VENCIMENTO]],"M"))</f>
        <v/>
      </c>
      <c r="AH733" s="526" t="str">
        <f>IF(LANÇ_MOV[[#This Row],[DATA DE VENCIMENTO]]="","",TEXT(LANÇ_MOV[[#This Row],[DATA DE VENCIMENTO]],"D"))</f>
        <v/>
      </c>
      <c r="AI733" s="526" t="str">
        <f>IF(LANÇ_MOV[[#This Row],[DATA DE PAGAMENTO]]="","",TEXT(LANÇ_MOV[[#This Row],[DATA DE PAGAMENTO]],"AAAA"))</f>
        <v/>
      </c>
      <c r="AJ733" s="527" t="str">
        <f>IF(LANÇ_MOV[[#This Row],[DATA DE PAGAMENTO]]="","",UPPER(TEXT(LANÇ_MOV[[#This Row],[DATA DE PAGAMENTO]],"MMMM")))</f>
        <v/>
      </c>
      <c r="AK733" s="527" t="str">
        <f>IF(LANÇ_MOV[[#This Row],[DATA DE PAGAMENTO]]="","",TEXT(LANÇ_MOV[[#This Row],[DATA DE PAGAMENTO]],"M"))</f>
        <v/>
      </c>
      <c r="AL733" s="526" t="str">
        <f>IF(LANÇ_MOV[[#This Row],[DATA DE PAGAMENTO]]="","",TEXT(LANÇ_MOV[[#This Row],[DATA DE PAGAMENTO]],"D"))</f>
        <v/>
      </c>
    </row>
    <row r="734" spans="2:38" ht="30.05" customHeight="1" x14ac:dyDescent="0.35">
      <c r="B734" s="506"/>
      <c r="C734" s="507"/>
      <c r="D734" s="508" t="s">
        <v>1854</v>
      </c>
      <c r="E734" s="509"/>
      <c r="F734" s="510"/>
      <c r="G734" s="507"/>
      <c r="H734" s="511"/>
      <c r="I734" s="512"/>
      <c r="J734" s="518"/>
      <c r="K734" s="510"/>
      <c r="L734" s="510"/>
      <c r="M734" s="548"/>
      <c r="N734" s="514">
        <f>LANÇ_MOV[[#This Row],[VALOR BRUTO]]-LANÇ_MOV[[#This Row],[DESCONTO]]+LANÇ_MOV[[#This Row],[JUROS]]+LANÇ_MOV[[#This Row],[MULTA]]</f>
        <v>0</v>
      </c>
      <c r="O734" s="546"/>
      <c r="P734" s="547" t="str">
        <f t="shared" ca="1" si="11"/>
        <v/>
      </c>
      <c r="Q734" s="528"/>
      <c r="R734" s="529"/>
      <c r="S734" s="518"/>
      <c r="T734" s="518"/>
      <c r="U734" s="519"/>
      <c r="V734" s="520" t="str">
        <f>IFERROR(VLOOKUP(LANÇ_MOV[[#This Row],[PLANO DE CONTAS]],Plano_Contas[[PLANO DE CONTAS]:[R / D]],3,0),"")</f>
        <v/>
      </c>
      <c r="W734" s="521" t="str">
        <f>IF(LANÇ_MOV[[#This Row],[DATA DE PAGAMENTO]]&lt;&gt;"","Pago","Não Pago")</f>
        <v>Não Pago</v>
      </c>
      <c r="X734" s="522" t="str">
        <f>IFERROR(IF(LANÇ_MOV[[#This Row],[DATA DE PAGAMENTO]]="","",(UPPER(TEXT(LANÇ_MOV[[#This Row],[DATA DE PAGAMENTO]],"mmmm")))),"")</f>
        <v/>
      </c>
      <c r="Y734" s="523" t="str">
        <f>IFERROR(VLOOKUP(LANÇ_MOV[[#This Row],[PLANO DE CONTAS]],Plano_Contas[[PLANO DE CONTAS]:[NOMES INTERVALOS]],2,0),"")</f>
        <v/>
      </c>
      <c r="Z734" s="523" t="str">
        <f>IF(LANÇ_MOV[[#This Row],[FORMA DE PAGAMENTO]]="","",VLOOKUP(LANÇ_MOV[[#This Row],[FORMA DE PAGAMENTO]],CAD_Forma_pagto[],2,0))</f>
        <v/>
      </c>
      <c r="AA734" s="524" t="str">
        <f>IF(LANÇ_MOV[[#This Row],[DATA DE LANÇAMENTO]]="","",TEXT(LANÇ_MOV[[#This Row],[DATA DE LANÇAMENTO]],"AAAA"))</f>
        <v/>
      </c>
      <c r="AB734" s="524" t="str">
        <f>IF(LANÇ_MOV[[#This Row],[DATA DE LANÇAMENTO]]="","",UPPER(TEXT(LANÇ_MOV[[#This Row],[DATA DE LANÇAMENTO]],"MMMM")))</f>
        <v/>
      </c>
      <c r="AC734" s="525" t="str">
        <f>IF(LANÇ_MOV[[#This Row],[DATA DE LANÇAMENTO]]="","",PROPER(TEXT(LANÇ_MOV[[#This Row],[DATA DE LANÇAMENTO]],"M")))</f>
        <v/>
      </c>
      <c r="AD734" s="524" t="str">
        <f>IF(LANÇ_MOV[[#This Row],[DATA DE LANÇAMENTO]]="","",TEXT(LANÇ_MOV[[#This Row],[DATA DE LANÇAMENTO]],"D"))</f>
        <v/>
      </c>
      <c r="AE734" s="526" t="str">
        <f>IF(LANÇ_MOV[[#This Row],[DATA DE VENCIMENTO]]="","",TEXT(LANÇ_MOV[[#This Row],[DATA DE VENCIMENTO]],"AAAA"))</f>
        <v/>
      </c>
      <c r="AF734" s="526" t="str">
        <f>IF(LANÇ_MOV[[#This Row],[DATA DE VENCIMENTO]]="","",UPPER(TEXT(LANÇ_MOV[[#This Row],[DATA DE VENCIMENTO]],"MMMM")))</f>
        <v/>
      </c>
      <c r="AG734" s="526" t="str">
        <f>IF(LANÇ_MOV[[#This Row],[DATA DE VENCIMENTO]]="","",TEXT(LANÇ_MOV[[#This Row],[DATA DE VENCIMENTO]],"M"))</f>
        <v/>
      </c>
      <c r="AH734" s="526" t="str">
        <f>IF(LANÇ_MOV[[#This Row],[DATA DE VENCIMENTO]]="","",TEXT(LANÇ_MOV[[#This Row],[DATA DE VENCIMENTO]],"D"))</f>
        <v/>
      </c>
      <c r="AI734" s="526" t="str">
        <f>IF(LANÇ_MOV[[#This Row],[DATA DE PAGAMENTO]]="","",TEXT(LANÇ_MOV[[#This Row],[DATA DE PAGAMENTO]],"AAAA"))</f>
        <v/>
      </c>
      <c r="AJ734" s="527" t="str">
        <f>IF(LANÇ_MOV[[#This Row],[DATA DE PAGAMENTO]]="","",UPPER(TEXT(LANÇ_MOV[[#This Row],[DATA DE PAGAMENTO]],"MMMM")))</f>
        <v/>
      </c>
      <c r="AK734" s="527" t="str">
        <f>IF(LANÇ_MOV[[#This Row],[DATA DE PAGAMENTO]]="","",TEXT(LANÇ_MOV[[#This Row],[DATA DE PAGAMENTO]],"M"))</f>
        <v/>
      </c>
      <c r="AL734" s="526" t="str">
        <f>IF(LANÇ_MOV[[#This Row],[DATA DE PAGAMENTO]]="","",TEXT(LANÇ_MOV[[#This Row],[DATA DE PAGAMENTO]],"D"))</f>
        <v/>
      </c>
    </row>
    <row r="735" spans="2:38" ht="30.05" customHeight="1" x14ac:dyDescent="0.35">
      <c r="B735" s="506"/>
      <c r="C735" s="507"/>
      <c r="D735" s="508" t="s">
        <v>1854</v>
      </c>
      <c r="E735" s="509"/>
      <c r="F735" s="510"/>
      <c r="G735" s="507"/>
      <c r="H735" s="511"/>
      <c r="I735" s="512"/>
      <c r="J735" s="518"/>
      <c r="K735" s="510"/>
      <c r="L735" s="510"/>
      <c r="M735" s="548"/>
      <c r="N735" s="514">
        <f>LANÇ_MOV[[#This Row],[VALOR BRUTO]]-LANÇ_MOV[[#This Row],[DESCONTO]]+LANÇ_MOV[[#This Row],[JUROS]]+LANÇ_MOV[[#This Row],[MULTA]]</f>
        <v>0</v>
      </c>
      <c r="O735" s="546"/>
      <c r="P735" s="547" t="str">
        <f t="shared" ca="1" si="11"/>
        <v/>
      </c>
      <c r="Q735" s="528"/>
      <c r="R735" s="529"/>
      <c r="S735" s="518"/>
      <c r="T735" s="518"/>
      <c r="U735" s="519"/>
      <c r="V735" s="520" t="str">
        <f>IFERROR(VLOOKUP(LANÇ_MOV[[#This Row],[PLANO DE CONTAS]],Plano_Contas[[PLANO DE CONTAS]:[R / D]],3,0),"")</f>
        <v/>
      </c>
      <c r="W735" s="521" t="str">
        <f>IF(LANÇ_MOV[[#This Row],[DATA DE PAGAMENTO]]&lt;&gt;"","Pago","Não Pago")</f>
        <v>Não Pago</v>
      </c>
      <c r="X735" s="522" t="str">
        <f>IFERROR(IF(LANÇ_MOV[[#This Row],[DATA DE PAGAMENTO]]="","",(UPPER(TEXT(LANÇ_MOV[[#This Row],[DATA DE PAGAMENTO]],"mmmm")))),"")</f>
        <v/>
      </c>
      <c r="Y735" s="523" t="str">
        <f>IFERROR(VLOOKUP(LANÇ_MOV[[#This Row],[PLANO DE CONTAS]],Plano_Contas[[PLANO DE CONTAS]:[NOMES INTERVALOS]],2,0),"")</f>
        <v/>
      </c>
      <c r="Z735" s="523" t="str">
        <f>IF(LANÇ_MOV[[#This Row],[FORMA DE PAGAMENTO]]="","",VLOOKUP(LANÇ_MOV[[#This Row],[FORMA DE PAGAMENTO]],CAD_Forma_pagto[],2,0))</f>
        <v/>
      </c>
      <c r="AA735" s="524" t="str">
        <f>IF(LANÇ_MOV[[#This Row],[DATA DE LANÇAMENTO]]="","",TEXT(LANÇ_MOV[[#This Row],[DATA DE LANÇAMENTO]],"AAAA"))</f>
        <v/>
      </c>
      <c r="AB735" s="524" t="str">
        <f>IF(LANÇ_MOV[[#This Row],[DATA DE LANÇAMENTO]]="","",UPPER(TEXT(LANÇ_MOV[[#This Row],[DATA DE LANÇAMENTO]],"MMMM")))</f>
        <v/>
      </c>
      <c r="AC735" s="525" t="str">
        <f>IF(LANÇ_MOV[[#This Row],[DATA DE LANÇAMENTO]]="","",PROPER(TEXT(LANÇ_MOV[[#This Row],[DATA DE LANÇAMENTO]],"M")))</f>
        <v/>
      </c>
      <c r="AD735" s="524" t="str">
        <f>IF(LANÇ_MOV[[#This Row],[DATA DE LANÇAMENTO]]="","",TEXT(LANÇ_MOV[[#This Row],[DATA DE LANÇAMENTO]],"D"))</f>
        <v/>
      </c>
      <c r="AE735" s="526" t="str">
        <f>IF(LANÇ_MOV[[#This Row],[DATA DE VENCIMENTO]]="","",TEXT(LANÇ_MOV[[#This Row],[DATA DE VENCIMENTO]],"AAAA"))</f>
        <v/>
      </c>
      <c r="AF735" s="526" t="str">
        <f>IF(LANÇ_MOV[[#This Row],[DATA DE VENCIMENTO]]="","",UPPER(TEXT(LANÇ_MOV[[#This Row],[DATA DE VENCIMENTO]],"MMMM")))</f>
        <v/>
      </c>
      <c r="AG735" s="526" t="str">
        <f>IF(LANÇ_MOV[[#This Row],[DATA DE VENCIMENTO]]="","",TEXT(LANÇ_MOV[[#This Row],[DATA DE VENCIMENTO]],"M"))</f>
        <v/>
      </c>
      <c r="AH735" s="526" t="str">
        <f>IF(LANÇ_MOV[[#This Row],[DATA DE VENCIMENTO]]="","",TEXT(LANÇ_MOV[[#This Row],[DATA DE VENCIMENTO]],"D"))</f>
        <v/>
      </c>
      <c r="AI735" s="526" t="str">
        <f>IF(LANÇ_MOV[[#This Row],[DATA DE PAGAMENTO]]="","",TEXT(LANÇ_MOV[[#This Row],[DATA DE PAGAMENTO]],"AAAA"))</f>
        <v/>
      </c>
      <c r="AJ735" s="527" t="str">
        <f>IF(LANÇ_MOV[[#This Row],[DATA DE PAGAMENTO]]="","",UPPER(TEXT(LANÇ_MOV[[#This Row],[DATA DE PAGAMENTO]],"MMMM")))</f>
        <v/>
      </c>
      <c r="AK735" s="527" t="str">
        <f>IF(LANÇ_MOV[[#This Row],[DATA DE PAGAMENTO]]="","",TEXT(LANÇ_MOV[[#This Row],[DATA DE PAGAMENTO]],"M"))</f>
        <v/>
      </c>
      <c r="AL735" s="526" t="str">
        <f>IF(LANÇ_MOV[[#This Row],[DATA DE PAGAMENTO]]="","",TEXT(LANÇ_MOV[[#This Row],[DATA DE PAGAMENTO]],"D"))</f>
        <v/>
      </c>
    </row>
    <row r="736" spans="2:38" ht="30.05" customHeight="1" x14ac:dyDescent="0.35">
      <c r="B736" s="506"/>
      <c r="C736" s="507"/>
      <c r="D736" s="508" t="s">
        <v>1854</v>
      </c>
      <c r="E736" s="509"/>
      <c r="F736" s="510"/>
      <c r="G736" s="507"/>
      <c r="H736" s="511"/>
      <c r="I736" s="512"/>
      <c r="J736" s="518"/>
      <c r="K736" s="510"/>
      <c r="L736" s="510"/>
      <c r="M736" s="548"/>
      <c r="N736" s="514">
        <f>LANÇ_MOV[[#This Row],[VALOR BRUTO]]-LANÇ_MOV[[#This Row],[DESCONTO]]+LANÇ_MOV[[#This Row],[JUROS]]+LANÇ_MOV[[#This Row],[MULTA]]</f>
        <v>0</v>
      </c>
      <c r="O736" s="546"/>
      <c r="P736" s="547" t="str">
        <f t="shared" ca="1" si="11"/>
        <v/>
      </c>
      <c r="Q736" s="528"/>
      <c r="R736" s="529"/>
      <c r="S736" s="518"/>
      <c r="T736" s="518"/>
      <c r="U736" s="519"/>
      <c r="V736" s="520" t="str">
        <f>IFERROR(VLOOKUP(LANÇ_MOV[[#This Row],[PLANO DE CONTAS]],Plano_Contas[[PLANO DE CONTAS]:[R / D]],3,0),"")</f>
        <v/>
      </c>
      <c r="W736" s="521" t="str">
        <f>IF(LANÇ_MOV[[#This Row],[DATA DE PAGAMENTO]]&lt;&gt;"","Pago","Não Pago")</f>
        <v>Não Pago</v>
      </c>
      <c r="X736" s="522" t="str">
        <f>IFERROR(IF(LANÇ_MOV[[#This Row],[DATA DE PAGAMENTO]]="","",(UPPER(TEXT(LANÇ_MOV[[#This Row],[DATA DE PAGAMENTO]],"mmmm")))),"")</f>
        <v/>
      </c>
      <c r="Y736" s="523" t="str">
        <f>IFERROR(VLOOKUP(LANÇ_MOV[[#This Row],[PLANO DE CONTAS]],Plano_Contas[[PLANO DE CONTAS]:[NOMES INTERVALOS]],2,0),"")</f>
        <v/>
      </c>
      <c r="Z736" s="523" t="str">
        <f>IF(LANÇ_MOV[[#This Row],[FORMA DE PAGAMENTO]]="","",VLOOKUP(LANÇ_MOV[[#This Row],[FORMA DE PAGAMENTO]],CAD_Forma_pagto[],2,0))</f>
        <v/>
      </c>
      <c r="AA736" s="524" t="str">
        <f>IF(LANÇ_MOV[[#This Row],[DATA DE LANÇAMENTO]]="","",TEXT(LANÇ_MOV[[#This Row],[DATA DE LANÇAMENTO]],"AAAA"))</f>
        <v/>
      </c>
      <c r="AB736" s="524" t="str">
        <f>IF(LANÇ_MOV[[#This Row],[DATA DE LANÇAMENTO]]="","",UPPER(TEXT(LANÇ_MOV[[#This Row],[DATA DE LANÇAMENTO]],"MMMM")))</f>
        <v/>
      </c>
      <c r="AC736" s="525" t="str">
        <f>IF(LANÇ_MOV[[#This Row],[DATA DE LANÇAMENTO]]="","",PROPER(TEXT(LANÇ_MOV[[#This Row],[DATA DE LANÇAMENTO]],"M")))</f>
        <v/>
      </c>
      <c r="AD736" s="524" t="str">
        <f>IF(LANÇ_MOV[[#This Row],[DATA DE LANÇAMENTO]]="","",TEXT(LANÇ_MOV[[#This Row],[DATA DE LANÇAMENTO]],"D"))</f>
        <v/>
      </c>
      <c r="AE736" s="526" t="str">
        <f>IF(LANÇ_MOV[[#This Row],[DATA DE VENCIMENTO]]="","",TEXT(LANÇ_MOV[[#This Row],[DATA DE VENCIMENTO]],"AAAA"))</f>
        <v/>
      </c>
      <c r="AF736" s="526" t="str">
        <f>IF(LANÇ_MOV[[#This Row],[DATA DE VENCIMENTO]]="","",UPPER(TEXT(LANÇ_MOV[[#This Row],[DATA DE VENCIMENTO]],"MMMM")))</f>
        <v/>
      </c>
      <c r="AG736" s="526" t="str">
        <f>IF(LANÇ_MOV[[#This Row],[DATA DE VENCIMENTO]]="","",TEXT(LANÇ_MOV[[#This Row],[DATA DE VENCIMENTO]],"M"))</f>
        <v/>
      </c>
      <c r="AH736" s="526" t="str">
        <f>IF(LANÇ_MOV[[#This Row],[DATA DE VENCIMENTO]]="","",TEXT(LANÇ_MOV[[#This Row],[DATA DE VENCIMENTO]],"D"))</f>
        <v/>
      </c>
      <c r="AI736" s="526" t="str">
        <f>IF(LANÇ_MOV[[#This Row],[DATA DE PAGAMENTO]]="","",TEXT(LANÇ_MOV[[#This Row],[DATA DE PAGAMENTO]],"AAAA"))</f>
        <v/>
      </c>
      <c r="AJ736" s="527" t="str">
        <f>IF(LANÇ_MOV[[#This Row],[DATA DE PAGAMENTO]]="","",UPPER(TEXT(LANÇ_MOV[[#This Row],[DATA DE PAGAMENTO]],"MMMM")))</f>
        <v/>
      </c>
      <c r="AK736" s="527" t="str">
        <f>IF(LANÇ_MOV[[#This Row],[DATA DE PAGAMENTO]]="","",TEXT(LANÇ_MOV[[#This Row],[DATA DE PAGAMENTO]],"M"))</f>
        <v/>
      </c>
      <c r="AL736" s="526" t="str">
        <f>IF(LANÇ_MOV[[#This Row],[DATA DE PAGAMENTO]]="","",TEXT(LANÇ_MOV[[#This Row],[DATA DE PAGAMENTO]],"D"))</f>
        <v/>
      </c>
    </row>
    <row r="737" spans="2:38" ht="30.05" customHeight="1" x14ac:dyDescent="0.35">
      <c r="B737" s="506"/>
      <c r="C737" s="507"/>
      <c r="D737" s="508" t="s">
        <v>1854</v>
      </c>
      <c r="E737" s="509"/>
      <c r="F737" s="510"/>
      <c r="G737" s="507"/>
      <c r="H737" s="511"/>
      <c r="I737" s="512"/>
      <c r="J737" s="518"/>
      <c r="K737" s="510"/>
      <c r="L737" s="510"/>
      <c r="M737" s="548"/>
      <c r="N737" s="514">
        <f>LANÇ_MOV[[#This Row],[VALOR BRUTO]]-LANÇ_MOV[[#This Row],[DESCONTO]]+LANÇ_MOV[[#This Row],[JUROS]]+LANÇ_MOV[[#This Row],[MULTA]]</f>
        <v>0</v>
      </c>
      <c r="O737" s="546"/>
      <c r="P737" s="547" t="str">
        <f t="shared" ca="1" si="11"/>
        <v/>
      </c>
      <c r="Q737" s="528"/>
      <c r="R737" s="529"/>
      <c r="S737" s="518"/>
      <c r="T737" s="518"/>
      <c r="U737" s="519"/>
      <c r="V737" s="520" t="str">
        <f>IFERROR(VLOOKUP(LANÇ_MOV[[#This Row],[PLANO DE CONTAS]],Plano_Contas[[PLANO DE CONTAS]:[R / D]],3,0),"")</f>
        <v/>
      </c>
      <c r="W737" s="521" t="str">
        <f>IF(LANÇ_MOV[[#This Row],[DATA DE PAGAMENTO]]&lt;&gt;"","Pago","Não Pago")</f>
        <v>Não Pago</v>
      </c>
      <c r="X737" s="522" t="str">
        <f>IFERROR(IF(LANÇ_MOV[[#This Row],[DATA DE PAGAMENTO]]="","",(UPPER(TEXT(LANÇ_MOV[[#This Row],[DATA DE PAGAMENTO]],"mmmm")))),"")</f>
        <v/>
      </c>
      <c r="Y737" s="523" t="str">
        <f>IFERROR(VLOOKUP(LANÇ_MOV[[#This Row],[PLANO DE CONTAS]],Plano_Contas[[PLANO DE CONTAS]:[NOMES INTERVALOS]],2,0),"")</f>
        <v/>
      </c>
      <c r="Z737" s="523" t="str">
        <f>IF(LANÇ_MOV[[#This Row],[FORMA DE PAGAMENTO]]="","",VLOOKUP(LANÇ_MOV[[#This Row],[FORMA DE PAGAMENTO]],CAD_Forma_pagto[],2,0))</f>
        <v/>
      </c>
      <c r="AA737" s="524" t="str">
        <f>IF(LANÇ_MOV[[#This Row],[DATA DE LANÇAMENTO]]="","",TEXT(LANÇ_MOV[[#This Row],[DATA DE LANÇAMENTO]],"AAAA"))</f>
        <v/>
      </c>
      <c r="AB737" s="524" t="str">
        <f>IF(LANÇ_MOV[[#This Row],[DATA DE LANÇAMENTO]]="","",UPPER(TEXT(LANÇ_MOV[[#This Row],[DATA DE LANÇAMENTO]],"MMMM")))</f>
        <v/>
      </c>
      <c r="AC737" s="525" t="str">
        <f>IF(LANÇ_MOV[[#This Row],[DATA DE LANÇAMENTO]]="","",PROPER(TEXT(LANÇ_MOV[[#This Row],[DATA DE LANÇAMENTO]],"M")))</f>
        <v/>
      </c>
      <c r="AD737" s="524" t="str">
        <f>IF(LANÇ_MOV[[#This Row],[DATA DE LANÇAMENTO]]="","",TEXT(LANÇ_MOV[[#This Row],[DATA DE LANÇAMENTO]],"D"))</f>
        <v/>
      </c>
      <c r="AE737" s="526" t="str">
        <f>IF(LANÇ_MOV[[#This Row],[DATA DE VENCIMENTO]]="","",TEXT(LANÇ_MOV[[#This Row],[DATA DE VENCIMENTO]],"AAAA"))</f>
        <v/>
      </c>
      <c r="AF737" s="526" t="str">
        <f>IF(LANÇ_MOV[[#This Row],[DATA DE VENCIMENTO]]="","",UPPER(TEXT(LANÇ_MOV[[#This Row],[DATA DE VENCIMENTO]],"MMMM")))</f>
        <v/>
      </c>
      <c r="AG737" s="526" t="str">
        <f>IF(LANÇ_MOV[[#This Row],[DATA DE VENCIMENTO]]="","",TEXT(LANÇ_MOV[[#This Row],[DATA DE VENCIMENTO]],"M"))</f>
        <v/>
      </c>
      <c r="AH737" s="526" t="str">
        <f>IF(LANÇ_MOV[[#This Row],[DATA DE VENCIMENTO]]="","",TEXT(LANÇ_MOV[[#This Row],[DATA DE VENCIMENTO]],"D"))</f>
        <v/>
      </c>
      <c r="AI737" s="526" t="str">
        <f>IF(LANÇ_MOV[[#This Row],[DATA DE PAGAMENTO]]="","",TEXT(LANÇ_MOV[[#This Row],[DATA DE PAGAMENTO]],"AAAA"))</f>
        <v/>
      </c>
      <c r="AJ737" s="527" t="str">
        <f>IF(LANÇ_MOV[[#This Row],[DATA DE PAGAMENTO]]="","",UPPER(TEXT(LANÇ_MOV[[#This Row],[DATA DE PAGAMENTO]],"MMMM")))</f>
        <v/>
      </c>
      <c r="AK737" s="527" t="str">
        <f>IF(LANÇ_MOV[[#This Row],[DATA DE PAGAMENTO]]="","",TEXT(LANÇ_MOV[[#This Row],[DATA DE PAGAMENTO]],"M"))</f>
        <v/>
      </c>
      <c r="AL737" s="526" t="str">
        <f>IF(LANÇ_MOV[[#This Row],[DATA DE PAGAMENTO]]="","",TEXT(LANÇ_MOV[[#This Row],[DATA DE PAGAMENTO]],"D"))</f>
        <v/>
      </c>
    </row>
    <row r="738" spans="2:38" ht="30.05" customHeight="1" x14ac:dyDescent="0.35">
      <c r="B738" s="506"/>
      <c r="C738" s="507"/>
      <c r="D738" s="508" t="s">
        <v>1854</v>
      </c>
      <c r="E738" s="509"/>
      <c r="F738" s="510"/>
      <c r="G738" s="507"/>
      <c r="H738" s="511"/>
      <c r="I738" s="512"/>
      <c r="J738" s="518"/>
      <c r="K738" s="510"/>
      <c r="L738" s="510"/>
      <c r="M738" s="548"/>
      <c r="N738" s="514">
        <f>LANÇ_MOV[[#This Row],[VALOR BRUTO]]-LANÇ_MOV[[#This Row],[DESCONTO]]+LANÇ_MOV[[#This Row],[JUROS]]+LANÇ_MOV[[#This Row],[MULTA]]</f>
        <v>0</v>
      </c>
      <c r="O738" s="546"/>
      <c r="P738" s="547" t="str">
        <f t="shared" ca="1" si="11"/>
        <v/>
      </c>
      <c r="Q738" s="528"/>
      <c r="R738" s="529"/>
      <c r="S738" s="518"/>
      <c r="T738" s="518"/>
      <c r="U738" s="519"/>
      <c r="V738" s="520" t="str">
        <f>IFERROR(VLOOKUP(LANÇ_MOV[[#This Row],[PLANO DE CONTAS]],Plano_Contas[[PLANO DE CONTAS]:[R / D]],3,0),"")</f>
        <v/>
      </c>
      <c r="W738" s="521" t="str">
        <f>IF(LANÇ_MOV[[#This Row],[DATA DE PAGAMENTO]]&lt;&gt;"","Pago","Não Pago")</f>
        <v>Não Pago</v>
      </c>
      <c r="X738" s="522" t="str">
        <f>IFERROR(IF(LANÇ_MOV[[#This Row],[DATA DE PAGAMENTO]]="","",(UPPER(TEXT(LANÇ_MOV[[#This Row],[DATA DE PAGAMENTO]],"mmmm")))),"")</f>
        <v/>
      </c>
      <c r="Y738" s="523" t="str">
        <f>IFERROR(VLOOKUP(LANÇ_MOV[[#This Row],[PLANO DE CONTAS]],Plano_Contas[[PLANO DE CONTAS]:[NOMES INTERVALOS]],2,0),"")</f>
        <v/>
      </c>
      <c r="Z738" s="523" t="str">
        <f>IF(LANÇ_MOV[[#This Row],[FORMA DE PAGAMENTO]]="","",VLOOKUP(LANÇ_MOV[[#This Row],[FORMA DE PAGAMENTO]],CAD_Forma_pagto[],2,0))</f>
        <v/>
      </c>
      <c r="AA738" s="524" t="str">
        <f>IF(LANÇ_MOV[[#This Row],[DATA DE LANÇAMENTO]]="","",TEXT(LANÇ_MOV[[#This Row],[DATA DE LANÇAMENTO]],"AAAA"))</f>
        <v/>
      </c>
      <c r="AB738" s="524" t="str">
        <f>IF(LANÇ_MOV[[#This Row],[DATA DE LANÇAMENTO]]="","",UPPER(TEXT(LANÇ_MOV[[#This Row],[DATA DE LANÇAMENTO]],"MMMM")))</f>
        <v/>
      </c>
      <c r="AC738" s="525" t="str">
        <f>IF(LANÇ_MOV[[#This Row],[DATA DE LANÇAMENTO]]="","",PROPER(TEXT(LANÇ_MOV[[#This Row],[DATA DE LANÇAMENTO]],"M")))</f>
        <v/>
      </c>
      <c r="AD738" s="524" t="str">
        <f>IF(LANÇ_MOV[[#This Row],[DATA DE LANÇAMENTO]]="","",TEXT(LANÇ_MOV[[#This Row],[DATA DE LANÇAMENTO]],"D"))</f>
        <v/>
      </c>
      <c r="AE738" s="526" t="str">
        <f>IF(LANÇ_MOV[[#This Row],[DATA DE VENCIMENTO]]="","",TEXT(LANÇ_MOV[[#This Row],[DATA DE VENCIMENTO]],"AAAA"))</f>
        <v/>
      </c>
      <c r="AF738" s="526" t="str">
        <f>IF(LANÇ_MOV[[#This Row],[DATA DE VENCIMENTO]]="","",UPPER(TEXT(LANÇ_MOV[[#This Row],[DATA DE VENCIMENTO]],"MMMM")))</f>
        <v/>
      </c>
      <c r="AG738" s="526" t="str">
        <f>IF(LANÇ_MOV[[#This Row],[DATA DE VENCIMENTO]]="","",TEXT(LANÇ_MOV[[#This Row],[DATA DE VENCIMENTO]],"M"))</f>
        <v/>
      </c>
      <c r="AH738" s="526" t="str">
        <f>IF(LANÇ_MOV[[#This Row],[DATA DE VENCIMENTO]]="","",TEXT(LANÇ_MOV[[#This Row],[DATA DE VENCIMENTO]],"D"))</f>
        <v/>
      </c>
      <c r="AI738" s="526" t="str">
        <f>IF(LANÇ_MOV[[#This Row],[DATA DE PAGAMENTO]]="","",TEXT(LANÇ_MOV[[#This Row],[DATA DE PAGAMENTO]],"AAAA"))</f>
        <v/>
      </c>
      <c r="AJ738" s="527" t="str">
        <f>IF(LANÇ_MOV[[#This Row],[DATA DE PAGAMENTO]]="","",UPPER(TEXT(LANÇ_MOV[[#This Row],[DATA DE PAGAMENTO]],"MMMM")))</f>
        <v/>
      </c>
      <c r="AK738" s="527" t="str">
        <f>IF(LANÇ_MOV[[#This Row],[DATA DE PAGAMENTO]]="","",TEXT(LANÇ_MOV[[#This Row],[DATA DE PAGAMENTO]],"M"))</f>
        <v/>
      </c>
      <c r="AL738" s="526" t="str">
        <f>IF(LANÇ_MOV[[#This Row],[DATA DE PAGAMENTO]]="","",TEXT(LANÇ_MOV[[#This Row],[DATA DE PAGAMENTO]],"D"))</f>
        <v/>
      </c>
    </row>
    <row r="739" spans="2:38" ht="30.05" customHeight="1" x14ac:dyDescent="0.35">
      <c r="B739" s="506"/>
      <c r="C739" s="507"/>
      <c r="D739" s="508" t="s">
        <v>1854</v>
      </c>
      <c r="E739" s="509"/>
      <c r="F739" s="510"/>
      <c r="G739" s="507"/>
      <c r="H739" s="511"/>
      <c r="I739" s="512"/>
      <c r="J739" s="518"/>
      <c r="K739" s="510"/>
      <c r="L739" s="510"/>
      <c r="M739" s="548"/>
      <c r="N739" s="514">
        <f>LANÇ_MOV[[#This Row],[VALOR BRUTO]]-LANÇ_MOV[[#This Row],[DESCONTO]]+LANÇ_MOV[[#This Row],[JUROS]]+LANÇ_MOV[[#This Row],[MULTA]]</f>
        <v>0</v>
      </c>
      <c r="O739" s="546"/>
      <c r="P739" s="547" t="str">
        <f t="shared" ca="1" si="11"/>
        <v/>
      </c>
      <c r="Q739" s="528"/>
      <c r="R739" s="529"/>
      <c r="S739" s="518"/>
      <c r="T739" s="518"/>
      <c r="U739" s="519"/>
      <c r="V739" s="520" t="str">
        <f>IFERROR(VLOOKUP(LANÇ_MOV[[#This Row],[PLANO DE CONTAS]],Plano_Contas[[PLANO DE CONTAS]:[R / D]],3,0),"")</f>
        <v/>
      </c>
      <c r="W739" s="521" t="str">
        <f>IF(LANÇ_MOV[[#This Row],[DATA DE PAGAMENTO]]&lt;&gt;"","Pago","Não Pago")</f>
        <v>Não Pago</v>
      </c>
      <c r="X739" s="522" t="str">
        <f>IFERROR(IF(LANÇ_MOV[[#This Row],[DATA DE PAGAMENTO]]="","",(UPPER(TEXT(LANÇ_MOV[[#This Row],[DATA DE PAGAMENTO]],"mmmm")))),"")</f>
        <v/>
      </c>
      <c r="Y739" s="523" t="str">
        <f>IFERROR(VLOOKUP(LANÇ_MOV[[#This Row],[PLANO DE CONTAS]],Plano_Contas[[PLANO DE CONTAS]:[NOMES INTERVALOS]],2,0),"")</f>
        <v/>
      </c>
      <c r="Z739" s="523" t="str">
        <f>IF(LANÇ_MOV[[#This Row],[FORMA DE PAGAMENTO]]="","",VLOOKUP(LANÇ_MOV[[#This Row],[FORMA DE PAGAMENTO]],CAD_Forma_pagto[],2,0))</f>
        <v/>
      </c>
      <c r="AA739" s="524" t="str">
        <f>IF(LANÇ_MOV[[#This Row],[DATA DE LANÇAMENTO]]="","",TEXT(LANÇ_MOV[[#This Row],[DATA DE LANÇAMENTO]],"AAAA"))</f>
        <v/>
      </c>
      <c r="AB739" s="524" t="str">
        <f>IF(LANÇ_MOV[[#This Row],[DATA DE LANÇAMENTO]]="","",UPPER(TEXT(LANÇ_MOV[[#This Row],[DATA DE LANÇAMENTO]],"MMMM")))</f>
        <v/>
      </c>
      <c r="AC739" s="525" t="str">
        <f>IF(LANÇ_MOV[[#This Row],[DATA DE LANÇAMENTO]]="","",PROPER(TEXT(LANÇ_MOV[[#This Row],[DATA DE LANÇAMENTO]],"M")))</f>
        <v/>
      </c>
      <c r="AD739" s="524" t="str">
        <f>IF(LANÇ_MOV[[#This Row],[DATA DE LANÇAMENTO]]="","",TEXT(LANÇ_MOV[[#This Row],[DATA DE LANÇAMENTO]],"D"))</f>
        <v/>
      </c>
      <c r="AE739" s="526" t="str">
        <f>IF(LANÇ_MOV[[#This Row],[DATA DE VENCIMENTO]]="","",TEXT(LANÇ_MOV[[#This Row],[DATA DE VENCIMENTO]],"AAAA"))</f>
        <v/>
      </c>
      <c r="AF739" s="526" t="str">
        <f>IF(LANÇ_MOV[[#This Row],[DATA DE VENCIMENTO]]="","",UPPER(TEXT(LANÇ_MOV[[#This Row],[DATA DE VENCIMENTO]],"MMMM")))</f>
        <v/>
      </c>
      <c r="AG739" s="526" t="str">
        <f>IF(LANÇ_MOV[[#This Row],[DATA DE VENCIMENTO]]="","",TEXT(LANÇ_MOV[[#This Row],[DATA DE VENCIMENTO]],"M"))</f>
        <v/>
      </c>
      <c r="AH739" s="526" t="str">
        <f>IF(LANÇ_MOV[[#This Row],[DATA DE VENCIMENTO]]="","",TEXT(LANÇ_MOV[[#This Row],[DATA DE VENCIMENTO]],"D"))</f>
        <v/>
      </c>
      <c r="AI739" s="526" t="str">
        <f>IF(LANÇ_MOV[[#This Row],[DATA DE PAGAMENTO]]="","",TEXT(LANÇ_MOV[[#This Row],[DATA DE PAGAMENTO]],"AAAA"))</f>
        <v/>
      </c>
      <c r="AJ739" s="527" t="str">
        <f>IF(LANÇ_MOV[[#This Row],[DATA DE PAGAMENTO]]="","",UPPER(TEXT(LANÇ_MOV[[#This Row],[DATA DE PAGAMENTO]],"MMMM")))</f>
        <v/>
      </c>
      <c r="AK739" s="527" t="str">
        <f>IF(LANÇ_MOV[[#This Row],[DATA DE PAGAMENTO]]="","",TEXT(LANÇ_MOV[[#This Row],[DATA DE PAGAMENTO]],"M"))</f>
        <v/>
      </c>
      <c r="AL739" s="526" t="str">
        <f>IF(LANÇ_MOV[[#This Row],[DATA DE PAGAMENTO]]="","",TEXT(LANÇ_MOV[[#This Row],[DATA DE PAGAMENTO]],"D"))</f>
        <v/>
      </c>
    </row>
    <row r="740" spans="2:38" ht="30.05" customHeight="1" x14ac:dyDescent="0.35">
      <c r="B740" s="506"/>
      <c r="C740" s="507"/>
      <c r="D740" s="508" t="s">
        <v>1854</v>
      </c>
      <c r="E740" s="509"/>
      <c r="F740" s="510"/>
      <c r="G740" s="507"/>
      <c r="H740" s="511"/>
      <c r="I740" s="512"/>
      <c r="J740" s="518"/>
      <c r="K740" s="510"/>
      <c r="L740" s="510"/>
      <c r="M740" s="548"/>
      <c r="N740" s="514">
        <f>LANÇ_MOV[[#This Row],[VALOR BRUTO]]-LANÇ_MOV[[#This Row],[DESCONTO]]+LANÇ_MOV[[#This Row],[JUROS]]+LANÇ_MOV[[#This Row],[MULTA]]</f>
        <v>0</v>
      </c>
      <c r="O740" s="546"/>
      <c r="P740" s="547" t="str">
        <f t="shared" ca="1" si="11"/>
        <v/>
      </c>
      <c r="Q740" s="528"/>
      <c r="R740" s="529"/>
      <c r="S740" s="518"/>
      <c r="T740" s="518"/>
      <c r="U740" s="519"/>
      <c r="V740" s="520" t="str">
        <f>IFERROR(VLOOKUP(LANÇ_MOV[[#This Row],[PLANO DE CONTAS]],Plano_Contas[[PLANO DE CONTAS]:[R / D]],3,0),"")</f>
        <v/>
      </c>
      <c r="W740" s="521" t="str">
        <f>IF(LANÇ_MOV[[#This Row],[DATA DE PAGAMENTO]]&lt;&gt;"","Pago","Não Pago")</f>
        <v>Não Pago</v>
      </c>
      <c r="X740" s="522" t="str">
        <f>IFERROR(IF(LANÇ_MOV[[#This Row],[DATA DE PAGAMENTO]]="","",(UPPER(TEXT(LANÇ_MOV[[#This Row],[DATA DE PAGAMENTO]],"mmmm")))),"")</f>
        <v/>
      </c>
      <c r="Y740" s="523" t="str">
        <f>IFERROR(VLOOKUP(LANÇ_MOV[[#This Row],[PLANO DE CONTAS]],Plano_Contas[[PLANO DE CONTAS]:[NOMES INTERVALOS]],2,0),"")</f>
        <v/>
      </c>
      <c r="Z740" s="523" t="str">
        <f>IF(LANÇ_MOV[[#This Row],[FORMA DE PAGAMENTO]]="","",VLOOKUP(LANÇ_MOV[[#This Row],[FORMA DE PAGAMENTO]],CAD_Forma_pagto[],2,0))</f>
        <v/>
      </c>
      <c r="AA740" s="524" t="str">
        <f>IF(LANÇ_MOV[[#This Row],[DATA DE LANÇAMENTO]]="","",TEXT(LANÇ_MOV[[#This Row],[DATA DE LANÇAMENTO]],"AAAA"))</f>
        <v/>
      </c>
      <c r="AB740" s="524" t="str">
        <f>IF(LANÇ_MOV[[#This Row],[DATA DE LANÇAMENTO]]="","",UPPER(TEXT(LANÇ_MOV[[#This Row],[DATA DE LANÇAMENTO]],"MMMM")))</f>
        <v/>
      </c>
      <c r="AC740" s="525" t="str">
        <f>IF(LANÇ_MOV[[#This Row],[DATA DE LANÇAMENTO]]="","",PROPER(TEXT(LANÇ_MOV[[#This Row],[DATA DE LANÇAMENTO]],"M")))</f>
        <v/>
      </c>
      <c r="AD740" s="524" t="str">
        <f>IF(LANÇ_MOV[[#This Row],[DATA DE LANÇAMENTO]]="","",TEXT(LANÇ_MOV[[#This Row],[DATA DE LANÇAMENTO]],"D"))</f>
        <v/>
      </c>
      <c r="AE740" s="526" t="str">
        <f>IF(LANÇ_MOV[[#This Row],[DATA DE VENCIMENTO]]="","",TEXT(LANÇ_MOV[[#This Row],[DATA DE VENCIMENTO]],"AAAA"))</f>
        <v/>
      </c>
      <c r="AF740" s="526" t="str">
        <f>IF(LANÇ_MOV[[#This Row],[DATA DE VENCIMENTO]]="","",UPPER(TEXT(LANÇ_MOV[[#This Row],[DATA DE VENCIMENTO]],"MMMM")))</f>
        <v/>
      </c>
      <c r="AG740" s="526" t="str">
        <f>IF(LANÇ_MOV[[#This Row],[DATA DE VENCIMENTO]]="","",TEXT(LANÇ_MOV[[#This Row],[DATA DE VENCIMENTO]],"M"))</f>
        <v/>
      </c>
      <c r="AH740" s="526" t="str">
        <f>IF(LANÇ_MOV[[#This Row],[DATA DE VENCIMENTO]]="","",TEXT(LANÇ_MOV[[#This Row],[DATA DE VENCIMENTO]],"D"))</f>
        <v/>
      </c>
      <c r="AI740" s="526" t="str">
        <f>IF(LANÇ_MOV[[#This Row],[DATA DE PAGAMENTO]]="","",TEXT(LANÇ_MOV[[#This Row],[DATA DE PAGAMENTO]],"AAAA"))</f>
        <v/>
      </c>
      <c r="AJ740" s="527" t="str">
        <f>IF(LANÇ_MOV[[#This Row],[DATA DE PAGAMENTO]]="","",UPPER(TEXT(LANÇ_MOV[[#This Row],[DATA DE PAGAMENTO]],"MMMM")))</f>
        <v/>
      </c>
      <c r="AK740" s="527" t="str">
        <f>IF(LANÇ_MOV[[#This Row],[DATA DE PAGAMENTO]]="","",TEXT(LANÇ_MOV[[#This Row],[DATA DE PAGAMENTO]],"M"))</f>
        <v/>
      </c>
      <c r="AL740" s="526" t="str">
        <f>IF(LANÇ_MOV[[#This Row],[DATA DE PAGAMENTO]]="","",TEXT(LANÇ_MOV[[#This Row],[DATA DE PAGAMENTO]],"D"))</f>
        <v/>
      </c>
    </row>
    <row r="741" spans="2:38" ht="30.05" customHeight="1" x14ac:dyDescent="0.35">
      <c r="B741" s="506"/>
      <c r="C741" s="507"/>
      <c r="D741" s="508" t="s">
        <v>1854</v>
      </c>
      <c r="E741" s="509"/>
      <c r="F741" s="510"/>
      <c r="G741" s="507"/>
      <c r="H741" s="511"/>
      <c r="I741" s="512"/>
      <c r="J741" s="518"/>
      <c r="K741" s="510"/>
      <c r="L741" s="510"/>
      <c r="M741" s="548"/>
      <c r="N741" s="514">
        <f>LANÇ_MOV[[#This Row],[VALOR BRUTO]]-LANÇ_MOV[[#This Row],[DESCONTO]]+LANÇ_MOV[[#This Row],[JUROS]]+LANÇ_MOV[[#This Row],[MULTA]]</f>
        <v>0</v>
      </c>
      <c r="O741" s="546"/>
      <c r="P741" s="547" t="str">
        <f t="shared" ca="1" si="11"/>
        <v/>
      </c>
      <c r="Q741" s="528"/>
      <c r="R741" s="529"/>
      <c r="S741" s="518"/>
      <c r="T741" s="518"/>
      <c r="U741" s="519"/>
      <c r="V741" s="520" t="str">
        <f>IFERROR(VLOOKUP(LANÇ_MOV[[#This Row],[PLANO DE CONTAS]],Plano_Contas[[PLANO DE CONTAS]:[R / D]],3,0),"")</f>
        <v/>
      </c>
      <c r="W741" s="521" t="str">
        <f>IF(LANÇ_MOV[[#This Row],[DATA DE PAGAMENTO]]&lt;&gt;"","Pago","Não Pago")</f>
        <v>Não Pago</v>
      </c>
      <c r="X741" s="522" t="str">
        <f>IFERROR(IF(LANÇ_MOV[[#This Row],[DATA DE PAGAMENTO]]="","",(UPPER(TEXT(LANÇ_MOV[[#This Row],[DATA DE PAGAMENTO]],"mmmm")))),"")</f>
        <v/>
      </c>
      <c r="Y741" s="523" t="str">
        <f>IFERROR(VLOOKUP(LANÇ_MOV[[#This Row],[PLANO DE CONTAS]],Plano_Contas[[PLANO DE CONTAS]:[NOMES INTERVALOS]],2,0),"")</f>
        <v/>
      </c>
      <c r="Z741" s="523" t="str">
        <f>IF(LANÇ_MOV[[#This Row],[FORMA DE PAGAMENTO]]="","",VLOOKUP(LANÇ_MOV[[#This Row],[FORMA DE PAGAMENTO]],CAD_Forma_pagto[],2,0))</f>
        <v/>
      </c>
      <c r="AA741" s="524" t="str">
        <f>IF(LANÇ_MOV[[#This Row],[DATA DE LANÇAMENTO]]="","",TEXT(LANÇ_MOV[[#This Row],[DATA DE LANÇAMENTO]],"AAAA"))</f>
        <v/>
      </c>
      <c r="AB741" s="524" t="str">
        <f>IF(LANÇ_MOV[[#This Row],[DATA DE LANÇAMENTO]]="","",UPPER(TEXT(LANÇ_MOV[[#This Row],[DATA DE LANÇAMENTO]],"MMMM")))</f>
        <v/>
      </c>
      <c r="AC741" s="525" t="str">
        <f>IF(LANÇ_MOV[[#This Row],[DATA DE LANÇAMENTO]]="","",PROPER(TEXT(LANÇ_MOV[[#This Row],[DATA DE LANÇAMENTO]],"M")))</f>
        <v/>
      </c>
      <c r="AD741" s="524" t="str">
        <f>IF(LANÇ_MOV[[#This Row],[DATA DE LANÇAMENTO]]="","",TEXT(LANÇ_MOV[[#This Row],[DATA DE LANÇAMENTO]],"D"))</f>
        <v/>
      </c>
      <c r="AE741" s="526" t="str">
        <f>IF(LANÇ_MOV[[#This Row],[DATA DE VENCIMENTO]]="","",TEXT(LANÇ_MOV[[#This Row],[DATA DE VENCIMENTO]],"AAAA"))</f>
        <v/>
      </c>
      <c r="AF741" s="526" t="str">
        <f>IF(LANÇ_MOV[[#This Row],[DATA DE VENCIMENTO]]="","",UPPER(TEXT(LANÇ_MOV[[#This Row],[DATA DE VENCIMENTO]],"MMMM")))</f>
        <v/>
      </c>
      <c r="AG741" s="526" t="str">
        <f>IF(LANÇ_MOV[[#This Row],[DATA DE VENCIMENTO]]="","",TEXT(LANÇ_MOV[[#This Row],[DATA DE VENCIMENTO]],"M"))</f>
        <v/>
      </c>
      <c r="AH741" s="526" t="str">
        <f>IF(LANÇ_MOV[[#This Row],[DATA DE VENCIMENTO]]="","",TEXT(LANÇ_MOV[[#This Row],[DATA DE VENCIMENTO]],"D"))</f>
        <v/>
      </c>
      <c r="AI741" s="526" t="str">
        <f>IF(LANÇ_MOV[[#This Row],[DATA DE PAGAMENTO]]="","",TEXT(LANÇ_MOV[[#This Row],[DATA DE PAGAMENTO]],"AAAA"))</f>
        <v/>
      </c>
      <c r="AJ741" s="527" t="str">
        <f>IF(LANÇ_MOV[[#This Row],[DATA DE PAGAMENTO]]="","",UPPER(TEXT(LANÇ_MOV[[#This Row],[DATA DE PAGAMENTO]],"MMMM")))</f>
        <v/>
      </c>
      <c r="AK741" s="527" t="str">
        <f>IF(LANÇ_MOV[[#This Row],[DATA DE PAGAMENTO]]="","",TEXT(LANÇ_MOV[[#This Row],[DATA DE PAGAMENTO]],"M"))</f>
        <v/>
      </c>
      <c r="AL741" s="526" t="str">
        <f>IF(LANÇ_MOV[[#This Row],[DATA DE PAGAMENTO]]="","",TEXT(LANÇ_MOV[[#This Row],[DATA DE PAGAMENTO]],"D"))</f>
        <v/>
      </c>
    </row>
    <row r="742" spans="2:38" ht="30.05" customHeight="1" x14ac:dyDescent="0.35">
      <c r="B742" s="506"/>
      <c r="C742" s="507"/>
      <c r="D742" s="508" t="s">
        <v>1854</v>
      </c>
      <c r="E742" s="509"/>
      <c r="F742" s="510"/>
      <c r="G742" s="507"/>
      <c r="H742" s="511"/>
      <c r="I742" s="512"/>
      <c r="J742" s="518"/>
      <c r="K742" s="510"/>
      <c r="L742" s="510"/>
      <c r="M742" s="548"/>
      <c r="N742" s="514">
        <f>LANÇ_MOV[[#This Row],[VALOR BRUTO]]-LANÇ_MOV[[#This Row],[DESCONTO]]+LANÇ_MOV[[#This Row],[JUROS]]+LANÇ_MOV[[#This Row],[MULTA]]</f>
        <v>0</v>
      </c>
      <c r="O742" s="546"/>
      <c r="P742" s="547" t="str">
        <f t="shared" ca="1" si="11"/>
        <v/>
      </c>
      <c r="Q742" s="528"/>
      <c r="R742" s="529"/>
      <c r="S742" s="518"/>
      <c r="T742" s="518"/>
      <c r="U742" s="519"/>
      <c r="V742" s="520" t="str">
        <f>IFERROR(VLOOKUP(LANÇ_MOV[[#This Row],[PLANO DE CONTAS]],Plano_Contas[[PLANO DE CONTAS]:[R / D]],3,0),"")</f>
        <v/>
      </c>
      <c r="W742" s="521" t="str">
        <f>IF(LANÇ_MOV[[#This Row],[DATA DE PAGAMENTO]]&lt;&gt;"","Pago","Não Pago")</f>
        <v>Não Pago</v>
      </c>
      <c r="X742" s="522" t="str">
        <f>IFERROR(IF(LANÇ_MOV[[#This Row],[DATA DE PAGAMENTO]]="","",(UPPER(TEXT(LANÇ_MOV[[#This Row],[DATA DE PAGAMENTO]],"mmmm")))),"")</f>
        <v/>
      </c>
      <c r="Y742" s="523" t="str">
        <f>IFERROR(VLOOKUP(LANÇ_MOV[[#This Row],[PLANO DE CONTAS]],Plano_Contas[[PLANO DE CONTAS]:[NOMES INTERVALOS]],2,0),"")</f>
        <v/>
      </c>
      <c r="Z742" s="523" t="str">
        <f>IF(LANÇ_MOV[[#This Row],[FORMA DE PAGAMENTO]]="","",VLOOKUP(LANÇ_MOV[[#This Row],[FORMA DE PAGAMENTO]],CAD_Forma_pagto[],2,0))</f>
        <v/>
      </c>
      <c r="AA742" s="524" t="str">
        <f>IF(LANÇ_MOV[[#This Row],[DATA DE LANÇAMENTO]]="","",TEXT(LANÇ_MOV[[#This Row],[DATA DE LANÇAMENTO]],"AAAA"))</f>
        <v/>
      </c>
      <c r="AB742" s="524" t="str">
        <f>IF(LANÇ_MOV[[#This Row],[DATA DE LANÇAMENTO]]="","",UPPER(TEXT(LANÇ_MOV[[#This Row],[DATA DE LANÇAMENTO]],"MMMM")))</f>
        <v/>
      </c>
      <c r="AC742" s="525" t="str">
        <f>IF(LANÇ_MOV[[#This Row],[DATA DE LANÇAMENTO]]="","",PROPER(TEXT(LANÇ_MOV[[#This Row],[DATA DE LANÇAMENTO]],"M")))</f>
        <v/>
      </c>
      <c r="AD742" s="524" t="str">
        <f>IF(LANÇ_MOV[[#This Row],[DATA DE LANÇAMENTO]]="","",TEXT(LANÇ_MOV[[#This Row],[DATA DE LANÇAMENTO]],"D"))</f>
        <v/>
      </c>
      <c r="AE742" s="526" t="str">
        <f>IF(LANÇ_MOV[[#This Row],[DATA DE VENCIMENTO]]="","",TEXT(LANÇ_MOV[[#This Row],[DATA DE VENCIMENTO]],"AAAA"))</f>
        <v/>
      </c>
      <c r="AF742" s="526" t="str">
        <f>IF(LANÇ_MOV[[#This Row],[DATA DE VENCIMENTO]]="","",UPPER(TEXT(LANÇ_MOV[[#This Row],[DATA DE VENCIMENTO]],"MMMM")))</f>
        <v/>
      </c>
      <c r="AG742" s="526" t="str">
        <f>IF(LANÇ_MOV[[#This Row],[DATA DE VENCIMENTO]]="","",TEXT(LANÇ_MOV[[#This Row],[DATA DE VENCIMENTO]],"M"))</f>
        <v/>
      </c>
      <c r="AH742" s="526" t="str">
        <f>IF(LANÇ_MOV[[#This Row],[DATA DE VENCIMENTO]]="","",TEXT(LANÇ_MOV[[#This Row],[DATA DE VENCIMENTO]],"D"))</f>
        <v/>
      </c>
      <c r="AI742" s="526" t="str">
        <f>IF(LANÇ_MOV[[#This Row],[DATA DE PAGAMENTO]]="","",TEXT(LANÇ_MOV[[#This Row],[DATA DE PAGAMENTO]],"AAAA"))</f>
        <v/>
      </c>
      <c r="AJ742" s="527" t="str">
        <f>IF(LANÇ_MOV[[#This Row],[DATA DE PAGAMENTO]]="","",UPPER(TEXT(LANÇ_MOV[[#This Row],[DATA DE PAGAMENTO]],"MMMM")))</f>
        <v/>
      </c>
      <c r="AK742" s="527" t="str">
        <f>IF(LANÇ_MOV[[#This Row],[DATA DE PAGAMENTO]]="","",TEXT(LANÇ_MOV[[#This Row],[DATA DE PAGAMENTO]],"M"))</f>
        <v/>
      </c>
      <c r="AL742" s="526" t="str">
        <f>IF(LANÇ_MOV[[#This Row],[DATA DE PAGAMENTO]]="","",TEXT(LANÇ_MOV[[#This Row],[DATA DE PAGAMENTO]],"D"))</f>
        <v/>
      </c>
    </row>
    <row r="743" spans="2:38" ht="30.05" customHeight="1" x14ac:dyDescent="0.35">
      <c r="B743" s="506"/>
      <c r="C743" s="507"/>
      <c r="D743" s="508" t="s">
        <v>1854</v>
      </c>
      <c r="E743" s="509"/>
      <c r="F743" s="510"/>
      <c r="G743" s="507"/>
      <c r="H743" s="511"/>
      <c r="I743" s="512"/>
      <c r="J743" s="518"/>
      <c r="K743" s="510"/>
      <c r="L743" s="510"/>
      <c r="M743" s="548"/>
      <c r="N743" s="514">
        <f>LANÇ_MOV[[#This Row],[VALOR BRUTO]]-LANÇ_MOV[[#This Row],[DESCONTO]]+LANÇ_MOV[[#This Row],[JUROS]]+LANÇ_MOV[[#This Row],[MULTA]]</f>
        <v>0</v>
      </c>
      <c r="O743" s="546"/>
      <c r="P743" s="547" t="str">
        <f t="shared" ca="1" si="11"/>
        <v/>
      </c>
      <c r="Q743" s="528"/>
      <c r="R743" s="529"/>
      <c r="S743" s="518"/>
      <c r="T743" s="518"/>
      <c r="U743" s="519"/>
      <c r="V743" s="520" t="str">
        <f>IFERROR(VLOOKUP(LANÇ_MOV[[#This Row],[PLANO DE CONTAS]],Plano_Contas[[PLANO DE CONTAS]:[R / D]],3,0),"")</f>
        <v/>
      </c>
      <c r="W743" s="521" t="str">
        <f>IF(LANÇ_MOV[[#This Row],[DATA DE PAGAMENTO]]&lt;&gt;"","Pago","Não Pago")</f>
        <v>Não Pago</v>
      </c>
      <c r="X743" s="522" t="str">
        <f>IFERROR(IF(LANÇ_MOV[[#This Row],[DATA DE PAGAMENTO]]="","",(UPPER(TEXT(LANÇ_MOV[[#This Row],[DATA DE PAGAMENTO]],"mmmm")))),"")</f>
        <v/>
      </c>
      <c r="Y743" s="523" t="str">
        <f>IFERROR(VLOOKUP(LANÇ_MOV[[#This Row],[PLANO DE CONTAS]],Plano_Contas[[PLANO DE CONTAS]:[NOMES INTERVALOS]],2,0),"")</f>
        <v/>
      </c>
      <c r="Z743" s="523" t="str">
        <f>IF(LANÇ_MOV[[#This Row],[FORMA DE PAGAMENTO]]="","",VLOOKUP(LANÇ_MOV[[#This Row],[FORMA DE PAGAMENTO]],CAD_Forma_pagto[],2,0))</f>
        <v/>
      </c>
      <c r="AA743" s="524" t="str">
        <f>IF(LANÇ_MOV[[#This Row],[DATA DE LANÇAMENTO]]="","",TEXT(LANÇ_MOV[[#This Row],[DATA DE LANÇAMENTO]],"AAAA"))</f>
        <v/>
      </c>
      <c r="AB743" s="524" t="str">
        <f>IF(LANÇ_MOV[[#This Row],[DATA DE LANÇAMENTO]]="","",UPPER(TEXT(LANÇ_MOV[[#This Row],[DATA DE LANÇAMENTO]],"MMMM")))</f>
        <v/>
      </c>
      <c r="AC743" s="525" t="str">
        <f>IF(LANÇ_MOV[[#This Row],[DATA DE LANÇAMENTO]]="","",PROPER(TEXT(LANÇ_MOV[[#This Row],[DATA DE LANÇAMENTO]],"M")))</f>
        <v/>
      </c>
      <c r="AD743" s="524" t="str">
        <f>IF(LANÇ_MOV[[#This Row],[DATA DE LANÇAMENTO]]="","",TEXT(LANÇ_MOV[[#This Row],[DATA DE LANÇAMENTO]],"D"))</f>
        <v/>
      </c>
      <c r="AE743" s="526" t="str">
        <f>IF(LANÇ_MOV[[#This Row],[DATA DE VENCIMENTO]]="","",TEXT(LANÇ_MOV[[#This Row],[DATA DE VENCIMENTO]],"AAAA"))</f>
        <v/>
      </c>
      <c r="AF743" s="526" t="str">
        <f>IF(LANÇ_MOV[[#This Row],[DATA DE VENCIMENTO]]="","",UPPER(TEXT(LANÇ_MOV[[#This Row],[DATA DE VENCIMENTO]],"MMMM")))</f>
        <v/>
      </c>
      <c r="AG743" s="526" t="str">
        <f>IF(LANÇ_MOV[[#This Row],[DATA DE VENCIMENTO]]="","",TEXT(LANÇ_MOV[[#This Row],[DATA DE VENCIMENTO]],"M"))</f>
        <v/>
      </c>
      <c r="AH743" s="526" t="str">
        <f>IF(LANÇ_MOV[[#This Row],[DATA DE VENCIMENTO]]="","",TEXT(LANÇ_MOV[[#This Row],[DATA DE VENCIMENTO]],"D"))</f>
        <v/>
      </c>
      <c r="AI743" s="526" t="str">
        <f>IF(LANÇ_MOV[[#This Row],[DATA DE PAGAMENTO]]="","",TEXT(LANÇ_MOV[[#This Row],[DATA DE PAGAMENTO]],"AAAA"))</f>
        <v/>
      </c>
      <c r="AJ743" s="527" t="str">
        <f>IF(LANÇ_MOV[[#This Row],[DATA DE PAGAMENTO]]="","",UPPER(TEXT(LANÇ_MOV[[#This Row],[DATA DE PAGAMENTO]],"MMMM")))</f>
        <v/>
      </c>
      <c r="AK743" s="527" t="str">
        <f>IF(LANÇ_MOV[[#This Row],[DATA DE PAGAMENTO]]="","",TEXT(LANÇ_MOV[[#This Row],[DATA DE PAGAMENTO]],"M"))</f>
        <v/>
      </c>
      <c r="AL743" s="526" t="str">
        <f>IF(LANÇ_MOV[[#This Row],[DATA DE PAGAMENTO]]="","",TEXT(LANÇ_MOV[[#This Row],[DATA DE PAGAMENTO]],"D"))</f>
        <v/>
      </c>
    </row>
    <row r="744" spans="2:38" ht="30.05" customHeight="1" x14ac:dyDescent="0.35">
      <c r="B744" s="506"/>
      <c r="C744" s="507"/>
      <c r="D744" s="508" t="s">
        <v>1854</v>
      </c>
      <c r="E744" s="509"/>
      <c r="F744" s="510"/>
      <c r="G744" s="507"/>
      <c r="H744" s="511"/>
      <c r="I744" s="512"/>
      <c r="J744" s="518"/>
      <c r="K744" s="510"/>
      <c r="L744" s="510"/>
      <c r="M744" s="548"/>
      <c r="N744" s="514">
        <f>LANÇ_MOV[[#This Row],[VALOR BRUTO]]-LANÇ_MOV[[#This Row],[DESCONTO]]+LANÇ_MOV[[#This Row],[JUROS]]+LANÇ_MOV[[#This Row],[MULTA]]</f>
        <v>0</v>
      </c>
      <c r="O744" s="546"/>
      <c r="P744" s="547" t="str">
        <f t="shared" ca="1" si="11"/>
        <v/>
      </c>
      <c r="Q744" s="528"/>
      <c r="R744" s="529"/>
      <c r="S744" s="518"/>
      <c r="T744" s="518"/>
      <c r="U744" s="519"/>
      <c r="V744" s="520" t="str">
        <f>IFERROR(VLOOKUP(LANÇ_MOV[[#This Row],[PLANO DE CONTAS]],Plano_Contas[[PLANO DE CONTAS]:[R / D]],3,0),"")</f>
        <v/>
      </c>
      <c r="W744" s="521" t="str">
        <f>IF(LANÇ_MOV[[#This Row],[DATA DE PAGAMENTO]]&lt;&gt;"","Pago","Não Pago")</f>
        <v>Não Pago</v>
      </c>
      <c r="X744" s="522" t="str">
        <f>IFERROR(IF(LANÇ_MOV[[#This Row],[DATA DE PAGAMENTO]]="","",(UPPER(TEXT(LANÇ_MOV[[#This Row],[DATA DE PAGAMENTO]],"mmmm")))),"")</f>
        <v/>
      </c>
      <c r="Y744" s="523" t="str">
        <f>IFERROR(VLOOKUP(LANÇ_MOV[[#This Row],[PLANO DE CONTAS]],Plano_Contas[[PLANO DE CONTAS]:[NOMES INTERVALOS]],2,0),"")</f>
        <v/>
      </c>
      <c r="Z744" s="523" t="str">
        <f>IF(LANÇ_MOV[[#This Row],[FORMA DE PAGAMENTO]]="","",VLOOKUP(LANÇ_MOV[[#This Row],[FORMA DE PAGAMENTO]],CAD_Forma_pagto[],2,0))</f>
        <v/>
      </c>
      <c r="AA744" s="524" t="str">
        <f>IF(LANÇ_MOV[[#This Row],[DATA DE LANÇAMENTO]]="","",TEXT(LANÇ_MOV[[#This Row],[DATA DE LANÇAMENTO]],"AAAA"))</f>
        <v/>
      </c>
      <c r="AB744" s="524" t="str">
        <f>IF(LANÇ_MOV[[#This Row],[DATA DE LANÇAMENTO]]="","",UPPER(TEXT(LANÇ_MOV[[#This Row],[DATA DE LANÇAMENTO]],"MMMM")))</f>
        <v/>
      </c>
      <c r="AC744" s="525" t="str">
        <f>IF(LANÇ_MOV[[#This Row],[DATA DE LANÇAMENTO]]="","",PROPER(TEXT(LANÇ_MOV[[#This Row],[DATA DE LANÇAMENTO]],"M")))</f>
        <v/>
      </c>
      <c r="AD744" s="524" t="str">
        <f>IF(LANÇ_MOV[[#This Row],[DATA DE LANÇAMENTO]]="","",TEXT(LANÇ_MOV[[#This Row],[DATA DE LANÇAMENTO]],"D"))</f>
        <v/>
      </c>
      <c r="AE744" s="526" t="str">
        <f>IF(LANÇ_MOV[[#This Row],[DATA DE VENCIMENTO]]="","",TEXT(LANÇ_MOV[[#This Row],[DATA DE VENCIMENTO]],"AAAA"))</f>
        <v/>
      </c>
      <c r="AF744" s="526" t="str">
        <f>IF(LANÇ_MOV[[#This Row],[DATA DE VENCIMENTO]]="","",UPPER(TEXT(LANÇ_MOV[[#This Row],[DATA DE VENCIMENTO]],"MMMM")))</f>
        <v/>
      </c>
      <c r="AG744" s="526" t="str">
        <f>IF(LANÇ_MOV[[#This Row],[DATA DE VENCIMENTO]]="","",TEXT(LANÇ_MOV[[#This Row],[DATA DE VENCIMENTO]],"M"))</f>
        <v/>
      </c>
      <c r="AH744" s="526" t="str">
        <f>IF(LANÇ_MOV[[#This Row],[DATA DE VENCIMENTO]]="","",TEXT(LANÇ_MOV[[#This Row],[DATA DE VENCIMENTO]],"D"))</f>
        <v/>
      </c>
      <c r="AI744" s="526" t="str">
        <f>IF(LANÇ_MOV[[#This Row],[DATA DE PAGAMENTO]]="","",TEXT(LANÇ_MOV[[#This Row],[DATA DE PAGAMENTO]],"AAAA"))</f>
        <v/>
      </c>
      <c r="AJ744" s="527" t="str">
        <f>IF(LANÇ_MOV[[#This Row],[DATA DE PAGAMENTO]]="","",UPPER(TEXT(LANÇ_MOV[[#This Row],[DATA DE PAGAMENTO]],"MMMM")))</f>
        <v/>
      </c>
      <c r="AK744" s="527" t="str">
        <f>IF(LANÇ_MOV[[#This Row],[DATA DE PAGAMENTO]]="","",TEXT(LANÇ_MOV[[#This Row],[DATA DE PAGAMENTO]],"M"))</f>
        <v/>
      </c>
      <c r="AL744" s="526" t="str">
        <f>IF(LANÇ_MOV[[#This Row],[DATA DE PAGAMENTO]]="","",TEXT(LANÇ_MOV[[#This Row],[DATA DE PAGAMENTO]],"D"))</f>
        <v/>
      </c>
    </row>
    <row r="745" spans="2:38" ht="30.05" customHeight="1" x14ac:dyDescent="0.35">
      <c r="B745" s="506"/>
      <c r="C745" s="507"/>
      <c r="D745" s="508" t="s">
        <v>1854</v>
      </c>
      <c r="E745" s="509"/>
      <c r="F745" s="510"/>
      <c r="G745" s="507"/>
      <c r="H745" s="511"/>
      <c r="I745" s="512"/>
      <c r="J745" s="518"/>
      <c r="K745" s="510"/>
      <c r="L745" s="510"/>
      <c r="M745" s="548"/>
      <c r="N745" s="514">
        <f>LANÇ_MOV[[#This Row],[VALOR BRUTO]]-LANÇ_MOV[[#This Row],[DESCONTO]]+LANÇ_MOV[[#This Row],[JUROS]]+LANÇ_MOV[[#This Row],[MULTA]]</f>
        <v>0</v>
      </c>
      <c r="O745" s="546"/>
      <c r="P745" s="547" t="str">
        <f t="shared" ca="1" si="11"/>
        <v/>
      </c>
      <c r="Q745" s="528"/>
      <c r="R745" s="529"/>
      <c r="S745" s="518"/>
      <c r="T745" s="518"/>
      <c r="U745" s="519"/>
      <c r="V745" s="520" t="str">
        <f>IFERROR(VLOOKUP(LANÇ_MOV[[#This Row],[PLANO DE CONTAS]],Plano_Contas[[PLANO DE CONTAS]:[R / D]],3,0),"")</f>
        <v/>
      </c>
      <c r="W745" s="521" t="str">
        <f>IF(LANÇ_MOV[[#This Row],[DATA DE PAGAMENTO]]&lt;&gt;"","Pago","Não Pago")</f>
        <v>Não Pago</v>
      </c>
      <c r="X745" s="522" t="str">
        <f>IFERROR(IF(LANÇ_MOV[[#This Row],[DATA DE PAGAMENTO]]="","",(UPPER(TEXT(LANÇ_MOV[[#This Row],[DATA DE PAGAMENTO]],"mmmm")))),"")</f>
        <v/>
      </c>
      <c r="Y745" s="523" t="str">
        <f>IFERROR(VLOOKUP(LANÇ_MOV[[#This Row],[PLANO DE CONTAS]],Plano_Contas[[PLANO DE CONTAS]:[NOMES INTERVALOS]],2,0),"")</f>
        <v/>
      </c>
      <c r="Z745" s="523" t="str">
        <f>IF(LANÇ_MOV[[#This Row],[FORMA DE PAGAMENTO]]="","",VLOOKUP(LANÇ_MOV[[#This Row],[FORMA DE PAGAMENTO]],CAD_Forma_pagto[],2,0))</f>
        <v/>
      </c>
      <c r="AA745" s="524" t="str">
        <f>IF(LANÇ_MOV[[#This Row],[DATA DE LANÇAMENTO]]="","",TEXT(LANÇ_MOV[[#This Row],[DATA DE LANÇAMENTO]],"AAAA"))</f>
        <v/>
      </c>
      <c r="AB745" s="524" t="str">
        <f>IF(LANÇ_MOV[[#This Row],[DATA DE LANÇAMENTO]]="","",UPPER(TEXT(LANÇ_MOV[[#This Row],[DATA DE LANÇAMENTO]],"MMMM")))</f>
        <v/>
      </c>
      <c r="AC745" s="525" t="str">
        <f>IF(LANÇ_MOV[[#This Row],[DATA DE LANÇAMENTO]]="","",PROPER(TEXT(LANÇ_MOV[[#This Row],[DATA DE LANÇAMENTO]],"M")))</f>
        <v/>
      </c>
      <c r="AD745" s="524" t="str">
        <f>IF(LANÇ_MOV[[#This Row],[DATA DE LANÇAMENTO]]="","",TEXT(LANÇ_MOV[[#This Row],[DATA DE LANÇAMENTO]],"D"))</f>
        <v/>
      </c>
      <c r="AE745" s="526" t="str">
        <f>IF(LANÇ_MOV[[#This Row],[DATA DE VENCIMENTO]]="","",TEXT(LANÇ_MOV[[#This Row],[DATA DE VENCIMENTO]],"AAAA"))</f>
        <v/>
      </c>
      <c r="AF745" s="526" t="str">
        <f>IF(LANÇ_MOV[[#This Row],[DATA DE VENCIMENTO]]="","",UPPER(TEXT(LANÇ_MOV[[#This Row],[DATA DE VENCIMENTO]],"MMMM")))</f>
        <v/>
      </c>
      <c r="AG745" s="526" t="str">
        <f>IF(LANÇ_MOV[[#This Row],[DATA DE VENCIMENTO]]="","",TEXT(LANÇ_MOV[[#This Row],[DATA DE VENCIMENTO]],"M"))</f>
        <v/>
      </c>
      <c r="AH745" s="526" t="str">
        <f>IF(LANÇ_MOV[[#This Row],[DATA DE VENCIMENTO]]="","",TEXT(LANÇ_MOV[[#This Row],[DATA DE VENCIMENTO]],"D"))</f>
        <v/>
      </c>
      <c r="AI745" s="526" t="str">
        <f>IF(LANÇ_MOV[[#This Row],[DATA DE PAGAMENTO]]="","",TEXT(LANÇ_MOV[[#This Row],[DATA DE PAGAMENTO]],"AAAA"))</f>
        <v/>
      </c>
      <c r="AJ745" s="527" t="str">
        <f>IF(LANÇ_MOV[[#This Row],[DATA DE PAGAMENTO]]="","",UPPER(TEXT(LANÇ_MOV[[#This Row],[DATA DE PAGAMENTO]],"MMMM")))</f>
        <v/>
      </c>
      <c r="AK745" s="527" t="str">
        <f>IF(LANÇ_MOV[[#This Row],[DATA DE PAGAMENTO]]="","",TEXT(LANÇ_MOV[[#This Row],[DATA DE PAGAMENTO]],"M"))</f>
        <v/>
      </c>
      <c r="AL745" s="526" t="str">
        <f>IF(LANÇ_MOV[[#This Row],[DATA DE PAGAMENTO]]="","",TEXT(LANÇ_MOV[[#This Row],[DATA DE PAGAMENTO]],"D"))</f>
        <v/>
      </c>
    </row>
    <row r="746" spans="2:38" ht="30.05" customHeight="1" x14ac:dyDescent="0.35">
      <c r="B746" s="506"/>
      <c r="C746" s="507"/>
      <c r="D746" s="508" t="s">
        <v>1854</v>
      </c>
      <c r="E746" s="509"/>
      <c r="F746" s="510"/>
      <c r="G746" s="507"/>
      <c r="H746" s="511"/>
      <c r="I746" s="512"/>
      <c r="J746" s="518"/>
      <c r="K746" s="510"/>
      <c r="L746" s="510"/>
      <c r="M746" s="548"/>
      <c r="N746" s="514">
        <f>LANÇ_MOV[[#This Row],[VALOR BRUTO]]-LANÇ_MOV[[#This Row],[DESCONTO]]+LANÇ_MOV[[#This Row],[JUROS]]+LANÇ_MOV[[#This Row],[MULTA]]</f>
        <v>0</v>
      </c>
      <c r="O746" s="546"/>
      <c r="P746" s="547" t="str">
        <f t="shared" ca="1" si="11"/>
        <v/>
      </c>
      <c r="Q746" s="528"/>
      <c r="R746" s="529"/>
      <c r="S746" s="518"/>
      <c r="T746" s="518"/>
      <c r="U746" s="519"/>
      <c r="V746" s="520" t="str">
        <f>IFERROR(VLOOKUP(LANÇ_MOV[[#This Row],[PLANO DE CONTAS]],Plano_Contas[[PLANO DE CONTAS]:[R / D]],3,0),"")</f>
        <v/>
      </c>
      <c r="W746" s="521" t="str">
        <f>IF(LANÇ_MOV[[#This Row],[DATA DE PAGAMENTO]]&lt;&gt;"","Pago","Não Pago")</f>
        <v>Não Pago</v>
      </c>
      <c r="X746" s="522" t="str">
        <f>IFERROR(IF(LANÇ_MOV[[#This Row],[DATA DE PAGAMENTO]]="","",(UPPER(TEXT(LANÇ_MOV[[#This Row],[DATA DE PAGAMENTO]],"mmmm")))),"")</f>
        <v/>
      </c>
      <c r="Y746" s="523" t="str">
        <f>IFERROR(VLOOKUP(LANÇ_MOV[[#This Row],[PLANO DE CONTAS]],Plano_Contas[[PLANO DE CONTAS]:[NOMES INTERVALOS]],2,0),"")</f>
        <v/>
      </c>
      <c r="Z746" s="523" t="str">
        <f>IF(LANÇ_MOV[[#This Row],[FORMA DE PAGAMENTO]]="","",VLOOKUP(LANÇ_MOV[[#This Row],[FORMA DE PAGAMENTO]],CAD_Forma_pagto[],2,0))</f>
        <v/>
      </c>
      <c r="AA746" s="524" t="str">
        <f>IF(LANÇ_MOV[[#This Row],[DATA DE LANÇAMENTO]]="","",TEXT(LANÇ_MOV[[#This Row],[DATA DE LANÇAMENTO]],"AAAA"))</f>
        <v/>
      </c>
      <c r="AB746" s="524" t="str">
        <f>IF(LANÇ_MOV[[#This Row],[DATA DE LANÇAMENTO]]="","",UPPER(TEXT(LANÇ_MOV[[#This Row],[DATA DE LANÇAMENTO]],"MMMM")))</f>
        <v/>
      </c>
      <c r="AC746" s="525" t="str">
        <f>IF(LANÇ_MOV[[#This Row],[DATA DE LANÇAMENTO]]="","",PROPER(TEXT(LANÇ_MOV[[#This Row],[DATA DE LANÇAMENTO]],"M")))</f>
        <v/>
      </c>
      <c r="AD746" s="524" t="str">
        <f>IF(LANÇ_MOV[[#This Row],[DATA DE LANÇAMENTO]]="","",TEXT(LANÇ_MOV[[#This Row],[DATA DE LANÇAMENTO]],"D"))</f>
        <v/>
      </c>
      <c r="AE746" s="526" t="str">
        <f>IF(LANÇ_MOV[[#This Row],[DATA DE VENCIMENTO]]="","",TEXT(LANÇ_MOV[[#This Row],[DATA DE VENCIMENTO]],"AAAA"))</f>
        <v/>
      </c>
      <c r="AF746" s="526" t="str">
        <f>IF(LANÇ_MOV[[#This Row],[DATA DE VENCIMENTO]]="","",UPPER(TEXT(LANÇ_MOV[[#This Row],[DATA DE VENCIMENTO]],"MMMM")))</f>
        <v/>
      </c>
      <c r="AG746" s="526" t="str">
        <f>IF(LANÇ_MOV[[#This Row],[DATA DE VENCIMENTO]]="","",TEXT(LANÇ_MOV[[#This Row],[DATA DE VENCIMENTO]],"M"))</f>
        <v/>
      </c>
      <c r="AH746" s="526" t="str">
        <f>IF(LANÇ_MOV[[#This Row],[DATA DE VENCIMENTO]]="","",TEXT(LANÇ_MOV[[#This Row],[DATA DE VENCIMENTO]],"D"))</f>
        <v/>
      </c>
      <c r="AI746" s="526" t="str">
        <f>IF(LANÇ_MOV[[#This Row],[DATA DE PAGAMENTO]]="","",TEXT(LANÇ_MOV[[#This Row],[DATA DE PAGAMENTO]],"AAAA"))</f>
        <v/>
      </c>
      <c r="AJ746" s="527" t="str">
        <f>IF(LANÇ_MOV[[#This Row],[DATA DE PAGAMENTO]]="","",UPPER(TEXT(LANÇ_MOV[[#This Row],[DATA DE PAGAMENTO]],"MMMM")))</f>
        <v/>
      </c>
      <c r="AK746" s="527" t="str">
        <f>IF(LANÇ_MOV[[#This Row],[DATA DE PAGAMENTO]]="","",TEXT(LANÇ_MOV[[#This Row],[DATA DE PAGAMENTO]],"M"))</f>
        <v/>
      </c>
      <c r="AL746" s="526" t="str">
        <f>IF(LANÇ_MOV[[#This Row],[DATA DE PAGAMENTO]]="","",TEXT(LANÇ_MOV[[#This Row],[DATA DE PAGAMENTO]],"D"))</f>
        <v/>
      </c>
    </row>
    <row r="747" spans="2:38" ht="30.05" customHeight="1" x14ac:dyDescent="0.35">
      <c r="B747" s="506"/>
      <c r="C747" s="507"/>
      <c r="D747" s="508" t="s">
        <v>1854</v>
      </c>
      <c r="E747" s="509"/>
      <c r="F747" s="510"/>
      <c r="G747" s="507"/>
      <c r="H747" s="511"/>
      <c r="I747" s="512"/>
      <c r="J747" s="518"/>
      <c r="K747" s="510"/>
      <c r="L747" s="510"/>
      <c r="M747" s="548"/>
      <c r="N747" s="514">
        <f>LANÇ_MOV[[#This Row],[VALOR BRUTO]]-LANÇ_MOV[[#This Row],[DESCONTO]]+LANÇ_MOV[[#This Row],[JUROS]]+LANÇ_MOV[[#This Row],[MULTA]]</f>
        <v>0</v>
      </c>
      <c r="O747" s="546"/>
      <c r="P747" s="547" t="str">
        <f t="shared" ca="1" si="11"/>
        <v/>
      </c>
      <c r="Q747" s="528"/>
      <c r="R747" s="529"/>
      <c r="S747" s="518"/>
      <c r="T747" s="518"/>
      <c r="U747" s="519"/>
      <c r="V747" s="520" t="str">
        <f>IFERROR(VLOOKUP(LANÇ_MOV[[#This Row],[PLANO DE CONTAS]],Plano_Contas[[PLANO DE CONTAS]:[R / D]],3,0),"")</f>
        <v/>
      </c>
      <c r="W747" s="521" t="str">
        <f>IF(LANÇ_MOV[[#This Row],[DATA DE PAGAMENTO]]&lt;&gt;"","Pago","Não Pago")</f>
        <v>Não Pago</v>
      </c>
      <c r="X747" s="522" t="str">
        <f>IFERROR(IF(LANÇ_MOV[[#This Row],[DATA DE PAGAMENTO]]="","",(UPPER(TEXT(LANÇ_MOV[[#This Row],[DATA DE PAGAMENTO]],"mmmm")))),"")</f>
        <v/>
      </c>
      <c r="Y747" s="523" t="str">
        <f>IFERROR(VLOOKUP(LANÇ_MOV[[#This Row],[PLANO DE CONTAS]],Plano_Contas[[PLANO DE CONTAS]:[NOMES INTERVALOS]],2,0),"")</f>
        <v/>
      </c>
      <c r="Z747" s="523" t="str">
        <f>IF(LANÇ_MOV[[#This Row],[FORMA DE PAGAMENTO]]="","",VLOOKUP(LANÇ_MOV[[#This Row],[FORMA DE PAGAMENTO]],CAD_Forma_pagto[],2,0))</f>
        <v/>
      </c>
      <c r="AA747" s="524" t="str">
        <f>IF(LANÇ_MOV[[#This Row],[DATA DE LANÇAMENTO]]="","",TEXT(LANÇ_MOV[[#This Row],[DATA DE LANÇAMENTO]],"AAAA"))</f>
        <v/>
      </c>
      <c r="AB747" s="524" t="str">
        <f>IF(LANÇ_MOV[[#This Row],[DATA DE LANÇAMENTO]]="","",UPPER(TEXT(LANÇ_MOV[[#This Row],[DATA DE LANÇAMENTO]],"MMMM")))</f>
        <v/>
      </c>
      <c r="AC747" s="525" t="str">
        <f>IF(LANÇ_MOV[[#This Row],[DATA DE LANÇAMENTO]]="","",PROPER(TEXT(LANÇ_MOV[[#This Row],[DATA DE LANÇAMENTO]],"M")))</f>
        <v/>
      </c>
      <c r="AD747" s="524" t="str">
        <f>IF(LANÇ_MOV[[#This Row],[DATA DE LANÇAMENTO]]="","",TEXT(LANÇ_MOV[[#This Row],[DATA DE LANÇAMENTO]],"D"))</f>
        <v/>
      </c>
      <c r="AE747" s="526" t="str">
        <f>IF(LANÇ_MOV[[#This Row],[DATA DE VENCIMENTO]]="","",TEXT(LANÇ_MOV[[#This Row],[DATA DE VENCIMENTO]],"AAAA"))</f>
        <v/>
      </c>
      <c r="AF747" s="526" t="str">
        <f>IF(LANÇ_MOV[[#This Row],[DATA DE VENCIMENTO]]="","",UPPER(TEXT(LANÇ_MOV[[#This Row],[DATA DE VENCIMENTO]],"MMMM")))</f>
        <v/>
      </c>
      <c r="AG747" s="526" t="str">
        <f>IF(LANÇ_MOV[[#This Row],[DATA DE VENCIMENTO]]="","",TEXT(LANÇ_MOV[[#This Row],[DATA DE VENCIMENTO]],"M"))</f>
        <v/>
      </c>
      <c r="AH747" s="526" t="str">
        <f>IF(LANÇ_MOV[[#This Row],[DATA DE VENCIMENTO]]="","",TEXT(LANÇ_MOV[[#This Row],[DATA DE VENCIMENTO]],"D"))</f>
        <v/>
      </c>
      <c r="AI747" s="526" t="str">
        <f>IF(LANÇ_MOV[[#This Row],[DATA DE PAGAMENTO]]="","",TEXT(LANÇ_MOV[[#This Row],[DATA DE PAGAMENTO]],"AAAA"))</f>
        <v/>
      </c>
      <c r="AJ747" s="527" t="str">
        <f>IF(LANÇ_MOV[[#This Row],[DATA DE PAGAMENTO]]="","",UPPER(TEXT(LANÇ_MOV[[#This Row],[DATA DE PAGAMENTO]],"MMMM")))</f>
        <v/>
      </c>
      <c r="AK747" s="527" t="str">
        <f>IF(LANÇ_MOV[[#This Row],[DATA DE PAGAMENTO]]="","",TEXT(LANÇ_MOV[[#This Row],[DATA DE PAGAMENTO]],"M"))</f>
        <v/>
      </c>
      <c r="AL747" s="526" t="str">
        <f>IF(LANÇ_MOV[[#This Row],[DATA DE PAGAMENTO]]="","",TEXT(LANÇ_MOV[[#This Row],[DATA DE PAGAMENTO]],"D"))</f>
        <v/>
      </c>
    </row>
    <row r="748" spans="2:38" ht="30.05" customHeight="1" x14ac:dyDescent="0.35">
      <c r="B748" s="506"/>
      <c r="C748" s="507"/>
      <c r="D748" s="508" t="s">
        <v>1854</v>
      </c>
      <c r="E748" s="509"/>
      <c r="F748" s="510"/>
      <c r="G748" s="507"/>
      <c r="H748" s="511"/>
      <c r="I748" s="512"/>
      <c r="J748" s="518"/>
      <c r="K748" s="510"/>
      <c r="L748" s="510"/>
      <c r="M748" s="548"/>
      <c r="N748" s="514">
        <f>LANÇ_MOV[[#This Row],[VALOR BRUTO]]-LANÇ_MOV[[#This Row],[DESCONTO]]+LANÇ_MOV[[#This Row],[JUROS]]+LANÇ_MOV[[#This Row],[MULTA]]</f>
        <v>0</v>
      </c>
      <c r="O748" s="546"/>
      <c r="P748" s="547" t="str">
        <f t="shared" ca="1" si="11"/>
        <v/>
      </c>
      <c r="Q748" s="528"/>
      <c r="R748" s="529"/>
      <c r="S748" s="518"/>
      <c r="T748" s="518"/>
      <c r="U748" s="519"/>
      <c r="V748" s="520" t="str">
        <f>IFERROR(VLOOKUP(LANÇ_MOV[[#This Row],[PLANO DE CONTAS]],Plano_Contas[[PLANO DE CONTAS]:[R / D]],3,0),"")</f>
        <v/>
      </c>
      <c r="W748" s="521" t="str">
        <f>IF(LANÇ_MOV[[#This Row],[DATA DE PAGAMENTO]]&lt;&gt;"","Pago","Não Pago")</f>
        <v>Não Pago</v>
      </c>
      <c r="X748" s="522" t="str">
        <f>IFERROR(IF(LANÇ_MOV[[#This Row],[DATA DE PAGAMENTO]]="","",(UPPER(TEXT(LANÇ_MOV[[#This Row],[DATA DE PAGAMENTO]],"mmmm")))),"")</f>
        <v/>
      </c>
      <c r="Y748" s="523" t="str">
        <f>IFERROR(VLOOKUP(LANÇ_MOV[[#This Row],[PLANO DE CONTAS]],Plano_Contas[[PLANO DE CONTAS]:[NOMES INTERVALOS]],2,0),"")</f>
        <v/>
      </c>
      <c r="Z748" s="523" t="str">
        <f>IF(LANÇ_MOV[[#This Row],[FORMA DE PAGAMENTO]]="","",VLOOKUP(LANÇ_MOV[[#This Row],[FORMA DE PAGAMENTO]],CAD_Forma_pagto[],2,0))</f>
        <v/>
      </c>
      <c r="AA748" s="524" t="str">
        <f>IF(LANÇ_MOV[[#This Row],[DATA DE LANÇAMENTO]]="","",TEXT(LANÇ_MOV[[#This Row],[DATA DE LANÇAMENTO]],"AAAA"))</f>
        <v/>
      </c>
      <c r="AB748" s="524" t="str">
        <f>IF(LANÇ_MOV[[#This Row],[DATA DE LANÇAMENTO]]="","",UPPER(TEXT(LANÇ_MOV[[#This Row],[DATA DE LANÇAMENTO]],"MMMM")))</f>
        <v/>
      </c>
      <c r="AC748" s="525" t="str">
        <f>IF(LANÇ_MOV[[#This Row],[DATA DE LANÇAMENTO]]="","",PROPER(TEXT(LANÇ_MOV[[#This Row],[DATA DE LANÇAMENTO]],"M")))</f>
        <v/>
      </c>
      <c r="AD748" s="524" t="str">
        <f>IF(LANÇ_MOV[[#This Row],[DATA DE LANÇAMENTO]]="","",TEXT(LANÇ_MOV[[#This Row],[DATA DE LANÇAMENTO]],"D"))</f>
        <v/>
      </c>
      <c r="AE748" s="526" t="str">
        <f>IF(LANÇ_MOV[[#This Row],[DATA DE VENCIMENTO]]="","",TEXT(LANÇ_MOV[[#This Row],[DATA DE VENCIMENTO]],"AAAA"))</f>
        <v/>
      </c>
      <c r="AF748" s="526" t="str">
        <f>IF(LANÇ_MOV[[#This Row],[DATA DE VENCIMENTO]]="","",UPPER(TEXT(LANÇ_MOV[[#This Row],[DATA DE VENCIMENTO]],"MMMM")))</f>
        <v/>
      </c>
      <c r="AG748" s="526" t="str">
        <f>IF(LANÇ_MOV[[#This Row],[DATA DE VENCIMENTO]]="","",TEXT(LANÇ_MOV[[#This Row],[DATA DE VENCIMENTO]],"M"))</f>
        <v/>
      </c>
      <c r="AH748" s="526" t="str">
        <f>IF(LANÇ_MOV[[#This Row],[DATA DE VENCIMENTO]]="","",TEXT(LANÇ_MOV[[#This Row],[DATA DE VENCIMENTO]],"D"))</f>
        <v/>
      </c>
      <c r="AI748" s="526" t="str">
        <f>IF(LANÇ_MOV[[#This Row],[DATA DE PAGAMENTO]]="","",TEXT(LANÇ_MOV[[#This Row],[DATA DE PAGAMENTO]],"AAAA"))</f>
        <v/>
      </c>
      <c r="AJ748" s="527" t="str">
        <f>IF(LANÇ_MOV[[#This Row],[DATA DE PAGAMENTO]]="","",UPPER(TEXT(LANÇ_MOV[[#This Row],[DATA DE PAGAMENTO]],"MMMM")))</f>
        <v/>
      </c>
      <c r="AK748" s="527" t="str">
        <f>IF(LANÇ_MOV[[#This Row],[DATA DE PAGAMENTO]]="","",TEXT(LANÇ_MOV[[#This Row],[DATA DE PAGAMENTO]],"M"))</f>
        <v/>
      </c>
      <c r="AL748" s="526" t="str">
        <f>IF(LANÇ_MOV[[#This Row],[DATA DE PAGAMENTO]]="","",TEXT(LANÇ_MOV[[#This Row],[DATA DE PAGAMENTO]],"D"))</f>
        <v/>
      </c>
    </row>
    <row r="749" spans="2:38" ht="30.05" customHeight="1" x14ac:dyDescent="0.35">
      <c r="B749" s="506"/>
      <c r="C749" s="507"/>
      <c r="D749" s="508" t="s">
        <v>1854</v>
      </c>
      <c r="E749" s="509"/>
      <c r="F749" s="510"/>
      <c r="G749" s="507"/>
      <c r="H749" s="511"/>
      <c r="I749" s="512"/>
      <c r="J749" s="518"/>
      <c r="K749" s="510"/>
      <c r="L749" s="510"/>
      <c r="M749" s="548"/>
      <c r="N749" s="514">
        <f>LANÇ_MOV[[#This Row],[VALOR BRUTO]]-LANÇ_MOV[[#This Row],[DESCONTO]]+LANÇ_MOV[[#This Row],[JUROS]]+LANÇ_MOV[[#This Row],[MULTA]]</f>
        <v>0</v>
      </c>
      <c r="O749" s="546"/>
      <c r="P749" s="547" t="str">
        <f t="shared" ca="1" si="11"/>
        <v/>
      </c>
      <c r="Q749" s="528"/>
      <c r="R749" s="529"/>
      <c r="S749" s="518"/>
      <c r="T749" s="518"/>
      <c r="U749" s="519"/>
      <c r="V749" s="520" t="str">
        <f>IFERROR(VLOOKUP(LANÇ_MOV[[#This Row],[PLANO DE CONTAS]],Plano_Contas[[PLANO DE CONTAS]:[R / D]],3,0),"")</f>
        <v/>
      </c>
      <c r="W749" s="521" t="str">
        <f>IF(LANÇ_MOV[[#This Row],[DATA DE PAGAMENTO]]&lt;&gt;"","Pago","Não Pago")</f>
        <v>Não Pago</v>
      </c>
      <c r="X749" s="522" t="str">
        <f>IFERROR(IF(LANÇ_MOV[[#This Row],[DATA DE PAGAMENTO]]="","",(UPPER(TEXT(LANÇ_MOV[[#This Row],[DATA DE PAGAMENTO]],"mmmm")))),"")</f>
        <v/>
      </c>
      <c r="Y749" s="523" t="str">
        <f>IFERROR(VLOOKUP(LANÇ_MOV[[#This Row],[PLANO DE CONTAS]],Plano_Contas[[PLANO DE CONTAS]:[NOMES INTERVALOS]],2,0),"")</f>
        <v/>
      </c>
      <c r="Z749" s="523" t="str">
        <f>IF(LANÇ_MOV[[#This Row],[FORMA DE PAGAMENTO]]="","",VLOOKUP(LANÇ_MOV[[#This Row],[FORMA DE PAGAMENTO]],CAD_Forma_pagto[],2,0))</f>
        <v/>
      </c>
      <c r="AA749" s="524" t="str">
        <f>IF(LANÇ_MOV[[#This Row],[DATA DE LANÇAMENTO]]="","",TEXT(LANÇ_MOV[[#This Row],[DATA DE LANÇAMENTO]],"AAAA"))</f>
        <v/>
      </c>
      <c r="AB749" s="524" t="str">
        <f>IF(LANÇ_MOV[[#This Row],[DATA DE LANÇAMENTO]]="","",UPPER(TEXT(LANÇ_MOV[[#This Row],[DATA DE LANÇAMENTO]],"MMMM")))</f>
        <v/>
      </c>
      <c r="AC749" s="525" t="str">
        <f>IF(LANÇ_MOV[[#This Row],[DATA DE LANÇAMENTO]]="","",PROPER(TEXT(LANÇ_MOV[[#This Row],[DATA DE LANÇAMENTO]],"M")))</f>
        <v/>
      </c>
      <c r="AD749" s="524" t="str">
        <f>IF(LANÇ_MOV[[#This Row],[DATA DE LANÇAMENTO]]="","",TEXT(LANÇ_MOV[[#This Row],[DATA DE LANÇAMENTO]],"D"))</f>
        <v/>
      </c>
      <c r="AE749" s="526" t="str">
        <f>IF(LANÇ_MOV[[#This Row],[DATA DE VENCIMENTO]]="","",TEXT(LANÇ_MOV[[#This Row],[DATA DE VENCIMENTO]],"AAAA"))</f>
        <v/>
      </c>
      <c r="AF749" s="526" t="str">
        <f>IF(LANÇ_MOV[[#This Row],[DATA DE VENCIMENTO]]="","",UPPER(TEXT(LANÇ_MOV[[#This Row],[DATA DE VENCIMENTO]],"MMMM")))</f>
        <v/>
      </c>
      <c r="AG749" s="526" t="str">
        <f>IF(LANÇ_MOV[[#This Row],[DATA DE VENCIMENTO]]="","",TEXT(LANÇ_MOV[[#This Row],[DATA DE VENCIMENTO]],"M"))</f>
        <v/>
      </c>
      <c r="AH749" s="526" t="str">
        <f>IF(LANÇ_MOV[[#This Row],[DATA DE VENCIMENTO]]="","",TEXT(LANÇ_MOV[[#This Row],[DATA DE VENCIMENTO]],"D"))</f>
        <v/>
      </c>
      <c r="AI749" s="526" t="str">
        <f>IF(LANÇ_MOV[[#This Row],[DATA DE PAGAMENTO]]="","",TEXT(LANÇ_MOV[[#This Row],[DATA DE PAGAMENTO]],"AAAA"))</f>
        <v/>
      </c>
      <c r="AJ749" s="527" t="str">
        <f>IF(LANÇ_MOV[[#This Row],[DATA DE PAGAMENTO]]="","",UPPER(TEXT(LANÇ_MOV[[#This Row],[DATA DE PAGAMENTO]],"MMMM")))</f>
        <v/>
      </c>
      <c r="AK749" s="527" t="str">
        <f>IF(LANÇ_MOV[[#This Row],[DATA DE PAGAMENTO]]="","",TEXT(LANÇ_MOV[[#This Row],[DATA DE PAGAMENTO]],"M"))</f>
        <v/>
      </c>
      <c r="AL749" s="526" t="str">
        <f>IF(LANÇ_MOV[[#This Row],[DATA DE PAGAMENTO]]="","",TEXT(LANÇ_MOV[[#This Row],[DATA DE PAGAMENTO]],"D"))</f>
        <v/>
      </c>
    </row>
    <row r="750" spans="2:38" ht="30.05" customHeight="1" x14ac:dyDescent="0.35">
      <c r="B750" s="506"/>
      <c r="C750" s="507"/>
      <c r="D750" s="508" t="s">
        <v>1854</v>
      </c>
      <c r="E750" s="509"/>
      <c r="F750" s="510"/>
      <c r="G750" s="507"/>
      <c r="H750" s="511"/>
      <c r="I750" s="512"/>
      <c r="J750" s="518"/>
      <c r="K750" s="510"/>
      <c r="L750" s="510"/>
      <c r="M750" s="548"/>
      <c r="N750" s="514">
        <f>LANÇ_MOV[[#This Row],[VALOR BRUTO]]-LANÇ_MOV[[#This Row],[DESCONTO]]+LANÇ_MOV[[#This Row],[JUROS]]+LANÇ_MOV[[#This Row],[MULTA]]</f>
        <v>0</v>
      </c>
      <c r="O750" s="546"/>
      <c r="P750" s="547" t="str">
        <f t="shared" ca="1" si="11"/>
        <v/>
      </c>
      <c r="Q750" s="528"/>
      <c r="R750" s="529"/>
      <c r="S750" s="518"/>
      <c r="T750" s="518"/>
      <c r="U750" s="519"/>
      <c r="V750" s="520" t="str">
        <f>IFERROR(VLOOKUP(LANÇ_MOV[[#This Row],[PLANO DE CONTAS]],Plano_Contas[[PLANO DE CONTAS]:[R / D]],3,0),"")</f>
        <v/>
      </c>
      <c r="W750" s="521" t="str">
        <f>IF(LANÇ_MOV[[#This Row],[DATA DE PAGAMENTO]]&lt;&gt;"","Pago","Não Pago")</f>
        <v>Não Pago</v>
      </c>
      <c r="X750" s="522" t="str">
        <f>IFERROR(IF(LANÇ_MOV[[#This Row],[DATA DE PAGAMENTO]]="","",(UPPER(TEXT(LANÇ_MOV[[#This Row],[DATA DE PAGAMENTO]],"mmmm")))),"")</f>
        <v/>
      </c>
      <c r="Y750" s="523" t="str">
        <f>IFERROR(VLOOKUP(LANÇ_MOV[[#This Row],[PLANO DE CONTAS]],Plano_Contas[[PLANO DE CONTAS]:[NOMES INTERVALOS]],2,0),"")</f>
        <v/>
      </c>
      <c r="Z750" s="523" t="str">
        <f>IF(LANÇ_MOV[[#This Row],[FORMA DE PAGAMENTO]]="","",VLOOKUP(LANÇ_MOV[[#This Row],[FORMA DE PAGAMENTO]],CAD_Forma_pagto[],2,0))</f>
        <v/>
      </c>
      <c r="AA750" s="524" t="str">
        <f>IF(LANÇ_MOV[[#This Row],[DATA DE LANÇAMENTO]]="","",TEXT(LANÇ_MOV[[#This Row],[DATA DE LANÇAMENTO]],"AAAA"))</f>
        <v/>
      </c>
      <c r="AB750" s="524" t="str">
        <f>IF(LANÇ_MOV[[#This Row],[DATA DE LANÇAMENTO]]="","",UPPER(TEXT(LANÇ_MOV[[#This Row],[DATA DE LANÇAMENTO]],"MMMM")))</f>
        <v/>
      </c>
      <c r="AC750" s="525" t="str">
        <f>IF(LANÇ_MOV[[#This Row],[DATA DE LANÇAMENTO]]="","",PROPER(TEXT(LANÇ_MOV[[#This Row],[DATA DE LANÇAMENTO]],"M")))</f>
        <v/>
      </c>
      <c r="AD750" s="524" t="str">
        <f>IF(LANÇ_MOV[[#This Row],[DATA DE LANÇAMENTO]]="","",TEXT(LANÇ_MOV[[#This Row],[DATA DE LANÇAMENTO]],"D"))</f>
        <v/>
      </c>
      <c r="AE750" s="526" t="str">
        <f>IF(LANÇ_MOV[[#This Row],[DATA DE VENCIMENTO]]="","",TEXT(LANÇ_MOV[[#This Row],[DATA DE VENCIMENTO]],"AAAA"))</f>
        <v/>
      </c>
      <c r="AF750" s="526" t="str">
        <f>IF(LANÇ_MOV[[#This Row],[DATA DE VENCIMENTO]]="","",UPPER(TEXT(LANÇ_MOV[[#This Row],[DATA DE VENCIMENTO]],"MMMM")))</f>
        <v/>
      </c>
      <c r="AG750" s="526" t="str">
        <f>IF(LANÇ_MOV[[#This Row],[DATA DE VENCIMENTO]]="","",TEXT(LANÇ_MOV[[#This Row],[DATA DE VENCIMENTO]],"M"))</f>
        <v/>
      </c>
      <c r="AH750" s="526" t="str">
        <f>IF(LANÇ_MOV[[#This Row],[DATA DE VENCIMENTO]]="","",TEXT(LANÇ_MOV[[#This Row],[DATA DE VENCIMENTO]],"D"))</f>
        <v/>
      </c>
      <c r="AI750" s="526" t="str">
        <f>IF(LANÇ_MOV[[#This Row],[DATA DE PAGAMENTO]]="","",TEXT(LANÇ_MOV[[#This Row],[DATA DE PAGAMENTO]],"AAAA"))</f>
        <v/>
      </c>
      <c r="AJ750" s="527" t="str">
        <f>IF(LANÇ_MOV[[#This Row],[DATA DE PAGAMENTO]]="","",UPPER(TEXT(LANÇ_MOV[[#This Row],[DATA DE PAGAMENTO]],"MMMM")))</f>
        <v/>
      </c>
      <c r="AK750" s="527" t="str">
        <f>IF(LANÇ_MOV[[#This Row],[DATA DE PAGAMENTO]]="","",TEXT(LANÇ_MOV[[#This Row],[DATA DE PAGAMENTO]],"M"))</f>
        <v/>
      </c>
      <c r="AL750" s="526" t="str">
        <f>IF(LANÇ_MOV[[#This Row],[DATA DE PAGAMENTO]]="","",TEXT(LANÇ_MOV[[#This Row],[DATA DE PAGAMENTO]],"D"))</f>
        <v/>
      </c>
    </row>
    <row r="751" spans="2:38" ht="30.05" customHeight="1" x14ac:dyDescent="0.35">
      <c r="B751" s="506"/>
      <c r="C751" s="507"/>
      <c r="D751" s="508" t="s">
        <v>1854</v>
      </c>
      <c r="E751" s="509"/>
      <c r="F751" s="510"/>
      <c r="G751" s="507"/>
      <c r="H751" s="511"/>
      <c r="I751" s="512"/>
      <c r="J751" s="518"/>
      <c r="K751" s="510"/>
      <c r="L751" s="510"/>
      <c r="M751" s="548"/>
      <c r="N751" s="514">
        <f>LANÇ_MOV[[#This Row],[VALOR BRUTO]]-LANÇ_MOV[[#This Row],[DESCONTO]]+LANÇ_MOV[[#This Row],[JUROS]]+LANÇ_MOV[[#This Row],[MULTA]]</f>
        <v>0</v>
      </c>
      <c r="O751" s="546"/>
      <c r="P751" s="547" t="str">
        <f t="shared" ca="1" si="11"/>
        <v/>
      </c>
      <c r="Q751" s="528"/>
      <c r="R751" s="529"/>
      <c r="S751" s="518"/>
      <c r="T751" s="518"/>
      <c r="U751" s="519"/>
      <c r="V751" s="520" t="str">
        <f>IFERROR(VLOOKUP(LANÇ_MOV[[#This Row],[PLANO DE CONTAS]],Plano_Contas[[PLANO DE CONTAS]:[R / D]],3,0),"")</f>
        <v/>
      </c>
      <c r="W751" s="521" t="str">
        <f>IF(LANÇ_MOV[[#This Row],[DATA DE PAGAMENTO]]&lt;&gt;"","Pago","Não Pago")</f>
        <v>Não Pago</v>
      </c>
      <c r="X751" s="522" t="str">
        <f>IFERROR(IF(LANÇ_MOV[[#This Row],[DATA DE PAGAMENTO]]="","",(UPPER(TEXT(LANÇ_MOV[[#This Row],[DATA DE PAGAMENTO]],"mmmm")))),"")</f>
        <v/>
      </c>
      <c r="Y751" s="523" t="str">
        <f>IFERROR(VLOOKUP(LANÇ_MOV[[#This Row],[PLANO DE CONTAS]],Plano_Contas[[PLANO DE CONTAS]:[NOMES INTERVALOS]],2,0),"")</f>
        <v/>
      </c>
      <c r="Z751" s="523" t="str">
        <f>IF(LANÇ_MOV[[#This Row],[FORMA DE PAGAMENTO]]="","",VLOOKUP(LANÇ_MOV[[#This Row],[FORMA DE PAGAMENTO]],CAD_Forma_pagto[],2,0))</f>
        <v/>
      </c>
      <c r="AA751" s="524" t="str">
        <f>IF(LANÇ_MOV[[#This Row],[DATA DE LANÇAMENTO]]="","",TEXT(LANÇ_MOV[[#This Row],[DATA DE LANÇAMENTO]],"AAAA"))</f>
        <v/>
      </c>
      <c r="AB751" s="524" t="str">
        <f>IF(LANÇ_MOV[[#This Row],[DATA DE LANÇAMENTO]]="","",UPPER(TEXT(LANÇ_MOV[[#This Row],[DATA DE LANÇAMENTO]],"MMMM")))</f>
        <v/>
      </c>
      <c r="AC751" s="525" t="str">
        <f>IF(LANÇ_MOV[[#This Row],[DATA DE LANÇAMENTO]]="","",PROPER(TEXT(LANÇ_MOV[[#This Row],[DATA DE LANÇAMENTO]],"M")))</f>
        <v/>
      </c>
      <c r="AD751" s="524" t="str">
        <f>IF(LANÇ_MOV[[#This Row],[DATA DE LANÇAMENTO]]="","",TEXT(LANÇ_MOV[[#This Row],[DATA DE LANÇAMENTO]],"D"))</f>
        <v/>
      </c>
      <c r="AE751" s="526" t="str">
        <f>IF(LANÇ_MOV[[#This Row],[DATA DE VENCIMENTO]]="","",TEXT(LANÇ_MOV[[#This Row],[DATA DE VENCIMENTO]],"AAAA"))</f>
        <v/>
      </c>
      <c r="AF751" s="526" t="str">
        <f>IF(LANÇ_MOV[[#This Row],[DATA DE VENCIMENTO]]="","",UPPER(TEXT(LANÇ_MOV[[#This Row],[DATA DE VENCIMENTO]],"MMMM")))</f>
        <v/>
      </c>
      <c r="AG751" s="526" t="str">
        <f>IF(LANÇ_MOV[[#This Row],[DATA DE VENCIMENTO]]="","",TEXT(LANÇ_MOV[[#This Row],[DATA DE VENCIMENTO]],"M"))</f>
        <v/>
      </c>
      <c r="AH751" s="526" t="str">
        <f>IF(LANÇ_MOV[[#This Row],[DATA DE VENCIMENTO]]="","",TEXT(LANÇ_MOV[[#This Row],[DATA DE VENCIMENTO]],"D"))</f>
        <v/>
      </c>
      <c r="AI751" s="526" t="str">
        <f>IF(LANÇ_MOV[[#This Row],[DATA DE PAGAMENTO]]="","",TEXT(LANÇ_MOV[[#This Row],[DATA DE PAGAMENTO]],"AAAA"))</f>
        <v/>
      </c>
      <c r="AJ751" s="527" t="str">
        <f>IF(LANÇ_MOV[[#This Row],[DATA DE PAGAMENTO]]="","",UPPER(TEXT(LANÇ_MOV[[#This Row],[DATA DE PAGAMENTO]],"MMMM")))</f>
        <v/>
      </c>
      <c r="AK751" s="527" t="str">
        <f>IF(LANÇ_MOV[[#This Row],[DATA DE PAGAMENTO]]="","",TEXT(LANÇ_MOV[[#This Row],[DATA DE PAGAMENTO]],"M"))</f>
        <v/>
      </c>
      <c r="AL751" s="526" t="str">
        <f>IF(LANÇ_MOV[[#This Row],[DATA DE PAGAMENTO]]="","",TEXT(LANÇ_MOV[[#This Row],[DATA DE PAGAMENTO]],"D"))</f>
        <v/>
      </c>
    </row>
    <row r="752" spans="2:38" ht="30.05" customHeight="1" x14ac:dyDescent="0.35">
      <c r="B752" s="506"/>
      <c r="C752" s="507"/>
      <c r="D752" s="508" t="s">
        <v>1854</v>
      </c>
      <c r="E752" s="509"/>
      <c r="F752" s="510"/>
      <c r="G752" s="507"/>
      <c r="H752" s="511"/>
      <c r="I752" s="512"/>
      <c r="J752" s="518"/>
      <c r="K752" s="510"/>
      <c r="L752" s="510"/>
      <c r="M752" s="548"/>
      <c r="N752" s="514">
        <f>LANÇ_MOV[[#This Row],[VALOR BRUTO]]-LANÇ_MOV[[#This Row],[DESCONTO]]+LANÇ_MOV[[#This Row],[JUROS]]+LANÇ_MOV[[#This Row],[MULTA]]</f>
        <v>0</v>
      </c>
      <c r="O752" s="546"/>
      <c r="P752" s="547" t="str">
        <f t="shared" ca="1" si="11"/>
        <v/>
      </c>
      <c r="Q752" s="528"/>
      <c r="R752" s="529"/>
      <c r="S752" s="518"/>
      <c r="T752" s="518"/>
      <c r="U752" s="519"/>
      <c r="V752" s="520" t="str">
        <f>IFERROR(VLOOKUP(LANÇ_MOV[[#This Row],[PLANO DE CONTAS]],Plano_Contas[[PLANO DE CONTAS]:[R / D]],3,0),"")</f>
        <v/>
      </c>
      <c r="W752" s="521" t="str">
        <f>IF(LANÇ_MOV[[#This Row],[DATA DE PAGAMENTO]]&lt;&gt;"","Pago","Não Pago")</f>
        <v>Não Pago</v>
      </c>
      <c r="X752" s="522" t="str">
        <f>IFERROR(IF(LANÇ_MOV[[#This Row],[DATA DE PAGAMENTO]]="","",(UPPER(TEXT(LANÇ_MOV[[#This Row],[DATA DE PAGAMENTO]],"mmmm")))),"")</f>
        <v/>
      </c>
      <c r="Y752" s="523" t="str">
        <f>IFERROR(VLOOKUP(LANÇ_MOV[[#This Row],[PLANO DE CONTAS]],Plano_Contas[[PLANO DE CONTAS]:[NOMES INTERVALOS]],2,0),"")</f>
        <v/>
      </c>
      <c r="Z752" s="523" t="str">
        <f>IF(LANÇ_MOV[[#This Row],[FORMA DE PAGAMENTO]]="","",VLOOKUP(LANÇ_MOV[[#This Row],[FORMA DE PAGAMENTO]],CAD_Forma_pagto[],2,0))</f>
        <v/>
      </c>
      <c r="AA752" s="524" t="str">
        <f>IF(LANÇ_MOV[[#This Row],[DATA DE LANÇAMENTO]]="","",TEXT(LANÇ_MOV[[#This Row],[DATA DE LANÇAMENTO]],"AAAA"))</f>
        <v/>
      </c>
      <c r="AB752" s="524" t="str">
        <f>IF(LANÇ_MOV[[#This Row],[DATA DE LANÇAMENTO]]="","",UPPER(TEXT(LANÇ_MOV[[#This Row],[DATA DE LANÇAMENTO]],"MMMM")))</f>
        <v/>
      </c>
      <c r="AC752" s="525" t="str">
        <f>IF(LANÇ_MOV[[#This Row],[DATA DE LANÇAMENTO]]="","",PROPER(TEXT(LANÇ_MOV[[#This Row],[DATA DE LANÇAMENTO]],"M")))</f>
        <v/>
      </c>
      <c r="AD752" s="524" t="str">
        <f>IF(LANÇ_MOV[[#This Row],[DATA DE LANÇAMENTO]]="","",TEXT(LANÇ_MOV[[#This Row],[DATA DE LANÇAMENTO]],"D"))</f>
        <v/>
      </c>
      <c r="AE752" s="526" t="str">
        <f>IF(LANÇ_MOV[[#This Row],[DATA DE VENCIMENTO]]="","",TEXT(LANÇ_MOV[[#This Row],[DATA DE VENCIMENTO]],"AAAA"))</f>
        <v/>
      </c>
      <c r="AF752" s="526" t="str">
        <f>IF(LANÇ_MOV[[#This Row],[DATA DE VENCIMENTO]]="","",UPPER(TEXT(LANÇ_MOV[[#This Row],[DATA DE VENCIMENTO]],"MMMM")))</f>
        <v/>
      </c>
      <c r="AG752" s="526" t="str">
        <f>IF(LANÇ_MOV[[#This Row],[DATA DE VENCIMENTO]]="","",TEXT(LANÇ_MOV[[#This Row],[DATA DE VENCIMENTO]],"M"))</f>
        <v/>
      </c>
      <c r="AH752" s="526" t="str">
        <f>IF(LANÇ_MOV[[#This Row],[DATA DE VENCIMENTO]]="","",TEXT(LANÇ_MOV[[#This Row],[DATA DE VENCIMENTO]],"D"))</f>
        <v/>
      </c>
      <c r="AI752" s="526" t="str">
        <f>IF(LANÇ_MOV[[#This Row],[DATA DE PAGAMENTO]]="","",TEXT(LANÇ_MOV[[#This Row],[DATA DE PAGAMENTO]],"AAAA"))</f>
        <v/>
      </c>
      <c r="AJ752" s="527" t="str">
        <f>IF(LANÇ_MOV[[#This Row],[DATA DE PAGAMENTO]]="","",UPPER(TEXT(LANÇ_MOV[[#This Row],[DATA DE PAGAMENTO]],"MMMM")))</f>
        <v/>
      </c>
      <c r="AK752" s="527" t="str">
        <f>IF(LANÇ_MOV[[#This Row],[DATA DE PAGAMENTO]]="","",TEXT(LANÇ_MOV[[#This Row],[DATA DE PAGAMENTO]],"M"))</f>
        <v/>
      </c>
      <c r="AL752" s="526" t="str">
        <f>IF(LANÇ_MOV[[#This Row],[DATA DE PAGAMENTO]]="","",TEXT(LANÇ_MOV[[#This Row],[DATA DE PAGAMENTO]],"D"))</f>
        <v/>
      </c>
    </row>
    <row r="753" spans="2:38" ht="30.05" customHeight="1" x14ac:dyDescent="0.35">
      <c r="B753" s="506"/>
      <c r="C753" s="507"/>
      <c r="D753" s="508" t="s">
        <v>1854</v>
      </c>
      <c r="E753" s="509"/>
      <c r="F753" s="510"/>
      <c r="G753" s="507"/>
      <c r="H753" s="511"/>
      <c r="I753" s="512"/>
      <c r="J753" s="518"/>
      <c r="K753" s="510"/>
      <c r="L753" s="510"/>
      <c r="M753" s="548"/>
      <c r="N753" s="514">
        <f>LANÇ_MOV[[#This Row],[VALOR BRUTO]]-LANÇ_MOV[[#This Row],[DESCONTO]]+LANÇ_MOV[[#This Row],[JUROS]]+LANÇ_MOV[[#This Row],[MULTA]]</f>
        <v>0</v>
      </c>
      <c r="O753" s="546"/>
      <c r="P753" s="547" t="str">
        <f t="shared" ca="1" si="11"/>
        <v/>
      </c>
      <c r="Q753" s="528"/>
      <c r="R753" s="529"/>
      <c r="S753" s="518"/>
      <c r="T753" s="518"/>
      <c r="U753" s="519"/>
      <c r="V753" s="520" t="str">
        <f>IFERROR(VLOOKUP(LANÇ_MOV[[#This Row],[PLANO DE CONTAS]],Plano_Contas[[PLANO DE CONTAS]:[R / D]],3,0),"")</f>
        <v/>
      </c>
      <c r="W753" s="521" t="str">
        <f>IF(LANÇ_MOV[[#This Row],[DATA DE PAGAMENTO]]&lt;&gt;"","Pago","Não Pago")</f>
        <v>Não Pago</v>
      </c>
      <c r="X753" s="522" t="str">
        <f>IFERROR(IF(LANÇ_MOV[[#This Row],[DATA DE PAGAMENTO]]="","",(UPPER(TEXT(LANÇ_MOV[[#This Row],[DATA DE PAGAMENTO]],"mmmm")))),"")</f>
        <v/>
      </c>
      <c r="Y753" s="523" t="str">
        <f>IFERROR(VLOOKUP(LANÇ_MOV[[#This Row],[PLANO DE CONTAS]],Plano_Contas[[PLANO DE CONTAS]:[NOMES INTERVALOS]],2,0),"")</f>
        <v/>
      </c>
      <c r="Z753" s="523" t="str">
        <f>IF(LANÇ_MOV[[#This Row],[FORMA DE PAGAMENTO]]="","",VLOOKUP(LANÇ_MOV[[#This Row],[FORMA DE PAGAMENTO]],CAD_Forma_pagto[],2,0))</f>
        <v/>
      </c>
      <c r="AA753" s="524" t="str">
        <f>IF(LANÇ_MOV[[#This Row],[DATA DE LANÇAMENTO]]="","",TEXT(LANÇ_MOV[[#This Row],[DATA DE LANÇAMENTO]],"AAAA"))</f>
        <v/>
      </c>
      <c r="AB753" s="524" t="str">
        <f>IF(LANÇ_MOV[[#This Row],[DATA DE LANÇAMENTO]]="","",UPPER(TEXT(LANÇ_MOV[[#This Row],[DATA DE LANÇAMENTO]],"MMMM")))</f>
        <v/>
      </c>
      <c r="AC753" s="525" t="str">
        <f>IF(LANÇ_MOV[[#This Row],[DATA DE LANÇAMENTO]]="","",PROPER(TEXT(LANÇ_MOV[[#This Row],[DATA DE LANÇAMENTO]],"M")))</f>
        <v/>
      </c>
      <c r="AD753" s="524" t="str">
        <f>IF(LANÇ_MOV[[#This Row],[DATA DE LANÇAMENTO]]="","",TEXT(LANÇ_MOV[[#This Row],[DATA DE LANÇAMENTO]],"D"))</f>
        <v/>
      </c>
      <c r="AE753" s="526" t="str">
        <f>IF(LANÇ_MOV[[#This Row],[DATA DE VENCIMENTO]]="","",TEXT(LANÇ_MOV[[#This Row],[DATA DE VENCIMENTO]],"AAAA"))</f>
        <v/>
      </c>
      <c r="AF753" s="526" t="str">
        <f>IF(LANÇ_MOV[[#This Row],[DATA DE VENCIMENTO]]="","",UPPER(TEXT(LANÇ_MOV[[#This Row],[DATA DE VENCIMENTO]],"MMMM")))</f>
        <v/>
      </c>
      <c r="AG753" s="526" t="str">
        <f>IF(LANÇ_MOV[[#This Row],[DATA DE VENCIMENTO]]="","",TEXT(LANÇ_MOV[[#This Row],[DATA DE VENCIMENTO]],"M"))</f>
        <v/>
      </c>
      <c r="AH753" s="526" t="str">
        <f>IF(LANÇ_MOV[[#This Row],[DATA DE VENCIMENTO]]="","",TEXT(LANÇ_MOV[[#This Row],[DATA DE VENCIMENTO]],"D"))</f>
        <v/>
      </c>
      <c r="AI753" s="526" t="str">
        <f>IF(LANÇ_MOV[[#This Row],[DATA DE PAGAMENTO]]="","",TEXT(LANÇ_MOV[[#This Row],[DATA DE PAGAMENTO]],"AAAA"))</f>
        <v/>
      </c>
      <c r="AJ753" s="527" t="str">
        <f>IF(LANÇ_MOV[[#This Row],[DATA DE PAGAMENTO]]="","",UPPER(TEXT(LANÇ_MOV[[#This Row],[DATA DE PAGAMENTO]],"MMMM")))</f>
        <v/>
      </c>
      <c r="AK753" s="527" t="str">
        <f>IF(LANÇ_MOV[[#This Row],[DATA DE PAGAMENTO]]="","",TEXT(LANÇ_MOV[[#This Row],[DATA DE PAGAMENTO]],"M"))</f>
        <v/>
      </c>
      <c r="AL753" s="526" t="str">
        <f>IF(LANÇ_MOV[[#This Row],[DATA DE PAGAMENTO]]="","",TEXT(LANÇ_MOV[[#This Row],[DATA DE PAGAMENTO]],"D"))</f>
        <v/>
      </c>
    </row>
    <row r="754" spans="2:38" ht="30.05" customHeight="1" x14ac:dyDescent="0.35">
      <c r="B754" s="506"/>
      <c r="C754" s="507"/>
      <c r="D754" s="508" t="s">
        <v>1854</v>
      </c>
      <c r="E754" s="509"/>
      <c r="F754" s="510"/>
      <c r="G754" s="507"/>
      <c r="H754" s="511"/>
      <c r="I754" s="512"/>
      <c r="J754" s="518"/>
      <c r="K754" s="510"/>
      <c r="L754" s="510"/>
      <c r="M754" s="548"/>
      <c r="N754" s="514">
        <f>LANÇ_MOV[[#This Row],[VALOR BRUTO]]-LANÇ_MOV[[#This Row],[DESCONTO]]+LANÇ_MOV[[#This Row],[JUROS]]+LANÇ_MOV[[#This Row],[MULTA]]</f>
        <v>0</v>
      </c>
      <c r="O754" s="546"/>
      <c r="P754" s="547" t="str">
        <f t="shared" ca="1" si="11"/>
        <v/>
      </c>
      <c r="Q754" s="528"/>
      <c r="R754" s="529"/>
      <c r="S754" s="518"/>
      <c r="T754" s="518"/>
      <c r="U754" s="519"/>
      <c r="V754" s="520" t="str">
        <f>IFERROR(VLOOKUP(LANÇ_MOV[[#This Row],[PLANO DE CONTAS]],Plano_Contas[[PLANO DE CONTAS]:[R / D]],3,0),"")</f>
        <v/>
      </c>
      <c r="W754" s="521" t="str">
        <f>IF(LANÇ_MOV[[#This Row],[DATA DE PAGAMENTO]]&lt;&gt;"","Pago","Não Pago")</f>
        <v>Não Pago</v>
      </c>
      <c r="X754" s="522" t="str">
        <f>IFERROR(IF(LANÇ_MOV[[#This Row],[DATA DE PAGAMENTO]]="","",(UPPER(TEXT(LANÇ_MOV[[#This Row],[DATA DE PAGAMENTO]],"mmmm")))),"")</f>
        <v/>
      </c>
      <c r="Y754" s="523" t="str">
        <f>IFERROR(VLOOKUP(LANÇ_MOV[[#This Row],[PLANO DE CONTAS]],Plano_Contas[[PLANO DE CONTAS]:[NOMES INTERVALOS]],2,0),"")</f>
        <v/>
      </c>
      <c r="Z754" s="523" t="str">
        <f>IF(LANÇ_MOV[[#This Row],[FORMA DE PAGAMENTO]]="","",VLOOKUP(LANÇ_MOV[[#This Row],[FORMA DE PAGAMENTO]],CAD_Forma_pagto[],2,0))</f>
        <v/>
      </c>
      <c r="AA754" s="524" t="str">
        <f>IF(LANÇ_MOV[[#This Row],[DATA DE LANÇAMENTO]]="","",TEXT(LANÇ_MOV[[#This Row],[DATA DE LANÇAMENTO]],"AAAA"))</f>
        <v/>
      </c>
      <c r="AB754" s="524" t="str">
        <f>IF(LANÇ_MOV[[#This Row],[DATA DE LANÇAMENTO]]="","",UPPER(TEXT(LANÇ_MOV[[#This Row],[DATA DE LANÇAMENTO]],"MMMM")))</f>
        <v/>
      </c>
      <c r="AC754" s="525" t="str">
        <f>IF(LANÇ_MOV[[#This Row],[DATA DE LANÇAMENTO]]="","",PROPER(TEXT(LANÇ_MOV[[#This Row],[DATA DE LANÇAMENTO]],"M")))</f>
        <v/>
      </c>
      <c r="AD754" s="524" t="str">
        <f>IF(LANÇ_MOV[[#This Row],[DATA DE LANÇAMENTO]]="","",TEXT(LANÇ_MOV[[#This Row],[DATA DE LANÇAMENTO]],"D"))</f>
        <v/>
      </c>
      <c r="AE754" s="526" t="str">
        <f>IF(LANÇ_MOV[[#This Row],[DATA DE VENCIMENTO]]="","",TEXT(LANÇ_MOV[[#This Row],[DATA DE VENCIMENTO]],"AAAA"))</f>
        <v/>
      </c>
      <c r="AF754" s="526" t="str">
        <f>IF(LANÇ_MOV[[#This Row],[DATA DE VENCIMENTO]]="","",UPPER(TEXT(LANÇ_MOV[[#This Row],[DATA DE VENCIMENTO]],"MMMM")))</f>
        <v/>
      </c>
      <c r="AG754" s="526" t="str">
        <f>IF(LANÇ_MOV[[#This Row],[DATA DE VENCIMENTO]]="","",TEXT(LANÇ_MOV[[#This Row],[DATA DE VENCIMENTO]],"M"))</f>
        <v/>
      </c>
      <c r="AH754" s="526" t="str">
        <f>IF(LANÇ_MOV[[#This Row],[DATA DE VENCIMENTO]]="","",TEXT(LANÇ_MOV[[#This Row],[DATA DE VENCIMENTO]],"D"))</f>
        <v/>
      </c>
      <c r="AI754" s="526" t="str">
        <f>IF(LANÇ_MOV[[#This Row],[DATA DE PAGAMENTO]]="","",TEXT(LANÇ_MOV[[#This Row],[DATA DE PAGAMENTO]],"AAAA"))</f>
        <v/>
      </c>
      <c r="AJ754" s="527" t="str">
        <f>IF(LANÇ_MOV[[#This Row],[DATA DE PAGAMENTO]]="","",UPPER(TEXT(LANÇ_MOV[[#This Row],[DATA DE PAGAMENTO]],"MMMM")))</f>
        <v/>
      </c>
      <c r="AK754" s="527" t="str">
        <f>IF(LANÇ_MOV[[#This Row],[DATA DE PAGAMENTO]]="","",TEXT(LANÇ_MOV[[#This Row],[DATA DE PAGAMENTO]],"M"))</f>
        <v/>
      </c>
      <c r="AL754" s="526" t="str">
        <f>IF(LANÇ_MOV[[#This Row],[DATA DE PAGAMENTO]]="","",TEXT(LANÇ_MOV[[#This Row],[DATA DE PAGAMENTO]],"D"))</f>
        <v/>
      </c>
    </row>
    <row r="755" spans="2:38" ht="30.05" customHeight="1" x14ac:dyDescent="0.35">
      <c r="B755" s="506"/>
      <c r="C755" s="507"/>
      <c r="D755" s="508" t="s">
        <v>1854</v>
      </c>
      <c r="E755" s="509"/>
      <c r="F755" s="510"/>
      <c r="G755" s="507"/>
      <c r="H755" s="511"/>
      <c r="I755" s="512"/>
      <c r="J755" s="518"/>
      <c r="K755" s="510"/>
      <c r="L755" s="510"/>
      <c r="M755" s="548"/>
      <c r="N755" s="514">
        <f>LANÇ_MOV[[#This Row],[VALOR BRUTO]]-LANÇ_MOV[[#This Row],[DESCONTO]]+LANÇ_MOV[[#This Row],[JUROS]]+LANÇ_MOV[[#This Row],[MULTA]]</f>
        <v>0</v>
      </c>
      <c r="O755" s="546"/>
      <c r="P755" s="547" t="str">
        <f t="shared" ca="1" si="11"/>
        <v/>
      </c>
      <c r="Q755" s="528"/>
      <c r="R755" s="529"/>
      <c r="S755" s="518"/>
      <c r="T755" s="518"/>
      <c r="U755" s="519"/>
      <c r="V755" s="520" t="str">
        <f>IFERROR(VLOOKUP(LANÇ_MOV[[#This Row],[PLANO DE CONTAS]],Plano_Contas[[PLANO DE CONTAS]:[R / D]],3,0),"")</f>
        <v/>
      </c>
      <c r="W755" s="521" t="str">
        <f>IF(LANÇ_MOV[[#This Row],[DATA DE PAGAMENTO]]&lt;&gt;"","Pago","Não Pago")</f>
        <v>Não Pago</v>
      </c>
      <c r="X755" s="522" t="str">
        <f>IFERROR(IF(LANÇ_MOV[[#This Row],[DATA DE PAGAMENTO]]="","",(UPPER(TEXT(LANÇ_MOV[[#This Row],[DATA DE PAGAMENTO]],"mmmm")))),"")</f>
        <v/>
      </c>
      <c r="Y755" s="523" t="str">
        <f>IFERROR(VLOOKUP(LANÇ_MOV[[#This Row],[PLANO DE CONTAS]],Plano_Contas[[PLANO DE CONTAS]:[NOMES INTERVALOS]],2,0),"")</f>
        <v/>
      </c>
      <c r="Z755" s="523" t="str">
        <f>IF(LANÇ_MOV[[#This Row],[FORMA DE PAGAMENTO]]="","",VLOOKUP(LANÇ_MOV[[#This Row],[FORMA DE PAGAMENTO]],CAD_Forma_pagto[],2,0))</f>
        <v/>
      </c>
      <c r="AA755" s="524" t="str">
        <f>IF(LANÇ_MOV[[#This Row],[DATA DE LANÇAMENTO]]="","",TEXT(LANÇ_MOV[[#This Row],[DATA DE LANÇAMENTO]],"AAAA"))</f>
        <v/>
      </c>
      <c r="AB755" s="524" t="str">
        <f>IF(LANÇ_MOV[[#This Row],[DATA DE LANÇAMENTO]]="","",UPPER(TEXT(LANÇ_MOV[[#This Row],[DATA DE LANÇAMENTO]],"MMMM")))</f>
        <v/>
      </c>
      <c r="AC755" s="525" t="str">
        <f>IF(LANÇ_MOV[[#This Row],[DATA DE LANÇAMENTO]]="","",PROPER(TEXT(LANÇ_MOV[[#This Row],[DATA DE LANÇAMENTO]],"M")))</f>
        <v/>
      </c>
      <c r="AD755" s="524" t="str">
        <f>IF(LANÇ_MOV[[#This Row],[DATA DE LANÇAMENTO]]="","",TEXT(LANÇ_MOV[[#This Row],[DATA DE LANÇAMENTO]],"D"))</f>
        <v/>
      </c>
      <c r="AE755" s="526" t="str">
        <f>IF(LANÇ_MOV[[#This Row],[DATA DE VENCIMENTO]]="","",TEXT(LANÇ_MOV[[#This Row],[DATA DE VENCIMENTO]],"AAAA"))</f>
        <v/>
      </c>
      <c r="AF755" s="526" t="str">
        <f>IF(LANÇ_MOV[[#This Row],[DATA DE VENCIMENTO]]="","",UPPER(TEXT(LANÇ_MOV[[#This Row],[DATA DE VENCIMENTO]],"MMMM")))</f>
        <v/>
      </c>
      <c r="AG755" s="526" t="str">
        <f>IF(LANÇ_MOV[[#This Row],[DATA DE VENCIMENTO]]="","",TEXT(LANÇ_MOV[[#This Row],[DATA DE VENCIMENTO]],"M"))</f>
        <v/>
      </c>
      <c r="AH755" s="526" t="str">
        <f>IF(LANÇ_MOV[[#This Row],[DATA DE VENCIMENTO]]="","",TEXT(LANÇ_MOV[[#This Row],[DATA DE VENCIMENTO]],"D"))</f>
        <v/>
      </c>
      <c r="AI755" s="526" t="str">
        <f>IF(LANÇ_MOV[[#This Row],[DATA DE PAGAMENTO]]="","",TEXT(LANÇ_MOV[[#This Row],[DATA DE PAGAMENTO]],"AAAA"))</f>
        <v/>
      </c>
      <c r="AJ755" s="527" t="str">
        <f>IF(LANÇ_MOV[[#This Row],[DATA DE PAGAMENTO]]="","",UPPER(TEXT(LANÇ_MOV[[#This Row],[DATA DE PAGAMENTO]],"MMMM")))</f>
        <v/>
      </c>
      <c r="AK755" s="527" t="str">
        <f>IF(LANÇ_MOV[[#This Row],[DATA DE PAGAMENTO]]="","",TEXT(LANÇ_MOV[[#This Row],[DATA DE PAGAMENTO]],"M"))</f>
        <v/>
      </c>
      <c r="AL755" s="526" t="str">
        <f>IF(LANÇ_MOV[[#This Row],[DATA DE PAGAMENTO]]="","",TEXT(LANÇ_MOV[[#This Row],[DATA DE PAGAMENTO]],"D"))</f>
        <v/>
      </c>
    </row>
    <row r="756" spans="2:38" ht="30.05" customHeight="1" x14ac:dyDescent="0.35">
      <c r="B756" s="506"/>
      <c r="C756" s="507"/>
      <c r="D756" s="508" t="s">
        <v>1854</v>
      </c>
      <c r="E756" s="509"/>
      <c r="F756" s="510"/>
      <c r="G756" s="507"/>
      <c r="H756" s="511"/>
      <c r="I756" s="512"/>
      <c r="J756" s="518"/>
      <c r="K756" s="510"/>
      <c r="L756" s="510"/>
      <c r="M756" s="548"/>
      <c r="N756" s="514">
        <f>LANÇ_MOV[[#This Row],[VALOR BRUTO]]-LANÇ_MOV[[#This Row],[DESCONTO]]+LANÇ_MOV[[#This Row],[JUROS]]+LANÇ_MOV[[#This Row],[MULTA]]</f>
        <v>0</v>
      </c>
      <c r="O756" s="546"/>
      <c r="P756" s="547" t="str">
        <f t="shared" ca="1" si="11"/>
        <v/>
      </c>
      <c r="Q756" s="528"/>
      <c r="R756" s="529"/>
      <c r="S756" s="518"/>
      <c r="T756" s="518"/>
      <c r="U756" s="519"/>
      <c r="V756" s="520" t="str">
        <f>IFERROR(VLOOKUP(LANÇ_MOV[[#This Row],[PLANO DE CONTAS]],Plano_Contas[[PLANO DE CONTAS]:[R / D]],3,0),"")</f>
        <v/>
      </c>
      <c r="W756" s="521" t="str">
        <f>IF(LANÇ_MOV[[#This Row],[DATA DE PAGAMENTO]]&lt;&gt;"","Pago","Não Pago")</f>
        <v>Não Pago</v>
      </c>
      <c r="X756" s="522" t="str">
        <f>IFERROR(IF(LANÇ_MOV[[#This Row],[DATA DE PAGAMENTO]]="","",(UPPER(TEXT(LANÇ_MOV[[#This Row],[DATA DE PAGAMENTO]],"mmmm")))),"")</f>
        <v/>
      </c>
      <c r="Y756" s="523" t="str">
        <f>IFERROR(VLOOKUP(LANÇ_MOV[[#This Row],[PLANO DE CONTAS]],Plano_Contas[[PLANO DE CONTAS]:[NOMES INTERVALOS]],2,0),"")</f>
        <v/>
      </c>
      <c r="Z756" s="523" t="str">
        <f>IF(LANÇ_MOV[[#This Row],[FORMA DE PAGAMENTO]]="","",VLOOKUP(LANÇ_MOV[[#This Row],[FORMA DE PAGAMENTO]],CAD_Forma_pagto[],2,0))</f>
        <v/>
      </c>
      <c r="AA756" s="524" t="str">
        <f>IF(LANÇ_MOV[[#This Row],[DATA DE LANÇAMENTO]]="","",TEXT(LANÇ_MOV[[#This Row],[DATA DE LANÇAMENTO]],"AAAA"))</f>
        <v/>
      </c>
      <c r="AB756" s="524" t="str">
        <f>IF(LANÇ_MOV[[#This Row],[DATA DE LANÇAMENTO]]="","",UPPER(TEXT(LANÇ_MOV[[#This Row],[DATA DE LANÇAMENTO]],"MMMM")))</f>
        <v/>
      </c>
      <c r="AC756" s="525" t="str">
        <f>IF(LANÇ_MOV[[#This Row],[DATA DE LANÇAMENTO]]="","",PROPER(TEXT(LANÇ_MOV[[#This Row],[DATA DE LANÇAMENTO]],"M")))</f>
        <v/>
      </c>
      <c r="AD756" s="524" t="str">
        <f>IF(LANÇ_MOV[[#This Row],[DATA DE LANÇAMENTO]]="","",TEXT(LANÇ_MOV[[#This Row],[DATA DE LANÇAMENTO]],"D"))</f>
        <v/>
      </c>
      <c r="AE756" s="526" t="str">
        <f>IF(LANÇ_MOV[[#This Row],[DATA DE VENCIMENTO]]="","",TEXT(LANÇ_MOV[[#This Row],[DATA DE VENCIMENTO]],"AAAA"))</f>
        <v/>
      </c>
      <c r="AF756" s="526" t="str">
        <f>IF(LANÇ_MOV[[#This Row],[DATA DE VENCIMENTO]]="","",UPPER(TEXT(LANÇ_MOV[[#This Row],[DATA DE VENCIMENTO]],"MMMM")))</f>
        <v/>
      </c>
      <c r="AG756" s="526" t="str">
        <f>IF(LANÇ_MOV[[#This Row],[DATA DE VENCIMENTO]]="","",TEXT(LANÇ_MOV[[#This Row],[DATA DE VENCIMENTO]],"M"))</f>
        <v/>
      </c>
      <c r="AH756" s="526" t="str">
        <f>IF(LANÇ_MOV[[#This Row],[DATA DE VENCIMENTO]]="","",TEXT(LANÇ_MOV[[#This Row],[DATA DE VENCIMENTO]],"D"))</f>
        <v/>
      </c>
      <c r="AI756" s="526" t="str">
        <f>IF(LANÇ_MOV[[#This Row],[DATA DE PAGAMENTO]]="","",TEXT(LANÇ_MOV[[#This Row],[DATA DE PAGAMENTO]],"AAAA"))</f>
        <v/>
      </c>
      <c r="AJ756" s="527" t="str">
        <f>IF(LANÇ_MOV[[#This Row],[DATA DE PAGAMENTO]]="","",UPPER(TEXT(LANÇ_MOV[[#This Row],[DATA DE PAGAMENTO]],"MMMM")))</f>
        <v/>
      </c>
      <c r="AK756" s="527" t="str">
        <f>IF(LANÇ_MOV[[#This Row],[DATA DE PAGAMENTO]]="","",TEXT(LANÇ_MOV[[#This Row],[DATA DE PAGAMENTO]],"M"))</f>
        <v/>
      </c>
      <c r="AL756" s="526" t="str">
        <f>IF(LANÇ_MOV[[#This Row],[DATA DE PAGAMENTO]]="","",TEXT(LANÇ_MOV[[#This Row],[DATA DE PAGAMENTO]],"D"))</f>
        <v/>
      </c>
    </row>
    <row r="757" spans="2:38" ht="30.05" customHeight="1" x14ac:dyDescent="0.35">
      <c r="B757" s="506"/>
      <c r="C757" s="507"/>
      <c r="D757" s="508" t="s">
        <v>1854</v>
      </c>
      <c r="E757" s="509"/>
      <c r="F757" s="510"/>
      <c r="G757" s="507"/>
      <c r="H757" s="511"/>
      <c r="I757" s="512"/>
      <c r="J757" s="518"/>
      <c r="K757" s="510"/>
      <c r="L757" s="510"/>
      <c r="M757" s="548"/>
      <c r="N757" s="514">
        <f>LANÇ_MOV[[#This Row],[VALOR BRUTO]]-LANÇ_MOV[[#This Row],[DESCONTO]]+LANÇ_MOV[[#This Row],[JUROS]]+LANÇ_MOV[[#This Row],[MULTA]]</f>
        <v>0</v>
      </c>
      <c r="O757" s="546"/>
      <c r="P757" s="547" t="str">
        <f t="shared" ref="P757:P820" ca="1" si="12">IF(O757="","",IF(Q757&lt;&gt;"","Pago",IF(O757-TODAY()&gt;30,"Prazo - Mais de 1 mês",IF(O757=TODAY(),"Hoje",IF(O757&lt;TODAY(),"Venceu",IF(O757-TODAY()&lt;10,"Prazo - Menos de 10 dias",IF(O757-TODAY()&lt;15,"Prazo - Menos de 15 dias","Prazo - Menos de 1 Mês")))))))</f>
        <v/>
      </c>
      <c r="Q757" s="528"/>
      <c r="R757" s="529"/>
      <c r="S757" s="518"/>
      <c r="T757" s="518"/>
      <c r="U757" s="519"/>
      <c r="V757" s="520" t="str">
        <f>IFERROR(VLOOKUP(LANÇ_MOV[[#This Row],[PLANO DE CONTAS]],Plano_Contas[[PLANO DE CONTAS]:[R / D]],3,0),"")</f>
        <v/>
      </c>
      <c r="W757" s="521" t="str">
        <f>IF(LANÇ_MOV[[#This Row],[DATA DE PAGAMENTO]]&lt;&gt;"","Pago","Não Pago")</f>
        <v>Não Pago</v>
      </c>
      <c r="X757" s="522" t="str">
        <f>IFERROR(IF(LANÇ_MOV[[#This Row],[DATA DE PAGAMENTO]]="","",(UPPER(TEXT(LANÇ_MOV[[#This Row],[DATA DE PAGAMENTO]],"mmmm")))),"")</f>
        <v/>
      </c>
      <c r="Y757" s="523" t="str">
        <f>IFERROR(VLOOKUP(LANÇ_MOV[[#This Row],[PLANO DE CONTAS]],Plano_Contas[[PLANO DE CONTAS]:[NOMES INTERVALOS]],2,0),"")</f>
        <v/>
      </c>
      <c r="Z757" s="523" t="str">
        <f>IF(LANÇ_MOV[[#This Row],[FORMA DE PAGAMENTO]]="","",VLOOKUP(LANÇ_MOV[[#This Row],[FORMA DE PAGAMENTO]],CAD_Forma_pagto[],2,0))</f>
        <v/>
      </c>
      <c r="AA757" s="524" t="str">
        <f>IF(LANÇ_MOV[[#This Row],[DATA DE LANÇAMENTO]]="","",TEXT(LANÇ_MOV[[#This Row],[DATA DE LANÇAMENTO]],"AAAA"))</f>
        <v/>
      </c>
      <c r="AB757" s="524" t="str">
        <f>IF(LANÇ_MOV[[#This Row],[DATA DE LANÇAMENTO]]="","",UPPER(TEXT(LANÇ_MOV[[#This Row],[DATA DE LANÇAMENTO]],"MMMM")))</f>
        <v/>
      </c>
      <c r="AC757" s="525" t="str">
        <f>IF(LANÇ_MOV[[#This Row],[DATA DE LANÇAMENTO]]="","",PROPER(TEXT(LANÇ_MOV[[#This Row],[DATA DE LANÇAMENTO]],"M")))</f>
        <v/>
      </c>
      <c r="AD757" s="524" t="str">
        <f>IF(LANÇ_MOV[[#This Row],[DATA DE LANÇAMENTO]]="","",TEXT(LANÇ_MOV[[#This Row],[DATA DE LANÇAMENTO]],"D"))</f>
        <v/>
      </c>
      <c r="AE757" s="526" t="str">
        <f>IF(LANÇ_MOV[[#This Row],[DATA DE VENCIMENTO]]="","",TEXT(LANÇ_MOV[[#This Row],[DATA DE VENCIMENTO]],"AAAA"))</f>
        <v/>
      </c>
      <c r="AF757" s="526" t="str">
        <f>IF(LANÇ_MOV[[#This Row],[DATA DE VENCIMENTO]]="","",UPPER(TEXT(LANÇ_MOV[[#This Row],[DATA DE VENCIMENTO]],"MMMM")))</f>
        <v/>
      </c>
      <c r="AG757" s="526" t="str">
        <f>IF(LANÇ_MOV[[#This Row],[DATA DE VENCIMENTO]]="","",TEXT(LANÇ_MOV[[#This Row],[DATA DE VENCIMENTO]],"M"))</f>
        <v/>
      </c>
      <c r="AH757" s="526" t="str">
        <f>IF(LANÇ_MOV[[#This Row],[DATA DE VENCIMENTO]]="","",TEXT(LANÇ_MOV[[#This Row],[DATA DE VENCIMENTO]],"D"))</f>
        <v/>
      </c>
      <c r="AI757" s="526" t="str">
        <f>IF(LANÇ_MOV[[#This Row],[DATA DE PAGAMENTO]]="","",TEXT(LANÇ_MOV[[#This Row],[DATA DE PAGAMENTO]],"AAAA"))</f>
        <v/>
      </c>
      <c r="AJ757" s="527" t="str">
        <f>IF(LANÇ_MOV[[#This Row],[DATA DE PAGAMENTO]]="","",UPPER(TEXT(LANÇ_MOV[[#This Row],[DATA DE PAGAMENTO]],"MMMM")))</f>
        <v/>
      </c>
      <c r="AK757" s="527" t="str">
        <f>IF(LANÇ_MOV[[#This Row],[DATA DE PAGAMENTO]]="","",TEXT(LANÇ_MOV[[#This Row],[DATA DE PAGAMENTO]],"M"))</f>
        <v/>
      </c>
      <c r="AL757" s="526" t="str">
        <f>IF(LANÇ_MOV[[#This Row],[DATA DE PAGAMENTO]]="","",TEXT(LANÇ_MOV[[#This Row],[DATA DE PAGAMENTO]],"D"))</f>
        <v/>
      </c>
    </row>
    <row r="758" spans="2:38" ht="30.05" customHeight="1" x14ac:dyDescent="0.35">
      <c r="B758" s="506"/>
      <c r="C758" s="507"/>
      <c r="D758" s="508" t="s">
        <v>1854</v>
      </c>
      <c r="E758" s="509"/>
      <c r="F758" s="510"/>
      <c r="G758" s="507"/>
      <c r="H758" s="511"/>
      <c r="I758" s="512"/>
      <c r="J758" s="518"/>
      <c r="K758" s="510"/>
      <c r="L758" s="510"/>
      <c r="M758" s="548"/>
      <c r="N758" s="514">
        <f>LANÇ_MOV[[#This Row],[VALOR BRUTO]]-LANÇ_MOV[[#This Row],[DESCONTO]]+LANÇ_MOV[[#This Row],[JUROS]]+LANÇ_MOV[[#This Row],[MULTA]]</f>
        <v>0</v>
      </c>
      <c r="O758" s="546"/>
      <c r="P758" s="547" t="str">
        <f t="shared" ca="1" si="12"/>
        <v/>
      </c>
      <c r="Q758" s="528"/>
      <c r="R758" s="529"/>
      <c r="S758" s="518"/>
      <c r="T758" s="518"/>
      <c r="U758" s="519"/>
      <c r="V758" s="520" t="str">
        <f>IFERROR(VLOOKUP(LANÇ_MOV[[#This Row],[PLANO DE CONTAS]],Plano_Contas[[PLANO DE CONTAS]:[R / D]],3,0),"")</f>
        <v/>
      </c>
      <c r="W758" s="521" t="str">
        <f>IF(LANÇ_MOV[[#This Row],[DATA DE PAGAMENTO]]&lt;&gt;"","Pago","Não Pago")</f>
        <v>Não Pago</v>
      </c>
      <c r="X758" s="522" t="str">
        <f>IFERROR(IF(LANÇ_MOV[[#This Row],[DATA DE PAGAMENTO]]="","",(UPPER(TEXT(LANÇ_MOV[[#This Row],[DATA DE PAGAMENTO]],"mmmm")))),"")</f>
        <v/>
      </c>
      <c r="Y758" s="523" t="str">
        <f>IFERROR(VLOOKUP(LANÇ_MOV[[#This Row],[PLANO DE CONTAS]],Plano_Contas[[PLANO DE CONTAS]:[NOMES INTERVALOS]],2,0),"")</f>
        <v/>
      </c>
      <c r="Z758" s="523" t="str">
        <f>IF(LANÇ_MOV[[#This Row],[FORMA DE PAGAMENTO]]="","",VLOOKUP(LANÇ_MOV[[#This Row],[FORMA DE PAGAMENTO]],CAD_Forma_pagto[],2,0))</f>
        <v/>
      </c>
      <c r="AA758" s="524" t="str">
        <f>IF(LANÇ_MOV[[#This Row],[DATA DE LANÇAMENTO]]="","",TEXT(LANÇ_MOV[[#This Row],[DATA DE LANÇAMENTO]],"AAAA"))</f>
        <v/>
      </c>
      <c r="AB758" s="524" t="str">
        <f>IF(LANÇ_MOV[[#This Row],[DATA DE LANÇAMENTO]]="","",UPPER(TEXT(LANÇ_MOV[[#This Row],[DATA DE LANÇAMENTO]],"MMMM")))</f>
        <v/>
      </c>
      <c r="AC758" s="525" t="str">
        <f>IF(LANÇ_MOV[[#This Row],[DATA DE LANÇAMENTO]]="","",PROPER(TEXT(LANÇ_MOV[[#This Row],[DATA DE LANÇAMENTO]],"M")))</f>
        <v/>
      </c>
      <c r="AD758" s="524" t="str">
        <f>IF(LANÇ_MOV[[#This Row],[DATA DE LANÇAMENTO]]="","",TEXT(LANÇ_MOV[[#This Row],[DATA DE LANÇAMENTO]],"D"))</f>
        <v/>
      </c>
      <c r="AE758" s="526" t="str">
        <f>IF(LANÇ_MOV[[#This Row],[DATA DE VENCIMENTO]]="","",TEXT(LANÇ_MOV[[#This Row],[DATA DE VENCIMENTO]],"AAAA"))</f>
        <v/>
      </c>
      <c r="AF758" s="526" t="str">
        <f>IF(LANÇ_MOV[[#This Row],[DATA DE VENCIMENTO]]="","",UPPER(TEXT(LANÇ_MOV[[#This Row],[DATA DE VENCIMENTO]],"MMMM")))</f>
        <v/>
      </c>
      <c r="AG758" s="526" t="str">
        <f>IF(LANÇ_MOV[[#This Row],[DATA DE VENCIMENTO]]="","",TEXT(LANÇ_MOV[[#This Row],[DATA DE VENCIMENTO]],"M"))</f>
        <v/>
      </c>
      <c r="AH758" s="526" t="str">
        <f>IF(LANÇ_MOV[[#This Row],[DATA DE VENCIMENTO]]="","",TEXT(LANÇ_MOV[[#This Row],[DATA DE VENCIMENTO]],"D"))</f>
        <v/>
      </c>
      <c r="AI758" s="526" t="str">
        <f>IF(LANÇ_MOV[[#This Row],[DATA DE PAGAMENTO]]="","",TEXT(LANÇ_MOV[[#This Row],[DATA DE PAGAMENTO]],"AAAA"))</f>
        <v/>
      </c>
      <c r="AJ758" s="527" t="str">
        <f>IF(LANÇ_MOV[[#This Row],[DATA DE PAGAMENTO]]="","",UPPER(TEXT(LANÇ_MOV[[#This Row],[DATA DE PAGAMENTO]],"MMMM")))</f>
        <v/>
      </c>
      <c r="AK758" s="527" t="str">
        <f>IF(LANÇ_MOV[[#This Row],[DATA DE PAGAMENTO]]="","",TEXT(LANÇ_MOV[[#This Row],[DATA DE PAGAMENTO]],"M"))</f>
        <v/>
      </c>
      <c r="AL758" s="526" t="str">
        <f>IF(LANÇ_MOV[[#This Row],[DATA DE PAGAMENTO]]="","",TEXT(LANÇ_MOV[[#This Row],[DATA DE PAGAMENTO]],"D"))</f>
        <v/>
      </c>
    </row>
    <row r="759" spans="2:38" ht="30.05" customHeight="1" x14ac:dyDescent="0.35">
      <c r="B759" s="506"/>
      <c r="C759" s="507"/>
      <c r="D759" s="508" t="s">
        <v>1854</v>
      </c>
      <c r="E759" s="509"/>
      <c r="F759" s="510"/>
      <c r="G759" s="507"/>
      <c r="H759" s="511"/>
      <c r="I759" s="512"/>
      <c r="J759" s="518"/>
      <c r="K759" s="510"/>
      <c r="L759" s="510"/>
      <c r="M759" s="548"/>
      <c r="N759" s="514">
        <f>LANÇ_MOV[[#This Row],[VALOR BRUTO]]-LANÇ_MOV[[#This Row],[DESCONTO]]+LANÇ_MOV[[#This Row],[JUROS]]+LANÇ_MOV[[#This Row],[MULTA]]</f>
        <v>0</v>
      </c>
      <c r="O759" s="546"/>
      <c r="P759" s="547" t="str">
        <f t="shared" ca="1" si="12"/>
        <v/>
      </c>
      <c r="Q759" s="528"/>
      <c r="R759" s="529"/>
      <c r="S759" s="518"/>
      <c r="T759" s="518"/>
      <c r="U759" s="519"/>
      <c r="V759" s="520" t="str">
        <f>IFERROR(VLOOKUP(LANÇ_MOV[[#This Row],[PLANO DE CONTAS]],Plano_Contas[[PLANO DE CONTAS]:[R / D]],3,0),"")</f>
        <v/>
      </c>
      <c r="W759" s="521" t="str">
        <f>IF(LANÇ_MOV[[#This Row],[DATA DE PAGAMENTO]]&lt;&gt;"","Pago","Não Pago")</f>
        <v>Não Pago</v>
      </c>
      <c r="X759" s="522" t="str">
        <f>IFERROR(IF(LANÇ_MOV[[#This Row],[DATA DE PAGAMENTO]]="","",(UPPER(TEXT(LANÇ_MOV[[#This Row],[DATA DE PAGAMENTO]],"mmmm")))),"")</f>
        <v/>
      </c>
      <c r="Y759" s="523" t="str">
        <f>IFERROR(VLOOKUP(LANÇ_MOV[[#This Row],[PLANO DE CONTAS]],Plano_Contas[[PLANO DE CONTAS]:[NOMES INTERVALOS]],2,0),"")</f>
        <v/>
      </c>
      <c r="Z759" s="523" t="str">
        <f>IF(LANÇ_MOV[[#This Row],[FORMA DE PAGAMENTO]]="","",VLOOKUP(LANÇ_MOV[[#This Row],[FORMA DE PAGAMENTO]],CAD_Forma_pagto[],2,0))</f>
        <v/>
      </c>
      <c r="AA759" s="524" t="str">
        <f>IF(LANÇ_MOV[[#This Row],[DATA DE LANÇAMENTO]]="","",TEXT(LANÇ_MOV[[#This Row],[DATA DE LANÇAMENTO]],"AAAA"))</f>
        <v/>
      </c>
      <c r="AB759" s="524" t="str">
        <f>IF(LANÇ_MOV[[#This Row],[DATA DE LANÇAMENTO]]="","",UPPER(TEXT(LANÇ_MOV[[#This Row],[DATA DE LANÇAMENTO]],"MMMM")))</f>
        <v/>
      </c>
      <c r="AC759" s="525" t="str">
        <f>IF(LANÇ_MOV[[#This Row],[DATA DE LANÇAMENTO]]="","",PROPER(TEXT(LANÇ_MOV[[#This Row],[DATA DE LANÇAMENTO]],"M")))</f>
        <v/>
      </c>
      <c r="AD759" s="524" t="str">
        <f>IF(LANÇ_MOV[[#This Row],[DATA DE LANÇAMENTO]]="","",TEXT(LANÇ_MOV[[#This Row],[DATA DE LANÇAMENTO]],"D"))</f>
        <v/>
      </c>
      <c r="AE759" s="526" t="str">
        <f>IF(LANÇ_MOV[[#This Row],[DATA DE VENCIMENTO]]="","",TEXT(LANÇ_MOV[[#This Row],[DATA DE VENCIMENTO]],"AAAA"))</f>
        <v/>
      </c>
      <c r="AF759" s="526" t="str">
        <f>IF(LANÇ_MOV[[#This Row],[DATA DE VENCIMENTO]]="","",UPPER(TEXT(LANÇ_MOV[[#This Row],[DATA DE VENCIMENTO]],"MMMM")))</f>
        <v/>
      </c>
      <c r="AG759" s="526" t="str">
        <f>IF(LANÇ_MOV[[#This Row],[DATA DE VENCIMENTO]]="","",TEXT(LANÇ_MOV[[#This Row],[DATA DE VENCIMENTO]],"M"))</f>
        <v/>
      </c>
      <c r="AH759" s="526" t="str">
        <f>IF(LANÇ_MOV[[#This Row],[DATA DE VENCIMENTO]]="","",TEXT(LANÇ_MOV[[#This Row],[DATA DE VENCIMENTO]],"D"))</f>
        <v/>
      </c>
      <c r="AI759" s="526" t="str">
        <f>IF(LANÇ_MOV[[#This Row],[DATA DE PAGAMENTO]]="","",TEXT(LANÇ_MOV[[#This Row],[DATA DE PAGAMENTO]],"AAAA"))</f>
        <v/>
      </c>
      <c r="AJ759" s="527" t="str">
        <f>IF(LANÇ_MOV[[#This Row],[DATA DE PAGAMENTO]]="","",UPPER(TEXT(LANÇ_MOV[[#This Row],[DATA DE PAGAMENTO]],"MMMM")))</f>
        <v/>
      </c>
      <c r="AK759" s="527" t="str">
        <f>IF(LANÇ_MOV[[#This Row],[DATA DE PAGAMENTO]]="","",TEXT(LANÇ_MOV[[#This Row],[DATA DE PAGAMENTO]],"M"))</f>
        <v/>
      </c>
      <c r="AL759" s="526" t="str">
        <f>IF(LANÇ_MOV[[#This Row],[DATA DE PAGAMENTO]]="","",TEXT(LANÇ_MOV[[#This Row],[DATA DE PAGAMENTO]],"D"))</f>
        <v/>
      </c>
    </row>
    <row r="760" spans="2:38" ht="30.05" customHeight="1" x14ac:dyDescent="0.35">
      <c r="B760" s="506"/>
      <c r="C760" s="507"/>
      <c r="D760" s="508" t="s">
        <v>1854</v>
      </c>
      <c r="E760" s="509"/>
      <c r="F760" s="510"/>
      <c r="G760" s="507"/>
      <c r="H760" s="511"/>
      <c r="I760" s="512"/>
      <c r="J760" s="518"/>
      <c r="K760" s="510"/>
      <c r="L760" s="510"/>
      <c r="M760" s="548"/>
      <c r="N760" s="514">
        <f>LANÇ_MOV[[#This Row],[VALOR BRUTO]]-LANÇ_MOV[[#This Row],[DESCONTO]]+LANÇ_MOV[[#This Row],[JUROS]]+LANÇ_MOV[[#This Row],[MULTA]]</f>
        <v>0</v>
      </c>
      <c r="O760" s="546"/>
      <c r="P760" s="547" t="str">
        <f t="shared" ca="1" si="12"/>
        <v/>
      </c>
      <c r="Q760" s="528"/>
      <c r="R760" s="529"/>
      <c r="S760" s="518"/>
      <c r="T760" s="518"/>
      <c r="U760" s="519"/>
      <c r="V760" s="520" t="str">
        <f>IFERROR(VLOOKUP(LANÇ_MOV[[#This Row],[PLANO DE CONTAS]],Plano_Contas[[PLANO DE CONTAS]:[R / D]],3,0),"")</f>
        <v/>
      </c>
      <c r="W760" s="521" t="str">
        <f>IF(LANÇ_MOV[[#This Row],[DATA DE PAGAMENTO]]&lt;&gt;"","Pago","Não Pago")</f>
        <v>Não Pago</v>
      </c>
      <c r="X760" s="522" t="str">
        <f>IFERROR(IF(LANÇ_MOV[[#This Row],[DATA DE PAGAMENTO]]="","",(UPPER(TEXT(LANÇ_MOV[[#This Row],[DATA DE PAGAMENTO]],"mmmm")))),"")</f>
        <v/>
      </c>
      <c r="Y760" s="523" t="str">
        <f>IFERROR(VLOOKUP(LANÇ_MOV[[#This Row],[PLANO DE CONTAS]],Plano_Contas[[PLANO DE CONTAS]:[NOMES INTERVALOS]],2,0),"")</f>
        <v/>
      </c>
      <c r="Z760" s="523" t="str">
        <f>IF(LANÇ_MOV[[#This Row],[FORMA DE PAGAMENTO]]="","",VLOOKUP(LANÇ_MOV[[#This Row],[FORMA DE PAGAMENTO]],CAD_Forma_pagto[],2,0))</f>
        <v/>
      </c>
      <c r="AA760" s="524" t="str">
        <f>IF(LANÇ_MOV[[#This Row],[DATA DE LANÇAMENTO]]="","",TEXT(LANÇ_MOV[[#This Row],[DATA DE LANÇAMENTO]],"AAAA"))</f>
        <v/>
      </c>
      <c r="AB760" s="524" t="str">
        <f>IF(LANÇ_MOV[[#This Row],[DATA DE LANÇAMENTO]]="","",UPPER(TEXT(LANÇ_MOV[[#This Row],[DATA DE LANÇAMENTO]],"MMMM")))</f>
        <v/>
      </c>
      <c r="AC760" s="525" t="str">
        <f>IF(LANÇ_MOV[[#This Row],[DATA DE LANÇAMENTO]]="","",PROPER(TEXT(LANÇ_MOV[[#This Row],[DATA DE LANÇAMENTO]],"M")))</f>
        <v/>
      </c>
      <c r="AD760" s="524" t="str">
        <f>IF(LANÇ_MOV[[#This Row],[DATA DE LANÇAMENTO]]="","",TEXT(LANÇ_MOV[[#This Row],[DATA DE LANÇAMENTO]],"D"))</f>
        <v/>
      </c>
      <c r="AE760" s="526" t="str">
        <f>IF(LANÇ_MOV[[#This Row],[DATA DE VENCIMENTO]]="","",TEXT(LANÇ_MOV[[#This Row],[DATA DE VENCIMENTO]],"AAAA"))</f>
        <v/>
      </c>
      <c r="AF760" s="526" t="str">
        <f>IF(LANÇ_MOV[[#This Row],[DATA DE VENCIMENTO]]="","",UPPER(TEXT(LANÇ_MOV[[#This Row],[DATA DE VENCIMENTO]],"MMMM")))</f>
        <v/>
      </c>
      <c r="AG760" s="526" t="str">
        <f>IF(LANÇ_MOV[[#This Row],[DATA DE VENCIMENTO]]="","",TEXT(LANÇ_MOV[[#This Row],[DATA DE VENCIMENTO]],"M"))</f>
        <v/>
      </c>
      <c r="AH760" s="526" t="str">
        <f>IF(LANÇ_MOV[[#This Row],[DATA DE VENCIMENTO]]="","",TEXT(LANÇ_MOV[[#This Row],[DATA DE VENCIMENTO]],"D"))</f>
        <v/>
      </c>
      <c r="AI760" s="526" t="str">
        <f>IF(LANÇ_MOV[[#This Row],[DATA DE PAGAMENTO]]="","",TEXT(LANÇ_MOV[[#This Row],[DATA DE PAGAMENTO]],"AAAA"))</f>
        <v/>
      </c>
      <c r="AJ760" s="527" t="str">
        <f>IF(LANÇ_MOV[[#This Row],[DATA DE PAGAMENTO]]="","",UPPER(TEXT(LANÇ_MOV[[#This Row],[DATA DE PAGAMENTO]],"MMMM")))</f>
        <v/>
      </c>
      <c r="AK760" s="527" t="str">
        <f>IF(LANÇ_MOV[[#This Row],[DATA DE PAGAMENTO]]="","",TEXT(LANÇ_MOV[[#This Row],[DATA DE PAGAMENTO]],"M"))</f>
        <v/>
      </c>
      <c r="AL760" s="526" t="str">
        <f>IF(LANÇ_MOV[[#This Row],[DATA DE PAGAMENTO]]="","",TEXT(LANÇ_MOV[[#This Row],[DATA DE PAGAMENTO]],"D"))</f>
        <v/>
      </c>
    </row>
    <row r="761" spans="2:38" ht="30.05" customHeight="1" x14ac:dyDescent="0.35">
      <c r="B761" s="506"/>
      <c r="C761" s="507"/>
      <c r="D761" s="508" t="s">
        <v>1854</v>
      </c>
      <c r="E761" s="509"/>
      <c r="F761" s="510"/>
      <c r="G761" s="507"/>
      <c r="H761" s="511"/>
      <c r="I761" s="512"/>
      <c r="J761" s="518"/>
      <c r="K761" s="510"/>
      <c r="L761" s="510"/>
      <c r="M761" s="548"/>
      <c r="N761" s="514">
        <f>LANÇ_MOV[[#This Row],[VALOR BRUTO]]-LANÇ_MOV[[#This Row],[DESCONTO]]+LANÇ_MOV[[#This Row],[JUROS]]+LANÇ_MOV[[#This Row],[MULTA]]</f>
        <v>0</v>
      </c>
      <c r="O761" s="546"/>
      <c r="P761" s="547" t="str">
        <f t="shared" ca="1" si="12"/>
        <v/>
      </c>
      <c r="Q761" s="528"/>
      <c r="R761" s="529"/>
      <c r="S761" s="518"/>
      <c r="T761" s="518"/>
      <c r="U761" s="519"/>
      <c r="V761" s="520" t="str">
        <f>IFERROR(VLOOKUP(LANÇ_MOV[[#This Row],[PLANO DE CONTAS]],Plano_Contas[[PLANO DE CONTAS]:[R / D]],3,0),"")</f>
        <v/>
      </c>
      <c r="W761" s="521" t="str">
        <f>IF(LANÇ_MOV[[#This Row],[DATA DE PAGAMENTO]]&lt;&gt;"","Pago","Não Pago")</f>
        <v>Não Pago</v>
      </c>
      <c r="X761" s="522" t="str">
        <f>IFERROR(IF(LANÇ_MOV[[#This Row],[DATA DE PAGAMENTO]]="","",(UPPER(TEXT(LANÇ_MOV[[#This Row],[DATA DE PAGAMENTO]],"mmmm")))),"")</f>
        <v/>
      </c>
      <c r="Y761" s="523" t="str">
        <f>IFERROR(VLOOKUP(LANÇ_MOV[[#This Row],[PLANO DE CONTAS]],Plano_Contas[[PLANO DE CONTAS]:[NOMES INTERVALOS]],2,0),"")</f>
        <v/>
      </c>
      <c r="Z761" s="523" t="str">
        <f>IF(LANÇ_MOV[[#This Row],[FORMA DE PAGAMENTO]]="","",VLOOKUP(LANÇ_MOV[[#This Row],[FORMA DE PAGAMENTO]],CAD_Forma_pagto[],2,0))</f>
        <v/>
      </c>
      <c r="AA761" s="524" t="str">
        <f>IF(LANÇ_MOV[[#This Row],[DATA DE LANÇAMENTO]]="","",TEXT(LANÇ_MOV[[#This Row],[DATA DE LANÇAMENTO]],"AAAA"))</f>
        <v/>
      </c>
      <c r="AB761" s="524" t="str">
        <f>IF(LANÇ_MOV[[#This Row],[DATA DE LANÇAMENTO]]="","",UPPER(TEXT(LANÇ_MOV[[#This Row],[DATA DE LANÇAMENTO]],"MMMM")))</f>
        <v/>
      </c>
      <c r="AC761" s="525" t="str">
        <f>IF(LANÇ_MOV[[#This Row],[DATA DE LANÇAMENTO]]="","",PROPER(TEXT(LANÇ_MOV[[#This Row],[DATA DE LANÇAMENTO]],"M")))</f>
        <v/>
      </c>
      <c r="AD761" s="524" t="str">
        <f>IF(LANÇ_MOV[[#This Row],[DATA DE LANÇAMENTO]]="","",TEXT(LANÇ_MOV[[#This Row],[DATA DE LANÇAMENTO]],"D"))</f>
        <v/>
      </c>
      <c r="AE761" s="526" t="str">
        <f>IF(LANÇ_MOV[[#This Row],[DATA DE VENCIMENTO]]="","",TEXT(LANÇ_MOV[[#This Row],[DATA DE VENCIMENTO]],"AAAA"))</f>
        <v/>
      </c>
      <c r="AF761" s="526" t="str">
        <f>IF(LANÇ_MOV[[#This Row],[DATA DE VENCIMENTO]]="","",UPPER(TEXT(LANÇ_MOV[[#This Row],[DATA DE VENCIMENTO]],"MMMM")))</f>
        <v/>
      </c>
      <c r="AG761" s="526" t="str">
        <f>IF(LANÇ_MOV[[#This Row],[DATA DE VENCIMENTO]]="","",TEXT(LANÇ_MOV[[#This Row],[DATA DE VENCIMENTO]],"M"))</f>
        <v/>
      </c>
      <c r="AH761" s="526" t="str">
        <f>IF(LANÇ_MOV[[#This Row],[DATA DE VENCIMENTO]]="","",TEXT(LANÇ_MOV[[#This Row],[DATA DE VENCIMENTO]],"D"))</f>
        <v/>
      </c>
      <c r="AI761" s="526" t="str">
        <f>IF(LANÇ_MOV[[#This Row],[DATA DE PAGAMENTO]]="","",TEXT(LANÇ_MOV[[#This Row],[DATA DE PAGAMENTO]],"AAAA"))</f>
        <v/>
      </c>
      <c r="AJ761" s="527" t="str">
        <f>IF(LANÇ_MOV[[#This Row],[DATA DE PAGAMENTO]]="","",UPPER(TEXT(LANÇ_MOV[[#This Row],[DATA DE PAGAMENTO]],"MMMM")))</f>
        <v/>
      </c>
      <c r="AK761" s="527" t="str">
        <f>IF(LANÇ_MOV[[#This Row],[DATA DE PAGAMENTO]]="","",TEXT(LANÇ_MOV[[#This Row],[DATA DE PAGAMENTO]],"M"))</f>
        <v/>
      </c>
      <c r="AL761" s="526" t="str">
        <f>IF(LANÇ_MOV[[#This Row],[DATA DE PAGAMENTO]]="","",TEXT(LANÇ_MOV[[#This Row],[DATA DE PAGAMENTO]],"D"))</f>
        <v/>
      </c>
    </row>
    <row r="762" spans="2:38" ht="30.05" customHeight="1" x14ac:dyDescent="0.35">
      <c r="B762" s="506"/>
      <c r="C762" s="507"/>
      <c r="D762" s="508" t="s">
        <v>1854</v>
      </c>
      <c r="E762" s="509"/>
      <c r="F762" s="510"/>
      <c r="G762" s="507"/>
      <c r="H762" s="511"/>
      <c r="I762" s="512"/>
      <c r="J762" s="518"/>
      <c r="K762" s="510"/>
      <c r="L762" s="510"/>
      <c r="M762" s="548"/>
      <c r="N762" s="514">
        <f>LANÇ_MOV[[#This Row],[VALOR BRUTO]]-LANÇ_MOV[[#This Row],[DESCONTO]]+LANÇ_MOV[[#This Row],[JUROS]]+LANÇ_MOV[[#This Row],[MULTA]]</f>
        <v>0</v>
      </c>
      <c r="O762" s="546"/>
      <c r="P762" s="547" t="str">
        <f t="shared" ca="1" si="12"/>
        <v/>
      </c>
      <c r="Q762" s="528"/>
      <c r="R762" s="529"/>
      <c r="S762" s="518"/>
      <c r="T762" s="518"/>
      <c r="U762" s="519"/>
      <c r="V762" s="520" t="str">
        <f>IFERROR(VLOOKUP(LANÇ_MOV[[#This Row],[PLANO DE CONTAS]],Plano_Contas[[PLANO DE CONTAS]:[R / D]],3,0),"")</f>
        <v/>
      </c>
      <c r="W762" s="521" t="str">
        <f>IF(LANÇ_MOV[[#This Row],[DATA DE PAGAMENTO]]&lt;&gt;"","Pago","Não Pago")</f>
        <v>Não Pago</v>
      </c>
      <c r="X762" s="522" t="str">
        <f>IFERROR(IF(LANÇ_MOV[[#This Row],[DATA DE PAGAMENTO]]="","",(UPPER(TEXT(LANÇ_MOV[[#This Row],[DATA DE PAGAMENTO]],"mmmm")))),"")</f>
        <v/>
      </c>
      <c r="Y762" s="523" t="str">
        <f>IFERROR(VLOOKUP(LANÇ_MOV[[#This Row],[PLANO DE CONTAS]],Plano_Contas[[PLANO DE CONTAS]:[NOMES INTERVALOS]],2,0),"")</f>
        <v/>
      </c>
      <c r="Z762" s="523" t="str">
        <f>IF(LANÇ_MOV[[#This Row],[FORMA DE PAGAMENTO]]="","",VLOOKUP(LANÇ_MOV[[#This Row],[FORMA DE PAGAMENTO]],CAD_Forma_pagto[],2,0))</f>
        <v/>
      </c>
      <c r="AA762" s="524" t="str">
        <f>IF(LANÇ_MOV[[#This Row],[DATA DE LANÇAMENTO]]="","",TEXT(LANÇ_MOV[[#This Row],[DATA DE LANÇAMENTO]],"AAAA"))</f>
        <v/>
      </c>
      <c r="AB762" s="524" t="str">
        <f>IF(LANÇ_MOV[[#This Row],[DATA DE LANÇAMENTO]]="","",UPPER(TEXT(LANÇ_MOV[[#This Row],[DATA DE LANÇAMENTO]],"MMMM")))</f>
        <v/>
      </c>
      <c r="AC762" s="525" t="str">
        <f>IF(LANÇ_MOV[[#This Row],[DATA DE LANÇAMENTO]]="","",PROPER(TEXT(LANÇ_MOV[[#This Row],[DATA DE LANÇAMENTO]],"M")))</f>
        <v/>
      </c>
      <c r="AD762" s="524" t="str">
        <f>IF(LANÇ_MOV[[#This Row],[DATA DE LANÇAMENTO]]="","",TEXT(LANÇ_MOV[[#This Row],[DATA DE LANÇAMENTO]],"D"))</f>
        <v/>
      </c>
      <c r="AE762" s="526" t="str">
        <f>IF(LANÇ_MOV[[#This Row],[DATA DE VENCIMENTO]]="","",TEXT(LANÇ_MOV[[#This Row],[DATA DE VENCIMENTO]],"AAAA"))</f>
        <v/>
      </c>
      <c r="AF762" s="526" t="str">
        <f>IF(LANÇ_MOV[[#This Row],[DATA DE VENCIMENTO]]="","",UPPER(TEXT(LANÇ_MOV[[#This Row],[DATA DE VENCIMENTO]],"MMMM")))</f>
        <v/>
      </c>
      <c r="AG762" s="526" t="str">
        <f>IF(LANÇ_MOV[[#This Row],[DATA DE VENCIMENTO]]="","",TEXT(LANÇ_MOV[[#This Row],[DATA DE VENCIMENTO]],"M"))</f>
        <v/>
      </c>
      <c r="AH762" s="526" t="str">
        <f>IF(LANÇ_MOV[[#This Row],[DATA DE VENCIMENTO]]="","",TEXT(LANÇ_MOV[[#This Row],[DATA DE VENCIMENTO]],"D"))</f>
        <v/>
      </c>
      <c r="AI762" s="526" t="str">
        <f>IF(LANÇ_MOV[[#This Row],[DATA DE PAGAMENTO]]="","",TEXT(LANÇ_MOV[[#This Row],[DATA DE PAGAMENTO]],"AAAA"))</f>
        <v/>
      </c>
      <c r="AJ762" s="527" t="str">
        <f>IF(LANÇ_MOV[[#This Row],[DATA DE PAGAMENTO]]="","",UPPER(TEXT(LANÇ_MOV[[#This Row],[DATA DE PAGAMENTO]],"MMMM")))</f>
        <v/>
      </c>
      <c r="AK762" s="527" t="str">
        <f>IF(LANÇ_MOV[[#This Row],[DATA DE PAGAMENTO]]="","",TEXT(LANÇ_MOV[[#This Row],[DATA DE PAGAMENTO]],"M"))</f>
        <v/>
      </c>
      <c r="AL762" s="526" t="str">
        <f>IF(LANÇ_MOV[[#This Row],[DATA DE PAGAMENTO]]="","",TEXT(LANÇ_MOV[[#This Row],[DATA DE PAGAMENTO]],"D"))</f>
        <v/>
      </c>
    </row>
    <row r="763" spans="2:38" ht="30.05" customHeight="1" x14ac:dyDescent="0.35">
      <c r="B763" s="506"/>
      <c r="C763" s="507"/>
      <c r="D763" s="508" t="s">
        <v>1854</v>
      </c>
      <c r="E763" s="509"/>
      <c r="F763" s="510"/>
      <c r="G763" s="507"/>
      <c r="H763" s="511"/>
      <c r="I763" s="512"/>
      <c r="J763" s="518"/>
      <c r="K763" s="510"/>
      <c r="L763" s="510"/>
      <c r="M763" s="548"/>
      <c r="N763" s="514">
        <f>LANÇ_MOV[[#This Row],[VALOR BRUTO]]-LANÇ_MOV[[#This Row],[DESCONTO]]+LANÇ_MOV[[#This Row],[JUROS]]+LANÇ_MOV[[#This Row],[MULTA]]</f>
        <v>0</v>
      </c>
      <c r="O763" s="546"/>
      <c r="P763" s="547" t="str">
        <f t="shared" ca="1" si="12"/>
        <v/>
      </c>
      <c r="Q763" s="528"/>
      <c r="R763" s="529"/>
      <c r="S763" s="518"/>
      <c r="T763" s="518"/>
      <c r="U763" s="519"/>
      <c r="V763" s="520" t="str">
        <f>IFERROR(VLOOKUP(LANÇ_MOV[[#This Row],[PLANO DE CONTAS]],Plano_Contas[[PLANO DE CONTAS]:[R / D]],3,0),"")</f>
        <v/>
      </c>
      <c r="W763" s="521" t="str">
        <f>IF(LANÇ_MOV[[#This Row],[DATA DE PAGAMENTO]]&lt;&gt;"","Pago","Não Pago")</f>
        <v>Não Pago</v>
      </c>
      <c r="X763" s="522" t="str">
        <f>IFERROR(IF(LANÇ_MOV[[#This Row],[DATA DE PAGAMENTO]]="","",(UPPER(TEXT(LANÇ_MOV[[#This Row],[DATA DE PAGAMENTO]],"mmmm")))),"")</f>
        <v/>
      </c>
      <c r="Y763" s="523" t="str">
        <f>IFERROR(VLOOKUP(LANÇ_MOV[[#This Row],[PLANO DE CONTAS]],Plano_Contas[[PLANO DE CONTAS]:[NOMES INTERVALOS]],2,0),"")</f>
        <v/>
      </c>
      <c r="Z763" s="523" t="str">
        <f>IF(LANÇ_MOV[[#This Row],[FORMA DE PAGAMENTO]]="","",VLOOKUP(LANÇ_MOV[[#This Row],[FORMA DE PAGAMENTO]],CAD_Forma_pagto[],2,0))</f>
        <v/>
      </c>
      <c r="AA763" s="524" t="str">
        <f>IF(LANÇ_MOV[[#This Row],[DATA DE LANÇAMENTO]]="","",TEXT(LANÇ_MOV[[#This Row],[DATA DE LANÇAMENTO]],"AAAA"))</f>
        <v/>
      </c>
      <c r="AB763" s="524" t="str">
        <f>IF(LANÇ_MOV[[#This Row],[DATA DE LANÇAMENTO]]="","",UPPER(TEXT(LANÇ_MOV[[#This Row],[DATA DE LANÇAMENTO]],"MMMM")))</f>
        <v/>
      </c>
      <c r="AC763" s="525" t="str">
        <f>IF(LANÇ_MOV[[#This Row],[DATA DE LANÇAMENTO]]="","",PROPER(TEXT(LANÇ_MOV[[#This Row],[DATA DE LANÇAMENTO]],"M")))</f>
        <v/>
      </c>
      <c r="AD763" s="524" t="str">
        <f>IF(LANÇ_MOV[[#This Row],[DATA DE LANÇAMENTO]]="","",TEXT(LANÇ_MOV[[#This Row],[DATA DE LANÇAMENTO]],"D"))</f>
        <v/>
      </c>
      <c r="AE763" s="526" t="str">
        <f>IF(LANÇ_MOV[[#This Row],[DATA DE VENCIMENTO]]="","",TEXT(LANÇ_MOV[[#This Row],[DATA DE VENCIMENTO]],"AAAA"))</f>
        <v/>
      </c>
      <c r="AF763" s="526" t="str">
        <f>IF(LANÇ_MOV[[#This Row],[DATA DE VENCIMENTO]]="","",UPPER(TEXT(LANÇ_MOV[[#This Row],[DATA DE VENCIMENTO]],"MMMM")))</f>
        <v/>
      </c>
      <c r="AG763" s="526" t="str">
        <f>IF(LANÇ_MOV[[#This Row],[DATA DE VENCIMENTO]]="","",TEXT(LANÇ_MOV[[#This Row],[DATA DE VENCIMENTO]],"M"))</f>
        <v/>
      </c>
      <c r="AH763" s="526" t="str">
        <f>IF(LANÇ_MOV[[#This Row],[DATA DE VENCIMENTO]]="","",TEXT(LANÇ_MOV[[#This Row],[DATA DE VENCIMENTO]],"D"))</f>
        <v/>
      </c>
      <c r="AI763" s="526" t="str">
        <f>IF(LANÇ_MOV[[#This Row],[DATA DE PAGAMENTO]]="","",TEXT(LANÇ_MOV[[#This Row],[DATA DE PAGAMENTO]],"AAAA"))</f>
        <v/>
      </c>
      <c r="AJ763" s="527" t="str">
        <f>IF(LANÇ_MOV[[#This Row],[DATA DE PAGAMENTO]]="","",UPPER(TEXT(LANÇ_MOV[[#This Row],[DATA DE PAGAMENTO]],"MMMM")))</f>
        <v/>
      </c>
      <c r="AK763" s="527" t="str">
        <f>IF(LANÇ_MOV[[#This Row],[DATA DE PAGAMENTO]]="","",TEXT(LANÇ_MOV[[#This Row],[DATA DE PAGAMENTO]],"M"))</f>
        <v/>
      </c>
      <c r="AL763" s="526" t="str">
        <f>IF(LANÇ_MOV[[#This Row],[DATA DE PAGAMENTO]]="","",TEXT(LANÇ_MOV[[#This Row],[DATA DE PAGAMENTO]],"D"))</f>
        <v/>
      </c>
    </row>
    <row r="764" spans="2:38" ht="30.05" customHeight="1" x14ac:dyDescent="0.35">
      <c r="B764" s="506"/>
      <c r="C764" s="507"/>
      <c r="D764" s="508" t="s">
        <v>1854</v>
      </c>
      <c r="E764" s="509"/>
      <c r="F764" s="510"/>
      <c r="G764" s="507"/>
      <c r="H764" s="511"/>
      <c r="I764" s="512"/>
      <c r="J764" s="518"/>
      <c r="K764" s="510"/>
      <c r="L764" s="510"/>
      <c r="M764" s="548"/>
      <c r="N764" s="514">
        <f>LANÇ_MOV[[#This Row],[VALOR BRUTO]]-LANÇ_MOV[[#This Row],[DESCONTO]]+LANÇ_MOV[[#This Row],[JUROS]]+LANÇ_MOV[[#This Row],[MULTA]]</f>
        <v>0</v>
      </c>
      <c r="O764" s="546"/>
      <c r="P764" s="547" t="str">
        <f t="shared" ca="1" si="12"/>
        <v/>
      </c>
      <c r="Q764" s="528"/>
      <c r="R764" s="529"/>
      <c r="S764" s="518"/>
      <c r="T764" s="518"/>
      <c r="U764" s="519"/>
      <c r="V764" s="520" t="str">
        <f>IFERROR(VLOOKUP(LANÇ_MOV[[#This Row],[PLANO DE CONTAS]],Plano_Contas[[PLANO DE CONTAS]:[R / D]],3,0),"")</f>
        <v/>
      </c>
      <c r="W764" s="521" t="str">
        <f>IF(LANÇ_MOV[[#This Row],[DATA DE PAGAMENTO]]&lt;&gt;"","Pago","Não Pago")</f>
        <v>Não Pago</v>
      </c>
      <c r="X764" s="522" t="str">
        <f>IFERROR(IF(LANÇ_MOV[[#This Row],[DATA DE PAGAMENTO]]="","",(UPPER(TEXT(LANÇ_MOV[[#This Row],[DATA DE PAGAMENTO]],"mmmm")))),"")</f>
        <v/>
      </c>
      <c r="Y764" s="523" t="str">
        <f>IFERROR(VLOOKUP(LANÇ_MOV[[#This Row],[PLANO DE CONTAS]],Plano_Contas[[PLANO DE CONTAS]:[NOMES INTERVALOS]],2,0),"")</f>
        <v/>
      </c>
      <c r="Z764" s="523" t="str">
        <f>IF(LANÇ_MOV[[#This Row],[FORMA DE PAGAMENTO]]="","",VLOOKUP(LANÇ_MOV[[#This Row],[FORMA DE PAGAMENTO]],CAD_Forma_pagto[],2,0))</f>
        <v/>
      </c>
      <c r="AA764" s="524" t="str">
        <f>IF(LANÇ_MOV[[#This Row],[DATA DE LANÇAMENTO]]="","",TEXT(LANÇ_MOV[[#This Row],[DATA DE LANÇAMENTO]],"AAAA"))</f>
        <v/>
      </c>
      <c r="AB764" s="524" t="str">
        <f>IF(LANÇ_MOV[[#This Row],[DATA DE LANÇAMENTO]]="","",UPPER(TEXT(LANÇ_MOV[[#This Row],[DATA DE LANÇAMENTO]],"MMMM")))</f>
        <v/>
      </c>
      <c r="AC764" s="525" t="str">
        <f>IF(LANÇ_MOV[[#This Row],[DATA DE LANÇAMENTO]]="","",PROPER(TEXT(LANÇ_MOV[[#This Row],[DATA DE LANÇAMENTO]],"M")))</f>
        <v/>
      </c>
      <c r="AD764" s="524" t="str">
        <f>IF(LANÇ_MOV[[#This Row],[DATA DE LANÇAMENTO]]="","",TEXT(LANÇ_MOV[[#This Row],[DATA DE LANÇAMENTO]],"D"))</f>
        <v/>
      </c>
      <c r="AE764" s="526" t="str">
        <f>IF(LANÇ_MOV[[#This Row],[DATA DE VENCIMENTO]]="","",TEXT(LANÇ_MOV[[#This Row],[DATA DE VENCIMENTO]],"AAAA"))</f>
        <v/>
      </c>
      <c r="AF764" s="526" t="str">
        <f>IF(LANÇ_MOV[[#This Row],[DATA DE VENCIMENTO]]="","",UPPER(TEXT(LANÇ_MOV[[#This Row],[DATA DE VENCIMENTO]],"MMMM")))</f>
        <v/>
      </c>
      <c r="AG764" s="526" t="str">
        <f>IF(LANÇ_MOV[[#This Row],[DATA DE VENCIMENTO]]="","",TEXT(LANÇ_MOV[[#This Row],[DATA DE VENCIMENTO]],"M"))</f>
        <v/>
      </c>
      <c r="AH764" s="526" t="str">
        <f>IF(LANÇ_MOV[[#This Row],[DATA DE VENCIMENTO]]="","",TEXT(LANÇ_MOV[[#This Row],[DATA DE VENCIMENTO]],"D"))</f>
        <v/>
      </c>
      <c r="AI764" s="526" t="str">
        <f>IF(LANÇ_MOV[[#This Row],[DATA DE PAGAMENTO]]="","",TEXT(LANÇ_MOV[[#This Row],[DATA DE PAGAMENTO]],"AAAA"))</f>
        <v/>
      </c>
      <c r="AJ764" s="527" t="str">
        <f>IF(LANÇ_MOV[[#This Row],[DATA DE PAGAMENTO]]="","",UPPER(TEXT(LANÇ_MOV[[#This Row],[DATA DE PAGAMENTO]],"MMMM")))</f>
        <v/>
      </c>
      <c r="AK764" s="527" t="str">
        <f>IF(LANÇ_MOV[[#This Row],[DATA DE PAGAMENTO]]="","",TEXT(LANÇ_MOV[[#This Row],[DATA DE PAGAMENTO]],"M"))</f>
        <v/>
      </c>
      <c r="AL764" s="526" t="str">
        <f>IF(LANÇ_MOV[[#This Row],[DATA DE PAGAMENTO]]="","",TEXT(LANÇ_MOV[[#This Row],[DATA DE PAGAMENTO]],"D"))</f>
        <v/>
      </c>
    </row>
    <row r="765" spans="2:38" ht="30.05" customHeight="1" x14ac:dyDescent="0.35">
      <c r="B765" s="506"/>
      <c r="C765" s="507"/>
      <c r="D765" s="508" t="s">
        <v>1854</v>
      </c>
      <c r="E765" s="509"/>
      <c r="F765" s="510"/>
      <c r="G765" s="507"/>
      <c r="H765" s="511"/>
      <c r="I765" s="512"/>
      <c r="J765" s="518"/>
      <c r="K765" s="510"/>
      <c r="L765" s="510"/>
      <c r="M765" s="548"/>
      <c r="N765" s="514">
        <f>LANÇ_MOV[[#This Row],[VALOR BRUTO]]-LANÇ_MOV[[#This Row],[DESCONTO]]+LANÇ_MOV[[#This Row],[JUROS]]+LANÇ_MOV[[#This Row],[MULTA]]</f>
        <v>0</v>
      </c>
      <c r="O765" s="546"/>
      <c r="P765" s="547" t="str">
        <f t="shared" ca="1" si="12"/>
        <v/>
      </c>
      <c r="Q765" s="528"/>
      <c r="R765" s="529"/>
      <c r="S765" s="518"/>
      <c r="T765" s="518"/>
      <c r="U765" s="519"/>
      <c r="V765" s="520" t="str">
        <f>IFERROR(VLOOKUP(LANÇ_MOV[[#This Row],[PLANO DE CONTAS]],Plano_Contas[[PLANO DE CONTAS]:[R / D]],3,0),"")</f>
        <v/>
      </c>
      <c r="W765" s="521" t="str">
        <f>IF(LANÇ_MOV[[#This Row],[DATA DE PAGAMENTO]]&lt;&gt;"","Pago","Não Pago")</f>
        <v>Não Pago</v>
      </c>
      <c r="X765" s="522" t="str">
        <f>IFERROR(IF(LANÇ_MOV[[#This Row],[DATA DE PAGAMENTO]]="","",(UPPER(TEXT(LANÇ_MOV[[#This Row],[DATA DE PAGAMENTO]],"mmmm")))),"")</f>
        <v/>
      </c>
      <c r="Y765" s="523" t="str">
        <f>IFERROR(VLOOKUP(LANÇ_MOV[[#This Row],[PLANO DE CONTAS]],Plano_Contas[[PLANO DE CONTAS]:[NOMES INTERVALOS]],2,0),"")</f>
        <v/>
      </c>
      <c r="Z765" s="523" t="str">
        <f>IF(LANÇ_MOV[[#This Row],[FORMA DE PAGAMENTO]]="","",VLOOKUP(LANÇ_MOV[[#This Row],[FORMA DE PAGAMENTO]],CAD_Forma_pagto[],2,0))</f>
        <v/>
      </c>
      <c r="AA765" s="524" t="str">
        <f>IF(LANÇ_MOV[[#This Row],[DATA DE LANÇAMENTO]]="","",TEXT(LANÇ_MOV[[#This Row],[DATA DE LANÇAMENTO]],"AAAA"))</f>
        <v/>
      </c>
      <c r="AB765" s="524" t="str">
        <f>IF(LANÇ_MOV[[#This Row],[DATA DE LANÇAMENTO]]="","",UPPER(TEXT(LANÇ_MOV[[#This Row],[DATA DE LANÇAMENTO]],"MMMM")))</f>
        <v/>
      </c>
      <c r="AC765" s="525" t="str">
        <f>IF(LANÇ_MOV[[#This Row],[DATA DE LANÇAMENTO]]="","",PROPER(TEXT(LANÇ_MOV[[#This Row],[DATA DE LANÇAMENTO]],"M")))</f>
        <v/>
      </c>
      <c r="AD765" s="524" t="str">
        <f>IF(LANÇ_MOV[[#This Row],[DATA DE LANÇAMENTO]]="","",TEXT(LANÇ_MOV[[#This Row],[DATA DE LANÇAMENTO]],"D"))</f>
        <v/>
      </c>
      <c r="AE765" s="526" t="str">
        <f>IF(LANÇ_MOV[[#This Row],[DATA DE VENCIMENTO]]="","",TEXT(LANÇ_MOV[[#This Row],[DATA DE VENCIMENTO]],"AAAA"))</f>
        <v/>
      </c>
      <c r="AF765" s="526" t="str">
        <f>IF(LANÇ_MOV[[#This Row],[DATA DE VENCIMENTO]]="","",UPPER(TEXT(LANÇ_MOV[[#This Row],[DATA DE VENCIMENTO]],"MMMM")))</f>
        <v/>
      </c>
      <c r="AG765" s="526" t="str">
        <f>IF(LANÇ_MOV[[#This Row],[DATA DE VENCIMENTO]]="","",TEXT(LANÇ_MOV[[#This Row],[DATA DE VENCIMENTO]],"M"))</f>
        <v/>
      </c>
      <c r="AH765" s="526" t="str">
        <f>IF(LANÇ_MOV[[#This Row],[DATA DE VENCIMENTO]]="","",TEXT(LANÇ_MOV[[#This Row],[DATA DE VENCIMENTO]],"D"))</f>
        <v/>
      </c>
      <c r="AI765" s="526" t="str">
        <f>IF(LANÇ_MOV[[#This Row],[DATA DE PAGAMENTO]]="","",TEXT(LANÇ_MOV[[#This Row],[DATA DE PAGAMENTO]],"AAAA"))</f>
        <v/>
      </c>
      <c r="AJ765" s="527" t="str">
        <f>IF(LANÇ_MOV[[#This Row],[DATA DE PAGAMENTO]]="","",UPPER(TEXT(LANÇ_MOV[[#This Row],[DATA DE PAGAMENTO]],"MMMM")))</f>
        <v/>
      </c>
      <c r="AK765" s="527" t="str">
        <f>IF(LANÇ_MOV[[#This Row],[DATA DE PAGAMENTO]]="","",TEXT(LANÇ_MOV[[#This Row],[DATA DE PAGAMENTO]],"M"))</f>
        <v/>
      </c>
      <c r="AL765" s="526" t="str">
        <f>IF(LANÇ_MOV[[#This Row],[DATA DE PAGAMENTO]]="","",TEXT(LANÇ_MOV[[#This Row],[DATA DE PAGAMENTO]],"D"))</f>
        <v/>
      </c>
    </row>
    <row r="766" spans="2:38" ht="30.05" customHeight="1" x14ac:dyDescent="0.35">
      <c r="B766" s="506"/>
      <c r="C766" s="507"/>
      <c r="D766" s="508" t="s">
        <v>1854</v>
      </c>
      <c r="E766" s="509"/>
      <c r="F766" s="510"/>
      <c r="G766" s="507"/>
      <c r="H766" s="511"/>
      <c r="I766" s="512"/>
      <c r="J766" s="518"/>
      <c r="K766" s="510"/>
      <c r="L766" s="510"/>
      <c r="M766" s="548"/>
      <c r="N766" s="514">
        <f>LANÇ_MOV[[#This Row],[VALOR BRUTO]]-LANÇ_MOV[[#This Row],[DESCONTO]]+LANÇ_MOV[[#This Row],[JUROS]]+LANÇ_MOV[[#This Row],[MULTA]]</f>
        <v>0</v>
      </c>
      <c r="O766" s="546"/>
      <c r="P766" s="547" t="str">
        <f t="shared" ca="1" si="12"/>
        <v/>
      </c>
      <c r="Q766" s="528"/>
      <c r="R766" s="529"/>
      <c r="S766" s="518"/>
      <c r="T766" s="518"/>
      <c r="U766" s="519"/>
      <c r="V766" s="520" t="str">
        <f>IFERROR(VLOOKUP(LANÇ_MOV[[#This Row],[PLANO DE CONTAS]],Plano_Contas[[PLANO DE CONTAS]:[R / D]],3,0),"")</f>
        <v/>
      </c>
      <c r="W766" s="521" t="str">
        <f>IF(LANÇ_MOV[[#This Row],[DATA DE PAGAMENTO]]&lt;&gt;"","Pago","Não Pago")</f>
        <v>Não Pago</v>
      </c>
      <c r="X766" s="522" t="str">
        <f>IFERROR(IF(LANÇ_MOV[[#This Row],[DATA DE PAGAMENTO]]="","",(UPPER(TEXT(LANÇ_MOV[[#This Row],[DATA DE PAGAMENTO]],"mmmm")))),"")</f>
        <v/>
      </c>
      <c r="Y766" s="523" t="str">
        <f>IFERROR(VLOOKUP(LANÇ_MOV[[#This Row],[PLANO DE CONTAS]],Plano_Contas[[PLANO DE CONTAS]:[NOMES INTERVALOS]],2,0),"")</f>
        <v/>
      </c>
      <c r="Z766" s="523" t="str">
        <f>IF(LANÇ_MOV[[#This Row],[FORMA DE PAGAMENTO]]="","",VLOOKUP(LANÇ_MOV[[#This Row],[FORMA DE PAGAMENTO]],CAD_Forma_pagto[],2,0))</f>
        <v/>
      </c>
      <c r="AA766" s="524" t="str">
        <f>IF(LANÇ_MOV[[#This Row],[DATA DE LANÇAMENTO]]="","",TEXT(LANÇ_MOV[[#This Row],[DATA DE LANÇAMENTO]],"AAAA"))</f>
        <v/>
      </c>
      <c r="AB766" s="524" t="str">
        <f>IF(LANÇ_MOV[[#This Row],[DATA DE LANÇAMENTO]]="","",UPPER(TEXT(LANÇ_MOV[[#This Row],[DATA DE LANÇAMENTO]],"MMMM")))</f>
        <v/>
      </c>
      <c r="AC766" s="525" t="str">
        <f>IF(LANÇ_MOV[[#This Row],[DATA DE LANÇAMENTO]]="","",PROPER(TEXT(LANÇ_MOV[[#This Row],[DATA DE LANÇAMENTO]],"M")))</f>
        <v/>
      </c>
      <c r="AD766" s="524" t="str">
        <f>IF(LANÇ_MOV[[#This Row],[DATA DE LANÇAMENTO]]="","",TEXT(LANÇ_MOV[[#This Row],[DATA DE LANÇAMENTO]],"D"))</f>
        <v/>
      </c>
      <c r="AE766" s="526" t="str">
        <f>IF(LANÇ_MOV[[#This Row],[DATA DE VENCIMENTO]]="","",TEXT(LANÇ_MOV[[#This Row],[DATA DE VENCIMENTO]],"AAAA"))</f>
        <v/>
      </c>
      <c r="AF766" s="526" t="str">
        <f>IF(LANÇ_MOV[[#This Row],[DATA DE VENCIMENTO]]="","",UPPER(TEXT(LANÇ_MOV[[#This Row],[DATA DE VENCIMENTO]],"MMMM")))</f>
        <v/>
      </c>
      <c r="AG766" s="526" t="str">
        <f>IF(LANÇ_MOV[[#This Row],[DATA DE VENCIMENTO]]="","",TEXT(LANÇ_MOV[[#This Row],[DATA DE VENCIMENTO]],"M"))</f>
        <v/>
      </c>
      <c r="AH766" s="526" t="str">
        <f>IF(LANÇ_MOV[[#This Row],[DATA DE VENCIMENTO]]="","",TEXT(LANÇ_MOV[[#This Row],[DATA DE VENCIMENTO]],"D"))</f>
        <v/>
      </c>
      <c r="AI766" s="526" t="str">
        <f>IF(LANÇ_MOV[[#This Row],[DATA DE PAGAMENTO]]="","",TEXT(LANÇ_MOV[[#This Row],[DATA DE PAGAMENTO]],"AAAA"))</f>
        <v/>
      </c>
      <c r="AJ766" s="527" t="str">
        <f>IF(LANÇ_MOV[[#This Row],[DATA DE PAGAMENTO]]="","",UPPER(TEXT(LANÇ_MOV[[#This Row],[DATA DE PAGAMENTO]],"MMMM")))</f>
        <v/>
      </c>
      <c r="AK766" s="527" t="str">
        <f>IF(LANÇ_MOV[[#This Row],[DATA DE PAGAMENTO]]="","",TEXT(LANÇ_MOV[[#This Row],[DATA DE PAGAMENTO]],"M"))</f>
        <v/>
      </c>
      <c r="AL766" s="526" t="str">
        <f>IF(LANÇ_MOV[[#This Row],[DATA DE PAGAMENTO]]="","",TEXT(LANÇ_MOV[[#This Row],[DATA DE PAGAMENTO]],"D"))</f>
        <v/>
      </c>
    </row>
    <row r="767" spans="2:38" ht="30.05" customHeight="1" x14ac:dyDescent="0.35">
      <c r="B767" s="506"/>
      <c r="C767" s="507"/>
      <c r="D767" s="508" t="s">
        <v>1854</v>
      </c>
      <c r="E767" s="509"/>
      <c r="F767" s="510"/>
      <c r="G767" s="507"/>
      <c r="H767" s="511"/>
      <c r="I767" s="512"/>
      <c r="J767" s="518"/>
      <c r="K767" s="510"/>
      <c r="L767" s="510"/>
      <c r="M767" s="548"/>
      <c r="N767" s="514">
        <f>LANÇ_MOV[[#This Row],[VALOR BRUTO]]-LANÇ_MOV[[#This Row],[DESCONTO]]+LANÇ_MOV[[#This Row],[JUROS]]+LANÇ_MOV[[#This Row],[MULTA]]</f>
        <v>0</v>
      </c>
      <c r="O767" s="546"/>
      <c r="P767" s="547" t="str">
        <f t="shared" ca="1" si="12"/>
        <v/>
      </c>
      <c r="Q767" s="528"/>
      <c r="R767" s="529"/>
      <c r="S767" s="518"/>
      <c r="T767" s="518"/>
      <c r="U767" s="519"/>
      <c r="V767" s="520" t="str">
        <f>IFERROR(VLOOKUP(LANÇ_MOV[[#This Row],[PLANO DE CONTAS]],Plano_Contas[[PLANO DE CONTAS]:[R / D]],3,0),"")</f>
        <v/>
      </c>
      <c r="W767" s="521" t="str">
        <f>IF(LANÇ_MOV[[#This Row],[DATA DE PAGAMENTO]]&lt;&gt;"","Pago","Não Pago")</f>
        <v>Não Pago</v>
      </c>
      <c r="X767" s="522" t="str">
        <f>IFERROR(IF(LANÇ_MOV[[#This Row],[DATA DE PAGAMENTO]]="","",(UPPER(TEXT(LANÇ_MOV[[#This Row],[DATA DE PAGAMENTO]],"mmmm")))),"")</f>
        <v/>
      </c>
      <c r="Y767" s="523" t="str">
        <f>IFERROR(VLOOKUP(LANÇ_MOV[[#This Row],[PLANO DE CONTAS]],Plano_Contas[[PLANO DE CONTAS]:[NOMES INTERVALOS]],2,0),"")</f>
        <v/>
      </c>
      <c r="Z767" s="523" t="str">
        <f>IF(LANÇ_MOV[[#This Row],[FORMA DE PAGAMENTO]]="","",VLOOKUP(LANÇ_MOV[[#This Row],[FORMA DE PAGAMENTO]],CAD_Forma_pagto[],2,0))</f>
        <v/>
      </c>
      <c r="AA767" s="524" t="str">
        <f>IF(LANÇ_MOV[[#This Row],[DATA DE LANÇAMENTO]]="","",TEXT(LANÇ_MOV[[#This Row],[DATA DE LANÇAMENTO]],"AAAA"))</f>
        <v/>
      </c>
      <c r="AB767" s="524" t="str">
        <f>IF(LANÇ_MOV[[#This Row],[DATA DE LANÇAMENTO]]="","",UPPER(TEXT(LANÇ_MOV[[#This Row],[DATA DE LANÇAMENTO]],"MMMM")))</f>
        <v/>
      </c>
      <c r="AC767" s="525" t="str">
        <f>IF(LANÇ_MOV[[#This Row],[DATA DE LANÇAMENTO]]="","",PROPER(TEXT(LANÇ_MOV[[#This Row],[DATA DE LANÇAMENTO]],"M")))</f>
        <v/>
      </c>
      <c r="AD767" s="524" t="str">
        <f>IF(LANÇ_MOV[[#This Row],[DATA DE LANÇAMENTO]]="","",TEXT(LANÇ_MOV[[#This Row],[DATA DE LANÇAMENTO]],"D"))</f>
        <v/>
      </c>
      <c r="AE767" s="526" t="str">
        <f>IF(LANÇ_MOV[[#This Row],[DATA DE VENCIMENTO]]="","",TEXT(LANÇ_MOV[[#This Row],[DATA DE VENCIMENTO]],"AAAA"))</f>
        <v/>
      </c>
      <c r="AF767" s="526" t="str">
        <f>IF(LANÇ_MOV[[#This Row],[DATA DE VENCIMENTO]]="","",UPPER(TEXT(LANÇ_MOV[[#This Row],[DATA DE VENCIMENTO]],"MMMM")))</f>
        <v/>
      </c>
      <c r="AG767" s="526" t="str">
        <f>IF(LANÇ_MOV[[#This Row],[DATA DE VENCIMENTO]]="","",TEXT(LANÇ_MOV[[#This Row],[DATA DE VENCIMENTO]],"M"))</f>
        <v/>
      </c>
      <c r="AH767" s="526" t="str">
        <f>IF(LANÇ_MOV[[#This Row],[DATA DE VENCIMENTO]]="","",TEXT(LANÇ_MOV[[#This Row],[DATA DE VENCIMENTO]],"D"))</f>
        <v/>
      </c>
      <c r="AI767" s="526" t="str">
        <f>IF(LANÇ_MOV[[#This Row],[DATA DE PAGAMENTO]]="","",TEXT(LANÇ_MOV[[#This Row],[DATA DE PAGAMENTO]],"AAAA"))</f>
        <v/>
      </c>
      <c r="AJ767" s="527" t="str">
        <f>IF(LANÇ_MOV[[#This Row],[DATA DE PAGAMENTO]]="","",UPPER(TEXT(LANÇ_MOV[[#This Row],[DATA DE PAGAMENTO]],"MMMM")))</f>
        <v/>
      </c>
      <c r="AK767" s="527" t="str">
        <f>IF(LANÇ_MOV[[#This Row],[DATA DE PAGAMENTO]]="","",TEXT(LANÇ_MOV[[#This Row],[DATA DE PAGAMENTO]],"M"))</f>
        <v/>
      </c>
      <c r="AL767" s="526" t="str">
        <f>IF(LANÇ_MOV[[#This Row],[DATA DE PAGAMENTO]]="","",TEXT(LANÇ_MOV[[#This Row],[DATA DE PAGAMENTO]],"D"))</f>
        <v/>
      </c>
    </row>
    <row r="768" spans="2:38" ht="30.05" customHeight="1" x14ac:dyDescent="0.35">
      <c r="B768" s="506"/>
      <c r="C768" s="507"/>
      <c r="D768" s="508" t="s">
        <v>1854</v>
      </c>
      <c r="E768" s="509"/>
      <c r="F768" s="510"/>
      <c r="G768" s="507"/>
      <c r="H768" s="511"/>
      <c r="I768" s="512"/>
      <c r="J768" s="518"/>
      <c r="K768" s="510"/>
      <c r="L768" s="510"/>
      <c r="M768" s="548"/>
      <c r="N768" s="514">
        <f>LANÇ_MOV[[#This Row],[VALOR BRUTO]]-LANÇ_MOV[[#This Row],[DESCONTO]]+LANÇ_MOV[[#This Row],[JUROS]]+LANÇ_MOV[[#This Row],[MULTA]]</f>
        <v>0</v>
      </c>
      <c r="O768" s="546"/>
      <c r="P768" s="547" t="str">
        <f t="shared" ca="1" si="12"/>
        <v/>
      </c>
      <c r="Q768" s="528"/>
      <c r="R768" s="529"/>
      <c r="S768" s="518"/>
      <c r="T768" s="518"/>
      <c r="U768" s="519"/>
      <c r="V768" s="520" t="str">
        <f>IFERROR(VLOOKUP(LANÇ_MOV[[#This Row],[PLANO DE CONTAS]],Plano_Contas[[PLANO DE CONTAS]:[R / D]],3,0),"")</f>
        <v/>
      </c>
      <c r="W768" s="521" t="str">
        <f>IF(LANÇ_MOV[[#This Row],[DATA DE PAGAMENTO]]&lt;&gt;"","Pago","Não Pago")</f>
        <v>Não Pago</v>
      </c>
      <c r="X768" s="522" t="str">
        <f>IFERROR(IF(LANÇ_MOV[[#This Row],[DATA DE PAGAMENTO]]="","",(UPPER(TEXT(LANÇ_MOV[[#This Row],[DATA DE PAGAMENTO]],"mmmm")))),"")</f>
        <v/>
      </c>
      <c r="Y768" s="523" t="str">
        <f>IFERROR(VLOOKUP(LANÇ_MOV[[#This Row],[PLANO DE CONTAS]],Plano_Contas[[PLANO DE CONTAS]:[NOMES INTERVALOS]],2,0),"")</f>
        <v/>
      </c>
      <c r="Z768" s="523" t="str">
        <f>IF(LANÇ_MOV[[#This Row],[FORMA DE PAGAMENTO]]="","",VLOOKUP(LANÇ_MOV[[#This Row],[FORMA DE PAGAMENTO]],CAD_Forma_pagto[],2,0))</f>
        <v/>
      </c>
      <c r="AA768" s="524" t="str">
        <f>IF(LANÇ_MOV[[#This Row],[DATA DE LANÇAMENTO]]="","",TEXT(LANÇ_MOV[[#This Row],[DATA DE LANÇAMENTO]],"AAAA"))</f>
        <v/>
      </c>
      <c r="AB768" s="524" t="str">
        <f>IF(LANÇ_MOV[[#This Row],[DATA DE LANÇAMENTO]]="","",UPPER(TEXT(LANÇ_MOV[[#This Row],[DATA DE LANÇAMENTO]],"MMMM")))</f>
        <v/>
      </c>
      <c r="AC768" s="525" t="str">
        <f>IF(LANÇ_MOV[[#This Row],[DATA DE LANÇAMENTO]]="","",PROPER(TEXT(LANÇ_MOV[[#This Row],[DATA DE LANÇAMENTO]],"M")))</f>
        <v/>
      </c>
      <c r="AD768" s="524" t="str">
        <f>IF(LANÇ_MOV[[#This Row],[DATA DE LANÇAMENTO]]="","",TEXT(LANÇ_MOV[[#This Row],[DATA DE LANÇAMENTO]],"D"))</f>
        <v/>
      </c>
      <c r="AE768" s="526" t="str">
        <f>IF(LANÇ_MOV[[#This Row],[DATA DE VENCIMENTO]]="","",TEXT(LANÇ_MOV[[#This Row],[DATA DE VENCIMENTO]],"AAAA"))</f>
        <v/>
      </c>
      <c r="AF768" s="526" t="str">
        <f>IF(LANÇ_MOV[[#This Row],[DATA DE VENCIMENTO]]="","",UPPER(TEXT(LANÇ_MOV[[#This Row],[DATA DE VENCIMENTO]],"MMMM")))</f>
        <v/>
      </c>
      <c r="AG768" s="526" t="str">
        <f>IF(LANÇ_MOV[[#This Row],[DATA DE VENCIMENTO]]="","",TEXT(LANÇ_MOV[[#This Row],[DATA DE VENCIMENTO]],"M"))</f>
        <v/>
      </c>
      <c r="AH768" s="526" t="str">
        <f>IF(LANÇ_MOV[[#This Row],[DATA DE VENCIMENTO]]="","",TEXT(LANÇ_MOV[[#This Row],[DATA DE VENCIMENTO]],"D"))</f>
        <v/>
      </c>
      <c r="AI768" s="526" t="str">
        <f>IF(LANÇ_MOV[[#This Row],[DATA DE PAGAMENTO]]="","",TEXT(LANÇ_MOV[[#This Row],[DATA DE PAGAMENTO]],"AAAA"))</f>
        <v/>
      </c>
      <c r="AJ768" s="527" t="str">
        <f>IF(LANÇ_MOV[[#This Row],[DATA DE PAGAMENTO]]="","",UPPER(TEXT(LANÇ_MOV[[#This Row],[DATA DE PAGAMENTO]],"MMMM")))</f>
        <v/>
      </c>
      <c r="AK768" s="527" t="str">
        <f>IF(LANÇ_MOV[[#This Row],[DATA DE PAGAMENTO]]="","",TEXT(LANÇ_MOV[[#This Row],[DATA DE PAGAMENTO]],"M"))</f>
        <v/>
      </c>
      <c r="AL768" s="526" t="str">
        <f>IF(LANÇ_MOV[[#This Row],[DATA DE PAGAMENTO]]="","",TEXT(LANÇ_MOV[[#This Row],[DATA DE PAGAMENTO]],"D"))</f>
        <v/>
      </c>
    </row>
    <row r="769" spans="2:38" ht="30.05" customHeight="1" x14ac:dyDescent="0.35">
      <c r="B769" s="506"/>
      <c r="C769" s="507"/>
      <c r="D769" s="508" t="s">
        <v>1854</v>
      </c>
      <c r="E769" s="509"/>
      <c r="F769" s="510"/>
      <c r="G769" s="507"/>
      <c r="H769" s="511"/>
      <c r="I769" s="512"/>
      <c r="J769" s="518"/>
      <c r="K769" s="510"/>
      <c r="L769" s="510"/>
      <c r="M769" s="548"/>
      <c r="N769" s="514">
        <f>LANÇ_MOV[[#This Row],[VALOR BRUTO]]-LANÇ_MOV[[#This Row],[DESCONTO]]+LANÇ_MOV[[#This Row],[JUROS]]+LANÇ_MOV[[#This Row],[MULTA]]</f>
        <v>0</v>
      </c>
      <c r="O769" s="546"/>
      <c r="P769" s="547" t="str">
        <f t="shared" ca="1" si="12"/>
        <v/>
      </c>
      <c r="Q769" s="528"/>
      <c r="R769" s="529"/>
      <c r="S769" s="518"/>
      <c r="T769" s="518"/>
      <c r="U769" s="519"/>
      <c r="V769" s="520" t="str">
        <f>IFERROR(VLOOKUP(LANÇ_MOV[[#This Row],[PLANO DE CONTAS]],Plano_Contas[[PLANO DE CONTAS]:[R / D]],3,0),"")</f>
        <v/>
      </c>
      <c r="W769" s="521" t="str">
        <f>IF(LANÇ_MOV[[#This Row],[DATA DE PAGAMENTO]]&lt;&gt;"","Pago","Não Pago")</f>
        <v>Não Pago</v>
      </c>
      <c r="X769" s="522" t="str">
        <f>IFERROR(IF(LANÇ_MOV[[#This Row],[DATA DE PAGAMENTO]]="","",(UPPER(TEXT(LANÇ_MOV[[#This Row],[DATA DE PAGAMENTO]],"mmmm")))),"")</f>
        <v/>
      </c>
      <c r="Y769" s="523" t="str">
        <f>IFERROR(VLOOKUP(LANÇ_MOV[[#This Row],[PLANO DE CONTAS]],Plano_Contas[[PLANO DE CONTAS]:[NOMES INTERVALOS]],2,0),"")</f>
        <v/>
      </c>
      <c r="Z769" s="523" t="str">
        <f>IF(LANÇ_MOV[[#This Row],[FORMA DE PAGAMENTO]]="","",VLOOKUP(LANÇ_MOV[[#This Row],[FORMA DE PAGAMENTO]],CAD_Forma_pagto[],2,0))</f>
        <v/>
      </c>
      <c r="AA769" s="524" t="str">
        <f>IF(LANÇ_MOV[[#This Row],[DATA DE LANÇAMENTO]]="","",TEXT(LANÇ_MOV[[#This Row],[DATA DE LANÇAMENTO]],"AAAA"))</f>
        <v/>
      </c>
      <c r="AB769" s="524" t="str">
        <f>IF(LANÇ_MOV[[#This Row],[DATA DE LANÇAMENTO]]="","",UPPER(TEXT(LANÇ_MOV[[#This Row],[DATA DE LANÇAMENTO]],"MMMM")))</f>
        <v/>
      </c>
      <c r="AC769" s="525" t="str">
        <f>IF(LANÇ_MOV[[#This Row],[DATA DE LANÇAMENTO]]="","",PROPER(TEXT(LANÇ_MOV[[#This Row],[DATA DE LANÇAMENTO]],"M")))</f>
        <v/>
      </c>
      <c r="AD769" s="524" t="str">
        <f>IF(LANÇ_MOV[[#This Row],[DATA DE LANÇAMENTO]]="","",TEXT(LANÇ_MOV[[#This Row],[DATA DE LANÇAMENTO]],"D"))</f>
        <v/>
      </c>
      <c r="AE769" s="526" t="str">
        <f>IF(LANÇ_MOV[[#This Row],[DATA DE VENCIMENTO]]="","",TEXT(LANÇ_MOV[[#This Row],[DATA DE VENCIMENTO]],"AAAA"))</f>
        <v/>
      </c>
      <c r="AF769" s="526" t="str">
        <f>IF(LANÇ_MOV[[#This Row],[DATA DE VENCIMENTO]]="","",UPPER(TEXT(LANÇ_MOV[[#This Row],[DATA DE VENCIMENTO]],"MMMM")))</f>
        <v/>
      </c>
      <c r="AG769" s="526" t="str">
        <f>IF(LANÇ_MOV[[#This Row],[DATA DE VENCIMENTO]]="","",TEXT(LANÇ_MOV[[#This Row],[DATA DE VENCIMENTO]],"M"))</f>
        <v/>
      </c>
      <c r="AH769" s="526" t="str">
        <f>IF(LANÇ_MOV[[#This Row],[DATA DE VENCIMENTO]]="","",TEXT(LANÇ_MOV[[#This Row],[DATA DE VENCIMENTO]],"D"))</f>
        <v/>
      </c>
      <c r="AI769" s="526" t="str">
        <f>IF(LANÇ_MOV[[#This Row],[DATA DE PAGAMENTO]]="","",TEXT(LANÇ_MOV[[#This Row],[DATA DE PAGAMENTO]],"AAAA"))</f>
        <v/>
      </c>
      <c r="AJ769" s="527" t="str">
        <f>IF(LANÇ_MOV[[#This Row],[DATA DE PAGAMENTO]]="","",UPPER(TEXT(LANÇ_MOV[[#This Row],[DATA DE PAGAMENTO]],"MMMM")))</f>
        <v/>
      </c>
      <c r="AK769" s="527" t="str">
        <f>IF(LANÇ_MOV[[#This Row],[DATA DE PAGAMENTO]]="","",TEXT(LANÇ_MOV[[#This Row],[DATA DE PAGAMENTO]],"M"))</f>
        <v/>
      </c>
      <c r="AL769" s="526" t="str">
        <f>IF(LANÇ_MOV[[#This Row],[DATA DE PAGAMENTO]]="","",TEXT(LANÇ_MOV[[#This Row],[DATA DE PAGAMENTO]],"D"))</f>
        <v/>
      </c>
    </row>
    <row r="770" spans="2:38" ht="30.05" customHeight="1" x14ac:dyDescent="0.35">
      <c r="B770" s="506"/>
      <c r="C770" s="507"/>
      <c r="D770" s="508" t="s">
        <v>1854</v>
      </c>
      <c r="E770" s="509"/>
      <c r="F770" s="510"/>
      <c r="G770" s="507"/>
      <c r="H770" s="511"/>
      <c r="I770" s="512"/>
      <c r="J770" s="518"/>
      <c r="K770" s="510"/>
      <c r="L770" s="510"/>
      <c r="M770" s="548"/>
      <c r="N770" s="514">
        <f>LANÇ_MOV[[#This Row],[VALOR BRUTO]]-LANÇ_MOV[[#This Row],[DESCONTO]]+LANÇ_MOV[[#This Row],[JUROS]]+LANÇ_MOV[[#This Row],[MULTA]]</f>
        <v>0</v>
      </c>
      <c r="O770" s="546"/>
      <c r="P770" s="547" t="str">
        <f t="shared" ca="1" si="12"/>
        <v/>
      </c>
      <c r="Q770" s="528"/>
      <c r="R770" s="529"/>
      <c r="S770" s="518"/>
      <c r="T770" s="518"/>
      <c r="U770" s="519"/>
      <c r="V770" s="520" t="str">
        <f>IFERROR(VLOOKUP(LANÇ_MOV[[#This Row],[PLANO DE CONTAS]],Plano_Contas[[PLANO DE CONTAS]:[R / D]],3,0),"")</f>
        <v/>
      </c>
      <c r="W770" s="521" t="str">
        <f>IF(LANÇ_MOV[[#This Row],[DATA DE PAGAMENTO]]&lt;&gt;"","Pago","Não Pago")</f>
        <v>Não Pago</v>
      </c>
      <c r="X770" s="522" t="str">
        <f>IFERROR(IF(LANÇ_MOV[[#This Row],[DATA DE PAGAMENTO]]="","",(UPPER(TEXT(LANÇ_MOV[[#This Row],[DATA DE PAGAMENTO]],"mmmm")))),"")</f>
        <v/>
      </c>
      <c r="Y770" s="523" t="str">
        <f>IFERROR(VLOOKUP(LANÇ_MOV[[#This Row],[PLANO DE CONTAS]],Plano_Contas[[PLANO DE CONTAS]:[NOMES INTERVALOS]],2,0),"")</f>
        <v/>
      </c>
      <c r="Z770" s="523" t="str">
        <f>IF(LANÇ_MOV[[#This Row],[FORMA DE PAGAMENTO]]="","",VLOOKUP(LANÇ_MOV[[#This Row],[FORMA DE PAGAMENTO]],CAD_Forma_pagto[],2,0))</f>
        <v/>
      </c>
      <c r="AA770" s="524" t="str">
        <f>IF(LANÇ_MOV[[#This Row],[DATA DE LANÇAMENTO]]="","",TEXT(LANÇ_MOV[[#This Row],[DATA DE LANÇAMENTO]],"AAAA"))</f>
        <v/>
      </c>
      <c r="AB770" s="524" t="str">
        <f>IF(LANÇ_MOV[[#This Row],[DATA DE LANÇAMENTO]]="","",UPPER(TEXT(LANÇ_MOV[[#This Row],[DATA DE LANÇAMENTO]],"MMMM")))</f>
        <v/>
      </c>
      <c r="AC770" s="525" t="str">
        <f>IF(LANÇ_MOV[[#This Row],[DATA DE LANÇAMENTO]]="","",PROPER(TEXT(LANÇ_MOV[[#This Row],[DATA DE LANÇAMENTO]],"M")))</f>
        <v/>
      </c>
      <c r="AD770" s="524" t="str">
        <f>IF(LANÇ_MOV[[#This Row],[DATA DE LANÇAMENTO]]="","",TEXT(LANÇ_MOV[[#This Row],[DATA DE LANÇAMENTO]],"D"))</f>
        <v/>
      </c>
      <c r="AE770" s="526" t="str">
        <f>IF(LANÇ_MOV[[#This Row],[DATA DE VENCIMENTO]]="","",TEXT(LANÇ_MOV[[#This Row],[DATA DE VENCIMENTO]],"AAAA"))</f>
        <v/>
      </c>
      <c r="AF770" s="526" t="str">
        <f>IF(LANÇ_MOV[[#This Row],[DATA DE VENCIMENTO]]="","",UPPER(TEXT(LANÇ_MOV[[#This Row],[DATA DE VENCIMENTO]],"MMMM")))</f>
        <v/>
      </c>
      <c r="AG770" s="526" t="str">
        <f>IF(LANÇ_MOV[[#This Row],[DATA DE VENCIMENTO]]="","",TEXT(LANÇ_MOV[[#This Row],[DATA DE VENCIMENTO]],"M"))</f>
        <v/>
      </c>
      <c r="AH770" s="526" t="str">
        <f>IF(LANÇ_MOV[[#This Row],[DATA DE VENCIMENTO]]="","",TEXT(LANÇ_MOV[[#This Row],[DATA DE VENCIMENTO]],"D"))</f>
        <v/>
      </c>
      <c r="AI770" s="526" t="str">
        <f>IF(LANÇ_MOV[[#This Row],[DATA DE PAGAMENTO]]="","",TEXT(LANÇ_MOV[[#This Row],[DATA DE PAGAMENTO]],"AAAA"))</f>
        <v/>
      </c>
      <c r="AJ770" s="527" t="str">
        <f>IF(LANÇ_MOV[[#This Row],[DATA DE PAGAMENTO]]="","",UPPER(TEXT(LANÇ_MOV[[#This Row],[DATA DE PAGAMENTO]],"MMMM")))</f>
        <v/>
      </c>
      <c r="AK770" s="527" t="str">
        <f>IF(LANÇ_MOV[[#This Row],[DATA DE PAGAMENTO]]="","",TEXT(LANÇ_MOV[[#This Row],[DATA DE PAGAMENTO]],"M"))</f>
        <v/>
      </c>
      <c r="AL770" s="526" t="str">
        <f>IF(LANÇ_MOV[[#This Row],[DATA DE PAGAMENTO]]="","",TEXT(LANÇ_MOV[[#This Row],[DATA DE PAGAMENTO]],"D"))</f>
        <v/>
      </c>
    </row>
    <row r="771" spans="2:38" ht="30.05" customHeight="1" x14ac:dyDescent="0.35">
      <c r="B771" s="506"/>
      <c r="C771" s="507"/>
      <c r="D771" s="508" t="s">
        <v>1854</v>
      </c>
      <c r="E771" s="509"/>
      <c r="F771" s="510"/>
      <c r="G771" s="507"/>
      <c r="H771" s="511"/>
      <c r="I771" s="512"/>
      <c r="J771" s="518"/>
      <c r="K771" s="510"/>
      <c r="L771" s="510"/>
      <c r="M771" s="548"/>
      <c r="N771" s="514">
        <f>LANÇ_MOV[[#This Row],[VALOR BRUTO]]-LANÇ_MOV[[#This Row],[DESCONTO]]+LANÇ_MOV[[#This Row],[JUROS]]+LANÇ_MOV[[#This Row],[MULTA]]</f>
        <v>0</v>
      </c>
      <c r="O771" s="546"/>
      <c r="P771" s="547" t="str">
        <f t="shared" ca="1" si="12"/>
        <v/>
      </c>
      <c r="Q771" s="528"/>
      <c r="R771" s="529"/>
      <c r="S771" s="518"/>
      <c r="T771" s="518"/>
      <c r="U771" s="519"/>
      <c r="V771" s="520" t="str">
        <f>IFERROR(VLOOKUP(LANÇ_MOV[[#This Row],[PLANO DE CONTAS]],Plano_Contas[[PLANO DE CONTAS]:[R / D]],3,0),"")</f>
        <v/>
      </c>
      <c r="W771" s="521" t="str">
        <f>IF(LANÇ_MOV[[#This Row],[DATA DE PAGAMENTO]]&lt;&gt;"","Pago","Não Pago")</f>
        <v>Não Pago</v>
      </c>
      <c r="X771" s="522" t="str">
        <f>IFERROR(IF(LANÇ_MOV[[#This Row],[DATA DE PAGAMENTO]]="","",(UPPER(TEXT(LANÇ_MOV[[#This Row],[DATA DE PAGAMENTO]],"mmmm")))),"")</f>
        <v/>
      </c>
      <c r="Y771" s="523" t="str">
        <f>IFERROR(VLOOKUP(LANÇ_MOV[[#This Row],[PLANO DE CONTAS]],Plano_Contas[[PLANO DE CONTAS]:[NOMES INTERVALOS]],2,0),"")</f>
        <v/>
      </c>
      <c r="Z771" s="523" t="str">
        <f>IF(LANÇ_MOV[[#This Row],[FORMA DE PAGAMENTO]]="","",VLOOKUP(LANÇ_MOV[[#This Row],[FORMA DE PAGAMENTO]],CAD_Forma_pagto[],2,0))</f>
        <v/>
      </c>
      <c r="AA771" s="524" t="str">
        <f>IF(LANÇ_MOV[[#This Row],[DATA DE LANÇAMENTO]]="","",TEXT(LANÇ_MOV[[#This Row],[DATA DE LANÇAMENTO]],"AAAA"))</f>
        <v/>
      </c>
      <c r="AB771" s="524" t="str">
        <f>IF(LANÇ_MOV[[#This Row],[DATA DE LANÇAMENTO]]="","",UPPER(TEXT(LANÇ_MOV[[#This Row],[DATA DE LANÇAMENTO]],"MMMM")))</f>
        <v/>
      </c>
      <c r="AC771" s="525" t="str">
        <f>IF(LANÇ_MOV[[#This Row],[DATA DE LANÇAMENTO]]="","",PROPER(TEXT(LANÇ_MOV[[#This Row],[DATA DE LANÇAMENTO]],"M")))</f>
        <v/>
      </c>
      <c r="AD771" s="524" t="str">
        <f>IF(LANÇ_MOV[[#This Row],[DATA DE LANÇAMENTO]]="","",TEXT(LANÇ_MOV[[#This Row],[DATA DE LANÇAMENTO]],"D"))</f>
        <v/>
      </c>
      <c r="AE771" s="526" t="str">
        <f>IF(LANÇ_MOV[[#This Row],[DATA DE VENCIMENTO]]="","",TEXT(LANÇ_MOV[[#This Row],[DATA DE VENCIMENTO]],"AAAA"))</f>
        <v/>
      </c>
      <c r="AF771" s="526" t="str">
        <f>IF(LANÇ_MOV[[#This Row],[DATA DE VENCIMENTO]]="","",UPPER(TEXT(LANÇ_MOV[[#This Row],[DATA DE VENCIMENTO]],"MMMM")))</f>
        <v/>
      </c>
      <c r="AG771" s="526" t="str">
        <f>IF(LANÇ_MOV[[#This Row],[DATA DE VENCIMENTO]]="","",TEXT(LANÇ_MOV[[#This Row],[DATA DE VENCIMENTO]],"M"))</f>
        <v/>
      </c>
      <c r="AH771" s="526" t="str">
        <f>IF(LANÇ_MOV[[#This Row],[DATA DE VENCIMENTO]]="","",TEXT(LANÇ_MOV[[#This Row],[DATA DE VENCIMENTO]],"D"))</f>
        <v/>
      </c>
      <c r="AI771" s="526" t="str">
        <f>IF(LANÇ_MOV[[#This Row],[DATA DE PAGAMENTO]]="","",TEXT(LANÇ_MOV[[#This Row],[DATA DE PAGAMENTO]],"AAAA"))</f>
        <v/>
      </c>
      <c r="AJ771" s="527" t="str">
        <f>IF(LANÇ_MOV[[#This Row],[DATA DE PAGAMENTO]]="","",UPPER(TEXT(LANÇ_MOV[[#This Row],[DATA DE PAGAMENTO]],"MMMM")))</f>
        <v/>
      </c>
      <c r="AK771" s="527" t="str">
        <f>IF(LANÇ_MOV[[#This Row],[DATA DE PAGAMENTO]]="","",TEXT(LANÇ_MOV[[#This Row],[DATA DE PAGAMENTO]],"M"))</f>
        <v/>
      </c>
      <c r="AL771" s="526" t="str">
        <f>IF(LANÇ_MOV[[#This Row],[DATA DE PAGAMENTO]]="","",TEXT(LANÇ_MOV[[#This Row],[DATA DE PAGAMENTO]],"D"))</f>
        <v/>
      </c>
    </row>
    <row r="772" spans="2:38" ht="30.05" customHeight="1" x14ac:dyDescent="0.35">
      <c r="B772" s="506"/>
      <c r="C772" s="507"/>
      <c r="D772" s="508" t="s">
        <v>1854</v>
      </c>
      <c r="E772" s="509"/>
      <c r="F772" s="510"/>
      <c r="G772" s="507"/>
      <c r="H772" s="511"/>
      <c r="I772" s="512"/>
      <c r="J772" s="518"/>
      <c r="K772" s="510"/>
      <c r="L772" s="510"/>
      <c r="M772" s="548"/>
      <c r="N772" s="514">
        <f>LANÇ_MOV[[#This Row],[VALOR BRUTO]]-LANÇ_MOV[[#This Row],[DESCONTO]]+LANÇ_MOV[[#This Row],[JUROS]]+LANÇ_MOV[[#This Row],[MULTA]]</f>
        <v>0</v>
      </c>
      <c r="O772" s="546"/>
      <c r="P772" s="547" t="str">
        <f t="shared" ca="1" si="12"/>
        <v/>
      </c>
      <c r="Q772" s="528"/>
      <c r="R772" s="529"/>
      <c r="S772" s="518"/>
      <c r="T772" s="518"/>
      <c r="U772" s="519"/>
      <c r="V772" s="520" t="str">
        <f>IFERROR(VLOOKUP(LANÇ_MOV[[#This Row],[PLANO DE CONTAS]],Plano_Contas[[PLANO DE CONTAS]:[R / D]],3,0),"")</f>
        <v/>
      </c>
      <c r="W772" s="521" t="str">
        <f>IF(LANÇ_MOV[[#This Row],[DATA DE PAGAMENTO]]&lt;&gt;"","Pago","Não Pago")</f>
        <v>Não Pago</v>
      </c>
      <c r="X772" s="522" t="str">
        <f>IFERROR(IF(LANÇ_MOV[[#This Row],[DATA DE PAGAMENTO]]="","",(UPPER(TEXT(LANÇ_MOV[[#This Row],[DATA DE PAGAMENTO]],"mmmm")))),"")</f>
        <v/>
      </c>
      <c r="Y772" s="523" t="str">
        <f>IFERROR(VLOOKUP(LANÇ_MOV[[#This Row],[PLANO DE CONTAS]],Plano_Contas[[PLANO DE CONTAS]:[NOMES INTERVALOS]],2,0),"")</f>
        <v/>
      </c>
      <c r="Z772" s="523" t="str">
        <f>IF(LANÇ_MOV[[#This Row],[FORMA DE PAGAMENTO]]="","",VLOOKUP(LANÇ_MOV[[#This Row],[FORMA DE PAGAMENTO]],CAD_Forma_pagto[],2,0))</f>
        <v/>
      </c>
      <c r="AA772" s="524" t="str">
        <f>IF(LANÇ_MOV[[#This Row],[DATA DE LANÇAMENTO]]="","",TEXT(LANÇ_MOV[[#This Row],[DATA DE LANÇAMENTO]],"AAAA"))</f>
        <v/>
      </c>
      <c r="AB772" s="524" t="str">
        <f>IF(LANÇ_MOV[[#This Row],[DATA DE LANÇAMENTO]]="","",UPPER(TEXT(LANÇ_MOV[[#This Row],[DATA DE LANÇAMENTO]],"MMMM")))</f>
        <v/>
      </c>
      <c r="AC772" s="525" t="str">
        <f>IF(LANÇ_MOV[[#This Row],[DATA DE LANÇAMENTO]]="","",PROPER(TEXT(LANÇ_MOV[[#This Row],[DATA DE LANÇAMENTO]],"M")))</f>
        <v/>
      </c>
      <c r="AD772" s="524" t="str">
        <f>IF(LANÇ_MOV[[#This Row],[DATA DE LANÇAMENTO]]="","",TEXT(LANÇ_MOV[[#This Row],[DATA DE LANÇAMENTO]],"D"))</f>
        <v/>
      </c>
      <c r="AE772" s="526" t="str">
        <f>IF(LANÇ_MOV[[#This Row],[DATA DE VENCIMENTO]]="","",TEXT(LANÇ_MOV[[#This Row],[DATA DE VENCIMENTO]],"AAAA"))</f>
        <v/>
      </c>
      <c r="AF772" s="526" t="str">
        <f>IF(LANÇ_MOV[[#This Row],[DATA DE VENCIMENTO]]="","",UPPER(TEXT(LANÇ_MOV[[#This Row],[DATA DE VENCIMENTO]],"MMMM")))</f>
        <v/>
      </c>
      <c r="AG772" s="526" t="str">
        <f>IF(LANÇ_MOV[[#This Row],[DATA DE VENCIMENTO]]="","",TEXT(LANÇ_MOV[[#This Row],[DATA DE VENCIMENTO]],"M"))</f>
        <v/>
      </c>
      <c r="AH772" s="526" t="str">
        <f>IF(LANÇ_MOV[[#This Row],[DATA DE VENCIMENTO]]="","",TEXT(LANÇ_MOV[[#This Row],[DATA DE VENCIMENTO]],"D"))</f>
        <v/>
      </c>
      <c r="AI772" s="526" t="str">
        <f>IF(LANÇ_MOV[[#This Row],[DATA DE PAGAMENTO]]="","",TEXT(LANÇ_MOV[[#This Row],[DATA DE PAGAMENTO]],"AAAA"))</f>
        <v/>
      </c>
      <c r="AJ772" s="527" t="str">
        <f>IF(LANÇ_MOV[[#This Row],[DATA DE PAGAMENTO]]="","",UPPER(TEXT(LANÇ_MOV[[#This Row],[DATA DE PAGAMENTO]],"MMMM")))</f>
        <v/>
      </c>
      <c r="AK772" s="527" t="str">
        <f>IF(LANÇ_MOV[[#This Row],[DATA DE PAGAMENTO]]="","",TEXT(LANÇ_MOV[[#This Row],[DATA DE PAGAMENTO]],"M"))</f>
        <v/>
      </c>
      <c r="AL772" s="526" t="str">
        <f>IF(LANÇ_MOV[[#This Row],[DATA DE PAGAMENTO]]="","",TEXT(LANÇ_MOV[[#This Row],[DATA DE PAGAMENTO]],"D"))</f>
        <v/>
      </c>
    </row>
    <row r="773" spans="2:38" ht="30.05" customHeight="1" x14ac:dyDescent="0.35">
      <c r="B773" s="506"/>
      <c r="C773" s="507"/>
      <c r="D773" s="508" t="s">
        <v>1854</v>
      </c>
      <c r="E773" s="509"/>
      <c r="F773" s="510"/>
      <c r="G773" s="507"/>
      <c r="H773" s="511"/>
      <c r="I773" s="512"/>
      <c r="J773" s="518"/>
      <c r="K773" s="510"/>
      <c r="L773" s="510"/>
      <c r="M773" s="548"/>
      <c r="N773" s="514">
        <f>LANÇ_MOV[[#This Row],[VALOR BRUTO]]-LANÇ_MOV[[#This Row],[DESCONTO]]+LANÇ_MOV[[#This Row],[JUROS]]+LANÇ_MOV[[#This Row],[MULTA]]</f>
        <v>0</v>
      </c>
      <c r="O773" s="546"/>
      <c r="P773" s="547" t="str">
        <f t="shared" ca="1" si="12"/>
        <v/>
      </c>
      <c r="Q773" s="528"/>
      <c r="R773" s="529"/>
      <c r="S773" s="518"/>
      <c r="T773" s="518"/>
      <c r="U773" s="519"/>
      <c r="V773" s="520" t="str">
        <f>IFERROR(VLOOKUP(LANÇ_MOV[[#This Row],[PLANO DE CONTAS]],Plano_Contas[[PLANO DE CONTAS]:[R / D]],3,0),"")</f>
        <v/>
      </c>
      <c r="W773" s="521" t="str">
        <f>IF(LANÇ_MOV[[#This Row],[DATA DE PAGAMENTO]]&lt;&gt;"","Pago","Não Pago")</f>
        <v>Não Pago</v>
      </c>
      <c r="X773" s="522" t="str">
        <f>IFERROR(IF(LANÇ_MOV[[#This Row],[DATA DE PAGAMENTO]]="","",(UPPER(TEXT(LANÇ_MOV[[#This Row],[DATA DE PAGAMENTO]],"mmmm")))),"")</f>
        <v/>
      </c>
      <c r="Y773" s="523" t="str">
        <f>IFERROR(VLOOKUP(LANÇ_MOV[[#This Row],[PLANO DE CONTAS]],Plano_Contas[[PLANO DE CONTAS]:[NOMES INTERVALOS]],2,0),"")</f>
        <v/>
      </c>
      <c r="Z773" s="523" t="str">
        <f>IF(LANÇ_MOV[[#This Row],[FORMA DE PAGAMENTO]]="","",VLOOKUP(LANÇ_MOV[[#This Row],[FORMA DE PAGAMENTO]],CAD_Forma_pagto[],2,0))</f>
        <v/>
      </c>
      <c r="AA773" s="524" t="str">
        <f>IF(LANÇ_MOV[[#This Row],[DATA DE LANÇAMENTO]]="","",TEXT(LANÇ_MOV[[#This Row],[DATA DE LANÇAMENTO]],"AAAA"))</f>
        <v/>
      </c>
      <c r="AB773" s="524" t="str">
        <f>IF(LANÇ_MOV[[#This Row],[DATA DE LANÇAMENTO]]="","",UPPER(TEXT(LANÇ_MOV[[#This Row],[DATA DE LANÇAMENTO]],"MMMM")))</f>
        <v/>
      </c>
      <c r="AC773" s="525" t="str">
        <f>IF(LANÇ_MOV[[#This Row],[DATA DE LANÇAMENTO]]="","",PROPER(TEXT(LANÇ_MOV[[#This Row],[DATA DE LANÇAMENTO]],"M")))</f>
        <v/>
      </c>
      <c r="AD773" s="524" t="str">
        <f>IF(LANÇ_MOV[[#This Row],[DATA DE LANÇAMENTO]]="","",TEXT(LANÇ_MOV[[#This Row],[DATA DE LANÇAMENTO]],"D"))</f>
        <v/>
      </c>
      <c r="AE773" s="526" t="str">
        <f>IF(LANÇ_MOV[[#This Row],[DATA DE VENCIMENTO]]="","",TEXT(LANÇ_MOV[[#This Row],[DATA DE VENCIMENTO]],"AAAA"))</f>
        <v/>
      </c>
      <c r="AF773" s="526" t="str">
        <f>IF(LANÇ_MOV[[#This Row],[DATA DE VENCIMENTO]]="","",UPPER(TEXT(LANÇ_MOV[[#This Row],[DATA DE VENCIMENTO]],"MMMM")))</f>
        <v/>
      </c>
      <c r="AG773" s="526" t="str">
        <f>IF(LANÇ_MOV[[#This Row],[DATA DE VENCIMENTO]]="","",TEXT(LANÇ_MOV[[#This Row],[DATA DE VENCIMENTO]],"M"))</f>
        <v/>
      </c>
      <c r="AH773" s="526" t="str">
        <f>IF(LANÇ_MOV[[#This Row],[DATA DE VENCIMENTO]]="","",TEXT(LANÇ_MOV[[#This Row],[DATA DE VENCIMENTO]],"D"))</f>
        <v/>
      </c>
      <c r="AI773" s="526" t="str">
        <f>IF(LANÇ_MOV[[#This Row],[DATA DE PAGAMENTO]]="","",TEXT(LANÇ_MOV[[#This Row],[DATA DE PAGAMENTO]],"AAAA"))</f>
        <v/>
      </c>
      <c r="AJ773" s="527" t="str">
        <f>IF(LANÇ_MOV[[#This Row],[DATA DE PAGAMENTO]]="","",UPPER(TEXT(LANÇ_MOV[[#This Row],[DATA DE PAGAMENTO]],"MMMM")))</f>
        <v/>
      </c>
      <c r="AK773" s="527" t="str">
        <f>IF(LANÇ_MOV[[#This Row],[DATA DE PAGAMENTO]]="","",TEXT(LANÇ_MOV[[#This Row],[DATA DE PAGAMENTO]],"M"))</f>
        <v/>
      </c>
      <c r="AL773" s="526" t="str">
        <f>IF(LANÇ_MOV[[#This Row],[DATA DE PAGAMENTO]]="","",TEXT(LANÇ_MOV[[#This Row],[DATA DE PAGAMENTO]],"D"))</f>
        <v/>
      </c>
    </row>
    <row r="774" spans="2:38" ht="30.05" customHeight="1" x14ac:dyDescent="0.35">
      <c r="B774" s="506"/>
      <c r="C774" s="507"/>
      <c r="D774" s="508" t="s">
        <v>1854</v>
      </c>
      <c r="E774" s="509"/>
      <c r="F774" s="510"/>
      <c r="G774" s="507"/>
      <c r="H774" s="511"/>
      <c r="I774" s="512"/>
      <c r="J774" s="518"/>
      <c r="K774" s="510"/>
      <c r="L774" s="510"/>
      <c r="M774" s="548"/>
      <c r="N774" s="514">
        <f>LANÇ_MOV[[#This Row],[VALOR BRUTO]]-LANÇ_MOV[[#This Row],[DESCONTO]]+LANÇ_MOV[[#This Row],[JUROS]]+LANÇ_MOV[[#This Row],[MULTA]]</f>
        <v>0</v>
      </c>
      <c r="O774" s="546"/>
      <c r="P774" s="547" t="str">
        <f t="shared" ca="1" si="12"/>
        <v/>
      </c>
      <c r="Q774" s="528"/>
      <c r="R774" s="529"/>
      <c r="S774" s="518"/>
      <c r="T774" s="518"/>
      <c r="U774" s="519"/>
      <c r="V774" s="520" t="str">
        <f>IFERROR(VLOOKUP(LANÇ_MOV[[#This Row],[PLANO DE CONTAS]],Plano_Contas[[PLANO DE CONTAS]:[R / D]],3,0),"")</f>
        <v/>
      </c>
      <c r="W774" s="521" t="str">
        <f>IF(LANÇ_MOV[[#This Row],[DATA DE PAGAMENTO]]&lt;&gt;"","Pago","Não Pago")</f>
        <v>Não Pago</v>
      </c>
      <c r="X774" s="522" t="str">
        <f>IFERROR(IF(LANÇ_MOV[[#This Row],[DATA DE PAGAMENTO]]="","",(UPPER(TEXT(LANÇ_MOV[[#This Row],[DATA DE PAGAMENTO]],"mmmm")))),"")</f>
        <v/>
      </c>
      <c r="Y774" s="523" t="str">
        <f>IFERROR(VLOOKUP(LANÇ_MOV[[#This Row],[PLANO DE CONTAS]],Plano_Contas[[PLANO DE CONTAS]:[NOMES INTERVALOS]],2,0),"")</f>
        <v/>
      </c>
      <c r="Z774" s="523" t="str">
        <f>IF(LANÇ_MOV[[#This Row],[FORMA DE PAGAMENTO]]="","",VLOOKUP(LANÇ_MOV[[#This Row],[FORMA DE PAGAMENTO]],CAD_Forma_pagto[],2,0))</f>
        <v/>
      </c>
      <c r="AA774" s="524" t="str">
        <f>IF(LANÇ_MOV[[#This Row],[DATA DE LANÇAMENTO]]="","",TEXT(LANÇ_MOV[[#This Row],[DATA DE LANÇAMENTO]],"AAAA"))</f>
        <v/>
      </c>
      <c r="AB774" s="524" t="str">
        <f>IF(LANÇ_MOV[[#This Row],[DATA DE LANÇAMENTO]]="","",UPPER(TEXT(LANÇ_MOV[[#This Row],[DATA DE LANÇAMENTO]],"MMMM")))</f>
        <v/>
      </c>
      <c r="AC774" s="525" t="str">
        <f>IF(LANÇ_MOV[[#This Row],[DATA DE LANÇAMENTO]]="","",PROPER(TEXT(LANÇ_MOV[[#This Row],[DATA DE LANÇAMENTO]],"M")))</f>
        <v/>
      </c>
      <c r="AD774" s="524" t="str">
        <f>IF(LANÇ_MOV[[#This Row],[DATA DE LANÇAMENTO]]="","",TEXT(LANÇ_MOV[[#This Row],[DATA DE LANÇAMENTO]],"D"))</f>
        <v/>
      </c>
      <c r="AE774" s="526" t="str">
        <f>IF(LANÇ_MOV[[#This Row],[DATA DE VENCIMENTO]]="","",TEXT(LANÇ_MOV[[#This Row],[DATA DE VENCIMENTO]],"AAAA"))</f>
        <v/>
      </c>
      <c r="AF774" s="526" t="str">
        <f>IF(LANÇ_MOV[[#This Row],[DATA DE VENCIMENTO]]="","",UPPER(TEXT(LANÇ_MOV[[#This Row],[DATA DE VENCIMENTO]],"MMMM")))</f>
        <v/>
      </c>
      <c r="AG774" s="526" t="str">
        <f>IF(LANÇ_MOV[[#This Row],[DATA DE VENCIMENTO]]="","",TEXT(LANÇ_MOV[[#This Row],[DATA DE VENCIMENTO]],"M"))</f>
        <v/>
      </c>
      <c r="AH774" s="526" t="str">
        <f>IF(LANÇ_MOV[[#This Row],[DATA DE VENCIMENTO]]="","",TEXT(LANÇ_MOV[[#This Row],[DATA DE VENCIMENTO]],"D"))</f>
        <v/>
      </c>
      <c r="AI774" s="526" t="str">
        <f>IF(LANÇ_MOV[[#This Row],[DATA DE PAGAMENTO]]="","",TEXT(LANÇ_MOV[[#This Row],[DATA DE PAGAMENTO]],"AAAA"))</f>
        <v/>
      </c>
      <c r="AJ774" s="527" t="str">
        <f>IF(LANÇ_MOV[[#This Row],[DATA DE PAGAMENTO]]="","",UPPER(TEXT(LANÇ_MOV[[#This Row],[DATA DE PAGAMENTO]],"MMMM")))</f>
        <v/>
      </c>
      <c r="AK774" s="527" t="str">
        <f>IF(LANÇ_MOV[[#This Row],[DATA DE PAGAMENTO]]="","",TEXT(LANÇ_MOV[[#This Row],[DATA DE PAGAMENTO]],"M"))</f>
        <v/>
      </c>
      <c r="AL774" s="526" t="str">
        <f>IF(LANÇ_MOV[[#This Row],[DATA DE PAGAMENTO]]="","",TEXT(LANÇ_MOV[[#This Row],[DATA DE PAGAMENTO]],"D"))</f>
        <v/>
      </c>
    </row>
    <row r="775" spans="2:38" ht="30.05" customHeight="1" x14ac:dyDescent="0.35">
      <c r="B775" s="506"/>
      <c r="C775" s="507"/>
      <c r="D775" s="508" t="s">
        <v>1854</v>
      </c>
      <c r="E775" s="509"/>
      <c r="F775" s="510"/>
      <c r="G775" s="507"/>
      <c r="H775" s="511"/>
      <c r="I775" s="512"/>
      <c r="J775" s="518"/>
      <c r="K775" s="510"/>
      <c r="L775" s="510"/>
      <c r="M775" s="548"/>
      <c r="N775" s="514">
        <f>LANÇ_MOV[[#This Row],[VALOR BRUTO]]-LANÇ_MOV[[#This Row],[DESCONTO]]+LANÇ_MOV[[#This Row],[JUROS]]+LANÇ_MOV[[#This Row],[MULTA]]</f>
        <v>0</v>
      </c>
      <c r="O775" s="546"/>
      <c r="P775" s="547" t="str">
        <f t="shared" ca="1" si="12"/>
        <v/>
      </c>
      <c r="Q775" s="528"/>
      <c r="R775" s="529"/>
      <c r="S775" s="518"/>
      <c r="T775" s="518"/>
      <c r="U775" s="519"/>
      <c r="V775" s="520" t="str">
        <f>IFERROR(VLOOKUP(LANÇ_MOV[[#This Row],[PLANO DE CONTAS]],Plano_Contas[[PLANO DE CONTAS]:[R / D]],3,0),"")</f>
        <v/>
      </c>
      <c r="W775" s="521" t="str">
        <f>IF(LANÇ_MOV[[#This Row],[DATA DE PAGAMENTO]]&lt;&gt;"","Pago","Não Pago")</f>
        <v>Não Pago</v>
      </c>
      <c r="X775" s="522" t="str">
        <f>IFERROR(IF(LANÇ_MOV[[#This Row],[DATA DE PAGAMENTO]]="","",(UPPER(TEXT(LANÇ_MOV[[#This Row],[DATA DE PAGAMENTO]],"mmmm")))),"")</f>
        <v/>
      </c>
      <c r="Y775" s="523" t="str">
        <f>IFERROR(VLOOKUP(LANÇ_MOV[[#This Row],[PLANO DE CONTAS]],Plano_Contas[[PLANO DE CONTAS]:[NOMES INTERVALOS]],2,0),"")</f>
        <v/>
      </c>
      <c r="Z775" s="523" t="str">
        <f>IF(LANÇ_MOV[[#This Row],[FORMA DE PAGAMENTO]]="","",VLOOKUP(LANÇ_MOV[[#This Row],[FORMA DE PAGAMENTO]],CAD_Forma_pagto[],2,0))</f>
        <v/>
      </c>
      <c r="AA775" s="524" t="str">
        <f>IF(LANÇ_MOV[[#This Row],[DATA DE LANÇAMENTO]]="","",TEXT(LANÇ_MOV[[#This Row],[DATA DE LANÇAMENTO]],"AAAA"))</f>
        <v/>
      </c>
      <c r="AB775" s="524" t="str">
        <f>IF(LANÇ_MOV[[#This Row],[DATA DE LANÇAMENTO]]="","",UPPER(TEXT(LANÇ_MOV[[#This Row],[DATA DE LANÇAMENTO]],"MMMM")))</f>
        <v/>
      </c>
      <c r="AC775" s="525" t="str">
        <f>IF(LANÇ_MOV[[#This Row],[DATA DE LANÇAMENTO]]="","",PROPER(TEXT(LANÇ_MOV[[#This Row],[DATA DE LANÇAMENTO]],"M")))</f>
        <v/>
      </c>
      <c r="AD775" s="524" t="str">
        <f>IF(LANÇ_MOV[[#This Row],[DATA DE LANÇAMENTO]]="","",TEXT(LANÇ_MOV[[#This Row],[DATA DE LANÇAMENTO]],"D"))</f>
        <v/>
      </c>
      <c r="AE775" s="526" t="str">
        <f>IF(LANÇ_MOV[[#This Row],[DATA DE VENCIMENTO]]="","",TEXT(LANÇ_MOV[[#This Row],[DATA DE VENCIMENTO]],"AAAA"))</f>
        <v/>
      </c>
      <c r="AF775" s="526" t="str">
        <f>IF(LANÇ_MOV[[#This Row],[DATA DE VENCIMENTO]]="","",UPPER(TEXT(LANÇ_MOV[[#This Row],[DATA DE VENCIMENTO]],"MMMM")))</f>
        <v/>
      </c>
      <c r="AG775" s="526" t="str">
        <f>IF(LANÇ_MOV[[#This Row],[DATA DE VENCIMENTO]]="","",TEXT(LANÇ_MOV[[#This Row],[DATA DE VENCIMENTO]],"M"))</f>
        <v/>
      </c>
      <c r="AH775" s="526" t="str">
        <f>IF(LANÇ_MOV[[#This Row],[DATA DE VENCIMENTO]]="","",TEXT(LANÇ_MOV[[#This Row],[DATA DE VENCIMENTO]],"D"))</f>
        <v/>
      </c>
      <c r="AI775" s="526" t="str">
        <f>IF(LANÇ_MOV[[#This Row],[DATA DE PAGAMENTO]]="","",TEXT(LANÇ_MOV[[#This Row],[DATA DE PAGAMENTO]],"AAAA"))</f>
        <v/>
      </c>
      <c r="AJ775" s="527" t="str">
        <f>IF(LANÇ_MOV[[#This Row],[DATA DE PAGAMENTO]]="","",UPPER(TEXT(LANÇ_MOV[[#This Row],[DATA DE PAGAMENTO]],"MMMM")))</f>
        <v/>
      </c>
      <c r="AK775" s="527" t="str">
        <f>IF(LANÇ_MOV[[#This Row],[DATA DE PAGAMENTO]]="","",TEXT(LANÇ_MOV[[#This Row],[DATA DE PAGAMENTO]],"M"))</f>
        <v/>
      </c>
      <c r="AL775" s="526" t="str">
        <f>IF(LANÇ_MOV[[#This Row],[DATA DE PAGAMENTO]]="","",TEXT(LANÇ_MOV[[#This Row],[DATA DE PAGAMENTO]],"D"))</f>
        <v/>
      </c>
    </row>
    <row r="776" spans="2:38" ht="30.05" customHeight="1" x14ac:dyDescent="0.35">
      <c r="B776" s="506"/>
      <c r="C776" s="507"/>
      <c r="D776" s="508" t="s">
        <v>1854</v>
      </c>
      <c r="E776" s="509"/>
      <c r="F776" s="510"/>
      <c r="G776" s="507"/>
      <c r="H776" s="511"/>
      <c r="I776" s="512"/>
      <c r="J776" s="518"/>
      <c r="K776" s="510"/>
      <c r="L776" s="510"/>
      <c r="M776" s="548"/>
      <c r="N776" s="514">
        <f>LANÇ_MOV[[#This Row],[VALOR BRUTO]]-LANÇ_MOV[[#This Row],[DESCONTO]]+LANÇ_MOV[[#This Row],[JUROS]]+LANÇ_MOV[[#This Row],[MULTA]]</f>
        <v>0</v>
      </c>
      <c r="O776" s="546"/>
      <c r="P776" s="547" t="str">
        <f t="shared" ca="1" si="12"/>
        <v/>
      </c>
      <c r="Q776" s="528"/>
      <c r="R776" s="529"/>
      <c r="S776" s="518"/>
      <c r="T776" s="518"/>
      <c r="U776" s="519"/>
      <c r="V776" s="520" t="str">
        <f>IFERROR(VLOOKUP(LANÇ_MOV[[#This Row],[PLANO DE CONTAS]],Plano_Contas[[PLANO DE CONTAS]:[R / D]],3,0),"")</f>
        <v/>
      </c>
      <c r="W776" s="521" t="str">
        <f>IF(LANÇ_MOV[[#This Row],[DATA DE PAGAMENTO]]&lt;&gt;"","Pago","Não Pago")</f>
        <v>Não Pago</v>
      </c>
      <c r="X776" s="522" t="str">
        <f>IFERROR(IF(LANÇ_MOV[[#This Row],[DATA DE PAGAMENTO]]="","",(UPPER(TEXT(LANÇ_MOV[[#This Row],[DATA DE PAGAMENTO]],"mmmm")))),"")</f>
        <v/>
      </c>
      <c r="Y776" s="523" t="str">
        <f>IFERROR(VLOOKUP(LANÇ_MOV[[#This Row],[PLANO DE CONTAS]],Plano_Contas[[PLANO DE CONTAS]:[NOMES INTERVALOS]],2,0),"")</f>
        <v/>
      </c>
      <c r="Z776" s="523" t="str">
        <f>IF(LANÇ_MOV[[#This Row],[FORMA DE PAGAMENTO]]="","",VLOOKUP(LANÇ_MOV[[#This Row],[FORMA DE PAGAMENTO]],CAD_Forma_pagto[],2,0))</f>
        <v/>
      </c>
      <c r="AA776" s="524" t="str">
        <f>IF(LANÇ_MOV[[#This Row],[DATA DE LANÇAMENTO]]="","",TEXT(LANÇ_MOV[[#This Row],[DATA DE LANÇAMENTO]],"AAAA"))</f>
        <v/>
      </c>
      <c r="AB776" s="524" t="str">
        <f>IF(LANÇ_MOV[[#This Row],[DATA DE LANÇAMENTO]]="","",UPPER(TEXT(LANÇ_MOV[[#This Row],[DATA DE LANÇAMENTO]],"MMMM")))</f>
        <v/>
      </c>
      <c r="AC776" s="525" t="str">
        <f>IF(LANÇ_MOV[[#This Row],[DATA DE LANÇAMENTO]]="","",PROPER(TEXT(LANÇ_MOV[[#This Row],[DATA DE LANÇAMENTO]],"M")))</f>
        <v/>
      </c>
      <c r="AD776" s="524" t="str">
        <f>IF(LANÇ_MOV[[#This Row],[DATA DE LANÇAMENTO]]="","",TEXT(LANÇ_MOV[[#This Row],[DATA DE LANÇAMENTO]],"D"))</f>
        <v/>
      </c>
      <c r="AE776" s="526" t="str">
        <f>IF(LANÇ_MOV[[#This Row],[DATA DE VENCIMENTO]]="","",TEXT(LANÇ_MOV[[#This Row],[DATA DE VENCIMENTO]],"AAAA"))</f>
        <v/>
      </c>
      <c r="AF776" s="526" t="str">
        <f>IF(LANÇ_MOV[[#This Row],[DATA DE VENCIMENTO]]="","",UPPER(TEXT(LANÇ_MOV[[#This Row],[DATA DE VENCIMENTO]],"MMMM")))</f>
        <v/>
      </c>
      <c r="AG776" s="526" t="str">
        <f>IF(LANÇ_MOV[[#This Row],[DATA DE VENCIMENTO]]="","",TEXT(LANÇ_MOV[[#This Row],[DATA DE VENCIMENTO]],"M"))</f>
        <v/>
      </c>
      <c r="AH776" s="526" t="str">
        <f>IF(LANÇ_MOV[[#This Row],[DATA DE VENCIMENTO]]="","",TEXT(LANÇ_MOV[[#This Row],[DATA DE VENCIMENTO]],"D"))</f>
        <v/>
      </c>
      <c r="AI776" s="526" t="str">
        <f>IF(LANÇ_MOV[[#This Row],[DATA DE PAGAMENTO]]="","",TEXT(LANÇ_MOV[[#This Row],[DATA DE PAGAMENTO]],"AAAA"))</f>
        <v/>
      </c>
      <c r="AJ776" s="527" t="str">
        <f>IF(LANÇ_MOV[[#This Row],[DATA DE PAGAMENTO]]="","",UPPER(TEXT(LANÇ_MOV[[#This Row],[DATA DE PAGAMENTO]],"MMMM")))</f>
        <v/>
      </c>
      <c r="AK776" s="527" t="str">
        <f>IF(LANÇ_MOV[[#This Row],[DATA DE PAGAMENTO]]="","",TEXT(LANÇ_MOV[[#This Row],[DATA DE PAGAMENTO]],"M"))</f>
        <v/>
      </c>
      <c r="AL776" s="526" t="str">
        <f>IF(LANÇ_MOV[[#This Row],[DATA DE PAGAMENTO]]="","",TEXT(LANÇ_MOV[[#This Row],[DATA DE PAGAMENTO]],"D"))</f>
        <v/>
      </c>
    </row>
    <row r="777" spans="2:38" ht="30.05" customHeight="1" x14ac:dyDescent="0.35">
      <c r="B777" s="506"/>
      <c r="C777" s="507"/>
      <c r="D777" s="508" t="s">
        <v>1854</v>
      </c>
      <c r="E777" s="509"/>
      <c r="F777" s="510"/>
      <c r="G777" s="507"/>
      <c r="H777" s="511"/>
      <c r="I777" s="512"/>
      <c r="J777" s="518"/>
      <c r="K777" s="510"/>
      <c r="L777" s="510"/>
      <c r="M777" s="548"/>
      <c r="N777" s="514">
        <f>LANÇ_MOV[[#This Row],[VALOR BRUTO]]-LANÇ_MOV[[#This Row],[DESCONTO]]+LANÇ_MOV[[#This Row],[JUROS]]+LANÇ_MOV[[#This Row],[MULTA]]</f>
        <v>0</v>
      </c>
      <c r="O777" s="546"/>
      <c r="P777" s="547" t="str">
        <f t="shared" ca="1" si="12"/>
        <v/>
      </c>
      <c r="Q777" s="528"/>
      <c r="R777" s="529"/>
      <c r="S777" s="518"/>
      <c r="T777" s="518"/>
      <c r="U777" s="519"/>
      <c r="V777" s="520" t="str">
        <f>IFERROR(VLOOKUP(LANÇ_MOV[[#This Row],[PLANO DE CONTAS]],Plano_Contas[[PLANO DE CONTAS]:[R / D]],3,0),"")</f>
        <v/>
      </c>
      <c r="W777" s="521" t="str">
        <f>IF(LANÇ_MOV[[#This Row],[DATA DE PAGAMENTO]]&lt;&gt;"","Pago","Não Pago")</f>
        <v>Não Pago</v>
      </c>
      <c r="X777" s="522" t="str">
        <f>IFERROR(IF(LANÇ_MOV[[#This Row],[DATA DE PAGAMENTO]]="","",(UPPER(TEXT(LANÇ_MOV[[#This Row],[DATA DE PAGAMENTO]],"mmmm")))),"")</f>
        <v/>
      </c>
      <c r="Y777" s="523" t="str">
        <f>IFERROR(VLOOKUP(LANÇ_MOV[[#This Row],[PLANO DE CONTAS]],Plano_Contas[[PLANO DE CONTAS]:[NOMES INTERVALOS]],2,0),"")</f>
        <v/>
      </c>
      <c r="Z777" s="523" t="str">
        <f>IF(LANÇ_MOV[[#This Row],[FORMA DE PAGAMENTO]]="","",VLOOKUP(LANÇ_MOV[[#This Row],[FORMA DE PAGAMENTO]],CAD_Forma_pagto[],2,0))</f>
        <v/>
      </c>
      <c r="AA777" s="524" t="str">
        <f>IF(LANÇ_MOV[[#This Row],[DATA DE LANÇAMENTO]]="","",TEXT(LANÇ_MOV[[#This Row],[DATA DE LANÇAMENTO]],"AAAA"))</f>
        <v/>
      </c>
      <c r="AB777" s="524" t="str">
        <f>IF(LANÇ_MOV[[#This Row],[DATA DE LANÇAMENTO]]="","",UPPER(TEXT(LANÇ_MOV[[#This Row],[DATA DE LANÇAMENTO]],"MMMM")))</f>
        <v/>
      </c>
      <c r="AC777" s="525" t="str">
        <f>IF(LANÇ_MOV[[#This Row],[DATA DE LANÇAMENTO]]="","",PROPER(TEXT(LANÇ_MOV[[#This Row],[DATA DE LANÇAMENTO]],"M")))</f>
        <v/>
      </c>
      <c r="AD777" s="524" t="str">
        <f>IF(LANÇ_MOV[[#This Row],[DATA DE LANÇAMENTO]]="","",TEXT(LANÇ_MOV[[#This Row],[DATA DE LANÇAMENTO]],"D"))</f>
        <v/>
      </c>
      <c r="AE777" s="526" t="str">
        <f>IF(LANÇ_MOV[[#This Row],[DATA DE VENCIMENTO]]="","",TEXT(LANÇ_MOV[[#This Row],[DATA DE VENCIMENTO]],"AAAA"))</f>
        <v/>
      </c>
      <c r="AF777" s="526" t="str">
        <f>IF(LANÇ_MOV[[#This Row],[DATA DE VENCIMENTO]]="","",UPPER(TEXT(LANÇ_MOV[[#This Row],[DATA DE VENCIMENTO]],"MMMM")))</f>
        <v/>
      </c>
      <c r="AG777" s="526" t="str">
        <f>IF(LANÇ_MOV[[#This Row],[DATA DE VENCIMENTO]]="","",TEXT(LANÇ_MOV[[#This Row],[DATA DE VENCIMENTO]],"M"))</f>
        <v/>
      </c>
      <c r="AH777" s="526" t="str">
        <f>IF(LANÇ_MOV[[#This Row],[DATA DE VENCIMENTO]]="","",TEXT(LANÇ_MOV[[#This Row],[DATA DE VENCIMENTO]],"D"))</f>
        <v/>
      </c>
      <c r="AI777" s="526" t="str">
        <f>IF(LANÇ_MOV[[#This Row],[DATA DE PAGAMENTO]]="","",TEXT(LANÇ_MOV[[#This Row],[DATA DE PAGAMENTO]],"AAAA"))</f>
        <v/>
      </c>
      <c r="AJ777" s="527" t="str">
        <f>IF(LANÇ_MOV[[#This Row],[DATA DE PAGAMENTO]]="","",UPPER(TEXT(LANÇ_MOV[[#This Row],[DATA DE PAGAMENTO]],"MMMM")))</f>
        <v/>
      </c>
      <c r="AK777" s="527" t="str">
        <f>IF(LANÇ_MOV[[#This Row],[DATA DE PAGAMENTO]]="","",TEXT(LANÇ_MOV[[#This Row],[DATA DE PAGAMENTO]],"M"))</f>
        <v/>
      </c>
      <c r="AL777" s="526" t="str">
        <f>IF(LANÇ_MOV[[#This Row],[DATA DE PAGAMENTO]]="","",TEXT(LANÇ_MOV[[#This Row],[DATA DE PAGAMENTO]],"D"))</f>
        <v/>
      </c>
    </row>
    <row r="778" spans="2:38" ht="30.05" customHeight="1" x14ac:dyDescent="0.35">
      <c r="B778" s="506"/>
      <c r="C778" s="507"/>
      <c r="D778" s="508" t="s">
        <v>1854</v>
      </c>
      <c r="E778" s="509"/>
      <c r="F778" s="510"/>
      <c r="G778" s="507"/>
      <c r="H778" s="511"/>
      <c r="I778" s="512"/>
      <c r="J778" s="518"/>
      <c r="K778" s="510"/>
      <c r="L778" s="510"/>
      <c r="M778" s="548"/>
      <c r="N778" s="514">
        <f>LANÇ_MOV[[#This Row],[VALOR BRUTO]]-LANÇ_MOV[[#This Row],[DESCONTO]]+LANÇ_MOV[[#This Row],[JUROS]]+LANÇ_MOV[[#This Row],[MULTA]]</f>
        <v>0</v>
      </c>
      <c r="O778" s="546"/>
      <c r="P778" s="547" t="str">
        <f t="shared" ca="1" si="12"/>
        <v/>
      </c>
      <c r="Q778" s="528"/>
      <c r="R778" s="529"/>
      <c r="S778" s="518"/>
      <c r="T778" s="518"/>
      <c r="U778" s="519"/>
      <c r="V778" s="520" t="str">
        <f>IFERROR(VLOOKUP(LANÇ_MOV[[#This Row],[PLANO DE CONTAS]],Plano_Contas[[PLANO DE CONTAS]:[R / D]],3,0),"")</f>
        <v/>
      </c>
      <c r="W778" s="521" t="str">
        <f>IF(LANÇ_MOV[[#This Row],[DATA DE PAGAMENTO]]&lt;&gt;"","Pago","Não Pago")</f>
        <v>Não Pago</v>
      </c>
      <c r="X778" s="522" t="str">
        <f>IFERROR(IF(LANÇ_MOV[[#This Row],[DATA DE PAGAMENTO]]="","",(UPPER(TEXT(LANÇ_MOV[[#This Row],[DATA DE PAGAMENTO]],"mmmm")))),"")</f>
        <v/>
      </c>
      <c r="Y778" s="523" t="str">
        <f>IFERROR(VLOOKUP(LANÇ_MOV[[#This Row],[PLANO DE CONTAS]],Plano_Contas[[PLANO DE CONTAS]:[NOMES INTERVALOS]],2,0),"")</f>
        <v/>
      </c>
      <c r="Z778" s="523" t="str">
        <f>IF(LANÇ_MOV[[#This Row],[FORMA DE PAGAMENTO]]="","",VLOOKUP(LANÇ_MOV[[#This Row],[FORMA DE PAGAMENTO]],CAD_Forma_pagto[],2,0))</f>
        <v/>
      </c>
      <c r="AA778" s="524" t="str">
        <f>IF(LANÇ_MOV[[#This Row],[DATA DE LANÇAMENTO]]="","",TEXT(LANÇ_MOV[[#This Row],[DATA DE LANÇAMENTO]],"AAAA"))</f>
        <v/>
      </c>
      <c r="AB778" s="524" t="str">
        <f>IF(LANÇ_MOV[[#This Row],[DATA DE LANÇAMENTO]]="","",UPPER(TEXT(LANÇ_MOV[[#This Row],[DATA DE LANÇAMENTO]],"MMMM")))</f>
        <v/>
      </c>
      <c r="AC778" s="525" t="str">
        <f>IF(LANÇ_MOV[[#This Row],[DATA DE LANÇAMENTO]]="","",PROPER(TEXT(LANÇ_MOV[[#This Row],[DATA DE LANÇAMENTO]],"M")))</f>
        <v/>
      </c>
      <c r="AD778" s="524" t="str">
        <f>IF(LANÇ_MOV[[#This Row],[DATA DE LANÇAMENTO]]="","",TEXT(LANÇ_MOV[[#This Row],[DATA DE LANÇAMENTO]],"D"))</f>
        <v/>
      </c>
      <c r="AE778" s="526" t="str">
        <f>IF(LANÇ_MOV[[#This Row],[DATA DE VENCIMENTO]]="","",TEXT(LANÇ_MOV[[#This Row],[DATA DE VENCIMENTO]],"AAAA"))</f>
        <v/>
      </c>
      <c r="AF778" s="526" t="str">
        <f>IF(LANÇ_MOV[[#This Row],[DATA DE VENCIMENTO]]="","",UPPER(TEXT(LANÇ_MOV[[#This Row],[DATA DE VENCIMENTO]],"MMMM")))</f>
        <v/>
      </c>
      <c r="AG778" s="526" t="str">
        <f>IF(LANÇ_MOV[[#This Row],[DATA DE VENCIMENTO]]="","",TEXT(LANÇ_MOV[[#This Row],[DATA DE VENCIMENTO]],"M"))</f>
        <v/>
      </c>
      <c r="AH778" s="526" t="str">
        <f>IF(LANÇ_MOV[[#This Row],[DATA DE VENCIMENTO]]="","",TEXT(LANÇ_MOV[[#This Row],[DATA DE VENCIMENTO]],"D"))</f>
        <v/>
      </c>
      <c r="AI778" s="526" t="str">
        <f>IF(LANÇ_MOV[[#This Row],[DATA DE PAGAMENTO]]="","",TEXT(LANÇ_MOV[[#This Row],[DATA DE PAGAMENTO]],"AAAA"))</f>
        <v/>
      </c>
      <c r="AJ778" s="527" t="str">
        <f>IF(LANÇ_MOV[[#This Row],[DATA DE PAGAMENTO]]="","",UPPER(TEXT(LANÇ_MOV[[#This Row],[DATA DE PAGAMENTO]],"MMMM")))</f>
        <v/>
      </c>
      <c r="AK778" s="527" t="str">
        <f>IF(LANÇ_MOV[[#This Row],[DATA DE PAGAMENTO]]="","",TEXT(LANÇ_MOV[[#This Row],[DATA DE PAGAMENTO]],"M"))</f>
        <v/>
      </c>
      <c r="AL778" s="526" t="str">
        <f>IF(LANÇ_MOV[[#This Row],[DATA DE PAGAMENTO]]="","",TEXT(LANÇ_MOV[[#This Row],[DATA DE PAGAMENTO]],"D"))</f>
        <v/>
      </c>
    </row>
    <row r="779" spans="2:38" ht="30.05" customHeight="1" x14ac:dyDescent="0.35">
      <c r="B779" s="506"/>
      <c r="C779" s="507"/>
      <c r="D779" s="508" t="s">
        <v>1854</v>
      </c>
      <c r="E779" s="509"/>
      <c r="F779" s="510"/>
      <c r="G779" s="507"/>
      <c r="H779" s="511"/>
      <c r="I779" s="512"/>
      <c r="J779" s="518"/>
      <c r="K779" s="510"/>
      <c r="L779" s="510"/>
      <c r="M779" s="548"/>
      <c r="N779" s="514">
        <f>LANÇ_MOV[[#This Row],[VALOR BRUTO]]-LANÇ_MOV[[#This Row],[DESCONTO]]+LANÇ_MOV[[#This Row],[JUROS]]+LANÇ_MOV[[#This Row],[MULTA]]</f>
        <v>0</v>
      </c>
      <c r="O779" s="546"/>
      <c r="P779" s="547" t="str">
        <f t="shared" ca="1" si="12"/>
        <v/>
      </c>
      <c r="Q779" s="528"/>
      <c r="R779" s="529"/>
      <c r="S779" s="518"/>
      <c r="T779" s="518"/>
      <c r="U779" s="519"/>
      <c r="V779" s="520" t="str">
        <f>IFERROR(VLOOKUP(LANÇ_MOV[[#This Row],[PLANO DE CONTAS]],Plano_Contas[[PLANO DE CONTAS]:[R / D]],3,0),"")</f>
        <v/>
      </c>
      <c r="W779" s="521" t="str">
        <f>IF(LANÇ_MOV[[#This Row],[DATA DE PAGAMENTO]]&lt;&gt;"","Pago","Não Pago")</f>
        <v>Não Pago</v>
      </c>
      <c r="X779" s="522" t="str">
        <f>IFERROR(IF(LANÇ_MOV[[#This Row],[DATA DE PAGAMENTO]]="","",(UPPER(TEXT(LANÇ_MOV[[#This Row],[DATA DE PAGAMENTO]],"mmmm")))),"")</f>
        <v/>
      </c>
      <c r="Y779" s="523" t="str">
        <f>IFERROR(VLOOKUP(LANÇ_MOV[[#This Row],[PLANO DE CONTAS]],Plano_Contas[[PLANO DE CONTAS]:[NOMES INTERVALOS]],2,0),"")</f>
        <v/>
      </c>
      <c r="Z779" s="523" t="str">
        <f>IF(LANÇ_MOV[[#This Row],[FORMA DE PAGAMENTO]]="","",VLOOKUP(LANÇ_MOV[[#This Row],[FORMA DE PAGAMENTO]],CAD_Forma_pagto[],2,0))</f>
        <v/>
      </c>
      <c r="AA779" s="524" t="str">
        <f>IF(LANÇ_MOV[[#This Row],[DATA DE LANÇAMENTO]]="","",TEXT(LANÇ_MOV[[#This Row],[DATA DE LANÇAMENTO]],"AAAA"))</f>
        <v/>
      </c>
      <c r="AB779" s="524" t="str">
        <f>IF(LANÇ_MOV[[#This Row],[DATA DE LANÇAMENTO]]="","",UPPER(TEXT(LANÇ_MOV[[#This Row],[DATA DE LANÇAMENTO]],"MMMM")))</f>
        <v/>
      </c>
      <c r="AC779" s="525" t="str">
        <f>IF(LANÇ_MOV[[#This Row],[DATA DE LANÇAMENTO]]="","",PROPER(TEXT(LANÇ_MOV[[#This Row],[DATA DE LANÇAMENTO]],"M")))</f>
        <v/>
      </c>
      <c r="AD779" s="524" t="str">
        <f>IF(LANÇ_MOV[[#This Row],[DATA DE LANÇAMENTO]]="","",TEXT(LANÇ_MOV[[#This Row],[DATA DE LANÇAMENTO]],"D"))</f>
        <v/>
      </c>
      <c r="AE779" s="526" t="str">
        <f>IF(LANÇ_MOV[[#This Row],[DATA DE VENCIMENTO]]="","",TEXT(LANÇ_MOV[[#This Row],[DATA DE VENCIMENTO]],"AAAA"))</f>
        <v/>
      </c>
      <c r="AF779" s="526" t="str">
        <f>IF(LANÇ_MOV[[#This Row],[DATA DE VENCIMENTO]]="","",UPPER(TEXT(LANÇ_MOV[[#This Row],[DATA DE VENCIMENTO]],"MMMM")))</f>
        <v/>
      </c>
      <c r="AG779" s="526" t="str">
        <f>IF(LANÇ_MOV[[#This Row],[DATA DE VENCIMENTO]]="","",TEXT(LANÇ_MOV[[#This Row],[DATA DE VENCIMENTO]],"M"))</f>
        <v/>
      </c>
      <c r="AH779" s="526" t="str">
        <f>IF(LANÇ_MOV[[#This Row],[DATA DE VENCIMENTO]]="","",TEXT(LANÇ_MOV[[#This Row],[DATA DE VENCIMENTO]],"D"))</f>
        <v/>
      </c>
      <c r="AI779" s="526" t="str">
        <f>IF(LANÇ_MOV[[#This Row],[DATA DE PAGAMENTO]]="","",TEXT(LANÇ_MOV[[#This Row],[DATA DE PAGAMENTO]],"AAAA"))</f>
        <v/>
      </c>
      <c r="AJ779" s="527" t="str">
        <f>IF(LANÇ_MOV[[#This Row],[DATA DE PAGAMENTO]]="","",UPPER(TEXT(LANÇ_MOV[[#This Row],[DATA DE PAGAMENTO]],"MMMM")))</f>
        <v/>
      </c>
      <c r="AK779" s="527" t="str">
        <f>IF(LANÇ_MOV[[#This Row],[DATA DE PAGAMENTO]]="","",TEXT(LANÇ_MOV[[#This Row],[DATA DE PAGAMENTO]],"M"))</f>
        <v/>
      </c>
      <c r="AL779" s="526" t="str">
        <f>IF(LANÇ_MOV[[#This Row],[DATA DE PAGAMENTO]]="","",TEXT(LANÇ_MOV[[#This Row],[DATA DE PAGAMENTO]],"D"))</f>
        <v/>
      </c>
    </row>
    <row r="780" spans="2:38" ht="30.05" customHeight="1" x14ac:dyDescent="0.35">
      <c r="B780" s="506"/>
      <c r="C780" s="507"/>
      <c r="D780" s="508" t="s">
        <v>1854</v>
      </c>
      <c r="E780" s="509"/>
      <c r="F780" s="510"/>
      <c r="G780" s="507"/>
      <c r="H780" s="511"/>
      <c r="I780" s="512"/>
      <c r="J780" s="518"/>
      <c r="K780" s="510"/>
      <c r="L780" s="510"/>
      <c r="M780" s="548"/>
      <c r="N780" s="514">
        <f>LANÇ_MOV[[#This Row],[VALOR BRUTO]]-LANÇ_MOV[[#This Row],[DESCONTO]]+LANÇ_MOV[[#This Row],[JUROS]]+LANÇ_MOV[[#This Row],[MULTA]]</f>
        <v>0</v>
      </c>
      <c r="O780" s="546"/>
      <c r="P780" s="547" t="str">
        <f t="shared" ca="1" si="12"/>
        <v/>
      </c>
      <c r="Q780" s="528"/>
      <c r="R780" s="529"/>
      <c r="S780" s="518"/>
      <c r="T780" s="518"/>
      <c r="U780" s="519"/>
      <c r="V780" s="520" t="str">
        <f>IFERROR(VLOOKUP(LANÇ_MOV[[#This Row],[PLANO DE CONTAS]],Plano_Contas[[PLANO DE CONTAS]:[R / D]],3,0),"")</f>
        <v/>
      </c>
      <c r="W780" s="521" t="str">
        <f>IF(LANÇ_MOV[[#This Row],[DATA DE PAGAMENTO]]&lt;&gt;"","Pago","Não Pago")</f>
        <v>Não Pago</v>
      </c>
      <c r="X780" s="522" t="str">
        <f>IFERROR(IF(LANÇ_MOV[[#This Row],[DATA DE PAGAMENTO]]="","",(UPPER(TEXT(LANÇ_MOV[[#This Row],[DATA DE PAGAMENTO]],"mmmm")))),"")</f>
        <v/>
      </c>
      <c r="Y780" s="523" t="str">
        <f>IFERROR(VLOOKUP(LANÇ_MOV[[#This Row],[PLANO DE CONTAS]],Plano_Contas[[PLANO DE CONTAS]:[NOMES INTERVALOS]],2,0),"")</f>
        <v/>
      </c>
      <c r="Z780" s="523" t="str">
        <f>IF(LANÇ_MOV[[#This Row],[FORMA DE PAGAMENTO]]="","",VLOOKUP(LANÇ_MOV[[#This Row],[FORMA DE PAGAMENTO]],CAD_Forma_pagto[],2,0))</f>
        <v/>
      </c>
      <c r="AA780" s="524" t="str">
        <f>IF(LANÇ_MOV[[#This Row],[DATA DE LANÇAMENTO]]="","",TEXT(LANÇ_MOV[[#This Row],[DATA DE LANÇAMENTO]],"AAAA"))</f>
        <v/>
      </c>
      <c r="AB780" s="524" t="str">
        <f>IF(LANÇ_MOV[[#This Row],[DATA DE LANÇAMENTO]]="","",UPPER(TEXT(LANÇ_MOV[[#This Row],[DATA DE LANÇAMENTO]],"MMMM")))</f>
        <v/>
      </c>
      <c r="AC780" s="525" t="str">
        <f>IF(LANÇ_MOV[[#This Row],[DATA DE LANÇAMENTO]]="","",PROPER(TEXT(LANÇ_MOV[[#This Row],[DATA DE LANÇAMENTO]],"M")))</f>
        <v/>
      </c>
      <c r="AD780" s="524" t="str">
        <f>IF(LANÇ_MOV[[#This Row],[DATA DE LANÇAMENTO]]="","",TEXT(LANÇ_MOV[[#This Row],[DATA DE LANÇAMENTO]],"D"))</f>
        <v/>
      </c>
      <c r="AE780" s="526" t="str">
        <f>IF(LANÇ_MOV[[#This Row],[DATA DE VENCIMENTO]]="","",TEXT(LANÇ_MOV[[#This Row],[DATA DE VENCIMENTO]],"AAAA"))</f>
        <v/>
      </c>
      <c r="AF780" s="526" t="str">
        <f>IF(LANÇ_MOV[[#This Row],[DATA DE VENCIMENTO]]="","",UPPER(TEXT(LANÇ_MOV[[#This Row],[DATA DE VENCIMENTO]],"MMMM")))</f>
        <v/>
      </c>
      <c r="AG780" s="526" t="str">
        <f>IF(LANÇ_MOV[[#This Row],[DATA DE VENCIMENTO]]="","",TEXT(LANÇ_MOV[[#This Row],[DATA DE VENCIMENTO]],"M"))</f>
        <v/>
      </c>
      <c r="AH780" s="526" t="str">
        <f>IF(LANÇ_MOV[[#This Row],[DATA DE VENCIMENTO]]="","",TEXT(LANÇ_MOV[[#This Row],[DATA DE VENCIMENTO]],"D"))</f>
        <v/>
      </c>
      <c r="AI780" s="526" t="str">
        <f>IF(LANÇ_MOV[[#This Row],[DATA DE PAGAMENTO]]="","",TEXT(LANÇ_MOV[[#This Row],[DATA DE PAGAMENTO]],"AAAA"))</f>
        <v/>
      </c>
      <c r="AJ780" s="527" t="str">
        <f>IF(LANÇ_MOV[[#This Row],[DATA DE PAGAMENTO]]="","",UPPER(TEXT(LANÇ_MOV[[#This Row],[DATA DE PAGAMENTO]],"MMMM")))</f>
        <v/>
      </c>
      <c r="AK780" s="527" t="str">
        <f>IF(LANÇ_MOV[[#This Row],[DATA DE PAGAMENTO]]="","",TEXT(LANÇ_MOV[[#This Row],[DATA DE PAGAMENTO]],"M"))</f>
        <v/>
      </c>
      <c r="AL780" s="526" t="str">
        <f>IF(LANÇ_MOV[[#This Row],[DATA DE PAGAMENTO]]="","",TEXT(LANÇ_MOV[[#This Row],[DATA DE PAGAMENTO]],"D"))</f>
        <v/>
      </c>
    </row>
    <row r="781" spans="2:38" ht="30.05" customHeight="1" x14ac:dyDescent="0.35">
      <c r="B781" s="506"/>
      <c r="C781" s="507"/>
      <c r="D781" s="508" t="s">
        <v>1854</v>
      </c>
      <c r="E781" s="509"/>
      <c r="F781" s="510"/>
      <c r="G781" s="507"/>
      <c r="H781" s="511"/>
      <c r="I781" s="512"/>
      <c r="J781" s="518"/>
      <c r="K781" s="510"/>
      <c r="L781" s="510"/>
      <c r="M781" s="548"/>
      <c r="N781" s="514">
        <f>LANÇ_MOV[[#This Row],[VALOR BRUTO]]-LANÇ_MOV[[#This Row],[DESCONTO]]+LANÇ_MOV[[#This Row],[JUROS]]+LANÇ_MOV[[#This Row],[MULTA]]</f>
        <v>0</v>
      </c>
      <c r="O781" s="546"/>
      <c r="P781" s="547" t="str">
        <f t="shared" ca="1" si="12"/>
        <v/>
      </c>
      <c r="Q781" s="528"/>
      <c r="R781" s="529"/>
      <c r="S781" s="518"/>
      <c r="T781" s="518"/>
      <c r="U781" s="519"/>
      <c r="V781" s="520" t="str">
        <f>IFERROR(VLOOKUP(LANÇ_MOV[[#This Row],[PLANO DE CONTAS]],Plano_Contas[[PLANO DE CONTAS]:[R / D]],3,0),"")</f>
        <v/>
      </c>
      <c r="W781" s="521" t="str">
        <f>IF(LANÇ_MOV[[#This Row],[DATA DE PAGAMENTO]]&lt;&gt;"","Pago","Não Pago")</f>
        <v>Não Pago</v>
      </c>
      <c r="X781" s="522" t="str">
        <f>IFERROR(IF(LANÇ_MOV[[#This Row],[DATA DE PAGAMENTO]]="","",(UPPER(TEXT(LANÇ_MOV[[#This Row],[DATA DE PAGAMENTO]],"mmmm")))),"")</f>
        <v/>
      </c>
      <c r="Y781" s="523" t="str">
        <f>IFERROR(VLOOKUP(LANÇ_MOV[[#This Row],[PLANO DE CONTAS]],Plano_Contas[[PLANO DE CONTAS]:[NOMES INTERVALOS]],2,0),"")</f>
        <v/>
      </c>
      <c r="Z781" s="523" t="str">
        <f>IF(LANÇ_MOV[[#This Row],[FORMA DE PAGAMENTO]]="","",VLOOKUP(LANÇ_MOV[[#This Row],[FORMA DE PAGAMENTO]],CAD_Forma_pagto[],2,0))</f>
        <v/>
      </c>
      <c r="AA781" s="524" t="str">
        <f>IF(LANÇ_MOV[[#This Row],[DATA DE LANÇAMENTO]]="","",TEXT(LANÇ_MOV[[#This Row],[DATA DE LANÇAMENTO]],"AAAA"))</f>
        <v/>
      </c>
      <c r="AB781" s="524" t="str">
        <f>IF(LANÇ_MOV[[#This Row],[DATA DE LANÇAMENTO]]="","",UPPER(TEXT(LANÇ_MOV[[#This Row],[DATA DE LANÇAMENTO]],"MMMM")))</f>
        <v/>
      </c>
      <c r="AC781" s="525" t="str">
        <f>IF(LANÇ_MOV[[#This Row],[DATA DE LANÇAMENTO]]="","",PROPER(TEXT(LANÇ_MOV[[#This Row],[DATA DE LANÇAMENTO]],"M")))</f>
        <v/>
      </c>
      <c r="AD781" s="524" t="str">
        <f>IF(LANÇ_MOV[[#This Row],[DATA DE LANÇAMENTO]]="","",TEXT(LANÇ_MOV[[#This Row],[DATA DE LANÇAMENTO]],"D"))</f>
        <v/>
      </c>
      <c r="AE781" s="526" t="str">
        <f>IF(LANÇ_MOV[[#This Row],[DATA DE VENCIMENTO]]="","",TEXT(LANÇ_MOV[[#This Row],[DATA DE VENCIMENTO]],"AAAA"))</f>
        <v/>
      </c>
      <c r="AF781" s="526" t="str">
        <f>IF(LANÇ_MOV[[#This Row],[DATA DE VENCIMENTO]]="","",UPPER(TEXT(LANÇ_MOV[[#This Row],[DATA DE VENCIMENTO]],"MMMM")))</f>
        <v/>
      </c>
      <c r="AG781" s="526" t="str">
        <f>IF(LANÇ_MOV[[#This Row],[DATA DE VENCIMENTO]]="","",TEXT(LANÇ_MOV[[#This Row],[DATA DE VENCIMENTO]],"M"))</f>
        <v/>
      </c>
      <c r="AH781" s="526" t="str">
        <f>IF(LANÇ_MOV[[#This Row],[DATA DE VENCIMENTO]]="","",TEXT(LANÇ_MOV[[#This Row],[DATA DE VENCIMENTO]],"D"))</f>
        <v/>
      </c>
      <c r="AI781" s="526" t="str">
        <f>IF(LANÇ_MOV[[#This Row],[DATA DE PAGAMENTO]]="","",TEXT(LANÇ_MOV[[#This Row],[DATA DE PAGAMENTO]],"AAAA"))</f>
        <v/>
      </c>
      <c r="AJ781" s="527" t="str">
        <f>IF(LANÇ_MOV[[#This Row],[DATA DE PAGAMENTO]]="","",UPPER(TEXT(LANÇ_MOV[[#This Row],[DATA DE PAGAMENTO]],"MMMM")))</f>
        <v/>
      </c>
      <c r="AK781" s="527" t="str">
        <f>IF(LANÇ_MOV[[#This Row],[DATA DE PAGAMENTO]]="","",TEXT(LANÇ_MOV[[#This Row],[DATA DE PAGAMENTO]],"M"))</f>
        <v/>
      </c>
      <c r="AL781" s="526" t="str">
        <f>IF(LANÇ_MOV[[#This Row],[DATA DE PAGAMENTO]]="","",TEXT(LANÇ_MOV[[#This Row],[DATA DE PAGAMENTO]],"D"))</f>
        <v/>
      </c>
    </row>
    <row r="782" spans="2:38" ht="30.05" customHeight="1" x14ac:dyDescent="0.35">
      <c r="B782" s="506"/>
      <c r="C782" s="507"/>
      <c r="D782" s="508" t="s">
        <v>1854</v>
      </c>
      <c r="E782" s="509"/>
      <c r="F782" s="510"/>
      <c r="G782" s="507"/>
      <c r="H782" s="511"/>
      <c r="I782" s="512"/>
      <c r="J782" s="518"/>
      <c r="K782" s="510"/>
      <c r="L782" s="510"/>
      <c r="M782" s="548"/>
      <c r="N782" s="514">
        <f>LANÇ_MOV[[#This Row],[VALOR BRUTO]]-LANÇ_MOV[[#This Row],[DESCONTO]]+LANÇ_MOV[[#This Row],[JUROS]]+LANÇ_MOV[[#This Row],[MULTA]]</f>
        <v>0</v>
      </c>
      <c r="O782" s="546"/>
      <c r="P782" s="547" t="str">
        <f t="shared" ca="1" si="12"/>
        <v/>
      </c>
      <c r="Q782" s="528"/>
      <c r="R782" s="529"/>
      <c r="S782" s="518"/>
      <c r="T782" s="518"/>
      <c r="U782" s="519"/>
      <c r="V782" s="520" t="str">
        <f>IFERROR(VLOOKUP(LANÇ_MOV[[#This Row],[PLANO DE CONTAS]],Plano_Contas[[PLANO DE CONTAS]:[R / D]],3,0),"")</f>
        <v/>
      </c>
      <c r="W782" s="521" t="str">
        <f>IF(LANÇ_MOV[[#This Row],[DATA DE PAGAMENTO]]&lt;&gt;"","Pago","Não Pago")</f>
        <v>Não Pago</v>
      </c>
      <c r="X782" s="522" t="str">
        <f>IFERROR(IF(LANÇ_MOV[[#This Row],[DATA DE PAGAMENTO]]="","",(UPPER(TEXT(LANÇ_MOV[[#This Row],[DATA DE PAGAMENTO]],"mmmm")))),"")</f>
        <v/>
      </c>
      <c r="Y782" s="523" t="str">
        <f>IFERROR(VLOOKUP(LANÇ_MOV[[#This Row],[PLANO DE CONTAS]],Plano_Contas[[PLANO DE CONTAS]:[NOMES INTERVALOS]],2,0),"")</f>
        <v/>
      </c>
      <c r="Z782" s="523" t="str">
        <f>IF(LANÇ_MOV[[#This Row],[FORMA DE PAGAMENTO]]="","",VLOOKUP(LANÇ_MOV[[#This Row],[FORMA DE PAGAMENTO]],CAD_Forma_pagto[],2,0))</f>
        <v/>
      </c>
      <c r="AA782" s="524" t="str">
        <f>IF(LANÇ_MOV[[#This Row],[DATA DE LANÇAMENTO]]="","",TEXT(LANÇ_MOV[[#This Row],[DATA DE LANÇAMENTO]],"AAAA"))</f>
        <v/>
      </c>
      <c r="AB782" s="524" t="str">
        <f>IF(LANÇ_MOV[[#This Row],[DATA DE LANÇAMENTO]]="","",UPPER(TEXT(LANÇ_MOV[[#This Row],[DATA DE LANÇAMENTO]],"MMMM")))</f>
        <v/>
      </c>
      <c r="AC782" s="525" t="str">
        <f>IF(LANÇ_MOV[[#This Row],[DATA DE LANÇAMENTO]]="","",PROPER(TEXT(LANÇ_MOV[[#This Row],[DATA DE LANÇAMENTO]],"M")))</f>
        <v/>
      </c>
      <c r="AD782" s="524" t="str">
        <f>IF(LANÇ_MOV[[#This Row],[DATA DE LANÇAMENTO]]="","",TEXT(LANÇ_MOV[[#This Row],[DATA DE LANÇAMENTO]],"D"))</f>
        <v/>
      </c>
      <c r="AE782" s="526" t="str">
        <f>IF(LANÇ_MOV[[#This Row],[DATA DE VENCIMENTO]]="","",TEXT(LANÇ_MOV[[#This Row],[DATA DE VENCIMENTO]],"AAAA"))</f>
        <v/>
      </c>
      <c r="AF782" s="526" t="str">
        <f>IF(LANÇ_MOV[[#This Row],[DATA DE VENCIMENTO]]="","",UPPER(TEXT(LANÇ_MOV[[#This Row],[DATA DE VENCIMENTO]],"MMMM")))</f>
        <v/>
      </c>
      <c r="AG782" s="526" t="str">
        <f>IF(LANÇ_MOV[[#This Row],[DATA DE VENCIMENTO]]="","",TEXT(LANÇ_MOV[[#This Row],[DATA DE VENCIMENTO]],"M"))</f>
        <v/>
      </c>
      <c r="AH782" s="526" t="str">
        <f>IF(LANÇ_MOV[[#This Row],[DATA DE VENCIMENTO]]="","",TEXT(LANÇ_MOV[[#This Row],[DATA DE VENCIMENTO]],"D"))</f>
        <v/>
      </c>
      <c r="AI782" s="526" t="str">
        <f>IF(LANÇ_MOV[[#This Row],[DATA DE PAGAMENTO]]="","",TEXT(LANÇ_MOV[[#This Row],[DATA DE PAGAMENTO]],"AAAA"))</f>
        <v/>
      </c>
      <c r="AJ782" s="527" t="str">
        <f>IF(LANÇ_MOV[[#This Row],[DATA DE PAGAMENTO]]="","",UPPER(TEXT(LANÇ_MOV[[#This Row],[DATA DE PAGAMENTO]],"MMMM")))</f>
        <v/>
      </c>
      <c r="AK782" s="527" t="str">
        <f>IF(LANÇ_MOV[[#This Row],[DATA DE PAGAMENTO]]="","",TEXT(LANÇ_MOV[[#This Row],[DATA DE PAGAMENTO]],"M"))</f>
        <v/>
      </c>
      <c r="AL782" s="526" t="str">
        <f>IF(LANÇ_MOV[[#This Row],[DATA DE PAGAMENTO]]="","",TEXT(LANÇ_MOV[[#This Row],[DATA DE PAGAMENTO]],"D"))</f>
        <v/>
      </c>
    </row>
    <row r="783" spans="2:38" ht="30.05" customHeight="1" x14ac:dyDescent="0.35">
      <c r="B783" s="506"/>
      <c r="C783" s="507"/>
      <c r="D783" s="508" t="s">
        <v>1854</v>
      </c>
      <c r="E783" s="509"/>
      <c r="F783" s="510"/>
      <c r="G783" s="507"/>
      <c r="H783" s="511"/>
      <c r="I783" s="512"/>
      <c r="J783" s="518"/>
      <c r="K783" s="510"/>
      <c r="L783" s="510"/>
      <c r="M783" s="548"/>
      <c r="N783" s="514">
        <f>LANÇ_MOV[[#This Row],[VALOR BRUTO]]-LANÇ_MOV[[#This Row],[DESCONTO]]+LANÇ_MOV[[#This Row],[JUROS]]+LANÇ_MOV[[#This Row],[MULTA]]</f>
        <v>0</v>
      </c>
      <c r="O783" s="546"/>
      <c r="P783" s="547" t="str">
        <f t="shared" ca="1" si="12"/>
        <v/>
      </c>
      <c r="Q783" s="528"/>
      <c r="R783" s="529"/>
      <c r="S783" s="518"/>
      <c r="T783" s="518"/>
      <c r="U783" s="519"/>
      <c r="V783" s="520" t="str">
        <f>IFERROR(VLOOKUP(LANÇ_MOV[[#This Row],[PLANO DE CONTAS]],Plano_Contas[[PLANO DE CONTAS]:[R / D]],3,0),"")</f>
        <v/>
      </c>
      <c r="W783" s="521" t="str">
        <f>IF(LANÇ_MOV[[#This Row],[DATA DE PAGAMENTO]]&lt;&gt;"","Pago","Não Pago")</f>
        <v>Não Pago</v>
      </c>
      <c r="X783" s="522" t="str">
        <f>IFERROR(IF(LANÇ_MOV[[#This Row],[DATA DE PAGAMENTO]]="","",(UPPER(TEXT(LANÇ_MOV[[#This Row],[DATA DE PAGAMENTO]],"mmmm")))),"")</f>
        <v/>
      </c>
      <c r="Y783" s="523" t="str">
        <f>IFERROR(VLOOKUP(LANÇ_MOV[[#This Row],[PLANO DE CONTAS]],Plano_Contas[[PLANO DE CONTAS]:[NOMES INTERVALOS]],2,0),"")</f>
        <v/>
      </c>
      <c r="Z783" s="523" t="str">
        <f>IF(LANÇ_MOV[[#This Row],[FORMA DE PAGAMENTO]]="","",VLOOKUP(LANÇ_MOV[[#This Row],[FORMA DE PAGAMENTO]],CAD_Forma_pagto[],2,0))</f>
        <v/>
      </c>
      <c r="AA783" s="524" t="str">
        <f>IF(LANÇ_MOV[[#This Row],[DATA DE LANÇAMENTO]]="","",TEXT(LANÇ_MOV[[#This Row],[DATA DE LANÇAMENTO]],"AAAA"))</f>
        <v/>
      </c>
      <c r="AB783" s="524" t="str">
        <f>IF(LANÇ_MOV[[#This Row],[DATA DE LANÇAMENTO]]="","",UPPER(TEXT(LANÇ_MOV[[#This Row],[DATA DE LANÇAMENTO]],"MMMM")))</f>
        <v/>
      </c>
      <c r="AC783" s="525" t="str">
        <f>IF(LANÇ_MOV[[#This Row],[DATA DE LANÇAMENTO]]="","",PROPER(TEXT(LANÇ_MOV[[#This Row],[DATA DE LANÇAMENTO]],"M")))</f>
        <v/>
      </c>
      <c r="AD783" s="524" t="str">
        <f>IF(LANÇ_MOV[[#This Row],[DATA DE LANÇAMENTO]]="","",TEXT(LANÇ_MOV[[#This Row],[DATA DE LANÇAMENTO]],"D"))</f>
        <v/>
      </c>
      <c r="AE783" s="526" t="str">
        <f>IF(LANÇ_MOV[[#This Row],[DATA DE VENCIMENTO]]="","",TEXT(LANÇ_MOV[[#This Row],[DATA DE VENCIMENTO]],"AAAA"))</f>
        <v/>
      </c>
      <c r="AF783" s="526" t="str">
        <f>IF(LANÇ_MOV[[#This Row],[DATA DE VENCIMENTO]]="","",UPPER(TEXT(LANÇ_MOV[[#This Row],[DATA DE VENCIMENTO]],"MMMM")))</f>
        <v/>
      </c>
      <c r="AG783" s="526" t="str">
        <f>IF(LANÇ_MOV[[#This Row],[DATA DE VENCIMENTO]]="","",TEXT(LANÇ_MOV[[#This Row],[DATA DE VENCIMENTO]],"M"))</f>
        <v/>
      </c>
      <c r="AH783" s="526" t="str">
        <f>IF(LANÇ_MOV[[#This Row],[DATA DE VENCIMENTO]]="","",TEXT(LANÇ_MOV[[#This Row],[DATA DE VENCIMENTO]],"D"))</f>
        <v/>
      </c>
      <c r="AI783" s="526" t="str">
        <f>IF(LANÇ_MOV[[#This Row],[DATA DE PAGAMENTO]]="","",TEXT(LANÇ_MOV[[#This Row],[DATA DE PAGAMENTO]],"AAAA"))</f>
        <v/>
      </c>
      <c r="AJ783" s="527" t="str">
        <f>IF(LANÇ_MOV[[#This Row],[DATA DE PAGAMENTO]]="","",UPPER(TEXT(LANÇ_MOV[[#This Row],[DATA DE PAGAMENTO]],"MMMM")))</f>
        <v/>
      </c>
      <c r="AK783" s="527" t="str">
        <f>IF(LANÇ_MOV[[#This Row],[DATA DE PAGAMENTO]]="","",TEXT(LANÇ_MOV[[#This Row],[DATA DE PAGAMENTO]],"M"))</f>
        <v/>
      </c>
      <c r="AL783" s="526" t="str">
        <f>IF(LANÇ_MOV[[#This Row],[DATA DE PAGAMENTO]]="","",TEXT(LANÇ_MOV[[#This Row],[DATA DE PAGAMENTO]],"D"))</f>
        <v/>
      </c>
    </row>
    <row r="784" spans="2:38" ht="30.05" customHeight="1" x14ac:dyDescent="0.35">
      <c r="B784" s="506"/>
      <c r="C784" s="507"/>
      <c r="D784" s="508" t="s">
        <v>1854</v>
      </c>
      <c r="E784" s="509"/>
      <c r="F784" s="510"/>
      <c r="G784" s="507"/>
      <c r="H784" s="511"/>
      <c r="I784" s="512"/>
      <c r="J784" s="518"/>
      <c r="K784" s="510"/>
      <c r="L784" s="510"/>
      <c r="M784" s="548"/>
      <c r="N784" s="514">
        <f>LANÇ_MOV[[#This Row],[VALOR BRUTO]]-LANÇ_MOV[[#This Row],[DESCONTO]]+LANÇ_MOV[[#This Row],[JUROS]]+LANÇ_MOV[[#This Row],[MULTA]]</f>
        <v>0</v>
      </c>
      <c r="O784" s="546"/>
      <c r="P784" s="547" t="str">
        <f t="shared" ca="1" si="12"/>
        <v/>
      </c>
      <c r="Q784" s="528"/>
      <c r="R784" s="529"/>
      <c r="S784" s="518"/>
      <c r="T784" s="518"/>
      <c r="U784" s="519"/>
      <c r="V784" s="520" t="str">
        <f>IFERROR(VLOOKUP(LANÇ_MOV[[#This Row],[PLANO DE CONTAS]],Plano_Contas[[PLANO DE CONTAS]:[R / D]],3,0),"")</f>
        <v/>
      </c>
      <c r="W784" s="521" t="str">
        <f>IF(LANÇ_MOV[[#This Row],[DATA DE PAGAMENTO]]&lt;&gt;"","Pago","Não Pago")</f>
        <v>Não Pago</v>
      </c>
      <c r="X784" s="522" t="str">
        <f>IFERROR(IF(LANÇ_MOV[[#This Row],[DATA DE PAGAMENTO]]="","",(UPPER(TEXT(LANÇ_MOV[[#This Row],[DATA DE PAGAMENTO]],"mmmm")))),"")</f>
        <v/>
      </c>
      <c r="Y784" s="523" t="str">
        <f>IFERROR(VLOOKUP(LANÇ_MOV[[#This Row],[PLANO DE CONTAS]],Plano_Contas[[PLANO DE CONTAS]:[NOMES INTERVALOS]],2,0),"")</f>
        <v/>
      </c>
      <c r="Z784" s="523" t="str">
        <f>IF(LANÇ_MOV[[#This Row],[FORMA DE PAGAMENTO]]="","",VLOOKUP(LANÇ_MOV[[#This Row],[FORMA DE PAGAMENTO]],CAD_Forma_pagto[],2,0))</f>
        <v/>
      </c>
      <c r="AA784" s="524" t="str">
        <f>IF(LANÇ_MOV[[#This Row],[DATA DE LANÇAMENTO]]="","",TEXT(LANÇ_MOV[[#This Row],[DATA DE LANÇAMENTO]],"AAAA"))</f>
        <v/>
      </c>
      <c r="AB784" s="524" t="str">
        <f>IF(LANÇ_MOV[[#This Row],[DATA DE LANÇAMENTO]]="","",UPPER(TEXT(LANÇ_MOV[[#This Row],[DATA DE LANÇAMENTO]],"MMMM")))</f>
        <v/>
      </c>
      <c r="AC784" s="525" t="str">
        <f>IF(LANÇ_MOV[[#This Row],[DATA DE LANÇAMENTO]]="","",PROPER(TEXT(LANÇ_MOV[[#This Row],[DATA DE LANÇAMENTO]],"M")))</f>
        <v/>
      </c>
      <c r="AD784" s="524" t="str">
        <f>IF(LANÇ_MOV[[#This Row],[DATA DE LANÇAMENTO]]="","",TEXT(LANÇ_MOV[[#This Row],[DATA DE LANÇAMENTO]],"D"))</f>
        <v/>
      </c>
      <c r="AE784" s="526" t="str">
        <f>IF(LANÇ_MOV[[#This Row],[DATA DE VENCIMENTO]]="","",TEXT(LANÇ_MOV[[#This Row],[DATA DE VENCIMENTO]],"AAAA"))</f>
        <v/>
      </c>
      <c r="AF784" s="526" t="str">
        <f>IF(LANÇ_MOV[[#This Row],[DATA DE VENCIMENTO]]="","",UPPER(TEXT(LANÇ_MOV[[#This Row],[DATA DE VENCIMENTO]],"MMMM")))</f>
        <v/>
      </c>
      <c r="AG784" s="526" t="str">
        <f>IF(LANÇ_MOV[[#This Row],[DATA DE VENCIMENTO]]="","",TEXT(LANÇ_MOV[[#This Row],[DATA DE VENCIMENTO]],"M"))</f>
        <v/>
      </c>
      <c r="AH784" s="526" t="str">
        <f>IF(LANÇ_MOV[[#This Row],[DATA DE VENCIMENTO]]="","",TEXT(LANÇ_MOV[[#This Row],[DATA DE VENCIMENTO]],"D"))</f>
        <v/>
      </c>
      <c r="AI784" s="526" t="str">
        <f>IF(LANÇ_MOV[[#This Row],[DATA DE PAGAMENTO]]="","",TEXT(LANÇ_MOV[[#This Row],[DATA DE PAGAMENTO]],"AAAA"))</f>
        <v/>
      </c>
      <c r="AJ784" s="527" t="str">
        <f>IF(LANÇ_MOV[[#This Row],[DATA DE PAGAMENTO]]="","",UPPER(TEXT(LANÇ_MOV[[#This Row],[DATA DE PAGAMENTO]],"MMMM")))</f>
        <v/>
      </c>
      <c r="AK784" s="527" t="str">
        <f>IF(LANÇ_MOV[[#This Row],[DATA DE PAGAMENTO]]="","",TEXT(LANÇ_MOV[[#This Row],[DATA DE PAGAMENTO]],"M"))</f>
        <v/>
      </c>
      <c r="AL784" s="526" t="str">
        <f>IF(LANÇ_MOV[[#This Row],[DATA DE PAGAMENTO]]="","",TEXT(LANÇ_MOV[[#This Row],[DATA DE PAGAMENTO]],"D"))</f>
        <v/>
      </c>
    </row>
    <row r="785" spans="2:38" ht="30.05" customHeight="1" x14ac:dyDescent="0.35">
      <c r="B785" s="506"/>
      <c r="C785" s="507"/>
      <c r="D785" s="508" t="s">
        <v>1854</v>
      </c>
      <c r="E785" s="509"/>
      <c r="F785" s="510"/>
      <c r="G785" s="507"/>
      <c r="H785" s="511"/>
      <c r="I785" s="512"/>
      <c r="J785" s="518"/>
      <c r="K785" s="510"/>
      <c r="L785" s="510"/>
      <c r="M785" s="548"/>
      <c r="N785" s="514">
        <f>LANÇ_MOV[[#This Row],[VALOR BRUTO]]-LANÇ_MOV[[#This Row],[DESCONTO]]+LANÇ_MOV[[#This Row],[JUROS]]+LANÇ_MOV[[#This Row],[MULTA]]</f>
        <v>0</v>
      </c>
      <c r="O785" s="546"/>
      <c r="P785" s="547" t="str">
        <f t="shared" ca="1" si="12"/>
        <v/>
      </c>
      <c r="Q785" s="528"/>
      <c r="R785" s="529"/>
      <c r="S785" s="518"/>
      <c r="T785" s="518"/>
      <c r="U785" s="519"/>
      <c r="V785" s="520" t="str">
        <f>IFERROR(VLOOKUP(LANÇ_MOV[[#This Row],[PLANO DE CONTAS]],Plano_Contas[[PLANO DE CONTAS]:[R / D]],3,0),"")</f>
        <v/>
      </c>
      <c r="W785" s="521" t="str">
        <f>IF(LANÇ_MOV[[#This Row],[DATA DE PAGAMENTO]]&lt;&gt;"","Pago","Não Pago")</f>
        <v>Não Pago</v>
      </c>
      <c r="X785" s="522" t="str">
        <f>IFERROR(IF(LANÇ_MOV[[#This Row],[DATA DE PAGAMENTO]]="","",(UPPER(TEXT(LANÇ_MOV[[#This Row],[DATA DE PAGAMENTO]],"mmmm")))),"")</f>
        <v/>
      </c>
      <c r="Y785" s="523" t="str">
        <f>IFERROR(VLOOKUP(LANÇ_MOV[[#This Row],[PLANO DE CONTAS]],Plano_Contas[[PLANO DE CONTAS]:[NOMES INTERVALOS]],2,0),"")</f>
        <v/>
      </c>
      <c r="Z785" s="523" t="str">
        <f>IF(LANÇ_MOV[[#This Row],[FORMA DE PAGAMENTO]]="","",VLOOKUP(LANÇ_MOV[[#This Row],[FORMA DE PAGAMENTO]],CAD_Forma_pagto[],2,0))</f>
        <v/>
      </c>
      <c r="AA785" s="524" t="str">
        <f>IF(LANÇ_MOV[[#This Row],[DATA DE LANÇAMENTO]]="","",TEXT(LANÇ_MOV[[#This Row],[DATA DE LANÇAMENTO]],"AAAA"))</f>
        <v/>
      </c>
      <c r="AB785" s="524" t="str">
        <f>IF(LANÇ_MOV[[#This Row],[DATA DE LANÇAMENTO]]="","",UPPER(TEXT(LANÇ_MOV[[#This Row],[DATA DE LANÇAMENTO]],"MMMM")))</f>
        <v/>
      </c>
      <c r="AC785" s="525" t="str">
        <f>IF(LANÇ_MOV[[#This Row],[DATA DE LANÇAMENTO]]="","",PROPER(TEXT(LANÇ_MOV[[#This Row],[DATA DE LANÇAMENTO]],"M")))</f>
        <v/>
      </c>
      <c r="AD785" s="524" t="str">
        <f>IF(LANÇ_MOV[[#This Row],[DATA DE LANÇAMENTO]]="","",TEXT(LANÇ_MOV[[#This Row],[DATA DE LANÇAMENTO]],"D"))</f>
        <v/>
      </c>
      <c r="AE785" s="526" t="str">
        <f>IF(LANÇ_MOV[[#This Row],[DATA DE VENCIMENTO]]="","",TEXT(LANÇ_MOV[[#This Row],[DATA DE VENCIMENTO]],"AAAA"))</f>
        <v/>
      </c>
      <c r="AF785" s="526" t="str">
        <f>IF(LANÇ_MOV[[#This Row],[DATA DE VENCIMENTO]]="","",UPPER(TEXT(LANÇ_MOV[[#This Row],[DATA DE VENCIMENTO]],"MMMM")))</f>
        <v/>
      </c>
      <c r="AG785" s="526" t="str">
        <f>IF(LANÇ_MOV[[#This Row],[DATA DE VENCIMENTO]]="","",TEXT(LANÇ_MOV[[#This Row],[DATA DE VENCIMENTO]],"M"))</f>
        <v/>
      </c>
      <c r="AH785" s="526" t="str">
        <f>IF(LANÇ_MOV[[#This Row],[DATA DE VENCIMENTO]]="","",TEXT(LANÇ_MOV[[#This Row],[DATA DE VENCIMENTO]],"D"))</f>
        <v/>
      </c>
      <c r="AI785" s="526" t="str">
        <f>IF(LANÇ_MOV[[#This Row],[DATA DE PAGAMENTO]]="","",TEXT(LANÇ_MOV[[#This Row],[DATA DE PAGAMENTO]],"AAAA"))</f>
        <v/>
      </c>
      <c r="AJ785" s="527" t="str">
        <f>IF(LANÇ_MOV[[#This Row],[DATA DE PAGAMENTO]]="","",UPPER(TEXT(LANÇ_MOV[[#This Row],[DATA DE PAGAMENTO]],"MMMM")))</f>
        <v/>
      </c>
      <c r="AK785" s="527" t="str">
        <f>IF(LANÇ_MOV[[#This Row],[DATA DE PAGAMENTO]]="","",TEXT(LANÇ_MOV[[#This Row],[DATA DE PAGAMENTO]],"M"))</f>
        <v/>
      </c>
      <c r="AL785" s="526" t="str">
        <f>IF(LANÇ_MOV[[#This Row],[DATA DE PAGAMENTO]]="","",TEXT(LANÇ_MOV[[#This Row],[DATA DE PAGAMENTO]],"D"))</f>
        <v/>
      </c>
    </row>
    <row r="786" spans="2:38" ht="30.05" customHeight="1" x14ac:dyDescent="0.35">
      <c r="B786" s="506"/>
      <c r="C786" s="507"/>
      <c r="D786" s="508" t="s">
        <v>1854</v>
      </c>
      <c r="E786" s="509"/>
      <c r="F786" s="510"/>
      <c r="G786" s="507"/>
      <c r="H786" s="511"/>
      <c r="I786" s="512"/>
      <c r="J786" s="518"/>
      <c r="K786" s="510"/>
      <c r="L786" s="510"/>
      <c r="M786" s="548"/>
      <c r="N786" s="514">
        <f>LANÇ_MOV[[#This Row],[VALOR BRUTO]]-LANÇ_MOV[[#This Row],[DESCONTO]]+LANÇ_MOV[[#This Row],[JUROS]]+LANÇ_MOV[[#This Row],[MULTA]]</f>
        <v>0</v>
      </c>
      <c r="O786" s="546"/>
      <c r="P786" s="547" t="str">
        <f t="shared" ca="1" si="12"/>
        <v/>
      </c>
      <c r="Q786" s="528"/>
      <c r="R786" s="529"/>
      <c r="S786" s="518"/>
      <c r="T786" s="518"/>
      <c r="U786" s="519"/>
      <c r="V786" s="520" t="str">
        <f>IFERROR(VLOOKUP(LANÇ_MOV[[#This Row],[PLANO DE CONTAS]],Plano_Contas[[PLANO DE CONTAS]:[R / D]],3,0),"")</f>
        <v/>
      </c>
      <c r="W786" s="521" t="str">
        <f>IF(LANÇ_MOV[[#This Row],[DATA DE PAGAMENTO]]&lt;&gt;"","Pago","Não Pago")</f>
        <v>Não Pago</v>
      </c>
      <c r="X786" s="522" t="str">
        <f>IFERROR(IF(LANÇ_MOV[[#This Row],[DATA DE PAGAMENTO]]="","",(UPPER(TEXT(LANÇ_MOV[[#This Row],[DATA DE PAGAMENTO]],"mmmm")))),"")</f>
        <v/>
      </c>
      <c r="Y786" s="523" t="str">
        <f>IFERROR(VLOOKUP(LANÇ_MOV[[#This Row],[PLANO DE CONTAS]],Plano_Contas[[PLANO DE CONTAS]:[NOMES INTERVALOS]],2,0),"")</f>
        <v/>
      </c>
      <c r="Z786" s="523" t="str">
        <f>IF(LANÇ_MOV[[#This Row],[FORMA DE PAGAMENTO]]="","",VLOOKUP(LANÇ_MOV[[#This Row],[FORMA DE PAGAMENTO]],CAD_Forma_pagto[],2,0))</f>
        <v/>
      </c>
      <c r="AA786" s="524" t="str">
        <f>IF(LANÇ_MOV[[#This Row],[DATA DE LANÇAMENTO]]="","",TEXT(LANÇ_MOV[[#This Row],[DATA DE LANÇAMENTO]],"AAAA"))</f>
        <v/>
      </c>
      <c r="AB786" s="524" t="str">
        <f>IF(LANÇ_MOV[[#This Row],[DATA DE LANÇAMENTO]]="","",UPPER(TEXT(LANÇ_MOV[[#This Row],[DATA DE LANÇAMENTO]],"MMMM")))</f>
        <v/>
      </c>
      <c r="AC786" s="525" t="str">
        <f>IF(LANÇ_MOV[[#This Row],[DATA DE LANÇAMENTO]]="","",PROPER(TEXT(LANÇ_MOV[[#This Row],[DATA DE LANÇAMENTO]],"M")))</f>
        <v/>
      </c>
      <c r="AD786" s="524" t="str">
        <f>IF(LANÇ_MOV[[#This Row],[DATA DE LANÇAMENTO]]="","",TEXT(LANÇ_MOV[[#This Row],[DATA DE LANÇAMENTO]],"D"))</f>
        <v/>
      </c>
      <c r="AE786" s="526" t="str">
        <f>IF(LANÇ_MOV[[#This Row],[DATA DE VENCIMENTO]]="","",TEXT(LANÇ_MOV[[#This Row],[DATA DE VENCIMENTO]],"AAAA"))</f>
        <v/>
      </c>
      <c r="AF786" s="526" t="str">
        <f>IF(LANÇ_MOV[[#This Row],[DATA DE VENCIMENTO]]="","",UPPER(TEXT(LANÇ_MOV[[#This Row],[DATA DE VENCIMENTO]],"MMMM")))</f>
        <v/>
      </c>
      <c r="AG786" s="526" t="str">
        <f>IF(LANÇ_MOV[[#This Row],[DATA DE VENCIMENTO]]="","",TEXT(LANÇ_MOV[[#This Row],[DATA DE VENCIMENTO]],"M"))</f>
        <v/>
      </c>
      <c r="AH786" s="526" t="str">
        <f>IF(LANÇ_MOV[[#This Row],[DATA DE VENCIMENTO]]="","",TEXT(LANÇ_MOV[[#This Row],[DATA DE VENCIMENTO]],"D"))</f>
        <v/>
      </c>
      <c r="AI786" s="526" t="str">
        <f>IF(LANÇ_MOV[[#This Row],[DATA DE PAGAMENTO]]="","",TEXT(LANÇ_MOV[[#This Row],[DATA DE PAGAMENTO]],"AAAA"))</f>
        <v/>
      </c>
      <c r="AJ786" s="527" t="str">
        <f>IF(LANÇ_MOV[[#This Row],[DATA DE PAGAMENTO]]="","",UPPER(TEXT(LANÇ_MOV[[#This Row],[DATA DE PAGAMENTO]],"MMMM")))</f>
        <v/>
      </c>
      <c r="AK786" s="527" t="str">
        <f>IF(LANÇ_MOV[[#This Row],[DATA DE PAGAMENTO]]="","",TEXT(LANÇ_MOV[[#This Row],[DATA DE PAGAMENTO]],"M"))</f>
        <v/>
      </c>
      <c r="AL786" s="526" t="str">
        <f>IF(LANÇ_MOV[[#This Row],[DATA DE PAGAMENTO]]="","",TEXT(LANÇ_MOV[[#This Row],[DATA DE PAGAMENTO]],"D"))</f>
        <v/>
      </c>
    </row>
    <row r="787" spans="2:38" ht="30.05" customHeight="1" x14ac:dyDescent="0.35">
      <c r="B787" s="506"/>
      <c r="C787" s="507"/>
      <c r="D787" s="508" t="s">
        <v>1854</v>
      </c>
      <c r="E787" s="509"/>
      <c r="F787" s="510"/>
      <c r="G787" s="507"/>
      <c r="H787" s="511"/>
      <c r="I787" s="512"/>
      <c r="J787" s="518"/>
      <c r="K787" s="510"/>
      <c r="L787" s="510"/>
      <c r="M787" s="548"/>
      <c r="N787" s="514">
        <f>LANÇ_MOV[[#This Row],[VALOR BRUTO]]-LANÇ_MOV[[#This Row],[DESCONTO]]+LANÇ_MOV[[#This Row],[JUROS]]+LANÇ_MOV[[#This Row],[MULTA]]</f>
        <v>0</v>
      </c>
      <c r="O787" s="546"/>
      <c r="P787" s="547" t="str">
        <f t="shared" ca="1" si="12"/>
        <v/>
      </c>
      <c r="Q787" s="528"/>
      <c r="R787" s="529"/>
      <c r="S787" s="518"/>
      <c r="T787" s="518"/>
      <c r="U787" s="519"/>
      <c r="V787" s="520" t="str">
        <f>IFERROR(VLOOKUP(LANÇ_MOV[[#This Row],[PLANO DE CONTAS]],Plano_Contas[[PLANO DE CONTAS]:[R / D]],3,0),"")</f>
        <v/>
      </c>
      <c r="W787" s="521" t="str">
        <f>IF(LANÇ_MOV[[#This Row],[DATA DE PAGAMENTO]]&lt;&gt;"","Pago","Não Pago")</f>
        <v>Não Pago</v>
      </c>
      <c r="X787" s="522" t="str">
        <f>IFERROR(IF(LANÇ_MOV[[#This Row],[DATA DE PAGAMENTO]]="","",(UPPER(TEXT(LANÇ_MOV[[#This Row],[DATA DE PAGAMENTO]],"mmmm")))),"")</f>
        <v/>
      </c>
      <c r="Y787" s="523" t="str">
        <f>IFERROR(VLOOKUP(LANÇ_MOV[[#This Row],[PLANO DE CONTAS]],Plano_Contas[[PLANO DE CONTAS]:[NOMES INTERVALOS]],2,0),"")</f>
        <v/>
      </c>
      <c r="Z787" s="523" t="str">
        <f>IF(LANÇ_MOV[[#This Row],[FORMA DE PAGAMENTO]]="","",VLOOKUP(LANÇ_MOV[[#This Row],[FORMA DE PAGAMENTO]],CAD_Forma_pagto[],2,0))</f>
        <v/>
      </c>
      <c r="AA787" s="524" t="str">
        <f>IF(LANÇ_MOV[[#This Row],[DATA DE LANÇAMENTO]]="","",TEXT(LANÇ_MOV[[#This Row],[DATA DE LANÇAMENTO]],"AAAA"))</f>
        <v/>
      </c>
      <c r="AB787" s="524" t="str">
        <f>IF(LANÇ_MOV[[#This Row],[DATA DE LANÇAMENTO]]="","",UPPER(TEXT(LANÇ_MOV[[#This Row],[DATA DE LANÇAMENTO]],"MMMM")))</f>
        <v/>
      </c>
      <c r="AC787" s="525" t="str">
        <f>IF(LANÇ_MOV[[#This Row],[DATA DE LANÇAMENTO]]="","",PROPER(TEXT(LANÇ_MOV[[#This Row],[DATA DE LANÇAMENTO]],"M")))</f>
        <v/>
      </c>
      <c r="AD787" s="524" t="str">
        <f>IF(LANÇ_MOV[[#This Row],[DATA DE LANÇAMENTO]]="","",TEXT(LANÇ_MOV[[#This Row],[DATA DE LANÇAMENTO]],"D"))</f>
        <v/>
      </c>
      <c r="AE787" s="526" t="str">
        <f>IF(LANÇ_MOV[[#This Row],[DATA DE VENCIMENTO]]="","",TEXT(LANÇ_MOV[[#This Row],[DATA DE VENCIMENTO]],"AAAA"))</f>
        <v/>
      </c>
      <c r="AF787" s="526" t="str">
        <f>IF(LANÇ_MOV[[#This Row],[DATA DE VENCIMENTO]]="","",UPPER(TEXT(LANÇ_MOV[[#This Row],[DATA DE VENCIMENTO]],"MMMM")))</f>
        <v/>
      </c>
      <c r="AG787" s="526" t="str">
        <f>IF(LANÇ_MOV[[#This Row],[DATA DE VENCIMENTO]]="","",TEXT(LANÇ_MOV[[#This Row],[DATA DE VENCIMENTO]],"M"))</f>
        <v/>
      </c>
      <c r="AH787" s="526" t="str">
        <f>IF(LANÇ_MOV[[#This Row],[DATA DE VENCIMENTO]]="","",TEXT(LANÇ_MOV[[#This Row],[DATA DE VENCIMENTO]],"D"))</f>
        <v/>
      </c>
      <c r="AI787" s="526" t="str">
        <f>IF(LANÇ_MOV[[#This Row],[DATA DE PAGAMENTO]]="","",TEXT(LANÇ_MOV[[#This Row],[DATA DE PAGAMENTO]],"AAAA"))</f>
        <v/>
      </c>
      <c r="AJ787" s="527" t="str">
        <f>IF(LANÇ_MOV[[#This Row],[DATA DE PAGAMENTO]]="","",UPPER(TEXT(LANÇ_MOV[[#This Row],[DATA DE PAGAMENTO]],"MMMM")))</f>
        <v/>
      </c>
      <c r="AK787" s="527" t="str">
        <f>IF(LANÇ_MOV[[#This Row],[DATA DE PAGAMENTO]]="","",TEXT(LANÇ_MOV[[#This Row],[DATA DE PAGAMENTO]],"M"))</f>
        <v/>
      </c>
      <c r="AL787" s="526" t="str">
        <f>IF(LANÇ_MOV[[#This Row],[DATA DE PAGAMENTO]]="","",TEXT(LANÇ_MOV[[#This Row],[DATA DE PAGAMENTO]],"D"))</f>
        <v/>
      </c>
    </row>
    <row r="788" spans="2:38" ht="30.05" customHeight="1" x14ac:dyDescent="0.35">
      <c r="B788" s="506"/>
      <c r="C788" s="507"/>
      <c r="D788" s="508" t="s">
        <v>1854</v>
      </c>
      <c r="E788" s="509"/>
      <c r="F788" s="510"/>
      <c r="G788" s="507"/>
      <c r="H788" s="511"/>
      <c r="I788" s="512"/>
      <c r="J788" s="518"/>
      <c r="K788" s="510"/>
      <c r="L788" s="510"/>
      <c r="M788" s="548"/>
      <c r="N788" s="514">
        <f>LANÇ_MOV[[#This Row],[VALOR BRUTO]]-LANÇ_MOV[[#This Row],[DESCONTO]]+LANÇ_MOV[[#This Row],[JUROS]]+LANÇ_MOV[[#This Row],[MULTA]]</f>
        <v>0</v>
      </c>
      <c r="O788" s="546"/>
      <c r="P788" s="547" t="str">
        <f t="shared" ca="1" si="12"/>
        <v/>
      </c>
      <c r="Q788" s="528"/>
      <c r="R788" s="529"/>
      <c r="S788" s="518"/>
      <c r="T788" s="518"/>
      <c r="U788" s="519"/>
      <c r="V788" s="520" t="str">
        <f>IFERROR(VLOOKUP(LANÇ_MOV[[#This Row],[PLANO DE CONTAS]],Plano_Contas[[PLANO DE CONTAS]:[R / D]],3,0),"")</f>
        <v/>
      </c>
      <c r="W788" s="521" t="str">
        <f>IF(LANÇ_MOV[[#This Row],[DATA DE PAGAMENTO]]&lt;&gt;"","Pago","Não Pago")</f>
        <v>Não Pago</v>
      </c>
      <c r="X788" s="522" t="str">
        <f>IFERROR(IF(LANÇ_MOV[[#This Row],[DATA DE PAGAMENTO]]="","",(UPPER(TEXT(LANÇ_MOV[[#This Row],[DATA DE PAGAMENTO]],"mmmm")))),"")</f>
        <v/>
      </c>
      <c r="Y788" s="523" t="str">
        <f>IFERROR(VLOOKUP(LANÇ_MOV[[#This Row],[PLANO DE CONTAS]],Plano_Contas[[PLANO DE CONTAS]:[NOMES INTERVALOS]],2,0),"")</f>
        <v/>
      </c>
      <c r="Z788" s="523" t="str">
        <f>IF(LANÇ_MOV[[#This Row],[FORMA DE PAGAMENTO]]="","",VLOOKUP(LANÇ_MOV[[#This Row],[FORMA DE PAGAMENTO]],CAD_Forma_pagto[],2,0))</f>
        <v/>
      </c>
      <c r="AA788" s="524" t="str">
        <f>IF(LANÇ_MOV[[#This Row],[DATA DE LANÇAMENTO]]="","",TEXT(LANÇ_MOV[[#This Row],[DATA DE LANÇAMENTO]],"AAAA"))</f>
        <v/>
      </c>
      <c r="AB788" s="524" t="str">
        <f>IF(LANÇ_MOV[[#This Row],[DATA DE LANÇAMENTO]]="","",UPPER(TEXT(LANÇ_MOV[[#This Row],[DATA DE LANÇAMENTO]],"MMMM")))</f>
        <v/>
      </c>
      <c r="AC788" s="525" t="str">
        <f>IF(LANÇ_MOV[[#This Row],[DATA DE LANÇAMENTO]]="","",PROPER(TEXT(LANÇ_MOV[[#This Row],[DATA DE LANÇAMENTO]],"M")))</f>
        <v/>
      </c>
      <c r="AD788" s="524" t="str">
        <f>IF(LANÇ_MOV[[#This Row],[DATA DE LANÇAMENTO]]="","",TEXT(LANÇ_MOV[[#This Row],[DATA DE LANÇAMENTO]],"D"))</f>
        <v/>
      </c>
      <c r="AE788" s="526" t="str">
        <f>IF(LANÇ_MOV[[#This Row],[DATA DE VENCIMENTO]]="","",TEXT(LANÇ_MOV[[#This Row],[DATA DE VENCIMENTO]],"AAAA"))</f>
        <v/>
      </c>
      <c r="AF788" s="526" t="str">
        <f>IF(LANÇ_MOV[[#This Row],[DATA DE VENCIMENTO]]="","",UPPER(TEXT(LANÇ_MOV[[#This Row],[DATA DE VENCIMENTO]],"MMMM")))</f>
        <v/>
      </c>
      <c r="AG788" s="526" t="str">
        <f>IF(LANÇ_MOV[[#This Row],[DATA DE VENCIMENTO]]="","",TEXT(LANÇ_MOV[[#This Row],[DATA DE VENCIMENTO]],"M"))</f>
        <v/>
      </c>
      <c r="AH788" s="526" t="str">
        <f>IF(LANÇ_MOV[[#This Row],[DATA DE VENCIMENTO]]="","",TEXT(LANÇ_MOV[[#This Row],[DATA DE VENCIMENTO]],"D"))</f>
        <v/>
      </c>
      <c r="AI788" s="526" t="str">
        <f>IF(LANÇ_MOV[[#This Row],[DATA DE PAGAMENTO]]="","",TEXT(LANÇ_MOV[[#This Row],[DATA DE PAGAMENTO]],"AAAA"))</f>
        <v/>
      </c>
      <c r="AJ788" s="527" t="str">
        <f>IF(LANÇ_MOV[[#This Row],[DATA DE PAGAMENTO]]="","",UPPER(TEXT(LANÇ_MOV[[#This Row],[DATA DE PAGAMENTO]],"MMMM")))</f>
        <v/>
      </c>
      <c r="AK788" s="527" t="str">
        <f>IF(LANÇ_MOV[[#This Row],[DATA DE PAGAMENTO]]="","",TEXT(LANÇ_MOV[[#This Row],[DATA DE PAGAMENTO]],"M"))</f>
        <v/>
      </c>
      <c r="AL788" s="526" t="str">
        <f>IF(LANÇ_MOV[[#This Row],[DATA DE PAGAMENTO]]="","",TEXT(LANÇ_MOV[[#This Row],[DATA DE PAGAMENTO]],"D"))</f>
        <v/>
      </c>
    </row>
    <row r="789" spans="2:38" ht="30.05" customHeight="1" x14ac:dyDescent="0.35">
      <c r="B789" s="506"/>
      <c r="C789" s="507"/>
      <c r="D789" s="508" t="s">
        <v>1854</v>
      </c>
      <c r="E789" s="509"/>
      <c r="F789" s="510"/>
      <c r="G789" s="507"/>
      <c r="H789" s="511"/>
      <c r="I789" s="512"/>
      <c r="J789" s="518"/>
      <c r="K789" s="510"/>
      <c r="L789" s="510"/>
      <c r="M789" s="548"/>
      <c r="N789" s="514">
        <f>LANÇ_MOV[[#This Row],[VALOR BRUTO]]-LANÇ_MOV[[#This Row],[DESCONTO]]+LANÇ_MOV[[#This Row],[JUROS]]+LANÇ_MOV[[#This Row],[MULTA]]</f>
        <v>0</v>
      </c>
      <c r="O789" s="546"/>
      <c r="P789" s="547" t="str">
        <f t="shared" ca="1" si="12"/>
        <v/>
      </c>
      <c r="Q789" s="528"/>
      <c r="R789" s="529"/>
      <c r="S789" s="518"/>
      <c r="T789" s="518"/>
      <c r="U789" s="519"/>
      <c r="V789" s="520" t="str">
        <f>IFERROR(VLOOKUP(LANÇ_MOV[[#This Row],[PLANO DE CONTAS]],Plano_Contas[[PLANO DE CONTAS]:[R / D]],3,0),"")</f>
        <v/>
      </c>
      <c r="W789" s="521" t="str">
        <f>IF(LANÇ_MOV[[#This Row],[DATA DE PAGAMENTO]]&lt;&gt;"","Pago","Não Pago")</f>
        <v>Não Pago</v>
      </c>
      <c r="X789" s="522" t="str">
        <f>IFERROR(IF(LANÇ_MOV[[#This Row],[DATA DE PAGAMENTO]]="","",(UPPER(TEXT(LANÇ_MOV[[#This Row],[DATA DE PAGAMENTO]],"mmmm")))),"")</f>
        <v/>
      </c>
      <c r="Y789" s="523" t="str">
        <f>IFERROR(VLOOKUP(LANÇ_MOV[[#This Row],[PLANO DE CONTAS]],Plano_Contas[[PLANO DE CONTAS]:[NOMES INTERVALOS]],2,0),"")</f>
        <v/>
      </c>
      <c r="Z789" s="523" t="str">
        <f>IF(LANÇ_MOV[[#This Row],[FORMA DE PAGAMENTO]]="","",VLOOKUP(LANÇ_MOV[[#This Row],[FORMA DE PAGAMENTO]],CAD_Forma_pagto[],2,0))</f>
        <v/>
      </c>
      <c r="AA789" s="524" t="str">
        <f>IF(LANÇ_MOV[[#This Row],[DATA DE LANÇAMENTO]]="","",TEXT(LANÇ_MOV[[#This Row],[DATA DE LANÇAMENTO]],"AAAA"))</f>
        <v/>
      </c>
      <c r="AB789" s="524" t="str">
        <f>IF(LANÇ_MOV[[#This Row],[DATA DE LANÇAMENTO]]="","",UPPER(TEXT(LANÇ_MOV[[#This Row],[DATA DE LANÇAMENTO]],"MMMM")))</f>
        <v/>
      </c>
      <c r="AC789" s="525" t="str">
        <f>IF(LANÇ_MOV[[#This Row],[DATA DE LANÇAMENTO]]="","",PROPER(TEXT(LANÇ_MOV[[#This Row],[DATA DE LANÇAMENTO]],"M")))</f>
        <v/>
      </c>
      <c r="AD789" s="524" t="str">
        <f>IF(LANÇ_MOV[[#This Row],[DATA DE LANÇAMENTO]]="","",TEXT(LANÇ_MOV[[#This Row],[DATA DE LANÇAMENTO]],"D"))</f>
        <v/>
      </c>
      <c r="AE789" s="526" t="str">
        <f>IF(LANÇ_MOV[[#This Row],[DATA DE VENCIMENTO]]="","",TEXT(LANÇ_MOV[[#This Row],[DATA DE VENCIMENTO]],"AAAA"))</f>
        <v/>
      </c>
      <c r="AF789" s="526" t="str">
        <f>IF(LANÇ_MOV[[#This Row],[DATA DE VENCIMENTO]]="","",UPPER(TEXT(LANÇ_MOV[[#This Row],[DATA DE VENCIMENTO]],"MMMM")))</f>
        <v/>
      </c>
      <c r="AG789" s="526" t="str">
        <f>IF(LANÇ_MOV[[#This Row],[DATA DE VENCIMENTO]]="","",TEXT(LANÇ_MOV[[#This Row],[DATA DE VENCIMENTO]],"M"))</f>
        <v/>
      </c>
      <c r="AH789" s="526" t="str">
        <f>IF(LANÇ_MOV[[#This Row],[DATA DE VENCIMENTO]]="","",TEXT(LANÇ_MOV[[#This Row],[DATA DE VENCIMENTO]],"D"))</f>
        <v/>
      </c>
      <c r="AI789" s="526" t="str">
        <f>IF(LANÇ_MOV[[#This Row],[DATA DE PAGAMENTO]]="","",TEXT(LANÇ_MOV[[#This Row],[DATA DE PAGAMENTO]],"AAAA"))</f>
        <v/>
      </c>
      <c r="AJ789" s="527" t="str">
        <f>IF(LANÇ_MOV[[#This Row],[DATA DE PAGAMENTO]]="","",UPPER(TEXT(LANÇ_MOV[[#This Row],[DATA DE PAGAMENTO]],"MMMM")))</f>
        <v/>
      </c>
      <c r="AK789" s="527" t="str">
        <f>IF(LANÇ_MOV[[#This Row],[DATA DE PAGAMENTO]]="","",TEXT(LANÇ_MOV[[#This Row],[DATA DE PAGAMENTO]],"M"))</f>
        <v/>
      </c>
      <c r="AL789" s="526" t="str">
        <f>IF(LANÇ_MOV[[#This Row],[DATA DE PAGAMENTO]]="","",TEXT(LANÇ_MOV[[#This Row],[DATA DE PAGAMENTO]],"D"))</f>
        <v/>
      </c>
    </row>
    <row r="790" spans="2:38" ht="30.05" customHeight="1" x14ac:dyDescent="0.35">
      <c r="B790" s="506"/>
      <c r="C790" s="507"/>
      <c r="D790" s="508" t="s">
        <v>1854</v>
      </c>
      <c r="E790" s="509"/>
      <c r="F790" s="510"/>
      <c r="G790" s="507"/>
      <c r="H790" s="511"/>
      <c r="I790" s="512"/>
      <c r="J790" s="518"/>
      <c r="K790" s="510"/>
      <c r="L790" s="510"/>
      <c r="M790" s="548"/>
      <c r="N790" s="514">
        <f>LANÇ_MOV[[#This Row],[VALOR BRUTO]]-LANÇ_MOV[[#This Row],[DESCONTO]]+LANÇ_MOV[[#This Row],[JUROS]]+LANÇ_MOV[[#This Row],[MULTA]]</f>
        <v>0</v>
      </c>
      <c r="O790" s="546"/>
      <c r="P790" s="547" t="str">
        <f t="shared" ca="1" si="12"/>
        <v/>
      </c>
      <c r="Q790" s="528"/>
      <c r="R790" s="529"/>
      <c r="S790" s="518"/>
      <c r="T790" s="518"/>
      <c r="U790" s="519"/>
      <c r="V790" s="520" t="str">
        <f>IFERROR(VLOOKUP(LANÇ_MOV[[#This Row],[PLANO DE CONTAS]],Plano_Contas[[PLANO DE CONTAS]:[R / D]],3,0),"")</f>
        <v/>
      </c>
      <c r="W790" s="521" t="str">
        <f>IF(LANÇ_MOV[[#This Row],[DATA DE PAGAMENTO]]&lt;&gt;"","Pago","Não Pago")</f>
        <v>Não Pago</v>
      </c>
      <c r="X790" s="522" t="str">
        <f>IFERROR(IF(LANÇ_MOV[[#This Row],[DATA DE PAGAMENTO]]="","",(UPPER(TEXT(LANÇ_MOV[[#This Row],[DATA DE PAGAMENTO]],"mmmm")))),"")</f>
        <v/>
      </c>
      <c r="Y790" s="523" t="str">
        <f>IFERROR(VLOOKUP(LANÇ_MOV[[#This Row],[PLANO DE CONTAS]],Plano_Contas[[PLANO DE CONTAS]:[NOMES INTERVALOS]],2,0),"")</f>
        <v/>
      </c>
      <c r="Z790" s="523" t="str">
        <f>IF(LANÇ_MOV[[#This Row],[FORMA DE PAGAMENTO]]="","",VLOOKUP(LANÇ_MOV[[#This Row],[FORMA DE PAGAMENTO]],CAD_Forma_pagto[],2,0))</f>
        <v/>
      </c>
      <c r="AA790" s="524" t="str">
        <f>IF(LANÇ_MOV[[#This Row],[DATA DE LANÇAMENTO]]="","",TEXT(LANÇ_MOV[[#This Row],[DATA DE LANÇAMENTO]],"AAAA"))</f>
        <v/>
      </c>
      <c r="AB790" s="524" t="str">
        <f>IF(LANÇ_MOV[[#This Row],[DATA DE LANÇAMENTO]]="","",UPPER(TEXT(LANÇ_MOV[[#This Row],[DATA DE LANÇAMENTO]],"MMMM")))</f>
        <v/>
      </c>
      <c r="AC790" s="525" t="str">
        <f>IF(LANÇ_MOV[[#This Row],[DATA DE LANÇAMENTO]]="","",PROPER(TEXT(LANÇ_MOV[[#This Row],[DATA DE LANÇAMENTO]],"M")))</f>
        <v/>
      </c>
      <c r="AD790" s="524" t="str">
        <f>IF(LANÇ_MOV[[#This Row],[DATA DE LANÇAMENTO]]="","",TEXT(LANÇ_MOV[[#This Row],[DATA DE LANÇAMENTO]],"D"))</f>
        <v/>
      </c>
      <c r="AE790" s="526" t="str">
        <f>IF(LANÇ_MOV[[#This Row],[DATA DE VENCIMENTO]]="","",TEXT(LANÇ_MOV[[#This Row],[DATA DE VENCIMENTO]],"AAAA"))</f>
        <v/>
      </c>
      <c r="AF790" s="526" t="str">
        <f>IF(LANÇ_MOV[[#This Row],[DATA DE VENCIMENTO]]="","",UPPER(TEXT(LANÇ_MOV[[#This Row],[DATA DE VENCIMENTO]],"MMMM")))</f>
        <v/>
      </c>
      <c r="AG790" s="526" t="str">
        <f>IF(LANÇ_MOV[[#This Row],[DATA DE VENCIMENTO]]="","",TEXT(LANÇ_MOV[[#This Row],[DATA DE VENCIMENTO]],"M"))</f>
        <v/>
      </c>
      <c r="AH790" s="526" t="str">
        <f>IF(LANÇ_MOV[[#This Row],[DATA DE VENCIMENTO]]="","",TEXT(LANÇ_MOV[[#This Row],[DATA DE VENCIMENTO]],"D"))</f>
        <v/>
      </c>
      <c r="AI790" s="526" t="str">
        <f>IF(LANÇ_MOV[[#This Row],[DATA DE PAGAMENTO]]="","",TEXT(LANÇ_MOV[[#This Row],[DATA DE PAGAMENTO]],"AAAA"))</f>
        <v/>
      </c>
      <c r="AJ790" s="527" t="str">
        <f>IF(LANÇ_MOV[[#This Row],[DATA DE PAGAMENTO]]="","",UPPER(TEXT(LANÇ_MOV[[#This Row],[DATA DE PAGAMENTO]],"MMMM")))</f>
        <v/>
      </c>
      <c r="AK790" s="527" t="str">
        <f>IF(LANÇ_MOV[[#This Row],[DATA DE PAGAMENTO]]="","",TEXT(LANÇ_MOV[[#This Row],[DATA DE PAGAMENTO]],"M"))</f>
        <v/>
      </c>
      <c r="AL790" s="526" t="str">
        <f>IF(LANÇ_MOV[[#This Row],[DATA DE PAGAMENTO]]="","",TEXT(LANÇ_MOV[[#This Row],[DATA DE PAGAMENTO]],"D"))</f>
        <v/>
      </c>
    </row>
    <row r="791" spans="2:38" ht="30.05" customHeight="1" x14ac:dyDescent="0.35">
      <c r="B791" s="506"/>
      <c r="C791" s="507"/>
      <c r="D791" s="508" t="s">
        <v>1854</v>
      </c>
      <c r="E791" s="509"/>
      <c r="F791" s="510"/>
      <c r="G791" s="507"/>
      <c r="H791" s="511"/>
      <c r="I791" s="512"/>
      <c r="J791" s="518"/>
      <c r="K791" s="510"/>
      <c r="L791" s="510"/>
      <c r="M791" s="548"/>
      <c r="N791" s="514">
        <f>LANÇ_MOV[[#This Row],[VALOR BRUTO]]-LANÇ_MOV[[#This Row],[DESCONTO]]+LANÇ_MOV[[#This Row],[JUROS]]+LANÇ_MOV[[#This Row],[MULTA]]</f>
        <v>0</v>
      </c>
      <c r="O791" s="546"/>
      <c r="P791" s="547" t="str">
        <f t="shared" ca="1" si="12"/>
        <v/>
      </c>
      <c r="Q791" s="528"/>
      <c r="R791" s="529"/>
      <c r="S791" s="518"/>
      <c r="T791" s="518"/>
      <c r="U791" s="519"/>
      <c r="V791" s="520" t="str">
        <f>IFERROR(VLOOKUP(LANÇ_MOV[[#This Row],[PLANO DE CONTAS]],Plano_Contas[[PLANO DE CONTAS]:[R / D]],3,0),"")</f>
        <v/>
      </c>
      <c r="W791" s="521" t="str">
        <f>IF(LANÇ_MOV[[#This Row],[DATA DE PAGAMENTO]]&lt;&gt;"","Pago","Não Pago")</f>
        <v>Não Pago</v>
      </c>
      <c r="X791" s="522" t="str">
        <f>IFERROR(IF(LANÇ_MOV[[#This Row],[DATA DE PAGAMENTO]]="","",(UPPER(TEXT(LANÇ_MOV[[#This Row],[DATA DE PAGAMENTO]],"mmmm")))),"")</f>
        <v/>
      </c>
      <c r="Y791" s="523" t="str">
        <f>IFERROR(VLOOKUP(LANÇ_MOV[[#This Row],[PLANO DE CONTAS]],Plano_Contas[[PLANO DE CONTAS]:[NOMES INTERVALOS]],2,0),"")</f>
        <v/>
      </c>
      <c r="Z791" s="523" t="str">
        <f>IF(LANÇ_MOV[[#This Row],[FORMA DE PAGAMENTO]]="","",VLOOKUP(LANÇ_MOV[[#This Row],[FORMA DE PAGAMENTO]],CAD_Forma_pagto[],2,0))</f>
        <v/>
      </c>
      <c r="AA791" s="524" t="str">
        <f>IF(LANÇ_MOV[[#This Row],[DATA DE LANÇAMENTO]]="","",TEXT(LANÇ_MOV[[#This Row],[DATA DE LANÇAMENTO]],"AAAA"))</f>
        <v/>
      </c>
      <c r="AB791" s="524" t="str">
        <f>IF(LANÇ_MOV[[#This Row],[DATA DE LANÇAMENTO]]="","",UPPER(TEXT(LANÇ_MOV[[#This Row],[DATA DE LANÇAMENTO]],"MMMM")))</f>
        <v/>
      </c>
      <c r="AC791" s="525" t="str">
        <f>IF(LANÇ_MOV[[#This Row],[DATA DE LANÇAMENTO]]="","",PROPER(TEXT(LANÇ_MOV[[#This Row],[DATA DE LANÇAMENTO]],"M")))</f>
        <v/>
      </c>
      <c r="AD791" s="524" t="str">
        <f>IF(LANÇ_MOV[[#This Row],[DATA DE LANÇAMENTO]]="","",TEXT(LANÇ_MOV[[#This Row],[DATA DE LANÇAMENTO]],"D"))</f>
        <v/>
      </c>
      <c r="AE791" s="526" t="str">
        <f>IF(LANÇ_MOV[[#This Row],[DATA DE VENCIMENTO]]="","",TEXT(LANÇ_MOV[[#This Row],[DATA DE VENCIMENTO]],"AAAA"))</f>
        <v/>
      </c>
      <c r="AF791" s="526" t="str">
        <f>IF(LANÇ_MOV[[#This Row],[DATA DE VENCIMENTO]]="","",UPPER(TEXT(LANÇ_MOV[[#This Row],[DATA DE VENCIMENTO]],"MMMM")))</f>
        <v/>
      </c>
      <c r="AG791" s="526" t="str">
        <f>IF(LANÇ_MOV[[#This Row],[DATA DE VENCIMENTO]]="","",TEXT(LANÇ_MOV[[#This Row],[DATA DE VENCIMENTO]],"M"))</f>
        <v/>
      </c>
      <c r="AH791" s="526" t="str">
        <f>IF(LANÇ_MOV[[#This Row],[DATA DE VENCIMENTO]]="","",TEXT(LANÇ_MOV[[#This Row],[DATA DE VENCIMENTO]],"D"))</f>
        <v/>
      </c>
      <c r="AI791" s="526" t="str">
        <f>IF(LANÇ_MOV[[#This Row],[DATA DE PAGAMENTO]]="","",TEXT(LANÇ_MOV[[#This Row],[DATA DE PAGAMENTO]],"AAAA"))</f>
        <v/>
      </c>
      <c r="AJ791" s="527" t="str">
        <f>IF(LANÇ_MOV[[#This Row],[DATA DE PAGAMENTO]]="","",UPPER(TEXT(LANÇ_MOV[[#This Row],[DATA DE PAGAMENTO]],"MMMM")))</f>
        <v/>
      </c>
      <c r="AK791" s="527" t="str">
        <f>IF(LANÇ_MOV[[#This Row],[DATA DE PAGAMENTO]]="","",TEXT(LANÇ_MOV[[#This Row],[DATA DE PAGAMENTO]],"M"))</f>
        <v/>
      </c>
      <c r="AL791" s="526" t="str">
        <f>IF(LANÇ_MOV[[#This Row],[DATA DE PAGAMENTO]]="","",TEXT(LANÇ_MOV[[#This Row],[DATA DE PAGAMENTO]],"D"))</f>
        <v/>
      </c>
    </row>
    <row r="792" spans="2:38" ht="30.05" customHeight="1" x14ac:dyDescent="0.35">
      <c r="B792" s="506"/>
      <c r="C792" s="507"/>
      <c r="D792" s="508" t="s">
        <v>1854</v>
      </c>
      <c r="E792" s="509"/>
      <c r="F792" s="510"/>
      <c r="G792" s="507"/>
      <c r="H792" s="511"/>
      <c r="I792" s="512"/>
      <c r="J792" s="518"/>
      <c r="K792" s="510"/>
      <c r="L792" s="510"/>
      <c r="M792" s="548"/>
      <c r="N792" s="514">
        <f>LANÇ_MOV[[#This Row],[VALOR BRUTO]]-LANÇ_MOV[[#This Row],[DESCONTO]]+LANÇ_MOV[[#This Row],[JUROS]]+LANÇ_MOV[[#This Row],[MULTA]]</f>
        <v>0</v>
      </c>
      <c r="O792" s="546"/>
      <c r="P792" s="547" t="str">
        <f t="shared" ca="1" si="12"/>
        <v/>
      </c>
      <c r="Q792" s="528"/>
      <c r="R792" s="529"/>
      <c r="S792" s="518"/>
      <c r="T792" s="518"/>
      <c r="U792" s="519"/>
      <c r="V792" s="520" t="str">
        <f>IFERROR(VLOOKUP(LANÇ_MOV[[#This Row],[PLANO DE CONTAS]],Plano_Contas[[PLANO DE CONTAS]:[R / D]],3,0),"")</f>
        <v/>
      </c>
      <c r="W792" s="521" t="str">
        <f>IF(LANÇ_MOV[[#This Row],[DATA DE PAGAMENTO]]&lt;&gt;"","Pago","Não Pago")</f>
        <v>Não Pago</v>
      </c>
      <c r="X792" s="522" t="str">
        <f>IFERROR(IF(LANÇ_MOV[[#This Row],[DATA DE PAGAMENTO]]="","",(UPPER(TEXT(LANÇ_MOV[[#This Row],[DATA DE PAGAMENTO]],"mmmm")))),"")</f>
        <v/>
      </c>
      <c r="Y792" s="523" t="str">
        <f>IFERROR(VLOOKUP(LANÇ_MOV[[#This Row],[PLANO DE CONTAS]],Plano_Contas[[PLANO DE CONTAS]:[NOMES INTERVALOS]],2,0),"")</f>
        <v/>
      </c>
      <c r="Z792" s="523" t="str">
        <f>IF(LANÇ_MOV[[#This Row],[FORMA DE PAGAMENTO]]="","",VLOOKUP(LANÇ_MOV[[#This Row],[FORMA DE PAGAMENTO]],CAD_Forma_pagto[],2,0))</f>
        <v/>
      </c>
      <c r="AA792" s="524" t="str">
        <f>IF(LANÇ_MOV[[#This Row],[DATA DE LANÇAMENTO]]="","",TEXT(LANÇ_MOV[[#This Row],[DATA DE LANÇAMENTO]],"AAAA"))</f>
        <v/>
      </c>
      <c r="AB792" s="524" t="str">
        <f>IF(LANÇ_MOV[[#This Row],[DATA DE LANÇAMENTO]]="","",UPPER(TEXT(LANÇ_MOV[[#This Row],[DATA DE LANÇAMENTO]],"MMMM")))</f>
        <v/>
      </c>
      <c r="AC792" s="525" t="str">
        <f>IF(LANÇ_MOV[[#This Row],[DATA DE LANÇAMENTO]]="","",PROPER(TEXT(LANÇ_MOV[[#This Row],[DATA DE LANÇAMENTO]],"M")))</f>
        <v/>
      </c>
      <c r="AD792" s="524" t="str">
        <f>IF(LANÇ_MOV[[#This Row],[DATA DE LANÇAMENTO]]="","",TEXT(LANÇ_MOV[[#This Row],[DATA DE LANÇAMENTO]],"D"))</f>
        <v/>
      </c>
      <c r="AE792" s="526" t="str">
        <f>IF(LANÇ_MOV[[#This Row],[DATA DE VENCIMENTO]]="","",TEXT(LANÇ_MOV[[#This Row],[DATA DE VENCIMENTO]],"AAAA"))</f>
        <v/>
      </c>
      <c r="AF792" s="526" t="str">
        <f>IF(LANÇ_MOV[[#This Row],[DATA DE VENCIMENTO]]="","",UPPER(TEXT(LANÇ_MOV[[#This Row],[DATA DE VENCIMENTO]],"MMMM")))</f>
        <v/>
      </c>
      <c r="AG792" s="526" t="str">
        <f>IF(LANÇ_MOV[[#This Row],[DATA DE VENCIMENTO]]="","",TEXT(LANÇ_MOV[[#This Row],[DATA DE VENCIMENTO]],"M"))</f>
        <v/>
      </c>
      <c r="AH792" s="526" t="str">
        <f>IF(LANÇ_MOV[[#This Row],[DATA DE VENCIMENTO]]="","",TEXT(LANÇ_MOV[[#This Row],[DATA DE VENCIMENTO]],"D"))</f>
        <v/>
      </c>
      <c r="AI792" s="526" t="str">
        <f>IF(LANÇ_MOV[[#This Row],[DATA DE PAGAMENTO]]="","",TEXT(LANÇ_MOV[[#This Row],[DATA DE PAGAMENTO]],"AAAA"))</f>
        <v/>
      </c>
      <c r="AJ792" s="527" t="str">
        <f>IF(LANÇ_MOV[[#This Row],[DATA DE PAGAMENTO]]="","",UPPER(TEXT(LANÇ_MOV[[#This Row],[DATA DE PAGAMENTO]],"MMMM")))</f>
        <v/>
      </c>
      <c r="AK792" s="527" t="str">
        <f>IF(LANÇ_MOV[[#This Row],[DATA DE PAGAMENTO]]="","",TEXT(LANÇ_MOV[[#This Row],[DATA DE PAGAMENTO]],"M"))</f>
        <v/>
      </c>
      <c r="AL792" s="526" t="str">
        <f>IF(LANÇ_MOV[[#This Row],[DATA DE PAGAMENTO]]="","",TEXT(LANÇ_MOV[[#This Row],[DATA DE PAGAMENTO]],"D"))</f>
        <v/>
      </c>
    </row>
    <row r="793" spans="2:38" ht="30.05" customHeight="1" x14ac:dyDescent="0.35">
      <c r="B793" s="506"/>
      <c r="C793" s="507"/>
      <c r="D793" s="508" t="s">
        <v>1854</v>
      </c>
      <c r="E793" s="509"/>
      <c r="F793" s="510"/>
      <c r="G793" s="507"/>
      <c r="H793" s="511"/>
      <c r="I793" s="512"/>
      <c r="J793" s="518"/>
      <c r="K793" s="510"/>
      <c r="L793" s="510"/>
      <c r="M793" s="548"/>
      <c r="N793" s="514">
        <f>LANÇ_MOV[[#This Row],[VALOR BRUTO]]-LANÇ_MOV[[#This Row],[DESCONTO]]+LANÇ_MOV[[#This Row],[JUROS]]+LANÇ_MOV[[#This Row],[MULTA]]</f>
        <v>0</v>
      </c>
      <c r="O793" s="546"/>
      <c r="P793" s="547" t="str">
        <f t="shared" ca="1" si="12"/>
        <v/>
      </c>
      <c r="Q793" s="528"/>
      <c r="R793" s="529"/>
      <c r="S793" s="518"/>
      <c r="T793" s="518"/>
      <c r="U793" s="519"/>
      <c r="V793" s="520" t="str">
        <f>IFERROR(VLOOKUP(LANÇ_MOV[[#This Row],[PLANO DE CONTAS]],Plano_Contas[[PLANO DE CONTAS]:[R / D]],3,0),"")</f>
        <v/>
      </c>
      <c r="W793" s="521" t="str">
        <f>IF(LANÇ_MOV[[#This Row],[DATA DE PAGAMENTO]]&lt;&gt;"","Pago","Não Pago")</f>
        <v>Não Pago</v>
      </c>
      <c r="X793" s="522" t="str">
        <f>IFERROR(IF(LANÇ_MOV[[#This Row],[DATA DE PAGAMENTO]]="","",(UPPER(TEXT(LANÇ_MOV[[#This Row],[DATA DE PAGAMENTO]],"mmmm")))),"")</f>
        <v/>
      </c>
      <c r="Y793" s="523" t="str">
        <f>IFERROR(VLOOKUP(LANÇ_MOV[[#This Row],[PLANO DE CONTAS]],Plano_Contas[[PLANO DE CONTAS]:[NOMES INTERVALOS]],2,0),"")</f>
        <v/>
      </c>
      <c r="Z793" s="523" t="str">
        <f>IF(LANÇ_MOV[[#This Row],[FORMA DE PAGAMENTO]]="","",VLOOKUP(LANÇ_MOV[[#This Row],[FORMA DE PAGAMENTO]],CAD_Forma_pagto[],2,0))</f>
        <v/>
      </c>
      <c r="AA793" s="524" t="str">
        <f>IF(LANÇ_MOV[[#This Row],[DATA DE LANÇAMENTO]]="","",TEXT(LANÇ_MOV[[#This Row],[DATA DE LANÇAMENTO]],"AAAA"))</f>
        <v/>
      </c>
      <c r="AB793" s="524" t="str">
        <f>IF(LANÇ_MOV[[#This Row],[DATA DE LANÇAMENTO]]="","",UPPER(TEXT(LANÇ_MOV[[#This Row],[DATA DE LANÇAMENTO]],"MMMM")))</f>
        <v/>
      </c>
      <c r="AC793" s="525" t="str">
        <f>IF(LANÇ_MOV[[#This Row],[DATA DE LANÇAMENTO]]="","",PROPER(TEXT(LANÇ_MOV[[#This Row],[DATA DE LANÇAMENTO]],"M")))</f>
        <v/>
      </c>
      <c r="AD793" s="524" t="str">
        <f>IF(LANÇ_MOV[[#This Row],[DATA DE LANÇAMENTO]]="","",TEXT(LANÇ_MOV[[#This Row],[DATA DE LANÇAMENTO]],"D"))</f>
        <v/>
      </c>
      <c r="AE793" s="526" t="str">
        <f>IF(LANÇ_MOV[[#This Row],[DATA DE VENCIMENTO]]="","",TEXT(LANÇ_MOV[[#This Row],[DATA DE VENCIMENTO]],"AAAA"))</f>
        <v/>
      </c>
      <c r="AF793" s="526" t="str">
        <f>IF(LANÇ_MOV[[#This Row],[DATA DE VENCIMENTO]]="","",UPPER(TEXT(LANÇ_MOV[[#This Row],[DATA DE VENCIMENTO]],"MMMM")))</f>
        <v/>
      </c>
      <c r="AG793" s="526" t="str">
        <f>IF(LANÇ_MOV[[#This Row],[DATA DE VENCIMENTO]]="","",TEXT(LANÇ_MOV[[#This Row],[DATA DE VENCIMENTO]],"M"))</f>
        <v/>
      </c>
      <c r="AH793" s="526" t="str">
        <f>IF(LANÇ_MOV[[#This Row],[DATA DE VENCIMENTO]]="","",TEXT(LANÇ_MOV[[#This Row],[DATA DE VENCIMENTO]],"D"))</f>
        <v/>
      </c>
      <c r="AI793" s="526" t="str">
        <f>IF(LANÇ_MOV[[#This Row],[DATA DE PAGAMENTO]]="","",TEXT(LANÇ_MOV[[#This Row],[DATA DE PAGAMENTO]],"AAAA"))</f>
        <v/>
      </c>
      <c r="AJ793" s="527" t="str">
        <f>IF(LANÇ_MOV[[#This Row],[DATA DE PAGAMENTO]]="","",UPPER(TEXT(LANÇ_MOV[[#This Row],[DATA DE PAGAMENTO]],"MMMM")))</f>
        <v/>
      </c>
      <c r="AK793" s="527" t="str">
        <f>IF(LANÇ_MOV[[#This Row],[DATA DE PAGAMENTO]]="","",TEXT(LANÇ_MOV[[#This Row],[DATA DE PAGAMENTO]],"M"))</f>
        <v/>
      </c>
      <c r="AL793" s="526" t="str">
        <f>IF(LANÇ_MOV[[#This Row],[DATA DE PAGAMENTO]]="","",TEXT(LANÇ_MOV[[#This Row],[DATA DE PAGAMENTO]],"D"))</f>
        <v/>
      </c>
    </row>
    <row r="794" spans="2:38" ht="30.05" customHeight="1" x14ac:dyDescent="0.35">
      <c r="B794" s="506"/>
      <c r="C794" s="507"/>
      <c r="D794" s="508" t="s">
        <v>1854</v>
      </c>
      <c r="E794" s="509"/>
      <c r="F794" s="510"/>
      <c r="G794" s="507"/>
      <c r="H794" s="511"/>
      <c r="I794" s="512"/>
      <c r="J794" s="518"/>
      <c r="K794" s="510"/>
      <c r="L794" s="510"/>
      <c r="M794" s="548"/>
      <c r="N794" s="514">
        <f>LANÇ_MOV[[#This Row],[VALOR BRUTO]]-LANÇ_MOV[[#This Row],[DESCONTO]]+LANÇ_MOV[[#This Row],[JUROS]]+LANÇ_MOV[[#This Row],[MULTA]]</f>
        <v>0</v>
      </c>
      <c r="O794" s="546"/>
      <c r="P794" s="547" t="str">
        <f t="shared" ca="1" si="12"/>
        <v/>
      </c>
      <c r="Q794" s="528"/>
      <c r="R794" s="529"/>
      <c r="S794" s="518"/>
      <c r="T794" s="518"/>
      <c r="U794" s="519"/>
      <c r="V794" s="520" t="str">
        <f>IFERROR(VLOOKUP(LANÇ_MOV[[#This Row],[PLANO DE CONTAS]],Plano_Contas[[PLANO DE CONTAS]:[R / D]],3,0),"")</f>
        <v/>
      </c>
      <c r="W794" s="521" t="str">
        <f>IF(LANÇ_MOV[[#This Row],[DATA DE PAGAMENTO]]&lt;&gt;"","Pago","Não Pago")</f>
        <v>Não Pago</v>
      </c>
      <c r="X794" s="522" t="str">
        <f>IFERROR(IF(LANÇ_MOV[[#This Row],[DATA DE PAGAMENTO]]="","",(UPPER(TEXT(LANÇ_MOV[[#This Row],[DATA DE PAGAMENTO]],"mmmm")))),"")</f>
        <v/>
      </c>
      <c r="Y794" s="523" t="str">
        <f>IFERROR(VLOOKUP(LANÇ_MOV[[#This Row],[PLANO DE CONTAS]],Plano_Contas[[PLANO DE CONTAS]:[NOMES INTERVALOS]],2,0),"")</f>
        <v/>
      </c>
      <c r="Z794" s="523" t="str">
        <f>IF(LANÇ_MOV[[#This Row],[FORMA DE PAGAMENTO]]="","",VLOOKUP(LANÇ_MOV[[#This Row],[FORMA DE PAGAMENTO]],CAD_Forma_pagto[],2,0))</f>
        <v/>
      </c>
      <c r="AA794" s="524" t="str">
        <f>IF(LANÇ_MOV[[#This Row],[DATA DE LANÇAMENTO]]="","",TEXT(LANÇ_MOV[[#This Row],[DATA DE LANÇAMENTO]],"AAAA"))</f>
        <v/>
      </c>
      <c r="AB794" s="524" t="str">
        <f>IF(LANÇ_MOV[[#This Row],[DATA DE LANÇAMENTO]]="","",UPPER(TEXT(LANÇ_MOV[[#This Row],[DATA DE LANÇAMENTO]],"MMMM")))</f>
        <v/>
      </c>
      <c r="AC794" s="525" t="str">
        <f>IF(LANÇ_MOV[[#This Row],[DATA DE LANÇAMENTO]]="","",PROPER(TEXT(LANÇ_MOV[[#This Row],[DATA DE LANÇAMENTO]],"M")))</f>
        <v/>
      </c>
      <c r="AD794" s="524" t="str">
        <f>IF(LANÇ_MOV[[#This Row],[DATA DE LANÇAMENTO]]="","",TEXT(LANÇ_MOV[[#This Row],[DATA DE LANÇAMENTO]],"D"))</f>
        <v/>
      </c>
      <c r="AE794" s="526" t="str">
        <f>IF(LANÇ_MOV[[#This Row],[DATA DE VENCIMENTO]]="","",TEXT(LANÇ_MOV[[#This Row],[DATA DE VENCIMENTO]],"AAAA"))</f>
        <v/>
      </c>
      <c r="AF794" s="526" t="str">
        <f>IF(LANÇ_MOV[[#This Row],[DATA DE VENCIMENTO]]="","",UPPER(TEXT(LANÇ_MOV[[#This Row],[DATA DE VENCIMENTO]],"MMMM")))</f>
        <v/>
      </c>
      <c r="AG794" s="526" t="str">
        <f>IF(LANÇ_MOV[[#This Row],[DATA DE VENCIMENTO]]="","",TEXT(LANÇ_MOV[[#This Row],[DATA DE VENCIMENTO]],"M"))</f>
        <v/>
      </c>
      <c r="AH794" s="526" t="str">
        <f>IF(LANÇ_MOV[[#This Row],[DATA DE VENCIMENTO]]="","",TEXT(LANÇ_MOV[[#This Row],[DATA DE VENCIMENTO]],"D"))</f>
        <v/>
      </c>
      <c r="AI794" s="526" t="str">
        <f>IF(LANÇ_MOV[[#This Row],[DATA DE PAGAMENTO]]="","",TEXT(LANÇ_MOV[[#This Row],[DATA DE PAGAMENTO]],"AAAA"))</f>
        <v/>
      </c>
      <c r="AJ794" s="527" t="str">
        <f>IF(LANÇ_MOV[[#This Row],[DATA DE PAGAMENTO]]="","",UPPER(TEXT(LANÇ_MOV[[#This Row],[DATA DE PAGAMENTO]],"MMMM")))</f>
        <v/>
      </c>
      <c r="AK794" s="527" t="str">
        <f>IF(LANÇ_MOV[[#This Row],[DATA DE PAGAMENTO]]="","",TEXT(LANÇ_MOV[[#This Row],[DATA DE PAGAMENTO]],"M"))</f>
        <v/>
      </c>
      <c r="AL794" s="526" t="str">
        <f>IF(LANÇ_MOV[[#This Row],[DATA DE PAGAMENTO]]="","",TEXT(LANÇ_MOV[[#This Row],[DATA DE PAGAMENTO]],"D"))</f>
        <v/>
      </c>
    </row>
    <row r="795" spans="2:38" ht="30.05" customHeight="1" x14ac:dyDescent="0.35">
      <c r="B795" s="506"/>
      <c r="C795" s="507"/>
      <c r="D795" s="508" t="s">
        <v>1854</v>
      </c>
      <c r="E795" s="509"/>
      <c r="F795" s="510"/>
      <c r="G795" s="507"/>
      <c r="H795" s="511"/>
      <c r="I795" s="512"/>
      <c r="J795" s="518"/>
      <c r="K795" s="510"/>
      <c r="L795" s="510"/>
      <c r="M795" s="548"/>
      <c r="N795" s="514">
        <f>LANÇ_MOV[[#This Row],[VALOR BRUTO]]-LANÇ_MOV[[#This Row],[DESCONTO]]+LANÇ_MOV[[#This Row],[JUROS]]+LANÇ_MOV[[#This Row],[MULTA]]</f>
        <v>0</v>
      </c>
      <c r="O795" s="546"/>
      <c r="P795" s="547" t="str">
        <f t="shared" ca="1" si="12"/>
        <v/>
      </c>
      <c r="Q795" s="528"/>
      <c r="R795" s="529"/>
      <c r="S795" s="518"/>
      <c r="T795" s="518"/>
      <c r="U795" s="519"/>
      <c r="V795" s="520" t="str">
        <f>IFERROR(VLOOKUP(LANÇ_MOV[[#This Row],[PLANO DE CONTAS]],Plano_Contas[[PLANO DE CONTAS]:[R / D]],3,0),"")</f>
        <v/>
      </c>
      <c r="W795" s="521" t="str">
        <f>IF(LANÇ_MOV[[#This Row],[DATA DE PAGAMENTO]]&lt;&gt;"","Pago","Não Pago")</f>
        <v>Não Pago</v>
      </c>
      <c r="X795" s="522" t="str">
        <f>IFERROR(IF(LANÇ_MOV[[#This Row],[DATA DE PAGAMENTO]]="","",(UPPER(TEXT(LANÇ_MOV[[#This Row],[DATA DE PAGAMENTO]],"mmmm")))),"")</f>
        <v/>
      </c>
      <c r="Y795" s="523" t="str">
        <f>IFERROR(VLOOKUP(LANÇ_MOV[[#This Row],[PLANO DE CONTAS]],Plano_Contas[[PLANO DE CONTAS]:[NOMES INTERVALOS]],2,0),"")</f>
        <v/>
      </c>
      <c r="Z795" s="523" t="str">
        <f>IF(LANÇ_MOV[[#This Row],[FORMA DE PAGAMENTO]]="","",VLOOKUP(LANÇ_MOV[[#This Row],[FORMA DE PAGAMENTO]],CAD_Forma_pagto[],2,0))</f>
        <v/>
      </c>
      <c r="AA795" s="524" t="str">
        <f>IF(LANÇ_MOV[[#This Row],[DATA DE LANÇAMENTO]]="","",TEXT(LANÇ_MOV[[#This Row],[DATA DE LANÇAMENTO]],"AAAA"))</f>
        <v/>
      </c>
      <c r="AB795" s="524" t="str">
        <f>IF(LANÇ_MOV[[#This Row],[DATA DE LANÇAMENTO]]="","",UPPER(TEXT(LANÇ_MOV[[#This Row],[DATA DE LANÇAMENTO]],"MMMM")))</f>
        <v/>
      </c>
      <c r="AC795" s="525" t="str">
        <f>IF(LANÇ_MOV[[#This Row],[DATA DE LANÇAMENTO]]="","",PROPER(TEXT(LANÇ_MOV[[#This Row],[DATA DE LANÇAMENTO]],"M")))</f>
        <v/>
      </c>
      <c r="AD795" s="524" t="str">
        <f>IF(LANÇ_MOV[[#This Row],[DATA DE LANÇAMENTO]]="","",TEXT(LANÇ_MOV[[#This Row],[DATA DE LANÇAMENTO]],"D"))</f>
        <v/>
      </c>
      <c r="AE795" s="526" t="str">
        <f>IF(LANÇ_MOV[[#This Row],[DATA DE VENCIMENTO]]="","",TEXT(LANÇ_MOV[[#This Row],[DATA DE VENCIMENTO]],"AAAA"))</f>
        <v/>
      </c>
      <c r="AF795" s="526" t="str">
        <f>IF(LANÇ_MOV[[#This Row],[DATA DE VENCIMENTO]]="","",UPPER(TEXT(LANÇ_MOV[[#This Row],[DATA DE VENCIMENTO]],"MMMM")))</f>
        <v/>
      </c>
      <c r="AG795" s="526" t="str">
        <f>IF(LANÇ_MOV[[#This Row],[DATA DE VENCIMENTO]]="","",TEXT(LANÇ_MOV[[#This Row],[DATA DE VENCIMENTO]],"M"))</f>
        <v/>
      </c>
      <c r="AH795" s="526" t="str">
        <f>IF(LANÇ_MOV[[#This Row],[DATA DE VENCIMENTO]]="","",TEXT(LANÇ_MOV[[#This Row],[DATA DE VENCIMENTO]],"D"))</f>
        <v/>
      </c>
      <c r="AI795" s="526" t="str">
        <f>IF(LANÇ_MOV[[#This Row],[DATA DE PAGAMENTO]]="","",TEXT(LANÇ_MOV[[#This Row],[DATA DE PAGAMENTO]],"AAAA"))</f>
        <v/>
      </c>
      <c r="AJ795" s="527" t="str">
        <f>IF(LANÇ_MOV[[#This Row],[DATA DE PAGAMENTO]]="","",UPPER(TEXT(LANÇ_MOV[[#This Row],[DATA DE PAGAMENTO]],"MMMM")))</f>
        <v/>
      </c>
      <c r="AK795" s="527" t="str">
        <f>IF(LANÇ_MOV[[#This Row],[DATA DE PAGAMENTO]]="","",TEXT(LANÇ_MOV[[#This Row],[DATA DE PAGAMENTO]],"M"))</f>
        <v/>
      </c>
      <c r="AL795" s="526" t="str">
        <f>IF(LANÇ_MOV[[#This Row],[DATA DE PAGAMENTO]]="","",TEXT(LANÇ_MOV[[#This Row],[DATA DE PAGAMENTO]],"D"))</f>
        <v/>
      </c>
    </row>
    <row r="796" spans="2:38" ht="30.05" customHeight="1" x14ac:dyDescent="0.35">
      <c r="B796" s="506"/>
      <c r="C796" s="507"/>
      <c r="D796" s="508" t="s">
        <v>1854</v>
      </c>
      <c r="E796" s="509"/>
      <c r="F796" s="510"/>
      <c r="G796" s="507"/>
      <c r="H796" s="511"/>
      <c r="I796" s="512"/>
      <c r="J796" s="518"/>
      <c r="K796" s="510"/>
      <c r="L796" s="510"/>
      <c r="M796" s="548"/>
      <c r="N796" s="514">
        <f>LANÇ_MOV[[#This Row],[VALOR BRUTO]]-LANÇ_MOV[[#This Row],[DESCONTO]]+LANÇ_MOV[[#This Row],[JUROS]]+LANÇ_MOV[[#This Row],[MULTA]]</f>
        <v>0</v>
      </c>
      <c r="O796" s="546"/>
      <c r="P796" s="547" t="str">
        <f t="shared" ca="1" si="12"/>
        <v/>
      </c>
      <c r="Q796" s="528"/>
      <c r="R796" s="529"/>
      <c r="S796" s="518"/>
      <c r="T796" s="518"/>
      <c r="U796" s="519"/>
      <c r="V796" s="520" t="str">
        <f>IFERROR(VLOOKUP(LANÇ_MOV[[#This Row],[PLANO DE CONTAS]],Plano_Contas[[PLANO DE CONTAS]:[R / D]],3,0),"")</f>
        <v/>
      </c>
      <c r="W796" s="521" t="str">
        <f>IF(LANÇ_MOV[[#This Row],[DATA DE PAGAMENTO]]&lt;&gt;"","Pago","Não Pago")</f>
        <v>Não Pago</v>
      </c>
      <c r="X796" s="522" t="str">
        <f>IFERROR(IF(LANÇ_MOV[[#This Row],[DATA DE PAGAMENTO]]="","",(UPPER(TEXT(LANÇ_MOV[[#This Row],[DATA DE PAGAMENTO]],"mmmm")))),"")</f>
        <v/>
      </c>
      <c r="Y796" s="523" t="str">
        <f>IFERROR(VLOOKUP(LANÇ_MOV[[#This Row],[PLANO DE CONTAS]],Plano_Contas[[PLANO DE CONTAS]:[NOMES INTERVALOS]],2,0),"")</f>
        <v/>
      </c>
      <c r="Z796" s="523" t="str">
        <f>IF(LANÇ_MOV[[#This Row],[FORMA DE PAGAMENTO]]="","",VLOOKUP(LANÇ_MOV[[#This Row],[FORMA DE PAGAMENTO]],CAD_Forma_pagto[],2,0))</f>
        <v/>
      </c>
      <c r="AA796" s="524" t="str">
        <f>IF(LANÇ_MOV[[#This Row],[DATA DE LANÇAMENTO]]="","",TEXT(LANÇ_MOV[[#This Row],[DATA DE LANÇAMENTO]],"AAAA"))</f>
        <v/>
      </c>
      <c r="AB796" s="524" t="str">
        <f>IF(LANÇ_MOV[[#This Row],[DATA DE LANÇAMENTO]]="","",UPPER(TEXT(LANÇ_MOV[[#This Row],[DATA DE LANÇAMENTO]],"MMMM")))</f>
        <v/>
      </c>
      <c r="AC796" s="525" t="str">
        <f>IF(LANÇ_MOV[[#This Row],[DATA DE LANÇAMENTO]]="","",PROPER(TEXT(LANÇ_MOV[[#This Row],[DATA DE LANÇAMENTO]],"M")))</f>
        <v/>
      </c>
      <c r="AD796" s="524" t="str">
        <f>IF(LANÇ_MOV[[#This Row],[DATA DE LANÇAMENTO]]="","",TEXT(LANÇ_MOV[[#This Row],[DATA DE LANÇAMENTO]],"D"))</f>
        <v/>
      </c>
      <c r="AE796" s="526" t="str">
        <f>IF(LANÇ_MOV[[#This Row],[DATA DE VENCIMENTO]]="","",TEXT(LANÇ_MOV[[#This Row],[DATA DE VENCIMENTO]],"AAAA"))</f>
        <v/>
      </c>
      <c r="AF796" s="526" t="str">
        <f>IF(LANÇ_MOV[[#This Row],[DATA DE VENCIMENTO]]="","",UPPER(TEXT(LANÇ_MOV[[#This Row],[DATA DE VENCIMENTO]],"MMMM")))</f>
        <v/>
      </c>
      <c r="AG796" s="526" t="str">
        <f>IF(LANÇ_MOV[[#This Row],[DATA DE VENCIMENTO]]="","",TEXT(LANÇ_MOV[[#This Row],[DATA DE VENCIMENTO]],"M"))</f>
        <v/>
      </c>
      <c r="AH796" s="526" t="str">
        <f>IF(LANÇ_MOV[[#This Row],[DATA DE VENCIMENTO]]="","",TEXT(LANÇ_MOV[[#This Row],[DATA DE VENCIMENTO]],"D"))</f>
        <v/>
      </c>
      <c r="AI796" s="526" t="str">
        <f>IF(LANÇ_MOV[[#This Row],[DATA DE PAGAMENTO]]="","",TEXT(LANÇ_MOV[[#This Row],[DATA DE PAGAMENTO]],"AAAA"))</f>
        <v/>
      </c>
      <c r="AJ796" s="527" t="str">
        <f>IF(LANÇ_MOV[[#This Row],[DATA DE PAGAMENTO]]="","",UPPER(TEXT(LANÇ_MOV[[#This Row],[DATA DE PAGAMENTO]],"MMMM")))</f>
        <v/>
      </c>
      <c r="AK796" s="527" t="str">
        <f>IF(LANÇ_MOV[[#This Row],[DATA DE PAGAMENTO]]="","",TEXT(LANÇ_MOV[[#This Row],[DATA DE PAGAMENTO]],"M"))</f>
        <v/>
      </c>
      <c r="AL796" s="526" t="str">
        <f>IF(LANÇ_MOV[[#This Row],[DATA DE PAGAMENTO]]="","",TEXT(LANÇ_MOV[[#This Row],[DATA DE PAGAMENTO]],"D"))</f>
        <v/>
      </c>
    </row>
    <row r="797" spans="2:38" ht="30.05" customHeight="1" x14ac:dyDescent="0.35">
      <c r="B797" s="506"/>
      <c r="C797" s="507"/>
      <c r="D797" s="508" t="s">
        <v>1854</v>
      </c>
      <c r="E797" s="509"/>
      <c r="F797" s="510"/>
      <c r="G797" s="507"/>
      <c r="H797" s="511"/>
      <c r="I797" s="512"/>
      <c r="J797" s="518"/>
      <c r="K797" s="510"/>
      <c r="L797" s="510"/>
      <c r="M797" s="548"/>
      <c r="N797" s="514">
        <f>LANÇ_MOV[[#This Row],[VALOR BRUTO]]-LANÇ_MOV[[#This Row],[DESCONTO]]+LANÇ_MOV[[#This Row],[JUROS]]+LANÇ_MOV[[#This Row],[MULTA]]</f>
        <v>0</v>
      </c>
      <c r="O797" s="546"/>
      <c r="P797" s="547" t="str">
        <f t="shared" ca="1" si="12"/>
        <v/>
      </c>
      <c r="Q797" s="528"/>
      <c r="R797" s="529"/>
      <c r="S797" s="518"/>
      <c r="T797" s="518"/>
      <c r="U797" s="519"/>
      <c r="V797" s="520" t="str">
        <f>IFERROR(VLOOKUP(LANÇ_MOV[[#This Row],[PLANO DE CONTAS]],Plano_Contas[[PLANO DE CONTAS]:[R / D]],3,0),"")</f>
        <v/>
      </c>
      <c r="W797" s="521" t="str">
        <f>IF(LANÇ_MOV[[#This Row],[DATA DE PAGAMENTO]]&lt;&gt;"","Pago","Não Pago")</f>
        <v>Não Pago</v>
      </c>
      <c r="X797" s="522" t="str">
        <f>IFERROR(IF(LANÇ_MOV[[#This Row],[DATA DE PAGAMENTO]]="","",(UPPER(TEXT(LANÇ_MOV[[#This Row],[DATA DE PAGAMENTO]],"mmmm")))),"")</f>
        <v/>
      </c>
      <c r="Y797" s="523" t="str">
        <f>IFERROR(VLOOKUP(LANÇ_MOV[[#This Row],[PLANO DE CONTAS]],Plano_Contas[[PLANO DE CONTAS]:[NOMES INTERVALOS]],2,0),"")</f>
        <v/>
      </c>
      <c r="Z797" s="523" t="str">
        <f>IF(LANÇ_MOV[[#This Row],[FORMA DE PAGAMENTO]]="","",VLOOKUP(LANÇ_MOV[[#This Row],[FORMA DE PAGAMENTO]],CAD_Forma_pagto[],2,0))</f>
        <v/>
      </c>
      <c r="AA797" s="524" t="str">
        <f>IF(LANÇ_MOV[[#This Row],[DATA DE LANÇAMENTO]]="","",TEXT(LANÇ_MOV[[#This Row],[DATA DE LANÇAMENTO]],"AAAA"))</f>
        <v/>
      </c>
      <c r="AB797" s="524" t="str">
        <f>IF(LANÇ_MOV[[#This Row],[DATA DE LANÇAMENTO]]="","",UPPER(TEXT(LANÇ_MOV[[#This Row],[DATA DE LANÇAMENTO]],"MMMM")))</f>
        <v/>
      </c>
      <c r="AC797" s="525" t="str">
        <f>IF(LANÇ_MOV[[#This Row],[DATA DE LANÇAMENTO]]="","",PROPER(TEXT(LANÇ_MOV[[#This Row],[DATA DE LANÇAMENTO]],"M")))</f>
        <v/>
      </c>
      <c r="AD797" s="524" t="str">
        <f>IF(LANÇ_MOV[[#This Row],[DATA DE LANÇAMENTO]]="","",TEXT(LANÇ_MOV[[#This Row],[DATA DE LANÇAMENTO]],"D"))</f>
        <v/>
      </c>
      <c r="AE797" s="526" t="str">
        <f>IF(LANÇ_MOV[[#This Row],[DATA DE VENCIMENTO]]="","",TEXT(LANÇ_MOV[[#This Row],[DATA DE VENCIMENTO]],"AAAA"))</f>
        <v/>
      </c>
      <c r="AF797" s="526" t="str">
        <f>IF(LANÇ_MOV[[#This Row],[DATA DE VENCIMENTO]]="","",UPPER(TEXT(LANÇ_MOV[[#This Row],[DATA DE VENCIMENTO]],"MMMM")))</f>
        <v/>
      </c>
      <c r="AG797" s="526" t="str">
        <f>IF(LANÇ_MOV[[#This Row],[DATA DE VENCIMENTO]]="","",TEXT(LANÇ_MOV[[#This Row],[DATA DE VENCIMENTO]],"M"))</f>
        <v/>
      </c>
      <c r="AH797" s="526" t="str">
        <f>IF(LANÇ_MOV[[#This Row],[DATA DE VENCIMENTO]]="","",TEXT(LANÇ_MOV[[#This Row],[DATA DE VENCIMENTO]],"D"))</f>
        <v/>
      </c>
      <c r="AI797" s="526" t="str">
        <f>IF(LANÇ_MOV[[#This Row],[DATA DE PAGAMENTO]]="","",TEXT(LANÇ_MOV[[#This Row],[DATA DE PAGAMENTO]],"AAAA"))</f>
        <v/>
      </c>
      <c r="AJ797" s="527" t="str">
        <f>IF(LANÇ_MOV[[#This Row],[DATA DE PAGAMENTO]]="","",UPPER(TEXT(LANÇ_MOV[[#This Row],[DATA DE PAGAMENTO]],"MMMM")))</f>
        <v/>
      </c>
      <c r="AK797" s="527" t="str">
        <f>IF(LANÇ_MOV[[#This Row],[DATA DE PAGAMENTO]]="","",TEXT(LANÇ_MOV[[#This Row],[DATA DE PAGAMENTO]],"M"))</f>
        <v/>
      </c>
      <c r="AL797" s="526" t="str">
        <f>IF(LANÇ_MOV[[#This Row],[DATA DE PAGAMENTO]]="","",TEXT(LANÇ_MOV[[#This Row],[DATA DE PAGAMENTO]],"D"))</f>
        <v/>
      </c>
    </row>
    <row r="798" spans="2:38" ht="30.05" customHeight="1" x14ac:dyDescent="0.35">
      <c r="B798" s="506"/>
      <c r="C798" s="507"/>
      <c r="D798" s="508" t="s">
        <v>1854</v>
      </c>
      <c r="E798" s="509"/>
      <c r="F798" s="510"/>
      <c r="G798" s="507"/>
      <c r="H798" s="511"/>
      <c r="I798" s="512"/>
      <c r="J798" s="518"/>
      <c r="K798" s="510"/>
      <c r="L798" s="510"/>
      <c r="M798" s="548"/>
      <c r="N798" s="514">
        <f>LANÇ_MOV[[#This Row],[VALOR BRUTO]]-LANÇ_MOV[[#This Row],[DESCONTO]]+LANÇ_MOV[[#This Row],[JUROS]]+LANÇ_MOV[[#This Row],[MULTA]]</f>
        <v>0</v>
      </c>
      <c r="O798" s="546"/>
      <c r="P798" s="547" t="str">
        <f t="shared" ca="1" si="12"/>
        <v/>
      </c>
      <c r="Q798" s="528"/>
      <c r="R798" s="529"/>
      <c r="S798" s="518"/>
      <c r="T798" s="518"/>
      <c r="U798" s="519"/>
      <c r="V798" s="520" t="str">
        <f>IFERROR(VLOOKUP(LANÇ_MOV[[#This Row],[PLANO DE CONTAS]],Plano_Contas[[PLANO DE CONTAS]:[R / D]],3,0),"")</f>
        <v/>
      </c>
      <c r="W798" s="521" t="str">
        <f>IF(LANÇ_MOV[[#This Row],[DATA DE PAGAMENTO]]&lt;&gt;"","Pago","Não Pago")</f>
        <v>Não Pago</v>
      </c>
      <c r="X798" s="522" t="str">
        <f>IFERROR(IF(LANÇ_MOV[[#This Row],[DATA DE PAGAMENTO]]="","",(UPPER(TEXT(LANÇ_MOV[[#This Row],[DATA DE PAGAMENTO]],"mmmm")))),"")</f>
        <v/>
      </c>
      <c r="Y798" s="523" t="str">
        <f>IFERROR(VLOOKUP(LANÇ_MOV[[#This Row],[PLANO DE CONTAS]],Plano_Contas[[PLANO DE CONTAS]:[NOMES INTERVALOS]],2,0),"")</f>
        <v/>
      </c>
      <c r="Z798" s="523" t="str">
        <f>IF(LANÇ_MOV[[#This Row],[FORMA DE PAGAMENTO]]="","",VLOOKUP(LANÇ_MOV[[#This Row],[FORMA DE PAGAMENTO]],CAD_Forma_pagto[],2,0))</f>
        <v/>
      </c>
      <c r="AA798" s="524" t="str">
        <f>IF(LANÇ_MOV[[#This Row],[DATA DE LANÇAMENTO]]="","",TEXT(LANÇ_MOV[[#This Row],[DATA DE LANÇAMENTO]],"AAAA"))</f>
        <v/>
      </c>
      <c r="AB798" s="524" t="str">
        <f>IF(LANÇ_MOV[[#This Row],[DATA DE LANÇAMENTO]]="","",UPPER(TEXT(LANÇ_MOV[[#This Row],[DATA DE LANÇAMENTO]],"MMMM")))</f>
        <v/>
      </c>
      <c r="AC798" s="525" t="str">
        <f>IF(LANÇ_MOV[[#This Row],[DATA DE LANÇAMENTO]]="","",PROPER(TEXT(LANÇ_MOV[[#This Row],[DATA DE LANÇAMENTO]],"M")))</f>
        <v/>
      </c>
      <c r="AD798" s="524" t="str">
        <f>IF(LANÇ_MOV[[#This Row],[DATA DE LANÇAMENTO]]="","",TEXT(LANÇ_MOV[[#This Row],[DATA DE LANÇAMENTO]],"D"))</f>
        <v/>
      </c>
      <c r="AE798" s="526" t="str">
        <f>IF(LANÇ_MOV[[#This Row],[DATA DE VENCIMENTO]]="","",TEXT(LANÇ_MOV[[#This Row],[DATA DE VENCIMENTO]],"AAAA"))</f>
        <v/>
      </c>
      <c r="AF798" s="526" t="str">
        <f>IF(LANÇ_MOV[[#This Row],[DATA DE VENCIMENTO]]="","",UPPER(TEXT(LANÇ_MOV[[#This Row],[DATA DE VENCIMENTO]],"MMMM")))</f>
        <v/>
      </c>
      <c r="AG798" s="526" t="str">
        <f>IF(LANÇ_MOV[[#This Row],[DATA DE VENCIMENTO]]="","",TEXT(LANÇ_MOV[[#This Row],[DATA DE VENCIMENTO]],"M"))</f>
        <v/>
      </c>
      <c r="AH798" s="526" t="str">
        <f>IF(LANÇ_MOV[[#This Row],[DATA DE VENCIMENTO]]="","",TEXT(LANÇ_MOV[[#This Row],[DATA DE VENCIMENTO]],"D"))</f>
        <v/>
      </c>
      <c r="AI798" s="526" t="str">
        <f>IF(LANÇ_MOV[[#This Row],[DATA DE PAGAMENTO]]="","",TEXT(LANÇ_MOV[[#This Row],[DATA DE PAGAMENTO]],"AAAA"))</f>
        <v/>
      </c>
      <c r="AJ798" s="527" t="str">
        <f>IF(LANÇ_MOV[[#This Row],[DATA DE PAGAMENTO]]="","",UPPER(TEXT(LANÇ_MOV[[#This Row],[DATA DE PAGAMENTO]],"MMMM")))</f>
        <v/>
      </c>
      <c r="AK798" s="527" t="str">
        <f>IF(LANÇ_MOV[[#This Row],[DATA DE PAGAMENTO]]="","",TEXT(LANÇ_MOV[[#This Row],[DATA DE PAGAMENTO]],"M"))</f>
        <v/>
      </c>
      <c r="AL798" s="526" t="str">
        <f>IF(LANÇ_MOV[[#This Row],[DATA DE PAGAMENTO]]="","",TEXT(LANÇ_MOV[[#This Row],[DATA DE PAGAMENTO]],"D"))</f>
        <v/>
      </c>
    </row>
    <row r="799" spans="2:38" ht="30.05" customHeight="1" x14ac:dyDescent="0.35">
      <c r="B799" s="506"/>
      <c r="C799" s="507"/>
      <c r="D799" s="508" t="s">
        <v>1854</v>
      </c>
      <c r="E799" s="509"/>
      <c r="F799" s="510"/>
      <c r="G799" s="507"/>
      <c r="H799" s="511"/>
      <c r="I799" s="512"/>
      <c r="J799" s="518"/>
      <c r="K799" s="510"/>
      <c r="L799" s="510"/>
      <c r="M799" s="548"/>
      <c r="N799" s="514">
        <f>LANÇ_MOV[[#This Row],[VALOR BRUTO]]-LANÇ_MOV[[#This Row],[DESCONTO]]+LANÇ_MOV[[#This Row],[JUROS]]+LANÇ_MOV[[#This Row],[MULTA]]</f>
        <v>0</v>
      </c>
      <c r="O799" s="546"/>
      <c r="P799" s="547" t="str">
        <f t="shared" ca="1" si="12"/>
        <v/>
      </c>
      <c r="Q799" s="528"/>
      <c r="R799" s="529"/>
      <c r="S799" s="518"/>
      <c r="T799" s="518"/>
      <c r="U799" s="519"/>
      <c r="V799" s="520" t="str">
        <f>IFERROR(VLOOKUP(LANÇ_MOV[[#This Row],[PLANO DE CONTAS]],Plano_Contas[[PLANO DE CONTAS]:[R / D]],3,0),"")</f>
        <v/>
      </c>
      <c r="W799" s="521" t="str">
        <f>IF(LANÇ_MOV[[#This Row],[DATA DE PAGAMENTO]]&lt;&gt;"","Pago","Não Pago")</f>
        <v>Não Pago</v>
      </c>
      <c r="X799" s="522" t="str">
        <f>IFERROR(IF(LANÇ_MOV[[#This Row],[DATA DE PAGAMENTO]]="","",(UPPER(TEXT(LANÇ_MOV[[#This Row],[DATA DE PAGAMENTO]],"mmmm")))),"")</f>
        <v/>
      </c>
      <c r="Y799" s="523" t="str">
        <f>IFERROR(VLOOKUP(LANÇ_MOV[[#This Row],[PLANO DE CONTAS]],Plano_Contas[[PLANO DE CONTAS]:[NOMES INTERVALOS]],2,0),"")</f>
        <v/>
      </c>
      <c r="Z799" s="523" t="str">
        <f>IF(LANÇ_MOV[[#This Row],[FORMA DE PAGAMENTO]]="","",VLOOKUP(LANÇ_MOV[[#This Row],[FORMA DE PAGAMENTO]],CAD_Forma_pagto[],2,0))</f>
        <v/>
      </c>
      <c r="AA799" s="524" t="str">
        <f>IF(LANÇ_MOV[[#This Row],[DATA DE LANÇAMENTO]]="","",TEXT(LANÇ_MOV[[#This Row],[DATA DE LANÇAMENTO]],"AAAA"))</f>
        <v/>
      </c>
      <c r="AB799" s="524" t="str">
        <f>IF(LANÇ_MOV[[#This Row],[DATA DE LANÇAMENTO]]="","",UPPER(TEXT(LANÇ_MOV[[#This Row],[DATA DE LANÇAMENTO]],"MMMM")))</f>
        <v/>
      </c>
      <c r="AC799" s="525" t="str">
        <f>IF(LANÇ_MOV[[#This Row],[DATA DE LANÇAMENTO]]="","",PROPER(TEXT(LANÇ_MOV[[#This Row],[DATA DE LANÇAMENTO]],"M")))</f>
        <v/>
      </c>
      <c r="AD799" s="524" t="str">
        <f>IF(LANÇ_MOV[[#This Row],[DATA DE LANÇAMENTO]]="","",TEXT(LANÇ_MOV[[#This Row],[DATA DE LANÇAMENTO]],"D"))</f>
        <v/>
      </c>
      <c r="AE799" s="526" t="str">
        <f>IF(LANÇ_MOV[[#This Row],[DATA DE VENCIMENTO]]="","",TEXT(LANÇ_MOV[[#This Row],[DATA DE VENCIMENTO]],"AAAA"))</f>
        <v/>
      </c>
      <c r="AF799" s="526" t="str">
        <f>IF(LANÇ_MOV[[#This Row],[DATA DE VENCIMENTO]]="","",UPPER(TEXT(LANÇ_MOV[[#This Row],[DATA DE VENCIMENTO]],"MMMM")))</f>
        <v/>
      </c>
      <c r="AG799" s="526" t="str">
        <f>IF(LANÇ_MOV[[#This Row],[DATA DE VENCIMENTO]]="","",TEXT(LANÇ_MOV[[#This Row],[DATA DE VENCIMENTO]],"M"))</f>
        <v/>
      </c>
      <c r="AH799" s="526" t="str">
        <f>IF(LANÇ_MOV[[#This Row],[DATA DE VENCIMENTO]]="","",TEXT(LANÇ_MOV[[#This Row],[DATA DE VENCIMENTO]],"D"))</f>
        <v/>
      </c>
      <c r="AI799" s="526" t="str">
        <f>IF(LANÇ_MOV[[#This Row],[DATA DE PAGAMENTO]]="","",TEXT(LANÇ_MOV[[#This Row],[DATA DE PAGAMENTO]],"AAAA"))</f>
        <v/>
      </c>
      <c r="AJ799" s="527" t="str">
        <f>IF(LANÇ_MOV[[#This Row],[DATA DE PAGAMENTO]]="","",UPPER(TEXT(LANÇ_MOV[[#This Row],[DATA DE PAGAMENTO]],"MMMM")))</f>
        <v/>
      </c>
      <c r="AK799" s="527" t="str">
        <f>IF(LANÇ_MOV[[#This Row],[DATA DE PAGAMENTO]]="","",TEXT(LANÇ_MOV[[#This Row],[DATA DE PAGAMENTO]],"M"))</f>
        <v/>
      </c>
      <c r="AL799" s="526" t="str">
        <f>IF(LANÇ_MOV[[#This Row],[DATA DE PAGAMENTO]]="","",TEXT(LANÇ_MOV[[#This Row],[DATA DE PAGAMENTO]],"D"))</f>
        <v/>
      </c>
    </row>
    <row r="800" spans="2:38" ht="30.05" customHeight="1" x14ac:dyDescent="0.35">
      <c r="B800" s="506"/>
      <c r="C800" s="507"/>
      <c r="D800" s="508" t="s">
        <v>1854</v>
      </c>
      <c r="E800" s="509"/>
      <c r="F800" s="510"/>
      <c r="G800" s="507"/>
      <c r="H800" s="511"/>
      <c r="I800" s="512"/>
      <c r="J800" s="518"/>
      <c r="K800" s="510"/>
      <c r="L800" s="510"/>
      <c r="M800" s="548"/>
      <c r="N800" s="514">
        <f>LANÇ_MOV[[#This Row],[VALOR BRUTO]]-LANÇ_MOV[[#This Row],[DESCONTO]]+LANÇ_MOV[[#This Row],[JUROS]]+LANÇ_MOV[[#This Row],[MULTA]]</f>
        <v>0</v>
      </c>
      <c r="O800" s="546"/>
      <c r="P800" s="547" t="str">
        <f t="shared" ca="1" si="12"/>
        <v/>
      </c>
      <c r="Q800" s="528"/>
      <c r="R800" s="529"/>
      <c r="S800" s="518"/>
      <c r="T800" s="518"/>
      <c r="U800" s="519"/>
      <c r="V800" s="520" t="str">
        <f>IFERROR(VLOOKUP(LANÇ_MOV[[#This Row],[PLANO DE CONTAS]],Plano_Contas[[PLANO DE CONTAS]:[R / D]],3,0),"")</f>
        <v/>
      </c>
      <c r="W800" s="521" t="str">
        <f>IF(LANÇ_MOV[[#This Row],[DATA DE PAGAMENTO]]&lt;&gt;"","Pago","Não Pago")</f>
        <v>Não Pago</v>
      </c>
      <c r="X800" s="522" t="str">
        <f>IFERROR(IF(LANÇ_MOV[[#This Row],[DATA DE PAGAMENTO]]="","",(UPPER(TEXT(LANÇ_MOV[[#This Row],[DATA DE PAGAMENTO]],"mmmm")))),"")</f>
        <v/>
      </c>
      <c r="Y800" s="523" t="str">
        <f>IFERROR(VLOOKUP(LANÇ_MOV[[#This Row],[PLANO DE CONTAS]],Plano_Contas[[PLANO DE CONTAS]:[NOMES INTERVALOS]],2,0),"")</f>
        <v/>
      </c>
      <c r="Z800" s="523" t="str">
        <f>IF(LANÇ_MOV[[#This Row],[FORMA DE PAGAMENTO]]="","",VLOOKUP(LANÇ_MOV[[#This Row],[FORMA DE PAGAMENTO]],CAD_Forma_pagto[],2,0))</f>
        <v/>
      </c>
      <c r="AA800" s="524" t="str">
        <f>IF(LANÇ_MOV[[#This Row],[DATA DE LANÇAMENTO]]="","",TEXT(LANÇ_MOV[[#This Row],[DATA DE LANÇAMENTO]],"AAAA"))</f>
        <v/>
      </c>
      <c r="AB800" s="524" t="str">
        <f>IF(LANÇ_MOV[[#This Row],[DATA DE LANÇAMENTO]]="","",UPPER(TEXT(LANÇ_MOV[[#This Row],[DATA DE LANÇAMENTO]],"MMMM")))</f>
        <v/>
      </c>
      <c r="AC800" s="525" t="str">
        <f>IF(LANÇ_MOV[[#This Row],[DATA DE LANÇAMENTO]]="","",PROPER(TEXT(LANÇ_MOV[[#This Row],[DATA DE LANÇAMENTO]],"M")))</f>
        <v/>
      </c>
      <c r="AD800" s="524" t="str">
        <f>IF(LANÇ_MOV[[#This Row],[DATA DE LANÇAMENTO]]="","",TEXT(LANÇ_MOV[[#This Row],[DATA DE LANÇAMENTO]],"D"))</f>
        <v/>
      </c>
      <c r="AE800" s="526" t="str">
        <f>IF(LANÇ_MOV[[#This Row],[DATA DE VENCIMENTO]]="","",TEXT(LANÇ_MOV[[#This Row],[DATA DE VENCIMENTO]],"AAAA"))</f>
        <v/>
      </c>
      <c r="AF800" s="526" t="str">
        <f>IF(LANÇ_MOV[[#This Row],[DATA DE VENCIMENTO]]="","",UPPER(TEXT(LANÇ_MOV[[#This Row],[DATA DE VENCIMENTO]],"MMMM")))</f>
        <v/>
      </c>
      <c r="AG800" s="526" t="str">
        <f>IF(LANÇ_MOV[[#This Row],[DATA DE VENCIMENTO]]="","",TEXT(LANÇ_MOV[[#This Row],[DATA DE VENCIMENTO]],"M"))</f>
        <v/>
      </c>
      <c r="AH800" s="526" t="str">
        <f>IF(LANÇ_MOV[[#This Row],[DATA DE VENCIMENTO]]="","",TEXT(LANÇ_MOV[[#This Row],[DATA DE VENCIMENTO]],"D"))</f>
        <v/>
      </c>
      <c r="AI800" s="526" t="str">
        <f>IF(LANÇ_MOV[[#This Row],[DATA DE PAGAMENTO]]="","",TEXT(LANÇ_MOV[[#This Row],[DATA DE PAGAMENTO]],"AAAA"))</f>
        <v/>
      </c>
      <c r="AJ800" s="527" t="str">
        <f>IF(LANÇ_MOV[[#This Row],[DATA DE PAGAMENTO]]="","",UPPER(TEXT(LANÇ_MOV[[#This Row],[DATA DE PAGAMENTO]],"MMMM")))</f>
        <v/>
      </c>
      <c r="AK800" s="527" t="str">
        <f>IF(LANÇ_MOV[[#This Row],[DATA DE PAGAMENTO]]="","",TEXT(LANÇ_MOV[[#This Row],[DATA DE PAGAMENTO]],"M"))</f>
        <v/>
      </c>
      <c r="AL800" s="526" t="str">
        <f>IF(LANÇ_MOV[[#This Row],[DATA DE PAGAMENTO]]="","",TEXT(LANÇ_MOV[[#This Row],[DATA DE PAGAMENTO]],"D"))</f>
        <v/>
      </c>
    </row>
    <row r="801" spans="2:38" ht="30.05" customHeight="1" x14ac:dyDescent="0.35">
      <c r="B801" s="506"/>
      <c r="C801" s="507"/>
      <c r="D801" s="508" t="s">
        <v>1854</v>
      </c>
      <c r="E801" s="509"/>
      <c r="F801" s="510"/>
      <c r="G801" s="507"/>
      <c r="H801" s="511"/>
      <c r="I801" s="512"/>
      <c r="J801" s="518"/>
      <c r="K801" s="510"/>
      <c r="L801" s="510"/>
      <c r="M801" s="548"/>
      <c r="N801" s="514">
        <f>LANÇ_MOV[[#This Row],[VALOR BRUTO]]-LANÇ_MOV[[#This Row],[DESCONTO]]+LANÇ_MOV[[#This Row],[JUROS]]+LANÇ_MOV[[#This Row],[MULTA]]</f>
        <v>0</v>
      </c>
      <c r="O801" s="546"/>
      <c r="P801" s="547" t="str">
        <f t="shared" ca="1" si="12"/>
        <v/>
      </c>
      <c r="Q801" s="528"/>
      <c r="R801" s="529"/>
      <c r="S801" s="518"/>
      <c r="T801" s="518"/>
      <c r="U801" s="519"/>
      <c r="V801" s="520" t="str">
        <f>IFERROR(VLOOKUP(LANÇ_MOV[[#This Row],[PLANO DE CONTAS]],Plano_Contas[[PLANO DE CONTAS]:[R / D]],3,0),"")</f>
        <v/>
      </c>
      <c r="W801" s="521" t="str">
        <f>IF(LANÇ_MOV[[#This Row],[DATA DE PAGAMENTO]]&lt;&gt;"","Pago","Não Pago")</f>
        <v>Não Pago</v>
      </c>
      <c r="X801" s="522" t="str">
        <f>IFERROR(IF(LANÇ_MOV[[#This Row],[DATA DE PAGAMENTO]]="","",(UPPER(TEXT(LANÇ_MOV[[#This Row],[DATA DE PAGAMENTO]],"mmmm")))),"")</f>
        <v/>
      </c>
      <c r="Y801" s="523" t="str">
        <f>IFERROR(VLOOKUP(LANÇ_MOV[[#This Row],[PLANO DE CONTAS]],Plano_Contas[[PLANO DE CONTAS]:[NOMES INTERVALOS]],2,0),"")</f>
        <v/>
      </c>
      <c r="Z801" s="523" t="str">
        <f>IF(LANÇ_MOV[[#This Row],[FORMA DE PAGAMENTO]]="","",VLOOKUP(LANÇ_MOV[[#This Row],[FORMA DE PAGAMENTO]],CAD_Forma_pagto[],2,0))</f>
        <v/>
      </c>
      <c r="AA801" s="524" t="str">
        <f>IF(LANÇ_MOV[[#This Row],[DATA DE LANÇAMENTO]]="","",TEXT(LANÇ_MOV[[#This Row],[DATA DE LANÇAMENTO]],"AAAA"))</f>
        <v/>
      </c>
      <c r="AB801" s="524" t="str">
        <f>IF(LANÇ_MOV[[#This Row],[DATA DE LANÇAMENTO]]="","",UPPER(TEXT(LANÇ_MOV[[#This Row],[DATA DE LANÇAMENTO]],"MMMM")))</f>
        <v/>
      </c>
      <c r="AC801" s="525" t="str">
        <f>IF(LANÇ_MOV[[#This Row],[DATA DE LANÇAMENTO]]="","",PROPER(TEXT(LANÇ_MOV[[#This Row],[DATA DE LANÇAMENTO]],"M")))</f>
        <v/>
      </c>
      <c r="AD801" s="524" t="str">
        <f>IF(LANÇ_MOV[[#This Row],[DATA DE LANÇAMENTO]]="","",TEXT(LANÇ_MOV[[#This Row],[DATA DE LANÇAMENTO]],"D"))</f>
        <v/>
      </c>
      <c r="AE801" s="526" t="str">
        <f>IF(LANÇ_MOV[[#This Row],[DATA DE VENCIMENTO]]="","",TEXT(LANÇ_MOV[[#This Row],[DATA DE VENCIMENTO]],"AAAA"))</f>
        <v/>
      </c>
      <c r="AF801" s="526" t="str">
        <f>IF(LANÇ_MOV[[#This Row],[DATA DE VENCIMENTO]]="","",UPPER(TEXT(LANÇ_MOV[[#This Row],[DATA DE VENCIMENTO]],"MMMM")))</f>
        <v/>
      </c>
      <c r="AG801" s="526" t="str">
        <f>IF(LANÇ_MOV[[#This Row],[DATA DE VENCIMENTO]]="","",TEXT(LANÇ_MOV[[#This Row],[DATA DE VENCIMENTO]],"M"))</f>
        <v/>
      </c>
      <c r="AH801" s="526" t="str">
        <f>IF(LANÇ_MOV[[#This Row],[DATA DE VENCIMENTO]]="","",TEXT(LANÇ_MOV[[#This Row],[DATA DE VENCIMENTO]],"D"))</f>
        <v/>
      </c>
      <c r="AI801" s="526" t="str">
        <f>IF(LANÇ_MOV[[#This Row],[DATA DE PAGAMENTO]]="","",TEXT(LANÇ_MOV[[#This Row],[DATA DE PAGAMENTO]],"AAAA"))</f>
        <v/>
      </c>
      <c r="AJ801" s="527" t="str">
        <f>IF(LANÇ_MOV[[#This Row],[DATA DE PAGAMENTO]]="","",UPPER(TEXT(LANÇ_MOV[[#This Row],[DATA DE PAGAMENTO]],"MMMM")))</f>
        <v/>
      </c>
      <c r="AK801" s="527" t="str">
        <f>IF(LANÇ_MOV[[#This Row],[DATA DE PAGAMENTO]]="","",TEXT(LANÇ_MOV[[#This Row],[DATA DE PAGAMENTO]],"M"))</f>
        <v/>
      </c>
      <c r="AL801" s="526" t="str">
        <f>IF(LANÇ_MOV[[#This Row],[DATA DE PAGAMENTO]]="","",TEXT(LANÇ_MOV[[#This Row],[DATA DE PAGAMENTO]],"D"))</f>
        <v/>
      </c>
    </row>
    <row r="802" spans="2:38" ht="30.05" customHeight="1" x14ac:dyDescent="0.35">
      <c r="B802" s="506"/>
      <c r="C802" s="507"/>
      <c r="D802" s="508" t="s">
        <v>1854</v>
      </c>
      <c r="E802" s="509"/>
      <c r="F802" s="510"/>
      <c r="G802" s="507"/>
      <c r="H802" s="511"/>
      <c r="I802" s="512"/>
      <c r="J802" s="518"/>
      <c r="K802" s="510"/>
      <c r="L802" s="510"/>
      <c r="M802" s="548"/>
      <c r="N802" s="514">
        <f>LANÇ_MOV[[#This Row],[VALOR BRUTO]]-LANÇ_MOV[[#This Row],[DESCONTO]]+LANÇ_MOV[[#This Row],[JUROS]]+LANÇ_MOV[[#This Row],[MULTA]]</f>
        <v>0</v>
      </c>
      <c r="O802" s="546"/>
      <c r="P802" s="547" t="str">
        <f t="shared" ca="1" si="12"/>
        <v/>
      </c>
      <c r="Q802" s="528"/>
      <c r="R802" s="529"/>
      <c r="S802" s="518"/>
      <c r="T802" s="518"/>
      <c r="U802" s="519"/>
      <c r="V802" s="520" t="str">
        <f>IFERROR(VLOOKUP(LANÇ_MOV[[#This Row],[PLANO DE CONTAS]],Plano_Contas[[PLANO DE CONTAS]:[R / D]],3,0),"")</f>
        <v/>
      </c>
      <c r="W802" s="521" t="str">
        <f>IF(LANÇ_MOV[[#This Row],[DATA DE PAGAMENTO]]&lt;&gt;"","Pago","Não Pago")</f>
        <v>Não Pago</v>
      </c>
      <c r="X802" s="522" t="str">
        <f>IFERROR(IF(LANÇ_MOV[[#This Row],[DATA DE PAGAMENTO]]="","",(UPPER(TEXT(LANÇ_MOV[[#This Row],[DATA DE PAGAMENTO]],"mmmm")))),"")</f>
        <v/>
      </c>
      <c r="Y802" s="523" t="str">
        <f>IFERROR(VLOOKUP(LANÇ_MOV[[#This Row],[PLANO DE CONTAS]],Plano_Contas[[PLANO DE CONTAS]:[NOMES INTERVALOS]],2,0),"")</f>
        <v/>
      </c>
      <c r="Z802" s="523" t="str">
        <f>IF(LANÇ_MOV[[#This Row],[FORMA DE PAGAMENTO]]="","",VLOOKUP(LANÇ_MOV[[#This Row],[FORMA DE PAGAMENTO]],CAD_Forma_pagto[],2,0))</f>
        <v/>
      </c>
      <c r="AA802" s="524" t="str">
        <f>IF(LANÇ_MOV[[#This Row],[DATA DE LANÇAMENTO]]="","",TEXT(LANÇ_MOV[[#This Row],[DATA DE LANÇAMENTO]],"AAAA"))</f>
        <v/>
      </c>
      <c r="AB802" s="524" t="str">
        <f>IF(LANÇ_MOV[[#This Row],[DATA DE LANÇAMENTO]]="","",UPPER(TEXT(LANÇ_MOV[[#This Row],[DATA DE LANÇAMENTO]],"MMMM")))</f>
        <v/>
      </c>
      <c r="AC802" s="525" t="str">
        <f>IF(LANÇ_MOV[[#This Row],[DATA DE LANÇAMENTO]]="","",PROPER(TEXT(LANÇ_MOV[[#This Row],[DATA DE LANÇAMENTO]],"M")))</f>
        <v/>
      </c>
      <c r="AD802" s="524" t="str">
        <f>IF(LANÇ_MOV[[#This Row],[DATA DE LANÇAMENTO]]="","",TEXT(LANÇ_MOV[[#This Row],[DATA DE LANÇAMENTO]],"D"))</f>
        <v/>
      </c>
      <c r="AE802" s="526" t="str">
        <f>IF(LANÇ_MOV[[#This Row],[DATA DE VENCIMENTO]]="","",TEXT(LANÇ_MOV[[#This Row],[DATA DE VENCIMENTO]],"AAAA"))</f>
        <v/>
      </c>
      <c r="AF802" s="526" t="str">
        <f>IF(LANÇ_MOV[[#This Row],[DATA DE VENCIMENTO]]="","",UPPER(TEXT(LANÇ_MOV[[#This Row],[DATA DE VENCIMENTO]],"MMMM")))</f>
        <v/>
      </c>
      <c r="AG802" s="526" t="str">
        <f>IF(LANÇ_MOV[[#This Row],[DATA DE VENCIMENTO]]="","",TEXT(LANÇ_MOV[[#This Row],[DATA DE VENCIMENTO]],"M"))</f>
        <v/>
      </c>
      <c r="AH802" s="526" t="str">
        <f>IF(LANÇ_MOV[[#This Row],[DATA DE VENCIMENTO]]="","",TEXT(LANÇ_MOV[[#This Row],[DATA DE VENCIMENTO]],"D"))</f>
        <v/>
      </c>
      <c r="AI802" s="526" t="str">
        <f>IF(LANÇ_MOV[[#This Row],[DATA DE PAGAMENTO]]="","",TEXT(LANÇ_MOV[[#This Row],[DATA DE PAGAMENTO]],"AAAA"))</f>
        <v/>
      </c>
      <c r="AJ802" s="527" t="str">
        <f>IF(LANÇ_MOV[[#This Row],[DATA DE PAGAMENTO]]="","",UPPER(TEXT(LANÇ_MOV[[#This Row],[DATA DE PAGAMENTO]],"MMMM")))</f>
        <v/>
      </c>
      <c r="AK802" s="527" t="str">
        <f>IF(LANÇ_MOV[[#This Row],[DATA DE PAGAMENTO]]="","",TEXT(LANÇ_MOV[[#This Row],[DATA DE PAGAMENTO]],"M"))</f>
        <v/>
      </c>
      <c r="AL802" s="526" t="str">
        <f>IF(LANÇ_MOV[[#This Row],[DATA DE PAGAMENTO]]="","",TEXT(LANÇ_MOV[[#This Row],[DATA DE PAGAMENTO]],"D"))</f>
        <v/>
      </c>
    </row>
    <row r="803" spans="2:38" ht="30.05" customHeight="1" x14ac:dyDescent="0.35">
      <c r="B803" s="506"/>
      <c r="C803" s="507"/>
      <c r="D803" s="508" t="s">
        <v>1854</v>
      </c>
      <c r="E803" s="509"/>
      <c r="F803" s="510"/>
      <c r="G803" s="507"/>
      <c r="H803" s="511"/>
      <c r="I803" s="512"/>
      <c r="J803" s="518"/>
      <c r="K803" s="510"/>
      <c r="L803" s="510"/>
      <c r="M803" s="548"/>
      <c r="N803" s="514">
        <f>LANÇ_MOV[[#This Row],[VALOR BRUTO]]-LANÇ_MOV[[#This Row],[DESCONTO]]+LANÇ_MOV[[#This Row],[JUROS]]+LANÇ_MOV[[#This Row],[MULTA]]</f>
        <v>0</v>
      </c>
      <c r="O803" s="546"/>
      <c r="P803" s="547" t="str">
        <f t="shared" ca="1" si="12"/>
        <v/>
      </c>
      <c r="Q803" s="528"/>
      <c r="R803" s="529"/>
      <c r="S803" s="518"/>
      <c r="T803" s="518"/>
      <c r="U803" s="519"/>
      <c r="V803" s="520" t="str">
        <f>IFERROR(VLOOKUP(LANÇ_MOV[[#This Row],[PLANO DE CONTAS]],Plano_Contas[[PLANO DE CONTAS]:[R / D]],3,0),"")</f>
        <v/>
      </c>
      <c r="W803" s="521" t="str">
        <f>IF(LANÇ_MOV[[#This Row],[DATA DE PAGAMENTO]]&lt;&gt;"","Pago","Não Pago")</f>
        <v>Não Pago</v>
      </c>
      <c r="X803" s="522" t="str">
        <f>IFERROR(IF(LANÇ_MOV[[#This Row],[DATA DE PAGAMENTO]]="","",(UPPER(TEXT(LANÇ_MOV[[#This Row],[DATA DE PAGAMENTO]],"mmmm")))),"")</f>
        <v/>
      </c>
      <c r="Y803" s="523" t="str">
        <f>IFERROR(VLOOKUP(LANÇ_MOV[[#This Row],[PLANO DE CONTAS]],Plano_Contas[[PLANO DE CONTAS]:[NOMES INTERVALOS]],2,0),"")</f>
        <v/>
      </c>
      <c r="Z803" s="523" t="str">
        <f>IF(LANÇ_MOV[[#This Row],[FORMA DE PAGAMENTO]]="","",VLOOKUP(LANÇ_MOV[[#This Row],[FORMA DE PAGAMENTO]],CAD_Forma_pagto[],2,0))</f>
        <v/>
      </c>
      <c r="AA803" s="524" t="str">
        <f>IF(LANÇ_MOV[[#This Row],[DATA DE LANÇAMENTO]]="","",TEXT(LANÇ_MOV[[#This Row],[DATA DE LANÇAMENTO]],"AAAA"))</f>
        <v/>
      </c>
      <c r="AB803" s="524" t="str">
        <f>IF(LANÇ_MOV[[#This Row],[DATA DE LANÇAMENTO]]="","",UPPER(TEXT(LANÇ_MOV[[#This Row],[DATA DE LANÇAMENTO]],"MMMM")))</f>
        <v/>
      </c>
      <c r="AC803" s="525" t="str">
        <f>IF(LANÇ_MOV[[#This Row],[DATA DE LANÇAMENTO]]="","",PROPER(TEXT(LANÇ_MOV[[#This Row],[DATA DE LANÇAMENTO]],"M")))</f>
        <v/>
      </c>
      <c r="AD803" s="524" t="str">
        <f>IF(LANÇ_MOV[[#This Row],[DATA DE LANÇAMENTO]]="","",TEXT(LANÇ_MOV[[#This Row],[DATA DE LANÇAMENTO]],"D"))</f>
        <v/>
      </c>
      <c r="AE803" s="526" t="str">
        <f>IF(LANÇ_MOV[[#This Row],[DATA DE VENCIMENTO]]="","",TEXT(LANÇ_MOV[[#This Row],[DATA DE VENCIMENTO]],"AAAA"))</f>
        <v/>
      </c>
      <c r="AF803" s="526" t="str">
        <f>IF(LANÇ_MOV[[#This Row],[DATA DE VENCIMENTO]]="","",UPPER(TEXT(LANÇ_MOV[[#This Row],[DATA DE VENCIMENTO]],"MMMM")))</f>
        <v/>
      </c>
      <c r="AG803" s="526" t="str">
        <f>IF(LANÇ_MOV[[#This Row],[DATA DE VENCIMENTO]]="","",TEXT(LANÇ_MOV[[#This Row],[DATA DE VENCIMENTO]],"M"))</f>
        <v/>
      </c>
      <c r="AH803" s="526" t="str">
        <f>IF(LANÇ_MOV[[#This Row],[DATA DE VENCIMENTO]]="","",TEXT(LANÇ_MOV[[#This Row],[DATA DE VENCIMENTO]],"D"))</f>
        <v/>
      </c>
      <c r="AI803" s="526" t="str">
        <f>IF(LANÇ_MOV[[#This Row],[DATA DE PAGAMENTO]]="","",TEXT(LANÇ_MOV[[#This Row],[DATA DE PAGAMENTO]],"AAAA"))</f>
        <v/>
      </c>
      <c r="AJ803" s="527" t="str">
        <f>IF(LANÇ_MOV[[#This Row],[DATA DE PAGAMENTO]]="","",UPPER(TEXT(LANÇ_MOV[[#This Row],[DATA DE PAGAMENTO]],"MMMM")))</f>
        <v/>
      </c>
      <c r="AK803" s="527" t="str">
        <f>IF(LANÇ_MOV[[#This Row],[DATA DE PAGAMENTO]]="","",TEXT(LANÇ_MOV[[#This Row],[DATA DE PAGAMENTO]],"M"))</f>
        <v/>
      </c>
      <c r="AL803" s="526" t="str">
        <f>IF(LANÇ_MOV[[#This Row],[DATA DE PAGAMENTO]]="","",TEXT(LANÇ_MOV[[#This Row],[DATA DE PAGAMENTO]],"D"))</f>
        <v/>
      </c>
    </row>
    <row r="804" spans="2:38" ht="30.05" customHeight="1" x14ac:dyDescent="0.35">
      <c r="B804" s="506"/>
      <c r="C804" s="507"/>
      <c r="D804" s="508" t="s">
        <v>1854</v>
      </c>
      <c r="E804" s="509"/>
      <c r="F804" s="510"/>
      <c r="G804" s="507"/>
      <c r="H804" s="511"/>
      <c r="I804" s="512"/>
      <c r="J804" s="518"/>
      <c r="K804" s="510"/>
      <c r="L804" s="510"/>
      <c r="M804" s="548"/>
      <c r="N804" s="514">
        <f>LANÇ_MOV[[#This Row],[VALOR BRUTO]]-LANÇ_MOV[[#This Row],[DESCONTO]]+LANÇ_MOV[[#This Row],[JUROS]]+LANÇ_MOV[[#This Row],[MULTA]]</f>
        <v>0</v>
      </c>
      <c r="O804" s="546"/>
      <c r="P804" s="547" t="str">
        <f t="shared" ca="1" si="12"/>
        <v/>
      </c>
      <c r="Q804" s="528"/>
      <c r="R804" s="529"/>
      <c r="S804" s="518"/>
      <c r="T804" s="518"/>
      <c r="U804" s="519"/>
      <c r="V804" s="520" t="str">
        <f>IFERROR(VLOOKUP(LANÇ_MOV[[#This Row],[PLANO DE CONTAS]],Plano_Contas[[PLANO DE CONTAS]:[R / D]],3,0),"")</f>
        <v/>
      </c>
      <c r="W804" s="521" t="str">
        <f>IF(LANÇ_MOV[[#This Row],[DATA DE PAGAMENTO]]&lt;&gt;"","Pago","Não Pago")</f>
        <v>Não Pago</v>
      </c>
      <c r="X804" s="522" t="str">
        <f>IFERROR(IF(LANÇ_MOV[[#This Row],[DATA DE PAGAMENTO]]="","",(UPPER(TEXT(LANÇ_MOV[[#This Row],[DATA DE PAGAMENTO]],"mmmm")))),"")</f>
        <v/>
      </c>
      <c r="Y804" s="523" t="str">
        <f>IFERROR(VLOOKUP(LANÇ_MOV[[#This Row],[PLANO DE CONTAS]],Plano_Contas[[PLANO DE CONTAS]:[NOMES INTERVALOS]],2,0),"")</f>
        <v/>
      </c>
      <c r="Z804" s="523" t="str">
        <f>IF(LANÇ_MOV[[#This Row],[FORMA DE PAGAMENTO]]="","",VLOOKUP(LANÇ_MOV[[#This Row],[FORMA DE PAGAMENTO]],CAD_Forma_pagto[],2,0))</f>
        <v/>
      </c>
      <c r="AA804" s="524" t="str">
        <f>IF(LANÇ_MOV[[#This Row],[DATA DE LANÇAMENTO]]="","",TEXT(LANÇ_MOV[[#This Row],[DATA DE LANÇAMENTO]],"AAAA"))</f>
        <v/>
      </c>
      <c r="AB804" s="524" t="str">
        <f>IF(LANÇ_MOV[[#This Row],[DATA DE LANÇAMENTO]]="","",UPPER(TEXT(LANÇ_MOV[[#This Row],[DATA DE LANÇAMENTO]],"MMMM")))</f>
        <v/>
      </c>
      <c r="AC804" s="525" t="str">
        <f>IF(LANÇ_MOV[[#This Row],[DATA DE LANÇAMENTO]]="","",PROPER(TEXT(LANÇ_MOV[[#This Row],[DATA DE LANÇAMENTO]],"M")))</f>
        <v/>
      </c>
      <c r="AD804" s="524" t="str">
        <f>IF(LANÇ_MOV[[#This Row],[DATA DE LANÇAMENTO]]="","",TEXT(LANÇ_MOV[[#This Row],[DATA DE LANÇAMENTO]],"D"))</f>
        <v/>
      </c>
      <c r="AE804" s="526" t="str">
        <f>IF(LANÇ_MOV[[#This Row],[DATA DE VENCIMENTO]]="","",TEXT(LANÇ_MOV[[#This Row],[DATA DE VENCIMENTO]],"AAAA"))</f>
        <v/>
      </c>
      <c r="AF804" s="526" t="str">
        <f>IF(LANÇ_MOV[[#This Row],[DATA DE VENCIMENTO]]="","",UPPER(TEXT(LANÇ_MOV[[#This Row],[DATA DE VENCIMENTO]],"MMMM")))</f>
        <v/>
      </c>
      <c r="AG804" s="526" t="str">
        <f>IF(LANÇ_MOV[[#This Row],[DATA DE VENCIMENTO]]="","",TEXT(LANÇ_MOV[[#This Row],[DATA DE VENCIMENTO]],"M"))</f>
        <v/>
      </c>
      <c r="AH804" s="526" t="str">
        <f>IF(LANÇ_MOV[[#This Row],[DATA DE VENCIMENTO]]="","",TEXT(LANÇ_MOV[[#This Row],[DATA DE VENCIMENTO]],"D"))</f>
        <v/>
      </c>
      <c r="AI804" s="526" t="str">
        <f>IF(LANÇ_MOV[[#This Row],[DATA DE PAGAMENTO]]="","",TEXT(LANÇ_MOV[[#This Row],[DATA DE PAGAMENTO]],"AAAA"))</f>
        <v/>
      </c>
      <c r="AJ804" s="527" t="str">
        <f>IF(LANÇ_MOV[[#This Row],[DATA DE PAGAMENTO]]="","",UPPER(TEXT(LANÇ_MOV[[#This Row],[DATA DE PAGAMENTO]],"MMMM")))</f>
        <v/>
      </c>
      <c r="AK804" s="527" t="str">
        <f>IF(LANÇ_MOV[[#This Row],[DATA DE PAGAMENTO]]="","",TEXT(LANÇ_MOV[[#This Row],[DATA DE PAGAMENTO]],"M"))</f>
        <v/>
      </c>
      <c r="AL804" s="526" t="str">
        <f>IF(LANÇ_MOV[[#This Row],[DATA DE PAGAMENTO]]="","",TEXT(LANÇ_MOV[[#This Row],[DATA DE PAGAMENTO]],"D"))</f>
        <v/>
      </c>
    </row>
    <row r="805" spans="2:38" ht="30.05" customHeight="1" x14ac:dyDescent="0.35">
      <c r="B805" s="506"/>
      <c r="C805" s="507"/>
      <c r="D805" s="508" t="s">
        <v>1854</v>
      </c>
      <c r="E805" s="509"/>
      <c r="F805" s="510"/>
      <c r="G805" s="507"/>
      <c r="H805" s="511"/>
      <c r="I805" s="512"/>
      <c r="J805" s="518"/>
      <c r="K805" s="510"/>
      <c r="L805" s="510"/>
      <c r="M805" s="548"/>
      <c r="N805" s="514">
        <f>LANÇ_MOV[[#This Row],[VALOR BRUTO]]-LANÇ_MOV[[#This Row],[DESCONTO]]+LANÇ_MOV[[#This Row],[JUROS]]+LANÇ_MOV[[#This Row],[MULTA]]</f>
        <v>0</v>
      </c>
      <c r="O805" s="546"/>
      <c r="P805" s="547" t="str">
        <f t="shared" ca="1" si="12"/>
        <v/>
      </c>
      <c r="Q805" s="528"/>
      <c r="R805" s="529"/>
      <c r="S805" s="518"/>
      <c r="T805" s="518"/>
      <c r="U805" s="519"/>
      <c r="V805" s="520" t="str">
        <f>IFERROR(VLOOKUP(LANÇ_MOV[[#This Row],[PLANO DE CONTAS]],Plano_Contas[[PLANO DE CONTAS]:[R / D]],3,0),"")</f>
        <v/>
      </c>
      <c r="W805" s="521" t="str">
        <f>IF(LANÇ_MOV[[#This Row],[DATA DE PAGAMENTO]]&lt;&gt;"","Pago","Não Pago")</f>
        <v>Não Pago</v>
      </c>
      <c r="X805" s="522" t="str">
        <f>IFERROR(IF(LANÇ_MOV[[#This Row],[DATA DE PAGAMENTO]]="","",(UPPER(TEXT(LANÇ_MOV[[#This Row],[DATA DE PAGAMENTO]],"mmmm")))),"")</f>
        <v/>
      </c>
      <c r="Y805" s="523" t="str">
        <f>IFERROR(VLOOKUP(LANÇ_MOV[[#This Row],[PLANO DE CONTAS]],Plano_Contas[[PLANO DE CONTAS]:[NOMES INTERVALOS]],2,0),"")</f>
        <v/>
      </c>
      <c r="Z805" s="523" t="str">
        <f>IF(LANÇ_MOV[[#This Row],[FORMA DE PAGAMENTO]]="","",VLOOKUP(LANÇ_MOV[[#This Row],[FORMA DE PAGAMENTO]],CAD_Forma_pagto[],2,0))</f>
        <v/>
      </c>
      <c r="AA805" s="524" t="str">
        <f>IF(LANÇ_MOV[[#This Row],[DATA DE LANÇAMENTO]]="","",TEXT(LANÇ_MOV[[#This Row],[DATA DE LANÇAMENTO]],"AAAA"))</f>
        <v/>
      </c>
      <c r="AB805" s="524" t="str">
        <f>IF(LANÇ_MOV[[#This Row],[DATA DE LANÇAMENTO]]="","",UPPER(TEXT(LANÇ_MOV[[#This Row],[DATA DE LANÇAMENTO]],"MMMM")))</f>
        <v/>
      </c>
      <c r="AC805" s="525" t="str">
        <f>IF(LANÇ_MOV[[#This Row],[DATA DE LANÇAMENTO]]="","",PROPER(TEXT(LANÇ_MOV[[#This Row],[DATA DE LANÇAMENTO]],"M")))</f>
        <v/>
      </c>
      <c r="AD805" s="524" t="str">
        <f>IF(LANÇ_MOV[[#This Row],[DATA DE LANÇAMENTO]]="","",TEXT(LANÇ_MOV[[#This Row],[DATA DE LANÇAMENTO]],"D"))</f>
        <v/>
      </c>
      <c r="AE805" s="526" t="str">
        <f>IF(LANÇ_MOV[[#This Row],[DATA DE VENCIMENTO]]="","",TEXT(LANÇ_MOV[[#This Row],[DATA DE VENCIMENTO]],"AAAA"))</f>
        <v/>
      </c>
      <c r="AF805" s="526" t="str">
        <f>IF(LANÇ_MOV[[#This Row],[DATA DE VENCIMENTO]]="","",UPPER(TEXT(LANÇ_MOV[[#This Row],[DATA DE VENCIMENTO]],"MMMM")))</f>
        <v/>
      </c>
      <c r="AG805" s="526" t="str">
        <f>IF(LANÇ_MOV[[#This Row],[DATA DE VENCIMENTO]]="","",TEXT(LANÇ_MOV[[#This Row],[DATA DE VENCIMENTO]],"M"))</f>
        <v/>
      </c>
      <c r="AH805" s="526" t="str">
        <f>IF(LANÇ_MOV[[#This Row],[DATA DE VENCIMENTO]]="","",TEXT(LANÇ_MOV[[#This Row],[DATA DE VENCIMENTO]],"D"))</f>
        <v/>
      </c>
      <c r="AI805" s="526" t="str">
        <f>IF(LANÇ_MOV[[#This Row],[DATA DE PAGAMENTO]]="","",TEXT(LANÇ_MOV[[#This Row],[DATA DE PAGAMENTO]],"AAAA"))</f>
        <v/>
      </c>
      <c r="AJ805" s="527" t="str">
        <f>IF(LANÇ_MOV[[#This Row],[DATA DE PAGAMENTO]]="","",UPPER(TEXT(LANÇ_MOV[[#This Row],[DATA DE PAGAMENTO]],"MMMM")))</f>
        <v/>
      </c>
      <c r="AK805" s="527" t="str">
        <f>IF(LANÇ_MOV[[#This Row],[DATA DE PAGAMENTO]]="","",TEXT(LANÇ_MOV[[#This Row],[DATA DE PAGAMENTO]],"M"))</f>
        <v/>
      </c>
      <c r="AL805" s="526" t="str">
        <f>IF(LANÇ_MOV[[#This Row],[DATA DE PAGAMENTO]]="","",TEXT(LANÇ_MOV[[#This Row],[DATA DE PAGAMENTO]],"D"))</f>
        <v/>
      </c>
    </row>
    <row r="806" spans="2:38" ht="30.05" customHeight="1" x14ac:dyDescent="0.35">
      <c r="B806" s="506"/>
      <c r="C806" s="507"/>
      <c r="D806" s="508" t="s">
        <v>1854</v>
      </c>
      <c r="E806" s="509"/>
      <c r="F806" s="510"/>
      <c r="G806" s="507"/>
      <c r="H806" s="511"/>
      <c r="I806" s="512"/>
      <c r="J806" s="518"/>
      <c r="K806" s="510"/>
      <c r="L806" s="510"/>
      <c r="M806" s="548"/>
      <c r="N806" s="514">
        <f>LANÇ_MOV[[#This Row],[VALOR BRUTO]]-LANÇ_MOV[[#This Row],[DESCONTO]]+LANÇ_MOV[[#This Row],[JUROS]]+LANÇ_MOV[[#This Row],[MULTA]]</f>
        <v>0</v>
      </c>
      <c r="O806" s="546"/>
      <c r="P806" s="547" t="str">
        <f t="shared" ca="1" si="12"/>
        <v/>
      </c>
      <c r="Q806" s="528"/>
      <c r="R806" s="529"/>
      <c r="S806" s="518"/>
      <c r="T806" s="518"/>
      <c r="U806" s="519"/>
      <c r="V806" s="520" t="str">
        <f>IFERROR(VLOOKUP(LANÇ_MOV[[#This Row],[PLANO DE CONTAS]],Plano_Contas[[PLANO DE CONTAS]:[R / D]],3,0),"")</f>
        <v/>
      </c>
      <c r="W806" s="521" t="str">
        <f>IF(LANÇ_MOV[[#This Row],[DATA DE PAGAMENTO]]&lt;&gt;"","Pago","Não Pago")</f>
        <v>Não Pago</v>
      </c>
      <c r="X806" s="522" t="str">
        <f>IFERROR(IF(LANÇ_MOV[[#This Row],[DATA DE PAGAMENTO]]="","",(UPPER(TEXT(LANÇ_MOV[[#This Row],[DATA DE PAGAMENTO]],"mmmm")))),"")</f>
        <v/>
      </c>
      <c r="Y806" s="523" t="str">
        <f>IFERROR(VLOOKUP(LANÇ_MOV[[#This Row],[PLANO DE CONTAS]],Plano_Contas[[PLANO DE CONTAS]:[NOMES INTERVALOS]],2,0),"")</f>
        <v/>
      </c>
      <c r="Z806" s="523" t="str">
        <f>IF(LANÇ_MOV[[#This Row],[FORMA DE PAGAMENTO]]="","",VLOOKUP(LANÇ_MOV[[#This Row],[FORMA DE PAGAMENTO]],CAD_Forma_pagto[],2,0))</f>
        <v/>
      </c>
      <c r="AA806" s="524" t="str">
        <f>IF(LANÇ_MOV[[#This Row],[DATA DE LANÇAMENTO]]="","",TEXT(LANÇ_MOV[[#This Row],[DATA DE LANÇAMENTO]],"AAAA"))</f>
        <v/>
      </c>
      <c r="AB806" s="524" t="str">
        <f>IF(LANÇ_MOV[[#This Row],[DATA DE LANÇAMENTO]]="","",UPPER(TEXT(LANÇ_MOV[[#This Row],[DATA DE LANÇAMENTO]],"MMMM")))</f>
        <v/>
      </c>
      <c r="AC806" s="525" t="str">
        <f>IF(LANÇ_MOV[[#This Row],[DATA DE LANÇAMENTO]]="","",PROPER(TEXT(LANÇ_MOV[[#This Row],[DATA DE LANÇAMENTO]],"M")))</f>
        <v/>
      </c>
      <c r="AD806" s="524" t="str">
        <f>IF(LANÇ_MOV[[#This Row],[DATA DE LANÇAMENTO]]="","",TEXT(LANÇ_MOV[[#This Row],[DATA DE LANÇAMENTO]],"D"))</f>
        <v/>
      </c>
      <c r="AE806" s="526" t="str">
        <f>IF(LANÇ_MOV[[#This Row],[DATA DE VENCIMENTO]]="","",TEXT(LANÇ_MOV[[#This Row],[DATA DE VENCIMENTO]],"AAAA"))</f>
        <v/>
      </c>
      <c r="AF806" s="526" t="str">
        <f>IF(LANÇ_MOV[[#This Row],[DATA DE VENCIMENTO]]="","",UPPER(TEXT(LANÇ_MOV[[#This Row],[DATA DE VENCIMENTO]],"MMMM")))</f>
        <v/>
      </c>
      <c r="AG806" s="526" t="str">
        <f>IF(LANÇ_MOV[[#This Row],[DATA DE VENCIMENTO]]="","",TEXT(LANÇ_MOV[[#This Row],[DATA DE VENCIMENTO]],"M"))</f>
        <v/>
      </c>
      <c r="AH806" s="526" t="str">
        <f>IF(LANÇ_MOV[[#This Row],[DATA DE VENCIMENTO]]="","",TEXT(LANÇ_MOV[[#This Row],[DATA DE VENCIMENTO]],"D"))</f>
        <v/>
      </c>
      <c r="AI806" s="526" t="str">
        <f>IF(LANÇ_MOV[[#This Row],[DATA DE PAGAMENTO]]="","",TEXT(LANÇ_MOV[[#This Row],[DATA DE PAGAMENTO]],"AAAA"))</f>
        <v/>
      </c>
      <c r="AJ806" s="527" t="str">
        <f>IF(LANÇ_MOV[[#This Row],[DATA DE PAGAMENTO]]="","",UPPER(TEXT(LANÇ_MOV[[#This Row],[DATA DE PAGAMENTO]],"MMMM")))</f>
        <v/>
      </c>
      <c r="AK806" s="527" t="str">
        <f>IF(LANÇ_MOV[[#This Row],[DATA DE PAGAMENTO]]="","",TEXT(LANÇ_MOV[[#This Row],[DATA DE PAGAMENTO]],"M"))</f>
        <v/>
      </c>
      <c r="AL806" s="526" t="str">
        <f>IF(LANÇ_MOV[[#This Row],[DATA DE PAGAMENTO]]="","",TEXT(LANÇ_MOV[[#This Row],[DATA DE PAGAMENTO]],"D"))</f>
        <v/>
      </c>
    </row>
    <row r="807" spans="2:38" ht="30.05" customHeight="1" x14ac:dyDescent="0.35">
      <c r="B807" s="506"/>
      <c r="C807" s="507"/>
      <c r="D807" s="508" t="s">
        <v>1854</v>
      </c>
      <c r="E807" s="509"/>
      <c r="F807" s="510"/>
      <c r="G807" s="507"/>
      <c r="H807" s="511"/>
      <c r="I807" s="512"/>
      <c r="J807" s="518"/>
      <c r="K807" s="510"/>
      <c r="L807" s="510"/>
      <c r="M807" s="548"/>
      <c r="N807" s="514">
        <f>LANÇ_MOV[[#This Row],[VALOR BRUTO]]-LANÇ_MOV[[#This Row],[DESCONTO]]+LANÇ_MOV[[#This Row],[JUROS]]+LANÇ_MOV[[#This Row],[MULTA]]</f>
        <v>0</v>
      </c>
      <c r="O807" s="546"/>
      <c r="P807" s="547" t="str">
        <f t="shared" ca="1" si="12"/>
        <v/>
      </c>
      <c r="Q807" s="528"/>
      <c r="R807" s="529"/>
      <c r="S807" s="518"/>
      <c r="T807" s="518"/>
      <c r="U807" s="519"/>
      <c r="V807" s="520" t="str">
        <f>IFERROR(VLOOKUP(LANÇ_MOV[[#This Row],[PLANO DE CONTAS]],Plano_Contas[[PLANO DE CONTAS]:[R / D]],3,0),"")</f>
        <v/>
      </c>
      <c r="W807" s="521" t="str">
        <f>IF(LANÇ_MOV[[#This Row],[DATA DE PAGAMENTO]]&lt;&gt;"","Pago","Não Pago")</f>
        <v>Não Pago</v>
      </c>
      <c r="X807" s="522" t="str">
        <f>IFERROR(IF(LANÇ_MOV[[#This Row],[DATA DE PAGAMENTO]]="","",(UPPER(TEXT(LANÇ_MOV[[#This Row],[DATA DE PAGAMENTO]],"mmmm")))),"")</f>
        <v/>
      </c>
      <c r="Y807" s="523" t="str">
        <f>IFERROR(VLOOKUP(LANÇ_MOV[[#This Row],[PLANO DE CONTAS]],Plano_Contas[[PLANO DE CONTAS]:[NOMES INTERVALOS]],2,0),"")</f>
        <v/>
      </c>
      <c r="Z807" s="523" t="str">
        <f>IF(LANÇ_MOV[[#This Row],[FORMA DE PAGAMENTO]]="","",VLOOKUP(LANÇ_MOV[[#This Row],[FORMA DE PAGAMENTO]],CAD_Forma_pagto[],2,0))</f>
        <v/>
      </c>
      <c r="AA807" s="524" t="str">
        <f>IF(LANÇ_MOV[[#This Row],[DATA DE LANÇAMENTO]]="","",TEXT(LANÇ_MOV[[#This Row],[DATA DE LANÇAMENTO]],"AAAA"))</f>
        <v/>
      </c>
      <c r="AB807" s="524" t="str">
        <f>IF(LANÇ_MOV[[#This Row],[DATA DE LANÇAMENTO]]="","",UPPER(TEXT(LANÇ_MOV[[#This Row],[DATA DE LANÇAMENTO]],"MMMM")))</f>
        <v/>
      </c>
      <c r="AC807" s="525" t="str">
        <f>IF(LANÇ_MOV[[#This Row],[DATA DE LANÇAMENTO]]="","",PROPER(TEXT(LANÇ_MOV[[#This Row],[DATA DE LANÇAMENTO]],"M")))</f>
        <v/>
      </c>
      <c r="AD807" s="524" t="str">
        <f>IF(LANÇ_MOV[[#This Row],[DATA DE LANÇAMENTO]]="","",TEXT(LANÇ_MOV[[#This Row],[DATA DE LANÇAMENTO]],"D"))</f>
        <v/>
      </c>
      <c r="AE807" s="526" t="str">
        <f>IF(LANÇ_MOV[[#This Row],[DATA DE VENCIMENTO]]="","",TEXT(LANÇ_MOV[[#This Row],[DATA DE VENCIMENTO]],"AAAA"))</f>
        <v/>
      </c>
      <c r="AF807" s="526" t="str">
        <f>IF(LANÇ_MOV[[#This Row],[DATA DE VENCIMENTO]]="","",UPPER(TEXT(LANÇ_MOV[[#This Row],[DATA DE VENCIMENTO]],"MMMM")))</f>
        <v/>
      </c>
      <c r="AG807" s="526" t="str">
        <f>IF(LANÇ_MOV[[#This Row],[DATA DE VENCIMENTO]]="","",TEXT(LANÇ_MOV[[#This Row],[DATA DE VENCIMENTO]],"M"))</f>
        <v/>
      </c>
      <c r="AH807" s="526" t="str">
        <f>IF(LANÇ_MOV[[#This Row],[DATA DE VENCIMENTO]]="","",TEXT(LANÇ_MOV[[#This Row],[DATA DE VENCIMENTO]],"D"))</f>
        <v/>
      </c>
      <c r="AI807" s="526" t="str">
        <f>IF(LANÇ_MOV[[#This Row],[DATA DE PAGAMENTO]]="","",TEXT(LANÇ_MOV[[#This Row],[DATA DE PAGAMENTO]],"AAAA"))</f>
        <v/>
      </c>
      <c r="AJ807" s="527" t="str">
        <f>IF(LANÇ_MOV[[#This Row],[DATA DE PAGAMENTO]]="","",UPPER(TEXT(LANÇ_MOV[[#This Row],[DATA DE PAGAMENTO]],"MMMM")))</f>
        <v/>
      </c>
      <c r="AK807" s="527" t="str">
        <f>IF(LANÇ_MOV[[#This Row],[DATA DE PAGAMENTO]]="","",TEXT(LANÇ_MOV[[#This Row],[DATA DE PAGAMENTO]],"M"))</f>
        <v/>
      </c>
      <c r="AL807" s="526" t="str">
        <f>IF(LANÇ_MOV[[#This Row],[DATA DE PAGAMENTO]]="","",TEXT(LANÇ_MOV[[#This Row],[DATA DE PAGAMENTO]],"D"))</f>
        <v/>
      </c>
    </row>
    <row r="808" spans="2:38" ht="30.05" customHeight="1" x14ac:dyDescent="0.35">
      <c r="B808" s="506"/>
      <c r="C808" s="507"/>
      <c r="D808" s="508" t="s">
        <v>1854</v>
      </c>
      <c r="E808" s="509"/>
      <c r="F808" s="510"/>
      <c r="G808" s="507"/>
      <c r="H808" s="511"/>
      <c r="I808" s="512"/>
      <c r="J808" s="518"/>
      <c r="K808" s="510"/>
      <c r="L808" s="510"/>
      <c r="M808" s="548"/>
      <c r="N808" s="514">
        <f>LANÇ_MOV[[#This Row],[VALOR BRUTO]]-LANÇ_MOV[[#This Row],[DESCONTO]]+LANÇ_MOV[[#This Row],[JUROS]]+LANÇ_MOV[[#This Row],[MULTA]]</f>
        <v>0</v>
      </c>
      <c r="O808" s="546"/>
      <c r="P808" s="547" t="str">
        <f t="shared" ca="1" si="12"/>
        <v/>
      </c>
      <c r="Q808" s="528"/>
      <c r="R808" s="529"/>
      <c r="S808" s="518"/>
      <c r="T808" s="518"/>
      <c r="U808" s="519"/>
      <c r="V808" s="520" t="str">
        <f>IFERROR(VLOOKUP(LANÇ_MOV[[#This Row],[PLANO DE CONTAS]],Plano_Contas[[PLANO DE CONTAS]:[R / D]],3,0),"")</f>
        <v/>
      </c>
      <c r="W808" s="521" t="str">
        <f>IF(LANÇ_MOV[[#This Row],[DATA DE PAGAMENTO]]&lt;&gt;"","Pago","Não Pago")</f>
        <v>Não Pago</v>
      </c>
      <c r="X808" s="522" t="str">
        <f>IFERROR(IF(LANÇ_MOV[[#This Row],[DATA DE PAGAMENTO]]="","",(UPPER(TEXT(LANÇ_MOV[[#This Row],[DATA DE PAGAMENTO]],"mmmm")))),"")</f>
        <v/>
      </c>
      <c r="Y808" s="523" t="str">
        <f>IFERROR(VLOOKUP(LANÇ_MOV[[#This Row],[PLANO DE CONTAS]],Plano_Contas[[PLANO DE CONTAS]:[NOMES INTERVALOS]],2,0),"")</f>
        <v/>
      </c>
      <c r="Z808" s="523" t="str">
        <f>IF(LANÇ_MOV[[#This Row],[FORMA DE PAGAMENTO]]="","",VLOOKUP(LANÇ_MOV[[#This Row],[FORMA DE PAGAMENTO]],CAD_Forma_pagto[],2,0))</f>
        <v/>
      </c>
      <c r="AA808" s="524" t="str">
        <f>IF(LANÇ_MOV[[#This Row],[DATA DE LANÇAMENTO]]="","",TEXT(LANÇ_MOV[[#This Row],[DATA DE LANÇAMENTO]],"AAAA"))</f>
        <v/>
      </c>
      <c r="AB808" s="524" t="str">
        <f>IF(LANÇ_MOV[[#This Row],[DATA DE LANÇAMENTO]]="","",UPPER(TEXT(LANÇ_MOV[[#This Row],[DATA DE LANÇAMENTO]],"MMMM")))</f>
        <v/>
      </c>
      <c r="AC808" s="525" t="str">
        <f>IF(LANÇ_MOV[[#This Row],[DATA DE LANÇAMENTO]]="","",PROPER(TEXT(LANÇ_MOV[[#This Row],[DATA DE LANÇAMENTO]],"M")))</f>
        <v/>
      </c>
      <c r="AD808" s="524" t="str">
        <f>IF(LANÇ_MOV[[#This Row],[DATA DE LANÇAMENTO]]="","",TEXT(LANÇ_MOV[[#This Row],[DATA DE LANÇAMENTO]],"D"))</f>
        <v/>
      </c>
      <c r="AE808" s="526" t="str">
        <f>IF(LANÇ_MOV[[#This Row],[DATA DE VENCIMENTO]]="","",TEXT(LANÇ_MOV[[#This Row],[DATA DE VENCIMENTO]],"AAAA"))</f>
        <v/>
      </c>
      <c r="AF808" s="526" t="str">
        <f>IF(LANÇ_MOV[[#This Row],[DATA DE VENCIMENTO]]="","",UPPER(TEXT(LANÇ_MOV[[#This Row],[DATA DE VENCIMENTO]],"MMMM")))</f>
        <v/>
      </c>
      <c r="AG808" s="526" t="str">
        <f>IF(LANÇ_MOV[[#This Row],[DATA DE VENCIMENTO]]="","",TEXT(LANÇ_MOV[[#This Row],[DATA DE VENCIMENTO]],"M"))</f>
        <v/>
      </c>
      <c r="AH808" s="526" t="str">
        <f>IF(LANÇ_MOV[[#This Row],[DATA DE VENCIMENTO]]="","",TEXT(LANÇ_MOV[[#This Row],[DATA DE VENCIMENTO]],"D"))</f>
        <v/>
      </c>
      <c r="AI808" s="526" t="str">
        <f>IF(LANÇ_MOV[[#This Row],[DATA DE PAGAMENTO]]="","",TEXT(LANÇ_MOV[[#This Row],[DATA DE PAGAMENTO]],"AAAA"))</f>
        <v/>
      </c>
      <c r="AJ808" s="527" t="str">
        <f>IF(LANÇ_MOV[[#This Row],[DATA DE PAGAMENTO]]="","",UPPER(TEXT(LANÇ_MOV[[#This Row],[DATA DE PAGAMENTO]],"MMMM")))</f>
        <v/>
      </c>
      <c r="AK808" s="527" t="str">
        <f>IF(LANÇ_MOV[[#This Row],[DATA DE PAGAMENTO]]="","",TEXT(LANÇ_MOV[[#This Row],[DATA DE PAGAMENTO]],"M"))</f>
        <v/>
      </c>
      <c r="AL808" s="526" t="str">
        <f>IF(LANÇ_MOV[[#This Row],[DATA DE PAGAMENTO]]="","",TEXT(LANÇ_MOV[[#This Row],[DATA DE PAGAMENTO]],"D"))</f>
        <v/>
      </c>
    </row>
    <row r="809" spans="2:38" ht="30.05" customHeight="1" x14ac:dyDescent="0.35">
      <c r="B809" s="506"/>
      <c r="C809" s="507"/>
      <c r="D809" s="508" t="s">
        <v>1854</v>
      </c>
      <c r="E809" s="509"/>
      <c r="F809" s="510"/>
      <c r="G809" s="507"/>
      <c r="H809" s="511"/>
      <c r="I809" s="512"/>
      <c r="J809" s="518"/>
      <c r="K809" s="510"/>
      <c r="L809" s="510"/>
      <c r="M809" s="548"/>
      <c r="N809" s="514">
        <f>LANÇ_MOV[[#This Row],[VALOR BRUTO]]-LANÇ_MOV[[#This Row],[DESCONTO]]+LANÇ_MOV[[#This Row],[JUROS]]+LANÇ_MOV[[#This Row],[MULTA]]</f>
        <v>0</v>
      </c>
      <c r="O809" s="546"/>
      <c r="P809" s="547" t="str">
        <f t="shared" ca="1" si="12"/>
        <v/>
      </c>
      <c r="Q809" s="528"/>
      <c r="R809" s="529"/>
      <c r="S809" s="518"/>
      <c r="T809" s="518"/>
      <c r="U809" s="519"/>
      <c r="V809" s="520" t="str">
        <f>IFERROR(VLOOKUP(LANÇ_MOV[[#This Row],[PLANO DE CONTAS]],Plano_Contas[[PLANO DE CONTAS]:[R / D]],3,0),"")</f>
        <v/>
      </c>
      <c r="W809" s="521" t="str">
        <f>IF(LANÇ_MOV[[#This Row],[DATA DE PAGAMENTO]]&lt;&gt;"","Pago","Não Pago")</f>
        <v>Não Pago</v>
      </c>
      <c r="X809" s="522" t="str">
        <f>IFERROR(IF(LANÇ_MOV[[#This Row],[DATA DE PAGAMENTO]]="","",(UPPER(TEXT(LANÇ_MOV[[#This Row],[DATA DE PAGAMENTO]],"mmmm")))),"")</f>
        <v/>
      </c>
      <c r="Y809" s="523" t="str">
        <f>IFERROR(VLOOKUP(LANÇ_MOV[[#This Row],[PLANO DE CONTAS]],Plano_Contas[[PLANO DE CONTAS]:[NOMES INTERVALOS]],2,0),"")</f>
        <v/>
      </c>
      <c r="Z809" s="523" t="str">
        <f>IF(LANÇ_MOV[[#This Row],[FORMA DE PAGAMENTO]]="","",VLOOKUP(LANÇ_MOV[[#This Row],[FORMA DE PAGAMENTO]],CAD_Forma_pagto[],2,0))</f>
        <v/>
      </c>
      <c r="AA809" s="524" t="str">
        <f>IF(LANÇ_MOV[[#This Row],[DATA DE LANÇAMENTO]]="","",TEXT(LANÇ_MOV[[#This Row],[DATA DE LANÇAMENTO]],"AAAA"))</f>
        <v/>
      </c>
      <c r="AB809" s="524" t="str">
        <f>IF(LANÇ_MOV[[#This Row],[DATA DE LANÇAMENTO]]="","",UPPER(TEXT(LANÇ_MOV[[#This Row],[DATA DE LANÇAMENTO]],"MMMM")))</f>
        <v/>
      </c>
      <c r="AC809" s="525" t="str">
        <f>IF(LANÇ_MOV[[#This Row],[DATA DE LANÇAMENTO]]="","",PROPER(TEXT(LANÇ_MOV[[#This Row],[DATA DE LANÇAMENTO]],"M")))</f>
        <v/>
      </c>
      <c r="AD809" s="524" t="str">
        <f>IF(LANÇ_MOV[[#This Row],[DATA DE LANÇAMENTO]]="","",TEXT(LANÇ_MOV[[#This Row],[DATA DE LANÇAMENTO]],"D"))</f>
        <v/>
      </c>
      <c r="AE809" s="526" t="str">
        <f>IF(LANÇ_MOV[[#This Row],[DATA DE VENCIMENTO]]="","",TEXT(LANÇ_MOV[[#This Row],[DATA DE VENCIMENTO]],"AAAA"))</f>
        <v/>
      </c>
      <c r="AF809" s="526" t="str">
        <f>IF(LANÇ_MOV[[#This Row],[DATA DE VENCIMENTO]]="","",UPPER(TEXT(LANÇ_MOV[[#This Row],[DATA DE VENCIMENTO]],"MMMM")))</f>
        <v/>
      </c>
      <c r="AG809" s="526" t="str">
        <f>IF(LANÇ_MOV[[#This Row],[DATA DE VENCIMENTO]]="","",TEXT(LANÇ_MOV[[#This Row],[DATA DE VENCIMENTO]],"M"))</f>
        <v/>
      </c>
      <c r="AH809" s="526" t="str">
        <f>IF(LANÇ_MOV[[#This Row],[DATA DE VENCIMENTO]]="","",TEXT(LANÇ_MOV[[#This Row],[DATA DE VENCIMENTO]],"D"))</f>
        <v/>
      </c>
      <c r="AI809" s="526" t="str">
        <f>IF(LANÇ_MOV[[#This Row],[DATA DE PAGAMENTO]]="","",TEXT(LANÇ_MOV[[#This Row],[DATA DE PAGAMENTO]],"AAAA"))</f>
        <v/>
      </c>
      <c r="AJ809" s="527" t="str">
        <f>IF(LANÇ_MOV[[#This Row],[DATA DE PAGAMENTO]]="","",UPPER(TEXT(LANÇ_MOV[[#This Row],[DATA DE PAGAMENTO]],"MMMM")))</f>
        <v/>
      </c>
      <c r="AK809" s="527" t="str">
        <f>IF(LANÇ_MOV[[#This Row],[DATA DE PAGAMENTO]]="","",TEXT(LANÇ_MOV[[#This Row],[DATA DE PAGAMENTO]],"M"))</f>
        <v/>
      </c>
      <c r="AL809" s="526" t="str">
        <f>IF(LANÇ_MOV[[#This Row],[DATA DE PAGAMENTO]]="","",TEXT(LANÇ_MOV[[#This Row],[DATA DE PAGAMENTO]],"D"))</f>
        <v/>
      </c>
    </row>
    <row r="810" spans="2:38" ht="30.05" customHeight="1" x14ac:dyDescent="0.35">
      <c r="B810" s="506"/>
      <c r="C810" s="507"/>
      <c r="D810" s="508" t="s">
        <v>1854</v>
      </c>
      <c r="E810" s="509"/>
      <c r="F810" s="510"/>
      <c r="G810" s="507"/>
      <c r="H810" s="511"/>
      <c r="I810" s="512"/>
      <c r="J810" s="518"/>
      <c r="K810" s="510"/>
      <c r="L810" s="510"/>
      <c r="M810" s="548"/>
      <c r="N810" s="514">
        <f>LANÇ_MOV[[#This Row],[VALOR BRUTO]]-LANÇ_MOV[[#This Row],[DESCONTO]]+LANÇ_MOV[[#This Row],[JUROS]]+LANÇ_MOV[[#This Row],[MULTA]]</f>
        <v>0</v>
      </c>
      <c r="O810" s="546"/>
      <c r="P810" s="547" t="str">
        <f t="shared" ca="1" si="12"/>
        <v/>
      </c>
      <c r="Q810" s="528"/>
      <c r="R810" s="529"/>
      <c r="S810" s="518"/>
      <c r="T810" s="518"/>
      <c r="U810" s="519"/>
      <c r="V810" s="520" t="str">
        <f>IFERROR(VLOOKUP(LANÇ_MOV[[#This Row],[PLANO DE CONTAS]],Plano_Contas[[PLANO DE CONTAS]:[R / D]],3,0),"")</f>
        <v/>
      </c>
      <c r="W810" s="521" t="str">
        <f>IF(LANÇ_MOV[[#This Row],[DATA DE PAGAMENTO]]&lt;&gt;"","Pago","Não Pago")</f>
        <v>Não Pago</v>
      </c>
      <c r="X810" s="522" t="str">
        <f>IFERROR(IF(LANÇ_MOV[[#This Row],[DATA DE PAGAMENTO]]="","",(UPPER(TEXT(LANÇ_MOV[[#This Row],[DATA DE PAGAMENTO]],"mmmm")))),"")</f>
        <v/>
      </c>
      <c r="Y810" s="523" t="str">
        <f>IFERROR(VLOOKUP(LANÇ_MOV[[#This Row],[PLANO DE CONTAS]],Plano_Contas[[PLANO DE CONTAS]:[NOMES INTERVALOS]],2,0),"")</f>
        <v/>
      </c>
      <c r="Z810" s="523" t="str">
        <f>IF(LANÇ_MOV[[#This Row],[FORMA DE PAGAMENTO]]="","",VLOOKUP(LANÇ_MOV[[#This Row],[FORMA DE PAGAMENTO]],CAD_Forma_pagto[],2,0))</f>
        <v/>
      </c>
      <c r="AA810" s="524" t="str">
        <f>IF(LANÇ_MOV[[#This Row],[DATA DE LANÇAMENTO]]="","",TEXT(LANÇ_MOV[[#This Row],[DATA DE LANÇAMENTO]],"AAAA"))</f>
        <v/>
      </c>
      <c r="AB810" s="524" t="str">
        <f>IF(LANÇ_MOV[[#This Row],[DATA DE LANÇAMENTO]]="","",UPPER(TEXT(LANÇ_MOV[[#This Row],[DATA DE LANÇAMENTO]],"MMMM")))</f>
        <v/>
      </c>
      <c r="AC810" s="525" t="str">
        <f>IF(LANÇ_MOV[[#This Row],[DATA DE LANÇAMENTO]]="","",PROPER(TEXT(LANÇ_MOV[[#This Row],[DATA DE LANÇAMENTO]],"M")))</f>
        <v/>
      </c>
      <c r="AD810" s="524" t="str">
        <f>IF(LANÇ_MOV[[#This Row],[DATA DE LANÇAMENTO]]="","",TEXT(LANÇ_MOV[[#This Row],[DATA DE LANÇAMENTO]],"D"))</f>
        <v/>
      </c>
      <c r="AE810" s="526" t="str">
        <f>IF(LANÇ_MOV[[#This Row],[DATA DE VENCIMENTO]]="","",TEXT(LANÇ_MOV[[#This Row],[DATA DE VENCIMENTO]],"AAAA"))</f>
        <v/>
      </c>
      <c r="AF810" s="526" t="str">
        <f>IF(LANÇ_MOV[[#This Row],[DATA DE VENCIMENTO]]="","",UPPER(TEXT(LANÇ_MOV[[#This Row],[DATA DE VENCIMENTO]],"MMMM")))</f>
        <v/>
      </c>
      <c r="AG810" s="526" t="str">
        <f>IF(LANÇ_MOV[[#This Row],[DATA DE VENCIMENTO]]="","",TEXT(LANÇ_MOV[[#This Row],[DATA DE VENCIMENTO]],"M"))</f>
        <v/>
      </c>
      <c r="AH810" s="526" t="str">
        <f>IF(LANÇ_MOV[[#This Row],[DATA DE VENCIMENTO]]="","",TEXT(LANÇ_MOV[[#This Row],[DATA DE VENCIMENTO]],"D"))</f>
        <v/>
      </c>
      <c r="AI810" s="526" t="str">
        <f>IF(LANÇ_MOV[[#This Row],[DATA DE PAGAMENTO]]="","",TEXT(LANÇ_MOV[[#This Row],[DATA DE PAGAMENTO]],"AAAA"))</f>
        <v/>
      </c>
      <c r="AJ810" s="527" t="str">
        <f>IF(LANÇ_MOV[[#This Row],[DATA DE PAGAMENTO]]="","",UPPER(TEXT(LANÇ_MOV[[#This Row],[DATA DE PAGAMENTO]],"MMMM")))</f>
        <v/>
      </c>
      <c r="AK810" s="527" t="str">
        <f>IF(LANÇ_MOV[[#This Row],[DATA DE PAGAMENTO]]="","",TEXT(LANÇ_MOV[[#This Row],[DATA DE PAGAMENTO]],"M"))</f>
        <v/>
      </c>
      <c r="AL810" s="526" t="str">
        <f>IF(LANÇ_MOV[[#This Row],[DATA DE PAGAMENTO]]="","",TEXT(LANÇ_MOV[[#This Row],[DATA DE PAGAMENTO]],"D"))</f>
        <v/>
      </c>
    </row>
    <row r="811" spans="2:38" ht="30.05" customHeight="1" x14ac:dyDescent="0.35">
      <c r="B811" s="506"/>
      <c r="C811" s="507"/>
      <c r="D811" s="508" t="s">
        <v>1854</v>
      </c>
      <c r="E811" s="509"/>
      <c r="F811" s="510"/>
      <c r="G811" s="507"/>
      <c r="H811" s="511"/>
      <c r="I811" s="512"/>
      <c r="J811" s="518"/>
      <c r="K811" s="510"/>
      <c r="L811" s="510"/>
      <c r="M811" s="548"/>
      <c r="N811" s="514">
        <f>LANÇ_MOV[[#This Row],[VALOR BRUTO]]-LANÇ_MOV[[#This Row],[DESCONTO]]+LANÇ_MOV[[#This Row],[JUROS]]+LANÇ_MOV[[#This Row],[MULTA]]</f>
        <v>0</v>
      </c>
      <c r="O811" s="546"/>
      <c r="P811" s="547" t="str">
        <f t="shared" ca="1" si="12"/>
        <v/>
      </c>
      <c r="Q811" s="528"/>
      <c r="R811" s="529"/>
      <c r="S811" s="518"/>
      <c r="T811" s="518"/>
      <c r="U811" s="519"/>
      <c r="V811" s="520" t="str">
        <f>IFERROR(VLOOKUP(LANÇ_MOV[[#This Row],[PLANO DE CONTAS]],Plano_Contas[[PLANO DE CONTAS]:[R / D]],3,0),"")</f>
        <v/>
      </c>
      <c r="W811" s="521" t="str">
        <f>IF(LANÇ_MOV[[#This Row],[DATA DE PAGAMENTO]]&lt;&gt;"","Pago","Não Pago")</f>
        <v>Não Pago</v>
      </c>
      <c r="X811" s="522" t="str">
        <f>IFERROR(IF(LANÇ_MOV[[#This Row],[DATA DE PAGAMENTO]]="","",(UPPER(TEXT(LANÇ_MOV[[#This Row],[DATA DE PAGAMENTO]],"mmmm")))),"")</f>
        <v/>
      </c>
      <c r="Y811" s="523" t="str">
        <f>IFERROR(VLOOKUP(LANÇ_MOV[[#This Row],[PLANO DE CONTAS]],Plano_Contas[[PLANO DE CONTAS]:[NOMES INTERVALOS]],2,0),"")</f>
        <v/>
      </c>
      <c r="Z811" s="523" t="str">
        <f>IF(LANÇ_MOV[[#This Row],[FORMA DE PAGAMENTO]]="","",VLOOKUP(LANÇ_MOV[[#This Row],[FORMA DE PAGAMENTO]],CAD_Forma_pagto[],2,0))</f>
        <v/>
      </c>
      <c r="AA811" s="524" t="str">
        <f>IF(LANÇ_MOV[[#This Row],[DATA DE LANÇAMENTO]]="","",TEXT(LANÇ_MOV[[#This Row],[DATA DE LANÇAMENTO]],"AAAA"))</f>
        <v/>
      </c>
      <c r="AB811" s="524" t="str">
        <f>IF(LANÇ_MOV[[#This Row],[DATA DE LANÇAMENTO]]="","",UPPER(TEXT(LANÇ_MOV[[#This Row],[DATA DE LANÇAMENTO]],"MMMM")))</f>
        <v/>
      </c>
      <c r="AC811" s="525" t="str">
        <f>IF(LANÇ_MOV[[#This Row],[DATA DE LANÇAMENTO]]="","",PROPER(TEXT(LANÇ_MOV[[#This Row],[DATA DE LANÇAMENTO]],"M")))</f>
        <v/>
      </c>
      <c r="AD811" s="524" t="str">
        <f>IF(LANÇ_MOV[[#This Row],[DATA DE LANÇAMENTO]]="","",TEXT(LANÇ_MOV[[#This Row],[DATA DE LANÇAMENTO]],"D"))</f>
        <v/>
      </c>
      <c r="AE811" s="526" t="str">
        <f>IF(LANÇ_MOV[[#This Row],[DATA DE VENCIMENTO]]="","",TEXT(LANÇ_MOV[[#This Row],[DATA DE VENCIMENTO]],"AAAA"))</f>
        <v/>
      </c>
      <c r="AF811" s="526" t="str">
        <f>IF(LANÇ_MOV[[#This Row],[DATA DE VENCIMENTO]]="","",UPPER(TEXT(LANÇ_MOV[[#This Row],[DATA DE VENCIMENTO]],"MMMM")))</f>
        <v/>
      </c>
      <c r="AG811" s="526" t="str">
        <f>IF(LANÇ_MOV[[#This Row],[DATA DE VENCIMENTO]]="","",TEXT(LANÇ_MOV[[#This Row],[DATA DE VENCIMENTO]],"M"))</f>
        <v/>
      </c>
      <c r="AH811" s="526" t="str">
        <f>IF(LANÇ_MOV[[#This Row],[DATA DE VENCIMENTO]]="","",TEXT(LANÇ_MOV[[#This Row],[DATA DE VENCIMENTO]],"D"))</f>
        <v/>
      </c>
      <c r="AI811" s="526" t="str">
        <f>IF(LANÇ_MOV[[#This Row],[DATA DE PAGAMENTO]]="","",TEXT(LANÇ_MOV[[#This Row],[DATA DE PAGAMENTO]],"AAAA"))</f>
        <v/>
      </c>
      <c r="AJ811" s="527" t="str">
        <f>IF(LANÇ_MOV[[#This Row],[DATA DE PAGAMENTO]]="","",UPPER(TEXT(LANÇ_MOV[[#This Row],[DATA DE PAGAMENTO]],"MMMM")))</f>
        <v/>
      </c>
      <c r="AK811" s="527" t="str">
        <f>IF(LANÇ_MOV[[#This Row],[DATA DE PAGAMENTO]]="","",TEXT(LANÇ_MOV[[#This Row],[DATA DE PAGAMENTO]],"M"))</f>
        <v/>
      </c>
      <c r="AL811" s="526" t="str">
        <f>IF(LANÇ_MOV[[#This Row],[DATA DE PAGAMENTO]]="","",TEXT(LANÇ_MOV[[#This Row],[DATA DE PAGAMENTO]],"D"))</f>
        <v/>
      </c>
    </row>
    <row r="812" spans="2:38" ht="30.05" customHeight="1" x14ac:dyDescent="0.35">
      <c r="B812" s="506"/>
      <c r="C812" s="507"/>
      <c r="D812" s="508" t="s">
        <v>1854</v>
      </c>
      <c r="E812" s="509"/>
      <c r="F812" s="510"/>
      <c r="G812" s="507"/>
      <c r="H812" s="511"/>
      <c r="I812" s="512"/>
      <c r="J812" s="518"/>
      <c r="K812" s="510"/>
      <c r="L812" s="510"/>
      <c r="M812" s="548"/>
      <c r="N812" s="514">
        <f>LANÇ_MOV[[#This Row],[VALOR BRUTO]]-LANÇ_MOV[[#This Row],[DESCONTO]]+LANÇ_MOV[[#This Row],[JUROS]]+LANÇ_MOV[[#This Row],[MULTA]]</f>
        <v>0</v>
      </c>
      <c r="O812" s="546"/>
      <c r="P812" s="547" t="str">
        <f t="shared" ca="1" si="12"/>
        <v/>
      </c>
      <c r="Q812" s="528"/>
      <c r="R812" s="529"/>
      <c r="S812" s="518"/>
      <c r="T812" s="518"/>
      <c r="U812" s="519"/>
      <c r="V812" s="520" t="str">
        <f>IFERROR(VLOOKUP(LANÇ_MOV[[#This Row],[PLANO DE CONTAS]],Plano_Contas[[PLANO DE CONTAS]:[R / D]],3,0),"")</f>
        <v/>
      </c>
      <c r="W812" s="521" t="str">
        <f>IF(LANÇ_MOV[[#This Row],[DATA DE PAGAMENTO]]&lt;&gt;"","Pago","Não Pago")</f>
        <v>Não Pago</v>
      </c>
      <c r="X812" s="522" t="str">
        <f>IFERROR(IF(LANÇ_MOV[[#This Row],[DATA DE PAGAMENTO]]="","",(UPPER(TEXT(LANÇ_MOV[[#This Row],[DATA DE PAGAMENTO]],"mmmm")))),"")</f>
        <v/>
      </c>
      <c r="Y812" s="523" t="str">
        <f>IFERROR(VLOOKUP(LANÇ_MOV[[#This Row],[PLANO DE CONTAS]],Plano_Contas[[PLANO DE CONTAS]:[NOMES INTERVALOS]],2,0),"")</f>
        <v/>
      </c>
      <c r="Z812" s="523" t="str">
        <f>IF(LANÇ_MOV[[#This Row],[FORMA DE PAGAMENTO]]="","",VLOOKUP(LANÇ_MOV[[#This Row],[FORMA DE PAGAMENTO]],CAD_Forma_pagto[],2,0))</f>
        <v/>
      </c>
      <c r="AA812" s="524" t="str">
        <f>IF(LANÇ_MOV[[#This Row],[DATA DE LANÇAMENTO]]="","",TEXT(LANÇ_MOV[[#This Row],[DATA DE LANÇAMENTO]],"AAAA"))</f>
        <v/>
      </c>
      <c r="AB812" s="524" t="str">
        <f>IF(LANÇ_MOV[[#This Row],[DATA DE LANÇAMENTO]]="","",UPPER(TEXT(LANÇ_MOV[[#This Row],[DATA DE LANÇAMENTO]],"MMMM")))</f>
        <v/>
      </c>
      <c r="AC812" s="525" t="str">
        <f>IF(LANÇ_MOV[[#This Row],[DATA DE LANÇAMENTO]]="","",PROPER(TEXT(LANÇ_MOV[[#This Row],[DATA DE LANÇAMENTO]],"M")))</f>
        <v/>
      </c>
      <c r="AD812" s="524" t="str">
        <f>IF(LANÇ_MOV[[#This Row],[DATA DE LANÇAMENTO]]="","",TEXT(LANÇ_MOV[[#This Row],[DATA DE LANÇAMENTO]],"D"))</f>
        <v/>
      </c>
      <c r="AE812" s="526" t="str">
        <f>IF(LANÇ_MOV[[#This Row],[DATA DE VENCIMENTO]]="","",TEXT(LANÇ_MOV[[#This Row],[DATA DE VENCIMENTO]],"AAAA"))</f>
        <v/>
      </c>
      <c r="AF812" s="526" t="str">
        <f>IF(LANÇ_MOV[[#This Row],[DATA DE VENCIMENTO]]="","",UPPER(TEXT(LANÇ_MOV[[#This Row],[DATA DE VENCIMENTO]],"MMMM")))</f>
        <v/>
      </c>
      <c r="AG812" s="526" t="str">
        <f>IF(LANÇ_MOV[[#This Row],[DATA DE VENCIMENTO]]="","",TEXT(LANÇ_MOV[[#This Row],[DATA DE VENCIMENTO]],"M"))</f>
        <v/>
      </c>
      <c r="AH812" s="526" t="str">
        <f>IF(LANÇ_MOV[[#This Row],[DATA DE VENCIMENTO]]="","",TEXT(LANÇ_MOV[[#This Row],[DATA DE VENCIMENTO]],"D"))</f>
        <v/>
      </c>
      <c r="AI812" s="526" t="str">
        <f>IF(LANÇ_MOV[[#This Row],[DATA DE PAGAMENTO]]="","",TEXT(LANÇ_MOV[[#This Row],[DATA DE PAGAMENTO]],"AAAA"))</f>
        <v/>
      </c>
      <c r="AJ812" s="527" t="str">
        <f>IF(LANÇ_MOV[[#This Row],[DATA DE PAGAMENTO]]="","",UPPER(TEXT(LANÇ_MOV[[#This Row],[DATA DE PAGAMENTO]],"MMMM")))</f>
        <v/>
      </c>
      <c r="AK812" s="527" t="str">
        <f>IF(LANÇ_MOV[[#This Row],[DATA DE PAGAMENTO]]="","",TEXT(LANÇ_MOV[[#This Row],[DATA DE PAGAMENTO]],"M"))</f>
        <v/>
      </c>
      <c r="AL812" s="526" t="str">
        <f>IF(LANÇ_MOV[[#This Row],[DATA DE PAGAMENTO]]="","",TEXT(LANÇ_MOV[[#This Row],[DATA DE PAGAMENTO]],"D"))</f>
        <v/>
      </c>
    </row>
    <row r="813" spans="2:38" ht="30.05" customHeight="1" x14ac:dyDescent="0.35">
      <c r="B813" s="506"/>
      <c r="C813" s="507"/>
      <c r="D813" s="508" t="s">
        <v>1854</v>
      </c>
      <c r="E813" s="509"/>
      <c r="F813" s="510"/>
      <c r="G813" s="507"/>
      <c r="H813" s="511"/>
      <c r="I813" s="512"/>
      <c r="J813" s="518"/>
      <c r="K813" s="510"/>
      <c r="L813" s="510"/>
      <c r="M813" s="548"/>
      <c r="N813" s="514">
        <f>LANÇ_MOV[[#This Row],[VALOR BRUTO]]-LANÇ_MOV[[#This Row],[DESCONTO]]+LANÇ_MOV[[#This Row],[JUROS]]+LANÇ_MOV[[#This Row],[MULTA]]</f>
        <v>0</v>
      </c>
      <c r="O813" s="546"/>
      <c r="P813" s="547" t="str">
        <f t="shared" ca="1" si="12"/>
        <v/>
      </c>
      <c r="Q813" s="528"/>
      <c r="R813" s="529"/>
      <c r="S813" s="518"/>
      <c r="T813" s="518"/>
      <c r="U813" s="519"/>
      <c r="V813" s="520" t="str">
        <f>IFERROR(VLOOKUP(LANÇ_MOV[[#This Row],[PLANO DE CONTAS]],Plano_Contas[[PLANO DE CONTAS]:[R / D]],3,0),"")</f>
        <v/>
      </c>
      <c r="W813" s="521" t="str">
        <f>IF(LANÇ_MOV[[#This Row],[DATA DE PAGAMENTO]]&lt;&gt;"","Pago","Não Pago")</f>
        <v>Não Pago</v>
      </c>
      <c r="X813" s="522" t="str">
        <f>IFERROR(IF(LANÇ_MOV[[#This Row],[DATA DE PAGAMENTO]]="","",(UPPER(TEXT(LANÇ_MOV[[#This Row],[DATA DE PAGAMENTO]],"mmmm")))),"")</f>
        <v/>
      </c>
      <c r="Y813" s="523" t="str">
        <f>IFERROR(VLOOKUP(LANÇ_MOV[[#This Row],[PLANO DE CONTAS]],Plano_Contas[[PLANO DE CONTAS]:[NOMES INTERVALOS]],2,0),"")</f>
        <v/>
      </c>
      <c r="Z813" s="523" t="str">
        <f>IF(LANÇ_MOV[[#This Row],[FORMA DE PAGAMENTO]]="","",VLOOKUP(LANÇ_MOV[[#This Row],[FORMA DE PAGAMENTO]],CAD_Forma_pagto[],2,0))</f>
        <v/>
      </c>
      <c r="AA813" s="524" t="str">
        <f>IF(LANÇ_MOV[[#This Row],[DATA DE LANÇAMENTO]]="","",TEXT(LANÇ_MOV[[#This Row],[DATA DE LANÇAMENTO]],"AAAA"))</f>
        <v/>
      </c>
      <c r="AB813" s="524" t="str">
        <f>IF(LANÇ_MOV[[#This Row],[DATA DE LANÇAMENTO]]="","",UPPER(TEXT(LANÇ_MOV[[#This Row],[DATA DE LANÇAMENTO]],"MMMM")))</f>
        <v/>
      </c>
      <c r="AC813" s="525" t="str">
        <f>IF(LANÇ_MOV[[#This Row],[DATA DE LANÇAMENTO]]="","",PROPER(TEXT(LANÇ_MOV[[#This Row],[DATA DE LANÇAMENTO]],"M")))</f>
        <v/>
      </c>
      <c r="AD813" s="524" t="str">
        <f>IF(LANÇ_MOV[[#This Row],[DATA DE LANÇAMENTO]]="","",TEXT(LANÇ_MOV[[#This Row],[DATA DE LANÇAMENTO]],"D"))</f>
        <v/>
      </c>
      <c r="AE813" s="526" t="str">
        <f>IF(LANÇ_MOV[[#This Row],[DATA DE VENCIMENTO]]="","",TEXT(LANÇ_MOV[[#This Row],[DATA DE VENCIMENTO]],"AAAA"))</f>
        <v/>
      </c>
      <c r="AF813" s="526" t="str">
        <f>IF(LANÇ_MOV[[#This Row],[DATA DE VENCIMENTO]]="","",UPPER(TEXT(LANÇ_MOV[[#This Row],[DATA DE VENCIMENTO]],"MMMM")))</f>
        <v/>
      </c>
      <c r="AG813" s="526" t="str">
        <f>IF(LANÇ_MOV[[#This Row],[DATA DE VENCIMENTO]]="","",TEXT(LANÇ_MOV[[#This Row],[DATA DE VENCIMENTO]],"M"))</f>
        <v/>
      </c>
      <c r="AH813" s="526" t="str">
        <f>IF(LANÇ_MOV[[#This Row],[DATA DE VENCIMENTO]]="","",TEXT(LANÇ_MOV[[#This Row],[DATA DE VENCIMENTO]],"D"))</f>
        <v/>
      </c>
      <c r="AI813" s="526" t="str">
        <f>IF(LANÇ_MOV[[#This Row],[DATA DE PAGAMENTO]]="","",TEXT(LANÇ_MOV[[#This Row],[DATA DE PAGAMENTO]],"AAAA"))</f>
        <v/>
      </c>
      <c r="AJ813" s="527" t="str">
        <f>IF(LANÇ_MOV[[#This Row],[DATA DE PAGAMENTO]]="","",UPPER(TEXT(LANÇ_MOV[[#This Row],[DATA DE PAGAMENTO]],"MMMM")))</f>
        <v/>
      </c>
      <c r="AK813" s="527" t="str">
        <f>IF(LANÇ_MOV[[#This Row],[DATA DE PAGAMENTO]]="","",TEXT(LANÇ_MOV[[#This Row],[DATA DE PAGAMENTO]],"M"))</f>
        <v/>
      </c>
      <c r="AL813" s="526" t="str">
        <f>IF(LANÇ_MOV[[#This Row],[DATA DE PAGAMENTO]]="","",TEXT(LANÇ_MOV[[#This Row],[DATA DE PAGAMENTO]],"D"))</f>
        <v/>
      </c>
    </row>
    <row r="814" spans="2:38" ht="30.05" customHeight="1" x14ac:dyDescent="0.35">
      <c r="B814" s="506"/>
      <c r="C814" s="507"/>
      <c r="D814" s="508" t="s">
        <v>1854</v>
      </c>
      <c r="E814" s="509"/>
      <c r="F814" s="510"/>
      <c r="G814" s="507"/>
      <c r="H814" s="511"/>
      <c r="I814" s="512"/>
      <c r="J814" s="518"/>
      <c r="K814" s="510"/>
      <c r="L814" s="510"/>
      <c r="M814" s="548"/>
      <c r="N814" s="514">
        <f>LANÇ_MOV[[#This Row],[VALOR BRUTO]]-LANÇ_MOV[[#This Row],[DESCONTO]]+LANÇ_MOV[[#This Row],[JUROS]]+LANÇ_MOV[[#This Row],[MULTA]]</f>
        <v>0</v>
      </c>
      <c r="O814" s="546"/>
      <c r="P814" s="547" t="str">
        <f t="shared" ca="1" si="12"/>
        <v/>
      </c>
      <c r="Q814" s="528"/>
      <c r="R814" s="529"/>
      <c r="S814" s="518"/>
      <c r="T814" s="518"/>
      <c r="U814" s="519"/>
      <c r="V814" s="520" t="str">
        <f>IFERROR(VLOOKUP(LANÇ_MOV[[#This Row],[PLANO DE CONTAS]],Plano_Contas[[PLANO DE CONTAS]:[R / D]],3,0),"")</f>
        <v/>
      </c>
      <c r="W814" s="521" t="str">
        <f>IF(LANÇ_MOV[[#This Row],[DATA DE PAGAMENTO]]&lt;&gt;"","Pago","Não Pago")</f>
        <v>Não Pago</v>
      </c>
      <c r="X814" s="522" t="str">
        <f>IFERROR(IF(LANÇ_MOV[[#This Row],[DATA DE PAGAMENTO]]="","",(UPPER(TEXT(LANÇ_MOV[[#This Row],[DATA DE PAGAMENTO]],"mmmm")))),"")</f>
        <v/>
      </c>
      <c r="Y814" s="523" t="str">
        <f>IFERROR(VLOOKUP(LANÇ_MOV[[#This Row],[PLANO DE CONTAS]],Plano_Contas[[PLANO DE CONTAS]:[NOMES INTERVALOS]],2,0),"")</f>
        <v/>
      </c>
      <c r="Z814" s="523" t="str">
        <f>IF(LANÇ_MOV[[#This Row],[FORMA DE PAGAMENTO]]="","",VLOOKUP(LANÇ_MOV[[#This Row],[FORMA DE PAGAMENTO]],CAD_Forma_pagto[],2,0))</f>
        <v/>
      </c>
      <c r="AA814" s="524" t="str">
        <f>IF(LANÇ_MOV[[#This Row],[DATA DE LANÇAMENTO]]="","",TEXT(LANÇ_MOV[[#This Row],[DATA DE LANÇAMENTO]],"AAAA"))</f>
        <v/>
      </c>
      <c r="AB814" s="524" t="str">
        <f>IF(LANÇ_MOV[[#This Row],[DATA DE LANÇAMENTO]]="","",UPPER(TEXT(LANÇ_MOV[[#This Row],[DATA DE LANÇAMENTO]],"MMMM")))</f>
        <v/>
      </c>
      <c r="AC814" s="525" t="str">
        <f>IF(LANÇ_MOV[[#This Row],[DATA DE LANÇAMENTO]]="","",PROPER(TEXT(LANÇ_MOV[[#This Row],[DATA DE LANÇAMENTO]],"M")))</f>
        <v/>
      </c>
      <c r="AD814" s="524" t="str">
        <f>IF(LANÇ_MOV[[#This Row],[DATA DE LANÇAMENTO]]="","",TEXT(LANÇ_MOV[[#This Row],[DATA DE LANÇAMENTO]],"D"))</f>
        <v/>
      </c>
      <c r="AE814" s="526" t="str">
        <f>IF(LANÇ_MOV[[#This Row],[DATA DE VENCIMENTO]]="","",TEXT(LANÇ_MOV[[#This Row],[DATA DE VENCIMENTO]],"AAAA"))</f>
        <v/>
      </c>
      <c r="AF814" s="526" t="str">
        <f>IF(LANÇ_MOV[[#This Row],[DATA DE VENCIMENTO]]="","",UPPER(TEXT(LANÇ_MOV[[#This Row],[DATA DE VENCIMENTO]],"MMMM")))</f>
        <v/>
      </c>
      <c r="AG814" s="526" t="str">
        <f>IF(LANÇ_MOV[[#This Row],[DATA DE VENCIMENTO]]="","",TEXT(LANÇ_MOV[[#This Row],[DATA DE VENCIMENTO]],"M"))</f>
        <v/>
      </c>
      <c r="AH814" s="526" t="str">
        <f>IF(LANÇ_MOV[[#This Row],[DATA DE VENCIMENTO]]="","",TEXT(LANÇ_MOV[[#This Row],[DATA DE VENCIMENTO]],"D"))</f>
        <v/>
      </c>
      <c r="AI814" s="526" t="str">
        <f>IF(LANÇ_MOV[[#This Row],[DATA DE PAGAMENTO]]="","",TEXT(LANÇ_MOV[[#This Row],[DATA DE PAGAMENTO]],"AAAA"))</f>
        <v/>
      </c>
      <c r="AJ814" s="527" t="str">
        <f>IF(LANÇ_MOV[[#This Row],[DATA DE PAGAMENTO]]="","",UPPER(TEXT(LANÇ_MOV[[#This Row],[DATA DE PAGAMENTO]],"MMMM")))</f>
        <v/>
      </c>
      <c r="AK814" s="527" t="str">
        <f>IF(LANÇ_MOV[[#This Row],[DATA DE PAGAMENTO]]="","",TEXT(LANÇ_MOV[[#This Row],[DATA DE PAGAMENTO]],"M"))</f>
        <v/>
      </c>
      <c r="AL814" s="526" t="str">
        <f>IF(LANÇ_MOV[[#This Row],[DATA DE PAGAMENTO]]="","",TEXT(LANÇ_MOV[[#This Row],[DATA DE PAGAMENTO]],"D"))</f>
        <v/>
      </c>
    </row>
    <row r="815" spans="2:38" ht="30.05" customHeight="1" x14ac:dyDescent="0.35">
      <c r="B815" s="506"/>
      <c r="C815" s="507"/>
      <c r="D815" s="508" t="s">
        <v>1854</v>
      </c>
      <c r="E815" s="509"/>
      <c r="F815" s="510"/>
      <c r="G815" s="507"/>
      <c r="H815" s="511"/>
      <c r="I815" s="512"/>
      <c r="J815" s="518"/>
      <c r="K815" s="510"/>
      <c r="L815" s="510"/>
      <c r="M815" s="548"/>
      <c r="N815" s="514">
        <f>LANÇ_MOV[[#This Row],[VALOR BRUTO]]-LANÇ_MOV[[#This Row],[DESCONTO]]+LANÇ_MOV[[#This Row],[JUROS]]+LANÇ_MOV[[#This Row],[MULTA]]</f>
        <v>0</v>
      </c>
      <c r="O815" s="546"/>
      <c r="P815" s="547" t="str">
        <f t="shared" ca="1" si="12"/>
        <v/>
      </c>
      <c r="Q815" s="528"/>
      <c r="R815" s="529"/>
      <c r="S815" s="518"/>
      <c r="T815" s="518"/>
      <c r="U815" s="519"/>
      <c r="V815" s="520" t="str">
        <f>IFERROR(VLOOKUP(LANÇ_MOV[[#This Row],[PLANO DE CONTAS]],Plano_Contas[[PLANO DE CONTAS]:[R / D]],3,0),"")</f>
        <v/>
      </c>
      <c r="W815" s="521" t="str">
        <f>IF(LANÇ_MOV[[#This Row],[DATA DE PAGAMENTO]]&lt;&gt;"","Pago","Não Pago")</f>
        <v>Não Pago</v>
      </c>
      <c r="X815" s="522" t="str">
        <f>IFERROR(IF(LANÇ_MOV[[#This Row],[DATA DE PAGAMENTO]]="","",(UPPER(TEXT(LANÇ_MOV[[#This Row],[DATA DE PAGAMENTO]],"mmmm")))),"")</f>
        <v/>
      </c>
      <c r="Y815" s="523" t="str">
        <f>IFERROR(VLOOKUP(LANÇ_MOV[[#This Row],[PLANO DE CONTAS]],Plano_Contas[[PLANO DE CONTAS]:[NOMES INTERVALOS]],2,0),"")</f>
        <v/>
      </c>
      <c r="Z815" s="523" t="str">
        <f>IF(LANÇ_MOV[[#This Row],[FORMA DE PAGAMENTO]]="","",VLOOKUP(LANÇ_MOV[[#This Row],[FORMA DE PAGAMENTO]],CAD_Forma_pagto[],2,0))</f>
        <v/>
      </c>
      <c r="AA815" s="524" t="str">
        <f>IF(LANÇ_MOV[[#This Row],[DATA DE LANÇAMENTO]]="","",TEXT(LANÇ_MOV[[#This Row],[DATA DE LANÇAMENTO]],"AAAA"))</f>
        <v/>
      </c>
      <c r="AB815" s="524" t="str">
        <f>IF(LANÇ_MOV[[#This Row],[DATA DE LANÇAMENTO]]="","",UPPER(TEXT(LANÇ_MOV[[#This Row],[DATA DE LANÇAMENTO]],"MMMM")))</f>
        <v/>
      </c>
      <c r="AC815" s="525" t="str">
        <f>IF(LANÇ_MOV[[#This Row],[DATA DE LANÇAMENTO]]="","",PROPER(TEXT(LANÇ_MOV[[#This Row],[DATA DE LANÇAMENTO]],"M")))</f>
        <v/>
      </c>
      <c r="AD815" s="524" t="str">
        <f>IF(LANÇ_MOV[[#This Row],[DATA DE LANÇAMENTO]]="","",TEXT(LANÇ_MOV[[#This Row],[DATA DE LANÇAMENTO]],"D"))</f>
        <v/>
      </c>
      <c r="AE815" s="526" t="str">
        <f>IF(LANÇ_MOV[[#This Row],[DATA DE VENCIMENTO]]="","",TEXT(LANÇ_MOV[[#This Row],[DATA DE VENCIMENTO]],"AAAA"))</f>
        <v/>
      </c>
      <c r="AF815" s="526" t="str">
        <f>IF(LANÇ_MOV[[#This Row],[DATA DE VENCIMENTO]]="","",UPPER(TEXT(LANÇ_MOV[[#This Row],[DATA DE VENCIMENTO]],"MMMM")))</f>
        <v/>
      </c>
      <c r="AG815" s="526" t="str">
        <f>IF(LANÇ_MOV[[#This Row],[DATA DE VENCIMENTO]]="","",TEXT(LANÇ_MOV[[#This Row],[DATA DE VENCIMENTO]],"M"))</f>
        <v/>
      </c>
      <c r="AH815" s="526" t="str">
        <f>IF(LANÇ_MOV[[#This Row],[DATA DE VENCIMENTO]]="","",TEXT(LANÇ_MOV[[#This Row],[DATA DE VENCIMENTO]],"D"))</f>
        <v/>
      </c>
      <c r="AI815" s="526" t="str">
        <f>IF(LANÇ_MOV[[#This Row],[DATA DE PAGAMENTO]]="","",TEXT(LANÇ_MOV[[#This Row],[DATA DE PAGAMENTO]],"AAAA"))</f>
        <v/>
      </c>
      <c r="AJ815" s="527" t="str">
        <f>IF(LANÇ_MOV[[#This Row],[DATA DE PAGAMENTO]]="","",UPPER(TEXT(LANÇ_MOV[[#This Row],[DATA DE PAGAMENTO]],"MMMM")))</f>
        <v/>
      </c>
      <c r="AK815" s="527" t="str">
        <f>IF(LANÇ_MOV[[#This Row],[DATA DE PAGAMENTO]]="","",TEXT(LANÇ_MOV[[#This Row],[DATA DE PAGAMENTO]],"M"))</f>
        <v/>
      </c>
      <c r="AL815" s="526" t="str">
        <f>IF(LANÇ_MOV[[#This Row],[DATA DE PAGAMENTO]]="","",TEXT(LANÇ_MOV[[#This Row],[DATA DE PAGAMENTO]],"D"))</f>
        <v/>
      </c>
    </row>
    <row r="816" spans="2:38" ht="30.05" customHeight="1" x14ac:dyDescent="0.35">
      <c r="B816" s="506"/>
      <c r="C816" s="507"/>
      <c r="D816" s="508" t="s">
        <v>1854</v>
      </c>
      <c r="E816" s="509"/>
      <c r="F816" s="510"/>
      <c r="G816" s="507"/>
      <c r="H816" s="511"/>
      <c r="I816" s="512"/>
      <c r="J816" s="518"/>
      <c r="K816" s="510"/>
      <c r="L816" s="510"/>
      <c r="M816" s="548"/>
      <c r="N816" s="514">
        <f>LANÇ_MOV[[#This Row],[VALOR BRUTO]]-LANÇ_MOV[[#This Row],[DESCONTO]]+LANÇ_MOV[[#This Row],[JUROS]]+LANÇ_MOV[[#This Row],[MULTA]]</f>
        <v>0</v>
      </c>
      <c r="O816" s="546"/>
      <c r="P816" s="547" t="str">
        <f t="shared" ca="1" si="12"/>
        <v/>
      </c>
      <c r="Q816" s="528"/>
      <c r="R816" s="529"/>
      <c r="S816" s="518"/>
      <c r="T816" s="518"/>
      <c r="U816" s="519"/>
      <c r="V816" s="520" t="str">
        <f>IFERROR(VLOOKUP(LANÇ_MOV[[#This Row],[PLANO DE CONTAS]],Plano_Contas[[PLANO DE CONTAS]:[R / D]],3,0),"")</f>
        <v/>
      </c>
      <c r="W816" s="521" t="str">
        <f>IF(LANÇ_MOV[[#This Row],[DATA DE PAGAMENTO]]&lt;&gt;"","Pago","Não Pago")</f>
        <v>Não Pago</v>
      </c>
      <c r="X816" s="522" t="str">
        <f>IFERROR(IF(LANÇ_MOV[[#This Row],[DATA DE PAGAMENTO]]="","",(UPPER(TEXT(LANÇ_MOV[[#This Row],[DATA DE PAGAMENTO]],"mmmm")))),"")</f>
        <v/>
      </c>
      <c r="Y816" s="523" t="str">
        <f>IFERROR(VLOOKUP(LANÇ_MOV[[#This Row],[PLANO DE CONTAS]],Plano_Contas[[PLANO DE CONTAS]:[NOMES INTERVALOS]],2,0),"")</f>
        <v/>
      </c>
      <c r="Z816" s="523" t="str">
        <f>IF(LANÇ_MOV[[#This Row],[FORMA DE PAGAMENTO]]="","",VLOOKUP(LANÇ_MOV[[#This Row],[FORMA DE PAGAMENTO]],CAD_Forma_pagto[],2,0))</f>
        <v/>
      </c>
      <c r="AA816" s="524" t="str">
        <f>IF(LANÇ_MOV[[#This Row],[DATA DE LANÇAMENTO]]="","",TEXT(LANÇ_MOV[[#This Row],[DATA DE LANÇAMENTO]],"AAAA"))</f>
        <v/>
      </c>
      <c r="AB816" s="524" t="str">
        <f>IF(LANÇ_MOV[[#This Row],[DATA DE LANÇAMENTO]]="","",UPPER(TEXT(LANÇ_MOV[[#This Row],[DATA DE LANÇAMENTO]],"MMMM")))</f>
        <v/>
      </c>
      <c r="AC816" s="525" t="str">
        <f>IF(LANÇ_MOV[[#This Row],[DATA DE LANÇAMENTO]]="","",PROPER(TEXT(LANÇ_MOV[[#This Row],[DATA DE LANÇAMENTO]],"M")))</f>
        <v/>
      </c>
      <c r="AD816" s="524" t="str">
        <f>IF(LANÇ_MOV[[#This Row],[DATA DE LANÇAMENTO]]="","",TEXT(LANÇ_MOV[[#This Row],[DATA DE LANÇAMENTO]],"D"))</f>
        <v/>
      </c>
      <c r="AE816" s="526" t="str">
        <f>IF(LANÇ_MOV[[#This Row],[DATA DE VENCIMENTO]]="","",TEXT(LANÇ_MOV[[#This Row],[DATA DE VENCIMENTO]],"AAAA"))</f>
        <v/>
      </c>
      <c r="AF816" s="526" t="str">
        <f>IF(LANÇ_MOV[[#This Row],[DATA DE VENCIMENTO]]="","",UPPER(TEXT(LANÇ_MOV[[#This Row],[DATA DE VENCIMENTO]],"MMMM")))</f>
        <v/>
      </c>
      <c r="AG816" s="526" t="str">
        <f>IF(LANÇ_MOV[[#This Row],[DATA DE VENCIMENTO]]="","",TEXT(LANÇ_MOV[[#This Row],[DATA DE VENCIMENTO]],"M"))</f>
        <v/>
      </c>
      <c r="AH816" s="526" t="str">
        <f>IF(LANÇ_MOV[[#This Row],[DATA DE VENCIMENTO]]="","",TEXT(LANÇ_MOV[[#This Row],[DATA DE VENCIMENTO]],"D"))</f>
        <v/>
      </c>
      <c r="AI816" s="526" t="str">
        <f>IF(LANÇ_MOV[[#This Row],[DATA DE PAGAMENTO]]="","",TEXT(LANÇ_MOV[[#This Row],[DATA DE PAGAMENTO]],"AAAA"))</f>
        <v/>
      </c>
      <c r="AJ816" s="527" t="str">
        <f>IF(LANÇ_MOV[[#This Row],[DATA DE PAGAMENTO]]="","",UPPER(TEXT(LANÇ_MOV[[#This Row],[DATA DE PAGAMENTO]],"MMMM")))</f>
        <v/>
      </c>
      <c r="AK816" s="527" t="str">
        <f>IF(LANÇ_MOV[[#This Row],[DATA DE PAGAMENTO]]="","",TEXT(LANÇ_MOV[[#This Row],[DATA DE PAGAMENTO]],"M"))</f>
        <v/>
      </c>
      <c r="AL816" s="526" t="str">
        <f>IF(LANÇ_MOV[[#This Row],[DATA DE PAGAMENTO]]="","",TEXT(LANÇ_MOV[[#This Row],[DATA DE PAGAMENTO]],"D"))</f>
        <v/>
      </c>
    </row>
    <row r="817" spans="2:38" ht="30.05" customHeight="1" x14ac:dyDescent="0.35">
      <c r="B817" s="506"/>
      <c r="C817" s="507"/>
      <c r="D817" s="508" t="s">
        <v>1854</v>
      </c>
      <c r="E817" s="509"/>
      <c r="F817" s="510"/>
      <c r="G817" s="507"/>
      <c r="H817" s="511"/>
      <c r="I817" s="512"/>
      <c r="J817" s="518"/>
      <c r="K817" s="510"/>
      <c r="L817" s="510"/>
      <c r="M817" s="548"/>
      <c r="N817" s="514">
        <f>LANÇ_MOV[[#This Row],[VALOR BRUTO]]-LANÇ_MOV[[#This Row],[DESCONTO]]+LANÇ_MOV[[#This Row],[JUROS]]+LANÇ_MOV[[#This Row],[MULTA]]</f>
        <v>0</v>
      </c>
      <c r="O817" s="546"/>
      <c r="P817" s="547" t="str">
        <f t="shared" ca="1" si="12"/>
        <v/>
      </c>
      <c r="Q817" s="528"/>
      <c r="R817" s="529"/>
      <c r="S817" s="518"/>
      <c r="T817" s="518"/>
      <c r="U817" s="519"/>
      <c r="V817" s="520" t="str">
        <f>IFERROR(VLOOKUP(LANÇ_MOV[[#This Row],[PLANO DE CONTAS]],Plano_Contas[[PLANO DE CONTAS]:[R / D]],3,0),"")</f>
        <v/>
      </c>
      <c r="W817" s="521" t="str">
        <f>IF(LANÇ_MOV[[#This Row],[DATA DE PAGAMENTO]]&lt;&gt;"","Pago","Não Pago")</f>
        <v>Não Pago</v>
      </c>
      <c r="X817" s="522" t="str">
        <f>IFERROR(IF(LANÇ_MOV[[#This Row],[DATA DE PAGAMENTO]]="","",(UPPER(TEXT(LANÇ_MOV[[#This Row],[DATA DE PAGAMENTO]],"mmmm")))),"")</f>
        <v/>
      </c>
      <c r="Y817" s="523" t="str">
        <f>IFERROR(VLOOKUP(LANÇ_MOV[[#This Row],[PLANO DE CONTAS]],Plano_Contas[[PLANO DE CONTAS]:[NOMES INTERVALOS]],2,0),"")</f>
        <v/>
      </c>
      <c r="Z817" s="523" t="str">
        <f>IF(LANÇ_MOV[[#This Row],[FORMA DE PAGAMENTO]]="","",VLOOKUP(LANÇ_MOV[[#This Row],[FORMA DE PAGAMENTO]],CAD_Forma_pagto[],2,0))</f>
        <v/>
      </c>
      <c r="AA817" s="524" t="str">
        <f>IF(LANÇ_MOV[[#This Row],[DATA DE LANÇAMENTO]]="","",TEXT(LANÇ_MOV[[#This Row],[DATA DE LANÇAMENTO]],"AAAA"))</f>
        <v/>
      </c>
      <c r="AB817" s="524" t="str">
        <f>IF(LANÇ_MOV[[#This Row],[DATA DE LANÇAMENTO]]="","",UPPER(TEXT(LANÇ_MOV[[#This Row],[DATA DE LANÇAMENTO]],"MMMM")))</f>
        <v/>
      </c>
      <c r="AC817" s="525" t="str">
        <f>IF(LANÇ_MOV[[#This Row],[DATA DE LANÇAMENTO]]="","",PROPER(TEXT(LANÇ_MOV[[#This Row],[DATA DE LANÇAMENTO]],"M")))</f>
        <v/>
      </c>
      <c r="AD817" s="524" t="str">
        <f>IF(LANÇ_MOV[[#This Row],[DATA DE LANÇAMENTO]]="","",TEXT(LANÇ_MOV[[#This Row],[DATA DE LANÇAMENTO]],"D"))</f>
        <v/>
      </c>
      <c r="AE817" s="526" t="str">
        <f>IF(LANÇ_MOV[[#This Row],[DATA DE VENCIMENTO]]="","",TEXT(LANÇ_MOV[[#This Row],[DATA DE VENCIMENTO]],"AAAA"))</f>
        <v/>
      </c>
      <c r="AF817" s="526" t="str">
        <f>IF(LANÇ_MOV[[#This Row],[DATA DE VENCIMENTO]]="","",UPPER(TEXT(LANÇ_MOV[[#This Row],[DATA DE VENCIMENTO]],"MMMM")))</f>
        <v/>
      </c>
      <c r="AG817" s="526" t="str">
        <f>IF(LANÇ_MOV[[#This Row],[DATA DE VENCIMENTO]]="","",TEXT(LANÇ_MOV[[#This Row],[DATA DE VENCIMENTO]],"M"))</f>
        <v/>
      </c>
      <c r="AH817" s="526" t="str">
        <f>IF(LANÇ_MOV[[#This Row],[DATA DE VENCIMENTO]]="","",TEXT(LANÇ_MOV[[#This Row],[DATA DE VENCIMENTO]],"D"))</f>
        <v/>
      </c>
      <c r="AI817" s="526" t="str">
        <f>IF(LANÇ_MOV[[#This Row],[DATA DE PAGAMENTO]]="","",TEXT(LANÇ_MOV[[#This Row],[DATA DE PAGAMENTO]],"AAAA"))</f>
        <v/>
      </c>
      <c r="AJ817" s="527" t="str">
        <f>IF(LANÇ_MOV[[#This Row],[DATA DE PAGAMENTO]]="","",UPPER(TEXT(LANÇ_MOV[[#This Row],[DATA DE PAGAMENTO]],"MMMM")))</f>
        <v/>
      </c>
      <c r="AK817" s="527" t="str">
        <f>IF(LANÇ_MOV[[#This Row],[DATA DE PAGAMENTO]]="","",TEXT(LANÇ_MOV[[#This Row],[DATA DE PAGAMENTO]],"M"))</f>
        <v/>
      </c>
      <c r="AL817" s="526" t="str">
        <f>IF(LANÇ_MOV[[#This Row],[DATA DE PAGAMENTO]]="","",TEXT(LANÇ_MOV[[#This Row],[DATA DE PAGAMENTO]],"D"))</f>
        <v/>
      </c>
    </row>
    <row r="818" spans="2:38" ht="30.05" customHeight="1" x14ac:dyDescent="0.35">
      <c r="B818" s="506"/>
      <c r="C818" s="507"/>
      <c r="D818" s="508" t="s">
        <v>1854</v>
      </c>
      <c r="E818" s="509"/>
      <c r="F818" s="510"/>
      <c r="G818" s="507"/>
      <c r="H818" s="511"/>
      <c r="I818" s="512"/>
      <c r="J818" s="518"/>
      <c r="K818" s="510"/>
      <c r="L818" s="510"/>
      <c r="M818" s="548"/>
      <c r="N818" s="514">
        <f>LANÇ_MOV[[#This Row],[VALOR BRUTO]]-LANÇ_MOV[[#This Row],[DESCONTO]]+LANÇ_MOV[[#This Row],[JUROS]]+LANÇ_MOV[[#This Row],[MULTA]]</f>
        <v>0</v>
      </c>
      <c r="O818" s="546"/>
      <c r="P818" s="547" t="str">
        <f t="shared" ca="1" si="12"/>
        <v/>
      </c>
      <c r="Q818" s="528"/>
      <c r="R818" s="529"/>
      <c r="S818" s="518"/>
      <c r="T818" s="518"/>
      <c r="U818" s="519"/>
      <c r="V818" s="520" t="str">
        <f>IFERROR(VLOOKUP(LANÇ_MOV[[#This Row],[PLANO DE CONTAS]],Plano_Contas[[PLANO DE CONTAS]:[R / D]],3,0),"")</f>
        <v/>
      </c>
      <c r="W818" s="521" t="str">
        <f>IF(LANÇ_MOV[[#This Row],[DATA DE PAGAMENTO]]&lt;&gt;"","Pago","Não Pago")</f>
        <v>Não Pago</v>
      </c>
      <c r="X818" s="522" t="str">
        <f>IFERROR(IF(LANÇ_MOV[[#This Row],[DATA DE PAGAMENTO]]="","",(UPPER(TEXT(LANÇ_MOV[[#This Row],[DATA DE PAGAMENTO]],"mmmm")))),"")</f>
        <v/>
      </c>
      <c r="Y818" s="523" t="str">
        <f>IFERROR(VLOOKUP(LANÇ_MOV[[#This Row],[PLANO DE CONTAS]],Plano_Contas[[PLANO DE CONTAS]:[NOMES INTERVALOS]],2,0),"")</f>
        <v/>
      </c>
      <c r="Z818" s="523" t="str">
        <f>IF(LANÇ_MOV[[#This Row],[FORMA DE PAGAMENTO]]="","",VLOOKUP(LANÇ_MOV[[#This Row],[FORMA DE PAGAMENTO]],CAD_Forma_pagto[],2,0))</f>
        <v/>
      </c>
      <c r="AA818" s="524" t="str">
        <f>IF(LANÇ_MOV[[#This Row],[DATA DE LANÇAMENTO]]="","",TEXT(LANÇ_MOV[[#This Row],[DATA DE LANÇAMENTO]],"AAAA"))</f>
        <v/>
      </c>
      <c r="AB818" s="524" t="str">
        <f>IF(LANÇ_MOV[[#This Row],[DATA DE LANÇAMENTO]]="","",UPPER(TEXT(LANÇ_MOV[[#This Row],[DATA DE LANÇAMENTO]],"MMMM")))</f>
        <v/>
      </c>
      <c r="AC818" s="525" t="str">
        <f>IF(LANÇ_MOV[[#This Row],[DATA DE LANÇAMENTO]]="","",PROPER(TEXT(LANÇ_MOV[[#This Row],[DATA DE LANÇAMENTO]],"M")))</f>
        <v/>
      </c>
      <c r="AD818" s="524" t="str">
        <f>IF(LANÇ_MOV[[#This Row],[DATA DE LANÇAMENTO]]="","",TEXT(LANÇ_MOV[[#This Row],[DATA DE LANÇAMENTO]],"D"))</f>
        <v/>
      </c>
      <c r="AE818" s="526" t="str">
        <f>IF(LANÇ_MOV[[#This Row],[DATA DE VENCIMENTO]]="","",TEXT(LANÇ_MOV[[#This Row],[DATA DE VENCIMENTO]],"AAAA"))</f>
        <v/>
      </c>
      <c r="AF818" s="526" t="str">
        <f>IF(LANÇ_MOV[[#This Row],[DATA DE VENCIMENTO]]="","",UPPER(TEXT(LANÇ_MOV[[#This Row],[DATA DE VENCIMENTO]],"MMMM")))</f>
        <v/>
      </c>
      <c r="AG818" s="526" t="str">
        <f>IF(LANÇ_MOV[[#This Row],[DATA DE VENCIMENTO]]="","",TEXT(LANÇ_MOV[[#This Row],[DATA DE VENCIMENTO]],"M"))</f>
        <v/>
      </c>
      <c r="AH818" s="526" t="str">
        <f>IF(LANÇ_MOV[[#This Row],[DATA DE VENCIMENTO]]="","",TEXT(LANÇ_MOV[[#This Row],[DATA DE VENCIMENTO]],"D"))</f>
        <v/>
      </c>
      <c r="AI818" s="526" t="str">
        <f>IF(LANÇ_MOV[[#This Row],[DATA DE PAGAMENTO]]="","",TEXT(LANÇ_MOV[[#This Row],[DATA DE PAGAMENTO]],"AAAA"))</f>
        <v/>
      </c>
      <c r="AJ818" s="527" t="str">
        <f>IF(LANÇ_MOV[[#This Row],[DATA DE PAGAMENTO]]="","",UPPER(TEXT(LANÇ_MOV[[#This Row],[DATA DE PAGAMENTO]],"MMMM")))</f>
        <v/>
      </c>
      <c r="AK818" s="527" t="str">
        <f>IF(LANÇ_MOV[[#This Row],[DATA DE PAGAMENTO]]="","",TEXT(LANÇ_MOV[[#This Row],[DATA DE PAGAMENTO]],"M"))</f>
        <v/>
      </c>
      <c r="AL818" s="526" t="str">
        <f>IF(LANÇ_MOV[[#This Row],[DATA DE PAGAMENTO]]="","",TEXT(LANÇ_MOV[[#This Row],[DATA DE PAGAMENTO]],"D"))</f>
        <v/>
      </c>
    </row>
    <row r="819" spans="2:38" ht="30.05" customHeight="1" x14ac:dyDescent="0.35">
      <c r="B819" s="506"/>
      <c r="C819" s="507"/>
      <c r="D819" s="508" t="s">
        <v>1854</v>
      </c>
      <c r="E819" s="509"/>
      <c r="F819" s="510"/>
      <c r="G819" s="507"/>
      <c r="H819" s="511"/>
      <c r="I819" s="512"/>
      <c r="J819" s="518"/>
      <c r="K819" s="510"/>
      <c r="L819" s="510"/>
      <c r="M819" s="548"/>
      <c r="N819" s="514">
        <f>LANÇ_MOV[[#This Row],[VALOR BRUTO]]-LANÇ_MOV[[#This Row],[DESCONTO]]+LANÇ_MOV[[#This Row],[JUROS]]+LANÇ_MOV[[#This Row],[MULTA]]</f>
        <v>0</v>
      </c>
      <c r="O819" s="546"/>
      <c r="P819" s="547" t="str">
        <f t="shared" ca="1" si="12"/>
        <v/>
      </c>
      <c r="Q819" s="528"/>
      <c r="R819" s="529"/>
      <c r="S819" s="518"/>
      <c r="T819" s="518"/>
      <c r="U819" s="519"/>
      <c r="V819" s="520" t="str">
        <f>IFERROR(VLOOKUP(LANÇ_MOV[[#This Row],[PLANO DE CONTAS]],Plano_Contas[[PLANO DE CONTAS]:[R / D]],3,0),"")</f>
        <v/>
      </c>
      <c r="W819" s="521" t="str">
        <f>IF(LANÇ_MOV[[#This Row],[DATA DE PAGAMENTO]]&lt;&gt;"","Pago","Não Pago")</f>
        <v>Não Pago</v>
      </c>
      <c r="X819" s="522" t="str">
        <f>IFERROR(IF(LANÇ_MOV[[#This Row],[DATA DE PAGAMENTO]]="","",(UPPER(TEXT(LANÇ_MOV[[#This Row],[DATA DE PAGAMENTO]],"mmmm")))),"")</f>
        <v/>
      </c>
      <c r="Y819" s="523" t="str">
        <f>IFERROR(VLOOKUP(LANÇ_MOV[[#This Row],[PLANO DE CONTAS]],Plano_Contas[[PLANO DE CONTAS]:[NOMES INTERVALOS]],2,0),"")</f>
        <v/>
      </c>
      <c r="Z819" s="523" t="str">
        <f>IF(LANÇ_MOV[[#This Row],[FORMA DE PAGAMENTO]]="","",VLOOKUP(LANÇ_MOV[[#This Row],[FORMA DE PAGAMENTO]],CAD_Forma_pagto[],2,0))</f>
        <v/>
      </c>
      <c r="AA819" s="524" t="str">
        <f>IF(LANÇ_MOV[[#This Row],[DATA DE LANÇAMENTO]]="","",TEXT(LANÇ_MOV[[#This Row],[DATA DE LANÇAMENTO]],"AAAA"))</f>
        <v/>
      </c>
      <c r="AB819" s="524" t="str">
        <f>IF(LANÇ_MOV[[#This Row],[DATA DE LANÇAMENTO]]="","",UPPER(TEXT(LANÇ_MOV[[#This Row],[DATA DE LANÇAMENTO]],"MMMM")))</f>
        <v/>
      </c>
      <c r="AC819" s="525" t="str">
        <f>IF(LANÇ_MOV[[#This Row],[DATA DE LANÇAMENTO]]="","",PROPER(TEXT(LANÇ_MOV[[#This Row],[DATA DE LANÇAMENTO]],"M")))</f>
        <v/>
      </c>
      <c r="AD819" s="524" t="str">
        <f>IF(LANÇ_MOV[[#This Row],[DATA DE LANÇAMENTO]]="","",TEXT(LANÇ_MOV[[#This Row],[DATA DE LANÇAMENTO]],"D"))</f>
        <v/>
      </c>
      <c r="AE819" s="526" t="str">
        <f>IF(LANÇ_MOV[[#This Row],[DATA DE VENCIMENTO]]="","",TEXT(LANÇ_MOV[[#This Row],[DATA DE VENCIMENTO]],"AAAA"))</f>
        <v/>
      </c>
      <c r="AF819" s="526" t="str">
        <f>IF(LANÇ_MOV[[#This Row],[DATA DE VENCIMENTO]]="","",UPPER(TEXT(LANÇ_MOV[[#This Row],[DATA DE VENCIMENTO]],"MMMM")))</f>
        <v/>
      </c>
      <c r="AG819" s="526" t="str">
        <f>IF(LANÇ_MOV[[#This Row],[DATA DE VENCIMENTO]]="","",TEXT(LANÇ_MOV[[#This Row],[DATA DE VENCIMENTO]],"M"))</f>
        <v/>
      </c>
      <c r="AH819" s="526" t="str">
        <f>IF(LANÇ_MOV[[#This Row],[DATA DE VENCIMENTO]]="","",TEXT(LANÇ_MOV[[#This Row],[DATA DE VENCIMENTO]],"D"))</f>
        <v/>
      </c>
      <c r="AI819" s="526" t="str">
        <f>IF(LANÇ_MOV[[#This Row],[DATA DE PAGAMENTO]]="","",TEXT(LANÇ_MOV[[#This Row],[DATA DE PAGAMENTO]],"AAAA"))</f>
        <v/>
      </c>
      <c r="AJ819" s="527" t="str">
        <f>IF(LANÇ_MOV[[#This Row],[DATA DE PAGAMENTO]]="","",UPPER(TEXT(LANÇ_MOV[[#This Row],[DATA DE PAGAMENTO]],"MMMM")))</f>
        <v/>
      </c>
      <c r="AK819" s="527" t="str">
        <f>IF(LANÇ_MOV[[#This Row],[DATA DE PAGAMENTO]]="","",TEXT(LANÇ_MOV[[#This Row],[DATA DE PAGAMENTO]],"M"))</f>
        <v/>
      </c>
      <c r="AL819" s="526" t="str">
        <f>IF(LANÇ_MOV[[#This Row],[DATA DE PAGAMENTO]]="","",TEXT(LANÇ_MOV[[#This Row],[DATA DE PAGAMENTO]],"D"))</f>
        <v/>
      </c>
    </row>
    <row r="820" spans="2:38" ht="30.05" customHeight="1" x14ac:dyDescent="0.35">
      <c r="B820" s="506"/>
      <c r="C820" s="507"/>
      <c r="D820" s="508" t="s">
        <v>1854</v>
      </c>
      <c r="E820" s="509"/>
      <c r="F820" s="510"/>
      <c r="G820" s="507"/>
      <c r="H820" s="511"/>
      <c r="I820" s="512"/>
      <c r="J820" s="518"/>
      <c r="K820" s="510"/>
      <c r="L820" s="510"/>
      <c r="M820" s="548"/>
      <c r="N820" s="514">
        <f>LANÇ_MOV[[#This Row],[VALOR BRUTO]]-LANÇ_MOV[[#This Row],[DESCONTO]]+LANÇ_MOV[[#This Row],[JUROS]]+LANÇ_MOV[[#This Row],[MULTA]]</f>
        <v>0</v>
      </c>
      <c r="O820" s="546"/>
      <c r="P820" s="547" t="str">
        <f t="shared" ca="1" si="12"/>
        <v/>
      </c>
      <c r="Q820" s="528"/>
      <c r="R820" s="529"/>
      <c r="S820" s="518"/>
      <c r="T820" s="518"/>
      <c r="U820" s="519"/>
      <c r="V820" s="520" t="str">
        <f>IFERROR(VLOOKUP(LANÇ_MOV[[#This Row],[PLANO DE CONTAS]],Plano_Contas[[PLANO DE CONTAS]:[R / D]],3,0),"")</f>
        <v/>
      </c>
      <c r="W820" s="521" t="str">
        <f>IF(LANÇ_MOV[[#This Row],[DATA DE PAGAMENTO]]&lt;&gt;"","Pago","Não Pago")</f>
        <v>Não Pago</v>
      </c>
      <c r="X820" s="522" t="str">
        <f>IFERROR(IF(LANÇ_MOV[[#This Row],[DATA DE PAGAMENTO]]="","",(UPPER(TEXT(LANÇ_MOV[[#This Row],[DATA DE PAGAMENTO]],"mmmm")))),"")</f>
        <v/>
      </c>
      <c r="Y820" s="523" t="str">
        <f>IFERROR(VLOOKUP(LANÇ_MOV[[#This Row],[PLANO DE CONTAS]],Plano_Contas[[PLANO DE CONTAS]:[NOMES INTERVALOS]],2,0),"")</f>
        <v/>
      </c>
      <c r="Z820" s="523" t="str">
        <f>IF(LANÇ_MOV[[#This Row],[FORMA DE PAGAMENTO]]="","",VLOOKUP(LANÇ_MOV[[#This Row],[FORMA DE PAGAMENTO]],CAD_Forma_pagto[],2,0))</f>
        <v/>
      </c>
      <c r="AA820" s="524" t="str">
        <f>IF(LANÇ_MOV[[#This Row],[DATA DE LANÇAMENTO]]="","",TEXT(LANÇ_MOV[[#This Row],[DATA DE LANÇAMENTO]],"AAAA"))</f>
        <v/>
      </c>
      <c r="AB820" s="524" t="str">
        <f>IF(LANÇ_MOV[[#This Row],[DATA DE LANÇAMENTO]]="","",UPPER(TEXT(LANÇ_MOV[[#This Row],[DATA DE LANÇAMENTO]],"MMMM")))</f>
        <v/>
      </c>
      <c r="AC820" s="525" t="str">
        <f>IF(LANÇ_MOV[[#This Row],[DATA DE LANÇAMENTO]]="","",PROPER(TEXT(LANÇ_MOV[[#This Row],[DATA DE LANÇAMENTO]],"M")))</f>
        <v/>
      </c>
      <c r="AD820" s="524" t="str">
        <f>IF(LANÇ_MOV[[#This Row],[DATA DE LANÇAMENTO]]="","",TEXT(LANÇ_MOV[[#This Row],[DATA DE LANÇAMENTO]],"D"))</f>
        <v/>
      </c>
      <c r="AE820" s="526" t="str">
        <f>IF(LANÇ_MOV[[#This Row],[DATA DE VENCIMENTO]]="","",TEXT(LANÇ_MOV[[#This Row],[DATA DE VENCIMENTO]],"AAAA"))</f>
        <v/>
      </c>
      <c r="AF820" s="526" t="str">
        <f>IF(LANÇ_MOV[[#This Row],[DATA DE VENCIMENTO]]="","",UPPER(TEXT(LANÇ_MOV[[#This Row],[DATA DE VENCIMENTO]],"MMMM")))</f>
        <v/>
      </c>
      <c r="AG820" s="526" t="str">
        <f>IF(LANÇ_MOV[[#This Row],[DATA DE VENCIMENTO]]="","",TEXT(LANÇ_MOV[[#This Row],[DATA DE VENCIMENTO]],"M"))</f>
        <v/>
      </c>
      <c r="AH820" s="526" t="str">
        <f>IF(LANÇ_MOV[[#This Row],[DATA DE VENCIMENTO]]="","",TEXT(LANÇ_MOV[[#This Row],[DATA DE VENCIMENTO]],"D"))</f>
        <v/>
      </c>
      <c r="AI820" s="526" t="str">
        <f>IF(LANÇ_MOV[[#This Row],[DATA DE PAGAMENTO]]="","",TEXT(LANÇ_MOV[[#This Row],[DATA DE PAGAMENTO]],"AAAA"))</f>
        <v/>
      </c>
      <c r="AJ820" s="527" t="str">
        <f>IF(LANÇ_MOV[[#This Row],[DATA DE PAGAMENTO]]="","",UPPER(TEXT(LANÇ_MOV[[#This Row],[DATA DE PAGAMENTO]],"MMMM")))</f>
        <v/>
      </c>
      <c r="AK820" s="527" t="str">
        <f>IF(LANÇ_MOV[[#This Row],[DATA DE PAGAMENTO]]="","",TEXT(LANÇ_MOV[[#This Row],[DATA DE PAGAMENTO]],"M"))</f>
        <v/>
      </c>
      <c r="AL820" s="526" t="str">
        <f>IF(LANÇ_MOV[[#This Row],[DATA DE PAGAMENTO]]="","",TEXT(LANÇ_MOV[[#This Row],[DATA DE PAGAMENTO]],"D"))</f>
        <v/>
      </c>
    </row>
    <row r="821" spans="2:38" ht="30.05" customHeight="1" x14ac:dyDescent="0.35">
      <c r="B821" s="506"/>
      <c r="C821" s="507"/>
      <c r="D821" s="508" t="s">
        <v>1854</v>
      </c>
      <c r="E821" s="509"/>
      <c r="F821" s="510"/>
      <c r="G821" s="507"/>
      <c r="H821" s="511"/>
      <c r="I821" s="512"/>
      <c r="J821" s="518"/>
      <c r="K821" s="510"/>
      <c r="L821" s="510"/>
      <c r="M821" s="548"/>
      <c r="N821" s="514">
        <f>LANÇ_MOV[[#This Row],[VALOR BRUTO]]-LANÇ_MOV[[#This Row],[DESCONTO]]+LANÇ_MOV[[#This Row],[JUROS]]+LANÇ_MOV[[#This Row],[MULTA]]</f>
        <v>0</v>
      </c>
      <c r="O821" s="546"/>
      <c r="P821" s="547" t="str">
        <f t="shared" ref="P821:P884" ca="1" si="13">IF(O821="","",IF(Q821&lt;&gt;"","Pago",IF(O821-TODAY()&gt;30,"Prazo - Mais de 1 mês",IF(O821=TODAY(),"Hoje",IF(O821&lt;TODAY(),"Venceu",IF(O821-TODAY()&lt;10,"Prazo - Menos de 10 dias",IF(O821-TODAY()&lt;15,"Prazo - Menos de 15 dias","Prazo - Menos de 1 Mês")))))))</f>
        <v/>
      </c>
      <c r="Q821" s="528"/>
      <c r="R821" s="529"/>
      <c r="S821" s="518"/>
      <c r="T821" s="518"/>
      <c r="U821" s="519"/>
      <c r="V821" s="520" t="str">
        <f>IFERROR(VLOOKUP(LANÇ_MOV[[#This Row],[PLANO DE CONTAS]],Plano_Contas[[PLANO DE CONTAS]:[R / D]],3,0),"")</f>
        <v/>
      </c>
      <c r="W821" s="521" t="str">
        <f>IF(LANÇ_MOV[[#This Row],[DATA DE PAGAMENTO]]&lt;&gt;"","Pago","Não Pago")</f>
        <v>Não Pago</v>
      </c>
      <c r="X821" s="522" t="str">
        <f>IFERROR(IF(LANÇ_MOV[[#This Row],[DATA DE PAGAMENTO]]="","",(UPPER(TEXT(LANÇ_MOV[[#This Row],[DATA DE PAGAMENTO]],"mmmm")))),"")</f>
        <v/>
      </c>
      <c r="Y821" s="523" t="str">
        <f>IFERROR(VLOOKUP(LANÇ_MOV[[#This Row],[PLANO DE CONTAS]],Plano_Contas[[PLANO DE CONTAS]:[NOMES INTERVALOS]],2,0),"")</f>
        <v/>
      </c>
      <c r="Z821" s="523" t="str">
        <f>IF(LANÇ_MOV[[#This Row],[FORMA DE PAGAMENTO]]="","",VLOOKUP(LANÇ_MOV[[#This Row],[FORMA DE PAGAMENTO]],CAD_Forma_pagto[],2,0))</f>
        <v/>
      </c>
      <c r="AA821" s="524" t="str">
        <f>IF(LANÇ_MOV[[#This Row],[DATA DE LANÇAMENTO]]="","",TEXT(LANÇ_MOV[[#This Row],[DATA DE LANÇAMENTO]],"AAAA"))</f>
        <v/>
      </c>
      <c r="AB821" s="524" t="str">
        <f>IF(LANÇ_MOV[[#This Row],[DATA DE LANÇAMENTO]]="","",UPPER(TEXT(LANÇ_MOV[[#This Row],[DATA DE LANÇAMENTO]],"MMMM")))</f>
        <v/>
      </c>
      <c r="AC821" s="525" t="str">
        <f>IF(LANÇ_MOV[[#This Row],[DATA DE LANÇAMENTO]]="","",PROPER(TEXT(LANÇ_MOV[[#This Row],[DATA DE LANÇAMENTO]],"M")))</f>
        <v/>
      </c>
      <c r="AD821" s="524" t="str">
        <f>IF(LANÇ_MOV[[#This Row],[DATA DE LANÇAMENTO]]="","",TEXT(LANÇ_MOV[[#This Row],[DATA DE LANÇAMENTO]],"D"))</f>
        <v/>
      </c>
      <c r="AE821" s="526" t="str">
        <f>IF(LANÇ_MOV[[#This Row],[DATA DE VENCIMENTO]]="","",TEXT(LANÇ_MOV[[#This Row],[DATA DE VENCIMENTO]],"AAAA"))</f>
        <v/>
      </c>
      <c r="AF821" s="526" t="str">
        <f>IF(LANÇ_MOV[[#This Row],[DATA DE VENCIMENTO]]="","",UPPER(TEXT(LANÇ_MOV[[#This Row],[DATA DE VENCIMENTO]],"MMMM")))</f>
        <v/>
      </c>
      <c r="AG821" s="526" t="str">
        <f>IF(LANÇ_MOV[[#This Row],[DATA DE VENCIMENTO]]="","",TEXT(LANÇ_MOV[[#This Row],[DATA DE VENCIMENTO]],"M"))</f>
        <v/>
      </c>
      <c r="AH821" s="526" t="str">
        <f>IF(LANÇ_MOV[[#This Row],[DATA DE VENCIMENTO]]="","",TEXT(LANÇ_MOV[[#This Row],[DATA DE VENCIMENTO]],"D"))</f>
        <v/>
      </c>
      <c r="AI821" s="526" t="str">
        <f>IF(LANÇ_MOV[[#This Row],[DATA DE PAGAMENTO]]="","",TEXT(LANÇ_MOV[[#This Row],[DATA DE PAGAMENTO]],"AAAA"))</f>
        <v/>
      </c>
      <c r="AJ821" s="527" t="str">
        <f>IF(LANÇ_MOV[[#This Row],[DATA DE PAGAMENTO]]="","",UPPER(TEXT(LANÇ_MOV[[#This Row],[DATA DE PAGAMENTO]],"MMMM")))</f>
        <v/>
      </c>
      <c r="AK821" s="527" t="str">
        <f>IF(LANÇ_MOV[[#This Row],[DATA DE PAGAMENTO]]="","",TEXT(LANÇ_MOV[[#This Row],[DATA DE PAGAMENTO]],"M"))</f>
        <v/>
      </c>
      <c r="AL821" s="526" t="str">
        <f>IF(LANÇ_MOV[[#This Row],[DATA DE PAGAMENTO]]="","",TEXT(LANÇ_MOV[[#This Row],[DATA DE PAGAMENTO]],"D"))</f>
        <v/>
      </c>
    </row>
    <row r="822" spans="2:38" ht="30.05" customHeight="1" x14ac:dyDescent="0.35">
      <c r="B822" s="506"/>
      <c r="C822" s="507"/>
      <c r="D822" s="508" t="s">
        <v>1854</v>
      </c>
      <c r="E822" s="509"/>
      <c r="F822" s="510"/>
      <c r="G822" s="507"/>
      <c r="H822" s="511"/>
      <c r="I822" s="512"/>
      <c r="J822" s="518"/>
      <c r="K822" s="510"/>
      <c r="L822" s="510"/>
      <c r="M822" s="548"/>
      <c r="N822" s="514">
        <f>LANÇ_MOV[[#This Row],[VALOR BRUTO]]-LANÇ_MOV[[#This Row],[DESCONTO]]+LANÇ_MOV[[#This Row],[JUROS]]+LANÇ_MOV[[#This Row],[MULTA]]</f>
        <v>0</v>
      </c>
      <c r="O822" s="546"/>
      <c r="P822" s="547" t="str">
        <f t="shared" ca="1" si="13"/>
        <v/>
      </c>
      <c r="Q822" s="528"/>
      <c r="R822" s="529"/>
      <c r="S822" s="518"/>
      <c r="T822" s="518"/>
      <c r="U822" s="519"/>
      <c r="V822" s="520" t="str">
        <f>IFERROR(VLOOKUP(LANÇ_MOV[[#This Row],[PLANO DE CONTAS]],Plano_Contas[[PLANO DE CONTAS]:[R / D]],3,0),"")</f>
        <v/>
      </c>
      <c r="W822" s="521" t="str">
        <f>IF(LANÇ_MOV[[#This Row],[DATA DE PAGAMENTO]]&lt;&gt;"","Pago","Não Pago")</f>
        <v>Não Pago</v>
      </c>
      <c r="X822" s="522" t="str">
        <f>IFERROR(IF(LANÇ_MOV[[#This Row],[DATA DE PAGAMENTO]]="","",(UPPER(TEXT(LANÇ_MOV[[#This Row],[DATA DE PAGAMENTO]],"mmmm")))),"")</f>
        <v/>
      </c>
      <c r="Y822" s="523" t="str">
        <f>IFERROR(VLOOKUP(LANÇ_MOV[[#This Row],[PLANO DE CONTAS]],Plano_Contas[[PLANO DE CONTAS]:[NOMES INTERVALOS]],2,0),"")</f>
        <v/>
      </c>
      <c r="Z822" s="523" t="str">
        <f>IF(LANÇ_MOV[[#This Row],[FORMA DE PAGAMENTO]]="","",VLOOKUP(LANÇ_MOV[[#This Row],[FORMA DE PAGAMENTO]],CAD_Forma_pagto[],2,0))</f>
        <v/>
      </c>
      <c r="AA822" s="524" t="str">
        <f>IF(LANÇ_MOV[[#This Row],[DATA DE LANÇAMENTO]]="","",TEXT(LANÇ_MOV[[#This Row],[DATA DE LANÇAMENTO]],"AAAA"))</f>
        <v/>
      </c>
      <c r="AB822" s="524" t="str">
        <f>IF(LANÇ_MOV[[#This Row],[DATA DE LANÇAMENTO]]="","",UPPER(TEXT(LANÇ_MOV[[#This Row],[DATA DE LANÇAMENTO]],"MMMM")))</f>
        <v/>
      </c>
      <c r="AC822" s="525" t="str">
        <f>IF(LANÇ_MOV[[#This Row],[DATA DE LANÇAMENTO]]="","",PROPER(TEXT(LANÇ_MOV[[#This Row],[DATA DE LANÇAMENTO]],"M")))</f>
        <v/>
      </c>
      <c r="AD822" s="524" t="str">
        <f>IF(LANÇ_MOV[[#This Row],[DATA DE LANÇAMENTO]]="","",TEXT(LANÇ_MOV[[#This Row],[DATA DE LANÇAMENTO]],"D"))</f>
        <v/>
      </c>
      <c r="AE822" s="526" t="str">
        <f>IF(LANÇ_MOV[[#This Row],[DATA DE VENCIMENTO]]="","",TEXT(LANÇ_MOV[[#This Row],[DATA DE VENCIMENTO]],"AAAA"))</f>
        <v/>
      </c>
      <c r="AF822" s="526" t="str">
        <f>IF(LANÇ_MOV[[#This Row],[DATA DE VENCIMENTO]]="","",UPPER(TEXT(LANÇ_MOV[[#This Row],[DATA DE VENCIMENTO]],"MMMM")))</f>
        <v/>
      </c>
      <c r="AG822" s="526" t="str">
        <f>IF(LANÇ_MOV[[#This Row],[DATA DE VENCIMENTO]]="","",TEXT(LANÇ_MOV[[#This Row],[DATA DE VENCIMENTO]],"M"))</f>
        <v/>
      </c>
      <c r="AH822" s="526" t="str">
        <f>IF(LANÇ_MOV[[#This Row],[DATA DE VENCIMENTO]]="","",TEXT(LANÇ_MOV[[#This Row],[DATA DE VENCIMENTO]],"D"))</f>
        <v/>
      </c>
      <c r="AI822" s="526" t="str">
        <f>IF(LANÇ_MOV[[#This Row],[DATA DE PAGAMENTO]]="","",TEXT(LANÇ_MOV[[#This Row],[DATA DE PAGAMENTO]],"AAAA"))</f>
        <v/>
      </c>
      <c r="AJ822" s="527" t="str">
        <f>IF(LANÇ_MOV[[#This Row],[DATA DE PAGAMENTO]]="","",UPPER(TEXT(LANÇ_MOV[[#This Row],[DATA DE PAGAMENTO]],"MMMM")))</f>
        <v/>
      </c>
      <c r="AK822" s="527" t="str">
        <f>IF(LANÇ_MOV[[#This Row],[DATA DE PAGAMENTO]]="","",TEXT(LANÇ_MOV[[#This Row],[DATA DE PAGAMENTO]],"M"))</f>
        <v/>
      </c>
      <c r="AL822" s="526" t="str">
        <f>IF(LANÇ_MOV[[#This Row],[DATA DE PAGAMENTO]]="","",TEXT(LANÇ_MOV[[#This Row],[DATA DE PAGAMENTO]],"D"))</f>
        <v/>
      </c>
    </row>
    <row r="823" spans="2:38" ht="30.05" customHeight="1" x14ac:dyDescent="0.35">
      <c r="B823" s="506"/>
      <c r="C823" s="507"/>
      <c r="D823" s="508" t="s">
        <v>1854</v>
      </c>
      <c r="E823" s="509"/>
      <c r="F823" s="510"/>
      <c r="G823" s="507"/>
      <c r="H823" s="511"/>
      <c r="I823" s="512"/>
      <c r="J823" s="518"/>
      <c r="K823" s="510"/>
      <c r="L823" s="510"/>
      <c r="M823" s="548"/>
      <c r="N823" s="514">
        <f>LANÇ_MOV[[#This Row],[VALOR BRUTO]]-LANÇ_MOV[[#This Row],[DESCONTO]]+LANÇ_MOV[[#This Row],[JUROS]]+LANÇ_MOV[[#This Row],[MULTA]]</f>
        <v>0</v>
      </c>
      <c r="O823" s="546"/>
      <c r="P823" s="547" t="str">
        <f t="shared" ca="1" si="13"/>
        <v/>
      </c>
      <c r="Q823" s="528"/>
      <c r="R823" s="529"/>
      <c r="S823" s="518"/>
      <c r="T823" s="518"/>
      <c r="U823" s="519"/>
      <c r="V823" s="520" t="str">
        <f>IFERROR(VLOOKUP(LANÇ_MOV[[#This Row],[PLANO DE CONTAS]],Plano_Contas[[PLANO DE CONTAS]:[R / D]],3,0),"")</f>
        <v/>
      </c>
      <c r="W823" s="521" t="str">
        <f>IF(LANÇ_MOV[[#This Row],[DATA DE PAGAMENTO]]&lt;&gt;"","Pago","Não Pago")</f>
        <v>Não Pago</v>
      </c>
      <c r="X823" s="522" t="str">
        <f>IFERROR(IF(LANÇ_MOV[[#This Row],[DATA DE PAGAMENTO]]="","",(UPPER(TEXT(LANÇ_MOV[[#This Row],[DATA DE PAGAMENTO]],"mmmm")))),"")</f>
        <v/>
      </c>
      <c r="Y823" s="523" t="str">
        <f>IFERROR(VLOOKUP(LANÇ_MOV[[#This Row],[PLANO DE CONTAS]],Plano_Contas[[PLANO DE CONTAS]:[NOMES INTERVALOS]],2,0),"")</f>
        <v/>
      </c>
      <c r="Z823" s="523" t="str">
        <f>IF(LANÇ_MOV[[#This Row],[FORMA DE PAGAMENTO]]="","",VLOOKUP(LANÇ_MOV[[#This Row],[FORMA DE PAGAMENTO]],CAD_Forma_pagto[],2,0))</f>
        <v/>
      </c>
      <c r="AA823" s="524" t="str">
        <f>IF(LANÇ_MOV[[#This Row],[DATA DE LANÇAMENTO]]="","",TEXT(LANÇ_MOV[[#This Row],[DATA DE LANÇAMENTO]],"AAAA"))</f>
        <v/>
      </c>
      <c r="AB823" s="524" t="str">
        <f>IF(LANÇ_MOV[[#This Row],[DATA DE LANÇAMENTO]]="","",UPPER(TEXT(LANÇ_MOV[[#This Row],[DATA DE LANÇAMENTO]],"MMMM")))</f>
        <v/>
      </c>
      <c r="AC823" s="525" t="str">
        <f>IF(LANÇ_MOV[[#This Row],[DATA DE LANÇAMENTO]]="","",PROPER(TEXT(LANÇ_MOV[[#This Row],[DATA DE LANÇAMENTO]],"M")))</f>
        <v/>
      </c>
      <c r="AD823" s="524" t="str">
        <f>IF(LANÇ_MOV[[#This Row],[DATA DE LANÇAMENTO]]="","",TEXT(LANÇ_MOV[[#This Row],[DATA DE LANÇAMENTO]],"D"))</f>
        <v/>
      </c>
      <c r="AE823" s="526" t="str">
        <f>IF(LANÇ_MOV[[#This Row],[DATA DE VENCIMENTO]]="","",TEXT(LANÇ_MOV[[#This Row],[DATA DE VENCIMENTO]],"AAAA"))</f>
        <v/>
      </c>
      <c r="AF823" s="526" t="str">
        <f>IF(LANÇ_MOV[[#This Row],[DATA DE VENCIMENTO]]="","",UPPER(TEXT(LANÇ_MOV[[#This Row],[DATA DE VENCIMENTO]],"MMMM")))</f>
        <v/>
      </c>
      <c r="AG823" s="526" t="str">
        <f>IF(LANÇ_MOV[[#This Row],[DATA DE VENCIMENTO]]="","",TEXT(LANÇ_MOV[[#This Row],[DATA DE VENCIMENTO]],"M"))</f>
        <v/>
      </c>
      <c r="AH823" s="526" t="str">
        <f>IF(LANÇ_MOV[[#This Row],[DATA DE VENCIMENTO]]="","",TEXT(LANÇ_MOV[[#This Row],[DATA DE VENCIMENTO]],"D"))</f>
        <v/>
      </c>
      <c r="AI823" s="526" t="str">
        <f>IF(LANÇ_MOV[[#This Row],[DATA DE PAGAMENTO]]="","",TEXT(LANÇ_MOV[[#This Row],[DATA DE PAGAMENTO]],"AAAA"))</f>
        <v/>
      </c>
      <c r="AJ823" s="527" t="str">
        <f>IF(LANÇ_MOV[[#This Row],[DATA DE PAGAMENTO]]="","",UPPER(TEXT(LANÇ_MOV[[#This Row],[DATA DE PAGAMENTO]],"MMMM")))</f>
        <v/>
      </c>
      <c r="AK823" s="527" t="str">
        <f>IF(LANÇ_MOV[[#This Row],[DATA DE PAGAMENTO]]="","",TEXT(LANÇ_MOV[[#This Row],[DATA DE PAGAMENTO]],"M"))</f>
        <v/>
      </c>
      <c r="AL823" s="526" t="str">
        <f>IF(LANÇ_MOV[[#This Row],[DATA DE PAGAMENTO]]="","",TEXT(LANÇ_MOV[[#This Row],[DATA DE PAGAMENTO]],"D"))</f>
        <v/>
      </c>
    </row>
    <row r="824" spans="2:38" ht="30.05" customHeight="1" x14ac:dyDescent="0.35">
      <c r="B824" s="506"/>
      <c r="C824" s="507"/>
      <c r="D824" s="508" t="s">
        <v>1854</v>
      </c>
      <c r="E824" s="509"/>
      <c r="F824" s="510"/>
      <c r="G824" s="507"/>
      <c r="H824" s="511"/>
      <c r="I824" s="512"/>
      <c r="J824" s="518"/>
      <c r="K824" s="510"/>
      <c r="L824" s="510"/>
      <c r="M824" s="548"/>
      <c r="N824" s="514">
        <f>LANÇ_MOV[[#This Row],[VALOR BRUTO]]-LANÇ_MOV[[#This Row],[DESCONTO]]+LANÇ_MOV[[#This Row],[JUROS]]+LANÇ_MOV[[#This Row],[MULTA]]</f>
        <v>0</v>
      </c>
      <c r="O824" s="546"/>
      <c r="P824" s="547" t="str">
        <f t="shared" ca="1" si="13"/>
        <v/>
      </c>
      <c r="Q824" s="528"/>
      <c r="R824" s="529"/>
      <c r="S824" s="518"/>
      <c r="T824" s="518"/>
      <c r="U824" s="519"/>
      <c r="V824" s="520" t="str">
        <f>IFERROR(VLOOKUP(LANÇ_MOV[[#This Row],[PLANO DE CONTAS]],Plano_Contas[[PLANO DE CONTAS]:[R / D]],3,0),"")</f>
        <v/>
      </c>
      <c r="W824" s="521" t="str">
        <f>IF(LANÇ_MOV[[#This Row],[DATA DE PAGAMENTO]]&lt;&gt;"","Pago","Não Pago")</f>
        <v>Não Pago</v>
      </c>
      <c r="X824" s="522" t="str">
        <f>IFERROR(IF(LANÇ_MOV[[#This Row],[DATA DE PAGAMENTO]]="","",(UPPER(TEXT(LANÇ_MOV[[#This Row],[DATA DE PAGAMENTO]],"mmmm")))),"")</f>
        <v/>
      </c>
      <c r="Y824" s="523" t="str">
        <f>IFERROR(VLOOKUP(LANÇ_MOV[[#This Row],[PLANO DE CONTAS]],Plano_Contas[[PLANO DE CONTAS]:[NOMES INTERVALOS]],2,0),"")</f>
        <v/>
      </c>
      <c r="Z824" s="523" t="str">
        <f>IF(LANÇ_MOV[[#This Row],[FORMA DE PAGAMENTO]]="","",VLOOKUP(LANÇ_MOV[[#This Row],[FORMA DE PAGAMENTO]],CAD_Forma_pagto[],2,0))</f>
        <v/>
      </c>
      <c r="AA824" s="524" t="str">
        <f>IF(LANÇ_MOV[[#This Row],[DATA DE LANÇAMENTO]]="","",TEXT(LANÇ_MOV[[#This Row],[DATA DE LANÇAMENTO]],"AAAA"))</f>
        <v/>
      </c>
      <c r="AB824" s="524" t="str">
        <f>IF(LANÇ_MOV[[#This Row],[DATA DE LANÇAMENTO]]="","",UPPER(TEXT(LANÇ_MOV[[#This Row],[DATA DE LANÇAMENTO]],"MMMM")))</f>
        <v/>
      </c>
      <c r="AC824" s="525" t="str">
        <f>IF(LANÇ_MOV[[#This Row],[DATA DE LANÇAMENTO]]="","",PROPER(TEXT(LANÇ_MOV[[#This Row],[DATA DE LANÇAMENTO]],"M")))</f>
        <v/>
      </c>
      <c r="AD824" s="524" t="str">
        <f>IF(LANÇ_MOV[[#This Row],[DATA DE LANÇAMENTO]]="","",TEXT(LANÇ_MOV[[#This Row],[DATA DE LANÇAMENTO]],"D"))</f>
        <v/>
      </c>
      <c r="AE824" s="526" t="str">
        <f>IF(LANÇ_MOV[[#This Row],[DATA DE VENCIMENTO]]="","",TEXT(LANÇ_MOV[[#This Row],[DATA DE VENCIMENTO]],"AAAA"))</f>
        <v/>
      </c>
      <c r="AF824" s="526" t="str">
        <f>IF(LANÇ_MOV[[#This Row],[DATA DE VENCIMENTO]]="","",UPPER(TEXT(LANÇ_MOV[[#This Row],[DATA DE VENCIMENTO]],"MMMM")))</f>
        <v/>
      </c>
      <c r="AG824" s="526" t="str">
        <f>IF(LANÇ_MOV[[#This Row],[DATA DE VENCIMENTO]]="","",TEXT(LANÇ_MOV[[#This Row],[DATA DE VENCIMENTO]],"M"))</f>
        <v/>
      </c>
      <c r="AH824" s="526" t="str">
        <f>IF(LANÇ_MOV[[#This Row],[DATA DE VENCIMENTO]]="","",TEXT(LANÇ_MOV[[#This Row],[DATA DE VENCIMENTO]],"D"))</f>
        <v/>
      </c>
      <c r="AI824" s="526" t="str">
        <f>IF(LANÇ_MOV[[#This Row],[DATA DE PAGAMENTO]]="","",TEXT(LANÇ_MOV[[#This Row],[DATA DE PAGAMENTO]],"AAAA"))</f>
        <v/>
      </c>
      <c r="AJ824" s="527" t="str">
        <f>IF(LANÇ_MOV[[#This Row],[DATA DE PAGAMENTO]]="","",UPPER(TEXT(LANÇ_MOV[[#This Row],[DATA DE PAGAMENTO]],"MMMM")))</f>
        <v/>
      </c>
      <c r="AK824" s="527" t="str">
        <f>IF(LANÇ_MOV[[#This Row],[DATA DE PAGAMENTO]]="","",TEXT(LANÇ_MOV[[#This Row],[DATA DE PAGAMENTO]],"M"))</f>
        <v/>
      </c>
      <c r="AL824" s="526" t="str">
        <f>IF(LANÇ_MOV[[#This Row],[DATA DE PAGAMENTO]]="","",TEXT(LANÇ_MOV[[#This Row],[DATA DE PAGAMENTO]],"D"))</f>
        <v/>
      </c>
    </row>
    <row r="825" spans="2:38" ht="30.05" customHeight="1" x14ac:dyDescent="0.35">
      <c r="B825" s="506"/>
      <c r="C825" s="507"/>
      <c r="D825" s="508" t="s">
        <v>1854</v>
      </c>
      <c r="E825" s="509"/>
      <c r="F825" s="510"/>
      <c r="G825" s="507"/>
      <c r="H825" s="511"/>
      <c r="I825" s="512"/>
      <c r="J825" s="518"/>
      <c r="K825" s="510"/>
      <c r="L825" s="510"/>
      <c r="M825" s="548"/>
      <c r="N825" s="514">
        <f>LANÇ_MOV[[#This Row],[VALOR BRUTO]]-LANÇ_MOV[[#This Row],[DESCONTO]]+LANÇ_MOV[[#This Row],[JUROS]]+LANÇ_MOV[[#This Row],[MULTA]]</f>
        <v>0</v>
      </c>
      <c r="O825" s="546"/>
      <c r="P825" s="547" t="str">
        <f t="shared" ca="1" si="13"/>
        <v/>
      </c>
      <c r="Q825" s="528"/>
      <c r="R825" s="529"/>
      <c r="S825" s="518"/>
      <c r="T825" s="518"/>
      <c r="U825" s="519"/>
      <c r="V825" s="520" t="str">
        <f>IFERROR(VLOOKUP(LANÇ_MOV[[#This Row],[PLANO DE CONTAS]],Plano_Contas[[PLANO DE CONTAS]:[R / D]],3,0),"")</f>
        <v/>
      </c>
      <c r="W825" s="521" t="str">
        <f>IF(LANÇ_MOV[[#This Row],[DATA DE PAGAMENTO]]&lt;&gt;"","Pago","Não Pago")</f>
        <v>Não Pago</v>
      </c>
      <c r="X825" s="522" t="str">
        <f>IFERROR(IF(LANÇ_MOV[[#This Row],[DATA DE PAGAMENTO]]="","",(UPPER(TEXT(LANÇ_MOV[[#This Row],[DATA DE PAGAMENTO]],"mmmm")))),"")</f>
        <v/>
      </c>
      <c r="Y825" s="523" t="str">
        <f>IFERROR(VLOOKUP(LANÇ_MOV[[#This Row],[PLANO DE CONTAS]],Plano_Contas[[PLANO DE CONTAS]:[NOMES INTERVALOS]],2,0),"")</f>
        <v/>
      </c>
      <c r="Z825" s="523" t="str">
        <f>IF(LANÇ_MOV[[#This Row],[FORMA DE PAGAMENTO]]="","",VLOOKUP(LANÇ_MOV[[#This Row],[FORMA DE PAGAMENTO]],CAD_Forma_pagto[],2,0))</f>
        <v/>
      </c>
      <c r="AA825" s="524" t="str">
        <f>IF(LANÇ_MOV[[#This Row],[DATA DE LANÇAMENTO]]="","",TEXT(LANÇ_MOV[[#This Row],[DATA DE LANÇAMENTO]],"AAAA"))</f>
        <v/>
      </c>
      <c r="AB825" s="524" t="str">
        <f>IF(LANÇ_MOV[[#This Row],[DATA DE LANÇAMENTO]]="","",UPPER(TEXT(LANÇ_MOV[[#This Row],[DATA DE LANÇAMENTO]],"MMMM")))</f>
        <v/>
      </c>
      <c r="AC825" s="525" t="str">
        <f>IF(LANÇ_MOV[[#This Row],[DATA DE LANÇAMENTO]]="","",PROPER(TEXT(LANÇ_MOV[[#This Row],[DATA DE LANÇAMENTO]],"M")))</f>
        <v/>
      </c>
      <c r="AD825" s="524" t="str">
        <f>IF(LANÇ_MOV[[#This Row],[DATA DE LANÇAMENTO]]="","",TEXT(LANÇ_MOV[[#This Row],[DATA DE LANÇAMENTO]],"D"))</f>
        <v/>
      </c>
      <c r="AE825" s="526" t="str">
        <f>IF(LANÇ_MOV[[#This Row],[DATA DE VENCIMENTO]]="","",TEXT(LANÇ_MOV[[#This Row],[DATA DE VENCIMENTO]],"AAAA"))</f>
        <v/>
      </c>
      <c r="AF825" s="526" t="str">
        <f>IF(LANÇ_MOV[[#This Row],[DATA DE VENCIMENTO]]="","",UPPER(TEXT(LANÇ_MOV[[#This Row],[DATA DE VENCIMENTO]],"MMMM")))</f>
        <v/>
      </c>
      <c r="AG825" s="526" t="str">
        <f>IF(LANÇ_MOV[[#This Row],[DATA DE VENCIMENTO]]="","",TEXT(LANÇ_MOV[[#This Row],[DATA DE VENCIMENTO]],"M"))</f>
        <v/>
      </c>
      <c r="AH825" s="526" t="str">
        <f>IF(LANÇ_MOV[[#This Row],[DATA DE VENCIMENTO]]="","",TEXT(LANÇ_MOV[[#This Row],[DATA DE VENCIMENTO]],"D"))</f>
        <v/>
      </c>
      <c r="AI825" s="526" t="str">
        <f>IF(LANÇ_MOV[[#This Row],[DATA DE PAGAMENTO]]="","",TEXT(LANÇ_MOV[[#This Row],[DATA DE PAGAMENTO]],"AAAA"))</f>
        <v/>
      </c>
      <c r="AJ825" s="527" t="str">
        <f>IF(LANÇ_MOV[[#This Row],[DATA DE PAGAMENTO]]="","",UPPER(TEXT(LANÇ_MOV[[#This Row],[DATA DE PAGAMENTO]],"MMMM")))</f>
        <v/>
      </c>
      <c r="AK825" s="527" t="str">
        <f>IF(LANÇ_MOV[[#This Row],[DATA DE PAGAMENTO]]="","",TEXT(LANÇ_MOV[[#This Row],[DATA DE PAGAMENTO]],"M"))</f>
        <v/>
      </c>
      <c r="AL825" s="526" t="str">
        <f>IF(LANÇ_MOV[[#This Row],[DATA DE PAGAMENTO]]="","",TEXT(LANÇ_MOV[[#This Row],[DATA DE PAGAMENTO]],"D"))</f>
        <v/>
      </c>
    </row>
    <row r="826" spans="2:38" ht="30.05" customHeight="1" x14ac:dyDescent="0.35">
      <c r="B826" s="506"/>
      <c r="C826" s="507"/>
      <c r="D826" s="508" t="s">
        <v>1854</v>
      </c>
      <c r="E826" s="509"/>
      <c r="F826" s="510"/>
      <c r="G826" s="507"/>
      <c r="H826" s="511"/>
      <c r="I826" s="512"/>
      <c r="J826" s="518"/>
      <c r="K826" s="510"/>
      <c r="L826" s="510"/>
      <c r="M826" s="548"/>
      <c r="N826" s="514">
        <f>LANÇ_MOV[[#This Row],[VALOR BRUTO]]-LANÇ_MOV[[#This Row],[DESCONTO]]+LANÇ_MOV[[#This Row],[JUROS]]+LANÇ_MOV[[#This Row],[MULTA]]</f>
        <v>0</v>
      </c>
      <c r="O826" s="546"/>
      <c r="P826" s="547" t="str">
        <f t="shared" ca="1" si="13"/>
        <v/>
      </c>
      <c r="Q826" s="528"/>
      <c r="R826" s="529"/>
      <c r="S826" s="518"/>
      <c r="T826" s="518"/>
      <c r="U826" s="519"/>
      <c r="V826" s="520" t="str">
        <f>IFERROR(VLOOKUP(LANÇ_MOV[[#This Row],[PLANO DE CONTAS]],Plano_Contas[[PLANO DE CONTAS]:[R / D]],3,0),"")</f>
        <v/>
      </c>
      <c r="W826" s="521" t="str">
        <f>IF(LANÇ_MOV[[#This Row],[DATA DE PAGAMENTO]]&lt;&gt;"","Pago","Não Pago")</f>
        <v>Não Pago</v>
      </c>
      <c r="X826" s="522" t="str">
        <f>IFERROR(IF(LANÇ_MOV[[#This Row],[DATA DE PAGAMENTO]]="","",(UPPER(TEXT(LANÇ_MOV[[#This Row],[DATA DE PAGAMENTO]],"mmmm")))),"")</f>
        <v/>
      </c>
      <c r="Y826" s="523" t="str">
        <f>IFERROR(VLOOKUP(LANÇ_MOV[[#This Row],[PLANO DE CONTAS]],Plano_Contas[[PLANO DE CONTAS]:[NOMES INTERVALOS]],2,0),"")</f>
        <v/>
      </c>
      <c r="Z826" s="523" t="str">
        <f>IF(LANÇ_MOV[[#This Row],[FORMA DE PAGAMENTO]]="","",VLOOKUP(LANÇ_MOV[[#This Row],[FORMA DE PAGAMENTO]],CAD_Forma_pagto[],2,0))</f>
        <v/>
      </c>
      <c r="AA826" s="524" t="str">
        <f>IF(LANÇ_MOV[[#This Row],[DATA DE LANÇAMENTO]]="","",TEXT(LANÇ_MOV[[#This Row],[DATA DE LANÇAMENTO]],"AAAA"))</f>
        <v/>
      </c>
      <c r="AB826" s="524" t="str">
        <f>IF(LANÇ_MOV[[#This Row],[DATA DE LANÇAMENTO]]="","",UPPER(TEXT(LANÇ_MOV[[#This Row],[DATA DE LANÇAMENTO]],"MMMM")))</f>
        <v/>
      </c>
      <c r="AC826" s="525" t="str">
        <f>IF(LANÇ_MOV[[#This Row],[DATA DE LANÇAMENTO]]="","",PROPER(TEXT(LANÇ_MOV[[#This Row],[DATA DE LANÇAMENTO]],"M")))</f>
        <v/>
      </c>
      <c r="AD826" s="524" t="str">
        <f>IF(LANÇ_MOV[[#This Row],[DATA DE LANÇAMENTO]]="","",TEXT(LANÇ_MOV[[#This Row],[DATA DE LANÇAMENTO]],"D"))</f>
        <v/>
      </c>
      <c r="AE826" s="526" t="str">
        <f>IF(LANÇ_MOV[[#This Row],[DATA DE VENCIMENTO]]="","",TEXT(LANÇ_MOV[[#This Row],[DATA DE VENCIMENTO]],"AAAA"))</f>
        <v/>
      </c>
      <c r="AF826" s="526" t="str">
        <f>IF(LANÇ_MOV[[#This Row],[DATA DE VENCIMENTO]]="","",UPPER(TEXT(LANÇ_MOV[[#This Row],[DATA DE VENCIMENTO]],"MMMM")))</f>
        <v/>
      </c>
      <c r="AG826" s="526" t="str">
        <f>IF(LANÇ_MOV[[#This Row],[DATA DE VENCIMENTO]]="","",TEXT(LANÇ_MOV[[#This Row],[DATA DE VENCIMENTO]],"M"))</f>
        <v/>
      </c>
      <c r="AH826" s="526" t="str">
        <f>IF(LANÇ_MOV[[#This Row],[DATA DE VENCIMENTO]]="","",TEXT(LANÇ_MOV[[#This Row],[DATA DE VENCIMENTO]],"D"))</f>
        <v/>
      </c>
      <c r="AI826" s="526" t="str">
        <f>IF(LANÇ_MOV[[#This Row],[DATA DE PAGAMENTO]]="","",TEXT(LANÇ_MOV[[#This Row],[DATA DE PAGAMENTO]],"AAAA"))</f>
        <v/>
      </c>
      <c r="AJ826" s="527" t="str">
        <f>IF(LANÇ_MOV[[#This Row],[DATA DE PAGAMENTO]]="","",UPPER(TEXT(LANÇ_MOV[[#This Row],[DATA DE PAGAMENTO]],"MMMM")))</f>
        <v/>
      </c>
      <c r="AK826" s="527" t="str">
        <f>IF(LANÇ_MOV[[#This Row],[DATA DE PAGAMENTO]]="","",TEXT(LANÇ_MOV[[#This Row],[DATA DE PAGAMENTO]],"M"))</f>
        <v/>
      </c>
      <c r="AL826" s="526" t="str">
        <f>IF(LANÇ_MOV[[#This Row],[DATA DE PAGAMENTO]]="","",TEXT(LANÇ_MOV[[#This Row],[DATA DE PAGAMENTO]],"D"))</f>
        <v/>
      </c>
    </row>
    <row r="827" spans="2:38" ht="30.05" customHeight="1" x14ac:dyDescent="0.35">
      <c r="B827" s="506"/>
      <c r="C827" s="507"/>
      <c r="D827" s="508" t="s">
        <v>1854</v>
      </c>
      <c r="E827" s="509"/>
      <c r="F827" s="510"/>
      <c r="G827" s="507"/>
      <c r="H827" s="511"/>
      <c r="I827" s="512"/>
      <c r="J827" s="518"/>
      <c r="K827" s="510"/>
      <c r="L827" s="510"/>
      <c r="M827" s="548"/>
      <c r="N827" s="514">
        <f>LANÇ_MOV[[#This Row],[VALOR BRUTO]]-LANÇ_MOV[[#This Row],[DESCONTO]]+LANÇ_MOV[[#This Row],[JUROS]]+LANÇ_MOV[[#This Row],[MULTA]]</f>
        <v>0</v>
      </c>
      <c r="O827" s="546"/>
      <c r="P827" s="547" t="str">
        <f t="shared" ca="1" si="13"/>
        <v/>
      </c>
      <c r="Q827" s="528"/>
      <c r="R827" s="529"/>
      <c r="S827" s="518"/>
      <c r="T827" s="518"/>
      <c r="U827" s="519"/>
      <c r="V827" s="520" t="str">
        <f>IFERROR(VLOOKUP(LANÇ_MOV[[#This Row],[PLANO DE CONTAS]],Plano_Contas[[PLANO DE CONTAS]:[R / D]],3,0),"")</f>
        <v/>
      </c>
      <c r="W827" s="521" t="str">
        <f>IF(LANÇ_MOV[[#This Row],[DATA DE PAGAMENTO]]&lt;&gt;"","Pago","Não Pago")</f>
        <v>Não Pago</v>
      </c>
      <c r="X827" s="522" t="str">
        <f>IFERROR(IF(LANÇ_MOV[[#This Row],[DATA DE PAGAMENTO]]="","",(UPPER(TEXT(LANÇ_MOV[[#This Row],[DATA DE PAGAMENTO]],"mmmm")))),"")</f>
        <v/>
      </c>
      <c r="Y827" s="523" t="str">
        <f>IFERROR(VLOOKUP(LANÇ_MOV[[#This Row],[PLANO DE CONTAS]],Plano_Contas[[PLANO DE CONTAS]:[NOMES INTERVALOS]],2,0),"")</f>
        <v/>
      </c>
      <c r="Z827" s="523" t="str">
        <f>IF(LANÇ_MOV[[#This Row],[FORMA DE PAGAMENTO]]="","",VLOOKUP(LANÇ_MOV[[#This Row],[FORMA DE PAGAMENTO]],CAD_Forma_pagto[],2,0))</f>
        <v/>
      </c>
      <c r="AA827" s="524" t="str">
        <f>IF(LANÇ_MOV[[#This Row],[DATA DE LANÇAMENTO]]="","",TEXT(LANÇ_MOV[[#This Row],[DATA DE LANÇAMENTO]],"AAAA"))</f>
        <v/>
      </c>
      <c r="AB827" s="524" t="str">
        <f>IF(LANÇ_MOV[[#This Row],[DATA DE LANÇAMENTO]]="","",UPPER(TEXT(LANÇ_MOV[[#This Row],[DATA DE LANÇAMENTO]],"MMMM")))</f>
        <v/>
      </c>
      <c r="AC827" s="525" t="str">
        <f>IF(LANÇ_MOV[[#This Row],[DATA DE LANÇAMENTO]]="","",PROPER(TEXT(LANÇ_MOV[[#This Row],[DATA DE LANÇAMENTO]],"M")))</f>
        <v/>
      </c>
      <c r="AD827" s="524" t="str">
        <f>IF(LANÇ_MOV[[#This Row],[DATA DE LANÇAMENTO]]="","",TEXT(LANÇ_MOV[[#This Row],[DATA DE LANÇAMENTO]],"D"))</f>
        <v/>
      </c>
      <c r="AE827" s="526" t="str">
        <f>IF(LANÇ_MOV[[#This Row],[DATA DE VENCIMENTO]]="","",TEXT(LANÇ_MOV[[#This Row],[DATA DE VENCIMENTO]],"AAAA"))</f>
        <v/>
      </c>
      <c r="AF827" s="526" t="str">
        <f>IF(LANÇ_MOV[[#This Row],[DATA DE VENCIMENTO]]="","",UPPER(TEXT(LANÇ_MOV[[#This Row],[DATA DE VENCIMENTO]],"MMMM")))</f>
        <v/>
      </c>
      <c r="AG827" s="526" t="str">
        <f>IF(LANÇ_MOV[[#This Row],[DATA DE VENCIMENTO]]="","",TEXT(LANÇ_MOV[[#This Row],[DATA DE VENCIMENTO]],"M"))</f>
        <v/>
      </c>
      <c r="AH827" s="526" t="str">
        <f>IF(LANÇ_MOV[[#This Row],[DATA DE VENCIMENTO]]="","",TEXT(LANÇ_MOV[[#This Row],[DATA DE VENCIMENTO]],"D"))</f>
        <v/>
      </c>
      <c r="AI827" s="526" t="str">
        <f>IF(LANÇ_MOV[[#This Row],[DATA DE PAGAMENTO]]="","",TEXT(LANÇ_MOV[[#This Row],[DATA DE PAGAMENTO]],"AAAA"))</f>
        <v/>
      </c>
      <c r="AJ827" s="527" t="str">
        <f>IF(LANÇ_MOV[[#This Row],[DATA DE PAGAMENTO]]="","",UPPER(TEXT(LANÇ_MOV[[#This Row],[DATA DE PAGAMENTO]],"MMMM")))</f>
        <v/>
      </c>
      <c r="AK827" s="527" t="str">
        <f>IF(LANÇ_MOV[[#This Row],[DATA DE PAGAMENTO]]="","",TEXT(LANÇ_MOV[[#This Row],[DATA DE PAGAMENTO]],"M"))</f>
        <v/>
      </c>
      <c r="AL827" s="526" t="str">
        <f>IF(LANÇ_MOV[[#This Row],[DATA DE PAGAMENTO]]="","",TEXT(LANÇ_MOV[[#This Row],[DATA DE PAGAMENTO]],"D"))</f>
        <v/>
      </c>
    </row>
    <row r="828" spans="2:38" ht="30.05" customHeight="1" x14ac:dyDescent="0.35">
      <c r="B828" s="506"/>
      <c r="C828" s="507"/>
      <c r="D828" s="508" t="s">
        <v>1854</v>
      </c>
      <c r="E828" s="509"/>
      <c r="F828" s="510"/>
      <c r="G828" s="507"/>
      <c r="H828" s="511"/>
      <c r="I828" s="512"/>
      <c r="J828" s="518"/>
      <c r="K828" s="510"/>
      <c r="L828" s="510"/>
      <c r="M828" s="548"/>
      <c r="N828" s="514">
        <f>LANÇ_MOV[[#This Row],[VALOR BRUTO]]-LANÇ_MOV[[#This Row],[DESCONTO]]+LANÇ_MOV[[#This Row],[JUROS]]+LANÇ_MOV[[#This Row],[MULTA]]</f>
        <v>0</v>
      </c>
      <c r="O828" s="546"/>
      <c r="P828" s="547" t="str">
        <f t="shared" ca="1" si="13"/>
        <v/>
      </c>
      <c r="Q828" s="528"/>
      <c r="R828" s="529"/>
      <c r="S828" s="518"/>
      <c r="T828" s="518"/>
      <c r="U828" s="519"/>
      <c r="V828" s="520" t="str">
        <f>IFERROR(VLOOKUP(LANÇ_MOV[[#This Row],[PLANO DE CONTAS]],Plano_Contas[[PLANO DE CONTAS]:[R / D]],3,0),"")</f>
        <v/>
      </c>
      <c r="W828" s="521" t="str">
        <f>IF(LANÇ_MOV[[#This Row],[DATA DE PAGAMENTO]]&lt;&gt;"","Pago","Não Pago")</f>
        <v>Não Pago</v>
      </c>
      <c r="X828" s="522" t="str">
        <f>IFERROR(IF(LANÇ_MOV[[#This Row],[DATA DE PAGAMENTO]]="","",(UPPER(TEXT(LANÇ_MOV[[#This Row],[DATA DE PAGAMENTO]],"mmmm")))),"")</f>
        <v/>
      </c>
      <c r="Y828" s="523" t="str">
        <f>IFERROR(VLOOKUP(LANÇ_MOV[[#This Row],[PLANO DE CONTAS]],Plano_Contas[[PLANO DE CONTAS]:[NOMES INTERVALOS]],2,0),"")</f>
        <v/>
      </c>
      <c r="Z828" s="523" t="str">
        <f>IF(LANÇ_MOV[[#This Row],[FORMA DE PAGAMENTO]]="","",VLOOKUP(LANÇ_MOV[[#This Row],[FORMA DE PAGAMENTO]],CAD_Forma_pagto[],2,0))</f>
        <v/>
      </c>
      <c r="AA828" s="524" t="str">
        <f>IF(LANÇ_MOV[[#This Row],[DATA DE LANÇAMENTO]]="","",TEXT(LANÇ_MOV[[#This Row],[DATA DE LANÇAMENTO]],"AAAA"))</f>
        <v/>
      </c>
      <c r="AB828" s="524" t="str">
        <f>IF(LANÇ_MOV[[#This Row],[DATA DE LANÇAMENTO]]="","",UPPER(TEXT(LANÇ_MOV[[#This Row],[DATA DE LANÇAMENTO]],"MMMM")))</f>
        <v/>
      </c>
      <c r="AC828" s="525" t="str">
        <f>IF(LANÇ_MOV[[#This Row],[DATA DE LANÇAMENTO]]="","",PROPER(TEXT(LANÇ_MOV[[#This Row],[DATA DE LANÇAMENTO]],"M")))</f>
        <v/>
      </c>
      <c r="AD828" s="524" t="str">
        <f>IF(LANÇ_MOV[[#This Row],[DATA DE LANÇAMENTO]]="","",TEXT(LANÇ_MOV[[#This Row],[DATA DE LANÇAMENTO]],"D"))</f>
        <v/>
      </c>
      <c r="AE828" s="526" t="str">
        <f>IF(LANÇ_MOV[[#This Row],[DATA DE VENCIMENTO]]="","",TEXT(LANÇ_MOV[[#This Row],[DATA DE VENCIMENTO]],"AAAA"))</f>
        <v/>
      </c>
      <c r="AF828" s="526" t="str">
        <f>IF(LANÇ_MOV[[#This Row],[DATA DE VENCIMENTO]]="","",UPPER(TEXT(LANÇ_MOV[[#This Row],[DATA DE VENCIMENTO]],"MMMM")))</f>
        <v/>
      </c>
      <c r="AG828" s="526" t="str">
        <f>IF(LANÇ_MOV[[#This Row],[DATA DE VENCIMENTO]]="","",TEXT(LANÇ_MOV[[#This Row],[DATA DE VENCIMENTO]],"M"))</f>
        <v/>
      </c>
      <c r="AH828" s="526" t="str">
        <f>IF(LANÇ_MOV[[#This Row],[DATA DE VENCIMENTO]]="","",TEXT(LANÇ_MOV[[#This Row],[DATA DE VENCIMENTO]],"D"))</f>
        <v/>
      </c>
      <c r="AI828" s="526" t="str">
        <f>IF(LANÇ_MOV[[#This Row],[DATA DE PAGAMENTO]]="","",TEXT(LANÇ_MOV[[#This Row],[DATA DE PAGAMENTO]],"AAAA"))</f>
        <v/>
      </c>
      <c r="AJ828" s="527" t="str">
        <f>IF(LANÇ_MOV[[#This Row],[DATA DE PAGAMENTO]]="","",UPPER(TEXT(LANÇ_MOV[[#This Row],[DATA DE PAGAMENTO]],"MMMM")))</f>
        <v/>
      </c>
      <c r="AK828" s="527" t="str">
        <f>IF(LANÇ_MOV[[#This Row],[DATA DE PAGAMENTO]]="","",TEXT(LANÇ_MOV[[#This Row],[DATA DE PAGAMENTO]],"M"))</f>
        <v/>
      </c>
      <c r="AL828" s="526" t="str">
        <f>IF(LANÇ_MOV[[#This Row],[DATA DE PAGAMENTO]]="","",TEXT(LANÇ_MOV[[#This Row],[DATA DE PAGAMENTO]],"D"))</f>
        <v/>
      </c>
    </row>
    <row r="829" spans="2:38" ht="30.05" customHeight="1" x14ac:dyDescent="0.35">
      <c r="B829" s="506"/>
      <c r="C829" s="507"/>
      <c r="D829" s="508" t="s">
        <v>1854</v>
      </c>
      <c r="E829" s="509"/>
      <c r="F829" s="510"/>
      <c r="G829" s="507"/>
      <c r="H829" s="511"/>
      <c r="I829" s="512"/>
      <c r="J829" s="518"/>
      <c r="K829" s="510"/>
      <c r="L829" s="510"/>
      <c r="M829" s="548"/>
      <c r="N829" s="514">
        <f>LANÇ_MOV[[#This Row],[VALOR BRUTO]]-LANÇ_MOV[[#This Row],[DESCONTO]]+LANÇ_MOV[[#This Row],[JUROS]]+LANÇ_MOV[[#This Row],[MULTA]]</f>
        <v>0</v>
      </c>
      <c r="O829" s="546"/>
      <c r="P829" s="547" t="str">
        <f t="shared" ca="1" si="13"/>
        <v/>
      </c>
      <c r="Q829" s="528"/>
      <c r="R829" s="529"/>
      <c r="S829" s="518"/>
      <c r="T829" s="518"/>
      <c r="U829" s="519"/>
      <c r="V829" s="520" t="str">
        <f>IFERROR(VLOOKUP(LANÇ_MOV[[#This Row],[PLANO DE CONTAS]],Plano_Contas[[PLANO DE CONTAS]:[R / D]],3,0),"")</f>
        <v/>
      </c>
      <c r="W829" s="521" t="str">
        <f>IF(LANÇ_MOV[[#This Row],[DATA DE PAGAMENTO]]&lt;&gt;"","Pago","Não Pago")</f>
        <v>Não Pago</v>
      </c>
      <c r="X829" s="522" t="str">
        <f>IFERROR(IF(LANÇ_MOV[[#This Row],[DATA DE PAGAMENTO]]="","",(UPPER(TEXT(LANÇ_MOV[[#This Row],[DATA DE PAGAMENTO]],"mmmm")))),"")</f>
        <v/>
      </c>
      <c r="Y829" s="523" t="str">
        <f>IFERROR(VLOOKUP(LANÇ_MOV[[#This Row],[PLANO DE CONTAS]],Plano_Contas[[PLANO DE CONTAS]:[NOMES INTERVALOS]],2,0),"")</f>
        <v/>
      </c>
      <c r="Z829" s="523" t="str">
        <f>IF(LANÇ_MOV[[#This Row],[FORMA DE PAGAMENTO]]="","",VLOOKUP(LANÇ_MOV[[#This Row],[FORMA DE PAGAMENTO]],CAD_Forma_pagto[],2,0))</f>
        <v/>
      </c>
      <c r="AA829" s="524" t="str">
        <f>IF(LANÇ_MOV[[#This Row],[DATA DE LANÇAMENTO]]="","",TEXT(LANÇ_MOV[[#This Row],[DATA DE LANÇAMENTO]],"AAAA"))</f>
        <v/>
      </c>
      <c r="AB829" s="524" t="str">
        <f>IF(LANÇ_MOV[[#This Row],[DATA DE LANÇAMENTO]]="","",UPPER(TEXT(LANÇ_MOV[[#This Row],[DATA DE LANÇAMENTO]],"MMMM")))</f>
        <v/>
      </c>
      <c r="AC829" s="525" t="str">
        <f>IF(LANÇ_MOV[[#This Row],[DATA DE LANÇAMENTO]]="","",PROPER(TEXT(LANÇ_MOV[[#This Row],[DATA DE LANÇAMENTO]],"M")))</f>
        <v/>
      </c>
      <c r="AD829" s="524" t="str">
        <f>IF(LANÇ_MOV[[#This Row],[DATA DE LANÇAMENTO]]="","",TEXT(LANÇ_MOV[[#This Row],[DATA DE LANÇAMENTO]],"D"))</f>
        <v/>
      </c>
      <c r="AE829" s="526" t="str">
        <f>IF(LANÇ_MOV[[#This Row],[DATA DE VENCIMENTO]]="","",TEXT(LANÇ_MOV[[#This Row],[DATA DE VENCIMENTO]],"AAAA"))</f>
        <v/>
      </c>
      <c r="AF829" s="526" t="str">
        <f>IF(LANÇ_MOV[[#This Row],[DATA DE VENCIMENTO]]="","",UPPER(TEXT(LANÇ_MOV[[#This Row],[DATA DE VENCIMENTO]],"MMMM")))</f>
        <v/>
      </c>
      <c r="AG829" s="526" t="str">
        <f>IF(LANÇ_MOV[[#This Row],[DATA DE VENCIMENTO]]="","",TEXT(LANÇ_MOV[[#This Row],[DATA DE VENCIMENTO]],"M"))</f>
        <v/>
      </c>
      <c r="AH829" s="526" t="str">
        <f>IF(LANÇ_MOV[[#This Row],[DATA DE VENCIMENTO]]="","",TEXT(LANÇ_MOV[[#This Row],[DATA DE VENCIMENTO]],"D"))</f>
        <v/>
      </c>
      <c r="AI829" s="526" t="str">
        <f>IF(LANÇ_MOV[[#This Row],[DATA DE PAGAMENTO]]="","",TEXT(LANÇ_MOV[[#This Row],[DATA DE PAGAMENTO]],"AAAA"))</f>
        <v/>
      </c>
      <c r="AJ829" s="527" t="str">
        <f>IF(LANÇ_MOV[[#This Row],[DATA DE PAGAMENTO]]="","",UPPER(TEXT(LANÇ_MOV[[#This Row],[DATA DE PAGAMENTO]],"MMMM")))</f>
        <v/>
      </c>
      <c r="AK829" s="527" t="str">
        <f>IF(LANÇ_MOV[[#This Row],[DATA DE PAGAMENTO]]="","",TEXT(LANÇ_MOV[[#This Row],[DATA DE PAGAMENTO]],"M"))</f>
        <v/>
      </c>
      <c r="AL829" s="526" t="str">
        <f>IF(LANÇ_MOV[[#This Row],[DATA DE PAGAMENTO]]="","",TEXT(LANÇ_MOV[[#This Row],[DATA DE PAGAMENTO]],"D"))</f>
        <v/>
      </c>
    </row>
    <row r="830" spans="2:38" ht="30.05" customHeight="1" x14ac:dyDescent="0.35">
      <c r="B830" s="506"/>
      <c r="C830" s="507"/>
      <c r="D830" s="508" t="s">
        <v>1854</v>
      </c>
      <c r="E830" s="509"/>
      <c r="F830" s="510"/>
      <c r="G830" s="507"/>
      <c r="H830" s="511"/>
      <c r="I830" s="512"/>
      <c r="J830" s="518"/>
      <c r="K830" s="510"/>
      <c r="L830" s="510"/>
      <c r="M830" s="548"/>
      <c r="N830" s="514">
        <f>LANÇ_MOV[[#This Row],[VALOR BRUTO]]-LANÇ_MOV[[#This Row],[DESCONTO]]+LANÇ_MOV[[#This Row],[JUROS]]+LANÇ_MOV[[#This Row],[MULTA]]</f>
        <v>0</v>
      </c>
      <c r="O830" s="546"/>
      <c r="P830" s="547" t="str">
        <f t="shared" ca="1" si="13"/>
        <v/>
      </c>
      <c r="Q830" s="528"/>
      <c r="R830" s="529"/>
      <c r="S830" s="518"/>
      <c r="T830" s="518"/>
      <c r="U830" s="519"/>
      <c r="V830" s="520" t="str">
        <f>IFERROR(VLOOKUP(LANÇ_MOV[[#This Row],[PLANO DE CONTAS]],Plano_Contas[[PLANO DE CONTAS]:[R / D]],3,0),"")</f>
        <v/>
      </c>
      <c r="W830" s="521" t="str">
        <f>IF(LANÇ_MOV[[#This Row],[DATA DE PAGAMENTO]]&lt;&gt;"","Pago","Não Pago")</f>
        <v>Não Pago</v>
      </c>
      <c r="X830" s="522" t="str">
        <f>IFERROR(IF(LANÇ_MOV[[#This Row],[DATA DE PAGAMENTO]]="","",(UPPER(TEXT(LANÇ_MOV[[#This Row],[DATA DE PAGAMENTO]],"mmmm")))),"")</f>
        <v/>
      </c>
      <c r="Y830" s="523" t="str">
        <f>IFERROR(VLOOKUP(LANÇ_MOV[[#This Row],[PLANO DE CONTAS]],Plano_Contas[[PLANO DE CONTAS]:[NOMES INTERVALOS]],2,0),"")</f>
        <v/>
      </c>
      <c r="Z830" s="523" t="str">
        <f>IF(LANÇ_MOV[[#This Row],[FORMA DE PAGAMENTO]]="","",VLOOKUP(LANÇ_MOV[[#This Row],[FORMA DE PAGAMENTO]],CAD_Forma_pagto[],2,0))</f>
        <v/>
      </c>
      <c r="AA830" s="524" t="str">
        <f>IF(LANÇ_MOV[[#This Row],[DATA DE LANÇAMENTO]]="","",TEXT(LANÇ_MOV[[#This Row],[DATA DE LANÇAMENTO]],"AAAA"))</f>
        <v/>
      </c>
      <c r="AB830" s="524" t="str">
        <f>IF(LANÇ_MOV[[#This Row],[DATA DE LANÇAMENTO]]="","",UPPER(TEXT(LANÇ_MOV[[#This Row],[DATA DE LANÇAMENTO]],"MMMM")))</f>
        <v/>
      </c>
      <c r="AC830" s="525" t="str">
        <f>IF(LANÇ_MOV[[#This Row],[DATA DE LANÇAMENTO]]="","",PROPER(TEXT(LANÇ_MOV[[#This Row],[DATA DE LANÇAMENTO]],"M")))</f>
        <v/>
      </c>
      <c r="AD830" s="524" t="str">
        <f>IF(LANÇ_MOV[[#This Row],[DATA DE LANÇAMENTO]]="","",TEXT(LANÇ_MOV[[#This Row],[DATA DE LANÇAMENTO]],"D"))</f>
        <v/>
      </c>
      <c r="AE830" s="526" t="str">
        <f>IF(LANÇ_MOV[[#This Row],[DATA DE VENCIMENTO]]="","",TEXT(LANÇ_MOV[[#This Row],[DATA DE VENCIMENTO]],"AAAA"))</f>
        <v/>
      </c>
      <c r="AF830" s="526" t="str">
        <f>IF(LANÇ_MOV[[#This Row],[DATA DE VENCIMENTO]]="","",UPPER(TEXT(LANÇ_MOV[[#This Row],[DATA DE VENCIMENTO]],"MMMM")))</f>
        <v/>
      </c>
      <c r="AG830" s="526" t="str">
        <f>IF(LANÇ_MOV[[#This Row],[DATA DE VENCIMENTO]]="","",TEXT(LANÇ_MOV[[#This Row],[DATA DE VENCIMENTO]],"M"))</f>
        <v/>
      </c>
      <c r="AH830" s="526" t="str">
        <f>IF(LANÇ_MOV[[#This Row],[DATA DE VENCIMENTO]]="","",TEXT(LANÇ_MOV[[#This Row],[DATA DE VENCIMENTO]],"D"))</f>
        <v/>
      </c>
      <c r="AI830" s="526" t="str">
        <f>IF(LANÇ_MOV[[#This Row],[DATA DE PAGAMENTO]]="","",TEXT(LANÇ_MOV[[#This Row],[DATA DE PAGAMENTO]],"AAAA"))</f>
        <v/>
      </c>
      <c r="AJ830" s="527" t="str">
        <f>IF(LANÇ_MOV[[#This Row],[DATA DE PAGAMENTO]]="","",UPPER(TEXT(LANÇ_MOV[[#This Row],[DATA DE PAGAMENTO]],"MMMM")))</f>
        <v/>
      </c>
      <c r="AK830" s="527" t="str">
        <f>IF(LANÇ_MOV[[#This Row],[DATA DE PAGAMENTO]]="","",TEXT(LANÇ_MOV[[#This Row],[DATA DE PAGAMENTO]],"M"))</f>
        <v/>
      </c>
      <c r="AL830" s="526" t="str">
        <f>IF(LANÇ_MOV[[#This Row],[DATA DE PAGAMENTO]]="","",TEXT(LANÇ_MOV[[#This Row],[DATA DE PAGAMENTO]],"D"))</f>
        <v/>
      </c>
    </row>
    <row r="831" spans="2:38" ht="30.05" customHeight="1" x14ac:dyDescent="0.35">
      <c r="B831" s="506"/>
      <c r="C831" s="507"/>
      <c r="D831" s="508" t="s">
        <v>1854</v>
      </c>
      <c r="E831" s="509"/>
      <c r="F831" s="510"/>
      <c r="G831" s="507"/>
      <c r="H831" s="511"/>
      <c r="I831" s="512"/>
      <c r="J831" s="518"/>
      <c r="K831" s="510"/>
      <c r="L831" s="510"/>
      <c r="M831" s="548"/>
      <c r="N831" s="514">
        <f>LANÇ_MOV[[#This Row],[VALOR BRUTO]]-LANÇ_MOV[[#This Row],[DESCONTO]]+LANÇ_MOV[[#This Row],[JUROS]]+LANÇ_MOV[[#This Row],[MULTA]]</f>
        <v>0</v>
      </c>
      <c r="O831" s="546"/>
      <c r="P831" s="547" t="str">
        <f t="shared" ca="1" si="13"/>
        <v/>
      </c>
      <c r="Q831" s="528"/>
      <c r="R831" s="529"/>
      <c r="S831" s="518"/>
      <c r="T831" s="518"/>
      <c r="U831" s="519"/>
      <c r="V831" s="520" t="str">
        <f>IFERROR(VLOOKUP(LANÇ_MOV[[#This Row],[PLANO DE CONTAS]],Plano_Contas[[PLANO DE CONTAS]:[R / D]],3,0),"")</f>
        <v/>
      </c>
      <c r="W831" s="521" t="str">
        <f>IF(LANÇ_MOV[[#This Row],[DATA DE PAGAMENTO]]&lt;&gt;"","Pago","Não Pago")</f>
        <v>Não Pago</v>
      </c>
      <c r="X831" s="522" t="str">
        <f>IFERROR(IF(LANÇ_MOV[[#This Row],[DATA DE PAGAMENTO]]="","",(UPPER(TEXT(LANÇ_MOV[[#This Row],[DATA DE PAGAMENTO]],"mmmm")))),"")</f>
        <v/>
      </c>
      <c r="Y831" s="523" t="str">
        <f>IFERROR(VLOOKUP(LANÇ_MOV[[#This Row],[PLANO DE CONTAS]],Plano_Contas[[PLANO DE CONTAS]:[NOMES INTERVALOS]],2,0),"")</f>
        <v/>
      </c>
      <c r="Z831" s="523" t="str">
        <f>IF(LANÇ_MOV[[#This Row],[FORMA DE PAGAMENTO]]="","",VLOOKUP(LANÇ_MOV[[#This Row],[FORMA DE PAGAMENTO]],CAD_Forma_pagto[],2,0))</f>
        <v/>
      </c>
      <c r="AA831" s="524" t="str">
        <f>IF(LANÇ_MOV[[#This Row],[DATA DE LANÇAMENTO]]="","",TEXT(LANÇ_MOV[[#This Row],[DATA DE LANÇAMENTO]],"AAAA"))</f>
        <v/>
      </c>
      <c r="AB831" s="524" t="str">
        <f>IF(LANÇ_MOV[[#This Row],[DATA DE LANÇAMENTO]]="","",UPPER(TEXT(LANÇ_MOV[[#This Row],[DATA DE LANÇAMENTO]],"MMMM")))</f>
        <v/>
      </c>
      <c r="AC831" s="525" t="str">
        <f>IF(LANÇ_MOV[[#This Row],[DATA DE LANÇAMENTO]]="","",PROPER(TEXT(LANÇ_MOV[[#This Row],[DATA DE LANÇAMENTO]],"M")))</f>
        <v/>
      </c>
      <c r="AD831" s="524" t="str">
        <f>IF(LANÇ_MOV[[#This Row],[DATA DE LANÇAMENTO]]="","",TEXT(LANÇ_MOV[[#This Row],[DATA DE LANÇAMENTO]],"D"))</f>
        <v/>
      </c>
      <c r="AE831" s="526" t="str">
        <f>IF(LANÇ_MOV[[#This Row],[DATA DE VENCIMENTO]]="","",TEXT(LANÇ_MOV[[#This Row],[DATA DE VENCIMENTO]],"AAAA"))</f>
        <v/>
      </c>
      <c r="AF831" s="526" t="str">
        <f>IF(LANÇ_MOV[[#This Row],[DATA DE VENCIMENTO]]="","",UPPER(TEXT(LANÇ_MOV[[#This Row],[DATA DE VENCIMENTO]],"MMMM")))</f>
        <v/>
      </c>
      <c r="AG831" s="526" t="str">
        <f>IF(LANÇ_MOV[[#This Row],[DATA DE VENCIMENTO]]="","",TEXT(LANÇ_MOV[[#This Row],[DATA DE VENCIMENTO]],"M"))</f>
        <v/>
      </c>
      <c r="AH831" s="526" t="str">
        <f>IF(LANÇ_MOV[[#This Row],[DATA DE VENCIMENTO]]="","",TEXT(LANÇ_MOV[[#This Row],[DATA DE VENCIMENTO]],"D"))</f>
        <v/>
      </c>
      <c r="AI831" s="526" t="str">
        <f>IF(LANÇ_MOV[[#This Row],[DATA DE PAGAMENTO]]="","",TEXT(LANÇ_MOV[[#This Row],[DATA DE PAGAMENTO]],"AAAA"))</f>
        <v/>
      </c>
      <c r="AJ831" s="527" t="str">
        <f>IF(LANÇ_MOV[[#This Row],[DATA DE PAGAMENTO]]="","",UPPER(TEXT(LANÇ_MOV[[#This Row],[DATA DE PAGAMENTO]],"MMMM")))</f>
        <v/>
      </c>
      <c r="AK831" s="527" t="str">
        <f>IF(LANÇ_MOV[[#This Row],[DATA DE PAGAMENTO]]="","",TEXT(LANÇ_MOV[[#This Row],[DATA DE PAGAMENTO]],"M"))</f>
        <v/>
      </c>
      <c r="AL831" s="526" t="str">
        <f>IF(LANÇ_MOV[[#This Row],[DATA DE PAGAMENTO]]="","",TEXT(LANÇ_MOV[[#This Row],[DATA DE PAGAMENTO]],"D"))</f>
        <v/>
      </c>
    </row>
    <row r="832" spans="2:38" ht="30.05" customHeight="1" x14ac:dyDescent="0.35">
      <c r="B832" s="506"/>
      <c r="C832" s="507"/>
      <c r="D832" s="508" t="s">
        <v>1854</v>
      </c>
      <c r="E832" s="509"/>
      <c r="F832" s="510"/>
      <c r="G832" s="507"/>
      <c r="H832" s="511"/>
      <c r="I832" s="512"/>
      <c r="J832" s="518"/>
      <c r="K832" s="510"/>
      <c r="L832" s="510"/>
      <c r="M832" s="548"/>
      <c r="N832" s="514">
        <f>LANÇ_MOV[[#This Row],[VALOR BRUTO]]-LANÇ_MOV[[#This Row],[DESCONTO]]+LANÇ_MOV[[#This Row],[JUROS]]+LANÇ_MOV[[#This Row],[MULTA]]</f>
        <v>0</v>
      </c>
      <c r="O832" s="546"/>
      <c r="P832" s="547" t="str">
        <f t="shared" ca="1" si="13"/>
        <v/>
      </c>
      <c r="Q832" s="528"/>
      <c r="R832" s="529"/>
      <c r="S832" s="518"/>
      <c r="T832" s="518"/>
      <c r="U832" s="519"/>
      <c r="V832" s="520" t="str">
        <f>IFERROR(VLOOKUP(LANÇ_MOV[[#This Row],[PLANO DE CONTAS]],Plano_Contas[[PLANO DE CONTAS]:[R / D]],3,0),"")</f>
        <v/>
      </c>
      <c r="W832" s="521" t="str">
        <f>IF(LANÇ_MOV[[#This Row],[DATA DE PAGAMENTO]]&lt;&gt;"","Pago","Não Pago")</f>
        <v>Não Pago</v>
      </c>
      <c r="X832" s="522" t="str">
        <f>IFERROR(IF(LANÇ_MOV[[#This Row],[DATA DE PAGAMENTO]]="","",(UPPER(TEXT(LANÇ_MOV[[#This Row],[DATA DE PAGAMENTO]],"mmmm")))),"")</f>
        <v/>
      </c>
      <c r="Y832" s="523" t="str">
        <f>IFERROR(VLOOKUP(LANÇ_MOV[[#This Row],[PLANO DE CONTAS]],Plano_Contas[[PLANO DE CONTAS]:[NOMES INTERVALOS]],2,0),"")</f>
        <v/>
      </c>
      <c r="Z832" s="523" t="str">
        <f>IF(LANÇ_MOV[[#This Row],[FORMA DE PAGAMENTO]]="","",VLOOKUP(LANÇ_MOV[[#This Row],[FORMA DE PAGAMENTO]],CAD_Forma_pagto[],2,0))</f>
        <v/>
      </c>
      <c r="AA832" s="524" t="str">
        <f>IF(LANÇ_MOV[[#This Row],[DATA DE LANÇAMENTO]]="","",TEXT(LANÇ_MOV[[#This Row],[DATA DE LANÇAMENTO]],"AAAA"))</f>
        <v/>
      </c>
      <c r="AB832" s="524" t="str">
        <f>IF(LANÇ_MOV[[#This Row],[DATA DE LANÇAMENTO]]="","",UPPER(TEXT(LANÇ_MOV[[#This Row],[DATA DE LANÇAMENTO]],"MMMM")))</f>
        <v/>
      </c>
      <c r="AC832" s="525" t="str">
        <f>IF(LANÇ_MOV[[#This Row],[DATA DE LANÇAMENTO]]="","",PROPER(TEXT(LANÇ_MOV[[#This Row],[DATA DE LANÇAMENTO]],"M")))</f>
        <v/>
      </c>
      <c r="AD832" s="524" t="str">
        <f>IF(LANÇ_MOV[[#This Row],[DATA DE LANÇAMENTO]]="","",TEXT(LANÇ_MOV[[#This Row],[DATA DE LANÇAMENTO]],"D"))</f>
        <v/>
      </c>
      <c r="AE832" s="526" t="str">
        <f>IF(LANÇ_MOV[[#This Row],[DATA DE VENCIMENTO]]="","",TEXT(LANÇ_MOV[[#This Row],[DATA DE VENCIMENTO]],"AAAA"))</f>
        <v/>
      </c>
      <c r="AF832" s="526" t="str">
        <f>IF(LANÇ_MOV[[#This Row],[DATA DE VENCIMENTO]]="","",UPPER(TEXT(LANÇ_MOV[[#This Row],[DATA DE VENCIMENTO]],"MMMM")))</f>
        <v/>
      </c>
      <c r="AG832" s="526" t="str">
        <f>IF(LANÇ_MOV[[#This Row],[DATA DE VENCIMENTO]]="","",TEXT(LANÇ_MOV[[#This Row],[DATA DE VENCIMENTO]],"M"))</f>
        <v/>
      </c>
      <c r="AH832" s="526" t="str">
        <f>IF(LANÇ_MOV[[#This Row],[DATA DE VENCIMENTO]]="","",TEXT(LANÇ_MOV[[#This Row],[DATA DE VENCIMENTO]],"D"))</f>
        <v/>
      </c>
      <c r="AI832" s="526" t="str">
        <f>IF(LANÇ_MOV[[#This Row],[DATA DE PAGAMENTO]]="","",TEXT(LANÇ_MOV[[#This Row],[DATA DE PAGAMENTO]],"AAAA"))</f>
        <v/>
      </c>
      <c r="AJ832" s="527" t="str">
        <f>IF(LANÇ_MOV[[#This Row],[DATA DE PAGAMENTO]]="","",UPPER(TEXT(LANÇ_MOV[[#This Row],[DATA DE PAGAMENTO]],"MMMM")))</f>
        <v/>
      </c>
      <c r="AK832" s="527" t="str">
        <f>IF(LANÇ_MOV[[#This Row],[DATA DE PAGAMENTO]]="","",TEXT(LANÇ_MOV[[#This Row],[DATA DE PAGAMENTO]],"M"))</f>
        <v/>
      </c>
      <c r="AL832" s="526" t="str">
        <f>IF(LANÇ_MOV[[#This Row],[DATA DE PAGAMENTO]]="","",TEXT(LANÇ_MOV[[#This Row],[DATA DE PAGAMENTO]],"D"))</f>
        <v/>
      </c>
    </row>
    <row r="833" spans="2:38" ht="30.05" customHeight="1" x14ac:dyDescent="0.35">
      <c r="B833" s="506"/>
      <c r="C833" s="507"/>
      <c r="D833" s="508" t="s">
        <v>1854</v>
      </c>
      <c r="E833" s="509"/>
      <c r="F833" s="510"/>
      <c r="G833" s="507"/>
      <c r="H833" s="511"/>
      <c r="I833" s="512"/>
      <c r="J833" s="518"/>
      <c r="K833" s="510"/>
      <c r="L833" s="510"/>
      <c r="M833" s="548"/>
      <c r="N833" s="514">
        <f>LANÇ_MOV[[#This Row],[VALOR BRUTO]]-LANÇ_MOV[[#This Row],[DESCONTO]]+LANÇ_MOV[[#This Row],[JUROS]]+LANÇ_MOV[[#This Row],[MULTA]]</f>
        <v>0</v>
      </c>
      <c r="O833" s="546"/>
      <c r="P833" s="547" t="str">
        <f t="shared" ca="1" si="13"/>
        <v/>
      </c>
      <c r="Q833" s="528"/>
      <c r="R833" s="529"/>
      <c r="S833" s="518"/>
      <c r="T833" s="518"/>
      <c r="U833" s="519"/>
      <c r="V833" s="520" t="str">
        <f>IFERROR(VLOOKUP(LANÇ_MOV[[#This Row],[PLANO DE CONTAS]],Plano_Contas[[PLANO DE CONTAS]:[R / D]],3,0),"")</f>
        <v/>
      </c>
      <c r="W833" s="521" t="str">
        <f>IF(LANÇ_MOV[[#This Row],[DATA DE PAGAMENTO]]&lt;&gt;"","Pago","Não Pago")</f>
        <v>Não Pago</v>
      </c>
      <c r="X833" s="522" t="str">
        <f>IFERROR(IF(LANÇ_MOV[[#This Row],[DATA DE PAGAMENTO]]="","",(UPPER(TEXT(LANÇ_MOV[[#This Row],[DATA DE PAGAMENTO]],"mmmm")))),"")</f>
        <v/>
      </c>
      <c r="Y833" s="523" t="str">
        <f>IFERROR(VLOOKUP(LANÇ_MOV[[#This Row],[PLANO DE CONTAS]],Plano_Contas[[PLANO DE CONTAS]:[NOMES INTERVALOS]],2,0),"")</f>
        <v/>
      </c>
      <c r="Z833" s="523" t="str">
        <f>IF(LANÇ_MOV[[#This Row],[FORMA DE PAGAMENTO]]="","",VLOOKUP(LANÇ_MOV[[#This Row],[FORMA DE PAGAMENTO]],CAD_Forma_pagto[],2,0))</f>
        <v/>
      </c>
      <c r="AA833" s="524" t="str">
        <f>IF(LANÇ_MOV[[#This Row],[DATA DE LANÇAMENTO]]="","",TEXT(LANÇ_MOV[[#This Row],[DATA DE LANÇAMENTO]],"AAAA"))</f>
        <v/>
      </c>
      <c r="AB833" s="524" t="str">
        <f>IF(LANÇ_MOV[[#This Row],[DATA DE LANÇAMENTO]]="","",UPPER(TEXT(LANÇ_MOV[[#This Row],[DATA DE LANÇAMENTO]],"MMMM")))</f>
        <v/>
      </c>
      <c r="AC833" s="525" t="str">
        <f>IF(LANÇ_MOV[[#This Row],[DATA DE LANÇAMENTO]]="","",PROPER(TEXT(LANÇ_MOV[[#This Row],[DATA DE LANÇAMENTO]],"M")))</f>
        <v/>
      </c>
      <c r="AD833" s="524" t="str">
        <f>IF(LANÇ_MOV[[#This Row],[DATA DE LANÇAMENTO]]="","",TEXT(LANÇ_MOV[[#This Row],[DATA DE LANÇAMENTO]],"D"))</f>
        <v/>
      </c>
      <c r="AE833" s="526" t="str">
        <f>IF(LANÇ_MOV[[#This Row],[DATA DE VENCIMENTO]]="","",TEXT(LANÇ_MOV[[#This Row],[DATA DE VENCIMENTO]],"AAAA"))</f>
        <v/>
      </c>
      <c r="AF833" s="526" t="str">
        <f>IF(LANÇ_MOV[[#This Row],[DATA DE VENCIMENTO]]="","",UPPER(TEXT(LANÇ_MOV[[#This Row],[DATA DE VENCIMENTO]],"MMMM")))</f>
        <v/>
      </c>
      <c r="AG833" s="526" t="str">
        <f>IF(LANÇ_MOV[[#This Row],[DATA DE VENCIMENTO]]="","",TEXT(LANÇ_MOV[[#This Row],[DATA DE VENCIMENTO]],"M"))</f>
        <v/>
      </c>
      <c r="AH833" s="526" t="str">
        <f>IF(LANÇ_MOV[[#This Row],[DATA DE VENCIMENTO]]="","",TEXT(LANÇ_MOV[[#This Row],[DATA DE VENCIMENTO]],"D"))</f>
        <v/>
      </c>
      <c r="AI833" s="526" t="str">
        <f>IF(LANÇ_MOV[[#This Row],[DATA DE PAGAMENTO]]="","",TEXT(LANÇ_MOV[[#This Row],[DATA DE PAGAMENTO]],"AAAA"))</f>
        <v/>
      </c>
      <c r="AJ833" s="527" t="str">
        <f>IF(LANÇ_MOV[[#This Row],[DATA DE PAGAMENTO]]="","",UPPER(TEXT(LANÇ_MOV[[#This Row],[DATA DE PAGAMENTO]],"MMMM")))</f>
        <v/>
      </c>
      <c r="AK833" s="527" t="str">
        <f>IF(LANÇ_MOV[[#This Row],[DATA DE PAGAMENTO]]="","",TEXT(LANÇ_MOV[[#This Row],[DATA DE PAGAMENTO]],"M"))</f>
        <v/>
      </c>
      <c r="AL833" s="526" t="str">
        <f>IF(LANÇ_MOV[[#This Row],[DATA DE PAGAMENTO]]="","",TEXT(LANÇ_MOV[[#This Row],[DATA DE PAGAMENTO]],"D"))</f>
        <v/>
      </c>
    </row>
    <row r="834" spans="2:38" ht="30.05" customHeight="1" x14ac:dyDescent="0.35">
      <c r="B834" s="506"/>
      <c r="C834" s="507"/>
      <c r="D834" s="508" t="s">
        <v>1854</v>
      </c>
      <c r="E834" s="509"/>
      <c r="F834" s="510"/>
      <c r="G834" s="507"/>
      <c r="H834" s="511"/>
      <c r="I834" s="512"/>
      <c r="J834" s="518"/>
      <c r="K834" s="510"/>
      <c r="L834" s="510"/>
      <c r="M834" s="548"/>
      <c r="N834" s="514">
        <f>LANÇ_MOV[[#This Row],[VALOR BRUTO]]-LANÇ_MOV[[#This Row],[DESCONTO]]+LANÇ_MOV[[#This Row],[JUROS]]+LANÇ_MOV[[#This Row],[MULTA]]</f>
        <v>0</v>
      </c>
      <c r="O834" s="546"/>
      <c r="P834" s="547" t="str">
        <f t="shared" ca="1" si="13"/>
        <v/>
      </c>
      <c r="Q834" s="528"/>
      <c r="R834" s="529"/>
      <c r="S834" s="518"/>
      <c r="T834" s="518"/>
      <c r="U834" s="519"/>
      <c r="V834" s="520" t="str">
        <f>IFERROR(VLOOKUP(LANÇ_MOV[[#This Row],[PLANO DE CONTAS]],Plano_Contas[[PLANO DE CONTAS]:[R / D]],3,0),"")</f>
        <v/>
      </c>
      <c r="W834" s="521" t="str">
        <f>IF(LANÇ_MOV[[#This Row],[DATA DE PAGAMENTO]]&lt;&gt;"","Pago","Não Pago")</f>
        <v>Não Pago</v>
      </c>
      <c r="X834" s="522" t="str">
        <f>IFERROR(IF(LANÇ_MOV[[#This Row],[DATA DE PAGAMENTO]]="","",(UPPER(TEXT(LANÇ_MOV[[#This Row],[DATA DE PAGAMENTO]],"mmmm")))),"")</f>
        <v/>
      </c>
      <c r="Y834" s="523" t="str">
        <f>IFERROR(VLOOKUP(LANÇ_MOV[[#This Row],[PLANO DE CONTAS]],Plano_Contas[[PLANO DE CONTAS]:[NOMES INTERVALOS]],2,0),"")</f>
        <v/>
      </c>
      <c r="Z834" s="523" t="str">
        <f>IF(LANÇ_MOV[[#This Row],[FORMA DE PAGAMENTO]]="","",VLOOKUP(LANÇ_MOV[[#This Row],[FORMA DE PAGAMENTO]],CAD_Forma_pagto[],2,0))</f>
        <v/>
      </c>
      <c r="AA834" s="524" t="str">
        <f>IF(LANÇ_MOV[[#This Row],[DATA DE LANÇAMENTO]]="","",TEXT(LANÇ_MOV[[#This Row],[DATA DE LANÇAMENTO]],"AAAA"))</f>
        <v/>
      </c>
      <c r="AB834" s="524" t="str">
        <f>IF(LANÇ_MOV[[#This Row],[DATA DE LANÇAMENTO]]="","",UPPER(TEXT(LANÇ_MOV[[#This Row],[DATA DE LANÇAMENTO]],"MMMM")))</f>
        <v/>
      </c>
      <c r="AC834" s="525" t="str">
        <f>IF(LANÇ_MOV[[#This Row],[DATA DE LANÇAMENTO]]="","",PROPER(TEXT(LANÇ_MOV[[#This Row],[DATA DE LANÇAMENTO]],"M")))</f>
        <v/>
      </c>
      <c r="AD834" s="524" t="str">
        <f>IF(LANÇ_MOV[[#This Row],[DATA DE LANÇAMENTO]]="","",TEXT(LANÇ_MOV[[#This Row],[DATA DE LANÇAMENTO]],"D"))</f>
        <v/>
      </c>
      <c r="AE834" s="526" t="str">
        <f>IF(LANÇ_MOV[[#This Row],[DATA DE VENCIMENTO]]="","",TEXT(LANÇ_MOV[[#This Row],[DATA DE VENCIMENTO]],"AAAA"))</f>
        <v/>
      </c>
      <c r="AF834" s="526" t="str">
        <f>IF(LANÇ_MOV[[#This Row],[DATA DE VENCIMENTO]]="","",UPPER(TEXT(LANÇ_MOV[[#This Row],[DATA DE VENCIMENTO]],"MMMM")))</f>
        <v/>
      </c>
      <c r="AG834" s="526" t="str">
        <f>IF(LANÇ_MOV[[#This Row],[DATA DE VENCIMENTO]]="","",TEXT(LANÇ_MOV[[#This Row],[DATA DE VENCIMENTO]],"M"))</f>
        <v/>
      </c>
      <c r="AH834" s="526" t="str">
        <f>IF(LANÇ_MOV[[#This Row],[DATA DE VENCIMENTO]]="","",TEXT(LANÇ_MOV[[#This Row],[DATA DE VENCIMENTO]],"D"))</f>
        <v/>
      </c>
      <c r="AI834" s="526" t="str">
        <f>IF(LANÇ_MOV[[#This Row],[DATA DE PAGAMENTO]]="","",TEXT(LANÇ_MOV[[#This Row],[DATA DE PAGAMENTO]],"AAAA"))</f>
        <v/>
      </c>
      <c r="AJ834" s="527" t="str">
        <f>IF(LANÇ_MOV[[#This Row],[DATA DE PAGAMENTO]]="","",UPPER(TEXT(LANÇ_MOV[[#This Row],[DATA DE PAGAMENTO]],"MMMM")))</f>
        <v/>
      </c>
      <c r="AK834" s="527" t="str">
        <f>IF(LANÇ_MOV[[#This Row],[DATA DE PAGAMENTO]]="","",TEXT(LANÇ_MOV[[#This Row],[DATA DE PAGAMENTO]],"M"))</f>
        <v/>
      </c>
      <c r="AL834" s="526" t="str">
        <f>IF(LANÇ_MOV[[#This Row],[DATA DE PAGAMENTO]]="","",TEXT(LANÇ_MOV[[#This Row],[DATA DE PAGAMENTO]],"D"))</f>
        <v/>
      </c>
    </row>
    <row r="835" spans="2:38" ht="30.05" customHeight="1" x14ac:dyDescent="0.35">
      <c r="B835" s="506"/>
      <c r="C835" s="507"/>
      <c r="D835" s="508" t="s">
        <v>1854</v>
      </c>
      <c r="E835" s="509"/>
      <c r="F835" s="510"/>
      <c r="G835" s="507"/>
      <c r="H835" s="511"/>
      <c r="I835" s="512"/>
      <c r="J835" s="518"/>
      <c r="K835" s="510"/>
      <c r="L835" s="510"/>
      <c r="M835" s="548"/>
      <c r="N835" s="514">
        <f>LANÇ_MOV[[#This Row],[VALOR BRUTO]]-LANÇ_MOV[[#This Row],[DESCONTO]]+LANÇ_MOV[[#This Row],[JUROS]]+LANÇ_MOV[[#This Row],[MULTA]]</f>
        <v>0</v>
      </c>
      <c r="O835" s="546"/>
      <c r="P835" s="547" t="str">
        <f t="shared" ca="1" si="13"/>
        <v/>
      </c>
      <c r="Q835" s="528"/>
      <c r="R835" s="529"/>
      <c r="S835" s="518"/>
      <c r="T835" s="518"/>
      <c r="U835" s="519"/>
      <c r="V835" s="520" t="str">
        <f>IFERROR(VLOOKUP(LANÇ_MOV[[#This Row],[PLANO DE CONTAS]],Plano_Contas[[PLANO DE CONTAS]:[R / D]],3,0),"")</f>
        <v/>
      </c>
      <c r="W835" s="521" t="str">
        <f>IF(LANÇ_MOV[[#This Row],[DATA DE PAGAMENTO]]&lt;&gt;"","Pago","Não Pago")</f>
        <v>Não Pago</v>
      </c>
      <c r="X835" s="522" t="str">
        <f>IFERROR(IF(LANÇ_MOV[[#This Row],[DATA DE PAGAMENTO]]="","",(UPPER(TEXT(LANÇ_MOV[[#This Row],[DATA DE PAGAMENTO]],"mmmm")))),"")</f>
        <v/>
      </c>
      <c r="Y835" s="523" t="str">
        <f>IFERROR(VLOOKUP(LANÇ_MOV[[#This Row],[PLANO DE CONTAS]],Plano_Contas[[PLANO DE CONTAS]:[NOMES INTERVALOS]],2,0),"")</f>
        <v/>
      </c>
      <c r="Z835" s="523" t="str">
        <f>IF(LANÇ_MOV[[#This Row],[FORMA DE PAGAMENTO]]="","",VLOOKUP(LANÇ_MOV[[#This Row],[FORMA DE PAGAMENTO]],CAD_Forma_pagto[],2,0))</f>
        <v/>
      </c>
      <c r="AA835" s="524" t="str">
        <f>IF(LANÇ_MOV[[#This Row],[DATA DE LANÇAMENTO]]="","",TEXT(LANÇ_MOV[[#This Row],[DATA DE LANÇAMENTO]],"AAAA"))</f>
        <v/>
      </c>
      <c r="AB835" s="524" t="str">
        <f>IF(LANÇ_MOV[[#This Row],[DATA DE LANÇAMENTO]]="","",UPPER(TEXT(LANÇ_MOV[[#This Row],[DATA DE LANÇAMENTO]],"MMMM")))</f>
        <v/>
      </c>
      <c r="AC835" s="525" t="str">
        <f>IF(LANÇ_MOV[[#This Row],[DATA DE LANÇAMENTO]]="","",PROPER(TEXT(LANÇ_MOV[[#This Row],[DATA DE LANÇAMENTO]],"M")))</f>
        <v/>
      </c>
      <c r="AD835" s="524" t="str">
        <f>IF(LANÇ_MOV[[#This Row],[DATA DE LANÇAMENTO]]="","",TEXT(LANÇ_MOV[[#This Row],[DATA DE LANÇAMENTO]],"D"))</f>
        <v/>
      </c>
      <c r="AE835" s="526" t="str">
        <f>IF(LANÇ_MOV[[#This Row],[DATA DE VENCIMENTO]]="","",TEXT(LANÇ_MOV[[#This Row],[DATA DE VENCIMENTO]],"AAAA"))</f>
        <v/>
      </c>
      <c r="AF835" s="526" t="str">
        <f>IF(LANÇ_MOV[[#This Row],[DATA DE VENCIMENTO]]="","",UPPER(TEXT(LANÇ_MOV[[#This Row],[DATA DE VENCIMENTO]],"MMMM")))</f>
        <v/>
      </c>
      <c r="AG835" s="526" t="str">
        <f>IF(LANÇ_MOV[[#This Row],[DATA DE VENCIMENTO]]="","",TEXT(LANÇ_MOV[[#This Row],[DATA DE VENCIMENTO]],"M"))</f>
        <v/>
      </c>
      <c r="AH835" s="526" t="str">
        <f>IF(LANÇ_MOV[[#This Row],[DATA DE VENCIMENTO]]="","",TEXT(LANÇ_MOV[[#This Row],[DATA DE VENCIMENTO]],"D"))</f>
        <v/>
      </c>
      <c r="AI835" s="526" t="str">
        <f>IF(LANÇ_MOV[[#This Row],[DATA DE PAGAMENTO]]="","",TEXT(LANÇ_MOV[[#This Row],[DATA DE PAGAMENTO]],"AAAA"))</f>
        <v/>
      </c>
      <c r="AJ835" s="527" t="str">
        <f>IF(LANÇ_MOV[[#This Row],[DATA DE PAGAMENTO]]="","",UPPER(TEXT(LANÇ_MOV[[#This Row],[DATA DE PAGAMENTO]],"MMMM")))</f>
        <v/>
      </c>
      <c r="AK835" s="527" t="str">
        <f>IF(LANÇ_MOV[[#This Row],[DATA DE PAGAMENTO]]="","",TEXT(LANÇ_MOV[[#This Row],[DATA DE PAGAMENTO]],"M"))</f>
        <v/>
      </c>
      <c r="AL835" s="526" t="str">
        <f>IF(LANÇ_MOV[[#This Row],[DATA DE PAGAMENTO]]="","",TEXT(LANÇ_MOV[[#This Row],[DATA DE PAGAMENTO]],"D"))</f>
        <v/>
      </c>
    </row>
    <row r="836" spans="2:38" ht="30.05" customHeight="1" x14ac:dyDescent="0.35">
      <c r="B836" s="506"/>
      <c r="C836" s="507"/>
      <c r="D836" s="508" t="s">
        <v>1854</v>
      </c>
      <c r="E836" s="509"/>
      <c r="F836" s="510"/>
      <c r="G836" s="507"/>
      <c r="H836" s="511"/>
      <c r="I836" s="512"/>
      <c r="J836" s="518"/>
      <c r="K836" s="510"/>
      <c r="L836" s="510"/>
      <c r="M836" s="548"/>
      <c r="N836" s="514">
        <f>LANÇ_MOV[[#This Row],[VALOR BRUTO]]-LANÇ_MOV[[#This Row],[DESCONTO]]+LANÇ_MOV[[#This Row],[JUROS]]+LANÇ_MOV[[#This Row],[MULTA]]</f>
        <v>0</v>
      </c>
      <c r="O836" s="546"/>
      <c r="P836" s="547" t="str">
        <f t="shared" ca="1" si="13"/>
        <v/>
      </c>
      <c r="Q836" s="528"/>
      <c r="R836" s="529"/>
      <c r="S836" s="518"/>
      <c r="T836" s="518"/>
      <c r="U836" s="519"/>
      <c r="V836" s="520" t="str">
        <f>IFERROR(VLOOKUP(LANÇ_MOV[[#This Row],[PLANO DE CONTAS]],Plano_Contas[[PLANO DE CONTAS]:[R / D]],3,0),"")</f>
        <v/>
      </c>
      <c r="W836" s="521" t="str">
        <f>IF(LANÇ_MOV[[#This Row],[DATA DE PAGAMENTO]]&lt;&gt;"","Pago","Não Pago")</f>
        <v>Não Pago</v>
      </c>
      <c r="X836" s="522" t="str">
        <f>IFERROR(IF(LANÇ_MOV[[#This Row],[DATA DE PAGAMENTO]]="","",(UPPER(TEXT(LANÇ_MOV[[#This Row],[DATA DE PAGAMENTO]],"mmmm")))),"")</f>
        <v/>
      </c>
      <c r="Y836" s="523" t="str">
        <f>IFERROR(VLOOKUP(LANÇ_MOV[[#This Row],[PLANO DE CONTAS]],Plano_Contas[[PLANO DE CONTAS]:[NOMES INTERVALOS]],2,0),"")</f>
        <v/>
      </c>
      <c r="Z836" s="523" t="str">
        <f>IF(LANÇ_MOV[[#This Row],[FORMA DE PAGAMENTO]]="","",VLOOKUP(LANÇ_MOV[[#This Row],[FORMA DE PAGAMENTO]],CAD_Forma_pagto[],2,0))</f>
        <v/>
      </c>
      <c r="AA836" s="524" t="str">
        <f>IF(LANÇ_MOV[[#This Row],[DATA DE LANÇAMENTO]]="","",TEXT(LANÇ_MOV[[#This Row],[DATA DE LANÇAMENTO]],"AAAA"))</f>
        <v/>
      </c>
      <c r="AB836" s="524" t="str">
        <f>IF(LANÇ_MOV[[#This Row],[DATA DE LANÇAMENTO]]="","",UPPER(TEXT(LANÇ_MOV[[#This Row],[DATA DE LANÇAMENTO]],"MMMM")))</f>
        <v/>
      </c>
      <c r="AC836" s="525" t="str">
        <f>IF(LANÇ_MOV[[#This Row],[DATA DE LANÇAMENTO]]="","",PROPER(TEXT(LANÇ_MOV[[#This Row],[DATA DE LANÇAMENTO]],"M")))</f>
        <v/>
      </c>
      <c r="AD836" s="524" t="str">
        <f>IF(LANÇ_MOV[[#This Row],[DATA DE LANÇAMENTO]]="","",TEXT(LANÇ_MOV[[#This Row],[DATA DE LANÇAMENTO]],"D"))</f>
        <v/>
      </c>
      <c r="AE836" s="526" t="str">
        <f>IF(LANÇ_MOV[[#This Row],[DATA DE VENCIMENTO]]="","",TEXT(LANÇ_MOV[[#This Row],[DATA DE VENCIMENTO]],"AAAA"))</f>
        <v/>
      </c>
      <c r="AF836" s="526" t="str">
        <f>IF(LANÇ_MOV[[#This Row],[DATA DE VENCIMENTO]]="","",UPPER(TEXT(LANÇ_MOV[[#This Row],[DATA DE VENCIMENTO]],"MMMM")))</f>
        <v/>
      </c>
      <c r="AG836" s="526" t="str">
        <f>IF(LANÇ_MOV[[#This Row],[DATA DE VENCIMENTO]]="","",TEXT(LANÇ_MOV[[#This Row],[DATA DE VENCIMENTO]],"M"))</f>
        <v/>
      </c>
      <c r="AH836" s="526" t="str">
        <f>IF(LANÇ_MOV[[#This Row],[DATA DE VENCIMENTO]]="","",TEXT(LANÇ_MOV[[#This Row],[DATA DE VENCIMENTO]],"D"))</f>
        <v/>
      </c>
      <c r="AI836" s="526" t="str">
        <f>IF(LANÇ_MOV[[#This Row],[DATA DE PAGAMENTO]]="","",TEXT(LANÇ_MOV[[#This Row],[DATA DE PAGAMENTO]],"AAAA"))</f>
        <v/>
      </c>
      <c r="AJ836" s="527" t="str">
        <f>IF(LANÇ_MOV[[#This Row],[DATA DE PAGAMENTO]]="","",UPPER(TEXT(LANÇ_MOV[[#This Row],[DATA DE PAGAMENTO]],"MMMM")))</f>
        <v/>
      </c>
      <c r="AK836" s="527" t="str">
        <f>IF(LANÇ_MOV[[#This Row],[DATA DE PAGAMENTO]]="","",TEXT(LANÇ_MOV[[#This Row],[DATA DE PAGAMENTO]],"M"))</f>
        <v/>
      </c>
      <c r="AL836" s="526" t="str">
        <f>IF(LANÇ_MOV[[#This Row],[DATA DE PAGAMENTO]]="","",TEXT(LANÇ_MOV[[#This Row],[DATA DE PAGAMENTO]],"D"))</f>
        <v/>
      </c>
    </row>
    <row r="837" spans="2:38" ht="30.05" customHeight="1" x14ac:dyDescent="0.35">
      <c r="B837" s="506"/>
      <c r="C837" s="507"/>
      <c r="D837" s="508" t="s">
        <v>1854</v>
      </c>
      <c r="E837" s="509"/>
      <c r="F837" s="510"/>
      <c r="G837" s="507"/>
      <c r="H837" s="511"/>
      <c r="I837" s="512"/>
      <c r="J837" s="518"/>
      <c r="K837" s="510"/>
      <c r="L837" s="510"/>
      <c r="M837" s="548"/>
      <c r="N837" s="514">
        <f>LANÇ_MOV[[#This Row],[VALOR BRUTO]]-LANÇ_MOV[[#This Row],[DESCONTO]]+LANÇ_MOV[[#This Row],[JUROS]]+LANÇ_MOV[[#This Row],[MULTA]]</f>
        <v>0</v>
      </c>
      <c r="O837" s="546"/>
      <c r="P837" s="547" t="str">
        <f t="shared" ca="1" si="13"/>
        <v/>
      </c>
      <c r="Q837" s="528"/>
      <c r="R837" s="529"/>
      <c r="S837" s="518"/>
      <c r="T837" s="518"/>
      <c r="U837" s="519"/>
      <c r="V837" s="520" t="str">
        <f>IFERROR(VLOOKUP(LANÇ_MOV[[#This Row],[PLANO DE CONTAS]],Plano_Contas[[PLANO DE CONTAS]:[R / D]],3,0),"")</f>
        <v/>
      </c>
      <c r="W837" s="521" t="str">
        <f>IF(LANÇ_MOV[[#This Row],[DATA DE PAGAMENTO]]&lt;&gt;"","Pago","Não Pago")</f>
        <v>Não Pago</v>
      </c>
      <c r="X837" s="522" t="str">
        <f>IFERROR(IF(LANÇ_MOV[[#This Row],[DATA DE PAGAMENTO]]="","",(UPPER(TEXT(LANÇ_MOV[[#This Row],[DATA DE PAGAMENTO]],"mmmm")))),"")</f>
        <v/>
      </c>
      <c r="Y837" s="523" t="str">
        <f>IFERROR(VLOOKUP(LANÇ_MOV[[#This Row],[PLANO DE CONTAS]],Plano_Contas[[PLANO DE CONTAS]:[NOMES INTERVALOS]],2,0),"")</f>
        <v/>
      </c>
      <c r="Z837" s="523" t="str">
        <f>IF(LANÇ_MOV[[#This Row],[FORMA DE PAGAMENTO]]="","",VLOOKUP(LANÇ_MOV[[#This Row],[FORMA DE PAGAMENTO]],CAD_Forma_pagto[],2,0))</f>
        <v/>
      </c>
      <c r="AA837" s="524" t="str">
        <f>IF(LANÇ_MOV[[#This Row],[DATA DE LANÇAMENTO]]="","",TEXT(LANÇ_MOV[[#This Row],[DATA DE LANÇAMENTO]],"AAAA"))</f>
        <v/>
      </c>
      <c r="AB837" s="524" t="str">
        <f>IF(LANÇ_MOV[[#This Row],[DATA DE LANÇAMENTO]]="","",UPPER(TEXT(LANÇ_MOV[[#This Row],[DATA DE LANÇAMENTO]],"MMMM")))</f>
        <v/>
      </c>
      <c r="AC837" s="525" t="str">
        <f>IF(LANÇ_MOV[[#This Row],[DATA DE LANÇAMENTO]]="","",PROPER(TEXT(LANÇ_MOV[[#This Row],[DATA DE LANÇAMENTO]],"M")))</f>
        <v/>
      </c>
      <c r="AD837" s="524" t="str">
        <f>IF(LANÇ_MOV[[#This Row],[DATA DE LANÇAMENTO]]="","",TEXT(LANÇ_MOV[[#This Row],[DATA DE LANÇAMENTO]],"D"))</f>
        <v/>
      </c>
      <c r="AE837" s="526" t="str">
        <f>IF(LANÇ_MOV[[#This Row],[DATA DE VENCIMENTO]]="","",TEXT(LANÇ_MOV[[#This Row],[DATA DE VENCIMENTO]],"AAAA"))</f>
        <v/>
      </c>
      <c r="AF837" s="526" t="str">
        <f>IF(LANÇ_MOV[[#This Row],[DATA DE VENCIMENTO]]="","",UPPER(TEXT(LANÇ_MOV[[#This Row],[DATA DE VENCIMENTO]],"MMMM")))</f>
        <v/>
      </c>
      <c r="AG837" s="526" t="str">
        <f>IF(LANÇ_MOV[[#This Row],[DATA DE VENCIMENTO]]="","",TEXT(LANÇ_MOV[[#This Row],[DATA DE VENCIMENTO]],"M"))</f>
        <v/>
      </c>
      <c r="AH837" s="526" t="str">
        <f>IF(LANÇ_MOV[[#This Row],[DATA DE VENCIMENTO]]="","",TEXT(LANÇ_MOV[[#This Row],[DATA DE VENCIMENTO]],"D"))</f>
        <v/>
      </c>
      <c r="AI837" s="526" t="str">
        <f>IF(LANÇ_MOV[[#This Row],[DATA DE PAGAMENTO]]="","",TEXT(LANÇ_MOV[[#This Row],[DATA DE PAGAMENTO]],"AAAA"))</f>
        <v/>
      </c>
      <c r="AJ837" s="527" t="str">
        <f>IF(LANÇ_MOV[[#This Row],[DATA DE PAGAMENTO]]="","",UPPER(TEXT(LANÇ_MOV[[#This Row],[DATA DE PAGAMENTO]],"MMMM")))</f>
        <v/>
      </c>
      <c r="AK837" s="527" t="str">
        <f>IF(LANÇ_MOV[[#This Row],[DATA DE PAGAMENTO]]="","",TEXT(LANÇ_MOV[[#This Row],[DATA DE PAGAMENTO]],"M"))</f>
        <v/>
      </c>
      <c r="AL837" s="526" t="str">
        <f>IF(LANÇ_MOV[[#This Row],[DATA DE PAGAMENTO]]="","",TEXT(LANÇ_MOV[[#This Row],[DATA DE PAGAMENTO]],"D"))</f>
        <v/>
      </c>
    </row>
    <row r="838" spans="2:38" ht="30.05" customHeight="1" x14ac:dyDescent="0.35">
      <c r="B838" s="506"/>
      <c r="C838" s="507"/>
      <c r="D838" s="508" t="s">
        <v>1854</v>
      </c>
      <c r="E838" s="509"/>
      <c r="F838" s="510"/>
      <c r="G838" s="507"/>
      <c r="H838" s="511"/>
      <c r="I838" s="512"/>
      <c r="J838" s="518"/>
      <c r="K838" s="510"/>
      <c r="L838" s="510"/>
      <c r="M838" s="548"/>
      <c r="N838" s="514">
        <f>LANÇ_MOV[[#This Row],[VALOR BRUTO]]-LANÇ_MOV[[#This Row],[DESCONTO]]+LANÇ_MOV[[#This Row],[JUROS]]+LANÇ_MOV[[#This Row],[MULTA]]</f>
        <v>0</v>
      </c>
      <c r="O838" s="546"/>
      <c r="P838" s="547" t="str">
        <f t="shared" ca="1" si="13"/>
        <v/>
      </c>
      <c r="Q838" s="528"/>
      <c r="R838" s="529"/>
      <c r="S838" s="518"/>
      <c r="T838" s="518"/>
      <c r="U838" s="519"/>
      <c r="V838" s="520" t="str">
        <f>IFERROR(VLOOKUP(LANÇ_MOV[[#This Row],[PLANO DE CONTAS]],Plano_Contas[[PLANO DE CONTAS]:[R / D]],3,0),"")</f>
        <v/>
      </c>
      <c r="W838" s="521" t="str">
        <f>IF(LANÇ_MOV[[#This Row],[DATA DE PAGAMENTO]]&lt;&gt;"","Pago","Não Pago")</f>
        <v>Não Pago</v>
      </c>
      <c r="X838" s="522" t="str">
        <f>IFERROR(IF(LANÇ_MOV[[#This Row],[DATA DE PAGAMENTO]]="","",(UPPER(TEXT(LANÇ_MOV[[#This Row],[DATA DE PAGAMENTO]],"mmmm")))),"")</f>
        <v/>
      </c>
      <c r="Y838" s="523" t="str">
        <f>IFERROR(VLOOKUP(LANÇ_MOV[[#This Row],[PLANO DE CONTAS]],Plano_Contas[[PLANO DE CONTAS]:[NOMES INTERVALOS]],2,0),"")</f>
        <v/>
      </c>
      <c r="Z838" s="523" t="str">
        <f>IF(LANÇ_MOV[[#This Row],[FORMA DE PAGAMENTO]]="","",VLOOKUP(LANÇ_MOV[[#This Row],[FORMA DE PAGAMENTO]],CAD_Forma_pagto[],2,0))</f>
        <v/>
      </c>
      <c r="AA838" s="524" t="str">
        <f>IF(LANÇ_MOV[[#This Row],[DATA DE LANÇAMENTO]]="","",TEXT(LANÇ_MOV[[#This Row],[DATA DE LANÇAMENTO]],"AAAA"))</f>
        <v/>
      </c>
      <c r="AB838" s="524" t="str">
        <f>IF(LANÇ_MOV[[#This Row],[DATA DE LANÇAMENTO]]="","",UPPER(TEXT(LANÇ_MOV[[#This Row],[DATA DE LANÇAMENTO]],"MMMM")))</f>
        <v/>
      </c>
      <c r="AC838" s="525" t="str">
        <f>IF(LANÇ_MOV[[#This Row],[DATA DE LANÇAMENTO]]="","",PROPER(TEXT(LANÇ_MOV[[#This Row],[DATA DE LANÇAMENTO]],"M")))</f>
        <v/>
      </c>
      <c r="AD838" s="524" t="str">
        <f>IF(LANÇ_MOV[[#This Row],[DATA DE LANÇAMENTO]]="","",TEXT(LANÇ_MOV[[#This Row],[DATA DE LANÇAMENTO]],"D"))</f>
        <v/>
      </c>
      <c r="AE838" s="526" t="str">
        <f>IF(LANÇ_MOV[[#This Row],[DATA DE VENCIMENTO]]="","",TEXT(LANÇ_MOV[[#This Row],[DATA DE VENCIMENTO]],"AAAA"))</f>
        <v/>
      </c>
      <c r="AF838" s="526" t="str">
        <f>IF(LANÇ_MOV[[#This Row],[DATA DE VENCIMENTO]]="","",UPPER(TEXT(LANÇ_MOV[[#This Row],[DATA DE VENCIMENTO]],"MMMM")))</f>
        <v/>
      </c>
      <c r="AG838" s="526" t="str">
        <f>IF(LANÇ_MOV[[#This Row],[DATA DE VENCIMENTO]]="","",TEXT(LANÇ_MOV[[#This Row],[DATA DE VENCIMENTO]],"M"))</f>
        <v/>
      </c>
      <c r="AH838" s="526" t="str">
        <f>IF(LANÇ_MOV[[#This Row],[DATA DE VENCIMENTO]]="","",TEXT(LANÇ_MOV[[#This Row],[DATA DE VENCIMENTO]],"D"))</f>
        <v/>
      </c>
      <c r="AI838" s="526" t="str">
        <f>IF(LANÇ_MOV[[#This Row],[DATA DE PAGAMENTO]]="","",TEXT(LANÇ_MOV[[#This Row],[DATA DE PAGAMENTO]],"AAAA"))</f>
        <v/>
      </c>
      <c r="AJ838" s="527" t="str">
        <f>IF(LANÇ_MOV[[#This Row],[DATA DE PAGAMENTO]]="","",UPPER(TEXT(LANÇ_MOV[[#This Row],[DATA DE PAGAMENTO]],"MMMM")))</f>
        <v/>
      </c>
      <c r="AK838" s="527" t="str">
        <f>IF(LANÇ_MOV[[#This Row],[DATA DE PAGAMENTO]]="","",TEXT(LANÇ_MOV[[#This Row],[DATA DE PAGAMENTO]],"M"))</f>
        <v/>
      </c>
      <c r="AL838" s="526" t="str">
        <f>IF(LANÇ_MOV[[#This Row],[DATA DE PAGAMENTO]]="","",TEXT(LANÇ_MOV[[#This Row],[DATA DE PAGAMENTO]],"D"))</f>
        <v/>
      </c>
    </row>
    <row r="839" spans="2:38" ht="30.05" customHeight="1" x14ac:dyDescent="0.35">
      <c r="B839" s="506"/>
      <c r="C839" s="507"/>
      <c r="D839" s="508" t="s">
        <v>1854</v>
      </c>
      <c r="E839" s="509"/>
      <c r="F839" s="510"/>
      <c r="G839" s="507"/>
      <c r="H839" s="511"/>
      <c r="I839" s="512"/>
      <c r="J839" s="518"/>
      <c r="K839" s="510"/>
      <c r="L839" s="510"/>
      <c r="M839" s="548"/>
      <c r="N839" s="514">
        <f>LANÇ_MOV[[#This Row],[VALOR BRUTO]]-LANÇ_MOV[[#This Row],[DESCONTO]]+LANÇ_MOV[[#This Row],[JUROS]]+LANÇ_MOV[[#This Row],[MULTA]]</f>
        <v>0</v>
      </c>
      <c r="O839" s="546"/>
      <c r="P839" s="547" t="str">
        <f t="shared" ca="1" si="13"/>
        <v/>
      </c>
      <c r="Q839" s="528"/>
      <c r="R839" s="529"/>
      <c r="S839" s="518"/>
      <c r="T839" s="518"/>
      <c r="U839" s="519"/>
      <c r="V839" s="520" t="str">
        <f>IFERROR(VLOOKUP(LANÇ_MOV[[#This Row],[PLANO DE CONTAS]],Plano_Contas[[PLANO DE CONTAS]:[R / D]],3,0),"")</f>
        <v/>
      </c>
      <c r="W839" s="521" t="str">
        <f>IF(LANÇ_MOV[[#This Row],[DATA DE PAGAMENTO]]&lt;&gt;"","Pago","Não Pago")</f>
        <v>Não Pago</v>
      </c>
      <c r="X839" s="522" t="str">
        <f>IFERROR(IF(LANÇ_MOV[[#This Row],[DATA DE PAGAMENTO]]="","",(UPPER(TEXT(LANÇ_MOV[[#This Row],[DATA DE PAGAMENTO]],"mmmm")))),"")</f>
        <v/>
      </c>
      <c r="Y839" s="523" t="str">
        <f>IFERROR(VLOOKUP(LANÇ_MOV[[#This Row],[PLANO DE CONTAS]],Plano_Contas[[PLANO DE CONTAS]:[NOMES INTERVALOS]],2,0),"")</f>
        <v/>
      </c>
      <c r="Z839" s="523" t="str">
        <f>IF(LANÇ_MOV[[#This Row],[FORMA DE PAGAMENTO]]="","",VLOOKUP(LANÇ_MOV[[#This Row],[FORMA DE PAGAMENTO]],CAD_Forma_pagto[],2,0))</f>
        <v/>
      </c>
      <c r="AA839" s="524" t="str">
        <f>IF(LANÇ_MOV[[#This Row],[DATA DE LANÇAMENTO]]="","",TEXT(LANÇ_MOV[[#This Row],[DATA DE LANÇAMENTO]],"AAAA"))</f>
        <v/>
      </c>
      <c r="AB839" s="524" t="str">
        <f>IF(LANÇ_MOV[[#This Row],[DATA DE LANÇAMENTO]]="","",UPPER(TEXT(LANÇ_MOV[[#This Row],[DATA DE LANÇAMENTO]],"MMMM")))</f>
        <v/>
      </c>
      <c r="AC839" s="525" t="str">
        <f>IF(LANÇ_MOV[[#This Row],[DATA DE LANÇAMENTO]]="","",PROPER(TEXT(LANÇ_MOV[[#This Row],[DATA DE LANÇAMENTO]],"M")))</f>
        <v/>
      </c>
      <c r="AD839" s="524" t="str">
        <f>IF(LANÇ_MOV[[#This Row],[DATA DE LANÇAMENTO]]="","",TEXT(LANÇ_MOV[[#This Row],[DATA DE LANÇAMENTO]],"D"))</f>
        <v/>
      </c>
      <c r="AE839" s="526" t="str">
        <f>IF(LANÇ_MOV[[#This Row],[DATA DE VENCIMENTO]]="","",TEXT(LANÇ_MOV[[#This Row],[DATA DE VENCIMENTO]],"AAAA"))</f>
        <v/>
      </c>
      <c r="AF839" s="526" t="str">
        <f>IF(LANÇ_MOV[[#This Row],[DATA DE VENCIMENTO]]="","",UPPER(TEXT(LANÇ_MOV[[#This Row],[DATA DE VENCIMENTO]],"MMMM")))</f>
        <v/>
      </c>
      <c r="AG839" s="526" t="str">
        <f>IF(LANÇ_MOV[[#This Row],[DATA DE VENCIMENTO]]="","",TEXT(LANÇ_MOV[[#This Row],[DATA DE VENCIMENTO]],"M"))</f>
        <v/>
      </c>
      <c r="AH839" s="526" t="str">
        <f>IF(LANÇ_MOV[[#This Row],[DATA DE VENCIMENTO]]="","",TEXT(LANÇ_MOV[[#This Row],[DATA DE VENCIMENTO]],"D"))</f>
        <v/>
      </c>
      <c r="AI839" s="526" t="str">
        <f>IF(LANÇ_MOV[[#This Row],[DATA DE PAGAMENTO]]="","",TEXT(LANÇ_MOV[[#This Row],[DATA DE PAGAMENTO]],"AAAA"))</f>
        <v/>
      </c>
      <c r="AJ839" s="527" t="str">
        <f>IF(LANÇ_MOV[[#This Row],[DATA DE PAGAMENTO]]="","",UPPER(TEXT(LANÇ_MOV[[#This Row],[DATA DE PAGAMENTO]],"MMMM")))</f>
        <v/>
      </c>
      <c r="AK839" s="527" t="str">
        <f>IF(LANÇ_MOV[[#This Row],[DATA DE PAGAMENTO]]="","",TEXT(LANÇ_MOV[[#This Row],[DATA DE PAGAMENTO]],"M"))</f>
        <v/>
      </c>
      <c r="AL839" s="526" t="str">
        <f>IF(LANÇ_MOV[[#This Row],[DATA DE PAGAMENTO]]="","",TEXT(LANÇ_MOV[[#This Row],[DATA DE PAGAMENTO]],"D"))</f>
        <v/>
      </c>
    </row>
    <row r="840" spans="2:38" ht="30.05" customHeight="1" x14ac:dyDescent="0.35">
      <c r="B840" s="506"/>
      <c r="C840" s="507"/>
      <c r="D840" s="508" t="s">
        <v>1854</v>
      </c>
      <c r="E840" s="509"/>
      <c r="F840" s="510"/>
      <c r="G840" s="507"/>
      <c r="H840" s="511"/>
      <c r="I840" s="512"/>
      <c r="J840" s="518"/>
      <c r="K840" s="510"/>
      <c r="L840" s="510"/>
      <c r="M840" s="548"/>
      <c r="N840" s="514">
        <f>LANÇ_MOV[[#This Row],[VALOR BRUTO]]-LANÇ_MOV[[#This Row],[DESCONTO]]+LANÇ_MOV[[#This Row],[JUROS]]+LANÇ_MOV[[#This Row],[MULTA]]</f>
        <v>0</v>
      </c>
      <c r="O840" s="546"/>
      <c r="P840" s="547" t="str">
        <f t="shared" ca="1" si="13"/>
        <v/>
      </c>
      <c r="Q840" s="528"/>
      <c r="R840" s="529"/>
      <c r="S840" s="518"/>
      <c r="T840" s="518"/>
      <c r="U840" s="519"/>
      <c r="V840" s="520" t="str">
        <f>IFERROR(VLOOKUP(LANÇ_MOV[[#This Row],[PLANO DE CONTAS]],Plano_Contas[[PLANO DE CONTAS]:[R / D]],3,0),"")</f>
        <v/>
      </c>
      <c r="W840" s="521" t="str">
        <f>IF(LANÇ_MOV[[#This Row],[DATA DE PAGAMENTO]]&lt;&gt;"","Pago","Não Pago")</f>
        <v>Não Pago</v>
      </c>
      <c r="X840" s="522" t="str">
        <f>IFERROR(IF(LANÇ_MOV[[#This Row],[DATA DE PAGAMENTO]]="","",(UPPER(TEXT(LANÇ_MOV[[#This Row],[DATA DE PAGAMENTO]],"mmmm")))),"")</f>
        <v/>
      </c>
      <c r="Y840" s="523" t="str">
        <f>IFERROR(VLOOKUP(LANÇ_MOV[[#This Row],[PLANO DE CONTAS]],Plano_Contas[[PLANO DE CONTAS]:[NOMES INTERVALOS]],2,0),"")</f>
        <v/>
      </c>
      <c r="Z840" s="523" t="str">
        <f>IF(LANÇ_MOV[[#This Row],[FORMA DE PAGAMENTO]]="","",VLOOKUP(LANÇ_MOV[[#This Row],[FORMA DE PAGAMENTO]],CAD_Forma_pagto[],2,0))</f>
        <v/>
      </c>
      <c r="AA840" s="524" t="str">
        <f>IF(LANÇ_MOV[[#This Row],[DATA DE LANÇAMENTO]]="","",TEXT(LANÇ_MOV[[#This Row],[DATA DE LANÇAMENTO]],"AAAA"))</f>
        <v/>
      </c>
      <c r="AB840" s="524" t="str">
        <f>IF(LANÇ_MOV[[#This Row],[DATA DE LANÇAMENTO]]="","",UPPER(TEXT(LANÇ_MOV[[#This Row],[DATA DE LANÇAMENTO]],"MMMM")))</f>
        <v/>
      </c>
      <c r="AC840" s="525" t="str">
        <f>IF(LANÇ_MOV[[#This Row],[DATA DE LANÇAMENTO]]="","",PROPER(TEXT(LANÇ_MOV[[#This Row],[DATA DE LANÇAMENTO]],"M")))</f>
        <v/>
      </c>
      <c r="AD840" s="524" t="str">
        <f>IF(LANÇ_MOV[[#This Row],[DATA DE LANÇAMENTO]]="","",TEXT(LANÇ_MOV[[#This Row],[DATA DE LANÇAMENTO]],"D"))</f>
        <v/>
      </c>
      <c r="AE840" s="526" t="str">
        <f>IF(LANÇ_MOV[[#This Row],[DATA DE VENCIMENTO]]="","",TEXT(LANÇ_MOV[[#This Row],[DATA DE VENCIMENTO]],"AAAA"))</f>
        <v/>
      </c>
      <c r="AF840" s="526" t="str">
        <f>IF(LANÇ_MOV[[#This Row],[DATA DE VENCIMENTO]]="","",UPPER(TEXT(LANÇ_MOV[[#This Row],[DATA DE VENCIMENTO]],"MMMM")))</f>
        <v/>
      </c>
      <c r="AG840" s="526" t="str">
        <f>IF(LANÇ_MOV[[#This Row],[DATA DE VENCIMENTO]]="","",TEXT(LANÇ_MOV[[#This Row],[DATA DE VENCIMENTO]],"M"))</f>
        <v/>
      </c>
      <c r="AH840" s="526" t="str">
        <f>IF(LANÇ_MOV[[#This Row],[DATA DE VENCIMENTO]]="","",TEXT(LANÇ_MOV[[#This Row],[DATA DE VENCIMENTO]],"D"))</f>
        <v/>
      </c>
      <c r="AI840" s="526" t="str">
        <f>IF(LANÇ_MOV[[#This Row],[DATA DE PAGAMENTO]]="","",TEXT(LANÇ_MOV[[#This Row],[DATA DE PAGAMENTO]],"AAAA"))</f>
        <v/>
      </c>
      <c r="AJ840" s="527" t="str">
        <f>IF(LANÇ_MOV[[#This Row],[DATA DE PAGAMENTO]]="","",UPPER(TEXT(LANÇ_MOV[[#This Row],[DATA DE PAGAMENTO]],"MMMM")))</f>
        <v/>
      </c>
      <c r="AK840" s="527" t="str">
        <f>IF(LANÇ_MOV[[#This Row],[DATA DE PAGAMENTO]]="","",TEXT(LANÇ_MOV[[#This Row],[DATA DE PAGAMENTO]],"M"))</f>
        <v/>
      </c>
      <c r="AL840" s="526" t="str">
        <f>IF(LANÇ_MOV[[#This Row],[DATA DE PAGAMENTO]]="","",TEXT(LANÇ_MOV[[#This Row],[DATA DE PAGAMENTO]],"D"))</f>
        <v/>
      </c>
    </row>
    <row r="841" spans="2:38" ht="30.05" customHeight="1" x14ac:dyDescent="0.35">
      <c r="B841" s="506"/>
      <c r="C841" s="507"/>
      <c r="D841" s="508" t="s">
        <v>1854</v>
      </c>
      <c r="E841" s="509"/>
      <c r="F841" s="510"/>
      <c r="G841" s="507"/>
      <c r="H841" s="511"/>
      <c r="I841" s="512"/>
      <c r="J841" s="518"/>
      <c r="K841" s="510"/>
      <c r="L841" s="510"/>
      <c r="M841" s="548"/>
      <c r="N841" s="514">
        <f>LANÇ_MOV[[#This Row],[VALOR BRUTO]]-LANÇ_MOV[[#This Row],[DESCONTO]]+LANÇ_MOV[[#This Row],[JUROS]]+LANÇ_MOV[[#This Row],[MULTA]]</f>
        <v>0</v>
      </c>
      <c r="O841" s="546"/>
      <c r="P841" s="547" t="str">
        <f t="shared" ca="1" si="13"/>
        <v/>
      </c>
      <c r="Q841" s="528"/>
      <c r="R841" s="529"/>
      <c r="S841" s="518"/>
      <c r="T841" s="518"/>
      <c r="U841" s="519"/>
      <c r="V841" s="520" t="str">
        <f>IFERROR(VLOOKUP(LANÇ_MOV[[#This Row],[PLANO DE CONTAS]],Plano_Contas[[PLANO DE CONTAS]:[R / D]],3,0),"")</f>
        <v/>
      </c>
      <c r="W841" s="521" t="str">
        <f>IF(LANÇ_MOV[[#This Row],[DATA DE PAGAMENTO]]&lt;&gt;"","Pago","Não Pago")</f>
        <v>Não Pago</v>
      </c>
      <c r="X841" s="522" t="str">
        <f>IFERROR(IF(LANÇ_MOV[[#This Row],[DATA DE PAGAMENTO]]="","",(UPPER(TEXT(LANÇ_MOV[[#This Row],[DATA DE PAGAMENTO]],"mmmm")))),"")</f>
        <v/>
      </c>
      <c r="Y841" s="523" t="str">
        <f>IFERROR(VLOOKUP(LANÇ_MOV[[#This Row],[PLANO DE CONTAS]],Plano_Contas[[PLANO DE CONTAS]:[NOMES INTERVALOS]],2,0),"")</f>
        <v/>
      </c>
      <c r="Z841" s="523" t="str">
        <f>IF(LANÇ_MOV[[#This Row],[FORMA DE PAGAMENTO]]="","",VLOOKUP(LANÇ_MOV[[#This Row],[FORMA DE PAGAMENTO]],CAD_Forma_pagto[],2,0))</f>
        <v/>
      </c>
      <c r="AA841" s="524" t="str">
        <f>IF(LANÇ_MOV[[#This Row],[DATA DE LANÇAMENTO]]="","",TEXT(LANÇ_MOV[[#This Row],[DATA DE LANÇAMENTO]],"AAAA"))</f>
        <v/>
      </c>
      <c r="AB841" s="524" t="str">
        <f>IF(LANÇ_MOV[[#This Row],[DATA DE LANÇAMENTO]]="","",UPPER(TEXT(LANÇ_MOV[[#This Row],[DATA DE LANÇAMENTO]],"MMMM")))</f>
        <v/>
      </c>
      <c r="AC841" s="525" t="str">
        <f>IF(LANÇ_MOV[[#This Row],[DATA DE LANÇAMENTO]]="","",PROPER(TEXT(LANÇ_MOV[[#This Row],[DATA DE LANÇAMENTO]],"M")))</f>
        <v/>
      </c>
      <c r="AD841" s="524" t="str">
        <f>IF(LANÇ_MOV[[#This Row],[DATA DE LANÇAMENTO]]="","",TEXT(LANÇ_MOV[[#This Row],[DATA DE LANÇAMENTO]],"D"))</f>
        <v/>
      </c>
      <c r="AE841" s="526" t="str">
        <f>IF(LANÇ_MOV[[#This Row],[DATA DE VENCIMENTO]]="","",TEXT(LANÇ_MOV[[#This Row],[DATA DE VENCIMENTO]],"AAAA"))</f>
        <v/>
      </c>
      <c r="AF841" s="526" t="str">
        <f>IF(LANÇ_MOV[[#This Row],[DATA DE VENCIMENTO]]="","",UPPER(TEXT(LANÇ_MOV[[#This Row],[DATA DE VENCIMENTO]],"MMMM")))</f>
        <v/>
      </c>
      <c r="AG841" s="526" t="str">
        <f>IF(LANÇ_MOV[[#This Row],[DATA DE VENCIMENTO]]="","",TEXT(LANÇ_MOV[[#This Row],[DATA DE VENCIMENTO]],"M"))</f>
        <v/>
      </c>
      <c r="AH841" s="526" t="str">
        <f>IF(LANÇ_MOV[[#This Row],[DATA DE VENCIMENTO]]="","",TEXT(LANÇ_MOV[[#This Row],[DATA DE VENCIMENTO]],"D"))</f>
        <v/>
      </c>
      <c r="AI841" s="526" t="str">
        <f>IF(LANÇ_MOV[[#This Row],[DATA DE PAGAMENTO]]="","",TEXT(LANÇ_MOV[[#This Row],[DATA DE PAGAMENTO]],"AAAA"))</f>
        <v/>
      </c>
      <c r="AJ841" s="527" t="str">
        <f>IF(LANÇ_MOV[[#This Row],[DATA DE PAGAMENTO]]="","",UPPER(TEXT(LANÇ_MOV[[#This Row],[DATA DE PAGAMENTO]],"MMMM")))</f>
        <v/>
      </c>
      <c r="AK841" s="527" t="str">
        <f>IF(LANÇ_MOV[[#This Row],[DATA DE PAGAMENTO]]="","",TEXT(LANÇ_MOV[[#This Row],[DATA DE PAGAMENTO]],"M"))</f>
        <v/>
      </c>
      <c r="AL841" s="526" t="str">
        <f>IF(LANÇ_MOV[[#This Row],[DATA DE PAGAMENTO]]="","",TEXT(LANÇ_MOV[[#This Row],[DATA DE PAGAMENTO]],"D"))</f>
        <v/>
      </c>
    </row>
    <row r="842" spans="2:38" ht="30.05" customHeight="1" x14ac:dyDescent="0.35">
      <c r="B842" s="506"/>
      <c r="C842" s="507"/>
      <c r="D842" s="508" t="s">
        <v>1854</v>
      </c>
      <c r="E842" s="509"/>
      <c r="F842" s="510"/>
      <c r="G842" s="507"/>
      <c r="H842" s="511"/>
      <c r="I842" s="512"/>
      <c r="J842" s="518"/>
      <c r="K842" s="510"/>
      <c r="L842" s="510"/>
      <c r="M842" s="548"/>
      <c r="N842" s="514">
        <f>LANÇ_MOV[[#This Row],[VALOR BRUTO]]-LANÇ_MOV[[#This Row],[DESCONTO]]+LANÇ_MOV[[#This Row],[JUROS]]+LANÇ_MOV[[#This Row],[MULTA]]</f>
        <v>0</v>
      </c>
      <c r="O842" s="546"/>
      <c r="P842" s="547" t="str">
        <f t="shared" ca="1" si="13"/>
        <v/>
      </c>
      <c r="Q842" s="528"/>
      <c r="R842" s="529"/>
      <c r="S842" s="518"/>
      <c r="T842" s="518"/>
      <c r="U842" s="519"/>
      <c r="V842" s="520" t="str">
        <f>IFERROR(VLOOKUP(LANÇ_MOV[[#This Row],[PLANO DE CONTAS]],Plano_Contas[[PLANO DE CONTAS]:[R / D]],3,0),"")</f>
        <v/>
      </c>
      <c r="W842" s="521" t="str">
        <f>IF(LANÇ_MOV[[#This Row],[DATA DE PAGAMENTO]]&lt;&gt;"","Pago","Não Pago")</f>
        <v>Não Pago</v>
      </c>
      <c r="X842" s="522" t="str">
        <f>IFERROR(IF(LANÇ_MOV[[#This Row],[DATA DE PAGAMENTO]]="","",(UPPER(TEXT(LANÇ_MOV[[#This Row],[DATA DE PAGAMENTO]],"mmmm")))),"")</f>
        <v/>
      </c>
      <c r="Y842" s="523" t="str">
        <f>IFERROR(VLOOKUP(LANÇ_MOV[[#This Row],[PLANO DE CONTAS]],Plano_Contas[[PLANO DE CONTAS]:[NOMES INTERVALOS]],2,0),"")</f>
        <v/>
      </c>
      <c r="Z842" s="523" t="str">
        <f>IF(LANÇ_MOV[[#This Row],[FORMA DE PAGAMENTO]]="","",VLOOKUP(LANÇ_MOV[[#This Row],[FORMA DE PAGAMENTO]],CAD_Forma_pagto[],2,0))</f>
        <v/>
      </c>
      <c r="AA842" s="524" t="str">
        <f>IF(LANÇ_MOV[[#This Row],[DATA DE LANÇAMENTO]]="","",TEXT(LANÇ_MOV[[#This Row],[DATA DE LANÇAMENTO]],"AAAA"))</f>
        <v/>
      </c>
      <c r="AB842" s="524" t="str">
        <f>IF(LANÇ_MOV[[#This Row],[DATA DE LANÇAMENTO]]="","",UPPER(TEXT(LANÇ_MOV[[#This Row],[DATA DE LANÇAMENTO]],"MMMM")))</f>
        <v/>
      </c>
      <c r="AC842" s="525" t="str">
        <f>IF(LANÇ_MOV[[#This Row],[DATA DE LANÇAMENTO]]="","",PROPER(TEXT(LANÇ_MOV[[#This Row],[DATA DE LANÇAMENTO]],"M")))</f>
        <v/>
      </c>
      <c r="AD842" s="524" t="str">
        <f>IF(LANÇ_MOV[[#This Row],[DATA DE LANÇAMENTO]]="","",TEXT(LANÇ_MOV[[#This Row],[DATA DE LANÇAMENTO]],"D"))</f>
        <v/>
      </c>
      <c r="AE842" s="526" t="str">
        <f>IF(LANÇ_MOV[[#This Row],[DATA DE VENCIMENTO]]="","",TEXT(LANÇ_MOV[[#This Row],[DATA DE VENCIMENTO]],"AAAA"))</f>
        <v/>
      </c>
      <c r="AF842" s="526" t="str">
        <f>IF(LANÇ_MOV[[#This Row],[DATA DE VENCIMENTO]]="","",UPPER(TEXT(LANÇ_MOV[[#This Row],[DATA DE VENCIMENTO]],"MMMM")))</f>
        <v/>
      </c>
      <c r="AG842" s="526" t="str">
        <f>IF(LANÇ_MOV[[#This Row],[DATA DE VENCIMENTO]]="","",TEXT(LANÇ_MOV[[#This Row],[DATA DE VENCIMENTO]],"M"))</f>
        <v/>
      </c>
      <c r="AH842" s="526" t="str">
        <f>IF(LANÇ_MOV[[#This Row],[DATA DE VENCIMENTO]]="","",TEXT(LANÇ_MOV[[#This Row],[DATA DE VENCIMENTO]],"D"))</f>
        <v/>
      </c>
      <c r="AI842" s="526" t="str">
        <f>IF(LANÇ_MOV[[#This Row],[DATA DE PAGAMENTO]]="","",TEXT(LANÇ_MOV[[#This Row],[DATA DE PAGAMENTO]],"AAAA"))</f>
        <v/>
      </c>
      <c r="AJ842" s="527" t="str">
        <f>IF(LANÇ_MOV[[#This Row],[DATA DE PAGAMENTO]]="","",UPPER(TEXT(LANÇ_MOV[[#This Row],[DATA DE PAGAMENTO]],"MMMM")))</f>
        <v/>
      </c>
      <c r="AK842" s="527" t="str">
        <f>IF(LANÇ_MOV[[#This Row],[DATA DE PAGAMENTO]]="","",TEXT(LANÇ_MOV[[#This Row],[DATA DE PAGAMENTO]],"M"))</f>
        <v/>
      </c>
      <c r="AL842" s="526" t="str">
        <f>IF(LANÇ_MOV[[#This Row],[DATA DE PAGAMENTO]]="","",TEXT(LANÇ_MOV[[#This Row],[DATA DE PAGAMENTO]],"D"))</f>
        <v/>
      </c>
    </row>
    <row r="843" spans="2:38" ht="30.05" customHeight="1" x14ac:dyDescent="0.35">
      <c r="B843" s="506"/>
      <c r="C843" s="507"/>
      <c r="D843" s="508" t="s">
        <v>1854</v>
      </c>
      <c r="E843" s="509"/>
      <c r="F843" s="510"/>
      <c r="G843" s="507"/>
      <c r="H843" s="511"/>
      <c r="I843" s="512"/>
      <c r="J843" s="518"/>
      <c r="K843" s="510"/>
      <c r="L843" s="510"/>
      <c r="M843" s="548"/>
      <c r="N843" s="514">
        <f>LANÇ_MOV[[#This Row],[VALOR BRUTO]]-LANÇ_MOV[[#This Row],[DESCONTO]]+LANÇ_MOV[[#This Row],[JUROS]]+LANÇ_MOV[[#This Row],[MULTA]]</f>
        <v>0</v>
      </c>
      <c r="O843" s="546"/>
      <c r="P843" s="547" t="str">
        <f t="shared" ca="1" si="13"/>
        <v/>
      </c>
      <c r="Q843" s="528"/>
      <c r="R843" s="529"/>
      <c r="S843" s="518"/>
      <c r="T843" s="518"/>
      <c r="U843" s="519"/>
      <c r="V843" s="520" t="str">
        <f>IFERROR(VLOOKUP(LANÇ_MOV[[#This Row],[PLANO DE CONTAS]],Plano_Contas[[PLANO DE CONTAS]:[R / D]],3,0),"")</f>
        <v/>
      </c>
      <c r="W843" s="521" t="str">
        <f>IF(LANÇ_MOV[[#This Row],[DATA DE PAGAMENTO]]&lt;&gt;"","Pago","Não Pago")</f>
        <v>Não Pago</v>
      </c>
      <c r="X843" s="522" t="str">
        <f>IFERROR(IF(LANÇ_MOV[[#This Row],[DATA DE PAGAMENTO]]="","",(UPPER(TEXT(LANÇ_MOV[[#This Row],[DATA DE PAGAMENTO]],"mmmm")))),"")</f>
        <v/>
      </c>
      <c r="Y843" s="523" t="str">
        <f>IFERROR(VLOOKUP(LANÇ_MOV[[#This Row],[PLANO DE CONTAS]],Plano_Contas[[PLANO DE CONTAS]:[NOMES INTERVALOS]],2,0),"")</f>
        <v/>
      </c>
      <c r="Z843" s="523" t="str">
        <f>IF(LANÇ_MOV[[#This Row],[FORMA DE PAGAMENTO]]="","",VLOOKUP(LANÇ_MOV[[#This Row],[FORMA DE PAGAMENTO]],CAD_Forma_pagto[],2,0))</f>
        <v/>
      </c>
      <c r="AA843" s="524" t="str">
        <f>IF(LANÇ_MOV[[#This Row],[DATA DE LANÇAMENTO]]="","",TEXT(LANÇ_MOV[[#This Row],[DATA DE LANÇAMENTO]],"AAAA"))</f>
        <v/>
      </c>
      <c r="AB843" s="524" t="str">
        <f>IF(LANÇ_MOV[[#This Row],[DATA DE LANÇAMENTO]]="","",UPPER(TEXT(LANÇ_MOV[[#This Row],[DATA DE LANÇAMENTO]],"MMMM")))</f>
        <v/>
      </c>
      <c r="AC843" s="525" t="str">
        <f>IF(LANÇ_MOV[[#This Row],[DATA DE LANÇAMENTO]]="","",PROPER(TEXT(LANÇ_MOV[[#This Row],[DATA DE LANÇAMENTO]],"M")))</f>
        <v/>
      </c>
      <c r="AD843" s="524" t="str">
        <f>IF(LANÇ_MOV[[#This Row],[DATA DE LANÇAMENTO]]="","",TEXT(LANÇ_MOV[[#This Row],[DATA DE LANÇAMENTO]],"D"))</f>
        <v/>
      </c>
      <c r="AE843" s="526" t="str">
        <f>IF(LANÇ_MOV[[#This Row],[DATA DE VENCIMENTO]]="","",TEXT(LANÇ_MOV[[#This Row],[DATA DE VENCIMENTO]],"AAAA"))</f>
        <v/>
      </c>
      <c r="AF843" s="526" t="str">
        <f>IF(LANÇ_MOV[[#This Row],[DATA DE VENCIMENTO]]="","",UPPER(TEXT(LANÇ_MOV[[#This Row],[DATA DE VENCIMENTO]],"MMMM")))</f>
        <v/>
      </c>
      <c r="AG843" s="526" t="str">
        <f>IF(LANÇ_MOV[[#This Row],[DATA DE VENCIMENTO]]="","",TEXT(LANÇ_MOV[[#This Row],[DATA DE VENCIMENTO]],"M"))</f>
        <v/>
      </c>
      <c r="AH843" s="526" t="str">
        <f>IF(LANÇ_MOV[[#This Row],[DATA DE VENCIMENTO]]="","",TEXT(LANÇ_MOV[[#This Row],[DATA DE VENCIMENTO]],"D"))</f>
        <v/>
      </c>
      <c r="AI843" s="526" t="str">
        <f>IF(LANÇ_MOV[[#This Row],[DATA DE PAGAMENTO]]="","",TEXT(LANÇ_MOV[[#This Row],[DATA DE PAGAMENTO]],"AAAA"))</f>
        <v/>
      </c>
      <c r="AJ843" s="527" t="str">
        <f>IF(LANÇ_MOV[[#This Row],[DATA DE PAGAMENTO]]="","",UPPER(TEXT(LANÇ_MOV[[#This Row],[DATA DE PAGAMENTO]],"MMMM")))</f>
        <v/>
      </c>
      <c r="AK843" s="527" t="str">
        <f>IF(LANÇ_MOV[[#This Row],[DATA DE PAGAMENTO]]="","",TEXT(LANÇ_MOV[[#This Row],[DATA DE PAGAMENTO]],"M"))</f>
        <v/>
      </c>
      <c r="AL843" s="526" t="str">
        <f>IF(LANÇ_MOV[[#This Row],[DATA DE PAGAMENTO]]="","",TEXT(LANÇ_MOV[[#This Row],[DATA DE PAGAMENTO]],"D"))</f>
        <v/>
      </c>
    </row>
    <row r="844" spans="2:38" ht="30.05" customHeight="1" x14ac:dyDescent="0.35">
      <c r="B844" s="506"/>
      <c r="C844" s="507"/>
      <c r="D844" s="508" t="s">
        <v>1854</v>
      </c>
      <c r="E844" s="509"/>
      <c r="F844" s="510"/>
      <c r="G844" s="507"/>
      <c r="H844" s="511"/>
      <c r="I844" s="512"/>
      <c r="J844" s="518"/>
      <c r="K844" s="510"/>
      <c r="L844" s="510"/>
      <c r="M844" s="548"/>
      <c r="N844" s="514">
        <f>LANÇ_MOV[[#This Row],[VALOR BRUTO]]-LANÇ_MOV[[#This Row],[DESCONTO]]+LANÇ_MOV[[#This Row],[JUROS]]+LANÇ_MOV[[#This Row],[MULTA]]</f>
        <v>0</v>
      </c>
      <c r="O844" s="546"/>
      <c r="P844" s="547" t="str">
        <f t="shared" ca="1" si="13"/>
        <v/>
      </c>
      <c r="Q844" s="528"/>
      <c r="R844" s="529"/>
      <c r="S844" s="518"/>
      <c r="T844" s="518"/>
      <c r="U844" s="519"/>
      <c r="V844" s="520" t="str">
        <f>IFERROR(VLOOKUP(LANÇ_MOV[[#This Row],[PLANO DE CONTAS]],Plano_Contas[[PLANO DE CONTAS]:[R / D]],3,0),"")</f>
        <v/>
      </c>
      <c r="W844" s="521" t="str">
        <f>IF(LANÇ_MOV[[#This Row],[DATA DE PAGAMENTO]]&lt;&gt;"","Pago","Não Pago")</f>
        <v>Não Pago</v>
      </c>
      <c r="X844" s="522" t="str">
        <f>IFERROR(IF(LANÇ_MOV[[#This Row],[DATA DE PAGAMENTO]]="","",(UPPER(TEXT(LANÇ_MOV[[#This Row],[DATA DE PAGAMENTO]],"mmmm")))),"")</f>
        <v/>
      </c>
      <c r="Y844" s="523" t="str">
        <f>IFERROR(VLOOKUP(LANÇ_MOV[[#This Row],[PLANO DE CONTAS]],Plano_Contas[[PLANO DE CONTAS]:[NOMES INTERVALOS]],2,0),"")</f>
        <v/>
      </c>
      <c r="Z844" s="523" t="str">
        <f>IF(LANÇ_MOV[[#This Row],[FORMA DE PAGAMENTO]]="","",VLOOKUP(LANÇ_MOV[[#This Row],[FORMA DE PAGAMENTO]],CAD_Forma_pagto[],2,0))</f>
        <v/>
      </c>
      <c r="AA844" s="524" t="str">
        <f>IF(LANÇ_MOV[[#This Row],[DATA DE LANÇAMENTO]]="","",TEXT(LANÇ_MOV[[#This Row],[DATA DE LANÇAMENTO]],"AAAA"))</f>
        <v/>
      </c>
      <c r="AB844" s="524" t="str">
        <f>IF(LANÇ_MOV[[#This Row],[DATA DE LANÇAMENTO]]="","",UPPER(TEXT(LANÇ_MOV[[#This Row],[DATA DE LANÇAMENTO]],"MMMM")))</f>
        <v/>
      </c>
      <c r="AC844" s="525" t="str">
        <f>IF(LANÇ_MOV[[#This Row],[DATA DE LANÇAMENTO]]="","",PROPER(TEXT(LANÇ_MOV[[#This Row],[DATA DE LANÇAMENTO]],"M")))</f>
        <v/>
      </c>
      <c r="AD844" s="524" t="str">
        <f>IF(LANÇ_MOV[[#This Row],[DATA DE LANÇAMENTO]]="","",TEXT(LANÇ_MOV[[#This Row],[DATA DE LANÇAMENTO]],"D"))</f>
        <v/>
      </c>
      <c r="AE844" s="526" t="str">
        <f>IF(LANÇ_MOV[[#This Row],[DATA DE VENCIMENTO]]="","",TEXT(LANÇ_MOV[[#This Row],[DATA DE VENCIMENTO]],"AAAA"))</f>
        <v/>
      </c>
      <c r="AF844" s="526" t="str">
        <f>IF(LANÇ_MOV[[#This Row],[DATA DE VENCIMENTO]]="","",UPPER(TEXT(LANÇ_MOV[[#This Row],[DATA DE VENCIMENTO]],"MMMM")))</f>
        <v/>
      </c>
      <c r="AG844" s="526" t="str">
        <f>IF(LANÇ_MOV[[#This Row],[DATA DE VENCIMENTO]]="","",TEXT(LANÇ_MOV[[#This Row],[DATA DE VENCIMENTO]],"M"))</f>
        <v/>
      </c>
      <c r="AH844" s="526" t="str">
        <f>IF(LANÇ_MOV[[#This Row],[DATA DE VENCIMENTO]]="","",TEXT(LANÇ_MOV[[#This Row],[DATA DE VENCIMENTO]],"D"))</f>
        <v/>
      </c>
      <c r="AI844" s="526" t="str">
        <f>IF(LANÇ_MOV[[#This Row],[DATA DE PAGAMENTO]]="","",TEXT(LANÇ_MOV[[#This Row],[DATA DE PAGAMENTO]],"AAAA"))</f>
        <v/>
      </c>
      <c r="AJ844" s="527" t="str">
        <f>IF(LANÇ_MOV[[#This Row],[DATA DE PAGAMENTO]]="","",UPPER(TEXT(LANÇ_MOV[[#This Row],[DATA DE PAGAMENTO]],"MMMM")))</f>
        <v/>
      </c>
      <c r="AK844" s="527" t="str">
        <f>IF(LANÇ_MOV[[#This Row],[DATA DE PAGAMENTO]]="","",TEXT(LANÇ_MOV[[#This Row],[DATA DE PAGAMENTO]],"M"))</f>
        <v/>
      </c>
      <c r="AL844" s="526" t="str">
        <f>IF(LANÇ_MOV[[#This Row],[DATA DE PAGAMENTO]]="","",TEXT(LANÇ_MOV[[#This Row],[DATA DE PAGAMENTO]],"D"))</f>
        <v/>
      </c>
    </row>
    <row r="845" spans="2:38" ht="30.05" customHeight="1" x14ac:dyDescent="0.35">
      <c r="B845" s="506"/>
      <c r="C845" s="507"/>
      <c r="D845" s="508" t="s">
        <v>1854</v>
      </c>
      <c r="E845" s="509"/>
      <c r="F845" s="510"/>
      <c r="G845" s="507"/>
      <c r="H845" s="511"/>
      <c r="I845" s="512"/>
      <c r="J845" s="518"/>
      <c r="K845" s="510"/>
      <c r="L845" s="510"/>
      <c r="M845" s="548"/>
      <c r="N845" s="514">
        <f>LANÇ_MOV[[#This Row],[VALOR BRUTO]]-LANÇ_MOV[[#This Row],[DESCONTO]]+LANÇ_MOV[[#This Row],[JUROS]]+LANÇ_MOV[[#This Row],[MULTA]]</f>
        <v>0</v>
      </c>
      <c r="O845" s="546"/>
      <c r="P845" s="547" t="str">
        <f t="shared" ca="1" si="13"/>
        <v/>
      </c>
      <c r="Q845" s="528"/>
      <c r="R845" s="529"/>
      <c r="S845" s="518"/>
      <c r="T845" s="518"/>
      <c r="U845" s="519"/>
      <c r="V845" s="520" t="str">
        <f>IFERROR(VLOOKUP(LANÇ_MOV[[#This Row],[PLANO DE CONTAS]],Plano_Contas[[PLANO DE CONTAS]:[R / D]],3,0),"")</f>
        <v/>
      </c>
      <c r="W845" s="521" t="str">
        <f>IF(LANÇ_MOV[[#This Row],[DATA DE PAGAMENTO]]&lt;&gt;"","Pago","Não Pago")</f>
        <v>Não Pago</v>
      </c>
      <c r="X845" s="522" t="str">
        <f>IFERROR(IF(LANÇ_MOV[[#This Row],[DATA DE PAGAMENTO]]="","",(UPPER(TEXT(LANÇ_MOV[[#This Row],[DATA DE PAGAMENTO]],"mmmm")))),"")</f>
        <v/>
      </c>
      <c r="Y845" s="523" t="str">
        <f>IFERROR(VLOOKUP(LANÇ_MOV[[#This Row],[PLANO DE CONTAS]],Plano_Contas[[PLANO DE CONTAS]:[NOMES INTERVALOS]],2,0),"")</f>
        <v/>
      </c>
      <c r="Z845" s="523" t="str">
        <f>IF(LANÇ_MOV[[#This Row],[FORMA DE PAGAMENTO]]="","",VLOOKUP(LANÇ_MOV[[#This Row],[FORMA DE PAGAMENTO]],CAD_Forma_pagto[],2,0))</f>
        <v/>
      </c>
      <c r="AA845" s="524" t="str">
        <f>IF(LANÇ_MOV[[#This Row],[DATA DE LANÇAMENTO]]="","",TEXT(LANÇ_MOV[[#This Row],[DATA DE LANÇAMENTO]],"AAAA"))</f>
        <v/>
      </c>
      <c r="AB845" s="524" t="str">
        <f>IF(LANÇ_MOV[[#This Row],[DATA DE LANÇAMENTO]]="","",UPPER(TEXT(LANÇ_MOV[[#This Row],[DATA DE LANÇAMENTO]],"MMMM")))</f>
        <v/>
      </c>
      <c r="AC845" s="525" t="str">
        <f>IF(LANÇ_MOV[[#This Row],[DATA DE LANÇAMENTO]]="","",PROPER(TEXT(LANÇ_MOV[[#This Row],[DATA DE LANÇAMENTO]],"M")))</f>
        <v/>
      </c>
      <c r="AD845" s="524" t="str">
        <f>IF(LANÇ_MOV[[#This Row],[DATA DE LANÇAMENTO]]="","",TEXT(LANÇ_MOV[[#This Row],[DATA DE LANÇAMENTO]],"D"))</f>
        <v/>
      </c>
      <c r="AE845" s="526" t="str">
        <f>IF(LANÇ_MOV[[#This Row],[DATA DE VENCIMENTO]]="","",TEXT(LANÇ_MOV[[#This Row],[DATA DE VENCIMENTO]],"AAAA"))</f>
        <v/>
      </c>
      <c r="AF845" s="526" t="str">
        <f>IF(LANÇ_MOV[[#This Row],[DATA DE VENCIMENTO]]="","",UPPER(TEXT(LANÇ_MOV[[#This Row],[DATA DE VENCIMENTO]],"MMMM")))</f>
        <v/>
      </c>
      <c r="AG845" s="526" t="str">
        <f>IF(LANÇ_MOV[[#This Row],[DATA DE VENCIMENTO]]="","",TEXT(LANÇ_MOV[[#This Row],[DATA DE VENCIMENTO]],"M"))</f>
        <v/>
      </c>
      <c r="AH845" s="526" t="str">
        <f>IF(LANÇ_MOV[[#This Row],[DATA DE VENCIMENTO]]="","",TEXT(LANÇ_MOV[[#This Row],[DATA DE VENCIMENTO]],"D"))</f>
        <v/>
      </c>
      <c r="AI845" s="526" t="str">
        <f>IF(LANÇ_MOV[[#This Row],[DATA DE PAGAMENTO]]="","",TEXT(LANÇ_MOV[[#This Row],[DATA DE PAGAMENTO]],"AAAA"))</f>
        <v/>
      </c>
      <c r="AJ845" s="527" t="str">
        <f>IF(LANÇ_MOV[[#This Row],[DATA DE PAGAMENTO]]="","",UPPER(TEXT(LANÇ_MOV[[#This Row],[DATA DE PAGAMENTO]],"MMMM")))</f>
        <v/>
      </c>
      <c r="AK845" s="527" t="str">
        <f>IF(LANÇ_MOV[[#This Row],[DATA DE PAGAMENTO]]="","",TEXT(LANÇ_MOV[[#This Row],[DATA DE PAGAMENTO]],"M"))</f>
        <v/>
      </c>
      <c r="AL845" s="526" t="str">
        <f>IF(LANÇ_MOV[[#This Row],[DATA DE PAGAMENTO]]="","",TEXT(LANÇ_MOV[[#This Row],[DATA DE PAGAMENTO]],"D"))</f>
        <v/>
      </c>
    </row>
    <row r="846" spans="2:38" ht="30.05" customHeight="1" x14ac:dyDescent="0.35">
      <c r="B846" s="506"/>
      <c r="C846" s="507"/>
      <c r="D846" s="508" t="s">
        <v>1854</v>
      </c>
      <c r="E846" s="509"/>
      <c r="F846" s="510"/>
      <c r="G846" s="507"/>
      <c r="H846" s="511"/>
      <c r="I846" s="512"/>
      <c r="J846" s="518"/>
      <c r="K846" s="510"/>
      <c r="L846" s="510"/>
      <c r="M846" s="548"/>
      <c r="N846" s="514">
        <f>LANÇ_MOV[[#This Row],[VALOR BRUTO]]-LANÇ_MOV[[#This Row],[DESCONTO]]+LANÇ_MOV[[#This Row],[JUROS]]+LANÇ_MOV[[#This Row],[MULTA]]</f>
        <v>0</v>
      </c>
      <c r="O846" s="546"/>
      <c r="P846" s="547" t="str">
        <f t="shared" ca="1" si="13"/>
        <v/>
      </c>
      <c r="Q846" s="528"/>
      <c r="R846" s="529"/>
      <c r="S846" s="518"/>
      <c r="T846" s="518"/>
      <c r="U846" s="519"/>
      <c r="V846" s="520" t="str">
        <f>IFERROR(VLOOKUP(LANÇ_MOV[[#This Row],[PLANO DE CONTAS]],Plano_Contas[[PLANO DE CONTAS]:[R / D]],3,0),"")</f>
        <v/>
      </c>
      <c r="W846" s="521" t="str">
        <f>IF(LANÇ_MOV[[#This Row],[DATA DE PAGAMENTO]]&lt;&gt;"","Pago","Não Pago")</f>
        <v>Não Pago</v>
      </c>
      <c r="X846" s="522" t="str">
        <f>IFERROR(IF(LANÇ_MOV[[#This Row],[DATA DE PAGAMENTO]]="","",(UPPER(TEXT(LANÇ_MOV[[#This Row],[DATA DE PAGAMENTO]],"mmmm")))),"")</f>
        <v/>
      </c>
      <c r="Y846" s="523" t="str">
        <f>IFERROR(VLOOKUP(LANÇ_MOV[[#This Row],[PLANO DE CONTAS]],Plano_Contas[[PLANO DE CONTAS]:[NOMES INTERVALOS]],2,0),"")</f>
        <v/>
      </c>
      <c r="Z846" s="523" t="str">
        <f>IF(LANÇ_MOV[[#This Row],[FORMA DE PAGAMENTO]]="","",VLOOKUP(LANÇ_MOV[[#This Row],[FORMA DE PAGAMENTO]],CAD_Forma_pagto[],2,0))</f>
        <v/>
      </c>
      <c r="AA846" s="524" t="str">
        <f>IF(LANÇ_MOV[[#This Row],[DATA DE LANÇAMENTO]]="","",TEXT(LANÇ_MOV[[#This Row],[DATA DE LANÇAMENTO]],"AAAA"))</f>
        <v/>
      </c>
      <c r="AB846" s="524" t="str">
        <f>IF(LANÇ_MOV[[#This Row],[DATA DE LANÇAMENTO]]="","",UPPER(TEXT(LANÇ_MOV[[#This Row],[DATA DE LANÇAMENTO]],"MMMM")))</f>
        <v/>
      </c>
      <c r="AC846" s="525" t="str">
        <f>IF(LANÇ_MOV[[#This Row],[DATA DE LANÇAMENTO]]="","",PROPER(TEXT(LANÇ_MOV[[#This Row],[DATA DE LANÇAMENTO]],"M")))</f>
        <v/>
      </c>
      <c r="AD846" s="524" t="str">
        <f>IF(LANÇ_MOV[[#This Row],[DATA DE LANÇAMENTO]]="","",TEXT(LANÇ_MOV[[#This Row],[DATA DE LANÇAMENTO]],"D"))</f>
        <v/>
      </c>
      <c r="AE846" s="526" t="str">
        <f>IF(LANÇ_MOV[[#This Row],[DATA DE VENCIMENTO]]="","",TEXT(LANÇ_MOV[[#This Row],[DATA DE VENCIMENTO]],"AAAA"))</f>
        <v/>
      </c>
      <c r="AF846" s="526" t="str">
        <f>IF(LANÇ_MOV[[#This Row],[DATA DE VENCIMENTO]]="","",UPPER(TEXT(LANÇ_MOV[[#This Row],[DATA DE VENCIMENTO]],"MMMM")))</f>
        <v/>
      </c>
      <c r="AG846" s="526" t="str">
        <f>IF(LANÇ_MOV[[#This Row],[DATA DE VENCIMENTO]]="","",TEXT(LANÇ_MOV[[#This Row],[DATA DE VENCIMENTO]],"M"))</f>
        <v/>
      </c>
      <c r="AH846" s="526" t="str">
        <f>IF(LANÇ_MOV[[#This Row],[DATA DE VENCIMENTO]]="","",TEXT(LANÇ_MOV[[#This Row],[DATA DE VENCIMENTO]],"D"))</f>
        <v/>
      </c>
      <c r="AI846" s="526" t="str">
        <f>IF(LANÇ_MOV[[#This Row],[DATA DE PAGAMENTO]]="","",TEXT(LANÇ_MOV[[#This Row],[DATA DE PAGAMENTO]],"AAAA"))</f>
        <v/>
      </c>
      <c r="AJ846" s="527" t="str">
        <f>IF(LANÇ_MOV[[#This Row],[DATA DE PAGAMENTO]]="","",UPPER(TEXT(LANÇ_MOV[[#This Row],[DATA DE PAGAMENTO]],"MMMM")))</f>
        <v/>
      </c>
      <c r="AK846" s="527" t="str">
        <f>IF(LANÇ_MOV[[#This Row],[DATA DE PAGAMENTO]]="","",TEXT(LANÇ_MOV[[#This Row],[DATA DE PAGAMENTO]],"M"))</f>
        <v/>
      </c>
      <c r="AL846" s="526" t="str">
        <f>IF(LANÇ_MOV[[#This Row],[DATA DE PAGAMENTO]]="","",TEXT(LANÇ_MOV[[#This Row],[DATA DE PAGAMENTO]],"D"))</f>
        <v/>
      </c>
    </row>
    <row r="847" spans="2:38" ht="30.05" customHeight="1" x14ac:dyDescent="0.35">
      <c r="B847" s="506"/>
      <c r="C847" s="507"/>
      <c r="D847" s="508" t="s">
        <v>1854</v>
      </c>
      <c r="E847" s="509"/>
      <c r="F847" s="510"/>
      <c r="G847" s="507"/>
      <c r="H847" s="511"/>
      <c r="I847" s="512"/>
      <c r="J847" s="518"/>
      <c r="K847" s="510"/>
      <c r="L847" s="510"/>
      <c r="M847" s="548"/>
      <c r="N847" s="514">
        <f>LANÇ_MOV[[#This Row],[VALOR BRUTO]]-LANÇ_MOV[[#This Row],[DESCONTO]]+LANÇ_MOV[[#This Row],[JUROS]]+LANÇ_MOV[[#This Row],[MULTA]]</f>
        <v>0</v>
      </c>
      <c r="O847" s="546"/>
      <c r="P847" s="547" t="str">
        <f t="shared" ca="1" si="13"/>
        <v/>
      </c>
      <c r="Q847" s="528"/>
      <c r="R847" s="529"/>
      <c r="S847" s="518"/>
      <c r="T847" s="518"/>
      <c r="U847" s="519"/>
      <c r="V847" s="520" t="str">
        <f>IFERROR(VLOOKUP(LANÇ_MOV[[#This Row],[PLANO DE CONTAS]],Plano_Contas[[PLANO DE CONTAS]:[R / D]],3,0),"")</f>
        <v/>
      </c>
      <c r="W847" s="521" t="str">
        <f>IF(LANÇ_MOV[[#This Row],[DATA DE PAGAMENTO]]&lt;&gt;"","Pago","Não Pago")</f>
        <v>Não Pago</v>
      </c>
      <c r="X847" s="522" t="str">
        <f>IFERROR(IF(LANÇ_MOV[[#This Row],[DATA DE PAGAMENTO]]="","",(UPPER(TEXT(LANÇ_MOV[[#This Row],[DATA DE PAGAMENTO]],"mmmm")))),"")</f>
        <v/>
      </c>
      <c r="Y847" s="523" t="str">
        <f>IFERROR(VLOOKUP(LANÇ_MOV[[#This Row],[PLANO DE CONTAS]],Plano_Contas[[PLANO DE CONTAS]:[NOMES INTERVALOS]],2,0),"")</f>
        <v/>
      </c>
      <c r="Z847" s="523" t="str">
        <f>IF(LANÇ_MOV[[#This Row],[FORMA DE PAGAMENTO]]="","",VLOOKUP(LANÇ_MOV[[#This Row],[FORMA DE PAGAMENTO]],CAD_Forma_pagto[],2,0))</f>
        <v/>
      </c>
      <c r="AA847" s="524" t="str">
        <f>IF(LANÇ_MOV[[#This Row],[DATA DE LANÇAMENTO]]="","",TEXT(LANÇ_MOV[[#This Row],[DATA DE LANÇAMENTO]],"AAAA"))</f>
        <v/>
      </c>
      <c r="AB847" s="524" t="str">
        <f>IF(LANÇ_MOV[[#This Row],[DATA DE LANÇAMENTO]]="","",UPPER(TEXT(LANÇ_MOV[[#This Row],[DATA DE LANÇAMENTO]],"MMMM")))</f>
        <v/>
      </c>
      <c r="AC847" s="525" t="str">
        <f>IF(LANÇ_MOV[[#This Row],[DATA DE LANÇAMENTO]]="","",PROPER(TEXT(LANÇ_MOV[[#This Row],[DATA DE LANÇAMENTO]],"M")))</f>
        <v/>
      </c>
      <c r="AD847" s="524" t="str">
        <f>IF(LANÇ_MOV[[#This Row],[DATA DE LANÇAMENTO]]="","",TEXT(LANÇ_MOV[[#This Row],[DATA DE LANÇAMENTO]],"D"))</f>
        <v/>
      </c>
      <c r="AE847" s="526" t="str">
        <f>IF(LANÇ_MOV[[#This Row],[DATA DE VENCIMENTO]]="","",TEXT(LANÇ_MOV[[#This Row],[DATA DE VENCIMENTO]],"AAAA"))</f>
        <v/>
      </c>
      <c r="AF847" s="526" t="str">
        <f>IF(LANÇ_MOV[[#This Row],[DATA DE VENCIMENTO]]="","",UPPER(TEXT(LANÇ_MOV[[#This Row],[DATA DE VENCIMENTO]],"MMMM")))</f>
        <v/>
      </c>
      <c r="AG847" s="526" t="str">
        <f>IF(LANÇ_MOV[[#This Row],[DATA DE VENCIMENTO]]="","",TEXT(LANÇ_MOV[[#This Row],[DATA DE VENCIMENTO]],"M"))</f>
        <v/>
      </c>
      <c r="AH847" s="526" t="str">
        <f>IF(LANÇ_MOV[[#This Row],[DATA DE VENCIMENTO]]="","",TEXT(LANÇ_MOV[[#This Row],[DATA DE VENCIMENTO]],"D"))</f>
        <v/>
      </c>
      <c r="AI847" s="526" t="str">
        <f>IF(LANÇ_MOV[[#This Row],[DATA DE PAGAMENTO]]="","",TEXT(LANÇ_MOV[[#This Row],[DATA DE PAGAMENTO]],"AAAA"))</f>
        <v/>
      </c>
      <c r="AJ847" s="527" t="str">
        <f>IF(LANÇ_MOV[[#This Row],[DATA DE PAGAMENTO]]="","",UPPER(TEXT(LANÇ_MOV[[#This Row],[DATA DE PAGAMENTO]],"MMMM")))</f>
        <v/>
      </c>
      <c r="AK847" s="527" t="str">
        <f>IF(LANÇ_MOV[[#This Row],[DATA DE PAGAMENTO]]="","",TEXT(LANÇ_MOV[[#This Row],[DATA DE PAGAMENTO]],"M"))</f>
        <v/>
      </c>
      <c r="AL847" s="526" t="str">
        <f>IF(LANÇ_MOV[[#This Row],[DATA DE PAGAMENTO]]="","",TEXT(LANÇ_MOV[[#This Row],[DATA DE PAGAMENTO]],"D"))</f>
        <v/>
      </c>
    </row>
    <row r="848" spans="2:38" ht="30.05" customHeight="1" x14ac:dyDescent="0.35">
      <c r="B848" s="506"/>
      <c r="C848" s="507"/>
      <c r="D848" s="508" t="s">
        <v>1854</v>
      </c>
      <c r="E848" s="509"/>
      <c r="F848" s="510"/>
      <c r="G848" s="507"/>
      <c r="H848" s="511"/>
      <c r="I848" s="512"/>
      <c r="J848" s="518"/>
      <c r="K848" s="510"/>
      <c r="L848" s="510"/>
      <c r="M848" s="548"/>
      <c r="N848" s="514">
        <f>LANÇ_MOV[[#This Row],[VALOR BRUTO]]-LANÇ_MOV[[#This Row],[DESCONTO]]+LANÇ_MOV[[#This Row],[JUROS]]+LANÇ_MOV[[#This Row],[MULTA]]</f>
        <v>0</v>
      </c>
      <c r="O848" s="546"/>
      <c r="P848" s="547" t="str">
        <f t="shared" ca="1" si="13"/>
        <v/>
      </c>
      <c r="Q848" s="528"/>
      <c r="R848" s="529"/>
      <c r="S848" s="518"/>
      <c r="T848" s="518"/>
      <c r="U848" s="519"/>
      <c r="V848" s="520" t="str">
        <f>IFERROR(VLOOKUP(LANÇ_MOV[[#This Row],[PLANO DE CONTAS]],Plano_Contas[[PLANO DE CONTAS]:[R / D]],3,0),"")</f>
        <v/>
      </c>
      <c r="W848" s="521" t="str">
        <f>IF(LANÇ_MOV[[#This Row],[DATA DE PAGAMENTO]]&lt;&gt;"","Pago","Não Pago")</f>
        <v>Não Pago</v>
      </c>
      <c r="X848" s="522" t="str">
        <f>IFERROR(IF(LANÇ_MOV[[#This Row],[DATA DE PAGAMENTO]]="","",(UPPER(TEXT(LANÇ_MOV[[#This Row],[DATA DE PAGAMENTO]],"mmmm")))),"")</f>
        <v/>
      </c>
      <c r="Y848" s="523" t="str">
        <f>IFERROR(VLOOKUP(LANÇ_MOV[[#This Row],[PLANO DE CONTAS]],Plano_Contas[[PLANO DE CONTAS]:[NOMES INTERVALOS]],2,0),"")</f>
        <v/>
      </c>
      <c r="Z848" s="523" t="str">
        <f>IF(LANÇ_MOV[[#This Row],[FORMA DE PAGAMENTO]]="","",VLOOKUP(LANÇ_MOV[[#This Row],[FORMA DE PAGAMENTO]],CAD_Forma_pagto[],2,0))</f>
        <v/>
      </c>
      <c r="AA848" s="524" t="str">
        <f>IF(LANÇ_MOV[[#This Row],[DATA DE LANÇAMENTO]]="","",TEXT(LANÇ_MOV[[#This Row],[DATA DE LANÇAMENTO]],"AAAA"))</f>
        <v/>
      </c>
      <c r="AB848" s="524" t="str">
        <f>IF(LANÇ_MOV[[#This Row],[DATA DE LANÇAMENTO]]="","",UPPER(TEXT(LANÇ_MOV[[#This Row],[DATA DE LANÇAMENTO]],"MMMM")))</f>
        <v/>
      </c>
      <c r="AC848" s="525" t="str">
        <f>IF(LANÇ_MOV[[#This Row],[DATA DE LANÇAMENTO]]="","",PROPER(TEXT(LANÇ_MOV[[#This Row],[DATA DE LANÇAMENTO]],"M")))</f>
        <v/>
      </c>
      <c r="AD848" s="524" t="str">
        <f>IF(LANÇ_MOV[[#This Row],[DATA DE LANÇAMENTO]]="","",TEXT(LANÇ_MOV[[#This Row],[DATA DE LANÇAMENTO]],"D"))</f>
        <v/>
      </c>
      <c r="AE848" s="526" t="str">
        <f>IF(LANÇ_MOV[[#This Row],[DATA DE VENCIMENTO]]="","",TEXT(LANÇ_MOV[[#This Row],[DATA DE VENCIMENTO]],"AAAA"))</f>
        <v/>
      </c>
      <c r="AF848" s="526" t="str">
        <f>IF(LANÇ_MOV[[#This Row],[DATA DE VENCIMENTO]]="","",UPPER(TEXT(LANÇ_MOV[[#This Row],[DATA DE VENCIMENTO]],"MMMM")))</f>
        <v/>
      </c>
      <c r="AG848" s="526" t="str">
        <f>IF(LANÇ_MOV[[#This Row],[DATA DE VENCIMENTO]]="","",TEXT(LANÇ_MOV[[#This Row],[DATA DE VENCIMENTO]],"M"))</f>
        <v/>
      </c>
      <c r="AH848" s="526" t="str">
        <f>IF(LANÇ_MOV[[#This Row],[DATA DE VENCIMENTO]]="","",TEXT(LANÇ_MOV[[#This Row],[DATA DE VENCIMENTO]],"D"))</f>
        <v/>
      </c>
      <c r="AI848" s="526" t="str">
        <f>IF(LANÇ_MOV[[#This Row],[DATA DE PAGAMENTO]]="","",TEXT(LANÇ_MOV[[#This Row],[DATA DE PAGAMENTO]],"AAAA"))</f>
        <v/>
      </c>
      <c r="AJ848" s="527" t="str">
        <f>IF(LANÇ_MOV[[#This Row],[DATA DE PAGAMENTO]]="","",UPPER(TEXT(LANÇ_MOV[[#This Row],[DATA DE PAGAMENTO]],"MMMM")))</f>
        <v/>
      </c>
      <c r="AK848" s="527" t="str">
        <f>IF(LANÇ_MOV[[#This Row],[DATA DE PAGAMENTO]]="","",TEXT(LANÇ_MOV[[#This Row],[DATA DE PAGAMENTO]],"M"))</f>
        <v/>
      </c>
      <c r="AL848" s="526" t="str">
        <f>IF(LANÇ_MOV[[#This Row],[DATA DE PAGAMENTO]]="","",TEXT(LANÇ_MOV[[#This Row],[DATA DE PAGAMENTO]],"D"))</f>
        <v/>
      </c>
    </row>
    <row r="849" spans="2:38" ht="30.05" customHeight="1" x14ac:dyDescent="0.35">
      <c r="B849" s="506"/>
      <c r="C849" s="507"/>
      <c r="D849" s="508" t="s">
        <v>1854</v>
      </c>
      <c r="E849" s="509"/>
      <c r="F849" s="510"/>
      <c r="G849" s="507"/>
      <c r="H849" s="511"/>
      <c r="I849" s="512"/>
      <c r="J849" s="518"/>
      <c r="K849" s="510"/>
      <c r="L849" s="510"/>
      <c r="M849" s="548"/>
      <c r="N849" s="514">
        <f>LANÇ_MOV[[#This Row],[VALOR BRUTO]]-LANÇ_MOV[[#This Row],[DESCONTO]]+LANÇ_MOV[[#This Row],[JUROS]]+LANÇ_MOV[[#This Row],[MULTA]]</f>
        <v>0</v>
      </c>
      <c r="O849" s="546"/>
      <c r="P849" s="547" t="str">
        <f t="shared" ca="1" si="13"/>
        <v/>
      </c>
      <c r="Q849" s="528"/>
      <c r="R849" s="529"/>
      <c r="S849" s="518"/>
      <c r="T849" s="518"/>
      <c r="U849" s="519"/>
      <c r="V849" s="520" t="str">
        <f>IFERROR(VLOOKUP(LANÇ_MOV[[#This Row],[PLANO DE CONTAS]],Plano_Contas[[PLANO DE CONTAS]:[R / D]],3,0),"")</f>
        <v/>
      </c>
      <c r="W849" s="521" t="str">
        <f>IF(LANÇ_MOV[[#This Row],[DATA DE PAGAMENTO]]&lt;&gt;"","Pago","Não Pago")</f>
        <v>Não Pago</v>
      </c>
      <c r="X849" s="522" t="str">
        <f>IFERROR(IF(LANÇ_MOV[[#This Row],[DATA DE PAGAMENTO]]="","",(UPPER(TEXT(LANÇ_MOV[[#This Row],[DATA DE PAGAMENTO]],"mmmm")))),"")</f>
        <v/>
      </c>
      <c r="Y849" s="523" t="str">
        <f>IFERROR(VLOOKUP(LANÇ_MOV[[#This Row],[PLANO DE CONTAS]],Plano_Contas[[PLANO DE CONTAS]:[NOMES INTERVALOS]],2,0),"")</f>
        <v/>
      </c>
      <c r="Z849" s="523" t="str">
        <f>IF(LANÇ_MOV[[#This Row],[FORMA DE PAGAMENTO]]="","",VLOOKUP(LANÇ_MOV[[#This Row],[FORMA DE PAGAMENTO]],CAD_Forma_pagto[],2,0))</f>
        <v/>
      </c>
      <c r="AA849" s="524" t="str">
        <f>IF(LANÇ_MOV[[#This Row],[DATA DE LANÇAMENTO]]="","",TEXT(LANÇ_MOV[[#This Row],[DATA DE LANÇAMENTO]],"AAAA"))</f>
        <v/>
      </c>
      <c r="AB849" s="524" t="str">
        <f>IF(LANÇ_MOV[[#This Row],[DATA DE LANÇAMENTO]]="","",UPPER(TEXT(LANÇ_MOV[[#This Row],[DATA DE LANÇAMENTO]],"MMMM")))</f>
        <v/>
      </c>
      <c r="AC849" s="525" t="str">
        <f>IF(LANÇ_MOV[[#This Row],[DATA DE LANÇAMENTO]]="","",PROPER(TEXT(LANÇ_MOV[[#This Row],[DATA DE LANÇAMENTO]],"M")))</f>
        <v/>
      </c>
      <c r="AD849" s="524" t="str">
        <f>IF(LANÇ_MOV[[#This Row],[DATA DE LANÇAMENTO]]="","",TEXT(LANÇ_MOV[[#This Row],[DATA DE LANÇAMENTO]],"D"))</f>
        <v/>
      </c>
      <c r="AE849" s="526" t="str">
        <f>IF(LANÇ_MOV[[#This Row],[DATA DE VENCIMENTO]]="","",TEXT(LANÇ_MOV[[#This Row],[DATA DE VENCIMENTO]],"AAAA"))</f>
        <v/>
      </c>
      <c r="AF849" s="526" t="str">
        <f>IF(LANÇ_MOV[[#This Row],[DATA DE VENCIMENTO]]="","",UPPER(TEXT(LANÇ_MOV[[#This Row],[DATA DE VENCIMENTO]],"MMMM")))</f>
        <v/>
      </c>
      <c r="AG849" s="526" t="str">
        <f>IF(LANÇ_MOV[[#This Row],[DATA DE VENCIMENTO]]="","",TEXT(LANÇ_MOV[[#This Row],[DATA DE VENCIMENTO]],"M"))</f>
        <v/>
      </c>
      <c r="AH849" s="526" t="str">
        <f>IF(LANÇ_MOV[[#This Row],[DATA DE VENCIMENTO]]="","",TEXT(LANÇ_MOV[[#This Row],[DATA DE VENCIMENTO]],"D"))</f>
        <v/>
      </c>
      <c r="AI849" s="526" t="str">
        <f>IF(LANÇ_MOV[[#This Row],[DATA DE PAGAMENTO]]="","",TEXT(LANÇ_MOV[[#This Row],[DATA DE PAGAMENTO]],"AAAA"))</f>
        <v/>
      </c>
      <c r="AJ849" s="527" t="str">
        <f>IF(LANÇ_MOV[[#This Row],[DATA DE PAGAMENTO]]="","",UPPER(TEXT(LANÇ_MOV[[#This Row],[DATA DE PAGAMENTO]],"MMMM")))</f>
        <v/>
      </c>
      <c r="AK849" s="527" t="str">
        <f>IF(LANÇ_MOV[[#This Row],[DATA DE PAGAMENTO]]="","",TEXT(LANÇ_MOV[[#This Row],[DATA DE PAGAMENTO]],"M"))</f>
        <v/>
      </c>
      <c r="AL849" s="526" t="str">
        <f>IF(LANÇ_MOV[[#This Row],[DATA DE PAGAMENTO]]="","",TEXT(LANÇ_MOV[[#This Row],[DATA DE PAGAMENTO]],"D"))</f>
        <v/>
      </c>
    </row>
    <row r="850" spans="2:38" ht="30.05" customHeight="1" x14ac:dyDescent="0.35">
      <c r="B850" s="506"/>
      <c r="C850" s="507"/>
      <c r="D850" s="508" t="s">
        <v>1854</v>
      </c>
      <c r="E850" s="509"/>
      <c r="F850" s="510"/>
      <c r="G850" s="507"/>
      <c r="H850" s="511"/>
      <c r="I850" s="512"/>
      <c r="J850" s="518"/>
      <c r="K850" s="510"/>
      <c r="L850" s="510"/>
      <c r="M850" s="548"/>
      <c r="N850" s="514">
        <f>LANÇ_MOV[[#This Row],[VALOR BRUTO]]-LANÇ_MOV[[#This Row],[DESCONTO]]+LANÇ_MOV[[#This Row],[JUROS]]+LANÇ_MOV[[#This Row],[MULTA]]</f>
        <v>0</v>
      </c>
      <c r="O850" s="546"/>
      <c r="P850" s="547" t="str">
        <f t="shared" ca="1" si="13"/>
        <v/>
      </c>
      <c r="Q850" s="528"/>
      <c r="R850" s="529"/>
      <c r="S850" s="518"/>
      <c r="T850" s="518"/>
      <c r="U850" s="519"/>
      <c r="V850" s="520" t="str">
        <f>IFERROR(VLOOKUP(LANÇ_MOV[[#This Row],[PLANO DE CONTAS]],Plano_Contas[[PLANO DE CONTAS]:[R / D]],3,0),"")</f>
        <v/>
      </c>
      <c r="W850" s="521" t="str">
        <f>IF(LANÇ_MOV[[#This Row],[DATA DE PAGAMENTO]]&lt;&gt;"","Pago","Não Pago")</f>
        <v>Não Pago</v>
      </c>
      <c r="X850" s="522" t="str">
        <f>IFERROR(IF(LANÇ_MOV[[#This Row],[DATA DE PAGAMENTO]]="","",(UPPER(TEXT(LANÇ_MOV[[#This Row],[DATA DE PAGAMENTO]],"mmmm")))),"")</f>
        <v/>
      </c>
      <c r="Y850" s="523" t="str">
        <f>IFERROR(VLOOKUP(LANÇ_MOV[[#This Row],[PLANO DE CONTAS]],Plano_Contas[[PLANO DE CONTAS]:[NOMES INTERVALOS]],2,0),"")</f>
        <v/>
      </c>
      <c r="Z850" s="523" t="str">
        <f>IF(LANÇ_MOV[[#This Row],[FORMA DE PAGAMENTO]]="","",VLOOKUP(LANÇ_MOV[[#This Row],[FORMA DE PAGAMENTO]],CAD_Forma_pagto[],2,0))</f>
        <v/>
      </c>
      <c r="AA850" s="524" t="str">
        <f>IF(LANÇ_MOV[[#This Row],[DATA DE LANÇAMENTO]]="","",TEXT(LANÇ_MOV[[#This Row],[DATA DE LANÇAMENTO]],"AAAA"))</f>
        <v/>
      </c>
      <c r="AB850" s="524" t="str">
        <f>IF(LANÇ_MOV[[#This Row],[DATA DE LANÇAMENTO]]="","",UPPER(TEXT(LANÇ_MOV[[#This Row],[DATA DE LANÇAMENTO]],"MMMM")))</f>
        <v/>
      </c>
      <c r="AC850" s="525" t="str">
        <f>IF(LANÇ_MOV[[#This Row],[DATA DE LANÇAMENTO]]="","",PROPER(TEXT(LANÇ_MOV[[#This Row],[DATA DE LANÇAMENTO]],"M")))</f>
        <v/>
      </c>
      <c r="AD850" s="524" t="str">
        <f>IF(LANÇ_MOV[[#This Row],[DATA DE LANÇAMENTO]]="","",TEXT(LANÇ_MOV[[#This Row],[DATA DE LANÇAMENTO]],"D"))</f>
        <v/>
      </c>
      <c r="AE850" s="526" t="str">
        <f>IF(LANÇ_MOV[[#This Row],[DATA DE VENCIMENTO]]="","",TEXT(LANÇ_MOV[[#This Row],[DATA DE VENCIMENTO]],"AAAA"))</f>
        <v/>
      </c>
      <c r="AF850" s="526" t="str">
        <f>IF(LANÇ_MOV[[#This Row],[DATA DE VENCIMENTO]]="","",UPPER(TEXT(LANÇ_MOV[[#This Row],[DATA DE VENCIMENTO]],"MMMM")))</f>
        <v/>
      </c>
      <c r="AG850" s="526" t="str">
        <f>IF(LANÇ_MOV[[#This Row],[DATA DE VENCIMENTO]]="","",TEXT(LANÇ_MOV[[#This Row],[DATA DE VENCIMENTO]],"M"))</f>
        <v/>
      </c>
      <c r="AH850" s="526" t="str">
        <f>IF(LANÇ_MOV[[#This Row],[DATA DE VENCIMENTO]]="","",TEXT(LANÇ_MOV[[#This Row],[DATA DE VENCIMENTO]],"D"))</f>
        <v/>
      </c>
      <c r="AI850" s="526" t="str">
        <f>IF(LANÇ_MOV[[#This Row],[DATA DE PAGAMENTO]]="","",TEXT(LANÇ_MOV[[#This Row],[DATA DE PAGAMENTO]],"AAAA"))</f>
        <v/>
      </c>
      <c r="AJ850" s="527" t="str">
        <f>IF(LANÇ_MOV[[#This Row],[DATA DE PAGAMENTO]]="","",UPPER(TEXT(LANÇ_MOV[[#This Row],[DATA DE PAGAMENTO]],"MMMM")))</f>
        <v/>
      </c>
      <c r="AK850" s="527" t="str">
        <f>IF(LANÇ_MOV[[#This Row],[DATA DE PAGAMENTO]]="","",TEXT(LANÇ_MOV[[#This Row],[DATA DE PAGAMENTO]],"M"))</f>
        <v/>
      </c>
      <c r="AL850" s="526" t="str">
        <f>IF(LANÇ_MOV[[#This Row],[DATA DE PAGAMENTO]]="","",TEXT(LANÇ_MOV[[#This Row],[DATA DE PAGAMENTO]],"D"))</f>
        <v/>
      </c>
    </row>
    <row r="851" spans="2:38" ht="30.05" customHeight="1" x14ac:dyDescent="0.35">
      <c r="B851" s="506"/>
      <c r="C851" s="507"/>
      <c r="D851" s="508" t="s">
        <v>1854</v>
      </c>
      <c r="E851" s="509"/>
      <c r="F851" s="510"/>
      <c r="G851" s="507"/>
      <c r="H851" s="511"/>
      <c r="I851" s="512"/>
      <c r="J851" s="518"/>
      <c r="K851" s="510"/>
      <c r="L851" s="510"/>
      <c r="M851" s="548"/>
      <c r="N851" s="514">
        <f>LANÇ_MOV[[#This Row],[VALOR BRUTO]]-LANÇ_MOV[[#This Row],[DESCONTO]]+LANÇ_MOV[[#This Row],[JUROS]]+LANÇ_MOV[[#This Row],[MULTA]]</f>
        <v>0</v>
      </c>
      <c r="O851" s="546"/>
      <c r="P851" s="547" t="str">
        <f t="shared" ca="1" si="13"/>
        <v/>
      </c>
      <c r="Q851" s="528"/>
      <c r="R851" s="529"/>
      <c r="S851" s="518"/>
      <c r="T851" s="518"/>
      <c r="U851" s="519"/>
      <c r="V851" s="520" t="str">
        <f>IFERROR(VLOOKUP(LANÇ_MOV[[#This Row],[PLANO DE CONTAS]],Plano_Contas[[PLANO DE CONTAS]:[R / D]],3,0),"")</f>
        <v/>
      </c>
      <c r="W851" s="521" t="str">
        <f>IF(LANÇ_MOV[[#This Row],[DATA DE PAGAMENTO]]&lt;&gt;"","Pago","Não Pago")</f>
        <v>Não Pago</v>
      </c>
      <c r="X851" s="522" t="str">
        <f>IFERROR(IF(LANÇ_MOV[[#This Row],[DATA DE PAGAMENTO]]="","",(UPPER(TEXT(LANÇ_MOV[[#This Row],[DATA DE PAGAMENTO]],"mmmm")))),"")</f>
        <v/>
      </c>
      <c r="Y851" s="523" t="str">
        <f>IFERROR(VLOOKUP(LANÇ_MOV[[#This Row],[PLANO DE CONTAS]],Plano_Contas[[PLANO DE CONTAS]:[NOMES INTERVALOS]],2,0),"")</f>
        <v/>
      </c>
      <c r="Z851" s="523" t="str">
        <f>IF(LANÇ_MOV[[#This Row],[FORMA DE PAGAMENTO]]="","",VLOOKUP(LANÇ_MOV[[#This Row],[FORMA DE PAGAMENTO]],CAD_Forma_pagto[],2,0))</f>
        <v/>
      </c>
      <c r="AA851" s="524" t="str">
        <f>IF(LANÇ_MOV[[#This Row],[DATA DE LANÇAMENTO]]="","",TEXT(LANÇ_MOV[[#This Row],[DATA DE LANÇAMENTO]],"AAAA"))</f>
        <v/>
      </c>
      <c r="AB851" s="524" t="str">
        <f>IF(LANÇ_MOV[[#This Row],[DATA DE LANÇAMENTO]]="","",UPPER(TEXT(LANÇ_MOV[[#This Row],[DATA DE LANÇAMENTO]],"MMMM")))</f>
        <v/>
      </c>
      <c r="AC851" s="525" t="str">
        <f>IF(LANÇ_MOV[[#This Row],[DATA DE LANÇAMENTO]]="","",PROPER(TEXT(LANÇ_MOV[[#This Row],[DATA DE LANÇAMENTO]],"M")))</f>
        <v/>
      </c>
      <c r="AD851" s="524" t="str">
        <f>IF(LANÇ_MOV[[#This Row],[DATA DE LANÇAMENTO]]="","",TEXT(LANÇ_MOV[[#This Row],[DATA DE LANÇAMENTO]],"D"))</f>
        <v/>
      </c>
      <c r="AE851" s="526" t="str">
        <f>IF(LANÇ_MOV[[#This Row],[DATA DE VENCIMENTO]]="","",TEXT(LANÇ_MOV[[#This Row],[DATA DE VENCIMENTO]],"AAAA"))</f>
        <v/>
      </c>
      <c r="AF851" s="526" t="str">
        <f>IF(LANÇ_MOV[[#This Row],[DATA DE VENCIMENTO]]="","",UPPER(TEXT(LANÇ_MOV[[#This Row],[DATA DE VENCIMENTO]],"MMMM")))</f>
        <v/>
      </c>
      <c r="AG851" s="526" t="str">
        <f>IF(LANÇ_MOV[[#This Row],[DATA DE VENCIMENTO]]="","",TEXT(LANÇ_MOV[[#This Row],[DATA DE VENCIMENTO]],"M"))</f>
        <v/>
      </c>
      <c r="AH851" s="526" t="str">
        <f>IF(LANÇ_MOV[[#This Row],[DATA DE VENCIMENTO]]="","",TEXT(LANÇ_MOV[[#This Row],[DATA DE VENCIMENTO]],"D"))</f>
        <v/>
      </c>
      <c r="AI851" s="526" t="str">
        <f>IF(LANÇ_MOV[[#This Row],[DATA DE PAGAMENTO]]="","",TEXT(LANÇ_MOV[[#This Row],[DATA DE PAGAMENTO]],"AAAA"))</f>
        <v/>
      </c>
      <c r="AJ851" s="527" t="str">
        <f>IF(LANÇ_MOV[[#This Row],[DATA DE PAGAMENTO]]="","",UPPER(TEXT(LANÇ_MOV[[#This Row],[DATA DE PAGAMENTO]],"MMMM")))</f>
        <v/>
      </c>
      <c r="AK851" s="527" t="str">
        <f>IF(LANÇ_MOV[[#This Row],[DATA DE PAGAMENTO]]="","",TEXT(LANÇ_MOV[[#This Row],[DATA DE PAGAMENTO]],"M"))</f>
        <v/>
      </c>
      <c r="AL851" s="526" t="str">
        <f>IF(LANÇ_MOV[[#This Row],[DATA DE PAGAMENTO]]="","",TEXT(LANÇ_MOV[[#This Row],[DATA DE PAGAMENTO]],"D"))</f>
        <v/>
      </c>
    </row>
    <row r="852" spans="2:38" ht="30.05" customHeight="1" x14ac:dyDescent="0.35">
      <c r="B852" s="506"/>
      <c r="C852" s="507"/>
      <c r="D852" s="508" t="s">
        <v>1854</v>
      </c>
      <c r="E852" s="509"/>
      <c r="F852" s="510"/>
      <c r="G852" s="507"/>
      <c r="H852" s="511"/>
      <c r="I852" s="512"/>
      <c r="J852" s="518"/>
      <c r="K852" s="510"/>
      <c r="L852" s="510"/>
      <c r="M852" s="548"/>
      <c r="N852" s="514">
        <f>LANÇ_MOV[[#This Row],[VALOR BRUTO]]-LANÇ_MOV[[#This Row],[DESCONTO]]+LANÇ_MOV[[#This Row],[JUROS]]+LANÇ_MOV[[#This Row],[MULTA]]</f>
        <v>0</v>
      </c>
      <c r="O852" s="546"/>
      <c r="P852" s="547" t="str">
        <f t="shared" ca="1" si="13"/>
        <v/>
      </c>
      <c r="Q852" s="528"/>
      <c r="R852" s="529"/>
      <c r="S852" s="518"/>
      <c r="T852" s="518"/>
      <c r="U852" s="519"/>
      <c r="V852" s="520" t="str">
        <f>IFERROR(VLOOKUP(LANÇ_MOV[[#This Row],[PLANO DE CONTAS]],Plano_Contas[[PLANO DE CONTAS]:[R / D]],3,0),"")</f>
        <v/>
      </c>
      <c r="W852" s="521" t="str">
        <f>IF(LANÇ_MOV[[#This Row],[DATA DE PAGAMENTO]]&lt;&gt;"","Pago","Não Pago")</f>
        <v>Não Pago</v>
      </c>
      <c r="X852" s="522" t="str">
        <f>IFERROR(IF(LANÇ_MOV[[#This Row],[DATA DE PAGAMENTO]]="","",(UPPER(TEXT(LANÇ_MOV[[#This Row],[DATA DE PAGAMENTO]],"mmmm")))),"")</f>
        <v/>
      </c>
      <c r="Y852" s="523" t="str">
        <f>IFERROR(VLOOKUP(LANÇ_MOV[[#This Row],[PLANO DE CONTAS]],Plano_Contas[[PLANO DE CONTAS]:[NOMES INTERVALOS]],2,0),"")</f>
        <v/>
      </c>
      <c r="Z852" s="523" t="str">
        <f>IF(LANÇ_MOV[[#This Row],[FORMA DE PAGAMENTO]]="","",VLOOKUP(LANÇ_MOV[[#This Row],[FORMA DE PAGAMENTO]],CAD_Forma_pagto[],2,0))</f>
        <v/>
      </c>
      <c r="AA852" s="524" t="str">
        <f>IF(LANÇ_MOV[[#This Row],[DATA DE LANÇAMENTO]]="","",TEXT(LANÇ_MOV[[#This Row],[DATA DE LANÇAMENTO]],"AAAA"))</f>
        <v/>
      </c>
      <c r="AB852" s="524" t="str">
        <f>IF(LANÇ_MOV[[#This Row],[DATA DE LANÇAMENTO]]="","",UPPER(TEXT(LANÇ_MOV[[#This Row],[DATA DE LANÇAMENTO]],"MMMM")))</f>
        <v/>
      </c>
      <c r="AC852" s="525" t="str">
        <f>IF(LANÇ_MOV[[#This Row],[DATA DE LANÇAMENTO]]="","",PROPER(TEXT(LANÇ_MOV[[#This Row],[DATA DE LANÇAMENTO]],"M")))</f>
        <v/>
      </c>
      <c r="AD852" s="524" t="str">
        <f>IF(LANÇ_MOV[[#This Row],[DATA DE LANÇAMENTO]]="","",TEXT(LANÇ_MOV[[#This Row],[DATA DE LANÇAMENTO]],"D"))</f>
        <v/>
      </c>
      <c r="AE852" s="526" t="str">
        <f>IF(LANÇ_MOV[[#This Row],[DATA DE VENCIMENTO]]="","",TEXT(LANÇ_MOV[[#This Row],[DATA DE VENCIMENTO]],"AAAA"))</f>
        <v/>
      </c>
      <c r="AF852" s="526" t="str">
        <f>IF(LANÇ_MOV[[#This Row],[DATA DE VENCIMENTO]]="","",UPPER(TEXT(LANÇ_MOV[[#This Row],[DATA DE VENCIMENTO]],"MMMM")))</f>
        <v/>
      </c>
      <c r="AG852" s="526" t="str">
        <f>IF(LANÇ_MOV[[#This Row],[DATA DE VENCIMENTO]]="","",TEXT(LANÇ_MOV[[#This Row],[DATA DE VENCIMENTO]],"M"))</f>
        <v/>
      </c>
      <c r="AH852" s="526" t="str">
        <f>IF(LANÇ_MOV[[#This Row],[DATA DE VENCIMENTO]]="","",TEXT(LANÇ_MOV[[#This Row],[DATA DE VENCIMENTO]],"D"))</f>
        <v/>
      </c>
      <c r="AI852" s="526" t="str">
        <f>IF(LANÇ_MOV[[#This Row],[DATA DE PAGAMENTO]]="","",TEXT(LANÇ_MOV[[#This Row],[DATA DE PAGAMENTO]],"AAAA"))</f>
        <v/>
      </c>
      <c r="AJ852" s="527" t="str">
        <f>IF(LANÇ_MOV[[#This Row],[DATA DE PAGAMENTO]]="","",UPPER(TEXT(LANÇ_MOV[[#This Row],[DATA DE PAGAMENTO]],"MMMM")))</f>
        <v/>
      </c>
      <c r="AK852" s="527" t="str">
        <f>IF(LANÇ_MOV[[#This Row],[DATA DE PAGAMENTO]]="","",TEXT(LANÇ_MOV[[#This Row],[DATA DE PAGAMENTO]],"M"))</f>
        <v/>
      </c>
      <c r="AL852" s="526" t="str">
        <f>IF(LANÇ_MOV[[#This Row],[DATA DE PAGAMENTO]]="","",TEXT(LANÇ_MOV[[#This Row],[DATA DE PAGAMENTO]],"D"))</f>
        <v/>
      </c>
    </row>
    <row r="853" spans="2:38" ht="30.05" customHeight="1" x14ac:dyDescent="0.35">
      <c r="B853" s="506"/>
      <c r="C853" s="507"/>
      <c r="D853" s="508" t="s">
        <v>1854</v>
      </c>
      <c r="E853" s="509"/>
      <c r="F853" s="510"/>
      <c r="G853" s="507"/>
      <c r="H853" s="511"/>
      <c r="I853" s="512"/>
      <c r="J853" s="518"/>
      <c r="K853" s="510"/>
      <c r="L853" s="510"/>
      <c r="M853" s="548"/>
      <c r="N853" s="514">
        <f>LANÇ_MOV[[#This Row],[VALOR BRUTO]]-LANÇ_MOV[[#This Row],[DESCONTO]]+LANÇ_MOV[[#This Row],[JUROS]]+LANÇ_MOV[[#This Row],[MULTA]]</f>
        <v>0</v>
      </c>
      <c r="O853" s="546"/>
      <c r="P853" s="547" t="str">
        <f t="shared" ca="1" si="13"/>
        <v/>
      </c>
      <c r="Q853" s="528"/>
      <c r="R853" s="529"/>
      <c r="S853" s="518"/>
      <c r="T853" s="518"/>
      <c r="U853" s="519"/>
      <c r="V853" s="520" t="str">
        <f>IFERROR(VLOOKUP(LANÇ_MOV[[#This Row],[PLANO DE CONTAS]],Plano_Contas[[PLANO DE CONTAS]:[R / D]],3,0),"")</f>
        <v/>
      </c>
      <c r="W853" s="521" t="str">
        <f>IF(LANÇ_MOV[[#This Row],[DATA DE PAGAMENTO]]&lt;&gt;"","Pago","Não Pago")</f>
        <v>Não Pago</v>
      </c>
      <c r="X853" s="522" t="str">
        <f>IFERROR(IF(LANÇ_MOV[[#This Row],[DATA DE PAGAMENTO]]="","",(UPPER(TEXT(LANÇ_MOV[[#This Row],[DATA DE PAGAMENTO]],"mmmm")))),"")</f>
        <v/>
      </c>
      <c r="Y853" s="523" t="str">
        <f>IFERROR(VLOOKUP(LANÇ_MOV[[#This Row],[PLANO DE CONTAS]],Plano_Contas[[PLANO DE CONTAS]:[NOMES INTERVALOS]],2,0),"")</f>
        <v/>
      </c>
      <c r="Z853" s="523" t="str">
        <f>IF(LANÇ_MOV[[#This Row],[FORMA DE PAGAMENTO]]="","",VLOOKUP(LANÇ_MOV[[#This Row],[FORMA DE PAGAMENTO]],CAD_Forma_pagto[],2,0))</f>
        <v/>
      </c>
      <c r="AA853" s="524" t="str">
        <f>IF(LANÇ_MOV[[#This Row],[DATA DE LANÇAMENTO]]="","",TEXT(LANÇ_MOV[[#This Row],[DATA DE LANÇAMENTO]],"AAAA"))</f>
        <v/>
      </c>
      <c r="AB853" s="524" t="str">
        <f>IF(LANÇ_MOV[[#This Row],[DATA DE LANÇAMENTO]]="","",UPPER(TEXT(LANÇ_MOV[[#This Row],[DATA DE LANÇAMENTO]],"MMMM")))</f>
        <v/>
      </c>
      <c r="AC853" s="525" t="str">
        <f>IF(LANÇ_MOV[[#This Row],[DATA DE LANÇAMENTO]]="","",PROPER(TEXT(LANÇ_MOV[[#This Row],[DATA DE LANÇAMENTO]],"M")))</f>
        <v/>
      </c>
      <c r="AD853" s="524" t="str">
        <f>IF(LANÇ_MOV[[#This Row],[DATA DE LANÇAMENTO]]="","",TEXT(LANÇ_MOV[[#This Row],[DATA DE LANÇAMENTO]],"D"))</f>
        <v/>
      </c>
      <c r="AE853" s="526" t="str">
        <f>IF(LANÇ_MOV[[#This Row],[DATA DE VENCIMENTO]]="","",TEXT(LANÇ_MOV[[#This Row],[DATA DE VENCIMENTO]],"AAAA"))</f>
        <v/>
      </c>
      <c r="AF853" s="526" t="str">
        <f>IF(LANÇ_MOV[[#This Row],[DATA DE VENCIMENTO]]="","",UPPER(TEXT(LANÇ_MOV[[#This Row],[DATA DE VENCIMENTO]],"MMMM")))</f>
        <v/>
      </c>
      <c r="AG853" s="526" t="str">
        <f>IF(LANÇ_MOV[[#This Row],[DATA DE VENCIMENTO]]="","",TEXT(LANÇ_MOV[[#This Row],[DATA DE VENCIMENTO]],"M"))</f>
        <v/>
      </c>
      <c r="AH853" s="526" t="str">
        <f>IF(LANÇ_MOV[[#This Row],[DATA DE VENCIMENTO]]="","",TEXT(LANÇ_MOV[[#This Row],[DATA DE VENCIMENTO]],"D"))</f>
        <v/>
      </c>
      <c r="AI853" s="526" t="str">
        <f>IF(LANÇ_MOV[[#This Row],[DATA DE PAGAMENTO]]="","",TEXT(LANÇ_MOV[[#This Row],[DATA DE PAGAMENTO]],"AAAA"))</f>
        <v/>
      </c>
      <c r="AJ853" s="527" t="str">
        <f>IF(LANÇ_MOV[[#This Row],[DATA DE PAGAMENTO]]="","",UPPER(TEXT(LANÇ_MOV[[#This Row],[DATA DE PAGAMENTO]],"MMMM")))</f>
        <v/>
      </c>
      <c r="AK853" s="527" t="str">
        <f>IF(LANÇ_MOV[[#This Row],[DATA DE PAGAMENTO]]="","",TEXT(LANÇ_MOV[[#This Row],[DATA DE PAGAMENTO]],"M"))</f>
        <v/>
      </c>
      <c r="AL853" s="526" t="str">
        <f>IF(LANÇ_MOV[[#This Row],[DATA DE PAGAMENTO]]="","",TEXT(LANÇ_MOV[[#This Row],[DATA DE PAGAMENTO]],"D"))</f>
        <v/>
      </c>
    </row>
    <row r="854" spans="2:38" ht="30.05" customHeight="1" x14ac:dyDescent="0.35">
      <c r="B854" s="506"/>
      <c r="C854" s="507"/>
      <c r="D854" s="508" t="s">
        <v>1854</v>
      </c>
      <c r="E854" s="509"/>
      <c r="F854" s="510"/>
      <c r="G854" s="507"/>
      <c r="H854" s="511"/>
      <c r="I854" s="512"/>
      <c r="J854" s="518"/>
      <c r="K854" s="510"/>
      <c r="L854" s="510"/>
      <c r="M854" s="548"/>
      <c r="N854" s="514">
        <f>LANÇ_MOV[[#This Row],[VALOR BRUTO]]-LANÇ_MOV[[#This Row],[DESCONTO]]+LANÇ_MOV[[#This Row],[JUROS]]+LANÇ_MOV[[#This Row],[MULTA]]</f>
        <v>0</v>
      </c>
      <c r="O854" s="546"/>
      <c r="P854" s="547" t="str">
        <f t="shared" ca="1" si="13"/>
        <v/>
      </c>
      <c r="Q854" s="528"/>
      <c r="R854" s="529"/>
      <c r="S854" s="518"/>
      <c r="T854" s="518"/>
      <c r="U854" s="519"/>
      <c r="V854" s="520" t="str">
        <f>IFERROR(VLOOKUP(LANÇ_MOV[[#This Row],[PLANO DE CONTAS]],Plano_Contas[[PLANO DE CONTAS]:[R / D]],3,0),"")</f>
        <v/>
      </c>
      <c r="W854" s="521" t="str">
        <f>IF(LANÇ_MOV[[#This Row],[DATA DE PAGAMENTO]]&lt;&gt;"","Pago","Não Pago")</f>
        <v>Não Pago</v>
      </c>
      <c r="X854" s="522" t="str">
        <f>IFERROR(IF(LANÇ_MOV[[#This Row],[DATA DE PAGAMENTO]]="","",(UPPER(TEXT(LANÇ_MOV[[#This Row],[DATA DE PAGAMENTO]],"mmmm")))),"")</f>
        <v/>
      </c>
      <c r="Y854" s="523" t="str">
        <f>IFERROR(VLOOKUP(LANÇ_MOV[[#This Row],[PLANO DE CONTAS]],Plano_Contas[[PLANO DE CONTAS]:[NOMES INTERVALOS]],2,0),"")</f>
        <v/>
      </c>
      <c r="Z854" s="523" t="str">
        <f>IF(LANÇ_MOV[[#This Row],[FORMA DE PAGAMENTO]]="","",VLOOKUP(LANÇ_MOV[[#This Row],[FORMA DE PAGAMENTO]],CAD_Forma_pagto[],2,0))</f>
        <v/>
      </c>
      <c r="AA854" s="524" t="str">
        <f>IF(LANÇ_MOV[[#This Row],[DATA DE LANÇAMENTO]]="","",TEXT(LANÇ_MOV[[#This Row],[DATA DE LANÇAMENTO]],"AAAA"))</f>
        <v/>
      </c>
      <c r="AB854" s="524" t="str">
        <f>IF(LANÇ_MOV[[#This Row],[DATA DE LANÇAMENTO]]="","",UPPER(TEXT(LANÇ_MOV[[#This Row],[DATA DE LANÇAMENTO]],"MMMM")))</f>
        <v/>
      </c>
      <c r="AC854" s="525" t="str">
        <f>IF(LANÇ_MOV[[#This Row],[DATA DE LANÇAMENTO]]="","",PROPER(TEXT(LANÇ_MOV[[#This Row],[DATA DE LANÇAMENTO]],"M")))</f>
        <v/>
      </c>
      <c r="AD854" s="524" t="str">
        <f>IF(LANÇ_MOV[[#This Row],[DATA DE LANÇAMENTO]]="","",TEXT(LANÇ_MOV[[#This Row],[DATA DE LANÇAMENTO]],"D"))</f>
        <v/>
      </c>
      <c r="AE854" s="526" t="str">
        <f>IF(LANÇ_MOV[[#This Row],[DATA DE VENCIMENTO]]="","",TEXT(LANÇ_MOV[[#This Row],[DATA DE VENCIMENTO]],"AAAA"))</f>
        <v/>
      </c>
      <c r="AF854" s="526" t="str">
        <f>IF(LANÇ_MOV[[#This Row],[DATA DE VENCIMENTO]]="","",UPPER(TEXT(LANÇ_MOV[[#This Row],[DATA DE VENCIMENTO]],"MMMM")))</f>
        <v/>
      </c>
      <c r="AG854" s="526" t="str">
        <f>IF(LANÇ_MOV[[#This Row],[DATA DE VENCIMENTO]]="","",TEXT(LANÇ_MOV[[#This Row],[DATA DE VENCIMENTO]],"M"))</f>
        <v/>
      </c>
      <c r="AH854" s="526" t="str">
        <f>IF(LANÇ_MOV[[#This Row],[DATA DE VENCIMENTO]]="","",TEXT(LANÇ_MOV[[#This Row],[DATA DE VENCIMENTO]],"D"))</f>
        <v/>
      </c>
      <c r="AI854" s="526" t="str">
        <f>IF(LANÇ_MOV[[#This Row],[DATA DE PAGAMENTO]]="","",TEXT(LANÇ_MOV[[#This Row],[DATA DE PAGAMENTO]],"AAAA"))</f>
        <v/>
      </c>
      <c r="AJ854" s="527" t="str">
        <f>IF(LANÇ_MOV[[#This Row],[DATA DE PAGAMENTO]]="","",UPPER(TEXT(LANÇ_MOV[[#This Row],[DATA DE PAGAMENTO]],"MMMM")))</f>
        <v/>
      </c>
      <c r="AK854" s="527" t="str">
        <f>IF(LANÇ_MOV[[#This Row],[DATA DE PAGAMENTO]]="","",TEXT(LANÇ_MOV[[#This Row],[DATA DE PAGAMENTO]],"M"))</f>
        <v/>
      </c>
      <c r="AL854" s="526" t="str">
        <f>IF(LANÇ_MOV[[#This Row],[DATA DE PAGAMENTO]]="","",TEXT(LANÇ_MOV[[#This Row],[DATA DE PAGAMENTO]],"D"))</f>
        <v/>
      </c>
    </row>
    <row r="855" spans="2:38" ht="30.05" customHeight="1" x14ac:dyDescent="0.35">
      <c r="B855" s="506"/>
      <c r="C855" s="507"/>
      <c r="D855" s="508" t="s">
        <v>1854</v>
      </c>
      <c r="E855" s="509"/>
      <c r="F855" s="510"/>
      <c r="G855" s="507"/>
      <c r="H855" s="511"/>
      <c r="I855" s="512"/>
      <c r="J855" s="518"/>
      <c r="K855" s="510"/>
      <c r="L855" s="510"/>
      <c r="M855" s="548"/>
      <c r="N855" s="514">
        <f>LANÇ_MOV[[#This Row],[VALOR BRUTO]]-LANÇ_MOV[[#This Row],[DESCONTO]]+LANÇ_MOV[[#This Row],[JUROS]]+LANÇ_MOV[[#This Row],[MULTA]]</f>
        <v>0</v>
      </c>
      <c r="O855" s="546"/>
      <c r="P855" s="547" t="str">
        <f t="shared" ca="1" si="13"/>
        <v/>
      </c>
      <c r="Q855" s="528"/>
      <c r="R855" s="529"/>
      <c r="S855" s="518"/>
      <c r="T855" s="518"/>
      <c r="U855" s="519"/>
      <c r="V855" s="520" t="str">
        <f>IFERROR(VLOOKUP(LANÇ_MOV[[#This Row],[PLANO DE CONTAS]],Plano_Contas[[PLANO DE CONTAS]:[R / D]],3,0),"")</f>
        <v/>
      </c>
      <c r="W855" s="521" t="str">
        <f>IF(LANÇ_MOV[[#This Row],[DATA DE PAGAMENTO]]&lt;&gt;"","Pago","Não Pago")</f>
        <v>Não Pago</v>
      </c>
      <c r="X855" s="522" t="str">
        <f>IFERROR(IF(LANÇ_MOV[[#This Row],[DATA DE PAGAMENTO]]="","",(UPPER(TEXT(LANÇ_MOV[[#This Row],[DATA DE PAGAMENTO]],"mmmm")))),"")</f>
        <v/>
      </c>
      <c r="Y855" s="523" t="str">
        <f>IFERROR(VLOOKUP(LANÇ_MOV[[#This Row],[PLANO DE CONTAS]],Plano_Contas[[PLANO DE CONTAS]:[NOMES INTERVALOS]],2,0),"")</f>
        <v/>
      </c>
      <c r="Z855" s="523" t="str">
        <f>IF(LANÇ_MOV[[#This Row],[FORMA DE PAGAMENTO]]="","",VLOOKUP(LANÇ_MOV[[#This Row],[FORMA DE PAGAMENTO]],CAD_Forma_pagto[],2,0))</f>
        <v/>
      </c>
      <c r="AA855" s="524" t="str">
        <f>IF(LANÇ_MOV[[#This Row],[DATA DE LANÇAMENTO]]="","",TEXT(LANÇ_MOV[[#This Row],[DATA DE LANÇAMENTO]],"AAAA"))</f>
        <v/>
      </c>
      <c r="AB855" s="524" t="str">
        <f>IF(LANÇ_MOV[[#This Row],[DATA DE LANÇAMENTO]]="","",UPPER(TEXT(LANÇ_MOV[[#This Row],[DATA DE LANÇAMENTO]],"MMMM")))</f>
        <v/>
      </c>
      <c r="AC855" s="525" t="str">
        <f>IF(LANÇ_MOV[[#This Row],[DATA DE LANÇAMENTO]]="","",PROPER(TEXT(LANÇ_MOV[[#This Row],[DATA DE LANÇAMENTO]],"M")))</f>
        <v/>
      </c>
      <c r="AD855" s="524" t="str">
        <f>IF(LANÇ_MOV[[#This Row],[DATA DE LANÇAMENTO]]="","",TEXT(LANÇ_MOV[[#This Row],[DATA DE LANÇAMENTO]],"D"))</f>
        <v/>
      </c>
      <c r="AE855" s="526" t="str">
        <f>IF(LANÇ_MOV[[#This Row],[DATA DE VENCIMENTO]]="","",TEXT(LANÇ_MOV[[#This Row],[DATA DE VENCIMENTO]],"AAAA"))</f>
        <v/>
      </c>
      <c r="AF855" s="526" t="str">
        <f>IF(LANÇ_MOV[[#This Row],[DATA DE VENCIMENTO]]="","",UPPER(TEXT(LANÇ_MOV[[#This Row],[DATA DE VENCIMENTO]],"MMMM")))</f>
        <v/>
      </c>
      <c r="AG855" s="526" t="str">
        <f>IF(LANÇ_MOV[[#This Row],[DATA DE VENCIMENTO]]="","",TEXT(LANÇ_MOV[[#This Row],[DATA DE VENCIMENTO]],"M"))</f>
        <v/>
      </c>
      <c r="AH855" s="526" t="str">
        <f>IF(LANÇ_MOV[[#This Row],[DATA DE VENCIMENTO]]="","",TEXT(LANÇ_MOV[[#This Row],[DATA DE VENCIMENTO]],"D"))</f>
        <v/>
      </c>
      <c r="AI855" s="526" t="str">
        <f>IF(LANÇ_MOV[[#This Row],[DATA DE PAGAMENTO]]="","",TEXT(LANÇ_MOV[[#This Row],[DATA DE PAGAMENTO]],"AAAA"))</f>
        <v/>
      </c>
      <c r="AJ855" s="527" t="str">
        <f>IF(LANÇ_MOV[[#This Row],[DATA DE PAGAMENTO]]="","",UPPER(TEXT(LANÇ_MOV[[#This Row],[DATA DE PAGAMENTO]],"MMMM")))</f>
        <v/>
      </c>
      <c r="AK855" s="527" t="str">
        <f>IF(LANÇ_MOV[[#This Row],[DATA DE PAGAMENTO]]="","",TEXT(LANÇ_MOV[[#This Row],[DATA DE PAGAMENTO]],"M"))</f>
        <v/>
      </c>
      <c r="AL855" s="526" t="str">
        <f>IF(LANÇ_MOV[[#This Row],[DATA DE PAGAMENTO]]="","",TEXT(LANÇ_MOV[[#This Row],[DATA DE PAGAMENTO]],"D"))</f>
        <v/>
      </c>
    </row>
    <row r="856" spans="2:38" ht="30.05" customHeight="1" x14ac:dyDescent="0.35">
      <c r="B856" s="506"/>
      <c r="C856" s="507"/>
      <c r="D856" s="508" t="s">
        <v>1854</v>
      </c>
      <c r="E856" s="509"/>
      <c r="F856" s="510"/>
      <c r="G856" s="507"/>
      <c r="H856" s="511"/>
      <c r="I856" s="512"/>
      <c r="J856" s="518"/>
      <c r="K856" s="510"/>
      <c r="L856" s="510"/>
      <c r="M856" s="548"/>
      <c r="N856" s="514">
        <f>LANÇ_MOV[[#This Row],[VALOR BRUTO]]-LANÇ_MOV[[#This Row],[DESCONTO]]+LANÇ_MOV[[#This Row],[JUROS]]+LANÇ_MOV[[#This Row],[MULTA]]</f>
        <v>0</v>
      </c>
      <c r="O856" s="546"/>
      <c r="P856" s="547" t="str">
        <f t="shared" ca="1" si="13"/>
        <v/>
      </c>
      <c r="Q856" s="528"/>
      <c r="R856" s="529"/>
      <c r="S856" s="518"/>
      <c r="T856" s="518"/>
      <c r="U856" s="519"/>
      <c r="V856" s="520" t="str">
        <f>IFERROR(VLOOKUP(LANÇ_MOV[[#This Row],[PLANO DE CONTAS]],Plano_Contas[[PLANO DE CONTAS]:[R / D]],3,0),"")</f>
        <v/>
      </c>
      <c r="W856" s="521" t="str">
        <f>IF(LANÇ_MOV[[#This Row],[DATA DE PAGAMENTO]]&lt;&gt;"","Pago","Não Pago")</f>
        <v>Não Pago</v>
      </c>
      <c r="X856" s="522" t="str">
        <f>IFERROR(IF(LANÇ_MOV[[#This Row],[DATA DE PAGAMENTO]]="","",(UPPER(TEXT(LANÇ_MOV[[#This Row],[DATA DE PAGAMENTO]],"mmmm")))),"")</f>
        <v/>
      </c>
      <c r="Y856" s="523" t="str">
        <f>IFERROR(VLOOKUP(LANÇ_MOV[[#This Row],[PLANO DE CONTAS]],Plano_Contas[[PLANO DE CONTAS]:[NOMES INTERVALOS]],2,0),"")</f>
        <v/>
      </c>
      <c r="Z856" s="523" t="str">
        <f>IF(LANÇ_MOV[[#This Row],[FORMA DE PAGAMENTO]]="","",VLOOKUP(LANÇ_MOV[[#This Row],[FORMA DE PAGAMENTO]],CAD_Forma_pagto[],2,0))</f>
        <v/>
      </c>
      <c r="AA856" s="524" t="str">
        <f>IF(LANÇ_MOV[[#This Row],[DATA DE LANÇAMENTO]]="","",TEXT(LANÇ_MOV[[#This Row],[DATA DE LANÇAMENTO]],"AAAA"))</f>
        <v/>
      </c>
      <c r="AB856" s="524" t="str">
        <f>IF(LANÇ_MOV[[#This Row],[DATA DE LANÇAMENTO]]="","",UPPER(TEXT(LANÇ_MOV[[#This Row],[DATA DE LANÇAMENTO]],"MMMM")))</f>
        <v/>
      </c>
      <c r="AC856" s="525" t="str">
        <f>IF(LANÇ_MOV[[#This Row],[DATA DE LANÇAMENTO]]="","",PROPER(TEXT(LANÇ_MOV[[#This Row],[DATA DE LANÇAMENTO]],"M")))</f>
        <v/>
      </c>
      <c r="AD856" s="524" t="str">
        <f>IF(LANÇ_MOV[[#This Row],[DATA DE LANÇAMENTO]]="","",TEXT(LANÇ_MOV[[#This Row],[DATA DE LANÇAMENTO]],"D"))</f>
        <v/>
      </c>
      <c r="AE856" s="526" t="str">
        <f>IF(LANÇ_MOV[[#This Row],[DATA DE VENCIMENTO]]="","",TEXT(LANÇ_MOV[[#This Row],[DATA DE VENCIMENTO]],"AAAA"))</f>
        <v/>
      </c>
      <c r="AF856" s="526" t="str">
        <f>IF(LANÇ_MOV[[#This Row],[DATA DE VENCIMENTO]]="","",UPPER(TEXT(LANÇ_MOV[[#This Row],[DATA DE VENCIMENTO]],"MMMM")))</f>
        <v/>
      </c>
      <c r="AG856" s="526" t="str">
        <f>IF(LANÇ_MOV[[#This Row],[DATA DE VENCIMENTO]]="","",TEXT(LANÇ_MOV[[#This Row],[DATA DE VENCIMENTO]],"M"))</f>
        <v/>
      </c>
      <c r="AH856" s="526" t="str">
        <f>IF(LANÇ_MOV[[#This Row],[DATA DE VENCIMENTO]]="","",TEXT(LANÇ_MOV[[#This Row],[DATA DE VENCIMENTO]],"D"))</f>
        <v/>
      </c>
      <c r="AI856" s="526" t="str">
        <f>IF(LANÇ_MOV[[#This Row],[DATA DE PAGAMENTO]]="","",TEXT(LANÇ_MOV[[#This Row],[DATA DE PAGAMENTO]],"AAAA"))</f>
        <v/>
      </c>
      <c r="AJ856" s="527" t="str">
        <f>IF(LANÇ_MOV[[#This Row],[DATA DE PAGAMENTO]]="","",UPPER(TEXT(LANÇ_MOV[[#This Row],[DATA DE PAGAMENTO]],"MMMM")))</f>
        <v/>
      </c>
      <c r="AK856" s="527" t="str">
        <f>IF(LANÇ_MOV[[#This Row],[DATA DE PAGAMENTO]]="","",TEXT(LANÇ_MOV[[#This Row],[DATA DE PAGAMENTO]],"M"))</f>
        <v/>
      </c>
      <c r="AL856" s="526" t="str">
        <f>IF(LANÇ_MOV[[#This Row],[DATA DE PAGAMENTO]]="","",TEXT(LANÇ_MOV[[#This Row],[DATA DE PAGAMENTO]],"D"))</f>
        <v/>
      </c>
    </row>
    <row r="857" spans="2:38" ht="30.05" customHeight="1" x14ac:dyDescent="0.35">
      <c r="B857" s="506"/>
      <c r="C857" s="507"/>
      <c r="D857" s="508" t="s">
        <v>1854</v>
      </c>
      <c r="E857" s="509"/>
      <c r="F857" s="510"/>
      <c r="G857" s="507"/>
      <c r="H857" s="511"/>
      <c r="I857" s="512"/>
      <c r="J857" s="518"/>
      <c r="K857" s="510"/>
      <c r="L857" s="510"/>
      <c r="M857" s="548"/>
      <c r="N857" s="514">
        <f>LANÇ_MOV[[#This Row],[VALOR BRUTO]]-LANÇ_MOV[[#This Row],[DESCONTO]]+LANÇ_MOV[[#This Row],[JUROS]]+LANÇ_MOV[[#This Row],[MULTA]]</f>
        <v>0</v>
      </c>
      <c r="O857" s="546"/>
      <c r="P857" s="547" t="str">
        <f t="shared" ca="1" si="13"/>
        <v/>
      </c>
      <c r="Q857" s="528"/>
      <c r="R857" s="529"/>
      <c r="S857" s="518"/>
      <c r="T857" s="518"/>
      <c r="U857" s="519"/>
      <c r="V857" s="520" t="str">
        <f>IFERROR(VLOOKUP(LANÇ_MOV[[#This Row],[PLANO DE CONTAS]],Plano_Contas[[PLANO DE CONTAS]:[R / D]],3,0),"")</f>
        <v/>
      </c>
      <c r="W857" s="521" t="str">
        <f>IF(LANÇ_MOV[[#This Row],[DATA DE PAGAMENTO]]&lt;&gt;"","Pago","Não Pago")</f>
        <v>Não Pago</v>
      </c>
      <c r="X857" s="522" t="str">
        <f>IFERROR(IF(LANÇ_MOV[[#This Row],[DATA DE PAGAMENTO]]="","",(UPPER(TEXT(LANÇ_MOV[[#This Row],[DATA DE PAGAMENTO]],"mmmm")))),"")</f>
        <v/>
      </c>
      <c r="Y857" s="523" t="str">
        <f>IFERROR(VLOOKUP(LANÇ_MOV[[#This Row],[PLANO DE CONTAS]],Plano_Contas[[PLANO DE CONTAS]:[NOMES INTERVALOS]],2,0),"")</f>
        <v/>
      </c>
      <c r="Z857" s="523" t="str">
        <f>IF(LANÇ_MOV[[#This Row],[FORMA DE PAGAMENTO]]="","",VLOOKUP(LANÇ_MOV[[#This Row],[FORMA DE PAGAMENTO]],CAD_Forma_pagto[],2,0))</f>
        <v/>
      </c>
      <c r="AA857" s="524" t="str">
        <f>IF(LANÇ_MOV[[#This Row],[DATA DE LANÇAMENTO]]="","",TEXT(LANÇ_MOV[[#This Row],[DATA DE LANÇAMENTO]],"AAAA"))</f>
        <v/>
      </c>
      <c r="AB857" s="524" t="str">
        <f>IF(LANÇ_MOV[[#This Row],[DATA DE LANÇAMENTO]]="","",UPPER(TEXT(LANÇ_MOV[[#This Row],[DATA DE LANÇAMENTO]],"MMMM")))</f>
        <v/>
      </c>
      <c r="AC857" s="525" t="str">
        <f>IF(LANÇ_MOV[[#This Row],[DATA DE LANÇAMENTO]]="","",PROPER(TEXT(LANÇ_MOV[[#This Row],[DATA DE LANÇAMENTO]],"M")))</f>
        <v/>
      </c>
      <c r="AD857" s="524" t="str">
        <f>IF(LANÇ_MOV[[#This Row],[DATA DE LANÇAMENTO]]="","",TEXT(LANÇ_MOV[[#This Row],[DATA DE LANÇAMENTO]],"D"))</f>
        <v/>
      </c>
      <c r="AE857" s="526" t="str">
        <f>IF(LANÇ_MOV[[#This Row],[DATA DE VENCIMENTO]]="","",TEXT(LANÇ_MOV[[#This Row],[DATA DE VENCIMENTO]],"AAAA"))</f>
        <v/>
      </c>
      <c r="AF857" s="526" t="str">
        <f>IF(LANÇ_MOV[[#This Row],[DATA DE VENCIMENTO]]="","",UPPER(TEXT(LANÇ_MOV[[#This Row],[DATA DE VENCIMENTO]],"MMMM")))</f>
        <v/>
      </c>
      <c r="AG857" s="526" t="str">
        <f>IF(LANÇ_MOV[[#This Row],[DATA DE VENCIMENTO]]="","",TEXT(LANÇ_MOV[[#This Row],[DATA DE VENCIMENTO]],"M"))</f>
        <v/>
      </c>
      <c r="AH857" s="526" t="str">
        <f>IF(LANÇ_MOV[[#This Row],[DATA DE VENCIMENTO]]="","",TEXT(LANÇ_MOV[[#This Row],[DATA DE VENCIMENTO]],"D"))</f>
        <v/>
      </c>
      <c r="AI857" s="526" t="str">
        <f>IF(LANÇ_MOV[[#This Row],[DATA DE PAGAMENTO]]="","",TEXT(LANÇ_MOV[[#This Row],[DATA DE PAGAMENTO]],"AAAA"))</f>
        <v/>
      </c>
      <c r="AJ857" s="527" t="str">
        <f>IF(LANÇ_MOV[[#This Row],[DATA DE PAGAMENTO]]="","",UPPER(TEXT(LANÇ_MOV[[#This Row],[DATA DE PAGAMENTO]],"MMMM")))</f>
        <v/>
      </c>
      <c r="AK857" s="527" t="str">
        <f>IF(LANÇ_MOV[[#This Row],[DATA DE PAGAMENTO]]="","",TEXT(LANÇ_MOV[[#This Row],[DATA DE PAGAMENTO]],"M"))</f>
        <v/>
      </c>
      <c r="AL857" s="526" t="str">
        <f>IF(LANÇ_MOV[[#This Row],[DATA DE PAGAMENTO]]="","",TEXT(LANÇ_MOV[[#This Row],[DATA DE PAGAMENTO]],"D"))</f>
        <v/>
      </c>
    </row>
    <row r="858" spans="2:38" ht="30.05" customHeight="1" x14ac:dyDescent="0.35">
      <c r="B858" s="506"/>
      <c r="C858" s="507"/>
      <c r="D858" s="508" t="s">
        <v>1854</v>
      </c>
      <c r="E858" s="509"/>
      <c r="F858" s="510"/>
      <c r="G858" s="507"/>
      <c r="H858" s="511"/>
      <c r="I858" s="512"/>
      <c r="J858" s="518"/>
      <c r="K858" s="510"/>
      <c r="L858" s="510"/>
      <c r="M858" s="548"/>
      <c r="N858" s="514">
        <f>LANÇ_MOV[[#This Row],[VALOR BRUTO]]-LANÇ_MOV[[#This Row],[DESCONTO]]+LANÇ_MOV[[#This Row],[JUROS]]+LANÇ_MOV[[#This Row],[MULTA]]</f>
        <v>0</v>
      </c>
      <c r="O858" s="546"/>
      <c r="P858" s="547" t="str">
        <f t="shared" ca="1" si="13"/>
        <v/>
      </c>
      <c r="Q858" s="528"/>
      <c r="R858" s="529"/>
      <c r="S858" s="518"/>
      <c r="T858" s="518"/>
      <c r="U858" s="519"/>
      <c r="V858" s="520" t="str">
        <f>IFERROR(VLOOKUP(LANÇ_MOV[[#This Row],[PLANO DE CONTAS]],Plano_Contas[[PLANO DE CONTAS]:[R / D]],3,0),"")</f>
        <v/>
      </c>
      <c r="W858" s="521" t="str">
        <f>IF(LANÇ_MOV[[#This Row],[DATA DE PAGAMENTO]]&lt;&gt;"","Pago","Não Pago")</f>
        <v>Não Pago</v>
      </c>
      <c r="X858" s="522" t="str">
        <f>IFERROR(IF(LANÇ_MOV[[#This Row],[DATA DE PAGAMENTO]]="","",(UPPER(TEXT(LANÇ_MOV[[#This Row],[DATA DE PAGAMENTO]],"mmmm")))),"")</f>
        <v/>
      </c>
      <c r="Y858" s="523" t="str">
        <f>IFERROR(VLOOKUP(LANÇ_MOV[[#This Row],[PLANO DE CONTAS]],Plano_Contas[[PLANO DE CONTAS]:[NOMES INTERVALOS]],2,0),"")</f>
        <v/>
      </c>
      <c r="Z858" s="523" t="str">
        <f>IF(LANÇ_MOV[[#This Row],[FORMA DE PAGAMENTO]]="","",VLOOKUP(LANÇ_MOV[[#This Row],[FORMA DE PAGAMENTO]],CAD_Forma_pagto[],2,0))</f>
        <v/>
      </c>
      <c r="AA858" s="524" t="str">
        <f>IF(LANÇ_MOV[[#This Row],[DATA DE LANÇAMENTO]]="","",TEXT(LANÇ_MOV[[#This Row],[DATA DE LANÇAMENTO]],"AAAA"))</f>
        <v/>
      </c>
      <c r="AB858" s="524" t="str">
        <f>IF(LANÇ_MOV[[#This Row],[DATA DE LANÇAMENTO]]="","",UPPER(TEXT(LANÇ_MOV[[#This Row],[DATA DE LANÇAMENTO]],"MMMM")))</f>
        <v/>
      </c>
      <c r="AC858" s="525" t="str">
        <f>IF(LANÇ_MOV[[#This Row],[DATA DE LANÇAMENTO]]="","",PROPER(TEXT(LANÇ_MOV[[#This Row],[DATA DE LANÇAMENTO]],"M")))</f>
        <v/>
      </c>
      <c r="AD858" s="524" t="str">
        <f>IF(LANÇ_MOV[[#This Row],[DATA DE LANÇAMENTO]]="","",TEXT(LANÇ_MOV[[#This Row],[DATA DE LANÇAMENTO]],"D"))</f>
        <v/>
      </c>
      <c r="AE858" s="526" t="str">
        <f>IF(LANÇ_MOV[[#This Row],[DATA DE VENCIMENTO]]="","",TEXT(LANÇ_MOV[[#This Row],[DATA DE VENCIMENTO]],"AAAA"))</f>
        <v/>
      </c>
      <c r="AF858" s="526" t="str">
        <f>IF(LANÇ_MOV[[#This Row],[DATA DE VENCIMENTO]]="","",UPPER(TEXT(LANÇ_MOV[[#This Row],[DATA DE VENCIMENTO]],"MMMM")))</f>
        <v/>
      </c>
      <c r="AG858" s="526" t="str">
        <f>IF(LANÇ_MOV[[#This Row],[DATA DE VENCIMENTO]]="","",TEXT(LANÇ_MOV[[#This Row],[DATA DE VENCIMENTO]],"M"))</f>
        <v/>
      </c>
      <c r="AH858" s="526" t="str">
        <f>IF(LANÇ_MOV[[#This Row],[DATA DE VENCIMENTO]]="","",TEXT(LANÇ_MOV[[#This Row],[DATA DE VENCIMENTO]],"D"))</f>
        <v/>
      </c>
      <c r="AI858" s="526" t="str">
        <f>IF(LANÇ_MOV[[#This Row],[DATA DE PAGAMENTO]]="","",TEXT(LANÇ_MOV[[#This Row],[DATA DE PAGAMENTO]],"AAAA"))</f>
        <v/>
      </c>
      <c r="AJ858" s="527" t="str">
        <f>IF(LANÇ_MOV[[#This Row],[DATA DE PAGAMENTO]]="","",UPPER(TEXT(LANÇ_MOV[[#This Row],[DATA DE PAGAMENTO]],"MMMM")))</f>
        <v/>
      </c>
      <c r="AK858" s="527" t="str">
        <f>IF(LANÇ_MOV[[#This Row],[DATA DE PAGAMENTO]]="","",TEXT(LANÇ_MOV[[#This Row],[DATA DE PAGAMENTO]],"M"))</f>
        <v/>
      </c>
      <c r="AL858" s="526" t="str">
        <f>IF(LANÇ_MOV[[#This Row],[DATA DE PAGAMENTO]]="","",TEXT(LANÇ_MOV[[#This Row],[DATA DE PAGAMENTO]],"D"))</f>
        <v/>
      </c>
    </row>
    <row r="859" spans="2:38" ht="30.05" customHeight="1" x14ac:dyDescent="0.35">
      <c r="B859" s="506"/>
      <c r="C859" s="507"/>
      <c r="D859" s="508" t="s">
        <v>1854</v>
      </c>
      <c r="E859" s="509"/>
      <c r="F859" s="510"/>
      <c r="G859" s="507"/>
      <c r="H859" s="511"/>
      <c r="I859" s="512"/>
      <c r="J859" s="518"/>
      <c r="K859" s="510"/>
      <c r="L859" s="510"/>
      <c r="M859" s="548"/>
      <c r="N859" s="514">
        <f>LANÇ_MOV[[#This Row],[VALOR BRUTO]]-LANÇ_MOV[[#This Row],[DESCONTO]]+LANÇ_MOV[[#This Row],[JUROS]]+LANÇ_MOV[[#This Row],[MULTA]]</f>
        <v>0</v>
      </c>
      <c r="O859" s="546"/>
      <c r="P859" s="547" t="str">
        <f t="shared" ca="1" si="13"/>
        <v/>
      </c>
      <c r="Q859" s="528"/>
      <c r="R859" s="529"/>
      <c r="S859" s="518"/>
      <c r="T859" s="518"/>
      <c r="U859" s="519"/>
      <c r="V859" s="520" t="str">
        <f>IFERROR(VLOOKUP(LANÇ_MOV[[#This Row],[PLANO DE CONTAS]],Plano_Contas[[PLANO DE CONTAS]:[R / D]],3,0),"")</f>
        <v/>
      </c>
      <c r="W859" s="521" t="str">
        <f>IF(LANÇ_MOV[[#This Row],[DATA DE PAGAMENTO]]&lt;&gt;"","Pago","Não Pago")</f>
        <v>Não Pago</v>
      </c>
      <c r="X859" s="522" t="str">
        <f>IFERROR(IF(LANÇ_MOV[[#This Row],[DATA DE PAGAMENTO]]="","",(UPPER(TEXT(LANÇ_MOV[[#This Row],[DATA DE PAGAMENTO]],"mmmm")))),"")</f>
        <v/>
      </c>
      <c r="Y859" s="523" t="str">
        <f>IFERROR(VLOOKUP(LANÇ_MOV[[#This Row],[PLANO DE CONTAS]],Plano_Contas[[PLANO DE CONTAS]:[NOMES INTERVALOS]],2,0),"")</f>
        <v/>
      </c>
      <c r="Z859" s="523" t="str">
        <f>IF(LANÇ_MOV[[#This Row],[FORMA DE PAGAMENTO]]="","",VLOOKUP(LANÇ_MOV[[#This Row],[FORMA DE PAGAMENTO]],CAD_Forma_pagto[],2,0))</f>
        <v/>
      </c>
      <c r="AA859" s="524" t="str">
        <f>IF(LANÇ_MOV[[#This Row],[DATA DE LANÇAMENTO]]="","",TEXT(LANÇ_MOV[[#This Row],[DATA DE LANÇAMENTO]],"AAAA"))</f>
        <v/>
      </c>
      <c r="AB859" s="524" t="str">
        <f>IF(LANÇ_MOV[[#This Row],[DATA DE LANÇAMENTO]]="","",UPPER(TEXT(LANÇ_MOV[[#This Row],[DATA DE LANÇAMENTO]],"MMMM")))</f>
        <v/>
      </c>
      <c r="AC859" s="525" t="str">
        <f>IF(LANÇ_MOV[[#This Row],[DATA DE LANÇAMENTO]]="","",PROPER(TEXT(LANÇ_MOV[[#This Row],[DATA DE LANÇAMENTO]],"M")))</f>
        <v/>
      </c>
      <c r="AD859" s="524" t="str">
        <f>IF(LANÇ_MOV[[#This Row],[DATA DE LANÇAMENTO]]="","",TEXT(LANÇ_MOV[[#This Row],[DATA DE LANÇAMENTO]],"D"))</f>
        <v/>
      </c>
      <c r="AE859" s="526" t="str">
        <f>IF(LANÇ_MOV[[#This Row],[DATA DE VENCIMENTO]]="","",TEXT(LANÇ_MOV[[#This Row],[DATA DE VENCIMENTO]],"AAAA"))</f>
        <v/>
      </c>
      <c r="AF859" s="526" t="str">
        <f>IF(LANÇ_MOV[[#This Row],[DATA DE VENCIMENTO]]="","",UPPER(TEXT(LANÇ_MOV[[#This Row],[DATA DE VENCIMENTO]],"MMMM")))</f>
        <v/>
      </c>
      <c r="AG859" s="526" t="str">
        <f>IF(LANÇ_MOV[[#This Row],[DATA DE VENCIMENTO]]="","",TEXT(LANÇ_MOV[[#This Row],[DATA DE VENCIMENTO]],"M"))</f>
        <v/>
      </c>
      <c r="AH859" s="526" t="str">
        <f>IF(LANÇ_MOV[[#This Row],[DATA DE VENCIMENTO]]="","",TEXT(LANÇ_MOV[[#This Row],[DATA DE VENCIMENTO]],"D"))</f>
        <v/>
      </c>
      <c r="AI859" s="526" t="str">
        <f>IF(LANÇ_MOV[[#This Row],[DATA DE PAGAMENTO]]="","",TEXT(LANÇ_MOV[[#This Row],[DATA DE PAGAMENTO]],"AAAA"))</f>
        <v/>
      </c>
      <c r="AJ859" s="527" t="str">
        <f>IF(LANÇ_MOV[[#This Row],[DATA DE PAGAMENTO]]="","",UPPER(TEXT(LANÇ_MOV[[#This Row],[DATA DE PAGAMENTO]],"MMMM")))</f>
        <v/>
      </c>
      <c r="AK859" s="527" t="str">
        <f>IF(LANÇ_MOV[[#This Row],[DATA DE PAGAMENTO]]="","",TEXT(LANÇ_MOV[[#This Row],[DATA DE PAGAMENTO]],"M"))</f>
        <v/>
      </c>
      <c r="AL859" s="526" t="str">
        <f>IF(LANÇ_MOV[[#This Row],[DATA DE PAGAMENTO]]="","",TEXT(LANÇ_MOV[[#This Row],[DATA DE PAGAMENTO]],"D"))</f>
        <v/>
      </c>
    </row>
    <row r="860" spans="2:38" ht="30.05" customHeight="1" x14ac:dyDescent="0.35">
      <c r="B860" s="506"/>
      <c r="C860" s="507"/>
      <c r="D860" s="508" t="s">
        <v>1854</v>
      </c>
      <c r="E860" s="509"/>
      <c r="F860" s="510"/>
      <c r="G860" s="507"/>
      <c r="H860" s="511"/>
      <c r="I860" s="512"/>
      <c r="J860" s="518"/>
      <c r="K860" s="510"/>
      <c r="L860" s="510"/>
      <c r="M860" s="548"/>
      <c r="N860" s="514">
        <f>LANÇ_MOV[[#This Row],[VALOR BRUTO]]-LANÇ_MOV[[#This Row],[DESCONTO]]+LANÇ_MOV[[#This Row],[JUROS]]+LANÇ_MOV[[#This Row],[MULTA]]</f>
        <v>0</v>
      </c>
      <c r="O860" s="546"/>
      <c r="P860" s="547" t="str">
        <f t="shared" ca="1" si="13"/>
        <v/>
      </c>
      <c r="Q860" s="528"/>
      <c r="R860" s="529"/>
      <c r="S860" s="518"/>
      <c r="T860" s="518"/>
      <c r="U860" s="519"/>
      <c r="V860" s="520" t="str">
        <f>IFERROR(VLOOKUP(LANÇ_MOV[[#This Row],[PLANO DE CONTAS]],Plano_Contas[[PLANO DE CONTAS]:[R / D]],3,0),"")</f>
        <v/>
      </c>
      <c r="W860" s="521" t="str">
        <f>IF(LANÇ_MOV[[#This Row],[DATA DE PAGAMENTO]]&lt;&gt;"","Pago","Não Pago")</f>
        <v>Não Pago</v>
      </c>
      <c r="X860" s="522" t="str">
        <f>IFERROR(IF(LANÇ_MOV[[#This Row],[DATA DE PAGAMENTO]]="","",(UPPER(TEXT(LANÇ_MOV[[#This Row],[DATA DE PAGAMENTO]],"mmmm")))),"")</f>
        <v/>
      </c>
      <c r="Y860" s="523" t="str">
        <f>IFERROR(VLOOKUP(LANÇ_MOV[[#This Row],[PLANO DE CONTAS]],Plano_Contas[[PLANO DE CONTAS]:[NOMES INTERVALOS]],2,0),"")</f>
        <v/>
      </c>
      <c r="Z860" s="523" t="str">
        <f>IF(LANÇ_MOV[[#This Row],[FORMA DE PAGAMENTO]]="","",VLOOKUP(LANÇ_MOV[[#This Row],[FORMA DE PAGAMENTO]],CAD_Forma_pagto[],2,0))</f>
        <v/>
      </c>
      <c r="AA860" s="524" t="str">
        <f>IF(LANÇ_MOV[[#This Row],[DATA DE LANÇAMENTO]]="","",TEXT(LANÇ_MOV[[#This Row],[DATA DE LANÇAMENTO]],"AAAA"))</f>
        <v/>
      </c>
      <c r="AB860" s="524" t="str">
        <f>IF(LANÇ_MOV[[#This Row],[DATA DE LANÇAMENTO]]="","",UPPER(TEXT(LANÇ_MOV[[#This Row],[DATA DE LANÇAMENTO]],"MMMM")))</f>
        <v/>
      </c>
      <c r="AC860" s="525" t="str">
        <f>IF(LANÇ_MOV[[#This Row],[DATA DE LANÇAMENTO]]="","",PROPER(TEXT(LANÇ_MOV[[#This Row],[DATA DE LANÇAMENTO]],"M")))</f>
        <v/>
      </c>
      <c r="AD860" s="524" t="str">
        <f>IF(LANÇ_MOV[[#This Row],[DATA DE LANÇAMENTO]]="","",TEXT(LANÇ_MOV[[#This Row],[DATA DE LANÇAMENTO]],"D"))</f>
        <v/>
      </c>
      <c r="AE860" s="526" t="str">
        <f>IF(LANÇ_MOV[[#This Row],[DATA DE VENCIMENTO]]="","",TEXT(LANÇ_MOV[[#This Row],[DATA DE VENCIMENTO]],"AAAA"))</f>
        <v/>
      </c>
      <c r="AF860" s="526" t="str">
        <f>IF(LANÇ_MOV[[#This Row],[DATA DE VENCIMENTO]]="","",UPPER(TEXT(LANÇ_MOV[[#This Row],[DATA DE VENCIMENTO]],"MMMM")))</f>
        <v/>
      </c>
      <c r="AG860" s="526" t="str">
        <f>IF(LANÇ_MOV[[#This Row],[DATA DE VENCIMENTO]]="","",TEXT(LANÇ_MOV[[#This Row],[DATA DE VENCIMENTO]],"M"))</f>
        <v/>
      </c>
      <c r="AH860" s="526" t="str">
        <f>IF(LANÇ_MOV[[#This Row],[DATA DE VENCIMENTO]]="","",TEXT(LANÇ_MOV[[#This Row],[DATA DE VENCIMENTO]],"D"))</f>
        <v/>
      </c>
      <c r="AI860" s="526" t="str">
        <f>IF(LANÇ_MOV[[#This Row],[DATA DE PAGAMENTO]]="","",TEXT(LANÇ_MOV[[#This Row],[DATA DE PAGAMENTO]],"AAAA"))</f>
        <v/>
      </c>
      <c r="AJ860" s="527" t="str">
        <f>IF(LANÇ_MOV[[#This Row],[DATA DE PAGAMENTO]]="","",UPPER(TEXT(LANÇ_MOV[[#This Row],[DATA DE PAGAMENTO]],"MMMM")))</f>
        <v/>
      </c>
      <c r="AK860" s="527" t="str">
        <f>IF(LANÇ_MOV[[#This Row],[DATA DE PAGAMENTO]]="","",TEXT(LANÇ_MOV[[#This Row],[DATA DE PAGAMENTO]],"M"))</f>
        <v/>
      </c>
      <c r="AL860" s="526" t="str">
        <f>IF(LANÇ_MOV[[#This Row],[DATA DE PAGAMENTO]]="","",TEXT(LANÇ_MOV[[#This Row],[DATA DE PAGAMENTO]],"D"))</f>
        <v/>
      </c>
    </row>
    <row r="861" spans="2:38" ht="30.05" customHeight="1" x14ac:dyDescent="0.35">
      <c r="B861" s="506"/>
      <c r="C861" s="507"/>
      <c r="D861" s="508" t="s">
        <v>1854</v>
      </c>
      <c r="E861" s="509"/>
      <c r="F861" s="510"/>
      <c r="G861" s="507"/>
      <c r="H861" s="511"/>
      <c r="I861" s="512"/>
      <c r="J861" s="518"/>
      <c r="K861" s="510"/>
      <c r="L861" s="510"/>
      <c r="M861" s="548"/>
      <c r="N861" s="514">
        <f>LANÇ_MOV[[#This Row],[VALOR BRUTO]]-LANÇ_MOV[[#This Row],[DESCONTO]]+LANÇ_MOV[[#This Row],[JUROS]]+LANÇ_MOV[[#This Row],[MULTA]]</f>
        <v>0</v>
      </c>
      <c r="O861" s="546"/>
      <c r="P861" s="547" t="str">
        <f t="shared" ca="1" si="13"/>
        <v/>
      </c>
      <c r="Q861" s="528"/>
      <c r="R861" s="529"/>
      <c r="S861" s="518"/>
      <c r="T861" s="518"/>
      <c r="U861" s="519"/>
      <c r="V861" s="520" t="str">
        <f>IFERROR(VLOOKUP(LANÇ_MOV[[#This Row],[PLANO DE CONTAS]],Plano_Contas[[PLANO DE CONTAS]:[R / D]],3,0),"")</f>
        <v/>
      </c>
      <c r="W861" s="521" t="str">
        <f>IF(LANÇ_MOV[[#This Row],[DATA DE PAGAMENTO]]&lt;&gt;"","Pago","Não Pago")</f>
        <v>Não Pago</v>
      </c>
      <c r="X861" s="522" t="str">
        <f>IFERROR(IF(LANÇ_MOV[[#This Row],[DATA DE PAGAMENTO]]="","",(UPPER(TEXT(LANÇ_MOV[[#This Row],[DATA DE PAGAMENTO]],"mmmm")))),"")</f>
        <v/>
      </c>
      <c r="Y861" s="523" t="str">
        <f>IFERROR(VLOOKUP(LANÇ_MOV[[#This Row],[PLANO DE CONTAS]],Plano_Contas[[PLANO DE CONTAS]:[NOMES INTERVALOS]],2,0),"")</f>
        <v/>
      </c>
      <c r="Z861" s="523" t="str">
        <f>IF(LANÇ_MOV[[#This Row],[FORMA DE PAGAMENTO]]="","",VLOOKUP(LANÇ_MOV[[#This Row],[FORMA DE PAGAMENTO]],CAD_Forma_pagto[],2,0))</f>
        <v/>
      </c>
      <c r="AA861" s="524" t="str">
        <f>IF(LANÇ_MOV[[#This Row],[DATA DE LANÇAMENTO]]="","",TEXT(LANÇ_MOV[[#This Row],[DATA DE LANÇAMENTO]],"AAAA"))</f>
        <v/>
      </c>
      <c r="AB861" s="524" t="str">
        <f>IF(LANÇ_MOV[[#This Row],[DATA DE LANÇAMENTO]]="","",UPPER(TEXT(LANÇ_MOV[[#This Row],[DATA DE LANÇAMENTO]],"MMMM")))</f>
        <v/>
      </c>
      <c r="AC861" s="525" t="str">
        <f>IF(LANÇ_MOV[[#This Row],[DATA DE LANÇAMENTO]]="","",PROPER(TEXT(LANÇ_MOV[[#This Row],[DATA DE LANÇAMENTO]],"M")))</f>
        <v/>
      </c>
      <c r="AD861" s="524" t="str">
        <f>IF(LANÇ_MOV[[#This Row],[DATA DE LANÇAMENTO]]="","",TEXT(LANÇ_MOV[[#This Row],[DATA DE LANÇAMENTO]],"D"))</f>
        <v/>
      </c>
      <c r="AE861" s="526" t="str">
        <f>IF(LANÇ_MOV[[#This Row],[DATA DE VENCIMENTO]]="","",TEXT(LANÇ_MOV[[#This Row],[DATA DE VENCIMENTO]],"AAAA"))</f>
        <v/>
      </c>
      <c r="AF861" s="526" t="str">
        <f>IF(LANÇ_MOV[[#This Row],[DATA DE VENCIMENTO]]="","",UPPER(TEXT(LANÇ_MOV[[#This Row],[DATA DE VENCIMENTO]],"MMMM")))</f>
        <v/>
      </c>
      <c r="AG861" s="526" t="str">
        <f>IF(LANÇ_MOV[[#This Row],[DATA DE VENCIMENTO]]="","",TEXT(LANÇ_MOV[[#This Row],[DATA DE VENCIMENTO]],"M"))</f>
        <v/>
      </c>
      <c r="AH861" s="526" t="str">
        <f>IF(LANÇ_MOV[[#This Row],[DATA DE VENCIMENTO]]="","",TEXT(LANÇ_MOV[[#This Row],[DATA DE VENCIMENTO]],"D"))</f>
        <v/>
      </c>
      <c r="AI861" s="526" t="str">
        <f>IF(LANÇ_MOV[[#This Row],[DATA DE PAGAMENTO]]="","",TEXT(LANÇ_MOV[[#This Row],[DATA DE PAGAMENTO]],"AAAA"))</f>
        <v/>
      </c>
      <c r="AJ861" s="527" t="str">
        <f>IF(LANÇ_MOV[[#This Row],[DATA DE PAGAMENTO]]="","",UPPER(TEXT(LANÇ_MOV[[#This Row],[DATA DE PAGAMENTO]],"MMMM")))</f>
        <v/>
      </c>
      <c r="AK861" s="527" t="str">
        <f>IF(LANÇ_MOV[[#This Row],[DATA DE PAGAMENTO]]="","",TEXT(LANÇ_MOV[[#This Row],[DATA DE PAGAMENTO]],"M"))</f>
        <v/>
      </c>
      <c r="AL861" s="526" t="str">
        <f>IF(LANÇ_MOV[[#This Row],[DATA DE PAGAMENTO]]="","",TEXT(LANÇ_MOV[[#This Row],[DATA DE PAGAMENTO]],"D"))</f>
        <v/>
      </c>
    </row>
    <row r="862" spans="2:38" ht="30.05" customHeight="1" x14ac:dyDescent="0.35">
      <c r="B862" s="506"/>
      <c r="C862" s="507"/>
      <c r="D862" s="508" t="s">
        <v>1854</v>
      </c>
      <c r="E862" s="509"/>
      <c r="F862" s="510"/>
      <c r="G862" s="507"/>
      <c r="H862" s="511"/>
      <c r="I862" s="512"/>
      <c r="J862" s="518"/>
      <c r="K862" s="510"/>
      <c r="L862" s="510"/>
      <c r="M862" s="548"/>
      <c r="N862" s="514">
        <f>LANÇ_MOV[[#This Row],[VALOR BRUTO]]-LANÇ_MOV[[#This Row],[DESCONTO]]+LANÇ_MOV[[#This Row],[JUROS]]+LANÇ_MOV[[#This Row],[MULTA]]</f>
        <v>0</v>
      </c>
      <c r="O862" s="546"/>
      <c r="P862" s="547" t="str">
        <f t="shared" ca="1" si="13"/>
        <v/>
      </c>
      <c r="Q862" s="528"/>
      <c r="R862" s="529"/>
      <c r="S862" s="518"/>
      <c r="T862" s="518"/>
      <c r="U862" s="519"/>
      <c r="V862" s="520" t="str">
        <f>IFERROR(VLOOKUP(LANÇ_MOV[[#This Row],[PLANO DE CONTAS]],Plano_Contas[[PLANO DE CONTAS]:[R / D]],3,0),"")</f>
        <v/>
      </c>
      <c r="W862" s="521" t="str">
        <f>IF(LANÇ_MOV[[#This Row],[DATA DE PAGAMENTO]]&lt;&gt;"","Pago","Não Pago")</f>
        <v>Não Pago</v>
      </c>
      <c r="X862" s="522" t="str">
        <f>IFERROR(IF(LANÇ_MOV[[#This Row],[DATA DE PAGAMENTO]]="","",(UPPER(TEXT(LANÇ_MOV[[#This Row],[DATA DE PAGAMENTO]],"mmmm")))),"")</f>
        <v/>
      </c>
      <c r="Y862" s="523" t="str">
        <f>IFERROR(VLOOKUP(LANÇ_MOV[[#This Row],[PLANO DE CONTAS]],Plano_Contas[[PLANO DE CONTAS]:[NOMES INTERVALOS]],2,0),"")</f>
        <v/>
      </c>
      <c r="Z862" s="523" t="str">
        <f>IF(LANÇ_MOV[[#This Row],[FORMA DE PAGAMENTO]]="","",VLOOKUP(LANÇ_MOV[[#This Row],[FORMA DE PAGAMENTO]],CAD_Forma_pagto[],2,0))</f>
        <v/>
      </c>
      <c r="AA862" s="524" t="str">
        <f>IF(LANÇ_MOV[[#This Row],[DATA DE LANÇAMENTO]]="","",TEXT(LANÇ_MOV[[#This Row],[DATA DE LANÇAMENTO]],"AAAA"))</f>
        <v/>
      </c>
      <c r="AB862" s="524" t="str">
        <f>IF(LANÇ_MOV[[#This Row],[DATA DE LANÇAMENTO]]="","",UPPER(TEXT(LANÇ_MOV[[#This Row],[DATA DE LANÇAMENTO]],"MMMM")))</f>
        <v/>
      </c>
      <c r="AC862" s="525" t="str">
        <f>IF(LANÇ_MOV[[#This Row],[DATA DE LANÇAMENTO]]="","",PROPER(TEXT(LANÇ_MOV[[#This Row],[DATA DE LANÇAMENTO]],"M")))</f>
        <v/>
      </c>
      <c r="AD862" s="524" t="str">
        <f>IF(LANÇ_MOV[[#This Row],[DATA DE LANÇAMENTO]]="","",TEXT(LANÇ_MOV[[#This Row],[DATA DE LANÇAMENTO]],"D"))</f>
        <v/>
      </c>
      <c r="AE862" s="526" t="str">
        <f>IF(LANÇ_MOV[[#This Row],[DATA DE VENCIMENTO]]="","",TEXT(LANÇ_MOV[[#This Row],[DATA DE VENCIMENTO]],"AAAA"))</f>
        <v/>
      </c>
      <c r="AF862" s="526" t="str">
        <f>IF(LANÇ_MOV[[#This Row],[DATA DE VENCIMENTO]]="","",UPPER(TEXT(LANÇ_MOV[[#This Row],[DATA DE VENCIMENTO]],"MMMM")))</f>
        <v/>
      </c>
      <c r="AG862" s="526" t="str">
        <f>IF(LANÇ_MOV[[#This Row],[DATA DE VENCIMENTO]]="","",TEXT(LANÇ_MOV[[#This Row],[DATA DE VENCIMENTO]],"M"))</f>
        <v/>
      </c>
      <c r="AH862" s="526" t="str">
        <f>IF(LANÇ_MOV[[#This Row],[DATA DE VENCIMENTO]]="","",TEXT(LANÇ_MOV[[#This Row],[DATA DE VENCIMENTO]],"D"))</f>
        <v/>
      </c>
      <c r="AI862" s="526" t="str">
        <f>IF(LANÇ_MOV[[#This Row],[DATA DE PAGAMENTO]]="","",TEXT(LANÇ_MOV[[#This Row],[DATA DE PAGAMENTO]],"AAAA"))</f>
        <v/>
      </c>
      <c r="AJ862" s="527" t="str">
        <f>IF(LANÇ_MOV[[#This Row],[DATA DE PAGAMENTO]]="","",UPPER(TEXT(LANÇ_MOV[[#This Row],[DATA DE PAGAMENTO]],"MMMM")))</f>
        <v/>
      </c>
      <c r="AK862" s="527" t="str">
        <f>IF(LANÇ_MOV[[#This Row],[DATA DE PAGAMENTO]]="","",TEXT(LANÇ_MOV[[#This Row],[DATA DE PAGAMENTO]],"M"))</f>
        <v/>
      </c>
      <c r="AL862" s="526" t="str">
        <f>IF(LANÇ_MOV[[#This Row],[DATA DE PAGAMENTO]]="","",TEXT(LANÇ_MOV[[#This Row],[DATA DE PAGAMENTO]],"D"))</f>
        <v/>
      </c>
    </row>
    <row r="863" spans="2:38" ht="30.05" customHeight="1" x14ac:dyDescent="0.35">
      <c r="B863" s="506"/>
      <c r="C863" s="507"/>
      <c r="D863" s="508" t="s">
        <v>1854</v>
      </c>
      <c r="E863" s="509"/>
      <c r="F863" s="510"/>
      <c r="G863" s="507"/>
      <c r="H863" s="511"/>
      <c r="I863" s="512"/>
      <c r="J863" s="518"/>
      <c r="K863" s="510"/>
      <c r="L863" s="510"/>
      <c r="M863" s="548"/>
      <c r="N863" s="514">
        <f>LANÇ_MOV[[#This Row],[VALOR BRUTO]]-LANÇ_MOV[[#This Row],[DESCONTO]]+LANÇ_MOV[[#This Row],[JUROS]]+LANÇ_MOV[[#This Row],[MULTA]]</f>
        <v>0</v>
      </c>
      <c r="O863" s="546"/>
      <c r="P863" s="547" t="str">
        <f t="shared" ca="1" si="13"/>
        <v/>
      </c>
      <c r="Q863" s="528"/>
      <c r="R863" s="529"/>
      <c r="S863" s="518"/>
      <c r="T863" s="518"/>
      <c r="U863" s="519"/>
      <c r="V863" s="520" t="str">
        <f>IFERROR(VLOOKUP(LANÇ_MOV[[#This Row],[PLANO DE CONTAS]],Plano_Contas[[PLANO DE CONTAS]:[R / D]],3,0),"")</f>
        <v/>
      </c>
      <c r="W863" s="521" t="str">
        <f>IF(LANÇ_MOV[[#This Row],[DATA DE PAGAMENTO]]&lt;&gt;"","Pago","Não Pago")</f>
        <v>Não Pago</v>
      </c>
      <c r="X863" s="522" t="str">
        <f>IFERROR(IF(LANÇ_MOV[[#This Row],[DATA DE PAGAMENTO]]="","",(UPPER(TEXT(LANÇ_MOV[[#This Row],[DATA DE PAGAMENTO]],"mmmm")))),"")</f>
        <v/>
      </c>
      <c r="Y863" s="523" t="str">
        <f>IFERROR(VLOOKUP(LANÇ_MOV[[#This Row],[PLANO DE CONTAS]],Plano_Contas[[PLANO DE CONTAS]:[NOMES INTERVALOS]],2,0),"")</f>
        <v/>
      </c>
      <c r="Z863" s="523" t="str">
        <f>IF(LANÇ_MOV[[#This Row],[FORMA DE PAGAMENTO]]="","",VLOOKUP(LANÇ_MOV[[#This Row],[FORMA DE PAGAMENTO]],CAD_Forma_pagto[],2,0))</f>
        <v/>
      </c>
      <c r="AA863" s="524" t="str">
        <f>IF(LANÇ_MOV[[#This Row],[DATA DE LANÇAMENTO]]="","",TEXT(LANÇ_MOV[[#This Row],[DATA DE LANÇAMENTO]],"AAAA"))</f>
        <v/>
      </c>
      <c r="AB863" s="524" t="str">
        <f>IF(LANÇ_MOV[[#This Row],[DATA DE LANÇAMENTO]]="","",UPPER(TEXT(LANÇ_MOV[[#This Row],[DATA DE LANÇAMENTO]],"MMMM")))</f>
        <v/>
      </c>
      <c r="AC863" s="525" t="str">
        <f>IF(LANÇ_MOV[[#This Row],[DATA DE LANÇAMENTO]]="","",PROPER(TEXT(LANÇ_MOV[[#This Row],[DATA DE LANÇAMENTO]],"M")))</f>
        <v/>
      </c>
      <c r="AD863" s="524" t="str">
        <f>IF(LANÇ_MOV[[#This Row],[DATA DE LANÇAMENTO]]="","",TEXT(LANÇ_MOV[[#This Row],[DATA DE LANÇAMENTO]],"D"))</f>
        <v/>
      </c>
      <c r="AE863" s="526" t="str">
        <f>IF(LANÇ_MOV[[#This Row],[DATA DE VENCIMENTO]]="","",TEXT(LANÇ_MOV[[#This Row],[DATA DE VENCIMENTO]],"AAAA"))</f>
        <v/>
      </c>
      <c r="AF863" s="526" t="str">
        <f>IF(LANÇ_MOV[[#This Row],[DATA DE VENCIMENTO]]="","",UPPER(TEXT(LANÇ_MOV[[#This Row],[DATA DE VENCIMENTO]],"MMMM")))</f>
        <v/>
      </c>
      <c r="AG863" s="526" t="str">
        <f>IF(LANÇ_MOV[[#This Row],[DATA DE VENCIMENTO]]="","",TEXT(LANÇ_MOV[[#This Row],[DATA DE VENCIMENTO]],"M"))</f>
        <v/>
      </c>
      <c r="AH863" s="526" t="str">
        <f>IF(LANÇ_MOV[[#This Row],[DATA DE VENCIMENTO]]="","",TEXT(LANÇ_MOV[[#This Row],[DATA DE VENCIMENTO]],"D"))</f>
        <v/>
      </c>
      <c r="AI863" s="526" t="str">
        <f>IF(LANÇ_MOV[[#This Row],[DATA DE PAGAMENTO]]="","",TEXT(LANÇ_MOV[[#This Row],[DATA DE PAGAMENTO]],"AAAA"))</f>
        <v/>
      </c>
      <c r="AJ863" s="527" t="str">
        <f>IF(LANÇ_MOV[[#This Row],[DATA DE PAGAMENTO]]="","",UPPER(TEXT(LANÇ_MOV[[#This Row],[DATA DE PAGAMENTO]],"MMMM")))</f>
        <v/>
      </c>
      <c r="AK863" s="527" t="str">
        <f>IF(LANÇ_MOV[[#This Row],[DATA DE PAGAMENTO]]="","",TEXT(LANÇ_MOV[[#This Row],[DATA DE PAGAMENTO]],"M"))</f>
        <v/>
      </c>
      <c r="AL863" s="526" t="str">
        <f>IF(LANÇ_MOV[[#This Row],[DATA DE PAGAMENTO]]="","",TEXT(LANÇ_MOV[[#This Row],[DATA DE PAGAMENTO]],"D"))</f>
        <v/>
      </c>
    </row>
    <row r="864" spans="2:38" ht="30.05" customHeight="1" x14ac:dyDescent="0.35">
      <c r="B864" s="506"/>
      <c r="C864" s="507"/>
      <c r="D864" s="508" t="s">
        <v>1854</v>
      </c>
      <c r="E864" s="509"/>
      <c r="F864" s="510"/>
      <c r="G864" s="507"/>
      <c r="H864" s="511"/>
      <c r="I864" s="512"/>
      <c r="J864" s="518"/>
      <c r="K864" s="510"/>
      <c r="L864" s="510"/>
      <c r="M864" s="548"/>
      <c r="N864" s="514">
        <f>LANÇ_MOV[[#This Row],[VALOR BRUTO]]-LANÇ_MOV[[#This Row],[DESCONTO]]+LANÇ_MOV[[#This Row],[JUROS]]+LANÇ_MOV[[#This Row],[MULTA]]</f>
        <v>0</v>
      </c>
      <c r="O864" s="546"/>
      <c r="P864" s="547" t="str">
        <f t="shared" ca="1" si="13"/>
        <v/>
      </c>
      <c r="Q864" s="528"/>
      <c r="R864" s="529"/>
      <c r="S864" s="518"/>
      <c r="T864" s="518"/>
      <c r="U864" s="519"/>
      <c r="V864" s="520" t="str">
        <f>IFERROR(VLOOKUP(LANÇ_MOV[[#This Row],[PLANO DE CONTAS]],Plano_Contas[[PLANO DE CONTAS]:[R / D]],3,0),"")</f>
        <v/>
      </c>
      <c r="W864" s="521" t="str">
        <f>IF(LANÇ_MOV[[#This Row],[DATA DE PAGAMENTO]]&lt;&gt;"","Pago","Não Pago")</f>
        <v>Não Pago</v>
      </c>
      <c r="X864" s="522" t="str">
        <f>IFERROR(IF(LANÇ_MOV[[#This Row],[DATA DE PAGAMENTO]]="","",(UPPER(TEXT(LANÇ_MOV[[#This Row],[DATA DE PAGAMENTO]],"mmmm")))),"")</f>
        <v/>
      </c>
      <c r="Y864" s="523" t="str">
        <f>IFERROR(VLOOKUP(LANÇ_MOV[[#This Row],[PLANO DE CONTAS]],Plano_Contas[[PLANO DE CONTAS]:[NOMES INTERVALOS]],2,0),"")</f>
        <v/>
      </c>
      <c r="Z864" s="523" t="str">
        <f>IF(LANÇ_MOV[[#This Row],[FORMA DE PAGAMENTO]]="","",VLOOKUP(LANÇ_MOV[[#This Row],[FORMA DE PAGAMENTO]],CAD_Forma_pagto[],2,0))</f>
        <v/>
      </c>
      <c r="AA864" s="524" t="str">
        <f>IF(LANÇ_MOV[[#This Row],[DATA DE LANÇAMENTO]]="","",TEXT(LANÇ_MOV[[#This Row],[DATA DE LANÇAMENTO]],"AAAA"))</f>
        <v/>
      </c>
      <c r="AB864" s="524" t="str">
        <f>IF(LANÇ_MOV[[#This Row],[DATA DE LANÇAMENTO]]="","",UPPER(TEXT(LANÇ_MOV[[#This Row],[DATA DE LANÇAMENTO]],"MMMM")))</f>
        <v/>
      </c>
      <c r="AC864" s="525" t="str">
        <f>IF(LANÇ_MOV[[#This Row],[DATA DE LANÇAMENTO]]="","",PROPER(TEXT(LANÇ_MOV[[#This Row],[DATA DE LANÇAMENTO]],"M")))</f>
        <v/>
      </c>
      <c r="AD864" s="524" t="str">
        <f>IF(LANÇ_MOV[[#This Row],[DATA DE LANÇAMENTO]]="","",TEXT(LANÇ_MOV[[#This Row],[DATA DE LANÇAMENTO]],"D"))</f>
        <v/>
      </c>
      <c r="AE864" s="526" t="str">
        <f>IF(LANÇ_MOV[[#This Row],[DATA DE VENCIMENTO]]="","",TEXT(LANÇ_MOV[[#This Row],[DATA DE VENCIMENTO]],"AAAA"))</f>
        <v/>
      </c>
      <c r="AF864" s="526" t="str">
        <f>IF(LANÇ_MOV[[#This Row],[DATA DE VENCIMENTO]]="","",UPPER(TEXT(LANÇ_MOV[[#This Row],[DATA DE VENCIMENTO]],"MMMM")))</f>
        <v/>
      </c>
      <c r="AG864" s="526" t="str">
        <f>IF(LANÇ_MOV[[#This Row],[DATA DE VENCIMENTO]]="","",TEXT(LANÇ_MOV[[#This Row],[DATA DE VENCIMENTO]],"M"))</f>
        <v/>
      </c>
      <c r="AH864" s="526" t="str">
        <f>IF(LANÇ_MOV[[#This Row],[DATA DE VENCIMENTO]]="","",TEXT(LANÇ_MOV[[#This Row],[DATA DE VENCIMENTO]],"D"))</f>
        <v/>
      </c>
      <c r="AI864" s="526" t="str">
        <f>IF(LANÇ_MOV[[#This Row],[DATA DE PAGAMENTO]]="","",TEXT(LANÇ_MOV[[#This Row],[DATA DE PAGAMENTO]],"AAAA"))</f>
        <v/>
      </c>
      <c r="AJ864" s="527" t="str">
        <f>IF(LANÇ_MOV[[#This Row],[DATA DE PAGAMENTO]]="","",UPPER(TEXT(LANÇ_MOV[[#This Row],[DATA DE PAGAMENTO]],"MMMM")))</f>
        <v/>
      </c>
      <c r="AK864" s="527" t="str">
        <f>IF(LANÇ_MOV[[#This Row],[DATA DE PAGAMENTO]]="","",TEXT(LANÇ_MOV[[#This Row],[DATA DE PAGAMENTO]],"M"))</f>
        <v/>
      </c>
      <c r="AL864" s="526" t="str">
        <f>IF(LANÇ_MOV[[#This Row],[DATA DE PAGAMENTO]]="","",TEXT(LANÇ_MOV[[#This Row],[DATA DE PAGAMENTO]],"D"))</f>
        <v/>
      </c>
    </row>
    <row r="865" spans="2:38" ht="30.05" customHeight="1" x14ac:dyDescent="0.35">
      <c r="B865" s="506"/>
      <c r="C865" s="507"/>
      <c r="D865" s="508" t="s">
        <v>1854</v>
      </c>
      <c r="E865" s="509"/>
      <c r="F865" s="510"/>
      <c r="G865" s="507"/>
      <c r="H865" s="511"/>
      <c r="I865" s="512"/>
      <c r="J865" s="518"/>
      <c r="K865" s="510"/>
      <c r="L865" s="510"/>
      <c r="M865" s="548"/>
      <c r="N865" s="514">
        <f>LANÇ_MOV[[#This Row],[VALOR BRUTO]]-LANÇ_MOV[[#This Row],[DESCONTO]]+LANÇ_MOV[[#This Row],[JUROS]]+LANÇ_MOV[[#This Row],[MULTA]]</f>
        <v>0</v>
      </c>
      <c r="O865" s="546"/>
      <c r="P865" s="547" t="str">
        <f t="shared" ca="1" si="13"/>
        <v/>
      </c>
      <c r="Q865" s="528"/>
      <c r="R865" s="529"/>
      <c r="S865" s="518"/>
      <c r="T865" s="518"/>
      <c r="U865" s="519"/>
      <c r="V865" s="520" t="str">
        <f>IFERROR(VLOOKUP(LANÇ_MOV[[#This Row],[PLANO DE CONTAS]],Plano_Contas[[PLANO DE CONTAS]:[R / D]],3,0),"")</f>
        <v/>
      </c>
      <c r="W865" s="521" t="str">
        <f>IF(LANÇ_MOV[[#This Row],[DATA DE PAGAMENTO]]&lt;&gt;"","Pago","Não Pago")</f>
        <v>Não Pago</v>
      </c>
      <c r="X865" s="522" t="str">
        <f>IFERROR(IF(LANÇ_MOV[[#This Row],[DATA DE PAGAMENTO]]="","",(UPPER(TEXT(LANÇ_MOV[[#This Row],[DATA DE PAGAMENTO]],"mmmm")))),"")</f>
        <v/>
      </c>
      <c r="Y865" s="523" t="str">
        <f>IFERROR(VLOOKUP(LANÇ_MOV[[#This Row],[PLANO DE CONTAS]],Plano_Contas[[PLANO DE CONTAS]:[NOMES INTERVALOS]],2,0),"")</f>
        <v/>
      </c>
      <c r="Z865" s="523" t="str">
        <f>IF(LANÇ_MOV[[#This Row],[FORMA DE PAGAMENTO]]="","",VLOOKUP(LANÇ_MOV[[#This Row],[FORMA DE PAGAMENTO]],CAD_Forma_pagto[],2,0))</f>
        <v/>
      </c>
      <c r="AA865" s="524" t="str">
        <f>IF(LANÇ_MOV[[#This Row],[DATA DE LANÇAMENTO]]="","",TEXT(LANÇ_MOV[[#This Row],[DATA DE LANÇAMENTO]],"AAAA"))</f>
        <v/>
      </c>
      <c r="AB865" s="524" t="str">
        <f>IF(LANÇ_MOV[[#This Row],[DATA DE LANÇAMENTO]]="","",UPPER(TEXT(LANÇ_MOV[[#This Row],[DATA DE LANÇAMENTO]],"MMMM")))</f>
        <v/>
      </c>
      <c r="AC865" s="525" t="str">
        <f>IF(LANÇ_MOV[[#This Row],[DATA DE LANÇAMENTO]]="","",PROPER(TEXT(LANÇ_MOV[[#This Row],[DATA DE LANÇAMENTO]],"M")))</f>
        <v/>
      </c>
      <c r="AD865" s="524" t="str">
        <f>IF(LANÇ_MOV[[#This Row],[DATA DE LANÇAMENTO]]="","",TEXT(LANÇ_MOV[[#This Row],[DATA DE LANÇAMENTO]],"D"))</f>
        <v/>
      </c>
      <c r="AE865" s="526" t="str">
        <f>IF(LANÇ_MOV[[#This Row],[DATA DE VENCIMENTO]]="","",TEXT(LANÇ_MOV[[#This Row],[DATA DE VENCIMENTO]],"AAAA"))</f>
        <v/>
      </c>
      <c r="AF865" s="526" t="str">
        <f>IF(LANÇ_MOV[[#This Row],[DATA DE VENCIMENTO]]="","",UPPER(TEXT(LANÇ_MOV[[#This Row],[DATA DE VENCIMENTO]],"MMMM")))</f>
        <v/>
      </c>
      <c r="AG865" s="526" t="str">
        <f>IF(LANÇ_MOV[[#This Row],[DATA DE VENCIMENTO]]="","",TEXT(LANÇ_MOV[[#This Row],[DATA DE VENCIMENTO]],"M"))</f>
        <v/>
      </c>
      <c r="AH865" s="526" t="str">
        <f>IF(LANÇ_MOV[[#This Row],[DATA DE VENCIMENTO]]="","",TEXT(LANÇ_MOV[[#This Row],[DATA DE VENCIMENTO]],"D"))</f>
        <v/>
      </c>
      <c r="AI865" s="526" t="str">
        <f>IF(LANÇ_MOV[[#This Row],[DATA DE PAGAMENTO]]="","",TEXT(LANÇ_MOV[[#This Row],[DATA DE PAGAMENTO]],"AAAA"))</f>
        <v/>
      </c>
      <c r="AJ865" s="527" t="str">
        <f>IF(LANÇ_MOV[[#This Row],[DATA DE PAGAMENTO]]="","",UPPER(TEXT(LANÇ_MOV[[#This Row],[DATA DE PAGAMENTO]],"MMMM")))</f>
        <v/>
      </c>
      <c r="AK865" s="527" t="str">
        <f>IF(LANÇ_MOV[[#This Row],[DATA DE PAGAMENTO]]="","",TEXT(LANÇ_MOV[[#This Row],[DATA DE PAGAMENTO]],"M"))</f>
        <v/>
      </c>
      <c r="AL865" s="526" t="str">
        <f>IF(LANÇ_MOV[[#This Row],[DATA DE PAGAMENTO]]="","",TEXT(LANÇ_MOV[[#This Row],[DATA DE PAGAMENTO]],"D"))</f>
        <v/>
      </c>
    </row>
    <row r="866" spans="2:38" ht="30.05" customHeight="1" x14ac:dyDescent="0.35">
      <c r="B866" s="506"/>
      <c r="C866" s="507"/>
      <c r="D866" s="508" t="s">
        <v>1854</v>
      </c>
      <c r="E866" s="509"/>
      <c r="F866" s="510"/>
      <c r="G866" s="507"/>
      <c r="H866" s="511"/>
      <c r="I866" s="512"/>
      <c r="J866" s="518"/>
      <c r="K866" s="510"/>
      <c r="L866" s="510"/>
      <c r="M866" s="548"/>
      <c r="N866" s="514">
        <f>LANÇ_MOV[[#This Row],[VALOR BRUTO]]-LANÇ_MOV[[#This Row],[DESCONTO]]+LANÇ_MOV[[#This Row],[JUROS]]+LANÇ_MOV[[#This Row],[MULTA]]</f>
        <v>0</v>
      </c>
      <c r="O866" s="546"/>
      <c r="P866" s="547" t="str">
        <f t="shared" ca="1" si="13"/>
        <v/>
      </c>
      <c r="Q866" s="528"/>
      <c r="R866" s="529"/>
      <c r="S866" s="518"/>
      <c r="T866" s="518"/>
      <c r="U866" s="519"/>
      <c r="V866" s="520" t="str">
        <f>IFERROR(VLOOKUP(LANÇ_MOV[[#This Row],[PLANO DE CONTAS]],Plano_Contas[[PLANO DE CONTAS]:[R / D]],3,0),"")</f>
        <v/>
      </c>
      <c r="W866" s="521" t="str">
        <f>IF(LANÇ_MOV[[#This Row],[DATA DE PAGAMENTO]]&lt;&gt;"","Pago","Não Pago")</f>
        <v>Não Pago</v>
      </c>
      <c r="X866" s="522" t="str">
        <f>IFERROR(IF(LANÇ_MOV[[#This Row],[DATA DE PAGAMENTO]]="","",(UPPER(TEXT(LANÇ_MOV[[#This Row],[DATA DE PAGAMENTO]],"mmmm")))),"")</f>
        <v/>
      </c>
      <c r="Y866" s="523" t="str">
        <f>IFERROR(VLOOKUP(LANÇ_MOV[[#This Row],[PLANO DE CONTAS]],Plano_Contas[[PLANO DE CONTAS]:[NOMES INTERVALOS]],2,0),"")</f>
        <v/>
      </c>
      <c r="Z866" s="523" t="str">
        <f>IF(LANÇ_MOV[[#This Row],[FORMA DE PAGAMENTO]]="","",VLOOKUP(LANÇ_MOV[[#This Row],[FORMA DE PAGAMENTO]],CAD_Forma_pagto[],2,0))</f>
        <v/>
      </c>
      <c r="AA866" s="524" t="str">
        <f>IF(LANÇ_MOV[[#This Row],[DATA DE LANÇAMENTO]]="","",TEXT(LANÇ_MOV[[#This Row],[DATA DE LANÇAMENTO]],"AAAA"))</f>
        <v/>
      </c>
      <c r="AB866" s="524" t="str">
        <f>IF(LANÇ_MOV[[#This Row],[DATA DE LANÇAMENTO]]="","",UPPER(TEXT(LANÇ_MOV[[#This Row],[DATA DE LANÇAMENTO]],"MMMM")))</f>
        <v/>
      </c>
      <c r="AC866" s="525" t="str">
        <f>IF(LANÇ_MOV[[#This Row],[DATA DE LANÇAMENTO]]="","",PROPER(TEXT(LANÇ_MOV[[#This Row],[DATA DE LANÇAMENTO]],"M")))</f>
        <v/>
      </c>
      <c r="AD866" s="524" t="str">
        <f>IF(LANÇ_MOV[[#This Row],[DATA DE LANÇAMENTO]]="","",TEXT(LANÇ_MOV[[#This Row],[DATA DE LANÇAMENTO]],"D"))</f>
        <v/>
      </c>
      <c r="AE866" s="526" t="str">
        <f>IF(LANÇ_MOV[[#This Row],[DATA DE VENCIMENTO]]="","",TEXT(LANÇ_MOV[[#This Row],[DATA DE VENCIMENTO]],"AAAA"))</f>
        <v/>
      </c>
      <c r="AF866" s="526" t="str">
        <f>IF(LANÇ_MOV[[#This Row],[DATA DE VENCIMENTO]]="","",UPPER(TEXT(LANÇ_MOV[[#This Row],[DATA DE VENCIMENTO]],"MMMM")))</f>
        <v/>
      </c>
      <c r="AG866" s="526" t="str">
        <f>IF(LANÇ_MOV[[#This Row],[DATA DE VENCIMENTO]]="","",TEXT(LANÇ_MOV[[#This Row],[DATA DE VENCIMENTO]],"M"))</f>
        <v/>
      </c>
      <c r="AH866" s="526" t="str">
        <f>IF(LANÇ_MOV[[#This Row],[DATA DE VENCIMENTO]]="","",TEXT(LANÇ_MOV[[#This Row],[DATA DE VENCIMENTO]],"D"))</f>
        <v/>
      </c>
      <c r="AI866" s="526" t="str">
        <f>IF(LANÇ_MOV[[#This Row],[DATA DE PAGAMENTO]]="","",TEXT(LANÇ_MOV[[#This Row],[DATA DE PAGAMENTO]],"AAAA"))</f>
        <v/>
      </c>
      <c r="AJ866" s="527" t="str">
        <f>IF(LANÇ_MOV[[#This Row],[DATA DE PAGAMENTO]]="","",UPPER(TEXT(LANÇ_MOV[[#This Row],[DATA DE PAGAMENTO]],"MMMM")))</f>
        <v/>
      </c>
      <c r="AK866" s="527" t="str">
        <f>IF(LANÇ_MOV[[#This Row],[DATA DE PAGAMENTO]]="","",TEXT(LANÇ_MOV[[#This Row],[DATA DE PAGAMENTO]],"M"))</f>
        <v/>
      </c>
      <c r="AL866" s="526" t="str">
        <f>IF(LANÇ_MOV[[#This Row],[DATA DE PAGAMENTO]]="","",TEXT(LANÇ_MOV[[#This Row],[DATA DE PAGAMENTO]],"D"))</f>
        <v/>
      </c>
    </row>
    <row r="867" spans="2:38" ht="30.05" customHeight="1" x14ac:dyDescent="0.35">
      <c r="B867" s="506"/>
      <c r="C867" s="507"/>
      <c r="D867" s="508" t="s">
        <v>1854</v>
      </c>
      <c r="E867" s="509"/>
      <c r="F867" s="510"/>
      <c r="G867" s="507"/>
      <c r="H867" s="511"/>
      <c r="I867" s="512"/>
      <c r="J867" s="518"/>
      <c r="K867" s="510"/>
      <c r="L867" s="510"/>
      <c r="M867" s="548"/>
      <c r="N867" s="514">
        <f>LANÇ_MOV[[#This Row],[VALOR BRUTO]]-LANÇ_MOV[[#This Row],[DESCONTO]]+LANÇ_MOV[[#This Row],[JUROS]]+LANÇ_MOV[[#This Row],[MULTA]]</f>
        <v>0</v>
      </c>
      <c r="O867" s="546"/>
      <c r="P867" s="547" t="str">
        <f t="shared" ca="1" si="13"/>
        <v/>
      </c>
      <c r="Q867" s="528"/>
      <c r="R867" s="529"/>
      <c r="S867" s="518"/>
      <c r="T867" s="518"/>
      <c r="U867" s="519"/>
      <c r="V867" s="520" t="str">
        <f>IFERROR(VLOOKUP(LANÇ_MOV[[#This Row],[PLANO DE CONTAS]],Plano_Contas[[PLANO DE CONTAS]:[R / D]],3,0),"")</f>
        <v/>
      </c>
      <c r="W867" s="521" t="str">
        <f>IF(LANÇ_MOV[[#This Row],[DATA DE PAGAMENTO]]&lt;&gt;"","Pago","Não Pago")</f>
        <v>Não Pago</v>
      </c>
      <c r="X867" s="522" t="str">
        <f>IFERROR(IF(LANÇ_MOV[[#This Row],[DATA DE PAGAMENTO]]="","",(UPPER(TEXT(LANÇ_MOV[[#This Row],[DATA DE PAGAMENTO]],"mmmm")))),"")</f>
        <v/>
      </c>
      <c r="Y867" s="523" t="str">
        <f>IFERROR(VLOOKUP(LANÇ_MOV[[#This Row],[PLANO DE CONTAS]],Plano_Contas[[PLANO DE CONTAS]:[NOMES INTERVALOS]],2,0),"")</f>
        <v/>
      </c>
      <c r="Z867" s="523" t="str">
        <f>IF(LANÇ_MOV[[#This Row],[FORMA DE PAGAMENTO]]="","",VLOOKUP(LANÇ_MOV[[#This Row],[FORMA DE PAGAMENTO]],CAD_Forma_pagto[],2,0))</f>
        <v/>
      </c>
      <c r="AA867" s="524" t="str">
        <f>IF(LANÇ_MOV[[#This Row],[DATA DE LANÇAMENTO]]="","",TEXT(LANÇ_MOV[[#This Row],[DATA DE LANÇAMENTO]],"AAAA"))</f>
        <v/>
      </c>
      <c r="AB867" s="524" t="str">
        <f>IF(LANÇ_MOV[[#This Row],[DATA DE LANÇAMENTO]]="","",UPPER(TEXT(LANÇ_MOV[[#This Row],[DATA DE LANÇAMENTO]],"MMMM")))</f>
        <v/>
      </c>
      <c r="AC867" s="525" t="str">
        <f>IF(LANÇ_MOV[[#This Row],[DATA DE LANÇAMENTO]]="","",PROPER(TEXT(LANÇ_MOV[[#This Row],[DATA DE LANÇAMENTO]],"M")))</f>
        <v/>
      </c>
      <c r="AD867" s="524" t="str">
        <f>IF(LANÇ_MOV[[#This Row],[DATA DE LANÇAMENTO]]="","",TEXT(LANÇ_MOV[[#This Row],[DATA DE LANÇAMENTO]],"D"))</f>
        <v/>
      </c>
      <c r="AE867" s="526" t="str">
        <f>IF(LANÇ_MOV[[#This Row],[DATA DE VENCIMENTO]]="","",TEXT(LANÇ_MOV[[#This Row],[DATA DE VENCIMENTO]],"AAAA"))</f>
        <v/>
      </c>
      <c r="AF867" s="526" t="str">
        <f>IF(LANÇ_MOV[[#This Row],[DATA DE VENCIMENTO]]="","",UPPER(TEXT(LANÇ_MOV[[#This Row],[DATA DE VENCIMENTO]],"MMMM")))</f>
        <v/>
      </c>
      <c r="AG867" s="526" t="str">
        <f>IF(LANÇ_MOV[[#This Row],[DATA DE VENCIMENTO]]="","",TEXT(LANÇ_MOV[[#This Row],[DATA DE VENCIMENTO]],"M"))</f>
        <v/>
      </c>
      <c r="AH867" s="526" t="str">
        <f>IF(LANÇ_MOV[[#This Row],[DATA DE VENCIMENTO]]="","",TEXT(LANÇ_MOV[[#This Row],[DATA DE VENCIMENTO]],"D"))</f>
        <v/>
      </c>
      <c r="AI867" s="526" t="str">
        <f>IF(LANÇ_MOV[[#This Row],[DATA DE PAGAMENTO]]="","",TEXT(LANÇ_MOV[[#This Row],[DATA DE PAGAMENTO]],"AAAA"))</f>
        <v/>
      </c>
      <c r="AJ867" s="527" t="str">
        <f>IF(LANÇ_MOV[[#This Row],[DATA DE PAGAMENTO]]="","",UPPER(TEXT(LANÇ_MOV[[#This Row],[DATA DE PAGAMENTO]],"MMMM")))</f>
        <v/>
      </c>
      <c r="AK867" s="527" t="str">
        <f>IF(LANÇ_MOV[[#This Row],[DATA DE PAGAMENTO]]="","",TEXT(LANÇ_MOV[[#This Row],[DATA DE PAGAMENTO]],"M"))</f>
        <v/>
      </c>
      <c r="AL867" s="526" t="str">
        <f>IF(LANÇ_MOV[[#This Row],[DATA DE PAGAMENTO]]="","",TEXT(LANÇ_MOV[[#This Row],[DATA DE PAGAMENTO]],"D"))</f>
        <v/>
      </c>
    </row>
    <row r="868" spans="2:38" ht="30.05" customHeight="1" x14ac:dyDescent="0.35">
      <c r="B868" s="506"/>
      <c r="C868" s="507"/>
      <c r="D868" s="508" t="s">
        <v>1854</v>
      </c>
      <c r="E868" s="509"/>
      <c r="F868" s="510"/>
      <c r="G868" s="507"/>
      <c r="H868" s="511"/>
      <c r="I868" s="512"/>
      <c r="J868" s="518"/>
      <c r="K868" s="510"/>
      <c r="L868" s="510"/>
      <c r="M868" s="548"/>
      <c r="N868" s="514">
        <f>LANÇ_MOV[[#This Row],[VALOR BRUTO]]-LANÇ_MOV[[#This Row],[DESCONTO]]+LANÇ_MOV[[#This Row],[JUROS]]+LANÇ_MOV[[#This Row],[MULTA]]</f>
        <v>0</v>
      </c>
      <c r="O868" s="546"/>
      <c r="P868" s="547" t="str">
        <f t="shared" ca="1" si="13"/>
        <v/>
      </c>
      <c r="Q868" s="528"/>
      <c r="R868" s="529"/>
      <c r="S868" s="518"/>
      <c r="T868" s="518"/>
      <c r="U868" s="519"/>
      <c r="V868" s="520" t="str">
        <f>IFERROR(VLOOKUP(LANÇ_MOV[[#This Row],[PLANO DE CONTAS]],Plano_Contas[[PLANO DE CONTAS]:[R / D]],3,0),"")</f>
        <v/>
      </c>
      <c r="W868" s="521" t="str">
        <f>IF(LANÇ_MOV[[#This Row],[DATA DE PAGAMENTO]]&lt;&gt;"","Pago","Não Pago")</f>
        <v>Não Pago</v>
      </c>
      <c r="X868" s="522" t="str">
        <f>IFERROR(IF(LANÇ_MOV[[#This Row],[DATA DE PAGAMENTO]]="","",(UPPER(TEXT(LANÇ_MOV[[#This Row],[DATA DE PAGAMENTO]],"mmmm")))),"")</f>
        <v/>
      </c>
      <c r="Y868" s="523" t="str">
        <f>IFERROR(VLOOKUP(LANÇ_MOV[[#This Row],[PLANO DE CONTAS]],Plano_Contas[[PLANO DE CONTAS]:[NOMES INTERVALOS]],2,0),"")</f>
        <v/>
      </c>
      <c r="Z868" s="523" t="str">
        <f>IF(LANÇ_MOV[[#This Row],[FORMA DE PAGAMENTO]]="","",VLOOKUP(LANÇ_MOV[[#This Row],[FORMA DE PAGAMENTO]],CAD_Forma_pagto[],2,0))</f>
        <v/>
      </c>
      <c r="AA868" s="524" t="str">
        <f>IF(LANÇ_MOV[[#This Row],[DATA DE LANÇAMENTO]]="","",TEXT(LANÇ_MOV[[#This Row],[DATA DE LANÇAMENTO]],"AAAA"))</f>
        <v/>
      </c>
      <c r="AB868" s="524" t="str">
        <f>IF(LANÇ_MOV[[#This Row],[DATA DE LANÇAMENTO]]="","",UPPER(TEXT(LANÇ_MOV[[#This Row],[DATA DE LANÇAMENTO]],"MMMM")))</f>
        <v/>
      </c>
      <c r="AC868" s="525" t="str">
        <f>IF(LANÇ_MOV[[#This Row],[DATA DE LANÇAMENTO]]="","",PROPER(TEXT(LANÇ_MOV[[#This Row],[DATA DE LANÇAMENTO]],"M")))</f>
        <v/>
      </c>
      <c r="AD868" s="524" t="str">
        <f>IF(LANÇ_MOV[[#This Row],[DATA DE LANÇAMENTO]]="","",TEXT(LANÇ_MOV[[#This Row],[DATA DE LANÇAMENTO]],"D"))</f>
        <v/>
      </c>
      <c r="AE868" s="526" t="str">
        <f>IF(LANÇ_MOV[[#This Row],[DATA DE VENCIMENTO]]="","",TEXT(LANÇ_MOV[[#This Row],[DATA DE VENCIMENTO]],"AAAA"))</f>
        <v/>
      </c>
      <c r="AF868" s="526" t="str">
        <f>IF(LANÇ_MOV[[#This Row],[DATA DE VENCIMENTO]]="","",UPPER(TEXT(LANÇ_MOV[[#This Row],[DATA DE VENCIMENTO]],"MMMM")))</f>
        <v/>
      </c>
      <c r="AG868" s="526" t="str">
        <f>IF(LANÇ_MOV[[#This Row],[DATA DE VENCIMENTO]]="","",TEXT(LANÇ_MOV[[#This Row],[DATA DE VENCIMENTO]],"M"))</f>
        <v/>
      </c>
      <c r="AH868" s="526" t="str">
        <f>IF(LANÇ_MOV[[#This Row],[DATA DE VENCIMENTO]]="","",TEXT(LANÇ_MOV[[#This Row],[DATA DE VENCIMENTO]],"D"))</f>
        <v/>
      </c>
      <c r="AI868" s="526" t="str">
        <f>IF(LANÇ_MOV[[#This Row],[DATA DE PAGAMENTO]]="","",TEXT(LANÇ_MOV[[#This Row],[DATA DE PAGAMENTO]],"AAAA"))</f>
        <v/>
      </c>
      <c r="AJ868" s="527" t="str">
        <f>IF(LANÇ_MOV[[#This Row],[DATA DE PAGAMENTO]]="","",UPPER(TEXT(LANÇ_MOV[[#This Row],[DATA DE PAGAMENTO]],"MMMM")))</f>
        <v/>
      </c>
      <c r="AK868" s="527" t="str">
        <f>IF(LANÇ_MOV[[#This Row],[DATA DE PAGAMENTO]]="","",TEXT(LANÇ_MOV[[#This Row],[DATA DE PAGAMENTO]],"M"))</f>
        <v/>
      </c>
      <c r="AL868" s="526" t="str">
        <f>IF(LANÇ_MOV[[#This Row],[DATA DE PAGAMENTO]]="","",TEXT(LANÇ_MOV[[#This Row],[DATA DE PAGAMENTO]],"D"))</f>
        <v/>
      </c>
    </row>
    <row r="869" spans="2:38" ht="30.05" customHeight="1" x14ac:dyDescent="0.35">
      <c r="B869" s="506"/>
      <c r="C869" s="507"/>
      <c r="D869" s="508" t="s">
        <v>1854</v>
      </c>
      <c r="E869" s="509"/>
      <c r="F869" s="510"/>
      <c r="G869" s="507"/>
      <c r="H869" s="511"/>
      <c r="I869" s="512"/>
      <c r="J869" s="518"/>
      <c r="K869" s="510"/>
      <c r="L869" s="510"/>
      <c r="M869" s="548"/>
      <c r="N869" s="514">
        <f>LANÇ_MOV[[#This Row],[VALOR BRUTO]]-LANÇ_MOV[[#This Row],[DESCONTO]]+LANÇ_MOV[[#This Row],[JUROS]]+LANÇ_MOV[[#This Row],[MULTA]]</f>
        <v>0</v>
      </c>
      <c r="O869" s="546"/>
      <c r="P869" s="547" t="str">
        <f t="shared" ca="1" si="13"/>
        <v/>
      </c>
      <c r="Q869" s="528"/>
      <c r="R869" s="529"/>
      <c r="S869" s="518"/>
      <c r="T869" s="518"/>
      <c r="U869" s="519"/>
      <c r="V869" s="520" t="str">
        <f>IFERROR(VLOOKUP(LANÇ_MOV[[#This Row],[PLANO DE CONTAS]],Plano_Contas[[PLANO DE CONTAS]:[R / D]],3,0),"")</f>
        <v/>
      </c>
      <c r="W869" s="521" t="str">
        <f>IF(LANÇ_MOV[[#This Row],[DATA DE PAGAMENTO]]&lt;&gt;"","Pago","Não Pago")</f>
        <v>Não Pago</v>
      </c>
      <c r="X869" s="522" t="str">
        <f>IFERROR(IF(LANÇ_MOV[[#This Row],[DATA DE PAGAMENTO]]="","",(UPPER(TEXT(LANÇ_MOV[[#This Row],[DATA DE PAGAMENTO]],"mmmm")))),"")</f>
        <v/>
      </c>
      <c r="Y869" s="523" t="str">
        <f>IFERROR(VLOOKUP(LANÇ_MOV[[#This Row],[PLANO DE CONTAS]],Plano_Contas[[PLANO DE CONTAS]:[NOMES INTERVALOS]],2,0),"")</f>
        <v/>
      </c>
      <c r="Z869" s="523" t="str">
        <f>IF(LANÇ_MOV[[#This Row],[FORMA DE PAGAMENTO]]="","",VLOOKUP(LANÇ_MOV[[#This Row],[FORMA DE PAGAMENTO]],CAD_Forma_pagto[],2,0))</f>
        <v/>
      </c>
      <c r="AA869" s="524" t="str">
        <f>IF(LANÇ_MOV[[#This Row],[DATA DE LANÇAMENTO]]="","",TEXT(LANÇ_MOV[[#This Row],[DATA DE LANÇAMENTO]],"AAAA"))</f>
        <v/>
      </c>
      <c r="AB869" s="524" t="str">
        <f>IF(LANÇ_MOV[[#This Row],[DATA DE LANÇAMENTO]]="","",UPPER(TEXT(LANÇ_MOV[[#This Row],[DATA DE LANÇAMENTO]],"MMMM")))</f>
        <v/>
      </c>
      <c r="AC869" s="525" t="str">
        <f>IF(LANÇ_MOV[[#This Row],[DATA DE LANÇAMENTO]]="","",PROPER(TEXT(LANÇ_MOV[[#This Row],[DATA DE LANÇAMENTO]],"M")))</f>
        <v/>
      </c>
      <c r="AD869" s="524" t="str">
        <f>IF(LANÇ_MOV[[#This Row],[DATA DE LANÇAMENTO]]="","",TEXT(LANÇ_MOV[[#This Row],[DATA DE LANÇAMENTO]],"D"))</f>
        <v/>
      </c>
      <c r="AE869" s="526" t="str">
        <f>IF(LANÇ_MOV[[#This Row],[DATA DE VENCIMENTO]]="","",TEXT(LANÇ_MOV[[#This Row],[DATA DE VENCIMENTO]],"AAAA"))</f>
        <v/>
      </c>
      <c r="AF869" s="526" t="str">
        <f>IF(LANÇ_MOV[[#This Row],[DATA DE VENCIMENTO]]="","",UPPER(TEXT(LANÇ_MOV[[#This Row],[DATA DE VENCIMENTO]],"MMMM")))</f>
        <v/>
      </c>
      <c r="AG869" s="526" t="str">
        <f>IF(LANÇ_MOV[[#This Row],[DATA DE VENCIMENTO]]="","",TEXT(LANÇ_MOV[[#This Row],[DATA DE VENCIMENTO]],"M"))</f>
        <v/>
      </c>
      <c r="AH869" s="526" t="str">
        <f>IF(LANÇ_MOV[[#This Row],[DATA DE VENCIMENTO]]="","",TEXT(LANÇ_MOV[[#This Row],[DATA DE VENCIMENTO]],"D"))</f>
        <v/>
      </c>
      <c r="AI869" s="526" t="str">
        <f>IF(LANÇ_MOV[[#This Row],[DATA DE PAGAMENTO]]="","",TEXT(LANÇ_MOV[[#This Row],[DATA DE PAGAMENTO]],"AAAA"))</f>
        <v/>
      </c>
      <c r="AJ869" s="527" t="str">
        <f>IF(LANÇ_MOV[[#This Row],[DATA DE PAGAMENTO]]="","",UPPER(TEXT(LANÇ_MOV[[#This Row],[DATA DE PAGAMENTO]],"MMMM")))</f>
        <v/>
      </c>
      <c r="AK869" s="527" t="str">
        <f>IF(LANÇ_MOV[[#This Row],[DATA DE PAGAMENTO]]="","",TEXT(LANÇ_MOV[[#This Row],[DATA DE PAGAMENTO]],"M"))</f>
        <v/>
      </c>
      <c r="AL869" s="526" t="str">
        <f>IF(LANÇ_MOV[[#This Row],[DATA DE PAGAMENTO]]="","",TEXT(LANÇ_MOV[[#This Row],[DATA DE PAGAMENTO]],"D"))</f>
        <v/>
      </c>
    </row>
    <row r="870" spans="2:38" ht="30.05" customHeight="1" x14ac:dyDescent="0.35">
      <c r="B870" s="506"/>
      <c r="C870" s="507"/>
      <c r="D870" s="508" t="s">
        <v>1854</v>
      </c>
      <c r="E870" s="509"/>
      <c r="F870" s="510"/>
      <c r="G870" s="507"/>
      <c r="H870" s="511"/>
      <c r="I870" s="512"/>
      <c r="J870" s="518"/>
      <c r="K870" s="510"/>
      <c r="L870" s="510"/>
      <c r="M870" s="548"/>
      <c r="N870" s="514">
        <f>LANÇ_MOV[[#This Row],[VALOR BRUTO]]-LANÇ_MOV[[#This Row],[DESCONTO]]+LANÇ_MOV[[#This Row],[JUROS]]+LANÇ_MOV[[#This Row],[MULTA]]</f>
        <v>0</v>
      </c>
      <c r="O870" s="546"/>
      <c r="P870" s="547" t="str">
        <f t="shared" ca="1" si="13"/>
        <v/>
      </c>
      <c r="Q870" s="528"/>
      <c r="R870" s="529"/>
      <c r="S870" s="518"/>
      <c r="T870" s="518"/>
      <c r="U870" s="519"/>
      <c r="V870" s="520" t="str">
        <f>IFERROR(VLOOKUP(LANÇ_MOV[[#This Row],[PLANO DE CONTAS]],Plano_Contas[[PLANO DE CONTAS]:[R / D]],3,0),"")</f>
        <v/>
      </c>
      <c r="W870" s="521" t="str">
        <f>IF(LANÇ_MOV[[#This Row],[DATA DE PAGAMENTO]]&lt;&gt;"","Pago","Não Pago")</f>
        <v>Não Pago</v>
      </c>
      <c r="X870" s="522" t="str">
        <f>IFERROR(IF(LANÇ_MOV[[#This Row],[DATA DE PAGAMENTO]]="","",(UPPER(TEXT(LANÇ_MOV[[#This Row],[DATA DE PAGAMENTO]],"mmmm")))),"")</f>
        <v/>
      </c>
      <c r="Y870" s="523" t="str">
        <f>IFERROR(VLOOKUP(LANÇ_MOV[[#This Row],[PLANO DE CONTAS]],Plano_Contas[[PLANO DE CONTAS]:[NOMES INTERVALOS]],2,0),"")</f>
        <v/>
      </c>
      <c r="Z870" s="523" t="str">
        <f>IF(LANÇ_MOV[[#This Row],[FORMA DE PAGAMENTO]]="","",VLOOKUP(LANÇ_MOV[[#This Row],[FORMA DE PAGAMENTO]],CAD_Forma_pagto[],2,0))</f>
        <v/>
      </c>
      <c r="AA870" s="524" t="str">
        <f>IF(LANÇ_MOV[[#This Row],[DATA DE LANÇAMENTO]]="","",TEXT(LANÇ_MOV[[#This Row],[DATA DE LANÇAMENTO]],"AAAA"))</f>
        <v/>
      </c>
      <c r="AB870" s="524" t="str">
        <f>IF(LANÇ_MOV[[#This Row],[DATA DE LANÇAMENTO]]="","",UPPER(TEXT(LANÇ_MOV[[#This Row],[DATA DE LANÇAMENTO]],"MMMM")))</f>
        <v/>
      </c>
      <c r="AC870" s="525" t="str">
        <f>IF(LANÇ_MOV[[#This Row],[DATA DE LANÇAMENTO]]="","",PROPER(TEXT(LANÇ_MOV[[#This Row],[DATA DE LANÇAMENTO]],"M")))</f>
        <v/>
      </c>
      <c r="AD870" s="524" t="str">
        <f>IF(LANÇ_MOV[[#This Row],[DATA DE LANÇAMENTO]]="","",TEXT(LANÇ_MOV[[#This Row],[DATA DE LANÇAMENTO]],"D"))</f>
        <v/>
      </c>
      <c r="AE870" s="526" t="str">
        <f>IF(LANÇ_MOV[[#This Row],[DATA DE VENCIMENTO]]="","",TEXT(LANÇ_MOV[[#This Row],[DATA DE VENCIMENTO]],"AAAA"))</f>
        <v/>
      </c>
      <c r="AF870" s="526" t="str">
        <f>IF(LANÇ_MOV[[#This Row],[DATA DE VENCIMENTO]]="","",UPPER(TEXT(LANÇ_MOV[[#This Row],[DATA DE VENCIMENTO]],"MMMM")))</f>
        <v/>
      </c>
      <c r="AG870" s="526" t="str">
        <f>IF(LANÇ_MOV[[#This Row],[DATA DE VENCIMENTO]]="","",TEXT(LANÇ_MOV[[#This Row],[DATA DE VENCIMENTO]],"M"))</f>
        <v/>
      </c>
      <c r="AH870" s="526" t="str">
        <f>IF(LANÇ_MOV[[#This Row],[DATA DE VENCIMENTO]]="","",TEXT(LANÇ_MOV[[#This Row],[DATA DE VENCIMENTO]],"D"))</f>
        <v/>
      </c>
      <c r="AI870" s="526" t="str">
        <f>IF(LANÇ_MOV[[#This Row],[DATA DE PAGAMENTO]]="","",TEXT(LANÇ_MOV[[#This Row],[DATA DE PAGAMENTO]],"AAAA"))</f>
        <v/>
      </c>
      <c r="AJ870" s="527" t="str">
        <f>IF(LANÇ_MOV[[#This Row],[DATA DE PAGAMENTO]]="","",UPPER(TEXT(LANÇ_MOV[[#This Row],[DATA DE PAGAMENTO]],"MMMM")))</f>
        <v/>
      </c>
      <c r="AK870" s="527" t="str">
        <f>IF(LANÇ_MOV[[#This Row],[DATA DE PAGAMENTO]]="","",TEXT(LANÇ_MOV[[#This Row],[DATA DE PAGAMENTO]],"M"))</f>
        <v/>
      </c>
      <c r="AL870" s="526" t="str">
        <f>IF(LANÇ_MOV[[#This Row],[DATA DE PAGAMENTO]]="","",TEXT(LANÇ_MOV[[#This Row],[DATA DE PAGAMENTO]],"D"))</f>
        <v/>
      </c>
    </row>
    <row r="871" spans="2:38" ht="30.05" customHeight="1" x14ac:dyDescent="0.35">
      <c r="B871" s="506"/>
      <c r="C871" s="507"/>
      <c r="D871" s="508" t="s">
        <v>1854</v>
      </c>
      <c r="E871" s="509"/>
      <c r="F871" s="510"/>
      <c r="G871" s="507"/>
      <c r="H871" s="511"/>
      <c r="I871" s="512"/>
      <c r="J871" s="518"/>
      <c r="K871" s="510"/>
      <c r="L871" s="510"/>
      <c r="M871" s="548"/>
      <c r="N871" s="514">
        <f>LANÇ_MOV[[#This Row],[VALOR BRUTO]]-LANÇ_MOV[[#This Row],[DESCONTO]]+LANÇ_MOV[[#This Row],[JUROS]]+LANÇ_MOV[[#This Row],[MULTA]]</f>
        <v>0</v>
      </c>
      <c r="O871" s="546"/>
      <c r="P871" s="547" t="str">
        <f t="shared" ca="1" si="13"/>
        <v/>
      </c>
      <c r="Q871" s="528"/>
      <c r="R871" s="529"/>
      <c r="S871" s="518"/>
      <c r="T871" s="518"/>
      <c r="U871" s="519"/>
      <c r="V871" s="520" t="str">
        <f>IFERROR(VLOOKUP(LANÇ_MOV[[#This Row],[PLANO DE CONTAS]],Plano_Contas[[PLANO DE CONTAS]:[R / D]],3,0),"")</f>
        <v/>
      </c>
      <c r="W871" s="521" t="str">
        <f>IF(LANÇ_MOV[[#This Row],[DATA DE PAGAMENTO]]&lt;&gt;"","Pago","Não Pago")</f>
        <v>Não Pago</v>
      </c>
      <c r="X871" s="522" t="str">
        <f>IFERROR(IF(LANÇ_MOV[[#This Row],[DATA DE PAGAMENTO]]="","",(UPPER(TEXT(LANÇ_MOV[[#This Row],[DATA DE PAGAMENTO]],"mmmm")))),"")</f>
        <v/>
      </c>
      <c r="Y871" s="523" t="str">
        <f>IFERROR(VLOOKUP(LANÇ_MOV[[#This Row],[PLANO DE CONTAS]],Plano_Contas[[PLANO DE CONTAS]:[NOMES INTERVALOS]],2,0),"")</f>
        <v/>
      </c>
      <c r="Z871" s="523" t="str">
        <f>IF(LANÇ_MOV[[#This Row],[FORMA DE PAGAMENTO]]="","",VLOOKUP(LANÇ_MOV[[#This Row],[FORMA DE PAGAMENTO]],CAD_Forma_pagto[],2,0))</f>
        <v/>
      </c>
      <c r="AA871" s="524" t="str">
        <f>IF(LANÇ_MOV[[#This Row],[DATA DE LANÇAMENTO]]="","",TEXT(LANÇ_MOV[[#This Row],[DATA DE LANÇAMENTO]],"AAAA"))</f>
        <v/>
      </c>
      <c r="AB871" s="524" t="str">
        <f>IF(LANÇ_MOV[[#This Row],[DATA DE LANÇAMENTO]]="","",UPPER(TEXT(LANÇ_MOV[[#This Row],[DATA DE LANÇAMENTO]],"MMMM")))</f>
        <v/>
      </c>
      <c r="AC871" s="525" t="str">
        <f>IF(LANÇ_MOV[[#This Row],[DATA DE LANÇAMENTO]]="","",PROPER(TEXT(LANÇ_MOV[[#This Row],[DATA DE LANÇAMENTO]],"M")))</f>
        <v/>
      </c>
      <c r="AD871" s="524" t="str">
        <f>IF(LANÇ_MOV[[#This Row],[DATA DE LANÇAMENTO]]="","",TEXT(LANÇ_MOV[[#This Row],[DATA DE LANÇAMENTO]],"D"))</f>
        <v/>
      </c>
      <c r="AE871" s="526" t="str">
        <f>IF(LANÇ_MOV[[#This Row],[DATA DE VENCIMENTO]]="","",TEXT(LANÇ_MOV[[#This Row],[DATA DE VENCIMENTO]],"AAAA"))</f>
        <v/>
      </c>
      <c r="AF871" s="526" t="str">
        <f>IF(LANÇ_MOV[[#This Row],[DATA DE VENCIMENTO]]="","",UPPER(TEXT(LANÇ_MOV[[#This Row],[DATA DE VENCIMENTO]],"MMMM")))</f>
        <v/>
      </c>
      <c r="AG871" s="526" t="str">
        <f>IF(LANÇ_MOV[[#This Row],[DATA DE VENCIMENTO]]="","",TEXT(LANÇ_MOV[[#This Row],[DATA DE VENCIMENTO]],"M"))</f>
        <v/>
      </c>
      <c r="AH871" s="526" t="str">
        <f>IF(LANÇ_MOV[[#This Row],[DATA DE VENCIMENTO]]="","",TEXT(LANÇ_MOV[[#This Row],[DATA DE VENCIMENTO]],"D"))</f>
        <v/>
      </c>
      <c r="AI871" s="526" t="str">
        <f>IF(LANÇ_MOV[[#This Row],[DATA DE PAGAMENTO]]="","",TEXT(LANÇ_MOV[[#This Row],[DATA DE PAGAMENTO]],"AAAA"))</f>
        <v/>
      </c>
      <c r="AJ871" s="527" t="str">
        <f>IF(LANÇ_MOV[[#This Row],[DATA DE PAGAMENTO]]="","",UPPER(TEXT(LANÇ_MOV[[#This Row],[DATA DE PAGAMENTO]],"MMMM")))</f>
        <v/>
      </c>
      <c r="AK871" s="527" t="str">
        <f>IF(LANÇ_MOV[[#This Row],[DATA DE PAGAMENTO]]="","",TEXT(LANÇ_MOV[[#This Row],[DATA DE PAGAMENTO]],"M"))</f>
        <v/>
      </c>
      <c r="AL871" s="526" t="str">
        <f>IF(LANÇ_MOV[[#This Row],[DATA DE PAGAMENTO]]="","",TEXT(LANÇ_MOV[[#This Row],[DATA DE PAGAMENTO]],"D"))</f>
        <v/>
      </c>
    </row>
    <row r="872" spans="2:38" ht="30.05" customHeight="1" x14ac:dyDescent="0.35">
      <c r="B872" s="506"/>
      <c r="C872" s="507"/>
      <c r="D872" s="508" t="s">
        <v>1854</v>
      </c>
      <c r="E872" s="509"/>
      <c r="F872" s="510"/>
      <c r="G872" s="507"/>
      <c r="H872" s="511"/>
      <c r="I872" s="512"/>
      <c r="J872" s="518"/>
      <c r="K872" s="510"/>
      <c r="L872" s="510"/>
      <c r="M872" s="548"/>
      <c r="N872" s="514">
        <f>LANÇ_MOV[[#This Row],[VALOR BRUTO]]-LANÇ_MOV[[#This Row],[DESCONTO]]+LANÇ_MOV[[#This Row],[JUROS]]+LANÇ_MOV[[#This Row],[MULTA]]</f>
        <v>0</v>
      </c>
      <c r="O872" s="546"/>
      <c r="P872" s="547" t="str">
        <f t="shared" ca="1" si="13"/>
        <v/>
      </c>
      <c r="Q872" s="528"/>
      <c r="R872" s="529"/>
      <c r="S872" s="518"/>
      <c r="T872" s="518"/>
      <c r="U872" s="519"/>
      <c r="V872" s="520" t="str">
        <f>IFERROR(VLOOKUP(LANÇ_MOV[[#This Row],[PLANO DE CONTAS]],Plano_Contas[[PLANO DE CONTAS]:[R / D]],3,0),"")</f>
        <v/>
      </c>
      <c r="W872" s="521" t="str">
        <f>IF(LANÇ_MOV[[#This Row],[DATA DE PAGAMENTO]]&lt;&gt;"","Pago","Não Pago")</f>
        <v>Não Pago</v>
      </c>
      <c r="X872" s="522" t="str">
        <f>IFERROR(IF(LANÇ_MOV[[#This Row],[DATA DE PAGAMENTO]]="","",(UPPER(TEXT(LANÇ_MOV[[#This Row],[DATA DE PAGAMENTO]],"mmmm")))),"")</f>
        <v/>
      </c>
      <c r="Y872" s="523" t="str">
        <f>IFERROR(VLOOKUP(LANÇ_MOV[[#This Row],[PLANO DE CONTAS]],Plano_Contas[[PLANO DE CONTAS]:[NOMES INTERVALOS]],2,0),"")</f>
        <v/>
      </c>
      <c r="Z872" s="523" t="str">
        <f>IF(LANÇ_MOV[[#This Row],[FORMA DE PAGAMENTO]]="","",VLOOKUP(LANÇ_MOV[[#This Row],[FORMA DE PAGAMENTO]],CAD_Forma_pagto[],2,0))</f>
        <v/>
      </c>
      <c r="AA872" s="524" t="str">
        <f>IF(LANÇ_MOV[[#This Row],[DATA DE LANÇAMENTO]]="","",TEXT(LANÇ_MOV[[#This Row],[DATA DE LANÇAMENTO]],"AAAA"))</f>
        <v/>
      </c>
      <c r="AB872" s="524" t="str">
        <f>IF(LANÇ_MOV[[#This Row],[DATA DE LANÇAMENTO]]="","",UPPER(TEXT(LANÇ_MOV[[#This Row],[DATA DE LANÇAMENTO]],"MMMM")))</f>
        <v/>
      </c>
      <c r="AC872" s="525" t="str">
        <f>IF(LANÇ_MOV[[#This Row],[DATA DE LANÇAMENTO]]="","",PROPER(TEXT(LANÇ_MOV[[#This Row],[DATA DE LANÇAMENTO]],"M")))</f>
        <v/>
      </c>
      <c r="AD872" s="524" t="str">
        <f>IF(LANÇ_MOV[[#This Row],[DATA DE LANÇAMENTO]]="","",TEXT(LANÇ_MOV[[#This Row],[DATA DE LANÇAMENTO]],"D"))</f>
        <v/>
      </c>
      <c r="AE872" s="526" t="str">
        <f>IF(LANÇ_MOV[[#This Row],[DATA DE VENCIMENTO]]="","",TEXT(LANÇ_MOV[[#This Row],[DATA DE VENCIMENTO]],"AAAA"))</f>
        <v/>
      </c>
      <c r="AF872" s="526" t="str">
        <f>IF(LANÇ_MOV[[#This Row],[DATA DE VENCIMENTO]]="","",UPPER(TEXT(LANÇ_MOV[[#This Row],[DATA DE VENCIMENTO]],"MMMM")))</f>
        <v/>
      </c>
      <c r="AG872" s="526" t="str">
        <f>IF(LANÇ_MOV[[#This Row],[DATA DE VENCIMENTO]]="","",TEXT(LANÇ_MOV[[#This Row],[DATA DE VENCIMENTO]],"M"))</f>
        <v/>
      </c>
      <c r="AH872" s="526" t="str">
        <f>IF(LANÇ_MOV[[#This Row],[DATA DE VENCIMENTO]]="","",TEXT(LANÇ_MOV[[#This Row],[DATA DE VENCIMENTO]],"D"))</f>
        <v/>
      </c>
      <c r="AI872" s="526" t="str">
        <f>IF(LANÇ_MOV[[#This Row],[DATA DE PAGAMENTO]]="","",TEXT(LANÇ_MOV[[#This Row],[DATA DE PAGAMENTO]],"AAAA"))</f>
        <v/>
      </c>
      <c r="AJ872" s="527" t="str">
        <f>IF(LANÇ_MOV[[#This Row],[DATA DE PAGAMENTO]]="","",UPPER(TEXT(LANÇ_MOV[[#This Row],[DATA DE PAGAMENTO]],"MMMM")))</f>
        <v/>
      </c>
      <c r="AK872" s="527" t="str">
        <f>IF(LANÇ_MOV[[#This Row],[DATA DE PAGAMENTO]]="","",TEXT(LANÇ_MOV[[#This Row],[DATA DE PAGAMENTO]],"M"))</f>
        <v/>
      </c>
      <c r="AL872" s="526" t="str">
        <f>IF(LANÇ_MOV[[#This Row],[DATA DE PAGAMENTO]]="","",TEXT(LANÇ_MOV[[#This Row],[DATA DE PAGAMENTO]],"D"))</f>
        <v/>
      </c>
    </row>
    <row r="873" spans="2:38" ht="30.05" customHeight="1" x14ac:dyDescent="0.35">
      <c r="B873" s="506"/>
      <c r="C873" s="507"/>
      <c r="D873" s="508" t="s">
        <v>1854</v>
      </c>
      <c r="E873" s="509"/>
      <c r="F873" s="510"/>
      <c r="G873" s="507"/>
      <c r="H873" s="511"/>
      <c r="I873" s="512"/>
      <c r="J873" s="518"/>
      <c r="K873" s="510"/>
      <c r="L873" s="510"/>
      <c r="M873" s="548"/>
      <c r="N873" s="514">
        <f>LANÇ_MOV[[#This Row],[VALOR BRUTO]]-LANÇ_MOV[[#This Row],[DESCONTO]]+LANÇ_MOV[[#This Row],[JUROS]]+LANÇ_MOV[[#This Row],[MULTA]]</f>
        <v>0</v>
      </c>
      <c r="O873" s="546"/>
      <c r="P873" s="547" t="str">
        <f t="shared" ca="1" si="13"/>
        <v/>
      </c>
      <c r="Q873" s="528"/>
      <c r="R873" s="529"/>
      <c r="S873" s="518"/>
      <c r="T873" s="518"/>
      <c r="U873" s="519"/>
      <c r="V873" s="520" t="str">
        <f>IFERROR(VLOOKUP(LANÇ_MOV[[#This Row],[PLANO DE CONTAS]],Plano_Contas[[PLANO DE CONTAS]:[R / D]],3,0),"")</f>
        <v/>
      </c>
      <c r="W873" s="521" t="str">
        <f>IF(LANÇ_MOV[[#This Row],[DATA DE PAGAMENTO]]&lt;&gt;"","Pago","Não Pago")</f>
        <v>Não Pago</v>
      </c>
      <c r="X873" s="522" t="str">
        <f>IFERROR(IF(LANÇ_MOV[[#This Row],[DATA DE PAGAMENTO]]="","",(UPPER(TEXT(LANÇ_MOV[[#This Row],[DATA DE PAGAMENTO]],"mmmm")))),"")</f>
        <v/>
      </c>
      <c r="Y873" s="523" t="str">
        <f>IFERROR(VLOOKUP(LANÇ_MOV[[#This Row],[PLANO DE CONTAS]],Plano_Contas[[PLANO DE CONTAS]:[NOMES INTERVALOS]],2,0),"")</f>
        <v/>
      </c>
      <c r="Z873" s="523" t="str">
        <f>IF(LANÇ_MOV[[#This Row],[FORMA DE PAGAMENTO]]="","",VLOOKUP(LANÇ_MOV[[#This Row],[FORMA DE PAGAMENTO]],CAD_Forma_pagto[],2,0))</f>
        <v/>
      </c>
      <c r="AA873" s="524" t="str">
        <f>IF(LANÇ_MOV[[#This Row],[DATA DE LANÇAMENTO]]="","",TEXT(LANÇ_MOV[[#This Row],[DATA DE LANÇAMENTO]],"AAAA"))</f>
        <v/>
      </c>
      <c r="AB873" s="524" t="str">
        <f>IF(LANÇ_MOV[[#This Row],[DATA DE LANÇAMENTO]]="","",UPPER(TEXT(LANÇ_MOV[[#This Row],[DATA DE LANÇAMENTO]],"MMMM")))</f>
        <v/>
      </c>
      <c r="AC873" s="525" t="str">
        <f>IF(LANÇ_MOV[[#This Row],[DATA DE LANÇAMENTO]]="","",PROPER(TEXT(LANÇ_MOV[[#This Row],[DATA DE LANÇAMENTO]],"M")))</f>
        <v/>
      </c>
      <c r="AD873" s="524" t="str">
        <f>IF(LANÇ_MOV[[#This Row],[DATA DE LANÇAMENTO]]="","",TEXT(LANÇ_MOV[[#This Row],[DATA DE LANÇAMENTO]],"D"))</f>
        <v/>
      </c>
      <c r="AE873" s="526" t="str">
        <f>IF(LANÇ_MOV[[#This Row],[DATA DE VENCIMENTO]]="","",TEXT(LANÇ_MOV[[#This Row],[DATA DE VENCIMENTO]],"AAAA"))</f>
        <v/>
      </c>
      <c r="AF873" s="526" t="str">
        <f>IF(LANÇ_MOV[[#This Row],[DATA DE VENCIMENTO]]="","",UPPER(TEXT(LANÇ_MOV[[#This Row],[DATA DE VENCIMENTO]],"MMMM")))</f>
        <v/>
      </c>
      <c r="AG873" s="526" t="str">
        <f>IF(LANÇ_MOV[[#This Row],[DATA DE VENCIMENTO]]="","",TEXT(LANÇ_MOV[[#This Row],[DATA DE VENCIMENTO]],"M"))</f>
        <v/>
      </c>
      <c r="AH873" s="526" t="str">
        <f>IF(LANÇ_MOV[[#This Row],[DATA DE VENCIMENTO]]="","",TEXT(LANÇ_MOV[[#This Row],[DATA DE VENCIMENTO]],"D"))</f>
        <v/>
      </c>
      <c r="AI873" s="526" t="str">
        <f>IF(LANÇ_MOV[[#This Row],[DATA DE PAGAMENTO]]="","",TEXT(LANÇ_MOV[[#This Row],[DATA DE PAGAMENTO]],"AAAA"))</f>
        <v/>
      </c>
      <c r="AJ873" s="527" t="str">
        <f>IF(LANÇ_MOV[[#This Row],[DATA DE PAGAMENTO]]="","",UPPER(TEXT(LANÇ_MOV[[#This Row],[DATA DE PAGAMENTO]],"MMMM")))</f>
        <v/>
      </c>
      <c r="AK873" s="527" t="str">
        <f>IF(LANÇ_MOV[[#This Row],[DATA DE PAGAMENTO]]="","",TEXT(LANÇ_MOV[[#This Row],[DATA DE PAGAMENTO]],"M"))</f>
        <v/>
      </c>
      <c r="AL873" s="526" t="str">
        <f>IF(LANÇ_MOV[[#This Row],[DATA DE PAGAMENTO]]="","",TEXT(LANÇ_MOV[[#This Row],[DATA DE PAGAMENTO]],"D"))</f>
        <v/>
      </c>
    </row>
    <row r="874" spans="2:38" ht="30.05" customHeight="1" x14ac:dyDescent="0.35">
      <c r="B874" s="506"/>
      <c r="C874" s="507"/>
      <c r="D874" s="508" t="s">
        <v>1854</v>
      </c>
      <c r="E874" s="509"/>
      <c r="F874" s="510"/>
      <c r="G874" s="507"/>
      <c r="H874" s="511"/>
      <c r="I874" s="512"/>
      <c r="J874" s="518"/>
      <c r="K874" s="510"/>
      <c r="L874" s="510"/>
      <c r="M874" s="548"/>
      <c r="N874" s="514">
        <f>LANÇ_MOV[[#This Row],[VALOR BRUTO]]-LANÇ_MOV[[#This Row],[DESCONTO]]+LANÇ_MOV[[#This Row],[JUROS]]+LANÇ_MOV[[#This Row],[MULTA]]</f>
        <v>0</v>
      </c>
      <c r="O874" s="546"/>
      <c r="P874" s="547" t="str">
        <f t="shared" ca="1" si="13"/>
        <v/>
      </c>
      <c r="Q874" s="528"/>
      <c r="R874" s="529"/>
      <c r="S874" s="518"/>
      <c r="T874" s="518"/>
      <c r="U874" s="519"/>
      <c r="V874" s="520" t="str">
        <f>IFERROR(VLOOKUP(LANÇ_MOV[[#This Row],[PLANO DE CONTAS]],Plano_Contas[[PLANO DE CONTAS]:[R / D]],3,0),"")</f>
        <v/>
      </c>
      <c r="W874" s="521" t="str">
        <f>IF(LANÇ_MOV[[#This Row],[DATA DE PAGAMENTO]]&lt;&gt;"","Pago","Não Pago")</f>
        <v>Não Pago</v>
      </c>
      <c r="X874" s="522" t="str">
        <f>IFERROR(IF(LANÇ_MOV[[#This Row],[DATA DE PAGAMENTO]]="","",(UPPER(TEXT(LANÇ_MOV[[#This Row],[DATA DE PAGAMENTO]],"mmmm")))),"")</f>
        <v/>
      </c>
      <c r="Y874" s="523" t="str">
        <f>IFERROR(VLOOKUP(LANÇ_MOV[[#This Row],[PLANO DE CONTAS]],Plano_Contas[[PLANO DE CONTAS]:[NOMES INTERVALOS]],2,0),"")</f>
        <v/>
      </c>
      <c r="Z874" s="523" t="str">
        <f>IF(LANÇ_MOV[[#This Row],[FORMA DE PAGAMENTO]]="","",VLOOKUP(LANÇ_MOV[[#This Row],[FORMA DE PAGAMENTO]],CAD_Forma_pagto[],2,0))</f>
        <v/>
      </c>
      <c r="AA874" s="524" t="str">
        <f>IF(LANÇ_MOV[[#This Row],[DATA DE LANÇAMENTO]]="","",TEXT(LANÇ_MOV[[#This Row],[DATA DE LANÇAMENTO]],"AAAA"))</f>
        <v/>
      </c>
      <c r="AB874" s="524" t="str">
        <f>IF(LANÇ_MOV[[#This Row],[DATA DE LANÇAMENTO]]="","",UPPER(TEXT(LANÇ_MOV[[#This Row],[DATA DE LANÇAMENTO]],"MMMM")))</f>
        <v/>
      </c>
      <c r="AC874" s="525" t="str">
        <f>IF(LANÇ_MOV[[#This Row],[DATA DE LANÇAMENTO]]="","",PROPER(TEXT(LANÇ_MOV[[#This Row],[DATA DE LANÇAMENTO]],"M")))</f>
        <v/>
      </c>
      <c r="AD874" s="524" t="str">
        <f>IF(LANÇ_MOV[[#This Row],[DATA DE LANÇAMENTO]]="","",TEXT(LANÇ_MOV[[#This Row],[DATA DE LANÇAMENTO]],"D"))</f>
        <v/>
      </c>
      <c r="AE874" s="526" t="str">
        <f>IF(LANÇ_MOV[[#This Row],[DATA DE VENCIMENTO]]="","",TEXT(LANÇ_MOV[[#This Row],[DATA DE VENCIMENTO]],"AAAA"))</f>
        <v/>
      </c>
      <c r="AF874" s="526" t="str">
        <f>IF(LANÇ_MOV[[#This Row],[DATA DE VENCIMENTO]]="","",UPPER(TEXT(LANÇ_MOV[[#This Row],[DATA DE VENCIMENTO]],"MMMM")))</f>
        <v/>
      </c>
      <c r="AG874" s="526" t="str">
        <f>IF(LANÇ_MOV[[#This Row],[DATA DE VENCIMENTO]]="","",TEXT(LANÇ_MOV[[#This Row],[DATA DE VENCIMENTO]],"M"))</f>
        <v/>
      </c>
      <c r="AH874" s="526" t="str">
        <f>IF(LANÇ_MOV[[#This Row],[DATA DE VENCIMENTO]]="","",TEXT(LANÇ_MOV[[#This Row],[DATA DE VENCIMENTO]],"D"))</f>
        <v/>
      </c>
      <c r="AI874" s="526" t="str">
        <f>IF(LANÇ_MOV[[#This Row],[DATA DE PAGAMENTO]]="","",TEXT(LANÇ_MOV[[#This Row],[DATA DE PAGAMENTO]],"AAAA"))</f>
        <v/>
      </c>
      <c r="AJ874" s="527" t="str">
        <f>IF(LANÇ_MOV[[#This Row],[DATA DE PAGAMENTO]]="","",UPPER(TEXT(LANÇ_MOV[[#This Row],[DATA DE PAGAMENTO]],"MMMM")))</f>
        <v/>
      </c>
      <c r="AK874" s="527" t="str">
        <f>IF(LANÇ_MOV[[#This Row],[DATA DE PAGAMENTO]]="","",TEXT(LANÇ_MOV[[#This Row],[DATA DE PAGAMENTO]],"M"))</f>
        <v/>
      </c>
      <c r="AL874" s="526" t="str">
        <f>IF(LANÇ_MOV[[#This Row],[DATA DE PAGAMENTO]]="","",TEXT(LANÇ_MOV[[#This Row],[DATA DE PAGAMENTO]],"D"))</f>
        <v/>
      </c>
    </row>
    <row r="875" spans="2:38" ht="30.05" customHeight="1" x14ac:dyDescent="0.35">
      <c r="B875" s="506"/>
      <c r="C875" s="507"/>
      <c r="D875" s="508" t="s">
        <v>1854</v>
      </c>
      <c r="E875" s="509"/>
      <c r="F875" s="510"/>
      <c r="G875" s="507"/>
      <c r="H875" s="511"/>
      <c r="I875" s="512"/>
      <c r="J875" s="518"/>
      <c r="K875" s="510"/>
      <c r="L875" s="510"/>
      <c r="M875" s="548"/>
      <c r="N875" s="514">
        <f>LANÇ_MOV[[#This Row],[VALOR BRUTO]]-LANÇ_MOV[[#This Row],[DESCONTO]]+LANÇ_MOV[[#This Row],[JUROS]]+LANÇ_MOV[[#This Row],[MULTA]]</f>
        <v>0</v>
      </c>
      <c r="O875" s="546"/>
      <c r="P875" s="547" t="str">
        <f t="shared" ca="1" si="13"/>
        <v/>
      </c>
      <c r="Q875" s="528"/>
      <c r="R875" s="529"/>
      <c r="S875" s="518"/>
      <c r="T875" s="518"/>
      <c r="U875" s="519"/>
      <c r="V875" s="520" t="str">
        <f>IFERROR(VLOOKUP(LANÇ_MOV[[#This Row],[PLANO DE CONTAS]],Plano_Contas[[PLANO DE CONTAS]:[R / D]],3,0),"")</f>
        <v/>
      </c>
      <c r="W875" s="521" t="str">
        <f>IF(LANÇ_MOV[[#This Row],[DATA DE PAGAMENTO]]&lt;&gt;"","Pago","Não Pago")</f>
        <v>Não Pago</v>
      </c>
      <c r="X875" s="522" t="str">
        <f>IFERROR(IF(LANÇ_MOV[[#This Row],[DATA DE PAGAMENTO]]="","",(UPPER(TEXT(LANÇ_MOV[[#This Row],[DATA DE PAGAMENTO]],"mmmm")))),"")</f>
        <v/>
      </c>
      <c r="Y875" s="523" t="str">
        <f>IFERROR(VLOOKUP(LANÇ_MOV[[#This Row],[PLANO DE CONTAS]],Plano_Contas[[PLANO DE CONTAS]:[NOMES INTERVALOS]],2,0),"")</f>
        <v/>
      </c>
      <c r="Z875" s="523" t="str">
        <f>IF(LANÇ_MOV[[#This Row],[FORMA DE PAGAMENTO]]="","",VLOOKUP(LANÇ_MOV[[#This Row],[FORMA DE PAGAMENTO]],CAD_Forma_pagto[],2,0))</f>
        <v/>
      </c>
      <c r="AA875" s="524" t="str">
        <f>IF(LANÇ_MOV[[#This Row],[DATA DE LANÇAMENTO]]="","",TEXT(LANÇ_MOV[[#This Row],[DATA DE LANÇAMENTO]],"AAAA"))</f>
        <v/>
      </c>
      <c r="AB875" s="524" t="str">
        <f>IF(LANÇ_MOV[[#This Row],[DATA DE LANÇAMENTO]]="","",UPPER(TEXT(LANÇ_MOV[[#This Row],[DATA DE LANÇAMENTO]],"MMMM")))</f>
        <v/>
      </c>
      <c r="AC875" s="525" t="str">
        <f>IF(LANÇ_MOV[[#This Row],[DATA DE LANÇAMENTO]]="","",PROPER(TEXT(LANÇ_MOV[[#This Row],[DATA DE LANÇAMENTO]],"M")))</f>
        <v/>
      </c>
      <c r="AD875" s="524" t="str">
        <f>IF(LANÇ_MOV[[#This Row],[DATA DE LANÇAMENTO]]="","",TEXT(LANÇ_MOV[[#This Row],[DATA DE LANÇAMENTO]],"D"))</f>
        <v/>
      </c>
      <c r="AE875" s="526" t="str">
        <f>IF(LANÇ_MOV[[#This Row],[DATA DE VENCIMENTO]]="","",TEXT(LANÇ_MOV[[#This Row],[DATA DE VENCIMENTO]],"AAAA"))</f>
        <v/>
      </c>
      <c r="AF875" s="526" t="str">
        <f>IF(LANÇ_MOV[[#This Row],[DATA DE VENCIMENTO]]="","",UPPER(TEXT(LANÇ_MOV[[#This Row],[DATA DE VENCIMENTO]],"MMMM")))</f>
        <v/>
      </c>
      <c r="AG875" s="526" t="str">
        <f>IF(LANÇ_MOV[[#This Row],[DATA DE VENCIMENTO]]="","",TEXT(LANÇ_MOV[[#This Row],[DATA DE VENCIMENTO]],"M"))</f>
        <v/>
      </c>
      <c r="AH875" s="526" t="str">
        <f>IF(LANÇ_MOV[[#This Row],[DATA DE VENCIMENTO]]="","",TEXT(LANÇ_MOV[[#This Row],[DATA DE VENCIMENTO]],"D"))</f>
        <v/>
      </c>
      <c r="AI875" s="526" t="str">
        <f>IF(LANÇ_MOV[[#This Row],[DATA DE PAGAMENTO]]="","",TEXT(LANÇ_MOV[[#This Row],[DATA DE PAGAMENTO]],"AAAA"))</f>
        <v/>
      </c>
      <c r="AJ875" s="527" t="str">
        <f>IF(LANÇ_MOV[[#This Row],[DATA DE PAGAMENTO]]="","",UPPER(TEXT(LANÇ_MOV[[#This Row],[DATA DE PAGAMENTO]],"MMMM")))</f>
        <v/>
      </c>
      <c r="AK875" s="527" t="str">
        <f>IF(LANÇ_MOV[[#This Row],[DATA DE PAGAMENTO]]="","",TEXT(LANÇ_MOV[[#This Row],[DATA DE PAGAMENTO]],"M"))</f>
        <v/>
      </c>
      <c r="AL875" s="526" t="str">
        <f>IF(LANÇ_MOV[[#This Row],[DATA DE PAGAMENTO]]="","",TEXT(LANÇ_MOV[[#This Row],[DATA DE PAGAMENTO]],"D"))</f>
        <v/>
      </c>
    </row>
    <row r="876" spans="2:38" ht="30.05" customHeight="1" x14ac:dyDescent="0.35">
      <c r="B876" s="506"/>
      <c r="C876" s="507"/>
      <c r="D876" s="508" t="s">
        <v>1854</v>
      </c>
      <c r="E876" s="509"/>
      <c r="F876" s="510"/>
      <c r="G876" s="507"/>
      <c r="H876" s="511"/>
      <c r="I876" s="512"/>
      <c r="J876" s="518"/>
      <c r="K876" s="510"/>
      <c r="L876" s="510"/>
      <c r="M876" s="548"/>
      <c r="N876" s="514">
        <f>LANÇ_MOV[[#This Row],[VALOR BRUTO]]-LANÇ_MOV[[#This Row],[DESCONTO]]+LANÇ_MOV[[#This Row],[JUROS]]+LANÇ_MOV[[#This Row],[MULTA]]</f>
        <v>0</v>
      </c>
      <c r="O876" s="546"/>
      <c r="P876" s="547" t="str">
        <f t="shared" ca="1" si="13"/>
        <v/>
      </c>
      <c r="Q876" s="528"/>
      <c r="R876" s="529"/>
      <c r="S876" s="518"/>
      <c r="T876" s="518"/>
      <c r="U876" s="519"/>
      <c r="V876" s="520" t="str">
        <f>IFERROR(VLOOKUP(LANÇ_MOV[[#This Row],[PLANO DE CONTAS]],Plano_Contas[[PLANO DE CONTAS]:[R / D]],3,0),"")</f>
        <v/>
      </c>
      <c r="W876" s="521" t="str">
        <f>IF(LANÇ_MOV[[#This Row],[DATA DE PAGAMENTO]]&lt;&gt;"","Pago","Não Pago")</f>
        <v>Não Pago</v>
      </c>
      <c r="X876" s="522" t="str">
        <f>IFERROR(IF(LANÇ_MOV[[#This Row],[DATA DE PAGAMENTO]]="","",(UPPER(TEXT(LANÇ_MOV[[#This Row],[DATA DE PAGAMENTO]],"mmmm")))),"")</f>
        <v/>
      </c>
      <c r="Y876" s="523" t="str">
        <f>IFERROR(VLOOKUP(LANÇ_MOV[[#This Row],[PLANO DE CONTAS]],Plano_Contas[[PLANO DE CONTAS]:[NOMES INTERVALOS]],2,0),"")</f>
        <v/>
      </c>
      <c r="Z876" s="523" t="str">
        <f>IF(LANÇ_MOV[[#This Row],[FORMA DE PAGAMENTO]]="","",VLOOKUP(LANÇ_MOV[[#This Row],[FORMA DE PAGAMENTO]],CAD_Forma_pagto[],2,0))</f>
        <v/>
      </c>
      <c r="AA876" s="524" t="str">
        <f>IF(LANÇ_MOV[[#This Row],[DATA DE LANÇAMENTO]]="","",TEXT(LANÇ_MOV[[#This Row],[DATA DE LANÇAMENTO]],"AAAA"))</f>
        <v/>
      </c>
      <c r="AB876" s="524" t="str">
        <f>IF(LANÇ_MOV[[#This Row],[DATA DE LANÇAMENTO]]="","",UPPER(TEXT(LANÇ_MOV[[#This Row],[DATA DE LANÇAMENTO]],"MMMM")))</f>
        <v/>
      </c>
      <c r="AC876" s="525" t="str">
        <f>IF(LANÇ_MOV[[#This Row],[DATA DE LANÇAMENTO]]="","",PROPER(TEXT(LANÇ_MOV[[#This Row],[DATA DE LANÇAMENTO]],"M")))</f>
        <v/>
      </c>
      <c r="AD876" s="524" t="str">
        <f>IF(LANÇ_MOV[[#This Row],[DATA DE LANÇAMENTO]]="","",TEXT(LANÇ_MOV[[#This Row],[DATA DE LANÇAMENTO]],"D"))</f>
        <v/>
      </c>
      <c r="AE876" s="526" t="str">
        <f>IF(LANÇ_MOV[[#This Row],[DATA DE VENCIMENTO]]="","",TEXT(LANÇ_MOV[[#This Row],[DATA DE VENCIMENTO]],"AAAA"))</f>
        <v/>
      </c>
      <c r="AF876" s="526" t="str">
        <f>IF(LANÇ_MOV[[#This Row],[DATA DE VENCIMENTO]]="","",UPPER(TEXT(LANÇ_MOV[[#This Row],[DATA DE VENCIMENTO]],"MMMM")))</f>
        <v/>
      </c>
      <c r="AG876" s="526" t="str">
        <f>IF(LANÇ_MOV[[#This Row],[DATA DE VENCIMENTO]]="","",TEXT(LANÇ_MOV[[#This Row],[DATA DE VENCIMENTO]],"M"))</f>
        <v/>
      </c>
      <c r="AH876" s="526" t="str">
        <f>IF(LANÇ_MOV[[#This Row],[DATA DE VENCIMENTO]]="","",TEXT(LANÇ_MOV[[#This Row],[DATA DE VENCIMENTO]],"D"))</f>
        <v/>
      </c>
      <c r="AI876" s="526" t="str">
        <f>IF(LANÇ_MOV[[#This Row],[DATA DE PAGAMENTO]]="","",TEXT(LANÇ_MOV[[#This Row],[DATA DE PAGAMENTO]],"AAAA"))</f>
        <v/>
      </c>
      <c r="AJ876" s="527" t="str">
        <f>IF(LANÇ_MOV[[#This Row],[DATA DE PAGAMENTO]]="","",UPPER(TEXT(LANÇ_MOV[[#This Row],[DATA DE PAGAMENTO]],"MMMM")))</f>
        <v/>
      </c>
      <c r="AK876" s="527" t="str">
        <f>IF(LANÇ_MOV[[#This Row],[DATA DE PAGAMENTO]]="","",TEXT(LANÇ_MOV[[#This Row],[DATA DE PAGAMENTO]],"M"))</f>
        <v/>
      </c>
      <c r="AL876" s="526" t="str">
        <f>IF(LANÇ_MOV[[#This Row],[DATA DE PAGAMENTO]]="","",TEXT(LANÇ_MOV[[#This Row],[DATA DE PAGAMENTO]],"D"))</f>
        <v/>
      </c>
    </row>
    <row r="877" spans="2:38" ht="30.05" customHeight="1" x14ac:dyDescent="0.35">
      <c r="B877" s="506"/>
      <c r="C877" s="507"/>
      <c r="D877" s="508" t="s">
        <v>1854</v>
      </c>
      <c r="E877" s="509"/>
      <c r="F877" s="510"/>
      <c r="G877" s="507"/>
      <c r="H877" s="511"/>
      <c r="I877" s="512"/>
      <c r="J877" s="518"/>
      <c r="K877" s="510"/>
      <c r="L877" s="510"/>
      <c r="M877" s="548"/>
      <c r="N877" s="514">
        <f>LANÇ_MOV[[#This Row],[VALOR BRUTO]]-LANÇ_MOV[[#This Row],[DESCONTO]]+LANÇ_MOV[[#This Row],[JUROS]]+LANÇ_MOV[[#This Row],[MULTA]]</f>
        <v>0</v>
      </c>
      <c r="O877" s="546"/>
      <c r="P877" s="547" t="str">
        <f t="shared" ca="1" si="13"/>
        <v/>
      </c>
      <c r="Q877" s="528"/>
      <c r="R877" s="529"/>
      <c r="S877" s="518"/>
      <c r="T877" s="518"/>
      <c r="U877" s="519"/>
      <c r="V877" s="520" t="str">
        <f>IFERROR(VLOOKUP(LANÇ_MOV[[#This Row],[PLANO DE CONTAS]],Plano_Contas[[PLANO DE CONTAS]:[R / D]],3,0),"")</f>
        <v/>
      </c>
      <c r="W877" s="521" t="str">
        <f>IF(LANÇ_MOV[[#This Row],[DATA DE PAGAMENTO]]&lt;&gt;"","Pago","Não Pago")</f>
        <v>Não Pago</v>
      </c>
      <c r="X877" s="522" t="str">
        <f>IFERROR(IF(LANÇ_MOV[[#This Row],[DATA DE PAGAMENTO]]="","",(UPPER(TEXT(LANÇ_MOV[[#This Row],[DATA DE PAGAMENTO]],"mmmm")))),"")</f>
        <v/>
      </c>
      <c r="Y877" s="523" t="str">
        <f>IFERROR(VLOOKUP(LANÇ_MOV[[#This Row],[PLANO DE CONTAS]],Plano_Contas[[PLANO DE CONTAS]:[NOMES INTERVALOS]],2,0),"")</f>
        <v/>
      </c>
      <c r="Z877" s="523" t="str">
        <f>IF(LANÇ_MOV[[#This Row],[FORMA DE PAGAMENTO]]="","",VLOOKUP(LANÇ_MOV[[#This Row],[FORMA DE PAGAMENTO]],CAD_Forma_pagto[],2,0))</f>
        <v/>
      </c>
      <c r="AA877" s="524" t="str">
        <f>IF(LANÇ_MOV[[#This Row],[DATA DE LANÇAMENTO]]="","",TEXT(LANÇ_MOV[[#This Row],[DATA DE LANÇAMENTO]],"AAAA"))</f>
        <v/>
      </c>
      <c r="AB877" s="524" t="str">
        <f>IF(LANÇ_MOV[[#This Row],[DATA DE LANÇAMENTO]]="","",UPPER(TEXT(LANÇ_MOV[[#This Row],[DATA DE LANÇAMENTO]],"MMMM")))</f>
        <v/>
      </c>
      <c r="AC877" s="525" t="str">
        <f>IF(LANÇ_MOV[[#This Row],[DATA DE LANÇAMENTO]]="","",PROPER(TEXT(LANÇ_MOV[[#This Row],[DATA DE LANÇAMENTO]],"M")))</f>
        <v/>
      </c>
      <c r="AD877" s="524" t="str">
        <f>IF(LANÇ_MOV[[#This Row],[DATA DE LANÇAMENTO]]="","",TEXT(LANÇ_MOV[[#This Row],[DATA DE LANÇAMENTO]],"D"))</f>
        <v/>
      </c>
      <c r="AE877" s="526" t="str">
        <f>IF(LANÇ_MOV[[#This Row],[DATA DE VENCIMENTO]]="","",TEXT(LANÇ_MOV[[#This Row],[DATA DE VENCIMENTO]],"AAAA"))</f>
        <v/>
      </c>
      <c r="AF877" s="526" t="str">
        <f>IF(LANÇ_MOV[[#This Row],[DATA DE VENCIMENTO]]="","",UPPER(TEXT(LANÇ_MOV[[#This Row],[DATA DE VENCIMENTO]],"MMMM")))</f>
        <v/>
      </c>
      <c r="AG877" s="526" t="str">
        <f>IF(LANÇ_MOV[[#This Row],[DATA DE VENCIMENTO]]="","",TEXT(LANÇ_MOV[[#This Row],[DATA DE VENCIMENTO]],"M"))</f>
        <v/>
      </c>
      <c r="AH877" s="526" t="str">
        <f>IF(LANÇ_MOV[[#This Row],[DATA DE VENCIMENTO]]="","",TEXT(LANÇ_MOV[[#This Row],[DATA DE VENCIMENTO]],"D"))</f>
        <v/>
      </c>
      <c r="AI877" s="526" t="str">
        <f>IF(LANÇ_MOV[[#This Row],[DATA DE PAGAMENTO]]="","",TEXT(LANÇ_MOV[[#This Row],[DATA DE PAGAMENTO]],"AAAA"))</f>
        <v/>
      </c>
      <c r="AJ877" s="527" t="str">
        <f>IF(LANÇ_MOV[[#This Row],[DATA DE PAGAMENTO]]="","",UPPER(TEXT(LANÇ_MOV[[#This Row],[DATA DE PAGAMENTO]],"MMMM")))</f>
        <v/>
      </c>
      <c r="AK877" s="527" t="str">
        <f>IF(LANÇ_MOV[[#This Row],[DATA DE PAGAMENTO]]="","",TEXT(LANÇ_MOV[[#This Row],[DATA DE PAGAMENTO]],"M"))</f>
        <v/>
      </c>
      <c r="AL877" s="526" t="str">
        <f>IF(LANÇ_MOV[[#This Row],[DATA DE PAGAMENTO]]="","",TEXT(LANÇ_MOV[[#This Row],[DATA DE PAGAMENTO]],"D"))</f>
        <v/>
      </c>
    </row>
    <row r="878" spans="2:38" ht="30.05" customHeight="1" x14ac:dyDescent="0.35">
      <c r="B878" s="506"/>
      <c r="C878" s="507"/>
      <c r="D878" s="508" t="s">
        <v>1854</v>
      </c>
      <c r="E878" s="509"/>
      <c r="F878" s="510"/>
      <c r="G878" s="507"/>
      <c r="H878" s="511"/>
      <c r="I878" s="512"/>
      <c r="J878" s="518"/>
      <c r="K878" s="510"/>
      <c r="L878" s="510"/>
      <c r="M878" s="548"/>
      <c r="N878" s="514">
        <f>LANÇ_MOV[[#This Row],[VALOR BRUTO]]-LANÇ_MOV[[#This Row],[DESCONTO]]+LANÇ_MOV[[#This Row],[JUROS]]+LANÇ_MOV[[#This Row],[MULTA]]</f>
        <v>0</v>
      </c>
      <c r="O878" s="546"/>
      <c r="P878" s="547" t="str">
        <f t="shared" ca="1" si="13"/>
        <v/>
      </c>
      <c r="Q878" s="528"/>
      <c r="R878" s="529"/>
      <c r="S878" s="518"/>
      <c r="T878" s="518"/>
      <c r="U878" s="519"/>
      <c r="V878" s="520" t="str">
        <f>IFERROR(VLOOKUP(LANÇ_MOV[[#This Row],[PLANO DE CONTAS]],Plano_Contas[[PLANO DE CONTAS]:[R / D]],3,0),"")</f>
        <v/>
      </c>
      <c r="W878" s="521" t="str">
        <f>IF(LANÇ_MOV[[#This Row],[DATA DE PAGAMENTO]]&lt;&gt;"","Pago","Não Pago")</f>
        <v>Não Pago</v>
      </c>
      <c r="X878" s="522" t="str">
        <f>IFERROR(IF(LANÇ_MOV[[#This Row],[DATA DE PAGAMENTO]]="","",(UPPER(TEXT(LANÇ_MOV[[#This Row],[DATA DE PAGAMENTO]],"mmmm")))),"")</f>
        <v/>
      </c>
      <c r="Y878" s="523" t="str">
        <f>IFERROR(VLOOKUP(LANÇ_MOV[[#This Row],[PLANO DE CONTAS]],Plano_Contas[[PLANO DE CONTAS]:[NOMES INTERVALOS]],2,0),"")</f>
        <v/>
      </c>
      <c r="Z878" s="523" t="str">
        <f>IF(LANÇ_MOV[[#This Row],[FORMA DE PAGAMENTO]]="","",VLOOKUP(LANÇ_MOV[[#This Row],[FORMA DE PAGAMENTO]],CAD_Forma_pagto[],2,0))</f>
        <v/>
      </c>
      <c r="AA878" s="524" t="str">
        <f>IF(LANÇ_MOV[[#This Row],[DATA DE LANÇAMENTO]]="","",TEXT(LANÇ_MOV[[#This Row],[DATA DE LANÇAMENTO]],"AAAA"))</f>
        <v/>
      </c>
      <c r="AB878" s="524" t="str">
        <f>IF(LANÇ_MOV[[#This Row],[DATA DE LANÇAMENTO]]="","",UPPER(TEXT(LANÇ_MOV[[#This Row],[DATA DE LANÇAMENTO]],"MMMM")))</f>
        <v/>
      </c>
      <c r="AC878" s="525" t="str">
        <f>IF(LANÇ_MOV[[#This Row],[DATA DE LANÇAMENTO]]="","",PROPER(TEXT(LANÇ_MOV[[#This Row],[DATA DE LANÇAMENTO]],"M")))</f>
        <v/>
      </c>
      <c r="AD878" s="524" t="str">
        <f>IF(LANÇ_MOV[[#This Row],[DATA DE LANÇAMENTO]]="","",TEXT(LANÇ_MOV[[#This Row],[DATA DE LANÇAMENTO]],"D"))</f>
        <v/>
      </c>
      <c r="AE878" s="526" t="str">
        <f>IF(LANÇ_MOV[[#This Row],[DATA DE VENCIMENTO]]="","",TEXT(LANÇ_MOV[[#This Row],[DATA DE VENCIMENTO]],"AAAA"))</f>
        <v/>
      </c>
      <c r="AF878" s="526" t="str">
        <f>IF(LANÇ_MOV[[#This Row],[DATA DE VENCIMENTO]]="","",UPPER(TEXT(LANÇ_MOV[[#This Row],[DATA DE VENCIMENTO]],"MMMM")))</f>
        <v/>
      </c>
      <c r="AG878" s="526" t="str">
        <f>IF(LANÇ_MOV[[#This Row],[DATA DE VENCIMENTO]]="","",TEXT(LANÇ_MOV[[#This Row],[DATA DE VENCIMENTO]],"M"))</f>
        <v/>
      </c>
      <c r="AH878" s="526" t="str">
        <f>IF(LANÇ_MOV[[#This Row],[DATA DE VENCIMENTO]]="","",TEXT(LANÇ_MOV[[#This Row],[DATA DE VENCIMENTO]],"D"))</f>
        <v/>
      </c>
      <c r="AI878" s="526" t="str">
        <f>IF(LANÇ_MOV[[#This Row],[DATA DE PAGAMENTO]]="","",TEXT(LANÇ_MOV[[#This Row],[DATA DE PAGAMENTO]],"AAAA"))</f>
        <v/>
      </c>
      <c r="AJ878" s="527" t="str">
        <f>IF(LANÇ_MOV[[#This Row],[DATA DE PAGAMENTO]]="","",UPPER(TEXT(LANÇ_MOV[[#This Row],[DATA DE PAGAMENTO]],"MMMM")))</f>
        <v/>
      </c>
      <c r="AK878" s="527" t="str">
        <f>IF(LANÇ_MOV[[#This Row],[DATA DE PAGAMENTO]]="","",TEXT(LANÇ_MOV[[#This Row],[DATA DE PAGAMENTO]],"M"))</f>
        <v/>
      </c>
      <c r="AL878" s="526" t="str">
        <f>IF(LANÇ_MOV[[#This Row],[DATA DE PAGAMENTO]]="","",TEXT(LANÇ_MOV[[#This Row],[DATA DE PAGAMENTO]],"D"))</f>
        <v/>
      </c>
    </row>
    <row r="879" spans="2:38" ht="30.05" customHeight="1" x14ac:dyDescent="0.35">
      <c r="B879" s="506"/>
      <c r="C879" s="507"/>
      <c r="D879" s="508" t="s">
        <v>1854</v>
      </c>
      <c r="E879" s="509"/>
      <c r="F879" s="510"/>
      <c r="G879" s="507"/>
      <c r="H879" s="511"/>
      <c r="I879" s="512"/>
      <c r="J879" s="518"/>
      <c r="K879" s="510"/>
      <c r="L879" s="510"/>
      <c r="M879" s="548"/>
      <c r="N879" s="514">
        <f>LANÇ_MOV[[#This Row],[VALOR BRUTO]]-LANÇ_MOV[[#This Row],[DESCONTO]]+LANÇ_MOV[[#This Row],[JUROS]]+LANÇ_MOV[[#This Row],[MULTA]]</f>
        <v>0</v>
      </c>
      <c r="O879" s="546"/>
      <c r="P879" s="547" t="str">
        <f t="shared" ca="1" si="13"/>
        <v/>
      </c>
      <c r="Q879" s="528"/>
      <c r="R879" s="529"/>
      <c r="S879" s="518"/>
      <c r="T879" s="518"/>
      <c r="U879" s="519"/>
      <c r="V879" s="520" t="str">
        <f>IFERROR(VLOOKUP(LANÇ_MOV[[#This Row],[PLANO DE CONTAS]],Plano_Contas[[PLANO DE CONTAS]:[R / D]],3,0),"")</f>
        <v/>
      </c>
      <c r="W879" s="521" t="str">
        <f>IF(LANÇ_MOV[[#This Row],[DATA DE PAGAMENTO]]&lt;&gt;"","Pago","Não Pago")</f>
        <v>Não Pago</v>
      </c>
      <c r="X879" s="522" t="str">
        <f>IFERROR(IF(LANÇ_MOV[[#This Row],[DATA DE PAGAMENTO]]="","",(UPPER(TEXT(LANÇ_MOV[[#This Row],[DATA DE PAGAMENTO]],"mmmm")))),"")</f>
        <v/>
      </c>
      <c r="Y879" s="523" t="str">
        <f>IFERROR(VLOOKUP(LANÇ_MOV[[#This Row],[PLANO DE CONTAS]],Plano_Contas[[PLANO DE CONTAS]:[NOMES INTERVALOS]],2,0),"")</f>
        <v/>
      </c>
      <c r="Z879" s="523" t="str">
        <f>IF(LANÇ_MOV[[#This Row],[FORMA DE PAGAMENTO]]="","",VLOOKUP(LANÇ_MOV[[#This Row],[FORMA DE PAGAMENTO]],CAD_Forma_pagto[],2,0))</f>
        <v/>
      </c>
      <c r="AA879" s="524" t="str">
        <f>IF(LANÇ_MOV[[#This Row],[DATA DE LANÇAMENTO]]="","",TEXT(LANÇ_MOV[[#This Row],[DATA DE LANÇAMENTO]],"AAAA"))</f>
        <v/>
      </c>
      <c r="AB879" s="524" t="str">
        <f>IF(LANÇ_MOV[[#This Row],[DATA DE LANÇAMENTO]]="","",UPPER(TEXT(LANÇ_MOV[[#This Row],[DATA DE LANÇAMENTO]],"MMMM")))</f>
        <v/>
      </c>
      <c r="AC879" s="525" t="str">
        <f>IF(LANÇ_MOV[[#This Row],[DATA DE LANÇAMENTO]]="","",PROPER(TEXT(LANÇ_MOV[[#This Row],[DATA DE LANÇAMENTO]],"M")))</f>
        <v/>
      </c>
      <c r="AD879" s="524" t="str">
        <f>IF(LANÇ_MOV[[#This Row],[DATA DE LANÇAMENTO]]="","",TEXT(LANÇ_MOV[[#This Row],[DATA DE LANÇAMENTO]],"D"))</f>
        <v/>
      </c>
      <c r="AE879" s="526" t="str">
        <f>IF(LANÇ_MOV[[#This Row],[DATA DE VENCIMENTO]]="","",TEXT(LANÇ_MOV[[#This Row],[DATA DE VENCIMENTO]],"AAAA"))</f>
        <v/>
      </c>
      <c r="AF879" s="526" t="str">
        <f>IF(LANÇ_MOV[[#This Row],[DATA DE VENCIMENTO]]="","",UPPER(TEXT(LANÇ_MOV[[#This Row],[DATA DE VENCIMENTO]],"MMMM")))</f>
        <v/>
      </c>
      <c r="AG879" s="526" t="str">
        <f>IF(LANÇ_MOV[[#This Row],[DATA DE VENCIMENTO]]="","",TEXT(LANÇ_MOV[[#This Row],[DATA DE VENCIMENTO]],"M"))</f>
        <v/>
      </c>
      <c r="AH879" s="526" t="str">
        <f>IF(LANÇ_MOV[[#This Row],[DATA DE VENCIMENTO]]="","",TEXT(LANÇ_MOV[[#This Row],[DATA DE VENCIMENTO]],"D"))</f>
        <v/>
      </c>
      <c r="AI879" s="526" t="str">
        <f>IF(LANÇ_MOV[[#This Row],[DATA DE PAGAMENTO]]="","",TEXT(LANÇ_MOV[[#This Row],[DATA DE PAGAMENTO]],"AAAA"))</f>
        <v/>
      </c>
      <c r="AJ879" s="527" t="str">
        <f>IF(LANÇ_MOV[[#This Row],[DATA DE PAGAMENTO]]="","",UPPER(TEXT(LANÇ_MOV[[#This Row],[DATA DE PAGAMENTO]],"MMMM")))</f>
        <v/>
      </c>
      <c r="AK879" s="527" t="str">
        <f>IF(LANÇ_MOV[[#This Row],[DATA DE PAGAMENTO]]="","",TEXT(LANÇ_MOV[[#This Row],[DATA DE PAGAMENTO]],"M"))</f>
        <v/>
      </c>
      <c r="AL879" s="526" t="str">
        <f>IF(LANÇ_MOV[[#This Row],[DATA DE PAGAMENTO]]="","",TEXT(LANÇ_MOV[[#This Row],[DATA DE PAGAMENTO]],"D"))</f>
        <v/>
      </c>
    </row>
    <row r="880" spans="2:38" ht="30.05" customHeight="1" x14ac:dyDescent="0.35">
      <c r="B880" s="506"/>
      <c r="C880" s="507"/>
      <c r="D880" s="508" t="s">
        <v>1854</v>
      </c>
      <c r="E880" s="509"/>
      <c r="F880" s="510"/>
      <c r="G880" s="507"/>
      <c r="H880" s="511"/>
      <c r="I880" s="512"/>
      <c r="J880" s="518"/>
      <c r="K880" s="510"/>
      <c r="L880" s="510"/>
      <c r="M880" s="548"/>
      <c r="N880" s="514">
        <f>LANÇ_MOV[[#This Row],[VALOR BRUTO]]-LANÇ_MOV[[#This Row],[DESCONTO]]+LANÇ_MOV[[#This Row],[JUROS]]+LANÇ_MOV[[#This Row],[MULTA]]</f>
        <v>0</v>
      </c>
      <c r="O880" s="546"/>
      <c r="P880" s="547" t="str">
        <f t="shared" ca="1" si="13"/>
        <v/>
      </c>
      <c r="Q880" s="528"/>
      <c r="R880" s="529"/>
      <c r="S880" s="518"/>
      <c r="T880" s="518"/>
      <c r="U880" s="519"/>
      <c r="V880" s="520" t="str">
        <f>IFERROR(VLOOKUP(LANÇ_MOV[[#This Row],[PLANO DE CONTAS]],Plano_Contas[[PLANO DE CONTAS]:[R / D]],3,0),"")</f>
        <v/>
      </c>
      <c r="W880" s="521" t="str">
        <f>IF(LANÇ_MOV[[#This Row],[DATA DE PAGAMENTO]]&lt;&gt;"","Pago","Não Pago")</f>
        <v>Não Pago</v>
      </c>
      <c r="X880" s="522" t="str">
        <f>IFERROR(IF(LANÇ_MOV[[#This Row],[DATA DE PAGAMENTO]]="","",(UPPER(TEXT(LANÇ_MOV[[#This Row],[DATA DE PAGAMENTO]],"mmmm")))),"")</f>
        <v/>
      </c>
      <c r="Y880" s="523" t="str">
        <f>IFERROR(VLOOKUP(LANÇ_MOV[[#This Row],[PLANO DE CONTAS]],Plano_Contas[[PLANO DE CONTAS]:[NOMES INTERVALOS]],2,0),"")</f>
        <v/>
      </c>
      <c r="Z880" s="523" t="str">
        <f>IF(LANÇ_MOV[[#This Row],[FORMA DE PAGAMENTO]]="","",VLOOKUP(LANÇ_MOV[[#This Row],[FORMA DE PAGAMENTO]],CAD_Forma_pagto[],2,0))</f>
        <v/>
      </c>
      <c r="AA880" s="524" t="str">
        <f>IF(LANÇ_MOV[[#This Row],[DATA DE LANÇAMENTO]]="","",TEXT(LANÇ_MOV[[#This Row],[DATA DE LANÇAMENTO]],"AAAA"))</f>
        <v/>
      </c>
      <c r="AB880" s="524" t="str">
        <f>IF(LANÇ_MOV[[#This Row],[DATA DE LANÇAMENTO]]="","",UPPER(TEXT(LANÇ_MOV[[#This Row],[DATA DE LANÇAMENTO]],"MMMM")))</f>
        <v/>
      </c>
      <c r="AC880" s="525" t="str">
        <f>IF(LANÇ_MOV[[#This Row],[DATA DE LANÇAMENTO]]="","",PROPER(TEXT(LANÇ_MOV[[#This Row],[DATA DE LANÇAMENTO]],"M")))</f>
        <v/>
      </c>
      <c r="AD880" s="524" t="str">
        <f>IF(LANÇ_MOV[[#This Row],[DATA DE LANÇAMENTO]]="","",TEXT(LANÇ_MOV[[#This Row],[DATA DE LANÇAMENTO]],"D"))</f>
        <v/>
      </c>
      <c r="AE880" s="526" t="str">
        <f>IF(LANÇ_MOV[[#This Row],[DATA DE VENCIMENTO]]="","",TEXT(LANÇ_MOV[[#This Row],[DATA DE VENCIMENTO]],"AAAA"))</f>
        <v/>
      </c>
      <c r="AF880" s="526" t="str">
        <f>IF(LANÇ_MOV[[#This Row],[DATA DE VENCIMENTO]]="","",UPPER(TEXT(LANÇ_MOV[[#This Row],[DATA DE VENCIMENTO]],"MMMM")))</f>
        <v/>
      </c>
      <c r="AG880" s="526" t="str">
        <f>IF(LANÇ_MOV[[#This Row],[DATA DE VENCIMENTO]]="","",TEXT(LANÇ_MOV[[#This Row],[DATA DE VENCIMENTO]],"M"))</f>
        <v/>
      </c>
      <c r="AH880" s="526" t="str">
        <f>IF(LANÇ_MOV[[#This Row],[DATA DE VENCIMENTO]]="","",TEXT(LANÇ_MOV[[#This Row],[DATA DE VENCIMENTO]],"D"))</f>
        <v/>
      </c>
      <c r="AI880" s="526" t="str">
        <f>IF(LANÇ_MOV[[#This Row],[DATA DE PAGAMENTO]]="","",TEXT(LANÇ_MOV[[#This Row],[DATA DE PAGAMENTO]],"AAAA"))</f>
        <v/>
      </c>
      <c r="AJ880" s="527" t="str">
        <f>IF(LANÇ_MOV[[#This Row],[DATA DE PAGAMENTO]]="","",UPPER(TEXT(LANÇ_MOV[[#This Row],[DATA DE PAGAMENTO]],"MMMM")))</f>
        <v/>
      </c>
      <c r="AK880" s="527" t="str">
        <f>IF(LANÇ_MOV[[#This Row],[DATA DE PAGAMENTO]]="","",TEXT(LANÇ_MOV[[#This Row],[DATA DE PAGAMENTO]],"M"))</f>
        <v/>
      </c>
      <c r="AL880" s="526" t="str">
        <f>IF(LANÇ_MOV[[#This Row],[DATA DE PAGAMENTO]]="","",TEXT(LANÇ_MOV[[#This Row],[DATA DE PAGAMENTO]],"D"))</f>
        <v/>
      </c>
    </row>
    <row r="881" spans="2:38" ht="30.05" customHeight="1" x14ac:dyDescent="0.35">
      <c r="B881" s="506"/>
      <c r="C881" s="507"/>
      <c r="D881" s="508" t="s">
        <v>1854</v>
      </c>
      <c r="E881" s="509"/>
      <c r="F881" s="510"/>
      <c r="G881" s="507"/>
      <c r="H881" s="511"/>
      <c r="I881" s="512"/>
      <c r="J881" s="518"/>
      <c r="K881" s="510"/>
      <c r="L881" s="510"/>
      <c r="M881" s="548"/>
      <c r="N881" s="514">
        <f>LANÇ_MOV[[#This Row],[VALOR BRUTO]]-LANÇ_MOV[[#This Row],[DESCONTO]]+LANÇ_MOV[[#This Row],[JUROS]]+LANÇ_MOV[[#This Row],[MULTA]]</f>
        <v>0</v>
      </c>
      <c r="O881" s="546"/>
      <c r="P881" s="547" t="str">
        <f t="shared" ca="1" si="13"/>
        <v/>
      </c>
      <c r="Q881" s="528"/>
      <c r="R881" s="529"/>
      <c r="S881" s="518"/>
      <c r="T881" s="518"/>
      <c r="U881" s="519"/>
      <c r="V881" s="520" t="str">
        <f>IFERROR(VLOOKUP(LANÇ_MOV[[#This Row],[PLANO DE CONTAS]],Plano_Contas[[PLANO DE CONTAS]:[R / D]],3,0),"")</f>
        <v/>
      </c>
      <c r="W881" s="521" t="str">
        <f>IF(LANÇ_MOV[[#This Row],[DATA DE PAGAMENTO]]&lt;&gt;"","Pago","Não Pago")</f>
        <v>Não Pago</v>
      </c>
      <c r="X881" s="522" t="str">
        <f>IFERROR(IF(LANÇ_MOV[[#This Row],[DATA DE PAGAMENTO]]="","",(UPPER(TEXT(LANÇ_MOV[[#This Row],[DATA DE PAGAMENTO]],"mmmm")))),"")</f>
        <v/>
      </c>
      <c r="Y881" s="523" t="str">
        <f>IFERROR(VLOOKUP(LANÇ_MOV[[#This Row],[PLANO DE CONTAS]],Plano_Contas[[PLANO DE CONTAS]:[NOMES INTERVALOS]],2,0),"")</f>
        <v/>
      </c>
      <c r="Z881" s="523" t="str">
        <f>IF(LANÇ_MOV[[#This Row],[FORMA DE PAGAMENTO]]="","",VLOOKUP(LANÇ_MOV[[#This Row],[FORMA DE PAGAMENTO]],CAD_Forma_pagto[],2,0))</f>
        <v/>
      </c>
      <c r="AA881" s="524" t="str">
        <f>IF(LANÇ_MOV[[#This Row],[DATA DE LANÇAMENTO]]="","",TEXT(LANÇ_MOV[[#This Row],[DATA DE LANÇAMENTO]],"AAAA"))</f>
        <v/>
      </c>
      <c r="AB881" s="524" t="str">
        <f>IF(LANÇ_MOV[[#This Row],[DATA DE LANÇAMENTO]]="","",UPPER(TEXT(LANÇ_MOV[[#This Row],[DATA DE LANÇAMENTO]],"MMMM")))</f>
        <v/>
      </c>
      <c r="AC881" s="525" t="str">
        <f>IF(LANÇ_MOV[[#This Row],[DATA DE LANÇAMENTO]]="","",PROPER(TEXT(LANÇ_MOV[[#This Row],[DATA DE LANÇAMENTO]],"M")))</f>
        <v/>
      </c>
      <c r="AD881" s="524" t="str">
        <f>IF(LANÇ_MOV[[#This Row],[DATA DE LANÇAMENTO]]="","",TEXT(LANÇ_MOV[[#This Row],[DATA DE LANÇAMENTO]],"D"))</f>
        <v/>
      </c>
      <c r="AE881" s="526" t="str">
        <f>IF(LANÇ_MOV[[#This Row],[DATA DE VENCIMENTO]]="","",TEXT(LANÇ_MOV[[#This Row],[DATA DE VENCIMENTO]],"AAAA"))</f>
        <v/>
      </c>
      <c r="AF881" s="526" t="str">
        <f>IF(LANÇ_MOV[[#This Row],[DATA DE VENCIMENTO]]="","",UPPER(TEXT(LANÇ_MOV[[#This Row],[DATA DE VENCIMENTO]],"MMMM")))</f>
        <v/>
      </c>
      <c r="AG881" s="526" t="str">
        <f>IF(LANÇ_MOV[[#This Row],[DATA DE VENCIMENTO]]="","",TEXT(LANÇ_MOV[[#This Row],[DATA DE VENCIMENTO]],"M"))</f>
        <v/>
      </c>
      <c r="AH881" s="526" t="str">
        <f>IF(LANÇ_MOV[[#This Row],[DATA DE VENCIMENTO]]="","",TEXT(LANÇ_MOV[[#This Row],[DATA DE VENCIMENTO]],"D"))</f>
        <v/>
      </c>
      <c r="AI881" s="526" t="str">
        <f>IF(LANÇ_MOV[[#This Row],[DATA DE PAGAMENTO]]="","",TEXT(LANÇ_MOV[[#This Row],[DATA DE PAGAMENTO]],"AAAA"))</f>
        <v/>
      </c>
      <c r="AJ881" s="527" t="str">
        <f>IF(LANÇ_MOV[[#This Row],[DATA DE PAGAMENTO]]="","",UPPER(TEXT(LANÇ_MOV[[#This Row],[DATA DE PAGAMENTO]],"MMMM")))</f>
        <v/>
      </c>
      <c r="AK881" s="527" t="str">
        <f>IF(LANÇ_MOV[[#This Row],[DATA DE PAGAMENTO]]="","",TEXT(LANÇ_MOV[[#This Row],[DATA DE PAGAMENTO]],"M"))</f>
        <v/>
      </c>
      <c r="AL881" s="526" t="str">
        <f>IF(LANÇ_MOV[[#This Row],[DATA DE PAGAMENTO]]="","",TEXT(LANÇ_MOV[[#This Row],[DATA DE PAGAMENTO]],"D"))</f>
        <v/>
      </c>
    </row>
    <row r="882" spans="2:38" ht="30.05" customHeight="1" x14ac:dyDescent="0.35">
      <c r="B882" s="506"/>
      <c r="C882" s="507"/>
      <c r="D882" s="508" t="s">
        <v>1854</v>
      </c>
      <c r="E882" s="509"/>
      <c r="F882" s="510"/>
      <c r="G882" s="507"/>
      <c r="H882" s="511"/>
      <c r="I882" s="512"/>
      <c r="J882" s="518"/>
      <c r="K882" s="510"/>
      <c r="L882" s="510"/>
      <c r="M882" s="548"/>
      <c r="N882" s="514">
        <f>LANÇ_MOV[[#This Row],[VALOR BRUTO]]-LANÇ_MOV[[#This Row],[DESCONTO]]+LANÇ_MOV[[#This Row],[JUROS]]+LANÇ_MOV[[#This Row],[MULTA]]</f>
        <v>0</v>
      </c>
      <c r="O882" s="546"/>
      <c r="P882" s="547" t="str">
        <f t="shared" ca="1" si="13"/>
        <v/>
      </c>
      <c r="Q882" s="528"/>
      <c r="R882" s="529"/>
      <c r="S882" s="518"/>
      <c r="T882" s="518"/>
      <c r="U882" s="519"/>
      <c r="V882" s="520" t="str">
        <f>IFERROR(VLOOKUP(LANÇ_MOV[[#This Row],[PLANO DE CONTAS]],Plano_Contas[[PLANO DE CONTAS]:[R / D]],3,0),"")</f>
        <v/>
      </c>
      <c r="W882" s="521" t="str">
        <f>IF(LANÇ_MOV[[#This Row],[DATA DE PAGAMENTO]]&lt;&gt;"","Pago","Não Pago")</f>
        <v>Não Pago</v>
      </c>
      <c r="X882" s="522" t="str">
        <f>IFERROR(IF(LANÇ_MOV[[#This Row],[DATA DE PAGAMENTO]]="","",(UPPER(TEXT(LANÇ_MOV[[#This Row],[DATA DE PAGAMENTO]],"mmmm")))),"")</f>
        <v/>
      </c>
      <c r="Y882" s="523" t="str">
        <f>IFERROR(VLOOKUP(LANÇ_MOV[[#This Row],[PLANO DE CONTAS]],Plano_Contas[[PLANO DE CONTAS]:[NOMES INTERVALOS]],2,0),"")</f>
        <v/>
      </c>
      <c r="Z882" s="523" t="str">
        <f>IF(LANÇ_MOV[[#This Row],[FORMA DE PAGAMENTO]]="","",VLOOKUP(LANÇ_MOV[[#This Row],[FORMA DE PAGAMENTO]],CAD_Forma_pagto[],2,0))</f>
        <v/>
      </c>
      <c r="AA882" s="524" t="str">
        <f>IF(LANÇ_MOV[[#This Row],[DATA DE LANÇAMENTO]]="","",TEXT(LANÇ_MOV[[#This Row],[DATA DE LANÇAMENTO]],"AAAA"))</f>
        <v/>
      </c>
      <c r="AB882" s="524" t="str">
        <f>IF(LANÇ_MOV[[#This Row],[DATA DE LANÇAMENTO]]="","",UPPER(TEXT(LANÇ_MOV[[#This Row],[DATA DE LANÇAMENTO]],"MMMM")))</f>
        <v/>
      </c>
      <c r="AC882" s="525" t="str">
        <f>IF(LANÇ_MOV[[#This Row],[DATA DE LANÇAMENTO]]="","",PROPER(TEXT(LANÇ_MOV[[#This Row],[DATA DE LANÇAMENTO]],"M")))</f>
        <v/>
      </c>
      <c r="AD882" s="524" t="str">
        <f>IF(LANÇ_MOV[[#This Row],[DATA DE LANÇAMENTO]]="","",TEXT(LANÇ_MOV[[#This Row],[DATA DE LANÇAMENTO]],"D"))</f>
        <v/>
      </c>
      <c r="AE882" s="526" t="str">
        <f>IF(LANÇ_MOV[[#This Row],[DATA DE VENCIMENTO]]="","",TEXT(LANÇ_MOV[[#This Row],[DATA DE VENCIMENTO]],"AAAA"))</f>
        <v/>
      </c>
      <c r="AF882" s="526" t="str">
        <f>IF(LANÇ_MOV[[#This Row],[DATA DE VENCIMENTO]]="","",UPPER(TEXT(LANÇ_MOV[[#This Row],[DATA DE VENCIMENTO]],"MMMM")))</f>
        <v/>
      </c>
      <c r="AG882" s="526" t="str">
        <f>IF(LANÇ_MOV[[#This Row],[DATA DE VENCIMENTO]]="","",TEXT(LANÇ_MOV[[#This Row],[DATA DE VENCIMENTO]],"M"))</f>
        <v/>
      </c>
      <c r="AH882" s="526" t="str">
        <f>IF(LANÇ_MOV[[#This Row],[DATA DE VENCIMENTO]]="","",TEXT(LANÇ_MOV[[#This Row],[DATA DE VENCIMENTO]],"D"))</f>
        <v/>
      </c>
      <c r="AI882" s="526" t="str">
        <f>IF(LANÇ_MOV[[#This Row],[DATA DE PAGAMENTO]]="","",TEXT(LANÇ_MOV[[#This Row],[DATA DE PAGAMENTO]],"AAAA"))</f>
        <v/>
      </c>
      <c r="AJ882" s="527" t="str">
        <f>IF(LANÇ_MOV[[#This Row],[DATA DE PAGAMENTO]]="","",UPPER(TEXT(LANÇ_MOV[[#This Row],[DATA DE PAGAMENTO]],"MMMM")))</f>
        <v/>
      </c>
      <c r="AK882" s="527" t="str">
        <f>IF(LANÇ_MOV[[#This Row],[DATA DE PAGAMENTO]]="","",TEXT(LANÇ_MOV[[#This Row],[DATA DE PAGAMENTO]],"M"))</f>
        <v/>
      </c>
      <c r="AL882" s="526" t="str">
        <f>IF(LANÇ_MOV[[#This Row],[DATA DE PAGAMENTO]]="","",TEXT(LANÇ_MOV[[#This Row],[DATA DE PAGAMENTO]],"D"))</f>
        <v/>
      </c>
    </row>
    <row r="883" spans="2:38" ht="30.05" customHeight="1" x14ac:dyDescent="0.35">
      <c r="B883" s="506"/>
      <c r="C883" s="507"/>
      <c r="D883" s="508" t="s">
        <v>1854</v>
      </c>
      <c r="E883" s="509"/>
      <c r="F883" s="510"/>
      <c r="G883" s="507"/>
      <c r="H883" s="511"/>
      <c r="I883" s="512"/>
      <c r="J883" s="518"/>
      <c r="K883" s="510"/>
      <c r="L883" s="510"/>
      <c r="M883" s="548"/>
      <c r="N883" s="514">
        <f>LANÇ_MOV[[#This Row],[VALOR BRUTO]]-LANÇ_MOV[[#This Row],[DESCONTO]]+LANÇ_MOV[[#This Row],[JUROS]]+LANÇ_MOV[[#This Row],[MULTA]]</f>
        <v>0</v>
      </c>
      <c r="O883" s="546"/>
      <c r="P883" s="547" t="str">
        <f t="shared" ca="1" si="13"/>
        <v/>
      </c>
      <c r="Q883" s="528"/>
      <c r="R883" s="529"/>
      <c r="S883" s="518"/>
      <c r="T883" s="518"/>
      <c r="U883" s="519"/>
      <c r="V883" s="520" t="str">
        <f>IFERROR(VLOOKUP(LANÇ_MOV[[#This Row],[PLANO DE CONTAS]],Plano_Contas[[PLANO DE CONTAS]:[R / D]],3,0),"")</f>
        <v/>
      </c>
      <c r="W883" s="521" t="str">
        <f>IF(LANÇ_MOV[[#This Row],[DATA DE PAGAMENTO]]&lt;&gt;"","Pago","Não Pago")</f>
        <v>Não Pago</v>
      </c>
      <c r="X883" s="522" t="str">
        <f>IFERROR(IF(LANÇ_MOV[[#This Row],[DATA DE PAGAMENTO]]="","",(UPPER(TEXT(LANÇ_MOV[[#This Row],[DATA DE PAGAMENTO]],"mmmm")))),"")</f>
        <v/>
      </c>
      <c r="Y883" s="523" t="str">
        <f>IFERROR(VLOOKUP(LANÇ_MOV[[#This Row],[PLANO DE CONTAS]],Plano_Contas[[PLANO DE CONTAS]:[NOMES INTERVALOS]],2,0),"")</f>
        <v/>
      </c>
      <c r="Z883" s="523" t="str">
        <f>IF(LANÇ_MOV[[#This Row],[FORMA DE PAGAMENTO]]="","",VLOOKUP(LANÇ_MOV[[#This Row],[FORMA DE PAGAMENTO]],CAD_Forma_pagto[],2,0))</f>
        <v/>
      </c>
      <c r="AA883" s="524" t="str">
        <f>IF(LANÇ_MOV[[#This Row],[DATA DE LANÇAMENTO]]="","",TEXT(LANÇ_MOV[[#This Row],[DATA DE LANÇAMENTO]],"AAAA"))</f>
        <v/>
      </c>
      <c r="AB883" s="524" t="str">
        <f>IF(LANÇ_MOV[[#This Row],[DATA DE LANÇAMENTO]]="","",UPPER(TEXT(LANÇ_MOV[[#This Row],[DATA DE LANÇAMENTO]],"MMMM")))</f>
        <v/>
      </c>
      <c r="AC883" s="525" t="str">
        <f>IF(LANÇ_MOV[[#This Row],[DATA DE LANÇAMENTO]]="","",PROPER(TEXT(LANÇ_MOV[[#This Row],[DATA DE LANÇAMENTO]],"M")))</f>
        <v/>
      </c>
      <c r="AD883" s="524" t="str">
        <f>IF(LANÇ_MOV[[#This Row],[DATA DE LANÇAMENTO]]="","",TEXT(LANÇ_MOV[[#This Row],[DATA DE LANÇAMENTO]],"D"))</f>
        <v/>
      </c>
      <c r="AE883" s="526" t="str">
        <f>IF(LANÇ_MOV[[#This Row],[DATA DE VENCIMENTO]]="","",TEXT(LANÇ_MOV[[#This Row],[DATA DE VENCIMENTO]],"AAAA"))</f>
        <v/>
      </c>
      <c r="AF883" s="526" t="str">
        <f>IF(LANÇ_MOV[[#This Row],[DATA DE VENCIMENTO]]="","",UPPER(TEXT(LANÇ_MOV[[#This Row],[DATA DE VENCIMENTO]],"MMMM")))</f>
        <v/>
      </c>
      <c r="AG883" s="526" t="str">
        <f>IF(LANÇ_MOV[[#This Row],[DATA DE VENCIMENTO]]="","",TEXT(LANÇ_MOV[[#This Row],[DATA DE VENCIMENTO]],"M"))</f>
        <v/>
      </c>
      <c r="AH883" s="526" t="str">
        <f>IF(LANÇ_MOV[[#This Row],[DATA DE VENCIMENTO]]="","",TEXT(LANÇ_MOV[[#This Row],[DATA DE VENCIMENTO]],"D"))</f>
        <v/>
      </c>
      <c r="AI883" s="526" t="str">
        <f>IF(LANÇ_MOV[[#This Row],[DATA DE PAGAMENTO]]="","",TEXT(LANÇ_MOV[[#This Row],[DATA DE PAGAMENTO]],"AAAA"))</f>
        <v/>
      </c>
      <c r="AJ883" s="527" t="str">
        <f>IF(LANÇ_MOV[[#This Row],[DATA DE PAGAMENTO]]="","",UPPER(TEXT(LANÇ_MOV[[#This Row],[DATA DE PAGAMENTO]],"MMMM")))</f>
        <v/>
      </c>
      <c r="AK883" s="527" t="str">
        <f>IF(LANÇ_MOV[[#This Row],[DATA DE PAGAMENTO]]="","",TEXT(LANÇ_MOV[[#This Row],[DATA DE PAGAMENTO]],"M"))</f>
        <v/>
      </c>
      <c r="AL883" s="526" t="str">
        <f>IF(LANÇ_MOV[[#This Row],[DATA DE PAGAMENTO]]="","",TEXT(LANÇ_MOV[[#This Row],[DATA DE PAGAMENTO]],"D"))</f>
        <v/>
      </c>
    </row>
    <row r="884" spans="2:38" ht="30.05" customHeight="1" x14ac:dyDescent="0.35">
      <c r="B884" s="506"/>
      <c r="C884" s="507"/>
      <c r="D884" s="508" t="s">
        <v>1854</v>
      </c>
      <c r="E884" s="509"/>
      <c r="F884" s="510"/>
      <c r="G884" s="507"/>
      <c r="H884" s="511"/>
      <c r="I884" s="512"/>
      <c r="J884" s="518"/>
      <c r="K884" s="510"/>
      <c r="L884" s="510"/>
      <c r="M884" s="548"/>
      <c r="N884" s="514">
        <f>LANÇ_MOV[[#This Row],[VALOR BRUTO]]-LANÇ_MOV[[#This Row],[DESCONTO]]+LANÇ_MOV[[#This Row],[JUROS]]+LANÇ_MOV[[#This Row],[MULTA]]</f>
        <v>0</v>
      </c>
      <c r="O884" s="546"/>
      <c r="P884" s="547" t="str">
        <f t="shared" ca="1" si="13"/>
        <v/>
      </c>
      <c r="Q884" s="528"/>
      <c r="R884" s="529"/>
      <c r="S884" s="518"/>
      <c r="T884" s="518"/>
      <c r="U884" s="519"/>
      <c r="V884" s="520" t="str">
        <f>IFERROR(VLOOKUP(LANÇ_MOV[[#This Row],[PLANO DE CONTAS]],Plano_Contas[[PLANO DE CONTAS]:[R / D]],3,0),"")</f>
        <v/>
      </c>
      <c r="W884" s="521" t="str">
        <f>IF(LANÇ_MOV[[#This Row],[DATA DE PAGAMENTO]]&lt;&gt;"","Pago","Não Pago")</f>
        <v>Não Pago</v>
      </c>
      <c r="X884" s="522" t="str">
        <f>IFERROR(IF(LANÇ_MOV[[#This Row],[DATA DE PAGAMENTO]]="","",(UPPER(TEXT(LANÇ_MOV[[#This Row],[DATA DE PAGAMENTO]],"mmmm")))),"")</f>
        <v/>
      </c>
      <c r="Y884" s="523" t="str">
        <f>IFERROR(VLOOKUP(LANÇ_MOV[[#This Row],[PLANO DE CONTAS]],Plano_Contas[[PLANO DE CONTAS]:[NOMES INTERVALOS]],2,0),"")</f>
        <v/>
      </c>
      <c r="Z884" s="523" t="str">
        <f>IF(LANÇ_MOV[[#This Row],[FORMA DE PAGAMENTO]]="","",VLOOKUP(LANÇ_MOV[[#This Row],[FORMA DE PAGAMENTO]],CAD_Forma_pagto[],2,0))</f>
        <v/>
      </c>
      <c r="AA884" s="524" t="str">
        <f>IF(LANÇ_MOV[[#This Row],[DATA DE LANÇAMENTO]]="","",TEXT(LANÇ_MOV[[#This Row],[DATA DE LANÇAMENTO]],"AAAA"))</f>
        <v/>
      </c>
      <c r="AB884" s="524" t="str">
        <f>IF(LANÇ_MOV[[#This Row],[DATA DE LANÇAMENTO]]="","",UPPER(TEXT(LANÇ_MOV[[#This Row],[DATA DE LANÇAMENTO]],"MMMM")))</f>
        <v/>
      </c>
      <c r="AC884" s="525" t="str">
        <f>IF(LANÇ_MOV[[#This Row],[DATA DE LANÇAMENTO]]="","",PROPER(TEXT(LANÇ_MOV[[#This Row],[DATA DE LANÇAMENTO]],"M")))</f>
        <v/>
      </c>
      <c r="AD884" s="524" t="str">
        <f>IF(LANÇ_MOV[[#This Row],[DATA DE LANÇAMENTO]]="","",TEXT(LANÇ_MOV[[#This Row],[DATA DE LANÇAMENTO]],"D"))</f>
        <v/>
      </c>
      <c r="AE884" s="526" t="str">
        <f>IF(LANÇ_MOV[[#This Row],[DATA DE VENCIMENTO]]="","",TEXT(LANÇ_MOV[[#This Row],[DATA DE VENCIMENTO]],"AAAA"))</f>
        <v/>
      </c>
      <c r="AF884" s="526" t="str">
        <f>IF(LANÇ_MOV[[#This Row],[DATA DE VENCIMENTO]]="","",UPPER(TEXT(LANÇ_MOV[[#This Row],[DATA DE VENCIMENTO]],"MMMM")))</f>
        <v/>
      </c>
      <c r="AG884" s="526" t="str">
        <f>IF(LANÇ_MOV[[#This Row],[DATA DE VENCIMENTO]]="","",TEXT(LANÇ_MOV[[#This Row],[DATA DE VENCIMENTO]],"M"))</f>
        <v/>
      </c>
      <c r="AH884" s="526" t="str">
        <f>IF(LANÇ_MOV[[#This Row],[DATA DE VENCIMENTO]]="","",TEXT(LANÇ_MOV[[#This Row],[DATA DE VENCIMENTO]],"D"))</f>
        <v/>
      </c>
      <c r="AI884" s="526" t="str">
        <f>IF(LANÇ_MOV[[#This Row],[DATA DE PAGAMENTO]]="","",TEXT(LANÇ_MOV[[#This Row],[DATA DE PAGAMENTO]],"AAAA"))</f>
        <v/>
      </c>
      <c r="AJ884" s="527" t="str">
        <f>IF(LANÇ_MOV[[#This Row],[DATA DE PAGAMENTO]]="","",UPPER(TEXT(LANÇ_MOV[[#This Row],[DATA DE PAGAMENTO]],"MMMM")))</f>
        <v/>
      </c>
      <c r="AK884" s="527" t="str">
        <f>IF(LANÇ_MOV[[#This Row],[DATA DE PAGAMENTO]]="","",TEXT(LANÇ_MOV[[#This Row],[DATA DE PAGAMENTO]],"M"))</f>
        <v/>
      </c>
      <c r="AL884" s="526" t="str">
        <f>IF(LANÇ_MOV[[#This Row],[DATA DE PAGAMENTO]]="","",TEXT(LANÇ_MOV[[#This Row],[DATA DE PAGAMENTO]],"D"))</f>
        <v/>
      </c>
    </row>
    <row r="885" spans="2:38" ht="30.05" customHeight="1" x14ac:dyDescent="0.35">
      <c r="B885" s="506"/>
      <c r="C885" s="507"/>
      <c r="D885" s="508" t="s">
        <v>1854</v>
      </c>
      <c r="E885" s="509"/>
      <c r="F885" s="510"/>
      <c r="G885" s="507"/>
      <c r="H885" s="511"/>
      <c r="I885" s="512"/>
      <c r="J885" s="518"/>
      <c r="K885" s="510"/>
      <c r="L885" s="510"/>
      <c r="M885" s="548"/>
      <c r="N885" s="514">
        <f>LANÇ_MOV[[#This Row],[VALOR BRUTO]]-LANÇ_MOV[[#This Row],[DESCONTO]]+LANÇ_MOV[[#This Row],[JUROS]]+LANÇ_MOV[[#This Row],[MULTA]]</f>
        <v>0</v>
      </c>
      <c r="O885" s="546"/>
      <c r="P885" s="547" t="str">
        <f t="shared" ref="P885:P948" ca="1" si="14">IF(O885="","",IF(Q885&lt;&gt;"","Pago",IF(O885-TODAY()&gt;30,"Prazo - Mais de 1 mês",IF(O885=TODAY(),"Hoje",IF(O885&lt;TODAY(),"Venceu",IF(O885-TODAY()&lt;10,"Prazo - Menos de 10 dias",IF(O885-TODAY()&lt;15,"Prazo - Menos de 15 dias","Prazo - Menos de 1 Mês")))))))</f>
        <v/>
      </c>
      <c r="Q885" s="528"/>
      <c r="R885" s="529"/>
      <c r="S885" s="518"/>
      <c r="T885" s="518"/>
      <c r="U885" s="519"/>
      <c r="V885" s="520" t="str">
        <f>IFERROR(VLOOKUP(LANÇ_MOV[[#This Row],[PLANO DE CONTAS]],Plano_Contas[[PLANO DE CONTAS]:[R / D]],3,0),"")</f>
        <v/>
      </c>
      <c r="W885" s="521" t="str">
        <f>IF(LANÇ_MOV[[#This Row],[DATA DE PAGAMENTO]]&lt;&gt;"","Pago","Não Pago")</f>
        <v>Não Pago</v>
      </c>
      <c r="X885" s="522" t="str">
        <f>IFERROR(IF(LANÇ_MOV[[#This Row],[DATA DE PAGAMENTO]]="","",(UPPER(TEXT(LANÇ_MOV[[#This Row],[DATA DE PAGAMENTO]],"mmmm")))),"")</f>
        <v/>
      </c>
      <c r="Y885" s="523" t="str">
        <f>IFERROR(VLOOKUP(LANÇ_MOV[[#This Row],[PLANO DE CONTAS]],Plano_Contas[[PLANO DE CONTAS]:[NOMES INTERVALOS]],2,0),"")</f>
        <v/>
      </c>
      <c r="Z885" s="523" t="str">
        <f>IF(LANÇ_MOV[[#This Row],[FORMA DE PAGAMENTO]]="","",VLOOKUP(LANÇ_MOV[[#This Row],[FORMA DE PAGAMENTO]],CAD_Forma_pagto[],2,0))</f>
        <v/>
      </c>
      <c r="AA885" s="524" t="str">
        <f>IF(LANÇ_MOV[[#This Row],[DATA DE LANÇAMENTO]]="","",TEXT(LANÇ_MOV[[#This Row],[DATA DE LANÇAMENTO]],"AAAA"))</f>
        <v/>
      </c>
      <c r="AB885" s="524" t="str">
        <f>IF(LANÇ_MOV[[#This Row],[DATA DE LANÇAMENTO]]="","",UPPER(TEXT(LANÇ_MOV[[#This Row],[DATA DE LANÇAMENTO]],"MMMM")))</f>
        <v/>
      </c>
      <c r="AC885" s="525" t="str">
        <f>IF(LANÇ_MOV[[#This Row],[DATA DE LANÇAMENTO]]="","",PROPER(TEXT(LANÇ_MOV[[#This Row],[DATA DE LANÇAMENTO]],"M")))</f>
        <v/>
      </c>
      <c r="AD885" s="524" t="str">
        <f>IF(LANÇ_MOV[[#This Row],[DATA DE LANÇAMENTO]]="","",TEXT(LANÇ_MOV[[#This Row],[DATA DE LANÇAMENTO]],"D"))</f>
        <v/>
      </c>
      <c r="AE885" s="526" t="str">
        <f>IF(LANÇ_MOV[[#This Row],[DATA DE VENCIMENTO]]="","",TEXT(LANÇ_MOV[[#This Row],[DATA DE VENCIMENTO]],"AAAA"))</f>
        <v/>
      </c>
      <c r="AF885" s="526" t="str">
        <f>IF(LANÇ_MOV[[#This Row],[DATA DE VENCIMENTO]]="","",UPPER(TEXT(LANÇ_MOV[[#This Row],[DATA DE VENCIMENTO]],"MMMM")))</f>
        <v/>
      </c>
      <c r="AG885" s="526" t="str">
        <f>IF(LANÇ_MOV[[#This Row],[DATA DE VENCIMENTO]]="","",TEXT(LANÇ_MOV[[#This Row],[DATA DE VENCIMENTO]],"M"))</f>
        <v/>
      </c>
      <c r="AH885" s="526" t="str">
        <f>IF(LANÇ_MOV[[#This Row],[DATA DE VENCIMENTO]]="","",TEXT(LANÇ_MOV[[#This Row],[DATA DE VENCIMENTO]],"D"))</f>
        <v/>
      </c>
      <c r="AI885" s="526" t="str">
        <f>IF(LANÇ_MOV[[#This Row],[DATA DE PAGAMENTO]]="","",TEXT(LANÇ_MOV[[#This Row],[DATA DE PAGAMENTO]],"AAAA"))</f>
        <v/>
      </c>
      <c r="AJ885" s="527" t="str">
        <f>IF(LANÇ_MOV[[#This Row],[DATA DE PAGAMENTO]]="","",UPPER(TEXT(LANÇ_MOV[[#This Row],[DATA DE PAGAMENTO]],"MMMM")))</f>
        <v/>
      </c>
      <c r="AK885" s="527" t="str">
        <f>IF(LANÇ_MOV[[#This Row],[DATA DE PAGAMENTO]]="","",TEXT(LANÇ_MOV[[#This Row],[DATA DE PAGAMENTO]],"M"))</f>
        <v/>
      </c>
      <c r="AL885" s="526" t="str">
        <f>IF(LANÇ_MOV[[#This Row],[DATA DE PAGAMENTO]]="","",TEXT(LANÇ_MOV[[#This Row],[DATA DE PAGAMENTO]],"D"))</f>
        <v/>
      </c>
    </row>
    <row r="886" spans="2:38" ht="30.05" customHeight="1" x14ac:dyDescent="0.35">
      <c r="B886" s="506"/>
      <c r="C886" s="507"/>
      <c r="D886" s="508" t="s">
        <v>1854</v>
      </c>
      <c r="E886" s="509"/>
      <c r="F886" s="510"/>
      <c r="G886" s="507"/>
      <c r="H886" s="511"/>
      <c r="I886" s="512"/>
      <c r="J886" s="518"/>
      <c r="K886" s="510"/>
      <c r="L886" s="510"/>
      <c r="M886" s="548"/>
      <c r="N886" s="514">
        <f>LANÇ_MOV[[#This Row],[VALOR BRUTO]]-LANÇ_MOV[[#This Row],[DESCONTO]]+LANÇ_MOV[[#This Row],[JUROS]]+LANÇ_MOV[[#This Row],[MULTA]]</f>
        <v>0</v>
      </c>
      <c r="O886" s="546"/>
      <c r="P886" s="547" t="str">
        <f t="shared" ca="1" si="14"/>
        <v/>
      </c>
      <c r="Q886" s="528"/>
      <c r="R886" s="529"/>
      <c r="S886" s="518"/>
      <c r="T886" s="518"/>
      <c r="U886" s="519"/>
      <c r="V886" s="520" t="str">
        <f>IFERROR(VLOOKUP(LANÇ_MOV[[#This Row],[PLANO DE CONTAS]],Plano_Contas[[PLANO DE CONTAS]:[R / D]],3,0),"")</f>
        <v/>
      </c>
      <c r="W886" s="521" t="str">
        <f>IF(LANÇ_MOV[[#This Row],[DATA DE PAGAMENTO]]&lt;&gt;"","Pago","Não Pago")</f>
        <v>Não Pago</v>
      </c>
      <c r="X886" s="522" t="str">
        <f>IFERROR(IF(LANÇ_MOV[[#This Row],[DATA DE PAGAMENTO]]="","",(UPPER(TEXT(LANÇ_MOV[[#This Row],[DATA DE PAGAMENTO]],"mmmm")))),"")</f>
        <v/>
      </c>
      <c r="Y886" s="523" t="str">
        <f>IFERROR(VLOOKUP(LANÇ_MOV[[#This Row],[PLANO DE CONTAS]],Plano_Contas[[PLANO DE CONTAS]:[NOMES INTERVALOS]],2,0),"")</f>
        <v/>
      </c>
      <c r="Z886" s="523" t="str">
        <f>IF(LANÇ_MOV[[#This Row],[FORMA DE PAGAMENTO]]="","",VLOOKUP(LANÇ_MOV[[#This Row],[FORMA DE PAGAMENTO]],CAD_Forma_pagto[],2,0))</f>
        <v/>
      </c>
      <c r="AA886" s="524" t="str">
        <f>IF(LANÇ_MOV[[#This Row],[DATA DE LANÇAMENTO]]="","",TEXT(LANÇ_MOV[[#This Row],[DATA DE LANÇAMENTO]],"AAAA"))</f>
        <v/>
      </c>
      <c r="AB886" s="524" t="str">
        <f>IF(LANÇ_MOV[[#This Row],[DATA DE LANÇAMENTO]]="","",UPPER(TEXT(LANÇ_MOV[[#This Row],[DATA DE LANÇAMENTO]],"MMMM")))</f>
        <v/>
      </c>
      <c r="AC886" s="525" t="str">
        <f>IF(LANÇ_MOV[[#This Row],[DATA DE LANÇAMENTO]]="","",PROPER(TEXT(LANÇ_MOV[[#This Row],[DATA DE LANÇAMENTO]],"M")))</f>
        <v/>
      </c>
      <c r="AD886" s="524" t="str">
        <f>IF(LANÇ_MOV[[#This Row],[DATA DE LANÇAMENTO]]="","",TEXT(LANÇ_MOV[[#This Row],[DATA DE LANÇAMENTO]],"D"))</f>
        <v/>
      </c>
      <c r="AE886" s="526" t="str">
        <f>IF(LANÇ_MOV[[#This Row],[DATA DE VENCIMENTO]]="","",TEXT(LANÇ_MOV[[#This Row],[DATA DE VENCIMENTO]],"AAAA"))</f>
        <v/>
      </c>
      <c r="AF886" s="526" t="str">
        <f>IF(LANÇ_MOV[[#This Row],[DATA DE VENCIMENTO]]="","",UPPER(TEXT(LANÇ_MOV[[#This Row],[DATA DE VENCIMENTO]],"MMMM")))</f>
        <v/>
      </c>
      <c r="AG886" s="526" t="str">
        <f>IF(LANÇ_MOV[[#This Row],[DATA DE VENCIMENTO]]="","",TEXT(LANÇ_MOV[[#This Row],[DATA DE VENCIMENTO]],"M"))</f>
        <v/>
      </c>
      <c r="AH886" s="526" t="str">
        <f>IF(LANÇ_MOV[[#This Row],[DATA DE VENCIMENTO]]="","",TEXT(LANÇ_MOV[[#This Row],[DATA DE VENCIMENTO]],"D"))</f>
        <v/>
      </c>
      <c r="AI886" s="526" t="str">
        <f>IF(LANÇ_MOV[[#This Row],[DATA DE PAGAMENTO]]="","",TEXT(LANÇ_MOV[[#This Row],[DATA DE PAGAMENTO]],"AAAA"))</f>
        <v/>
      </c>
      <c r="AJ886" s="527" t="str">
        <f>IF(LANÇ_MOV[[#This Row],[DATA DE PAGAMENTO]]="","",UPPER(TEXT(LANÇ_MOV[[#This Row],[DATA DE PAGAMENTO]],"MMMM")))</f>
        <v/>
      </c>
      <c r="AK886" s="527" t="str">
        <f>IF(LANÇ_MOV[[#This Row],[DATA DE PAGAMENTO]]="","",TEXT(LANÇ_MOV[[#This Row],[DATA DE PAGAMENTO]],"M"))</f>
        <v/>
      </c>
      <c r="AL886" s="526" t="str">
        <f>IF(LANÇ_MOV[[#This Row],[DATA DE PAGAMENTO]]="","",TEXT(LANÇ_MOV[[#This Row],[DATA DE PAGAMENTO]],"D"))</f>
        <v/>
      </c>
    </row>
    <row r="887" spans="2:38" ht="30.05" customHeight="1" x14ac:dyDescent="0.35">
      <c r="B887" s="506"/>
      <c r="C887" s="507"/>
      <c r="D887" s="508" t="s">
        <v>1854</v>
      </c>
      <c r="E887" s="509"/>
      <c r="F887" s="510"/>
      <c r="G887" s="507"/>
      <c r="H887" s="511"/>
      <c r="I887" s="512"/>
      <c r="J887" s="518"/>
      <c r="K887" s="510"/>
      <c r="L887" s="510"/>
      <c r="M887" s="548"/>
      <c r="N887" s="514">
        <f>LANÇ_MOV[[#This Row],[VALOR BRUTO]]-LANÇ_MOV[[#This Row],[DESCONTO]]+LANÇ_MOV[[#This Row],[JUROS]]+LANÇ_MOV[[#This Row],[MULTA]]</f>
        <v>0</v>
      </c>
      <c r="O887" s="546"/>
      <c r="P887" s="547" t="str">
        <f t="shared" ca="1" si="14"/>
        <v/>
      </c>
      <c r="Q887" s="528"/>
      <c r="R887" s="529"/>
      <c r="S887" s="518"/>
      <c r="T887" s="518"/>
      <c r="U887" s="519"/>
      <c r="V887" s="520" t="str">
        <f>IFERROR(VLOOKUP(LANÇ_MOV[[#This Row],[PLANO DE CONTAS]],Plano_Contas[[PLANO DE CONTAS]:[R / D]],3,0),"")</f>
        <v/>
      </c>
      <c r="W887" s="521" t="str">
        <f>IF(LANÇ_MOV[[#This Row],[DATA DE PAGAMENTO]]&lt;&gt;"","Pago","Não Pago")</f>
        <v>Não Pago</v>
      </c>
      <c r="X887" s="522" t="str">
        <f>IFERROR(IF(LANÇ_MOV[[#This Row],[DATA DE PAGAMENTO]]="","",(UPPER(TEXT(LANÇ_MOV[[#This Row],[DATA DE PAGAMENTO]],"mmmm")))),"")</f>
        <v/>
      </c>
      <c r="Y887" s="523" t="str">
        <f>IFERROR(VLOOKUP(LANÇ_MOV[[#This Row],[PLANO DE CONTAS]],Plano_Contas[[PLANO DE CONTAS]:[NOMES INTERVALOS]],2,0),"")</f>
        <v/>
      </c>
      <c r="Z887" s="523" t="str">
        <f>IF(LANÇ_MOV[[#This Row],[FORMA DE PAGAMENTO]]="","",VLOOKUP(LANÇ_MOV[[#This Row],[FORMA DE PAGAMENTO]],CAD_Forma_pagto[],2,0))</f>
        <v/>
      </c>
      <c r="AA887" s="524" t="str">
        <f>IF(LANÇ_MOV[[#This Row],[DATA DE LANÇAMENTO]]="","",TEXT(LANÇ_MOV[[#This Row],[DATA DE LANÇAMENTO]],"AAAA"))</f>
        <v/>
      </c>
      <c r="AB887" s="524" t="str">
        <f>IF(LANÇ_MOV[[#This Row],[DATA DE LANÇAMENTO]]="","",UPPER(TEXT(LANÇ_MOV[[#This Row],[DATA DE LANÇAMENTO]],"MMMM")))</f>
        <v/>
      </c>
      <c r="AC887" s="525" t="str">
        <f>IF(LANÇ_MOV[[#This Row],[DATA DE LANÇAMENTO]]="","",PROPER(TEXT(LANÇ_MOV[[#This Row],[DATA DE LANÇAMENTO]],"M")))</f>
        <v/>
      </c>
      <c r="AD887" s="524" t="str">
        <f>IF(LANÇ_MOV[[#This Row],[DATA DE LANÇAMENTO]]="","",TEXT(LANÇ_MOV[[#This Row],[DATA DE LANÇAMENTO]],"D"))</f>
        <v/>
      </c>
      <c r="AE887" s="526" t="str">
        <f>IF(LANÇ_MOV[[#This Row],[DATA DE VENCIMENTO]]="","",TEXT(LANÇ_MOV[[#This Row],[DATA DE VENCIMENTO]],"AAAA"))</f>
        <v/>
      </c>
      <c r="AF887" s="526" t="str">
        <f>IF(LANÇ_MOV[[#This Row],[DATA DE VENCIMENTO]]="","",UPPER(TEXT(LANÇ_MOV[[#This Row],[DATA DE VENCIMENTO]],"MMMM")))</f>
        <v/>
      </c>
      <c r="AG887" s="526" t="str">
        <f>IF(LANÇ_MOV[[#This Row],[DATA DE VENCIMENTO]]="","",TEXT(LANÇ_MOV[[#This Row],[DATA DE VENCIMENTO]],"M"))</f>
        <v/>
      </c>
      <c r="AH887" s="526" t="str">
        <f>IF(LANÇ_MOV[[#This Row],[DATA DE VENCIMENTO]]="","",TEXT(LANÇ_MOV[[#This Row],[DATA DE VENCIMENTO]],"D"))</f>
        <v/>
      </c>
      <c r="AI887" s="526" t="str">
        <f>IF(LANÇ_MOV[[#This Row],[DATA DE PAGAMENTO]]="","",TEXT(LANÇ_MOV[[#This Row],[DATA DE PAGAMENTO]],"AAAA"))</f>
        <v/>
      </c>
      <c r="AJ887" s="527" t="str">
        <f>IF(LANÇ_MOV[[#This Row],[DATA DE PAGAMENTO]]="","",UPPER(TEXT(LANÇ_MOV[[#This Row],[DATA DE PAGAMENTO]],"MMMM")))</f>
        <v/>
      </c>
      <c r="AK887" s="527" t="str">
        <f>IF(LANÇ_MOV[[#This Row],[DATA DE PAGAMENTO]]="","",TEXT(LANÇ_MOV[[#This Row],[DATA DE PAGAMENTO]],"M"))</f>
        <v/>
      </c>
      <c r="AL887" s="526" t="str">
        <f>IF(LANÇ_MOV[[#This Row],[DATA DE PAGAMENTO]]="","",TEXT(LANÇ_MOV[[#This Row],[DATA DE PAGAMENTO]],"D"))</f>
        <v/>
      </c>
    </row>
    <row r="888" spans="2:38" ht="30.05" customHeight="1" x14ac:dyDescent="0.35">
      <c r="B888" s="506"/>
      <c r="C888" s="507"/>
      <c r="D888" s="508" t="s">
        <v>1854</v>
      </c>
      <c r="E888" s="509"/>
      <c r="F888" s="510"/>
      <c r="G888" s="507"/>
      <c r="H888" s="511"/>
      <c r="I888" s="512"/>
      <c r="J888" s="518"/>
      <c r="K888" s="510"/>
      <c r="L888" s="510"/>
      <c r="M888" s="548"/>
      <c r="N888" s="514">
        <f>LANÇ_MOV[[#This Row],[VALOR BRUTO]]-LANÇ_MOV[[#This Row],[DESCONTO]]+LANÇ_MOV[[#This Row],[JUROS]]+LANÇ_MOV[[#This Row],[MULTA]]</f>
        <v>0</v>
      </c>
      <c r="O888" s="546"/>
      <c r="P888" s="547" t="str">
        <f t="shared" ca="1" si="14"/>
        <v/>
      </c>
      <c r="Q888" s="528"/>
      <c r="R888" s="529"/>
      <c r="S888" s="518"/>
      <c r="T888" s="518"/>
      <c r="U888" s="519"/>
      <c r="V888" s="520" t="str">
        <f>IFERROR(VLOOKUP(LANÇ_MOV[[#This Row],[PLANO DE CONTAS]],Plano_Contas[[PLANO DE CONTAS]:[R / D]],3,0),"")</f>
        <v/>
      </c>
      <c r="W888" s="521" t="str">
        <f>IF(LANÇ_MOV[[#This Row],[DATA DE PAGAMENTO]]&lt;&gt;"","Pago","Não Pago")</f>
        <v>Não Pago</v>
      </c>
      <c r="X888" s="522" t="str">
        <f>IFERROR(IF(LANÇ_MOV[[#This Row],[DATA DE PAGAMENTO]]="","",(UPPER(TEXT(LANÇ_MOV[[#This Row],[DATA DE PAGAMENTO]],"mmmm")))),"")</f>
        <v/>
      </c>
      <c r="Y888" s="523" t="str">
        <f>IFERROR(VLOOKUP(LANÇ_MOV[[#This Row],[PLANO DE CONTAS]],Plano_Contas[[PLANO DE CONTAS]:[NOMES INTERVALOS]],2,0),"")</f>
        <v/>
      </c>
      <c r="Z888" s="523" t="str">
        <f>IF(LANÇ_MOV[[#This Row],[FORMA DE PAGAMENTO]]="","",VLOOKUP(LANÇ_MOV[[#This Row],[FORMA DE PAGAMENTO]],CAD_Forma_pagto[],2,0))</f>
        <v/>
      </c>
      <c r="AA888" s="524" t="str">
        <f>IF(LANÇ_MOV[[#This Row],[DATA DE LANÇAMENTO]]="","",TEXT(LANÇ_MOV[[#This Row],[DATA DE LANÇAMENTO]],"AAAA"))</f>
        <v/>
      </c>
      <c r="AB888" s="524" t="str">
        <f>IF(LANÇ_MOV[[#This Row],[DATA DE LANÇAMENTO]]="","",UPPER(TEXT(LANÇ_MOV[[#This Row],[DATA DE LANÇAMENTO]],"MMMM")))</f>
        <v/>
      </c>
      <c r="AC888" s="525" t="str">
        <f>IF(LANÇ_MOV[[#This Row],[DATA DE LANÇAMENTO]]="","",PROPER(TEXT(LANÇ_MOV[[#This Row],[DATA DE LANÇAMENTO]],"M")))</f>
        <v/>
      </c>
      <c r="AD888" s="524" t="str">
        <f>IF(LANÇ_MOV[[#This Row],[DATA DE LANÇAMENTO]]="","",TEXT(LANÇ_MOV[[#This Row],[DATA DE LANÇAMENTO]],"D"))</f>
        <v/>
      </c>
      <c r="AE888" s="526" t="str">
        <f>IF(LANÇ_MOV[[#This Row],[DATA DE VENCIMENTO]]="","",TEXT(LANÇ_MOV[[#This Row],[DATA DE VENCIMENTO]],"AAAA"))</f>
        <v/>
      </c>
      <c r="AF888" s="526" t="str">
        <f>IF(LANÇ_MOV[[#This Row],[DATA DE VENCIMENTO]]="","",UPPER(TEXT(LANÇ_MOV[[#This Row],[DATA DE VENCIMENTO]],"MMMM")))</f>
        <v/>
      </c>
      <c r="AG888" s="526" t="str">
        <f>IF(LANÇ_MOV[[#This Row],[DATA DE VENCIMENTO]]="","",TEXT(LANÇ_MOV[[#This Row],[DATA DE VENCIMENTO]],"M"))</f>
        <v/>
      </c>
      <c r="AH888" s="526" t="str">
        <f>IF(LANÇ_MOV[[#This Row],[DATA DE VENCIMENTO]]="","",TEXT(LANÇ_MOV[[#This Row],[DATA DE VENCIMENTO]],"D"))</f>
        <v/>
      </c>
      <c r="AI888" s="526" t="str">
        <f>IF(LANÇ_MOV[[#This Row],[DATA DE PAGAMENTO]]="","",TEXT(LANÇ_MOV[[#This Row],[DATA DE PAGAMENTO]],"AAAA"))</f>
        <v/>
      </c>
      <c r="AJ888" s="527" t="str">
        <f>IF(LANÇ_MOV[[#This Row],[DATA DE PAGAMENTO]]="","",UPPER(TEXT(LANÇ_MOV[[#This Row],[DATA DE PAGAMENTO]],"MMMM")))</f>
        <v/>
      </c>
      <c r="AK888" s="527" t="str">
        <f>IF(LANÇ_MOV[[#This Row],[DATA DE PAGAMENTO]]="","",TEXT(LANÇ_MOV[[#This Row],[DATA DE PAGAMENTO]],"M"))</f>
        <v/>
      </c>
      <c r="AL888" s="526" t="str">
        <f>IF(LANÇ_MOV[[#This Row],[DATA DE PAGAMENTO]]="","",TEXT(LANÇ_MOV[[#This Row],[DATA DE PAGAMENTO]],"D"))</f>
        <v/>
      </c>
    </row>
    <row r="889" spans="2:38" ht="30.05" customHeight="1" x14ac:dyDescent="0.35">
      <c r="B889" s="506"/>
      <c r="C889" s="507"/>
      <c r="D889" s="508" t="s">
        <v>1854</v>
      </c>
      <c r="E889" s="509"/>
      <c r="F889" s="510"/>
      <c r="G889" s="507"/>
      <c r="H889" s="511"/>
      <c r="I889" s="512"/>
      <c r="J889" s="518"/>
      <c r="K889" s="510"/>
      <c r="L889" s="510"/>
      <c r="M889" s="548"/>
      <c r="N889" s="514">
        <f>LANÇ_MOV[[#This Row],[VALOR BRUTO]]-LANÇ_MOV[[#This Row],[DESCONTO]]+LANÇ_MOV[[#This Row],[JUROS]]+LANÇ_MOV[[#This Row],[MULTA]]</f>
        <v>0</v>
      </c>
      <c r="O889" s="546"/>
      <c r="P889" s="547" t="str">
        <f t="shared" ca="1" si="14"/>
        <v/>
      </c>
      <c r="Q889" s="528"/>
      <c r="R889" s="529"/>
      <c r="S889" s="518"/>
      <c r="T889" s="518"/>
      <c r="U889" s="519"/>
      <c r="V889" s="520" t="str">
        <f>IFERROR(VLOOKUP(LANÇ_MOV[[#This Row],[PLANO DE CONTAS]],Plano_Contas[[PLANO DE CONTAS]:[R / D]],3,0),"")</f>
        <v/>
      </c>
      <c r="W889" s="521" t="str">
        <f>IF(LANÇ_MOV[[#This Row],[DATA DE PAGAMENTO]]&lt;&gt;"","Pago","Não Pago")</f>
        <v>Não Pago</v>
      </c>
      <c r="X889" s="522" t="str">
        <f>IFERROR(IF(LANÇ_MOV[[#This Row],[DATA DE PAGAMENTO]]="","",(UPPER(TEXT(LANÇ_MOV[[#This Row],[DATA DE PAGAMENTO]],"mmmm")))),"")</f>
        <v/>
      </c>
      <c r="Y889" s="523" t="str">
        <f>IFERROR(VLOOKUP(LANÇ_MOV[[#This Row],[PLANO DE CONTAS]],Plano_Contas[[PLANO DE CONTAS]:[NOMES INTERVALOS]],2,0),"")</f>
        <v/>
      </c>
      <c r="Z889" s="523" t="str">
        <f>IF(LANÇ_MOV[[#This Row],[FORMA DE PAGAMENTO]]="","",VLOOKUP(LANÇ_MOV[[#This Row],[FORMA DE PAGAMENTO]],CAD_Forma_pagto[],2,0))</f>
        <v/>
      </c>
      <c r="AA889" s="524" t="str">
        <f>IF(LANÇ_MOV[[#This Row],[DATA DE LANÇAMENTO]]="","",TEXT(LANÇ_MOV[[#This Row],[DATA DE LANÇAMENTO]],"AAAA"))</f>
        <v/>
      </c>
      <c r="AB889" s="524" t="str">
        <f>IF(LANÇ_MOV[[#This Row],[DATA DE LANÇAMENTO]]="","",UPPER(TEXT(LANÇ_MOV[[#This Row],[DATA DE LANÇAMENTO]],"MMMM")))</f>
        <v/>
      </c>
      <c r="AC889" s="525" t="str">
        <f>IF(LANÇ_MOV[[#This Row],[DATA DE LANÇAMENTO]]="","",PROPER(TEXT(LANÇ_MOV[[#This Row],[DATA DE LANÇAMENTO]],"M")))</f>
        <v/>
      </c>
      <c r="AD889" s="524" t="str">
        <f>IF(LANÇ_MOV[[#This Row],[DATA DE LANÇAMENTO]]="","",TEXT(LANÇ_MOV[[#This Row],[DATA DE LANÇAMENTO]],"D"))</f>
        <v/>
      </c>
      <c r="AE889" s="526" t="str">
        <f>IF(LANÇ_MOV[[#This Row],[DATA DE VENCIMENTO]]="","",TEXT(LANÇ_MOV[[#This Row],[DATA DE VENCIMENTO]],"AAAA"))</f>
        <v/>
      </c>
      <c r="AF889" s="526" t="str">
        <f>IF(LANÇ_MOV[[#This Row],[DATA DE VENCIMENTO]]="","",UPPER(TEXT(LANÇ_MOV[[#This Row],[DATA DE VENCIMENTO]],"MMMM")))</f>
        <v/>
      </c>
      <c r="AG889" s="526" t="str">
        <f>IF(LANÇ_MOV[[#This Row],[DATA DE VENCIMENTO]]="","",TEXT(LANÇ_MOV[[#This Row],[DATA DE VENCIMENTO]],"M"))</f>
        <v/>
      </c>
      <c r="AH889" s="526" t="str">
        <f>IF(LANÇ_MOV[[#This Row],[DATA DE VENCIMENTO]]="","",TEXT(LANÇ_MOV[[#This Row],[DATA DE VENCIMENTO]],"D"))</f>
        <v/>
      </c>
      <c r="AI889" s="526" t="str">
        <f>IF(LANÇ_MOV[[#This Row],[DATA DE PAGAMENTO]]="","",TEXT(LANÇ_MOV[[#This Row],[DATA DE PAGAMENTO]],"AAAA"))</f>
        <v/>
      </c>
      <c r="AJ889" s="527" t="str">
        <f>IF(LANÇ_MOV[[#This Row],[DATA DE PAGAMENTO]]="","",UPPER(TEXT(LANÇ_MOV[[#This Row],[DATA DE PAGAMENTO]],"MMMM")))</f>
        <v/>
      </c>
      <c r="AK889" s="527" t="str">
        <f>IF(LANÇ_MOV[[#This Row],[DATA DE PAGAMENTO]]="","",TEXT(LANÇ_MOV[[#This Row],[DATA DE PAGAMENTO]],"M"))</f>
        <v/>
      </c>
      <c r="AL889" s="526" t="str">
        <f>IF(LANÇ_MOV[[#This Row],[DATA DE PAGAMENTO]]="","",TEXT(LANÇ_MOV[[#This Row],[DATA DE PAGAMENTO]],"D"))</f>
        <v/>
      </c>
    </row>
    <row r="890" spans="2:38" ht="30.05" customHeight="1" x14ac:dyDescent="0.35">
      <c r="B890" s="506"/>
      <c r="C890" s="507"/>
      <c r="D890" s="508" t="s">
        <v>1854</v>
      </c>
      <c r="E890" s="509"/>
      <c r="F890" s="510"/>
      <c r="G890" s="507"/>
      <c r="H890" s="511"/>
      <c r="I890" s="512"/>
      <c r="J890" s="518"/>
      <c r="K890" s="510"/>
      <c r="L890" s="510"/>
      <c r="M890" s="548"/>
      <c r="N890" s="514">
        <f>LANÇ_MOV[[#This Row],[VALOR BRUTO]]-LANÇ_MOV[[#This Row],[DESCONTO]]+LANÇ_MOV[[#This Row],[JUROS]]+LANÇ_MOV[[#This Row],[MULTA]]</f>
        <v>0</v>
      </c>
      <c r="O890" s="546"/>
      <c r="P890" s="547" t="str">
        <f t="shared" ca="1" si="14"/>
        <v/>
      </c>
      <c r="Q890" s="528"/>
      <c r="R890" s="529"/>
      <c r="S890" s="518"/>
      <c r="T890" s="518"/>
      <c r="U890" s="519"/>
      <c r="V890" s="520" t="str">
        <f>IFERROR(VLOOKUP(LANÇ_MOV[[#This Row],[PLANO DE CONTAS]],Plano_Contas[[PLANO DE CONTAS]:[R / D]],3,0),"")</f>
        <v/>
      </c>
      <c r="W890" s="521" t="str">
        <f>IF(LANÇ_MOV[[#This Row],[DATA DE PAGAMENTO]]&lt;&gt;"","Pago","Não Pago")</f>
        <v>Não Pago</v>
      </c>
      <c r="X890" s="522" t="str">
        <f>IFERROR(IF(LANÇ_MOV[[#This Row],[DATA DE PAGAMENTO]]="","",(UPPER(TEXT(LANÇ_MOV[[#This Row],[DATA DE PAGAMENTO]],"mmmm")))),"")</f>
        <v/>
      </c>
      <c r="Y890" s="523" t="str">
        <f>IFERROR(VLOOKUP(LANÇ_MOV[[#This Row],[PLANO DE CONTAS]],Plano_Contas[[PLANO DE CONTAS]:[NOMES INTERVALOS]],2,0),"")</f>
        <v/>
      </c>
      <c r="Z890" s="523" t="str">
        <f>IF(LANÇ_MOV[[#This Row],[FORMA DE PAGAMENTO]]="","",VLOOKUP(LANÇ_MOV[[#This Row],[FORMA DE PAGAMENTO]],CAD_Forma_pagto[],2,0))</f>
        <v/>
      </c>
      <c r="AA890" s="524" t="str">
        <f>IF(LANÇ_MOV[[#This Row],[DATA DE LANÇAMENTO]]="","",TEXT(LANÇ_MOV[[#This Row],[DATA DE LANÇAMENTO]],"AAAA"))</f>
        <v/>
      </c>
      <c r="AB890" s="524" t="str">
        <f>IF(LANÇ_MOV[[#This Row],[DATA DE LANÇAMENTO]]="","",UPPER(TEXT(LANÇ_MOV[[#This Row],[DATA DE LANÇAMENTO]],"MMMM")))</f>
        <v/>
      </c>
      <c r="AC890" s="525" t="str">
        <f>IF(LANÇ_MOV[[#This Row],[DATA DE LANÇAMENTO]]="","",PROPER(TEXT(LANÇ_MOV[[#This Row],[DATA DE LANÇAMENTO]],"M")))</f>
        <v/>
      </c>
      <c r="AD890" s="524" t="str">
        <f>IF(LANÇ_MOV[[#This Row],[DATA DE LANÇAMENTO]]="","",TEXT(LANÇ_MOV[[#This Row],[DATA DE LANÇAMENTO]],"D"))</f>
        <v/>
      </c>
      <c r="AE890" s="526" t="str">
        <f>IF(LANÇ_MOV[[#This Row],[DATA DE VENCIMENTO]]="","",TEXT(LANÇ_MOV[[#This Row],[DATA DE VENCIMENTO]],"AAAA"))</f>
        <v/>
      </c>
      <c r="AF890" s="526" t="str">
        <f>IF(LANÇ_MOV[[#This Row],[DATA DE VENCIMENTO]]="","",UPPER(TEXT(LANÇ_MOV[[#This Row],[DATA DE VENCIMENTO]],"MMMM")))</f>
        <v/>
      </c>
      <c r="AG890" s="526" t="str">
        <f>IF(LANÇ_MOV[[#This Row],[DATA DE VENCIMENTO]]="","",TEXT(LANÇ_MOV[[#This Row],[DATA DE VENCIMENTO]],"M"))</f>
        <v/>
      </c>
      <c r="AH890" s="526" t="str">
        <f>IF(LANÇ_MOV[[#This Row],[DATA DE VENCIMENTO]]="","",TEXT(LANÇ_MOV[[#This Row],[DATA DE VENCIMENTO]],"D"))</f>
        <v/>
      </c>
      <c r="AI890" s="526" t="str">
        <f>IF(LANÇ_MOV[[#This Row],[DATA DE PAGAMENTO]]="","",TEXT(LANÇ_MOV[[#This Row],[DATA DE PAGAMENTO]],"AAAA"))</f>
        <v/>
      </c>
      <c r="AJ890" s="527" t="str">
        <f>IF(LANÇ_MOV[[#This Row],[DATA DE PAGAMENTO]]="","",UPPER(TEXT(LANÇ_MOV[[#This Row],[DATA DE PAGAMENTO]],"MMMM")))</f>
        <v/>
      </c>
      <c r="AK890" s="527" t="str">
        <f>IF(LANÇ_MOV[[#This Row],[DATA DE PAGAMENTO]]="","",TEXT(LANÇ_MOV[[#This Row],[DATA DE PAGAMENTO]],"M"))</f>
        <v/>
      </c>
      <c r="AL890" s="526" t="str">
        <f>IF(LANÇ_MOV[[#This Row],[DATA DE PAGAMENTO]]="","",TEXT(LANÇ_MOV[[#This Row],[DATA DE PAGAMENTO]],"D"))</f>
        <v/>
      </c>
    </row>
    <row r="891" spans="2:38" ht="30.05" customHeight="1" x14ac:dyDescent="0.35">
      <c r="B891" s="506"/>
      <c r="C891" s="507"/>
      <c r="D891" s="508" t="s">
        <v>1854</v>
      </c>
      <c r="E891" s="509"/>
      <c r="F891" s="510"/>
      <c r="G891" s="507"/>
      <c r="H891" s="511"/>
      <c r="I891" s="512"/>
      <c r="J891" s="518"/>
      <c r="K891" s="510"/>
      <c r="L891" s="510"/>
      <c r="M891" s="548"/>
      <c r="N891" s="514">
        <f>LANÇ_MOV[[#This Row],[VALOR BRUTO]]-LANÇ_MOV[[#This Row],[DESCONTO]]+LANÇ_MOV[[#This Row],[JUROS]]+LANÇ_MOV[[#This Row],[MULTA]]</f>
        <v>0</v>
      </c>
      <c r="O891" s="546"/>
      <c r="P891" s="547" t="str">
        <f t="shared" ca="1" si="14"/>
        <v/>
      </c>
      <c r="Q891" s="528"/>
      <c r="R891" s="529"/>
      <c r="S891" s="518"/>
      <c r="T891" s="518"/>
      <c r="U891" s="519"/>
      <c r="V891" s="520" t="str">
        <f>IFERROR(VLOOKUP(LANÇ_MOV[[#This Row],[PLANO DE CONTAS]],Plano_Contas[[PLANO DE CONTAS]:[R / D]],3,0),"")</f>
        <v/>
      </c>
      <c r="W891" s="521" t="str">
        <f>IF(LANÇ_MOV[[#This Row],[DATA DE PAGAMENTO]]&lt;&gt;"","Pago","Não Pago")</f>
        <v>Não Pago</v>
      </c>
      <c r="X891" s="522" t="str">
        <f>IFERROR(IF(LANÇ_MOV[[#This Row],[DATA DE PAGAMENTO]]="","",(UPPER(TEXT(LANÇ_MOV[[#This Row],[DATA DE PAGAMENTO]],"mmmm")))),"")</f>
        <v/>
      </c>
      <c r="Y891" s="523" t="str">
        <f>IFERROR(VLOOKUP(LANÇ_MOV[[#This Row],[PLANO DE CONTAS]],Plano_Contas[[PLANO DE CONTAS]:[NOMES INTERVALOS]],2,0),"")</f>
        <v/>
      </c>
      <c r="Z891" s="523" t="str">
        <f>IF(LANÇ_MOV[[#This Row],[FORMA DE PAGAMENTO]]="","",VLOOKUP(LANÇ_MOV[[#This Row],[FORMA DE PAGAMENTO]],CAD_Forma_pagto[],2,0))</f>
        <v/>
      </c>
      <c r="AA891" s="524" t="str">
        <f>IF(LANÇ_MOV[[#This Row],[DATA DE LANÇAMENTO]]="","",TEXT(LANÇ_MOV[[#This Row],[DATA DE LANÇAMENTO]],"AAAA"))</f>
        <v/>
      </c>
      <c r="AB891" s="524" t="str">
        <f>IF(LANÇ_MOV[[#This Row],[DATA DE LANÇAMENTO]]="","",UPPER(TEXT(LANÇ_MOV[[#This Row],[DATA DE LANÇAMENTO]],"MMMM")))</f>
        <v/>
      </c>
      <c r="AC891" s="525" t="str">
        <f>IF(LANÇ_MOV[[#This Row],[DATA DE LANÇAMENTO]]="","",PROPER(TEXT(LANÇ_MOV[[#This Row],[DATA DE LANÇAMENTO]],"M")))</f>
        <v/>
      </c>
      <c r="AD891" s="524" t="str">
        <f>IF(LANÇ_MOV[[#This Row],[DATA DE LANÇAMENTO]]="","",TEXT(LANÇ_MOV[[#This Row],[DATA DE LANÇAMENTO]],"D"))</f>
        <v/>
      </c>
      <c r="AE891" s="526" t="str">
        <f>IF(LANÇ_MOV[[#This Row],[DATA DE VENCIMENTO]]="","",TEXT(LANÇ_MOV[[#This Row],[DATA DE VENCIMENTO]],"AAAA"))</f>
        <v/>
      </c>
      <c r="AF891" s="526" t="str">
        <f>IF(LANÇ_MOV[[#This Row],[DATA DE VENCIMENTO]]="","",UPPER(TEXT(LANÇ_MOV[[#This Row],[DATA DE VENCIMENTO]],"MMMM")))</f>
        <v/>
      </c>
      <c r="AG891" s="526" t="str">
        <f>IF(LANÇ_MOV[[#This Row],[DATA DE VENCIMENTO]]="","",TEXT(LANÇ_MOV[[#This Row],[DATA DE VENCIMENTO]],"M"))</f>
        <v/>
      </c>
      <c r="AH891" s="526" t="str">
        <f>IF(LANÇ_MOV[[#This Row],[DATA DE VENCIMENTO]]="","",TEXT(LANÇ_MOV[[#This Row],[DATA DE VENCIMENTO]],"D"))</f>
        <v/>
      </c>
      <c r="AI891" s="526" t="str">
        <f>IF(LANÇ_MOV[[#This Row],[DATA DE PAGAMENTO]]="","",TEXT(LANÇ_MOV[[#This Row],[DATA DE PAGAMENTO]],"AAAA"))</f>
        <v/>
      </c>
      <c r="AJ891" s="527" t="str">
        <f>IF(LANÇ_MOV[[#This Row],[DATA DE PAGAMENTO]]="","",UPPER(TEXT(LANÇ_MOV[[#This Row],[DATA DE PAGAMENTO]],"MMMM")))</f>
        <v/>
      </c>
      <c r="AK891" s="527" t="str">
        <f>IF(LANÇ_MOV[[#This Row],[DATA DE PAGAMENTO]]="","",TEXT(LANÇ_MOV[[#This Row],[DATA DE PAGAMENTO]],"M"))</f>
        <v/>
      </c>
      <c r="AL891" s="526" t="str">
        <f>IF(LANÇ_MOV[[#This Row],[DATA DE PAGAMENTO]]="","",TEXT(LANÇ_MOV[[#This Row],[DATA DE PAGAMENTO]],"D"))</f>
        <v/>
      </c>
    </row>
    <row r="892" spans="2:38" ht="30.05" customHeight="1" x14ac:dyDescent="0.35">
      <c r="B892" s="506"/>
      <c r="C892" s="507"/>
      <c r="D892" s="508" t="s">
        <v>1854</v>
      </c>
      <c r="E892" s="509"/>
      <c r="F892" s="510"/>
      <c r="G892" s="507"/>
      <c r="H892" s="511"/>
      <c r="I892" s="512"/>
      <c r="J892" s="518"/>
      <c r="K892" s="510"/>
      <c r="L892" s="510"/>
      <c r="M892" s="548"/>
      <c r="N892" s="514">
        <f>LANÇ_MOV[[#This Row],[VALOR BRUTO]]-LANÇ_MOV[[#This Row],[DESCONTO]]+LANÇ_MOV[[#This Row],[JUROS]]+LANÇ_MOV[[#This Row],[MULTA]]</f>
        <v>0</v>
      </c>
      <c r="O892" s="546"/>
      <c r="P892" s="547" t="str">
        <f t="shared" ca="1" si="14"/>
        <v/>
      </c>
      <c r="Q892" s="528"/>
      <c r="R892" s="529"/>
      <c r="S892" s="518"/>
      <c r="T892" s="518"/>
      <c r="U892" s="519"/>
      <c r="V892" s="520" t="str">
        <f>IFERROR(VLOOKUP(LANÇ_MOV[[#This Row],[PLANO DE CONTAS]],Plano_Contas[[PLANO DE CONTAS]:[R / D]],3,0),"")</f>
        <v/>
      </c>
      <c r="W892" s="521" t="str">
        <f>IF(LANÇ_MOV[[#This Row],[DATA DE PAGAMENTO]]&lt;&gt;"","Pago","Não Pago")</f>
        <v>Não Pago</v>
      </c>
      <c r="X892" s="522" t="str">
        <f>IFERROR(IF(LANÇ_MOV[[#This Row],[DATA DE PAGAMENTO]]="","",(UPPER(TEXT(LANÇ_MOV[[#This Row],[DATA DE PAGAMENTO]],"mmmm")))),"")</f>
        <v/>
      </c>
      <c r="Y892" s="523" t="str">
        <f>IFERROR(VLOOKUP(LANÇ_MOV[[#This Row],[PLANO DE CONTAS]],Plano_Contas[[PLANO DE CONTAS]:[NOMES INTERVALOS]],2,0),"")</f>
        <v/>
      </c>
      <c r="Z892" s="523" t="str">
        <f>IF(LANÇ_MOV[[#This Row],[FORMA DE PAGAMENTO]]="","",VLOOKUP(LANÇ_MOV[[#This Row],[FORMA DE PAGAMENTO]],CAD_Forma_pagto[],2,0))</f>
        <v/>
      </c>
      <c r="AA892" s="524" t="str">
        <f>IF(LANÇ_MOV[[#This Row],[DATA DE LANÇAMENTO]]="","",TEXT(LANÇ_MOV[[#This Row],[DATA DE LANÇAMENTO]],"AAAA"))</f>
        <v/>
      </c>
      <c r="AB892" s="524" t="str">
        <f>IF(LANÇ_MOV[[#This Row],[DATA DE LANÇAMENTO]]="","",UPPER(TEXT(LANÇ_MOV[[#This Row],[DATA DE LANÇAMENTO]],"MMMM")))</f>
        <v/>
      </c>
      <c r="AC892" s="525" t="str">
        <f>IF(LANÇ_MOV[[#This Row],[DATA DE LANÇAMENTO]]="","",PROPER(TEXT(LANÇ_MOV[[#This Row],[DATA DE LANÇAMENTO]],"M")))</f>
        <v/>
      </c>
      <c r="AD892" s="524" t="str">
        <f>IF(LANÇ_MOV[[#This Row],[DATA DE LANÇAMENTO]]="","",TEXT(LANÇ_MOV[[#This Row],[DATA DE LANÇAMENTO]],"D"))</f>
        <v/>
      </c>
      <c r="AE892" s="526" t="str">
        <f>IF(LANÇ_MOV[[#This Row],[DATA DE VENCIMENTO]]="","",TEXT(LANÇ_MOV[[#This Row],[DATA DE VENCIMENTO]],"AAAA"))</f>
        <v/>
      </c>
      <c r="AF892" s="526" t="str">
        <f>IF(LANÇ_MOV[[#This Row],[DATA DE VENCIMENTO]]="","",UPPER(TEXT(LANÇ_MOV[[#This Row],[DATA DE VENCIMENTO]],"MMMM")))</f>
        <v/>
      </c>
      <c r="AG892" s="526" t="str">
        <f>IF(LANÇ_MOV[[#This Row],[DATA DE VENCIMENTO]]="","",TEXT(LANÇ_MOV[[#This Row],[DATA DE VENCIMENTO]],"M"))</f>
        <v/>
      </c>
      <c r="AH892" s="526" t="str">
        <f>IF(LANÇ_MOV[[#This Row],[DATA DE VENCIMENTO]]="","",TEXT(LANÇ_MOV[[#This Row],[DATA DE VENCIMENTO]],"D"))</f>
        <v/>
      </c>
      <c r="AI892" s="526" t="str">
        <f>IF(LANÇ_MOV[[#This Row],[DATA DE PAGAMENTO]]="","",TEXT(LANÇ_MOV[[#This Row],[DATA DE PAGAMENTO]],"AAAA"))</f>
        <v/>
      </c>
      <c r="AJ892" s="527" t="str">
        <f>IF(LANÇ_MOV[[#This Row],[DATA DE PAGAMENTO]]="","",UPPER(TEXT(LANÇ_MOV[[#This Row],[DATA DE PAGAMENTO]],"MMMM")))</f>
        <v/>
      </c>
      <c r="AK892" s="527" t="str">
        <f>IF(LANÇ_MOV[[#This Row],[DATA DE PAGAMENTO]]="","",TEXT(LANÇ_MOV[[#This Row],[DATA DE PAGAMENTO]],"M"))</f>
        <v/>
      </c>
      <c r="AL892" s="526" t="str">
        <f>IF(LANÇ_MOV[[#This Row],[DATA DE PAGAMENTO]]="","",TEXT(LANÇ_MOV[[#This Row],[DATA DE PAGAMENTO]],"D"))</f>
        <v/>
      </c>
    </row>
    <row r="893" spans="2:38" ht="30.05" customHeight="1" x14ac:dyDescent="0.35">
      <c r="B893" s="506"/>
      <c r="C893" s="507"/>
      <c r="D893" s="508" t="s">
        <v>1854</v>
      </c>
      <c r="E893" s="509"/>
      <c r="F893" s="510"/>
      <c r="G893" s="507"/>
      <c r="H893" s="511"/>
      <c r="I893" s="512"/>
      <c r="J893" s="518"/>
      <c r="K893" s="510"/>
      <c r="L893" s="510"/>
      <c r="M893" s="548"/>
      <c r="N893" s="514">
        <f>LANÇ_MOV[[#This Row],[VALOR BRUTO]]-LANÇ_MOV[[#This Row],[DESCONTO]]+LANÇ_MOV[[#This Row],[JUROS]]+LANÇ_MOV[[#This Row],[MULTA]]</f>
        <v>0</v>
      </c>
      <c r="O893" s="546"/>
      <c r="P893" s="547" t="str">
        <f t="shared" ca="1" si="14"/>
        <v/>
      </c>
      <c r="Q893" s="528"/>
      <c r="R893" s="529"/>
      <c r="S893" s="518"/>
      <c r="T893" s="518"/>
      <c r="U893" s="519"/>
      <c r="V893" s="520" t="str">
        <f>IFERROR(VLOOKUP(LANÇ_MOV[[#This Row],[PLANO DE CONTAS]],Plano_Contas[[PLANO DE CONTAS]:[R / D]],3,0),"")</f>
        <v/>
      </c>
      <c r="W893" s="521" t="str">
        <f>IF(LANÇ_MOV[[#This Row],[DATA DE PAGAMENTO]]&lt;&gt;"","Pago","Não Pago")</f>
        <v>Não Pago</v>
      </c>
      <c r="X893" s="522" t="str">
        <f>IFERROR(IF(LANÇ_MOV[[#This Row],[DATA DE PAGAMENTO]]="","",(UPPER(TEXT(LANÇ_MOV[[#This Row],[DATA DE PAGAMENTO]],"mmmm")))),"")</f>
        <v/>
      </c>
      <c r="Y893" s="523" t="str">
        <f>IFERROR(VLOOKUP(LANÇ_MOV[[#This Row],[PLANO DE CONTAS]],Plano_Contas[[PLANO DE CONTAS]:[NOMES INTERVALOS]],2,0),"")</f>
        <v/>
      </c>
      <c r="Z893" s="523" t="str">
        <f>IF(LANÇ_MOV[[#This Row],[FORMA DE PAGAMENTO]]="","",VLOOKUP(LANÇ_MOV[[#This Row],[FORMA DE PAGAMENTO]],CAD_Forma_pagto[],2,0))</f>
        <v/>
      </c>
      <c r="AA893" s="524" t="str">
        <f>IF(LANÇ_MOV[[#This Row],[DATA DE LANÇAMENTO]]="","",TEXT(LANÇ_MOV[[#This Row],[DATA DE LANÇAMENTO]],"AAAA"))</f>
        <v/>
      </c>
      <c r="AB893" s="524" t="str">
        <f>IF(LANÇ_MOV[[#This Row],[DATA DE LANÇAMENTO]]="","",UPPER(TEXT(LANÇ_MOV[[#This Row],[DATA DE LANÇAMENTO]],"MMMM")))</f>
        <v/>
      </c>
      <c r="AC893" s="525" t="str">
        <f>IF(LANÇ_MOV[[#This Row],[DATA DE LANÇAMENTO]]="","",PROPER(TEXT(LANÇ_MOV[[#This Row],[DATA DE LANÇAMENTO]],"M")))</f>
        <v/>
      </c>
      <c r="AD893" s="524" t="str">
        <f>IF(LANÇ_MOV[[#This Row],[DATA DE LANÇAMENTO]]="","",TEXT(LANÇ_MOV[[#This Row],[DATA DE LANÇAMENTO]],"D"))</f>
        <v/>
      </c>
      <c r="AE893" s="526" t="str">
        <f>IF(LANÇ_MOV[[#This Row],[DATA DE VENCIMENTO]]="","",TEXT(LANÇ_MOV[[#This Row],[DATA DE VENCIMENTO]],"AAAA"))</f>
        <v/>
      </c>
      <c r="AF893" s="526" t="str">
        <f>IF(LANÇ_MOV[[#This Row],[DATA DE VENCIMENTO]]="","",UPPER(TEXT(LANÇ_MOV[[#This Row],[DATA DE VENCIMENTO]],"MMMM")))</f>
        <v/>
      </c>
      <c r="AG893" s="526" t="str">
        <f>IF(LANÇ_MOV[[#This Row],[DATA DE VENCIMENTO]]="","",TEXT(LANÇ_MOV[[#This Row],[DATA DE VENCIMENTO]],"M"))</f>
        <v/>
      </c>
      <c r="AH893" s="526" t="str">
        <f>IF(LANÇ_MOV[[#This Row],[DATA DE VENCIMENTO]]="","",TEXT(LANÇ_MOV[[#This Row],[DATA DE VENCIMENTO]],"D"))</f>
        <v/>
      </c>
      <c r="AI893" s="526" t="str">
        <f>IF(LANÇ_MOV[[#This Row],[DATA DE PAGAMENTO]]="","",TEXT(LANÇ_MOV[[#This Row],[DATA DE PAGAMENTO]],"AAAA"))</f>
        <v/>
      </c>
      <c r="AJ893" s="527" t="str">
        <f>IF(LANÇ_MOV[[#This Row],[DATA DE PAGAMENTO]]="","",UPPER(TEXT(LANÇ_MOV[[#This Row],[DATA DE PAGAMENTO]],"MMMM")))</f>
        <v/>
      </c>
      <c r="AK893" s="527" t="str">
        <f>IF(LANÇ_MOV[[#This Row],[DATA DE PAGAMENTO]]="","",TEXT(LANÇ_MOV[[#This Row],[DATA DE PAGAMENTO]],"M"))</f>
        <v/>
      </c>
      <c r="AL893" s="526" t="str">
        <f>IF(LANÇ_MOV[[#This Row],[DATA DE PAGAMENTO]]="","",TEXT(LANÇ_MOV[[#This Row],[DATA DE PAGAMENTO]],"D"))</f>
        <v/>
      </c>
    </row>
    <row r="894" spans="2:38" ht="30.05" customHeight="1" x14ac:dyDescent="0.35">
      <c r="B894" s="506"/>
      <c r="C894" s="507"/>
      <c r="D894" s="508" t="s">
        <v>1854</v>
      </c>
      <c r="E894" s="509"/>
      <c r="F894" s="510"/>
      <c r="G894" s="507"/>
      <c r="H894" s="511"/>
      <c r="I894" s="512"/>
      <c r="J894" s="518"/>
      <c r="K894" s="510"/>
      <c r="L894" s="510"/>
      <c r="M894" s="548"/>
      <c r="N894" s="514">
        <f>LANÇ_MOV[[#This Row],[VALOR BRUTO]]-LANÇ_MOV[[#This Row],[DESCONTO]]+LANÇ_MOV[[#This Row],[JUROS]]+LANÇ_MOV[[#This Row],[MULTA]]</f>
        <v>0</v>
      </c>
      <c r="O894" s="546"/>
      <c r="P894" s="547" t="str">
        <f t="shared" ca="1" si="14"/>
        <v/>
      </c>
      <c r="Q894" s="528"/>
      <c r="R894" s="529"/>
      <c r="S894" s="518"/>
      <c r="T894" s="518"/>
      <c r="U894" s="519"/>
      <c r="V894" s="520" t="str">
        <f>IFERROR(VLOOKUP(LANÇ_MOV[[#This Row],[PLANO DE CONTAS]],Plano_Contas[[PLANO DE CONTAS]:[R / D]],3,0),"")</f>
        <v/>
      </c>
      <c r="W894" s="521" t="str">
        <f>IF(LANÇ_MOV[[#This Row],[DATA DE PAGAMENTO]]&lt;&gt;"","Pago","Não Pago")</f>
        <v>Não Pago</v>
      </c>
      <c r="X894" s="522" t="str">
        <f>IFERROR(IF(LANÇ_MOV[[#This Row],[DATA DE PAGAMENTO]]="","",(UPPER(TEXT(LANÇ_MOV[[#This Row],[DATA DE PAGAMENTO]],"mmmm")))),"")</f>
        <v/>
      </c>
      <c r="Y894" s="523" t="str">
        <f>IFERROR(VLOOKUP(LANÇ_MOV[[#This Row],[PLANO DE CONTAS]],Plano_Contas[[PLANO DE CONTAS]:[NOMES INTERVALOS]],2,0),"")</f>
        <v/>
      </c>
      <c r="Z894" s="523" t="str">
        <f>IF(LANÇ_MOV[[#This Row],[FORMA DE PAGAMENTO]]="","",VLOOKUP(LANÇ_MOV[[#This Row],[FORMA DE PAGAMENTO]],CAD_Forma_pagto[],2,0))</f>
        <v/>
      </c>
      <c r="AA894" s="524" t="str">
        <f>IF(LANÇ_MOV[[#This Row],[DATA DE LANÇAMENTO]]="","",TEXT(LANÇ_MOV[[#This Row],[DATA DE LANÇAMENTO]],"AAAA"))</f>
        <v/>
      </c>
      <c r="AB894" s="524" t="str">
        <f>IF(LANÇ_MOV[[#This Row],[DATA DE LANÇAMENTO]]="","",UPPER(TEXT(LANÇ_MOV[[#This Row],[DATA DE LANÇAMENTO]],"MMMM")))</f>
        <v/>
      </c>
      <c r="AC894" s="525" t="str">
        <f>IF(LANÇ_MOV[[#This Row],[DATA DE LANÇAMENTO]]="","",PROPER(TEXT(LANÇ_MOV[[#This Row],[DATA DE LANÇAMENTO]],"M")))</f>
        <v/>
      </c>
      <c r="AD894" s="524" t="str">
        <f>IF(LANÇ_MOV[[#This Row],[DATA DE LANÇAMENTO]]="","",TEXT(LANÇ_MOV[[#This Row],[DATA DE LANÇAMENTO]],"D"))</f>
        <v/>
      </c>
      <c r="AE894" s="526" t="str">
        <f>IF(LANÇ_MOV[[#This Row],[DATA DE VENCIMENTO]]="","",TEXT(LANÇ_MOV[[#This Row],[DATA DE VENCIMENTO]],"AAAA"))</f>
        <v/>
      </c>
      <c r="AF894" s="526" t="str">
        <f>IF(LANÇ_MOV[[#This Row],[DATA DE VENCIMENTO]]="","",UPPER(TEXT(LANÇ_MOV[[#This Row],[DATA DE VENCIMENTO]],"MMMM")))</f>
        <v/>
      </c>
      <c r="AG894" s="526" t="str">
        <f>IF(LANÇ_MOV[[#This Row],[DATA DE VENCIMENTO]]="","",TEXT(LANÇ_MOV[[#This Row],[DATA DE VENCIMENTO]],"M"))</f>
        <v/>
      </c>
      <c r="AH894" s="526" t="str">
        <f>IF(LANÇ_MOV[[#This Row],[DATA DE VENCIMENTO]]="","",TEXT(LANÇ_MOV[[#This Row],[DATA DE VENCIMENTO]],"D"))</f>
        <v/>
      </c>
      <c r="AI894" s="526" t="str">
        <f>IF(LANÇ_MOV[[#This Row],[DATA DE PAGAMENTO]]="","",TEXT(LANÇ_MOV[[#This Row],[DATA DE PAGAMENTO]],"AAAA"))</f>
        <v/>
      </c>
      <c r="AJ894" s="527" t="str">
        <f>IF(LANÇ_MOV[[#This Row],[DATA DE PAGAMENTO]]="","",UPPER(TEXT(LANÇ_MOV[[#This Row],[DATA DE PAGAMENTO]],"MMMM")))</f>
        <v/>
      </c>
      <c r="AK894" s="527" t="str">
        <f>IF(LANÇ_MOV[[#This Row],[DATA DE PAGAMENTO]]="","",TEXT(LANÇ_MOV[[#This Row],[DATA DE PAGAMENTO]],"M"))</f>
        <v/>
      </c>
      <c r="AL894" s="526" t="str">
        <f>IF(LANÇ_MOV[[#This Row],[DATA DE PAGAMENTO]]="","",TEXT(LANÇ_MOV[[#This Row],[DATA DE PAGAMENTO]],"D"))</f>
        <v/>
      </c>
    </row>
    <row r="895" spans="2:38" ht="30.05" customHeight="1" x14ac:dyDescent="0.35">
      <c r="B895" s="506"/>
      <c r="C895" s="507"/>
      <c r="D895" s="508" t="s">
        <v>1854</v>
      </c>
      <c r="E895" s="509"/>
      <c r="F895" s="510"/>
      <c r="G895" s="507"/>
      <c r="H895" s="511"/>
      <c r="I895" s="512"/>
      <c r="J895" s="518"/>
      <c r="K895" s="510"/>
      <c r="L895" s="510"/>
      <c r="M895" s="548"/>
      <c r="N895" s="514">
        <f>LANÇ_MOV[[#This Row],[VALOR BRUTO]]-LANÇ_MOV[[#This Row],[DESCONTO]]+LANÇ_MOV[[#This Row],[JUROS]]+LANÇ_MOV[[#This Row],[MULTA]]</f>
        <v>0</v>
      </c>
      <c r="O895" s="546"/>
      <c r="P895" s="547" t="str">
        <f t="shared" ca="1" si="14"/>
        <v/>
      </c>
      <c r="Q895" s="528"/>
      <c r="R895" s="529"/>
      <c r="S895" s="518"/>
      <c r="T895" s="518"/>
      <c r="U895" s="519"/>
      <c r="V895" s="520" t="str">
        <f>IFERROR(VLOOKUP(LANÇ_MOV[[#This Row],[PLANO DE CONTAS]],Plano_Contas[[PLANO DE CONTAS]:[R / D]],3,0),"")</f>
        <v/>
      </c>
      <c r="W895" s="521" t="str">
        <f>IF(LANÇ_MOV[[#This Row],[DATA DE PAGAMENTO]]&lt;&gt;"","Pago","Não Pago")</f>
        <v>Não Pago</v>
      </c>
      <c r="X895" s="522" t="str">
        <f>IFERROR(IF(LANÇ_MOV[[#This Row],[DATA DE PAGAMENTO]]="","",(UPPER(TEXT(LANÇ_MOV[[#This Row],[DATA DE PAGAMENTO]],"mmmm")))),"")</f>
        <v/>
      </c>
      <c r="Y895" s="523" t="str">
        <f>IFERROR(VLOOKUP(LANÇ_MOV[[#This Row],[PLANO DE CONTAS]],Plano_Contas[[PLANO DE CONTAS]:[NOMES INTERVALOS]],2,0),"")</f>
        <v/>
      </c>
      <c r="Z895" s="523" t="str">
        <f>IF(LANÇ_MOV[[#This Row],[FORMA DE PAGAMENTO]]="","",VLOOKUP(LANÇ_MOV[[#This Row],[FORMA DE PAGAMENTO]],CAD_Forma_pagto[],2,0))</f>
        <v/>
      </c>
      <c r="AA895" s="524" t="str">
        <f>IF(LANÇ_MOV[[#This Row],[DATA DE LANÇAMENTO]]="","",TEXT(LANÇ_MOV[[#This Row],[DATA DE LANÇAMENTO]],"AAAA"))</f>
        <v/>
      </c>
      <c r="AB895" s="524" t="str">
        <f>IF(LANÇ_MOV[[#This Row],[DATA DE LANÇAMENTO]]="","",UPPER(TEXT(LANÇ_MOV[[#This Row],[DATA DE LANÇAMENTO]],"MMMM")))</f>
        <v/>
      </c>
      <c r="AC895" s="525" t="str">
        <f>IF(LANÇ_MOV[[#This Row],[DATA DE LANÇAMENTO]]="","",PROPER(TEXT(LANÇ_MOV[[#This Row],[DATA DE LANÇAMENTO]],"M")))</f>
        <v/>
      </c>
      <c r="AD895" s="524" t="str">
        <f>IF(LANÇ_MOV[[#This Row],[DATA DE LANÇAMENTO]]="","",TEXT(LANÇ_MOV[[#This Row],[DATA DE LANÇAMENTO]],"D"))</f>
        <v/>
      </c>
      <c r="AE895" s="526" t="str">
        <f>IF(LANÇ_MOV[[#This Row],[DATA DE VENCIMENTO]]="","",TEXT(LANÇ_MOV[[#This Row],[DATA DE VENCIMENTO]],"AAAA"))</f>
        <v/>
      </c>
      <c r="AF895" s="526" t="str">
        <f>IF(LANÇ_MOV[[#This Row],[DATA DE VENCIMENTO]]="","",UPPER(TEXT(LANÇ_MOV[[#This Row],[DATA DE VENCIMENTO]],"MMMM")))</f>
        <v/>
      </c>
      <c r="AG895" s="526" t="str">
        <f>IF(LANÇ_MOV[[#This Row],[DATA DE VENCIMENTO]]="","",TEXT(LANÇ_MOV[[#This Row],[DATA DE VENCIMENTO]],"M"))</f>
        <v/>
      </c>
      <c r="AH895" s="526" t="str">
        <f>IF(LANÇ_MOV[[#This Row],[DATA DE VENCIMENTO]]="","",TEXT(LANÇ_MOV[[#This Row],[DATA DE VENCIMENTO]],"D"))</f>
        <v/>
      </c>
      <c r="AI895" s="526" t="str">
        <f>IF(LANÇ_MOV[[#This Row],[DATA DE PAGAMENTO]]="","",TEXT(LANÇ_MOV[[#This Row],[DATA DE PAGAMENTO]],"AAAA"))</f>
        <v/>
      </c>
      <c r="AJ895" s="527" t="str">
        <f>IF(LANÇ_MOV[[#This Row],[DATA DE PAGAMENTO]]="","",UPPER(TEXT(LANÇ_MOV[[#This Row],[DATA DE PAGAMENTO]],"MMMM")))</f>
        <v/>
      </c>
      <c r="AK895" s="527" t="str">
        <f>IF(LANÇ_MOV[[#This Row],[DATA DE PAGAMENTO]]="","",TEXT(LANÇ_MOV[[#This Row],[DATA DE PAGAMENTO]],"M"))</f>
        <v/>
      </c>
      <c r="AL895" s="526" t="str">
        <f>IF(LANÇ_MOV[[#This Row],[DATA DE PAGAMENTO]]="","",TEXT(LANÇ_MOV[[#This Row],[DATA DE PAGAMENTO]],"D"))</f>
        <v/>
      </c>
    </row>
    <row r="896" spans="2:38" ht="30.05" customHeight="1" x14ac:dyDescent="0.35">
      <c r="B896" s="506"/>
      <c r="C896" s="507"/>
      <c r="D896" s="508" t="s">
        <v>1854</v>
      </c>
      <c r="E896" s="509"/>
      <c r="F896" s="510"/>
      <c r="G896" s="507"/>
      <c r="H896" s="511"/>
      <c r="I896" s="512"/>
      <c r="J896" s="518"/>
      <c r="K896" s="510"/>
      <c r="L896" s="510"/>
      <c r="M896" s="548"/>
      <c r="N896" s="514">
        <f>LANÇ_MOV[[#This Row],[VALOR BRUTO]]-LANÇ_MOV[[#This Row],[DESCONTO]]+LANÇ_MOV[[#This Row],[JUROS]]+LANÇ_MOV[[#This Row],[MULTA]]</f>
        <v>0</v>
      </c>
      <c r="O896" s="546"/>
      <c r="P896" s="547" t="str">
        <f t="shared" ca="1" si="14"/>
        <v/>
      </c>
      <c r="Q896" s="528"/>
      <c r="R896" s="529"/>
      <c r="S896" s="518"/>
      <c r="T896" s="518"/>
      <c r="U896" s="519"/>
      <c r="V896" s="520" t="str">
        <f>IFERROR(VLOOKUP(LANÇ_MOV[[#This Row],[PLANO DE CONTAS]],Plano_Contas[[PLANO DE CONTAS]:[R / D]],3,0),"")</f>
        <v/>
      </c>
      <c r="W896" s="521" t="str">
        <f>IF(LANÇ_MOV[[#This Row],[DATA DE PAGAMENTO]]&lt;&gt;"","Pago","Não Pago")</f>
        <v>Não Pago</v>
      </c>
      <c r="X896" s="522" t="str">
        <f>IFERROR(IF(LANÇ_MOV[[#This Row],[DATA DE PAGAMENTO]]="","",(UPPER(TEXT(LANÇ_MOV[[#This Row],[DATA DE PAGAMENTO]],"mmmm")))),"")</f>
        <v/>
      </c>
      <c r="Y896" s="523" t="str">
        <f>IFERROR(VLOOKUP(LANÇ_MOV[[#This Row],[PLANO DE CONTAS]],Plano_Contas[[PLANO DE CONTAS]:[NOMES INTERVALOS]],2,0),"")</f>
        <v/>
      </c>
      <c r="Z896" s="523" t="str">
        <f>IF(LANÇ_MOV[[#This Row],[FORMA DE PAGAMENTO]]="","",VLOOKUP(LANÇ_MOV[[#This Row],[FORMA DE PAGAMENTO]],CAD_Forma_pagto[],2,0))</f>
        <v/>
      </c>
      <c r="AA896" s="524" t="str">
        <f>IF(LANÇ_MOV[[#This Row],[DATA DE LANÇAMENTO]]="","",TEXT(LANÇ_MOV[[#This Row],[DATA DE LANÇAMENTO]],"AAAA"))</f>
        <v/>
      </c>
      <c r="AB896" s="524" t="str">
        <f>IF(LANÇ_MOV[[#This Row],[DATA DE LANÇAMENTO]]="","",UPPER(TEXT(LANÇ_MOV[[#This Row],[DATA DE LANÇAMENTO]],"MMMM")))</f>
        <v/>
      </c>
      <c r="AC896" s="525" t="str">
        <f>IF(LANÇ_MOV[[#This Row],[DATA DE LANÇAMENTO]]="","",PROPER(TEXT(LANÇ_MOV[[#This Row],[DATA DE LANÇAMENTO]],"M")))</f>
        <v/>
      </c>
      <c r="AD896" s="524" t="str">
        <f>IF(LANÇ_MOV[[#This Row],[DATA DE LANÇAMENTO]]="","",TEXT(LANÇ_MOV[[#This Row],[DATA DE LANÇAMENTO]],"D"))</f>
        <v/>
      </c>
      <c r="AE896" s="526" t="str">
        <f>IF(LANÇ_MOV[[#This Row],[DATA DE VENCIMENTO]]="","",TEXT(LANÇ_MOV[[#This Row],[DATA DE VENCIMENTO]],"AAAA"))</f>
        <v/>
      </c>
      <c r="AF896" s="526" t="str">
        <f>IF(LANÇ_MOV[[#This Row],[DATA DE VENCIMENTO]]="","",UPPER(TEXT(LANÇ_MOV[[#This Row],[DATA DE VENCIMENTO]],"MMMM")))</f>
        <v/>
      </c>
      <c r="AG896" s="526" t="str">
        <f>IF(LANÇ_MOV[[#This Row],[DATA DE VENCIMENTO]]="","",TEXT(LANÇ_MOV[[#This Row],[DATA DE VENCIMENTO]],"M"))</f>
        <v/>
      </c>
      <c r="AH896" s="526" t="str">
        <f>IF(LANÇ_MOV[[#This Row],[DATA DE VENCIMENTO]]="","",TEXT(LANÇ_MOV[[#This Row],[DATA DE VENCIMENTO]],"D"))</f>
        <v/>
      </c>
      <c r="AI896" s="526" t="str">
        <f>IF(LANÇ_MOV[[#This Row],[DATA DE PAGAMENTO]]="","",TEXT(LANÇ_MOV[[#This Row],[DATA DE PAGAMENTO]],"AAAA"))</f>
        <v/>
      </c>
      <c r="AJ896" s="527" t="str">
        <f>IF(LANÇ_MOV[[#This Row],[DATA DE PAGAMENTO]]="","",UPPER(TEXT(LANÇ_MOV[[#This Row],[DATA DE PAGAMENTO]],"MMMM")))</f>
        <v/>
      </c>
      <c r="AK896" s="527" t="str">
        <f>IF(LANÇ_MOV[[#This Row],[DATA DE PAGAMENTO]]="","",TEXT(LANÇ_MOV[[#This Row],[DATA DE PAGAMENTO]],"M"))</f>
        <v/>
      </c>
      <c r="AL896" s="526" t="str">
        <f>IF(LANÇ_MOV[[#This Row],[DATA DE PAGAMENTO]]="","",TEXT(LANÇ_MOV[[#This Row],[DATA DE PAGAMENTO]],"D"))</f>
        <v/>
      </c>
    </row>
    <row r="897" spans="2:38" ht="30.05" customHeight="1" x14ac:dyDescent="0.35">
      <c r="B897" s="506"/>
      <c r="C897" s="507"/>
      <c r="D897" s="508" t="s">
        <v>1854</v>
      </c>
      <c r="E897" s="509"/>
      <c r="F897" s="510"/>
      <c r="G897" s="507"/>
      <c r="H897" s="511"/>
      <c r="I897" s="512"/>
      <c r="J897" s="518"/>
      <c r="K897" s="510"/>
      <c r="L897" s="510"/>
      <c r="M897" s="548"/>
      <c r="N897" s="514">
        <f>LANÇ_MOV[[#This Row],[VALOR BRUTO]]-LANÇ_MOV[[#This Row],[DESCONTO]]+LANÇ_MOV[[#This Row],[JUROS]]+LANÇ_MOV[[#This Row],[MULTA]]</f>
        <v>0</v>
      </c>
      <c r="O897" s="546"/>
      <c r="P897" s="547" t="str">
        <f t="shared" ca="1" si="14"/>
        <v/>
      </c>
      <c r="Q897" s="528"/>
      <c r="R897" s="529"/>
      <c r="S897" s="518"/>
      <c r="T897" s="518"/>
      <c r="U897" s="519"/>
      <c r="V897" s="520" t="str">
        <f>IFERROR(VLOOKUP(LANÇ_MOV[[#This Row],[PLANO DE CONTAS]],Plano_Contas[[PLANO DE CONTAS]:[R / D]],3,0),"")</f>
        <v/>
      </c>
      <c r="W897" s="521" t="str">
        <f>IF(LANÇ_MOV[[#This Row],[DATA DE PAGAMENTO]]&lt;&gt;"","Pago","Não Pago")</f>
        <v>Não Pago</v>
      </c>
      <c r="X897" s="522" t="str">
        <f>IFERROR(IF(LANÇ_MOV[[#This Row],[DATA DE PAGAMENTO]]="","",(UPPER(TEXT(LANÇ_MOV[[#This Row],[DATA DE PAGAMENTO]],"mmmm")))),"")</f>
        <v/>
      </c>
      <c r="Y897" s="523" t="str">
        <f>IFERROR(VLOOKUP(LANÇ_MOV[[#This Row],[PLANO DE CONTAS]],Plano_Contas[[PLANO DE CONTAS]:[NOMES INTERVALOS]],2,0),"")</f>
        <v/>
      </c>
      <c r="Z897" s="523" t="str">
        <f>IF(LANÇ_MOV[[#This Row],[FORMA DE PAGAMENTO]]="","",VLOOKUP(LANÇ_MOV[[#This Row],[FORMA DE PAGAMENTO]],CAD_Forma_pagto[],2,0))</f>
        <v/>
      </c>
      <c r="AA897" s="524" t="str">
        <f>IF(LANÇ_MOV[[#This Row],[DATA DE LANÇAMENTO]]="","",TEXT(LANÇ_MOV[[#This Row],[DATA DE LANÇAMENTO]],"AAAA"))</f>
        <v/>
      </c>
      <c r="AB897" s="524" t="str">
        <f>IF(LANÇ_MOV[[#This Row],[DATA DE LANÇAMENTO]]="","",UPPER(TEXT(LANÇ_MOV[[#This Row],[DATA DE LANÇAMENTO]],"MMMM")))</f>
        <v/>
      </c>
      <c r="AC897" s="525" t="str">
        <f>IF(LANÇ_MOV[[#This Row],[DATA DE LANÇAMENTO]]="","",PROPER(TEXT(LANÇ_MOV[[#This Row],[DATA DE LANÇAMENTO]],"M")))</f>
        <v/>
      </c>
      <c r="AD897" s="524" t="str">
        <f>IF(LANÇ_MOV[[#This Row],[DATA DE LANÇAMENTO]]="","",TEXT(LANÇ_MOV[[#This Row],[DATA DE LANÇAMENTO]],"D"))</f>
        <v/>
      </c>
      <c r="AE897" s="526" t="str">
        <f>IF(LANÇ_MOV[[#This Row],[DATA DE VENCIMENTO]]="","",TEXT(LANÇ_MOV[[#This Row],[DATA DE VENCIMENTO]],"AAAA"))</f>
        <v/>
      </c>
      <c r="AF897" s="526" t="str">
        <f>IF(LANÇ_MOV[[#This Row],[DATA DE VENCIMENTO]]="","",UPPER(TEXT(LANÇ_MOV[[#This Row],[DATA DE VENCIMENTO]],"MMMM")))</f>
        <v/>
      </c>
      <c r="AG897" s="526" t="str">
        <f>IF(LANÇ_MOV[[#This Row],[DATA DE VENCIMENTO]]="","",TEXT(LANÇ_MOV[[#This Row],[DATA DE VENCIMENTO]],"M"))</f>
        <v/>
      </c>
      <c r="AH897" s="526" t="str">
        <f>IF(LANÇ_MOV[[#This Row],[DATA DE VENCIMENTO]]="","",TEXT(LANÇ_MOV[[#This Row],[DATA DE VENCIMENTO]],"D"))</f>
        <v/>
      </c>
      <c r="AI897" s="526" t="str">
        <f>IF(LANÇ_MOV[[#This Row],[DATA DE PAGAMENTO]]="","",TEXT(LANÇ_MOV[[#This Row],[DATA DE PAGAMENTO]],"AAAA"))</f>
        <v/>
      </c>
      <c r="AJ897" s="527" t="str">
        <f>IF(LANÇ_MOV[[#This Row],[DATA DE PAGAMENTO]]="","",UPPER(TEXT(LANÇ_MOV[[#This Row],[DATA DE PAGAMENTO]],"MMMM")))</f>
        <v/>
      </c>
      <c r="AK897" s="527" t="str">
        <f>IF(LANÇ_MOV[[#This Row],[DATA DE PAGAMENTO]]="","",TEXT(LANÇ_MOV[[#This Row],[DATA DE PAGAMENTO]],"M"))</f>
        <v/>
      </c>
      <c r="AL897" s="526" t="str">
        <f>IF(LANÇ_MOV[[#This Row],[DATA DE PAGAMENTO]]="","",TEXT(LANÇ_MOV[[#This Row],[DATA DE PAGAMENTO]],"D"))</f>
        <v/>
      </c>
    </row>
    <row r="898" spans="2:38" ht="30.05" customHeight="1" x14ac:dyDescent="0.35">
      <c r="B898" s="506"/>
      <c r="C898" s="507"/>
      <c r="D898" s="508" t="s">
        <v>1854</v>
      </c>
      <c r="E898" s="509"/>
      <c r="F898" s="510"/>
      <c r="G898" s="507"/>
      <c r="H898" s="511"/>
      <c r="I898" s="512"/>
      <c r="J898" s="518"/>
      <c r="K898" s="510"/>
      <c r="L898" s="510"/>
      <c r="M898" s="548"/>
      <c r="N898" s="514">
        <f>LANÇ_MOV[[#This Row],[VALOR BRUTO]]-LANÇ_MOV[[#This Row],[DESCONTO]]+LANÇ_MOV[[#This Row],[JUROS]]+LANÇ_MOV[[#This Row],[MULTA]]</f>
        <v>0</v>
      </c>
      <c r="O898" s="546"/>
      <c r="P898" s="547" t="str">
        <f t="shared" ca="1" si="14"/>
        <v/>
      </c>
      <c r="Q898" s="528"/>
      <c r="R898" s="529"/>
      <c r="S898" s="518"/>
      <c r="T898" s="518"/>
      <c r="U898" s="519"/>
      <c r="V898" s="520" t="str">
        <f>IFERROR(VLOOKUP(LANÇ_MOV[[#This Row],[PLANO DE CONTAS]],Plano_Contas[[PLANO DE CONTAS]:[R / D]],3,0),"")</f>
        <v/>
      </c>
      <c r="W898" s="521" t="str">
        <f>IF(LANÇ_MOV[[#This Row],[DATA DE PAGAMENTO]]&lt;&gt;"","Pago","Não Pago")</f>
        <v>Não Pago</v>
      </c>
      <c r="X898" s="522" t="str">
        <f>IFERROR(IF(LANÇ_MOV[[#This Row],[DATA DE PAGAMENTO]]="","",(UPPER(TEXT(LANÇ_MOV[[#This Row],[DATA DE PAGAMENTO]],"mmmm")))),"")</f>
        <v/>
      </c>
      <c r="Y898" s="523" t="str">
        <f>IFERROR(VLOOKUP(LANÇ_MOV[[#This Row],[PLANO DE CONTAS]],Plano_Contas[[PLANO DE CONTAS]:[NOMES INTERVALOS]],2,0),"")</f>
        <v/>
      </c>
      <c r="Z898" s="523" t="str">
        <f>IF(LANÇ_MOV[[#This Row],[FORMA DE PAGAMENTO]]="","",VLOOKUP(LANÇ_MOV[[#This Row],[FORMA DE PAGAMENTO]],CAD_Forma_pagto[],2,0))</f>
        <v/>
      </c>
      <c r="AA898" s="524" t="str">
        <f>IF(LANÇ_MOV[[#This Row],[DATA DE LANÇAMENTO]]="","",TEXT(LANÇ_MOV[[#This Row],[DATA DE LANÇAMENTO]],"AAAA"))</f>
        <v/>
      </c>
      <c r="AB898" s="524" t="str">
        <f>IF(LANÇ_MOV[[#This Row],[DATA DE LANÇAMENTO]]="","",UPPER(TEXT(LANÇ_MOV[[#This Row],[DATA DE LANÇAMENTO]],"MMMM")))</f>
        <v/>
      </c>
      <c r="AC898" s="525" t="str">
        <f>IF(LANÇ_MOV[[#This Row],[DATA DE LANÇAMENTO]]="","",PROPER(TEXT(LANÇ_MOV[[#This Row],[DATA DE LANÇAMENTO]],"M")))</f>
        <v/>
      </c>
      <c r="AD898" s="524" t="str">
        <f>IF(LANÇ_MOV[[#This Row],[DATA DE LANÇAMENTO]]="","",TEXT(LANÇ_MOV[[#This Row],[DATA DE LANÇAMENTO]],"D"))</f>
        <v/>
      </c>
      <c r="AE898" s="526" t="str">
        <f>IF(LANÇ_MOV[[#This Row],[DATA DE VENCIMENTO]]="","",TEXT(LANÇ_MOV[[#This Row],[DATA DE VENCIMENTO]],"AAAA"))</f>
        <v/>
      </c>
      <c r="AF898" s="526" t="str">
        <f>IF(LANÇ_MOV[[#This Row],[DATA DE VENCIMENTO]]="","",UPPER(TEXT(LANÇ_MOV[[#This Row],[DATA DE VENCIMENTO]],"MMMM")))</f>
        <v/>
      </c>
      <c r="AG898" s="526" t="str">
        <f>IF(LANÇ_MOV[[#This Row],[DATA DE VENCIMENTO]]="","",TEXT(LANÇ_MOV[[#This Row],[DATA DE VENCIMENTO]],"M"))</f>
        <v/>
      </c>
      <c r="AH898" s="526" t="str">
        <f>IF(LANÇ_MOV[[#This Row],[DATA DE VENCIMENTO]]="","",TEXT(LANÇ_MOV[[#This Row],[DATA DE VENCIMENTO]],"D"))</f>
        <v/>
      </c>
      <c r="AI898" s="526" t="str">
        <f>IF(LANÇ_MOV[[#This Row],[DATA DE PAGAMENTO]]="","",TEXT(LANÇ_MOV[[#This Row],[DATA DE PAGAMENTO]],"AAAA"))</f>
        <v/>
      </c>
      <c r="AJ898" s="527" t="str">
        <f>IF(LANÇ_MOV[[#This Row],[DATA DE PAGAMENTO]]="","",UPPER(TEXT(LANÇ_MOV[[#This Row],[DATA DE PAGAMENTO]],"MMMM")))</f>
        <v/>
      </c>
      <c r="AK898" s="527" t="str">
        <f>IF(LANÇ_MOV[[#This Row],[DATA DE PAGAMENTO]]="","",TEXT(LANÇ_MOV[[#This Row],[DATA DE PAGAMENTO]],"M"))</f>
        <v/>
      </c>
      <c r="AL898" s="526" t="str">
        <f>IF(LANÇ_MOV[[#This Row],[DATA DE PAGAMENTO]]="","",TEXT(LANÇ_MOV[[#This Row],[DATA DE PAGAMENTO]],"D"))</f>
        <v/>
      </c>
    </row>
    <row r="899" spans="2:38" ht="30.05" customHeight="1" x14ac:dyDescent="0.35">
      <c r="B899" s="506"/>
      <c r="C899" s="507"/>
      <c r="D899" s="508" t="s">
        <v>1854</v>
      </c>
      <c r="E899" s="509"/>
      <c r="F899" s="510"/>
      <c r="G899" s="507"/>
      <c r="H899" s="511"/>
      <c r="I899" s="512"/>
      <c r="J899" s="518"/>
      <c r="K899" s="510"/>
      <c r="L899" s="510"/>
      <c r="M899" s="548"/>
      <c r="N899" s="514">
        <f>LANÇ_MOV[[#This Row],[VALOR BRUTO]]-LANÇ_MOV[[#This Row],[DESCONTO]]+LANÇ_MOV[[#This Row],[JUROS]]+LANÇ_MOV[[#This Row],[MULTA]]</f>
        <v>0</v>
      </c>
      <c r="O899" s="546"/>
      <c r="P899" s="547" t="str">
        <f t="shared" ca="1" si="14"/>
        <v/>
      </c>
      <c r="Q899" s="528"/>
      <c r="R899" s="529"/>
      <c r="S899" s="518"/>
      <c r="T899" s="518"/>
      <c r="U899" s="519"/>
      <c r="V899" s="520" t="str">
        <f>IFERROR(VLOOKUP(LANÇ_MOV[[#This Row],[PLANO DE CONTAS]],Plano_Contas[[PLANO DE CONTAS]:[R / D]],3,0),"")</f>
        <v/>
      </c>
      <c r="W899" s="521" t="str">
        <f>IF(LANÇ_MOV[[#This Row],[DATA DE PAGAMENTO]]&lt;&gt;"","Pago","Não Pago")</f>
        <v>Não Pago</v>
      </c>
      <c r="X899" s="522" t="str">
        <f>IFERROR(IF(LANÇ_MOV[[#This Row],[DATA DE PAGAMENTO]]="","",(UPPER(TEXT(LANÇ_MOV[[#This Row],[DATA DE PAGAMENTO]],"mmmm")))),"")</f>
        <v/>
      </c>
      <c r="Y899" s="523" t="str">
        <f>IFERROR(VLOOKUP(LANÇ_MOV[[#This Row],[PLANO DE CONTAS]],Plano_Contas[[PLANO DE CONTAS]:[NOMES INTERVALOS]],2,0),"")</f>
        <v/>
      </c>
      <c r="Z899" s="523" t="str">
        <f>IF(LANÇ_MOV[[#This Row],[FORMA DE PAGAMENTO]]="","",VLOOKUP(LANÇ_MOV[[#This Row],[FORMA DE PAGAMENTO]],CAD_Forma_pagto[],2,0))</f>
        <v/>
      </c>
      <c r="AA899" s="524" t="str">
        <f>IF(LANÇ_MOV[[#This Row],[DATA DE LANÇAMENTO]]="","",TEXT(LANÇ_MOV[[#This Row],[DATA DE LANÇAMENTO]],"AAAA"))</f>
        <v/>
      </c>
      <c r="AB899" s="524" t="str">
        <f>IF(LANÇ_MOV[[#This Row],[DATA DE LANÇAMENTO]]="","",UPPER(TEXT(LANÇ_MOV[[#This Row],[DATA DE LANÇAMENTO]],"MMMM")))</f>
        <v/>
      </c>
      <c r="AC899" s="525" t="str">
        <f>IF(LANÇ_MOV[[#This Row],[DATA DE LANÇAMENTO]]="","",PROPER(TEXT(LANÇ_MOV[[#This Row],[DATA DE LANÇAMENTO]],"M")))</f>
        <v/>
      </c>
      <c r="AD899" s="524" t="str">
        <f>IF(LANÇ_MOV[[#This Row],[DATA DE LANÇAMENTO]]="","",TEXT(LANÇ_MOV[[#This Row],[DATA DE LANÇAMENTO]],"D"))</f>
        <v/>
      </c>
      <c r="AE899" s="526" t="str">
        <f>IF(LANÇ_MOV[[#This Row],[DATA DE VENCIMENTO]]="","",TEXT(LANÇ_MOV[[#This Row],[DATA DE VENCIMENTO]],"AAAA"))</f>
        <v/>
      </c>
      <c r="AF899" s="526" t="str">
        <f>IF(LANÇ_MOV[[#This Row],[DATA DE VENCIMENTO]]="","",UPPER(TEXT(LANÇ_MOV[[#This Row],[DATA DE VENCIMENTO]],"MMMM")))</f>
        <v/>
      </c>
      <c r="AG899" s="526" t="str">
        <f>IF(LANÇ_MOV[[#This Row],[DATA DE VENCIMENTO]]="","",TEXT(LANÇ_MOV[[#This Row],[DATA DE VENCIMENTO]],"M"))</f>
        <v/>
      </c>
      <c r="AH899" s="526" t="str">
        <f>IF(LANÇ_MOV[[#This Row],[DATA DE VENCIMENTO]]="","",TEXT(LANÇ_MOV[[#This Row],[DATA DE VENCIMENTO]],"D"))</f>
        <v/>
      </c>
      <c r="AI899" s="526" t="str">
        <f>IF(LANÇ_MOV[[#This Row],[DATA DE PAGAMENTO]]="","",TEXT(LANÇ_MOV[[#This Row],[DATA DE PAGAMENTO]],"AAAA"))</f>
        <v/>
      </c>
      <c r="AJ899" s="527" t="str">
        <f>IF(LANÇ_MOV[[#This Row],[DATA DE PAGAMENTO]]="","",UPPER(TEXT(LANÇ_MOV[[#This Row],[DATA DE PAGAMENTO]],"MMMM")))</f>
        <v/>
      </c>
      <c r="AK899" s="527" t="str">
        <f>IF(LANÇ_MOV[[#This Row],[DATA DE PAGAMENTO]]="","",TEXT(LANÇ_MOV[[#This Row],[DATA DE PAGAMENTO]],"M"))</f>
        <v/>
      </c>
      <c r="AL899" s="526" t="str">
        <f>IF(LANÇ_MOV[[#This Row],[DATA DE PAGAMENTO]]="","",TEXT(LANÇ_MOV[[#This Row],[DATA DE PAGAMENTO]],"D"))</f>
        <v/>
      </c>
    </row>
    <row r="900" spans="2:38" ht="30.05" customHeight="1" x14ac:dyDescent="0.35">
      <c r="B900" s="506"/>
      <c r="C900" s="507"/>
      <c r="D900" s="508" t="s">
        <v>1854</v>
      </c>
      <c r="E900" s="509"/>
      <c r="F900" s="510"/>
      <c r="G900" s="507"/>
      <c r="H900" s="511"/>
      <c r="I900" s="512"/>
      <c r="J900" s="518"/>
      <c r="K900" s="510"/>
      <c r="L900" s="510"/>
      <c r="M900" s="548"/>
      <c r="N900" s="514">
        <f>LANÇ_MOV[[#This Row],[VALOR BRUTO]]-LANÇ_MOV[[#This Row],[DESCONTO]]+LANÇ_MOV[[#This Row],[JUROS]]+LANÇ_MOV[[#This Row],[MULTA]]</f>
        <v>0</v>
      </c>
      <c r="O900" s="546"/>
      <c r="P900" s="547" t="str">
        <f t="shared" ca="1" si="14"/>
        <v/>
      </c>
      <c r="Q900" s="528"/>
      <c r="R900" s="529"/>
      <c r="S900" s="518"/>
      <c r="T900" s="518"/>
      <c r="U900" s="519"/>
      <c r="V900" s="520" t="str">
        <f>IFERROR(VLOOKUP(LANÇ_MOV[[#This Row],[PLANO DE CONTAS]],Plano_Contas[[PLANO DE CONTAS]:[R / D]],3,0),"")</f>
        <v/>
      </c>
      <c r="W900" s="521" t="str">
        <f>IF(LANÇ_MOV[[#This Row],[DATA DE PAGAMENTO]]&lt;&gt;"","Pago","Não Pago")</f>
        <v>Não Pago</v>
      </c>
      <c r="X900" s="522" t="str">
        <f>IFERROR(IF(LANÇ_MOV[[#This Row],[DATA DE PAGAMENTO]]="","",(UPPER(TEXT(LANÇ_MOV[[#This Row],[DATA DE PAGAMENTO]],"mmmm")))),"")</f>
        <v/>
      </c>
      <c r="Y900" s="523" t="str">
        <f>IFERROR(VLOOKUP(LANÇ_MOV[[#This Row],[PLANO DE CONTAS]],Plano_Contas[[PLANO DE CONTAS]:[NOMES INTERVALOS]],2,0),"")</f>
        <v/>
      </c>
      <c r="Z900" s="523" t="str">
        <f>IF(LANÇ_MOV[[#This Row],[FORMA DE PAGAMENTO]]="","",VLOOKUP(LANÇ_MOV[[#This Row],[FORMA DE PAGAMENTO]],CAD_Forma_pagto[],2,0))</f>
        <v/>
      </c>
      <c r="AA900" s="524" t="str">
        <f>IF(LANÇ_MOV[[#This Row],[DATA DE LANÇAMENTO]]="","",TEXT(LANÇ_MOV[[#This Row],[DATA DE LANÇAMENTO]],"AAAA"))</f>
        <v/>
      </c>
      <c r="AB900" s="524" t="str">
        <f>IF(LANÇ_MOV[[#This Row],[DATA DE LANÇAMENTO]]="","",UPPER(TEXT(LANÇ_MOV[[#This Row],[DATA DE LANÇAMENTO]],"MMMM")))</f>
        <v/>
      </c>
      <c r="AC900" s="525" t="str">
        <f>IF(LANÇ_MOV[[#This Row],[DATA DE LANÇAMENTO]]="","",PROPER(TEXT(LANÇ_MOV[[#This Row],[DATA DE LANÇAMENTO]],"M")))</f>
        <v/>
      </c>
      <c r="AD900" s="524" t="str">
        <f>IF(LANÇ_MOV[[#This Row],[DATA DE LANÇAMENTO]]="","",TEXT(LANÇ_MOV[[#This Row],[DATA DE LANÇAMENTO]],"D"))</f>
        <v/>
      </c>
      <c r="AE900" s="526" t="str">
        <f>IF(LANÇ_MOV[[#This Row],[DATA DE VENCIMENTO]]="","",TEXT(LANÇ_MOV[[#This Row],[DATA DE VENCIMENTO]],"AAAA"))</f>
        <v/>
      </c>
      <c r="AF900" s="526" t="str">
        <f>IF(LANÇ_MOV[[#This Row],[DATA DE VENCIMENTO]]="","",UPPER(TEXT(LANÇ_MOV[[#This Row],[DATA DE VENCIMENTO]],"MMMM")))</f>
        <v/>
      </c>
      <c r="AG900" s="526" t="str">
        <f>IF(LANÇ_MOV[[#This Row],[DATA DE VENCIMENTO]]="","",TEXT(LANÇ_MOV[[#This Row],[DATA DE VENCIMENTO]],"M"))</f>
        <v/>
      </c>
      <c r="AH900" s="526" t="str">
        <f>IF(LANÇ_MOV[[#This Row],[DATA DE VENCIMENTO]]="","",TEXT(LANÇ_MOV[[#This Row],[DATA DE VENCIMENTO]],"D"))</f>
        <v/>
      </c>
      <c r="AI900" s="526" t="str">
        <f>IF(LANÇ_MOV[[#This Row],[DATA DE PAGAMENTO]]="","",TEXT(LANÇ_MOV[[#This Row],[DATA DE PAGAMENTO]],"AAAA"))</f>
        <v/>
      </c>
      <c r="AJ900" s="527" t="str">
        <f>IF(LANÇ_MOV[[#This Row],[DATA DE PAGAMENTO]]="","",UPPER(TEXT(LANÇ_MOV[[#This Row],[DATA DE PAGAMENTO]],"MMMM")))</f>
        <v/>
      </c>
      <c r="AK900" s="527" t="str">
        <f>IF(LANÇ_MOV[[#This Row],[DATA DE PAGAMENTO]]="","",TEXT(LANÇ_MOV[[#This Row],[DATA DE PAGAMENTO]],"M"))</f>
        <v/>
      </c>
      <c r="AL900" s="526" t="str">
        <f>IF(LANÇ_MOV[[#This Row],[DATA DE PAGAMENTO]]="","",TEXT(LANÇ_MOV[[#This Row],[DATA DE PAGAMENTO]],"D"))</f>
        <v/>
      </c>
    </row>
    <row r="901" spans="2:38" ht="30.05" customHeight="1" x14ac:dyDescent="0.35">
      <c r="B901" s="506"/>
      <c r="C901" s="507"/>
      <c r="D901" s="508" t="s">
        <v>1854</v>
      </c>
      <c r="E901" s="509"/>
      <c r="F901" s="510"/>
      <c r="G901" s="507"/>
      <c r="H901" s="511"/>
      <c r="I901" s="512"/>
      <c r="J901" s="518"/>
      <c r="K901" s="510"/>
      <c r="L901" s="510"/>
      <c r="M901" s="548"/>
      <c r="N901" s="514">
        <f>LANÇ_MOV[[#This Row],[VALOR BRUTO]]-LANÇ_MOV[[#This Row],[DESCONTO]]+LANÇ_MOV[[#This Row],[JUROS]]+LANÇ_MOV[[#This Row],[MULTA]]</f>
        <v>0</v>
      </c>
      <c r="O901" s="546"/>
      <c r="P901" s="547" t="str">
        <f t="shared" ca="1" si="14"/>
        <v/>
      </c>
      <c r="Q901" s="528"/>
      <c r="R901" s="529"/>
      <c r="S901" s="518"/>
      <c r="T901" s="518"/>
      <c r="U901" s="519"/>
      <c r="V901" s="520" t="str">
        <f>IFERROR(VLOOKUP(LANÇ_MOV[[#This Row],[PLANO DE CONTAS]],Plano_Contas[[PLANO DE CONTAS]:[R / D]],3,0),"")</f>
        <v/>
      </c>
      <c r="W901" s="521" t="str">
        <f>IF(LANÇ_MOV[[#This Row],[DATA DE PAGAMENTO]]&lt;&gt;"","Pago","Não Pago")</f>
        <v>Não Pago</v>
      </c>
      <c r="X901" s="522" t="str">
        <f>IFERROR(IF(LANÇ_MOV[[#This Row],[DATA DE PAGAMENTO]]="","",(UPPER(TEXT(LANÇ_MOV[[#This Row],[DATA DE PAGAMENTO]],"mmmm")))),"")</f>
        <v/>
      </c>
      <c r="Y901" s="523" t="str">
        <f>IFERROR(VLOOKUP(LANÇ_MOV[[#This Row],[PLANO DE CONTAS]],Plano_Contas[[PLANO DE CONTAS]:[NOMES INTERVALOS]],2,0),"")</f>
        <v/>
      </c>
      <c r="Z901" s="523" t="str">
        <f>IF(LANÇ_MOV[[#This Row],[FORMA DE PAGAMENTO]]="","",VLOOKUP(LANÇ_MOV[[#This Row],[FORMA DE PAGAMENTO]],CAD_Forma_pagto[],2,0))</f>
        <v/>
      </c>
      <c r="AA901" s="524" t="str">
        <f>IF(LANÇ_MOV[[#This Row],[DATA DE LANÇAMENTO]]="","",TEXT(LANÇ_MOV[[#This Row],[DATA DE LANÇAMENTO]],"AAAA"))</f>
        <v/>
      </c>
      <c r="AB901" s="524" t="str">
        <f>IF(LANÇ_MOV[[#This Row],[DATA DE LANÇAMENTO]]="","",UPPER(TEXT(LANÇ_MOV[[#This Row],[DATA DE LANÇAMENTO]],"MMMM")))</f>
        <v/>
      </c>
      <c r="AC901" s="525" t="str">
        <f>IF(LANÇ_MOV[[#This Row],[DATA DE LANÇAMENTO]]="","",PROPER(TEXT(LANÇ_MOV[[#This Row],[DATA DE LANÇAMENTO]],"M")))</f>
        <v/>
      </c>
      <c r="AD901" s="524" t="str">
        <f>IF(LANÇ_MOV[[#This Row],[DATA DE LANÇAMENTO]]="","",TEXT(LANÇ_MOV[[#This Row],[DATA DE LANÇAMENTO]],"D"))</f>
        <v/>
      </c>
      <c r="AE901" s="526" t="str">
        <f>IF(LANÇ_MOV[[#This Row],[DATA DE VENCIMENTO]]="","",TEXT(LANÇ_MOV[[#This Row],[DATA DE VENCIMENTO]],"AAAA"))</f>
        <v/>
      </c>
      <c r="AF901" s="526" t="str">
        <f>IF(LANÇ_MOV[[#This Row],[DATA DE VENCIMENTO]]="","",UPPER(TEXT(LANÇ_MOV[[#This Row],[DATA DE VENCIMENTO]],"MMMM")))</f>
        <v/>
      </c>
      <c r="AG901" s="526" t="str">
        <f>IF(LANÇ_MOV[[#This Row],[DATA DE VENCIMENTO]]="","",TEXT(LANÇ_MOV[[#This Row],[DATA DE VENCIMENTO]],"M"))</f>
        <v/>
      </c>
      <c r="AH901" s="526" t="str">
        <f>IF(LANÇ_MOV[[#This Row],[DATA DE VENCIMENTO]]="","",TEXT(LANÇ_MOV[[#This Row],[DATA DE VENCIMENTO]],"D"))</f>
        <v/>
      </c>
      <c r="AI901" s="526" t="str">
        <f>IF(LANÇ_MOV[[#This Row],[DATA DE PAGAMENTO]]="","",TEXT(LANÇ_MOV[[#This Row],[DATA DE PAGAMENTO]],"AAAA"))</f>
        <v/>
      </c>
      <c r="AJ901" s="527" t="str">
        <f>IF(LANÇ_MOV[[#This Row],[DATA DE PAGAMENTO]]="","",UPPER(TEXT(LANÇ_MOV[[#This Row],[DATA DE PAGAMENTO]],"MMMM")))</f>
        <v/>
      </c>
      <c r="AK901" s="527" t="str">
        <f>IF(LANÇ_MOV[[#This Row],[DATA DE PAGAMENTO]]="","",TEXT(LANÇ_MOV[[#This Row],[DATA DE PAGAMENTO]],"M"))</f>
        <v/>
      </c>
      <c r="AL901" s="526" t="str">
        <f>IF(LANÇ_MOV[[#This Row],[DATA DE PAGAMENTO]]="","",TEXT(LANÇ_MOV[[#This Row],[DATA DE PAGAMENTO]],"D"))</f>
        <v/>
      </c>
    </row>
    <row r="902" spans="2:38" ht="30.05" customHeight="1" x14ac:dyDescent="0.35">
      <c r="B902" s="506"/>
      <c r="C902" s="507"/>
      <c r="D902" s="508" t="s">
        <v>1854</v>
      </c>
      <c r="E902" s="509"/>
      <c r="F902" s="510"/>
      <c r="G902" s="507"/>
      <c r="H902" s="511"/>
      <c r="I902" s="512"/>
      <c r="J902" s="518"/>
      <c r="K902" s="510"/>
      <c r="L902" s="510"/>
      <c r="M902" s="548"/>
      <c r="N902" s="514">
        <f>LANÇ_MOV[[#This Row],[VALOR BRUTO]]-LANÇ_MOV[[#This Row],[DESCONTO]]+LANÇ_MOV[[#This Row],[JUROS]]+LANÇ_MOV[[#This Row],[MULTA]]</f>
        <v>0</v>
      </c>
      <c r="O902" s="546"/>
      <c r="P902" s="547" t="str">
        <f t="shared" ca="1" si="14"/>
        <v/>
      </c>
      <c r="Q902" s="528"/>
      <c r="R902" s="529"/>
      <c r="S902" s="518"/>
      <c r="T902" s="518"/>
      <c r="U902" s="519"/>
      <c r="V902" s="520" t="str">
        <f>IFERROR(VLOOKUP(LANÇ_MOV[[#This Row],[PLANO DE CONTAS]],Plano_Contas[[PLANO DE CONTAS]:[R / D]],3,0),"")</f>
        <v/>
      </c>
      <c r="W902" s="521" t="str">
        <f>IF(LANÇ_MOV[[#This Row],[DATA DE PAGAMENTO]]&lt;&gt;"","Pago","Não Pago")</f>
        <v>Não Pago</v>
      </c>
      <c r="X902" s="522" t="str">
        <f>IFERROR(IF(LANÇ_MOV[[#This Row],[DATA DE PAGAMENTO]]="","",(UPPER(TEXT(LANÇ_MOV[[#This Row],[DATA DE PAGAMENTO]],"mmmm")))),"")</f>
        <v/>
      </c>
      <c r="Y902" s="523" t="str">
        <f>IFERROR(VLOOKUP(LANÇ_MOV[[#This Row],[PLANO DE CONTAS]],Plano_Contas[[PLANO DE CONTAS]:[NOMES INTERVALOS]],2,0),"")</f>
        <v/>
      </c>
      <c r="Z902" s="523" t="str">
        <f>IF(LANÇ_MOV[[#This Row],[FORMA DE PAGAMENTO]]="","",VLOOKUP(LANÇ_MOV[[#This Row],[FORMA DE PAGAMENTO]],CAD_Forma_pagto[],2,0))</f>
        <v/>
      </c>
      <c r="AA902" s="524" t="str">
        <f>IF(LANÇ_MOV[[#This Row],[DATA DE LANÇAMENTO]]="","",TEXT(LANÇ_MOV[[#This Row],[DATA DE LANÇAMENTO]],"AAAA"))</f>
        <v/>
      </c>
      <c r="AB902" s="524" t="str">
        <f>IF(LANÇ_MOV[[#This Row],[DATA DE LANÇAMENTO]]="","",UPPER(TEXT(LANÇ_MOV[[#This Row],[DATA DE LANÇAMENTO]],"MMMM")))</f>
        <v/>
      </c>
      <c r="AC902" s="525" t="str">
        <f>IF(LANÇ_MOV[[#This Row],[DATA DE LANÇAMENTO]]="","",PROPER(TEXT(LANÇ_MOV[[#This Row],[DATA DE LANÇAMENTO]],"M")))</f>
        <v/>
      </c>
      <c r="AD902" s="524" t="str">
        <f>IF(LANÇ_MOV[[#This Row],[DATA DE LANÇAMENTO]]="","",TEXT(LANÇ_MOV[[#This Row],[DATA DE LANÇAMENTO]],"D"))</f>
        <v/>
      </c>
      <c r="AE902" s="526" t="str">
        <f>IF(LANÇ_MOV[[#This Row],[DATA DE VENCIMENTO]]="","",TEXT(LANÇ_MOV[[#This Row],[DATA DE VENCIMENTO]],"AAAA"))</f>
        <v/>
      </c>
      <c r="AF902" s="526" t="str">
        <f>IF(LANÇ_MOV[[#This Row],[DATA DE VENCIMENTO]]="","",UPPER(TEXT(LANÇ_MOV[[#This Row],[DATA DE VENCIMENTO]],"MMMM")))</f>
        <v/>
      </c>
      <c r="AG902" s="526" t="str">
        <f>IF(LANÇ_MOV[[#This Row],[DATA DE VENCIMENTO]]="","",TEXT(LANÇ_MOV[[#This Row],[DATA DE VENCIMENTO]],"M"))</f>
        <v/>
      </c>
      <c r="AH902" s="526" t="str">
        <f>IF(LANÇ_MOV[[#This Row],[DATA DE VENCIMENTO]]="","",TEXT(LANÇ_MOV[[#This Row],[DATA DE VENCIMENTO]],"D"))</f>
        <v/>
      </c>
      <c r="AI902" s="526" t="str">
        <f>IF(LANÇ_MOV[[#This Row],[DATA DE PAGAMENTO]]="","",TEXT(LANÇ_MOV[[#This Row],[DATA DE PAGAMENTO]],"AAAA"))</f>
        <v/>
      </c>
      <c r="AJ902" s="527" t="str">
        <f>IF(LANÇ_MOV[[#This Row],[DATA DE PAGAMENTO]]="","",UPPER(TEXT(LANÇ_MOV[[#This Row],[DATA DE PAGAMENTO]],"MMMM")))</f>
        <v/>
      </c>
      <c r="AK902" s="527" t="str">
        <f>IF(LANÇ_MOV[[#This Row],[DATA DE PAGAMENTO]]="","",TEXT(LANÇ_MOV[[#This Row],[DATA DE PAGAMENTO]],"M"))</f>
        <v/>
      </c>
      <c r="AL902" s="526" t="str">
        <f>IF(LANÇ_MOV[[#This Row],[DATA DE PAGAMENTO]]="","",TEXT(LANÇ_MOV[[#This Row],[DATA DE PAGAMENTO]],"D"))</f>
        <v/>
      </c>
    </row>
    <row r="903" spans="2:38" ht="30.05" customHeight="1" x14ac:dyDescent="0.35">
      <c r="B903" s="506"/>
      <c r="C903" s="507"/>
      <c r="D903" s="508" t="s">
        <v>1854</v>
      </c>
      <c r="E903" s="509"/>
      <c r="F903" s="510"/>
      <c r="G903" s="507"/>
      <c r="H903" s="511"/>
      <c r="I903" s="512"/>
      <c r="J903" s="518"/>
      <c r="K903" s="510"/>
      <c r="L903" s="510"/>
      <c r="M903" s="548"/>
      <c r="N903" s="514">
        <f>LANÇ_MOV[[#This Row],[VALOR BRUTO]]-LANÇ_MOV[[#This Row],[DESCONTO]]+LANÇ_MOV[[#This Row],[JUROS]]+LANÇ_MOV[[#This Row],[MULTA]]</f>
        <v>0</v>
      </c>
      <c r="O903" s="546"/>
      <c r="P903" s="547" t="str">
        <f t="shared" ca="1" si="14"/>
        <v/>
      </c>
      <c r="Q903" s="528"/>
      <c r="R903" s="529"/>
      <c r="S903" s="518"/>
      <c r="T903" s="518"/>
      <c r="U903" s="519"/>
      <c r="V903" s="520" t="str">
        <f>IFERROR(VLOOKUP(LANÇ_MOV[[#This Row],[PLANO DE CONTAS]],Plano_Contas[[PLANO DE CONTAS]:[R / D]],3,0),"")</f>
        <v/>
      </c>
      <c r="W903" s="521" t="str">
        <f>IF(LANÇ_MOV[[#This Row],[DATA DE PAGAMENTO]]&lt;&gt;"","Pago","Não Pago")</f>
        <v>Não Pago</v>
      </c>
      <c r="X903" s="522" t="str">
        <f>IFERROR(IF(LANÇ_MOV[[#This Row],[DATA DE PAGAMENTO]]="","",(UPPER(TEXT(LANÇ_MOV[[#This Row],[DATA DE PAGAMENTO]],"mmmm")))),"")</f>
        <v/>
      </c>
      <c r="Y903" s="523" t="str">
        <f>IFERROR(VLOOKUP(LANÇ_MOV[[#This Row],[PLANO DE CONTAS]],Plano_Contas[[PLANO DE CONTAS]:[NOMES INTERVALOS]],2,0),"")</f>
        <v/>
      </c>
      <c r="Z903" s="523" t="str">
        <f>IF(LANÇ_MOV[[#This Row],[FORMA DE PAGAMENTO]]="","",VLOOKUP(LANÇ_MOV[[#This Row],[FORMA DE PAGAMENTO]],CAD_Forma_pagto[],2,0))</f>
        <v/>
      </c>
      <c r="AA903" s="524" t="str">
        <f>IF(LANÇ_MOV[[#This Row],[DATA DE LANÇAMENTO]]="","",TEXT(LANÇ_MOV[[#This Row],[DATA DE LANÇAMENTO]],"AAAA"))</f>
        <v/>
      </c>
      <c r="AB903" s="524" t="str">
        <f>IF(LANÇ_MOV[[#This Row],[DATA DE LANÇAMENTO]]="","",UPPER(TEXT(LANÇ_MOV[[#This Row],[DATA DE LANÇAMENTO]],"MMMM")))</f>
        <v/>
      </c>
      <c r="AC903" s="525" t="str">
        <f>IF(LANÇ_MOV[[#This Row],[DATA DE LANÇAMENTO]]="","",PROPER(TEXT(LANÇ_MOV[[#This Row],[DATA DE LANÇAMENTO]],"M")))</f>
        <v/>
      </c>
      <c r="AD903" s="524" t="str">
        <f>IF(LANÇ_MOV[[#This Row],[DATA DE LANÇAMENTO]]="","",TEXT(LANÇ_MOV[[#This Row],[DATA DE LANÇAMENTO]],"D"))</f>
        <v/>
      </c>
      <c r="AE903" s="526" t="str">
        <f>IF(LANÇ_MOV[[#This Row],[DATA DE VENCIMENTO]]="","",TEXT(LANÇ_MOV[[#This Row],[DATA DE VENCIMENTO]],"AAAA"))</f>
        <v/>
      </c>
      <c r="AF903" s="526" t="str">
        <f>IF(LANÇ_MOV[[#This Row],[DATA DE VENCIMENTO]]="","",UPPER(TEXT(LANÇ_MOV[[#This Row],[DATA DE VENCIMENTO]],"MMMM")))</f>
        <v/>
      </c>
      <c r="AG903" s="526" t="str">
        <f>IF(LANÇ_MOV[[#This Row],[DATA DE VENCIMENTO]]="","",TEXT(LANÇ_MOV[[#This Row],[DATA DE VENCIMENTO]],"M"))</f>
        <v/>
      </c>
      <c r="AH903" s="526" t="str">
        <f>IF(LANÇ_MOV[[#This Row],[DATA DE VENCIMENTO]]="","",TEXT(LANÇ_MOV[[#This Row],[DATA DE VENCIMENTO]],"D"))</f>
        <v/>
      </c>
      <c r="AI903" s="526" t="str">
        <f>IF(LANÇ_MOV[[#This Row],[DATA DE PAGAMENTO]]="","",TEXT(LANÇ_MOV[[#This Row],[DATA DE PAGAMENTO]],"AAAA"))</f>
        <v/>
      </c>
      <c r="AJ903" s="527" t="str">
        <f>IF(LANÇ_MOV[[#This Row],[DATA DE PAGAMENTO]]="","",UPPER(TEXT(LANÇ_MOV[[#This Row],[DATA DE PAGAMENTO]],"MMMM")))</f>
        <v/>
      </c>
      <c r="AK903" s="527" t="str">
        <f>IF(LANÇ_MOV[[#This Row],[DATA DE PAGAMENTO]]="","",TEXT(LANÇ_MOV[[#This Row],[DATA DE PAGAMENTO]],"M"))</f>
        <v/>
      </c>
      <c r="AL903" s="526" t="str">
        <f>IF(LANÇ_MOV[[#This Row],[DATA DE PAGAMENTO]]="","",TEXT(LANÇ_MOV[[#This Row],[DATA DE PAGAMENTO]],"D"))</f>
        <v/>
      </c>
    </row>
    <row r="904" spans="2:38" ht="30.05" customHeight="1" x14ac:dyDescent="0.35">
      <c r="B904" s="506"/>
      <c r="C904" s="507"/>
      <c r="D904" s="508" t="s">
        <v>1854</v>
      </c>
      <c r="E904" s="509"/>
      <c r="F904" s="510"/>
      <c r="G904" s="507"/>
      <c r="H904" s="511"/>
      <c r="I904" s="512"/>
      <c r="J904" s="518"/>
      <c r="K904" s="510"/>
      <c r="L904" s="510"/>
      <c r="M904" s="548"/>
      <c r="N904" s="514">
        <f>LANÇ_MOV[[#This Row],[VALOR BRUTO]]-LANÇ_MOV[[#This Row],[DESCONTO]]+LANÇ_MOV[[#This Row],[JUROS]]+LANÇ_MOV[[#This Row],[MULTA]]</f>
        <v>0</v>
      </c>
      <c r="O904" s="546"/>
      <c r="P904" s="547" t="str">
        <f t="shared" ca="1" si="14"/>
        <v/>
      </c>
      <c r="Q904" s="528"/>
      <c r="R904" s="529"/>
      <c r="S904" s="518"/>
      <c r="T904" s="518"/>
      <c r="U904" s="519"/>
      <c r="V904" s="520" t="str">
        <f>IFERROR(VLOOKUP(LANÇ_MOV[[#This Row],[PLANO DE CONTAS]],Plano_Contas[[PLANO DE CONTAS]:[R / D]],3,0),"")</f>
        <v/>
      </c>
      <c r="W904" s="521" t="str">
        <f>IF(LANÇ_MOV[[#This Row],[DATA DE PAGAMENTO]]&lt;&gt;"","Pago","Não Pago")</f>
        <v>Não Pago</v>
      </c>
      <c r="X904" s="522" t="str">
        <f>IFERROR(IF(LANÇ_MOV[[#This Row],[DATA DE PAGAMENTO]]="","",(UPPER(TEXT(LANÇ_MOV[[#This Row],[DATA DE PAGAMENTO]],"mmmm")))),"")</f>
        <v/>
      </c>
      <c r="Y904" s="523" t="str">
        <f>IFERROR(VLOOKUP(LANÇ_MOV[[#This Row],[PLANO DE CONTAS]],Plano_Contas[[PLANO DE CONTAS]:[NOMES INTERVALOS]],2,0),"")</f>
        <v/>
      </c>
      <c r="Z904" s="523" t="str">
        <f>IF(LANÇ_MOV[[#This Row],[FORMA DE PAGAMENTO]]="","",VLOOKUP(LANÇ_MOV[[#This Row],[FORMA DE PAGAMENTO]],CAD_Forma_pagto[],2,0))</f>
        <v/>
      </c>
      <c r="AA904" s="524" t="str">
        <f>IF(LANÇ_MOV[[#This Row],[DATA DE LANÇAMENTO]]="","",TEXT(LANÇ_MOV[[#This Row],[DATA DE LANÇAMENTO]],"AAAA"))</f>
        <v/>
      </c>
      <c r="AB904" s="524" t="str">
        <f>IF(LANÇ_MOV[[#This Row],[DATA DE LANÇAMENTO]]="","",UPPER(TEXT(LANÇ_MOV[[#This Row],[DATA DE LANÇAMENTO]],"MMMM")))</f>
        <v/>
      </c>
      <c r="AC904" s="525" t="str">
        <f>IF(LANÇ_MOV[[#This Row],[DATA DE LANÇAMENTO]]="","",PROPER(TEXT(LANÇ_MOV[[#This Row],[DATA DE LANÇAMENTO]],"M")))</f>
        <v/>
      </c>
      <c r="AD904" s="524" t="str">
        <f>IF(LANÇ_MOV[[#This Row],[DATA DE LANÇAMENTO]]="","",TEXT(LANÇ_MOV[[#This Row],[DATA DE LANÇAMENTO]],"D"))</f>
        <v/>
      </c>
      <c r="AE904" s="526" t="str">
        <f>IF(LANÇ_MOV[[#This Row],[DATA DE VENCIMENTO]]="","",TEXT(LANÇ_MOV[[#This Row],[DATA DE VENCIMENTO]],"AAAA"))</f>
        <v/>
      </c>
      <c r="AF904" s="526" t="str">
        <f>IF(LANÇ_MOV[[#This Row],[DATA DE VENCIMENTO]]="","",UPPER(TEXT(LANÇ_MOV[[#This Row],[DATA DE VENCIMENTO]],"MMMM")))</f>
        <v/>
      </c>
      <c r="AG904" s="526" t="str">
        <f>IF(LANÇ_MOV[[#This Row],[DATA DE VENCIMENTO]]="","",TEXT(LANÇ_MOV[[#This Row],[DATA DE VENCIMENTO]],"M"))</f>
        <v/>
      </c>
      <c r="AH904" s="526" t="str">
        <f>IF(LANÇ_MOV[[#This Row],[DATA DE VENCIMENTO]]="","",TEXT(LANÇ_MOV[[#This Row],[DATA DE VENCIMENTO]],"D"))</f>
        <v/>
      </c>
      <c r="AI904" s="526" t="str">
        <f>IF(LANÇ_MOV[[#This Row],[DATA DE PAGAMENTO]]="","",TEXT(LANÇ_MOV[[#This Row],[DATA DE PAGAMENTO]],"AAAA"))</f>
        <v/>
      </c>
      <c r="AJ904" s="527" t="str">
        <f>IF(LANÇ_MOV[[#This Row],[DATA DE PAGAMENTO]]="","",UPPER(TEXT(LANÇ_MOV[[#This Row],[DATA DE PAGAMENTO]],"MMMM")))</f>
        <v/>
      </c>
      <c r="AK904" s="527" t="str">
        <f>IF(LANÇ_MOV[[#This Row],[DATA DE PAGAMENTO]]="","",TEXT(LANÇ_MOV[[#This Row],[DATA DE PAGAMENTO]],"M"))</f>
        <v/>
      </c>
      <c r="AL904" s="526" t="str">
        <f>IF(LANÇ_MOV[[#This Row],[DATA DE PAGAMENTO]]="","",TEXT(LANÇ_MOV[[#This Row],[DATA DE PAGAMENTO]],"D"))</f>
        <v/>
      </c>
    </row>
    <row r="905" spans="2:38" ht="30.05" customHeight="1" x14ac:dyDescent="0.35">
      <c r="B905" s="506"/>
      <c r="C905" s="507"/>
      <c r="D905" s="508" t="s">
        <v>1854</v>
      </c>
      <c r="E905" s="509"/>
      <c r="F905" s="510"/>
      <c r="G905" s="507"/>
      <c r="H905" s="511"/>
      <c r="I905" s="512"/>
      <c r="J905" s="518"/>
      <c r="K905" s="510"/>
      <c r="L905" s="510"/>
      <c r="M905" s="548"/>
      <c r="N905" s="514">
        <f>LANÇ_MOV[[#This Row],[VALOR BRUTO]]-LANÇ_MOV[[#This Row],[DESCONTO]]+LANÇ_MOV[[#This Row],[JUROS]]+LANÇ_MOV[[#This Row],[MULTA]]</f>
        <v>0</v>
      </c>
      <c r="O905" s="546"/>
      <c r="P905" s="547" t="str">
        <f t="shared" ca="1" si="14"/>
        <v/>
      </c>
      <c r="Q905" s="528"/>
      <c r="R905" s="529"/>
      <c r="S905" s="518"/>
      <c r="T905" s="518"/>
      <c r="U905" s="519"/>
      <c r="V905" s="520" t="str">
        <f>IFERROR(VLOOKUP(LANÇ_MOV[[#This Row],[PLANO DE CONTAS]],Plano_Contas[[PLANO DE CONTAS]:[R / D]],3,0),"")</f>
        <v/>
      </c>
      <c r="W905" s="521" t="str">
        <f>IF(LANÇ_MOV[[#This Row],[DATA DE PAGAMENTO]]&lt;&gt;"","Pago","Não Pago")</f>
        <v>Não Pago</v>
      </c>
      <c r="X905" s="522" t="str">
        <f>IFERROR(IF(LANÇ_MOV[[#This Row],[DATA DE PAGAMENTO]]="","",(UPPER(TEXT(LANÇ_MOV[[#This Row],[DATA DE PAGAMENTO]],"mmmm")))),"")</f>
        <v/>
      </c>
      <c r="Y905" s="523" t="str">
        <f>IFERROR(VLOOKUP(LANÇ_MOV[[#This Row],[PLANO DE CONTAS]],Plano_Contas[[PLANO DE CONTAS]:[NOMES INTERVALOS]],2,0),"")</f>
        <v/>
      </c>
      <c r="Z905" s="523" t="str">
        <f>IF(LANÇ_MOV[[#This Row],[FORMA DE PAGAMENTO]]="","",VLOOKUP(LANÇ_MOV[[#This Row],[FORMA DE PAGAMENTO]],CAD_Forma_pagto[],2,0))</f>
        <v/>
      </c>
      <c r="AA905" s="524" t="str">
        <f>IF(LANÇ_MOV[[#This Row],[DATA DE LANÇAMENTO]]="","",TEXT(LANÇ_MOV[[#This Row],[DATA DE LANÇAMENTO]],"AAAA"))</f>
        <v/>
      </c>
      <c r="AB905" s="524" t="str">
        <f>IF(LANÇ_MOV[[#This Row],[DATA DE LANÇAMENTO]]="","",UPPER(TEXT(LANÇ_MOV[[#This Row],[DATA DE LANÇAMENTO]],"MMMM")))</f>
        <v/>
      </c>
      <c r="AC905" s="525" t="str">
        <f>IF(LANÇ_MOV[[#This Row],[DATA DE LANÇAMENTO]]="","",PROPER(TEXT(LANÇ_MOV[[#This Row],[DATA DE LANÇAMENTO]],"M")))</f>
        <v/>
      </c>
      <c r="AD905" s="524" t="str">
        <f>IF(LANÇ_MOV[[#This Row],[DATA DE LANÇAMENTO]]="","",TEXT(LANÇ_MOV[[#This Row],[DATA DE LANÇAMENTO]],"D"))</f>
        <v/>
      </c>
      <c r="AE905" s="526" t="str">
        <f>IF(LANÇ_MOV[[#This Row],[DATA DE VENCIMENTO]]="","",TEXT(LANÇ_MOV[[#This Row],[DATA DE VENCIMENTO]],"AAAA"))</f>
        <v/>
      </c>
      <c r="AF905" s="526" t="str">
        <f>IF(LANÇ_MOV[[#This Row],[DATA DE VENCIMENTO]]="","",UPPER(TEXT(LANÇ_MOV[[#This Row],[DATA DE VENCIMENTO]],"MMMM")))</f>
        <v/>
      </c>
      <c r="AG905" s="526" t="str">
        <f>IF(LANÇ_MOV[[#This Row],[DATA DE VENCIMENTO]]="","",TEXT(LANÇ_MOV[[#This Row],[DATA DE VENCIMENTO]],"M"))</f>
        <v/>
      </c>
      <c r="AH905" s="526" t="str">
        <f>IF(LANÇ_MOV[[#This Row],[DATA DE VENCIMENTO]]="","",TEXT(LANÇ_MOV[[#This Row],[DATA DE VENCIMENTO]],"D"))</f>
        <v/>
      </c>
      <c r="AI905" s="526" t="str">
        <f>IF(LANÇ_MOV[[#This Row],[DATA DE PAGAMENTO]]="","",TEXT(LANÇ_MOV[[#This Row],[DATA DE PAGAMENTO]],"AAAA"))</f>
        <v/>
      </c>
      <c r="AJ905" s="527" t="str">
        <f>IF(LANÇ_MOV[[#This Row],[DATA DE PAGAMENTO]]="","",UPPER(TEXT(LANÇ_MOV[[#This Row],[DATA DE PAGAMENTO]],"MMMM")))</f>
        <v/>
      </c>
      <c r="AK905" s="527" t="str">
        <f>IF(LANÇ_MOV[[#This Row],[DATA DE PAGAMENTO]]="","",TEXT(LANÇ_MOV[[#This Row],[DATA DE PAGAMENTO]],"M"))</f>
        <v/>
      </c>
      <c r="AL905" s="526" t="str">
        <f>IF(LANÇ_MOV[[#This Row],[DATA DE PAGAMENTO]]="","",TEXT(LANÇ_MOV[[#This Row],[DATA DE PAGAMENTO]],"D"))</f>
        <v/>
      </c>
    </row>
    <row r="906" spans="2:38" ht="30.05" customHeight="1" x14ac:dyDescent="0.35">
      <c r="B906" s="506"/>
      <c r="C906" s="507"/>
      <c r="D906" s="508" t="s">
        <v>1854</v>
      </c>
      <c r="E906" s="509"/>
      <c r="F906" s="510"/>
      <c r="G906" s="507"/>
      <c r="H906" s="511"/>
      <c r="I906" s="512"/>
      <c r="J906" s="518"/>
      <c r="K906" s="510"/>
      <c r="L906" s="510"/>
      <c r="M906" s="548"/>
      <c r="N906" s="514">
        <f>LANÇ_MOV[[#This Row],[VALOR BRUTO]]-LANÇ_MOV[[#This Row],[DESCONTO]]+LANÇ_MOV[[#This Row],[JUROS]]+LANÇ_MOV[[#This Row],[MULTA]]</f>
        <v>0</v>
      </c>
      <c r="O906" s="546"/>
      <c r="P906" s="547" t="str">
        <f t="shared" ca="1" si="14"/>
        <v/>
      </c>
      <c r="Q906" s="528"/>
      <c r="R906" s="529"/>
      <c r="S906" s="518"/>
      <c r="T906" s="518"/>
      <c r="U906" s="519"/>
      <c r="V906" s="520" t="str">
        <f>IFERROR(VLOOKUP(LANÇ_MOV[[#This Row],[PLANO DE CONTAS]],Plano_Contas[[PLANO DE CONTAS]:[R / D]],3,0),"")</f>
        <v/>
      </c>
      <c r="W906" s="521" t="str">
        <f>IF(LANÇ_MOV[[#This Row],[DATA DE PAGAMENTO]]&lt;&gt;"","Pago","Não Pago")</f>
        <v>Não Pago</v>
      </c>
      <c r="X906" s="522" t="str">
        <f>IFERROR(IF(LANÇ_MOV[[#This Row],[DATA DE PAGAMENTO]]="","",(UPPER(TEXT(LANÇ_MOV[[#This Row],[DATA DE PAGAMENTO]],"mmmm")))),"")</f>
        <v/>
      </c>
      <c r="Y906" s="523" t="str">
        <f>IFERROR(VLOOKUP(LANÇ_MOV[[#This Row],[PLANO DE CONTAS]],Plano_Contas[[PLANO DE CONTAS]:[NOMES INTERVALOS]],2,0),"")</f>
        <v/>
      </c>
      <c r="Z906" s="523" t="str">
        <f>IF(LANÇ_MOV[[#This Row],[FORMA DE PAGAMENTO]]="","",VLOOKUP(LANÇ_MOV[[#This Row],[FORMA DE PAGAMENTO]],CAD_Forma_pagto[],2,0))</f>
        <v/>
      </c>
      <c r="AA906" s="524" t="str">
        <f>IF(LANÇ_MOV[[#This Row],[DATA DE LANÇAMENTO]]="","",TEXT(LANÇ_MOV[[#This Row],[DATA DE LANÇAMENTO]],"AAAA"))</f>
        <v/>
      </c>
      <c r="AB906" s="524" t="str">
        <f>IF(LANÇ_MOV[[#This Row],[DATA DE LANÇAMENTO]]="","",UPPER(TEXT(LANÇ_MOV[[#This Row],[DATA DE LANÇAMENTO]],"MMMM")))</f>
        <v/>
      </c>
      <c r="AC906" s="525" t="str">
        <f>IF(LANÇ_MOV[[#This Row],[DATA DE LANÇAMENTO]]="","",PROPER(TEXT(LANÇ_MOV[[#This Row],[DATA DE LANÇAMENTO]],"M")))</f>
        <v/>
      </c>
      <c r="AD906" s="524" t="str">
        <f>IF(LANÇ_MOV[[#This Row],[DATA DE LANÇAMENTO]]="","",TEXT(LANÇ_MOV[[#This Row],[DATA DE LANÇAMENTO]],"D"))</f>
        <v/>
      </c>
      <c r="AE906" s="526" t="str">
        <f>IF(LANÇ_MOV[[#This Row],[DATA DE VENCIMENTO]]="","",TEXT(LANÇ_MOV[[#This Row],[DATA DE VENCIMENTO]],"AAAA"))</f>
        <v/>
      </c>
      <c r="AF906" s="526" t="str">
        <f>IF(LANÇ_MOV[[#This Row],[DATA DE VENCIMENTO]]="","",UPPER(TEXT(LANÇ_MOV[[#This Row],[DATA DE VENCIMENTO]],"MMMM")))</f>
        <v/>
      </c>
      <c r="AG906" s="526" t="str">
        <f>IF(LANÇ_MOV[[#This Row],[DATA DE VENCIMENTO]]="","",TEXT(LANÇ_MOV[[#This Row],[DATA DE VENCIMENTO]],"M"))</f>
        <v/>
      </c>
      <c r="AH906" s="526" t="str">
        <f>IF(LANÇ_MOV[[#This Row],[DATA DE VENCIMENTO]]="","",TEXT(LANÇ_MOV[[#This Row],[DATA DE VENCIMENTO]],"D"))</f>
        <v/>
      </c>
      <c r="AI906" s="526" t="str">
        <f>IF(LANÇ_MOV[[#This Row],[DATA DE PAGAMENTO]]="","",TEXT(LANÇ_MOV[[#This Row],[DATA DE PAGAMENTO]],"AAAA"))</f>
        <v/>
      </c>
      <c r="AJ906" s="527" t="str">
        <f>IF(LANÇ_MOV[[#This Row],[DATA DE PAGAMENTO]]="","",UPPER(TEXT(LANÇ_MOV[[#This Row],[DATA DE PAGAMENTO]],"MMMM")))</f>
        <v/>
      </c>
      <c r="AK906" s="527" t="str">
        <f>IF(LANÇ_MOV[[#This Row],[DATA DE PAGAMENTO]]="","",TEXT(LANÇ_MOV[[#This Row],[DATA DE PAGAMENTO]],"M"))</f>
        <v/>
      </c>
      <c r="AL906" s="526" t="str">
        <f>IF(LANÇ_MOV[[#This Row],[DATA DE PAGAMENTO]]="","",TEXT(LANÇ_MOV[[#This Row],[DATA DE PAGAMENTO]],"D"))</f>
        <v/>
      </c>
    </row>
    <row r="907" spans="2:38" ht="30.05" customHeight="1" x14ac:dyDescent="0.35">
      <c r="B907" s="506"/>
      <c r="C907" s="507"/>
      <c r="D907" s="508" t="s">
        <v>1854</v>
      </c>
      <c r="E907" s="509"/>
      <c r="F907" s="510"/>
      <c r="G907" s="507"/>
      <c r="H907" s="511"/>
      <c r="I907" s="512"/>
      <c r="J907" s="518"/>
      <c r="K907" s="510"/>
      <c r="L907" s="510"/>
      <c r="M907" s="548"/>
      <c r="N907" s="514">
        <f>LANÇ_MOV[[#This Row],[VALOR BRUTO]]-LANÇ_MOV[[#This Row],[DESCONTO]]+LANÇ_MOV[[#This Row],[JUROS]]+LANÇ_MOV[[#This Row],[MULTA]]</f>
        <v>0</v>
      </c>
      <c r="O907" s="546"/>
      <c r="P907" s="547" t="str">
        <f t="shared" ca="1" si="14"/>
        <v/>
      </c>
      <c r="Q907" s="528"/>
      <c r="R907" s="529"/>
      <c r="S907" s="518"/>
      <c r="T907" s="518"/>
      <c r="U907" s="519"/>
      <c r="V907" s="520" t="str">
        <f>IFERROR(VLOOKUP(LANÇ_MOV[[#This Row],[PLANO DE CONTAS]],Plano_Contas[[PLANO DE CONTAS]:[R / D]],3,0),"")</f>
        <v/>
      </c>
      <c r="W907" s="521" t="str">
        <f>IF(LANÇ_MOV[[#This Row],[DATA DE PAGAMENTO]]&lt;&gt;"","Pago","Não Pago")</f>
        <v>Não Pago</v>
      </c>
      <c r="X907" s="522" t="str">
        <f>IFERROR(IF(LANÇ_MOV[[#This Row],[DATA DE PAGAMENTO]]="","",(UPPER(TEXT(LANÇ_MOV[[#This Row],[DATA DE PAGAMENTO]],"mmmm")))),"")</f>
        <v/>
      </c>
      <c r="Y907" s="523" t="str">
        <f>IFERROR(VLOOKUP(LANÇ_MOV[[#This Row],[PLANO DE CONTAS]],Plano_Contas[[PLANO DE CONTAS]:[NOMES INTERVALOS]],2,0),"")</f>
        <v/>
      </c>
      <c r="Z907" s="523" t="str">
        <f>IF(LANÇ_MOV[[#This Row],[FORMA DE PAGAMENTO]]="","",VLOOKUP(LANÇ_MOV[[#This Row],[FORMA DE PAGAMENTO]],CAD_Forma_pagto[],2,0))</f>
        <v/>
      </c>
      <c r="AA907" s="524" t="str">
        <f>IF(LANÇ_MOV[[#This Row],[DATA DE LANÇAMENTO]]="","",TEXT(LANÇ_MOV[[#This Row],[DATA DE LANÇAMENTO]],"AAAA"))</f>
        <v/>
      </c>
      <c r="AB907" s="524" t="str">
        <f>IF(LANÇ_MOV[[#This Row],[DATA DE LANÇAMENTO]]="","",UPPER(TEXT(LANÇ_MOV[[#This Row],[DATA DE LANÇAMENTO]],"MMMM")))</f>
        <v/>
      </c>
      <c r="AC907" s="525" t="str">
        <f>IF(LANÇ_MOV[[#This Row],[DATA DE LANÇAMENTO]]="","",PROPER(TEXT(LANÇ_MOV[[#This Row],[DATA DE LANÇAMENTO]],"M")))</f>
        <v/>
      </c>
      <c r="AD907" s="524" t="str">
        <f>IF(LANÇ_MOV[[#This Row],[DATA DE LANÇAMENTO]]="","",TEXT(LANÇ_MOV[[#This Row],[DATA DE LANÇAMENTO]],"D"))</f>
        <v/>
      </c>
      <c r="AE907" s="526" t="str">
        <f>IF(LANÇ_MOV[[#This Row],[DATA DE VENCIMENTO]]="","",TEXT(LANÇ_MOV[[#This Row],[DATA DE VENCIMENTO]],"AAAA"))</f>
        <v/>
      </c>
      <c r="AF907" s="526" t="str">
        <f>IF(LANÇ_MOV[[#This Row],[DATA DE VENCIMENTO]]="","",UPPER(TEXT(LANÇ_MOV[[#This Row],[DATA DE VENCIMENTO]],"MMMM")))</f>
        <v/>
      </c>
      <c r="AG907" s="526" t="str">
        <f>IF(LANÇ_MOV[[#This Row],[DATA DE VENCIMENTO]]="","",TEXT(LANÇ_MOV[[#This Row],[DATA DE VENCIMENTO]],"M"))</f>
        <v/>
      </c>
      <c r="AH907" s="526" t="str">
        <f>IF(LANÇ_MOV[[#This Row],[DATA DE VENCIMENTO]]="","",TEXT(LANÇ_MOV[[#This Row],[DATA DE VENCIMENTO]],"D"))</f>
        <v/>
      </c>
      <c r="AI907" s="526" t="str">
        <f>IF(LANÇ_MOV[[#This Row],[DATA DE PAGAMENTO]]="","",TEXT(LANÇ_MOV[[#This Row],[DATA DE PAGAMENTO]],"AAAA"))</f>
        <v/>
      </c>
      <c r="AJ907" s="527" t="str">
        <f>IF(LANÇ_MOV[[#This Row],[DATA DE PAGAMENTO]]="","",UPPER(TEXT(LANÇ_MOV[[#This Row],[DATA DE PAGAMENTO]],"MMMM")))</f>
        <v/>
      </c>
      <c r="AK907" s="527" t="str">
        <f>IF(LANÇ_MOV[[#This Row],[DATA DE PAGAMENTO]]="","",TEXT(LANÇ_MOV[[#This Row],[DATA DE PAGAMENTO]],"M"))</f>
        <v/>
      </c>
      <c r="AL907" s="526" t="str">
        <f>IF(LANÇ_MOV[[#This Row],[DATA DE PAGAMENTO]]="","",TEXT(LANÇ_MOV[[#This Row],[DATA DE PAGAMENTO]],"D"))</f>
        <v/>
      </c>
    </row>
    <row r="908" spans="2:38" ht="30.05" customHeight="1" x14ac:dyDescent="0.35">
      <c r="B908" s="506"/>
      <c r="C908" s="507"/>
      <c r="D908" s="508" t="s">
        <v>1854</v>
      </c>
      <c r="E908" s="509"/>
      <c r="F908" s="510"/>
      <c r="G908" s="507"/>
      <c r="H908" s="511"/>
      <c r="I908" s="512"/>
      <c r="J908" s="518"/>
      <c r="K908" s="510"/>
      <c r="L908" s="510"/>
      <c r="M908" s="548"/>
      <c r="N908" s="514">
        <f>LANÇ_MOV[[#This Row],[VALOR BRUTO]]-LANÇ_MOV[[#This Row],[DESCONTO]]+LANÇ_MOV[[#This Row],[JUROS]]+LANÇ_MOV[[#This Row],[MULTA]]</f>
        <v>0</v>
      </c>
      <c r="O908" s="546"/>
      <c r="P908" s="547" t="str">
        <f t="shared" ca="1" si="14"/>
        <v/>
      </c>
      <c r="Q908" s="528"/>
      <c r="R908" s="529"/>
      <c r="S908" s="518"/>
      <c r="T908" s="518"/>
      <c r="U908" s="519"/>
      <c r="V908" s="520" t="str">
        <f>IFERROR(VLOOKUP(LANÇ_MOV[[#This Row],[PLANO DE CONTAS]],Plano_Contas[[PLANO DE CONTAS]:[R / D]],3,0),"")</f>
        <v/>
      </c>
      <c r="W908" s="521" t="str">
        <f>IF(LANÇ_MOV[[#This Row],[DATA DE PAGAMENTO]]&lt;&gt;"","Pago","Não Pago")</f>
        <v>Não Pago</v>
      </c>
      <c r="X908" s="522" t="str">
        <f>IFERROR(IF(LANÇ_MOV[[#This Row],[DATA DE PAGAMENTO]]="","",(UPPER(TEXT(LANÇ_MOV[[#This Row],[DATA DE PAGAMENTO]],"mmmm")))),"")</f>
        <v/>
      </c>
      <c r="Y908" s="523" t="str">
        <f>IFERROR(VLOOKUP(LANÇ_MOV[[#This Row],[PLANO DE CONTAS]],Plano_Contas[[PLANO DE CONTAS]:[NOMES INTERVALOS]],2,0),"")</f>
        <v/>
      </c>
      <c r="Z908" s="523" t="str">
        <f>IF(LANÇ_MOV[[#This Row],[FORMA DE PAGAMENTO]]="","",VLOOKUP(LANÇ_MOV[[#This Row],[FORMA DE PAGAMENTO]],CAD_Forma_pagto[],2,0))</f>
        <v/>
      </c>
      <c r="AA908" s="524" t="str">
        <f>IF(LANÇ_MOV[[#This Row],[DATA DE LANÇAMENTO]]="","",TEXT(LANÇ_MOV[[#This Row],[DATA DE LANÇAMENTO]],"AAAA"))</f>
        <v/>
      </c>
      <c r="AB908" s="524" t="str">
        <f>IF(LANÇ_MOV[[#This Row],[DATA DE LANÇAMENTO]]="","",UPPER(TEXT(LANÇ_MOV[[#This Row],[DATA DE LANÇAMENTO]],"MMMM")))</f>
        <v/>
      </c>
      <c r="AC908" s="525" t="str">
        <f>IF(LANÇ_MOV[[#This Row],[DATA DE LANÇAMENTO]]="","",PROPER(TEXT(LANÇ_MOV[[#This Row],[DATA DE LANÇAMENTO]],"M")))</f>
        <v/>
      </c>
      <c r="AD908" s="524" t="str">
        <f>IF(LANÇ_MOV[[#This Row],[DATA DE LANÇAMENTO]]="","",TEXT(LANÇ_MOV[[#This Row],[DATA DE LANÇAMENTO]],"D"))</f>
        <v/>
      </c>
      <c r="AE908" s="526" t="str">
        <f>IF(LANÇ_MOV[[#This Row],[DATA DE VENCIMENTO]]="","",TEXT(LANÇ_MOV[[#This Row],[DATA DE VENCIMENTO]],"AAAA"))</f>
        <v/>
      </c>
      <c r="AF908" s="526" t="str">
        <f>IF(LANÇ_MOV[[#This Row],[DATA DE VENCIMENTO]]="","",UPPER(TEXT(LANÇ_MOV[[#This Row],[DATA DE VENCIMENTO]],"MMMM")))</f>
        <v/>
      </c>
      <c r="AG908" s="526" t="str">
        <f>IF(LANÇ_MOV[[#This Row],[DATA DE VENCIMENTO]]="","",TEXT(LANÇ_MOV[[#This Row],[DATA DE VENCIMENTO]],"M"))</f>
        <v/>
      </c>
      <c r="AH908" s="526" t="str">
        <f>IF(LANÇ_MOV[[#This Row],[DATA DE VENCIMENTO]]="","",TEXT(LANÇ_MOV[[#This Row],[DATA DE VENCIMENTO]],"D"))</f>
        <v/>
      </c>
      <c r="AI908" s="526" t="str">
        <f>IF(LANÇ_MOV[[#This Row],[DATA DE PAGAMENTO]]="","",TEXT(LANÇ_MOV[[#This Row],[DATA DE PAGAMENTO]],"AAAA"))</f>
        <v/>
      </c>
      <c r="AJ908" s="527" t="str">
        <f>IF(LANÇ_MOV[[#This Row],[DATA DE PAGAMENTO]]="","",UPPER(TEXT(LANÇ_MOV[[#This Row],[DATA DE PAGAMENTO]],"MMMM")))</f>
        <v/>
      </c>
      <c r="AK908" s="527" t="str">
        <f>IF(LANÇ_MOV[[#This Row],[DATA DE PAGAMENTO]]="","",TEXT(LANÇ_MOV[[#This Row],[DATA DE PAGAMENTO]],"M"))</f>
        <v/>
      </c>
      <c r="AL908" s="526" t="str">
        <f>IF(LANÇ_MOV[[#This Row],[DATA DE PAGAMENTO]]="","",TEXT(LANÇ_MOV[[#This Row],[DATA DE PAGAMENTO]],"D"))</f>
        <v/>
      </c>
    </row>
    <row r="909" spans="2:38" ht="30.05" customHeight="1" x14ac:dyDescent="0.35">
      <c r="B909" s="506"/>
      <c r="C909" s="507"/>
      <c r="D909" s="508" t="s">
        <v>1854</v>
      </c>
      <c r="E909" s="509"/>
      <c r="F909" s="510"/>
      <c r="G909" s="507"/>
      <c r="H909" s="511"/>
      <c r="I909" s="512"/>
      <c r="J909" s="518"/>
      <c r="K909" s="510"/>
      <c r="L909" s="510"/>
      <c r="M909" s="548"/>
      <c r="N909" s="514">
        <f>LANÇ_MOV[[#This Row],[VALOR BRUTO]]-LANÇ_MOV[[#This Row],[DESCONTO]]+LANÇ_MOV[[#This Row],[JUROS]]+LANÇ_MOV[[#This Row],[MULTA]]</f>
        <v>0</v>
      </c>
      <c r="O909" s="546"/>
      <c r="P909" s="547" t="str">
        <f t="shared" ca="1" si="14"/>
        <v/>
      </c>
      <c r="Q909" s="528"/>
      <c r="R909" s="529"/>
      <c r="S909" s="518"/>
      <c r="T909" s="518"/>
      <c r="U909" s="519"/>
      <c r="V909" s="520" t="str">
        <f>IFERROR(VLOOKUP(LANÇ_MOV[[#This Row],[PLANO DE CONTAS]],Plano_Contas[[PLANO DE CONTAS]:[R / D]],3,0),"")</f>
        <v/>
      </c>
      <c r="W909" s="521" t="str">
        <f>IF(LANÇ_MOV[[#This Row],[DATA DE PAGAMENTO]]&lt;&gt;"","Pago","Não Pago")</f>
        <v>Não Pago</v>
      </c>
      <c r="X909" s="522" t="str">
        <f>IFERROR(IF(LANÇ_MOV[[#This Row],[DATA DE PAGAMENTO]]="","",(UPPER(TEXT(LANÇ_MOV[[#This Row],[DATA DE PAGAMENTO]],"mmmm")))),"")</f>
        <v/>
      </c>
      <c r="Y909" s="523" t="str">
        <f>IFERROR(VLOOKUP(LANÇ_MOV[[#This Row],[PLANO DE CONTAS]],Plano_Contas[[PLANO DE CONTAS]:[NOMES INTERVALOS]],2,0),"")</f>
        <v/>
      </c>
      <c r="Z909" s="523" t="str">
        <f>IF(LANÇ_MOV[[#This Row],[FORMA DE PAGAMENTO]]="","",VLOOKUP(LANÇ_MOV[[#This Row],[FORMA DE PAGAMENTO]],CAD_Forma_pagto[],2,0))</f>
        <v/>
      </c>
      <c r="AA909" s="524" t="str">
        <f>IF(LANÇ_MOV[[#This Row],[DATA DE LANÇAMENTO]]="","",TEXT(LANÇ_MOV[[#This Row],[DATA DE LANÇAMENTO]],"AAAA"))</f>
        <v/>
      </c>
      <c r="AB909" s="524" t="str">
        <f>IF(LANÇ_MOV[[#This Row],[DATA DE LANÇAMENTO]]="","",UPPER(TEXT(LANÇ_MOV[[#This Row],[DATA DE LANÇAMENTO]],"MMMM")))</f>
        <v/>
      </c>
      <c r="AC909" s="525" t="str">
        <f>IF(LANÇ_MOV[[#This Row],[DATA DE LANÇAMENTO]]="","",PROPER(TEXT(LANÇ_MOV[[#This Row],[DATA DE LANÇAMENTO]],"M")))</f>
        <v/>
      </c>
      <c r="AD909" s="524" t="str">
        <f>IF(LANÇ_MOV[[#This Row],[DATA DE LANÇAMENTO]]="","",TEXT(LANÇ_MOV[[#This Row],[DATA DE LANÇAMENTO]],"D"))</f>
        <v/>
      </c>
      <c r="AE909" s="526" t="str">
        <f>IF(LANÇ_MOV[[#This Row],[DATA DE VENCIMENTO]]="","",TEXT(LANÇ_MOV[[#This Row],[DATA DE VENCIMENTO]],"AAAA"))</f>
        <v/>
      </c>
      <c r="AF909" s="526" t="str">
        <f>IF(LANÇ_MOV[[#This Row],[DATA DE VENCIMENTO]]="","",UPPER(TEXT(LANÇ_MOV[[#This Row],[DATA DE VENCIMENTO]],"MMMM")))</f>
        <v/>
      </c>
      <c r="AG909" s="526" t="str">
        <f>IF(LANÇ_MOV[[#This Row],[DATA DE VENCIMENTO]]="","",TEXT(LANÇ_MOV[[#This Row],[DATA DE VENCIMENTO]],"M"))</f>
        <v/>
      </c>
      <c r="AH909" s="526" t="str">
        <f>IF(LANÇ_MOV[[#This Row],[DATA DE VENCIMENTO]]="","",TEXT(LANÇ_MOV[[#This Row],[DATA DE VENCIMENTO]],"D"))</f>
        <v/>
      </c>
      <c r="AI909" s="526" t="str">
        <f>IF(LANÇ_MOV[[#This Row],[DATA DE PAGAMENTO]]="","",TEXT(LANÇ_MOV[[#This Row],[DATA DE PAGAMENTO]],"AAAA"))</f>
        <v/>
      </c>
      <c r="AJ909" s="527" t="str">
        <f>IF(LANÇ_MOV[[#This Row],[DATA DE PAGAMENTO]]="","",UPPER(TEXT(LANÇ_MOV[[#This Row],[DATA DE PAGAMENTO]],"MMMM")))</f>
        <v/>
      </c>
      <c r="AK909" s="527" t="str">
        <f>IF(LANÇ_MOV[[#This Row],[DATA DE PAGAMENTO]]="","",TEXT(LANÇ_MOV[[#This Row],[DATA DE PAGAMENTO]],"M"))</f>
        <v/>
      </c>
      <c r="AL909" s="526" t="str">
        <f>IF(LANÇ_MOV[[#This Row],[DATA DE PAGAMENTO]]="","",TEXT(LANÇ_MOV[[#This Row],[DATA DE PAGAMENTO]],"D"))</f>
        <v/>
      </c>
    </row>
    <row r="910" spans="2:38" ht="30.05" customHeight="1" x14ac:dyDescent="0.35">
      <c r="B910" s="506"/>
      <c r="C910" s="507"/>
      <c r="D910" s="508" t="s">
        <v>1854</v>
      </c>
      <c r="E910" s="509"/>
      <c r="F910" s="510"/>
      <c r="G910" s="507"/>
      <c r="H910" s="511"/>
      <c r="I910" s="512"/>
      <c r="J910" s="518"/>
      <c r="K910" s="510"/>
      <c r="L910" s="510"/>
      <c r="M910" s="548"/>
      <c r="N910" s="514">
        <f>LANÇ_MOV[[#This Row],[VALOR BRUTO]]-LANÇ_MOV[[#This Row],[DESCONTO]]+LANÇ_MOV[[#This Row],[JUROS]]+LANÇ_MOV[[#This Row],[MULTA]]</f>
        <v>0</v>
      </c>
      <c r="O910" s="546"/>
      <c r="P910" s="547" t="str">
        <f t="shared" ca="1" si="14"/>
        <v/>
      </c>
      <c r="Q910" s="528"/>
      <c r="R910" s="529"/>
      <c r="S910" s="518"/>
      <c r="T910" s="518"/>
      <c r="U910" s="519"/>
      <c r="V910" s="520" t="str">
        <f>IFERROR(VLOOKUP(LANÇ_MOV[[#This Row],[PLANO DE CONTAS]],Plano_Contas[[PLANO DE CONTAS]:[R / D]],3,0),"")</f>
        <v/>
      </c>
      <c r="W910" s="521" t="str">
        <f>IF(LANÇ_MOV[[#This Row],[DATA DE PAGAMENTO]]&lt;&gt;"","Pago","Não Pago")</f>
        <v>Não Pago</v>
      </c>
      <c r="X910" s="522" t="str">
        <f>IFERROR(IF(LANÇ_MOV[[#This Row],[DATA DE PAGAMENTO]]="","",(UPPER(TEXT(LANÇ_MOV[[#This Row],[DATA DE PAGAMENTO]],"mmmm")))),"")</f>
        <v/>
      </c>
      <c r="Y910" s="523" t="str">
        <f>IFERROR(VLOOKUP(LANÇ_MOV[[#This Row],[PLANO DE CONTAS]],Plano_Contas[[PLANO DE CONTAS]:[NOMES INTERVALOS]],2,0),"")</f>
        <v/>
      </c>
      <c r="Z910" s="523" t="str">
        <f>IF(LANÇ_MOV[[#This Row],[FORMA DE PAGAMENTO]]="","",VLOOKUP(LANÇ_MOV[[#This Row],[FORMA DE PAGAMENTO]],CAD_Forma_pagto[],2,0))</f>
        <v/>
      </c>
      <c r="AA910" s="524" t="str">
        <f>IF(LANÇ_MOV[[#This Row],[DATA DE LANÇAMENTO]]="","",TEXT(LANÇ_MOV[[#This Row],[DATA DE LANÇAMENTO]],"AAAA"))</f>
        <v/>
      </c>
      <c r="AB910" s="524" t="str">
        <f>IF(LANÇ_MOV[[#This Row],[DATA DE LANÇAMENTO]]="","",UPPER(TEXT(LANÇ_MOV[[#This Row],[DATA DE LANÇAMENTO]],"MMMM")))</f>
        <v/>
      </c>
      <c r="AC910" s="525" t="str">
        <f>IF(LANÇ_MOV[[#This Row],[DATA DE LANÇAMENTO]]="","",PROPER(TEXT(LANÇ_MOV[[#This Row],[DATA DE LANÇAMENTO]],"M")))</f>
        <v/>
      </c>
      <c r="AD910" s="524" t="str">
        <f>IF(LANÇ_MOV[[#This Row],[DATA DE LANÇAMENTO]]="","",TEXT(LANÇ_MOV[[#This Row],[DATA DE LANÇAMENTO]],"D"))</f>
        <v/>
      </c>
      <c r="AE910" s="526" t="str">
        <f>IF(LANÇ_MOV[[#This Row],[DATA DE VENCIMENTO]]="","",TEXT(LANÇ_MOV[[#This Row],[DATA DE VENCIMENTO]],"AAAA"))</f>
        <v/>
      </c>
      <c r="AF910" s="526" t="str">
        <f>IF(LANÇ_MOV[[#This Row],[DATA DE VENCIMENTO]]="","",UPPER(TEXT(LANÇ_MOV[[#This Row],[DATA DE VENCIMENTO]],"MMMM")))</f>
        <v/>
      </c>
      <c r="AG910" s="526" t="str">
        <f>IF(LANÇ_MOV[[#This Row],[DATA DE VENCIMENTO]]="","",TEXT(LANÇ_MOV[[#This Row],[DATA DE VENCIMENTO]],"M"))</f>
        <v/>
      </c>
      <c r="AH910" s="526" t="str">
        <f>IF(LANÇ_MOV[[#This Row],[DATA DE VENCIMENTO]]="","",TEXT(LANÇ_MOV[[#This Row],[DATA DE VENCIMENTO]],"D"))</f>
        <v/>
      </c>
      <c r="AI910" s="526" t="str">
        <f>IF(LANÇ_MOV[[#This Row],[DATA DE PAGAMENTO]]="","",TEXT(LANÇ_MOV[[#This Row],[DATA DE PAGAMENTO]],"AAAA"))</f>
        <v/>
      </c>
      <c r="AJ910" s="527" t="str">
        <f>IF(LANÇ_MOV[[#This Row],[DATA DE PAGAMENTO]]="","",UPPER(TEXT(LANÇ_MOV[[#This Row],[DATA DE PAGAMENTO]],"MMMM")))</f>
        <v/>
      </c>
      <c r="AK910" s="527" t="str">
        <f>IF(LANÇ_MOV[[#This Row],[DATA DE PAGAMENTO]]="","",TEXT(LANÇ_MOV[[#This Row],[DATA DE PAGAMENTO]],"M"))</f>
        <v/>
      </c>
      <c r="AL910" s="526" t="str">
        <f>IF(LANÇ_MOV[[#This Row],[DATA DE PAGAMENTO]]="","",TEXT(LANÇ_MOV[[#This Row],[DATA DE PAGAMENTO]],"D"))</f>
        <v/>
      </c>
    </row>
    <row r="911" spans="2:38" ht="30.05" customHeight="1" x14ac:dyDescent="0.35">
      <c r="B911" s="506"/>
      <c r="C911" s="507"/>
      <c r="D911" s="508" t="s">
        <v>1854</v>
      </c>
      <c r="E911" s="509"/>
      <c r="F911" s="510"/>
      <c r="G911" s="507"/>
      <c r="H911" s="511"/>
      <c r="I911" s="512"/>
      <c r="J911" s="518"/>
      <c r="K911" s="510"/>
      <c r="L911" s="510"/>
      <c r="M911" s="548"/>
      <c r="N911" s="514">
        <f>LANÇ_MOV[[#This Row],[VALOR BRUTO]]-LANÇ_MOV[[#This Row],[DESCONTO]]+LANÇ_MOV[[#This Row],[JUROS]]+LANÇ_MOV[[#This Row],[MULTA]]</f>
        <v>0</v>
      </c>
      <c r="O911" s="546"/>
      <c r="P911" s="547" t="str">
        <f t="shared" ca="1" si="14"/>
        <v/>
      </c>
      <c r="Q911" s="528"/>
      <c r="R911" s="529"/>
      <c r="S911" s="518"/>
      <c r="T911" s="518"/>
      <c r="U911" s="519"/>
      <c r="V911" s="520" t="str">
        <f>IFERROR(VLOOKUP(LANÇ_MOV[[#This Row],[PLANO DE CONTAS]],Plano_Contas[[PLANO DE CONTAS]:[R / D]],3,0),"")</f>
        <v/>
      </c>
      <c r="W911" s="521" t="str">
        <f>IF(LANÇ_MOV[[#This Row],[DATA DE PAGAMENTO]]&lt;&gt;"","Pago","Não Pago")</f>
        <v>Não Pago</v>
      </c>
      <c r="X911" s="522" t="str">
        <f>IFERROR(IF(LANÇ_MOV[[#This Row],[DATA DE PAGAMENTO]]="","",(UPPER(TEXT(LANÇ_MOV[[#This Row],[DATA DE PAGAMENTO]],"mmmm")))),"")</f>
        <v/>
      </c>
      <c r="Y911" s="523" t="str">
        <f>IFERROR(VLOOKUP(LANÇ_MOV[[#This Row],[PLANO DE CONTAS]],Plano_Contas[[PLANO DE CONTAS]:[NOMES INTERVALOS]],2,0),"")</f>
        <v/>
      </c>
      <c r="Z911" s="523" t="str">
        <f>IF(LANÇ_MOV[[#This Row],[FORMA DE PAGAMENTO]]="","",VLOOKUP(LANÇ_MOV[[#This Row],[FORMA DE PAGAMENTO]],CAD_Forma_pagto[],2,0))</f>
        <v/>
      </c>
      <c r="AA911" s="524" t="str">
        <f>IF(LANÇ_MOV[[#This Row],[DATA DE LANÇAMENTO]]="","",TEXT(LANÇ_MOV[[#This Row],[DATA DE LANÇAMENTO]],"AAAA"))</f>
        <v/>
      </c>
      <c r="AB911" s="524" t="str">
        <f>IF(LANÇ_MOV[[#This Row],[DATA DE LANÇAMENTO]]="","",UPPER(TEXT(LANÇ_MOV[[#This Row],[DATA DE LANÇAMENTO]],"MMMM")))</f>
        <v/>
      </c>
      <c r="AC911" s="525" t="str">
        <f>IF(LANÇ_MOV[[#This Row],[DATA DE LANÇAMENTO]]="","",PROPER(TEXT(LANÇ_MOV[[#This Row],[DATA DE LANÇAMENTO]],"M")))</f>
        <v/>
      </c>
      <c r="AD911" s="524" t="str">
        <f>IF(LANÇ_MOV[[#This Row],[DATA DE LANÇAMENTO]]="","",TEXT(LANÇ_MOV[[#This Row],[DATA DE LANÇAMENTO]],"D"))</f>
        <v/>
      </c>
      <c r="AE911" s="526" t="str">
        <f>IF(LANÇ_MOV[[#This Row],[DATA DE VENCIMENTO]]="","",TEXT(LANÇ_MOV[[#This Row],[DATA DE VENCIMENTO]],"AAAA"))</f>
        <v/>
      </c>
      <c r="AF911" s="526" t="str">
        <f>IF(LANÇ_MOV[[#This Row],[DATA DE VENCIMENTO]]="","",UPPER(TEXT(LANÇ_MOV[[#This Row],[DATA DE VENCIMENTO]],"MMMM")))</f>
        <v/>
      </c>
      <c r="AG911" s="526" t="str">
        <f>IF(LANÇ_MOV[[#This Row],[DATA DE VENCIMENTO]]="","",TEXT(LANÇ_MOV[[#This Row],[DATA DE VENCIMENTO]],"M"))</f>
        <v/>
      </c>
      <c r="AH911" s="526" t="str">
        <f>IF(LANÇ_MOV[[#This Row],[DATA DE VENCIMENTO]]="","",TEXT(LANÇ_MOV[[#This Row],[DATA DE VENCIMENTO]],"D"))</f>
        <v/>
      </c>
      <c r="AI911" s="526" t="str">
        <f>IF(LANÇ_MOV[[#This Row],[DATA DE PAGAMENTO]]="","",TEXT(LANÇ_MOV[[#This Row],[DATA DE PAGAMENTO]],"AAAA"))</f>
        <v/>
      </c>
      <c r="AJ911" s="527" t="str">
        <f>IF(LANÇ_MOV[[#This Row],[DATA DE PAGAMENTO]]="","",UPPER(TEXT(LANÇ_MOV[[#This Row],[DATA DE PAGAMENTO]],"MMMM")))</f>
        <v/>
      </c>
      <c r="AK911" s="527" t="str">
        <f>IF(LANÇ_MOV[[#This Row],[DATA DE PAGAMENTO]]="","",TEXT(LANÇ_MOV[[#This Row],[DATA DE PAGAMENTO]],"M"))</f>
        <v/>
      </c>
      <c r="AL911" s="526" t="str">
        <f>IF(LANÇ_MOV[[#This Row],[DATA DE PAGAMENTO]]="","",TEXT(LANÇ_MOV[[#This Row],[DATA DE PAGAMENTO]],"D"))</f>
        <v/>
      </c>
    </row>
    <row r="912" spans="2:38" ht="30.05" customHeight="1" x14ac:dyDescent="0.35">
      <c r="B912" s="506"/>
      <c r="C912" s="507"/>
      <c r="D912" s="508" t="s">
        <v>1854</v>
      </c>
      <c r="E912" s="509"/>
      <c r="F912" s="510"/>
      <c r="G912" s="507"/>
      <c r="H912" s="511"/>
      <c r="I912" s="512"/>
      <c r="J912" s="518"/>
      <c r="K912" s="510"/>
      <c r="L912" s="510"/>
      <c r="M912" s="548"/>
      <c r="N912" s="514">
        <f>LANÇ_MOV[[#This Row],[VALOR BRUTO]]-LANÇ_MOV[[#This Row],[DESCONTO]]+LANÇ_MOV[[#This Row],[JUROS]]+LANÇ_MOV[[#This Row],[MULTA]]</f>
        <v>0</v>
      </c>
      <c r="O912" s="546"/>
      <c r="P912" s="547" t="str">
        <f t="shared" ca="1" si="14"/>
        <v/>
      </c>
      <c r="Q912" s="528"/>
      <c r="R912" s="529"/>
      <c r="S912" s="518"/>
      <c r="T912" s="518"/>
      <c r="U912" s="519"/>
      <c r="V912" s="520" t="str">
        <f>IFERROR(VLOOKUP(LANÇ_MOV[[#This Row],[PLANO DE CONTAS]],Plano_Contas[[PLANO DE CONTAS]:[R / D]],3,0),"")</f>
        <v/>
      </c>
      <c r="W912" s="521" t="str">
        <f>IF(LANÇ_MOV[[#This Row],[DATA DE PAGAMENTO]]&lt;&gt;"","Pago","Não Pago")</f>
        <v>Não Pago</v>
      </c>
      <c r="X912" s="522" t="str">
        <f>IFERROR(IF(LANÇ_MOV[[#This Row],[DATA DE PAGAMENTO]]="","",(UPPER(TEXT(LANÇ_MOV[[#This Row],[DATA DE PAGAMENTO]],"mmmm")))),"")</f>
        <v/>
      </c>
      <c r="Y912" s="523" t="str">
        <f>IFERROR(VLOOKUP(LANÇ_MOV[[#This Row],[PLANO DE CONTAS]],Plano_Contas[[PLANO DE CONTAS]:[NOMES INTERVALOS]],2,0),"")</f>
        <v/>
      </c>
      <c r="Z912" s="523" t="str">
        <f>IF(LANÇ_MOV[[#This Row],[FORMA DE PAGAMENTO]]="","",VLOOKUP(LANÇ_MOV[[#This Row],[FORMA DE PAGAMENTO]],CAD_Forma_pagto[],2,0))</f>
        <v/>
      </c>
      <c r="AA912" s="524" t="str">
        <f>IF(LANÇ_MOV[[#This Row],[DATA DE LANÇAMENTO]]="","",TEXT(LANÇ_MOV[[#This Row],[DATA DE LANÇAMENTO]],"AAAA"))</f>
        <v/>
      </c>
      <c r="AB912" s="524" t="str">
        <f>IF(LANÇ_MOV[[#This Row],[DATA DE LANÇAMENTO]]="","",UPPER(TEXT(LANÇ_MOV[[#This Row],[DATA DE LANÇAMENTO]],"MMMM")))</f>
        <v/>
      </c>
      <c r="AC912" s="525" t="str">
        <f>IF(LANÇ_MOV[[#This Row],[DATA DE LANÇAMENTO]]="","",PROPER(TEXT(LANÇ_MOV[[#This Row],[DATA DE LANÇAMENTO]],"M")))</f>
        <v/>
      </c>
      <c r="AD912" s="524" t="str">
        <f>IF(LANÇ_MOV[[#This Row],[DATA DE LANÇAMENTO]]="","",TEXT(LANÇ_MOV[[#This Row],[DATA DE LANÇAMENTO]],"D"))</f>
        <v/>
      </c>
      <c r="AE912" s="526" t="str">
        <f>IF(LANÇ_MOV[[#This Row],[DATA DE VENCIMENTO]]="","",TEXT(LANÇ_MOV[[#This Row],[DATA DE VENCIMENTO]],"AAAA"))</f>
        <v/>
      </c>
      <c r="AF912" s="526" t="str">
        <f>IF(LANÇ_MOV[[#This Row],[DATA DE VENCIMENTO]]="","",UPPER(TEXT(LANÇ_MOV[[#This Row],[DATA DE VENCIMENTO]],"MMMM")))</f>
        <v/>
      </c>
      <c r="AG912" s="526" t="str">
        <f>IF(LANÇ_MOV[[#This Row],[DATA DE VENCIMENTO]]="","",TEXT(LANÇ_MOV[[#This Row],[DATA DE VENCIMENTO]],"M"))</f>
        <v/>
      </c>
      <c r="AH912" s="526" t="str">
        <f>IF(LANÇ_MOV[[#This Row],[DATA DE VENCIMENTO]]="","",TEXT(LANÇ_MOV[[#This Row],[DATA DE VENCIMENTO]],"D"))</f>
        <v/>
      </c>
      <c r="AI912" s="526" t="str">
        <f>IF(LANÇ_MOV[[#This Row],[DATA DE PAGAMENTO]]="","",TEXT(LANÇ_MOV[[#This Row],[DATA DE PAGAMENTO]],"AAAA"))</f>
        <v/>
      </c>
      <c r="AJ912" s="527" t="str">
        <f>IF(LANÇ_MOV[[#This Row],[DATA DE PAGAMENTO]]="","",UPPER(TEXT(LANÇ_MOV[[#This Row],[DATA DE PAGAMENTO]],"MMMM")))</f>
        <v/>
      </c>
      <c r="AK912" s="527" t="str">
        <f>IF(LANÇ_MOV[[#This Row],[DATA DE PAGAMENTO]]="","",TEXT(LANÇ_MOV[[#This Row],[DATA DE PAGAMENTO]],"M"))</f>
        <v/>
      </c>
      <c r="AL912" s="526" t="str">
        <f>IF(LANÇ_MOV[[#This Row],[DATA DE PAGAMENTO]]="","",TEXT(LANÇ_MOV[[#This Row],[DATA DE PAGAMENTO]],"D"))</f>
        <v/>
      </c>
    </row>
    <row r="913" spans="2:38" ht="30.05" customHeight="1" x14ac:dyDescent="0.35">
      <c r="B913" s="506"/>
      <c r="C913" s="507"/>
      <c r="D913" s="508" t="s">
        <v>1854</v>
      </c>
      <c r="E913" s="509"/>
      <c r="F913" s="510"/>
      <c r="G913" s="507"/>
      <c r="H913" s="511"/>
      <c r="I913" s="512"/>
      <c r="J913" s="518"/>
      <c r="K913" s="510"/>
      <c r="L913" s="510"/>
      <c r="M913" s="548"/>
      <c r="N913" s="514">
        <f>LANÇ_MOV[[#This Row],[VALOR BRUTO]]-LANÇ_MOV[[#This Row],[DESCONTO]]+LANÇ_MOV[[#This Row],[JUROS]]+LANÇ_MOV[[#This Row],[MULTA]]</f>
        <v>0</v>
      </c>
      <c r="O913" s="546"/>
      <c r="P913" s="547" t="str">
        <f t="shared" ca="1" si="14"/>
        <v/>
      </c>
      <c r="Q913" s="528"/>
      <c r="R913" s="529"/>
      <c r="S913" s="518"/>
      <c r="T913" s="518"/>
      <c r="U913" s="519"/>
      <c r="V913" s="520" t="str">
        <f>IFERROR(VLOOKUP(LANÇ_MOV[[#This Row],[PLANO DE CONTAS]],Plano_Contas[[PLANO DE CONTAS]:[R / D]],3,0),"")</f>
        <v/>
      </c>
      <c r="W913" s="521" t="str">
        <f>IF(LANÇ_MOV[[#This Row],[DATA DE PAGAMENTO]]&lt;&gt;"","Pago","Não Pago")</f>
        <v>Não Pago</v>
      </c>
      <c r="X913" s="522" t="str">
        <f>IFERROR(IF(LANÇ_MOV[[#This Row],[DATA DE PAGAMENTO]]="","",(UPPER(TEXT(LANÇ_MOV[[#This Row],[DATA DE PAGAMENTO]],"mmmm")))),"")</f>
        <v/>
      </c>
      <c r="Y913" s="523" t="str">
        <f>IFERROR(VLOOKUP(LANÇ_MOV[[#This Row],[PLANO DE CONTAS]],Plano_Contas[[PLANO DE CONTAS]:[NOMES INTERVALOS]],2,0),"")</f>
        <v/>
      </c>
      <c r="Z913" s="523" t="str">
        <f>IF(LANÇ_MOV[[#This Row],[FORMA DE PAGAMENTO]]="","",VLOOKUP(LANÇ_MOV[[#This Row],[FORMA DE PAGAMENTO]],CAD_Forma_pagto[],2,0))</f>
        <v/>
      </c>
      <c r="AA913" s="524" t="str">
        <f>IF(LANÇ_MOV[[#This Row],[DATA DE LANÇAMENTO]]="","",TEXT(LANÇ_MOV[[#This Row],[DATA DE LANÇAMENTO]],"AAAA"))</f>
        <v/>
      </c>
      <c r="AB913" s="524" t="str">
        <f>IF(LANÇ_MOV[[#This Row],[DATA DE LANÇAMENTO]]="","",UPPER(TEXT(LANÇ_MOV[[#This Row],[DATA DE LANÇAMENTO]],"MMMM")))</f>
        <v/>
      </c>
      <c r="AC913" s="525" t="str">
        <f>IF(LANÇ_MOV[[#This Row],[DATA DE LANÇAMENTO]]="","",PROPER(TEXT(LANÇ_MOV[[#This Row],[DATA DE LANÇAMENTO]],"M")))</f>
        <v/>
      </c>
      <c r="AD913" s="524" t="str">
        <f>IF(LANÇ_MOV[[#This Row],[DATA DE LANÇAMENTO]]="","",TEXT(LANÇ_MOV[[#This Row],[DATA DE LANÇAMENTO]],"D"))</f>
        <v/>
      </c>
      <c r="AE913" s="526" t="str">
        <f>IF(LANÇ_MOV[[#This Row],[DATA DE VENCIMENTO]]="","",TEXT(LANÇ_MOV[[#This Row],[DATA DE VENCIMENTO]],"AAAA"))</f>
        <v/>
      </c>
      <c r="AF913" s="526" t="str">
        <f>IF(LANÇ_MOV[[#This Row],[DATA DE VENCIMENTO]]="","",UPPER(TEXT(LANÇ_MOV[[#This Row],[DATA DE VENCIMENTO]],"MMMM")))</f>
        <v/>
      </c>
      <c r="AG913" s="526" t="str">
        <f>IF(LANÇ_MOV[[#This Row],[DATA DE VENCIMENTO]]="","",TEXT(LANÇ_MOV[[#This Row],[DATA DE VENCIMENTO]],"M"))</f>
        <v/>
      </c>
      <c r="AH913" s="526" t="str">
        <f>IF(LANÇ_MOV[[#This Row],[DATA DE VENCIMENTO]]="","",TEXT(LANÇ_MOV[[#This Row],[DATA DE VENCIMENTO]],"D"))</f>
        <v/>
      </c>
      <c r="AI913" s="526" t="str">
        <f>IF(LANÇ_MOV[[#This Row],[DATA DE PAGAMENTO]]="","",TEXT(LANÇ_MOV[[#This Row],[DATA DE PAGAMENTO]],"AAAA"))</f>
        <v/>
      </c>
      <c r="AJ913" s="527" t="str">
        <f>IF(LANÇ_MOV[[#This Row],[DATA DE PAGAMENTO]]="","",UPPER(TEXT(LANÇ_MOV[[#This Row],[DATA DE PAGAMENTO]],"MMMM")))</f>
        <v/>
      </c>
      <c r="AK913" s="527" t="str">
        <f>IF(LANÇ_MOV[[#This Row],[DATA DE PAGAMENTO]]="","",TEXT(LANÇ_MOV[[#This Row],[DATA DE PAGAMENTO]],"M"))</f>
        <v/>
      </c>
      <c r="AL913" s="526" t="str">
        <f>IF(LANÇ_MOV[[#This Row],[DATA DE PAGAMENTO]]="","",TEXT(LANÇ_MOV[[#This Row],[DATA DE PAGAMENTO]],"D"))</f>
        <v/>
      </c>
    </row>
    <row r="914" spans="2:38" ht="30.05" customHeight="1" x14ac:dyDescent="0.35">
      <c r="B914" s="506"/>
      <c r="C914" s="507"/>
      <c r="D914" s="508" t="s">
        <v>1854</v>
      </c>
      <c r="E914" s="509"/>
      <c r="F914" s="510"/>
      <c r="G914" s="507"/>
      <c r="H914" s="511"/>
      <c r="I914" s="512"/>
      <c r="J914" s="518"/>
      <c r="K914" s="510"/>
      <c r="L914" s="510"/>
      <c r="M914" s="548"/>
      <c r="N914" s="514">
        <f>LANÇ_MOV[[#This Row],[VALOR BRUTO]]-LANÇ_MOV[[#This Row],[DESCONTO]]+LANÇ_MOV[[#This Row],[JUROS]]+LANÇ_MOV[[#This Row],[MULTA]]</f>
        <v>0</v>
      </c>
      <c r="O914" s="546"/>
      <c r="P914" s="547" t="str">
        <f t="shared" ca="1" si="14"/>
        <v/>
      </c>
      <c r="Q914" s="528"/>
      <c r="R914" s="529"/>
      <c r="S914" s="518"/>
      <c r="T914" s="518"/>
      <c r="U914" s="519"/>
      <c r="V914" s="520" t="str">
        <f>IFERROR(VLOOKUP(LANÇ_MOV[[#This Row],[PLANO DE CONTAS]],Plano_Contas[[PLANO DE CONTAS]:[R / D]],3,0),"")</f>
        <v/>
      </c>
      <c r="W914" s="521" t="str">
        <f>IF(LANÇ_MOV[[#This Row],[DATA DE PAGAMENTO]]&lt;&gt;"","Pago","Não Pago")</f>
        <v>Não Pago</v>
      </c>
      <c r="X914" s="522" t="str">
        <f>IFERROR(IF(LANÇ_MOV[[#This Row],[DATA DE PAGAMENTO]]="","",(UPPER(TEXT(LANÇ_MOV[[#This Row],[DATA DE PAGAMENTO]],"mmmm")))),"")</f>
        <v/>
      </c>
      <c r="Y914" s="523" t="str">
        <f>IFERROR(VLOOKUP(LANÇ_MOV[[#This Row],[PLANO DE CONTAS]],Plano_Contas[[PLANO DE CONTAS]:[NOMES INTERVALOS]],2,0),"")</f>
        <v/>
      </c>
      <c r="Z914" s="523" t="str">
        <f>IF(LANÇ_MOV[[#This Row],[FORMA DE PAGAMENTO]]="","",VLOOKUP(LANÇ_MOV[[#This Row],[FORMA DE PAGAMENTO]],CAD_Forma_pagto[],2,0))</f>
        <v/>
      </c>
      <c r="AA914" s="524" t="str">
        <f>IF(LANÇ_MOV[[#This Row],[DATA DE LANÇAMENTO]]="","",TEXT(LANÇ_MOV[[#This Row],[DATA DE LANÇAMENTO]],"AAAA"))</f>
        <v/>
      </c>
      <c r="AB914" s="524" t="str">
        <f>IF(LANÇ_MOV[[#This Row],[DATA DE LANÇAMENTO]]="","",UPPER(TEXT(LANÇ_MOV[[#This Row],[DATA DE LANÇAMENTO]],"MMMM")))</f>
        <v/>
      </c>
      <c r="AC914" s="525" t="str">
        <f>IF(LANÇ_MOV[[#This Row],[DATA DE LANÇAMENTO]]="","",PROPER(TEXT(LANÇ_MOV[[#This Row],[DATA DE LANÇAMENTO]],"M")))</f>
        <v/>
      </c>
      <c r="AD914" s="524" t="str">
        <f>IF(LANÇ_MOV[[#This Row],[DATA DE LANÇAMENTO]]="","",TEXT(LANÇ_MOV[[#This Row],[DATA DE LANÇAMENTO]],"D"))</f>
        <v/>
      </c>
      <c r="AE914" s="526" t="str">
        <f>IF(LANÇ_MOV[[#This Row],[DATA DE VENCIMENTO]]="","",TEXT(LANÇ_MOV[[#This Row],[DATA DE VENCIMENTO]],"AAAA"))</f>
        <v/>
      </c>
      <c r="AF914" s="526" t="str">
        <f>IF(LANÇ_MOV[[#This Row],[DATA DE VENCIMENTO]]="","",UPPER(TEXT(LANÇ_MOV[[#This Row],[DATA DE VENCIMENTO]],"MMMM")))</f>
        <v/>
      </c>
      <c r="AG914" s="526" t="str">
        <f>IF(LANÇ_MOV[[#This Row],[DATA DE VENCIMENTO]]="","",TEXT(LANÇ_MOV[[#This Row],[DATA DE VENCIMENTO]],"M"))</f>
        <v/>
      </c>
      <c r="AH914" s="526" t="str">
        <f>IF(LANÇ_MOV[[#This Row],[DATA DE VENCIMENTO]]="","",TEXT(LANÇ_MOV[[#This Row],[DATA DE VENCIMENTO]],"D"))</f>
        <v/>
      </c>
      <c r="AI914" s="526" t="str">
        <f>IF(LANÇ_MOV[[#This Row],[DATA DE PAGAMENTO]]="","",TEXT(LANÇ_MOV[[#This Row],[DATA DE PAGAMENTO]],"AAAA"))</f>
        <v/>
      </c>
      <c r="AJ914" s="527" t="str">
        <f>IF(LANÇ_MOV[[#This Row],[DATA DE PAGAMENTO]]="","",UPPER(TEXT(LANÇ_MOV[[#This Row],[DATA DE PAGAMENTO]],"MMMM")))</f>
        <v/>
      </c>
      <c r="AK914" s="527" t="str">
        <f>IF(LANÇ_MOV[[#This Row],[DATA DE PAGAMENTO]]="","",TEXT(LANÇ_MOV[[#This Row],[DATA DE PAGAMENTO]],"M"))</f>
        <v/>
      </c>
      <c r="AL914" s="526" t="str">
        <f>IF(LANÇ_MOV[[#This Row],[DATA DE PAGAMENTO]]="","",TEXT(LANÇ_MOV[[#This Row],[DATA DE PAGAMENTO]],"D"))</f>
        <v/>
      </c>
    </row>
    <row r="915" spans="2:38" ht="30.05" customHeight="1" x14ac:dyDescent="0.35">
      <c r="B915" s="506"/>
      <c r="C915" s="507"/>
      <c r="D915" s="508" t="s">
        <v>1854</v>
      </c>
      <c r="E915" s="509"/>
      <c r="F915" s="510"/>
      <c r="G915" s="507"/>
      <c r="H915" s="511"/>
      <c r="I915" s="512"/>
      <c r="J915" s="518"/>
      <c r="K915" s="510"/>
      <c r="L915" s="510"/>
      <c r="M915" s="548"/>
      <c r="N915" s="514">
        <f>LANÇ_MOV[[#This Row],[VALOR BRUTO]]-LANÇ_MOV[[#This Row],[DESCONTO]]+LANÇ_MOV[[#This Row],[JUROS]]+LANÇ_MOV[[#This Row],[MULTA]]</f>
        <v>0</v>
      </c>
      <c r="O915" s="546"/>
      <c r="P915" s="547" t="str">
        <f t="shared" ca="1" si="14"/>
        <v/>
      </c>
      <c r="Q915" s="528"/>
      <c r="R915" s="529"/>
      <c r="S915" s="518"/>
      <c r="T915" s="518"/>
      <c r="U915" s="519"/>
      <c r="V915" s="520" t="str">
        <f>IFERROR(VLOOKUP(LANÇ_MOV[[#This Row],[PLANO DE CONTAS]],Plano_Contas[[PLANO DE CONTAS]:[R / D]],3,0),"")</f>
        <v/>
      </c>
      <c r="W915" s="521" t="str">
        <f>IF(LANÇ_MOV[[#This Row],[DATA DE PAGAMENTO]]&lt;&gt;"","Pago","Não Pago")</f>
        <v>Não Pago</v>
      </c>
      <c r="X915" s="522" t="str">
        <f>IFERROR(IF(LANÇ_MOV[[#This Row],[DATA DE PAGAMENTO]]="","",(UPPER(TEXT(LANÇ_MOV[[#This Row],[DATA DE PAGAMENTO]],"mmmm")))),"")</f>
        <v/>
      </c>
      <c r="Y915" s="523" t="str">
        <f>IFERROR(VLOOKUP(LANÇ_MOV[[#This Row],[PLANO DE CONTAS]],Plano_Contas[[PLANO DE CONTAS]:[NOMES INTERVALOS]],2,0),"")</f>
        <v/>
      </c>
      <c r="Z915" s="523" t="str">
        <f>IF(LANÇ_MOV[[#This Row],[FORMA DE PAGAMENTO]]="","",VLOOKUP(LANÇ_MOV[[#This Row],[FORMA DE PAGAMENTO]],CAD_Forma_pagto[],2,0))</f>
        <v/>
      </c>
      <c r="AA915" s="524" t="str">
        <f>IF(LANÇ_MOV[[#This Row],[DATA DE LANÇAMENTO]]="","",TEXT(LANÇ_MOV[[#This Row],[DATA DE LANÇAMENTO]],"AAAA"))</f>
        <v/>
      </c>
      <c r="AB915" s="524" t="str">
        <f>IF(LANÇ_MOV[[#This Row],[DATA DE LANÇAMENTO]]="","",UPPER(TEXT(LANÇ_MOV[[#This Row],[DATA DE LANÇAMENTO]],"MMMM")))</f>
        <v/>
      </c>
      <c r="AC915" s="525" t="str">
        <f>IF(LANÇ_MOV[[#This Row],[DATA DE LANÇAMENTO]]="","",PROPER(TEXT(LANÇ_MOV[[#This Row],[DATA DE LANÇAMENTO]],"M")))</f>
        <v/>
      </c>
      <c r="AD915" s="524" t="str">
        <f>IF(LANÇ_MOV[[#This Row],[DATA DE LANÇAMENTO]]="","",TEXT(LANÇ_MOV[[#This Row],[DATA DE LANÇAMENTO]],"D"))</f>
        <v/>
      </c>
      <c r="AE915" s="526" t="str">
        <f>IF(LANÇ_MOV[[#This Row],[DATA DE VENCIMENTO]]="","",TEXT(LANÇ_MOV[[#This Row],[DATA DE VENCIMENTO]],"AAAA"))</f>
        <v/>
      </c>
      <c r="AF915" s="526" t="str">
        <f>IF(LANÇ_MOV[[#This Row],[DATA DE VENCIMENTO]]="","",UPPER(TEXT(LANÇ_MOV[[#This Row],[DATA DE VENCIMENTO]],"MMMM")))</f>
        <v/>
      </c>
      <c r="AG915" s="526" t="str">
        <f>IF(LANÇ_MOV[[#This Row],[DATA DE VENCIMENTO]]="","",TEXT(LANÇ_MOV[[#This Row],[DATA DE VENCIMENTO]],"M"))</f>
        <v/>
      </c>
      <c r="AH915" s="526" t="str">
        <f>IF(LANÇ_MOV[[#This Row],[DATA DE VENCIMENTO]]="","",TEXT(LANÇ_MOV[[#This Row],[DATA DE VENCIMENTO]],"D"))</f>
        <v/>
      </c>
      <c r="AI915" s="526" t="str">
        <f>IF(LANÇ_MOV[[#This Row],[DATA DE PAGAMENTO]]="","",TEXT(LANÇ_MOV[[#This Row],[DATA DE PAGAMENTO]],"AAAA"))</f>
        <v/>
      </c>
      <c r="AJ915" s="527" t="str">
        <f>IF(LANÇ_MOV[[#This Row],[DATA DE PAGAMENTO]]="","",UPPER(TEXT(LANÇ_MOV[[#This Row],[DATA DE PAGAMENTO]],"MMMM")))</f>
        <v/>
      </c>
      <c r="AK915" s="527" t="str">
        <f>IF(LANÇ_MOV[[#This Row],[DATA DE PAGAMENTO]]="","",TEXT(LANÇ_MOV[[#This Row],[DATA DE PAGAMENTO]],"M"))</f>
        <v/>
      </c>
      <c r="AL915" s="526" t="str">
        <f>IF(LANÇ_MOV[[#This Row],[DATA DE PAGAMENTO]]="","",TEXT(LANÇ_MOV[[#This Row],[DATA DE PAGAMENTO]],"D"))</f>
        <v/>
      </c>
    </row>
    <row r="916" spans="2:38" ht="30.05" customHeight="1" x14ac:dyDescent="0.35">
      <c r="B916" s="506"/>
      <c r="C916" s="507"/>
      <c r="D916" s="508" t="s">
        <v>1854</v>
      </c>
      <c r="E916" s="509"/>
      <c r="F916" s="510"/>
      <c r="G916" s="507"/>
      <c r="H916" s="511"/>
      <c r="I916" s="512"/>
      <c r="J916" s="518"/>
      <c r="K916" s="510"/>
      <c r="L916" s="510"/>
      <c r="M916" s="548"/>
      <c r="N916" s="514">
        <f>LANÇ_MOV[[#This Row],[VALOR BRUTO]]-LANÇ_MOV[[#This Row],[DESCONTO]]+LANÇ_MOV[[#This Row],[JUROS]]+LANÇ_MOV[[#This Row],[MULTA]]</f>
        <v>0</v>
      </c>
      <c r="O916" s="546"/>
      <c r="P916" s="547" t="str">
        <f t="shared" ca="1" si="14"/>
        <v/>
      </c>
      <c r="Q916" s="528"/>
      <c r="R916" s="529"/>
      <c r="S916" s="518"/>
      <c r="T916" s="518"/>
      <c r="U916" s="519"/>
      <c r="V916" s="520" t="str">
        <f>IFERROR(VLOOKUP(LANÇ_MOV[[#This Row],[PLANO DE CONTAS]],Plano_Contas[[PLANO DE CONTAS]:[R / D]],3,0),"")</f>
        <v/>
      </c>
      <c r="W916" s="521" t="str">
        <f>IF(LANÇ_MOV[[#This Row],[DATA DE PAGAMENTO]]&lt;&gt;"","Pago","Não Pago")</f>
        <v>Não Pago</v>
      </c>
      <c r="X916" s="522" t="str">
        <f>IFERROR(IF(LANÇ_MOV[[#This Row],[DATA DE PAGAMENTO]]="","",(UPPER(TEXT(LANÇ_MOV[[#This Row],[DATA DE PAGAMENTO]],"mmmm")))),"")</f>
        <v/>
      </c>
      <c r="Y916" s="523" t="str">
        <f>IFERROR(VLOOKUP(LANÇ_MOV[[#This Row],[PLANO DE CONTAS]],Plano_Contas[[PLANO DE CONTAS]:[NOMES INTERVALOS]],2,0),"")</f>
        <v/>
      </c>
      <c r="Z916" s="523" t="str">
        <f>IF(LANÇ_MOV[[#This Row],[FORMA DE PAGAMENTO]]="","",VLOOKUP(LANÇ_MOV[[#This Row],[FORMA DE PAGAMENTO]],CAD_Forma_pagto[],2,0))</f>
        <v/>
      </c>
      <c r="AA916" s="524" t="str">
        <f>IF(LANÇ_MOV[[#This Row],[DATA DE LANÇAMENTO]]="","",TEXT(LANÇ_MOV[[#This Row],[DATA DE LANÇAMENTO]],"AAAA"))</f>
        <v/>
      </c>
      <c r="AB916" s="524" t="str">
        <f>IF(LANÇ_MOV[[#This Row],[DATA DE LANÇAMENTO]]="","",UPPER(TEXT(LANÇ_MOV[[#This Row],[DATA DE LANÇAMENTO]],"MMMM")))</f>
        <v/>
      </c>
      <c r="AC916" s="525" t="str">
        <f>IF(LANÇ_MOV[[#This Row],[DATA DE LANÇAMENTO]]="","",PROPER(TEXT(LANÇ_MOV[[#This Row],[DATA DE LANÇAMENTO]],"M")))</f>
        <v/>
      </c>
      <c r="AD916" s="524" t="str">
        <f>IF(LANÇ_MOV[[#This Row],[DATA DE LANÇAMENTO]]="","",TEXT(LANÇ_MOV[[#This Row],[DATA DE LANÇAMENTO]],"D"))</f>
        <v/>
      </c>
      <c r="AE916" s="526" t="str">
        <f>IF(LANÇ_MOV[[#This Row],[DATA DE VENCIMENTO]]="","",TEXT(LANÇ_MOV[[#This Row],[DATA DE VENCIMENTO]],"AAAA"))</f>
        <v/>
      </c>
      <c r="AF916" s="526" t="str">
        <f>IF(LANÇ_MOV[[#This Row],[DATA DE VENCIMENTO]]="","",UPPER(TEXT(LANÇ_MOV[[#This Row],[DATA DE VENCIMENTO]],"MMMM")))</f>
        <v/>
      </c>
      <c r="AG916" s="526" t="str">
        <f>IF(LANÇ_MOV[[#This Row],[DATA DE VENCIMENTO]]="","",TEXT(LANÇ_MOV[[#This Row],[DATA DE VENCIMENTO]],"M"))</f>
        <v/>
      </c>
      <c r="AH916" s="526" t="str">
        <f>IF(LANÇ_MOV[[#This Row],[DATA DE VENCIMENTO]]="","",TEXT(LANÇ_MOV[[#This Row],[DATA DE VENCIMENTO]],"D"))</f>
        <v/>
      </c>
      <c r="AI916" s="526" t="str">
        <f>IF(LANÇ_MOV[[#This Row],[DATA DE PAGAMENTO]]="","",TEXT(LANÇ_MOV[[#This Row],[DATA DE PAGAMENTO]],"AAAA"))</f>
        <v/>
      </c>
      <c r="AJ916" s="527" t="str">
        <f>IF(LANÇ_MOV[[#This Row],[DATA DE PAGAMENTO]]="","",UPPER(TEXT(LANÇ_MOV[[#This Row],[DATA DE PAGAMENTO]],"MMMM")))</f>
        <v/>
      </c>
      <c r="AK916" s="527" t="str">
        <f>IF(LANÇ_MOV[[#This Row],[DATA DE PAGAMENTO]]="","",TEXT(LANÇ_MOV[[#This Row],[DATA DE PAGAMENTO]],"M"))</f>
        <v/>
      </c>
      <c r="AL916" s="526" t="str">
        <f>IF(LANÇ_MOV[[#This Row],[DATA DE PAGAMENTO]]="","",TEXT(LANÇ_MOV[[#This Row],[DATA DE PAGAMENTO]],"D"))</f>
        <v/>
      </c>
    </row>
    <row r="917" spans="2:38" ht="30.05" customHeight="1" x14ac:dyDescent="0.35">
      <c r="B917" s="506"/>
      <c r="C917" s="507"/>
      <c r="D917" s="508" t="s">
        <v>1854</v>
      </c>
      <c r="E917" s="509"/>
      <c r="F917" s="510"/>
      <c r="G917" s="507"/>
      <c r="H917" s="511"/>
      <c r="I917" s="512"/>
      <c r="J917" s="518"/>
      <c r="K917" s="510"/>
      <c r="L917" s="510"/>
      <c r="M917" s="548"/>
      <c r="N917" s="514">
        <f>LANÇ_MOV[[#This Row],[VALOR BRUTO]]-LANÇ_MOV[[#This Row],[DESCONTO]]+LANÇ_MOV[[#This Row],[JUROS]]+LANÇ_MOV[[#This Row],[MULTA]]</f>
        <v>0</v>
      </c>
      <c r="O917" s="546"/>
      <c r="P917" s="547" t="str">
        <f t="shared" ca="1" si="14"/>
        <v/>
      </c>
      <c r="Q917" s="528"/>
      <c r="R917" s="529"/>
      <c r="S917" s="518"/>
      <c r="T917" s="518"/>
      <c r="U917" s="519"/>
      <c r="V917" s="520" t="str">
        <f>IFERROR(VLOOKUP(LANÇ_MOV[[#This Row],[PLANO DE CONTAS]],Plano_Contas[[PLANO DE CONTAS]:[R / D]],3,0),"")</f>
        <v/>
      </c>
      <c r="W917" s="521" t="str">
        <f>IF(LANÇ_MOV[[#This Row],[DATA DE PAGAMENTO]]&lt;&gt;"","Pago","Não Pago")</f>
        <v>Não Pago</v>
      </c>
      <c r="X917" s="522" t="str">
        <f>IFERROR(IF(LANÇ_MOV[[#This Row],[DATA DE PAGAMENTO]]="","",(UPPER(TEXT(LANÇ_MOV[[#This Row],[DATA DE PAGAMENTO]],"mmmm")))),"")</f>
        <v/>
      </c>
      <c r="Y917" s="523" t="str">
        <f>IFERROR(VLOOKUP(LANÇ_MOV[[#This Row],[PLANO DE CONTAS]],Plano_Contas[[PLANO DE CONTAS]:[NOMES INTERVALOS]],2,0),"")</f>
        <v/>
      </c>
      <c r="Z917" s="523" t="str">
        <f>IF(LANÇ_MOV[[#This Row],[FORMA DE PAGAMENTO]]="","",VLOOKUP(LANÇ_MOV[[#This Row],[FORMA DE PAGAMENTO]],CAD_Forma_pagto[],2,0))</f>
        <v/>
      </c>
      <c r="AA917" s="524" t="str">
        <f>IF(LANÇ_MOV[[#This Row],[DATA DE LANÇAMENTO]]="","",TEXT(LANÇ_MOV[[#This Row],[DATA DE LANÇAMENTO]],"AAAA"))</f>
        <v/>
      </c>
      <c r="AB917" s="524" t="str">
        <f>IF(LANÇ_MOV[[#This Row],[DATA DE LANÇAMENTO]]="","",UPPER(TEXT(LANÇ_MOV[[#This Row],[DATA DE LANÇAMENTO]],"MMMM")))</f>
        <v/>
      </c>
      <c r="AC917" s="525" t="str">
        <f>IF(LANÇ_MOV[[#This Row],[DATA DE LANÇAMENTO]]="","",PROPER(TEXT(LANÇ_MOV[[#This Row],[DATA DE LANÇAMENTO]],"M")))</f>
        <v/>
      </c>
      <c r="AD917" s="524" t="str">
        <f>IF(LANÇ_MOV[[#This Row],[DATA DE LANÇAMENTO]]="","",TEXT(LANÇ_MOV[[#This Row],[DATA DE LANÇAMENTO]],"D"))</f>
        <v/>
      </c>
      <c r="AE917" s="526" t="str">
        <f>IF(LANÇ_MOV[[#This Row],[DATA DE VENCIMENTO]]="","",TEXT(LANÇ_MOV[[#This Row],[DATA DE VENCIMENTO]],"AAAA"))</f>
        <v/>
      </c>
      <c r="AF917" s="526" t="str">
        <f>IF(LANÇ_MOV[[#This Row],[DATA DE VENCIMENTO]]="","",UPPER(TEXT(LANÇ_MOV[[#This Row],[DATA DE VENCIMENTO]],"MMMM")))</f>
        <v/>
      </c>
      <c r="AG917" s="526" t="str">
        <f>IF(LANÇ_MOV[[#This Row],[DATA DE VENCIMENTO]]="","",TEXT(LANÇ_MOV[[#This Row],[DATA DE VENCIMENTO]],"M"))</f>
        <v/>
      </c>
      <c r="AH917" s="526" t="str">
        <f>IF(LANÇ_MOV[[#This Row],[DATA DE VENCIMENTO]]="","",TEXT(LANÇ_MOV[[#This Row],[DATA DE VENCIMENTO]],"D"))</f>
        <v/>
      </c>
      <c r="AI917" s="526" t="str">
        <f>IF(LANÇ_MOV[[#This Row],[DATA DE PAGAMENTO]]="","",TEXT(LANÇ_MOV[[#This Row],[DATA DE PAGAMENTO]],"AAAA"))</f>
        <v/>
      </c>
      <c r="AJ917" s="527" t="str">
        <f>IF(LANÇ_MOV[[#This Row],[DATA DE PAGAMENTO]]="","",UPPER(TEXT(LANÇ_MOV[[#This Row],[DATA DE PAGAMENTO]],"MMMM")))</f>
        <v/>
      </c>
      <c r="AK917" s="527" t="str">
        <f>IF(LANÇ_MOV[[#This Row],[DATA DE PAGAMENTO]]="","",TEXT(LANÇ_MOV[[#This Row],[DATA DE PAGAMENTO]],"M"))</f>
        <v/>
      </c>
      <c r="AL917" s="526" t="str">
        <f>IF(LANÇ_MOV[[#This Row],[DATA DE PAGAMENTO]]="","",TEXT(LANÇ_MOV[[#This Row],[DATA DE PAGAMENTO]],"D"))</f>
        <v/>
      </c>
    </row>
    <row r="918" spans="2:38" ht="30.05" customHeight="1" x14ac:dyDescent="0.35">
      <c r="B918" s="506"/>
      <c r="C918" s="507"/>
      <c r="D918" s="508" t="s">
        <v>1854</v>
      </c>
      <c r="E918" s="509"/>
      <c r="F918" s="510"/>
      <c r="G918" s="507"/>
      <c r="H918" s="511"/>
      <c r="I918" s="512"/>
      <c r="J918" s="518"/>
      <c r="K918" s="510"/>
      <c r="L918" s="510"/>
      <c r="M918" s="548"/>
      <c r="N918" s="514">
        <f>LANÇ_MOV[[#This Row],[VALOR BRUTO]]-LANÇ_MOV[[#This Row],[DESCONTO]]+LANÇ_MOV[[#This Row],[JUROS]]+LANÇ_MOV[[#This Row],[MULTA]]</f>
        <v>0</v>
      </c>
      <c r="O918" s="546"/>
      <c r="P918" s="547" t="str">
        <f t="shared" ca="1" si="14"/>
        <v/>
      </c>
      <c r="Q918" s="528"/>
      <c r="R918" s="529"/>
      <c r="S918" s="518"/>
      <c r="T918" s="518"/>
      <c r="U918" s="519"/>
      <c r="V918" s="520" t="str">
        <f>IFERROR(VLOOKUP(LANÇ_MOV[[#This Row],[PLANO DE CONTAS]],Plano_Contas[[PLANO DE CONTAS]:[R / D]],3,0),"")</f>
        <v/>
      </c>
      <c r="W918" s="521" t="str">
        <f>IF(LANÇ_MOV[[#This Row],[DATA DE PAGAMENTO]]&lt;&gt;"","Pago","Não Pago")</f>
        <v>Não Pago</v>
      </c>
      <c r="X918" s="522" t="str">
        <f>IFERROR(IF(LANÇ_MOV[[#This Row],[DATA DE PAGAMENTO]]="","",(UPPER(TEXT(LANÇ_MOV[[#This Row],[DATA DE PAGAMENTO]],"mmmm")))),"")</f>
        <v/>
      </c>
      <c r="Y918" s="523" t="str">
        <f>IFERROR(VLOOKUP(LANÇ_MOV[[#This Row],[PLANO DE CONTAS]],Plano_Contas[[PLANO DE CONTAS]:[NOMES INTERVALOS]],2,0),"")</f>
        <v/>
      </c>
      <c r="Z918" s="523" t="str">
        <f>IF(LANÇ_MOV[[#This Row],[FORMA DE PAGAMENTO]]="","",VLOOKUP(LANÇ_MOV[[#This Row],[FORMA DE PAGAMENTO]],CAD_Forma_pagto[],2,0))</f>
        <v/>
      </c>
      <c r="AA918" s="524" t="str">
        <f>IF(LANÇ_MOV[[#This Row],[DATA DE LANÇAMENTO]]="","",TEXT(LANÇ_MOV[[#This Row],[DATA DE LANÇAMENTO]],"AAAA"))</f>
        <v/>
      </c>
      <c r="AB918" s="524" t="str">
        <f>IF(LANÇ_MOV[[#This Row],[DATA DE LANÇAMENTO]]="","",UPPER(TEXT(LANÇ_MOV[[#This Row],[DATA DE LANÇAMENTO]],"MMMM")))</f>
        <v/>
      </c>
      <c r="AC918" s="525" t="str">
        <f>IF(LANÇ_MOV[[#This Row],[DATA DE LANÇAMENTO]]="","",PROPER(TEXT(LANÇ_MOV[[#This Row],[DATA DE LANÇAMENTO]],"M")))</f>
        <v/>
      </c>
      <c r="AD918" s="524" t="str">
        <f>IF(LANÇ_MOV[[#This Row],[DATA DE LANÇAMENTO]]="","",TEXT(LANÇ_MOV[[#This Row],[DATA DE LANÇAMENTO]],"D"))</f>
        <v/>
      </c>
      <c r="AE918" s="526" t="str">
        <f>IF(LANÇ_MOV[[#This Row],[DATA DE VENCIMENTO]]="","",TEXT(LANÇ_MOV[[#This Row],[DATA DE VENCIMENTO]],"AAAA"))</f>
        <v/>
      </c>
      <c r="AF918" s="526" t="str">
        <f>IF(LANÇ_MOV[[#This Row],[DATA DE VENCIMENTO]]="","",UPPER(TEXT(LANÇ_MOV[[#This Row],[DATA DE VENCIMENTO]],"MMMM")))</f>
        <v/>
      </c>
      <c r="AG918" s="526" t="str">
        <f>IF(LANÇ_MOV[[#This Row],[DATA DE VENCIMENTO]]="","",TEXT(LANÇ_MOV[[#This Row],[DATA DE VENCIMENTO]],"M"))</f>
        <v/>
      </c>
      <c r="AH918" s="526" t="str">
        <f>IF(LANÇ_MOV[[#This Row],[DATA DE VENCIMENTO]]="","",TEXT(LANÇ_MOV[[#This Row],[DATA DE VENCIMENTO]],"D"))</f>
        <v/>
      </c>
      <c r="AI918" s="526" t="str">
        <f>IF(LANÇ_MOV[[#This Row],[DATA DE PAGAMENTO]]="","",TEXT(LANÇ_MOV[[#This Row],[DATA DE PAGAMENTO]],"AAAA"))</f>
        <v/>
      </c>
      <c r="AJ918" s="527" t="str">
        <f>IF(LANÇ_MOV[[#This Row],[DATA DE PAGAMENTO]]="","",UPPER(TEXT(LANÇ_MOV[[#This Row],[DATA DE PAGAMENTO]],"MMMM")))</f>
        <v/>
      </c>
      <c r="AK918" s="527" t="str">
        <f>IF(LANÇ_MOV[[#This Row],[DATA DE PAGAMENTO]]="","",TEXT(LANÇ_MOV[[#This Row],[DATA DE PAGAMENTO]],"M"))</f>
        <v/>
      </c>
      <c r="AL918" s="526" t="str">
        <f>IF(LANÇ_MOV[[#This Row],[DATA DE PAGAMENTO]]="","",TEXT(LANÇ_MOV[[#This Row],[DATA DE PAGAMENTO]],"D"))</f>
        <v/>
      </c>
    </row>
    <row r="919" spans="2:38" ht="30.05" customHeight="1" x14ac:dyDescent="0.35">
      <c r="B919" s="506"/>
      <c r="C919" s="507"/>
      <c r="D919" s="508" t="s">
        <v>1854</v>
      </c>
      <c r="E919" s="509"/>
      <c r="F919" s="510"/>
      <c r="G919" s="507"/>
      <c r="H919" s="511"/>
      <c r="I919" s="512"/>
      <c r="J919" s="518"/>
      <c r="K919" s="510"/>
      <c r="L919" s="510"/>
      <c r="M919" s="548"/>
      <c r="N919" s="514">
        <f>LANÇ_MOV[[#This Row],[VALOR BRUTO]]-LANÇ_MOV[[#This Row],[DESCONTO]]+LANÇ_MOV[[#This Row],[JUROS]]+LANÇ_MOV[[#This Row],[MULTA]]</f>
        <v>0</v>
      </c>
      <c r="O919" s="546"/>
      <c r="P919" s="547" t="str">
        <f t="shared" ca="1" si="14"/>
        <v/>
      </c>
      <c r="Q919" s="528"/>
      <c r="R919" s="529"/>
      <c r="S919" s="518"/>
      <c r="T919" s="518"/>
      <c r="U919" s="519"/>
      <c r="V919" s="520" t="str">
        <f>IFERROR(VLOOKUP(LANÇ_MOV[[#This Row],[PLANO DE CONTAS]],Plano_Contas[[PLANO DE CONTAS]:[R / D]],3,0),"")</f>
        <v/>
      </c>
      <c r="W919" s="521" t="str">
        <f>IF(LANÇ_MOV[[#This Row],[DATA DE PAGAMENTO]]&lt;&gt;"","Pago","Não Pago")</f>
        <v>Não Pago</v>
      </c>
      <c r="X919" s="522" t="str">
        <f>IFERROR(IF(LANÇ_MOV[[#This Row],[DATA DE PAGAMENTO]]="","",(UPPER(TEXT(LANÇ_MOV[[#This Row],[DATA DE PAGAMENTO]],"mmmm")))),"")</f>
        <v/>
      </c>
      <c r="Y919" s="523" t="str">
        <f>IFERROR(VLOOKUP(LANÇ_MOV[[#This Row],[PLANO DE CONTAS]],Plano_Contas[[PLANO DE CONTAS]:[NOMES INTERVALOS]],2,0),"")</f>
        <v/>
      </c>
      <c r="Z919" s="523" t="str">
        <f>IF(LANÇ_MOV[[#This Row],[FORMA DE PAGAMENTO]]="","",VLOOKUP(LANÇ_MOV[[#This Row],[FORMA DE PAGAMENTO]],CAD_Forma_pagto[],2,0))</f>
        <v/>
      </c>
      <c r="AA919" s="524" t="str">
        <f>IF(LANÇ_MOV[[#This Row],[DATA DE LANÇAMENTO]]="","",TEXT(LANÇ_MOV[[#This Row],[DATA DE LANÇAMENTO]],"AAAA"))</f>
        <v/>
      </c>
      <c r="AB919" s="524" t="str">
        <f>IF(LANÇ_MOV[[#This Row],[DATA DE LANÇAMENTO]]="","",UPPER(TEXT(LANÇ_MOV[[#This Row],[DATA DE LANÇAMENTO]],"MMMM")))</f>
        <v/>
      </c>
      <c r="AC919" s="525" t="str">
        <f>IF(LANÇ_MOV[[#This Row],[DATA DE LANÇAMENTO]]="","",PROPER(TEXT(LANÇ_MOV[[#This Row],[DATA DE LANÇAMENTO]],"M")))</f>
        <v/>
      </c>
      <c r="AD919" s="524" t="str">
        <f>IF(LANÇ_MOV[[#This Row],[DATA DE LANÇAMENTO]]="","",TEXT(LANÇ_MOV[[#This Row],[DATA DE LANÇAMENTO]],"D"))</f>
        <v/>
      </c>
      <c r="AE919" s="526" t="str">
        <f>IF(LANÇ_MOV[[#This Row],[DATA DE VENCIMENTO]]="","",TEXT(LANÇ_MOV[[#This Row],[DATA DE VENCIMENTO]],"AAAA"))</f>
        <v/>
      </c>
      <c r="AF919" s="526" t="str">
        <f>IF(LANÇ_MOV[[#This Row],[DATA DE VENCIMENTO]]="","",UPPER(TEXT(LANÇ_MOV[[#This Row],[DATA DE VENCIMENTO]],"MMMM")))</f>
        <v/>
      </c>
      <c r="AG919" s="526" t="str">
        <f>IF(LANÇ_MOV[[#This Row],[DATA DE VENCIMENTO]]="","",TEXT(LANÇ_MOV[[#This Row],[DATA DE VENCIMENTO]],"M"))</f>
        <v/>
      </c>
      <c r="AH919" s="526" t="str">
        <f>IF(LANÇ_MOV[[#This Row],[DATA DE VENCIMENTO]]="","",TEXT(LANÇ_MOV[[#This Row],[DATA DE VENCIMENTO]],"D"))</f>
        <v/>
      </c>
      <c r="AI919" s="526" t="str">
        <f>IF(LANÇ_MOV[[#This Row],[DATA DE PAGAMENTO]]="","",TEXT(LANÇ_MOV[[#This Row],[DATA DE PAGAMENTO]],"AAAA"))</f>
        <v/>
      </c>
      <c r="AJ919" s="527" t="str">
        <f>IF(LANÇ_MOV[[#This Row],[DATA DE PAGAMENTO]]="","",UPPER(TEXT(LANÇ_MOV[[#This Row],[DATA DE PAGAMENTO]],"MMMM")))</f>
        <v/>
      </c>
      <c r="AK919" s="527" t="str">
        <f>IF(LANÇ_MOV[[#This Row],[DATA DE PAGAMENTO]]="","",TEXT(LANÇ_MOV[[#This Row],[DATA DE PAGAMENTO]],"M"))</f>
        <v/>
      </c>
      <c r="AL919" s="526" t="str">
        <f>IF(LANÇ_MOV[[#This Row],[DATA DE PAGAMENTO]]="","",TEXT(LANÇ_MOV[[#This Row],[DATA DE PAGAMENTO]],"D"))</f>
        <v/>
      </c>
    </row>
    <row r="920" spans="2:38" ht="30.05" customHeight="1" x14ac:dyDescent="0.35">
      <c r="B920" s="506"/>
      <c r="C920" s="507"/>
      <c r="D920" s="508" t="s">
        <v>1854</v>
      </c>
      <c r="E920" s="509"/>
      <c r="F920" s="510"/>
      <c r="G920" s="507"/>
      <c r="H920" s="511"/>
      <c r="I920" s="512"/>
      <c r="J920" s="518"/>
      <c r="K920" s="510"/>
      <c r="L920" s="510"/>
      <c r="M920" s="548"/>
      <c r="N920" s="514">
        <f>LANÇ_MOV[[#This Row],[VALOR BRUTO]]-LANÇ_MOV[[#This Row],[DESCONTO]]+LANÇ_MOV[[#This Row],[JUROS]]+LANÇ_MOV[[#This Row],[MULTA]]</f>
        <v>0</v>
      </c>
      <c r="O920" s="546"/>
      <c r="P920" s="547" t="str">
        <f t="shared" ca="1" si="14"/>
        <v/>
      </c>
      <c r="Q920" s="528"/>
      <c r="R920" s="529"/>
      <c r="S920" s="518"/>
      <c r="T920" s="518"/>
      <c r="U920" s="519"/>
      <c r="V920" s="520" t="str">
        <f>IFERROR(VLOOKUP(LANÇ_MOV[[#This Row],[PLANO DE CONTAS]],Plano_Contas[[PLANO DE CONTAS]:[R / D]],3,0),"")</f>
        <v/>
      </c>
      <c r="W920" s="521" t="str">
        <f>IF(LANÇ_MOV[[#This Row],[DATA DE PAGAMENTO]]&lt;&gt;"","Pago","Não Pago")</f>
        <v>Não Pago</v>
      </c>
      <c r="X920" s="522" t="str">
        <f>IFERROR(IF(LANÇ_MOV[[#This Row],[DATA DE PAGAMENTO]]="","",(UPPER(TEXT(LANÇ_MOV[[#This Row],[DATA DE PAGAMENTO]],"mmmm")))),"")</f>
        <v/>
      </c>
      <c r="Y920" s="523" t="str">
        <f>IFERROR(VLOOKUP(LANÇ_MOV[[#This Row],[PLANO DE CONTAS]],Plano_Contas[[PLANO DE CONTAS]:[NOMES INTERVALOS]],2,0),"")</f>
        <v/>
      </c>
      <c r="Z920" s="523" t="str">
        <f>IF(LANÇ_MOV[[#This Row],[FORMA DE PAGAMENTO]]="","",VLOOKUP(LANÇ_MOV[[#This Row],[FORMA DE PAGAMENTO]],CAD_Forma_pagto[],2,0))</f>
        <v/>
      </c>
      <c r="AA920" s="524" t="str">
        <f>IF(LANÇ_MOV[[#This Row],[DATA DE LANÇAMENTO]]="","",TEXT(LANÇ_MOV[[#This Row],[DATA DE LANÇAMENTO]],"AAAA"))</f>
        <v/>
      </c>
      <c r="AB920" s="524" t="str">
        <f>IF(LANÇ_MOV[[#This Row],[DATA DE LANÇAMENTO]]="","",UPPER(TEXT(LANÇ_MOV[[#This Row],[DATA DE LANÇAMENTO]],"MMMM")))</f>
        <v/>
      </c>
      <c r="AC920" s="525" t="str">
        <f>IF(LANÇ_MOV[[#This Row],[DATA DE LANÇAMENTO]]="","",PROPER(TEXT(LANÇ_MOV[[#This Row],[DATA DE LANÇAMENTO]],"M")))</f>
        <v/>
      </c>
      <c r="AD920" s="524" t="str">
        <f>IF(LANÇ_MOV[[#This Row],[DATA DE LANÇAMENTO]]="","",TEXT(LANÇ_MOV[[#This Row],[DATA DE LANÇAMENTO]],"D"))</f>
        <v/>
      </c>
      <c r="AE920" s="526" t="str">
        <f>IF(LANÇ_MOV[[#This Row],[DATA DE VENCIMENTO]]="","",TEXT(LANÇ_MOV[[#This Row],[DATA DE VENCIMENTO]],"AAAA"))</f>
        <v/>
      </c>
      <c r="AF920" s="526" t="str">
        <f>IF(LANÇ_MOV[[#This Row],[DATA DE VENCIMENTO]]="","",UPPER(TEXT(LANÇ_MOV[[#This Row],[DATA DE VENCIMENTO]],"MMMM")))</f>
        <v/>
      </c>
      <c r="AG920" s="526" t="str">
        <f>IF(LANÇ_MOV[[#This Row],[DATA DE VENCIMENTO]]="","",TEXT(LANÇ_MOV[[#This Row],[DATA DE VENCIMENTO]],"M"))</f>
        <v/>
      </c>
      <c r="AH920" s="526" t="str">
        <f>IF(LANÇ_MOV[[#This Row],[DATA DE VENCIMENTO]]="","",TEXT(LANÇ_MOV[[#This Row],[DATA DE VENCIMENTO]],"D"))</f>
        <v/>
      </c>
      <c r="AI920" s="526" t="str">
        <f>IF(LANÇ_MOV[[#This Row],[DATA DE PAGAMENTO]]="","",TEXT(LANÇ_MOV[[#This Row],[DATA DE PAGAMENTO]],"AAAA"))</f>
        <v/>
      </c>
      <c r="AJ920" s="527" t="str">
        <f>IF(LANÇ_MOV[[#This Row],[DATA DE PAGAMENTO]]="","",UPPER(TEXT(LANÇ_MOV[[#This Row],[DATA DE PAGAMENTO]],"MMMM")))</f>
        <v/>
      </c>
      <c r="AK920" s="527" t="str">
        <f>IF(LANÇ_MOV[[#This Row],[DATA DE PAGAMENTO]]="","",TEXT(LANÇ_MOV[[#This Row],[DATA DE PAGAMENTO]],"M"))</f>
        <v/>
      </c>
      <c r="AL920" s="526" t="str">
        <f>IF(LANÇ_MOV[[#This Row],[DATA DE PAGAMENTO]]="","",TEXT(LANÇ_MOV[[#This Row],[DATA DE PAGAMENTO]],"D"))</f>
        <v/>
      </c>
    </row>
    <row r="921" spans="2:38" ht="30.05" customHeight="1" x14ac:dyDescent="0.35">
      <c r="B921" s="506"/>
      <c r="C921" s="507"/>
      <c r="D921" s="508" t="s">
        <v>1854</v>
      </c>
      <c r="E921" s="509"/>
      <c r="F921" s="510"/>
      <c r="G921" s="507"/>
      <c r="H921" s="511"/>
      <c r="I921" s="512"/>
      <c r="J921" s="518"/>
      <c r="K921" s="510"/>
      <c r="L921" s="510"/>
      <c r="M921" s="548"/>
      <c r="N921" s="514">
        <f>LANÇ_MOV[[#This Row],[VALOR BRUTO]]-LANÇ_MOV[[#This Row],[DESCONTO]]+LANÇ_MOV[[#This Row],[JUROS]]+LANÇ_MOV[[#This Row],[MULTA]]</f>
        <v>0</v>
      </c>
      <c r="O921" s="546"/>
      <c r="P921" s="547" t="str">
        <f t="shared" ca="1" si="14"/>
        <v/>
      </c>
      <c r="Q921" s="528"/>
      <c r="R921" s="529"/>
      <c r="S921" s="518"/>
      <c r="T921" s="518"/>
      <c r="U921" s="519"/>
      <c r="V921" s="520" t="str">
        <f>IFERROR(VLOOKUP(LANÇ_MOV[[#This Row],[PLANO DE CONTAS]],Plano_Contas[[PLANO DE CONTAS]:[R / D]],3,0),"")</f>
        <v/>
      </c>
      <c r="W921" s="521" t="str">
        <f>IF(LANÇ_MOV[[#This Row],[DATA DE PAGAMENTO]]&lt;&gt;"","Pago","Não Pago")</f>
        <v>Não Pago</v>
      </c>
      <c r="X921" s="522" t="str">
        <f>IFERROR(IF(LANÇ_MOV[[#This Row],[DATA DE PAGAMENTO]]="","",(UPPER(TEXT(LANÇ_MOV[[#This Row],[DATA DE PAGAMENTO]],"mmmm")))),"")</f>
        <v/>
      </c>
      <c r="Y921" s="523" t="str">
        <f>IFERROR(VLOOKUP(LANÇ_MOV[[#This Row],[PLANO DE CONTAS]],Plano_Contas[[PLANO DE CONTAS]:[NOMES INTERVALOS]],2,0),"")</f>
        <v/>
      </c>
      <c r="Z921" s="523" t="str">
        <f>IF(LANÇ_MOV[[#This Row],[FORMA DE PAGAMENTO]]="","",VLOOKUP(LANÇ_MOV[[#This Row],[FORMA DE PAGAMENTO]],CAD_Forma_pagto[],2,0))</f>
        <v/>
      </c>
      <c r="AA921" s="524" t="str">
        <f>IF(LANÇ_MOV[[#This Row],[DATA DE LANÇAMENTO]]="","",TEXT(LANÇ_MOV[[#This Row],[DATA DE LANÇAMENTO]],"AAAA"))</f>
        <v/>
      </c>
      <c r="AB921" s="524" t="str">
        <f>IF(LANÇ_MOV[[#This Row],[DATA DE LANÇAMENTO]]="","",UPPER(TEXT(LANÇ_MOV[[#This Row],[DATA DE LANÇAMENTO]],"MMMM")))</f>
        <v/>
      </c>
      <c r="AC921" s="525" t="str">
        <f>IF(LANÇ_MOV[[#This Row],[DATA DE LANÇAMENTO]]="","",PROPER(TEXT(LANÇ_MOV[[#This Row],[DATA DE LANÇAMENTO]],"M")))</f>
        <v/>
      </c>
      <c r="AD921" s="524" t="str">
        <f>IF(LANÇ_MOV[[#This Row],[DATA DE LANÇAMENTO]]="","",TEXT(LANÇ_MOV[[#This Row],[DATA DE LANÇAMENTO]],"D"))</f>
        <v/>
      </c>
      <c r="AE921" s="526" t="str">
        <f>IF(LANÇ_MOV[[#This Row],[DATA DE VENCIMENTO]]="","",TEXT(LANÇ_MOV[[#This Row],[DATA DE VENCIMENTO]],"AAAA"))</f>
        <v/>
      </c>
      <c r="AF921" s="526" t="str">
        <f>IF(LANÇ_MOV[[#This Row],[DATA DE VENCIMENTO]]="","",UPPER(TEXT(LANÇ_MOV[[#This Row],[DATA DE VENCIMENTO]],"MMMM")))</f>
        <v/>
      </c>
      <c r="AG921" s="526" t="str">
        <f>IF(LANÇ_MOV[[#This Row],[DATA DE VENCIMENTO]]="","",TEXT(LANÇ_MOV[[#This Row],[DATA DE VENCIMENTO]],"M"))</f>
        <v/>
      </c>
      <c r="AH921" s="526" t="str">
        <f>IF(LANÇ_MOV[[#This Row],[DATA DE VENCIMENTO]]="","",TEXT(LANÇ_MOV[[#This Row],[DATA DE VENCIMENTO]],"D"))</f>
        <v/>
      </c>
      <c r="AI921" s="526" t="str">
        <f>IF(LANÇ_MOV[[#This Row],[DATA DE PAGAMENTO]]="","",TEXT(LANÇ_MOV[[#This Row],[DATA DE PAGAMENTO]],"AAAA"))</f>
        <v/>
      </c>
      <c r="AJ921" s="527" t="str">
        <f>IF(LANÇ_MOV[[#This Row],[DATA DE PAGAMENTO]]="","",UPPER(TEXT(LANÇ_MOV[[#This Row],[DATA DE PAGAMENTO]],"MMMM")))</f>
        <v/>
      </c>
      <c r="AK921" s="527" t="str">
        <f>IF(LANÇ_MOV[[#This Row],[DATA DE PAGAMENTO]]="","",TEXT(LANÇ_MOV[[#This Row],[DATA DE PAGAMENTO]],"M"))</f>
        <v/>
      </c>
      <c r="AL921" s="526" t="str">
        <f>IF(LANÇ_MOV[[#This Row],[DATA DE PAGAMENTO]]="","",TEXT(LANÇ_MOV[[#This Row],[DATA DE PAGAMENTO]],"D"))</f>
        <v/>
      </c>
    </row>
    <row r="922" spans="2:38" ht="30.05" customHeight="1" x14ac:dyDescent="0.35">
      <c r="B922" s="506"/>
      <c r="C922" s="507"/>
      <c r="D922" s="508" t="s">
        <v>1854</v>
      </c>
      <c r="E922" s="509"/>
      <c r="F922" s="510"/>
      <c r="G922" s="507"/>
      <c r="H922" s="511"/>
      <c r="I922" s="512"/>
      <c r="J922" s="518"/>
      <c r="K922" s="510"/>
      <c r="L922" s="510"/>
      <c r="M922" s="548"/>
      <c r="N922" s="514">
        <f>LANÇ_MOV[[#This Row],[VALOR BRUTO]]-LANÇ_MOV[[#This Row],[DESCONTO]]+LANÇ_MOV[[#This Row],[JUROS]]+LANÇ_MOV[[#This Row],[MULTA]]</f>
        <v>0</v>
      </c>
      <c r="O922" s="546"/>
      <c r="P922" s="547" t="str">
        <f t="shared" ca="1" si="14"/>
        <v/>
      </c>
      <c r="Q922" s="528"/>
      <c r="R922" s="529"/>
      <c r="S922" s="518"/>
      <c r="T922" s="518"/>
      <c r="U922" s="519"/>
      <c r="V922" s="520" t="str">
        <f>IFERROR(VLOOKUP(LANÇ_MOV[[#This Row],[PLANO DE CONTAS]],Plano_Contas[[PLANO DE CONTAS]:[R / D]],3,0),"")</f>
        <v/>
      </c>
      <c r="W922" s="521" t="str">
        <f>IF(LANÇ_MOV[[#This Row],[DATA DE PAGAMENTO]]&lt;&gt;"","Pago","Não Pago")</f>
        <v>Não Pago</v>
      </c>
      <c r="X922" s="522" t="str">
        <f>IFERROR(IF(LANÇ_MOV[[#This Row],[DATA DE PAGAMENTO]]="","",(UPPER(TEXT(LANÇ_MOV[[#This Row],[DATA DE PAGAMENTO]],"mmmm")))),"")</f>
        <v/>
      </c>
      <c r="Y922" s="523" t="str">
        <f>IFERROR(VLOOKUP(LANÇ_MOV[[#This Row],[PLANO DE CONTAS]],Plano_Contas[[PLANO DE CONTAS]:[NOMES INTERVALOS]],2,0),"")</f>
        <v/>
      </c>
      <c r="Z922" s="523" t="str">
        <f>IF(LANÇ_MOV[[#This Row],[FORMA DE PAGAMENTO]]="","",VLOOKUP(LANÇ_MOV[[#This Row],[FORMA DE PAGAMENTO]],CAD_Forma_pagto[],2,0))</f>
        <v/>
      </c>
      <c r="AA922" s="524" t="str">
        <f>IF(LANÇ_MOV[[#This Row],[DATA DE LANÇAMENTO]]="","",TEXT(LANÇ_MOV[[#This Row],[DATA DE LANÇAMENTO]],"AAAA"))</f>
        <v/>
      </c>
      <c r="AB922" s="524" t="str">
        <f>IF(LANÇ_MOV[[#This Row],[DATA DE LANÇAMENTO]]="","",UPPER(TEXT(LANÇ_MOV[[#This Row],[DATA DE LANÇAMENTO]],"MMMM")))</f>
        <v/>
      </c>
      <c r="AC922" s="525" t="str">
        <f>IF(LANÇ_MOV[[#This Row],[DATA DE LANÇAMENTO]]="","",PROPER(TEXT(LANÇ_MOV[[#This Row],[DATA DE LANÇAMENTO]],"M")))</f>
        <v/>
      </c>
      <c r="AD922" s="524" t="str">
        <f>IF(LANÇ_MOV[[#This Row],[DATA DE LANÇAMENTO]]="","",TEXT(LANÇ_MOV[[#This Row],[DATA DE LANÇAMENTO]],"D"))</f>
        <v/>
      </c>
      <c r="AE922" s="526" t="str">
        <f>IF(LANÇ_MOV[[#This Row],[DATA DE VENCIMENTO]]="","",TEXT(LANÇ_MOV[[#This Row],[DATA DE VENCIMENTO]],"AAAA"))</f>
        <v/>
      </c>
      <c r="AF922" s="526" t="str">
        <f>IF(LANÇ_MOV[[#This Row],[DATA DE VENCIMENTO]]="","",UPPER(TEXT(LANÇ_MOV[[#This Row],[DATA DE VENCIMENTO]],"MMMM")))</f>
        <v/>
      </c>
      <c r="AG922" s="526" t="str">
        <f>IF(LANÇ_MOV[[#This Row],[DATA DE VENCIMENTO]]="","",TEXT(LANÇ_MOV[[#This Row],[DATA DE VENCIMENTO]],"M"))</f>
        <v/>
      </c>
      <c r="AH922" s="526" t="str">
        <f>IF(LANÇ_MOV[[#This Row],[DATA DE VENCIMENTO]]="","",TEXT(LANÇ_MOV[[#This Row],[DATA DE VENCIMENTO]],"D"))</f>
        <v/>
      </c>
      <c r="AI922" s="526" t="str">
        <f>IF(LANÇ_MOV[[#This Row],[DATA DE PAGAMENTO]]="","",TEXT(LANÇ_MOV[[#This Row],[DATA DE PAGAMENTO]],"AAAA"))</f>
        <v/>
      </c>
      <c r="AJ922" s="527" t="str">
        <f>IF(LANÇ_MOV[[#This Row],[DATA DE PAGAMENTO]]="","",UPPER(TEXT(LANÇ_MOV[[#This Row],[DATA DE PAGAMENTO]],"MMMM")))</f>
        <v/>
      </c>
      <c r="AK922" s="527" t="str">
        <f>IF(LANÇ_MOV[[#This Row],[DATA DE PAGAMENTO]]="","",TEXT(LANÇ_MOV[[#This Row],[DATA DE PAGAMENTO]],"M"))</f>
        <v/>
      </c>
      <c r="AL922" s="526" t="str">
        <f>IF(LANÇ_MOV[[#This Row],[DATA DE PAGAMENTO]]="","",TEXT(LANÇ_MOV[[#This Row],[DATA DE PAGAMENTO]],"D"))</f>
        <v/>
      </c>
    </row>
    <row r="923" spans="2:38" ht="30.05" customHeight="1" x14ac:dyDescent="0.35">
      <c r="B923" s="506"/>
      <c r="C923" s="507"/>
      <c r="D923" s="508" t="s">
        <v>1854</v>
      </c>
      <c r="E923" s="509"/>
      <c r="F923" s="510"/>
      <c r="G923" s="507"/>
      <c r="H923" s="511"/>
      <c r="I923" s="512"/>
      <c r="J923" s="518"/>
      <c r="K923" s="510"/>
      <c r="L923" s="510"/>
      <c r="M923" s="548"/>
      <c r="N923" s="514">
        <f>LANÇ_MOV[[#This Row],[VALOR BRUTO]]-LANÇ_MOV[[#This Row],[DESCONTO]]+LANÇ_MOV[[#This Row],[JUROS]]+LANÇ_MOV[[#This Row],[MULTA]]</f>
        <v>0</v>
      </c>
      <c r="O923" s="546"/>
      <c r="P923" s="547" t="str">
        <f t="shared" ca="1" si="14"/>
        <v/>
      </c>
      <c r="Q923" s="528"/>
      <c r="R923" s="529"/>
      <c r="S923" s="518"/>
      <c r="T923" s="518"/>
      <c r="U923" s="519"/>
      <c r="V923" s="520" t="str">
        <f>IFERROR(VLOOKUP(LANÇ_MOV[[#This Row],[PLANO DE CONTAS]],Plano_Contas[[PLANO DE CONTAS]:[R / D]],3,0),"")</f>
        <v/>
      </c>
      <c r="W923" s="521" t="str">
        <f>IF(LANÇ_MOV[[#This Row],[DATA DE PAGAMENTO]]&lt;&gt;"","Pago","Não Pago")</f>
        <v>Não Pago</v>
      </c>
      <c r="X923" s="522" t="str">
        <f>IFERROR(IF(LANÇ_MOV[[#This Row],[DATA DE PAGAMENTO]]="","",(UPPER(TEXT(LANÇ_MOV[[#This Row],[DATA DE PAGAMENTO]],"mmmm")))),"")</f>
        <v/>
      </c>
      <c r="Y923" s="523" t="str">
        <f>IFERROR(VLOOKUP(LANÇ_MOV[[#This Row],[PLANO DE CONTAS]],Plano_Contas[[PLANO DE CONTAS]:[NOMES INTERVALOS]],2,0),"")</f>
        <v/>
      </c>
      <c r="Z923" s="523" t="str">
        <f>IF(LANÇ_MOV[[#This Row],[FORMA DE PAGAMENTO]]="","",VLOOKUP(LANÇ_MOV[[#This Row],[FORMA DE PAGAMENTO]],CAD_Forma_pagto[],2,0))</f>
        <v/>
      </c>
      <c r="AA923" s="524" t="str">
        <f>IF(LANÇ_MOV[[#This Row],[DATA DE LANÇAMENTO]]="","",TEXT(LANÇ_MOV[[#This Row],[DATA DE LANÇAMENTO]],"AAAA"))</f>
        <v/>
      </c>
      <c r="AB923" s="524" t="str">
        <f>IF(LANÇ_MOV[[#This Row],[DATA DE LANÇAMENTO]]="","",UPPER(TEXT(LANÇ_MOV[[#This Row],[DATA DE LANÇAMENTO]],"MMMM")))</f>
        <v/>
      </c>
      <c r="AC923" s="525" t="str">
        <f>IF(LANÇ_MOV[[#This Row],[DATA DE LANÇAMENTO]]="","",PROPER(TEXT(LANÇ_MOV[[#This Row],[DATA DE LANÇAMENTO]],"M")))</f>
        <v/>
      </c>
      <c r="AD923" s="524" t="str">
        <f>IF(LANÇ_MOV[[#This Row],[DATA DE LANÇAMENTO]]="","",TEXT(LANÇ_MOV[[#This Row],[DATA DE LANÇAMENTO]],"D"))</f>
        <v/>
      </c>
      <c r="AE923" s="526" t="str">
        <f>IF(LANÇ_MOV[[#This Row],[DATA DE VENCIMENTO]]="","",TEXT(LANÇ_MOV[[#This Row],[DATA DE VENCIMENTO]],"AAAA"))</f>
        <v/>
      </c>
      <c r="AF923" s="526" t="str">
        <f>IF(LANÇ_MOV[[#This Row],[DATA DE VENCIMENTO]]="","",UPPER(TEXT(LANÇ_MOV[[#This Row],[DATA DE VENCIMENTO]],"MMMM")))</f>
        <v/>
      </c>
      <c r="AG923" s="526" t="str">
        <f>IF(LANÇ_MOV[[#This Row],[DATA DE VENCIMENTO]]="","",TEXT(LANÇ_MOV[[#This Row],[DATA DE VENCIMENTO]],"M"))</f>
        <v/>
      </c>
      <c r="AH923" s="526" t="str">
        <f>IF(LANÇ_MOV[[#This Row],[DATA DE VENCIMENTO]]="","",TEXT(LANÇ_MOV[[#This Row],[DATA DE VENCIMENTO]],"D"))</f>
        <v/>
      </c>
      <c r="AI923" s="526" t="str">
        <f>IF(LANÇ_MOV[[#This Row],[DATA DE PAGAMENTO]]="","",TEXT(LANÇ_MOV[[#This Row],[DATA DE PAGAMENTO]],"AAAA"))</f>
        <v/>
      </c>
      <c r="AJ923" s="527" t="str">
        <f>IF(LANÇ_MOV[[#This Row],[DATA DE PAGAMENTO]]="","",UPPER(TEXT(LANÇ_MOV[[#This Row],[DATA DE PAGAMENTO]],"MMMM")))</f>
        <v/>
      </c>
      <c r="AK923" s="527" t="str">
        <f>IF(LANÇ_MOV[[#This Row],[DATA DE PAGAMENTO]]="","",TEXT(LANÇ_MOV[[#This Row],[DATA DE PAGAMENTO]],"M"))</f>
        <v/>
      </c>
      <c r="AL923" s="526" t="str">
        <f>IF(LANÇ_MOV[[#This Row],[DATA DE PAGAMENTO]]="","",TEXT(LANÇ_MOV[[#This Row],[DATA DE PAGAMENTO]],"D"))</f>
        <v/>
      </c>
    </row>
    <row r="924" spans="2:38" ht="30.05" customHeight="1" x14ac:dyDescent="0.35">
      <c r="B924" s="506"/>
      <c r="C924" s="507"/>
      <c r="D924" s="508" t="s">
        <v>1854</v>
      </c>
      <c r="E924" s="509"/>
      <c r="F924" s="510"/>
      <c r="G924" s="507"/>
      <c r="H924" s="511"/>
      <c r="I924" s="512"/>
      <c r="J924" s="518"/>
      <c r="K924" s="510"/>
      <c r="L924" s="510"/>
      <c r="M924" s="548"/>
      <c r="N924" s="514">
        <f>LANÇ_MOV[[#This Row],[VALOR BRUTO]]-LANÇ_MOV[[#This Row],[DESCONTO]]+LANÇ_MOV[[#This Row],[JUROS]]+LANÇ_MOV[[#This Row],[MULTA]]</f>
        <v>0</v>
      </c>
      <c r="O924" s="546"/>
      <c r="P924" s="547" t="str">
        <f t="shared" ca="1" si="14"/>
        <v/>
      </c>
      <c r="Q924" s="528"/>
      <c r="R924" s="529"/>
      <c r="S924" s="518"/>
      <c r="T924" s="518"/>
      <c r="U924" s="519"/>
      <c r="V924" s="520" t="str">
        <f>IFERROR(VLOOKUP(LANÇ_MOV[[#This Row],[PLANO DE CONTAS]],Plano_Contas[[PLANO DE CONTAS]:[R / D]],3,0),"")</f>
        <v/>
      </c>
      <c r="W924" s="521" t="str">
        <f>IF(LANÇ_MOV[[#This Row],[DATA DE PAGAMENTO]]&lt;&gt;"","Pago","Não Pago")</f>
        <v>Não Pago</v>
      </c>
      <c r="X924" s="522" t="str">
        <f>IFERROR(IF(LANÇ_MOV[[#This Row],[DATA DE PAGAMENTO]]="","",(UPPER(TEXT(LANÇ_MOV[[#This Row],[DATA DE PAGAMENTO]],"mmmm")))),"")</f>
        <v/>
      </c>
      <c r="Y924" s="523" t="str">
        <f>IFERROR(VLOOKUP(LANÇ_MOV[[#This Row],[PLANO DE CONTAS]],Plano_Contas[[PLANO DE CONTAS]:[NOMES INTERVALOS]],2,0),"")</f>
        <v/>
      </c>
      <c r="Z924" s="523" t="str">
        <f>IF(LANÇ_MOV[[#This Row],[FORMA DE PAGAMENTO]]="","",VLOOKUP(LANÇ_MOV[[#This Row],[FORMA DE PAGAMENTO]],CAD_Forma_pagto[],2,0))</f>
        <v/>
      </c>
      <c r="AA924" s="524" t="str">
        <f>IF(LANÇ_MOV[[#This Row],[DATA DE LANÇAMENTO]]="","",TEXT(LANÇ_MOV[[#This Row],[DATA DE LANÇAMENTO]],"AAAA"))</f>
        <v/>
      </c>
      <c r="AB924" s="524" t="str">
        <f>IF(LANÇ_MOV[[#This Row],[DATA DE LANÇAMENTO]]="","",UPPER(TEXT(LANÇ_MOV[[#This Row],[DATA DE LANÇAMENTO]],"MMMM")))</f>
        <v/>
      </c>
      <c r="AC924" s="525" t="str">
        <f>IF(LANÇ_MOV[[#This Row],[DATA DE LANÇAMENTO]]="","",PROPER(TEXT(LANÇ_MOV[[#This Row],[DATA DE LANÇAMENTO]],"M")))</f>
        <v/>
      </c>
      <c r="AD924" s="524" t="str">
        <f>IF(LANÇ_MOV[[#This Row],[DATA DE LANÇAMENTO]]="","",TEXT(LANÇ_MOV[[#This Row],[DATA DE LANÇAMENTO]],"D"))</f>
        <v/>
      </c>
      <c r="AE924" s="526" t="str">
        <f>IF(LANÇ_MOV[[#This Row],[DATA DE VENCIMENTO]]="","",TEXT(LANÇ_MOV[[#This Row],[DATA DE VENCIMENTO]],"AAAA"))</f>
        <v/>
      </c>
      <c r="AF924" s="526" t="str">
        <f>IF(LANÇ_MOV[[#This Row],[DATA DE VENCIMENTO]]="","",UPPER(TEXT(LANÇ_MOV[[#This Row],[DATA DE VENCIMENTO]],"MMMM")))</f>
        <v/>
      </c>
      <c r="AG924" s="526" t="str">
        <f>IF(LANÇ_MOV[[#This Row],[DATA DE VENCIMENTO]]="","",TEXT(LANÇ_MOV[[#This Row],[DATA DE VENCIMENTO]],"M"))</f>
        <v/>
      </c>
      <c r="AH924" s="526" t="str">
        <f>IF(LANÇ_MOV[[#This Row],[DATA DE VENCIMENTO]]="","",TEXT(LANÇ_MOV[[#This Row],[DATA DE VENCIMENTO]],"D"))</f>
        <v/>
      </c>
      <c r="AI924" s="526" t="str">
        <f>IF(LANÇ_MOV[[#This Row],[DATA DE PAGAMENTO]]="","",TEXT(LANÇ_MOV[[#This Row],[DATA DE PAGAMENTO]],"AAAA"))</f>
        <v/>
      </c>
      <c r="AJ924" s="527" t="str">
        <f>IF(LANÇ_MOV[[#This Row],[DATA DE PAGAMENTO]]="","",UPPER(TEXT(LANÇ_MOV[[#This Row],[DATA DE PAGAMENTO]],"MMMM")))</f>
        <v/>
      </c>
      <c r="AK924" s="527" t="str">
        <f>IF(LANÇ_MOV[[#This Row],[DATA DE PAGAMENTO]]="","",TEXT(LANÇ_MOV[[#This Row],[DATA DE PAGAMENTO]],"M"))</f>
        <v/>
      </c>
      <c r="AL924" s="526" t="str">
        <f>IF(LANÇ_MOV[[#This Row],[DATA DE PAGAMENTO]]="","",TEXT(LANÇ_MOV[[#This Row],[DATA DE PAGAMENTO]],"D"))</f>
        <v/>
      </c>
    </row>
    <row r="925" spans="2:38" ht="30.05" customHeight="1" x14ac:dyDescent="0.35">
      <c r="B925" s="506"/>
      <c r="C925" s="507"/>
      <c r="D925" s="508" t="s">
        <v>1854</v>
      </c>
      <c r="E925" s="509"/>
      <c r="F925" s="510"/>
      <c r="G925" s="507"/>
      <c r="H925" s="511"/>
      <c r="I925" s="512"/>
      <c r="J925" s="518"/>
      <c r="K925" s="510"/>
      <c r="L925" s="510"/>
      <c r="M925" s="548"/>
      <c r="N925" s="514">
        <f>LANÇ_MOV[[#This Row],[VALOR BRUTO]]-LANÇ_MOV[[#This Row],[DESCONTO]]+LANÇ_MOV[[#This Row],[JUROS]]+LANÇ_MOV[[#This Row],[MULTA]]</f>
        <v>0</v>
      </c>
      <c r="O925" s="546"/>
      <c r="P925" s="547" t="str">
        <f t="shared" ca="1" si="14"/>
        <v/>
      </c>
      <c r="Q925" s="528"/>
      <c r="R925" s="529"/>
      <c r="S925" s="518"/>
      <c r="T925" s="518"/>
      <c r="U925" s="519"/>
      <c r="V925" s="520" t="str">
        <f>IFERROR(VLOOKUP(LANÇ_MOV[[#This Row],[PLANO DE CONTAS]],Plano_Contas[[PLANO DE CONTAS]:[R / D]],3,0),"")</f>
        <v/>
      </c>
      <c r="W925" s="521" t="str">
        <f>IF(LANÇ_MOV[[#This Row],[DATA DE PAGAMENTO]]&lt;&gt;"","Pago","Não Pago")</f>
        <v>Não Pago</v>
      </c>
      <c r="X925" s="522" t="str">
        <f>IFERROR(IF(LANÇ_MOV[[#This Row],[DATA DE PAGAMENTO]]="","",(UPPER(TEXT(LANÇ_MOV[[#This Row],[DATA DE PAGAMENTO]],"mmmm")))),"")</f>
        <v/>
      </c>
      <c r="Y925" s="523" t="str">
        <f>IFERROR(VLOOKUP(LANÇ_MOV[[#This Row],[PLANO DE CONTAS]],Plano_Contas[[PLANO DE CONTAS]:[NOMES INTERVALOS]],2,0),"")</f>
        <v/>
      </c>
      <c r="Z925" s="523" t="str">
        <f>IF(LANÇ_MOV[[#This Row],[FORMA DE PAGAMENTO]]="","",VLOOKUP(LANÇ_MOV[[#This Row],[FORMA DE PAGAMENTO]],CAD_Forma_pagto[],2,0))</f>
        <v/>
      </c>
      <c r="AA925" s="524" t="str">
        <f>IF(LANÇ_MOV[[#This Row],[DATA DE LANÇAMENTO]]="","",TEXT(LANÇ_MOV[[#This Row],[DATA DE LANÇAMENTO]],"AAAA"))</f>
        <v/>
      </c>
      <c r="AB925" s="524" t="str">
        <f>IF(LANÇ_MOV[[#This Row],[DATA DE LANÇAMENTO]]="","",UPPER(TEXT(LANÇ_MOV[[#This Row],[DATA DE LANÇAMENTO]],"MMMM")))</f>
        <v/>
      </c>
      <c r="AC925" s="525" t="str">
        <f>IF(LANÇ_MOV[[#This Row],[DATA DE LANÇAMENTO]]="","",PROPER(TEXT(LANÇ_MOV[[#This Row],[DATA DE LANÇAMENTO]],"M")))</f>
        <v/>
      </c>
      <c r="AD925" s="524" t="str">
        <f>IF(LANÇ_MOV[[#This Row],[DATA DE LANÇAMENTO]]="","",TEXT(LANÇ_MOV[[#This Row],[DATA DE LANÇAMENTO]],"D"))</f>
        <v/>
      </c>
      <c r="AE925" s="526" t="str">
        <f>IF(LANÇ_MOV[[#This Row],[DATA DE VENCIMENTO]]="","",TEXT(LANÇ_MOV[[#This Row],[DATA DE VENCIMENTO]],"AAAA"))</f>
        <v/>
      </c>
      <c r="AF925" s="526" t="str">
        <f>IF(LANÇ_MOV[[#This Row],[DATA DE VENCIMENTO]]="","",UPPER(TEXT(LANÇ_MOV[[#This Row],[DATA DE VENCIMENTO]],"MMMM")))</f>
        <v/>
      </c>
      <c r="AG925" s="526" t="str">
        <f>IF(LANÇ_MOV[[#This Row],[DATA DE VENCIMENTO]]="","",TEXT(LANÇ_MOV[[#This Row],[DATA DE VENCIMENTO]],"M"))</f>
        <v/>
      </c>
      <c r="AH925" s="526" t="str">
        <f>IF(LANÇ_MOV[[#This Row],[DATA DE VENCIMENTO]]="","",TEXT(LANÇ_MOV[[#This Row],[DATA DE VENCIMENTO]],"D"))</f>
        <v/>
      </c>
      <c r="AI925" s="526" t="str">
        <f>IF(LANÇ_MOV[[#This Row],[DATA DE PAGAMENTO]]="","",TEXT(LANÇ_MOV[[#This Row],[DATA DE PAGAMENTO]],"AAAA"))</f>
        <v/>
      </c>
      <c r="AJ925" s="527" t="str">
        <f>IF(LANÇ_MOV[[#This Row],[DATA DE PAGAMENTO]]="","",UPPER(TEXT(LANÇ_MOV[[#This Row],[DATA DE PAGAMENTO]],"MMMM")))</f>
        <v/>
      </c>
      <c r="AK925" s="527" t="str">
        <f>IF(LANÇ_MOV[[#This Row],[DATA DE PAGAMENTO]]="","",TEXT(LANÇ_MOV[[#This Row],[DATA DE PAGAMENTO]],"M"))</f>
        <v/>
      </c>
      <c r="AL925" s="526" t="str">
        <f>IF(LANÇ_MOV[[#This Row],[DATA DE PAGAMENTO]]="","",TEXT(LANÇ_MOV[[#This Row],[DATA DE PAGAMENTO]],"D"))</f>
        <v/>
      </c>
    </row>
    <row r="926" spans="2:38" ht="30.05" customHeight="1" x14ac:dyDescent="0.35">
      <c r="B926" s="506"/>
      <c r="C926" s="507"/>
      <c r="D926" s="508" t="s">
        <v>1854</v>
      </c>
      <c r="E926" s="509"/>
      <c r="F926" s="510"/>
      <c r="G926" s="507"/>
      <c r="H926" s="511"/>
      <c r="I926" s="512"/>
      <c r="J926" s="518"/>
      <c r="K926" s="510"/>
      <c r="L926" s="510"/>
      <c r="M926" s="548"/>
      <c r="N926" s="514">
        <f>LANÇ_MOV[[#This Row],[VALOR BRUTO]]-LANÇ_MOV[[#This Row],[DESCONTO]]+LANÇ_MOV[[#This Row],[JUROS]]+LANÇ_MOV[[#This Row],[MULTA]]</f>
        <v>0</v>
      </c>
      <c r="O926" s="546"/>
      <c r="P926" s="547" t="str">
        <f t="shared" ca="1" si="14"/>
        <v/>
      </c>
      <c r="Q926" s="528"/>
      <c r="R926" s="529"/>
      <c r="S926" s="518"/>
      <c r="T926" s="518"/>
      <c r="U926" s="519"/>
      <c r="V926" s="520" t="str">
        <f>IFERROR(VLOOKUP(LANÇ_MOV[[#This Row],[PLANO DE CONTAS]],Plano_Contas[[PLANO DE CONTAS]:[R / D]],3,0),"")</f>
        <v/>
      </c>
      <c r="W926" s="521" t="str">
        <f>IF(LANÇ_MOV[[#This Row],[DATA DE PAGAMENTO]]&lt;&gt;"","Pago","Não Pago")</f>
        <v>Não Pago</v>
      </c>
      <c r="X926" s="522" t="str">
        <f>IFERROR(IF(LANÇ_MOV[[#This Row],[DATA DE PAGAMENTO]]="","",(UPPER(TEXT(LANÇ_MOV[[#This Row],[DATA DE PAGAMENTO]],"mmmm")))),"")</f>
        <v/>
      </c>
      <c r="Y926" s="523" t="str">
        <f>IFERROR(VLOOKUP(LANÇ_MOV[[#This Row],[PLANO DE CONTAS]],Plano_Contas[[PLANO DE CONTAS]:[NOMES INTERVALOS]],2,0),"")</f>
        <v/>
      </c>
      <c r="Z926" s="523" t="str">
        <f>IF(LANÇ_MOV[[#This Row],[FORMA DE PAGAMENTO]]="","",VLOOKUP(LANÇ_MOV[[#This Row],[FORMA DE PAGAMENTO]],CAD_Forma_pagto[],2,0))</f>
        <v/>
      </c>
      <c r="AA926" s="524" t="str">
        <f>IF(LANÇ_MOV[[#This Row],[DATA DE LANÇAMENTO]]="","",TEXT(LANÇ_MOV[[#This Row],[DATA DE LANÇAMENTO]],"AAAA"))</f>
        <v/>
      </c>
      <c r="AB926" s="524" t="str">
        <f>IF(LANÇ_MOV[[#This Row],[DATA DE LANÇAMENTO]]="","",UPPER(TEXT(LANÇ_MOV[[#This Row],[DATA DE LANÇAMENTO]],"MMMM")))</f>
        <v/>
      </c>
      <c r="AC926" s="525" t="str">
        <f>IF(LANÇ_MOV[[#This Row],[DATA DE LANÇAMENTO]]="","",PROPER(TEXT(LANÇ_MOV[[#This Row],[DATA DE LANÇAMENTO]],"M")))</f>
        <v/>
      </c>
      <c r="AD926" s="524" t="str">
        <f>IF(LANÇ_MOV[[#This Row],[DATA DE LANÇAMENTO]]="","",TEXT(LANÇ_MOV[[#This Row],[DATA DE LANÇAMENTO]],"D"))</f>
        <v/>
      </c>
      <c r="AE926" s="526" t="str">
        <f>IF(LANÇ_MOV[[#This Row],[DATA DE VENCIMENTO]]="","",TEXT(LANÇ_MOV[[#This Row],[DATA DE VENCIMENTO]],"AAAA"))</f>
        <v/>
      </c>
      <c r="AF926" s="526" t="str">
        <f>IF(LANÇ_MOV[[#This Row],[DATA DE VENCIMENTO]]="","",UPPER(TEXT(LANÇ_MOV[[#This Row],[DATA DE VENCIMENTO]],"MMMM")))</f>
        <v/>
      </c>
      <c r="AG926" s="526" t="str">
        <f>IF(LANÇ_MOV[[#This Row],[DATA DE VENCIMENTO]]="","",TEXT(LANÇ_MOV[[#This Row],[DATA DE VENCIMENTO]],"M"))</f>
        <v/>
      </c>
      <c r="AH926" s="526" t="str">
        <f>IF(LANÇ_MOV[[#This Row],[DATA DE VENCIMENTO]]="","",TEXT(LANÇ_MOV[[#This Row],[DATA DE VENCIMENTO]],"D"))</f>
        <v/>
      </c>
      <c r="AI926" s="526" t="str">
        <f>IF(LANÇ_MOV[[#This Row],[DATA DE PAGAMENTO]]="","",TEXT(LANÇ_MOV[[#This Row],[DATA DE PAGAMENTO]],"AAAA"))</f>
        <v/>
      </c>
      <c r="AJ926" s="527" t="str">
        <f>IF(LANÇ_MOV[[#This Row],[DATA DE PAGAMENTO]]="","",UPPER(TEXT(LANÇ_MOV[[#This Row],[DATA DE PAGAMENTO]],"MMMM")))</f>
        <v/>
      </c>
      <c r="AK926" s="527" t="str">
        <f>IF(LANÇ_MOV[[#This Row],[DATA DE PAGAMENTO]]="","",TEXT(LANÇ_MOV[[#This Row],[DATA DE PAGAMENTO]],"M"))</f>
        <v/>
      </c>
      <c r="AL926" s="526" t="str">
        <f>IF(LANÇ_MOV[[#This Row],[DATA DE PAGAMENTO]]="","",TEXT(LANÇ_MOV[[#This Row],[DATA DE PAGAMENTO]],"D"))</f>
        <v/>
      </c>
    </row>
    <row r="927" spans="2:38" ht="30.05" customHeight="1" x14ac:dyDescent="0.35">
      <c r="B927" s="506"/>
      <c r="C927" s="507"/>
      <c r="D927" s="508" t="s">
        <v>1854</v>
      </c>
      <c r="E927" s="509"/>
      <c r="F927" s="510"/>
      <c r="G927" s="507"/>
      <c r="H927" s="511"/>
      <c r="I927" s="512"/>
      <c r="J927" s="518"/>
      <c r="K927" s="510"/>
      <c r="L927" s="510"/>
      <c r="M927" s="548"/>
      <c r="N927" s="514">
        <f>LANÇ_MOV[[#This Row],[VALOR BRUTO]]-LANÇ_MOV[[#This Row],[DESCONTO]]+LANÇ_MOV[[#This Row],[JUROS]]+LANÇ_MOV[[#This Row],[MULTA]]</f>
        <v>0</v>
      </c>
      <c r="O927" s="546"/>
      <c r="P927" s="547" t="str">
        <f t="shared" ca="1" si="14"/>
        <v/>
      </c>
      <c r="Q927" s="528"/>
      <c r="R927" s="529"/>
      <c r="S927" s="518"/>
      <c r="T927" s="518"/>
      <c r="U927" s="519"/>
      <c r="V927" s="520" t="str">
        <f>IFERROR(VLOOKUP(LANÇ_MOV[[#This Row],[PLANO DE CONTAS]],Plano_Contas[[PLANO DE CONTAS]:[R / D]],3,0),"")</f>
        <v/>
      </c>
      <c r="W927" s="521" t="str">
        <f>IF(LANÇ_MOV[[#This Row],[DATA DE PAGAMENTO]]&lt;&gt;"","Pago","Não Pago")</f>
        <v>Não Pago</v>
      </c>
      <c r="X927" s="522" t="str">
        <f>IFERROR(IF(LANÇ_MOV[[#This Row],[DATA DE PAGAMENTO]]="","",(UPPER(TEXT(LANÇ_MOV[[#This Row],[DATA DE PAGAMENTO]],"mmmm")))),"")</f>
        <v/>
      </c>
      <c r="Y927" s="523" t="str">
        <f>IFERROR(VLOOKUP(LANÇ_MOV[[#This Row],[PLANO DE CONTAS]],Plano_Contas[[PLANO DE CONTAS]:[NOMES INTERVALOS]],2,0),"")</f>
        <v/>
      </c>
      <c r="Z927" s="523" t="str">
        <f>IF(LANÇ_MOV[[#This Row],[FORMA DE PAGAMENTO]]="","",VLOOKUP(LANÇ_MOV[[#This Row],[FORMA DE PAGAMENTO]],CAD_Forma_pagto[],2,0))</f>
        <v/>
      </c>
      <c r="AA927" s="524" t="str">
        <f>IF(LANÇ_MOV[[#This Row],[DATA DE LANÇAMENTO]]="","",TEXT(LANÇ_MOV[[#This Row],[DATA DE LANÇAMENTO]],"AAAA"))</f>
        <v/>
      </c>
      <c r="AB927" s="524" t="str">
        <f>IF(LANÇ_MOV[[#This Row],[DATA DE LANÇAMENTO]]="","",UPPER(TEXT(LANÇ_MOV[[#This Row],[DATA DE LANÇAMENTO]],"MMMM")))</f>
        <v/>
      </c>
      <c r="AC927" s="525" t="str">
        <f>IF(LANÇ_MOV[[#This Row],[DATA DE LANÇAMENTO]]="","",PROPER(TEXT(LANÇ_MOV[[#This Row],[DATA DE LANÇAMENTO]],"M")))</f>
        <v/>
      </c>
      <c r="AD927" s="524" t="str">
        <f>IF(LANÇ_MOV[[#This Row],[DATA DE LANÇAMENTO]]="","",TEXT(LANÇ_MOV[[#This Row],[DATA DE LANÇAMENTO]],"D"))</f>
        <v/>
      </c>
      <c r="AE927" s="526" t="str">
        <f>IF(LANÇ_MOV[[#This Row],[DATA DE VENCIMENTO]]="","",TEXT(LANÇ_MOV[[#This Row],[DATA DE VENCIMENTO]],"AAAA"))</f>
        <v/>
      </c>
      <c r="AF927" s="526" t="str">
        <f>IF(LANÇ_MOV[[#This Row],[DATA DE VENCIMENTO]]="","",UPPER(TEXT(LANÇ_MOV[[#This Row],[DATA DE VENCIMENTO]],"MMMM")))</f>
        <v/>
      </c>
      <c r="AG927" s="526" t="str">
        <f>IF(LANÇ_MOV[[#This Row],[DATA DE VENCIMENTO]]="","",TEXT(LANÇ_MOV[[#This Row],[DATA DE VENCIMENTO]],"M"))</f>
        <v/>
      </c>
      <c r="AH927" s="526" t="str">
        <f>IF(LANÇ_MOV[[#This Row],[DATA DE VENCIMENTO]]="","",TEXT(LANÇ_MOV[[#This Row],[DATA DE VENCIMENTO]],"D"))</f>
        <v/>
      </c>
      <c r="AI927" s="526" t="str">
        <f>IF(LANÇ_MOV[[#This Row],[DATA DE PAGAMENTO]]="","",TEXT(LANÇ_MOV[[#This Row],[DATA DE PAGAMENTO]],"AAAA"))</f>
        <v/>
      </c>
      <c r="AJ927" s="527" t="str">
        <f>IF(LANÇ_MOV[[#This Row],[DATA DE PAGAMENTO]]="","",UPPER(TEXT(LANÇ_MOV[[#This Row],[DATA DE PAGAMENTO]],"MMMM")))</f>
        <v/>
      </c>
      <c r="AK927" s="527" t="str">
        <f>IF(LANÇ_MOV[[#This Row],[DATA DE PAGAMENTO]]="","",TEXT(LANÇ_MOV[[#This Row],[DATA DE PAGAMENTO]],"M"))</f>
        <v/>
      </c>
      <c r="AL927" s="526" t="str">
        <f>IF(LANÇ_MOV[[#This Row],[DATA DE PAGAMENTO]]="","",TEXT(LANÇ_MOV[[#This Row],[DATA DE PAGAMENTO]],"D"))</f>
        <v/>
      </c>
    </row>
    <row r="928" spans="2:38" ht="30.05" customHeight="1" x14ac:dyDescent="0.35">
      <c r="B928" s="506"/>
      <c r="C928" s="507"/>
      <c r="D928" s="508" t="s">
        <v>1854</v>
      </c>
      <c r="E928" s="509"/>
      <c r="F928" s="510"/>
      <c r="G928" s="507"/>
      <c r="H928" s="511"/>
      <c r="I928" s="512"/>
      <c r="J928" s="518"/>
      <c r="K928" s="510"/>
      <c r="L928" s="510"/>
      <c r="M928" s="548"/>
      <c r="N928" s="514">
        <f>LANÇ_MOV[[#This Row],[VALOR BRUTO]]-LANÇ_MOV[[#This Row],[DESCONTO]]+LANÇ_MOV[[#This Row],[JUROS]]+LANÇ_MOV[[#This Row],[MULTA]]</f>
        <v>0</v>
      </c>
      <c r="O928" s="546"/>
      <c r="P928" s="547" t="str">
        <f t="shared" ca="1" si="14"/>
        <v/>
      </c>
      <c r="Q928" s="528"/>
      <c r="R928" s="529"/>
      <c r="S928" s="518"/>
      <c r="T928" s="518"/>
      <c r="U928" s="519"/>
      <c r="V928" s="520" t="str">
        <f>IFERROR(VLOOKUP(LANÇ_MOV[[#This Row],[PLANO DE CONTAS]],Plano_Contas[[PLANO DE CONTAS]:[R / D]],3,0),"")</f>
        <v/>
      </c>
      <c r="W928" s="521" t="str">
        <f>IF(LANÇ_MOV[[#This Row],[DATA DE PAGAMENTO]]&lt;&gt;"","Pago","Não Pago")</f>
        <v>Não Pago</v>
      </c>
      <c r="X928" s="522" t="str">
        <f>IFERROR(IF(LANÇ_MOV[[#This Row],[DATA DE PAGAMENTO]]="","",(UPPER(TEXT(LANÇ_MOV[[#This Row],[DATA DE PAGAMENTO]],"mmmm")))),"")</f>
        <v/>
      </c>
      <c r="Y928" s="523" t="str">
        <f>IFERROR(VLOOKUP(LANÇ_MOV[[#This Row],[PLANO DE CONTAS]],Plano_Contas[[PLANO DE CONTAS]:[NOMES INTERVALOS]],2,0),"")</f>
        <v/>
      </c>
      <c r="Z928" s="523" t="str">
        <f>IF(LANÇ_MOV[[#This Row],[FORMA DE PAGAMENTO]]="","",VLOOKUP(LANÇ_MOV[[#This Row],[FORMA DE PAGAMENTO]],CAD_Forma_pagto[],2,0))</f>
        <v/>
      </c>
      <c r="AA928" s="524" t="str">
        <f>IF(LANÇ_MOV[[#This Row],[DATA DE LANÇAMENTO]]="","",TEXT(LANÇ_MOV[[#This Row],[DATA DE LANÇAMENTO]],"AAAA"))</f>
        <v/>
      </c>
      <c r="AB928" s="524" t="str">
        <f>IF(LANÇ_MOV[[#This Row],[DATA DE LANÇAMENTO]]="","",UPPER(TEXT(LANÇ_MOV[[#This Row],[DATA DE LANÇAMENTO]],"MMMM")))</f>
        <v/>
      </c>
      <c r="AC928" s="525" t="str">
        <f>IF(LANÇ_MOV[[#This Row],[DATA DE LANÇAMENTO]]="","",PROPER(TEXT(LANÇ_MOV[[#This Row],[DATA DE LANÇAMENTO]],"M")))</f>
        <v/>
      </c>
      <c r="AD928" s="524" t="str">
        <f>IF(LANÇ_MOV[[#This Row],[DATA DE LANÇAMENTO]]="","",TEXT(LANÇ_MOV[[#This Row],[DATA DE LANÇAMENTO]],"D"))</f>
        <v/>
      </c>
      <c r="AE928" s="526" t="str">
        <f>IF(LANÇ_MOV[[#This Row],[DATA DE VENCIMENTO]]="","",TEXT(LANÇ_MOV[[#This Row],[DATA DE VENCIMENTO]],"AAAA"))</f>
        <v/>
      </c>
      <c r="AF928" s="526" t="str">
        <f>IF(LANÇ_MOV[[#This Row],[DATA DE VENCIMENTO]]="","",UPPER(TEXT(LANÇ_MOV[[#This Row],[DATA DE VENCIMENTO]],"MMMM")))</f>
        <v/>
      </c>
      <c r="AG928" s="526" t="str">
        <f>IF(LANÇ_MOV[[#This Row],[DATA DE VENCIMENTO]]="","",TEXT(LANÇ_MOV[[#This Row],[DATA DE VENCIMENTO]],"M"))</f>
        <v/>
      </c>
      <c r="AH928" s="526" t="str">
        <f>IF(LANÇ_MOV[[#This Row],[DATA DE VENCIMENTO]]="","",TEXT(LANÇ_MOV[[#This Row],[DATA DE VENCIMENTO]],"D"))</f>
        <v/>
      </c>
      <c r="AI928" s="526" t="str">
        <f>IF(LANÇ_MOV[[#This Row],[DATA DE PAGAMENTO]]="","",TEXT(LANÇ_MOV[[#This Row],[DATA DE PAGAMENTO]],"AAAA"))</f>
        <v/>
      </c>
      <c r="AJ928" s="527" t="str">
        <f>IF(LANÇ_MOV[[#This Row],[DATA DE PAGAMENTO]]="","",UPPER(TEXT(LANÇ_MOV[[#This Row],[DATA DE PAGAMENTO]],"MMMM")))</f>
        <v/>
      </c>
      <c r="AK928" s="527" t="str">
        <f>IF(LANÇ_MOV[[#This Row],[DATA DE PAGAMENTO]]="","",TEXT(LANÇ_MOV[[#This Row],[DATA DE PAGAMENTO]],"M"))</f>
        <v/>
      </c>
      <c r="AL928" s="526" t="str">
        <f>IF(LANÇ_MOV[[#This Row],[DATA DE PAGAMENTO]]="","",TEXT(LANÇ_MOV[[#This Row],[DATA DE PAGAMENTO]],"D"))</f>
        <v/>
      </c>
    </row>
    <row r="929" spans="2:38" ht="30.05" customHeight="1" x14ac:dyDescent="0.35">
      <c r="B929" s="506"/>
      <c r="C929" s="507"/>
      <c r="D929" s="508" t="s">
        <v>1854</v>
      </c>
      <c r="E929" s="509"/>
      <c r="F929" s="510"/>
      <c r="G929" s="507"/>
      <c r="H929" s="511"/>
      <c r="I929" s="512"/>
      <c r="J929" s="518"/>
      <c r="K929" s="510"/>
      <c r="L929" s="510"/>
      <c r="M929" s="548"/>
      <c r="N929" s="514">
        <f>LANÇ_MOV[[#This Row],[VALOR BRUTO]]-LANÇ_MOV[[#This Row],[DESCONTO]]+LANÇ_MOV[[#This Row],[JUROS]]+LANÇ_MOV[[#This Row],[MULTA]]</f>
        <v>0</v>
      </c>
      <c r="O929" s="546"/>
      <c r="P929" s="547" t="str">
        <f t="shared" ca="1" si="14"/>
        <v/>
      </c>
      <c r="Q929" s="528"/>
      <c r="R929" s="529"/>
      <c r="S929" s="518"/>
      <c r="T929" s="518"/>
      <c r="U929" s="519"/>
      <c r="V929" s="520" t="str">
        <f>IFERROR(VLOOKUP(LANÇ_MOV[[#This Row],[PLANO DE CONTAS]],Plano_Contas[[PLANO DE CONTAS]:[R / D]],3,0),"")</f>
        <v/>
      </c>
      <c r="W929" s="521" t="str">
        <f>IF(LANÇ_MOV[[#This Row],[DATA DE PAGAMENTO]]&lt;&gt;"","Pago","Não Pago")</f>
        <v>Não Pago</v>
      </c>
      <c r="X929" s="522" t="str">
        <f>IFERROR(IF(LANÇ_MOV[[#This Row],[DATA DE PAGAMENTO]]="","",(UPPER(TEXT(LANÇ_MOV[[#This Row],[DATA DE PAGAMENTO]],"mmmm")))),"")</f>
        <v/>
      </c>
      <c r="Y929" s="523" t="str">
        <f>IFERROR(VLOOKUP(LANÇ_MOV[[#This Row],[PLANO DE CONTAS]],Plano_Contas[[PLANO DE CONTAS]:[NOMES INTERVALOS]],2,0),"")</f>
        <v/>
      </c>
      <c r="Z929" s="523" t="str">
        <f>IF(LANÇ_MOV[[#This Row],[FORMA DE PAGAMENTO]]="","",VLOOKUP(LANÇ_MOV[[#This Row],[FORMA DE PAGAMENTO]],CAD_Forma_pagto[],2,0))</f>
        <v/>
      </c>
      <c r="AA929" s="524" t="str">
        <f>IF(LANÇ_MOV[[#This Row],[DATA DE LANÇAMENTO]]="","",TEXT(LANÇ_MOV[[#This Row],[DATA DE LANÇAMENTO]],"AAAA"))</f>
        <v/>
      </c>
      <c r="AB929" s="524" t="str">
        <f>IF(LANÇ_MOV[[#This Row],[DATA DE LANÇAMENTO]]="","",UPPER(TEXT(LANÇ_MOV[[#This Row],[DATA DE LANÇAMENTO]],"MMMM")))</f>
        <v/>
      </c>
      <c r="AC929" s="525" t="str">
        <f>IF(LANÇ_MOV[[#This Row],[DATA DE LANÇAMENTO]]="","",PROPER(TEXT(LANÇ_MOV[[#This Row],[DATA DE LANÇAMENTO]],"M")))</f>
        <v/>
      </c>
      <c r="AD929" s="524" t="str">
        <f>IF(LANÇ_MOV[[#This Row],[DATA DE LANÇAMENTO]]="","",TEXT(LANÇ_MOV[[#This Row],[DATA DE LANÇAMENTO]],"D"))</f>
        <v/>
      </c>
      <c r="AE929" s="526" t="str">
        <f>IF(LANÇ_MOV[[#This Row],[DATA DE VENCIMENTO]]="","",TEXT(LANÇ_MOV[[#This Row],[DATA DE VENCIMENTO]],"AAAA"))</f>
        <v/>
      </c>
      <c r="AF929" s="526" t="str">
        <f>IF(LANÇ_MOV[[#This Row],[DATA DE VENCIMENTO]]="","",UPPER(TEXT(LANÇ_MOV[[#This Row],[DATA DE VENCIMENTO]],"MMMM")))</f>
        <v/>
      </c>
      <c r="AG929" s="526" t="str">
        <f>IF(LANÇ_MOV[[#This Row],[DATA DE VENCIMENTO]]="","",TEXT(LANÇ_MOV[[#This Row],[DATA DE VENCIMENTO]],"M"))</f>
        <v/>
      </c>
      <c r="AH929" s="526" t="str">
        <f>IF(LANÇ_MOV[[#This Row],[DATA DE VENCIMENTO]]="","",TEXT(LANÇ_MOV[[#This Row],[DATA DE VENCIMENTO]],"D"))</f>
        <v/>
      </c>
      <c r="AI929" s="526" t="str">
        <f>IF(LANÇ_MOV[[#This Row],[DATA DE PAGAMENTO]]="","",TEXT(LANÇ_MOV[[#This Row],[DATA DE PAGAMENTO]],"AAAA"))</f>
        <v/>
      </c>
      <c r="AJ929" s="527" t="str">
        <f>IF(LANÇ_MOV[[#This Row],[DATA DE PAGAMENTO]]="","",UPPER(TEXT(LANÇ_MOV[[#This Row],[DATA DE PAGAMENTO]],"MMMM")))</f>
        <v/>
      </c>
      <c r="AK929" s="527" t="str">
        <f>IF(LANÇ_MOV[[#This Row],[DATA DE PAGAMENTO]]="","",TEXT(LANÇ_MOV[[#This Row],[DATA DE PAGAMENTO]],"M"))</f>
        <v/>
      </c>
      <c r="AL929" s="526" t="str">
        <f>IF(LANÇ_MOV[[#This Row],[DATA DE PAGAMENTO]]="","",TEXT(LANÇ_MOV[[#This Row],[DATA DE PAGAMENTO]],"D"))</f>
        <v/>
      </c>
    </row>
    <row r="930" spans="2:38" ht="30.05" customHeight="1" x14ac:dyDescent="0.35">
      <c r="B930" s="506"/>
      <c r="C930" s="507"/>
      <c r="D930" s="508" t="s">
        <v>1854</v>
      </c>
      <c r="E930" s="509"/>
      <c r="F930" s="510"/>
      <c r="G930" s="507"/>
      <c r="H930" s="511"/>
      <c r="I930" s="512"/>
      <c r="J930" s="518"/>
      <c r="K930" s="510"/>
      <c r="L930" s="510"/>
      <c r="M930" s="548"/>
      <c r="N930" s="514">
        <f>LANÇ_MOV[[#This Row],[VALOR BRUTO]]-LANÇ_MOV[[#This Row],[DESCONTO]]+LANÇ_MOV[[#This Row],[JUROS]]+LANÇ_MOV[[#This Row],[MULTA]]</f>
        <v>0</v>
      </c>
      <c r="O930" s="546"/>
      <c r="P930" s="547" t="str">
        <f t="shared" ca="1" si="14"/>
        <v/>
      </c>
      <c r="Q930" s="528"/>
      <c r="R930" s="529"/>
      <c r="S930" s="518"/>
      <c r="T930" s="518"/>
      <c r="U930" s="519"/>
      <c r="V930" s="520" t="str">
        <f>IFERROR(VLOOKUP(LANÇ_MOV[[#This Row],[PLANO DE CONTAS]],Plano_Contas[[PLANO DE CONTAS]:[R / D]],3,0),"")</f>
        <v/>
      </c>
      <c r="W930" s="521" t="str">
        <f>IF(LANÇ_MOV[[#This Row],[DATA DE PAGAMENTO]]&lt;&gt;"","Pago","Não Pago")</f>
        <v>Não Pago</v>
      </c>
      <c r="X930" s="522" t="str">
        <f>IFERROR(IF(LANÇ_MOV[[#This Row],[DATA DE PAGAMENTO]]="","",(UPPER(TEXT(LANÇ_MOV[[#This Row],[DATA DE PAGAMENTO]],"mmmm")))),"")</f>
        <v/>
      </c>
      <c r="Y930" s="523" t="str">
        <f>IFERROR(VLOOKUP(LANÇ_MOV[[#This Row],[PLANO DE CONTAS]],Plano_Contas[[PLANO DE CONTAS]:[NOMES INTERVALOS]],2,0),"")</f>
        <v/>
      </c>
      <c r="Z930" s="523" t="str">
        <f>IF(LANÇ_MOV[[#This Row],[FORMA DE PAGAMENTO]]="","",VLOOKUP(LANÇ_MOV[[#This Row],[FORMA DE PAGAMENTO]],CAD_Forma_pagto[],2,0))</f>
        <v/>
      </c>
      <c r="AA930" s="524" t="str">
        <f>IF(LANÇ_MOV[[#This Row],[DATA DE LANÇAMENTO]]="","",TEXT(LANÇ_MOV[[#This Row],[DATA DE LANÇAMENTO]],"AAAA"))</f>
        <v/>
      </c>
      <c r="AB930" s="524" t="str">
        <f>IF(LANÇ_MOV[[#This Row],[DATA DE LANÇAMENTO]]="","",UPPER(TEXT(LANÇ_MOV[[#This Row],[DATA DE LANÇAMENTO]],"MMMM")))</f>
        <v/>
      </c>
      <c r="AC930" s="525" t="str">
        <f>IF(LANÇ_MOV[[#This Row],[DATA DE LANÇAMENTO]]="","",PROPER(TEXT(LANÇ_MOV[[#This Row],[DATA DE LANÇAMENTO]],"M")))</f>
        <v/>
      </c>
      <c r="AD930" s="524" t="str">
        <f>IF(LANÇ_MOV[[#This Row],[DATA DE LANÇAMENTO]]="","",TEXT(LANÇ_MOV[[#This Row],[DATA DE LANÇAMENTO]],"D"))</f>
        <v/>
      </c>
      <c r="AE930" s="526" t="str">
        <f>IF(LANÇ_MOV[[#This Row],[DATA DE VENCIMENTO]]="","",TEXT(LANÇ_MOV[[#This Row],[DATA DE VENCIMENTO]],"AAAA"))</f>
        <v/>
      </c>
      <c r="AF930" s="526" t="str">
        <f>IF(LANÇ_MOV[[#This Row],[DATA DE VENCIMENTO]]="","",UPPER(TEXT(LANÇ_MOV[[#This Row],[DATA DE VENCIMENTO]],"MMMM")))</f>
        <v/>
      </c>
      <c r="AG930" s="526" t="str">
        <f>IF(LANÇ_MOV[[#This Row],[DATA DE VENCIMENTO]]="","",TEXT(LANÇ_MOV[[#This Row],[DATA DE VENCIMENTO]],"M"))</f>
        <v/>
      </c>
      <c r="AH930" s="526" t="str">
        <f>IF(LANÇ_MOV[[#This Row],[DATA DE VENCIMENTO]]="","",TEXT(LANÇ_MOV[[#This Row],[DATA DE VENCIMENTO]],"D"))</f>
        <v/>
      </c>
      <c r="AI930" s="526" t="str">
        <f>IF(LANÇ_MOV[[#This Row],[DATA DE PAGAMENTO]]="","",TEXT(LANÇ_MOV[[#This Row],[DATA DE PAGAMENTO]],"AAAA"))</f>
        <v/>
      </c>
      <c r="AJ930" s="527" t="str">
        <f>IF(LANÇ_MOV[[#This Row],[DATA DE PAGAMENTO]]="","",UPPER(TEXT(LANÇ_MOV[[#This Row],[DATA DE PAGAMENTO]],"MMMM")))</f>
        <v/>
      </c>
      <c r="AK930" s="527" t="str">
        <f>IF(LANÇ_MOV[[#This Row],[DATA DE PAGAMENTO]]="","",TEXT(LANÇ_MOV[[#This Row],[DATA DE PAGAMENTO]],"M"))</f>
        <v/>
      </c>
      <c r="AL930" s="526" t="str">
        <f>IF(LANÇ_MOV[[#This Row],[DATA DE PAGAMENTO]]="","",TEXT(LANÇ_MOV[[#This Row],[DATA DE PAGAMENTO]],"D"))</f>
        <v/>
      </c>
    </row>
    <row r="931" spans="2:38" ht="30.05" customHeight="1" x14ac:dyDescent="0.35">
      <c r="B931" s="506"/>
      <c r="C931" s="507"/>
      <c r="D931" s="508" t="s">
        <v>1854</v>
      </c>
      <c r="E931" s="509"/>
      <c r="F931" s="510"/>
      <c r="G931" s="507"/>
      <c r="H931" s="511"/>
      <c r="I931" s="512"/>
      <c r="J931" s="518"/>
      <c r="K931" s="510"/>
      <c r="L931" s="510"/>
      <c r="M931" s="548"/>
      <c r="N931" s="514">
        <f>LANÇ_MOV[[#This Row],[VALOR BRUTO]]-LANÇ_MOV[[#This Row],[DESCONTO]]+LANÇ_MOV[[#This Row],[JUROS]]+LANÇ_MOV[[#This Row],[MULTA]]</f>
        <v>0</v>
      </c>
      <c r="O931" s="546"/>
      <c r="P931" s="547" t="str">
        <f t="shared" ca="1" si="14"/>
        <v/>
      </c>
      <c r="Q931" s="528"/>
      <c r="R931" s="529"/>
      <c r="S931" s="518"/>
      <c r="T931" s="518"/>
      <c r="U931" s="519"/>
      <c r="V931" s="520" t="str">
        <f>IFERROR(VLOOKUP(LANÇ_MOV[[#This Row],[PLANO DE CONTAS]],Plano_Contas[[PLANO DE CONTAS]:[R / D]],3,0),"")</f>
        <v/>
      </c>
      <c r="W931" s="521" t="str">
        <f>IF(LANÇ_MOV[[#This Row],[DATA DE PAGAMENTO]]&lt;&gt;"","Pago","Não Pago")</f>
        <v>Não Pago</v>
      </c>
      <c r="X931" s="522" t="str">
        <f>IFERROR(IF(LANÇ_MOV[[#This Row],[DATA DE PAGAMENTO]]="","",(UPPER(TEXT(LANÇ_MOV[[#This Row],[DATA DE PAGAMENTO]],"mmmm")))),"")</f>
        <v/>
      </c>
      <c r="Y931" s="523" t="str">
        <f>IFERROR(VLOOKUP(LANÇ_MOV[[#This Row],[PLANO DE CONTAS]],Plano_Contas[[PLANO DE CONTAS]:[NOMES INTERVALOS]],2,0),"")</f>
        <v/>
      </c>
      <c r="Z931" s="523" t="str">
        <f>IF(LANÇ_MOV[[#This Row],[FORMA DE PAGAMENTO]]="","",VLOOKUP(LANÇ_MOV[[#This Row],[FORMA DE PAGAMENTO]],CAD_Forma_pagto[],2,0))</f>
        <v/>
      </c>
      <c r="AA931" s="524" t="str">
        <f>IF(LANÇ_MOV[[#This Row],[DATA DE LANÇAMENTO]]="","",TEXT(LANÇ_MOV[[#This Row],[DATA DE LANÇAMENTO]],"AAAA"))</f>
        <v/>
      </c>
      <c r="AB931" s="524" t="str">
        <f>IF(LANÇ_MOV[[#This Row],[DATA DE LANÇAMENTO]]="","",UPPER(TEXT(LANÇ_MOV[[#This Row],[DATA DE LANÇAMENTO]],"MMMM")))</f>
        <v/>
      </c>
      <c r="AC931" s="525" t="str">
        <f>IF(LANÇ_MOV[[#This Row],[DATA DE LANÇAMENTO]]="","",PROPER(TEXT(LANÇ_MOV[[#This Row],[DATA DE LANÇAMENTO]],"M")))</f>
        <v/>
      </c>
      <c r="AD931" s="524" t="str">
        <f>IF(LANÇ_MOV[[#This Row],[DATA DE LANÇAMENTO]]="","",TEXT(LANÇ_MOV[[#This Row],[DATA DE LANÇAMENTO]],"D"))</f>
        <v/>
      </c>
      <c r="AE931" s="526" t="str">
        <f>IF(LANÇ_MOV[[#This Row],[DATA DE VENCIMENTO]]="","",TEXT(LANÇ_MOV[[#This Row],[DATA DE VENCIMENTO]],"AAAA"))</f>
        <v/>
      </c>
      <c r="AF931" s="526" t="str">
        <f>IF(LANÇ_MOV[[#This Row],[DATA DE VENCIMENTO]]="","",UPPER(TEXT(LANÇ_MOV[[#This Row],[DATA DE VENCIMENTO]],"MMMM")))</f>
        <v/>
      </c>
      <c r="AG931" s="526" t="str">
        <f>IF(LANÇ_MOV[[#This Row],[DATA DE VENCIMENTO]]="","",TEXT(LANÇ_MOV[[#This Row],[DATA DE VENCIMENTO]],"M"))</f>
        <v/>
      </c>
      <c r="AH931" s="526" t="str">
        <f>IF(LANÇ_MOV[[#This Row],[DATA DE VENCIMENTO]]="","",TEXT(LANÇ_MOV[[#This Row],[DATA DE VENCIMENTO]],"D"))</f>
        <v/>
      </c>
      <c r="AI931" s="526" t="str">
        <f>IF(LANÇ_MOV[[#This Row],[DATA DE PAGAMENTO]]="","",TEXT(LANÇ_MOV[[#This Row],[DATA DE PAGAMENTO]],"AAAA"))</f>
        <v/>
      </c>
      <c r="AJ931" s="527" t="str">
        <f>IF(LANÇ_MOV[[#This Row],[DATA DE PAGAMENTO]]="","",UPPER(TEXT(LANÇ_MOV[[#This Row],[DATA DE PAGAMENTO]],"MMMM")))</f>
        <v/>
      </c>
      <c r="AK931" s="527" t="str">
        <f>IF(LANÇ_MOV[[#This Row],[DATA DE PAGAMENTO]]="","",TEXT(LANÇ_MOV[[#This Row],[DATA DE PAGAMENTO]],"M"))</f>
        <v/>
      </c>
      <c r="AL931" s="526" t="str">
        <f>IF(LANÇ_MOV[[#This Row],[DATA DE PAGAMENTO]]="","",TEXT(LANÇ_MOV[[#This Row],[DATA DE PAGAMENTO]],"D"))</f>
        <v/>
      </c>
    </row>
    <row r="932" spans="2:38" ht="30.05" customHeight="1" x14ac:dyDescent="0.35">
      <c r="B932" s="506"/>
      <c r="C932" s="507"/>
      <c r="D932" s="508" t="s">
        <v>1854</v>
      </c>
      <c r="E932" s="509"/>
      <c r="F932" s="510"/>
      <c r="G932" s="507"/>
      <c r="H932" s="511"/>
      <c r="I932" s="512"/>
      <c r="J932" s="518"/>
      <c r="K932" s="510"/>
      <c r="L932" s="510"/>
      <c r="M932" s="548"/>
      <c r="N932" s="514">
        <f>LANÇ_MOV[[#This Row],[VALOR BRUTO]]-LANÇ_MOV[[#This Row],[DESCONTO]]+LANÇ_MOV[[#This Row],[JUROS]]+LANÇ_MOV[[#This Row],[MULTA]]</f>
        <v>0</v>
      </c>
      <c r="O932" s="546"/>
      <c r="P932" s="547" t="str">
        <f t="shared" ca="1" si="14"/>
        <v/>
      </c>
      <c r="Q932" s="528"/>
      <c r="R932" s="529"/>
      <c r="S932" s="518"/>
      <c r="T932" s="518"/>
      <c r="U932" s="519"/>
      <c r="V932" s="520" t="str">
        <f>IFERROR(VLOOKUP(LANÇ_MOV[[#This Row],[PLANO DE CONTAS]],Plano_Contas[[PLANO DE CONTAS]:[R / D]],3,0),"")</f>
        <v/>
      </c>
      <c r="W932" s="521" t="str">
        <f>IF(LANÇ_MOV[[#This Row],[DATA DE PAGAMENTO]]&lt;&gt;"","Pago","Não Pago")</f>
        <v>Não Pago</v>
      </c>
      <c r="X932" s="522" t="str">
        <f>IFERROR(IF(LANÇ_MOV[[#This Row],[DATA DE PAGAMENTO]]="","",(UPPER(TEXT(LANÇ_MOV[[#This Row],[DATA DE PAGAMENTO]],"mmmm")))),"")</f>
        <v/>
      </c>
      <c r="Y932" s="523" t="str">
        <f>IFERROR(VLOOKUP(LANÇ_MOV[[#This Row],[PLANO DE CONTAS]],Plano_Contas[[PLANO DE CONTAS]:[NOMES INTERVALOS]],2,0),"")</f>
        <v/>
      </c>
      <c r="Z932" s="523" t="str">
        <f>IF(LANÇ_MOV[[#This Row],[FORMA DE PAGAMENTO]]="","",VLOOKUP(LANÇ_MOV[[#This Row],[FORMA DE PAGAMENTO]],CAD_Forma_pagto[],2,0))</f>
        <v/>
      </c>
      <c r="AA932" s="524" t="str">
        <f>IF(LANÇ_MOV[[#This Row],[DATA DE LANÇAMENTO]]="","",TEXT(LANÇ_MOV[[#This Row],[DATA DE LANÇAMENTO]],"AAAA"))</f>
        <v/>
      </c>
      <c r="AB932" s="524" t="str">
        <f>IF(LANÇ_MOV[[#This Row],[DATA DE LANÇAMENTO]]="","",UPPER(TEXT(LANÇ_MOV[[#This Row],[DATA DE LANÇAMENTO]],"MMMM")))</f>
        <v/>
      </c>
      <c r="AC932" s="525" t="str">
        <f>IF(LANÇ_MOV[[#This Row],[DATA DE LANÇAMENTO]]="","",PROPER(TEXT(LANÇ_MOV[[#This Row],[DATA DE LANÇAMENTO]],"M")))</f>
        <v/>
      </c>
      <c r="AD932" s="524" t="str">
        <f>IF(LANÇ_MOV[[#This Row],[DATA DE LANÇAMENTO]]="","",TEXT(LANÇ_MOV[[#This Row],[DATA DE LANÇAMENTO]],"D"))</f>
        <v/>
      </c>
      <c r="AE932" s="526" t="str">
        <f>IF(LANÇ_MOV[[#This Row],[DATA DE VENCIMENTO]]="","",TEXT(LANÇ_MOV[[#This Row],[DATA DE VENCIMENTO]],"AAAA"))</f>
        <v/>
      </c>
      <c r="AF932" s="526" t="str">
        <f>IF(LANÇ_MOV[[#This Row],[DATA DE VENCIMENTO]]="","",UPPER(TEXT(LANÇ_MOV[[#This Row],[DATA DE VENCIMENTO]],"MMMM")))</f>
        <v/>
      </c>
      <c r="AG932" s="526" t="str">
        <f>IF(LANÇ_MOV[[#This Row],[DATA DE VENCIMENTO]]="","",TEXT(LANÇ_MOV[[#This Row],[DATA DE VENCIMENTO]],"M"))</f>
        <v/>
      </c>
      <c r="AH932" s="526" t="str">
        <f>IF(LANÇ_MOV[[#This Row],[DATA DE VENCIMENTO]]="","",TEXT(LANÇ_MOV[[#This Row],[DATA DE VENCIMENTO]],"D"))</f>
        <v/>
      </c>
      <c r="AI932" s="526" t="str">
        <f>IF(LANÇ_MOV[[#This Row],[DATA DE PAGAMENTO]]="","",TEXT(LANÇ_MOV[[#This Row],[DATA DE PAGAMENTO]],"AAAA"))</f>
        <v/>
      </c>
      <c r="AJ932" s="527" t="str">
        <f>IF(LANÇ_MOV[[#This Row],[DATA DE PAGAMENTO]]="","",UPPER(TEXT(LANÇ_MOV[[#This Row],[DATA DE PAGAMENTO]],"MMMM")))</f>
        <v/>
      </c>
      <c r="AK932" s="527" t="str">
        <f>IF(LANÇ_MOV[[#This Row],[DATA DE PAGAMENTO]]="","",TEXT(LANÇ_MOV[[#This Row],[DATA DE PAGAMENTO]],"M"))</f>
        <v/>
      </c>
      <c r="AL932" s="526" t="str">
        <f>IF(LANÇ_MOV[[#This Row],[DATA DE PAGAMENTO]]="","",TEXT(LANÇ_MOV[[#This Row],[DATA DE PAGAMENTO]],"D"))</f>
        <v/>
      </c>
    </row>
    <row r="933" spans="2:38" ht="30.05" customHeight="1" x14ac:dyDescent="0.35">
      <c r="B933" s="506"/>
      <c r="C933" s="507"/>
      <c r="D933" s="508" t="s">
        <v>1854</v>
      </c>
      <c r="E933" s="509"/>
      <c r="F933" s="510"/>
      <c r="G933" s="507"/>
      <c r="H933" s="511"/>
      <c r="I933" s="512"/>
      <c r="J933" s="518"/>
      <c r="K933" s="510"/>
      <c r="L933" s="510"/>
      <c r="M933" s="548"/>
      <c r="N933" s="514">
        <f>LANÇ_MOV[[#This Row],[VALOR BRUTO]]-LANÇ_MOV[[#This Row],[DESCONTO]]+LANÇ_MOV[[#This Row],[JUROS]]+LANÇ_MOV[[#This Row],[MULTA]]</f>
        <v>0</v>
      </c>
      <c r="O933" s="546"/>
      <c r="P933" s="547" t="str">
        <f t="shared" ca="1" si="14"/>
        <v/>
      </c>
      <c r="Q933" s="528"/>
      <c r="R933" s="529"/>
      <c r="S933" s="518"/>
      <c r="T933" s="518"/>
      <c r="U933" s="519"/>
      <c r="V933" s="520" t="str">
        <f>IFERROR(VLOOKUP(LANÇ_MOV[[#This Row],[PLANO DE CONTAS]],Plano_Contas[[PLANO DE CONTAS]:[R / D]],3,0),"")</f>
        <v/>
      </c>
      <c r="W933" s="521" t="str">
        <f>IF(LANÇ_MOV[[#This Row],[DATA DE PAGAMENTO]]&lt;&gt;"","Pago","Não Pago")</f>
        <v>Não Pago</v>
      </c>
      <c r="X933" s="522" t="str">
        <f>IFERROR(IF(LANÇ_MOV[[#This Row],[DATA DE PAGAMENTO]]="","",(UPPER(TEXT(LANÇ_MOV[[#This Row],[DATA DE PAGAMENTO]],"mmmm")))),"")</f>
        <v/>
      </c>
      <c r="Y933" s="523" t="str">
        <f>IFERROR(VLOOKUP(LANÇ_MOV[[#This Row],[PLANO DE CONTAS]],Plano_Contas[[PLANO DE CONTAS]:[NOMES INTERVALOS]],2,0),"")</f>
        <v/>
      </c>
      <c r="Z933" s="523" t="str">
        <f>IF(LANÇ_MOV[[#This Row],[FORMA DE PAGAMENTO]]="","",VLOOKUP(LANÇ_MOV[[#This Row],[FORMA DE PAGAMENTO]],CAD_Forma_pagto[],2,0))</f>
        <v/>
      </c>
      <c r="AA933" s="524" t="str">
        <f>IF(LANÇ_MOV[[#This Row],[DATA DE LANÇAMENTO]]="","",TEXT(LANÇ_MOV[[#This Row],[DATA DE LANÇAMENTO]],"AAAA"))</f>
        <v/>
      </c>
      <c r="AB933" s="524" t="str">
        <f>IF(LANÇ_MOV[[#This Row],[DATA DE LANÇAMENTO]]="","",UPPER(TEXT(LANÇ_MOV[[#This Row],[DATA DE LANÇAMENTO]],"MMMM")))</f>
        <v/>
      </c>
      <c r="AC933" s="525" t="str">
        <f>IF(LANÇ_MOV[[#This Row],[DATA DE LANÇAMENTO]]="","",PROPER(TEXT(LANÇ_MOV[[#This Row],[DATA DE LANÇAMENTO]],"M")))</f>
        <v/>
      </c>
      <c r="AD933" s="524" t="str">
        <f>IF(LANÇ_MOV[[#This Row],[DATA DE LANÇAMENTO]]="","",TEXT(LANÇ_MOV[[#This Row],[DATA DE LANÇAMENTO]],"D"))</f>
        <v/>
      </c>
      <c r="AE933" s="526" t="str">
        <f>IF(LANÇ_MOV[[#This Row],[DATA DE VENCIMENTO]]="","",TEXT(LANÇ_MOV[[#This Row],[DATA DE VENCIMENTO]],"AAAA"))</f>
        <v/>
      </c>
      <c r="AF933" s="526" t="str">
        <f>IF(LANÇ_MOV[[#This Row],[DATA DE VENCIMENTO]]="","",UPPER(TEXT(LANÇ_MOV[[#This Row],[DATA DE VENCIMENTO]],"MMMM")))</f>
        <v/>
      </c>
      <c r="AG933" s="526" t="str">
        <f>IF(LANÇ_MOV[[#This Row],[DATA DE VENCIMENTO]]="","",TEXT(LANÇ_MOV[[#This Row],[DATA DE VENCIMENTO]],"M"))</f>
        <v/>
      </c>
      <c r="AH933" s="526" t="str">
        <f>IF(LANÇ_MOV[[#This Row],[DATA DE VENCIMENTO]]="","",TEXT(LANÇ_MOV[[#This Row],[DATA DE VENCIMENTO]],"D"))</f>
        <v/>
      </c>
      <c r="AI933" s="526" t="str">
        <f>IF(LANÇ_MOV[[#This Row],[DATA DE PAGAMENTO]]="","",TEXT(LANÇ_MOV[[#This Row],[DATA DE PAGAMENTO]],"AAAA"))</f>
        <v/>
      </c>
      <c r="AJ933" s="527" t="str">
        <f>IF(LANÇ_MOV[[#This Row],[DATA DE PAGAMENTO]]="","",UPPER(TEXT(LANÇ_MOV[[#This Row],[DATA DE PAGAMENTO]],"MMMM")))</f>
        <v/>
      </c>
      <c r="AK933" s="527" t="str">
        <f>IF(LANÇ_MOV[[#This Row],[DATA DE PAGAMENTO]]="","",TEXT(LANÇ_MOV[[#This Row],[DATA DE PAGAMENTO]],"M"))</f>
        <v/>
      </c>
      <c r="AL933" s="526" t="str">
        <f>IF(LANÇ_MOV[[#This Row],[DATA DE PAGAMENTO]]="","",TEXT(LANÇ_MOV[[#This Row],[DATA DE PAGAMENTO]],"D"))</f>
        <v/>
      </c>
    </row>
    <row r="934" spans="2:38" ht="30.05" customHeight="1" x14ac:dyDescent="0.35">
      <c r="B934" s="506"/>
      <c r="C934" s="507"/>
      <c r="D934" s="508" t="s">
        <v>1854</v>
      </c>
      <c r="E934" s="509"/>
      <c r="F934" s="510"/>
      <c r="G934" s="507"/>
      <c r="H934" s="511"/>
      <c r="I934" s="512"/>
      <c r="J934" s="518"/>
      <c r="K934" s="510"/>
      <c r="L934" s="510"/>
      <c r="M934" s="548"/>
      <c r="N934" s="514">
        <f>LANÇ_MOV[[#This Row],[VALOR BRUTO]]-LANÇ_MOV[[#This Row],[DESCONTO]]+LANÇ_MOV[[#This Row],[JUROS]]+LANÇ_MOV[[#This Row],[MULTA]]</f>
        <v>0</v>
      </c>
      <c r="O934" s="546"/>
      <c r="P934" s="547" t="str">
        <f t="shared" ca="1" si="14"/>
        <v/>
      </c>
      <c r="Q934" s="528"/>
      <c r="R934" s="529"/>
      <c r="S934" s="518"/>
      <c r="T934" s="518"/>
      <c r="U934" s="519"/>
      <c r="V934" s="520" t="str">
        <f>IFERROR(VLOOKUP(LANÇ_MOV[[#This Row],[PLANO DE CONTAS]],Plano_Contas[[PLANO DE CONTAS]:[R / D]],3,0),"")</f>
        <v/>
      </c>
      <c r="W934" s="521" t="str">
        <f>IF(LANÇ_MOV[[#This Row],[DATA DE PAGAMENTO]]&lt;&gt;"","Pago","Não Pago")</f>
        <v>Não Pago</v>
      </c>
      <c r="X934" s="522" t="str">
        <f>IFERROR(IF(LANÇ_MOV[[#This Row],[DATA DE PAGAMENTO]]="","",(UPPER(TEXT(LANÇ_MOV[[#This Row],[DATA DE PAGAMENTO]],"mmmm")))),"")</f>
        <v/>
      </c>
      <c r="Y934" s="523" t="str">
        <f>IFERROR(VLOOKUP(LANÇ_MOV[[#This Row],[PLANO DE CONTAS]],Plano_Contas[[PLANO DE CONTAS]:[NOMES INTERVALOS]],2,0),"")</f>
        <v/>
      </c>
      <c r="Z934" s="523" t="str">
        <f>IF(LANÇ_MOV[[#This Row],[FORMA DE PAGAMENTO]]="","",VLOOKUP(LANÇ_MOV[[#This Row],[FORMA DE PAGAMENTO]],CAD_Forma_pagto[],2,0))</f>
        <v/>
      </c>
      <c r="AA934" s="524" t="str">
        <f>IF(LANÇ_MOV[[#This Row],[DATA DE LANÇAMENTO]]="","",TEXT(LANÇ_MOV[[#This Row],[DATA DE LANÇAMENTO]],"AAAA"))</f>
        <v/>
      </c>
      <c r="AB934" s="524" t="str">
        <f>IF(LANÇ_MOV[[#This Row],[DATA DE LANÇAMENTO]]="","",UPPER(TEXT(LANÇ_MOV[[#This Row],[DATA DE LANÇAMENTO]],"MMMM")))</f>
        <v/>
      </c>
      <c r="AC934" s="525" t="str">
        <f>IF(LANÇ_MOV[[#This Row],[DATA DE LANÇAMENTO]]="","",PROPER(TEXT(LANÇ_MOV[[#This Row],[DATA DE LANÇAMENTO]],"M")))</f>
        <v/>
      </c>
      <c r="AD934" s="524" t="str">
        <f>IF(LANÇ_MOV[[#This Row],[DATA DE LANÇAMENTO]]="","",TEXT(LANÇ_MOV[[#This Row],[DATA DE LANÇAMENTO]],"D"))</f>
        <v/>
      </c>
      <c r="AE934" s="526" t="str">
        <f>IF(LANÇ_MOV[[#This Row],[DATA DE VENCIMENTO]]="","",TEXT(LANÇ_MOV[[#This Row],[DATA DE VENCIMENTO]],"AAAA"))</f>
        <v/>
      </c>
      <c r="AF934" s="526" t="str">
        <f>IF(LANÇ_MOV[[#This Row],[DATA DE VENCIMENTO]]="","",UPPER(TEXT(LANÇ_MOV[[#This Row],[DATA DE VENCIMENTO]],"MMMM")))</f>
        <v/>
      </c>
      <c r="AG934" s="526" t="str">
        <f>IF(LANÇ_MOV[[#This Row],[DATA DE VENCIMENTO]]="","",TEXT(LANÇ_MOV[[#This Row],[DATA DE VENCIMENTO]],"M"))</f>
        <v/>
      </c>
      <c r="AH934" s="526" t="str">
        <f>IF(LANÇ_MOV[[#This Row],[DATA DE VENCIMENTO]]="","",TEXT(LANÇ_MOV[[#This Row],[DATA DE VENCIMENTO]],"D"))</f>
        <v/>
      </c>
      <c r="AI934" s="526" t="str">
        <f>IF(LANÇ_MOV[[#This Row],[DATA DE PAGAMENTO]]="","",TEXT(LANÇ_MOV[[#This Row],[DATA DE PAGAMENTO]],"AAAA"))</f>
        <v/>
      </c>
      <c r="AJ934" s="527" t="str">
        <f>IF(LANÇ_MOV[[#This Row],[DATA DE PAGAMENTO]]="","",UPPER(TEXT(LANÇ_MOV[[#This Row],[DATA DE PAGAMENTO]],"MMMM")))</f>
        <v/>
      </c>
      <c r="AK934" s="527" t="str">
        <f>IF(LANÇ_MOV[[#This Row],[DATA DE PAGAMENTO]]="","",TEXT(LANÇ_MOV[[#This Row],[DATA DE PAGAMENTO]],"M"))</f>
        <v/>
      </c>
      <c r="AL934" s="526" t="str">
        <f>IF(LANÇ_MOV[[#This Row],[DATA DE PAGAMENTO]]="","",TEXT(LANÇ_MOV[[#This Row],[DATA DE PAGAMENTO]],"D"))</f>
        <v/>
      </c>
    </row>
    <row r="935" spans="2:38" ht="30.05" customHeight="1" x14ac:dyDescent="0.35">
      <c r="B935" s="506"/>
      <c r="C935" s="507"/>
      <c r="D935" s="508" t="s">
        <v>1854</v>
      </c>
      <c r="E935" s="509"/>
      <c r="F935" s="510"/>
      <c r="G935" s="507"/>
      <c r="H935" s="511"/>
      <c r="I935" s="512"/>
      <c r="J935" s="518"/>
      <c r="K935" s="510"/>
      <c r="L935" s="510"/>
      <c r="M935" s="548"/>
      <c r="N935" s="514">
        <f>LANÇ_MOV[[#This Row],[VALOR BRUTO]]-LANÇ_MOV[[#This Row],[DESCONTO]]+LANÇ_MOV[[#This Row],[JUROS]]+LANÇ_MOV[[#This Row],[MULTA]]</f>
        <v>0</v>
      </c>
      <c r="O935" s="546"/>
      <c r="P935" s="547" t="str">
        <f t="shared" ca="1" si="14"/>
        <v/>
      </c>
      <c r="Q935" s="528"/>
      <c r="R935" s="529"/>
      <c r="S935" s="518"/>
      <c r="T935" s="518"/>
      <c r="U935" s="519"/>
      <c r="V935" s="520" t="str">
        <f>IFERROR(VLOOKUP(LANÇ_MOV[[#This Row],[PLANO DE CONTAS]],Plano_Contas[[PLANO DE CONTAS]:[R / D]],3,0),"")</f>
        <v/>
      </c>
      <c r="W935" s="521" t="str">
        <f>IF(LANÇ_MOV[[#This Row],[DATA DE PAGAMENTO]]&lt;&gt;"","Pago","Não Pago")</f>
        <v>Não Pago</v>
      </c>
      <c r="X935" s="522" t="str">
        <f>IFERROR(IF(LANÇ_MOV[[#This Row],[DATA DE PAGAMENTO]]="","",(UPPER(TEXT(LANÇ_MOV[[#This Row],[DATA DE PAGAMENTO]],"mmmm")))),"")</f>
        <v/>
      </c>
      <c r="Y935" s="523" t="str">
        <f>IFERROR(VLOOKUP(LANÇ_MOV[[#This Row],[PLANO DE CONTAS]],Plano_Contas[[PLANO DE CONTAS]:[NOMES INTERVALOS]],2,0),"")</f>
        <v/>
      </c>
      <c r="Z935" s="523" t="str">
        <f>IF(LANÇ_MOV[[#This Row],[FORMA DE PAGAMENTO]]="","",VLOOKUP(LANÇ_MOV[[#This Row],[FORMA DE PAGAMENTO]],CAD_Forma_pagto[],2,0))</f>
        <v/>
      </c>
      <c r="AA935" s="524" t="str">
        <f>IF(LANÇ_MOV[[#This Row],[DATA DE LANÇAMENTO]]="","",TEXT(LANÇ_MOV[[#This Row],[DATA DE LANÇAMENTO]],"AAAA"))</f>
        <v/>
      </c>
      <c r="AB935" s="524" t="str">
        <f>IF(LANÇ_MOV[[#This Row],[DATA DE LANÇAMENTO]]="","",UPPER(TEXT(LANÇ_MOV[[#This Row],[DATA DE LANÇAMENTO]],"MMMM")))</f>
        <v/>
      </c>
      <c r="AC935" s="525" t="str">
        <f>IF(LANÇ_MOV[[#This Row],[DATA DE LANÇAMENTO]]="","",PROPER(TEXT(LANÇ_MOV[[#This Row],[DATA DE LANÇAMENTO]],"M")))</f>
        <v/>
      </c>
      <c r="AD935" s="524" t="str">
        <f>IF(LANÇ_MOV[[#This Row],[DATA DE LANÇAMENTO]]="","",TEXT(LANÇ_MOV[[#This Row],[DATA DE LANÇAMENTO]],"D"))</f>
        <v/>
      </c>
      <c r="AE935" s="526" t="str">
        <f>IF(LANÇ_MOV[[#This Row],[DATA DE VENCIMENTO]]="","",TEXT(LANÇ_MOV[[#This Row],[DATA DE VENCIMENTO]],"AAAA"))</f>
        <v/>
      </c>
      <c r="AF935" s="526" t="str">
        <f>IF(LANÇ_MOV[[#This Row],[DATA DE VENCIMENTO]]="","",UPPER(TEXT(LANÇ_MOV[[#This Row],[DATA DE VENCIMENTO]],"MMMM")))</f>
        <v/>
      </c>
      <c r="AG935" s="526" t="str">
        <f>IF(LANÇ_MOV[[#This Row],[DATA DE VENCIMENTO]]="","",TEXT(LANÇ_MOV[[#This Row],[DATA DE VENCIMENTO]],"M"))</f>
        <v/>
      </c>
      <c r="AH935" s="526" t="str">
        <f>IF(LANÇ_MOV[[#This Row],[DATA DE VENCIMENTO]]="","",TEXT(LANÇ_MOV[[#This Row],[DATA DE VENCIMENTO]],"D"))</f>
        <v/>
      </c>
      <c r="AI935" s="526" t="str">
        <f>IF(LANÇ_MOV[[#This Row],[DATA DE PAGAMENTO]]="","",TEXT(LANÇ_MOV[[#This Row],[DATA DE PAGAMENTO]],"AAAA"))</f>
        <v/>
      </c>
      <c r="AJ935" s="527" t="str">
        <f>IF(LANÇ_MOV[[#This Row],[DATA DE PAGAMENTO]]="","",UPPER(TEXT(LANÇ_MOV[[#This Row],[DATA DE PAGAMENTO]],"MMMM")))</f>
        <v/>
      </c>
      <c r="AK935" s="527" t="str">
        <f>IF(LANÇ_MOV[[#This Row],[DATA DE PAGAMENTO]]="","",TEXT(LANÇ_MOV[[#This Row],[DATA DE PAGAMENTO]],"M"))</f>
        <v/>
      </c>
      <c r="AL935" s="526" t="str">
        <f>IF(LANÇ_MOV[[#This Row],[DATA DE PAGAMENTO]]="","",TEXT(LANÇ_MOV[[#This Row],[DATA DE PAGAMENTO]],"D"))</f>
        <v/>
      </c>
    </row>
    <row r="936" spans="2:38" ht="30.05" customHeight="1" x14ac:dyDescent="0.35">
      <c r="B936" s="506"/>
      <c r="C936" s="507"/>
      <c r="D936" s="508" t="s">
        <v>1854</v>
      </c>
      <c r="E936" s="509"/>
      <c r="F936" s="510"/>
      <c r="G936" s="507"/>
      <c r="H936" s="511"/>
      <c r="I936" s="512"/>
      <c r="J936" s="518"/>
      <c r="K936" s="510"/>
      <c r="L936" s="510"/>
      <c r="M936" s="548"/>
      <c r="N936" s="514">
        <f>LANÇ_MOV[[#This Row],[VALOR BRUTO]]-LANÇ_MOV[[#This Row],[DESCONTO]]+LANÇ_MOV[[#This Row],[JUROS]]+LANÇ_MOV[[#This Row],[MULTA]]</f>
        <v>0</v>
      </c>
      <c r="O936" s="546"/>
      <c r="P936" s="547" t="str">
        <f t="shared" ca="1" si="14"/>
        <v/>
      </c>
      <c r="Q936" s="528"/>
      <c r="R936" s="529"/>
      <c r="S936" s="518"/>
      <c r="T936" s="518"/>
      <c r="U936" s="519"/>
      <c r="V936" s="520" t="str">
        <f>IFERROR(VLOOKUP(LANÇ_MOV[[#This Row],[PLANO DE CONTAS]],Plano_Contas[[PLANO DE CONTAS]:[R / D]],3,0),"")</f>
        <v/>
      </c>
      <c r="W936" s="521" t="str">
        <f>IF(LANÇ_MOV[[#This Row],[DATA DE PAGAMENTO]]&lt;&gt;"","Pago","Não Pago")</f>
        <v>Não Pago</v>
      </c>
      <c r="X936" s="522" t="str">
        <f>IFERROR(IF(LANÇ_MOV[[#This Row],[DATA DE PAGAMENTO]]="","",(UPPER(TEXT(LANÇ_MOV[[#This Row],[DATA DE PAGAMENTO]],"mmmm")))),"")</f>
        <v/>
      </c>
      <c r="Y936" s="523" t="str">
        <f>IFERROR(VLOOKUP(LANÇ_MOV[[#This Row],[PLANO DE CONTAS]],Plano_Contas[[PLANO DE CONTAS]:[NOMES INTERVALOS]],2,0),"")</f>
        <v/>
      </c>
      <c r="Z936" s="523" t="str">
        <f>IF(LANÇ_MOV[[#This Row],[FORMA DE PAGAMENTO]]="","",VLOOKUP(LANÇ_MOV[[#This Row],[FORMA DE PAGAMENTO]],CAD_Forma_pagto[],2,0))</f>
        <v/>
      </c>
      <c r="AA936" s="524" t="str">
        <f>IF(LANÇ_MOV[[#This Row],[DATA DE LANÇAMENTO]]="","",TEXT(LANÇ_MOV[[#This Row],[DATA DE LANÇAMENTO]],"AAAA"))</f>
        <v/>
      </c>
      <c r="AB936" s="524" t="str">
        <f>IF(LANÇ_MOV[[#This Row],[DATA DE LANÇAMENTO]]="","",UPPER(TEXT(LANÇ_MOV[[#This Row],[DATA DE LANÇAMENTO]],"MMMM")))</f>
        <v/>
      </c>
      <c r="AC936" s="525" t="str">
        <f>IF(LANÇ_MOV[[#This Row],[DATA DE LANÇAMENTO]]="","",PROPER(TEXT(LANÇ_MOV[[#This Row],[DATA DE LANÇAMENTO]],"M")))</f>
        <v/>
      </c>
      <c r="AD936" s="524" t="str">
        <f>IF(LANÇ_MOV[[#This Row],[DATA DE LANÇAMENTO]]="","",TEXT(LANÇ_MOV[[#This Row],[DATA DE LANÇAMENTO]],"D"))</f>
        <v/>
      </c>
      <c r="AE936" s="526" t="str">
        <f>IF(LANÇ_MOV[[#This Row],[DATA DE VENCIMENTO]]="","",TEXT(LANÇ_MOV[[#This Row],[DATA DE VENCIMENTO]],"AAAA"))</f>
        <v/>
      </c>
      <c r="AF936" s="526" t="str">
        <f>IF(LANÇ_MOV[[#This Row],[DATA DE VENCIMENTO]]="","",UPPER(TEXT(LANÇ_MOV[[#This Row],[DATA DE VENCIMENTO]],"MMMM")))</f>
        <v/>
      </c>
      <c r="AG936" s="526" t="str">
        <f>IF(LANÇ_MOV[[#This Row],[DATA DE VENCIMENTO]]="","",TEXT(LANÇ_MOV[[#This Row],[DATA DE VENCIMENTO]],"M"))</f>
        <v/>
      </c>
      <c r="AH936" s="526" t="str">
        <f>IF(LANÇ_MOV[[#This Row],[DATA DE VENCIMENTO]]="","",TEXT(LANÇ_MOV[[#This Row],[DATA DE VENCIMENTO]],"D"))</f>
        <v/>
      </c>
      <c r="AI936" s="526" t="str">
        <f>IF(LANÇ_MOV[[#This Row],[DATA DE PAGAMENTO]]="","",TEXT(LANÇ_MOV[[#This Row],[DATA DE PAGAMENTO]],"AAAA"))</f>
        <v/>
      </c>
      <c r="AJ936" s="527" t="str">
        <f>IF(LANÇ_MOV[[#This Row],[DATA DE PAGAMENTO]]="","",UPPER(TEXT(LANÇ_MOV[[#This Row],[DATA DE PAGAMENTO]],"MMMM")))</f>
        <v/>
      </c>
      <c r="AK936" s="527" t="str">
        <f>IF(LANÇ_MOV[[#This Row],[DATA DE PAGAMENTO]]="","",TEXT(LANÇ_MOV[[#This Row],[DATA DE PAGAMENTO]],"M"))</f>
        <v/>
      </c>
      <c r="AL936" s="526" t="str">
        <f>IF(LANÇ_MOV[[#This Row],[DATA DE PAGAMENTO]]="","",TEXT(LANÇ_MOV[[#This Row],[DATA DE PAGAMENTO]],"D"))</f>
        <v/>
      </c>
    </row>
    <row r="937" spans="2:38" ht="30.05" customHeight="1" x14ac:dyDescent="0.35">
      <c r="B937" s="506"/>
      <c r="C937" s="507"/>
      <c r="D937" s="508" t="s">
        <v>1854</v>
      </c>
      <c r="E937" s="509"/>
      <c r="F937" s="510"/>
      <c r="G937" s="507"/>
      <c r="H937" s="511"/>
      <c r="I937" s="512"/>
      <c r="J937" s="518"/>
      <c r="K937" s="510"/>
      <c r="L937" s="510"/>
      <c r="M937" s="548"/>
      <c r="N937" s="514">
        <f>LANÇ_MOV[[#This Row],[VALOR BRUTO]]-LANÇ_MOV[[#This Row],[DESCONTO]]+LANÇ_MOV[[#This Row],[JUROS]]+LANÇ_MOV[[#This Row],[MULTA]]</f>
        <v>0</v>
      </c>
      <c r="O937" s="546"/>
      <c r="P937" s="547" t="str">
        <f t="shared" ca="1" si="14"/>
        <v/>
      </c>
      <c r="Q937" s="528"/>
      <c r="R937" s="529"/>
      <c r="S937" s="518"/>
      <c r="T937" s="518"/>
      <c r="U937" s="519"/>
      <c r="V937" s="520" t="str">
        <f>IFERROR(VLOOKUP(LANÇ_MOV[[#This Row],[PLANO DE CONTAS]],Plano_Contas[[PLANO DE CONTAS]:[R / D]],3,0),"")</f>
        <v/>
      </c>
      <c r="W937" s="521" t="str">
        <f>IF(LANÇ_MOV[[#This Row],[DATA DE PAGAMENTO]]&lt;&gt;"","Pago","Não Pago")</f>
        <v>Não Pago</v>
      </c>
      <c r="X937" s="522" t="str">
        <f>IFERROR(IF(LANÇ_MOV[[#This Row],[DATA DE PAGAMENTO]]="","",(UPPER(TEXT(LANÇ_MOV[[#This Row],[DATA DE PAGAMENTO]],"mmmm")))),"")</f>
        <v/>
      </c>
      <c r="Y937" s="523" t="str">
        <f>IFERROR(VLOOKUP(LANÇ_MOV[[#This Row],[PLANO DE CONTAS]],Plano_Contas[[PLANO DE CONTAS]:[NOMES INTERVALOS]],2,0),"")</f>
        <v/>
      </c>
      <c r="Z937" s="523" t="str">
        <f>IF(LANÇ_MOV[[#This Row],[FORMA DE PAGAMENTO]]="","",VLOOKUP(LANÇ_MOV[[#This Row],[FORMA DE PAGAMENTO]],CAD_Forma_pagto[],2,0))</f>
        <v/>
      </c>
      <c r="AA937" s="524" t="str">
        <f>IF(LANÇ_MOV[[#This Row],[DATA DE LANÇAMENTO]]="","",TEXT(LANÇ_MOV[[#This Row],[DATA DE LANÇAMENTO]],"AAAA"))</f>
        <v/>
      </c>
      <c r="AB937" s="524" t="str">
        <f>IF(LANÇ_MOV[[#This Row],[DATA DE LANÇAMENTO]]="","",UPPER(TEXT(LANÇ_MOV[[#This Row],[DATA DE LANÇAMENTO]],"MMMM")))</f>
        <v/>
      </c>
      <c r="AC937" s="525" t="str">
        <f>IF(LANÇ_MOV[[#This Row],[DATA DE LANÇAMENTO]]="","",PROPER(TEXT(LANÇ_MOV[[#This Row],[DATA DE LANÇAMENTO]],"M")))</f>
        <v/>
      </c>
      <c r="AD937" s="524" t="str">
        <f>IF(LANÇ_MOV[[#This Row],[DATA DE LANÇAMENTO]]="","",TEXT(LANÇ_MOV[[#This Row],[DATA DE LANÇAMENTO]],"D"))</f>
        <v/>
      </c>
      <c r="AE937" s="526" t="str">
        <f>IF(LANÇ_MOV[[#This Row],[DATA DE VENCIMENTO]]="","",TEXT(LANÇ_MOV[[#This Row],[DATA DE VENCIMENTO]],"AAAA"))</f>
        <v/>
      </c>
      <c r="AF937" s="526" t="str">
        <f>IF(LANÇ_MOV[[#This Row],[DATA DE VENCIMENTO]]="","",UPPER(TEXT(LANÇ_MOV[[#This Row],[DATA DE VENCIMENTO]],"MMMM")))</f>
        <v/>
      </c>
      <c r="AG937" s="526" t="str">
        <f>IF(LANÇ_MOV[[#This Row],[DATA DE VENCIMENTO]]="","",TEXT(LANÇ_MOV[[#This Row],[DATA DE VENCIMENTO]],"M"))</f>
        <v/>
      </c>
      <c r="AH937" s="526" t="str">
        <f>IF(LANÇ_MOV[[#This Row],[DATA DE VENCIMENTO]]="","",TEXT(LANÇ_MOV[[#This Row],[DATA DE VENCIMENTO]],"D"))</f>
        <v/>
      </c>
      <c r="AI937" s="526" t="str">
        <f>IF(LANÇ_MOV[[#This Row],[DATA DE PAGAMENTO]]="","",TEXT(LANÇ_MOV[[#This Row],[DATA DE PAGAMENTO]],"AAAA"))</f>
        <v/>
      </c>
      <c r="AJ937" s="527" t="str">
        <f>IF(LANÇ_MOV[[#This Row],[DATA DE PAGAMENTO]]="","",UPPER(TEXT(LANÇ_MOV[[#This Row],[DATA DE PAGAMENTO]],"MMMM")))</f>
        <v/>
      </c>
      <c r="AK937" s="527" t="str">
        <f>IF(LANÇ_MOV[[#This Row],[DATA DE PAGAMENTO]]="","",TEXT(LANÇ_MOV[[#This Row],[DATA DE PAGAMENTO]],"M"))</f>
        <v/>
      </c>
      <c r="AL937" s="526" t="str">
        <f>IF(LANÇ_MOV[[#This Row],[DATA DE PAGAMENTO]]="","",TEXT(LANÇ_MOV[[#This Row],[DATA DE PAGAMENTO]],"D"))</f>
        <v/>
      </c>
    </row>
    <row r="938" spans="2:38" ht="30.05" customHeight="1" x14ac:dyDescent="0.35">
      <c r="B938" s="506"/>
      <c r="C938" s="507"/>
      <c r="D938" s="508" t="s">
        <v>1854</v>
      </c>
      <c r="E938" s="509"/>
      <c r="F938" s="510"/>
      <c r="G938" s="507"/>
      <c r="H938" s="511"/>
      <c r="I938" s="512"/>
      <c r="J938" s="518"/>
      <c r="K938" s="510"/>
      <c r="L938" s="510"/>
      <c r="M938" s="548"/>
      <c r="N938" s="514">
        <f>LANÇ_MOV[[#This Row],[VALOR BRUTO]]-LANÇ_MOV[[#This Row],[DESCONTO]]+LANÇ_MOV[[#This Row],[JUROS]]+LANÇ_MOV[[#This Row],[MULTA]]</f>
        <v>0</v>
      </c>
      <c r="O938" s="546"/>
      <c r="P938" s="547" t="str">
        <f t="shared" ca="1" si="14"/>
        <v/>
      </c>
      <c r="Q938" s="528"/>
      <c r="R938" s="529"/>
      <c r="S938" s="518"/>
      <c r="T938" s="518"/>
      <c r="U938" s="519"/>
      <c r="V938" s="520" t="str">
        <f>IFERROR(VLOOKUP(LANÇ_MOV[[#This Row],[PLANO DE CONTAS]],Plano_Contas[[PLANO DE CONTAS]:[R / D]],3,0),"")</f>
        <v/>
      </c>
      <c r="W938" s="521" t="str">
        <f>IF(LANÇ_MOV[[#This Row],[DATA DE PAGAMENTO]]&lt;&gt;"","Pago","Não Pago")</f>
        <v>Não Pago</v>
      </c>
      <c r="X938" s="522" t="str">
        <f>IFERROR(IF(LANÇ_MOV[[#This Row],[DATA DE PAGAMENTO]]="","",(UPPER(TEXT(LANÇ_MOV[[#This Row],[DATA DE PAGAMENTO]],"mmmm")))),"")</f>
        <v/>
      </c>
      <c r="Y938" s="523" t="str">
        <f>IFERROR(VLOOKUP(LANÇ_MOV[[#This Row],[PLANO DE CONTAS]],Plano_Contas[[PLANO DE CONTAS]:[NOMES INTERVALOS]],2,0),"")</f>
        <v/>
      </c>
      <c r="Z938" s="523" t="str">
        <f>IF(LANÇ_MOV[[#This Row],[FORMA DE PAGAMENTO]]="","",VLOOKUP(LANÇ_MOV[[#This Row],[FORMA DE PAGAMENTO]],CAD_Forma_pagto[],2,0))</f>
        <v/>
      </c>
      <c r="AA938" s="524" t="str">
        <f>IF(LANÇ_MOV[[#This Row],[DATA DE LANÇAMENTO]]="","",TEXT(LANÇ_MOV[[#This Row],[DATA DE LANÇAMENTO]],"AAAA"))</f>
        <v/>
      </c>
      <c r="AB938" s="524" t="str">
        <f>IF(LANÇ_MOV[[#This Row],[DATA DE LANÇAMENTO]]="","",UPPER(TEXT(LANÇ_MOV[[#This Row],[DATA DE LANÇAMENTO]],"MMMM")))</f>
        <v/>
      </c>
      <c r="AC938" s="525" t="str">
        <f>IF(LANÇ_MOV[[#This Row],[DATA DE LANÇAMENTO]]="","",PROPER(TEXT(LANÇ_MOV[[#This Row],[DATA DE LANÇAMENTO]],"M")))</f>
        <v/>
      </c>
      <c r="AD938" s="524" t="str">
        <f>IF(LANÇ_MOV[[#This Row],[DATA DE LANÇAMENTO]]="","",TEXT(LANÇ_MOV[[#This Row],[DATA DE LANÇAMENTO]],"D"))</f>
        <v/>
      </c>
      <c r="AE938" s="526" t="str">
        <f>IF(LANÇ_MOV[[#This Row],[DATA DE VENCIMENTO]]="","",TEXT(LANÇ_MOV[[#This Row],[DATA DE VENCIMENTO]],"AAAA"))</f>
        <v/>
      </c>
      <c r="AF938" s="526" t="str">
        <f>IF(LANÇ_MOV[[#This Row],[DATA DE VENCIMENTO]]="","",UPPER(TEXT(LANÇ_MOV[[#This Row],[DATA DE VENCIMENTO]],"MMMM")))</f>
        <v/>
      </c>
      <c r="AG938" s="526" t="str">
        <f>IF(LANÇ_MOV[[#This Row],[DATA DE VENCIMENTO]]="","",TEXT(LANÇ_MOV[[#This Row],[DATA DE VENCIMENTO]],"M"))</f>
        <v/>
      </c>
      <c r="AH938" s="526" t="str">
        <f>IF(LANÇ_MOV[[#This Row],[DATA DE VENCIMENTO]]="","",TEXT(LANÇ_MOV[[#This Row],[DATA DE VENCIMENTO]],"D"))</f>
        <v/>
      </c>
      <c r="AI938" s="526" t="str">
        <f>IF(LANÇ_MOV[[#This Row],[DATA DE PAGAMENTO]]="","",TEXT(LANÇ_MOV[[#This Row],[DATA DE PAGAMENTO]],"AAAA"))</f>
        <v/>
      </c>
      <c r="AJ938" s="527" t="str">
        <f>IF(LANÇ_MOV[[#This Row],[DATA DE PAGAMENTO]]="","",UPPER(TEXT(LANÇ_MOV[[#This Row],[DATA DE PAGAMENTO]],"MMMM")))</f>
        <v/>
      </c>
      <c r="AK938" s="527" t="str">
        <f>IF(LANÇ_MOV[[#This Row],[DATA DE PAGAMENTO]]="","",TEXT(LANÇ_MOV[[#This Row],[DATA DE PAGAMENTO]],"M"))</f>
        <v/>
      </c>
      <c r="AL938" s="526" t="str">
        <f>IF(LANÇ_MOV[[#This Row],[DATA DE PAGAMENTO]]="","",TEXT(LANÇ_MOV[[#This Row],[DATA DE PAGAMENTO]],"D"))</f>
        <v/>
      </c>
    </row>
    <row r="939" spans="2:38" ht="30.05" customHeight="1" x14ac:dyDescent="0.35">
      <c r="B939" s="506"/>
      <c r="C939" s="507"/>
      <c r="D939" s="508" t="s">
        <v>1854</v>
      </c>
      <c r="E939" s="509"/>
      <c r="F939" s="510"/>
      <c r="G939" s="507"/>
      <c r="H939" s="511"/>
      <c r="I939" s="512"/>
      <c r="J939" s="518"/>
      <c r="K939" s="510"/>
      <c r="L939" s="510"/>
      <c r="M939" s="548"/>
      <c r="N939" s="514">
        <f>LANÇ_MOV[[#This Row],[VALOR BRUTO]]-LANÇ_MOV[[#This Row],[DESCONTO]]+LANÇ_MOV[[#This Row],[JUROS]]+LANÇ_MOV[[#This Row],[MULTA]]</f>
        <v>0</v>
      </c>
      <c r="O939" s="546"/>
      <c r="P939" s="547" t="str">
        <f t="shared" ca="1" si="14"/>
        <v/>
      </c>
      <c r="Q939" s="528"/>
      <c r="R939" s="529"/>
      <c r="S939" s="518"/>
      <c r="T939" s="518"/>
      <c r="U939" s="519"/>
      <c r="V939" s="520" t="str">
        <f>IFERROR(VLOOKUP(LANÇ_MOV[[#This Row],[PLANO DE CONTAS]],Plano_Contas[[PLANO DE CONTAS]:[R / D]],3,0),"")</f>
        <v/>
      </c>
      <c r="W939" s="521" t="str">
        <f>IF(LANÇ_MOV[[#This Row],[DATA DE PAGAMENTO]]&lt;&gt;"","Pago","Não Pago")</f>
        <v>Não Pago</v>
      </c>
      <c r="X939" s="522" t="str">
        <f>IFERROR(IF(LANÇ_MOV[[#This Row],[DATA DE PAGAMENTO]]="","",(UPPER(TEXT(LANÇ_MOV[[#This Row],[DATA DE PAGAMENTO]],"mmmm")))),"")</f>
        <v/>
      </c>
      <c r="Y939" s="523" t="str">
        <f>IFERROR(VLOOKUP(LANÇ_MOV[[#This Row],[PLANO DE CONTAS]],Plano_Contas[[PLANO DE CONTAS]:[NOMES INTERVALOS]],2,0),"")</f>
        <v/>
      </c>
      <c r="Z939" s="523" t="str">
        <f>IF(LANÇ_MOV[[#This Row],[FORMA DE PAGAMENTO]]="","",VLOOKUP(LANÇ_MOV[[#This Row],[FORMA DE PAGAMENTO]],CAD_Forma_pagto[],2,0))</f>
        <v/>
      </c>
      <c r="AA939" s="524" t="str">
        <f>IF(LANÇ_MOV[[#This Row],[DATA DE LANÇAMENTO]]="","",TEXT(LANÇ_MOV[[#This Row],[DATA DE LANÇAMENTO]],"AAAA"))</f>
        <v/>
      </c>
      <c r="AB939" s="524" t="str">
        <f>IF(LANÇ_MOV[[#This Row],[DATA DE LANÇAMENTO]]="","",UPPER(TEXT(LANÇ_MOV[[#This Row],[DATA DE LANÇAMENTO]],"MMMM")))</f>
        <v/>
      </c>
      <c r="AC939" s="525" t="str">
        <f>IF(LANÇ_MOV[[#This Row],[DATA DE LANÇAMENTO]]="","",PROPER(TEXT(LANÇ_MOV[[#This Row],[DATA DE LANÇAMENTO]],"M")))</f>
        <v/>
      </c>
      <c r="AD939" s="524" t="str">
        <f>IF(LANÇ_MOV[[#This Row],[DATA DE LANÇAMENTO]]="","",TEXT(LANÇ_MOV[[#This Row],[DATA DE LANÇAMENTO]],"D"))</f>
        <v/>
      </c>
      <c r="AE939" s="526" t="str">
        <f>IF(LANÇ_MOV[[#This Row],[DATA DE VENCIMENTO]]="","",TEXT(LANÇ_MOV[[#This Row],[DATA DE VENCIMENTO]],"AAAA"))</f>
        <v/>
      </c>
      <c r="AF939" s="526" t="str">
        <f>IF(LANÇ_MOV[[#This Row],[DATA DE VENCIMENTO]]="","",UPPER(TEXT(LANÇ_MOV[[#This Row],[DATA DE VENCIMENTO]],"MMMM")))</f>
        <v/>
      </c>
      <c r="AG939" s="526" t="str">
        <f>IF(LANÇ_MOV[[#This Row],[DATA DE VENCIMENTO]]="","",TEXT(LANÇ_MOV[[#This Row],[DATA DE VENCIMENTO]],"M"))</f>
        <v/>
      </c>
      <c r="AH939" s="526" t="str">
        <f>IF(LANÇ_MOV[[#This Row],[DATA DE VENCIMENTO]]="","",TEXT(LANÇ_MOV[[#This Row],[DATA DE VENCIMENTO]],"D"))</f>
        <v/>
      </c>
      <c r="AI939" s="526" t="str">
        <f>IF(LANÇ_MOV[[#This Row],[DATA DE PAGAMENTO]]="","",TEXT(LANÇ_MOV[[#This Row],[DATA DE PAGAMENTO]],"AAAA"))</f>
        <v/>
      </c>
      <c r="AJ939" s="527" t="str">
        <f>IF(LANÇ_MOV[[#This Row],[DATA DE PAGAMENTO]]="","",UPPER(TEXT(LANÇ_MOV[[#This Row],[DATA DE PAGAMENTO]],"MMMM")))</f>
        <v/>
      </c>
      <c r="AK939" s="527" t="str">
        <f>IF(LANÇ_MOV[[#This Row],[DATA DE PAGAMENTO]]="","",TEXT(LANÇ_MOV[[#This Row],[DATA DE PAGAMENTO]],"M"))</f>
        <v/>
      </c>
      <c r="AL939" s="526" t="str">
        <f>IF(LANÇ_MOV[[#This Row],[DATA DE PAGAMENTO]]="","",TEXT(LANÇ_MOV[[#This Row],[DATA DE PAGAMENTO]],"D"))</f>
        <v/>
      </c>
    </row>
    <row r="940" spans="2:38" ht="30.05" customHeight="1" x14ac:dyDescent="0.35">
      <c r="B940" s="506"/>
      <c r="C940" s="507"/>
      <c r="D940" s="508" t="s">
        <v>1854</v>
      </c>
      <c r="E940" s="509"/>
      <c r="F940" s="510"/>
      <c r="G940" s="507"/>
      <c r="H940" s="511"/>
      <c r="I940" s="512"/>
      <c r="J940" s="518"/>
      <c r="K940" s="510"/>
      <c r="L940" s="510"/>
      <c r="M940" s="548"/>
      <c r="N940" s="514">
        <f>LANÇ_MOV[[#This Row],[VALOR BRUTO]]-LANÇ_MOV[[#This Row],[DESCONTO]]+LANÇ_MOV[[#This Row],[JUROS]]+LANÇ_MOV[[#This Row],[MULTA]]</f>
        <v>0</v>
      </c>
      <c r="O940" s="546"/>
      <c r="P940" s="547" t="str">
        <f t="shared" ca="1" si="14"/>
        <v/>
      </c>
      <c r="Q940" s="528"/>
      <c r="R940" s="529"/>
      <c r="S940" s="518"/>
      <c r="T940" s="518"/>
      <c r="U940" s="519"/>
      <c r="V940" s="520" t="str">
        <f>IFERROR(VLOOKUP(LANÇ_MOV[[#This Row],[PLANO DE CONTAS]],Plano_Contas[[PLANO DE CONTAS]:[R / D]],3,0),"")</f>
        <v/>
      </c>
      <c r="W940" s="521" t="str">
        <f>IF(LANÇ_MOV[[#This Row],[DATA DE PAGAMENTO]]&lt;&gt;"","Pago","Não Pago")</f>
        <v>Não Pago</v>
      </c>
      <c r="X940" s="522" t="str">
        <f>IFERROR(IF(LANÇ_MOV[[#This Row],[DATA DE PAGAMENTO]]="","",(UPPER(TEXT(LANÇ_MOV[[#This Row],[DATA DE PAGAMENTO]],"mmmm")))),"")</f>
        <v/>
      </c>
      <c r="Y940" s="523" t="str">
        <f>IFERROR(VLOOKUP(LANÇ_MOV[[#This Row],[PLANO DE CONTAS]],Plano_Contas[[PLANO DE CONTAS]:[NOMES INTERVALOS]],2,0),"")</f>
        <v/>
      </c>
      <c r="Z940" s="523" t="str">
        <f>IF(LANÇ_MOV[[#This Row],[FORMA DE PAGAMENTO]]="","",VLOOKUP(LANÇ_MOV[[#This Row],[FORMA DE PAGAMENTO]],CAD_Forma_pagto[],2,0))</f>
        <v/>
      </c>
      <c r="AA940" s="524" t="str">
        <f>IF(LANÇ_MOV[[#This Row],[DATA DE LANÇAMENTO]]="","",TEXT(LANÇ_MOV[[#This Row],[DATA DE LANÇAMENTO]],"AAAA"))</f>
        <v/>
      </c>
      <c r="AB940" s="524" t="str">
        <f>IF(LANÇ_MOV[[#This Row],[DATA DE LANÇAMENTO]]="","",UPPER(TEXT(LANÇ_MOV[[#This Row],[DATA DE LANÇAMENTO]],"MMMM")))</f>
        <v/>
      </c>
      <c r="AC940" s="525" t="str">
        <f>IF(LANÇ_MOV[[#This Row],[DATA DE LANÇAMENTO]]="","",PROPER(TEXT(LANÇ_MOV[[#This Row],[DATA DE LANÇAMENTO]],"M")))</f>
        <v/>
      </c>
      <c r="AD940" s="524" t="str">
        <f>IF(LANÇ_MOV[[#This Row],[DATA DE LANÇAMENTO]]="","",TEXT(LANÇ_MOV[[#This Row],[DATA DE LANÇAMENTO]],"D"))</f>
        <v/>
      </c>
      <c r="AE940" s="526" t="str">
        <f>IF(LANÇ_MOV[[#This Row],[DATA DE VENCIMENTO]]="","",TEXT(LANÇ_MOV[[#This Row],[DATA DE VENCIMENTO]],"AAAA"))</f>
        <v/>
      </c>
      <c r="AF940" s="526" t="str">
        <f>IF(LANÇ_MOV[[#This Row],[DATA DE VENCIMENTO]]="","",UPPER(TEXT(LANÇ_MOV[[#This Row],[DATA DE VENCIMENTO]],"MMMM")))</f>
        <v/>
      </c>
      <c r="AG940" s="526" t="str">
        <f>IF(LANÇ_MOV[[#This Row],[DATA DE VENCIMENTO]]="","",TEXT(LANÇ_MOV[[#This Row],[DATA DE VENCIMENTO]],"M"))</f>
        <v/>
      </c>
      <c r="AH940" s="526" t="str">
        <f>IF(LANÇ_MOV[[#This Row],[DATA DE VENCIMENTO]]="","",TEXT(LANÇ_MOV[[#This Row],[DATA DE VENCIMENTO]],"D"))</f>
        <v/>
      </c>
      <c r="AI940" s="526" t="str">
        <f>IF(LANÇ_MOV[[#This Row],[DATA DE PAGAMENTO]]="","",TEXT(LANÇ_MOV[[#This Row],[DATA DE PAGAMENTO]],"AAAA"))</f>
        <v/>
      </c>
      <c r="AJ940" s="527" t="str">
        <f>IF(LANÇ_MOV[[#This Row],[DATA DE PAGAMENTO]]="","",UPPER(TEXT(LANÇ_MOV[[#This Row],[DATA DE PAGAMENTO]],"MMMM")))</f>
        <v/>
      </c>
      <c r="AK940" s="527" t="str">
        <f>IF(LANÇ_MOV[[#This Row],[DATA DE PAGAMENTO]]="","",TEXT(LANÇ_MOV[[#This Row],[DATA DE PAGAMENTO]],"M"))</f>
        <v/>
      </c>
      <c r="AL940" s="526" t="str">
        <f>IF(LANÇ_MOV[[#This Row],[DATA DE PAGAMENTO]]="","",TEXT(LANÇ_MOV[[#This Row],[DATA DE PAGAMENTO]],"D"))</f>
        <v/>
      </c>
    </row>
    <row r="941" spans="2:38" ht="30.05" customHeight="1" x14ac:dyDescent="0.35">
      <c r="B941" s="506"/>
      <c r="C941" s="507"/>
      <c r="D941" s="508" t="s">
        <v>1854</v>
      </c>
      <c r="E941" s="509"/>
      <c r="F941" s="510"/>
      <c r="G941" s="507"/>
      <c r="H941" s="511"/>
      <c r="I941" s="512"/>
      <c r="J941" s="518"/>
      <c r="K941" s="510"/>
      <c r="L941" s="510"/>
      <c r="M941" s="548"/>
      <c r="N941" s="514">
        <f>LANÇ_MOV[[#This Row],[VALOR BRUTO]]-LANÇ_MOV[[#This Row],[DESCONTO]]+LANÇ_MOV[[#This Row],[JUROS]]+LANÇ_MOV[[#This Row],[MULTA]]</f>
        <v>0</v>
      </c>
      <c r="O941" s="546"/>
      <c r="P941" s="547" t="str">
        <f t="shared" ca="1" si="14"/>
        <v/>
      </c>
      <c r="Q941" s="528"/>
      <c r="R941" s="529"/>
      <c r="S941" s="518"/>
      <c r="T941" s="518"/>
      <c r="U941" s="519"/>
      <c r="V941" s="520" t="str">
        <f>IFERROR(VLOOKUP(LANÇ_MOV[[#This Row],[PLANO DE CONTAS]],Plano_Contas[[PLANO DE CONTAS]:[R / D]],3,0),"")</f>
        <v/>
      </c>
      <c r="W941" s="521" t="str">
        <f>IF(LANÇ_MOV[[#This Row],[DATA DE PAGAMENTO]]&lt;&gt;"","Pago","Não Pago")</f>
        <v>Não Pago</v>
      </c>
      <c r="X941" s="522" t="str">
        <f>IFERROR(IF(LANÇ_MOV[[#This Row],[DATA DE PAGAMENTO]]="","",(UPPER(TEXT(LANÇ_MOV[[#This Row],[DATA DE PAGAMENTO]],"mmmm")))),"")</f>
        <v/>
      </c>
      <c r="Y941" s="523" t="str">
        <f>IFERROR(VLOOKUP(LANÇ_MOV[[#This Row],[PLANO DE CONTAS]],Plano_Contas[[PLANO DE CONTAS]:[NOMES INTERVALOS]],2,0),"")</f>
        <v/>
      </c>
      <c r="Z941" s="523" t="str">
        <f>IF(LANÇ_MOV[[#This Row],[FORMA DE PAGAMENTO]]="","",VLOOKUP(LANÇ_MOV[[#This Row],[FORMA DE PAGAMENTO]],CAD_Forma_pagto[],2,0))</f>
        <v/>
      </c>
      <c r="AA941" s="524" t="str">
        <f>IF(LANÇ_MOV[[#This Row],[DATA DE LANÇAMENTO]]="","",TEXT(LANÇ_MOV[[#This Row],[DATA DE LANÇAMENTO]],"AAAA"))</f>
        <v/>
      </c>
      <c r="AB941" s="524" t="str">
        <f>IF(LANÇ_MOV[[#This Row],[DATA DE LANÇAMENTO]]="","",UPPER(TEXT(LANÇ_MOV[[#This Row],[DATA DE LANÇAMENTO]],"MMMM")))</f>
        <v/>
      </c>
      <c r="AC941" s="525" t="str">
        <f>IF(LANÇ_MOV[[#This Row],[DATA DE LANÇAMENTO]]="","",PROPER(TEXT(LANÇ_MOV[[#This Row],[DATA DE LANÇAMENTO]],"M")))</f>
        <v/>
      </c>
      <c r="AD941" s="524" t="str">
        <f>IF(LANÇ_MOV[[#This Row],[DATA DE LANÇAMENTO]]="","",TEXT(LANÇ_MOV[[#This Row],[DATA DE LANÇAMENTO]],"D"))</f>
        <v/>
      </c>
      <c r="AE941" s="526" t="str">
        <f>IF(LANÇ_MOV[[#This Row],[DATA DE VENCIMENTO]]="","",TEXT(LANÇ_MOV[[#This Row],[DATA DE VENCIMENTO]],"AAAA"))</f>
        <v/>
      </c>
      <c r="AF941" s="526" t="str">
        <f>IF(LANÇ_MOV[[#This Row],[DATA DE VENCIMENTO]]="","",UPPER(TEXT(LANÇ_MOV[[#This Row],[DATA DE VENCIMENTO]],"MMMM")))</f>
        <v/>
      </c>
      <c r="AG941" s="526" t="str">
        <f>IF(LANÇ_MOV[[#This Row],[DATA DE VENCIMENTO]]="","",TEXT(LANÇ_MOV[[#This Row],[DATA DE VENCIMENTO]],"M"))</f>
        <v/>
      </c>
      <c r="AH941" s="526" t="str">
        <f>IF(LANÇ_MOV[[#This Row],[DATA DE VENCIMENTO]]="","",TEXT(LANÇ_MOV[[#This Row],[DATA DE VENCIMENTO]],"D"))</f>
        <v/>
      </c>
      <c r="AI941" s="526" t="str">
        <f>IF(LANÇ_MOV[[#This Row],[DATA DE PAGAMENTO]]="","",TEXT(LANÇ_MOV[[#This Row],[DATA DE PAGAMENTO]],"AAAA"))</f>
        <v/>
      </c>
      <c r="AJ941" s="527" t="str">
        <f>IF(LANÇ_MOV[[#This Row],[DATA DE PAGAMENTO]]="","",UPPER(TEXT(LANÇ_MOV[[#This Row],[DATA DE PAGAMENTO]],"MMMM")))</f>
        <v/>
      </c>
      <c r="AK941" s="527" t="str">
        <f>IF(LANÇ_MOV[[#This Row],[DATA DE PAGAMENTO]]="","",TEXT(LANÇ_MOV[[#This Row],[DATA DE PAGAMENTO]],"M"))</f>
        <v/>
      </c>
      <c r="AL941" s="526" t="str">
        <f>IF(LANÇ_MOV[[#This Row],[DATA DE PAGAMENTO]]="","",TEXT(LANÇ_MOV[[#This Row],[DATA DE PAGAMENTO]],"D"))</f>
        <v/>
      </c>
    </row>
    <row r="942" spans="2:38" ht="30.05" customHeight="1" x14ac:dyDescent="0.35">
      <c r="B942" s="506"/>
      <c r="C942" s="507"/>
      <c r="D942" s="508" t="s">
        <v>1854</v>
      </c>
      <c r="E942" s="509"/>
      <c r="F942" s="510"/>
      <c r="G942" s="507"/>
      <c r="H942" s="511"/>
      <c r="I942" s="512"/>
      <c r="J942" s="518"/>
      <c r="K942" s="510"/>
      <c r="L942" s="510"/>
      <c r="M942" s="548"/>
      <c r="N942" s="514">
        <f>LANÇ_MOV[[#This Row],[VALOR BRUTO]]-LANÇ_MOV[[#This Row],[DESCONTO]]+LANÇ_MOV[[#This Row],[JUROS]]+LANÇ_MOV[[#This Row],[MULTA]]</f>
        <v>0</v>
      </c>
      <c r="O942" s="546"/>
      <c r="P942" s="547" t="str">
        <f t="shared" ca="1" si="14"/>
        <v/>
      </c>
      <c r="Q942" s="528"/>
      <c r="R942" s="529"/>
      <c r="S942" s="518"/>
      <c r="T942" s="518"/>
      <c r="U942" s="519"/>
      <c r="V942" s="520" t="str">
        <f>IFERROR(VLOOKUP(LANÇ_MOV[[#This Row],[PLANO DE CONTAS]],Plano_Contas[[PLANO DE CONTAS]:[R / D]],3,0),"")</f>
        <v/>
      </c>
      <c r="W942" s="521" t="str">
        <f>IF(LANÇ_MOV[[#This Row],[DATA DE PAGAMENTO]]&lt;&gt;"","Pago","Não Pago")</f>
        <v>Não Pago</v>
      </c>
      <c r="X942" s="522" t="str">
        <f>IFERROR(IF(LANÇ_MOV[[#This Row],[DATA DE PAGAMENTO]]="","",(UPPER(TEXT(LANÇ_MOV[[#This Row],[DATA DE PAGAMENTO]],"mmmm")))),"")</f>
        <v/>
      </c>
      <c r="Y942" s="523" t="str">
        <f>IFERROR(VLOOKUP(LANÇ_MOV[[#This Row],[PLANO DE CONTAS]],Plano_Contas[[PLANO DE CONTAS]:[NOMES INTERVALOS]],2,0),"")</f>
        <v/>
      </c>
      <c r="Z942" s="523" t="str">
        <f>IF(LANÇ_MOV[[#This Row],[FORMA DE PAGAMENTO]]="","",VLOOKUP(LANÇ_MOV[[#This Row],[FORMA DE PAGAMENTO]],CAD_Forma_pagto[],2,0))</f>
        <v/>
      </c>
      <c r="AA942" s="524" t="str">
        <f>IF(LANÇ_MOV[[#This Row],[DATA DE LANÇAMENTO]]="","",TEXT(LANÇ_MOV[[#This Row],[DATA DE LANÇAMENTO]],"AAAA"))</f>
        <v/>
      </c>
      <c r="AB942" s="524" t="str">
        <f>IF(LANÇ_MOV[[#This Row],[DATA DE LANÇAMENTO]]="","",UPPER(TEXT(LANÇ_MOV[[#This Row],[DATA DE LANÇAMENTO]],"MMMM")))</f>
        <v/>
      </c>
      <c r="AC942" s="525" t="str">
        <f>IF(LANÇ_MOV[[#This Row],[DATA DE LANÇAMENTO]]="","",PROPER(TEXT(LANÇ_MOV[[#This Row],[DATA DE LANÇAMENTO]],"M")))</f>
        <v/>
      </c>
      <c r="AD942" s="524" t="str">
        <f>IF(LANÇ_MOV[[#This Row],[DATA DE LANÇAMENTO]]="","",TEXT(LANÇ_MOV[[#This Row],[DATA DE LANÇAMENTO]],"D"))</f>
        <v/>
      </c>
      <c r="AE942" s="526" t="str">
        <f>IF(LANÇ_MOV[[#This Row],[DATA DE VENCIMENTO]]="","",TEXT(LANÇ_MOV[[#This Row],[DATA DE VENCIMENTO]],"AAAA"))</f>
        <v/>
      </c>
      <c r="AF942" s="526" t="str">
        <f>IF(LANÇ_MOV[[#This Row],[DATA DE VENCIMENTO]]="","",UPPER(TEXT(LANÇ_MOV[[#This Row],[DATA DE VENCIMENTO]],"MMMM")))</f>
        <v/>
      </c>
      <c r="AG942" s="526" t="str">
        <f>IF(LANÇ_MOV[[#This Row],[DATA DE VENCIMENTO]]="","",TEXT(LANÇ_MOV[[#This Row],[DATA DE VENCIMENTO]],"M"))</f>
        <v/>
      </c>
      <c r="AH942" s="526" t="str">
        <f>IF(LANÇ_MOV[[#This Row],[DATA DE VENCIMENTO]]="","",TEXT(LANÇ_MOV[[#This Row],[DATA DE VENCIMENTO]],"D"))</f>
        <v/>
      </c>
      <c r="AI942" s="526" t="str">
        <f>IF(LANÇ_MOV[[#This Row],[DATA DE PAGAMENTO]]="","",TEXT(LANÇ_MOV[[#This Row],[DATA DE PAGAMENTO]],"AAAA"))</f>
        <v/>
      </c>
      <c r="AJ942" s="527" t="str">
        <f>IF(LANÇ_MOV[[#This Row],[DATA DE PAGAMENTO]]="","",UPPER(TEXT(LANÇ_MOV[[#This Row],[DATA DE PAGAMENTO]],"MMMM")))</f>
        <v/>
      </c>
      <c r="AK942" s="527" t="str">
        <f>IF(LANÇ_MOV[[#This Row],[DATA DE PAGAMENTO]]="","",TEXT(LANÇ_MOV[[#This Row],[DATA DE PAGAMENTO]],"M"))</f>
        <v/>
      </c>
      <c r="AL942" s="526" t="str">
        <f>IF(LANÇ_MOV[[#This Row],[DATA DE PAGAMENTO]]="","",TEXT(LANÇ_MOV[[#This Row],[DATA DE PAGAMENTO]],"D"))</f>
        <v/>
      </c>
    </row>
    <row r="943" spans="2:38" ht="30.05" customHeight="1" x14ac:dyDescent="0.35">
      <c r="B943" s="506"/>
      <c r="C943" s="507"/>
      <c r="D943" s="508" t="s">
        <v>1854</v>
      </c>
      <c r="E943" s="509"/>
      <c r="F943" s="510"/>
      <c r="G943" s="507"/>
      <c r="H943" s="511"/>
      <c r="I943" s="512"/>
      <c r="J943" s="518"/>
      <c r="K943" s="510"/>
      <c r="L943" s="510"/>
      <c r="M943" s="548"/>
      <c r="N943" s="514">
        <f>LANÇ_MOV[[#This Row],[VALOR BRUTO]]-LANÇ_MOV[[#This Row],[DESCONTO]]+LANÇ_MOV[[#This Row],[JUROS]]+LANÇ_MOV[[#This Row],[MULTA]]</f>
        <v>0</v>
      </c>
      <c r="O943" s="546"/>
      <c r="P943" s="547" t="str">
        <f t="shared" ca="1" si="14"/>
        <v/>
      </c>
      <c r="Q943" s="528"/>
      <c r="R943" s="529"/>
      <c r="S943" s="518"/>
      <c r="T943" s="518"/>
      <c r="U943" s="519"/>
      <c r="V943" s="520" t="str">
        <f>IFERROR(VLOOKUP(LANÇ_MOV[[#This Row],[PLANO DE CONTAS]],Plano_Contas[[PLANO DE CONTAS]:[R / D]],3,0),"")</f>
        <v/>
      </c>
      <c r="W943" s="521" t="str">
        <f>IF(LANÇ_MOV[[#This Row],[DATA DE PAGAMENTO]]&lt;&gt;"","Pago","Não Pago")</f>
        <v>Não Pago</v>
      </c>
      <c r="X943" s="522" t="str">
        <f>IFERROR(IF(LANÇ_MOV[[#This Row],[DATA DE PAGAMENTO]]="","",(UPPER(TEXT(LANÇ_MOV[[#This Row],[DATA DE PAGAMENTO]],"mmmm")))),"")</f>
        <v/>
      </c>
      <c r="Y943" s="523" t="str">
        <f>IFERROR(VLOOKUP(LANÇ_MOV[[#This Row],[PLANO DE CONTAS]],Plano_Contas[[PLANO DE CONTAS]:[NOMES INTERVALOS]],2,0),"")</f>
        <v/>
      </c>
      <c r="Z943" s="523" t="str">
        <f>IF(LANÇ_MOV[[#This Row],[FORMA DE PAGAMENTO]]="","",VLOOKUP(LANÇ_MOV[[#This Row],[FORMA DE PAGAMENTO]],CAD_Forma_pagto[],2,0))</f>
        <v/>
      </c>
      <c r="AA943" s="524" t="str">
        <f>IF(LANÇ_MOV[[#This Row],[DATA DE LANÇAMENTO]]="","",TEXT(LANÇ_MOV[[#This Row],[DATA DE LANÇAMENTO]],"AAAA"))</f>
        <v/>
      </c>
      <c r="AB943" s="524" t="str">
        <f>IF(LANÇ_MOV[[#This Row],[DATA DE LANÇAMENTO]]="","",UPPER(TEXT(LANÇ_MOV[[#This Row],[DATA DE LANÇAMENTO]],"MMMM")))</f>
        <v/>
      </c>
      <c r="AC943" s="525" t="str">
        <f>IF(LANÇ_MOV[[#This Row],[DATA DE LANÇAMENTO]]="","",PROPER(TEXT(LANÇ_MOV[[#This Row],[DATA DE LANÇAMENTO]],"M")))</f>
        <v/>
      </c>
      <c r="AD943" s="524" t="str">
        <f>IF(LANÇ_MOV[[#This Row],[DATA DE LANÇAMENTO]]="","",TEXT(LANÇ_MOV[[#This Row],[DATA DE LANÇAMENTO]],"D"))</f>
        <v/>
      </c>
      <c r="AE943" s="526" t="str">
        <f>IF(LANÇ_MOV[[#This Row],[DATA DE VENCIMENTO]]="","",TEXT(LANÇ_MOV[[#This Row],[DATA DE VENCIMENTO]],"AAAA"))</f>
        <v/>
      </c>
      <c r="AF943" s="526" t="str">
        <f>IF(LANÇ_MOV[[#This Row],[DATA DE VENCIMENTO]]="","",UPPER(TEXT(LANÇ_MOV[[#This Row],[DATA DE VENCIMENTO]],"MMMM")))</f>
        <v/>
      </c>
      <c r="AG943" s="526" t="str">
        <f>IF(LANÇ_MOV[[#This Row],[DATA DE VENCIMENTO]]="","",TEXT(LANÇ_MOV[[#This Row],[DATA DE VENCIMENTO]],"M"))</f>
        <v/>
      </c>
      <c r="AH943" s="526" t="str">
        <f>IF(LANÇ_MOV[[#This Row],[DATA DE VENCIMENTO]]="","",TEXT(LANÇ_MOV[[#This Row],[DATA DE VENCIMENTO]],"D"))</f>
        <v/>
      </c>
      <c r="AI943" s="526" t="str">
        <f>IF(LANÇ_MOV[[#This Row],[DATA DE PAGAMENTO]]="","",TEXT(LANÇ_MOV[[#This Row],[DATA DE PAGAMENTO]],"AAAA"))</f>
        <v/>
      </c>
      <c r="AJ943" s="527" t="str">
        <f>IF(LANÇ_MOV[[#This Row],[DATA DE PAGAMENTO]]="","",UPPER(TEXT(LANÇ_MOV[[#This Row],[DATA DE PAGAMENTO]],"MMMM")))</f>
        <v/>
      </c>
      <c r="AK943" s="527" t="str">
        <f>IF(LANÇ_MOV[[#This Row],[DATA DE PAGAMENTO]]="","",TEXT(LANÇ_MOV[[#This Row],[DATA DE PAGAMENTO]],"M"))</f>
        <v/>
      </c>
      <c r="AL943" s="526" t="str">
        <f>IF(LANÇ_MOV[[#This Row],[DATA DE PAGAMENTO]]="","",TEXT(LANÇ_MOV[[#This Row],[DATA DE PAGAMENTO]],"D"))</f>
        <v/>
      </c>
    </row>
    <row r="944" spans="2:38" ht="30.05" customHeight="1" x14ac:dyDescent="0.35">
      <c r="B944" s="506"/>
      <c r="C944" s="507"/>
      <c r="D944" s="508" t="s">
        <v>1854</v>
      </c>
      <c r="E944" s="509"/>
      <c r="F944" s="510"/>
      <c r="G944" s="507"/>
      <c r="H944" s="511"/>
      <c r="I944" s="512"/>
      <c r="J944" s="518"/>
      <c r="K944" s="510"/>
      <c r="L944" s="510"/>
      <c r="M944" s="548"/>
      <c r="N944" s="514">
        <f>LANÇ_MOV[[#This Row],[VALOR BRUTO]]-LANÇ_MOV[[#This Row],[DESCONTO]]+LANÇ_MOV[[#This Row],[JUROS]]+LANÇ_MOV[[#This Row],[MULTA]]</f>
        <v>0</v>
      </c>
      <c r="O944" s="546"/>
      <c r="P944" s="547" t="str">
        <f t="shared" ca="1" si="14"/>
        <v/>
      </c>
      <c r="Q944" s="528"/>
      <c r="R944" s="529"/>
      <c r="S944" s="518"/>
      <c r="T944" s="518"/>
      <c r="U944" s="519"/>
      <c r="V944" s="520" t="str">
        <f>IFERROR(VLOOKUP(LANÇ_MOV[[#This Row],[PLANO DE CONTAS]],Plano_Contas[[PLANO DE CONTAS]:[R / D]],3,0),"")</f>
        <v/>
      </c>
      <c r="W944" s="521" t="str">
        <f>IF(LANÇ_MOV[[#This Row],[DATA DE PAGAMENTO]]&lt;&gt;"","Pago","Não Pago")</f>
        <v>Não Pago</v>
      </c>
      <c r="X944" s="522" t="str">
        <f>IFERROR(IF(LANÇ_MOV[[#This Row],[DATA DE PAGAMENTO]]="","",(UPPER(TEXT(LANÇ_MOV[[#This Row],[DATA DE PAGAMENTO]],"mmmm")))),"")</f>
        <v/>
      </c>
      <c r="Y944" s="523" t="str">
        <f>IFERROR(VLOOKUP(LANÇ_MOV[[#This Row],[PLANO DE CONTAS]],Plano_Contas[[PLANO DE CONTAS]:[NOMES INTERVALOS]],2,0),"")</f>
        <v/>
      </c>
      <c r="Z944" s="523" t="str">
        <f>IF(LANÇ_MOV[[#This Row],[FORMA DE PAGAMENTO]]="","",VLOOKUP(LANÇ_MOV[[#This Row],[FORMA DE PAGAMENTO]],CAD_Forma_pagto[],2,0))</f>
        <v/>
      </c>
      <c r="AA944" s="524" t="str">
        <f>IF(LANÇ_MOV[[#This Row],[DATA DE LANÇAMENTO]]="","",TEXT(LANÇ_MOV[[#This Row],[DATA DE LANÇAMENTO]],"AAAA"))</f>
        <v/>
      </c>
      <c r="AB944" s="524" t="str">
        <f>IF(LANÇ_MOV[[#This Row],[DATA DE LANÇAMENTO]]="","",UPPER(TEXT(LANÇ_MOV[[#This Row],[DATA DE LANÇAMENTO]],"MMMM")))</f>
        <v/>
      </c>
      <c r="AC944" s="525" t="str">
        <f>IF(LANÇ_MOV[[#This Row],[DATA DE LANÇAMENTO]]="","",PROPER(TEXT(LANÇ_MOV[[#This Row],[DATA DE LANÇAMENTO]],"M")))</f>
        <v/>
      </c>
      <c r="AD944" s="524" t="str">
        <f>IF(LANÇ_MOV[[#This Row],[DATA DE LANÇAMENTO]]="","",TEXT(LANÇ_MOV[[#This Row],[DATA DE LANÇAMENTO]],"D"))</f>
        <v/>
      </c>
      <c r="AE944" s="526" t="str">
        <f>IF(LANÇ_MOV[[#This Row],[DATA DE VENCIMENTO]]="","",TEXT(LANÇ_MOV[[#This Row],[DATA DE VENCIMENTO]],"AAAA"))</f>
        <v/>
      </c>
      <c r="AF944" s="526" t="str">
        <f>IF(LANÇ_MOV[[#This Row],[DATA DE VENCIMENTO]]="","",UPPER(TEXT(LANÇ_MOV[[#This Row],[DATA DE VENCIMENTO]],"MMMM")))</f>
        <v/>
      </c>
      <c r="AG944" s="526" t="str">
        <f>IF(LANÇ_MOV[[#This Row],[DATA DE VENCIMENTO]]="","",TEXT(LANÇ_MOV[[#This Row],[DATA DE VENCIMENTO]],"M"))</f>
        <v/>
      </c>
      <c r="AH944" s="526" t="str">
        <f>IF(LANÇ_MOV[[#This Row],[DATA DE VENCIMENTO]]="","",TEXT(LANÇ_MOV[[#This Row],[DATA DE VENCIMENTO]],"D"))</f>
        <v/>
      </c>
      <c r="AI944" s="526" t="str">
        <f>IF(LANÇ_MOV[[#This Row],[DATA DE PAGAMENTO]]="","",TEXT(LANÇ_MOV[[#This Row],[DATA DE PAGAMENTO]],"AAAA"))</f>
        <v/>
      </c>
      <c r="AJ944" s="527" t="str">
        <f>IF(LANÇ_MOV[[#This Row],[DATA DE PAGAMENTO]]="","",UPPER(TEXT(LANÇ_MOV[[#This Row],[DATA DE PAGAMENTO]],"MMMM")))</f>
        <v/>
      </c>
      <c r="AK944" s="527" t="str">
        <f>IF(LANÇ_MOV[[#This Row],[DATA DE PAGAMENTO]]="","",TEXT(LANÇ_MOV[[#This Row],[DATA DE PAGAMENTO]],"M"))</f>
        <v/>
      </c>
      <c r="AL944" s="526" t="str">
        <f>IF(LANÇ_MOV[[#This Row],[DATA DE PAGAMENTO]]="","",TEXT(LANÇ_MOV[[#This Row],[DATA DE PAGAMENTO]],"D"))</f>
        <v/>
      </c>
    </row>
    <row r="945" spans="2:38" ht="30.05" customHeight="1" x14ac:dyDescent="0.35">
      <c r="B945" s="506"/>
      <c r="C945" s="507"/>
      <c r="D945" s="508" t="s">
        <v>1854</v>
      </c>
      <c r="E945" s="509"/>
      <c r="F945" s="510"/>
      <c r="G945" s="507"/>
      <c r="H945" s="511"/>
      <c r="I945" s="512"/>
      <c r="J945" s="518"/>
      <c r="K945" s="510"/>
      <c r="L945" s="510"/>
      <c r="M945" s="548"/>
      <c r="N945" s="514">
        <f>LANÇ_MOV[[#This Row],[VALOR BRUTO]]-LANÇ_MOV[[#This Row],[DESCONTO]]+LANÇ_MOV[[#This Row],[JUROS]]+LANÇ_MOV[[#This Row],[MULTA]]</f>
        <v>0</v>
      </c>
      <c r="O945" s="546"/>
      <c r="P945" s="547" t="str">
        <f t="shared" ca="1" si="14"/>
        <v/>
      </c>
      <c r="Q945" s="528"/>
      <c r="R945" s="529"/>
      <c r="S945" s="518"/>
      <c r="T945" s="518"/>
      <c r="U945" s="519"/>
      <c r="V945" s="520" t="str">
        <f>IFERROR(VLOOKUP(LANÇ_MOV[[#This Row],[PLANO DE CONTAS]],Plano_Contas[[PLANO DE CONTAS]:[R / D]],3,0),"")</f>
        <v/>
      </c>
      <c r="W945" s="521" t="str">
        <f>IF(LANÇ_MOV[[#This Row],[DATA DE PAGAMENTO]]&lt;&gt;"","Pago","Não Pago")</f>
        <v>Não Pago</v>
      </c>
      <c r="X945" s="522" t="str">
        <f>IFERROR(IF(LANÇ_MOV[[#This Row],[DATA DE PAGAMENTO]]="","",(UPPER(TEXT(LANÇ_MOV[[#This Row],[DATA DE PAGAMENTO]],"mmmm")))),"")</f>
        <v/>
      </c>
      <c r="Y945" s="523" t="str">
        <f>IFERROR(VLOOKUP(LANÇ_MOV[[#This Row],[PLANO DE CONTAS]],Plano_Contas[[PLANO DE CONTAS]:[NOMES INTERVALOS]],2,0),"")</f>
        <v/>
      </c>
      <c r="Z945" s="523" t="str">
        <f>IF(LANÇ_MOV[[#This Row],[FORMA DE PAGAMENTO]]="","",VLOOKUP(LANÇ_MOV[[#This Row],[FORMA DE PAGAMENTO]],CAD_Forma_pagto[],2,0))</f>
        <v/>
      </c>
      <c r="AA945" s="524" t="str">
        <f>IF(LANÇ_MOV[[#This Row],[DATA DE LANÇAMENTO]]="","",TEXT(LANÇ_MOV[[#This Row],[DATA DE LANÇAMENTO]],"AAAA"))</f>
        <v/>
      </c>
      <c r="AB945" s="524" t="str">
        <f>IF(LANÇ_MOV[[#This Row],[DATA DE LANÇAMENTO]]="","",UPPER(TEXT(LANÇ_MOV[[#This Row],[DATA DE LANÇAMENTO]],"MMMM")))</f>
        <v/>
      </c>
      <c r="AC945" s="525" t="str">
        <f>IF(LANÇ_MOV[[#This Row],[DATA DE LANÇAMENTO]]="","",PROPER(TEXT(LANÇ_MOV[[#This Row],[DATA DE LANÇAMENTO]],"M")))</f>
        <v/>
      </c>
      <c r="AD945" s="524" t="str">
        <f>IF(LANÇ_MOV[[#This Row],[DATA DE LANÇAMENTO]]="","",TEXT(LANÇ_MOV[[#This Row],[DATA DE LANÇAMENTO]],"D"))</f>
        <v/>
      </c>
      <c r="AE945" s="526" t="str">
        <f>IF(LANÇ_MOV[[#This Row],[DATA DE VENCIMENTO]]="","",TEXT(LANÇ_MOV[[#This Row],[DATA DE VENCIMENTO]],"AAAA"))</f>
        <v/>
      </c>
      <c r="AF945" s="526" t="str">
        <f>IF(LANÇ_MOV[[#This Row],[DATA DE VENCIMENTO]]="","",UPPER(TEXT(LANÇ_MOV[[#This Row],[DATA DE VENCIMENTO]],"MMMM")))</f>
        <v/>
      </c>
      <c r="AG945" s="526" t="str">
        <f>IF(LANÇ_MOV[[#This Row],[DATA DE VENCIMENTO]]="","",TEXT(LANÇ_MOV[[#This Row],[DATA DE VENCIMENTO]],"M"))</f>
        <v/>
      </c>
      <c r="AH945" s="526" t="str">
        <f>IF(LANÇ_MOV[[#This Row],[DATA DE VENCIMENTO]]="","",TEXT(LANÇ_MOV[[#This Row],[DATA DE VENCIMENTO]],"D"))</f>
        <v/>
      </c>
      <c r="AI945" s="526" t="str">
        <f>IF(LANÇ_MOV[[#This Row],[DATA DE PAGAMENTO]]="","",TEXT(LANÇ_MOV[[#This Row],[DATA DE PAGAMENTO]],"AAAA"))</f>
        <v/>
      </c>
      <c r="AJ945" s="527" t="str">
        <f>IF(LANÇ_MOV[[#This Row],[DATA DE PAGAMENTO]]="","",UPPER(TEXT(LANÇ_MOV[[#This Row],[DATA DE PAGAMENTO]],"MMMM")))</f>
        <v/>
      </c>
      <c r="AK945" s="527" t="str">
        <f>IF(LANÇ_MOV[[#This Row],[DATA DE PAGAMENTO]]="","",TEXT(LANÇ_MOV[[#This Row],[DATA DE PAGAMENTO]],"M"))</f>
        <v/>
      </c>
      <c r="AL945" s="526" t="str">
        <f>IF(LANÇ_MOV[[#This Row],[DATA DE PAGAMENTO]]="","",TEXT(LANÇ_MOV[[#This Row],[DATA DE PAGAMENTO]],"D"))</f>
        <v/>
      </c>
    </row>
    <row r="946" spans="2:38" ht="30.05" customHeight="1" x14ac:dyDescent="0.35">
      <c r="B946" s="506"/>
      <c r="C946" s="507"/>
      <c r="D946" s="508" t="s">
        <v>1854</v>
      </c>
      <c r="E946" s="509"/>
      <c r="F946" s="510"/>
      <c r="G946" s="507"/>
      <c r="H946" s="511"/>
      <c r="I946" s="512"/>
      <c r="J946" s="518"/>
      <c r="K946" s="510"/>
      <c r="L946" s="510"/>
      <c r="M946" s="548"/>
      <c r="N946" s="514">
        <f>LANÇ_MOV[[#This Row],[VALOR BRUTO]]-LANÇ_MOV[[#This Row],[DESCONTO]]+LANÇ_MOV[[#This Row],[JUROS]]+LANÇ_MOV[[#This Row],[MULTA]]</f>
        <v>0</v>
      </c>
      <c r="O946" s="546"/>
      <c r="P946" s="547" t="str">
        <f t="shared" ca="1" si="14"/>
        <v/>
      </c>
      <c r="Q946" s="528"/>
      <c r="R946" s="529"/>
      <c r="S946" s="518"/>
      <c r="T946" s="518"/>
      <c r="U946" s="519"/>
      <c r="V946" s="520" t="str">
        <f>IFERROR(VLOOKUP(LANÇ_MOV[[#This Row],[PLANO DE CONTAS]],Plano_Contas[[PLANO DE CONTAS]:[R / D]],3,0),"")</f>
        <v/>
      </c>
      <c r="W946" s="521" t="str">
        <f>IF(LANÇ_MOV[[#This Row],[DATA DE PAGAMENTO]]&lt;&gt;"","Pago","Não Pago")</f>
        <v>Não Pago</v>
      </c>
      <c r="X946" s="522" t="str">
        <f>IFERROR(IF(LANÇ_MOV[[#This Row],[DATA DE PAGAMENTO]]="","",(UPPER(TEXT(LANÇ_MOV[[#This Row],[DATA DE PAGAMENTO]],"mmmm")))),"")</f>
        <v/>
      </c>
      <c r="Y946" s="523" t="str">
        <f>IFERROR(VLOOKUP(LANÇ_MOV[[#This Row],[PLANO DE CONTAS]],Plano_Contas[[PLANO DE CONTAS]:[NOMES INTERVALOS]],2,0),"")</f>
        <v/>
      </c>
      <c r="Z946" s="523" t="str">
        <f>IF(LANÇ_MOV[[#This Row],[FORMA DE PAGAMENTO]]="","",VLOOKUP(LANÇ_MOV[[#This Row],[FORMA DE PAGAMENTO]],CAD_Forma_pagto[],2,0))</f>
        <v/>
      </c>
      <c r="AA946" s="524" t="str">
        <f>IF(LANÇ_MOV[[#This Row],[DATA DE LANÇAMENTO]]="","",TEXT(LANÇ_MOV[[#This Row],[DATA DE LANÇAMENTO]],"AAAA"))</f>
        <v/>
      </c>
      <c r="AB946" s="524" t="str">
        <f>IF(LANÇ_MOV[[#This Row],[DATA DE LANÇAMENTO]]="","",UPPER(TEXT(LANÇ_MOV[[#This Row],[DATA DE LANÇAMENTO]],"MMMM")))</f>
        <v/>
      </c>
      <c r="AC946" s="525" t="str">
        <f>IF(LANÇ_MOV[[#This Row],[DATA DE LANÇAMENTO]]="","",PROPER(TEXT(LANÇ_MOV[[#This Row],[DATA DE LANÇAMENTO]],"M")))</f>
        <v/>
      </c>
      <c r="AD946" s="524" t="str">
        <f>IF(LANÇ_MOV[[#This Row],[DATA DE LANÇAMENTO]]="","",TEXT(LANÇ_MOV[[#This Row],[DATA DE LANÇAMENTO]],"D"))</f>
        <v/>
      </c>
      <c r="AE946" s="526" t="str">
        <f>IF(LANÇ_MOV[[#This Row],[DATA DE VENCIMENTO]]="","",TEXT(LANÇ_MOV[[#This Row],[DATA DE VENCIMENTO]],"AAAA"))</f>
        <v/>
      </c>
      <c r="AF946" s="526" t="str">
        <f>IF(LANÇ_MOV[[#This Row],[DATA DE VENCIMENTO]]="","",UPPER(TEXT(LANÇ_MOV[[#This Row],[DATA DE VENCIMENTO]],"MMMM")))</f>
        <v/>
      </c>
      <c r="AG946" s="526" t="str">
        <f>IF(LANÇ_MOV[[#This Row],[DATA DE VENCIMENTO]]="","",TEXT(LANÇ_MOV[[#This Row],[DATA DE VENCIMENTO]],"M"))</f>
        <v/>
      </c>
      <c r="AH946" s="526" t="str">
        <f>IF(LANÇ_MOV[[#This Row],[DATA DE VENCIMENTO]]="","",TEXT(LANÇ_MOV[[#This Row],[DATA DE VENCIMENTO]],"D"))</f>
        <v/>
      </c>
      <c r="AI946" s="526" t="str">
        <f>IF(LANÇ_MOV[[#This Row],[DATA DE PAGAMENTO]]="","",TEXT(LANÇ_MOV[[#This Row],[DATA DE PAGAMENTO]],"AAAA"))</f>
        <v/>
      </c>
      <c r="AJ946" s="527" t="str">
        <f>IF(LANÇ_MOV[[#This Row],[DATA DE PAGAMENTO]]="","",UPPER(TEXT(LANÇ_MOV[[#This Row],[DATA DE PAGAMENTO]],"MMMM")))</f>
        <v/>
      </c>
      <c r="AK946" s="527" t="str">
        <f>IF(LANÇ_MOV[[#This Row],[DATA DE PAGAMENTO]]="","",TEXT(LANÇ_MOV[[#This Row],[DATA DE PAGAMENTO]],"M"))</f>
        <v/>
      </c>
      <c r="AL946" s="526" t="str">
        <f>IF(LANÇ_MOV[[#This Row],[DATA DE PAGAMENTO]]="","",TEXT(LANÇ_MOV[[#This Row],[DATA DE PAGAMENTO]],"D"))</f>
        <v/>
      </c>
    </row>
    <row r="947" spans="2:38" ht="30.05" customHeight="1" x14ac:dyDescent="0.35">
      <c r="B947" s="506"/>
      <c r="C947" s="507"/>
      <c r="D947" s="508" t="s">
        <v>1854</v>
      </c>
      <c r="E947" s="509"/>
      <c r="F947" s="510"/>
      <c r="G947" s="507"/>
      <c r="H947" s="511"/>
      <c r="I947" s="512"/>
      <c r="J947" s="518"/>
      <c r="K947" s="510"/>
      <c r="L947" s="510"/>
      <c r="M947" s="548"/>
      <c r="N947" s="514">
        <f>LANÇ_MOV[[#This Row],[VALOR BRUTO]]-LANÇ_MOV[[#This Row],[DESCONTO]]+LANÇ_MOV[[#This Row],[JUROS]]+LANÇ_MOV[[#This Row],[MULTA]]</f>
        <v>0</v>
      </c>
      <c r="O947" s="546"/>
      <c r="P947" s="547" t="str">
        <f t="shared" ca="1" si="14"/>
        <v/>
      </c>
      <c r="Q947" s="528"/>
      <c r="R947" s="529"/>
      <c r="S947" s="518"/>
      <c r="T947" s="518"/>
      <c r="U947" s="519"/>
      <c r="V947" s="520" t="str">
        <f>IFERROR(VLOOKUP(LANÇ_MOV[[#This Row],[PLANO DE CONTAS]],Plano_Contas[[PLANO DE CONTAS]:[R / D]],3,0),"")</f>
        <v/>
      </c>
      <c r="W947" s="521" t="str">
        <f>IF(LANÇ_MOV[[#This Row],[DATA DE PAGAMENTO]]&lt;&gt;"","Pago","Não Pago")</f>
        <v>Não Pago</v>
      </c>
      <c r="X947" s="522" t="str">
        <f>IFERROR(IF(LANÇ_MOV[[#This Row],[DATA DE PAGAMENTO]]="","",(UPPER(TEXT(LANÇ_MOV[[#This Row],[DATA DE PAGAMENTO]],"mmmm")))),"")</f>
        <v/>
      </c>
      <c r="Y947" s="523" t="str">
        <f>IFERROR(VLOOKUP(LANÇ_MOV[[#This Row],[PLANO DE CONTAS]],Plano_Contas[[PLANO DE CONTAS]:[NOMES INTERVALOS]],2,0),"")</f>
        <v/>
      </c>
      <c r="Z947" s="523" t="str">
        <f>IF(LANÇ_MOV[[#This Row],[FORMA DE PAGAMENTO]]="","",VLOOKUP(LANÇ_MOV[[#This Row],[FORMA DE PAGAMENTO]],CAD_Forma_pagto[],2,0))</f>
        <v/>
      </c>
      <c r="AA947" s="524" t="str">
        <f>IF(LANÇ_MOV[[#This Row],[DATA DE LANÇAMENTO]]="","",TEXT(LANÇ_MOV[[#This Row],[DATA DE LANÇAMENTO]],"AAAA"))</f>
        <v/>
      </c>
      <c r="AB947" s="524" t="str">
        <f>IF(LANÇ_MOV[[#This Row],[DATA DE LANÇAMENTO]]="","",UPPER(TEXT(LANÇ_MOV[[#This Row],[DATA DE LANÇAMENTO]],"MMMM")))</f>
        <v/>
      </c>
      <c r="AC947" s="525" t="str">
        <f>IF(LANÇ_MOV[[#This Row],[DATA DE LANÇAMENTO]]="","",PROPER(TEXT(LANÇ_MOV[[#This Row],[DATA DE LANÇAMENTO]],"M")))</f>
        <v/>
      </c>
      <c r="AD947" s="524" t="str">
        <f>IF(LANÇ_MOV[[#This Row],[DATA DE LANÇAMENTO]]="","",TEXT(LANÇ_MOV[[#This Row],[DATA DE LANÇAMENTO]],"D"))</f>
        <v/>
      </c>
      <c r="AE947" s="526" t="str">
        <f>IF(LANÇ_MOV[[#This Row],[DATA DE VENCIMENTO]]="","",TEXT(LANÇ_MOV[[#This Row],[DATA DE VENCIMENTO]],"AAAA"))</f>
        <v/>
      </c>
      <c r="AF947" s="526" t="str">
        <f>IF(LANÇ_MOV[[#This Row],[DATA DE VENCIMENTO]]="","",UPPER(TEXT(LANÇ_MOV[[#This Row],[DATA DE VENCIMENTO]],"MMMM")))</f>
        <v/>
      </c>
      <c r="AG947" s="526" t="str">
        <f>IF(LANÇ_MOV[[#This Row],[DATA DE VENCIMENTO]]="","",TEXT(LANÇ_MOV[[#This Row],[DATA DE VENCIMENTO]],"M"))</f>
        <v/>
      </c>
      <c r="AH947" s="526" t="str">
        <f>IF(LANÇ_MOV[[#This Row],[DATA DE VENCIMENTO]]="","",TEXT(LANÇ_MOV[[#This Row],[DATA DE VENCIMENTO]],"D"))</f>
        <v/>
      </c>
      <c r="AI947" s="526" t="str">
        <f>IF(LANÇ_MOV[[#This Row],[DATA DE PAGAMENTO]]="","",TEXT(LANÇ_MOV[[#This Row],[DATA DE PAGAMENTO]],"AAAA"))</f>
        <v/>
      </c>
      <c r="AJ947" s="527" t="str">
        <f>IF(LANÇ_MOV[[#This Row],[DATA DE PAGAMENTO]]="","",UPPER(TEXT(LANÇ_MOV[[#This Row],[DATA DE PAGAMENTO]],"MMMM")))</f>
        <v/>
      </c>
      <c r="AK947" s="527" t="str">
        <f>IF(LANÇ_MOV[[#This Row],[DATA DE PAGAMENTO]]="","",TEXT(LANÇ_MOV[[#This Row],[DATA DE PAGAMENTO]],"M"))</f>
        <v/>
      </c>
      <c r="AL947" s="526" t="str">
        <f>IF(LANÇ_MOV[[#This Row],[DATA DE PAGAMENTO]]="","",TEXT(LANÇ_MOV[[#This Row],[DATA DE PAGAMENTO]],"D"))</f>
        <v/>
      </c>
    </row>
    <row r="948" spans="2:38" ht="30.05" customHeight="1" x14ac:dyDescent="0.35">
      <c r="B948" s="506"/>
      <c r="C948" s="507"/>
      <c r="D948" s="508" t="s">
        <v>1854</v>
      </c>
      <c r="E948" s="509"/>
      <c r="F948" s="510"/>
      <c r="G948" s="507"/>
      <c r="H948" s="511"/>
      <c r="I948" s="512"/>
      <c r="J948" s="518"/>
      <c r="K948" s="510"/>
      <c r="L948" s="510"/>
      <c r="M948" s="548"/>
      <c r="N948" s="514">
        <f>LANÇ_MOV[[#This Row],[VALOR BRUTO]]-LANÇ_MOV[[#This Row],[DESCONTO]]+LANÇ_MOV[[#This Row],[JUROS]]+LANÇ_MOV[[#This Row],[MULTA]]</f>
        <v>0</v>
      </c>
      <c r="O948" s="546"/>
      <c r="P948" s="547" t="str">
        <f t="shared" ca="1" si="14"/>
        <v/>
      </c>
      <c r="Q948" s="528"/>
      <c r="R948" s="529"/>
      <c r="S948" s="518"/>
      <c r="T948" s="518"/>
      <c r="U948" s="519"/>
      <c r="V948" s="520" t="str">
        <f>IFERROR(VLOOKUP(LANÇ_MOV[[#This Row],[PLANO DE CONTAS]],Plano_Contas[[PLANO DE CONTAS]:[R / D]],3,0),"")</f>
        <v/>
      </c>
      <c r="W948" s="521" t="str">
        <f>IF(LANÇ_MOV[[#This Row],[DATA DE PAGAMENTO]]&lt;&gt;"","Pago","Não Pago")</f>
        <v>Não Pago</v>
      </c>
      <c r="X948" s="522" t="str">
        <f>IFERROR(IF(LANÇ_MOV[[#This Row],[DATA DE PAGAMENTO]]="","",(UPPER(TEXT(LANÇ_MOV[[#This Row],[DATA DE PAGAMENTO]],"mmmm")))),"")</f>
        <v/>
      </c>
      <c r="Y948" s="523" t="str">
        <f>IFERROR(VLOOKUP(LANÇ_MOV[[#This Row],[PLANO DE CONTAS]],Plano_Contas[[PLANO DE CONTAS]:[NOMES INTERVALOS]],2,0),"")</f>
        <v/>
      </c>
      <c r="Z948" s="523" t="str">
        <f>IF(LANÇ_MOV[[#This Row],[FORMA DE PAGAMENTO]]="","",VLOOKUP(LANÇ_MOV[[#This Row],[FORMA DE PAGAMENTO]],CAD_Forma_pagto[],2,0))</f>
        <v/>
      </c>
      <c r="AA948" s="524" t="str">
        <f>IF(LANÇ_MOV[[#This Row],[DATA DE LANÇAMENTO]]="","",TEXT(LANÇ_MOV[[#This Row],[DATA DE LANÇAMENTO]],"AAAA"))</f>
        <v/>
      </c>
      <c r="AB948" s="524" t="str">
        <f>IF(LANÇ_MOV[[#This Row],[DATA DE LANÇAMENTO]]="","",UPPER(TEXT(LANÇ_MOV[[#This Row],[DATA DE LANÇAMENTO]],"MMMM")))</f>
        <v/>
      </c>
      <c r="AC948" s="525" t="str">
        <f>IF(LANÇ_MOV[[#This Row],[DATA DE LANÇAMENTO]]="","",PROPER(TEXT(LANÇ_MOV[[#This Row],[DATA DE LANÇAMENTO]],"M")))</f>
        <v/>
      </c>
      <c r="AD948" s="524" t="str">
        <f>IF(LANÇ_MOV[[#This Row],[DATA DE LANÇAMENTO]]="","",TEXT(LANÇ_MOV[[#This Row],[DATA DE LANÇAMENTO]],"D"))</f>
        <v/>
      </c>
      <c r="AE948" s="526" t="str">
        <f>IF(LANÇ_MOV[[#This Row],[DATA DE VENCIMENTO]]="","",TEXT(LANÇ_MOV[[#This Row],[DATA DE VENCIMENTO]],"AAAA"))</f>
        <v/>
      </c>
      <c r="AF948" s="526" t="str">
        <f>IF(LANÇ_MOV[[#This Row],[DATA DE VENCIMENTO]]="","",UPPER(TEXT(LANÇ_MOV[[#This Row],[DATA DE VENCIMENTO]],"MMMM")))</f>
        <v/>
      </c>
      <c r="AG948" s="526" t="str">
        <f>IF(LANÇ_MOV[[#This Row],[DATA DE VENCIMENTO]]="","",TEXT(LANÇ_MOV[[#This Row],[DATA DE VENCIMENTO]],"M"))</f>
        <v/>
      </c>
      <c r="AH948" s="526" t="str">
        <f>IF(LANÇ_MOV[[#This Row],[DATA DE VENCIMENTO]]="","",TEXT(LANÇ_MOV[[#This Row],[DATA DE VENCIMENTO]],"D"))</f>
        <v/>
      </c>
      <c r="AI948" s="526" t="str">
        <f>IF(LANÇ_MOV[[#This Row],[DATA DE PAGAMENTO]]="","",TEXT(LANÇ_MOV[[#This Row],[DATA DE PAGAMENTO]],"AAAA"))</f>
        <v/>
      </c>
      <c r="AJ948" s="527" t="str">
        <f>IF(LANÇ_MOV[[#This Row],[DATA DE PAGAMENTO]]="","",UPPER(TEXT(LANÇ_MOV[[#This Row],[DATA DE PAGAMENTO]],"MMMM")))</f>
        <v/>
      </c>
      <c r="AK948" s="527" t="str">
        <f>IF(LANÇ_MOV[[#This Row],[DATA DE PAGAMENTO]]="","",TEXT(LANÇ_MOV[[#This Row],[DATA DE PAGAMENTO]],"M"))</f>
        <v/>
      </c>
      <c r="AL948" s="526" t="str">
        <f>IF(LANÇ_MOV[[#This Row],[DATA DE PAGAMENTO]]="","",TEXT(LANÇ_MOV[[#This Row],[DATA DE PAGAMENTO]],"D"))</f>
        <v/>
      </c>
    </row>
    <row r="949" spans="2:38" ht="30.05" customHeight="1" x14ac:dyDescent="0.35">
      <c r="B949" s="506"/>
      <c r="C949" s="507"/>
      <c r="D949" s="508" t="s">
        <v>1854</v>
      </c>
      <c r="E949" s="509"/>
      <c r="F949" s="510"/>
      <c r="G949" s="507"/>
      <c r="H949" s="511"/>
      <c r="I949" s="512"/>
      <c r="J949" s="518"/>
      <c r="K949" s="510"/>
      <c r="L949" s="510"/>
      <c r="M949" s="548"/>
      <c r="N949" s="514">
        <f>LANÇ_MOV[[#This Row],[VALOR BRUTO]]-LANÇ_MOV[[#This Row],[DESCONTO]]+LANÇ_MOV[[#This Row],[JUROS]]+LANÇ_MOV[[#This Row],[MULTA]]</f>
        <v>0</v>
      </c>
      <c r="O949" s="546"/>
      <c r="P949" s="547" t="str">
        <f t="shared" ref="P949:P1012" ca="1" si="15">IF(O949="","",IF(Q949&lt;&gt;"","Pago",IF(O949-TODAY()&gt;30,"Prazo - Mais de 1 mês",IF(O949=TODAY(),"Hoje",IF(O949&lt;TODAY(),"Venceu",IF(O949-TODAY()&lt;10,"Prazo - Menos de 10 dias",IF(O949-TODAY()&lt;15,"Prazo - Menos de 15 dias","Prazo - Menos de 1 Mês")))))))</f>
        <v/>
      </c>
      <c r="Q949" s="528"/>
      <c r="R949" s="529"/>
      <c r="S949" s="518"/>
      <c r="T949" s="518"/>
      <c r="U949" s="519"/>
      <c r="V949" s="520" t="str">
        <f>IFERROR(VLOOKUP(LANÇ_MOV[[#This Row],[PLANO DE CONTAS]],Plano_Contas[[PLANO DE CONTAS]:[R / D]],3,0),"")</f>
        <v/>
      </c>
      <c r="W949" s="521" t="str">
        <f>IF(LANÇ_MOV[[#This Row],[DATA DE PAGAMENTO]]&lt;&gt;"","Pago","Não Pago")</f>
        <v>Não Pago</v>
      </c>
      <c r="X949" s="522" t="str">
        <f>IFERROR(IF(LANÇ_MOV[[#This Row],[DATA DE PAGAMENTO]]="","",(UPPER(TEXT(LANÇ_MOV[[#This Row],[DATA DE PAGAMENTO]],"mmmm")))),"")</f>
        <v/>
      </c>
      <c r="Y949" s="523" t="str">
        <f>IFERROR(VLOOKUP(LANÇ_MOV[[#This Row],[PLANO DE CONTAS]],Plano_Contas[[PLANO DE CONTAS]:[NOMES INTERVALOS]],2,0),"")</f>
        <v/>
      </c>
      <c r="Z949" s="523" t="str">
        <f>IF(LANÇ_MOV[[#This Row],[FORMA DE PAGAMENTO]]="","",VLOOKUP(LANÇ_MOV[[#This Row],[FORMA DE PAGAMENTO]],CAD_Forma_pagto[],2,0))</f>
        <v/>
      </c>
      <c r="AA949" s="524" t="str">
        <f>IF(LANÇ_MOV[[#This Row],[DATA DE LANÇAMENTO]]="","",TEXT(LANÇ_MOV[[#This Row],[DATA DE LANÇAMENTO]],"AAAA"))</f>
        <v/>
      </c>
      <c r="AB949" s="524" t="str">
        <f>IF(LANÇ_MOV[[#This Row],[DATA DE LANÇAMENTO]]="","",UPPER(TEXT(LANÇ_MOV[[#This Row],[DATA DE LANÇAMENTO]],"MMMM")))</f>
        <v/>
      </c>
      <c r="AC949" s="525" t="str">
        <f>IF(LANÇ_MOV[[#This Row],[DATA DE LANÇAMENTO]]="","",PROPER(TEXT(LANÇ_MOV[[#This Row],[DATA DE LANÇAMENTO]],"M")))</f>
        <v/>
      </c>
      <c r="AD949" s="524" t="str">
        <f>IF(LANÇ_MOV[[#This Row],[DATA DE LANÇAMENTO]]="","",TEXT(LANÇ_MOV[[#This Row],[DATA DE LANÇAMENTO]],"D"))</f>
        <v/>
      </c>
      <c r="AE949" s="526" t="str">
        <f>IF(LANÇ_MOV[[#This Row],[DATA DE VENCIMENTO]]="","",TEXT(LANÇ_MOV[[#This Row],[DATA DE VENCIMENTO]],"AAAA"))</f>
        <v/>
      </c>
      <c r="AF949" s="526" t="str">
        <f>IF(LANÇ_MOV[[#This Row],[DATA DE VENCIMENTO]]="","",UPPER(TEXT(LANÇ_MOV[[#This Row],[DATA DE VENCIMENTO]],"MMMM")))</f>
        <v/>
      </c>
      <c r="AG949" s="526" t="str">
        <f>IF(LANÇ_MOV[[#This Row],[DATA DE VENCIMENTO]]="","",TEXT(LANÇ_MOV[[#This Row],[DATA DE VENCIMENTO]],"M"))</f>
        <v/>
      </c>
      <c r="AH949" s="526" t="str">
        <f>IF(LANÇ_MOV[[#This Row],[DATA DE VENCIMENTO]]="","",TEXT(LANÇ_MOV[[#This Row],[DATA DE VENCIMENTO]],"D"))</f>
        <v/>
      </c>
      <c r="AI949" s="526" t="str">
        <f>IF(LANÇ_MOV[[#This Row],[DATA DE PAGAMENTO]]="","",TEXT(LANÇ_MOV[[#This Row],[DATA DE PAGAMENTO]],"AAAA"))</f>
        <v/>
      </c>
      <c r="AJ949" s="527" t="str">
        <f>IF(LANÇ_MOV[[#This Row],[DATA DE PAGAMENTO]]="","",UPPER(TEXT(LANÇ_MOV[[#This Row],[DATA DE PAGAMENTO]],"MMMM")))</f>
        <v/>
      </c>
      <c r="AK949" s="527" t="str">
        <f>IF(LANÇ_MOV[[#This Row],[DATA DE PAGAMENTO]]="","",TEXT(LANÇ_MOV[[#This Row],[DATA DE PAGAMENTO]],"M"))</f>
        <v/>
      </c>
      <c r="AL949" s="526" t="str">
        <f>IF(LANÇ_MOV[[#This Row],[DATA DE PAGAMENTO]]="","",TEXT(LANÇ_MOV[[#This Row],[DATA DE PAGAMENTO]],"D"))</f>
        <v/>
      </c>
    </row>
    <row r="950" spans="2:38" ht="30.05" customHeight="1" x14ac:dyDescent="0.35">
      <c r="B950" s="506"/>
      <c r="C950" s="507"/>
      <c r="D950" s="508" t="s">
        <v>1854</v>
      </c>
      <c r="E950" s="509"/>
      <c r="F950" s="510"/>
      <c r="G950" s="507"/>
      <c r="H950" s="511"/>
      <c r="I950" s="512"/>
      <c r="J950" s="518"/>
      <c r="K950" s="510"/>
      <c r="L950" s="510"/>
      <c r="M950" s="548"/>
      <c r="N950" s="514">
        <f>LANÇ_MOV[[#This Row],[VALOR BRUTO]]-LANÇ_MOV[[#This Row],[DESCONTO]]+LANÇ_MOV[[#This Row],[JUROS]]+LANÇ_MOV[[#This Row],[MULTA]]</f>
        <v>0</v>
      </c>
      <c r="O950" s="546"/>
      <c r="P950" s="547" t="str">
        <f t="shared" ca="1" si="15"/>
        <v/>
      </c>
      <c r="Q950" s="528"/>
      <c r="R950" s="529"/>
      <c r="S950" s="518"/>
      <c r="T950" s="518"/>
      <c r="U950" s="519"/>
      <c r="V950" s="520" t="str">
        <f>IFERROR(VLOOKUP(LANÇ_MOV[[#This Row],[PLANO DE CONTAS]],Plano_Contas[[PLANO DE CONTAS]:[R / D]],3,0),"")</f>
        <v/>
      </c>
      <c r="W950" s="521" t="str">
        <f>IF(LANÇ_MOV[[#This Row],[DATA DE PAGAMENTO]]&lt;&gt;"","Pago","Não Pago")</f>
        <v>Não Pago</v>
      </c>
      <c r="X950" s="522" t="str">
        <f>IFERROR(IF(LANÇ_MOV[[#This Row],[DATA DE PAGAMENTO]]="","",(UPPER(TEXT(LANÇ_MOV[[#This Row],[DATA DE PAGAMENTO]],"mmmm")))),"")</f>
        <v/>
      </c>
      <c r="Y950" s="523" t="str">
        <f>IFERROR(VLOOKUP(LANÇ_MOV[[#This Row],[PLANO DE CONTAS]],Plano_Contas[[PLANO DE CONTAS]:[NOMES INTERVALOS]],2,0),"")</f>
        <v/>
      </c>
      <c r="Z950" s="523" t="str">
        <f>IF(LANÇ_MOV[[#This Row],[FORMA DE PAGAMENTO]]="","",VLOOKUP(LANÇ_MOV[[#This Row],[FORMA DE PAGAMENTO]],CAD_Forma_pagto[],2,0))</f>
        <v/>
      </c>
      <c r="AA950" s="524" t="str">
        <f>IF(LANÇ_MOV[[#This Row],[DATA DE LANÇAMENTO]]="","",TEXT(LANÇ_MOV[[#This Row],[DATA DE LANÇAMENTO]],"AAAA"))</f>
        <v/>
      </c>
      <c r="AB950" s="524" t="str">
        <f>IF(LANÇ_MOV[[#This Row],[DATA DE LANÇAMENTO]]="","",UPPER(TEXT(LANÇ_MOV[[#This Row],[DATA DE LANÇAMENTO]],"MMMM")))</f>
        <v/>
      </c>
      <c r="AC950" s="525" t="str">
        <f>IF(LANÇ_MOV[[#This Row],[DATA DE LANÇAMENTO]]="","",PROPER(TEXT(LANÇ_MOV[[#This Row],[DATA DE LANÇAMENTO]],"M")))</f>
        <v/>
      </c>
      <c r="AD950" s="524" t="str">
        <f>IF(LANÇ_MOV[[#This Row],[DATA DE LANÇAMENTO]]="","",TEXT(LANÇ_MOV[[#This Row],[DATA DE LANÇAMENTO]],"D"))</f>
        <v/>
      </c>
      <c r="AE950" s="526" t="str">
        <f>IF(LANÇ_MOV[[#This Row],[DATA DE VENCIMENTO]]="","",TEXT(LANÇ_MOV[[#This Row],[DATA DE VENCIMENTO]],"AAAA"))</f>
        <v/>
      </c>
      <c r="AF950" s="526" t="str">
        <f>IF(LANÇ_MOV[[#This Row],[DATA DE VENCIMENTO]]="","",UPPER(TEXT(LANÇ_MOV[[#This Row],[DATA DE VENCIMENTO]],"MMMM")))</f>
        <v/>
      </c>
      <c r="AG950" s="526" t="str">
        <f>IF(LANÇ_MOV[[#This Row],[DATA DE VENCIMENTO]]="","",TEXT(LANÇ_MOV[[#This Row],[DATA DE VENCIMENTO]],"M"))</f>
        <v/>
      </c>
      <c r="AH950" s="526" t="str">
        <f>IF(LANÇ_MOV[[#This Row],[DATA DE VENCIMENTO]]="","",TEXT(LANÇ_MOV[[#This Row],[DATA DE VENCIMENTO]],"D"))</f>
        <v/>
      </c>
      <c r="AI950" s="526" t="str">
        <f>IF(LANÇ_MOV[[#This Row],[DATA DE PAGAMENTO]]="","",TEXT(LANÇ_MOV[[#This Row],[DATA DE PAGAMENTO]],"AAAA"))</f>
        <v/>
      </c>
      <c r="AJ950" s="527" t="str">
        <f>IF(LANÇ_MOV[[#This Row],[DATA DE PAGAMENTO]]="","",UPPER(TEXT(LANÇ_MOV[[#This Row],[DATA DE PAGAMENTO]],"MMMM")))</f>
        <v/>
      </c>
      <c r="AK950" s="527" t="str">
        <f>IF(LANÇ_MOV[[#This Row],[DATA DE PAGAMENTO]]="","",TEXT(LANÇ_MOV[[#This Row],[DATA DE PAGAMENTO]],"M"))</f>
        <v/>
      </c>
      <c r="AL950" s="526" t="str">
        <f>IF(LANÇ_MOV[[#This Row],[DATA DE PAGAMENTO]]="","",TEXT(LANÇ_MOV[[#This Row],[DATA DE PAGAMENTO]],"D"))</f>
        <v/>
      </c>
    </row>
    <row r="951" spans="2:38" ht="30.05" customHeight="1" x14ac:dyDescent="0.35">
      <c r="B951" s="506"/>
      <c r="C951" s="507"/>
      <c r="D951" s="508" t="s">
        <v>1854</v>
      </c>
      <c r="E951" s="509"/>
      <c r="F951" s="510"/>
      <c r="G951" s="507"/>
      <c r="H951" s="511"/>
      <c r="I951" s="512"/>
      <c r="J951" s="518"/>
      <c r="K951" s="510"/>
      <c r="L951" s="510"/>
      <c r="M951" s="548"/>
      <c r="N951" s="514">
        <f>LANÇ_MOV[[#This Row],[VALOR BRUTO]]-LANÇ_MOV[[#This Row],[DESCONTO]]+LANÇ_MOV[[#This Row],[JUROS]]+LANÇ_MOV[[#This Row],[MULTA]]</f>
        <v>0</v>
      </c>
      <c r="O951" s="546"/>
      <c r="P951" s="547" t="str">
        <f t="shared" ca="1" si="15"/>
        <v/>
      </c>
      <c r="Q951" s="528"/>
      <c r="R951" s="529"/>
      <c r="S951" s="518"/>
      <c r="T951" s="518"/>
      <c r="U951" s="519"/>
      <c r="V951" s="520" t="str">
        <f>IFERROR(VLOOKUP(LANÇ_MOV[[#This Row],[PLANO DE CONTAS]],Plano_Contas[[PLANO DE CONTAS]:[R / D]],3,0),"")</f>
        <v/>
      </c>
      <c r="W951" s="521" t="str">
        <f>IF(LANÇ_MOV[[#This Row],[DATA DE PAGAMENTO]]&lt;&gt;"","Pago","Não Pago")</f>
        <v>Não Pago</v>
      </c>
      <c r="X951" s="522" t="str">
        <f>IFERROR(IF(LANÇ_MOV[[#This Row],[DATA DE PAGAMENTO]]="","",(UPPER(TEXT(LANÇ_MOV[[#This Row],[DATA DE PAGAMENTO]],"mmmm")))),"")</f>
        <v/>
      </c>
      <c r="Y951" s="523" t="str">
        <f>IFERROR(VLOOKUP(LANÇ_MOV[[#This Row],[PLANO DE CONTAS]],Plano_Contas[[PLANO DE CONTAS]:[NOMES INTERVALOS]],2,0),"")</f>
        <v/>
      </c>
      <c r="Z951" s="523" t="str">
        <f>IF(LANÇ_MOV[[#This Row],[FORMA DE PAGAMENTO]]="","",VLOOKUP(LANÇ_MOV[[#This Row],[FORMA DE PAGAMENTO]],CAD_Forma_pagto[],2,0))</f>
        <v/>
      </c>
      <c r="AA951" s="524" t="str">
        <f>IF(LANÇ_MOV[[#This Row],[DATA DE LANÇAMENTO]]="","",TEXT(LANÇ_MOV[[#This Row],[DATA DE LANÇAMENTO]],"AAAA"))</f>
        <v/>
      </c>
      <c r="AB951" s="524" t="str">
        <f>IF(LANÇ_MOV[[#This Row],[DATA DE LANÇAMENTO]]="","",UPPER(TEXT(LANÇ_MOV[[#This Row],[DATA DE LANÇAMENTO]],"MMMM")))</f>
        <v/>
      </c>
      <c r="AC951" s="525" t="str">
        <f>IF(LANÇ_MOV[[#This Row],[DATA DE LANÇAMENTO]]="","",PROPER(TEXT(LANÇ_MOV[[#This Row],[DATA DE LANÇAMENTO]],"M")))</f>
        <v/>
      </c>
      <c r="AD951" s="524" t="str">
        <f>IF(LANÇ_MOV[[#This Row],[DATA DE LANÇAMENTO]]="","",TEXT(LANÇ_MOV[[#This Row],[DATA DE LANÇAMENTO]],"D"))</f>
        <v/>
      </c>
      <c r="AE951" s="526" t="str">
        <f>IF(LANÇ_MOV[[#This Row],[DATA DE VENCIMENTO]]="","",TEXT(LANÇ_MOV[[#This Row],[DATA DE VENCIMENTO]],"AAAA"))</f>
        <v/>
      </c>
      <c r="AF951" s="526" t="str">
        <f>IF(LANÇ_MOV[[#This Row],[DATA DE VENCIMENTO]]="","",UPPER(TEXT(LANÇ_MOV[[#This Row],[DATA DE VENCIMENTO]],"MMMM")))</f>
        <v/>
      </c>
      <c r="AG951" s="526" t="str">
        <f>IF(LANÇ_MOV[[#This Row],[DATA DE VENCIMENTO]]="","",TEXT(LANÇ_MOV[[#This Row],[DATA DE VENCIMENTO]],"M"))</f>
        <v/>
      </c>
      <c r="AH951" s="526" t="str">
        <f>IF(LANÇ_MOV[[#This Row],[DATA DE VENCIMENTO]]="","",TEXT(LANÇ_MOV[[#This Row],[DATA DE VENCIMENTO]],"D"))</f>
        <v/>
      </c>
      <c r="AI951" s="526" t="str">
        <f>IF(LANÇ_MOV[[#This Row],[DATA DE PAGAMENTO]]="","",TEXT(LANÇ_MOV[[#This Row],[DATA DE PAGAMENTO]],"AAAA"))</f>
        <v/>
      </c>
      <c r="AJ951" s="527" t="str">
        <f>IF(LANÇ_MOV[[#This Row],[DATA DE PAGAMENTO]]="","",UPPER(TEXT(LANÇ_MOV[[#This Row],[DATA DE PAGAMENTO]],"MMMM")))</f>
        <v/>
      </c>
      <c r="AK951" s="527" t="str">
        <f>IF(LANÇ_MOV[[#This Row],[DATA DE PAGAMENTO]]="","",TEXT(LANÇ_MOV[[#This Row],[DATA DE PAGAMENTO]],"M"))</f>
        <v/>
      </c>
      <c r="AL951" s="526" t="str">
        <f>IF(LANÇ_MOV[[#This Row],[DATA DE PAGAMENTO]]="","",TEXT(LANÇ_MOV[[#This Row],[DATA DE PAGAMENTO]],"D"))</f>
        <v/>
      </c>
    </row>
    <row r="952" spans="2:38" ht="30.05" customHeight="1" x14ac:dyDescent="0.35">
      <c r="B952" s="506"/>
      <c r="C952" s="507"/>
      <c r="D952" s="508" t="s">
        <v>1854</v>
      </c>
      <c r="E952" s="509"/>
      <c r="F952" s="510"/>
      <c r="G952" s="507"/>
      <c r="H952" s="511"/>
      <c r="I952" s="512"/>
      <c r="J952" s="518"/>
      <c r="K952" s="510"/>
      <c r="L952" s="510"/>
      <c r="M952" s="548"/>
      <c r="N952" s="514">
        <f>LANÇ_MOV[[#This Row],[VALOR BRUTO]]-LANÇ_MOV[[#This Row],[DESCONTO]]+LANÇ_MOV[[#This Row],[JUROS]]+LANÇ_MOV[[#This Row],[MULTA]]</f>
        <v>0</v>
      </c>
      <c r="O952" s="546"/>
      <c r="P952" s="547" t="str">
        <f t="shared" ca="1" si="15"/>
        <v/>
      </c>
      <c r="Q952" s="528"/>
      <c r="R952" s="529"/>
      <c r="S952" s="518"/>
      <c r="T952" s="518"/>
      <c r="U952" s="519"/>
      <c r="V952" s="520" t="str">
        <f>IFERROR(VLOOKUP(LANÇ_MOV[[#This Row],[PLANO DE CONTAS]],Plano_Contas[[PLANO DE CONTAS]:[R / D]],3,0),"")</f>
        <v/>
      </c>
      <c r="W952" s="521" t="str">
        <f>IF(LANÇ_MOV[[#This Row],[DATA DE PAGAMENTO]]&lt;&gt;"","Pago","Não Pago")</f>
        <v>Não Pago</v>
      </c>
      <c r="X952" s="522" t="str">
        <f>IFERROR(IF(LANÇ_MOV[[#This Row],[DATA DE PAGAMENTO]]="","",(UPPER(TEXT(LANÇ_MOV[[#This Row],[DATA DE PAGAMENTO]],"mmmm")))),"")</f>
        <v/>
      </c>
      <c r="Y952" s="523" t="str">
        <f>IFERROR(VLOOKUP(LANÇ_MOV[[#This Row],[PLANO DE CONTAS]],Plano_Contas[[PLANO DE CONTAS]:[NOMES INTERVALOS]],2,0),"")</f>
        <v/>
      </c>
      <c r="Z952" s="523" t="str">
        <f>IF(LANÇ_MOV[[#This Row],[FORMA DE PAGAMENTO]]="","",VLOOKUP(LANÇ_MOV[[#This Row],[FORMA DE PAGAMENTO]],CAD_Forma_pagto[],2,0))</f>
        <v/>
      </c>
      <c r="AA952" s="524" t="str">
        <f>IF(LANÇ_MOV[[#This Row],[DATA DE LANÇAMENTO]]="","",TEXT(LANÇ_MOV[[#This Row],[DATA DE LANÇAMENTO]],"AAAA"))</f>
        <v/>
      </c>
      <c r="AB952" s="524" t="str">
        <f>IF(LANÇ_MOV[[#This Row],[DATA DE LANÇAMENTO]]="","",UPPER(TEXT(LANÇ_MOV[[#This Row],[DATA DE LANÇAMENTO]],"MMMM")))</f>
        <v/>
      </c>
      <c r="AC952" s="525" t="str">
        <f>IF(LANÇ_MOV[[#This Row],[DATA DE LANÇAMENTO]]="","",PROPER(TEXT(LANÇ_MOV[[#This Row],[DATA DE LANÇAMENTO]],"M")))</f>
        <v/>
      </c>
      <c r="AD952" s="524" t="str">
        <f>IF(LANÇ_MOV[[#This Row],[DATA DE LANÇAMENTO]]="","",TEXT(LANÇ_MOV[[#This Row],[DATA DE LANÇAMENTO]],"D"))</f>
        <v/>
      </c>
      <c r="AE952" s="526" t="str">
        <f>IF(LANÇ_MOV[[#This Row],[DATA DE VENCIMENTO]]="","",TEXT(LANÇ_MOV[[#This Row],[DATA DE VENCIMENTO]],"AAAA"))</f>
        <v/>
      </c>
      <c r="AF952" s="526" t="str">
        <f>IF(LANÇ_MOV[[#This Row],[DATA DE VENCIMENTO]]="","",UPPER(TEXT(LANÇ_MOV[[#This Row],[DATA DE VENCIMENTO]],"MMMM")))</f>
        <v/>
      </c>
      <c r="AG952" s="526" t="str">
        <f>IF(LANÇ_MOV[[#This Row],[DATA DE VENCIMENTO]]="","",TEXT(LANÇ_MOV[[#This Row],[DATA DE VENCIMENTO]],"M"))</f>
        <v/>
      </c>
      <c r="AH952" s="526" t="str">
        <f>IF(LANÇ_MOV[[#This Row],[DATA DE VENCIMENTO]]="","",TEXT(LANÇ_MOV[[#This Row],[DATA DE VENCIMENTO]],"D"))</f>
        <v/>
      </c>
      <c r="AI952" s="526" t="str">
        <f>IF(LANÇ_MOV[[#This Row],[DATA DE PAGAMENTO]]="","",TEXT(LANÇ_MOV[[#This Row],[DATA DE PAGAMENTO]],"AAAA"))</f>
        <v/>
      </c>
      <c r="AJ952" s="527" t="str">
        <f>IF(LANÇ_MOV[[#This Row],[DATA DE PAGAMENTO]]="","",UPPER(TEXT(LANÇ_MOV[[#This Row],[DATA DE PAGAMENTO]],"MMMM")))</f>
        <v/>
      </c>
      <c r="AK952" s="527" t="str">
        <f>IF(LANÇ_MOV[[#This Row],[DATA DE PAGAMENTO]]="","",TEXT(LANÇ_MOV[[#This Row],[DATA DE PAGAMENTO]],"M"))</f>
        <v/>
      </c>
      <c r="AL952" s="526" t="str">
        <f>IF(LANÇ_MOV[[#This Row],[DATA DE PAGAMENTO]]="","",TEXT(LANÇ_MOV[[#This Row],[DATA DE PAGAMENTO]],"D"))</f>
        <v/>
      </c>
    </row>
    <row r="953" spans="2:38" ht="30.05" customHeight="1" x14ac:dyDescent="0.35">
      <c r="B953" s="506"/>
      <c r="C953" s="507"/>
      <c r="D953" s="508" t="s">
        <v>1854</v>
      </c>
      <c r="E953" s="509"/>
      <c r="F953" s="510"/>
      <c r="G953" s="507"/>
      <c r="H953" s="511"/>
      <c r="I953" s="512"/>
      <c r="J953" s="518"/>
      <c r="K953" s="510"/>
      <c r="L953" s="510"/>
      <c r="M953" s="548"/>
      <c r="N953" s="514">
        <f>LANÇ_MOV[[#This Row],[VALOR BRUTO]]-LANÇ_MOV[[#This Row],[DESCONTO]]+LANÇ_MOV[[#This Row],[JUROS]]+LANÇ_MOV[[#This Row],[MULTA]]</f>
        <v>0</v>
      </c>
      <c r="O953" s="546"/>
      <c r="P953" s="547" t="str">
        <f t="shared" ca="1" si="15"/>
        <v/>
      </c>
      <c r="Q953" s="528"/>
      <c r="R953" s="529"/>
      <c r="S953" s="518"/>
      <c r="T953" s="518"/>
      <c r="U953" s="519"/>
      <c r="V953" s="520" t="str">
        <f>IFERROR(VLOOKUP(LANÇ_MOV[[#This Row],[PLANO DE CONTAS]],Plano_Contas[[PLANO DE CONTAS]:[R / D]],3,0),"")</f>
        <v/>
      </c>
      <c r="W953" s="521" t="str">
        <f>IF(LANÇ_MOV[[#This Row],[DATA DE PAGAMENTO]]&lt;&gt;"","Pago","Não Pago")</f>
        <v>Não Pago</v>
      </c>
      <c r="X953" s="522" t="str">
        <f>IFERROR(IF(LANÇ_MOV[[#This Row],[DATA DE PAGAMENTO]]="","",(UPPER(TEXT(LANÇ_MOV[[#This Row],[DATA DE PAGAMENTO]],"mmmm")))),"")</f>
        <v/>
      </c>
      <c r="Y953" s="523" t="str">
        <f>IFERROR(VLOOKUP(LANÇ_MOV[[#This Row],[PLANO DE CONTAS]],Plano_Contas[[PLANO DE CONTAS]:[NOMES INTERVALOS]],2,0),"")</f>
        <v/>
      </c>
      <c r="Z953" s="523" t="str">
        <f>IF(LANÇ_MOV[[#This Row],[FORMA DE PAGAMENTO]]="","",VLOOKUP(LANÇ_MOV[[#This Row],[FORMA DE PAGAMENTO]],CAD_Forma_pagto[],2,0))</f>
        <v/>
      </c>
      <c r="AA953" s="524" t="str">
        <f>IF(LANÇ_MOV[[#This Row],[DATA DE LANÇAMENTO]]="","",TEXT(LANÇ_MOV[[#This Row],[DATA DE LANÇAMENTO]],"AAAA"))</f>
        <v/>
      </c>
      <c r="AB953" s="524" t="str">
        <f>IF(LANÇ_MOV[[#This Row],[DATA DE LANÇAMENTO]]="","",UPPER(TEXT(LANÇ_MOV[[#This Row],[DATA DE LANÇAMENTO]],"MMMM")))</f>
        <v/>
      </c>
      <c r="AC953" s="525" t="str">
        <f>IF(LANÇ_MOV[[#This Row],[DATA DE LANÇAMENTO]]="","",PROPER(TEXT(LANÇ_MOV[[#This Row],[DATA DE LANÇAMENTO]],"M")))</f>
        <v/>
      </c>
      <c r="AD953" s="524" t="str">
        <f>IF(LANÇ_MOV[[#This Row],[DATA DE LANÇAMENTO]]="","",TEXT(LANÇ_MOV[[#This Row],[DATA DE LANÇAMENTO]],"D"))</f>
        <v/>
      </c>
      <c r="AE953" s="526" t="str">
        <f>IF(LANÇ_MOV[[#This Row],[DATA DE VENCIMENTO]]="","",TEXT(LANÇ_MOV[[#This Row],[DATA DE VENCIMENTO]],"AAAA"))</f>
        <v/>
      </c>
      <c r="AF953" s="526" t="str">
        <f>IF(LANÇ_MOV[[#This Row],[DATA DE VENCIMENTO]]="","",UPPER(TEXT(LANÇ_MOV[[#This Row],[DATA DE VENCIMENTO]],"MMMM")))</f>
        <v/>
      </c>
      <c r="AG953" s="526" t="str">
        <f>IF(LANÇ_MOV[[#This Row],[DATA DE VENCIMENTO]]="","",TEXT(LANÇ_MOV[[#This Row],[DATA DE VENCIMENTO]],"M"))</f>
        <v/>
      </c>
      <c r="AH953" s="526" t="str">
        <f>IF(LANÇ_MOV[[#This Row],[DATA DE VENCIMENTO]]="","",TEXT(LANÇ_MOV[[#This Row],[DATA DE VENCIMENTO]],"D"))</f>
        <v/>
      </c>
      <c r="AI953" s="526" t="str">
        <f>IF(LANÇ_MOV[[#This Row],[DATA DE PAGAMENTO]]="","",TEXT(LANÇ_MOV[[#This Row],[DATA DE PAGAMENTO]],"AAAA"))</f>
        <v/>
      </c>
      <c r="AJ953" s="527" t="str">
        <f>IF(LANÇ_MOV[[#This Row],[DATA DE PAGAMENTO]]="","",UPPER(TEXT(LANÇ_MOV[[#This Row],[DATA DE PAGAMENTO]],"MMMM")))</f>
        <v/>
      </c>
      <c r="AK953" s="527" t="str">
        <f>IF(LANÇ_MOV[[#This Row],[DATA DE PAGAMENTO]]="","",TEXT(LANÇ_MOV[[#This Row],[DATA DE PAGAMENTO]],"M"))</f>
        <v/>
      </c>
      <c r="AL953" s="526" t="str">
        <f>IF(LANÇ_MOV[[#This Row],[DATA DE PAGAMENTO]]="","",TEXT(LANÇ_MOV[[#This Row],[DATA DE PAGAMENTO]],"D"))</f>
        <v/>
      </c>
    </row>
    <row r="954" spans="2:38" ht="30.05" customHeight="1" x14ac:dyDescent="0.35">
      <c r="B954" s="506"/>
      <c r="C954" s="507"/>
      <c r="D954" s="508" t="s">
        <v>1854</v>
      </c>
      <c r="E954" s="509"/>
      <c r="F954" s="510"/>
      <c r="G954" s="507"/>
      <c r="H954" s="511"/>
      <c r="I954" s="512"/>
      <c r="J954" s="518"/>
      <c r="K954" s="510"/>
      <c r="L954" s="510"/>
      <c r="M954" s="548"/>
      <c r="N954" s="514">
        <f>LANÇ_MOV[[#This Row],[VALOR BRUTO]]-LANÇ_MOV[[#This Row],[DESCONTO]]+LANÇ_MOV[[#This Row],[JUROS]]+LANÇ_MOV[[#This Row],[MULTA]]</f>
        <v>0</v>
      </c>
      <c r="O954" s="546"/>
      <c r="P954" s="547" t="str">
        <f t="shared" ca="1" si="15"/>
        <v/>
      </c>
      <c r="Q954" s="528"/>
      <c r="R954" s="529"/>
      <c r="S954" s="518"/>
      <c r="T954" s="518"/>
      <c r="U954" s="519"/>
      <c r="V954" s="520" t="str">
        <f>IFERROR(VLOOKUP(LANÇ_MOV[[#This Row],[PLANO DE CONTAS]],Plano_Contas[[PLANO DE CONTAS]:[R / D]],3,0),"")</f>
        <v/>
      </c>
      <c r="W954" s="521" t="str">
        <f>IF(LANÇ_MOV[[#This Row],[DATA DE PAGAMENTO]]&lt;&gt;"","Pago","Não Pago")</f>
        <v>Não Pago</v>
      </c>
      <c r="X954" s="522" t="str">
        <f>IFERROR(IF(LANÇ_MOV[[#This Row],[DATA DE PAGAMENTO]]="","",(UPPER(TEXT(LANÇ_MOV[[#This Row],[DATA DE PAGAMENTO]],"mmmm")))),"")</f>
        <v/>
      </c>
      <c r="Y954" s="523" t="str">
        <f>IFERROR(VLOOKUP(LANÇ_MOV[[#This Row],[PLANO DE CONTAS]],Plano_Contas[[PLANO DE CONTAS]:[NOMES INTERVALOS]],2,0),"")</f>
        <v/>
      </c>
      <c r="Z954" s="523" t="str">
        <f>IF(LANÇ_MOV[[#This Row],[FORMA DE PAGAMENTO]]="","",VLOOKUP(LANÇ_MOV[[#This Row],[FORMA DE PAGAMENTO]],CAD_Forma_pagto[],2,0))</f>
        <v/>
      </c>
      <c r="AA954" s="524" t="str">
        <f>IF(LANÇ_MOV[[#This Row],[DATA DE LANÇAMENTO]]="","",TEXT(LANÇ_MOV[[#This Row],[DATA DE LANÇAMENTO]],"AAAA"))</f>
        <v/>
      </c>
      <c r="AB954" s="524" t="str">
        <f>IF(LANÇ_MOV[[#This Row],[DATA DE LANÇAMENTO]]="","",UPPER(TEXT(LANÇ_MOV[[#This Row],[DATA DE LANÇAMENTO]],"MMMM")))</f>
        <v/>
      </c>
      <c r="AC954" s="525" t="str">
        <f>IF(LANÇ_MOV[[#This Row],[DATA DE LANÇAMENTO]]="","",PROPER(TEXT(LANÇ_MOV[[#This Row],[DATA DE LANÇAMENTO]],"M")))</f>
        <v/>
      </c>
      <c r="AD954" s="524" t="str">
        <f>IF(LANÇ_MOV[[#This Row],[DATA DE LANÇAMENTO]]="","",TEXT(LANÇ_MOV[[#This Row],[DATA DE LANÇAMENTO]],"D"))</f>
        <v/>
      </c>
      <c r="AE954" s="526" t="str">
        <f>IF(LANÇ_MOV[[#This Row],[DATA DE VENCIMENTO]]="","",TEXT(LANÇ_MOV[[#This Row],[DATA DE VENCIMENTO]],"AAAA"))</f>
        <v/>
      </c>
      <c r="AF954" s="526" t="str">
        <f>IF(LANÇ_MOV[[#This Row],[DATA DE VENCIMENTO]]="","",UPPER(TEXT(LANÇ_MOV[[#This Row],[DATA DE VENCIMENTO]],"MMMM")))</f>
        <v/>
      </c>
      <c r="AG954" s="526" t="str">
        <f>IF(LANÇ_MOV[[#This Row],[DATA DE VENCIMENTO]]="","",TEXT(LANÇ_MOV[[#This Row],[DATA DE VENCIMENTO]],"M"))</f>
        <v/>
      </c>
      <c r="AH954" s="526" t="str">
        <f>IF(LANÇ_MOV[[#This Row],[DATA DE VENCIMENTO]]="","",TEXT(LANÇ_MOV[[#This Row],[DATA DE VENCIMENTO]],"D"))</f>
        <v/>
      </c>
      <c r="AI954" s="526" t="str">
        <f>IF(LANÇ_MOV[[#This Row],[DATA DE PAGAMENTO]]="","",TEXT(LANÇ_MOV[[#This Row],[DATA DE PAGAMENTO]],"AAAA"))</f>
        <v/>
      </c>
      <c r="AJ954" s="527" t="str">
        <f>IF(LANÇ_MOV[[#This Row],[DATA DE PAGAMENTO]]="","",UPPER(TEXT(LANÇ_MOV[[#This Row],[DATA DE PAGAMENTO]],"MMMM")))</f>
        <v/>
      </c>
      <c r="AK954" s="527" t="str">
        <f>IF(LANÇ_MOV[[#This Row],[DATA DE PAGAMENTO]]="","",TEXT(LANÇ_MOV[[#This Row],[DATA DE PAGAMENTO]],"M"))</f>
        <v/>
      </c>
      <c r="AL954" s="526" t="str">
        <f>IF(LANÇ_MOV[[#This Row],[DATA DE PAGAMENTO]]="","",TEXT(LANÇ_MOV[[#This Row],[DATA DE PAGAMENTO]],"D"))</f>
        <v/>
      </c>
    </row>
    <row r="955" spans="2:38" ht="30.05" customHeight="1" x14ac:dyDescent="0.35">
      <c r="B955" s="506"/>
      <c r="C955" s="507"/>
      <c r="D955" s="508" t="s">
        <v>1854</v>
      </c>
      <c r="E955" s="509"/>
      <c r="F955" s="510"/>
      <c r="G955" s="507"/>
      <c r="H955" s="511"/>
      <c r="I955" s="512"/>
      <c r="J955" s="518"/>
      <c r="K955" s="510"/>
      <c r="L955" s="510"/>
      <c r="M955" s="548"/>
      <c r="N955" s="514">
        <f>LANÇ_MOV[[#This Row],[VALOR BRUTO]]-LANÇ_MOV[[#This Row],[DESCONTO]]+LANÇ_MOV[[#This Row],[JUROS]]+LANÇ_MOV[[#This Row],[MULTA]]</f>
        <v>0</v>
      </c>
      <c r="O955" s="546"/>
      <c r="P955" s="547" t="str">
        <f t="shared" ca="1" si="15"/>
        <v/>
      </c>
      <c r="Q955" s="528"/>
      <c r="R955" s="529"/>
      <c r="S955" s="518"/>
      <c r="T955" s="518"/>
      <c r="U955" s="519"/>
      <c r="V955" s="520" t="str">
        <f>IFERROR(VLOOKUP(LANÇ_MOV[[#This Row],[PLANO DE CONTAS]],Plano_Contas[[PLANO DE CONTAS]:[R / D]],3,0),"")</f>
        <v/>
      </c>
      <c r="W955" s="521" t="str">
        <f>IF(LANÇ_MOV[[#This Row],[DATA DE PAGAMENTO]]&lt;&gt;"","Pago","Não Pago")</f>
        <v>Não Pago</v>
      </c>
      <c r="X955" s="522" t="str">
        <f>IFERROR(IF(LANÇ_MOV[[#This Row],[DATA DE PAGAMENTO]]="","",(UPPER(TEXT(LANÇ_MOV[[#This Row],[DATA DE PAGAMENTO]],"mmmm")))),"")</f>
        <v/>
      </c>
      <c r="Y955" s="523" t="str">
        <f>IFERROR(VLOOKUP(LANÇ_MOV[[#This Row],[PLANO DE CONTAS]],Plano_Contas[[PLANO DE CONTAS]:[NOMES INTERVALOS]],2,0),"")</f>
        <v/>
      </c>
      <c r="Z955" s="523" t="str">
        <f>IF(LANÇ_MOV[[#This Row],[FORMA DE PAGAMENTO]]="","",VLOOKUP(LANÇ_MOV[[#This Row],[FORMA DE PAGAMENTO]],CAD_Forma_pagto[],2,0))</f>
        <v/>
      </c>
      <c r="AA955" s="524" t="str">
        <f>IF(LANÇ_MOV[[#This Row],[DATA DE LANÇAMENTO]]="","",TEXT(LANÇ_MOV[[#This Row],[DATA DE LANÇAMENTO]],"AAAA"))</f>
        <v/>
      </c>
      <c r="AB955" s="524" t="str">
        <f>IF(LANÇ_MOV[[#This Row],[DATA DE LANÇAMENTO]]="","",UPPER(TEXT(LANÇ_MOV[[#This Row],[DATA DE LANÇAMENTO]],"MMMM")))</f>
        <v/>
      </c>
      <c r="AC955" s="525" t="str">
        <f>IF(LANÇ_MOV[[#This Row],[DATA DE LANÇAMENTO]]="","",PROPER(TEXT(LANÇ_MOV[[#This Row],[DATA DE LANÇAMENTO]],"M")))</f>
        <v/>
      </c>
      <c r="AD955" s="524" t="str">
        <f>IF(LANÇ_MOV[[#This Row],[DATA DE LANÇAMENTO]]="","",TEXT(LANÇ_MOV[[#This Row],[DATA DE LANÇAMENTO]],"D"))</f>
        <v/>
      </c>
      <c r="AE955" s="526" t="str">
        <f>IF(LANÇ_MOV[[#This Row],[DATA DE VENCIMENTO]]="","",TEXT(LANÇ_MOV[[#This Row],[DATA DE VENCIMENTO]],"AAAA"))</f>
        <v/>
      </c>
      <c r="AF955" s="526" t="str">
        <f>IF(LANÇ_MOV[[#This Row],[DATA DE VENCIMENTO]]="","",UPPER(TEXT(LANÇ_MOV[[#This Row],[DATA DE VENCIMENTO]],"MMMM")))</f>
        <v/>
      </c>
      <c r="AG955" s="526" t="str">
        <f>IF(LANÇ_MOV[[#This Row],[DATA DE VENCIMENTO]]="","",TEXT(LANÇ_MOV[[#This Row],[DATA DE VENCIMENTO]],"M"))</f>
        <v/>
      </c>
      <c r="AH955" s="526" t="str">
        <f>IF(LANÇ_MOV[[#This Row],[DATA DE VENCIMENTO]]="","",TEXT(LANÇ_MOV[[#This Row],[DATA DE VENCIMENTO]],"D"))</f>
        <v/>
      </c>
      <c r="AI955" s="526" t="str">
        <f>IF(LANÇ_MOV[[#This Row],[DATA DE PAGAMENTO]]="","",TEXT(LANÇ_MOV[[#This Row],[DATA DE PAGAMENTO]],"AAAA"))</f>
        <v/>
      </c>
      <c r="AJ955" s="527" t="str">
        <f>IF(LANÇ_MOV[[#This Row],[DATA DE PAGAMENTO]]="","",UPPER(TEXT(LANÇ_MOV[[#This Row],[DATA DE PAGAMENTO]],"MMMM")))</f>
        <v/>
      </c>
      <c r="AK955" s="527" t="str">
        <f>IF(LANÇ_MOV[[#This Row],[DATA DE PAGAMENTO]]="","",TEXT(LANÇ_MOV[[#This Row],[DATA DE PAGAMENTO]],"M"))</f>
        <v/>
      </c>
      <c r="AL955" s="526" t="str">
        <f>IF(LANÇ_MOV[[#This Row],[DATA DE PAGAMENTO]]="","",TEXT(LANÇ_MOV[[#This Row],[DATA DE PAGAMENTO]],"D"))</f>
        <v/>
      </c>
    </row>
    <row r="956" spans="2:38" ht="30.05" customHeight="1" x14ac:dyDescent="0.35">
      <c r="B956" s="506"/>
      <c r="C956" s="507"/>
      <c r="D956" s="508" t="s">
        <v>1854</v>
      </c>
      <c r="E956" s="509"/>
      <c r="F956" s="510"/>
      <c r="G956" s="507"/>
      <c r="H956" s="511"/>
      <c r="I956" s="512"/>
      <c r="J956" s="518"/>
      <c r="K956" s="510"/>
      <c r="L956" s="510"/>
      <c r="M956" s="548"/>
      <c r="N956" s="514">
        <f>LANÇ_MOV[[#This Row],[VALOR BRUTO]]-LANÇ_MOV[[#This Row],[DESCONTO]]+LANÇ_MOV[[#This Row],[JUROS]]+LANÇ_MOV[[#This Row],[MULTA]]</f>
        <v>0</v>
      </c>
      <c r="O956" s="546"/>
      <c r="P956" s="547" t="str">
        <f t="shared" ca="1" si="15"/>
        <v/>
      </c>
      <c r="Q956" s="528"/>
      <c r="R956" s="529"/>
      <c r="S956" s="518"/>
      <c r="T956" s="518"/>
      <c r="U956" s="519"/>
      <c r="V956" s="520" t="str">
        <f>IFERROR(VLOOKUP(LANÇ_MOV[[#This Row],[PLANO DE CONTAS]],Plano_Contas[[PLANO DE CONTAS]:[R / D]],3,0),"")</f>
        <v/>
      </c>
      <c r="W956" s="521" t="str">
        <f>IF(LANÇ_MOV[[#This Row],[DATA DE PAGAMENTO]]&lt;&gt;"","Pago","Não Pago")</f>
        <v>Não Pago</v>
      </c>
      <c r="X956" s="522" t="str">
        <f>IFERROR(IF(LANÇ_MOV[[#This Row],[DATA DE PAGAMENTO]]="","",(UPPER(TEXT(LANÇ_MOV[[#This Row],[DATA DE PAGAMENTO]],"mmmm")))),"")</f>
        <v/>
      </c>
      <c r="Y956" s="523" t="str">
        <f>IFERROR(VLOOKUP(LANÇ_MOV[[#This Row],[PLANO DE CONTAS]],Plano_Contas[[PLANO DE CONTAS]:[NOMES INTERVALOS]],2,0),"")</f>
        <v/>
      </c>
      <c r="Z956" s="523" t="str">
        <f>IF(LANÇ_MOV[[#This Row],[FORMA DE PAGAMENTO]]="","",VLOOKUP(LANÇ_MOV[[#This Row],[FORMA DE PAGAMENTO]],CAD_Forma_pagto[],2,0))</f>
        <v/>
      </c>
      <c r="AA956" s="524" t="str">
        <f>IF(LANÇ_MOV[[#This Row],[DATA DE LANÇAMENTO]]="","",TEXT(LANÇ_MOV[[#This Row],[DATA DE LANÇAMENTO]],"AAAA"))</f>
        <v/>
      </c>
      <c r="AB956" s="524" t="str">
        <f>IF(LANÇ_MOV[[#This Row],[DATA DE LANÇAMENTO]]="","",UPPER(TEXT(LANÇ_MOV[[#This Row],[DATA DE LANÇAMENTO]],"MMMM")))</f>
        <v/>
      </c>
      <c r="AC956" s="525" t="str">
        <f>IF(LANÇ_MOV[[#This Row],[DATA DE LANÇAMENTO]]="","",PROPER(TEXT(LANÇ_MOV[[#This Row],[DATA DE LANÇAMENTO]],"M")))</f>
        <v/>
      </c>
      <c r="AD956" s="524" t="str">
        <f>IF(LANÇ_MOV[[#This Row],[DATA DE LANÇAMENTO]]="","",TEXT(LANÇ_MOV[[#This Row],[DATA DE LANÇAMENTO]],"D"))</f>
        <v/>
      </c>
      <c r="AE956" s="526" t="str">
        <f>IF(LANÇ_MOV[[#This Row],[DATA DE VENCIMENTO]]="","",TEXT(LANÇ_MOV[[#This Row],[DATA DE VENCIMENTO]],"AAAA"))</f>
        <v/>
      </c>
      <c r="AF956" s="526" t="str">
        <f>IF(LANÇ_MOV[[#This Row],[DATA DE VENCIMENTO]]="","",UPPER(TEXT(LANÇ_MOV[[#This Row],[DATA DE VENCIMENTO]],"MMMM")))</f>
        <v/>
      </c>
      <c r="AG956" s="526" t="str">
        <f>IF(LANÇ_MOV[[#This Row],[DATA DE VENCIMENTO]]="","",TEXT(LANÇ_MOV[[#This Row],[DATA DE VENCIMENTO]],"M"))</f>
        <v/>
      </c>
      <c r="AH956" s="526" t="str">
        <f>IF(LANÇ_MOV[[#This Row],[DATA DE VENCIMENTO]]="","",TEXT(LANÇ_MOV[[#This Row],[DATA DE VENCIMENTO]],"D"))</f>
        <v/>
      </c>
      <c r="AI956" s="526" t="str">
        <f>IF(LANÇ_MOV[[#This Row],[DATA DE PAGAMENTO]]="","",TEXT(LANÇ_MOV[[#This Row],[DATA DE PAGAMENTO]],"AAAA"))</f>
        <v/>
      </c>
      <c r="AJ956" s="527" t="str">
        <f>IF(LANÇ_MOV[[#This Row],[DATA DE PAGAMENTO]]="","",UPPER(TEXT(LANÇ_MOV[[#This Row],[DATA DE PAGAMENTO]],"MMMM")))</f>
        <v/>
      </c>
      <c r="AK956" s="527" t="str">
        <f>IF(LANÇ_MOV[[#This Row],[DATA DE PAGAMENTO]]="","",TEXT(LANÇ_MOV[[#This Row],[DATA DE PAGAMENTO]],"M"))</f>
        <v/>
      </c>
      <c r="AL956" s="526" t="str">
        <f>IF(LANÇ_MOV[[#This Row],[DATA DE PAGAMENTO]]="","",TEXT(LANÇ_MOV[[#This Row],[DATA DE PAGAMENTO]],"D"))</f>
        <v/>
      </c>
    </row>
    <row r="957" spans="2:38" ht="30.05" customHeight="1" x14ac:dyDescent="0.35">
      <c r="B957" s="506"/>
      <c r="C957" s="507"/>
      <c r="D957" s="508" t="s">
        <v>1854</v>
      </c>
      <c r="E957" s="509"/>
      <c r="F957" s="510"/>
      <c r="G957" s="507"/>
      <c r="H957" s="511"/>
      <c r="I957" s="512"/>
      <c r="J957" s="518"/>
      <c r="K957" s="510"/>
      <c r="L957" s="510"/>
      <c r="M957" s="548"/>
      <c r="N957" s="514">
        <f>LANÇ_MOV[[#This Row],[VALOR BRUTO]]-LANÇ_MOV[[#This Row],[DESCONTO]]+LANÇ_MOV[[#This Row],[JUROS]]+LANÇ_MOV[[#This Row],[MULTA]]</f>
        <v>0</v>
      </c>
      <c r="O957" s="546"/>
      <c r="P957" s="547" t="str">
        <f t="shared" ca="1" si="15"/>
        <v/>
      </c>
      <c r="Q957" s="528"/>
      <c r="R957" s="529"/>
      <c r="S957" s="518"/>
      <c r="T957" s="518"/>
      <c r="U957" s="519"/>
      <c r="V957" s="520" t="str">
        <f>IFERROR(VLOOKUP(LANÇ_MOV[[#This Row],[PLANO DE CONTAS]],Plano_Contas[[PLANO DE CONTAS]:[R / D]],3,0),"")</f>
        <v/>
      </c>
      <c r="W957" s="521" t="str">
        <f>IF(LANÇ_MOV[[#This Row],[DATA DE PAGAMENTO]]&lt;&gt;"","Pago","Não Pago")</f>
        <v>Não Pago</v>
      </c>
      <c r="X957" s="522" t="str">
        <f>IFERROR(IF(LANÇ_MOV[[#This Row],[DATA DE PAGAMENTO]]="","",(UPPER(TEXT(LANÇ_MOV[[#This Row],[DATA DE PAGAMENTO]],"mmmm")))),"")</f>
        <v/>
      </c>
      <c r="Y957" s="523" t="str">
        <f>IFERROR(VLOOKUP(LANÇ_MOV[[#This Row],[PLANO DE CONTAS]],Plano_Contas[[PLANO DE CONTAS]:[NOMES INTERVALOS]],2,0),"")</f>
        <v/>
      </c>
      <c r="Z957" s="523" t="str">
        <f>IF(LANÇ_MOV[[#This Row],[FORMA DE PAGAMENTO]]="","",VLOOKUP(LANÇ_MOV[[#This Row],[FORMA DE PAGAMENTO]],CAD_Forma_pagto[],2,0))</f>
        <v/>
      </c>
      <c r="AA957" s="524" t="str">
        <f>IF(LANÇ_MOV[[#This Row],[DATA DE LANÇAMENTO]]="","",TEXT(LANÇ_MOV[[#This Row],[DATA DE LANÇAMENTO]],"AAAA"))</f>
        <v/>
      </c>
      <c r="AB957" s="524" t="str">
        <f>IF(LANÇ_MOV[[#This Row],[DATA DE LANÇAMENTO]]="","",UPPER(TEXT(LANÇ_MOV[[#This Row],[DATA DE LANÇAMENTO]],"MMMM")))</f>
        <v/>
      </c>
      <c r="AC957" s="525" t="str">
        <f>IF(LANÇ_MOV[[#This Row],[DATA DE LANÇAMENTO]]="","",PROPER(TEXT(LANÇ_MOV[[#This Row],[DATA DE LANÇAMENTO]],"M")))</f>
        <v/>
      </c>
      <c r="AD957" s="524" t="str">
        <f>IF(LANÇ_MOV[[#This Row],[DATA DE LANÇAMENTO]]="","",TEXT(LANÇ_MOV[[#This Row],[DATA DE LANÇAMENTO]],"D"))</f>
        <v/>
      </c>
      <c r="AE957" s="526" t="str">
        <f>IF(LANÇ_MOV[[#This Row],[DATA DE VENCIMENTO]]="","",TEXT(LANÇ_MOV[[#This Row],[DATA DE VENCIMENTO]],"AAAA"))</f>
        <v/>
      </c>
      <c r="AF957" s="526" t="str">
        <f>IF(LANÇ_MOV[[#This Row],[DATA DE VENCIMENTO]]="","",UPPER(TEXT(LANÇ_MOV[[#This Row],[DATA DE VENCIMENTO]],"MMMM")))</f>
        <v/>
      </c>
      <c r="AG957" s="526" t="str">
        <f>IF(LANÇ_MOV[[#This Row],[DATA DE VENCIMENTO]]="","",TEXT(LANÇ_MOV[[#This Row],[DATA DE VENCIMENTO]],"M"))</f>
        <v/>
      </c>
      <c r="AH957" s="526" t="str">
        <f>IF(LANÇ_MOV[[#This Row],[DATA DE VENCIMENTO]]="","",TEXT(LANÇ_MOV[[#This Row],[DATA DE VENCIMENTO]],"D"))</f>
        <v/>
      </c>
      <c r="AI957" s="526" t="str">
        <f>IF(LANÇ_MOV[[#This Row],[DATA DE PAGAMENTO]]="","",TEXT(LANÇ_MOV[[#This Row],[DATA DE PAGAMENTO]],"AAAA"))</f>
        <v/>
      </c>
      <c r="AJ957" s="527" t="str">
        <f>IF(LANÇ_MOV[[#This Row],[DATA DE PAGAMENTO]]="","",UPPER(TEXT(LANÇ_MOV[[#This Row],[DATA DE PAGAMENTO]],"MMMM")))</f>
        <v/>
      </c>
      <c r="AK957" s="527" t="str">
        <f>IF(LANÇ_MOV[[#This Row],[DATA DE PAGAMENTO]]="","",TEXT(LANÇ_MOV[[#This Row],[DATA DE PAGAMENTO]],"M"))</f>
        <v/>
      </c>
      <c r="AL957" s="526" t="str">
        <f>IF(LANÇ_MOV[[#This Row],[DATA DE PAGAMENTO]]="","",TEXT(LANÇ_MOV[[#This Row],[DATA DE PAGAMENTO]],"D"))</f>
        <v/>
      </c>
    </row>
    <row r="958" spans="2:38" ht="30.05" customHeight="1" x14ac:dyDescent="0.35">
      <c r="B958" s="506"/>
      <c r="C958" s="507"/>
      <c r="D958" s="508" t="s">
        <v>1854</v>
      </c>
      <c r="E958" s="509"/>
      <c r="F958" s="510"/>
      <c r="G958" s="507"/>
      <c r="H958" s="511"/>
      <c r="I958" s="512"/>
      <c r="J958" s="518"/>
      <c r="K958" s="510"/>
      <c r="L958" s="510"/>
      <c r="M958" s="548"/>
      <c r="N958" s="514">
        <f>LANÇ_MOV[[#This Row],[VALOR BRUTO]]-LANÇ_MOV[[#This Row],[DESCONTO]]+LANÇ_MOV[[#This Row],[JUROS]]+LANÇ_MOV[[#This Row],[MULTA]]</f>
        <v>0</v>
      </c>
      <c r="O958" s="546"/>
      <c r="P958" s="547" t="str">
        <f t="shared" ca="1" si="15"/>
        <v/>
      </c>
      <c r="Q958" s="528"/>
      <c r="R958" s="529"/>
      <c r="S958" s="518"/>
      <c r="T958" s="518"/>
      <c r="U958" s="519"/>
      <c r="V958" s="520" t="str">
        <f>IFERROR(VLOOKUP(LANÇ_MOV[[#This Row],[PLANO DE CONTAS]],Plano_Contas[[PLANO DE CONTAS]:[R / D]],3,0),"")</f>
        <v/>
      </c>
      <c r="W958" s="521" t="str">
        <f>IF(LANÇ_MOV[[#This Row],[DATA DE PAGAMENTO]]&lt;&gt;"","Pago","Não Pago")</f>
        <v>Não Pago</v>
      </c>
      <c r="X958" s="522" t="str">
        <f>IFERROR(IF(LANÇ_MOV[[#This Row],[DATA DE PAGAMENTO]]="","",(UPPER(TEXT(LANÇ_MOV[[#This Row],[DATA DE PAGAMENTO]],"mmmm")))),"")</f>
        <v/>
      </c>
      <c r="Y958" s="523" t="str">
        <f>IFERROR(VLOOKUP(LANÇ_MOV[[#This Row],[PLANO DE CONTAS]],Plano_Contas[[PLANO DE CONTAS]:[NOMES INTERVALOS]],2,0),"")</f>
        <v/>
      </c>
      <c r="Z958" s="523" t="str">
        <f>IF(LANÇ_MOV[[#This Row],[FORMA DE PAGAMENTO]]="","",VLOOKUP(LANÇ_MOV[[#This Row],[FORMA DE PAGAMENTO]],CAD_Forma_pagto[],2,0))</f>
        <v/>
      </c>
      <c r="AA958" s="524" t="str">
        <f>IF(LANÇ_MOV[[#This Row],[DATA DE LANÇAMENTO]]="","",TEXT(LANÇ_MOV[[#This Row],[DATA DE LANÇAMENTO]],"AAAA"))</f>
        <v/>
      </c>
      <c r="AB958" s="524" t="str">
        <f>IF(LANÇ_MOV[[#This Row],[DATA DE LANÇAMENTO]]="","",UPPER(TEXT(LANÇ_MOV[[#This Row],[DATA DE LANÇAMENTO]],"MMMM")))</f>
        <v/>
      </c>
      <c r="AC958" s="525" t="str">
        <f>IF(LANÇ_MOV[[#This Row],[DATA DE LANÇAMENTO]]="","",PROPER(TEXT(LANÇ_MOV[[#This Row],[DATA DE LANÇAMENTO]],"M")))</f>
        <v/>
      </c>
      <c r="AD958" s="524" t="str">
        <f>IF(LANÇ_MOV[[#This Row],[DATA DE LANÇAMENTO]]="","",TEXT(LANÇ_MOV[[#This Row],[DATA DE LANÇAMENTO]],"D"))</f>
        <v/>
      </c>
      <c r="AE958" s="526" t="str">
        <f>IF(LANÇ_MOV[[#This Row],[DATA DE VENCIMENTO]]="","",TEXT(LANÇ_MOV[[#This Row],[DATA DE VENCIMENTO]],"AAAA"))</f>
        <v/>
      </c>
      <c r="AF958" s="526" t="str">
        <f>IF(LANÇ_MOV[[#This Row],[DATA DE VENCIMENTO]]="","",UPPER(TEXT(LANÇ_MOV[[#This Row],[DATA DE VENCIMENTO]],"MMMM")))</f>
        <v/>
      </c>
      <c r="AG958" s="526" t="str">
        <f>IF(LANÇ_MOV[[#This Row],[DATA DE VENCIMENTO]]="","",TEXT(LANÇ_MOV[[#This Row],[DATA DE VENCIMENTO]],"M"))</f>
        <v/>
      </c>
      <c r="AH958" s="526" t="str">
        <f>IF(LANÇ_MOV[[#This Row],[DATA DE VENCIMENTO]]="","",TEXT(LANÇ_MOV[[#This Row],[DATA DE VENCIMENTO]],"D"))</f>
        <v/>
      </c>
      <c r="AI958" s="526" t="str">
        <f>IF(LANÇ_MOV[[#This Row],[DATA DE PAGAMENTO]]="","",TEXT(LANÇ_MOV[[#This Row],[DATA DE PAGAMENTO]],"AAAA"))</f>
        <v/>
      </c>
      <c r="AJ958" s="527" t="str">
        <f>IF(LANÇ_MOV[[#This Row],[DATA DE PAGAMENTO]]="","",UPPER(TEXT(LANÇ_MOV[[#This Row],[DATA DE PAGAMENTO]],"MMMM")))</f>
        <v/>
      </c>
      <c r="AK958" s="527" t="str">
        <f>IF(LANÇ_MOV[[#This Row],[DATA DE PAGAMENTO]]="","",TEXT(LANÇ_MOV[[#This Row],[DATA DE PAGAMENTO]],"M"))</f>
        <v/>
      </c>
      <c r="AL958" s="526" t="str">
        <f>IF(LANÇ_MOV[[#This Row],[DATA DE PAGAMENTO]]="","",TEXT(LANÇ_MOV[[#This Row],[DATA DE PAGAMENTO]],"D"))</f>
        <v/>
      </c>
    </row>
    <row r="959" spans="2:38" ht="30.05" customHeight="1" x14ac:dyDescent="0.35">
      <c r="B959" s="506"/>
      <c r="C959" s="507"/>
      <c r="D959" s="508" t="s">
        <v>1854</v>
      </c>
      <c r="E959" s="509"/>
      <c r="F959" s="510"/>
      <c r="G959" s="507"/>
      <c r="H959" s="511"/>
      <c r="I959" s="512"/>
      <c r="J959" s="518"/>
      <c r="K959" s="510"/>
      <c r="L959" s="510"/>
      <c r="M959" s="548"/>
      <c r="N959" s="514">
        <f>LANÇ_MOV[[#This Row],[VALOR BRUTO]]-LANÇ_MOV[[#This Row],[DESCONTO]]+LANÇ_MOV[[#This Row],[JUROS]]+LANÇ_MOV[[#This Row],[MULTA]]</f>
        <v>0</v>
      </c>
      <c r="O959" s="546"/>
      <c r="P959" s="547" t="str">
        <f t="shared" ca="1" si="15"/>
        <v/>
      </c>
      <c r="Q959" s="528"/>
      <c r="R959" s="529"/>
      <c r="S959" s="518"/>
      <c r="T959" s="518"/>
      <c r="U959" s="519"/>
      <c r="V959" s="520" t="str">
        <f>IFERROR(VLOOKUP(LANÇ_MOV[[#This Row],[PLANO DE CONTAS]],Plano_Contas[[PLANO DE CONTAS]:[R / D]],3,0),"")</f>
        <v/>
      </c>
      <c r="W959" s="521" t="str">
        <f>IF(LANÇ_MOV[[#This Row],[DATA DE PAGAMENTO]]&lt;&gt;"","Pago","Não Pago")</f>
        <v>Não Pago</v>
      </c>
      <c r="X959" s="522" t="str">
        <f>IFERROR(IF(LANÇ_MOV[[#This Row],[DATA DE PAGAMENTO]]="","",(UPPER(TEXT(LANÇ_MOV[[#This Row],[DATA DE PAGAMENTO]],"mmmm")))),"")</f>
        <v/>
      </c>
      <c r="Y959" s="523" t="str">
        <f>IFERROR(VLOOKUP(LANÇ_MOV[[#This Row],[PLANO DE CONTAS]],Plano_Contas[[PLANO DE CONTAS]:[NOMES INTERVALOS]],2,0),"")</f>
        <v/>
      </c>
      <c r="Z959" s="523" t="str">
        <f>IF(LANÇ_MOV[[#This Row],[FORMA DE PAGAMENTO]]="","",VLOOKUP(LANÇ_MOV[[#This Row],[FORMA DE PAGAMENTO]],CAD_Forma_pagto[],2,0))</f>
        <v/>
      </c>
      <c r="AA959" s="524" t="str">
        <f>IF(LANÇ_MOV[[#This Row],[DATA DE LANÇAMENTO]]="","",TEXT(LANÇ_MOV[[#This Row],[DATA DE LANÇAMENTO]],"AAAA"))</f>
        <v/>
      </c>
      <c r="AB959" s="524" t="str">
        <f>IF(LANÇ_MOV[[#This Row],[DATA DE LANÇAMENTO]]="","",UPPER(TEXT(LANÇ_MOV[[#This Row],[DATA DE LANÇAMENTO]],"MMMM")))</f>
        <v/>
      </c>
      <c r="AC959" s="525" t="str">
        <f>IF(LANÇ_MOV[[#This Row],[DATA DE LANÇAMENTO]]="","",PROPER(TEXT(LANÇ_MOV[[#This Row],[DATA DE LANÇAMENTO]],"M")))</f>
        <v/>
      </c>
      <c r="AD959" s="524" t="str">
        <f>IF(LANÇ_MOV[[#This Row],[DATA DE LANÇAMENTO]]="","",TEXT(LANÇ_MOV[[#This Row],[DATA DE LANÇAMENTO]],"D"))</f>
        <v/>
      </c>
      <c r="AE959" s="526" t="str">
        <f>IF(LANÇ_MOV[[#This Row],[DATA DE VENCIMENTO]]="","",TEXT(LANÇ_MOV[[#This Row],[DATA DE VENCIMENTO]],"AAAA"))</f>
        <v/>
      </c>
      <c r="AF959" s="526" t="str">
        <f>IF(LANÇ_MOV[[#This Row],[DATA DE VENCIMENTO]]="","",UPPER(TEXT(LANÇ_MOV[[#This Row],[DATA DE VENCIMENTO]],"MMMM")))</f>
        <v/>
      </c>
      <c r="AG959" s="526" t="str">
        <f>IF(LANÇ_MOV[[#This Row],[DATA DE VENCIMENTO]]="","",TEXT(LANÇ_MOV[[#This Row],[DATA DE VENCIMENTO]],"M"))</f>
        <v/>
      </c>
      <c r="AH959" s="526" t="str">
        <f>IF(LANÇ_MOV[[#This Row],[DATA DE VENCIMENTO]]="","",TEXT(LANÇ_MOV[[#This Row],[DATA DE VENCIMENTO]],"D"))</f>
        <v/>
      </c>
      <c r="AI959" s="526" t="str">
        <f>IF(LANÇ_MOV[[#This Row],[DATA DE PAGAMENTO]]="","",TEXT(LANÇ_MOV[[#This Row],[DATA DE PAGAMENTO]],"AAAA"))</f>
        <v/>
      </c>
      <c r="AJ959" s="527" t="str">
        <f>IF(LANÇ_MOV[[#This Row],[DATA DE PAGAMENTO]]="","",UPPER(TEXT(LANÇ_MOV[[#This Row],[DATA DE PAGAMENTO]],"MMMM")))</f>
        <v/>
      </c>
      <c r="AK959" s="527" t="str">
        <f>IF(LANÇ_MOV[[#This Row],[DATA DE PAGAMENTO]]="","",TEXT(LANÇ_MOV[[#This Row],[DATA DE PAGAMENTO]],"M"))</f>
        <v/>
      </c>
      <c r="AL959" s="526" t="str">
        <f>IF(LANÇ_MOV[[#This Row],[DATA DE PAGAMENTO]]="","",TEXT(LANÇ_MOV[[#This Row],[DATA DE PAGAMENTO]],"D"))</f>
        <v/>
      </c>
    </row>
    <row r="960" spans="2:38" ht="30.05" customHeight="1" x14ac:dyDescent="0.35">
      <c r="B960" s="506"/>
      <c r="C960" s="507"/>
      <c r="D960" s="508" t="s">
        <v>1854</v>
      </c>
      <c r="E960" s="509"/>
      <c r="F960" s="510"/>
      <c r="G960" s="507"/>
      <c r="H960" s="511"/>
      <c r="I960" s="512"/>
      <c r="J960" s="518"/>
      <c r="K960" s="510"/>
      <c r="L960" s="510"/>
      <c r="M960" s="548"/>
      <c r="N960" s="514">
        <f>LANÇ_MOV[[#This Row],[VALOR BRUTO]]-LANÇ_MOV[[#This Row],[DESCONTO]]+LANÇ_MOV[[#This Row],[JUROS]]+LANÇ_MOV[[#This Row],[MULTA]]</f>
        <v>0</v>
      </c>
      <c r="O960" s="546"/>
      <c r="P960" s="547" t="str">
        <f t="shared" ca="1" si="15"/>
        <v/>
      </c>
      <c r="Q960" s="528"/>
      <c r="R960" s="529"/>
      <c r="S960" s="518"/>
      <c r="T960" s="518"/>
      <c r="U960" s="519"/>
      <c r="V960" s="520" t="str">
        <f>IFERROR(VLOOKUP(LANÇ_MOV[[#This Row],[PLANO DE CONTAS]],Plano_Contas[[PLANO DE CONTAS]:[R / D]],3,0),"")</f>
        <v/>
      </c>
      <c r="W960" s="521" t="str">
        <f>IF(LANÇ_MOV[[#This Row],[DATA DE PAGAMENTO]]&lt;&gt;"","Pago","Não Pago")</f>
        <v>Não Pago</v>
      </c>
      <c r="X960" s="522" t="str">
        <f>IFERROR(IF(LANÇ_MOV[[#This Row],[DATA DE PAGAMENTO]]="","",(UPPER(TEXT(LANÇ_MOV[[#This Row],[DATA DE PAGAMENTO]],"mmmm")))),"")</f>
        <v/>
      </c>
      <c r="Y960" s="523" t="str">
        <f>IFERROR(VLOOKUP(LANÇ_MOV[[#This Row],[PLANO DE CONTAS]],Plano_Contas[[PLANO DE CONTAS]:[NOMES INTERVALOS]],2,0),"")</f>
        <v/>
      </c>
      <c r="Z960" s="523" t="str">
        <f>IF(LANÇ_MOV[[#This Row],[FORMA DE PAGAMENTO]]="","",VLOOKUP(LANÇ_MOV[[#This Row],[FORMA DE PAGAMENTO]],CAD_Forma_pagto[],2,0))</f>
        <v/>
      </c>
      <c r="AA960" s="524" t="str">
        <f>IF(LANÇ_MOV[[#This Row],[DATA DE LANÇAMENTO]]="","",TEXT(LANÇ_MOV[[#This Row],[DATA DE LANÇAMENTO]],"AAAA"))</f>
        <v/>
      </c>
      <c r="AB960" s="524" t="str">
        <f>IF(LANÇ_MOV[[#This Row],[DATA DE LANÇAMENTO]]="","",UPPER(TEXT(LANÇ_MOV[[#This Row],[DATA DE LANÇAMENTO]],"MMMM")))</f>
        <v/>
      </c>
      <c r="AC960" s="525" t="str">
        <f>IF(LANÇ_MOV[[#This Row],[DATA DE LANÇAMENTO]]="","",PROPER(TEXT(LANÇ_MOV[[#This Row],[DATA DE LANÇAMENTO]],"M")))</f>
        <v/>
      </c>
      <c r="AD960" s="524" t="str">
        <f>IF(LANÇ_MOV[[#This Row],[DATA DE LANÇAMENTO]]="","",TEXT(LANÇ_MOV[[#This Row],[DATA DE LANÇAMENTO]],"D"))</f>
        <v/>
      </c>
      <c r="AE960" s="526" t="str">
        <f>IF(LANÇ_MOV[[#This Row],[DATA DE VENCIMENTO]]="","",TEXT(LANÇ_MOV[[#This Row],[DATA DE VENCIMENTO]],"AAAA"))</f>
        <v/>
      </c>
      <c r="AF960" s="526" t="str">
        <f>IF(LANÇ_MOV[[#This Row],[DATA DE VENCIMENTO]]="","",UPPER(TEXT(LANÇ_MOV[[#This Row],[DATA DE VENCIMENTO]],"MMMM")))</f>
        <v/>
      </c>
      <c r="AG960" s="526" t="str">
        <f>IF(LANÇ_MOV[[#This Row],[DATA DE VENCIMENTO]]="","",TEXT(LANÇ_MOV[[#This Row],[DATA DE VENCIMENTO]],"M"))</f>
        <v/>
      </c>
      <c r="AH960" s="526" t="str">
        <f>IF(LANÇ_MOV[[#This Row],[DATA DE VENCIMENTO]]="","",TEXT(LANÇ_MOV[[#This Row],[DATA DE VENCIMENTO]],"D"))</f>
        <v/>
      </c>
      <c r="AI960" s="526" t="str">
        <f>IF(LANÇ_MOV[[#This Row],[DATA DE PAGAMENTO]]="","",TEXT(LANÇ_MOV[[#This Row],[DATA DE PAGAMENTO]],"AAAA"))</f>
        <v/>
      </c>
      <c r="AJ960" s="527" t="str">
        <f>IF(LANÇ_MOV[[#This Row],[DATA DE PAGAMENTO]]="","",UPPER(TEXT(LANÇ_MOV[[#This Row],[DATA DE PAGAMENTO]],"MMMM")))</f>
        <v/>
      </c>
      <c r="AK960" s="527" t="str">
        <f>IF(LANÇ_MOV[[#This Row],[DATA DE PAGAMENTO]]="","",TEXT(LANÇ_MOV[[#This Row],[DATA DE PAGAMENTO]],"M"))</f>
        <v/>
      </c>
      <c r="AL960" s="526" t="str">
        <f>IF(LANÇ_MOV[[#This Row],[DATA DE PAGAMENTO]]="","",TEXT(LANÇ_MOV[[#This Row],[DATA DE PAGAMENTO]],"D"))</f>
        <v/>
      </c>
    </row>
    <row r="961" spans="2:38" ht="30.05" customHeight="1" x14ac:dyDescent="0.35">
      <c r="B961" s="506"/>
      <c r="C961" s="507"/>
      <c r="D961" s="508" t="s">
        <v>1854</v>
      </c>
      <c r="E961" s="509"/>
      <c r="F961" s="510"/>
      <c r="G961" s="507"/>
      <c r="H961" s="511"/>
      <c r="I961" s="512"/>
      <c r="J961" s="518"/>
      <c r="K961" s="510"/>
      <c r="L961" s="510"/>
      <c r="M961" s="548"/>
      <c r="N961" s="514">
        <f>LANÇ_MOV[[#This Row],[VALOR BRUTO]]-LANÇ_MOV[[#This Row],[DESCONTO]]+LANÇ_MOV[[#This Row],[JUROS]]+LANÇ_MOV[[#This Row],[MULTA]]</f>
        <v>0</v>
      </c>
      <c r="O961" s="546"/>
      <c r="P961" s="547" t="str">
        <f t="shared" ca="1" si="15"/>
        <v/>
      </c>
      <c r="Q961" s="528"/>
      <c r="R961" s="529"/>
      <c r="S961" s="518"/>
      <c r="T961" s="518"/>
      <c r="U961" s="519"/>
      <c r="V961" s="520" t="str">
        <f>IFERROR(VLOOKUP(LANÇ_MOV[[#This Row],[PLANO DE CONTAS]],Plano_Contas[[PLANO DE CONTAS]:[R / D]],3,0),"")</f>
        <v/>
      </c>
      <c r="W961" s="521" t="str">
        <f>IF(LANÇ_MOV[[#This Row],[DATA DE PAGAMENTO]]&lt;&gt;"","Pago","Não Pago")</f>
        <v>Não Pago</v>
      </c>
      <c r="X961" s="522" t="str">
        <f>IFERROR(IF(LANÇ_MOV[[#This Row],[DATA DE PAGAMENTO]]="","",(UPPER(TEXT(LANÇ_MOV[[#This Row],[DATA DE PAGAMENTO]],"mmmm")))),"")</f>
        <v/>
      </c>
      <c r="Y961" s="523" t="str">
        <f>IFERROR(VLOOKUP(LANÇ_MOV[[#This Row],[PLANO DE CONTAS]],Plano_Contas[[PLANO DE CONTAS]:[NOMES INTERVALOS]],2,0),"")</f>
        <v/>
      </c>
      <c r="Z961" s="523" t="str">
        <f>IF(LANÇ_MOV[[#This Row],[FORMA DE PAGAMENTO]]="","",VLOOKUP(LANÇ_MOV[[#This Row],[FORMA DE PAGAMENTO]],CAD_Forma_pagto[],2,0))</f>
        <v/>
      </c>
      <c r="AA961" s="524" t="str">
        <f>IF(LANÇ_MOV[[#This Row],[DATA DE LANÇAMENTO]]="","",TEXT(LANÇ_MOV[[#This Row],[DATA DE LANÇAMENTO]],"AAAA"))</f>
        <v/>
      </c>
      <c r="AB961" s="524" t="str">
        <f>IF(LANÇ_MOV[[#This Row],[DATA DE LANÇAMENTO]]="","",UPPER(TEXT(LANÇ_MOV[[#This Row],[DATA DE LANÇAMENTO]],"MMMM")))</f>
        <v/>
      </c>
      <c r="AC961" s="525" t="str">
        <f>IF(LANÇ_MOV[[#This Row],[DATA DE LANÇAMENTO]]="","",PROPER(TEXT(LANÇ_MOV[[#This Row],[DATA DE LANÇAMENTO]],"M")))</f>
        <v/>
      </c>
      <c r="AD961" s="524" t="str">
        <f>IF(LANÇ_MOV[[#This Row],[DATA DE LANÇAMENTO]]="","",TEXT(LANÇ_MOV[[#This Row],[DATA DE LANÇAMENTO]],"D"))</f>
        <v/>
      </c>
      <c r="AE961" s="526" t="str">
        <f>IF(LANÇ_MOV[[#This Row],[DATA DE VENCIMENTO]]="","",TEXT(LANÇ_MOV[[#This Row],[DATA DE VENCIMENTO]],"AAAA"))</f>
        <v/>
      </c>
      <c r="AF961" s="526" t="str">
        <f>IF(LANÇ_MOV[[#This Row],[DATA DE VENCIMENTO]]="","",UPPER(TEXT(LANÇ_MOV[[#This Row],[DATA DE VENCIMENTO]],"MMMM")))</f>
        <v/>
      </c>
      <c r="AG961" s="526" t="str">
        <f>IF(LANÇ_MOV[[#This Row],[DATA DE VENCIMENTO]]="","",TEXT(LANÇ_MOV[[#This Row],[DATA DE VENCIMENTO]],"M"))</f>
        <v/>
      </c>
      <c r="AH961" s="526" t="str">
        <f>IF(LANÇ_MOV[[#This Row],[DATA DE VENCIMENTO]]="","",TEXT(LANÇ_MOV[[#This Row],[DATA DE VENCIMENTO]],"D"))</f>
        <v/>
      </c>
      <c r="AI961" s="526" t="str">
        <f>IF(LANÇ_MOV[[#This Row],[DATA DE PAGAMENTO]]="","",TEXT(LANÇ_MOV[[#This Row],[DATA DE PAGAMENTO]],"AAAA"))</f>
        <v/>
      </c>
      <c r="AJ961" s="527" t="str">
        <f>IF(LANÇ_MOV[[#This Row],[DATA DE PAGAMENTO]]="","",UPPER(TEXT(LANÇ_MOV[[#This Row],[DATA DE PAGAMENTO]],"MMMM")))</f>
        <v/>
      </c>
      <c r="AK961" s="527" t="str">
        <f>IF(LANÇ_MOV[[#This Row],[DATA DE PAGAMENTO]]="","",TEXT(LANÇ_MOV[[#This Row],[DATA DE PAGAMENTO]],"M"))</f>
        <v/>
      </c>
      <c r="AL961" s="526" t="str">
        <f>IF(LANÇ_MOV[[#This Row],[DATA DE PAGAMENTO]]="","",TEXT(LANÇ_MOV[[#This Row],[DATA DE PAGAMENTO]],"D"))</f>
        <v/>
      </c>
    </row>
    <row r="962" spans="2:38" ht="30.05" customHeight="1" x14ac:dyDescent="0.35">
      <c r="B962" s="506"/>
      <c r="C962" s="507"/>
      <c r="D962" s="508" t="s">
        <v>1854</v>
      </c>
      <c r="E962" s="509"/>
      <c r="F962" s="510"/>
      <c r="G962" s="507"/>
      <c r="H962" s="511"/>
      <c r="I962" s="512"/>
      <c r="J962" s="518"/>
      <c r="K962" s="510"/>
      <c r="L962" s="510"/>
      <c r="M962" s="548"/>
      <c r="N962" s="514">
        <f>LANÇ_MOV[[#This Row],[VALOR BRUTO]]-LANÇ_MOV[[#This Row],[DESCONTO]]+LANÇ_MOV[[#This Row],[JUROS]]+LANÇ_MOV[[#This Row],[MULTA]]</f>
        <v>0</v>
      </c>
      <c r="O962" s="546"/>
      <c r="P962" s="547" t="str">
        <f t="shared" ca="1" si="15"/>
        <v/>
      </c>
      <c r="Q962" s="528"/>
      <c r="R962" s="529"/>
      <c r="S962" s="518"/>
      <c r="T962" s="518"/>
      <c r="U962" s="519"/>
      <c r="V962" s="520" t="str">
        <f>IFERROR(VLOOKUP(LANÇ_MOV[[#This Row],[PLANO DE CONTAS]],Plano_Contas[[PLANO DE CONTAS]:[R / D]],3,0),"")</f>
        <v/>
      </c>
      <c r="W962" s="521" t="str">
        <f>IF(LANÇ_MOV[[#This Row],[DATA DE PAGAMENTO]]&lt;&gt;"","Pago","Não Pago")</f>
        <v>Não Pago</v>
      </c>
      <c r="X962" s="522" t="str">
        <f>IFERROR(IF(LANÇ_MOV[[#This Row],[DATA DE PAGAMENTO]]="","",(UPPER(TEXT(LANÇ_MOV[[#This Row],[DATA DE PAGAMENTO]],"mmmm")))),"")</f>
        <v/>
      </c>
      <c r="Y962" s="523" t="str">
        <f>IFERROR(VLOOKUP(LANÇ_MOV[[#This Row],[PLANO DE CONTAS]],Plano_Contas[[PLANO DE CONTAS]:[NOMES INTERVALOS]],2,0),"")</f>
        <v/>
      </c>
      <c r="Z962" s="523" t="str">
        <f>IF(LANÇ_MOV[[#This Row],[FORMA DE PAGAMENTO]]="","",VLOOKUP(LANÇ_MOV[[#This Row],[FORMA DE PAGAMENTO]],CAD_Forma_pagto[],2,0))</f>
        <v/>
      </c>
      <c r="AA962" s="524" t="str">
        <f>IF(LANÇ_MOV[[#This Row],[DATA DE LANÇAMENTO]]="","",TEXT(LANÇ_MOV[[#This Row],[DATA DE LANÇAMENTO]],"AAAA"))</f>
        <v/>
      </c>
      <c r="AB962" s="524" t="str">
        <f>IF(LANÇ_MOV[[#This Row],[DATA DE LANÇAMENTO]]="","",UPPER(TEXT(LANÇ_MOV[[#This Row],[DATA DE LANÇAMENTO]],"MMMM")))</f>
        <v/>
      </c>
      <c r="AC962" s="525" t="str">
        <f>IF(LANÇ_MOV[[#This Row],[DATA DE LANÇAMENTO]]="","",PROPER(TEXT(LANÇ_MOV[[#This Row],[DATA DE LANÇAMENTO]],"M")))</f>
        <v/>
      </c>
      <c r="AD962" s="524" t="str">
        <f>IF(LANÇ_MOV[[#This Row],[DATA DE LANÇAMENTO]]="","",TEXT(LANÇ_MOV[[#This Row],[DATA DE LANÇAMENTO]],"D"))</f>
        <v/>
      </c>
      <c r="AE962" s="526" t="str">
        <f>IF(LANÇ_MOV[[#This Row],[DATA DE VENCIMENTO]]="","",TEXT(LANÇ_MOV[[#This Row],[DATA DE VENCIMENTO]],"AAAA"))</f>
        <v/>
      </c>
      <c r="AF962" s="526" t="str">
        <f>IF(LANÇ_MOV[[#This Row],[DATA DE VENCIMENTO]]="","",UPPER(TEXT(LANÇ_MOV[[#This Row],[DATA DE VENCIMENTO]],"MMMM")))</f>
        <v/>
      </c>
      <c r="AG962" s="526" t="str">
        <f>IF(LANÇ_MOV[[#This Row],[DATA DE VENCIMENTO]]="","",TEXT(LANÇ_MOV[[#This Row],[DATA DE VENCIMENTO]],"M"))</f>
        <v/>
      </c>
      <c r="AH962" s="526" t="str">
        <f>IF(LANÇ_MOV[[#This Row],[DATA DE VENCIMENTO]]="","",TEXT(LANÇ_MOV[[#This Row],[DATA DE VENCIMENTO]],"D"))</f>
        <v/>
      </c>
      <c r="AI962" s="526" t="str">
        <f>IF(LANÇ_MOV[[#This Row],[DATA DE PAGAMENTO]]="","",TEXT(LANÇ_MOV[[#This Row],[DATA DE PAGAMENTO]],"AAAA"))</f>
        <v/>
      </c>
      <c r="AJ962" s="527" t="str">
        <f>IF(LANÇ_MOV[[#This Row],[DATA DE PAGAMENTO]]="","",UPPER(TEXT(LANÇ_MOV[[#This Row],[DATA DE PAGAMENTO]],"MMMM")))</f>
        <v/>
      </c>
      <c r="AK962" s="527" t="str">
        <f>IF(LANÇ_MOV[[#This Row],[DATA DE PAGAMENTO]]="","",TEXT(LANÇ_MOV[[#This Row],[DATA DE PAGAMENTO]],"M"))</f>
        <v/>
      </c>
      <c r="AL962" s="526" t="str">
        <f>IF(LANÇ_MOV[[#This Row],[DATA DE PAGAMENTO]]="","",TEXT(LANÇ_MOV[[#This Row],[DATA DE PAGAMENTO]],"D"))</f>
        <v/>
      </c>
    </row>
    <row r="963" spans="2:38" ht="30.05" customHeight="1" x14ac:dyDescent="0.35">
      <c r="B963" s="506"/>
      <c r="C963" s="507"/>
      <c r="D963" s="508" t="s">
        <v>1854</v>
      </c>
      <c r="E963" s="509"/>
      <c r="F963" s="510"/>
      <c r="G963" s="507"/>
      <c r="H963" s="511"/>
      <c r="I963" s="512"/>
      <c r="J963" s="518"/>
      <c r="K963" s="510"/>
      <c r="L963" s="510"/>
      <c r="M963" s="548"/>
      <c r="N963" s="514">
        <f>LANÇ_MOV[[#This Row],[VALOR BRUTO]]-LANÇ_MOV[[#This Row],[DESCONTO]]+LANÇ_MOV[[#This Row],[JUROS]]+LANÇ_MOV[[#This Row],[MULTA]]</f>
        <v>0</v>
      </c>
      <c r="O963" s="546"/>
      <c r="P963" s="547" t="str">
        <f t="shared" ca="1" si="15"/>
        <v/>
      </c>
      <c r="Q963" s="528"/>
      <c r="R963" s="529"/>
      <c r="S963" s="518"/>
      <c r="T963" s="518"/>
      <c r="U963" s="519"/>
      <c r="V963" s="520" t="str">
        <f>IFERROR(VLOOKUP(LANÇ_MOV[[#This Row],[PLANO DE CONTAS]],Plano_Contas[[PLANO DE CONTAS]:[R / D]],3,0),"")</f>
        <v/>
      </c>
      <c r="W963" s="521" t="str">
        <f>IF(LANÇ_MOV[[#This Row],[DATA DE PAGAMENTO]]&lt;&gt;"","Pago","Não Pago")</f>
        <v>Não Pago</v>
      </c>
      <c r="X963" s="522" t="str">
        <f>IFERROR(IF(LANÇ_MOV[[#This Row],[DATA DE PAGAMENTO]]="","",(UPPER(TEXT(LANÇ_MOV[[#This Row],[DATA DE PAGAMENTO]],"mmmm")))),"")</f>
        <v/>
      </c>
      <c r="Y963" s="523" t="str">
        <f>IFERROR(VLOOKUP(LANÇ_MOV[[#This Row],[PLANO DE CONTAS]],Plano_Contas[[PLANO DE CONTAS]:[NOMES INTERVALOS]],2,0),"")</f>
        <v/>
      </c>
      <c r="Z963" s="523" t="str">
        <f>IF(LANÇ_MOV[[#This Row],[FORMA DE PAGAMENTO]]="","",VLOOKUP(LANÇ_MOV[[#This Row],[FORMA DE PAGAMENTO]],CAD_Forma_pagto[],2,0))</f>
        <v/>
      </c>
      <c r="AA963" s="524" t="str">
        <f>IF(LANÇ_MOV[[#This Row],[DATA DE LANÇAMENTO]]="","",TEXT(LANÇ_MOV[[#This Row],[DATA DE LANÇAMENTO]],"AAAA"))</f>
        <v/>
      </c>
      <c r="AB963" s="524" t="str">
        <f>IF(LANÇ_MOV[[#This Row],[DATA DE LANÇAMENTO]]="","",UPPER(TEXT(LANÇ_MOV[[#This Row],[DATA DE LANÇAMENTO]],"MMMM")))</f>
        <v/>
      </c>
      <c r="AC963" s="525" t="str">
        <f>IF(LANÇ_MOV[[#This Row],[DATA DE LANÇAMENTO]]="","",PROPER(TEXT(LANÇ_MOV[[#This Row],[DATA DE LANÇAMENTO]],"M")))</f>
        <v/>
      </c>
      <c r="AD963" s="524" t="str">
        <f>IF(LANÇ_MOV[[#This Row],[DATA DE LANÇAMENTO]]="","",TEXT(LANÇ_MOV[[#This Row],[DATA DE LANÇAMENTO]],"D"))</f>
        <v/>
      </c>
      <c r="AE963" s="526" t="str">
        <f>IF(LANÇ_MOV[[#This Row],[DATA DE VENCIMENTO]]="","",TEXT(LANÇ_MOV[[#This Row],[DATA DE VENCIMENTO]],"AAAA"))</f>
        <v/>
      </c>
      <c r="AF963" s="526" t="str">
        <f>IF(LANÇ_MOV[[#This Row],[DATA DE VENCIMENTO]]="","",UPPER(TEXT(LANÇ_MOV[[#This Row],[DATA DE VENCIMENTO]],"MMMM")))</f>
        <v/>
      </c>
      <c r="AG963" s="526" t="str">
        <f>IF(LANÇ_MOV[[#This Row],[DATA DE VENCIMENTO]]="","",TEXT(LANÇ_MOV[[#This Row],[DATA DE VENCIMENTO]],"M"))</f>
        <v/>
      </c>
      <c r="AH963" s="526" t="str">
        <f>IF(LANÇ_MOV[[#This Row],[DATA DE VENCIMENTO]]="","",TEXT(LANÇ_MOV[[#This Row],[DATA DE VENCIMENTO]],"D"))</f>
        <v/>
      </c>
      <c r="AI963" s="526" t="str">
        <f>IF(LANÇ_MOV[[#This Row],[DATA DE PAGAMENTO]]="","",TEXT(LANÇ_MOV[[#This Row],[DATA DE PAGAMENTO]],"AAAA"))</f>
        <v/>
      </c>
      <c r="AJ963" s="527" t="str">
        <f>IF(LANÇ_MOV[[#This Row],[DATA DE PAGAMENTO]]="","",UPPER(TEXT(LANÇ_MOV[[#This Row],[DATA DE PAGAMENTO]],"MMMM")))</f>
        <v/>
      </c>
      <c r="AK963" s="527" t="str">
        <f>IF(LANÇ_MOV[[#This Row],[DATA DE PAGAMENTO]]="","",TEXT(LANÇ_MOV[[#This Row],[DATA DE PAGAMENTO]],"M"))</f>
        <v/>
      </c>
      <c r="AL963" s="526" t="str">
        <f>IF(LANÇ_MOV[[#This Row],[DATA DE PAGAMENTO]]="","",TEXT(LANÇ_MOV[[#This Row],[DATA DE PAGAMENTO]],"D"))</f>
        <v/>
      </c>
    </row>
    <row r="964" spans="2:38" ht="30.05" customHeight="1" x14ac:dyDescent="0.35">
      <c r="B964" s="506"/>
      <c r="C964" s="507"/>
      <c r="D964" s="508" t="s">
        <v>1854</v>
      </c>
      <c r="E964" s="509"/>
      <c r="F964" s="510"/>
      <c r="G964" s="507"/>
      <c r="H964" s="511"/>
      <c r="I964" s="512"/>
      <c r="J964" s="518"/>
      <c r="K964" s="510"/>
      <c r="L964" s="510"/>
      <c r="M964" s="548"/>
      <c r="N964" s="514">
        <f>LANÇ_MOV[[#This Row],[VALOR BRUTO]]-LANÇ_MOV[[#This Row],[DESCONTO]]+LANÇ_MOV[[#This Row],[JUROS]]+LANÇ_MOV[[#This Row],[MULTA]]</f>
        <v>0</v>
      </c>
      <c r="O964" s="546"/>
      <c r="P964" s="547" t="str">
        <f t="shared" ca="1" si="15"/>
        <v/>
      </c>
      <c r="Q964" s="528"/>
      <c r="R964" s="529"/>
      <c r="S964" s="518"/>
      <c r="T964" s="518"/>
      <c r="U964" s="519"/>
      <c r="V964" s="520" t="str">
        <f>IFERROR(VLOOKUP(LANÇ_MOV[[#This Row],[PLANO DE CONTAS]],Plano_Contas[[PLANO DE CONTAS]:[R / D]],3,0),"")</f>
        <v/>
      </c>
      <c r="W964" s="521" t="str">
        <f>IF(LANÇ_MOV[[#This Row],[DATA DE PAGAMENTO]]&lt;&gt;"","Pago","Não Pago")</f>
        <v>Não Pago</v>
      </c>
      <c r="X964" s="522" t="str">
        <f>IFERROR(IF(LANÇ_MOV[[#This Row],[DATA DE PAGAMENTO]]="","",(UPPER(TEXT(LANÇ_MOV[[#This Row],[DATA DE PAGAMENTO]],"mmmm")))),"")</f>
        <v/>
      </c>
      <c r="Y964" s="523" t="str">
        <f>IFERROR(VLOOKUP(LANÇ_MOV[[#This Row],[PLANO DE CONTAS]],Plano_Contas[[PLANO DE CONTAS]:[NOMES INTERVALOS]],2,0),"")</f>
        <v/>
      </c>
      <c r="Z964" s="523" t="str">
        <f>IF(LANÇ_MOV[[#This Row],[FORMA DE PAGAMENTO]]="","",VLOOKUP(LANÇ_MOV[[#This Row],[FORMA DE PAGAMENTO]],CAD_Forma_pagto[],2,0))</f>
        <v/>
      </c>
      <c r="AA964" s="524" t="str">
        <f>IF(LANÇ_MOV[[#This Row],[DATA DE LANÇAMENTO]]="","",TEXT(LANÇ_MOV[[#This Row],[DATA DE LANÇAMENTO]],"AAAA"))</f>
        <v/>
      </c>
      <c r="AB964" s="524" t="str">
        <f>IF(LANÇ_MOV[[#This Row],[DATA DE LANÇAMENTO]]="","",UPPER(TEXT(LANÇ_MOV[[#This Row],[DATA DE LANÇAMENTO]],"MMMM")))</f>
        <v/>
      </c>
      <c r="AC964" s="525" t="str">
        <f>IF(LANÇ_MOV[[#This Row],[DATA DE LANÇAMENTO]]="","",PROPER(TEXT(LANÇ_MOV[[#This Row],[DATA DE LANÇAMENTO]],"M")))</f>
        <v/>
      </c>
      <c r="AD964" s="524" t="str">
        <f>IF(LANÇ_MOV[[#This Row],[DATA DE LANÇAMENTO]]="","",TEXT(LANÇ_MOV[[#This Row],[DATA DE LANÇAMENTO]],"D"))</f>
        <v/>
      </c>
      <c r="AE964" s="526" t="str">
        <f>IF(LANÇ_MOV[[#This Row],[DATA DE VENCIMENTO]]="","",TEXT(LANÇ_MOV[[#This Row],[DATA DE VENCIMENTO]],"AAAA"))</f>
        <v/>
      </c>
      <c r="AF964" s="526" t="str">
        <f>IF(LANÇ_MOV[[#This Row],[DATA DE VENCIMENTO]]="","",UPPER(TEXT(LANÇ_MOV[[#This Row],[DATA DE VENCIMENTO]],"MMMM")))</f>
        <v/>
      </c>
      <c r="AG964" s="526" t="str">
        <f>IF(LANÇ_MOV[[#This Row],[DATA DE VENCIMENTO]]="","",TEXT(LANÇ_MOV[[#This Row],[DATA DE VENCIMENTO]],"M"))</f>
        <v/>
      </c>
      <c r="AH964" s="526" t="str">
        <f>IF(LANÇ_MOV[[#This Row],[DATA DE VENCIMENTO]]="","",TEXT(LANÇ_MOV[[#This Row],[DATA DE VENCIMENTO]],"D"))</f>
        <v/>
      </c>
      <c r="AI964" s="526" t="str">
        <f>IF(LANÇ_MOV[[#This Row],[DATA DE PAGAMENTO]]="","",TEXT(LANÇ_MOV[[#This Row],[DATA DE PAGAMENTO]],"AAAA"))</f>
        <v/>
      </c>
      <c r="AJ964" s="527" t="str">
        <f>IF(LANÇ_MOV[[#This Row],[DATA DE PAGAMENTO]]="","",UPPER(TEXT(LANÇ_MOV[[#This Row],[DATA DE PAGAMENTO]],"MMMM")))</f>
        <v/>
      </c>
      <c r="AK964" s="527" t="str">
        <f>IF(LANÇ_MOV[[#This Row],[DATA DE PAGAMENTO]]="","",TEXT(LANÇ_MOV[[#This Row],[DATA DE PAGAMENTO]],"M"))</f>
        <v/>
      </c>
      <c r="AL964" s="526" t="str">
        <f>IF(LANÇ_MOV[[#This Row],[DATA DE PAGAMENTO]]="","",TEXT(LANÇ_MOV[[#This Row],[DATA DE PAGAMENTO]],"D"))</f>
        <v/>
      </c>
    </row>
    <row r="965" spans="2:38" ht="30.05" customHeight="1" x14ac:dyDescent="0.35">
      <c r="B965" s="506"/>
      <c r="C965" s="507"/>
      <c r="D965" s="508" t="s">
        <v>1854</v>
      </c>
      <c r="E965" s="509"/>
      <c r="F965" s="510"/>
      <c r="G965" s="507"/>
      <c r="H965" s="511"/>
      <c r="I965" s="512"/>
      <c r="J965" s="518"/>
      <c r="K965" s="510"/>
      <c r="L965" s="510"/>
      <c r="M965" s="548"/>
      <c r="N965" s="514">
        <f>LANÇ_MOV[[#This Row],[VALOR BRUTO]]-LANÇ_MOV[[#This Row],[DESCONTO]]+LANÇ_MOV[[#This Row],[JUROS]]+LANÇ_MOV[[#This Row],[MULTA]]</f>
        <v>0</v>
      </c>
      <c r="O965" s="546"/>
      <c r="P965" s="547" t="str">
        <f t="shared" ca="1" si="15"/>
        <v/>
      </c>
      <c r="Q965" s="528"/>
      <c r="R965" s="529"/>
      <c r="S965" s="518"/>
      <c r="T965" s="518"/>
      <c r="U965" s="519"/>
      <c r="V965" s="520" t="str">
        <f>IFERROR(VLOOKUP(LANÇ_MOV[[#This Row],[PLANO DE CONTAS]],Plano_Contas[[PLANO DE CONTAS]:[R / D]],3,0),"")</f>
        <v/>
      </c>
      <c r="W965" s="521" t="str">
        <f>IF(LANÇ_MOV[[#This Row],[DATA DE PAGAMENTO]]&lt;&gt;"","Pago","Não Pago")</f>
        <v>Não Pago</v>
      </c>
      <c r="X965" s="522" t="str">
        <f>IFERROR(IF(LANÇ_MOV[[#This Row],[DATA DE PAGAMENTO]]="","",(UPPER(TEXT(LANÇ_MOV[[#This Row],[DATA DE PAGAMENTO]],"mmmm")))),"")</f>
        <v/>
      </c>
      <c r="Y965" s="523" t="str">
        <f>IFERROR(VLOOKUP(LANÇ_MOV[[#This Row],[PLANO DE CONTAS]],Plano_Contas[[PLANO DE CONTAS]:[NOMES INTERVALOS]],2,0),"")</f>
        <v/>
      </c>
      <c r="Z965" s="523" t="str">
        <f>IF(LANÇ_MOV[[#This Row],[FORMA DE PAGAMENTO]]="","",VLOOKUP(LANÇ_MOV[[#This Row],[FORMA DE PAGAMENTO]],CAD_Forma_pagto[],2,0))</f>
        <v/>
      </c>
      <c r="AA965" s="524" t="str">
        <f>IF(LANÇ_MOV[[#This Row],[DATA DE LANÇAMENTO]]="","",TEXT(LANÇ_MOV[[#This Row],[DATA DE LANÇAMENTO]],"AAAA"))</f>
        <v/>
      </c>
      <c r="AB965" s="524" t="str">
        <f>IF(LANÇ_MOV[[#This Row],[DATA DE LANÇAMENTO]]="","",UPPER(TEXT(LANÇ_MOV[[#This Row],[DATA DE LANÇAMENTO]],"MMMM")))</f>
        <v/>
      </c>
      <c r="AC965" s="525" t="str">
        <f>IF(LANÇ_MOV[[#This Row],[DATA DE LANÇAMENTO]]="","",PROPER(TEXT(LANÇ_MOV[[#This Row],[DATA DE LANÇAMENTO]],"M")))</f>
        <v/>
      </c>
      <c r="AD965" s="524" t="str">
        <f>IF(LANÇ_MOV[[#This Row],[DATA DE LANÇAMENTO]]="","",TEXT(LANÇ_MOV[[#This Row],[DATA DE LANÇAMENTO]],"D"))</f>
        <v/>
      </c>
      <c r="AE965" s="526" t="str">
        <f>IF(LANÇ_MOV[[#This Row],[DATA DE VENCIMENTO]]="","",TEXT(LANÇ_MOV[[#This Row],[DATA DE VENCIMENTO]],"AAAA"))</f>
        <v/>
      </c>
      <c r="AF965" s="526" t="str">
        <f>IF(LANÇ_MOV[[#This Row],[DATA DE VENCIMENTO]]="","",UPPER(TEXT(LANÇ_MOV[[#This Row],[DATA DE VENCIMENTO]],"MMMM")))</f>
        <v/>
      </c>
      <c r="AG965" s="526" t="str">
        <f>IF(LANÇ_MOV[[#This Row],[DATA DE VENCIMENTO]]="","",TEXT(LANÇ_MOV[[#This Row],[DATA DE VENCIMENTO]],"M"))</f>
        <v/>
      </c>
      <c r="AH965" s="526" t="str">
        <f>IF(LANÇ_MOV[[#This Row],[DATA DE VENCIMENTO]]="","",TEXT(LANÇ_MOV[[#This Row],[DATA DE VENCIMENTO]],"D"))</f>
        <v/>
      </c>
      <c r="AI965" s="526" t="str">
        <f>IF(LANÇ_MOV[[#This Row],[DATA DE PAGAMENTO]]="","",TEXT(LANÇ_MOV[[#This Row],[DATA DE PAGAMENTO]],"AAAA"))</f>
        <v/>
      </c>
      <c r="AJ965" s="527" t="str">
        <f>IF(LANÇ_MOV[[#This Row],[DATA DE PAGAMENTO]]="","",UPPER(TEXT(LANÇ_MOV[[#This Row],[DATA DE PAGAMENTO]],"MMMM")))</f>
        <v/>
      </c>
      <c r="AK965" s="527" t="str">
        <f>IF(LANÇ_MOV[[#This Row],[DATA DE PAGAMENTO]]="","",TEXT(LANÇ_MOV[[#This Row],[DATA DE PAGAMENTO]],"M"))</f>
        <v/>
      </c>
      <c r="AL965" s="526" t="str">
        <f>IF(LANÇ_MOV[[#This Row],[DATA DE PAGAMENTO]]="","",TEXT(LANÇ_MOV[[#This Row],[DATA DE PAGAMENTO]],"D"))</f>
        <v/>
      </c>
    </row>
    <row r="966" spans="2:38" ht="30.05" customHeight="1" x14ac:dyDescent="0.35">
      <c r="B966" s="506"/>
      <c r="C966" s="507"/>
      <c r="D966" s="508" t="s">
        <v>1854</v>
      </c>
      <c r="E966" s="509"/>
      <c r="F966" s="510"/>
      <c r="G966" s="507"/>
      <c r="H966" s="511"/>
      <c r="I966" s="512"/>
      <c r="J966" s="518"/>
      <c r="K966" s="510"/>
      <c r="L966" s="510"/>
      <c r="M966" s="548"/>
      <c r="N966" s="514">
        <f>LANÇ_MOV[[#This Row],[VALOR BRUTO]]-LANÇ_MOV[[#This Row],[DESCONTO]]+LANÇ_MOV[[#This Row],[JUROS]]+LANÇ_MOV[[#This Row],[MULTA]]</f>
        <v>0</v>
      </c>
      <c r="O966" s="546"/>
      <c r="P966" s="547" t="str">
        <f t="shared" ca="1" si="15"/>
        <v/>
      </c>
      <c r="Q966" s="528"/>
      <c r="R966" s="529"/>
      <c r="S966" s="518"/>
      <c r="T966" s="518"/>
      <c r="U966" s="519"/>
      <c r="V966" s="520" t="str">
        <f>IFERROR(VLOOKUP(LANÇ_MOV[[#This Row],[PLANO DE CONTAS]],Plano_Contas[[PLANO DE CONTAS]:[R / D]],3,0),"")</f>
        <v/>
      </c>
      <c r="W966" s="521" t="str">
        <f>IF(LANÇ_MOV[[#This Row],[DATA DE PAGAMENTO]]&lt;&gt;"","Pago","Não Pago")</f>
        <v>Não Pago</v>
      </c>
      <c r="X966" s="522" t="str">
        <f>IFERROR(IF(LANÇ_MOV[[#This Row],[DATA DE PAGAMENTO]]="","",(UPPER(TEXT(LANÇ_MOV[[#This Row],[DATA DE PAGAMENTO]],"mmmm")))),"")</f>
        <v/>
      </c>
      <c r="Y966" s="523" t="str">
        <f>IFERROR(VLOOKUP(LANÇ_MOV[[#This Row],[PLANO DE CONTAS]],Plano_Contas[[PLANO DE CONTAS]:[NOMES INTERVALOS]],2,0),"")</f>
        <v/>
      </c>
      <c r="Z966" s="523" t="str">
        <f>IF(LANÇ_MOV[[#This Row],[FORMA DE PAGAMENTO]]="","",VLOOKUP(LANÇ_MOV[[#This Row],[FORMA DE PAGAMENTO]],CAD_Forma_pagto[],2,0))</f>
        <v/>
      </c>
      <c r="AA966" s="524" t="str">
        <f>IF(LANÇ_MOV[[#This Row],[DATA DE LANÇAMENTO]]="","",TEXT(LANÇ_MOV[[#This Row],[DATA DE LANÇAMENTO]],"AAAA"))</f>
        <v/>
      </c>
      <c r="AB966" s="524" t="str">
        <f>IF(LANÇ_MOV[[#This Row],[DATA DE LANÇAMENTO]]="","",UPPER(TEXT(LANÇ_MOV[[#This Row],[DATA DE LANÇAMENTO]],"MMMM")))</f>
        <v/>
      </c>
      <c r="AC966" s="525" t="str">
        <f>IF(LANÇ_MOV[[#This Row],[DATA DE LANÇAMENTO]]="","",PROPER(TEXT(LANÇ_MOV[[#This Row],[DATA DE LANÇAMENTO]],"M")))</f>
        <v/>
      </c>
      <c r="AD966" s="524" t="str">
        <f>IF(LANÇ_MOV[[#This Row],[DATA DE LANÇAMENTO]]="","",TEXT(LANÇ_MOV[[#This Row],[DATA DE LANÇAMENTO]],"D"))</f>
        <v/>
      </c>
      <c r="AE966" s="526" t="str">
        <f>IF(LANÇ_MOV[[#This Row],[DATA DE VENCIMENTO]]="","",TEXT(LANÇ_MOV[[#This Row],[DATA DE VENCIMENTO]],"AAAA"))</f>
        <v/>
      </c>
      <c r="AF966" s="526" t="str">
        <f>IF(LANÇ_MOV[[#This Row],[DATA DE VENCIMENTO]]="","",UPPER(TEXT(LANÇ_MOV[[#This Row],[DATA DE VENCIMENTO]],"MMMM")))</f>
        <v/>
      </c>
      <c r="AG966" s="526" t="str">
        <f>IF(LANÇ_MOV[[#This Row],[DATA DE VENCIMENTO]]="","",TEXT(LANÇ_MOV[[#This Row],[DATA DE VENCIMENTO]],"M"))</f>
        <v/>
      </c>
      <c r="AH966" s="526" t="str">
        <f>IF(LANÇ_MOV[[#This Row],[DATA DE VENCIMENTO]]="","",TEXT(LANÇ_MOV[[#This Row],[DATA DE VENCIMENTO]],"D"))</f>
        <v/>
      </c>
      <c r="AI966" s="526" t="str">
        <f>IF(LANÇ_MOV[[#This Row],[DATA DE PAGAMENTO]]="","",TEXT(LANÇ_MOV[[#This Row],[DATA DE PAGAMENTO]],"AAAA"))</f>
        <v/>
      </c>
      <c r="AJ966" s="527" t="str">
        <f>IF(LANÇ_MOV[[#This Row],[DATA DE PAGAMENTO]]="","",UPPER(TEXT(LANÇ_MOV[[#This Row],[DATA DE PAGAMENTO]],"MMMM")))</f>
        <v/>
      </c>
      <c r="AK966" s="527" t="str">
        <f>IF(LANÇ_MOV[[#This Row],[DATA DE PAGAMENTO]]="","",TEXT(LANÇ_MOV[[#This Row],[DATA DE PAGAMENTO]],"M"))</f>
        <v/>
      </c>
      <c r="AL966" s="526" t="str">
        <f>IF(LANÇ_MOV[[#This Row],[DATA DE PAGAMENTO]]="","",TEXT(LANÇ_MOV[[#This Row],[DATA DE PAGAMENTO]],"D"))</f>
        <v/>
      </c>
    </row>
    <row r="967" spans="2:38" ht="30.05" customHeight="1" x14ac:dyDescent="0.35">
      <c r="B967" s="506"/>
      <c r="C967" s="507"/>
      <c r="D967" s="508" t="s">
        <v>1854</v>
      </c>
      <c r="E967" s="509"/>
      <c r="F967" s="510"/>
      <c r="G967" s="507"/>
      <c r="H967" s="511"/>
      <c r="I967" s="512"/>
      <c r="J967" s="518"/>
      <c r="K967" s="510"/>
      <c r="L967" s="510"/>
      <c r="M967" s="548"/>
      <c r="N967" s="514">
        <f>LANÇ_MOV[[#This Row],[VALOR BRUTO]]-LANÇ_MOV[[#This Row],[DESCONTO]]+LANÇ_MOV[[#This Row],[JUROS]]+LANÇ_MOV[[#This Row],[MULTA]]</f>
        <v>0</v>
      </c>
      <c r="O967" s="546"/>
      <c r="P967" s="547" t="str">
        <f t="shared" ca="1" si="15"/>
        <v/>
      </c>
      <c r="Q967" s="528"/>
      <c r="R967" s="529"/>
      <c r="S967" s="518"/>
      <c r="T967" s="518"/>
      <c r="U967" s="519"/>
      <c r="V967" s="520" t="str">
        <f>IFERROR(VLOOKUP(LANÇ_MOV[[#This Row],[PLANO DE CONTAS]],Plano_Contas[[PLANO DE CONTAS]:[R / D]],3,0),"")</f>
        <v/>
      </c>
      <c r="W967" s="521" t="str">
        <f>IF(LANÇ_MOV[[#This Row],[DATA DE PAGAMENTO]]&lt;&gt;"","Pago","Não Pago")</f>
        <v>Não Pago</v>
      </c>
      <c r="X967" s="522" t="str">
        <f>IFERROR(IF(LANÇ_MOV[[#This Row],[DATA DE PAGAMENTO]]="","",(UPPER(TEXT(LANÇ_MOV[[#This Row],[DATA DE PAGAMENTO]],"mmmm")))),"")</f>
        <v/>
      </c>
      <c r="Y967" s="523" t="str">
        <f>IFERROR(VLOOKUP(LANÇ_MOV[[#This Row],[PLANO DE CONTAS]],Plano_Contas[[PLANO DE CONTAS]:[NOMES INTERVALOS]],2,0),"")</f>
        <v/>
      </c>
      <c r="Z967" s="523" t="str">
        <f>IF(LANÇ_MOV[[#This Row],[FORMA DE PAGAMENTO]]="","",VLOOKUP(LANÇ_MOV[[#This Row],[FORMA DE PAGAMENTO]],CAD_Forma_pagto[],2,0))</f>
        <v/>
      </c>
      <c r="AA967" s="524" t="str">
        <f>IF(LANÇ_MOV[[#This Row],[DATA DE LANÇAMENTO]]="","",TEXT(LANÇ_MOV[[#This Row],[DATA DE LANÇAMENTO]],"AAAA"))</f>
        <v/>
      </c>
      <c r="AB967" s="524" t="str">
        <f>IF(LANÇ_MOV[[#This Row],[DATA DE LANÇAMENTO]]="","",UPPER(TEXT(LANÇ_MOV[[#This Row],[DATA DE LANÇAMENTO]],"MMMM")))</f>
        <v/>
      </c>
      <c r="AC967" s="525" t="str">
        <f>IF(LANÇ_MOV[[#This Row],[DATA DE LANÇAMENTO]]="","",PROPER(TEXT(LANÇ_MOV[[#This Row],[DATA DE LANÇAMENTO]],"M")))</f>
        <v/>
      </c>
      <c r="AD967" s="524" t="str">
        <f>IF(LANÇ_MOV[[#This Row],[DATA DE LANÇAMENTO]]="","",TEXT(LANÇ_MOV[[#This Row],[DATA DE LANÇAMENTO]],"D"))</f>
        <v/>
      </c>
      <c r="AE967" s="526" t="str">
        <f>IF(LANÇ_MOV[[#This Row],[DATA DE VENCIMENTO]]="","",TEXT(LANÇ_MOV[[#This Row],[DATA DE VENCIMENTO]],"AAAA"))</f>
        <v/>
      </c>
      <c r="AF967" s="526" t="str">
        <f>IF(LANÇ_MOV[[#This Row],[DATA DE VENCIMENTO]]="","",UPPER(TEXT(LANÇ_MOV[[#This Row],[DATA DE VENCIMENTO]],"MMMM")))</f>
        <v/>
      </c>
      <c r="AG967" s="526" t="str">
        <f>IF(LANÇ_MOV[[#This Row],[DATA DE VENCIMENTO]]="","",TEXT(LANÇ_MOV[[#This Row],[DATA DE VENCIMENTO]],"M"))</f>
        <v/>
      </c>
      <c r="AH967" s="526" t="str">
        <f>IF(LANÇ_MOV[[#This Row],[DATA DE VENCIMENTO]]="","",TEXT(LANÇ_MOV[[#This Row],[DATA DE VENCIMENTO]],"D"))</f>
        <v/>
      </c>
      <c r="AI967" s="526" t="str">
        <f>IF(LANÇ_MOV[[#This Row],[DATA DE PAGAMENTO]]="","",TEXT(LANÇ_MOV[[#This Row],[DATA DE PAGAMENTO]],"AAAA"))</f>
        <v/>
      </c>
      <c r="AJ967" s="527" t="str">
        <f>IF(LANÇ_MOV[[#This Row],[DATA DE PAGAMENTO]]="","",UPPER(TEXT(LANÇ_MOV[[#This Row],[DATA DE PAGAMENTO]],"MMMM")))</f>
        <v/>
      </c>
      <c r="AK967" s="527" t="str">
        <f>IF(LANÇ_MOV[[#This Row],[DATA DE PAGAMENTO]]="","",TEXT(LANÇ_MOV[[#This Row],[DATA DE PAGAMENTO]],"M"))</f>
        <v/>
      </c>
      <c r="AL967" s="526" t="str">
        <f>IF(LANÇ_MOV[[#This Row],[DATA DE PAGAMENTO]]="","",TEXT(LANÇ_MOV[[#This Row],[DATA DE PAGAMENTO]],"D"))</f>
        <v/>
      </c>
    </row>
    <row r="968" spans="2:38" ht="30.05" customHeight="1" x14ac:dyDescent="0.35">
      <c r="B968" s="506"/>
      <c r="C968" s="507"/>
      <c r="D968" s="508" t="s">
        <v>1854</v>
      </c>
      <c r="E968" s="509"/>
      <c r="F968" s="510"/>
      <c r="G968" s="507"/>
      <c r="H968" s="511"/>
      <c r="I968" s="512"/>
      <c r="J968" s="518"/>
      <c r="K968" s="510"/>
      <c r="L968" s="510"/>
      <c r="M968" s="548"/>
      <c r="N968" s="514">
        <f>LANÇ_MOV[[#This Row],[VALOR BRUTO]]-LANÇ_MOV[[#This Row],[DESCONTO]]+LANÇ_MOV[[#This Row],[JUROS]]+LANÇ_MOV[[#This Row],[MULTA]]</f>
        <v>0</v>
      </c>
      <c r="O968" s="546"/>
      <c r="P968" s="547" t="str">
        <f t="shared" ca="1" si="15"/>
        <v/>
      </c>
      <c r="Q968" s="528"/>
      <c r="R968" s="529"/>
      <c r="S968" s="518"/>
      <c r="T968" s="518"/>
      <c r="U968" s="519"/>
      <c r="V968" s="520" t="str">
        <f>IFERROR(VLOOKUP(LANÇ_MOV[[#This Row],[PLANO DE CONTAS]],Plano_Contas[[PLANO DE CONTAS]:[R / D]],3,0),"")</f>
        <v/>
      </c>
      <c r="W968" s="521" t="str">
        <f>IF(LANÇ_MOV[[#This Row],[DATA DE PAGAMENTO]]&lt;&gt;"","Pago","Não Pago")</f>
        <v>Não Pago</v>
      </c>
      <c r="X968" s="522" t="str">
        <f>IFERROR(IF(LANÇ_MOV[[#This Row],[DATA DE PAGAMENTO]]="","",(UPPER(TEXT(LANÇ_MOV[[#This Row],[DATA DE PAGAMENTO]],"mmmm")))),"")</f>
        <v/>
      </c>
      <c r="Y968" s="523" t="str">
        <f>IFERROR(VLOOKUP(LANÇ_MOV[[#This Row],[PLANO DE CONTAS]],Plano_Contas[[PLANO DE CONTAS]:[NOMES INTERVALOS]],2,0),"")</f>
        <v/>
      </c>
      <c r="Z968" s="523" t="str">
        <f>IF(LANÇ_MOV[[#This Row],[FORMA DE PAGAMENTO]]="","",VLOOKUP(LANÇ_MOV[[#This Row],[FORMA DE PAGAMENTO]],CAD_Forma_pagto[],2,0))</f>
        <v/>
      </c>
      <c r="AA968" s="524" t="str">
        <f>IF(LANÇ_MOV[[#This Row],[DATA DE LANÇAMENTO]]="","",TEXT(LANÇ_MOV[[#This Row],[DATA DE LANÇAMENTO]],"AAAA"))</f>
        <v/>
      </c>
      <c r="AB968" s="524" t="str">
        <f>IF(LANÇ_MOV[[#This Row],[DATA DE LANÇAMENTO]]="","",UPPER(TEXT(LANÇ_MOV[[#This Row],[DATA DE LANÇAMENTO]],"MMMM")))</f>
        <v/>
      </c>
      <c r="AC968" s="525" t="str">
        <f>IF(LANÇ_MOV[[#This Row],[DATA DE LANÇAMENTO]]="","",PROPER(TEXT(LANÇ_MOV[[#This Row],[DATA DE LANÇAMENTO]],"M")))</f>
        <v/>
      </c>
      <c r="AD968" s="524" t="str">
        <f>IF(LANÇ_MOV[[#This Row],[DATA DE LANÇAMENTO]]="","",TEXT(LANÇ_MOV[[#This Row],[DATA DE LANÇAMENTO]],"D"))</f>
        <v/>
      </c>
      <c r="AE968" s="526" t="str">
        <f>IF(LANÇ_MOV[[#This Row],[DATA DE VENCIMENTO]]="","",TEXT(LANÇ_MOV[[#This Row],[DATA DE VENCIMENTO]],"AAAA"))</f>
        <v/>
      </c>
      <c r="AF968" s="526" t="str">
        <f>IF(LANÇ_MOV[[#This Row],[DATA DE VENCIMENTO]]="","",UPPER(TEXT(LANÇ_MOV[[#This Row],[DATA DE VENCIMENTO]],"MMMM")))</f>
        <v/>
      </c>
      <c r="AG968" s="526" t="str">
        <f>IF(LANÇ_MOV[[#This Row],[DATA DE VENCIMENTO]]="","",TEXT(LANÇ_MOV[[#This Row],[DATA DE VENCIMENTO]],"M"))</f>
        <v/>
      </c>
      <c r="AH968" s="526" t="str">
        <f>IF(LANÇ_MOV[[#This Row],[DATA DE VENCIMENTO]]="","",TEXT(LANÇ_MOV[[#This Row],[DATA DE VENCIMENTO]],"D"))</f>
        <v/>
      </c>
      <c r="AI968" s="526" t="str">
        <f>IF(LANÇ_MOV[[#This Row],[DATA DE PAGAMENTO]]="","",TEXT(LANÇ_MOV[[#This Row],[DATA DE PAGAMENTO]],"AAAA"))</f>
        <v/>
      </c>
      <c r="AJ968" s="527" t="str">
        <f>IF(LANÇ_MOV[[#This Row],[DATA DE PAGAMENTO]]="","",UPPER(TEXT(LANÇ_MOV[[#This Row],[DATA DE PAGAMENTO]],"MMMM")))</f>
        <v/>
      </c>
      <c r="AK968" s="527" t="str">
        <f>IF(LANÇ_MOV[[#This Row],[DATA DE PAGAMENTO]]="","",TEXT(LANÇ_MOV[[#This Row],[DATA DE PAGAMENTO]],"M"))</f>
        <v/>
      </c>
      <c r="AL968" s="526" t="str">
        <f>IF(LANÇ_MOV[[#This Row],[DATA DE PAGAMENTO]]="","",TEXT(LANÇ_MOV[[#This Row],[DATA DE PAGAMENTO]],"D"))</f>
        <v/>
      </c>
    </row>
    <row r="969" spans="2:38" ht="30.05" customHeight="1" x14ac:dyDescent="0.35">
      <c r="B969" s="506"/>
      <c r="C969" s="507"/>
      <c r="D969" s="508" t="s">
        <v>1854</v>
      </c>
      <c r="E969" s="509"/>
      <c r="F969" s="510"/>
      <c r="G969" s="507"/>
      <c r="H969" s="511"/>
      <c r="I969" s="512"/>
      <c r="J969" s="518"/>
      <c r="K969" s="510"/>
      <c r="L969" s="510"/>
      <c r="M969" s="548"/>
      <c r="N969" s="514">
        <f>LANÇ_MOV[[#This Row],[VALOR BRUTO]]-LANÇ_MOV[[#This Row],[DESCONTO]]+LANÇ_MOV[[#This Row],[JUROS]]+LANÇ_MOV[[#This Row],[MULTA]]</f>
        <v>0</v>
      </c>
      <c r="O969" s="546"/>
      <c r="P969" s="547" t="str">
        <f t="shared" ca="1" si="15"/>
        <v/>
      </c>
      <c r="Q969" s="528"/>
      <c r="R969" s="529"/>
      <c r="S969" s="518"/>
      <c r="T969" s="518"/>
      <c r="U969" s="519"/>
      <c r="V969" s="520" t="str">
        <f>IFERROR(VLOOKUP(LANÇ_MOV[[#This Row],[PLANO DE CONTAS]],Plano_Contas[[PLANO DE CONTAS]:[R / D]],3,0),"")</f>
        <v/>
      </c>
      <c r="W969" s="521" t="str">
        <f>IF(LANÇ_MOV[[#This Row],[DATA DE PAGAMENTO]]&lt;&gt;"","Pago","Não Pago")</f>
        <v>Não Pago</v>
      </c>
      <c r="X969" s="522" t="str">
        <f>IFERROR(IF(LANÇ_MOV[[#This Row],[DATA DE PAGAMENTO]]="","",(UPPER(TEXT(LANÇ_MOV[[#This Row],[DATA DE PAGAMENTO]],"mmmm")))),"")</f>
        <v/>
      </c>
      <c r="Y969" s="523" t="str">
        <f>IFERROR(VLOOKUP(LANÇ_MOV[[#This Row],[PLANO DE CONTAS]],Plano_Contas[[PLANO DE CONTAS]:[NOMES INTERVALOS]],2,0),"")</f>
        <v/>
      </c>
      <c r="Z969" s="523" t="str">
        <f>IF(LANÇ_MOV[[#This Row],[FORMA DE PAGAMENTO]]="","",VLOOKUP(LANÇ_MOV[[#This Row],[FORMA DE PAGAMENTO]],CAD_Forma_pagto[],2,0))</f>
        <v/>
      </c>
      <c r="AA969" s="524" t="str">
        <f>IF(LANÇ_MOV[[#This Row],[DATA DE LANÇAMENTO]]="","",TEXT(LANÇ_MOV[[#This Row],[DATA DE LANÇAMENTO]],"AAAA"))</f>
        <v/>
      </c>
      <c r="AB969" s="524" t="str">
        <f>IF(LANÇ_MOV[[#This Row],[DATA DE LANÇAMENTO]]="","",UPPER(TEXT(LANÇ_MOV[[#This Row],[DATA DE LANÇAMENTO]],"MMMM")))</f>
        <v/>
      </c>
      <c r="AC969" s="525" t="str">
        <f>IF(LANÇ_MOV[[#This Row],[DATA DE LANÇAMENTO]]="","",PROPER(TEXT(LANÇ_MOV[[#This Row],[DATA DE LANÇAMENTO]],"M")))</f>
        <v/>
      </c>
      <c r="AD969" s="524" t="str">
        <f>IF(LANÇ_MOV[[#This Row],[DATA DE LANÇAMENTO]]="","",TEXT(LANÇ_MOV[[#This Row],[DATA DE LANÇAMENTO]],"D"))</f>
        <v/>
      </c>
      <c r="AE969" s="526" t="str">
        <f>IF(LANÇ_MOV[[#This Row],[DATA DE VENCIMENTO]]="","",TEXT(LANÇ_MOV[[#This Row],[DATA DE VENCIMENTO]],"AAAA"))</f>
        <v/>
      </c>
      <c r="AF969" s="526" t="str">
        <f>IF(LANÇ_MOV[[#This Row],[DATA DE VENCIMENTO]]="","",UPPER(TEXT(LANÇ_MOV[[#This Row],[DATA DE VENCIMENTO]],"MMMM")))</f>
        <v/>
      </c>
      <c r="AG969" s="526" t="str">
        <f>IF(LANÇ_MOV[[#This Row],[DATA DE VENCIMENTO]]="","",TEXT(LANÇ_MOV[[#This Row],[DATA DE VENCIMENTO]],"M"))</f>
        <v/>
      </c>
      <c r="AH969" s="526" t="str">
        <f>IF(LANÇ_MOV[[#This Row],[DATA DE VENCIMENTO]]="","",TEXT(LANÇ_MOV[[#This Row],[DATA DE VENCIMENTO]],"D"))</f>
        <v/>
      </c>
      <c r="AI969" s="526" t="str">
        <f>IF(LANÇ_MOV[[#This Row],[DATA DE PAGAMENTO]]="","",TEXT(LANÇ_MOV[[#This Row],[DATA DE PAGAMENTO]],"AAAA"))</f>
        <v/>
      </c>
      <c r="AJ969" s="527" t="str">
        <f>IF(LANÇ_MOV[[#This Row],[DATA DE PAGAMENTO]]="","",UPPER(TEXT(LANÇ_MOV[[#This Row],[DATA DE PAGAMENTO]],"MMMM")))</f>
        <v/>
      </c>
      <c r="AK969" s="527" t="str">
        <f>IF(LANÇ_MOV[[#This Row],[DATA DE PAGAMENTO]]="","",TEXT(LANÇ_MOV[[#This Row],[DATA DE PAGAMENTO]],"M"))</f>
        <v/>
      </c>
      <c r="AL969" s="526" t="str">
        <f>IF(LANÇ_MOV[[#This Row],[DATA DE PAGAMENTO]]="","",TEXT(LANÇ_MOV[[#This Row],[DATA DE PAGAMENTO]],"D"))</f>
        <v/>
      </c>
    </row>
    <row r="970" spans="2:38" ht="30.05" customHeight="1" x14ac:dyDescent="0.35">
      <c r="B970" s="506"/>
      <c r="C970" s="507"/>
      <c r="D970" s="508" t="s">
        <v>1854</v>
      </c>
      <c r="E970" s="509"/>
      <c r="F970" s="510"/>
      <c r="G970" s="507"/>
      <c r="H970" s="511"/>
      <c r="I970" s="512"/>
      <c r="J970" s="518"/>
      <c r="K970" s="510"/>
      <c r="L970" s="510"/>
      <c r="M970" s="548"/>
      <c r="N970" s="514">
        <f>LANÇ_MOV[[#This Row],[VALOR BRUTO]]-LANÇ_MOV[[#This Row],[DESCONTO]]+LANÇ_MOV[[#This Row],[JUROS]]+LANÇ_MOV[[#This Row],[MULTA]]</f>
        <v>0</v>
      </c>
      <c r="O970" s="546"/>
      <c r="P970" s="547" t="str">
        <f t="shared" ca="1" si="15"/>
        <v/>
      </c>
      <c r="Q970" s="528"/>
      <c r="R970" s="529"/>
      <c r="S970" s="518"/>
      <c r="T970" s="518"/>
      <c r="U970" s="519"/>
      <c r="V970" s="520" t="str">
        <f>IFERROR(VLOOKUP(LANÇ_MOV[[#This Row],[PLANO DE CONTAS]],Plano_Contas[[PLANO DE CONTAS]:[R / D]],3,0),"")</f>
        <v/>
      </c>
      <c r="W970" s="521" t="str">
        <f>IF(LANÇ_MOV[[#This Row],[DATA DE PAGAMENTO]]&lt;&gt;"","Pago","Não Pago")</f>
        <v>Não Pago</v>
      </c>
      <c r="X970" s="522" t="str">
        <f>IFERROR(IF(LANÇ_MOV[[#This Row],[DATA DE PAGAMENTO]]="","",(UPPER(TEXT(LANÇ_MOV[[#This Row],[DATA DE PAGAMENTO]],"mmmm")))),"")</f>
        <v/>
      </c>
      <c r="Y970" s="523" t="str">
        <f>IFERROR(VLOOKUP(LANÇ_MOV[[#This Row],[PLANO DE CONTAS]],Plano_Contas[[PLANO DE CONTAS]:[NOMES INTERVALOS]],2,0),"")</f>
        <v/>
      </c>
      <c r="Z970" s="523" t="str">
        <f>IF(LANÇ_MOV[[#This Row],[FORMA DE PAGAMENTO]]="","",VLOOKUP(LANÇ_MOV[[#This Row],[FORMA DE PAGAMENTO]],CAD_Forma_pagto[],2,0))</f>
        <v/>
      </c>
      <c r="AA970" s="524" t="str">
        <f>IF(LANÇ_MOV[[#This Row],[DATA DE LANÇAMENTO]]="","",TEXT(LANÇ_MOV[[#This Row],[DATA DE LANÇAMENTO]],"AAAA"))</f>
        <v/>
      </c>
      <c r="AB970" s="524" t="str">
        <f>IF(LANÇ_MOV[[#This Row],[DATA DE LANÇAMENTO]]="","",UPPER(TEXT(LANÇ_MOV[[#This Row],[DATA DE LANÇAMENTO]],"MMMM")))</f>
        <v/>
      </c>
      <c r="AC970" s="525" t="str">
        <f>IF(LANÇ_MOV[[#This Row],[DATA DE LANÇAMENTO]]="","",PROPER(TEXT(LANÇ_MOV[[#This Row],[DATA DE LANÇAMENTO]],"M")))</f>
        <v/>
      </c>
      <c r="AD970" s="524" t="str">
        <f>IF(LANÇ_MOV[[#This Row],[DATA DE LANÇAMENTO]]="","",TEXT(LANÇ_MOV[[#This Row],[DATA DE LANÇAMENTO]],"D"))</f>
        <v/>
      </c>
      <c r="AE970" s="526" t="str">
        <f>IF(LANÇ_MOV[[#This Row],[DATA DE VENCIMENTO]]="","",TEXT(LANÇ_MOV[[#This Row],[DATA DE VENCIMENTO]],"AAAA"))</f>
        <v/>
      </c>
      <c r="AF970" s="526" t="str">
        <f>IF(LANÇ_MOV[[#This Row],[DATA DE VENCIMENTO]]="","",UPPER(TEXT(LANÇ_MOV[[#This Row],[DATA DE VENCIMENTO]],"MMMM")))</f>
        <v/>
      </c>
      <c r="AG970" s="526" t="str">
        <f>IF(LANÇ_MOV[[#This Row],[DATA DE VENCIMENTO]]="","",TEXT(LANÇ_MOV[[#This Row],[DATA DE VENCIMENTO]],"M"))</f>
        <v/>
      </c>
      <c r="AH970" s="526" t="str">
        <f>IF(LANÇ_MOV[[#This Row],[DATA DE VENCIMENTO]]="","",TEXT(LANÇ_MOV[[#This Row],[DATA DE VENCIMENTO]],"D"))</f>
        <v/>
      </c>
      <c r="AI970" s="526" t="str">
        <f>IF(LANÇ_MOV[[#This Row],[DATA DE PAGAMENTO]]="","",TEXT(LANÇ_MOV[[#This Row],[DATA DE PAGAMENTO]],"AAAA"))</f>
        <v/>
      </c>
      <c r="AJ970" s="527" t="str">
        <f>IF(LANÇ_MOV[[#This Row],[DATA DE PAGAMENTO]]="","",UPPER(TEXT(LANÇ_MOV[[#This Row],[DATA DE PAGAMENTO]],"MMMM")))</f>
        <v/>
      </c>
      <c r="AK970" s="527" t="str">
        <f>IF(LANÇ_MOV[[#This Row],[DATA DE PAGAMENTO]]="","",TEXT(LANÇ_MOV[[#This Row],[DATA DE PAGAMENTO]],"M"))</f>
        <v/>
      </c>
      <c r="AL970" s="526" t="str">
        <f>IF(LANÇ_MOV[[#This Row],[DATA DE PAGAMENTO]]="","",TEXT(LANÇ_MOV[[#This Row],[DATA DE PAGAMENTO]],"D"))</f>
        <v/>
      </c>
    </row>
    <row r="971" spans="2:38" ht="30.05" customHeight="1" x14ac:dyDescent="0.35">
      <c r="B971" s="506"/>
      <c r="C971" s="507"/>
      <c r="D971" s="508" t="s">
        <v>1854</v>
      </c>
      <c r="E971" s="509"/>
      <c r="F971" s="510"/>
      <c r="G971" s="507"/>
      <c r="H971" s="511"/>
      <c r="I971" s="512"/>
      <c r="J971" s="518"/>
      <c r="K971" s="510"/>
      <c r="L971" s="510"/>
      <c r="M971" s="548"/>
      <c r="N971" s="514">
        <f>LANÇ_MOV[[#This Row],[VALOR BRUTO]]-LANÇ_MOV[[#This Row],[DESCONTO]]+LANÇ_MOV[[#This Row],[JUROS]]+LANÇ_MOV[[#This Row],[MULTA]]</f>
        <v>0</v>
      </c>
      <c r="O971" s="546"/>
      <c r="P971" s="547" t="str">
        <f t="shared" ca="1" si="15"/>
        <v/>
      </c>
      <c r="Q971" s="528"/>
      <c r="R971" s="529"/>
      <c r="S971" s="518"/>
      <c r="T971" s="518"/>
      <c r="U971" s="519"/>
      <c r="V971" s="520" t="str">
        <f>IFERROR(VLOOKUP(LANÇ_MOV[[#This Row],[PLANO DE CONTAS]],Plano_Contas[[PLANO DE CONTAS]:[R / D]],3,0),"")</f>
        <v/>
      </c>
      <c r="W971" s="521" t="str">
        <f>IF(LANÇ_MOV[[#This Row],[DATA DE PAGAMENTO]]&lt;&gt;"","Pago","Não Pago")</f>
        <v>Não Pago</v>
      </c>
      <c r="X971" s="522" t="str">
        <f>IFERROR(IF(LANÇ_MOV[[#This Row],[DATA DE PAGAMENTO]]="","",(UPPER(TEXT(LANÇ_MOV[[#This Row],[DATA DE PAGAMENTO]],"mmmm")))),"")</f>
        <v/>
      </c>
      <c r="Y971" s="523" t="str">
        <f>IFERROR(VLOOKUP(LANÇ_MOV[[#This Row],[PLANO DE CONTAS]],Plano_Contas[[PLANO DE CONTAS]:[NOMES INTERVALOS]],2,0),"")</f>
        <v/>
      </c>
      <c r="Z971" s="523" t="str">
        <f>IF(LANÇ_MOV[[#This Row],[FORMA DE PAGAMENTO]]="","",VLOOKUP(LANÇ_MOV[[#This Row],[FORMA DE PAGAMENTO]],CAD_Forma_pagto[],2,0))</f>
        <v/>
      </c>
      <c r="AA971" s="524" t="str">
        <f>IF(LANÇ_MOV[[#This Row],[DATA DE LANÇAMENTO]]="","",TEXT(LANÇ_MOV[[#This Row],[DATA DE LANÇAMENTO]],"AAAA"))</f>
        <v/>
      </c>
      <c r="AB971" s="524" t="str">
        <f>IF(LANÇ_MOV[[#This Row],[DATA DE LANÇAMENTO]]="","",UPPER(TEXT(LANÇ_MOV[[#This Row],[DATA DE LANÇAMENTO]],"MMMM")))</f>
        <v/>
      </c>
      <c r="AC971" s="525" t="str">
        <f>IF(LANÇ_MOV[[#This Row],[DATA DE LANÇAMENTO]]="","",PROPER(TEXT(LANÇ_MOV[[#This Row],[DATA DE LANÇAMENTO]],"M")))</f>
        <v/>
      </c>
      <c r="AD971" s="524" t="str">
        <f>IF(LANÇ_MOV[[#This Row],[DATA DE LANÇAMENTO]]="","",TEXT(LANÇ_MOV[[#This Row],[DATA DE LANÇAMENTO]],"D"))</f>
        <v/>
      </c>
      <c r="AE971" s="526" t="str">
        <f>IF(LANÇ_MOV[[#This Row],[DATA DE VENCIMENTO]]="","",TEXT(LANÇ_MOV[[#This Row],[DATA DE VENCIMENTO]],"AAAA"))</f>
        <v/>
      </c>
      <c r="AF971" s="526" t="str">
        <f>IF(LANÇ_MOV[[#This Row],[DATA DE VENCIMENTO]]="","",UPPER(TEXT(LANÇ_MOV[[#This Row],[DATA DE VENCIMENTO]],"MMMM")))</f>
        <v/>
      </c>
      <c r="AG971" s="526" t="str">
        <f>IF(LANÇ_MOV[[#This Row],[DATA DE VENCIMENTO]]="","",TEXT(LANÇ_MOV[[#This Row],[DATA DE VENCIMENTO]],"M"))</f>
        <v/>
      </c>
      <c r="AH971" s="526" t="str">
        <f>IF(LANÇ_MOV[[#This Row],[DATA DE VENCIMENTO]]="","",TEXT(LANÇ_MOV[[#This Row],[DATA DE VENCIMENTO]],"D"))</f>
        <v/>
      </c>
      <c r="AI971" s="526" t="str">
        <f>IF(LANÇ_MOV[[#This Row],[DATA DE PAGAMENTO]]="","",TEXT(LANÇ_MOV[[#This Row],[DATA DE PAGAMENTO]],"AAAA"))</f>
        <v/>
      </c>
      <c r="AJ971" s="527" t="str">
        <f>IF(LANÇ_MOV[[#This Row],[DATA DE PAGAMENTO]]="","",UPPER(TEXT(LANÇ_MOV[[#This Row],[DATA DE PAGAMENTO]],"MMMM")))</f>
        <v/>
      </c>
      <c r="AK971" s="527" t="str">
        <f>IF(LANÇ_MOV[[#This Row],[DATA DE PAGAMENTO]]="","",TEXT(LANÇ_MOV[[#This Row],[DATA DE PAGAMENTO]],"M"))</f>
        <v/>
      </c>
      <c r="AL971" s="526" t="str">
        <f>IF(LANÇ_MOV[[#This Row],[DATA DE PAGAMENTO]]="","",TEXT(LANÇ_MOV[[#This Row],[DATA DE PAGAMENTO]],"D"))</f>
        <v/>
      </c>
    </row>
    <row r="972" spans="2:38" ht="30.05" customHeight="1" x14ac:dyDescent="0.35">
      <c r="B972" s="506"/>
      <c r="C972" s="507"/>
      <c r="D972" s="508" t="s">
        <v>1854</v>
      </c>
      <c r="E972" s="509"/>
      <c r="F972" s="510"/>
      <c r="G972" s="507"/>
      <c r="H972" s="511"/>
      <c r="I972" s="512"/>
      <c r="J972" s="518"/>
      <c r="K972" s="510"/>
      <c r="L972" s="510"/>
      <c r="M972" s="548"/>
      <c r="N972" s="514">
        <f>LANÇ_MOV[[#This Row],[VALOR BRUTO]]-LANÇ_MOV[[#This Row],[DESCONTO]]+LANÇ_MOV[[#This Row],[JUROS]]+LANÇ_MOV[[#This Row],[MULTA]]</f>
        <v>0</v>
      </c>
      <c r="O972" s="546"/>
      <c r="P972" s="547" t="str">
        <f t="shared" ca="1" si="15"/>
        <v/>
      </c>
      <c r="Q972" s="528"/>
      <c r="R972" s="529"/>
      <c r="S972" s="518"/>
      <c r="T972" s="518"/>
      <c r="U972" s="519"/>
      <c r="V972" s="520" t="str">
        <f>IFERROR(VLOOKUP(LANÇ_MOV[[#This Row],[PLANO DE CONTAS]],Plano_Contas[[PLANO DE CONTAS]:[R / D]],3,0),"")</f>
        <v/>
      </c>
      <c r="W972" s="521" t="str">
        <f>IF(LANÇ_MOV[[#This Row],[DATA DE PAGAMENTO]]&lt;&gt;"","Pago","Não Pago")</f>
        <v>Não Pago</v>
      </c>
      <c r="X972" s="522" t="str">
        <f>IFERROR(IF(LANÇ_MOV[[#This Row],[DATA DE PAGAMENTO]]="","",(UPPER(TEXT(LANÇ_MOV[[#This Row],[DATA DE PAGAMENTO]],"mmmm")))),"")</f>
        <v/>
      </c>
      <c r="Y972" s="523" t="str">
        <f>IFERROR(VLOOKUP(LANÇ_MOV[[#This Row],[PLANO DE CONTAS]],Plano_Contas[[PLANO DE CONTAS]:[NOMES INTERVALOS]],2,0),"")</f>
        <v/>
      </c>
      <c r="Z972" s="523" t="str">
        <f>IF(LANÇ_MOV[[#This Row],[FORMA DE PAGAMENTO]]="","",VLOOKUP(LANÇ_MOV[[#This Row],[FORMA DE PAGAMENTO]],CAD_Forma_pagto[],2,0))</f>
        <v/>
      </c>
      <c r="AA972" s="524" t="str">
        <f>IF(LANÇ_MOV[[#This Row],[DATA DE LANÇAMENTO]]="","",TEXT(LANÇ_MOV[[#This Row],[DATA DE LANÇAMENTO]],"AAAA"))</f>
        <v/>
      </c>
      <c r="AB972" s="524" t="str">
        <f>IF(LANÇ_MOV[[#This Row],[DATA DE LANÇAMENTO]]="","",UPPER(TEXT(LANÇ_MOV[[#This Row],[DATA DE LANÇAMENTO]],"MMMM")))</f>
        <v/>
      </c>
      <c r="AC972" s="525" t="str">
        <f>IF(LANÇ_MOV[[#This Row],[DATA DE LANÇAMENTO]]="","",PROPER(TEXT(LANÇ_MOV[[#This Row],[DATA DE LANÇAMENTO]],"M")))</f>
        <v/>
      </c>
      <c r="AD972" s="524" t="str">
        <f>IF(LANÇ_MOV[[#This Row],[DATA DE LANÇAMENTO]]="","",TEXT(LANÇ_MOV[[#This Row],[DATA DE LANÇAMENTO]],"D"))</f>
        <v/>
      </c>
      <c r="AE972" s="526" t="str">
        <f>IF(LANÇ_MOV[[#This Row],[DATA DE VENCIMENTO]]="","",TEXT(LANÇ_MOV[[#This Row],[DATA DE VENCIMENTO]],"AAAA"))</f>
        <v/>
      </c>
      <c r="AF972" s="526" t="str">
        <f>IF(LANÇ_MOV[[#This Row],[DATA DE VENCIMENTO]]="","",UPPER(TEXT(LANÇ_MOV[[#This Row],[DATA DE VENCIMENTO]],"MMMM")))</f>
        <v/>
      </c>
      <c r="AG972" s="526" t="str">
        <f>IF(LANÇ_MOV[[#This Row],[DATA DE VENCIMENTO]]="","",TEXT(LANÇ_MOV[[#This Row],[DATA DE VENCIMENTO]],"M"))</f>
        <v/>
      </c>
      <c r="AH972" s="526" t="str">
        <f>IF(LANÇ_MOV[[#This Row],[DATA DE VENCIMENTO]]="","",TEXT(LANÇ_MOV[[#This Row],[DATA DE VENCIMENTO]],"D"))</f>
        <v/>
      </c>
      <c r="AI972" s="526" t="str">
        <f>IF(LANÇ_MOV[[#This Row],[DATA DE PAGAMENTO]]="","",TEXT(LANÇ_MOV[[#This Row],[DATA DE PAGAMENTO]],"AAAA"))</f>
        <v/>
      </c>
      <c r="AJ972" s="527" t="str">
        <f>IF(LANÇ_MOV[[#This Row],[DATA DE PAGAMENTO]]="","",UPPER(TEXT(LANÇ_MOV[[#This Row],[DATA DE PAGAMENTO]],"MMMM")))</f>
        <v/>
      </c>
      <c r="AK972" s="527" t="str">
        <f>IF(LANÇ_MOV[[#This Row],[DATA DE PAGAMENTO]]="","",TEXT(LANÇ_MOV[[#This Row],[DATA DE PAGAMENTO]],"M"))</f>
        <v/>
      </c>
      <c r="AL972" s="526" t="str">
        <f>IF(LANÇ_MOV[[#This Row],[DATA DE PAGAMENTO]]="","",TEXT(LANÇ_MOV[[#This Row],[DATA DE PAGAMENTO]],"D"))</f>
        <v/>
      </c>
    </row>
    <row r="973" spans="2:38" ht="30.05" customHeight="1" x14ac:dyDescent="0.35">
      <c r="B973" s="506"/>
      <c r="C973" s="507"/>
      <c r="D973" s="508" t="s">
        <v>1854</v>
      </c>
      <c r="E973" s="509"/>
      <c r="F973" s="510"/>
      <c r="G973" s="507"/>
      <c r="H973" s="511"/>
      <c r="I973" s="512"/>
      <c r="J973" s="518"/>
      <c r="K973" s="510"/>
      <c r="L973" s="510"/>
      <c r="M973" s="548"/>
      <c r="N973" s="514">
        <f>LANÇ_MOV[[#This Row],[VALOR BRUTO]]-LANÇ_MOV[[#This Row],[DESCONTO]]+LANÇ_MOV[[#This Row],[JUROS]]+LANÇ_MOV[[#This Row],[MULTA]]</f>
        <v>0</v>
      </c>
      <c r="O973" s="546"/>
      <c r="P973" s="547" t="str">
        <f t="shared" ca="1" si="15"/>
        <v/>
      </c>
      <c r="Q973" s="528"/>
      <c r="R973" s="529"/>
      <c r="S973" s="518"/>
      <c r="T973" s="518"/>
      <c r="U973" s="519"/>
      <c r="V973" s="520" t="str">
        <f>IFERROR(VLOOKUP(LANÇ_MOV[[#This Row],[PLANO DE CONTAS]],Plano_Contas[[PLANO DE CONTAS]:[R / D]],3,0),"")</f>
        <v/>
      </c>
      <c r="W973" s="521" t="str">
        <f>IF(LANÇ_MOV[[#This Row],[DATA DE PAGAMENTO]]&lt;&gt;"","Pago","Não Pago")</f>
        <v>Não Pago</v>
      </c>
      <c r="X973" s="522" t="str">
        <f>IFERROR(IF(LANÇ_MOV[[#This Row],[DATA DE PAGAMENTO]]="","",(UPPER(TEXT(LANÇ_MOV[[#This Row],[DATA DE PAGAMENTO]],"mmmm")))),"")</f>
        <v/>
      </c>
      <c r="Y973" s="523" t="str">
        <f>IFERROR(VLOOKUP(LANÇ_MOV[[#This Row],[PLANO DE CONTAS]],Plano_Contas[[PLANO DE CONTAS]:[NOMES INTERVALOS]],2,0),"")</f>
        <v/>
      </c>
      <c r="Z973" s="523" t="str">
        <f>IF(LANÇ_MOV[[#This Row],[FORMA DE PAGAMENTO]]="","",VLOOKUP(LANÇ_MOV[[#This Row],[FORMA DE PAGAMENTO]],CAD_Forma_pagto[],2,0))</f>
        <v/>
      </c>
      <c r="AA973" s="524" t="str">
        <f>IF(LANÇ_MOV[[#This Row],[DATA DE LANÇAMENTO]]="","",TEXT(LANÇ_MOV[[#This Row],[DATA DE LANÇAMENTO]],"AAAA"))</f>
        <v/>
      </c>
      <c r="AB973" s="524" t="str">
        <f>IF(LANÇ_MOV[[#This Row],[DATA DE LANÇAMENTO]]="","",UPPER(TEXT(LANÇ_MOV[[#This Row],[DATA DE LANÇAMENTO]],"MMMM")))</f>
        <v/>
      </c>
      <c r="AC973" s="525" t="str">
        <f>IF(LANÇ_MOV[[#This Row],[DATA DE LANÇAMENTO]]="","",PROPER(TEXT(LANÇ_MOV[[#This Row],[DATA DE LANÇAMENTO]],"M")))</f>
        <v/>
      </c>
      <c r="AD973" s="524" t="str">
        <f>IF(LANÇ_MOV[[#This Row],[DATA DE LANÇAMENTO]]="","",TEXT(LANÇ_MOV[[#This Row],[DATA DE LANÇAMENTO]],"D"))</f>
        <v/>
      </c>
      <c r="AE973" s="526" t="str">
        <f>IF(LANÇ_MOV[[#This Row],[DATA DE VENCIMENTO]]="","",TEXT(LANÇ_MOV[[#This Row],[DATA DE VENCIMENTO]],"AAAA"))</f>
        <v/>
      </c>
      <c r="AF973" s="526" t="str">
        <f>IF(LANÇ_MOV[[#This Row],[DATA DE VENCIMENTO]]="","",UPPER(TEXT(LANÇ_MOV[[#This Row],[DATA DE VENCIMENTO]],"MMMM")))</f>
        <v/>
      </c>
      <c r="AG973" s="526" t="str">
        <f>IF(LANÇ_MOV[[#This Row],[DATA DE VENCIMENTO]]="","",TEXT(LANÇ_MOV[[#This Row],[DATA DE VENCIMENTO]],"M"))</f>
        <v/>
      </c>
      <c r="AH973" s="526" t="str">
        <f>IF(LANÇ_MOV[[#This Row],[DATA DE VENCIMENTO]]="","",TEXT(LANÇ_MOV[[#This Row],[DATA DE VENCIMENTO]],"D"))</f>
        <v/>
      </c>
      <c r="AI973" s="526" t="str">
        <f>IF(LANÇ_MOV[[#This Row],[DATA DE PAGAMENTO]]="","",TEXT(LANÇ_MOV[[#This Row],[DATA DE PAGAMENTO]],"AAAA"))</f>
        <v/>
      </c>
      <c r="AJ973" s="527" t="str">
        <f>IF(LANÇ_MOV[[#This Row],[DATA DE PAGAMENTO]]="","",UPPER(TEXT(LANÇ_MOV[[#This Row],[DATA DE PAGAMENTO]],"MMMM")))</f>
        <v/>
      </c>
      <c r="AK973" s="527" t="str">
        <f>IF(LANÇ_MOV[[#This Row],[DATA DE PAGAMENTO]]="","",TEXT(LANÇ_MOV[[#This Row],[DATA DE PAGAMENTO]],"M"))</f>
        <v/>
      </c>
      <c r="AL973" s="526" t="str">
        <f>IF(LANÇ_MOV[[#This Row],[DATA DE PAGAMENTO]]="","",TEXT(LANÇ_MOV[[#This Row],[DATA DE PAGAMENTO]],"D"))</f>
        <v/>
      </c>
    </row>
    <row r="974" spans="2:38" ht="30.05" customHeight="1" x14ac:dyDescent="0.35">
      <c r="B974" s="506"/>
      <c r="C974" s="507"/>
      <c r="D974" s="508" t="s">
        <v>1854</v>
      </c>
      <c r="E974" s="509"/>
      <c r="F974" s="510"/>
      <c r="G974" s="507"/>
      <c r="H974" s="511"/>
      <c r="I974" s="512"/>
      <c r="J974" s="518"/>
      <c r="K974" s="510"/>
      <c r="L974" s="510"/>
      <c r="M974" s="548"/>
      <c r="N974" s="514">
        <f>LANÇ_MOV[[#This Row],[VALOR BRUTO]]-LANÇ_MOV[[#This Row],[DESCONTO]]+LANÇ_MOV[[#This Row],[JUROS]]+LANÇ_MOV[[#This Row],[MULTA]]</f>
        <v>0</v>
      </c>
      <c r="O974" s="546"/>
      <c r="P974" s="547" t="str">
        <f t="shared" ca="1" si="15"/>
        <v/>
      </c>
      <c r="Q974" s="528"/>
      <c r="R974" s="529"/>
      <c r="S974" s="518"/>
      <c r="T974" s="518"/>
      <c r="U974" s="519"/>
      <c r="V974" s="520" t="str">
        <f>IFERROR(VLOOKUP(LANÇ_MOV[[#This Row],[PLANO DE CONTAS]],Plano_Contas[[PLANO DE CONTAS]:[R / D]],3,0),"")</f>
        <v/>
      </c>
      <c r="W974" s="521" t="str">
        <f>IF(LANÇ_MOV[[#This Row],[DATA DE PAGAMENTO]]&lt;&gt;"","Pago","Não Pago")</f>
        <v>Não Pago</v>
      </c>
      <c r="X974" s="522" t="str">
        <f>IFERROR(IF(LANÇ_MOV[[#This Row],[DATA DE PAGAMENTO]]="","",(UPPER(TEXT(LANÇ_MOV[[#This Row],[DATA DE PAGAMENTO]],"mmmm")))),"")</f>
        <v/>
      </c>
      <c r="Y974" s="523" t="str">
        <f>IFERROR(VLOOKUP(LANÇ_MOV[[#This Row],[PLANO DE CONTAS]],Plano_Contas[[PLANO DE CONTAS]:[NOMES INTERVALOS]],2,0),"")</f>
        <v/>
      </c>
      <c r="Z974" s="523" t="str">
        <f>IF(LANÇ_MOV[[#This Row],[FORMA DE PAGAMENTO]]="","",VLOOKUP(LANÇ_MOV[[#This Row],[FORMA DE PAGAMENTO]],CAD_Forma_pagto[],2,0))</f>
        <v/>
      </c>
      <c r="AA974" s="524" t="str">
        <f>IF(LANÇ_MOV[[#This Row],[DATA DE LANÇAMENTO]]="","",TEXT(LANÇ_MOV[[#This Row],[DATA DE LANÇAMENTO]],"AAAA"))</f>
        <v/>
      </c>
      <c r="AB974" s="524" t="str">
        <f>IF(LANÇ_MOV[[#This Row],[DATA DE LANÇAMENTO]]="","",UPPER(TEXT(LANÇ_MOV[[#This Row],[DATA DE LANÇAMENTO]],"MMMM")))</f>
        <v/>
      </c>
      <c r="AC974" s="525" t="str">
        <f>IF(LANÇ_MOV[[#This Row],[DATA DE LANÇAMENTO]]="","",PROPER(TEXT(LANÇ_MOV[[#This Row],[DATA DE LANÇAMENTO]],"M")))</f>
        <v/>
      </c>
      <c r="AD974" s="524" t="str">
        <f>IF(LANÇ_MOV[[#This Row],[DATA DE LANÇAMENTO]]="","",TEXT(LANÇ_MOV[[#This Row],[DATA DE LANÇAMENTO]],"D"))</f>
        <v/>
      </c>
      <c r="AE974" s="526" t="str">
        <f>IF(LANÇ_MOV[[#This Row],[DATA DE VENCIMENTO]]="","",TEXT(LANÇ_MOV[[#This Row],[DATA DE VENCIMENTO]],"AAAA"))</f>
        <v/>
      </c>
      <c r="AF974" s="526" t="str">
        <f>IF(LANÇ_MOV[[#This Row],[DATA DE VENCIMENTO]]="","",UPPER(TEXT(LANÇ_MOV[[#This Row],[DATA DE VENCIMENTO]],"MMMM")))</f>
        <v/>
      </c>
      <c r="AG974" s="526" t="str">
        <f>IF(LANÇ_MOV[[#This Row],[DATA DE VENCIMENTO]]="","",TEXT(LANÇ_MOV[[#This Row],[DATA DE VENCIMENTO]],"M"))</f>
        <v/>
      </c>
      <c r="AH974" s="526" t="str">
        <f>IF(LANÇ_MOV[[#This Row],[DATA DE VENCIMENTO]]="","",TEXT(LANÇ_MOV[[#This Row],[DATA DE VENCIMENTO]],"D"))</f>
        <v/>
      </c>
      <c r="AI974" s="526" t="str">
        <f>IF(LANÇ_MOV[[#This Row],[DATA DE PAGAMENTO]]="","",TEXT(LANÇ_MOV[[#This Row],[DATA DE PAGAMENTO]],"AAAA"))</f>
        <v/>
      </c>
      <c r="AJ974" s="527" t="str">
        <f>IF(LANÇ_MOV[[#This Row],[DATA DE PAGAMENTO]]="","",UPPER(TEXT(LANÇ_MOV[[#This Row],[DATA DE PAGAMENTO]],"MMMM")))</f>
        <v/>
      </c>
      <c r="AK974" s="527" t="str">
        <f>IF(LANÇ_MOV[[#This Row],[DATA DE PAGAMENTO]]="","",TEXT(LANÇ_MOV[[#This Row],[DATA DE PAGAMENTO]],"M"))</f>
        <v/>
      </c>
      <c r="AL974" s="526" t="str">
        <f>IF(LANÇ_MOV[[#This Row],[DATA DE PAGAMENTO]]="","",TEXT(LANÇ_MOV[[#This Row],[DATA DE PAGAMENTO]],"D"))</f>
        <v/>
      </c>
    </row>
    <row r="975" spans="2:38" ht="30.05" customHeight="1" x14ac:dyDescent="0.35">
      <c r="B975" s="506"/>
      <c r="C975" s="507"/>
      <c r="D975" s="508" t="s">
        <v>1854</v>
      </c>
      <c r="E975" s="509"/>
      <c r="F975" s="510"/>
      <c r="G975" s="507"/>
      <c r="H975" s="511"/>
      <c r="I975" s="512"/>
      <c r="J975" s="518"/>
      <c r="K975" s="510"/>
      <c r="L975" s="510"/>
      <c r="M975" s="548"/>
      <c r="N975" s="514">
        <f>LANÇ_MOV[[#This Row],[VALOR BRUTO]]-LANÇ_MOV[[#This Row],[DESCONTO]]+LANÇ_MOV[[#This Row],[JUROS]]+LANÇ_MOV[[#This Row],[MULTA]]</f>
        <v>0</v>
      </c>
      <c r="O975" s="546"/>
      <c r="P975" s="547" t="str">
        <f t="shared" ca="1" si="15"/>
        <v/>
      </c>
      <c r="Q975" s="528"/>
      <c r="R975" s="529"/>
      <c r="S975" s="518"/>
      <c r="T975" s="518"/>
      <c r="U975" s="519"/>
      <c r="V975" s="520" t="str">
        <f>IFERROR(VLOOKUP(LANÇ_MOV[[#This Row],[PLANO DE CONTAS]],Plano_Contas[[PLANO DE CONTAS]:[R / D]],3,0),"")</f>
        <v/>
      </c>
      <c r="W975" s="521" t="str">
        <f>IF(LANÇ_MOV[[#This Row],[DATA DE PAGAMENTO]]&lt;&gt;"","Pago","Não Pago")</f>
        <v>Não Pago</v>
      </c>
      <c r="X975" s="522" t="str">
        <f>IFERROR(IF(LANÇ_MOV[[#This Row],[DATA DE PAGAMENTO]]="","",(UPPER(TEXT(LANÇ_MOV[[#This Row],[DATA DE PAGAMENTO]],"mmmm")))),"")</f>
        <v/>
      </c>
      <c r="Y975" s="523" t="str">
        <f>IFERROR(VLOOKUP(LANÇ_MOV[[#This Row],[PLANO DE CONTAS]],Plano_Contas[[PLANO DE CONTAS]:[NOMES INTERVALOS]],2,0),"")</f>
        <v/>
      </c>
      <c r="Z975" s="523" t="str">
        <f>IF(LANÇ_MOV[[#This Row],[FORMA DE PAGAMENTO]]="","",VLOOKUP(LANÇ_MOV[[#This Row],[FORMA DE PAGAMENTO]],CAD_Forma_pagto[],2,0))</f>
        <v/>
      </c>
      <c r="AA975" s="524" t="str">
        <f>IF(LANÇ_MOV[[#This Row],[DATA DE LANÇAMENTO]]="","",TEXT(LANÇ_MOV[[#This Row],[DATA DE LANÇAMENTO]],"AAAA"))</f>
        <v/>
      </c>
      <c r="AB975" s="524" t="str">
        <f>IF(LANÇ_MOV[[#This Row],[DATA DE LANÇAMENTO]]="","",UPPER(TEXT(LANÇ_MOV[[#This Row],[DATA DE LANÇAMENTO]],"MMMM")))</f>
        <v/>
      </c>
      <c r="AC975" s="525" t="str">
        <f>IF(LANÇ_MOV[[#This Row],[DATA DE LANÇAMENTO]]="","",PROPER(TEXT(LANÇ_MOV[[#This Row],[DATA DE LANÇAMENTO]],"M")))</f>
        <v/>
      </c>
      <c r="AD975" s="524" t="str">
        <f>IF(LANÇ_MOV[[#This Row],[DATA DE LANÇAMENTO]]="","",TEXT(LANÇ_MOV[[#This Row],[DATA DE LANÇAMENTO]],"D"))</f>
        <v/>
      </c>
      <c r="AE975" s="526" t="str">
        <f>IF(LANÇ_MOV[[#This Row],[DATA DE VENCIMENTO]]="","",TEXT(LANÇ_MOV[[#This Row],[DATA DE VENCIMENTO]],"AAAA"))</f>
        <v/>
      </c>
      <c r="AF975" s="526" t="str">
        <f>IF(LANÇ_MOV[[#This Row],[DATA DE VENCIMENTO]]="","",UPPER(TEXT(LANÇ_MOV[[#This Row],[DATA DE VENCIMENTO]],"MMMM")))</f>
        <v/>
      </c>
      <c r="AG975" s="526" t="str">
        <f>IF(LANÇ_MOV[[#This Row],[DATA DE VENCIMENTO]]="","",TEXT(LANÇ_MOV[[#This Row],[DATA DE VENCIMENTO]],"M"))</f>
        <v/>
      </c>
      <c r="AH975" s="526" t="str">
        <f>IF(LANÇ_MOV[[#This Row],[DATA DE VENCIMENTO]]="","",TEXT(LANÇ_MOV[[#This Row],[DATA DE VENCIMENTO]],"D"))</f>
        <v/>
      </c>
      <c r="AI975" s="526" t="str">
        <f>IF(LANÇ_MOV[[#This Row],[DATA DE PAGAMENTO]]="","",TEXT(LANÇ_MOV[[#This Row],[DATA DE PAGAMENTO]],"AAAA"))</f>
        <v/>
      </c>
      <c r="AJ975" s="527" t="str">
        <f>IF(LANÇ_MOV[[#This Row],[DATA DE PAGAMENTO]]="","",UPPER(TEXT(LANÇ_MOV[[#This Row],[DATA DE PAGAMENTO]],"MMMM")))</f>
        <v/>
      </c>
      <c r="AK975" s="527" t="str">
        <f>IF(LANÇ_MOV[[#This Row],[DATA DE PAGAMENTO]]="","",TEXT(LANÇ_MOV[[#This Row],[DATA DE PAGAMENTO]],"M"))</f>
        <v/>
      </c>
      <c r="AL975" s="526" t="str">
        <f>IF(LANÇ_MOV[[#This Row],[DATA DE PAGAMENTO]]="","",TEXT(LANÇ_MOV[[#This Row],[DATA DE PAGAMENTO]],"D"))</f>
        <v/>
      </c>
    </row>
    <row r="976" spans="2:38" ht="30.05" customHeight="1" x14ac:dyDescent="0.35">
      <c r="B976" s="506"/>
      <c r="C976" s="507"/>
      <c r="D976" s="508" t="s">
        <v>1854</v>
      </c>
      <c r="E976" s="509"/>
      <c r="F976" s="510"/>
      <c r="G976" s="507"/>
      <c r="H976" s="511"/>
      <c r="I976" s="512"/>
      <c r="J976" s="518"/>
      <c r="K976" s="510"/>
      <c r="L976" s="510"/>
      <c r="M976" s="548"/>
      <c r="N976" s="514">
        <f>LANÇ_MOV[[#This Row],[VALOR BRUTO]]-LANÇ_MOV[[#This Row],[DESCONTO]]+LANÇ_MOV[[#This Row],[JUROS]]+LANÇ_MOV[[#This Row],[MULTA]]</f>
        <v>0</v>
      </c>
      <c r="O976" s="546"/>
      <c r="P976" s="547" t="str">
        <f t="shared" ca="1" si="15"/>
        <v/>
      </c>
      <c r="Q976" s="528"/>
      <c r="R976" s="529"/>
      <c r="S976" s="518"/>
      <c r="T976" s="518"/>
      <c r="U976" s="519"/>
      <c r="V976" s="520" t="str">
        <f>IFERROR(VLOOKUP(LANÇ_MOV[[#This Row],[PLANO DE CONTAS]],Plano_Contas[[PLANO DE CONTAS]:[R / D]],3,0),"")</f>
        <v/>
      </c>
      <c r="W976" s="521" t="str">
        <f>IF(LANÇ_MOV[[#This Row],[DATA DE PAGAMENTO]]&lt;&gt;"","Pago","Não Pago")</f>
        <v>Não Pago</v>
      </c>
      <c r="X976" s="522" t="str">
        <f>IFERROR(IF(LANÇ_MOV[[#This Row],[DATA DE PAGAMENTO]]="","",(UPPER(TEXT(LANÇ_MOV[[#This Row],[DATA DE PAGAMENTO]],"mmmm")))),"")</f>
        <v/>
      </c>
      <c r="Y976" s="523" t="str">
        <f>IFERROR(VLOOKUP(LANÇ_MOV[[#This Row],[PLANO DE CONTAS]],Plano_Contas[[PLANO DE CONTAS]:[NOMES INTERVALOS]],2,0),"")</f>
        <v/>
      </c>
      <c r="Z976" s="523" t="str">
        <f>IF(LANÇ_MOV[[#This Row],[FORMA DE PAGAMENTO]]="","",VLOOKUP(LANÇ_MOV[[#This Row],[FORMA DE PAGAMENTO]],CAD_Forma_pagto[],2,0))</f>
        <v/>
      </c>
      <c r="AA976" s="524" t="str">
        <f>IF(LANÇ_MOV[[#This Row],[DATA DE LANÇAMENTO]]="","",TEXT(LANÇ_MOV[[#This Row],[DATA DE LANÇAMENTO]],"AAAA"))</f>
        <v/>
      </c>
      <c r="AB976" s="524" t="str">
        <f>IF(LANÇ_MOV[[#This Row],[DATA DE LANÇAMENTO]]="","",UPPER(TEXT(LANÇ_MOV[[#This Row],[DATA DE LANÇAMENTO]],"MMMM")))</f>
        <v/>
      </c>
      <c r="AC976" s="525" t="str">
        <f>IF(LANÇ_MOV[[#This Row],[DATA DE LANÇAMENTO]]="","",PROPER(TEXT(LANÇ_MOV[[#This Row],[DATA DE LANÇAMENTO]],"M")))</f>
        <v/>
      </c>
      <c r="AD976" s="524" t="str">
        <f>IF(LANÇ_MOV[[#This Row],[DATA DE LANÇAMENTO]]="","",TEXT(LANÇ_MOV[[#This Row],[DATA DE LANÇAMENTO]],"D"))</f>
        <v/>
      </c>
      <c r="AE976" s="526" t="str">
        <f>IF(LANÇ_MOV[[#This Row],[DATA DE VENCIMENTO]]="","",TEXT(LANÇ_MOV[[#This Row],[DATA DE VENCIMENTO]],"AAAA"))</f>
        <v/>
      </c>
      <c r="AF976" s="526" t="str">
        <f>IF(LANÇ_MOV[[#This Row],[DATA DE VENCIMENTO]]="","",UPPER(TEXT(LANÇ_MOV[[#This Row],[DATA DE VENCIMENTO]],"MMMM")))</f>
        <v/>
      </c>
      <c r="AG976" s="526" t="str">
        <f>IF(LANÇ_MOV[[#This Row],[DATA DE VENCIMENTO]]="","",TEXT(LANÇ_MOV[[#This Row],[DATA DE VENCIMENTO]],"M"))</f>
        <v/>
      </c>
      <c r="AH976" s="526" t="str">
        <f>IF(LANÇ_MOV[[#This Row],[DATA DE VENCIMENTO]]="","",TEXT(LANÇ_MOV[[#This Row],[DATA DE VENCIMENTO]],"D"))</f>
        <v/>
      </c>
      <c r="AI976" s="526" t="str">
        <f>IF(LANÇ_MOV[[#This Row],[DATA DE PAGAMENTO]]="","",TEXT(LANÇ_MOV[[#This Row],[DATA DE PAGAMENTO]],"AAAA"))</f>
        <v/>
      </c>
      <c r="AJ976" s="527" t="str">
        <f>IF(LANÇ_MOV[[#This Row],[DATA DE PAGAMENTO]]="","",UPPER(TEXT(LANÇ_MOV[[#This Row],[DATA DE PAGAMENTO]],"MMMM")))</f>
        <v/>
      </c>
      <c r="AK976" s="527" t="str">
        <f>IF(LANÇ_MOV[[#This Row],[DATA DE PAGAMENTO]]="","",TEXT(LANÇ_MOV[[#This Row],[DATA DE PAGAMENTO]],"M"))</f>
        <v/>
      </c>
      <c r="AL976" s="526" t="str">
        <f>IF(LANÇ_MOV[[#This Row],[DATA DE PAGAMENTO]]="","",TEXT(LANÇ_MOV[[#This Row],[DATA DE PAGAMENTO]],"D"))</f>
        <v/>
      </c>
    </row>
    <row r="977" spans="2:38" ht="30.05" customHeight="1" x14ac:dyDescent="0.35">
      <c r="B977" s="506"/>
      <c r="C977" s="507"/>
      <c r="D977" s="508" t="s">
        <v>1854</v>
      </c>
      <c r="E977" s="509"/>
      <c r="F977" s="510"/>
      <c r="G977" s="507"/>
      <c r="H977" s="511"/>
      <c r="I977" s="512"/>
      <c r="J977" s="518"/>
      <c r="K977" s="510"/>
      <c r="L977" s="510"/>
      <c r="M977" s="548"/>
      <c r="N977" s="514">
        <f>LANÇ_MOV[[#This Row],[VALOR BRUTO]]-LANÇ_MOV[[#This Row],[DESCONTO]]+LANÇ_MOV[[#This Row],[JUROS]]+LANÇ_MOV[[#This Row],[MULTA]]</f>
        <v>0</v>
      </c>
      <c r="O977" s="546"/>
      <c r="P977" s="547" t="str">
        <f t="shared" ca="1" si="15"/>
        <v/>
      </c>
      <c r="Q977" s="528"/>
      <c r="R977" s="529"/>
      <c r="S977" s="518"/>
      <c r="T977" s="518"/>
      <c r="U977" s="519"/>
      <c r="V977" s="520" t="str">
        <f>IFERROR(VLOOKUP(LANÇ_MOV[[#This Row],[PLANO DE CONTAS]],Plano_Contas[[PLANO DE CONTAS]:[R / D]],3,0),"")</f>
        <v/>
      </c>
      <c r="W977" s="521" t="str">
        <f>IF(LANÇ_MOV[[#This Row],[DATA DE PAGAMENTO]]&lt;&gt;"","Pago","Não Pago")</f>
        <v>Não Pago</v>
      </c>
      <c r="X977" s="522" t="str">
        <f>IFERROR(IF(LANÇ_MOV[[#This Row],[DATA DE PAGAMENTO]]="","",(UPPER(TEXT(LANÇ_MOV[[#This Row],[DATA DE PAGAMENTO]],"mmmm")))),"")</f>
        <v/>
      </c>
      <c r="Y977" s="523" t="str">
        <f>IFERROR(VLOOKUP(LANÇ_MOV[[#This Row],[PLANO DE CONTAS]],Plano_Contas[[PLANO DE CONTAS]:[NOMES INTERVALOS]],2,0),"")</f>
        <v/>
      </c>
      <c r="Z977" s="523" t="str">
        <f>IF(LANÇ_MOV[[#This Row],[FORMA DE PAGAMENTO]]="","",VLOOKUP(LANÇ_MOV[[#This Row],[FORMA DE PAGAMENTO]],CAD_Forma_pagto[],2,0))</f>
        <v/>
      </c>
      <c r="AA977" s="524" t="str">
        <f>IF(LANÇ_MOV[[#This Row],[DATA DE LANÇAMENTO]]="","",TEXT(LANÇ_MOV[[#This Row],[DATA DE LANÇAMENTO]],"AAAA"))</f>
        <v/>
      </c>
      <c r="AB977" s="524" t="str">
        <f>IF(LANÇ_MOV[[#This Row],[DATA DE LANÇAMENTO]]="","",UPPER(TEXT(LANÇ_MOV[[#This Row],[DATA DE LANÇAMENTO]],"MMMM")))</f>
        <v/>
      </c>
      <c r="AC977" s="525" t="str">
        <f>IF(LANÇ_MOV[[#This Row],[DATA DE LANÇAMENTO]]="","",PROPER(TEXT(LANÇ_MOV[[#This Row],[DATA DE LANÇAMENTO]],"M")))</f>
        <v/>
      </c>
      <c r="AD977" s="524" t="str">
        <f>IF(LANÇ_MOV[[#This Row],[DATA DE LANÇAMENTO]]="","",TEXT(LANÇ_MOV[[#This Row],[DATA DE LANÇAMENTO]],"D"))</f>
        <v/>
      </c>
      <c r="AE977" s="526" t="str">
        <f>IF(LANÇ_MOV[[#This Row],[DATA DE VENCIMENTO]]="","",TEXT(LANÇ_MOV[[#This Row],[DATA DE VENCIMENTO]],"AAAA"))</f>
        <v/>
      </c>
      <c r="AF977" s="526" t="str">
        <f>IF(LANÇ_MOV[[#This Row],[DATA DE VENCIMENTO]]="","",UPPER(TEXT(LANÇ_MOV[[#This Row],[DATA DE VENCIMENTO]],"MMMM")))</f>
        <v/>
      </c>
      <c r="AG977" s="526" t="str">
        <f>IF(LANÇ_MOV[[#This Row],[DATA DE VENCIMENTO]]="","",TEXT(LANÇ_MOV[[#This Row],[DATA DE VENCIMENTO]],"M"))</f>
        <v/>
      </c>
      <c r="AH977" s="526" t="str">
        <f>IF(LANÇ_MOV[[#This Row],[DATA DE VENCIMENTO]]="","",TEXT(LANÇ_MOV[[#This Row],[DATA DE VENCIMENTO]],"D"))</f>
        <v/>
      </c>
      <c r="AI977" s="526" t="str">
        <f>IF(LANÇ_MOV[[#This Row],[DATA DE PAGAMENTO]]="","",TEXT(LANÇ_MOV[[#This Row],[DATA DE PAGAMENTO]],"AAAA"))</f>
        <v/>
      </c>
      <c r="AJ977" s="527" t="str">
        <f>IF(LANÇ_MOV[[#This Row],[DATA DE PAGAMENTO]]="","",UPPER(TEXT(LANÇ_MOV[[#This Row],[DATA DE PAGAMENTO]],"MMMM")))</f>
        <v/>
      </c>
      <c r="AK977" s="527" t="str">
        <f>IF(LANÇ_MOV[[#This Row],[DATA DE PAGAMENTO]]="","",TEXT(LANÇ_MOV[[#This Row],[DATA DE PAGAMENTO]],"M"))</f>
        <v/>
      </c>
      <c r="AL977" s="526" t="str">
        <f>IF(LANÇ_MOV[[#This Row],[DATA DE PAGAMENTO]]="","",TEXT(LANÇ_MOV[[#This Row],[DATA DE PAGAMENTO]],"D"))</f>
        <v/>
      </c>
    </row>
    <row r="978" spans="2:38" ht="30.05" customHeight="1" x14ac:dyDescent="0.35">
      <c r="B978" s="506"/>
      <c r="C978" s="507"/>
      <c r="D978" s="508" t="s">
        <v>1854</v>
      </c>
      <c r="E978" s="509"/>
      <c r="F978" s="510"/>
      <c r="G978" s="507"/>
      <c r="H978" s="511"/>
      <c r="I978" s="512"/>
      <c r="J978" s="518"/>
      <c r="K978" s="510"/>
      <c r="L978" s="510"/>
      <c r="M978" s="548"/>
      <c r="N978" s="514">
        <f>LANÇ_MOV[[#This Row],[VALOR BRUTO]]-LANÇ_MOV[[#This Row],[DESCONTO]]+LANÇ_MOV[[#This Row],[JUROS]]+LANÇ_MOV[[#This Row],[MULTA]]</f>
        <v>0</v>
      </c>
      <c r="O978" s="546"/>
      <c r="P978" s="547" t="str">
        <f t="shared" ca="1" si="15"/>
        <v/>
      </c>
      <c r="Q978" s="528"/>
      <c r="R978" s="529"/>
      <c r="S978" s="518"/>
      <c r="T978" s="518"/>
      <c r="U978" s="519"/>
      <c r="V978" s="520" t="str">
        <f>IFERROR(VLOOKUP(LANÇ_MOV[[#This Row],[PLANO DE CONTAS]],Plano_Contas[[PLANO DE CONTAS]:[R / D]],3,0),"")</f>
        <v/>
      </c>
      <c r="W978" s="521" t="str">
        <f>IF(LANÇ_MOV[[#This Row],[DATA DE PAGAMENTO]]&lt;&gt;"","Pago","Não Pago")</f>
        <v>Não Pago</v>
      </c>
      <c r="X978" s="522" t="str">
        <f>IFERROR(IF(LANÇ_MOV[[#This Row],[DATA DE PAGAMENTO]]="","",(UPPER(TEXT(LANÇ_MOV[[#This Row],[DATA DE PAGAMENTO]],"mmmm")))),"")</f>
        <v/>
      </c>
      <c r="Y978" s="523" t="str">
        <f>IFERROR(VLOOKUP(LANÇ_MOV[[#This Row],[PLANO DE CONTAS]],Plano_Contas[[PLANO DE CONTAS]:[NOMES INTERVALOS]],2,0),"")</f>
        <v/>
      </c>
      <c r="Z978" s="523" t="str">
        <f>IF(LANÇ_MOV[[#This Row],[FORMA DE PAGAMENTO]]="","",VLOOKUP(LANÇ_MOV[[#This Row],[FORMA DE PAGAMENTO]],CAD_Forma_pagto[],2,0))</f>
        <v/>
      </c>
      <c r="AA978" s="524" t="str">
        <f>IF(LANÇ_MOV[[#This Row],[DATA DE LANÇAMENTO]]="","",TEXT(LANÇ_MOV[[#This Row],[DATA DE LANÇAMENTO]],"AAAA"))</f>
        <v/>
      </c>
      <c r="AB978" s="524" t="str">
        <f>IF(LANÇ_MOV[[#This Row],[DATA DE LANÇAMENTO]]="","",UPPER(TEXT(LANÇ_MOV[[#This Row],[DATA DE LANÇAMENTO]],"MMMM")))</f>
        <v/>
      </c>
      <c r="AC978" s="525" t="str">
        <f>IF(LANÇ_MOV[[#This Row],[DATA DE LANÇAMENTO]]="","",PROPER(TEXT(LANÇ_MOV[[#This Row],[DATA DE LANÇAMENTO]],"M")))</f>
        <v/>
      </c>
      <c r="AD978" s="524" t="str">
        <f>IF(LANÇ_MOV[[#This Row],[DATA DE LANÇAMENTO]]="","",TEXT(LANÇ_MOV[[#This Row],[DATA DE LANÇAMENTO]],"D"))</f>
        <v/>
      </c>
      <c r="AE978" s="526" t="str">
        <f>IF(LANÇ_MOV[[#This Row],[DATA DE VENCIMENTO]]="","",TEXT(LANÇ_MOV[[#This Row],[DATA DE VENCIMENTO]],"AAAA"))</f>
        <v/>
      </c>
      <c r="AF978" s="526" t="str">
        <f>IF(LANÇ_MOV[[#This Row],[DATA DE VENCIMENTO]]="","",UPPER(TEXT(LANÇ_MOV[[#This Row],[DATA DE VENCIMENTO]],"MMMM")))</f>
        <v/>
      </c>
      <c r="AG978" s="526" t="str">
        <f>IF(LANÇ_MOV[[#This Row],[DATA DE VENCIMENTO]]="","",TEXT(LANÇ_MOV[[#This Row],[DATA DE VENCIMENTO]],"M"))</f>
        <v/>
      </c>
      <c r="AH978" s="526" t="str">
        <f>IF(LANÇ_MOV[[#This Row],[DATA DE VENCIMENTO]]="","",TEXT(LANÇ_MOV[[#This Row],[DATA DE VENCIMENTO]],"D"))</f>
        <v/>
      </c>
      <c r="AI978" s="526" t="str">
        <f>IF(LANÇ_MOV[[#This Row],[DATA DE PAGAMENTO]]="","",TEXT(LANÇ_MOV[[#This Row],[DATA DE PAGAMENTO]],"AAAA"))</f>
        <v/>
      </c>
      <c r="AJ978" s="527" t="str">
        <f>IF(LANÇ_MOV[[#This Row],[DATA DE PAGAMENTO]]="","",UPPER(TEXT(LANÇ_MOV[[#This Row],[DATA DE PAGAMENTO]],"MMMM")))</f>
        <v/>
      </c>
      <c r="AK978" s="527" t="str">
        <f>IF(LANÇ_MOV[[#This Row],[DATA DE PAGAMENTO]]="","",TEXT(LANÇ_MOV[[#This Row],[DATA DE PAGAMENTO]],"M"))</f>
        <v/>
      </c>
      <c r="AL978" s="526" t="str">
        <f>IF(LANÇ_MOV[[#This Row],[DATA DE PAGAMENTO]]="","",TEXT(LANÇ_MOV[[#This Row],[DATA DE PAGAMENTO]],"D"))</f>
        <v/>
      </c>
    </row>
    <row r="979" spans="2:38" ht="30.05" customHeight="1" x14ac:dyDescent="0.35">
      <c r="B979" s="506"/>
      <c r="C979" s="507"/>
      <c r="D979" s="508" t="s">
        <v>1854</v>
      </c>
      <c r="E979" s="509"/>
      <c r="F979" s="510"/>
      <c r="G979" s="507"/>
      <c r="H979" s="511"/>
      <c r="I979" s="512"/>
      <c r="J979" s="518"/>
      <c r="K979" s="510"/>
      <c r="L979" s="510"/>
      <c r="M979" s="548"/>
      <c r="N979" s="514">
        <f>LANÇ_MOV[[#This Row],[VALOR BRUTO]]-LANÇ_MOV[[#This Row],[DESCONTO]]+LANÇ_MOV[[#This Row],[JUROS]]+LANÇ_MOV[[#This Row],[MULTA]]</f>
        <v>0</v>
      </c>
      <c r="O979" s="546"/>
      <c r="P979" s="547" t="str">
        <f t="shared" ca="1" si="15"/>
        <v/>
      </c>
      <c r="Q979" s="528"/>
      <c r="R979" s="529"/>
      <c r="S979" s="518"/>
      <c r="T979" s="518"/>
      <c r="U979" s="519"/>
      <c r="V979" s="520" t="str">
        <f>IFERROR(VLOOKUP(LANÇ_MOV[[#This Row],[PLANO DE CONTAS]],Plano_Contas[[PLANO DE CONTAS]:[R / D]],3,0),"")</f>
        <v/>
      </c>
      <c r="W979" s="521" t="str">
        <f>IF(LANÇ_MOV[[#This Row],[DATA DE PAGAMENTO]]&lt;&gt;"","Pago","Não Pago")</f>
        <v>Não Pago</v>
      </c>
      <c r="X979" s="522" t="str">
        <f>IFERROR(IF(LANÇ_MOV[[#This Row],[DATA DE PAGAMENTO]]="","",(UPPER(TEXT(LANÇ_MOV[[#This Row],[DATA DE PAGAMENTO]],"mmmm")))),"")</f>
        <v/>
      </c>
      <c r="Y979" s="523" t="str">
        <f>IFERROR(VLOOKUP(LANÇ_MOV[[#This Row],[PLANO DE CONTAS]],Plano_Contas[[PLANO DE CONTAS]:[NOMES INTERVALOS]],2,0),"")</f>
        <v/>
      </c>
      <c r="Z979" s="523" t="str">
        <f>IF(LANÇ_MOV[[#This Row],[FORMA DE PAGAMENTO]]="","",VLOOKUP(LANÇ_MOV[[#This Row],[FORMA DE PAGAMENTO]],CAD_Forma_pagto[],2,0))</f>
        <v/>
      </c>
      <c r="AA979" s="524" t="str">
        <f>IF(LANÇ_MOV[[#This Row],[DATA DE LANÇAMENTO]]="","",TEXT(LANÇ_MOV[[#This Row],[DATA DE LANÇAMENTO]],"AAAA"))</f>
        <v/>
      </c>
      <c r="AB979" s="524" t="str">
        <f>IF(LANÇ_MOV[[#This Row],[DATA DE LANÇAMENTO]]="","",UPPER(TEXT(LANÇ_MOV[[#This Row],[DATA DE LANÇAMENTO]],"MMMM")))</f>
        <v/>
      </c>
      <c r="AC979" s="525" t="str">
        <f>IF(LANÇ_MOV[[#This Row],[DATA DE LANÇAMENTO]]="","",PROPER(TEXT(LANÇ_MOV[[#This Row],[DATA DE LANÇAMENTO]],"M")))</f>
        <v/>
      </c>
      <c r="AD979" s="524" t="str">
        <f>IF(LANÇ_MOV[[#This Row],[DATA DE LANÇAMENTO]]="","",TEXT(LANÇ_MOV[[#This Row],[DATA DE LANÇAMENTO]],"D"))</f>
        <v/>
      </c>
      <c r="AE979" s="526" t="str">
        <f>IF(LANÇ_MOV[[#This Row],[DATA DE VENCIMENTO]]="","",TEXT(LANÇ_MOV[[#This Row],[DATA DE VENCIMENTO]],"AAAA"))</f>
        <v/>
      </c>
      <c r="AF979" s="526" t="str">
        <f>IF(LANÇ_MOV[[#This Row],[DATA DE VENCIMENTO]]="","",UPPER(TEXT(LANÇ_MOV[[#This Row],[DATA DE VENCIMENTO]],"MMMM")))</f>
        <v/>
      </c>
      <c r="AG979" s="526" t="str">
        <f>IF(LANÇ_MOV[[#This Row],[DATA DE VENCIMENTO]]="","",TEXT(LANÇ_MOV[[#This Row],[DATA DE VENCIMENTO]],"M"))</f>
        <v/>
      </c>
      <c r="AH979" s="526" t="str">
        <f>IF(LANÇ_MOV[[#This Row],[DATA DE VENCIMENTO]]="","",TEXT(LANÇ_MOV[[#This Row],[DATA DE VENCIMENTO]],"D"))</f>
        <v/>
      </c>
      <c r="AI979" s="526" t="str">
        <f>IF(LANÇ_MOV[[#This Row],[DATA DE PAGAMENTO]]="","",TEXT(LANÇ_MOV[[#This Row],[DATA DE PAGAMENTO]],"AAAA"))</f>
        <v/>
      </c>
      <c r="AJ979" s="527" t="str">
        <f>IF(LANÇ_MOV[[#This Row],[DATA DE PAGAMENTO]]="","",UPPER(TEXT(LANÇ_MOV[[#This Row],[DATA DE PAGAMENTO]],"MMMM")))</f>
        <v/>
      </c>
      <c r="AK979" s="527" t="str">
        <f>IF(LANÇ_MOV[[#This Row],[DATA DE PAGAMENTO]]="","",TEXT(LANÇ_MOV[[#This Row],[DATA DE PAGAMENTO]],"M"))</f>
        <v/>
      </c>
      <c r="AL979" s="526" t="str">
        <f>IF(LANÇ_MOV[[#This Row],[DATA DE PAGAMENTO]]="","",TEXT(LANÇ_MOV[[#This Row],[DATA DE PAGAMENTO]],"D"))</f>
        <v/>
      </c>
    </row>
    <row r="980" spans="2:38" ht="30.05" customHeight="1" x14ac:dyDescent="0.35">
      <c r="B980" s="506"/>
      <c r="C980" s="507"/>
      <c r="D980" s="508" t="s">
        <v>1854</v>
      </c>
      <c r="E980" s="509"/>
      <c r="F980" s="510"/>
      <c r="G980" s="507"/>
      <c r="H980" s="511"/>
      <c r="I980" s="512"/>
      <c r="J980" s="518"/>
      <c r="K980" s="510"/>
      <c r="L980" s="510"/>
      <c r="M980" s="548"/>
      <c r="N980" s="514">
        <f>LANÇ_MOV[[#This Row],[VALOR BRUTO]]-LANÇ_MOV[[#This Row],[DESCONTO]]+LANÇ_MOV[[#This Row],[JUROS]]+LANÇ_MOV[[#This Row],[MULTA]]</f>
        <v>0</v>
      </c>
      <c r="O980" s="546"/>
      <c r="P980" s="547" t="str">
        <f t="shared" ca="1" si="15"/>
        <v/>
      </c>
      <c r="Q980" s="528"/>
      <c r="R980" s="529"/>
      <c r="S980" s="518"/>
      <c r="T980" s="518"/>
      <c r="U980" s="519"/>
      <c r="V980" s="520" t="str">
        <f>IFERROR(VLOOKUP(LANÇ_MOV[[#This Row],[PLANO DE CONTAS]],Plano_Contas[[PLANO DE CONTAS]:[R / D]],3,0),"")</f>
        <v/>
      </c>
      <c r="W980" s="521" t="str">
        <f>IF(LANÇ_MOV[[#This Row],[DATA DE PAGAMENTO]]&lt;&gt;"","Pago","Não Pago")</f>
        <v>Não Pago</v>
      </c>
      <c r="X980" s="522" t="str">
        <f>IFERROR(IF(LANÇ_MOV[[#This Row],[DATA DE PAGAMENTO]]="","",(UPPER(TEXT(LANÇ_MOV[[#This Row],[DATA DE PAGAMENTO]],"mmmm")))),"")</f>
        <v/>
      </c>
      <c r="Y980" s="523" t="str">
        <f>IFERROR(VLOOKUP(LANÇ_MOV[[#This Row],[PLANO DE CONTAS]],Plano_Contas[[PLANO DE CONTAS]:[NOMES INTERVALOS]],2,0),"")</f>
        <v/>
      </c>
      <c r="Z980" s="523" t="str">
        <f>IF(LANÇ_MOV[[#This Row],[FORMA DE PAGAMENTO]]="","",VLOOKUP(LANÇ_MOV[[#This Row],[FORMA DE PAGAMENTO]],CAD_Forma_pagto[],2,0))</f>
        <v/>
      </c>
      <c r="AA980" s="524" t="str">
        <f>IF(LANÇ_MOV[[#This Row],[DATA DE LANÇAMENTO]]="","",TEXT(LANÇ_MOV[[#This Row],[DATA DE LANÇAMENTO]],"AAAA"))</f>
        <v/>
      </c>
      <c r="AB980" s="524" t="str">
        <f>IF(LANÇ_MOV[[#This Row],[DATA DE LANÇAMENTO]]="","",UPPER(TEXT(LANÇ_MOV[[#This Row],[DATA DE LANÇAMENTO]],"MMMM")))</f>
        <v/>
      </c>
      <c r="AC980" s="525" t="str">
        <f>IF(LANÇ_MOV[[#This Row],[DATA DE LANÇAMENTO]]="","",PROPER(TEXT(LANÇ_MOV[[#This Row],[DATA DE LANÇAMENTO]],"M")))</f>
        <v/>
      </c>
      <c r="AD980" s="524" t="str">
        <f>IF(LANÇ_MOV[[#This Row],[DATA DE LANÇAMENTO]]="","",TEXT(LANÇ_MOV[[#This Row],[DATA DE LANÇAMENTO]],"D"))</f>
        <v/>
      </c>
      <c r="AE980" s="526" t="str">
        <f>IF(LANÇ_MOV[[#This Row],[DATA DE VENCIMENTO]]="","",TEXT(LANÇ_MOV[[#This Row],[DATA DE VENCIMENTO]],"AAAA"))</f>
        <v/>
      </c>
      <c r="AF980" s="526" t="str">
        <f>IF(LANÇ_MOV[[#This Row],[DATA DE VENCIMENTO]]="","",UPPER(TEXT(LANÇ_MOV[[#This Row],[DATA DE VENCIMENTO]],"MMMM")))</f>
        <v/>
      </c>
      <c r="AG980" s="526" t="str">
        <f>IF(LANÇ_MOV[[#This Row],[DATA DE VENCIMENTO]]="","",TEXT(LANÇ_MOV[[#This Row],[DATA DE VENCIMENTO]],"M"))</f>
        <v/>
      </c>
      <c r="AH980" s="526" t="str">
        <f>IF(LANÇ_MOV[[#This Row],[DATA DE VENCIMENTO]]="","",TEXT(LANÇ_MOV[[#This Row],[DATA DE VENCIMENTO]],"D"))</f>
        <v/>
      </c>
      <c r="AI980" s="526" t="str">
        <f>IF(LANÇ_MOV[[#This Row],[DATA DE PAGAMENTO]]="","",TEXT(LANÇ_MOV[[#This Row],[DATA DE PAGAMENTO]],"AAAA"))</f>
        <v/>
      </c>
      <c r="AJ980" s="527" t="str">
        <f>IF(LANÇ_MOV[[#This Row],[DATA DE PAGAMENTO]]="","",UPPER(TEXT(LANÇ_MOV[[#This Row],[DATA DE PAGAMENTO]],"MMMM")))</f>
        <v/>
      </c>
      <c r="AK980" s="527" t="str">
        <f>IF(LANÇ_MOV[[#This Row],[DATA DE PAGAMENTO]]="","",TEXT(LANÇ_MOV[[#This Row],[DATA DE PAGAMENTO]],"M"))</f>
        <v/>
      </c>
      <c r="AL980" s="526" t="str">
        <f>IF(LANÇ_MOV[[#This Row],[DATA DE PAGAMENTO]]="","",TEXT(LANÇ_MOV[[#This Row],[DATA DE PAGAMENTO]],"D"))</f>
        <v/>
      </c>
    </row>
    <row r="981" spans="2:38" ht="30.05" customHeight="1" x14ac:dyDescent="0.35">
      <c r="B981" s="506"/>
      <c r="C981" s="507"/>
      <c r="D981" s="508" t="s">
        <v>1854</v>
      </c>
      <c r="E981" s="509"/>
      <c r="F981" s="510"/>
      <c r="G981" s="507"/>
      <c r="H981" s="511"/>
      <c r="I981" s="512"/>
      <c r="J981" s="518"/>
      <c r="K981" s="510"/>
      <c r="L981" s="510"/>
      <c r="M981" s="548"/>
      <c r="N981" s="514">
        <f>LANÇ_MOV[[#This Row],[VALOR BRUTO]]-LANÇ_MOV[[#This Row],[DESCONTO]]+LANÇ_MOV[[#This Row],[JUROS]]+LANÇ_MOV[[#This Row],[MULTA]]</f>
        <v>0</v>
      </c>
      <c r="O981" s="546"/>
      <c r="P981" s="547" t="str">
        <f t="shared" ca="1" si="15"/>
        <v/>
      </c>
      <c r="Q981" s="528"/>
      <c r="R981" s="529"/>
      <c r="S981" s="518"/>
      <c r="T981" s="518"/>
      <c r="U981" s="519"/>
      <c r="V981" s="520" t="str">
        <f>IFERROR(VLOOKUP(LANÇ_MOV[[#This Row],[PLANO DE CONTAS]],Plano_Contas[[PLANO DE CONTAS]:[R / D]],3,0),"")</f>
        <v/>
      </c>
      <c r="W981" s="521" t="str">
        <f>IF(LANÇ_MOV[[#This Row],[DATA DE PAGAMENTO]]&lt;&gt;"","Pago","Não Pago")</f>
        <v>Não Pago</v>
      </c>
      <c r="X981" s="522" t="str">
        <f>IFERROR(IF(LANÇ_MOV[[#This Row],[DATA DE PAGAMENTO]]="","",(UPPER(TEXT(LANÇ_MOV[[#This Row],[DATA DE PAGAMENTO]],"mmmm")))),"")</f>
        <v/>
      </c>
      <c r="Y981" s="523" t="str">
        <f>IFERROR(VLOOKUP(LANÇ_MOV[[#This Row],[PLANO DE CONTAS]],Plano_Contas[[PLANO DE CONTAS]:[NOMES INTERVALOS]],2,0),"")</f>
        <v/>
      </c>
      <c r="Z981" s="523" t="str">
        <f>IF(LANÇ_MOV[[#This Row],[FORMA DE PAGAMENTO]]="","",VLOOKUP(LANÇ_MOV[[#This Row],[FORMA DE PAGAMENTO]],CAD_Forma_pagto[],2,0))</f>
        <v/>
      </c>
      <c r="AA981" s="524" t="str">
        <f>IF(LANÇ_MOV[[#This Row],[DATA DE LANÇAMENTO]]="","",TEXT(LANÇ_MOV[[#This Row],[DATA DE LANÇAMENTO]],"AAAA"))</f>
        <v/>
      </c>
      <c r="AB981" s="524" t="str">
        <f>IF(LANÇ_MOV[[#This Row],[DATA DE LANÇAMENTO]]="","",UPPER(TEXT(LANÇ_MOV[[#This Row],[DATA DE LANÇAMENTO]],"MMMM")))</f>
        <v/>
      </c>
      <c r="AC981" s="525" t="str">
        <f>IF(LANÇ_MOV[[#This Row],[DATA DE LANÇAMENTO]]="","",PROPER(TEXT(LANÇ_MOV[[#This Row],[DATA DE LANÇAMENTO]],"M")))</f>
        <v/>
      </c>
      <c r="AD981" s="524" t="str">
        <f>IF(LANÇ_MOV[[#This Row],[DATA DE LANÇAMENTO]]="","",TEXT(LANÇ_MOV[[#This Row],[DATA DE LANÇAMENTO]],"D"))</f>
        <v/>
      </c>
      <c r="AE981" s="526" t="str">
        <f>IF(LANÇ_MOV[[#This Row],[DATA DE VENCIMENTO]]="","",TEXT(LANÇ_MOV[[#This Row],[DATA DE VENCIMENTO]],"AAAA"))</f>
        <v/>
      </c>
      <c r="AF981" s="526" t="str">
        <f>IF(LANÇ_MOV[[#This Row],[DATA DE VENCIMENTO]]="","",UPPER(TEXT(LANÇ_MOV[[#This Row],[DATA DE VENCIMENTO]],"MMMM")))</f>
        <v/>
      </c>
      <c r="AG981" s="526" t="str">
        <f>IF(LANÇ_MOV[[#This Row],[DATA DE VENCIMENTO]]="","",TEXT(LANÇ_MOV[[#This Row],[DATA DE VENCIMENTO]],"M"))</f>
        <v/>
      </c>
      <c r="AH981" s="526" t="str">
        <f>IF(LANÇ_MOV[[#This Row],[DATA DE VENCIMENTO]]="","",TEXT(LANÇ_MOV[[#This Row],[DATA DE VENCIMENTO]],"D"))</f>
        <v/>
      </c>
      <c r="AI981" s="526" t="str">
        <f>IF(LANÇ_MOV[[#This Row],[DATA DE PAGAMENTO]]="","",TEXT(LANÇ_MOV[[#This Row],[DATA DE PAGAMENTO]],"AAAA"))</f>
        <v/>
      </c>
      <c r="AJ981" s="527" t="str">
        <f>IF(LANÇ_MOV[[#This Row],[DATA DE PAGAMENTO]]="","",UPPER(TEXT(LANÇ_MOV[[#This Row],[DATA DE PAGAMENTO]],"MMMM")))</f>
        <v/>
      </c>
      <c r="AK981" s="527" t="str">
        <f>IF(LANÇ_MOV[[#This Row],[DATA DE PAGAMENTO]]="","",TEXT(LANÇ_MOV[[#This Row],[DATA DE PAGAMENTO]],"M"))</f>
        <v/>
      </c>
      <c r="AL981" s="526" t="str">
        <f>IF(LANÇ_MOV[[#This Row],[DATA DE PAGAMENTO]]="","",TEXT(LANÇ_MOV[[#This Row],[DATA DE PAGAMENTO]],"D"))</f>
        <v/>
      </c>
    </row>
    <row r="982" spans="2:38" ht="30.05" customHeight="1" x14ac:dyDescent="0.35">
      <c r="B982" s="506"/>
      <c r="C982" s="507"/>
      <c r="D982" s="508" t="s">
        <v>1854</v>
      </c>
      <c r="E982" s="509"/>
      <c r="F982" s="510"/>
      <c r="G982" s="507"/>
      <c r="H982" s="511"/>
      <c r="I982" s="512"/>
      <c r="J982" s="518"/>
      <c r="K982" s="510"/>
      <c r="L982" s="510"/>
      <c r="M982" s="548"/>
      <c r="N982" s="514">
        <f>LANÇ_MOV[[#This Row],[VALOR BRUTO]]-LANÇ_MOV[[#This Row],[DESCONTO]]+LANÇ_MOV[[#This Row],[JUROS]]+LANÇ_MOV[[#This Row],[MULTA]]</f>
        <v>0</v>
      </c>
      <c r="O982" s="546"/>
      <c r="P982" s="547" t="str">
        <f t="shared" ca="1" si="15"/>
        <v/>
      </c>
      <c r="Q982" s="528"/>
      <c r="R982" s="529"/>
      <c r="S982" s="518"/>
      <c r="T982" s="518"/>
      <c r="U982" s="519"/>
      <c r="V982" s="520" t="str">
        <f>IFERROR(VLOOKUP(LANÇ_MOV[[#This Row],[PLANO DE CONTAS]],Plano_Contas[[PLANO DE CONTAS]:[R / D]],3,0),"")</f>
        <v/>
      </c>
      <c r="W982" s="521" t="str">
        <f>IF(LANÇ_MOV[[#This Row],[DATA DE PAGAMENTO]]&lt;&gt;"","Pago","Não Pago")</f>
        <v>Não Pago</v>
      </c>
      <c r="X982" s="522" t="str">
        <f>IFERROR(IF(LANÇ_MOV[[#This Row],[DATA DE PAGAMENTO]]="","",(UPPER(TEXT(LANÇ_MOV[[#This Row],[DATA DE PAGAMENTO]],"mmmm")))),"")</f>
        <v/>
      </c>
      <c r="Y982" s="523" t="str">
        <f>IFERROR(VLOOKUP(LANÇ_MOV[[#This Row],[PLANO DE CONTAS]],Plano_Contas[[PLANO DE CONTAS]:[NOMES INTERVALOS]],2,0),"")</f>
        <v/>
      </c>
      <c r="Z982" s="523" t="str">
        <f>IF(LANÇ_MOV[[#This Row],[FORMA DE PAGAMENTO]]="","",VLOOKUP(LANÇ_MOV[[#This Row],[FORMA DE PAGAMENTO]],CAD_Forma_pagto[],2,0))</f>
        <v/>
      </c>
      <c r="AA982" s="524" t="str">
        <f>IF(LANÇ_MOV[[#This Row],[DATA DE LANÇAMENTO]]="","",TEXT(LANÇ_MOV[[#This Row],[DATA DE LANÇAMENTO]],"AAAA"))</f>
        <v/>
      </c>
      <c r="AB982" s="524" t="str">
        <f>IF(LANÇ_MOV[[#This Row],[DATA DE LANÇAMENTO]]="","",UPPER(TEXT(LANÇ_MOV[[#This Row],[DATA DE LANÇAMENTO]],"MMMM")))</f>
        <v/>
      </c>
      <c r="AC982" s="525" t="str">
        <f>IF(LANÇ_MOV[[#This Row],[DATA DE LANÇAMENTO]]="","",PROPER(TEXT(LANÇ_MOV[[#This Row],[DATA DE LANÇAMENTO]],"M")))</f>
        <v/>
      </c>
      <c r="AD982" s="524" t="str">
        <f>IF(LANÇ_MOV[[#This Row],[DATA DE LANÇAMENTO]]="","",TEXT(LANÇ_MOV[[#This Row],[DATA DE LANÇAMENTO]],"D"))</f>
        <v/>
      </c>
      <c r="AE982" s="526" t="str">
        <f>IF(LANÇ_MOV[[#This Row],[DATA DE VENCIMENTO]]="","",TEXT(LANÇ_MOV[[#This Row],[DATA DE VENCIMENTO]],"AAAA"))</f>
        <v/>
      </c>
      <c r="AF982" s="526" t="str">
        <f>IF(LANÇ_MOV[[#This Row],[DATA DE VENCIMENTO]]="","",UPPER(TEXT(LANÇ_MOV[[#This Row],[DATA DE VENCIMENTO]],"MMMM")))</f>
        <v/>
      </c>
      <c r="AG982" s="526" t="str">
        <f>IF(LANÇ_MOV[[#This Row],[DATA DE VENCIMENTO]]="","",TEXT(LANÇ_MOV[[#This Row],[DATA DE VENCIMENTO]],"M"))</f>
        <v/>
      </c>
      <c r="AH982" s="526" t="str">
        <f>IF(LANÇ_MOV[[#This Row],[DATA DE VENCIMENTO]]="","",TEXT(LANÇ_MOV[[#This Row],[DATA DE VENCIMENTO]],"D"))</f>
        <v/>
      </c>
      <c r="AI982" s="526" t="str">
        <f>IF(LANÇ_MOV[[#This Row],[DATA DE PAGAMENTO]]="","",TEXT(LANÇ_MOV[[#This Row],[DATA DE PAGAMENTO]],"AAAA"))</f>
        <v/>
      </c>
      <c r="AJ982" s="527" t="str">
        <f>IF(LANÇ_MOV[[#This Row],[DATA DE PAGAMENTO]]="","",UPPER(TEXT(LANÇ_MOV[[#This Row],[DATA DE PAGAMENTO]],"MMMM")))</f>
        <v/>
      </c>
      <c r="AK982" s="527" t="str">
        <f>IF(LANÇ_MOV[[#This Row],[DATA DE PAGAMENTO]]="","",TEXT(LANÇ_MOV[[#This Row],[DATA DE PAGAMENTO]],"M"))</f>
        <v/>
      </c>
      <c r="AL982" s="526" t="str">
        <f>IF(LANÇ_MOV[[#This Row],[DATA DE PAGAMENTO]]="","",TEXT(LANÇ_MOV[[#This Row],[DATA DE PAGAMENTO]],"D"))</f>
        <v/>
      </c>
    </row>
    <row r="983" spans="2:38" ht="30.05" customHeight="1" x14ac:dyDescent="0.35">
      <c r="B983" s="506"/>
      <c r="C983" s="507"/>
      <c r="D983" s="508" t="s">
        <v>1854</v>
      </c>
      <c r="E983" s="509"/>
      <c r="F983" s="510"/>
      <c r="G983" s="507"/>
      <c r="H983" s="511"/>
      <c r="I983" s="512"/>
      <c r="J983" s="518"/>
      <c r="K983" s="510"/>
      <c r="L983" s="510"/>
      <c r="M983" s="548"/>
      <c r="N983" s="514">
        <f>LANÇ_MOV[[#This Row],[VALOR BRUTO]]-LANÇ_MOV[[#This Row],[DESCONTO]]+LANÇ_MOV[[#This Row],[JUROS]]+LANÇ_MOV[[#This Row],[MULTA]]</f>
        <v>0</v>
      </c>
      <c r="O983" s="546"/>
      <c r="P983" s="547" t="str">
        <f t="shared" ca="1" si="15"/>
        <v/>
      </c>
      <c r="Q983" s="528"/>
      <c r="R983" s="529"/>
      <c r="S983" s="518"/>
      <c r="T983" s="518"/>
      <c r="U983" s="519"/>
      <c r="V983" s="520" t="str">
        <f>IFERROR(VLOOKUP(LANÇ_MOV[[#This Row],[PLANO DE CONTAS]],Plano_Contas[[PLANO DE CONTAS]:[R / D]],3,0),"")</f>
        <v/>
      </c>
      <c r="W983" s="521" t="str">
        <f>IF(LANÇ_MOV[[#This Row],[DATA DE PAGAMENTO]]&lt;&gt;"","Pago","Não Pago")</f>
        <v>Não Pago</v>
      </c>
      <c r="X983" s="522" t="str">
        <f>IFERROR(IF(LANÇ_MOV[[#This Row],[DATA DE PAGAMENTO]]="","",(UPPER(TEXT(LANÇ_MOV[[#This Row],[DATA DE PAGAMENTO]],"mmmm")))),"")</f>
        <v/>
      </c>
      <c r="Y983" s="523" t="str">
        <f>IFERROR(VLOOKUP(LANÇ_MOV[[#This Row],[PLANO DE CONTAS]],Plano_Contas[[PLANO DE CONTAS]:[NOMES INTERVALOS]],2,0),"")</f>
        <v/>
      </c>
      <c r="Z983" s="523" t="str">
        <f>IF(LANÇ_MOV[[#This Row],[FORMA DE PAGAMENTO]]="","",VLOOKUP(LANÇ_MOV[[#This Row],[FORMA DE PAGAMENTO]],CAD_Forma_pagto[],2,0))</f>
        <v/>
      </c>
      <c r="AA983" s="524" t="str">
        <f>IF(LANÇ_MOV[[#This Row],[DATA DE LANÇAMENTO]]="","",TEXT(LANÇ_MOV[[#This Row],[DATA DE LANÇAMENTO]],"AAAA"))</f>
        <v/>
      </c>
      <c r="AB983" s="524" t="str">
        <f>IF(LANÇ_MOV[[#This Row],[DATA DE LANÇAMENTO]]="","",UPPER(TEXT(LANÇ_MOV[[#This Row],[DATA DE LANÇAMENTO]],"MMMM")))</f>
        <v/>
      </c>
      <c r="AC983" s="525" t="str">
        <f>IF(LANÇ_MOV[[#This Row],[DATA DE LANÇAMENTO]]="","",PROPER(TEXT(LANÇ_MOV[[#This Row],[DATA DE LANÇAMENTO]],"M")))</f>
        <v/>
      </c>
      <c r="AD983" s="524" t="str">
        <f>IF(LANÇ_MOV[[#This Row],[DATA DE LANÇAMENTO]]="","",TEXT(LANÇ_MOV[[#This Row],[DATA DE LANÇAMENTO]],"D"))</f>
        <v/>
      </c>
      <c r="AE983" s="526" t="str">
        <f>IF(LANÇ_MOV[[#This Row],[DATA DE VENCIMENTO]]="","",TEXT(LANÇ_MOV[[#This Row],[DATA DE VENCIMENTO]],"AAAA"))</f>
        <v/>
      </c>
      <c r="AF983" s="526" t="str">
        <f>IF(LANÇ_MOV[[#This Row],[DATA DE VENCIMENTO]]="","",UPPER(TEXT(LANÇ_MOV[[#This Row],[DATA DE VENCIMENTO]],"MMMM")))</f>
        <v/>
      </c>
      <c r="AG983" s="526" t="str">
        <f>IF(LANÇ_MOV[[#This Row],[DATA DE VENCIMENTO]]="","",TEXT(LANÇ_MOV[[#This Row],[DATA DE VENCIMENTO]],"M"))</f>
        <v/>
      </c>
      <c r="AH983" s="526" t="str">
        <f>IF(LANÇ_MOV[[#This Row],[DATA DE VENCIMENTO]]="","",TEXT(LANÇ_MOV[[#This Row],[DATA DE VENCIMENTO]],"D"))</f>
        <v/>
      </c>
      <c r="AI983" s="526" t="str">
        <f>IF(LANÇ_MOV[[#This Row],[DATA DE PAGAMENTO]]="","",TEXT(LANÇ_MOV[[#This Row],[DATA DE PAGAMENTO]],"AAAA"))</f>
        <v/>
      </c>
      <c r="AJ983" s="527" t="str">
        <f>IF(LANÇ_MOV[[#This Row],[DATA DE PAGAMENTO]]="","",UPPER(TEXT(LANÇ_MOV[[#This Row],[DATA DE PAGAMENTO]],"MMMM")))</f>
        <v/>
      </c>
      <c r="AK983" s="527" t="str">
        <f>IF(LANÇ_MOV[[#This Row],[DATA DE PAGAMENTO]]="","",TEXT(LANÇ_MOV[[#This Row],[DATA DE PAGAMENTO]],"M"))</f>
        <v/>
      </c>
      <c r="AL983" s="526" t="str">
        <f>IF(LANÇ_MOV[[#This Row],[DATA DE PAGAMENTO]]="","",TEXT(LANÇ_MOV[[#This Row],[DATA DE PAGAMENTO]],"D"))</f>
        <v/>
      </c>
    </row>
    <row r="984" spans="2:38" ht="30.05" customHeight="1" x14ac:dyDescent="0.35">
      <c r="B984" s="506"/>
      <c r="C984" s="507"/>
      <c r="D984" s="508" t="s">
        <v>1854</v>
      </c>
      <c r="E984" s="509"/>
      <c r="F984" s="510"/>
      <c r="G984" s="507"/>
      <c r="H984" s="511"/>
      <c r="I984" s="512"/>
      <c r="J984" s="518"/>
      <c r="K984" s="510"/>
      <c r="L984" s="510"/>
      <c r="M984" s="548"/>
      <c r="N984" s="514">
        <f>LANÇ_MOV[[#This Row],[VALOR BRUTO]]-LANÇ_MOV[[#This Row],[DESCONTO]]+LANÇ_MOV[[#This Row],[JUROS]]+LANÇ_MOV[[#This Row],[MULTA]]</f>
        <v>0</v>
      </c>
      <c r="O984" s="546"/>
      <c r="P984" s="547" t="str">
        <f t="shared" ca="1" si="15"/>
        <v/>
      </c>
      <c r="Q984" s="528"/>
      <c r="R984" s="529"/>
      <c r="S984" s="518"/>
      <c r="T984" s="518"/>
      <c r="U984" s="519"/>
      <c r="V984" s="520" t="str">
        <f>IFERROR(VLOOKUP(LANÇ_MOV[[#This Row],[PLANO DE CONTAS]],Plano_Contas[[PLANO DE CONTAS]:[R / D]],3,0),"")</f>
        <v/>
      </c>
      <c r="W984" s="521" t="str">
        <f>IF(LANÇ_MOV[[#This Row],[DATA DE PAGAMENTO]]&lt;&gt;"","Pago","Não Pago")</f>
        <v>Não Pago</v>
      </c>
      <c r="X984" s="522" t="str">
        <f>IFERROR(IF(LANÇ_MOV[[#This Row],[DATA DE PAGAMENTO]]="","",(UPPER(TEXT(LANÇ_MOV[[#This Row],[DATA DE PAGAMENTO]],"mmmm")))),"")</f>
        <v/>
      </c>
      <c r="Y984" s="523" t="str">
        <f>IFERROR(VLOOKUP(LANÇ_MOV[[#This Row],[PLANO DE CONTAS]],Plano_Contas[[PLANO DE CONTAS]:[NOMES INTERVALOS]],2,0),"")</f>
        <v/>
      </c>
      <c r="Z984" s="523" t="str">
        <f>IF(LANÇ_MOV[[#This Row],[FORMA DE PAGAMENTO]]="","",VLOOKUP(LANÇ_MOV[[#This Row],[FORMA DE PAGAMENTO]],CAD_Forma_pagto[],2,0))</f>
        <v/>
      </c>
      <c r="AA984" s="524" t="str">
        <f>IF(LANÇ_MOV[[#This Row],[DATA DE LANÇAMENTO]]="","",TEXT(LANÇ_MOV[[#This Row],[DATA DE LANÇAMENTO]],"AAAA"))</f>
        <v/>
      </c>
      <c r="AB984" s="524" t="str">
        <f>IF(LANÇ_MOV[[#This Row],[DATA DE LANÇAMENTO]]="","",UPPER(TEXT(LANÇ_MOV[[#This Row],[DATA DE LANÇAMENTO]],"MMMM")))</f>
        <v/>
      </c>
      <c r="AC984" s="525" t="str">
        <f>IF(LANÇ_MOV[[#This Row],[DATA DE LANÇAMENTO]]="","",PROPER(TEXT(LANÇ_MOV[[#This Row],[DATA DE LANÇAMENTO]],"M")))</f>
        <v/>
      </c>
      <c r="AD984" s="524" t="str">
        <f>IF(LANÇ_MOV[[#This Row],[DATA DE LANÇAMENTO]]="","",TEXT(LANÇ_MOV[[#This Row],[DATA DE LANÇAMENTO]],"D"))</f>
        <v/>
      </c>
      <c r="AE984" s="526" t="str">
        <f>IF(LANÇ_MOV[[#This Row],[DATA DE VENCIMENTO]]="","",TEXT(LANÇ_MOV[[#This Row],[DATA DE VENCIMENTO]],"AAAA"))</f>
        <v/>
      </c>
      <c r="AF984" s="526" t="str">
        <f>IF(LANÇ_MOV[[#This Row],[DATA DE VENCIMENTO]]="","",UPPER(TEXT(LANÇ_MOV[[#This Row],[DATA DE VENCIMENTO]],"MMMM")))</f>
        <v/>
      </c>
      <c r="AG984" s="526" t="str">
        <f>IF(LANÇ_MOV[[#This Row],[DATA DE VENCIMENTO]]="","",TEXT(LANÇ_MOV[[#This Row],[DATA DE VENCIMENTO]],"M"))</f>
        <v/>
      </c>
      <c r="AH984" s="526" t="str">
        <f>IF(LANÇ_MOV[[#This Row],[DATA DE VENCIMENTO]]="","",TEXT(LANÇ_MOV[[#This Row],[DATA DE VENCIMENTO]],"D"))</f>
        <v/>
      </c>
      <c r="AI984" s="526" t="str">
        <f>IF(LANÇ_MOV[[#This Row],[DATA DE PAGAMENTO]]="","",TEXT(LANÇ_MOV[[#This Row],[DATA DE PAGAMENTO]],"AAAA"))</f>
        <v/>
      </c>
      <c r="AJ984" s="527" t="str">
        <f>IF(LANÇ_MOV[[#This Row],[DATA DE PAGAMENTO]]="","",UPPER(TEXT(LANÇ_MOV[[#This Row],[DATA DE PAGAMENTO]],"MMMM")))</f>
        <v/>
      </c>
      <c r="AK984" s="527" t="str">
        <f>IF(LANÇ_MOV[[#This Row],[DATA DE PAGAMENTO]]="","",TEXT(LANÇ_MOV[[#This Row],[DATA DE PAGAMENTO]],"M"))</f>
        <v/>
      </c>
      <c r="AL984" s="526" t="str">
        <f>IF(LANÇ_MOV[[#This Row],[DATA DE PAGAMENTO]]="","",TEXT(LANÇ_MOV[[#This Row],[DATA DE PAGAMENTO]],"D"))</f>
        <v/>
      </c>
    </row>
    <row r="985" spans="2:38" ht="30.05" customHeight="1" x14ac:dyDescent="0.35">
      <c r="B985" s="506"/>
      <c r="C985" s="507"/>
      <c r="D985" s="508" t="s">
        <v>1854</v>
      </c>
      <c r="E985" s="509"/>
      <c r="F985" s="510"/>
      <c r="G985" s="507"/>
      <c r="H985" s="511"/>
      <c r="I985" s="512"/>
      <c r="J985" s="518"/>
      <c r="K985" s="510"/>
      <c r="L985" s="510"/>
      <c r="M985" s="548"/>
      <c r="N985" s="514">
        <f>LANÇ_MOV[[#This Row],[VALOR BRUTO]]-LANÇ_MOV[[#This Row],[DESCONTO]]+LANÇ_MOV[[#This Row],[JUROS]]+LANÇ_MOV[[#This Row],[MULTA]]</f>
        <v>0</v>
      </c>
      <c r="O985" s="546"/>
      <c r="P985" s="547" t="str">
        <f t="shared" ca="1" si="15"/>
        <v/>
      </c>
      <c r="Q985" s="528"/>
      <c r="R985" s="529"/>
      <c r="S985" s="518"/>
      <c r="T985" s="518"/>
      <c r="U985" s="519"/>
      <c r="V985" s="520" t="str">
        <f>IFERROR(VLOOKUP(LANÇ_MOV[[#This Row],[PLANO DE CONTAS]],Plano_Contas[[PLANO DE CONTAS]:[R / D]],3,0),"")</f>
        <v/>
      </c>
      <c r="W985" s="521" t="str">
        <f>IF(LANÇ_MOV[[#This Row],[DATA DE PAGAMENTO]]&lt;&gt;"","Pago","Não Pago")</f>
        <v>Não Pago</v>
      </c>
      <c r="X985" s="522" t="str">
        <f>IFERROR(IF(LANÇ_MOV[[#This Row],[DATA DE PAGAMENTO]]="","",(UPPER(TEXT(LANÇ_MOV[[#This Row],[DATA DE PAGAMENTO]],"mmmm")))),"")</f>
        <v/>
      </c>
      <c r="Y985" s="523" t="str">
        <f>IFERROR(VLOOKUP(LANÇ_MOV[[#This Row],[PLANO DE CONTAS]],Plano_Contas[[PLANO DE CONTAS]:[NOMES INTERVALOS]],2,0),"")</f>
        <v/>
      </c>
      <c r="Z985" s="523" t="str">
        <f>IF(LANÇ_MOV[[#This Row],[FORMA DE PAGAMENTO]]="","",VLOOKUP(LANÇ_MOV[[#This Row],[FORMA DE PAGAMENTO]],CAD_Forma_pagto[],2,0))</f>
        <v/>
      </c>
      <c r="AA985" s="524" t="str">
        <f>IF(LANÇ_MOV[[#This Row],[DATA DE LANÇAMENTO]]="","",TEXT(LANÇ_MOV[[#This Row],[DATA DE LANÇAMENTO]],"AAAA"))</f>
        <v/>
      </c>
      <c r="AB985" s="524" t="str">
        <f>IF(LANÇ_MOV[[#This Row],[DATA DE LANÇAMENTO]]="","",UPPER(TEXT(LANÇ_MOV[[#This Row],[DATA DE LANÇAMENTO]],"MMMM")))</f>
        <v/>
      </c>
      <c r="AC985" s="525" t="str">
        <f>IF(LANÇ_MOV[[#This Row],[DATA DE LANÇAMENTO]]="","",PROPER(TEXT(LANÇ_MOV[[#This Row],[DATA DE LANÇAMENTO]],"M")))</f>
        <v/>
      </c>
      <c r="AD985" s="524" t="str">
        <f>IF(LANÇ_MOV[[#This Row],[DATA DE LANÇAMENTO]]="","",TEXT(LANÇ_MOV[[#This Row],[DATA DE LANÇAMENTO]],"D"))</f>
        <v/>
      </c>
      <c r="AE985" s="526" t="str">
        <f>IF(LANÇ_MOV[[#This Row],[DATA DE VENCIMENTO]]="","",TEXT(LANÇ_MOV[[#This Row],[DATA DE VENCIMENTO]],"AAAA"))</f>
        <v/>
      </c>
      <c r="AF985" s="526" t="str">
        <f>IF(LANÇ_MOV[[#This Row],[DATA DE VENCIMENTO]]="","",UPPER(TEXT(LANÇ_MOV[[#This Row],[DATA DE VENCIMENTO]],"MMMM")))</f>
        <v/>
      </c>
      <c r="AG985" s="526" t="str">
        <f>IF(LANÇ_MOV[[#This Row],[DATA DE VENCIMENTO]]="","",TEXT(LANÇ_MOV[[#This Row],[DATA DE VENCIMENTO]],"M"))</f>
        <v/>
      </c>
      <c r="AH985" s="526" t="str">
        <f>IF(LANÇ_MOV[[#This Row],[DATA DE VENCIMENTO]]="","",TEXT(LANÇ_MOV[[#This Row],[DATA DE VENCIMENTO]],"D"))</f>
        <v/>
      </c>
      <c r="AI985" s="526" t="str">
        <f>IF(LANÇ_MOV[[#This Row],[DATA DE PAGAMENTO]]="","",TEXT(LANÇ_MOV[[#This Row],[DATA DE PAGAMENTO]],"AAAA"))</f>
        <v/>
      </c>
      <c r="AJ985" s="527" t="str">
        <f>IF(LANÇ_MOV[[#This Row],[DATA DE PAGAMENTO]]="","",UPPER(TEXT(LANÇ_MOV[[#This Row],[DATA DE PAGAMENTO]],"MMMM")))</f>
        <v/>
      </c>
      <c r="AK985" s="527" t="str">
        <f>IF(LANÇ_MOV[[#This Row],[DATA DE PAGAMENTO]]="","",TEXT(LANÇ_MOV[[#This Row],[DATA DE PAGAMENTO]],"M"))</f>
        <v/>
      </c>
      <c r="AL985" s="526" t="str">
        <f>IF(LANÇ_MOV[[#This Row],[DATA DE PAGAMENTO]]="","",TEXT(LANÇ_MOV[[#This Row],[DATA DE PAGAMENTO]],"D"))</f>
        <v/>
      </c>
    </row>
    <row r="986" spans="2:38" ht="30.05" customHeight="1" x14ac:dyDescent="0.35">
      <c r="B986" s="506"/>
      <c r="C986" s="507"/>
      <c r="D986" s="508" t="s">
        <v>1854</v>
      </c>
      <c r="E986" s="509"/>
      <c r="F986" s="510"/>
      <c r="G986" s="507"/>
      <c r="H986" s="511"/>
      <c r="I986" s="512"/>
      <c r="J986" s="518"/>
      <c r="K986" s="510"/>
      <c r="L986" s="510"/>
      <c r="M986" s="548"/>
      <c r="N986" s="514">
        <f>LANÇ_MOV[[#This Row],[VALOR BRUTO]]-LANÇ_MOV[[#This Row],[DESCONTO]]+LANÇ_MOV[[#This Row],[JUROS]]+LANÇ_MOV[[#This Row],[MULTA]]</f>
        <v>0</v>
      </c>
      <c r="O986" s="546"/>
      <c r="P986" s="547" t="str">
        <f t="shared" ca="1" si="15"/>
        <v/>
      </c>
      <c r="Q986" s="528"/>
      <c r="R986" s="529"/>
      <c r="S986" s="518"/>
      <c r="T986" s="518"/>
      <c r="U986" s="519"/>
      <c r="V986" s="520" t="str">
        <f>IFERROR(VLOOKUP(LANÇ_MOV[[#This Row],[PLANO DE CONTAS]],Plano_Contas[[PLANO DE CONTAS]:[R / D]],3,0),"")</f>
        <v/>
      </c>
      <c r="W986" s="521" t="str">
        <f>IF(LANÇ_MOV[[#This Row],[DATA DE PAGAMENTO]]&lt;&gt;"","Pago","Não Pago")</f>
        <v>Não Pago</v>
      </c>
      <c r="X986" s="522" t="str">
        <f>IFERROR(IF(LANÇ_MOV[[#This Row],[DATA DE PAGAMENTO]]="","",(UPPER(TEXT(LANÇ_MOV[[#This Row],[DATA DE PAGAMENTO]],"mmmm")))),"")</f>
        <v/>
      </c>
      <c r="Y986" s="523" t="str">
        <f>IFERROR(VLOOKUP(LANÇ_MOV[[#This Row],[PLANO DE CONTAS]],Plano_Contas[[PLANO DE CONTAS]:[NOMES INTERVALOS]],2,0),"")</f>
        <v/>
      </c>
      <c r="Z986" s="523" t="str">
        <f>IF(LANÇ_MOV[[#This Row],[FORMA DE PAGAMENTO]]="","",VLOOKUP(LANÇ_MOV[[#This Row],[FORMA DE PAGAMENTO]],CAD_Forma_pagto[],2,0))</f>
        <v/>
      </c>
      <c r="AA986" s="524" t="str">
        <f>IF(LANÇ_MOV[[#This Row],[DATA DE LANÇAMENTO]]="","",TEXT(LANÇ_MOV[[#This Row],[DATA DE LANÇAMENTO]],"AAAA"))</f>
        <v/>
      </c>
      <c r="AB986" s="524" t="str">
        <f>IF(LANÇ_MOV[[#This Row],[DATA DE LANÇAMENTO]]="","",UPPER(TEXT(LANÇ_MOV[[#This Row],[DATA DE LANÇAMENTO]],"MMMM")))</f>
        <v/>
      </c>
      <c r="AC986" s="525" t="str">
        <f>IF(LANÇ_MOV[[#This Row],[DATA DE LANÇAMENTO]]="","",PROPER(TEXT(LANÇ_MOV[[#This Row],[DATA DE LANÇAMENTO]],"M")))</f>
        <v/>
      </c>
      <c r="AD986" s="524" t="str">
        <f>IF(LANÇ_MOV[[#This Row],[DATA DE LANÇAMENTO]]="","",TEXT(LANÇ_MOV[[#This Row],[DATA DE LANÇAMENTO]],"D"))</f>
        <v/>
      </c>
      <c r="AE986" s="526" t="str">
        <f>IF(LANÇ_MOV[[#This Row],[DATA DE VENCIMENTO]]="","",TEXT(LANÇ_MOV[[#This Row],[DATA DE VENCIMENTO]],"AAAA"))</f>
        <v/>
      </c>
      <c r="AF986" s="526" t="str">
        <f>IF(LANÇ_MOV[[#This Row],[DATA DE VENCIMENTO]]="","",UPPER(TEXT(LANÇ_MOV[[#This Row],[DATA DE VENCIMENTO]],"MMMM")))</f>
        <v/>
      </c>
      <c r="AG986" s="526" t="str">
        <f>IF(LANÇ_MOV[[#This Row],[DATA DE VENCIMENTO]]="","",TEXT(LANÇ_MOV[[#This Row],[DATA DE VENCIMENTO]],"M"))</f>
        <v/>
      </c>
      <c r="AH986" s="526" t="str">
        <f>IF(LANÇ_MOV[[#This Row],[DATA DE VENCIMENTO]]="","",TEXT(LANÇ_MOV[[#This Row],[DATA DE VENCIMENTO]],"D"))</f>
        <v/>
      </c>
      <c r="AI986" s="526" t="str">
        <f>IF(LANÇ_MOV[[#This Row],[DATA DE PAGAMENTO]]="","",TEXT(LANÇ_MOV[[#This Row],[DATA DE PAGAMENTO]],"AAAA"))</f>
        <v/>
      </c>
      <c r="AJ986" s="527" t="str">
        <f>IF(LANÇ_MOV[[#This Row],[DATA DE PAGAMENTO]]="","",UPPER(TEXT(LANÇ_MOV[[#This Row],[DATA DE PAGAMENTO]],"MMMM")))</f>
        <v/>
      </c>
      <c r="AK986" s="527" t="str">
        <f>IF(LANÇ_MOV[[#This Row],[DATA DE PAGAMENTO]]="","",TEXT(LANÇ_MOV[[#This Row],[DATA DE PAGAMENTO]],"M"))</f>
        <v/>
      </c>
      <c r="AL986" s="526" t="str">
        <f>IF(LANÇ_MOV[[#This Row],[DATA DE PAGAMENTO]]="","",TEXT(LANÇ_MOV[[#This Row],[DATA DE PAGAMENTO]],"D"))</f>
        <v/>
      </c>
    </row>
    <row r="987" spans="2:38" ht="30.05" customHeight="1" x14ac:dyDescent="0.35">
      <c r="B987" s="506"/>
      <c r="C987" s="507"/>
      <c r="D987" s="508" t="s">
        <v>1854</v>
      </c>
      <c r="E987" s="509"/>
      <c r="F987" s="510"/>
      <c r="G987" s="507"/>
      <c r="H987" s="511"/>
      <c r="I987" s="512"/>
      <c r="J987" s="518"/>
      <c r="K987" s="510"/>
      <c r="L987" s="510"/>
      <c r="M987" s="548"/>
      <c r="N987" s="514">
        <f>LANÇ_MOV[[#This Row],[VALOR BRUTO]]-LANÇ_MOV[[#This Row],[DESCONTO]]+LANÇ_MOV[[#This Row],[JUROS]]+LANÇ_MOV[[#This Row],[MULTA]]</f>
        <v>0</v>
      </c>
      <c r="O987" s="546"/>
      <c r="P987" s="547" t="str">
        <f t="shared" ca="1" si="15"/>
        <v/>
      </c>
      <c r="Q987" s="528"/>
      <c r="R987" s="529"/>
      <c r="S987" s="518"/>
      <c r="T987" s="518"/>
      <c r="U987" s="519"/>
      <c r="V987" s="520" t="str">
        <f>IFERROR(VLOOKUP(LANÇ_MOV[[#This Row],[PLANO DE CONTAS]],Plano_Contas[[PLANO DE CONTAS]:[R / D]],3,0),"")</f>
        <v/>
      </c>
      <c r="W987" s="521" t="str">
        <f>IF(LANÇ_MOV[[#This Row],[DATA DE PAGAMENTO]]&lt;&gt;"","Pago","Não Pago")</f>
        <v>Não Pago</v>
      </c>
      <c r="X987" s="522" t="str">
        <f>IFERROR(IF(LANÇ_MOV[[#This Row],[DATA DE PAGAMENTO]]="","",(UPPER(TEXT(LANÇ_MOV[[#This Row],[DATA DE PAGAMENTO]],"mmmm")))),"")</f>
        <v/>
      </c>
      <c r="Y987" s="523" t="str">
        <f>IFERROR(VLOOKUP(LANÇ_MOV[[#This Row],[PLANO DE CONTAS]],Plano_Contas[[PLANO DE CONTAS]:[NOMES INTERVALOS]],2,0),"")</f>
        <v/>
      </c>
      <c r="Z987" s="523" t="str">
        <f>IF(LANÇ_MOV[[#This Row],[FORMA DE PAGAMENTO]]="","",VLOOKUP(LANÇ_MOV[[#This Row],[FORMA DE PAGAMENTO]],CAD_Forma_pagto[],2,0))</f>
        <v/>
      </c>
      <c r="AA987" s="524" t="str">
        <f>IF(LANÇ_MOV[[#This Row],[DATA DE LANÇAMENTO]]="","",TEXT(LANÇ_MOV[[#This Row],[DATA DE LANÇAMENTO]],"AAAA"))</f>
        <v/>
      </c>
      <c r="AB987" s="524" t="str">
        <f>IF(LANÇ_MOV[[#This Row],[DATA DE LANÇAMENTO]]="","",UPPER(TEXT(LANÇ_MOV[[#This Row],[DATA DE LANÇAMENTO]],"MMMM")))</f>
        <v/>
      </c>
      <c r="AC987" s="525" t="str">
        <f>IF(LANÇ_MOV[[#This Row],[DATA DE LANÇAMENTO]]="","",PROPER(TEXT(LANÇ_MOV[[#This Row],[DATA DE LANÇAMENTO]],"M")))</f>
        <v/>
      </c>
      <c r="AD987" s="524" t="str">
        <f>IF(LANÇ_MOV[[#This Row],[DATA DE LANÇAMENTO]]="","",TEXT(LANÇ_MOV[[#This Row],[DATA DE LANÇAMENTO]],"D"))</f>
        <v/>
      </c>
      <c r="AE987" s="526" t="str">
        <f>IF(LANÇ_MOV[[#This Row],[DATA DE VENCIMENTO]]="","",TEXT(LANÇ_MOV[[#This Row],[DATA DE VENCIMENTO]],"AAAA"))</f>
        <v/>
      </c>
      <c r="AF987" s="526" t="str">
        <f>IF(LANÇ_MOV[[#This Row],[DATA DE VENCIMENTO]]="","",UPPER(TEXT(LANÇ_MOV[[#This Row],[DATA DE VENCIMENTO]],"MMMM")))</f>
        <v/>
      </c>
      <c r="AG987" s="526" t="str">
        <f>IF(LANÇ_MOV[[#This Row],[DATA DE VENCIMENTO]]="","",TEXT(LANÇ_MOV[[#This Row],[DATA DE VENCIMENTO]],"M"))</f>
        <v/>
      </c>
      <c r="AH987" s="526" t="str">
        <f>IF(LANÇ_MOV[[#This Row],[DATA DE VENCIMENTO]]="","",TEXT(LANÇ_MOV[[#This Row],[DATA DE VENCIMENTO]],"D"))</f>
        <v/>
      </c>
      <c r="AI987" s="526" t="str">
        <f>IF(LANÇ_MOV[[#This Row],[DATA DE PAGAMENTO]]="","",TEXT(LANÇ_MOV[[#This Row],[DATA DE PAGAMENTO]],"AAAA"))</f>
        <v/>
      </c>
      <c r="AJ987" s="527" t="str">
        <f>IF(LANÇ_MOV[[#This Row],[DATA DE PAGAMENTO]]="","",UPPER(TEXT(LANÇ_MOV[[#This Row],[DATA DE PAGAMENTO]],"MMMM")))</f>
        <v/>
      </c>
      <c r="AK987" s="527" t="str">
        <f>IF(LANÇ_MOV[[#This Row],[DATA DE PAGAMENTO]]="","",TEXT(LANÇ_MOV[[#This Row],[DATA DE PAGAMENTO]],"M"))</f>
        <v/>
      </c>
      <c r="AL987" s="526" t="str">
        <f>IF(LANÇ_MOV[[#This Row],[DATA DE PAGAMENTO]]="","",TEXT(LANÇ_MOV[[#This Row],[DATA DE PAGAMENTO]],"D"))</f>
        <v/>
      </c>
    </row>
    <row r="988" spans="2:38" ht="30.05" customHeight="1" x14ac:dyDescent="0.35">
      <c r="B988" s="506"/>
      <c r="C988" s="507"/>
      <c r="D988" s="508" t="s">
        <v>1854</v>
      </c>
      <c r="E988" s="509"/>
      <c r="F988" s="510"/>
      <c r="G988" s="507"/>
      <c r="H988" s="511"/>
      <c r="I988" s="512"/>
      <c r="J988" s="518"/>
      <c r="K988" s="510"/>
      <c r="L988" s="510"/>
      <c r="M988" s="548"/>
      <c r="N988" s="514">
        <f>LANÇ_MOV[[#This Row],[VALOR BRUTO]]-LANÇ_MOV[[#This Row],[DESCONTO]]+LANÇ_MOV[[#This Row],[JUROS]]+LANÇ_MOV[[#This Row],[MULTA]]</f>
        <v>0</v>
      </c>
      <c r="O988" s="546"/>
      <c r="P988" s="547" t="str">
        <f t="shared" ca="1" si="15"/>
        <v/>
      </c>
      <c r="Q988" s="528"/>
      <c r="R988" s="529"/>
      <c r="S988" s="518"/>
      <c r="T988" s="518"/>
      <c r="U988" s="519"/>
      <c r="V988" s="520" t="str">
        <f>IFERROR(VLOOKUP(LANÇ_MOV[[#This Row],[PLANO DE CONTAS]],Plano_Contas[[PLANO DE CONTAS]:[R / D]],3,0),"")</f>
        <v/>
      </c>
      <c r="W988" s="521" t="str">
        <f>IF(LANÇ_MOV[[#This Row],[DATA DE PAGAMENTO]]&lt;&gt;"","Pago","Não Pago")</f>
        <v>Não Pago</v>
      </c>
      <c r="X988" s="522" t="str">
        <f>IFERROR(IF(LANÇ_MOV[[#This Row],[DATA DE PAGAMENTO]]="","",(UPPER(TEXT(LANÇ_MOV[[#This Row],[DATA DE PAGAMENTO]],"mmmm")))),"")</f>
        <v/>
      </c>
      <c r="Y988" s="523" t="str">
        <f>IFERROR(VLOOKUP(LANÇ_MOV[[#This Row],[PLANO DE CONTAS]],Plano_Contas[[PLANO DE CONTAS]:[NOMES INTERVALOS]],2,0),"")</f>
        <v/>
      </c>
      <c r="Z988" s="523" t="str">
        <f>IF(LANÇ_MOV[[#This Row],[FORMA DE PAGAMENTO]]="","",VLOOKUP(LANÇ_MOV[[#This Row],[FORMA DE PAGAMENTO]],CAD_Forma_pagto[],2,0))</f>
        <v/>
      </c>
      <c r="AA988" s="524" t="str">
        <f>IF(LANÇ_MOV[[#This Row],[DATA DE LANÇAMENTO]]="","",TEXT(LANÇ_MOV[[#This Row],[DATA DE LANÇAMENTO]],"AAAA"))</f>
        <v/>
      </c>
      <c r="AB988" s="524" t="str">
        <f>IF(LANÇ_MOV[[#This Row],[DATA DE LANÇAMENTO]]="","",UPPER(TEXT(LANÇ_MOV[[#This Row],[DATA DE LANÇAMENTO]],"MMMM")))</f>
        <v/>
      </c>
      <c r="AC988" s="525" t="str">
        <f>IF(LANÇ_MOV[[#This Row],[DATA DE LANÇAMENTO]]="","",PROPER(TEXT(LANÇ_MOV[[#This Row],[DATA DE LANÇAMENTO]],"M")))</f>
        <v/>
      </c>
      <c r="AD988" s="524" t="str">
        <f>IF(LANÇ_MOV[[#This Row],[DATA DE LANÇAMENTO]]="","",TEXT(LANÇ_MOV[[#This Row],[DATA DE LANÇAMENTO]],"D"))</f>
        <v/>
      </c>
      <c r="AE988" s="526" t="str">
        <f>IF(LANÇ_MOV[[#This Row],[DATA DE VENCIMENTO]]="","",TEXT(LANÇ_MOV[[#This Row],[DATA DE VENCIMENTO]],"AAAA"))</f>
        <v/>
      </c>
      <c r="AF988" s="526" t="str">
        <f>IF(LANÇ_MOV[[#This Row],[DATA DE VENCIMENTO]]="","",UPPER(TEXT(LANÇ_MOV[[#This Row],[DATA DE VENCIMENTO]],"MMMM")))</f>
        <v/>
      </c>
      <c r="AG988" s="526" t="str">
        <f>IF(LANÇ_MOV[[#This Row],[DATA DE VENCIMENTO]]="","",TEXT(LANÇ_MOV[[#This Row],[DATA DE VENCIMENTO]],"M"))</f>
        <v/>
      </c>
      <c r="AH988" s="526" t="str">
        <f>IF(LANÇ_MOV[[#This Row],[DATA DE VENCIMENTO]]="","",TEXT(LANÇ_MOV[[#This Row],[DATA DE VENCIMENTO]],"D"))</f>
        <v/>
      </c>
      <c r="AI988" s="526" t="str">
        <f>IF(LANÇ_MOV[[#This Row],[DATA DE PAGAMENTO]]="","",TEXT(LANÇ_MOV[[#This Row],[DATA DE PAGAMENTO]],"AAAA"))</f>
        <v/>
      </c>
      <c r="AJ988" s="527" t="str">
        <f>IF(LANÇ_MOV[[#This Row],[DATA DE PAGAMENTO]]="","",UPPER(TEXT(LANÇ_MOV[[#This Row],[DATA DE PAGAMENTO]],"MMMM")))</f>
        <v/>
      </c>
      <c r="AK988" s="527" t="str">
        <f>IF(LANÇ_MOV[[#This Row],[DATA DE PAGAMENTO]]="","",TEXT(LANÇ_MOV[[#This Row],[DATA DE PAGAMENTO]],"M"))</f>
        <v/>
      </c>
      <c r="AL988" s="526" t="str">
        <f>IF(LANÇ_MOV[[#This Row],[DATA DE PAGAMENTO]]="","",TEXT(LANÇ_MOV[[#This Row],[DATA DE PAGAMENTO]],"D"))</f>
        <v/>
      </c>
    </row>
    <row r="989" spans="2:38" ht="30.05" customHeight="1" x14ac:dyDescent="0.35">
      <c r="B989" s="506"/>
      <c r="C989" s="507"/>
      <c r="D989" s="508" t="s">
        <v>1854</v>
      </c>
      <c r="E989" s="509"/>
      <c r="F989" s="510"/>
      <c r="G989" s="507"/>
      <c r="H989" s="511"/>
      <c r="I989" s="512"/>
      <c r="J989" s="518"/>
      <c r="K989" s="510"/>
      <c r="L989" s="510"/>
      <c r="M989" s="548"/>
      <c r="N989" s="514">
        <f>LANÇ_MOV[[#This Row],[VALOR BRUTO]]-LANÇ_MOV[[#This Row],[DESCONTO]]+LANÇ_MOV[[#This Row],[JUROS]]+LANÇ_MOV[[#This Row],[MULTA]]</f>
        <v>0</v>
      </c>
      <c r="O989" s="546"/>
      <c r="P989" s="547" t="str">
        <f t="shared" ca="1" si="15"/>
        <v/>
      </c>
      <c r="Q989" s="528"/>
      <c r="R989" s="529"/>
      <c r="S989" s="518"/>
      <c r="T989" s="518"/>
      <c r="U989" s="519"/>
      <c r="V989" s="520" t="str">
        <f>IFERROR(VLOOKUP(LANÇ_MOV[[#This Row],[PLANO DE CONTAS]],Plano_Contas[[PLANO DE CONTAS]:[R / D]],3,0),"")</f>
        <v/>
      </c>
      <c r="W989" s="521" t="str">
        <f>IF(LANÇ_MOV[[#This Row],[DATA DE PAGAMENTO]]&lt;&gt;"","Pago","Não Pago")</f>
        <v>Não Pago</v>
      </c>
      <c r="X989" s="522" t="str">
        <f>IFERROR(IF(LANÇ_MOV[[#This Row],[DATA DE PAGAMENTO]]="","",(UPPER(TEXT(LANÇ_MOV[[#This Row],[DATA DE PAGAMENTO]],"mmmm")))),"")</f>
        <v/>
      </c>
      <c r="Y989" s="523" t="str">
        <f>IFERROR(VLOOKUP(LANÇ_MOV[[#This Row],[PLANO DE CONTAS]],Plano_Contas[[PLANO DE CONTAS]:[NOMES INTERVALOS]],2,0),"")</f>
        <v/>
      </c>
      <c r="Z989" s="523" t="str">
        <f>IF(LANÇ_MOV[[#This Row],[FORMA DE PAGAMENTO]]="","",VLOOKUP(LANÇ_MOV[[#This Row],[FORMA DE PAGAMENTO]],CAD_Forma_pagto[],2,0))</f>
        <v/>
      </c>
      <c r="AA989" s="524" t="str">
        <f>IF(LANÇ_MOV[[#This Row],[DATA DE LANÇAMENTO]]="","",TEXT(LANÇ_MOV[[#This Row],[DATA DE LANÇAMENTO]],"AAAA"))</f>
        <v/>
      </c>
      <c r="AB989" s="524" t="str">
        <f>IF(LANÇ_MOV[[#This Row],[DATA DE LANÇAMENTO]]="","",UPPER(TEXT(LANÇ_MOV[[#This Row],[DATA DE LANÇAMENTO]],"MMMM")))</f>
        <v/>
      </c>
      <c r="AC989" s="525" t="str">
        <f>IF(LANÇ_MOV[[#This Row],[DATA DE LANÇAMENTO]]="","",PROPER(TEXT(LANÇ_MOV[[#This Row],[DATA DE LANÇAMENTO]],"M")))</f>
        <v/>
      </c>
      <c r="AD989" s="524" t="str">
        <f>IF(LANÇ_MOV[[#This Row],[DATA DE LANÇAMENTO]]="","",TEXT(LANÇ_MOV[[#This Row],[DATA DE LANÇAMENTO]],"D"))</f>
        <v/>
      </c>
      <c r="AE989" s="526" t="str">
        <f>IF(LANÇ_MOV[[#This Row],[DATA DE VENCIMENTO]]="","",TEXT(LANÇ_MOV[[#This Row],[DATA DE VENCIMENTO]],"AAAA"))</f>
        <v/>
      </c>
      <c r="AF989" s="526" t="str">
        <f>IF(LANÇ_MOV[[#This Row],[DATA DE VENCIMENTO]]="","",UPPER(TEXT(LANÇ_MOV[[#This Row],[DATA DE VENCIMENTO]],"MMMM")))</f>
        <v/>
      </c>
      <c r="AG989" s="526" t="str">
        <f>IF(LANÇ_MOV[[#This Row],[DATA DE VENCIMENTO]]="","",TEXT(LANÇ_MOV[[#This Row],[DATA DE VENCIMENTO]],"M"))</f>
        <v/>
      </c>
      <c r="AH989" s="526" t="str">
        <f>IF(LANÇ_MOV[[#This Row],[DATA DE VENCIMENTO]]="","",TEXT(LANÇ_MOV[[#This Row],[DATA DE VENCIMENTO]],"D"))</f>
        <v/>
      </c>
      <c r="AI989" s="526" t="str">
        <f>IF(LANÇ_MOV[[#This Row],[DATA DE PAGAMENTO]]="","",TEXT(LANÇ_MOV[[#This Row],[DATA DE PAGAMENTO]],"AAAA"))</f>
        <v/>
      </c>
      <c r="AJ989" s="527" t="str">
        <f>IF(LANÇ_MOV[[#This Row],[DATA DE PAGAMENTO]]="","",UPPER(TEXT(LANÇ_MOV[[#This Row],[DATA DE PAGAMENTO]],"MMMM")))</f>
        <v/>
      </c>
      <c r="AK989" s="527" t="str">
        <f>IF(LANÇ_MOV[[#This Row],[DATA DE PAGAMENTO]]="","",TEXT(LANÇ_MOV[[#This Row],[DATA DE PAGAMENTO]],"M"))</f>
        <v/>
      </c>
      <c r="AL989" s="526" t="str">
        <f>IF(LANÇ_MOV[[#This Row],[DATA DE PAGAMENTO]]="","",TEXT(LANÇ_MOV[[#This Row],[DATA DE PAGAMENTO]],"D"))</f>
        <v/>
      </c>
    </row>
    <row r="990" spans="2:38" ht="30.05" customHeight="1" x14ac:dyDescent="0.35">
      <c r="B990" s="506"/>
      <c r="C990" s="507"/>
      <c r="D990" s="508" t="s">
        <v>1854</v>
      </c>
      <c r="E990" s="509"/>
      <c r="F990" s="510"/>
      <c r="G990" s="507"/>
      <c r="H990" s="511"/>
      <c r="I990" s="512"/>
      <c r="J990" s="518"/>
      <c r="K990" s="510"/>
      <c r="L990" s="510"/>
      <c r="M990" s="548"/>
      <c r="N990" s="514">
        <f>LANÇ_MOV[[#This Row],[VALOR BRUTO]]-LANÇ_MOV[[#This Row],[DESCONTO]]+LANÇ_MOV[[#This Row],[JUROS]]+LANÇ_MOV[[#This Row],[MULTA]]</f>
        <v>0</v>
      </c>
      <c r="O990" s="546"/>
      <c r="P990" s="547" t="str">
        <f t="shared" ca="1" si="15"/>
        <v/>
      </c>
      <c r="Q990" s="528"/>
      <c r="R990" s="529"/>
      <c r="S990" s="518"/>
      <c r="T990" s="518"/>
      <c r="U990" s="519"/>
      <c r="V990" s="520" t="str">
        <f>IFERROR(VLOOKUP(LANÇ_MOV[[#This Row],[PLANO DE CONTAS]],Plano_Contas[[PLANO DE CONTAS]:[R / D]],3,0),"")</f>
        <v/>
      </c>
      <c r="W990" s="521" t="str">
        <f>IF(LANÇ_MOV[[#This Row],[DATA DE PAGAMENTO]]&lt;&gt;"","Pago","Não Pago")</f>
        <v>Não Pago</v>
      </c>
      <c r="X990" s="522" t="str">
        <f>IFERROR(IF(LANÇ_MOV[[#This Row],[DATA DE PAGAMENTO]]="","",(UPPER(TEXT(LANÇ_MOV[[#This Row],[DATA DE PAGAMENTO]],"mmmm")))),"")</f>
        <v/>
      </c>
      <c r="Y990" s="523" t="str">
        <f>IFERROR(VLOOKUP(LANÇ_MOV[[#This Row],[PLANO DE CONTAS]],Plano_Contas[[PLANO DE CONTAS]:[NOMES INTERVALOS]],2,0),"")</f>
        <v/>
      </c>
      <c r="Z990" s="523" t="str">
        <f>IF(LANÇ_MOV[[#This Row],[FORMA DE PAGAMENTO]]="","",VLOOKUP(LANÇ_MOV[[#This Row],[FORMA DE PAGAMENTO]],CAD_Forma_pagto[],2,0))</f>
        <v/>
      </c>
      <c r="AA990" s="524" t="str">
        <f>IF(LANÇ_MOV[[#This Row],[DATA DE LANÇAMENTO]]="","",TEXT(LANÇ_MOV[[#This Row],[DATA DE LANÇAMENTO]],"AAAA"))</f>
        <v/>
      </c>
      <c r="AB990" s="524" t="str">
        <f>IF(LANÇ_MOV[[#This Row],[DATA DE LANÇAMENTO]]="","",UPPER(TEXT(LANÇ_MOV[[#This Row],[DATA DE LANÇAMENTO]],"MMMM")))</f>
        <v/>
      </c>
      <c r="AC990" s="525" t="str">
        <f>IF(LANÇ_MOV[[#This Row],[DATA DE LANÇAMENTO]]="","",PROPER(TEXT(LANÇ_MOV[[#This Row],[DATA DE LANÇAMENTO]],"M")))</f>
        <v/>
      </c>
      <c r="AD990" s="524" t="str">
        <f>IF(LANÇ_MOV[[#This Row],[DATA DE LANÇAMENTO]]="","",TEXT(LANÇ_MOV[[#This Row],[DATA DE LANÇAMENTO]],"D"))</f>
        <v/>
      </c>
      <c r="AE990" s="526" t="str">
        <f>IF(LANÇ_MOV[[#This Row],[DATA DE VENCIMENTO]]="","",TEXT(LANÇ_MOV[[#This Row],[DATA DE VENCIMENTO]],"AAAA"))</f>
        <v/>
      </c>
      <c r="AF990" s="526" t="str">
        <f>IF(LANÇ_MOV[[#This Row],[DATA DE VENCIMENTO]]="","",UPPER(TEXT(LANÇ_MOV[[#This Row],[DATA DE VENCIMENTO]],"MMMM")))</f>
        <v/>
      </c>
      <c r="AG990" s="526" t="str">
        <f>IF(LANÇ_MOV[[#This Row],[DATA DE VENCIMENTO]]="","",TEXT(LANÇ_MOV[[#This Row],[DATA DE VENCIMENTO]],"M"))</f>
        <v/>
      </c>
      <c r="AH990" s="526" t="str">
        <f>IF(LANÇ_MOV[[#This Row],[DATA DE VENCIMENTO]]="","",TEXT(LANÇ_MOV[[#This Row],[DATA DE VENCIMENTO]],"D"))</f>
        <v/>
      </c>
      <c r="AI990" s="526" t="str">
        <f>IF(LANÇ_MOV[[#This Row],[DATA DE PAGAMENTO]]="","",TEXT(LANÇ_MOV[[#This Row],[DATA DE PAGAMENTO]],"AAAA"))</f>
        <v/>
      </c>
      <c r="AJ990" s="527" t="str">
        <f>IF(LANÇ_MOV[[#This Row],[DATA DE PAGAMENTO]]="","",UPPER(TEXT(LANÇ_MOV[[#This Row],[DATA DE PAGAMENTO]],"MMMM")))</f>
        <v/>
      </c>
      <c r="AK990" s="527" t="str">
        <f>IF(LANÇ_MOV[[#This Row],[DATA DE PAGAMENTO]]="","",TEXT(LANÇ_MOV[[#This Row],[DATA DE PAGAMENTO]],"M"))</f>
        <v/>
      </c>
      <c r="AL990" s="526" t="str">
        <f>IF(LANÇ_MOV[[#This Row],[DATA DE PAGAMENTO]]="","",TEXT(LANÇ_MOV[[#This Row],[DATA DE PAGAMENTO]],"D"))</f>
        <v/>
      </c>
    </row>
    <row r="991" spans="2:38" ht="30.05" customHeight="1" x14ac:dyDescent="0.35">
      <c r="B991" s="506"/>
      <c r="C991" s="507"/>
      <c r="D991" s="508" t="s">
        <v>1854</v>
      </c>
      <c r="E991" s="509"/>
      <c r="F991" s="510"/>
      <c r="G991" s="507"/>
      <c r="H991" s="511"/>
      <c r="I991" s="512"/>
      <c r="J991" s="518"/>
      <c r="K991" s="510"/>
      <c r="L991" s="510"/>
      <c r="M991" s="548"/>
      <c r="N991" s="514">
        <f>LANÇ_MOV[[#This Row],[VALOR BRUTO]]-LANÇ_MOV[[#This Row],[DESCONTO]]+LANÇ_MOV[[#This Row],[JUROS]]+LANÇ_MOV[[#This Row],[MULTA]]</f>
        <v>0</v>
      </c>
      <c r="O991" s="546"/>
      <c r="P991" s="547" t="str">
        <f t="shared" ca="1" si="15"/>
        <v/>
      </c>
      <c r="Q991" s="528"/>
      <c r="R991" s="529"/>
      <c r="S991" s="518"/>
      <c r="T991" s="518"/>
      <c r="U991" s="519"/>
      <c r="V991" s="520" t="str">
        <f>IFERROR(VLOOKUP(LANÇ_MOV[[#This Row],[PLANO DE CONTAS]],Plano_Contas[[PLANO DE CONTAS]:[R / D]],3,0),"")</f>
        <v/>
      </c>
      <c r="W991" s="521" t="str">
        <f>IF(LANÇ_MOV[[#This Row],[DATA DE PAGAMENTO]]&lt;&gt;"","Pago","Não Pago")</f>
        <v>Não Pago</v>
      </c>
      <c r="X991" s="522" t="str">
        <f>IFERROR(IF(LANÇ_MOV[[#This Row],[DATA DE PAGAMENTO]]="","",(UPPER(TEXT(LANÇ_MOV[[#This Row],[DATA DE PAGAMENTO]],"mmmm")))),"")</f>
        <v/>
      </c>
      <c r="Y991" s="523" t="str">
        <f>IFERROR(VLOOKUP(LANÇ_MOV[[#This Row],[PLANO DE CONTAS]],Plano_Contas[[PLANO DE CONTAS]:[NOMES INTERVALOS]],2,0),"")</f>
        <v/>
      </c>
      <c r="Z991" s="523" t="str">
        <f>IF(LANÇ_MOV[[#This Row],[FORMA DE PAGAMENTO]]="","",VLOOKUP(LANÇ_MOV[[#This Row],[FORMA DE PAGAMENTO]],CAD_Forma_pagto[],2,0))</f>
        <v/>
      </c>
      <c r="AA991" s="524" t="str">
        <f>IF(LANÇ_MOV[[#This Row],[DATA DE LANÇAMENTO]]="","",TEXT(LANÇ_MOV[[#This Row],[DATA DE LANÇAMENTO]],"AAAA"))</f>
        <v/>
      </c>
      <c r="AB991" s="524" t="str">
        <f>IF(LANÇ_MOV[[#This Row],[DATA DE LANÇAMENTO]]="","",UPPER(TEXT(LANÇ_MOV[[#This Row],[DATA DE LANÇAMENTO]],"MMMM")))</f>
        <v/>
      </c>
      <c r="AC991" s="525" t="str">
        <f>IF(LANÇ_MOV[[#This Row],[DATA DE LANÇAMENTO]]="","",PROPER(TEXT(LANÇ_MOV[[#This Row],[DATA DE LANÇAMENTO]],"M")))</f>
        <v/>
      </c>
      <c r="AD991" s="524" t="str">
        <f>IF(LANÇ_MOV[[#This Row],[DATA DE LANÇAMENTO]]="","",TEXT(LANÇ_MOV[[#This Row],[DATA DE LANÇAMENTO]],"D"))</f>
        <v/>
      </c>
      <c r="AE991" s="526" t="str">
        <f>IF(LANÇ_MOV[[#This Row],[DATA DE VENCIMENTO]]="","",TEXT(LANÇ_MOV[[#This Row],[DATA DE VENCIMENTO]],"AAAA"))</f>
        <v/>
      </c>
      <c r="AF991" s="526" t="str">
        <f>IF(LANÇ_MOV[[#This Row],[DATA DE VENCIMENTO]]="","",UPPER(TEXT(LANÇ_MOV[[#This Row],[DATA DE VENCIMENTO]],"MMMM")))</f>
        <v/>
      </c>
      <c r="AG991" s="526" t="str">
        <f>IF(LANÇ_MOV[[#This Row],[DATA DE VENCIMENTO]]="","",TEXT(LANÇ_MOV[[#This Row],[DATA DE VENCIMENTO]],"M"))</f>
        <v/>
      </c>
      <c r="AH991" s="526" t="str">
        <f>IF(LANÇ_MOV[[#This Row],[DATA DE VENCIMENTO]]="","",TEXT(LANÇ_MOV[[#This Row],[DATA DE VENCIMENTO]],"D"))</f>
        <v/>
      </c>
      <c r="AI991" s="526" t="str">
        <f>IF(LANÇ_MOV[[#This Row],[DATA DE PAGAMENTO]]="","",TEXT(LANÇ_MOV[[#This Row],[DATA DE PAGAMENTO]],"AAAA"))</f>
        <v/>
      </c>
      <c r="AJ991" s="527" t="str">
        <f>IF(LANÇ_MOV[[#This Row],[DATA DE PAGAMENTO]]="","",UPPER(TEXT(LANÇ_MOV[[#This Row],[DATA DE PAGAMENTO]],"MMMM")))</f>
        <v/>
      </c>
      <c r="AK991" s="527" t="str">
        <f>IF(LANÇ_MOV[[#This Row],[DATA DE PAGAMENTO]]="","",TEXT(LANÇ_MOV[[#This Row],[DATA DE PAGAMENTO]],"M"))</f>
        <v/>
      </c>
      <c r="AL991" s="526" t="str">
        <f>IF(LANÇ_MOV[[#This Row],[DATA DE PAGAMENTO]]="","",TEXT(LANÇ_MOV[[#This Row],[DATA DE PAGAMENTO]],"D"))</f>
        <v/>
      </c>
    </row>
    <row r="992" spans="2:38" ht="30.05" customHeight="1" x14ac:dyDescent="0.35">
      <c r="B992" s="506"/>
      <c r="C992" s="507"/>
      <c r="D992" s="508" t="s">
        <v>1854</v>
      </c>
      <c r="E992" s="509"/>
      <c r="F992" s="510"/>
      <c r="G992" s="507"/>
      <c r="H992" s="511"/>
      <c r="I992" s="512"/>
      <c r="J992" s="518"/>
      <c r="K992" s="510"/>
      <c r="L992" s="510"/>
      <c r="M992" s="548"/>
      <c r="N992" s="514">
        <f>LANÇ_MOV[[#This Row],[VALOR BRUTO]]-LANÇ_MOV[[#This Row],[DESCONTO]]+LANÇ_MOV[[#This Row],[JUROS]]+LANÇ_MOV[[#This Row],[MULTA]]</f>
        <v>0</v>
      </c>
      <c r="O992" s="546"/>
      <c r="P992" s="547" t="str">
        <f t="shared" ca="1" si="15"/>
        <v/>
      </c>
      <c r="Q992" s="528"/>
      <c r="R992" s="529"/>
      <c r="S992" s="518"/>
      <c r="T992" s="518"/>
      <c r="U992" s="519"/>
      <c r="V992" s="520" t="str">
        <f>IFERROR(VLOOKUP(LANÇ_MOV[[#This Row],[PLANO DE CONTAS]],Plano_Contas[[PLANO DE CONTAS]:[R / D]],3,0),"")</f>
        <v/>
      </c>
      <c r="W992" s="521" t="str">
        <f>IF(LANÇ_MOV[[#This Row],[DATA DE PAGAMENTO]]&lt;&gt;"","Pago","Não Pago")</f>
        <v>Não Pago</v>
      </c>
      <c r="X992" s="522" t="str">
        <f>IFERROR(IF(LANÇ_MOV[[#This Row],[DATA DE PAGAMENTO]]="","",(UPPER(TEXT(LANÇ_MOV[[#This Row],[DATA DE PAGAMENTO]],"mmmm")))),"")</f>
        <v/>
      </c>
      <c r="Y992" s="523" t="str">
        <f>IFERROR(VLOOKUP(LANÇ_MOV[[#This Row],[PLANO DE CONTAS]],Plano_Contas[[PLANO DE CONTAS]:[NOMES INTERVALOS]],2,0),"")</f>
        <v/>
      </c>
      <c r="Z992" s="523" t="str">
        <f>IF(LANÇ_MOV[[#This Row],[FORMA DE PAGAMENTO]]="","",VLOOKUP(LANÇ_MOV[[#This Row],[FORMA DE PAGAMENTO]],CAD_Forma_pagto[],2,0))</f>
        <v/>
      </c>
      <c r="AA992" s="524" t="str">
        <f>IF(LANÇ_MOV[[#This Row],[DATA DE LANÇAMENTO]]="","",TEXT(LANÇ_MOV[[#This Row],[DATA DE LANÇAMENTO]],"AAAA"))</f>
        <v/>
      </c>
      <c r="AB992" s="524" t="str">
        <f>IF(LANÇ_MOV[[#This Row],[DATA DE LANÇAMENTO]]="","",UPPER(TEXT(LANÇ_MOV[[#This Row],[DATA DE LANÇAMENTO]],"MMMM")))</f>
        <v/>
      </c>
      <c r="AC992" s="525" t="str">
        <f>IF(LANÇ_MOV[[#This Row],[DATA DE LANÇAMENTO]]="","",PROPER(TEXT(LANÇ_MOV[[#This Row],[DATA DE LANÇAMENTO]],"M")))</f>
        <v/>
      </c>
      <c r="AD992" s="524" t="str">
        <f>IF(LANÇ_MOV[[#This Row],[DATA DE LANÇAMENTO]]="","",TEXT(LANÇ_MOV[[#This Row],[DATA DE LANÇAMENTO]],"D"))</f>
        <v/>
      </c>
      <c r="AE992" s="526" t="str">
        <f>IF(LANÇ_MOV[[#This Row],[DATA DE VENCIMENTO]]="","",TEXT(LANÇ_MOV[[#This Row],[DATA DE VENCIMENTO]],"AAAA"))</f>
        <v/>
      </c>
      <c r="AF992" s="526" t="str">
        <f>IF(LANÇ_MOV[[#This Row],[DATA DE VENCIMENTO]]="","",UPPER(TEXT(LANÇ_MOV[[#This Row],[DATA DE VENCIMENTO]],"MMMM")))</f>
        <v/>
      </c>
      <c r="AG992" s="526" t="str">
        <f>IF(LANÇ_MOV[[#This Row],[DATA DE VENCIMENTO]]="","",TEXT(LANÇ_MOV[[#This Row],[DATA DE VENCIMENTO]],"M"))</f>
        <v/>
      </c>
      <c r="AH992" s="526" t="str">
        <f>IF(LANÇ_MOV[[#This Row],[DATA DE VENCIMENTO]]="","",TEXT(LANÇ_MOV[[#This Row],[DATA DE VENCIMENTO]],"D"))</f>
        <v/>
      </c>
      <c r="AI992" s="526" t="str">
        <f>IF(LANÇ_MOV[[#This Row],[DATA DE PAGAMENTO]]="","",TEXT(LANÇ_MOV[[#This Row],[DATA DE PAGAMENTO]],"AAAA"))</f>
        <v/>
      </c>
      <c r="AJ992" s="527" t="str">
        <f>IF(LANÇ_MOV[[#This Row],[DATA DE PAGAMENTO]]="","",UPPER(TEXT(LANÇ_MOV[[#This Row],[DATA DE PAGAMENTO]],"MMMM")))</f>
        <v/>
      </c>
      <c r="AK992" s="527" t="str">
        <f>IF(LANÇ_MOV[[#This Row],[DATA DE PAGAMENTO]]="","",TEXT(LANÇ_MOV[[#This Row],[DATA DE PAGAMENTO]],"M"))</f>
        <v/>
      </c>
      <c r="AL992" s="526" t="str">
        <f>IF(LANÇ_MOV[[#This Row],[DATA DE PAGAMENTO]]="","",TEXT(LANÇ_MOV[[#This Row],[DATA DE PAGAMENTO]],"D"))</f>
        <v/>
      </c>
    </row>
    <row r="993" spans="2:38" ht="30.05" customHeight="1" x14ac:dyDescent="0.35">
      <c r="B993" s="506"/>
      <c r="C993" s="507"/>
      <c r="D993" s="508" t="s">
        <v>1854</v>
      </c>
      <c r="E993" s="509"/>
      <c r="F993" s="510"/>
      <c r="G993" s="507"/>
      <c r="H993" s="511"/>
      <c r="I993" s="512"/>
      <c r="J993" s="518"/>
      <c r="K993" s="510"/>
      <c r="L993" s="510"/>
      <c r="M993" s="548"/>
      <c r="N993" s="514">
        <f>LANÇ_MOV[[#This Row],[VALOR BRUTO]]-LANÇ_MOV[[#This Row],[DESCONTO]]+LANÇ_MOV[[#This Row],[JUROS]]+LANÇ_MOV[[#This Row],[MULTA]]</f>
        <v>0</v>
      </c>
      <c r="O993" s="546"/>
      <c r="P993" s="547" t="str">
        <f t="shared" ca="1" si="15"/>
        <v/>
      </c>
      <c r="Q993" s="528"/>
      <c r="R993" s="529"/>
      <c r="S993" s="518"/>
      <c r="T993" s="518"/>
      <c r="U993" s="519"/>
      <c r="V993" s="520" t="str">
        <f>IFERROR(VLOOKUP(LANÇ_MOV[[#This Row],[PLANO DE CONTAS]],Plano_Contas[[PLANO DE CONTAS]:[R / D]],3,0),"")</f>
        <v/>
      </c>
      <c r="W993" s="521" t="str">
        <f>IF(LANÇ_MOV[[#This Row],[DATA DE PAGAMENTO]]&lt;&gt;"","Pago","Não Pago")</f>
        <v>Não Pago</v>
      </c>
      <c r="X993" s="522" t="str">
        <f>IFERROR(IF(LANÇ_MOV[[#This Row],[DATA DE PAGAMENTO]]="","",(UPPER(TEXT(LANÇ_MOV[[#This Row],[DATA DE PAGAMENTO]],"mmmm")))),"")</f>
        <v/>
      </c>
      <c r="Y993" s="523" t="str">
        <f>IFERROR(VLOOKUP(LANÇ_MOV[[#This Row],[PLANO DE CONTAS]],Plano_Contas[[PLANO DE CONTAS]:[NOMES INTERVALOS]],2,0),"")</f>
        <v/>
      </c>
      <c r="Z993" s="523" t="str">
        <f>IF(LANÇ_MOV[[#This Row],[FORMA DE PAGAMENTO]]="","",VLOOKUP(LANÇ_MOV[[#This Row],[FORMA DE PAGAMENTO]],CAD_Forma_pagto[],2,0))</f>
        <v/>
      </c>
      <c r="AA993" s="524" t="str">
        <f>IF(LANÇ_MOV[[#This Row],[DATA DE LANÇAMENTO]]="","",TEXT(LANÇ_MOV[[#This Row],[DATA DE LANÇAMENTO]],"AAAA"))</f>
        <v/>
      </c>
      <c r="AB993" s="524" t="str">
        <f>IF(LANÇ_MOV[[#This Row],[DATA DE LANÇAMENTO]]="","",UPPER(TEXT(LANÇ_MOV[[#This Row],[DATA DE LANÇAMENTO]],"MMMM")))</f>
        <v/>
      </c>
      <c r="AC993" s="525" t="str">
        <f>IF(LANÇ_MOV[[#This Row],[DATA DE LANÇAMENTO]]="","",PROPER(TEXT(LANÇ_MOV[[#This Row],[DATA DE LANÇAMENTO]],"M")))</f>
        <v/>
      </c>
      <c r="AD993" s="524" t="str">
        <f>IF(LANÇ_MOV[[#This Row],[DATA DE LANÇAMENTO]]="","",TEXT(LANÇ_MOV[[#This Row],[DATA DE LANÇAMENTO]],"D"))</f>
        <v/>
      </c>
      <c r="AE993" s="526" t="str">
        <f>IF(LANÇ_MOV[[#This Row],[DATA DE VENCIMENTO]]="","",TEXT(LANÇ_MOV[[#This Row],[DATA DE VENCIMENTO]],"AAAA"))</f>
        <v/>
      </c>
      <c r="AF993" s="526" t="str">
        <f>IF(LANÇ_MOV[[#This Row],[DATA DE VENCIMENTO]]="","",UPPER(TEXT(LANÇ_MOV[[#This Row],[DATA DE VENCIMENTO]],"MMMM")))</f>
        <v/>
      </c>
      <c r="AG993" s="526" t="str">
        <f>IF(LANÇ_MOV[[#This Row],[DATA DE VENCIMENTO]]="","",TEXT(LANÇ_MOV[[#This Row],[DATA DE VENCIMENTO]],"M"))</f>
        <v/>
      </c>
      <c r="AH993" s="526" t="str">
        <f>IF(LANÇ_MOV[[#This Row],[DATA DE VENCIMENTO]]="","",TEXT(LANÇ_MOV[[#This Row],[DATA DE VENCIMENTO]],"D"))</f>
        <v/>
      </c>
      <c r="AI993" s="526" t="str">
        <f>IF(LANÇ_MOV[[#This Row],[DATA DE PAGAMENTO]]="","",TEXT(LANÇ_MOV[[#This Row],[DATA DE PAGAMENTO]],"AAAA"))</f>
        <v/>
      </c>
      <c r="AJ993" s="527" t="str">
        <f>IF(LANÇ_MOV[[#This Row],[DATA DE PAGAMENTO]]="","",UPPER(TEXT(LANÇ_MOV[[#This Row],[DATA DE PAGAMENTO]],"MMMM")))</f>
        <v/>
      </c>
      <c r="AK993" s="527" t="str">
        <f>IF(LANÇ_MOV[[#This Row],[DATA DE PAGAMENTO]]="","",TEXT(LANÇ_MOV[[#This Row],[DATA DE PAGAMENTO]],"M"))</f>
        <v/>
      </c>
      <c r="AL993" s="526" t="str">
        <f>IF(LANÇ_MOV[[#This Row],[DATA DE PAGAMENTO]]="","",TEXT(LANÇ_MOV[[#This Row],[DATA DE PAGAMENTO]],"D"))</f>
        <v/>
      </c>
    </row>
    <row r="994" spans="2:38" ht="30.05" customHeight="1" x14ac:dyDescent="0.35">
      <c r="B994" s="506"/>
      <c r="C994" s="507"/>
      <c r="D994" s="508" t="s">
        <v>1854</v>
      </c>
      <c r="E994" s="509"/>
      <c r="F994" s="510"/>
      <c r="G994" s="507"/>
      <c r="H994" s="511"/>
      <c r="I994" s="512"/>
      <c r="J994" s="518"/>
      <c r="K994" s="510"/>
      <c r="L994" s="510"/>
      <c r="M994" s="548"/>
      <c r="N994" s="514">
        <f>LANÇ_MOV[[#This Row],[VALOR BRUTO]]-LANÇ_MOV[[#This Row],[DESCONTO]]+LANÇ_MOV[[#This Row],[JUROS]]+LANÇ_MOV[[#This Row],[MULTA]]</f>
        <v>0</v>
      </c>
      <c r="O994" s="546"/>
      <c r="P994" s="547" t="str">
        <f t="shared" ca="1" si="15"/>
        <v/>
      </c>
      <c r="Q994" s="528"/>
      <c r="R994" s="529"/>
      <c r="S994" s="518"/>
      <c r="T994" s="518"/>
      <c r="U994" s="519"/>
      <c r="V994" s="520" t="str">
        <f>IFERROR(VLOOKUP(LANÇ_MOV[[#This Row],[PLANO DE CONTAS]],Plano_Contas[[PLANO DE CONTAS]:[R / D]],3,0),"")</f>
        <v/>
      </c>
      <c r="W994" s="521" t="str">
        <f>IF(LANÇ_MOV[[#This Row],[DATA DE PAGAMENTO]]&lt;&gt;"","Pago","Não Pago")</f>
        <v>Não Pago</v>
      </c>
      <c r="X994" s="522" t="str">
        <f>IFERROR(IF(LANÇ_MOV[[#This Row],[DATA DE PAGAMENTO]]="","",(UPPER(TEXT(LANÇ_MOV[[#This Row],[DATA DE PAGAMENTO]],"mmmm")))),"")</f>
        <v/>
      </c>
      <c r="Y994" s="523" t="str">
        <f>IFERROR(VLOOKUP(LANÇ_MOV[[#This Row],[PLANO DE CONTAS]],Plano_Contas[[PLANO DE CONTAS]:[NOMES INTERVALOS]],2,0),"")</f>
        <v/>
      </c>
      <c r="Z994" s="523" t="str">
        <f>IF(LANÇ_MOV[[#This Row],[FORMA DE PAGAMENTO]]="","",VLOOKUP(LANÇ_MOV[[#This Row],[FORMA DE PAGAMENTO]],CAD_Forma_pagto[],2,0))</f>
        <v/>
      </c>
      <c r="AA994" s="524" t="str">
        <f>IF(LANÇ_MOV[[#This Row],[DATA DE LANÇAMENTO]]="","",TEXT(LANÇ_MOV[[#This Row],[DATA DE LANÇAMENTO]],"AAAA"))</f>
        <v/>
      </c>
      <c r="AB994" s="524" t="str">
        <f>IF(LANÇ_MOV[[#This Row],[DATA DE LANÇAMENTO]]="","",UPPER(TEXT(LANÇ_MOV[[#This Row],[DATA DE LANÇAMENTO]],"MMMM")))</f>
        <v/>
      </c>
      <c r="AC994" s="525" t="str">
        <f>IF(LANÇ_MOV[[#This Row],[DATA DE LANÇAMENTO]]="","",PROPER(TEXT(LANÇ_MOV[[#This Row],[DATA DE LANÇAMENTO]],"M")))</f>
        <v/>
      </c>
      <c r="AD994" s="524" t="str">
        <f>IF(LANÇ_MOV[[#This Row],[DATA DE LANÇAMENTO]]="","",TEXT(LANÇ_MOV[[#This Row],[DATA DE LANÇAMENTO]],"D"))</f>
        <v/>
      </c>
      <c r="AE994" s="526" t="str">
        <f>IF(LANÇ_MOV[[#This Row],[DATA DE VENCIMENTO]]="","",TEXT(LANÇ_MOV[[#This Row],[DATA DE VENCIMENTO]],"AAAA"))</f>
        <v/>
      </c>
      <c r="AF994" s="526" t="str">
        <f>IF(LANÇ_MOV[[#This Row],[DATA DE VENCIMENTO]]="","",UPPER(TEXT(LANÇ_MOV[[#This Row],[DATA DE VENCIMENTO]],"MMMM")))</f>
        <v/>
      </c>
      <c r="AG994" s="526" t="str">
        <f>IF(LANÇ_MOV[[#This Row],[DATA DE VENCIMENTO]]="","",TEXT(LANÇ_MOV[[#This Row],[DATA DE VENCIMENTO]],"M"))</f>
        <v/>
      </c>
      <c r="AH994" s="526" t="str">
        <f>IF(LANÇ_MOV[[#This Row],[DATA DE VENCIMENTO]]="","",TEXT(LANÇ_MOV[[#This Row],[DATA DE VENCIMENTO]],"D"))</f>
        <v/>
      </c>
      <c r="AI994" s="526" t="str">
        <f>IF(LANÇ_MOV[[#This Row],[DATA DE PAGAMENTO]]="","",TEXT(LANÇ_MOV[[#This Row],[DATA DE PAGAMENTO]],"AAAA"))</f>
        <v/>
      </c>
      <c r="AJ994" s="527" t="str">
        <f>IF(LANÇ_MOV[[#This Row],[DATA DE PAGAMENTO]]="","",UPPER(TEXT(LANÇ_MOV[[#This Row],[DATA DE PAGAMENTO]],"MMMM")))</f>
        <v/>
      </c>
      <c r="AK994" s="527" t="str">
        <f>IF(LANÇ_MOV[[#This Row],[DATA DE PAGAMENTO]]="","",TEXT(LANÇ_MOV[[#This Row],[DATA DE PAGAMENTO]],"M"))</f>
        <v/>
      </c>
      <c r="AL994" s="526" t="str">
        <f>IF(LANÇ_MOV[[#This Row],[DATA DE PAGAMENTO]]="","",TEXT(LANÇ_MOV[[#This Row],[DATA DE PAGAMENTO]],"D"))</f>
        <v/>
      </c>
    </row>
    <row r="995" spans="2:38" ht="30.05" customHeight="1" x14ac:dyDescent="0.35">
      <c r="B995" s="506"/>
      <c r="C995" s="507"/>
      <c r="D995" s="508" t="s">
        <v>1854</v>
      </c>
      <c r="E995" s="509"/>
      <c r="F995" s="510"/>
      <c r="G995" s="507"/>
      <c r="H995" s="511"/>
      <c r="I995" s="512"/>
      <c r="J995" s="518"/>
      <c r="K995" s="510"/>
      <c r="L995" s="510"/>
      <c r="M995" s="548"/>
      <c r="N995" s="514">
        <f>LANÇ_MOV[[#This Row],[VALOR BRUTO]]-LANÇ_MOV[[#This Row],[DESCONTO]]+LANÇ_MOV[[#This Row],[JUROS]]+LANÇ_MOV[[#This Row],[MULTA]]</f>
        <v>0</v>
      </c>
      <c r="O995" s="546"/>
      <c r="P995" s="547" t="str">
        <f t="shared" ca="1" si="15"/>
        <v/>
      </c>
      <c r="Q995" s="528"/>
      <c r="R995" s="529"/>
      <c r="S995" s="518"/>
      <c r="T995" s="518"/>
      <c r="U995" s="519"/>
      <c r="V995" s="520" t="str">
        <f>IFERROR(VLOOKUP(LANÇ_MOV[[#This Row],[PLANO DE CONTAS]],Plano_Contas[[PLANO DE CONTAS]:[R / D]],3,0),"")</f>
        <v/>
      </c>
      <c r="W995" s="521" t="str">
        <f>IF(LANÇ_MOV[[#This Row],[DATA DE PAGAMENTO]]&lt;&gt;"","Pago","Não Pago")</f>
        <v>Não Pago</v>
      </c>
      <c r="X995" s="522" t="str">
        <f>IFERROR(IF(LANÇ_MOV[[#This Row],[DATA DE PAGAMENTO]]="","",(UPPER(TEXT(LANÇ_MOV[[#This Row],[DATA DE PAGAMENTO]],"mmmm")))),"")</f>
        <v/>
      </c>
      <c r="Y995" s="523" t="str">
        <f>IFERROR(VLOOKUP(LANÇ_MOV[[#This Row],[PLANO DE CONTAS]],Plano_Contas[[PLANO DE CONTAS]:[NOMES INTERVALOS]],2,0),"")</f>
        <v/>
      </c>
      <c r="Z995" s="523" t="str">
        <f>IF(LANÇ_MOV[[#This Row],[FORMA DE PAGAMENTO]]="","",VLOOKUP(LANÇ_MOV[[#This Row],[FORMA DE PAGAMENTO]],CAD_Forma_pagto[],2,0))</f>
        <v/>
      </c>
      <c r="AA995" s="524" t="str">
        <f>IF(LANÇ_MOV[[#This Row],[DATA DE LANÇAMENTO]]="","",TEXT(LANÇ_MOV[[#This Row],[DATA DE LANÇAMENTO]],"AAAA"))</f>
        <v/>
      </c>
      <c r="AB995" s="524" t="str">
        <f>IF(LANÇ_MOV[[#This Row],[DATA DE LANÇAMENTO]]="","",UPPER(TEXT(LANÇ_MOV[[#This Row],[DATA DE LANÇAMENTO]],"MMMM")))</f>
        <v/>
      </c>
      <c r="AC995" s="525" t="str">
        <f>IF(LANÇ_MOV[[#This Row],[DATA DE LANÇAMENTO]]="","",PROPER(TEXT(LANÇ_MOV[[#This Row],[DATA DE LANÇAMENTO]],"M")))</f>
        <v/>
      </c>
      <c r="AD995" s="524" t="str">
        <f>IF(LANÇ_MOV[[#This Row],[DATA DE LANÇAMENTO]]="","",TEXT(LANÇ_MOV[[#This Row],[DATA DE LANÇAMENTO]],"D"))</f>
        <v/>
      </c>
      <c r="AE995" s="526" t="str">
        <f>IF(LANÇ_MOV[[#This Row],[DATA DE VENCIMENTO]]="","",TEXT(LANÇ_MOV[[#This Row],[DATA DE VENCIMENTO]],"AAAA"))</f>
        <v/>
      </c>
      <c r="AF995" s="526" t="str">
        <f>IF(LANÇ_MOV[[#This Row],[DATA DE VENCIMENTO]]="","",UPPER(TEXT(LANÇ_MOV[[#This Row],[DATA DE VENCIMENTO]],"MMMM")))</f>
        <v/>
      </c>
      <c r="AG995" s="526" t="str">
        <f>IF(LANÇ_MOV[[#This Row],[DATA DE VENCIMENTO]]="","",TEXT(LANÇ_MOV[[#This Row],[DATA DE VENCIMENTO]],"M"))</f>
        <v/>
      </c>
      <c r="AH995" s="526" t="str">
        <f>IF(LANÇ_MOV[[#This Row],[DATA DE VENCIMENTO]]="","",TEXT(LANÇ_MOV[[#This Row],[DATA DE VENCIMENTO]],"D"))</f>
        <v/>
      </c>
      <c r="AI995" s="526" t="str">
        <f>IF(LANÇ_MOV[[#This Row],[DATA DE PAGAMENTO]]="","",TEXT(LANÇ_MOV[[#This Row],[DATA DE PAGAMENTO]],"AAAA"))</f>
        <v/>
      </c>
      <c r="AJ995" s="527" t="str">
        <f>IF(LANÇ_MOV[[#This Row],[DATA DE PAGAMENTO]]="","",UPPER(TEXT(LANÇ_MOV[[#This Row],[DATA DE PAGAMENTO]],"MMMM")))</f>
        <v/>
      </c>
      <c r="AK995" s="527" t="str">
        <f>IF(LANÇ_MOV[[#This Row],[DATA DE PAGAMENTO]]="","",TEXT(LANÇ_MOV[[#This Row],[DATA DE PAGAMENTO]],"M"))</f>
        <v/>
      </c>
      <c r="AL995" s="526" t="str">
        <f>IF(LANÇ_MOV[[#This Row],[DATA DE PAGAMENTO]]="","",TEXT(LANÇ_MOV[[#This Row],[DATA DE PAGAMENTO]],"D"))</f>
        <v/>
      </c>
    </row>
    <row r="996" spans="2:38" ht="30.05" customHeight="1" x14ac:dyDescent="0.35">
      <c r="B996" s="506"/>
      <c r="C996" s="507"/>
      <c r="D996" s="508" t="s">
        <v>1854</v>
      </c>
      <c r="E996" s="509"/>
      <c r="F996" s="510"/>
      <c r="G996" s="507"/>
      <c r="H996" s="511"/>
      <c r="I996" s="512"/>
      <c r="J996" s="518"/>
      <c r="K996" s="510"/>
      <c r="L996" s="510"/>
      <c r="M996" s="548"/>
      <c r="N996" s="514">
        <f>LANÇ_MOV[[#This Row],[VALOR BRUTO]]-LANÇ_MOV[[#This Row],[DESCONTO]]+LANÇ_MOV[[#This Row],[JUROS]]+LANÇ_MOV[[#This Row],[MULTA]]</f>
        <v>0</v>
      </c>
      <c r="O996" s="546"/>
      <c r="P996" s="547" t="str">
        <f t="shared" ca="1" si="15"/>
        <v/>
      </c>
      <c r="Q996" s="528"/>
      <c r="R996" s="529"/>
      <c r="S996" s="518"/>
      <c r="T996" s="518"/>
      <c r="U996" s="519"/>
      <c r="V996" s="520" t="str">
        <f>IFERROR(VLOOKUP(LANÇ_MOV[[#This Row],[PLANO DE CONTAS]],Plano_Contas[[PLANO DE CONTAS]:[R / D]],3,0),"")</f>
        <v/>
      </c>
      <c r="W996" s="521" t="str">
        <f>IF(LANÇ_MOV[[#This Row],[DATA DE PAGAMENTO]]&lt;&gt;"","Pago","Não Pago")</f>
        <v>Não Pago</v>
      </c>
      <c r="X996" s="522" t="str">
        <f>IFERROR(IF(LANÇ_MOV[[#This Row],[DATA DE PAGAMENTO]]="","",(UPPER(TEXT(LANÇ_MOV[[#This Row],[DATA DE PAGAMENTO]],"mmmm")))),"")</f>
        <v/>
      </c>
      <c r="Y996" s="523" t="str">
        <f>IFERROR(VLOOKUP(LANÇ_MOV[[#This Row],[PLANO DE CONTAS]],Plano_Contas[[PLANO DE CONTAS]:[NOMES INTERVALOS]],2,0),"")</f>
        <v/>
      </c>
      <c r="Z996" s="523" t="str">
        <f>IF(LANÇ_MOV[[#This Row],[FORMA DE PAGAMENTO]]="","",VLOOKUP(LANÇ_MOV[[#This Row],[FORMA DE PAGAMENTO]],CAD_Forma_pagto[],2,0))</f>
        <v/>
      </c>
      <c r="AA996" s="524" t="str">
        <f>IF(LANÇ_MOV[[#This Row],[DATA DE LANÇAMENTO]]="","",TEXT(LANÇ_MOV[[#This Row],[DATA DE LANÇAMENTO]],"AAAA"))</f>
        <v/>
      </c>
      <c r="AB996" s="524" t="str">
        <f>IF(LANÇ_MOV[[#This Row],[DATA DE LANÇAMENTO]]="","",UPPER(TEXT(LANÇ_MOV[[#This Row],[DATA DE LANÇAMENTO]],"MMMM")))</f>
        <v/>
      </c>
      <c r="AC996" s="525" t="str">
        <f>IF(LANÇ_MOV[[#This Row],[DATA DE LANÇAMENTO]]="","",PROPER(TEXT(LANÇ_MOV[[#This Row],[DATA DE LANÇAMENTO]],"M")))</f>
        <v/>
      </c>
      <c r="AD996" s="524" t="str">
        <f>IF(LANÇ_MOV[[#This Row],[DATA DE LANÇAMENTO]]="","",TEXT(LANÇ_MOV[[#This Row],[DATA DE LANÇAMENTO]],"D"))</f>
        <v/>
      </c>
      <c r="AE996" s="526" t="str">
        <f>IF(LANÇ_MOV[[#This Row],[DATA DE VENCIMENTO]]="","",TEXT(LANÇ_MOV[[#This Row],[DATA DE VENCIMENTO]],"AAAA"))</f>
        <v/>
      </c>
      <c r="AF996" s="526" t="str">
        <f>IF(LANÇ_MOV[[#This Row],[DATA DE VENCIMENTO]]="","",UPPER(TEXT(LANÇ_MOV[[#This Row],[DATA DE VENCIMENTO]],"MMMM")))</f>
        <v/>
      </c>
      <c r="AG996" s="526" t="str">
        <f>IF(LANÇ_MOV[[#This Row],[DATA DE VENCIMENTO]]="","",TEXT(LANÇ_MOV[[#This Row],[DATA DE VENCIMENTO]],"M"))</f>
        <v/>
      </c>
      <c r="AH996" s="526" t="str">
        <f>IF(LANÇ_MOV[[#This Row],[DATA DE VENCIMENTO]]="","",TEXT(LANÇ_MOV[[#This Row],[DATA DE VENCIMENTO]],"D"))</f>
        <v/>
      </c>
      <c r="AI996" s="526" t="str">
        <f>IF(LANÇ_MOV[[#This Row],[DATA DE PAGAMENTO]]="","",TEXT(LANÇ_MOV[[#This Row],[DATA DE PAGAMENTO]],"AAAA"))</f>
        <v/>
      </c>
      <c r="AJ996" s="527" t="str">
        <f>IF(LANÇ_MOV[[#This Row],[DATA DE PAGAMENTO]]="","",UPPER(TEXT(LANÇ_MOV[[#This Row],[DATA DE PAGAMENTO]],"MMMM")))</f>
        <v/>
      </c>
      <c r="AK996" s="527" t="str">
        <f>IF(LANÇ_MOV[[#This Row],[DATA DE PAGAMENTO]]="","",TEXT(LANÇ_MOV[[#This Row],[DATA DE PAGAMENTO]],"M"))</f>
        <v/>
      </c>
      <c r="AL996" s="526" t="str">
        <f>IF(LANÇ_MOV[[#This Row],[DATA DE PAGAMENTO]]="","",TEXT(LANÇ_MOV[[#This Row],[DATA DE PAGAMENTO]],"D"))</f>
        <v/>
      </c>
    </row>
    <row r="997" spans="2:38" ht="30.05" customHeight="1" x14ac:dyDescent="0.35">
      <c r="B997" s="506"/>
      <c r="C997" s="507"/>
      <c r="D997" s="508" t="s">
        <v>1854</v>
      </c>
      <c r="E997" s="509"/>
      <c r="F997" s="510"/>
      <c r="G997" s="507"/>
      <c r="H997" s="511"/>
      <c r="I997" s="512"/>
      <c r="J997" s="518"/>
      <c r="K997" s="510"/>
      <c r="L997" s="510"/>
      <c r="M997" s="548"/>
      <c r="N997" s="514">
        <f>LANÇ_MOV[[#This Row],[VALOR BRUTO]]-LANÇ_MOV[[#This Row],[DESCONTO]]+LANÇ_MOV[[#This Row],[JUROS]]+LANÇ_MOV[[#This Row],[MULTA]]</f>
        <v>0</v>
      </c>
      <c r="O997" s="546"/>
      <c r="P997" s="547" t="str">
        <f t="shared" ca="1" si="15"/>
        <v/>
      </c>
      <c r="Q997" s="528"/>
      <c r="R997" s="529"/>
      <c r="S997" s="518"/>
      <c r="T997" s="518"/>
      <c r="U997" s="519"/>
      <c r="V997" s="520" t="str">
        <f>IFERROR(VLOOKUP(LANÇ_MOV[[#This Row],[PLANO DE CONTAS]],Plano_Contas[[PLANO DE CONTAS]:[R / D]],3,0),"")</f>
        <v/>
      </c>
      <c r="W997" s="521" t="str">
        <f>IF(LANÇ_MOV[[#This Row],[DATA DE PAGAMENTO]]&lt;&gt;"","Pago","Não Pago")</f>
        <v>Não Pago</v>
      </c>
      <c r="X997" s="522" t="str">
        <f>IFERROR(IF(LANÇ_MOV[[#This Row],[DATA DE PAGAMENTO]]="","",(UPPER(TEXT(LANÇ_MOV[[#This Row],[DATA DE PAGAMENTO]],"mmmm")))),"")</f>
        <v/>
      </c>
      <c r="Y997" s="523" t="str">
        <f>IFERROR(VLOOKUP(LANÇ_MOV[[#This Row],[PLANO DE CONTAS]],Plano_Contas[[PLANO DE CONTAS]:[NOMES INTERVALOS]],2,0),"")</f>
        <v/>
      </c>
      <c r="Z997" s="523" t="str">
        <f>IF(LANÇ_MOV[[#This Row],[FORMA DE PAGAMENTO]]="","",VLOOKUP(LANÇ_MOV[[#This Row],[FORMA DE PAGAMENTO]],CAD_Forma_pagto[],2,0))</f>
        <v/>
      </c>
      <c r="AA997" s="524" t="str">
        <f>IF(LANÇ_MOV[[#This Row],[DATA DE LANÇAMENTO]]="","",TEXT(LANÇ_MOV[[#This Row],[DATA DE LANÇAMENTO]],"AAAA"))</f>
        <v/>
      </c>
      <c r="AB997" s="524" t="str">
        <f>IF(LANÇ_MOV[[#This Row],[DATA DE LANÇAMENTO]]="","",UPPER(TEXT(LANÇ_MOV[[#This Row],[DATA DE LANÇAMENTO]],"MMMM")))</f>
        <v/>
      </c>
      <c r="AC997" s="525" t="str">
        <f>IF(LANÇ_MOV[[#This Row],[DATA DE LANÇAMENTO]]="","",PROPER(TEXT(LANÇ_MOV[[#This Row],[DATA DE LANÇAMENTO]],"M")))</f>
        <v/>
      </c>
      <c r="AD997" s="524" t="str">
        <f>IF(LANÇ_MOV[[#This Row],[DATA DE LANÇAMENTO]]="","",TEXT(LANÇ_MOV[[#This Row],[DATA DE LANÇAMENTO]],"D"))</f>
        <v/>
      </c>
      <c r="AE997" s="526" t="str">
        <f>IF(LANÇ_MOV[[#This Row],[DATA DE VENCIMENTO]]="","",TEXT(LANÇ_MOV[[#This Row],[DATA DE VENCIMENTO]],"AAAA"))</f>
        <v/>
      </c>
      <c r="AF997" s="526" t="str">
        <f>IF(LANÇ_MOV[[#This Row],[DATA DE VENCIMENTO]]="","",UPPER(TEXT(LANÇ_MOV[[#This Row],[DATA DE VENCIMENTO]],"MMMM")))</f>
        <v/>
      </c>
      <c r="AG997" s="526" t="str">
        <f>IF(LANÇ_MOV[[#This Row],[DATA DE VENCIMENTO]]="","",TEXT(LANÇ_MOV[[#This Row],[DATA DE VENCIMENTO]],"M"))</f>
        <v/>
      </c>
      <c r="AH997" s="526" t="str">
        <f>IF(LANÇ_MOV[[#This Row],[DATA DE VENCIMENTO]]="","",TEXT(LANÇ_MOV[[#This Row],[DATA DE VENCIMENTO]],"D"))</f>
        <v/>
      </c>
      <c r="AI997" s="526" t="str">
        <f>IF(LANÇ_MOV[[#This Row],[DATA DE PAGAMENTO]]="","",TEXT(LANÇ_MOV[[#This Row],[DATA DE PAGAMENTO]],"AAAA"))</f>
        <v/>
      </c>
      <c r="AJ997" s="527" t="str">
        <f>IF(LANÇ_MOV[[#This Row],[DATA DE PAGAMENTO]]="","",UPPER(TEXT(LANÇ_MOV[[#This Row],[DATA DE PAGAMENTO]],"MMMM")))</f>
        <v/>
      </c>
      <c r="AK997" s="527" t="str">
        <f>IF(LANÇ_MOV[[#This Row],[DATA DE PAGAMENTO]]="","",TEXT(LANÇ_MOV[[#This Row],[DATA DE PAGAMENTO]],"M"))</f>
        <v/>
      </c>
      <c r="AL997" s="526" t="str">
        <f>IF(LANÇ_MOV[[#This Row],[DATA DE PAGAMENTO]]="","",TEXT(LANÇ_MOV[[#This Row],[DATA DE PAGAMENTO]],"D"))</f>
        <v/>
      </c>
    </row>
    <row r="998" spans="2:38" ht="30.05" customHeight="1" x14ac:dyDescent="0.35">
      <c r="B998" s="506"/>
      <c r="C998" s="507"/>
      <c r="D998" s="508" t="s">
        <v>1854</v>
      </c>
      <c r="E998" s="509"/>
      <c r="F998" s="510"/>
      <c r="G998" s="507"/>
      <c r="H998" s="511"/>
      <c r="I998" s="512"/>
      <c r="J998" s="518"/>
      <c r="K998" s="510"/>
      <c r="L998" s="510"/>
      <c r="M998" s="548"/>
      <c r="N998" s="514">
        <f>LANÇ_MOV[[#This Row],[VALOR BRUTO]]-LANÇ_MOV[[#This Row],[DESCONTO]]+LANÇ_MOV[[#This Row],[JUROS]]+LANÇ_MOV[[#This Row],[MULTA]]</f>
        <v>0</v>
      </c>
      <c r="O998" s="546"/>
      <c r="P998" s="547" t="str">
        <f t="shared" ca="1" si="15"/>
        <v/>
      </c>
      <c r="Q998" s="528"/>
      <c r="R998" s="529"/>
      <c r="S998" s="518"/>
      <c r="T998" s="518"/>
      <c r="U998" s="519"/>
      <c r="V998" s="520" t="str">
        <f>IFERROR(VLOOKUP(LANÇ_MOV[[#This Row],[PLANO DE CONTAS]],Plano_Contas[[PLANO DE CONTAS]:[R / D]],3,0),"")</f>
        <v/>
      </c>
      <c r="W998" s="521" t="str">
        <f>IF(LANÇ_MOV[[#This Row],[DATA DE PAGAMENTO]]&lt;&gt;"","Pago","Não Pago")</f>
        <v>Não Pago</v>
      </c>
      <c r="X998" s="522" t="str">
        <f>IFERROR(IF(LANÇ_MOV[[#This Row],[DATA DE PAGAMENTO]]="","",(UPPER(TEXT(LANÇ_MOV[[#This Row],[DATA DE PAGAMENTO]],"mmmm")))),"")</f>
        <v/>
      </c>
      <c r="Y998" s="523" t="str">
        <f>IFERROR(VLOOKUP(LANÇ_MOV[[#This Row],[PLANO DE CONTAS]],Plano_Contas[[PLANO DE CONTAS]:[NOMES INTERVALOS]],2,0),"")</f>
        <v/>
      </c>
      <c r="Z998" s="523" t="str">
        <f>IF(LANÇ_MOV[[#This Row],[FORMA DE PAGAMENTO]]="","",VLOOKUP(LANÇ_MOV[[#This Row],[FORMA DE PAGAMENTO]],CAD_Forma_pagto[],2,0))</f>
        <v/>
      </c>
      <c r="AA998" s="524" t="str">
        <f>IF(LANÇ_MOV[[#This Row],[DATA DE LANÇAMENTO]]="","",TEXT(LANÇ_MOV[[#This Row],[DATA DE LANÇAMENTO]],"AAAA"))</f>
        <v/>
      </c>
      <c r="AB998" s="524" t="str">
        <f>IF(LANÇ_MOV[[#This Row],[DATA DE LANÇAMENTO]]="","",UPPER(TEXT(LANÇ_MOV[[#This Row],[DATA DE LANÇAMENTO]],"MMMM")))</f>
        <v/>
      </c>
      <c r="AC998" s="525" t="str">
        <f>IF(LANÇ_MOV[[#This Row],[DATA DE LANÇAMENTO]]="","",PROPER(TEXT(LANÇ_MOV[[#This Row],[DATA DE LANÇAMENTO]],"M")))</f>
        <v/>
      </c>
      <c r="AD998" s="524" t="str">
        <f>IF(LANÇ_MOV[[#This Row],[DATA DE LANÇAMENTO]]="","",TEXT(LANÇ_MOV[[#This Row],[DATA DE LANÇAMENTO]],"D"))</f>
        <v/>
      </c>
      <c r="AE998" s="526" t="str">
        <f>IF(LANÇ_MOV[[#This Row],[DATA DE VENCIMENTO]]="","",TEXT(LANÇ_MOV[[#This Row],[DATA DE VENCIMENTO]],"AAAA"))</f>
        <v/>
      </c>
      <c r="AF998" s="526" t="str">
        <f>IF(LANÇ_MOV[[#This Row],[DATA DE VENCIMENTO]]="","",UPPER(TEXT(LANÇ_MOV[[#This Row],[DATA DE VENCIMENTO]],"MMMM")))</f>
        <v/>
      </c>
      <c r="AG998" s="526" t="str">
        <f>IF(LANÇ_MOV[[#This Row],[DATA DE VENCIMENTO]]="","",TEXT(LANÇ_MOV[[#This Row],[DATA DE VENCIMENTO]],"M"))</f>
        <v/>
      </c>
      <c r="AH998" s="526" t="str">
        <f>IF(LANÇ_MOV[[#This Row],[DATA DE VENCIMENTO]]="","",TEXT(LANÇ_MOV[[#This Row],[DATA DE VENCIMENTO]],"D"))</f>
        <v/>
      </c>
      <c r="AI998" s="526" t="str">
        <f>IF(LANÇ_MOV[[#This Row],[DATA DE PAGAMENTO]]="","",TEXT(LANÇ_MOV[[#This Row],[DATA DE PAGAMENTO]],"AAAA"))</f>
        <v/>
      </c>
      <c r="AJ998" s="527" t="str">
        <f>IF(LANÇ_MOV[[#This Row],[DATA DE PAGAMENTO]]="","",UPPER(TEXT(LANÇ_MOV[[#This Row],[DATA DE PAGAMENTO]],"MMMM")))</f>
        <v/>
      </c>
      <c r="AK998" s="527" t="str">
        <f>IF(LANÇ_MOV[[#This Row],[DATA DE PAGAMENTO]]="","",TEXT(LANÇ_MOV[[#This Row],[DATA DE PAGAMENTO]],"M"))</f>
        <v/>
      </c>
      <c r="AL998" s="526" t="str">
        <f>IF(LANÇ_MOV[[#This Row],[DATA DE PAGAMENTO]]="","",TEXT(LANÇ_MOV[[#This Row],[DATA DE PAGAMENTO]],"D"))</f>
        <v/>
      </c>
    </row>
    <row r="999" spans="2:38" ht="30.05" customHeight="1" x14ac:dyDescent="0.35">
      <c r="B999" s="506"/>
      <c r="C999" s="507"/>
      <c r="D999" s="508" t="s">
        <v>1854</v>
      </c>
      <c r="E999" s="509"/>
      <c r="F999" s="510"/>
      <c r="G999" s="507"/>
      <c r="H999" s="511"/>
      <c r="I999" s="512"/>
      <c r="J999" s="518"/>
      <c r="K999" s="510"/>
      <c r="L999" s="510"/>
      <c r="M999" s="548"/>
      <c r="N999" s="514">
        <f>LANÇ_MOV[[#This Row],[VALOR BRUTO]]-LANÇ_MOV[[#This Row],[DESCONTO]]+LANÇ_MOV[[#This Row],[JUROS]]+LANÇ_MOV[[#This Row],[MULTA]]</f>
        <v>0</v>
      </c>
      <c r="O999" s="546"/>
      <c r="P999" s="547" t="str">
        <f t="shared" ca="1" si="15"/>
        <v/>
      </c>
      <c r="Q999" s="528"/>
      <c r="R999" s="529"/>
      <c r="S999" s="518"/>
      <c r="T999" s="518"/>
      <c r="U999" s="519"/>
      <c r="V999" s="520" t="str">
        <f>IFERROR(VLOOKUP(LANÇ_MOV[[#This Row],[PLANO DE CONTAS]],Plano_Contas[[PLANO DE CONTAS]:[R / D]],3,0),"")</f>
        <v/>
      </c>
      <c r="W999" s="521" t="str">
        <f>IF(LANÇ_MOV[[#This Row],[DATA DE PAGAMENTO]]&lt;&gt;"","Pago","Não Pago")</f>
        <v>Não Pago</v>
      </c>
      <c r="X999" s="522" t="str">
        <f>IFERROR(IF(LANÇ_MOV[[#This Row],[DATA DE PAGAMENTO]]="","",(UPPER(TEXT(LANÇ_MOV[[#This Row],[DATA DE PAGAMENTO]],"mmmm")))),"")</f>
        <v/>
      </c>
      <c r="Y999" s="523" t="str">
        <f>IFERROR(VLOOKUP(LANÇ_MOV[[#This Row],[PLANO DE CONTAS]],Plano_Contas[[PLANO DE CONTAS]:[NOMES INTERVALOS]],2,0),"")</f>
        <v/>
      </c>
      <c r="Z999" s="523" t="str">
        <f>IF(LANÇ_MOV[[#This Row],[FORMA DE PAGAMENTO]]="","",VLOOKUP(LANÇ_MOV[[#This Row],[FORMA DE PAGAMENTO]],CAD_Forma_pagto[],2,0))</f>
        <v/>
      </c>
      <c r="AA999" s="524" t="str">
        <f>IF(LANÇ_MOV[[#This Row],[DATA DE LANÇAMENTO]]="","",TEXT(LANÇ_MOV[[#This Row],[DATA DE LANÇAMENTO]],"AAAA"))</f>
        <v/>
      </c>
      <c r="AB999" s="524" t="str">
        <f>IF(LANÇ_MOV[[#This Row],[DATA DE LANÇAMENTO]]="","",UPPER(TEXT(LANÇ_MOV[[#This Row],[DATA DE LANÇAMENTO]],"MMMM")))</f>
        <v/>
      </c>
      <c r="AC999" s="525" t="str">
        <f>IF(LANÇ_MOV[[#This Row],[DATA DE LANÇAMENTO]]="","",PROPER(TEXT(LANÇ_MOV[[#This Row],[DATA DE LANÇAMENTO]],"M")))</f>
        <v/>
      </c>
      <c r="AD999" s="524" t="str">
        <f>IF(LANÇ_MOV[[#This Row],[DATA DE LANÇAMENTO]]="","",TEXT(LANÇ_MOV[[#This Row],[DATA DE LANÇAMENTO]],"D"))</f>
        <v/>
      </c>
      <c r="AE999" s="526" t="str">
        <f>IF(LANÇ_MOV[[#This Row],[DATA DE VENCIMENTO]]="","",TEXT(LANÇ_MOV[[#This Row],[DATA DE VENCIMENTO]],"AAAA"))</f>
        <v/>
      </c>
      <c r="AF999" s="526" t="str">
        <f>IF(LANÇ_MOV[[#This Row],[DATA DE VENCIMENTO]]="","",UPPER(TEXT(LANÇ_MOV[[#This Row],[DATA DE VENCIMENTO]],"MMMM")))</f>
        <v/>
      </c>
      <c r="AG999" s="526" t="str">
        <f>IF(LANÇ_MOV[[#This Row],[DATA DE VENCIMENTO]]="","",TEXT(LANÇ_MOV[[#This Row],[DATA DE VENCIMENTO]],"M"))</f>
        <v/>
      </c>
      <c r="AH999" s="526" t="str">
        <f>IF(LANÇ_MOV[[#This Row],[DATA DE VENCIMENTO]]="","",TEXT(LANÇ_MOV[[#This Row],[DATA DE VENCIMENTO]],"D"))</f>
        <v/>
      </c>
      <c r="AI999" s="526" t="str">
        <f>IF(LANÇ_MOV[[#This Row],[DATA DE PAGAMENTO]]="","",TEXT(LANÇ_MOV[[#This Row],[DATA DE PAGAMENTO]],"AAAA"))</f>
        <v/>
      </c>
      <c r="AJ999" s="527" t="str">
        <f>IF(LANÇ_MOV[[#This Row],[DATA DE PAGAMENTO]]="","",UPPER(TEXT(LANÇ_MOV[[#This Row],[DATA DE PAGAMENTO]],"MMMM")))</f>
        <v/>
      </c>
      <c r="AK999" s="527" t="str">
        <f>IF(LANÇ_MOV[[#This Row],[DATA DE PAGAMENTO]]="","",TEXT(LANÇ_MOV[[#This Row],[DATA DE PAGAMENTO]],"M"))</f>
        <v/>
      </c>
      <c r="AL999" s="526" t="str">
        <f>IF(LANÇ_MOV[[#This Row],[DATA DE PAGAMENTO]]="","",TEXT(LANÇ_MOV[[#This Row],[DATA DE PAGAMENTO]],"D"))</f>
        <v/>
      </c>
    </row>
    <row r="1000" spans="2:38" ht="30.05" customHeight="1" x14ac:dyDescent="0.35">
      <c r="B1000" s="506"/>
      <c r="C1000" s="507"/>
      <c r="D1000" s="508" t="s">
        <v>1854</v>
      </c>
      <c r="E1000" s="509"/>
      <c r="F1000" s="510"/>
      <c r="G1000" s="507"/>
      <c r="H1000" s="511"/>
      <c r="I1000" s="512"/>
      <c r="J1000" s="518"/>
      <c r="K1000" s="510"/>
      <c r="L1000" s="510"/>
      <c r="M1000" s="548"/>
      <c r="N1000" s="514">
        <f>LANÇ_MOV[[#This Row],[VALOR BRUTO]]-LANÇ_MOV[[#This Row],[DESCONTO]]+LANÇ_MOV[[#This Row],[JUROS]]+LANÇ_MOV[[#This Row],[MULTA]]</f>
        <v>0</v>
      </c>
      <c r="O1000" s="546"/>
      <c r="P1000" s="547" t="str">
        <f t="shared" ca="1" si="15"/>
        <v/>
      </c>
      <c r="Q1000" s="528"/>
      <c r="R1000" s="529"/>
      <c r="S1000" s="518"/>
      <c r="T1000" s="518"/>
      <c r="U1000" s="519"/>
      <c r="V1000" s="520" t="str">
        <f>IFERROR(VLOOKUP(LANÇ_MOV[[#This Row],[PLANO DE CONTAS]],Plano_Contas[[PLANO DE CONTAS]:[R / D]],3,0),"")</f>
        <v/>
      </c>
      <c r="W1000" s="521" t="str">
        <f>IF(LANÇ_MOV[[#This Row],[DATA DE PAGAMENTO]]&lt;&gt;"","Pago","Não Pago")</f>
        <v>Não Pago</v>
      </c>
      <c r="X1000" s="522" t="str">
        <f>IFERROR(IF(LANÇ_MOV[[#This Row],[DATA DE PAGAMENTO]]="","",(UPPER(TEXT(LANÇ_MOV[[#This Row],[DATA DE PAGAMENTO]],"mmmm")))),"")</f>
        <v/>
      </c>
      <c r="Y1000" s="523" t="str">
        <f>IFERROR(VLOOKUP(LANÇ_MOV[[#This Row],[PLANO DE CONTAS]],Plano_Contas[[PLANO DE CONTAS]:[NOMES INTERVALOS]],2,0),"")</f>
        <v/>
      </c>
      <c r="Z1000" s="523" t="str">
        <f>IF(LANÇ_MOV[[#This Row],[FORMA DE PAGAMENTO]]="","",VLOOKUP(LANÇ_MOV[[#This Row],[FORMA DE PAGAMENTO]],CAD_Forma_pagto[],2,0))</f>
        <v/>
      </c>
      <c r="AA1000" s="524" t="str">
        <f>IF(LANÇ_MOV[[#This Row],[DATA DE LANÇAMENTO]]="","",TEXT(LANÇ_MOV[[#This Row],[DATA DE LANÇAMENTO]],"AAAA"))</f>
        <v/>
      </c>
      <c r="AB1000" s="524" t="str">
        <f>IF(LANÇ_MOV[[#This Row],[DATA DE LANÇAMENTO]]="","",UPPER(TEXT(LANÇ_MOV[[#This Row],[DATA DE LANÇAMENTO]],"MMMM")))</f>
        <v/>
      </c>
      <c r="AC1000" s="525" t="str">
        <f>IF(LANÇ_MOV[[#This Row],[DATA DE LANÇAMENTO]]="","",PROPER(TEXT(LANÇ_MOV[[#This Row],[DATA DE LANÇAMENTO]],"M")))</f>
        <v/>
      </c>
      <c r="AD1000" s="524" t="str">
        <f>IF(LANÇ_MOV[[#This Row],[DATA DE LANÇAMENTO]]="","",TEXT(LANÇ_MOV[[#This Row],[DATA DE LANÇAMENTO]],"D"))</f>
        <v/>
      </c>
      <c r="AE1000" s="526" t="str">
        <f>IF(LANÇ_MOV[[#This Row],[DATA DE VENCIMENTO]]="","",TEXT(LANÇ_MOV[[#This Row],[DATA DE VENCIMENTO]],"AAAA"))</f>
        <v/>
      </c>
      <c r="AF1000" s="526" t="str">
        <f>IF(LANÇ_MOV[[#This Row],[DATA DE VENCIMENTO]]="","",UPPER(TEXT(LANÇ_MOV[[#This Row],[DATA DE VENCIMENTO]],"MMMM")))</f>
        <v/>
      </c>
      <c r="AG1000" s="526" t="str">
        <f>IF(LANÇ_MOV[[#This Row],[DATA DE VENCIMENTO]]="","",TEXT(LANÇ_MOV[[#This Row],[DATA DE VENCIMENTO]],"M"))</f>
        <v/>
      </c>
      <c r="AH1000" s="526" t="str">
        <f>IF(LANÇ_MOV[[#This Row],[DATA DE VENCIMENTO]]="","",TEXT(LANÇ_MOV[[#This Row],[DATA DE VENCIMENTO]],"D"))</f>
        <v/>
      </c>
      <c r="AI1000" s="526" t="str">
        <f>IF(LANÇ_MOV[[#This Row],[DATA DE PAGAMENTO]]="","",TEXT(LANÇ_MOV[[#This Row],[DATA DE PAGAMENTO]],"AAAA"))</f>
        <v/>
      </c>
      <c r="AJ1000" s="527" t="str">
        <f>IF(LANÇ_MOV[[#This Row],[DATA DE PAGAMENTO]]="","",UPPER(TEXT(LANÇ_MOV[[#This Row],[DATA DE PAGAMENTO]],"MMMM")))</f>
        <v/>
      </c>
      <c r="AK1000" s="527" t="str">
        <f>IF(LANÇ_MOV[[#This Row],[DATA DE PAGAMENTO]]="","",TEXT(LANÇ_MOV[[#This Row],[DATA DE PAGAMENTO]],"M"))</f>
        <v/>
      </c>
      <c r="AL1000" s="526" t="str">
        <f>IF(LANÇ_MOV[[#This Row],[DATA DE PAGAMENTO]]="","",TEXT(LANÇ_MOV[[#This Row],[DATA DE PAGAMENTO]],"D"))</f>
        <v/>
      </c>
    </row>
    <row r="1001" spans="2:38" ht="30.05" customHeight="1" x14ac:dyDescent="0.35">
      <c r="B1001" s="506"/>
      <c r="C1001" s="507"/>
      <c r="D1001" s="508" t="s">
        <v>1854</v>
      </c>
      <c r="E1001" s="509"/>
      <c r="F1001" s="510"/>
      <c r="G1001" s="507"/>
      <c r="H1001" s="511"/>
      <c r="I1001" s="512"/>
      <c r="J1001" s="518"/>
      <c r="K1001" s="510"/>
      <c r="L1001" s="510"/>
      <c r="M1001" s="548"/>
      <c r="N1001" s="514">
        <f>LANÇ_MOV[[#This Row],[VALOR BRUTO]]-LANÇ_MOV[[#This Row],[DESCONTO]]+LANÇ_MOV[[#This Row],[JUROS]]+LANÇ_MOV[[#This Row],[MULTA]]</f>
        <v>0</v>
      </c>
      <c r="O1001" s="546"/>
      <c r="P1001" s="547" t="str">
        <f t="shared" ca="1" si="15"/>
        <v/>
      </c>
      <c r="Q1001" s="528"/>
      <c r="R1001" s="529"/>
      <c r="S1001" s="518"/>
      <c r="T1001" s="518"/>
      <c r="U1001" s="519"/>
      <c r="V1001" s="520" t="str">
        <f>IFERROR(VLOOKUP(LANÇ_MOV[[#This Row],[PLANO DE CONTAS]],Plano_Contas[[PLANO DE CONTAS]:[R / D]],3,0),"")</f>
        <v/>
      </c>
      <c r="W1001" s="521" t="str">
        <f>IF(LANÇ_MOV[[#This Row],[DATA DE PAGAMENTO]]&lt;&gt;"","Pago","Não Pago")</f>
        <v>Não Pago</v>
      </c>
      <c r="X1001" s="522" t="str">
        <f>IFERROR(IF(LANÇ_MOV[[#This Row],[DATA DE PAGAMENTO]]="","",(UPPER(TEXT(LANÇ_MOV[[#This Row],[DATA DE PAGAMENTO]],"mmmm")))),"")</f>
        <v/>
      </c>
      <c r="Y1001" s="523" t="str">
        <f>IFERROR(VLOOKUP(LANÇ_MOV[[#This Row],[PLANO DE CONTAS]],Plano_Contas[[PLANO DE CONTAS]:[NOMES INTERVALOS]],2,0),"")</f>
        <v/>
      </c>
      <c r="Z1001" s="523" t="str">
        <f>IF(LANÇ_MOV[[#This Row],[FORMA DE PAGAMENTO]]="","",VLOOKUP(LANÇ_MOV[[#This Row],[FORMA DE PAGAMENTO]],CAD_Forma_pagto[],2,0))</f>
        <v/>
      </c>
      <c r="AA1001" s="524" t="str">
        <f>IF(LANÇ_MOV[[#This Row],[DATA DE LANÇAMENTO]]="","",TEXT(LANÇ_MOV[[#This Row],[DATA DE LANÇAMENTO]],"AAAA"))</f>
        <v/>
      </c>
      <c r="AB1001" s="524" t="str">
        <f>IF(LANÇ_MOV[[#This Row],[DATA DE LANÇAMENTO]]="","",UPPER(TEXT(LANÇ_MOV[[#This Row],[DATA DE LANÇAMENTO]],"MMMM")))</f>
        <v/>
      </c>
      <c r="AC1001" s="525" t="str">
        <f>IF(LANÇ_MOV[[#This Row],[DATA DE LANÇAMENTO]]="","",PROPER(TEXT(LANÇ_MOV[[#This Row],[DATA DE LANÇAMENTO]],"M")))</f>
        <v/>
      </c>
      <c r="AD1001" s="524" t="str">
        <f>IF(LANÇ_MOV[[#This Row],[DATA DE LANÇAMENTO]]="","",TEXT(LANÇ_MOV[[#This Row],[DATA DE LANÇAMENTO]],"D"))</f>
        <v/>
      </c>
      <c r="AE1001" s="526" t="str">
        <f>IF(LANÇ_MOV[[#This Row],[DATA DE VENCIMENTO]]="","",TEXT(LANÇ_MOV[[#This Row],[DATA DE VENCIMENTO]],"AAAA"))</f>
        <v/>
      </c>
      <c r="AF1001" s="526" t="str">
        <f>IF(LANÇ_MOV[[#This Row],[DATA DE VENCIMENTO]]="","",UPPER(TEXT(LANÇ_MOV[[#This Row],[DATA DE VENCIMENTO]],"MMMM")))</f>
        <v/>
      </c>
      <c r="AG1001" s="526" t="str">
        <f>IF(LANÇ_MOV[[#This Row],[DATA DE VENCIMENTO]]="","",TEXT(LANÇ_MOV[[#This Row],[DATA DE VENCIMENTO]],"M"))</f>
        <v/>
      </c>
      <c r="AH1001" s="526" t="str">
        <f>IF(LANÇ_MOV[[#This Row],[DATA DE VENCIMENTO]]="","",TEXT(LANÇ_MOV[[#This Row],[DATA DE VENCIMENTO]],"D"))</f>
        <v/>
      </c>
      <c r="AI1001" s="526" t="str">
        <f>IF(LANÇ_MOV[[#This Row],[DATA DE PAGAMENTO]]="","",TEXT(LANÇ_MOV[[#This Row],[DATA DE PAGAMENTO]],"AAAA"))</f>
        <v/>
      </c>
      <c r="AJ1001" s="527" t="str">
        <f>IF(LANÇ_MOV[[#This Row],[DATA DE PAGAMENTO]]="","",UPPER(TEXT(LANÇ_MOV[[#This Row],[DATA DE PAGAMENTO]],"MMMM")))</f>
        <v/>
      </c>
      <c r="AK1001" s="527" t="str">
        <f>IF(LANÇ_MOV[[#This Row],[DATA DE PAGAMENTO]]="","",TEXT(LANÇ_MOV[[#This Row],[DATA DE PAGAMENTO]],"M"))</f>
        <v/>
      </c>
      <c r="AL1001" s="526" t="str">
        <f>IF(LANÇ_MOV[[#This Row],[DATA DE PAGAMENTO]]="","",TEXT(LANÇ_MOV[[#This Row],[DATA DE PAGAMENTO]],"D"))</f>
        <v/>
      </c>
    </row>
    <row r="1002" spans="2:38" ht="30.05" customHeight="1" x14ac:dyDescent="0.35">
      <c r="B1002" s="506"/>
      <c r="C1002" s="507"/>
      <c r="D1002" s="508" t="s">
        <v>1854</v>
      </c>
      <c r="E1002" s="509"/>
      <c r="F1002" s="510"/>
      <c r="G1002" s="507"/>
      <c r="H1002" s="511"/>
      <c r="I1002" s="512"/>
      <c r="J1002" s="518"/>
      <c r="K1002" s="510"/>
      <c r="L1002" s="510"/>
      <c r="M1002" s="548"/>
      <c r="N1002" s="514">
        <f>LANÇ_MOV[[#This Row],[VALOR BRUTO]]-LANÇ_MOV[[#This Row],[DESCONTO]]+LANÇ_MOV[[#This Row],[JUROS]]+LANÇ_MOV[[#This Row],[MULTA]]</f>
        <v>0</v>
      </c>
      <c r="O1002" s="546"/>
      <c r="P1002" s="547" t="str">
        <f t="shared" ca="1" si="15"/>
        <v/>
      </c>
      <c r="Q1002" s="528"/>
      <c r="R1002" s="529"/>
      <c r="S1002" s="518"/>
      <c r="T1002" s="518"/>
      <c r="U1002" s="519"/>
      <c r="V1002" s="520" t="str">
        <f>IFERROR(VLOOKUP(LANÇ_MOV[[#This Row],[PLANO DE CONTAS]],Plano_Contas[[PLANO DE CONTAS]:[R / D]],3,0),"")</f>
        <v/>
      </c>
      <c r="W1002" s="521" t="str">
        <f>IF(LANÇ_MOV[[#This Row],[DATA DE PAGAMENTO]]&lt;&gt;"","Pago","Não Pago")</f>
        <v>Não Pago</v>
      </c>
      <c r="X1002" s="522" t="str">
        <f>IFERROR(IF(LANÇ_MOV[[#This Row],[DATA DE PAGAMENTO]]="","",(UPPER(TEXT(LANÇ_MOV[[#This Row],[DATA DE PAGAMENTO]],"mmmm")))),"")</f>
        <v/>
      </c>
      <c r="Y1002" s="523" t="str">
        <f>IFERROR(VLOOKUP(LANÇ_MOV[[#This Row],[PLANO DE CONTAS]],Plano_Contas[[PLANO DE CONTAS]:[NOMES INTERVALOS]],2,0),"")</f>
        <v/>
      </c>
      <c r="Z1002" s="523" t="str">
        <f>IF(LANÇ_MOV[[#This Row],[FORMA DE PAGAMENTO]]="","",VLOOKUP(LANÇ_MOV[[#This Row],[FORMA DE PAGAMENTO]],CAD_Forma_pagto[],2,0))</f>
        <v/>
      </c>
      <c r="AA1002" s="524" t="str">
        <f>IF(LANÇ_MOV[[#This Row],[DATA DE LANÇAMENTO]]="","",TEXT(LANÇ_MOV[[#This Row],[DATA DE LANÇAMENTO]],"AAAA"))</f>
        <v/>
      </c>
      <c r="AB1002" s="524" t="str">
        <f>IF(LANÇ_MOV[[#This Row],[DATA DE LANÇAMENTO]]="","",UPPER(TEXT(LANÇ_MOV[[#This Row],[DATA DE LANÇAMENTO]],"MMMM")))</f>
        <v/>
      </c>
      <c r="AC1002" s="525" t="str">
        <f>IF(LANÇ_MOV[[#This Row],[DATA DE LANÇAMENTO]]="","",PROPER(TEXT(LANÇ_MOV[[#This Row],[DATA DE LANÇAMENTO]],"M")))</f>
        <v/>
      </c>
      <c r="AD1002" s="524" t="str">
        <f>IF(LANÇ_MOV[[#This Row],[DATA DE LANÇAMENTO]]="","",TEXT(LANÇ_MOV[[#This Row],[DATA DE LANÇAMENTO]],"D"))</f>
        <v/>
      </c>
      <c r="AE1002" s="526" t="str">
        <f>IF(LANÇ_MOV[[#This Row],[DATA DE VENCIMENTO]]="","",TEXT(LANÇ_MOV[[#This Row],[DATA DE VENCIMENTO]],"AAAA"))</f>
        <v/>
      </c>
      <c r="AF1002" s="526" t="str">
        <f>IF(LANÇ_MOV[[#This Row],[DATA DE VENCIMENTO]]="","",UPPER(TEXT(LANÇ_MOV[[#This Row],[DATA DE VENCIMENTO]],"MMMM")))</f>
        <v/>
      </c>
      <c r="AG1002" s="526" t="str">
        <f>IF(LANÇ_MOV[[#This Row],[DATA DE VENCIMENTO]]="","",TEXT(LANÇ_MOV[[#This Row],[DATA DE VENCIMENTO]],"M"))</f>
        <v/>
      </c>
      <c r="AH1002" s="526" t="str">
        <f>IF(LANÇ_MOV[[#This Row],[DATA DE VENCIMENTO]]="","",TEXT(LANÇ_MOV[[#This Row],[DATA DE VENCIMENTO]],"D"))</f>
        <v/>
      </c>
      <c r="AI1002" s="526" t="str">
        <f>IF(LANÇ_MOV[[#This Row],[DATA DE PAGAMENTO]]="","",TEXT(LANÇ_MOV[[#This Row],[DATA DE PAGAMENTO]],"AAAA"))</f>
        <v/>
      </c>
      <c r="AJ1002" s="527" t="str">
        <f>IF(LANÇ_MOV[[#This Row],[DATA DE PAGAMENTO]]="","",UPPER(TEXT(LANÇ_MOV[[#This Row],[DATA DE PAGAMENTO]],"MMMM")))</f>
        <v/>
      </c>
      <c r="AK1002" s="527" t="str">
        <f>IF(LANÇ_MOV[[#This Row],[DATA DE PAGAMENTO]]="","",TEXT(LANÇ_MOV[[#This Row],[DATA DE PAGAMENTO]],"M"))</f>
        <v/>
      </c>
      <c r="AL1002" s="526" t="str">
        <f>IF(LANÇ_MOV[[#This Row],[DATA DE PAGAMENTO]]="","",TEXT(LANÇ_MOV[[#This Row],[DATA DE PAGAMENTO]],"D"))</f>
        <v/>
      </c>
    </row>
    <row r="1003" spans="2:38" ht="30.05" customHeight="1" x14ac:dyDescent="0.35">
      <c r="B1003" s="506"/>
      <c r="C1003" s="507"/>
      <c r="D1003" s="508" t="s">
        <v>1854</v>
      </c>
      <c r="E1003" s="509"/>
      <c r="F1003" s="510"/>
      <c r="G1003" s="507"/>
      <c r="H1003" s="511"/>
      <c r="I1003" s="512"/>
      <c r="J1003" s="518"/>
      <c r="K1003" s="510"/>
      <c r="L1003" s="510"/>
      <c r="M1003" s="548"/>
      <c r="N1003" s="514">
        <f>LANÇ_MOV[[#This Row],[VALOR BRUTO]]-LANÇ_MOV[[#This Row],[DESCONTO]]+LANÇ_MOV[[#This Row],[JUROS]]+LANÇ_MOV[[#This Row],[MULTA]]</f>
        <v>0</v>
      </c>
      <c r="O1003" s="546"/>
      <c r="P1003" s="547" t="str">
        <f t="shared" ca="1" si="15"/>
        <v/>
      </c>
      <c r="Q1003" s="528"/>
      <c r="R1003" s="529"/>
      <c r="S1003" s="518"/>
      <c r="T1003" s="518"/>
      <c r="U1003" s="519"/>
      <c r="V1003" s="520" t="str">
        <f>IFERROR(VLOOKUP(LANÇ_MOV[[#This Row],[PLANO DE CONTAS]],Plano_Contas[[PLANO DE CONTAS]:[R / D]],3,0),"")</f>
        <v/>
      </c>
      <c r="W1003" s="521" t="str">
        <f>IF(LANÇ_MOV[[#This Row],[DATA DE PAGAMENTO]]&lt;&gt;"","Pago","Não Pago")</f>
        <v>Não Pago</v>
      </c>
      <c r="X1003" s="522" t="str">
        <f>IFERROR(IF(LANÇ_MOV[[#This Row],[DATA DE PAGAMENTO]]="","",(UPPER(TEXT(LANÇ_MOV[[#This Row],[DATA DE PAGAMENTO]],"mmmm")))),"")</f>
        <v/>
      </c>
      <c r="Y1003" s="523" t="str">
        <f>IFERROR(VLOOKUP(LANÇ_MOV[[#This Row],[PLANO DE CONTAS]],Plano_Contas[[PLANO DE CONTAS]:[NOMES INTERVALOS]],2,0),"")</f>
        <v/>
      </c>
      <c r="Z1003" s="523" t="str">
        <f>IF(LANÇ_MOV[[#This Row],[FORMA DE PAGAMENTO]]="","",VLOOKUP(LANÇ_MOV[[#This Row],[FORMA DE PAGAMENTO]],CAD_Forma_pagto[],2,0))</f>
        <v/>
      </c>
      <c r="AA1003" s="524" t="str">
        <f>IF(LANÇ_MOV[[#This Row],[DATA DE LANÇAMENTO]]="","",TEXT(LANÇ_MOV[[#This Row],[DATA DE LANÇAMENTO]],"AAAA"))</f>
        <v/>
      </c>
      <c r="AB1003" s="524" t="str">
        <f>IF(LANÇ_MOV[[#This Row],[DATA DE LANÇAMENTO]]="","",UPPER(TEXT(LANÇ_MOV[[#This Row],[DATA DE LANÇAMENTO]],"MMMM")))</f>
        <v/>
      </c>
      <c r="AC1003" s="525" t="str">
        <f>IF(LANÇ_MOV[[#This Row],[DATA DE LANÇAMENTO]]="","",PROPER(TEXT(LANÇ_MOV[[#This Row],[DATA DE LANÇAMENTO]],"M")))</f>
        <v/>
      </c>
      <c r="AD1003" s="524" t="str">
        <f>IF(LANÇ_MOV[[#This Row],[DATA DE LANÇAMENTO]]="","",TEXT(LANÇ_MOV[[#This Row],[DATA DE LANÇAMENTO]],"D"))</f>
        <v/>
      </c>
      <c r="AE1003" s="526" t="str">
        <f>IF(LANÇ_MOV[[#This Row],[DATA DE VENCIMENTO]]="","",TEXT(LANÇ_MOV[[#This Row],[DATA DE VENCIMENTO]],"AAAA"))</f>
        <v/>
      </c>
      <c r="AF1003" s="526" t="str">
        <f>IF(LANÇ_MOV[[#This Row],[DATA DE VENCIMENTO]]="","",UPPER(TEXT(LANÇ_MOV[[#This Row],[DATA DE VENCIMENTO]],"MMMM")))</f>
        <v/>
      </c>
      <c r="AG1003" s="526" t="str">
        <f>IF(LANÇ_MOV[[#This Row],[DATA DE VENCIMENTO]]="","",TEXT(LANÇ_MOV[[#This Row],[DATA DE VENCIMENTO]],"M"))</f>
        <v/>
      </c>
      <c r="AH1003" s="526" t="str">
        <f>IF(LANÇ_MOV[[#This Row],[DATA DE VENCIMENTO]]="","",TEXT(LANÇ_MOV[[#This Row],[DATA DE VENCIMENTO]],"D"))</f>
        <v/>
      </c>
      <c r="AI1003" s="526" t="str">
        <f>IF(LANÇ_MOV[[#This Row],[DATA DE PAGAMENTO]]="","",TEXT(LANÇ_MOV[[#This Row],[DATA DE PAGAMENTO]],"AAAA"))</f>
        <v/>
      </c>
      <c r="AJ1003" s="527" t="str">
        <f>IF(LANÇ_MOV[[#This Row],[DATA DE PAGAMENTO]]="","",UPPER(TEXT(LANÇ_MOV[[#This Row],[DATA DE PAGAMENTO]],"MMMM")))</f>
        <v/>
      </c>
      <c r="AK1003" s="527" t="str">
        <f>IF(LANÇ_MOV[[#This Row],[DATA DE PAGAMENTO]]="","",TEXT(LANÇ_MOV[[#This Row],[DATA DE PAGAMENTO]],"M"))</f>
        <v/>
      </c>
      <c r="AL1003" s="526" t="str">
        <f>IF(LANÇ_MOV[[#This Row],[DATA DE PAGAMENTO]]="","",TEXT(LANÇ_MOV[[#This Row],[DATA DE PAGAMENTO]],"D"))</f>
        <v/>
      </c>
    </row>
    <row r="1004" spans="2:38" ht="30.05" customHeight="1" x14ac:dyDescent="0.35">
      <c r="B1004" s="506"/>
      <c r="C1004" s="507"/>
      <c r="D1004" s="508" t="s">
        <v>1854</v>
      </c>
      <c r="E1004" s="509"/>
      <c r="F1004" s="510"/>
      <c r="G1004" s="507"/>
      <c r="H1004" s="511"/>
      <c r="I1004" s="512"/>
      <c r="J1004" s="518"/>
      <c r="K1004" s="510"/>
      <c r="L1004" s="510"/>
      <c r="M1004" s="548"/>
      <c r="N1004" s="514">
        <f>LANÇ_MOV[[#This Row],[VALOR BRUTO]]-LANÇ_MOV[[#This Row],[DESCONTO]]+LANÇ_MOV[[#This Row],[JUROS]]+LANÇ_MOV[[#This Row],[MULTA]]</f>
        <v>0</v>
      </c>
      <c r="O1004" s="546"/>
      <c r="P1004" s="547" t="str">
        <f t="shared" ca="1" si="15"/>
        <v/>
      </c>
      <c r="Q1004" s="528"/>
      <c r="R1004" s="529"/>
      <c r="S1004" s="518"/>
      <c r="T1004" s="518"/>
      <c r="U1004" s="519"/>
      <c r="V1004" s="520" t="str">
        <f>IFERROR(VLOOKUP(LANÇ_MOV[[#This Row],[PLANO DE CONTAS]],Plano_Contas[[PLANO DE CONTAS]:[R / D]],3,0),"")</f>
        <v/>
      </c>
      <c r="W1004" s="521" t="str">
        <f>IF(LANÇ_MOV[[#This Row],[DATA DE PAGAMENTO]]&lt;&gt;"","Pago","Não Pago")</f>
        <v>Não Pago</v>
      </c>
      <c r="X1004" s="522" t="str">
        <f>IFERROR(IF(LANÇ_MOV[[#This Row],[DATA DE PAGAMENTO]]="","",(UPPER(TEXT(LANÇ_MOV[[#This Row],[DATA DE PAGAMENTO]],"mmmm")))),"")</f>
        <v/>
      </c>
      <c r="Y1004" s="523" t="str">
        <f>IFERROR(VLOOKUP(LANÇ_MOV[[#This Row],[PLANO DE CONTAS]],Plano_Contas[[PLANO DE CONTAS]:[NOMES INTERVALOS]],2,0),"")</f>
        <v/>
      </c>
      <c r="Z1004" s="523" t="str">
        <f>IF(LANÇ_MOV[[#This Row],[FORMA DE PAGAMENTO]]="","",VLOOKUP(LANÇ_MOV[[#This Row],[FORMA DE PAGAMENTO]],CAD_Forma_pagto[],2,0))</f>
        <v/>
      </c>
      <c r="AA1004" s="524" t="str">
        <f>IF(LANÇ_MOV[[#This Row],[DATA DE LANÇAMENTO]]="","",TEXT(LANÇ_MOV[[#This Row],[DATA DE LANÇAMENTO]],"AAAA"))</f>
        <v/>
      </c>
      <c r="AB1004" s="524" t="str">
        <f>IF(LANÇ_MOV[[#This Row],[DATA DE LANÇAMENTO]]="","",UPPER(TEXT(LANÇ_MOV[[#This Row],[DATA DE LANÇAMENTO]],"MMMM")))</f>
        <v/>
      </c>
      <c r="AC1004" s="525" t="str">
        <f>IF(LANÇ_MOV[[#This Row],[DATA DE LANÇAMENTO]]="","",PROPER(TEXT(LANÇ_MOV[[#This Row],[DATA DE LANÇAMENTO]],"M")))</f>
        <v/>
      </c>
      <c r="AD1004" s="524" t="str">
        <f>IF(LANÇ_MOV[[#This Row],[DATA DE LANÇAMENTO]]="","",TEXT(LANÇ_MOV[[#This Row],[DATA DE LANÇAMENTO]],"D"))</f>
        <v/>
      </c>
      <c r="AE1004" s="526" t="str">
        <f>IF(LANÇ_MOV[[#This Row],[DATA DE VENCIMENTO]]="","",TEXT(LANÇ_MOV[[#This Row],[DATA DE VENCIMENTO]],"AAAA"))</f>
        <v/>
      </c>
      <c r="AF1004" s="526" t="str">
        <f>IF(LANÇ_MOV[[#This Row],[DATA DE VENCIMENTO]]="","",UPPER(TEXT(LANÇ_MOV[[#This Row],[DATA DE VENCIMENTO]],"MMMM")))</f>
        <v/>
      </c>
      <c r="AG1004" s="526" t="str">
        <f>IF(LANÇ_MOV[[#This Row],[DATA DE VENCIMENTO]]="","",TEXT(LANÇ_MOV[[#This Row],[DATA DE VENCIMENTO]],"M"))</f>
        <v/>
      </c>
      <c r="AH1004" s="526" t="str">
        <f>IF(LANÇ_MOV[[#This Row],[DATA DE VENCIMENTO]]="","",TEXT(LANÇ_MOV[[#This Row],[DATA DE VENCIMENTO]],"D"))</f>
        <v/>
      </c>
      <c r="AI1004" s="526" t="str">
        <f>IF(LANÇ_MOV[[#This Row],[DATA DE PAGAMENTO]]="","",TEXT(LANÇ_MOV[[#This Row],[DATA DE PAGAMENTO]],"AAAA"))</f>
        <v/>
      </c>
      <c r="AJ1004" s="527" t="str">
        <f>IF(LANÇ_MOV[[#This Row],[DATA DE PAGAMENTO]]="","",UPPER(TEXT(LANÇ_MOV[[#This Row],[DATA DE PAGAMENTO]],"MMMM")))</f>
        <v/>
      </c>
      <c r="AK1004" s="527" t="str">
        <f>IF(LANÇ_MOV[[#This Row],[DATA DE PAGAMENTO]]="","",TEXT(LANÇ_MOV[[#This Row],[DATA DE PAGAMENTO]],"M"))</f>
        <v/>
      </c>
      <c r="AL1004" s="526" t="str">
        <f>IF(LANÇ_MOV[[#This Row],[DATA DE PAGAMENTO]]="","",TEXT(LANÇ_MOV[[#This Row],[DATA DE PAGAMENTO]],"D"))</f>
        <v/>
      </c>
    </row>
    <row r="1005" spans="2:38" ht="30.05" customHeight="1" x14ac:dyDescent="0.35">
      <c r="B1005" s="506"/>
      <c r="C1005" s="507"/>
      <c r="D1005" s="508" t="s">
        <v>1854</v>
      </c>
      <c r="E1005" s="509"/>
      <c r="F1005" s="510"/>
      <c r="G1005" s="507"/>
      <c r="H1005" s="511"/>
      <c r="I1005" s="512"/>
      <c r="J1005" s="518"/>
      <c r="K1005" s="510"/>
      <c r="L1005" s="510"/>
      <c r="M1005" s="548"/>
      <c r="N1005" s="514">
        <f>LANÇ_MOV[[#This Row],[VALOR BRUTO]]-LANÇ_MOV[[#This Row],[DESCONTO]]+LANÇ_MOV[[#This Row],[JUROS]]+LANÇ_MOV[[#This Row],[MULTA]]</f>
        <v>0</v>
      </c>
      <c r="O1005" s="546"/>
      <c r="P1005" s="547" t="str">
        <f t="shared" ca="1" si="15"/>
        <v/>
      </c>
      <c r="Q1005" s="528"/>
      <c r="R1005" s="529"/>
      <c r="S1005" s="518"/>
      <c r="T1005" s="518"/>
      <c r="U1005" s="519"/>
      <c r="V1005" s="520" t="str">
        <f>IFERROR(VLOOKUP(LANÇ_MOV[[#This Row],[PLANO DE CONTAS]],Plano_Contas[[PLANO DE CONTAS]:[R / D]],3,0),"")</f>
        <v/>
      </c>
      <c r="W1005" s="521" t="str">
        <f>IF(LANÇ_MOV[[#This Row],[DATA DE PAGAMENTO]]&lt;&gt;"","Pago","Não Pago")</f>
        <v>Não Pago</v>
      </c>
      <c r="X1005" s="522" t="str">
        <f>IFERROR(IF(LANÇ_MOV[[#This Row],[DATA DE PAGAMENTO]]="","",(UPPER(TEXT(LANÇ_MOV[[#This Row],[DATA DE PAGAMENTO]],"mmmm")))),"")</f>
        <v/>
      </c>
      <c r="Y1005" s="523" t="str">
        <f>IFERROR(VLOOKUP(LANÇ_MOV[[#This Row],[PLANO DE CONTAS]],Plano_Contas[[PLANO DE CONTAS]:[NOMES INTERVALOS]],2,0),"")</f>
        <v/>
      </c>
      <c r="Z1005" s="523" t="str">
        <f>IF(LANÇ_MOV[[#This Row],[FORMA DE PAGAMENTO]]="","",VLOOKUP(LANÇ_MOV[[#This Row],[FORMA DE PAGAMENTO]],CAD_Forma_pagto[],2,0))</f>
        <v/>
      </c>
      <c r="AA1005" s="524" t="str">
        <f>IF(LANÇ_MOV[[#This Row],[DATA DE LANÇAMENTO]]="","",TEXT(LANÇ_MOV[[#This Row],[DATA DE LANÇAMENTO]],"AAAA"))</f>
        <v/>
      </c>
      <c r="AB1005" s="524" t="str">
        <f>IF(LANÇ_MOV[[#This Row],[DATA DE LANÇAMENTO]]="","",UPPER(TEXT(LANÇ_MOV[[#This Row],[DATA DE LANÇAMENTO]],"MMMM")))</f>
        <v/>
      </c>
      <c r="AC1005" s="525" t="str">
        <f>IF(LANÇ_MOV[[#This Row],[DATA DE LANÇAMENTO]]="","",PROPER(TEXT(LANÇ_MOV[[#This Row],[DATA DE LANÇAMENTO]],"M")))</f>
        <v/>
      </c>
      <c r="AD1005" s="524" t="str">
        <f>IF(LANÇ_MOV[[#This Row],[DATA DE LANÇAMENTO]]="","",TEXT(LANÇ_MOV[[#This Row],[DATA DE LANÇAMENTO]],"D"))</f>
        <v/>
      </c>
      <c r="AE1005" s="526" t="str">
        <f>IF(LANÇ_MOV[[#This Row],[DATA DE VENCIMENTO]]="","",TEXT(LANÇ_MOV[[#This Row],[DATA DE VENCIMENTO]],"AAAA"))</f>
        <v/>
      </c>
      <c r="AF1005" s="526" t="str">
        <f>IF(LANÇ_MOV[[#This Row],[DATA DE VENCIMENTO]]="","",UPPER(TEXT(LANÇ_MOV[[#This Row],[DATA DE VENCIMENTO]],"MMMM")))</f>
        <v/>
      </c>
      <c r="AG1005" s="526" t="str">
        <f>IF(LANÇ_MOV[[#This Row],[DATA DE VENCIMENTO]]="","",TEXT(LANÇ_MOV[[#This Row],[DATA DE VENCIMENTO]],"M"))</f>
        <v/>
      </c>
      <c r="AH1005" s="526" t="str">
        <f>IF(LANÇ_MOV[[#This Row],[DATA DE VENCIMENTO]]="","",TEXT(LANÇ_MOV[[#This Row],[DATA DE VENCIMENTO]],"D"))</f>
        <v/>
      </c>
      <c r="AI1005" s="526" t="str">
        <f>IF(LANÇ_MOV[[#This Row],[DATA DE PAGAMENTO]]="","",TEXT(LANÇ_MOV[[#This Row],[DATA DE PAGAMENTO]],"AAAA"))</f>
        <v/>
      </c>
      <c r="AJ1005" s="527" t="str">
        <f>IF(LANÇ_MOV[[#This Row],[DATA DE PAGAMENTO]]="","",UPPER(TEXT(LANÇ_MOV[[#This Row],[DATA DE PAGAMENTO]],"MMMM")))</f>
        <v/>
      </c>
      <c r="AK1005" s="527" t="str">
        <f>IF(LANÇ_MOV[[#This Row],[DATA DE PAGAMENTO]]="","",TEXT(LANÇ_MOV[[#This Row],[DATA DE PAGAMENTO]],"M"))</f>
        <v/>
      </c>
      <c r="AL1005" s="526" t="str">
        <f>IF(LANÇ_MOV[[#This Row],[DATA DE PAGAMENTO]]="","",TEXT(LANÇ_MOV[[#This Row],[DATA DE PAGAMENTO]],"D"))</f>
        <v/>
      </c>
    </row>
    <row r="1006" spans="2:38" ht="30.05" customHeight="1" x14ac:dyDescent="0.35">
      <c r="B1006" s="506"/>
      <c r="C1006" s="507"/>
      <c r="D1006" s="508" t="s">
        <v>1854</v>
      </c>
      <c r="E1006" s="509"/>
      <c r="F1006" s="510"/>
      <c r="G1006" s="507"/>
      <c r="H1006" s="511"/>
      <c r="I1006" s="512"/>
      <c r="J1006" s="518"/>
      <c r="K1006" s="510"/>
      <c r="L1006" s="510"/>
      <c r="M1006" s="548"/>
      <c r="N1006" s="514">
        <f>LANÇ_MOV[[#This Row],[VALOR BRUTO]]-LANÇ_MOV[[#This Row],[DESCONTO]]+LANÇ_MOV[[#This Row],[JUROS]]+LANÇ_MOV[[#This Row],[MULTA]]</f>
        <v>0</v>
      </c>
      <c r="O1006" s="546"/>
      <c r="P1006" s="547" t="str">
        <f t="shared" ca="1" si="15"/>
        <v/>
      </c>
      <c r="Q1006" s="528"/>
      <c r="R1006" s="529"/>
      <c r="S1006" s="518"/>
      <c r="T1006" s="518"/>
      <c r="U1006" s="519"/>
      <c r="V1006" s="520" t="str">
        <f>IFERROR(VLOOKUP(LANÇ_MOV[[#This Row],[PLANO DE CONTAS]],Plano_Contas[[PLANO DE CONTAS]:[R / D]],3,0),"")</f>
        <v/>
      </c>
      <c r="W1006" s="521" t="str">
        <f>IF(LANÇ_MOV[[#This Row],[DATA DE PAGAMENTO]]&lt;&gt;"","Pago","Não Pago")</f>
        <v>Não Pago</v>
      </c>
      <c r="X1006" s="522" t="str">
        <f>IFERROR(IF(LANÇ_MOV[[#This Row],[DATA DE PAGAMENTO]]="","",(UPPER(TEXT(LANÇ_MOV[[#This Row],[DATA DE PAGAMENTO]],"mmmm")))),"")</f>
        <v/>
      </c>
      <c r="Y1006" s="523" t="str">
        <f>IFERROR(VLOOKUP(LANÇ_MOV[[#This Row],[PLANO DE CONTAS]],Plano_Contas[[PLANO DE CONTAS]:[NOMES INTERVALOS]],2,0),"")</f>
        <v/>
      </c>
      <c r="Z1006" s="523" t="str">
        <f>IF(LANÇ_MOV[[#This Row],[FORMA DE PAGAMENTO]]="","",VLOOKUP(LANÇ_MOV[[#This Row],[FORMA DE PAGAMENTO]],CAD_Forma_pagto[],2,0))</f>
        <v/>
      </c>
      <c r="AA1006" s="524" t="str">
        <f>IF(LANÇ_MOV[[#This Row],[DATA DE LANÇAMENTO]]="","",TEXT(LANÇ_MOV[[#This Row],[DATA DE LANÇAMENTO]],"AAAA"))</f>
        <v/>
      </c>
      <c r="AB1006" s="524" t="str">
        <f>IF(LANÇ_MOV[[#This Row],[DATA DE LANÇAMENTO]]="","",UPPER(TEXT(LANÇ_MOV[[#This Row],[DATA DE LANÇAMENTO]],"MMMM")))</f>
        <v/>
      </c>
      <c r="AC1006" s="525" t="str">
        <f>IF(LANÇ_MOV[[#This Row],[DATA DE LANÇAMENTO]]="","",PROPER(TEXT(LANÇ_MOV[[#This Row],[DATA DE LANÇAMENTO]],"M")))</f>
        <v/>
      </c>
      <c r="AD1006" s="524" t="str">
        <f>IF(LANÇ_MOV[[#This Row],[DATA DE LANÇAMENTO]]="","",TEXT(LANÇ_MOV[[#This Row],[DATA DE LANÇAMENTO]],"D"))</f>
        <v/>
      </c>
      <c r="AE1006" s="526" t="str">
        <f>IF(LANÇ_MOV[[#This Row],[DATA DE VENCIMENTO]]="","",TEXT(LANÇ_MOV[[#This Row],[DATA DE VENCIMENTO]],"AAAA"))</f>
        <v/>
      </c>
      <c r="AF1006" s="526" t="str">
        <f>IF(LANÇ_MOV[[#This Row],[DATA DE VENCIMENTO]]="","",UPPER(TEXT(LANÇ_MOV[[#This Row],[DATA DE VENCIMENTO]],"MMMM")))</f>
        <v/>
      </c>
      <c r="AG1006" s="526" t="str">
        <f>IF(LANÇ_MOV[[#This Row],[DATA DE VENCIMENTO]]="","",TEXT(LANÇ_MOV[[#This Row],[DATA DE VENCIMENTO]],"M"))</f>
        <v/>
      </c>
      <c r="AH1006" s="526" t="str">
        <f>IF(LANÇ_MOV[[#This Row],[DATA DE VENCIMENTO]]="","",TEXT(LANÇ_MOV[[#This Row],[DATA DE VENCIMENTO]],"D"))</f>
        <v/>
      </c>
      <c r="AI1006" s="526" t="str">
        <f>IF(LANÇ_MOV[[#This Row],[DATA DE PAGAMENTO]]="","",TEXT(LANÇ_MOV[[#This Row],[DATA DE PAGAMENTO]],"AAAA"))</f>
        <v/>
      </c>
      <c r="AJ1006" s="527" t="str">
        <f>IF(LANÇ_MOV[[#This Row],[DATA DE PAGAMENTO]]="","",UPPER(TEXT(LANÇ_MOV[[#This Row],[DATA DE PAGAMENTO]],"MMMM")))</f>
        <v/>
      </c>
      <c r="AK1006" s="527" t="str">
        <f>IF(LANÇ_MOV[[#This Row],[DATA DE PAGAMENTO]]="","",TEXT(LANÇ_MOV[[#This Row],[DATA DE PAGAMENTO]],"M"))</f>
        <v/>
      </c>
      <c r="AL1006" s="526" t="str">
        <f>IF(LANÇ_MOV[[#This Row],[DATA DE PAGAMENTO]]="","",TEXT(LANÇ_MOV[[#This Row],[DATA DE PAGAMENTO]],"D"))</f>
        <v/>
      </c>
    </row>
    <row r="1007" spans="2:38" ht="30.05" customHeight="1" x14ac:dyDescent="0.35">
      <c r="B1007" s="506"/>
      <c r="C1007" s="507"/>
      <c r="D1007" s="508" t="s">
        <v>1854</v>
      </c>
      <c r="E1007" s="509"/>
      <c r="F1007" s="510"/>
      <c r="G1007" s="507"/>
      <c r="H1007" s="511"/>
      <c r="I1007" s="512"/>
      <c r="J1007" s="518"/>
      <c r="K1007" s="510"/>
      <c r="L1007" s="510"/>
      <c r="M1007" s="548"/>
      <c r="N1007" s="514">
        <f>LANÇ_MOV[[#This Row],[VALOR BRUTO]]-LANÇ_MOV[[#This Row],[DESCONTO]]+LANÇ_MOV[[#This Row],[JUROS]]+LANÇ_MOV[[#This Row],[MULTA]]</f>
        <v>0</v>
      </c>
      <c r="O1007" s="546"/>
      <c r="P1007" s="547" t="str">
        <f t="shared" ca="1" si="15"/>
        <v/>
      </c>
      <c r="Q1007" s="528"/>
      <c r="R1007" s="529"/>
      <c r="S1007" s="518"/>
      <c r="T1007" s="518"/>
      <c r="U1007" s="519"/>
      <c r="V1007" s="520" t="str">
        <f>IFERROR(VLOOKUP(LANÇ_MOV[[#This Row],[PLANO DE CONTAS]],Plano_Contas[[PLANO DE CONTAS]:[R / D]],3,0),"")</f>
        <v/>
      </c>
      <c r="W1007" s="521" t="str">
        <f>IF(LANÇ_MOV[[#This Row],[DATA DE PAGAMENTO]]&lt;&gt;"","Pago","Não Pago")</f>
        <v>Não Pago</v>
      </c>
      <c r="X1007" s="522" t="str">
        <f>IFERROR(IF(LANÇ_MOV[[#This Row],[DATA DE PAGAMENTO]]="","",(UPPER(TEXT(LANÇ_MOV[[#This Row],[DATA DE PAGAMENTO]],"mmmm")))),"")</f>
        <v/>
      </c>
      <c r="Y1007" s="523" t="str">
        <f>IFERROR(VLOOKUP(LANÇ_MOV[[#This Row],[PLANO DE CONTAS]],Plano_Contas[[PLANO DE CONTAS]:[NOMES INTERVALOS]],2,0),"")</f>
        <v/>
      </c>
      <c r="Z1007" s="523" t="str">
        <f>IF(LANÇ_MOV[[#This Row],[FORMA DE PAGAMENTO]]="","",VLOOKUP(LANÇ_MOV[[#This Row],[FORMA DE PAGAMENTO]],CAD_Forma_pagto[],2,0))</f>
        <v/>
      </c>
      <c r="AA1007" s="524" t="str">
        <f>IF(LANÇ_MOV[[#This Row],[DATA DE LANÇAMENTO]]="","",TEXT(LANÇ_MOV[[#This Row],[DATA DE LANÇAMENTO]],"AAAA"))</f>
        <v/>
      </c>
      <c r="AB1007" s="524" t="str">
        <f>IF(LANÇ_MOV[[#This Row],[DATA DE LANÇAMENTO]]="","",UPPER(TEXT(LANÇ_MOV[[#This Row],[DATA DE LANÇAMENTO]],"MMMM")))</f>
        <v/>
      </c>
      <c r="AC1007" s="525" t="str">
        <f>IF(LANÇ_MOV[[#This Row],[DATA DE LANÇAMENTO]]="","",PROPER(TEXT(LANÇ_MOV[[#This Row],[DATA DE LANÇAMENTO]],"M")))</f>
        <v/>
      </c>
      <c r="AD1007" s="524" t="str">
        <f>IF(LANÇ_MOV[[#This Row],[DATA DE LANÇAMENTO]]="","",TEXT(LANÇ_MOV[[#This Row],[DATA DE LANÇAMENTO]],"D"))</f>
        <v/>
      </c>
      <c r="AE1007" s="526" t="str">
        <f>IF(LANÇ_MOV[[#This Row],[DATA DE VENCIMENTO]]="","",TEXT(LANÇ_MOV[[#This Row],[DATA DE VENCIMENTO]],"AAAA"))</f>
        <v/>
      </c>
      <c r="AF1007" s="526" t="str">
        <f>IF(LANÇ_MOV[[#This Row],[DATA DE VENCIMENTO]]="","",UPPER(TEXT(LANÇ_MOV[[#This Row],[DATA DE VENCIMENTO]],"MMMM")))</f>
        <v/>
      </c>
      <c r="AG1007" s="526" t="str">
        <f>IF(LANÇ_MOV[[#This Row],[DATA DE VENCIMENTO]]="","",TEXT(LANÇ_MOV[[#This Row],[DATA DE VENCIMENTO]],"M"))</f>
        <v/>
      </c>
      <c r="AH1007" s="526" t="str">
        <f>IF(LANÇ_MOV[[#This Row],[DATA DE VENCIMENTO]]="","",TEXT(LANÇ_MOV[[#This Row],[DATA DE VENCIMENTO]],"D"))</f>
        <v/>
      </c>
      <c r="AI1007" s="526" t="str">
        <f>IF(LANÇ_MOV[[#This Row],[DATA DE PAGAMENTO]]="","",TEXT(LANÇ_MOV[[#This Row],[DATA DE PAGAMENTO]],"AAAA"))</f>
        <v/>
      </c>
      <c r="AJ1007" s="527" t="str">
        <f>IF(LANÇ_MOV[[#This Row],[DATA DE PAGAMENTO]]="","",UPPER(TEXT(LANÇ_MOV[[#This Row],[DATA DE PAGAMENTO]],"MMMM")))</f>
        <v/>
      </c>
      <c r="AK1007" s="527" t="str">
        <f>IF(LANÇ_MOV[[#This Row],[DATA DE PAGAMENTO]]="","",TEXT(LANÇ_MOV[[#This Row],[DATA DE PAGAMENTO]],"M"))</f>
        <v/>
      </c>
      <c r="AL1007" s="526" t="str">
        <f>IF(LANÇ_MOV[[#This Row],[DATA DE PAGAMENTO]]="","",TEXT(LANÇ_MOV[[#This Row],[DATA DE PAGAMENTO]],"D"))</f>
        <v/>
      </c>
    </row>
    <row r="1008" spans="2:38" ht="30.05" customHeight="1" x14ac:dyDescent="0.35">
      <c r="B1008" s="506"/>
      <c r="C1008" s="507"/>
      <c r="D1008" s="508" t="s">
        <v>1854</v>
      </c>
      <c r="E1008" s="509"/>
      <c r="F1008" s="510"/>
      <c r="G1008" s="507"/>
      <c r="H1008" s="511"/>
      <c r="I1008" s="512"/>
      <c r="J1008" s="518"/>
      <c r="K1008" s="510"/>
      <c r="L1008" s="510"/>
      <c r="M1008" s="548"/>
      <c r="N1008" s="514">
        <f>LANÇ_MOV[[#This Row],[VALOR BRUTO]]-LANÇ_MOV[[#This Row],[DESCONTO]]+LANÇ_MOV[[#This Row],[JUROS]]+LANÇ_MOV[[#This Row],[MULTA]]</f>
        <v>0</v>
      </c>
      <c r="O1008" s="546"/>
      <c r="P1008" s="547" t="str">
        <f t="shared" ca="1" si="15"/>
        <v/>
      </c>
      <c r="Q1008" s="528"/>
      <c r="R1008" s="529"/>
      <c r="S1008" s="518"/>
      <c r="T1008" s="518"/>
      <c r="U1008" s="519"/>
      <c r="V1008" s="520" t="str">
        <f>IFERROR(VLOOKUP(LANÇ_MOV[[#This Row],[PLANO DE CONTAS]],Plano_Contas[[PLANO DE CONTAS]:[R / D]],3,0),"")</f>
        <v/>
      </c>
      <c r="W1008" s="521" t="str">
        <f>IF(LANÇ_MOV[[#This Row],[DATA DE PAGAMENTO]]&lt;&gt;"","Pago","Não Pago")</f>
        <v>Não Pago</v>
      </c>
      <c r="X1008" s="522" t="str">
        <f>IFERROR(IF(LANÇ_MOV[[#This Row],[DATA DE PAGAMENTO]]="","",(UPPER(TEXT(LANÇ_MOV[[#This Row],[DATA DE PAGAMENTO]],"mmmm")))),"")</f>
        <v/>
      </c>
      <c r="Y1008" s="523" t="str">
        <f>IFERROR(VLOOKUP(LANÇ_MOV[[#This Row],[PLANO DE CONTAS]],Plano_Contas[[PLANO DE CONTAS]:[NOMES INTERVALOS]],2,0),"")</f>
        <v/>
      </c>
      <c r="Z1008" s="523" t="str">
        <f>IF(LANÇ_MOV[[#This Row],[FORMA DE PAGAMENTO]]="","",VLOOKUP(LANÇ_MOV[[#This Row],[FORMA DE PAGAMENTO]],CAD_Forma_pagto[],2,0))</f>
        <v/>
      </c>
      <c r="AA1008" s="524" t="str">
        <f>IF(LANÇ_MOV[[#This Row],[DATA DE LANÇAMENTO]]="","",TEXT(LANÇ_MOV[[#This Row],[DATA DE LANÇAMENTO]],"AAAA"))</f>
        <v/>
      </c>
      <c r="AB1008" s="524" t="str">
        <f>IF(LANÇ_MOV[[#This Row],[DATA DE LANÇAMENTO]]="","",UPPER(TEXT(LANÇ_MOV[[#This Row],[DATA DE LANÇAMENTO]],"MMMM")))</f>
        <v/>
      </c>
      <c r="AC1008" s="525" t="str">
        <f>IF(LANÇ_MOV[[#This Row],[DATA DE LANÇAMENTO]]="","",PROPER(TEXT(LANÇ_MOV[[#This Row],[DATA DE LANÇAMENTO]],"M")))</f>
        <v/>
      </c>
      <c r="AD1008" s="524" t="str">
        <f>IF(LANÇ_MOV[[#This Row],[DATA DE LANÇAMENTO]]="","",TEXT(LANÇ_MOV[[#This Row],[DATA DE LANÇAMENTO]],"D"))</f>
        <v/>
      </c>
      <c r="AE1008" s="526" t="str">
        <f>IF(LANÇ_MOV[[#This Row],[DATA DE VENCIMENTO]]="","",TEXT(LANÇ_MOV[[#This Row],[DATA DE VENCIMENTO]],"AAAA"))</f>
        <v/>
      </c>
      <c r="AF1008" s="526" t="str">
        <f>IF(LANÇ_MOV[[#This Row],[DATA DE VENCIMENTO]]="","",UPPER(TEXT(LANÇ_MOV[[#This Row],[DATA DE VENCIMENTO]],"MMMM")))</f>
        <v/>
      </c>
      <c r="AG1008" s="526" t="str">
        <f>IF(LANÇ_MOV[[#This Row],[DATA DE VENCIMENTO]]="","",TEXT(LANÇ_MOV[[#This Row],[DATA DE VENCIMENTO]],"M"))</f>
        <v/>
      </c>
      <c r="AH1008" s="526" t="str">
        <f>IF(LANÇ_MOV[[#This Row],[DATA DE VENCIMENTO]]="","",TEXT(LANÇ_MOV[[#This Row],[DATA DE VENCIMENTO]],"D"))</f>
        <v/>
      </c>
      <c r="AI1008" s="526" t="str">
        <f>IF(LANÇ_MOV[[#This Row],[DATA DE PAGAMENTO]]="","",TEXT(LANÇ_MOV[[#This Row],[DATA DE PAGAMENTO]],"AAAA"))</f>
        <v/>
      </c>
      <c r="AJ1008" s="527" t="str">
        <f>IF(LANÇ_MOV[[#This Row],[DATA DE PAGAMENTO]]="","",UPPER(TEXT(LANÇ_MOV[[#This Row],[DATA DE PAGAMENTO]],"MMMM")))</f>
        <v/>
      </c>
      <c r="AK1008" s="527" t="str">
        <f>IF(LANÇ_MOV[[#This Row],[DATA DE PAGAMENTO]]="","",TEXT(LANÇ_MOV[[#This Row],[DATA DE PAGAMENTO]],"M"))</f>
        <v/>
      </c>
      <c r="AL1008" s="526" t="str">
        <f>IF(LANÇ_MOV[[#This Row],[DATA DE PAGAMENTO]]="","",TEXT(LANÇ_MOV[[#This Row],[DATA DE PAGAMENTO]],"D"))</f>
        <v/>
      </c>
    </row>
    <row r="1009" spans="2:38" ht="30.05" customHeight="1" x14ac:dyDescent="0.35">
      <c r="B1009" s="506"/>
      <c r="C1009" s="507"/>
      <c r="D1009" s="508" t="s">
        <v>1854</v>
      </c>
      <c r="E1009" s="509"/>
      <c r="F1009" s="510"/>
      <c r="G1009" s="507"/>
      <c r="H1009" s="511"/>
      <c r="I1009" s="512"/>
      <c r="J1009" s="518"/>
      <c r="K1009" s="510"/>
      <c r="L1009" s="510"/>
      <c r="M1009" s="548"/>
      <c r="N1009" s="514">
        <f>LANÇ_MOV[[#This Row],[VALOR BRUTO]]-LANÇ_MOV[[#This Row],[DESCONTO]]+LANÇ_MOV[[#This Row],[JUROS]]+LANÇ_MOV[[#This Row],[MULTA]]</f>
        <v>0</v>
      </c>
      <c r="O1009" s="546"/>
      <c r="P1009" s="547" t="str">
        <f t="shared" ca="1" si="15"/>
        <v/>
      </c>
      <c r="Q1009" s="528"/>
      <c r="R1009" s="529"/>
      <c r="S1009" s="518"/>
      <c r="T1009" s="518"/>
      <c r="U1009" s="519"/>
      <c r="V1009" s="520" t="str">
        <f>IFERROR(VLOOKUP(LANÇ_MOV[[#This Row],[PLANO DE CONTAS]],Plano_Contas[[PLANO DE CONTAS]:[R / D]],3,0),"")</f>
        <v/>
      </c>
      <c r="W1009" s="521" t="str">
        <f>IF(LANÇ_MOV[[#This Row],[DATA DE PAGAMENTO]]&lt;&gt;"","Pago","Não Pago")</f>
        <v>Não Pago</v>
      </c>
      <c r="X1009" s="522" t="str">
        <f>IFERROR(IF(LANÇ_MOV[[#This Row],[DATA DE PAGAMENTO]]="","",(UPPER(TEXT(LANÇ_MOV[[#This Row],[DATA DE PAGAMENTO]],"mmmm")))),"")</f>
        <v/>
      </c>
      <c r="Y1009" s="523" t="str">
        <f>IFERROR(VLOOKUP(LANÇ_MOV[[#This Row],[PLANO DE CONTAS]],Plano_Contas[[PLANO DE CONTAS]:[NOMES INTERVALOS]],2,0),"")</f>
        <v/>
      </c>
      <c r="Z1009" s="523" t="str">
        <f>IF(LANÇ_MOV[[#This Row],[FORMA DE PAGAMENTO]]="","",VLOOKUP(LANÇ_MOV[[#This Row],[FORMA DE PAGAMENTO]],CAD_Forma_pagto[],2,0))</f>
        <v/>
      </c>
      <c r="AA1009" s="524" t="str">
        <f>IF(LANÇ_MOV[[#This Row],[DATA DE LANÇAMENTO]]="","",TEXT(LANÇ_MOV[[#This Row],[DATA DE LANÇAMENTO]],"AAAA"))</f>
        <v/>
      </c>
      <c r="AB1009" s="524" t="str">
        <f>IF(LANÇ_MOV[[#This Row],[DATA DE LANÇAMENTO]]="","",UPPER(TEXT(LANÇ_MOV[[#This Row],[DATA DE LANÇAMENTO]],"MMMM")))</f>
        <v/>
      </c>
      <c r="AC1009" s="525" t="str">
        <f>IF(LANÇ_MOV[[#This Row],[DATA DE LANÇAMENTO]]="","",PROPER(TEXT(LANÇ_MOV[[#This Row],[DATA DE LANÇAMENTO]],"M")))</f>
        <v/>
      </c>
      <c r="AD1009" s="524" t="str">
        <f>IF(LANÇ_MOV[[#This Row],[DATA DE LANÇAMENTO]]="","",TEXT(LANÇ_MOV[[#This Row],[DATA DE LANÇAMENTO]],"D"))</f>
        <v/>
      </c>
      <c r="AE1009" s="526" t="str">
        <f>IF(LANÇ_MOV[[#This Row],[DATA DE VENCIMENTO]]="","",TEXT(LANÇ_MOV[[#This Row],[DATA DE VENCIMENTO]],"AAAA"))</f>
        <v/>
      </c>
      <c r="AF1009" s="526" t="str">
        <f>IF(LANÇ_MOV[[#This Row],[DATA DE VENCIMENTO]]="","",UPPER(TEXT(LANÇ_MOV[[#This Row],[DATA DE VENCIMENTO]],"MMMM")))</f>
        <v/>
      </c>
      <c r="AG1009" s="526" t="str">
        <f>IF(LANÇ_MOV[[#This Row],[DATA DE VENCIMENTO]]="","",TEXT(LANÇ_MOV[[#This Row],[DATA DE VENCIMENTO]],"M"))</f>
        <v/>
      </c>
      <c r="AH1009" s="526" t="str">
        <f>IF(LANÇ_MOV[[#This Row],[DATA DE VENCIMENTO]]="","",TEXT(LANÇ_MOV[[#This Row],[DATA DE VENCIMENTO]],"D"))</f>
        <v/>
      </c>
      <c r="AI1009" s="526" t="str">
        <f>IF(LANÇ_MOV[[#This Row],[DATA DE PAGAMENTO]]="","",TEXT(LANÇ_MOV[[#This Row],[DATA DE PAGAMENTO]],"AAAA"))</f>
        <v/>
      </c>
      <c r="AJ1009" s="527" t="str">
        <f>IF(LANÇ_MOV[[#This Row],[DATA DE PAGAMENTO]]="","",UPPER(TEXT(LANÇ_MOV[[#This Row],[DATA DE PAGAMENTO]],"MMMM")))</f>
        <v/>
      </c>
      <c r="AK1009" s="527" t="str">
        <f>IF(LANÇ_MOV[[#This Row],[DATA DE PAGAMENTO]]="","",TEXT(LANÇ_MOV[[#This Row],[DATA DE PAGAMENTO]],"M"))</f>
        <v/>
      </c>
      <c r="AL1009" s="526" t="str">
        <f>IF(LANÇ_MOV[[#This Row],[DATA DE PAGAMENTO]]="","",TEXT(LANÇ_MOV[[#This Row],[DATA DE PAGAMENTO]],"D"))</f>
        <v/>
      </c>
    </row>
    <row r="1010" spans="2:38" ht="30.05" customHeight="1" x14ac:dyDescent="0.35">
      <c r="B1010" s="506"/>
      <c r="C1010" s="507"/>
      <c r="D1010" s="508" t="s">
        <v>1854</v>
      </c>
      <c r="E1010" s="509"/>
      <c r="F1010" s="510"/>
      <c r="G1010" s="507"/>
      <c r="H1010" s="511"/>
      <c r="I1010" s="512"/>
      <c r="J1010" s="518"/>
      <c r="K1010" s="510"/>
      <c r="L1010" s="510"/>
      <c r="M1010" s="548"/>
      <c r="N1010" s="514">
        <f>LANÇ_MOV[[#This Row],[VALOR BRUTO]]-LANÇ_MOV[[#This Row],[DESCONTO]]+LANÇ_MOV[[#This Row],[JUROS]]+LANÇ_MOV[[#This Row],[MULTA]]</f>
        <v>0</v>
      </c>
      <c r="O1010" s="546"/>
      <c r="P1010" s="547" t="str">
        <f t="shared" ca="1" si="15"/>
        <v/>
      </c>
      <c r="Q1010" s="528"/>
      <c r="R1010" s="529"/>
      <c r="S1010" s="518"/>
      <c r="T1010" s="518"/>
      <c r="U1010" s="519"/>
      <c r="V1010" s="520" t="str">
        <f>IFERROR(VLOOKUP(LANÇ_MOV[[#This Row],[PLANO DE CONTAS]],Plano_Contas[[PLANO DE CONTAS]:[R / D]],3,0),"")</f>
        <v/>
      </c>
      <c r="W1010" s="521" t="str">
        <f>IF(LANÇ_MOV[[#This Row],[DATA DE PAGAMENTO]]&lt;&gt;"","Pago","Não Pago")</f>
        <v>Não Pago</v>
      </c>
      <c r="X1010" s="522" t="str">
        <f>IFERROR(IF(LANÇ_MOV[[#This Row],[DATA DE PAGAMENTO]]="","",(UPPER(TEXT(LANÇ_MOV[[#This Row],[DATA DE PAGAMENTO]],"mmmm")))),"")</f>
        <v/>
      </c>
      <c r="Y1010" s="523" t="str">
        <f>IFERROR(VLOOKUP(LANÇ_MOV[[#This Row],[PLANO DE CONTAS]],Plano_Contas[[PLANO DE CONTAS]:[NOMES INTERVALOS]],2,0),"")</f>
        <v/>
      </c>
      <c r="Z1010" s="523" t="str">
        <f>IF(LANÇ_MOV[[#This Row],[FORMA DE PAGAMENTO]]="","",VLOOKUP(LANÇ_MOV[[#This Row],[FORMA DE PAGAMENTO]],CAD_Forma_pagto[],2,0))</f>
        <v/>
      </c>
      <c r="AA1010" s="524" t="str">
        <f>IF(LANÇ_MOV[[#This Row],[DATA DE LANÇAMENTO]]="","",TEXT(LANÇ_MOV[[#This Row],[DATA DE LANÇAMENTO]],"AAAA"))</f>
        <v/>
      </c>
      <c r="AB1010" s="524" t="str">
        <f>IF(LANÇ_MOV[[#This Row],[DATA DE LANÇAMENTO]]="","",UPPER(TEXT(LANÇ_MOV[[#This Row],[DATA DE LANÇAMENTO]],"MMMM")))</f>
        <v/>
      </c>
      <c r="AC1010" s="525" t="str">
        <f>IF(LANÇ_MOV[[#This Row],[DATA DE LANÇAMENTO]]="","",PROPER(TEXT(LANÇ_MOV[[#This Row],[DATA DE LANÇAMENTO]],"M")))</f>
        <v/>
      </c>
      <c r="AD1010" s="524" t="str">
        <f>IF(LANÇ_MOV[[#This Row],[DATA DE LANÇAMENTO]]="","",TEXT(LANÇ_MOV[[#This Row],[DATA DE LANÇAMENTO]],"D"))</f>
        <v/>
      </c>
      <c r="AE1010" s="526" t="str">
        <f>IF(LANÇ_MOV[[#This Row],[DATA DE VENCIMENTO]]="","",TEXT(LANÇ_MOV[[#This Row],[DATA DE VENCIMENTO]],"AAAA"))</f>
        <v/>
      </c>
      <c r="AF1010" s="526" t="str">
        <f>IF(LANÇ_MOV[[#This Row],[DATA DE VENCIMENTO]]="","",UPPER(TEXT(LANÇ_MOV[[#This Row],[DATA DE VENCIMENTO]],"MMMM")))</f>
        <v/>
      </c>
      <c r="AG1010" s="526" t="str">
        <f>IF(LANÇ_MOV[[#This Row],[DATA DE VENCIMENTO]]="","",TEXT(LANÇ_MOV[[#This Row],[DATA DE VENCIMENTO]],"M"))</f>
        <v/>
      </c>
      <c r="AH1010" s="526" t="str">
        <f>IF(LANÇ_MOV[[#This Row],[DATA DE VENCIMENTO]]="","",TEXT(LANÇ_MOV[[#This Row],[DATA DE VENCIMENTO]],"D"))</f>
        <v/>
      </c>
      <c r="AI1010" s="526" t="str">
        <f>IF(LANÇ_MOV[[#This Row],[DATA DE PAGAMENTO]]="","",TEXT(LANÇ_MOV[[#This Row],[DATA DE PAGAMENTO]],"AAAA"))</f>
        <v/>
      </c>
      <c r="AJ1010" s="527" t="str">
        <f>IF(LANÇ_MOV[[#This Row],[DATA DE PAGAMENTO]]="","",UPPER(TEXT(LANÇ_MOV[[#This Row],[DATA DE PAGAMENTO]],"MMMM")))</f>
        <v/>
      </c>
      <c r="AK1010" s="527" t="str">
        <f>IF(LANÇ_MOV[[#This Row],[DATA DE PAGAMENTO]]="","",TEXT(LANÇ_MOV[[#This Row],[DATA DE PAGAMENTO]],"M"))</f>
        <v/>
      </c>
      <c r="AL1010" s="526" t="str">
        <f>IF(LANÇ_MOV[[#This Row],[DATA DE PAGAMENTO]]="","",TEXT(LANÇ_MOV[[#This Row],[DATA DE PAGAMENTO]],"D"))</f>
        <v/>
      </c>
    </row>
    <row r="1011" spans="2:38" ht="30.05" customHeight="1" x14ac:dyDescent="0.35">
      <c r="B1011" s="506"/>
      <c r="C1011" s="507"/>
      <c r="D1011" s="508" t="s">
        <v>1854</v>
      </c>
      <c r="E1011" s="509"/>
      <c r="F1011" s="510"/>
      <c r="G1011" s="507"/>
      <c r="H1011" s="511"/>
      <c r="I1011" s="512"/>
      <c r="J1011" s="518"/>
      <c r="K1011" s="510"/>
      <c r="L1011" s="510"/>
      <c r="M1011" s="548"/>
      <c r="N1011" s="514">
        <f>LANÇ_MOV[[#This Row],[VALOR BRUTO]]-LANÇ_MOV[[#This Row],[DESCONTO]]+LANÇ_MOV[[#This Row],[JUROS]]+LANÇ_MOV[[#This Row],[MULTA]]</f>
        <v>0</v>
      </c>
      <c r="O1011" s="546"/>
      <c r="P1011" s="547" t="str">
        <f t="shared" ca="1" si="15"/>
        <v/>
      </c>
      <c r="Q1011" s="528"/>
      <c r="R1011" s="529"/>
      <c r="S1011" s="518"/>
      <c r="T1011" s="518"/>
      <c r="U1011" s="519"/>
      <c r="V1011" s="520" t="str">
        <f>IFERROR(VLOOKUP(LANÇ_MOV[[#This Row],[PLANO DE CONTAS]],Plano_Contas[[PLANO DE CONTAS]:[R / D]],3,0),"")</f>
        <v/>
      </c>
      <c r="W1011" s="521" t="str">
        <f>IF(LANÇ_MOV[[#This Row],[DATA DE PAGAMENTO]]&lt;&gt;"","Pago","Não Pago")</f>
        <v>Não Pago</v>
      </c>
      <c r="X1011" s="522" t="str">
        <f>IFERROR(IF(LANÇ_MOV[[#This Row],[DATA DE PAGAMENTO]]="","",(UPPER(TEXT(LANÇ_MOV[[#This Row],[DATA DE PAGAMENTO]],"mmmm")))),"")</f>
        <v/>
      </c>
      <c r="Y1011" s="523" t="str">
        <f>IFERROR(VLOOKUP(LANÇ_MOV[[#This Row],[PLANO DE CONTAS]],Plano_Contas[[PLANO DE CONTAS]:[NOMES INTERVALOS]],2,0),"")</f>
        <v/>
      </c>
      <c r="Z1011" s="523" t="str">
        <f>IF(LANÇ_MOV[[#This Row],[FORMA DE PAGAMENTO]]="","",VLOOKUP(LANÇ_MOV[[#This Row],[FORMA DE PAGAMENTO]],CAD_Forma_pagto[],2,0))</f>
        <v/>
      </c>
      <c r="AA1011" s="524" t="str">
        <f>IF(LANÇ_MOV[[#This Row],[DATA DE LANÇAMENTO]]="","",TEXT(LANÇ_MOV[[#This Row],[DATA DE LANÇAMENTO]],"AAAA"))</f>
        <v/>
      </c>
      <c r="AB1011" s="524" t="str">
        <f>IF(LANÇ_MOV[[#This Row],[DATA DE LANÇAMENTO]]="","",UPPER(TEXT(LANÇ_MOV[[#This Row],[DATA DE LANÇAMENTO]],"MMMM")))</f>
        <v/>
      </c>
      <c r="AC1011" s="525" t="str">
        <f>IF(LANÇ_MOV[[#This Row],[DATA DE LANÇAMENTO]]="","",PROPER(TEXT(LANÇ_MOV[[#This Row],[DATA DE LANÇAMENTO]],"M")))</f>
        <v/>
      </c>
      <c r="AD1011" s="524" t="str">
        <f>IF(LANÇ_MOV[[#This Row],[DATA DE LANÇAMENTO]]="","",TEXT(LANÇ_MOV[[#This Row],[DATA DE LANÇAMENTO]],"D"))</f>
        <v/>
      </c>
      <c r="AE1011" s="526" t="str">
        <f>IF(LANÇ_MOV[[#This Row],[DATA DE VENCIMENTO]]="","",TEXT(LANÇ_MOV[[#This Row],[DATA DE VENCIMENTO]],"AAAA"))</f>
        <v/>
      </c>
      <c r="AF1011" s="526" t="str">
        <f>IF(LANÇ_MOV[[#This Row],[DATA DE VENCIMENTO]]="","",UPPER(TEXT(LANÇ_MOV[[#This Row],[DATA DE VENCIMENTO]],"MMMM")))</f>
        <v/>
      </c>
      <c r="AG1011" s="526" t="str">
        <f>IF(LANÇ_MOV[[#This Row],[DATA DE VENCIMENTO]]="","",TEXT(LANÇ_MOV[[#This Row],[DATA DE VENCIMENTO]],"M"))</f>
        <v/>
      </c>
      <c r="AH1011" s="526" t="str">
        <f>IF(LANÇ_MOV[[#This Row],[DATA DE VENCIMENTO]]="","",TEXT(LANÇ_MOV[[#This Row],[DATA DE VENCIMENTO]],"D"))</f>
        <v/>
      </c>
      <c r="AI1011" s="526" t="str">
        <f>IF(LANÇ_MOV[[#This Row],[DATA DE PAGAMENTO]]="","",TEXT(LANÇ_MOV[[#This Row],[DATA DE PAGAMENTO]],"AAAA"))</f>
        <v/>
      </c>
      <c r="AJ1011" s="527" t="str">
        <f>IF(LANÇ_MOV[[#This Row],[DATA DE PAGAMENTO]]="","",UPPER(TEXT(LANÇ_MOV[[#This Row],[DATA DE PAGAMENTO]],"MMMM")))</f>
        <v/>
      </c>
      <c r="AK1011" s="527" t="str">
        <f>IF(LANÇ_MOV[[#This Row],[DATA DE PAGAMENTO]]="","",TEXT(LANÇ_MOV[[#This Row],[DATA DE PAGAMENTO]],"M"))</f>
        <v/>
      </c>
      <c r="AL1011" s="526" t="str">
        <f>IF(LANÇ_MOV[[#This Row],[DATA DE PAGAMENTO]]="","",TEXT(LANÇ_MOV[[#This Row],[DATA DE PAGAMENTO]],"D"))</f>
        <v/>
      </c>
    </row>
    <row r="1012" spans="2:38" ht="30.05" customHeight="1" x14ac:dyDescent="0.35">
      <c r="B1012" s="506"/>
      <c r="C1012" s="507"/>
      <c r="D1012" s="508" t="s">
        <v>1854</v>
      </c>
      <c r="E1012" s="509"/>
      <c r="F1012" s="510"/>
      <c r="G1012" s="507"/>
      <c r="H1012" s="511"/>
      <c r="I1012" s="512"/>
      <c r="J1012" s="518"/>
      <c r="K1012" s="510"/>
      <c r="L1012" s="510"/>
      <c r="M1012" s="548"/>
      <c r="N1012" s="514">
        <f>LANÇ_MOV[[#This Row],[VALOR BRUTO]]-LANÇ_MOV[[#This Row],[DESCONTO]]+LANÇ_MOV[[#This Row],[JUROS]]+LANÇ_MOV[[#This Row],[MULTA]]</f>
        <v>0</v>
      </c>
      <c r="O1012" s="546"/>
      <c r="P1012" s="547" t="str">
        <f t="shared" ca="1" si="15"/>
        <v/>
      </c>
      <c r="Q1012" s="528"/>
      <c r="R1012" s="529"/>
      <c r="S1012" s="518"/>
      <c r="T1012" s="518"/>
      <c r="U1012" s="519"/>
      <c r="V1012" s="520" t="str">
        <f>IFERROR(VLOOKUP(LANÇ_MOV[[#This Row],[PLANO DE CONTAS]],Plano_Contas[[PLANO DE CONTAS]:[R / D]],3,0),"")</f>
        <v/>
      </c>
      <c r="W1012" s="521" t="str">
        <f>IF(LANÇ_MOV[[#This Row],[DATA DE PAGAMENTO]]&lt;&gt;"","Pago","Não Pago")</f>
        <v>Não Pago</v>
      </c>
      <c r="X1012" s="522" t="str">
        <f>IFERROR(IF(LANÇ_MOV[[#This Row],[DATA DE PAGAMENTO]]="","",(UPPER(TEXT(LANÇ_MOV[[#This Row],[DATA DE PAGAMENTO]],"mmmm")))),"")</f>
        <v/>
      </c>
      <c r="Y1012" s="523" t="str">
        <f>IFERROR(VLOOKUP(LANÇ_MOV[[#This Row],[PLANO DE CONTAS]],Plano_Contas[[PLANO DE CONTAS]:[NOMES INTERVALOS]],2,0),"")</f>
        <v/>
      </c>
      <c r="Z1012" s="523" t="str">
        <f>IF(LANÇ_MOV[[#This Row],[FORMA DE PAGAMENTO]]="","",VLOOKUP(LANÇ_MOV[[#This Row],[FORMA DE PAGAMENTO]],CAD_Forma_pagto[],2,0))</f>
        <v/>
      </c>
      <c r="AA1012" s="524" t="str">
        <f>IF(LANÇ_MOV[[#This Row],[DATA DE LANÇAMENTO]]="","",TEXT(LANÇ_MOV[[#This Row],[DATA DE LANÇAMENTO]],"AAAA"))</f>
        <v/>
      </c>
      <c r="AB1012" s="524" t="str">
        <f>IF(LANÇ_MOV[[#This Row],[DATA DE LANÇAMENTO]]="","",UPPER(TEXT(LANÇ_MOV[[#This Row],[DATA DE LANÇAMENTO]],"MMMM")))</f>
        <v/>
      </c>
      <c r="AC1012" s="525" t="str">
        <f>IF(LANÇ_MOV[[#This Row],[DATA DE LANÇAMENTO]]="","",PROPER(TEXT(LANÇ_MOV[[#This Row],[DATA DE LANÇAMENTO]],"M")))</f>
        <v/>
      </c>
      <c r="AD1012" s="524" t="str">
        <f>IF(LANÇ_MOV[[#This Row],[DATA DE LANÇAMENTO]]="","",TEXT(LANÇ_MOV[[#This Row],[DATA DE LANÇAMENTO]],"D"))</f>
        <v/>
      </c>
      <c r="AE1012" s="526" t="str">
        <f>IF(LANÇ_MOV[[#This Row],[DATA DE VENCIMENTO]]="","",TEXT(LANÇ_MOV[[#This Row],[DATA DE VENCIMENTO]],"AAAA"))</f>
        <v/>
      </c>
      <c r="AF1012" s="526" t="str">
        <f>IF(LANÇ_MOV[[#This Row],[DATA DE VENCIMENTO]]="","",UPPER(TEXT(LANÇ_MOV[[#This Row],[DATA DE VENCIMENTO]],"MMMM")))</f>
        <v/>
      </c>
      <c r="AG1012" s="526" t="str">
        <f>IF(LANÇ_MOV[[#This Row],[DATA DE VENCIMENTO]]="","",TEXT(LANÇ_MOV[[#This Row],[DATA DE VENCIMENTO]],"M"))</f>
        <v/>
      </c>
      <c r="AH1012" s="526" t="str">
        <f>IF(LANÇ_MOV[[#This Row],[DATA DE VENCIMENTO]]="","",TEXT(LANÇ_MOV[[#This Row],[DATA DE VENCIMENTO]],"D"))</f>
        <v/>
      </c>
      <c r="AI1012" s="526" t="str">
        <f>IF(LANÇ_MOV[[#This Row],[DATA DE PAGAMENTO]]="","",TEXT(LANÇ_MOV[[#This Row],[DATA DE PAGAMENTO]],"AAAA"))</f>
        <v/>
      </c>
      <c r="AJ1012" s="527" t="str">
        <f>IF(LANÇ_MOV[[#This Row],[DATA DE PAGAMENTO]]="","",UPPER(TEXT(LANÇ_MOV[[#This Row],[DATA DE PAGAMENTO]],"MMMM")))</f>
        <v/>
      </c>
      <c r="AK1012" s="527" t="str">
        <f>IF(LANÇ_MOV[[#This Row],[DATA DE PAGAMENTO]]="","",TEXT(LANÇ_MOV[[#This Row],[DATA DE PAGAMENTO]],"M"))</f>
        <v/>
      </c>
      <c r="AL1012" s="526" t="str">
        <f>IF(LANÇ_MOV[[#This Row],[DATA DE PAGAMENTO]]="","",TEXT(LANÇ_MOV[[#This Row],[DATA DE PAGAMENTO]],"D"))</f>
        <v/>
      </c>
    </row>
    <row r="1013" spans="2:38" ht="30.05" customHeight="1" x14ac:dyDescent="0.35">
      <c r="B1013" s="506"/>
      <c r="C1013" s="507"/>
      <c r="D1013" s="508" t="s">
        <v>1854</v>
      </c>
      <c r="E1013" s="509"/>
      <c r="F1013" s="510"/>
      <c r="G1013" s="507"/>
      <c r="H1013" s="511"/>
      <c r="I1013" s="512"/>
      <c r="J1013" s="518"/>
      <c r="K1013" s="510"/>
      <c r="L1013" s="510"/>
      <c r="M1013" s="548"/>
      <c r="N1013" s="514">
        <f>LANÇ_MOV[[#This Row],[VALOR BRUTO]]-LANÇ_MOV[[#This Row],[DESCONTO]]+LANÇ_MOV[[#This Row],[JUROS]]+LANÇ_MOV[[#This Row],[MULTA]]</f>
        <v>0</v>
      </c>
      <c r="O1013" s="546"/>
      <c r="P1013" s="547" t="str">
        <f t="shared" ref="P1013:P1076" ca="1" si="16">IF(O1013="","",IF(Q1013&lt;&gt;"","Pago",IF(O1013-TODAY()&gt;30,"Prazo - Mais de 1 mês",IF(O1013=TODAY(),"Hoje",IF(O1013&lt;TODAY(),"Venceu",IF(O1013-TODAY()&lt;10,"Prazo - Menos de 10 dias",IF(O1013-TODAY()&lt;15,"Prazo - Menos de 15 dias","Prazo - Menos de 1 Mês")))))))</f>
        <v/>
      </c>
      <c r="Q1013" s="528"/>
      <c r="R1013" s="529"/>
      <c r="S1013" s="518"/>
      <c r="T1013" s="518"/>
      <c r="U1013" s="519"/>
      <c r="V1013" s="520" t="str">
        <f>IFERROR(VLOOKUP(LANÇ_MOV[[#This Row],[PLANO DE CONTAS]],Plano_Contas[[PLANO DE CONTAS]:[R / D]],3,0),"")</f>
        <v/>
      </c>
      <c r="W1013" s="521" t="str">
        <f>IF(LANÇ_MOV[[#This Row],[DATA DE PAGAMENTO]]&lt;&gt;"","Pago","Não Pago")</f>
        <v>Não Pago</v>
      </c>
      <c r="X1013" s="522" t="str">
        <f>IFERROR(IF(LANÇ_MOV[[#This Row],[DATA DE PAGAMENTO]]="","",(UPPER(TEXT(LANÇ_MOV[[#This Row],[DATA DE PAGAMENTO]],"mmmm")))),"")</f>
        <v/>
      </c>
      <c r="Y1013" s="523" t="str">
        <f>IFERROR(VLOOKUP(LANÇ_MOV[[#This Row],[PLANO DE CONTAS]],Plano_Contas[[PLANO DE CONTAS]:[NOMES INTERVALOS]],2,0),"")</f>
        <v/>
      </c>
      <c r="Z1013" s="523" t="str">
        <f>IF(LANÇ_MOV[[#This Row],[FORMA DE PAGAMENTO]]="","",VLOOKUP(LANÇ_MOV[[#This Row],[FORMA DE PAGAMENTO]],CAD_Forma_pagto[],2,0))</f>
        <v/>
      </c>
      <c r="AA1013" s="524" t="str">
        <f>IF(LANÇ_MOV[[#This Row],[DATA DE LANÇAMENTO]]="","",TEXT(LANÇ_MOV[[#This Row],[DATA DE LANÇAMENTO]],"AAAA"))</f>
        <v/>
      </c>
      <c r="AB1013" s="524" t="str">
        <f>IF(LANÇ_MOV[[#This Row],[DATA DE LANÇAMENTO]]="","",UPPER(TEXT(LANÇ_MOV[[#This Row],[DATA DE LANÇAMENTO]],"MMMM")))</f>
        <v/>
      </c>
      <c r="AC1013" s="525" t="str">
        <f>IF(LANÇ_MOV[[#This Row],[DATA DE LANÇAMENTO]]="","",PROPER(TEXT(LANÇ_MOV[[#This Row],[DATA DE LANÇAMENTO]],"M")))</f>
        <v/>
      </c>
      <c r="AD1013" s="524" t="str">
        <f>IF(LANÇ_MOV[[#This Row],[DATA DE LANÇAMENTO]]="","",TEXT(LANÇ_MOV[[#This Row],[DATA DE LANÇAMENTO]],"D"))</f>
        <v/>
      </c>
      <c r="AE1013" s="526" t="str">
        <f>IF(LANÇ_MOV[[#This Row],[DATA DE VENCIMENTO]]="","",TEXT(LANÇ_MOV[[#This Row],[DATA DE VENCIMENTO]],"AAAA"))</f>
        <v/>
      </c>
      <c r="AF1013" s="526" t="str">
        <f>IF(LANÇ_MOV[[#This Row],[DATA DE VENCIMENTO]]="","",UPPER(TEXT(LANÇ_MOV[[#This Row],[DATA DE VENCIMENTO]],"MMMM")))</f>
        <v/>
      </c>
      <c r="AG1013" s="526" t="str">
        <f>IF(LANÇ_MOV[[#This Row],[DATA DE VENCIMENTO]]="","",TEXT(LANÇ_MOV[[#This Row],[DATA DE VENCIMENTO]],"M"))</f>
        <v/>
      </c>
      <c r="AH1013" s="526" t="str">
        <f>IF(LANÇ_MOV[[#This Row],[DATA DE VENCIMENTO]]="","",TEXT(LANÇ_MOV[[#This Row],[DATA DE VENCIMENTO]],"D"))</f>
        <v/>
      </c>
      <c r="AI1013" s="526" t="str">
        <f>IF(LANÇ_MOV[[#This Row],[DATA DE PAGAMENTO]]="","",TEXT(LANÇ_MOV[[#This Row],[DATA DE PAGAMENTO]],"AAAA"))</f>
        <v/>
      </c>
      <c r="AJ1013" s="527" t="str">
        <f>IF(LANÇ_MOV[[#This Row],[DATA DE PAGAMENTO]]="","",UPPER(TEXT(LANÇ_MOV[[#This Row],[DATA DE PAGAMENTO]],"MMMM")))</f>
        <v/>
      </c>
      <c r="AK1013" s="527" t="str">
        <f>IF(LANÇ_MOV[[#This Row],[DATA DE PAGAMENTO]]="","",TEXT(LANÇ_MOV[[#This Row],[DATA DE PAGAMENTO]],"M"))</f>
        <v/>
      </c>
      <c r="AL1013" s="526" t="str">
        <f>IF(LANÇ_MOV[[#This Row],[DATA DE PAGAMENTO]]="","",TEXT(LANÇ_MOV[[#This Row],[DATA DE PAGAMENTO]],"D"))</f>
        <v/>
      </c>
    </row>
    <row r="1014" spans="2:38" ht="30.05" customHeight="1" x14ac:dyDescent="0.35">
      <c r="B1014" s="506"/>
      <c r="C1014" s="507"/>
      <c r="D1014" s="508" t="s">
        <v>1854</v>
      </c>
      <c r="E1014" s="509"/>
      <c r="F1014" s="510"/>
      <c r="G1014" s="507"/>
      <c r="H1014" s="511"/>
      <c r="I1014" s="512"/>
      <c r="J1014" s="518"/>
      <c r="K1014" s="510"/>
      <c r="L1014" s="510"/>
      <c r="M1014" s="548"/>
      <c r="N1014" s="514">
        <f>LANÇ_MOV[[#This Row],[VALOR BRUTO]]-LANÇ_MOV[[#This Row],[DESCONTO]]+LANÇ_MOV[[#This Row],[JUROS]]+LANÇ_MOV[[#This Row],[MULTA]]</f>
        <v>0</v>
      </c>
      <c r="O1014" s="546"/>
      <c r="P1014" s="547" t="str">
        <f t="shared" ca="1" si="16"/>
        <v/>
      </c>
      <c r="Q1014" s="528"/>
      <c r="R1014" s="529"/>
      <c r="S1014" s="518"/>
      <c r="T1014" s="518"/>
      <c r="U1014" s="519"/>
      <c r="V1014" s="520" t="str">
        <f>IFERROR(VLOOKUP(LANÇ_MOV[[#This Row],[PLANO DE CONTAS]],Plano_Contas[[PLANO DE CONTAS]:[R / D]],3,0),"")</f>
        <v/>
      </c>
      <c r="W1014" s="521" t="str">
        <f>IF(LANÇ_MOV[[#This Row],[DATA DE PAGAMENTO]]&lt;&gt;"","Pago","Não Pago")</f>
        <v>Não Pago</v>
      </c>
      <c r="X1014" s="522" t="str">
        <f>IFERROR(IF(LANÇ_MOV[[#This Row],[DATA DE PAGAMENTO]]="","",(UPPER(TEXT(LANÇ_MOV[[#This Row],[DATA DE PAGAMENTO]],"mmmm")))),"")</f>
        <v/>
      </c>
      <c r="Y1014" s="523" t="str">
        <f>IFERROR(VLOOKUP(LANÇ_MOV[[#This Row],[PLANO DE CONTAS]],Plano_Contas[[PLANO DE CONTAS]:[NOMES INTERVALOS]],2,0),"")</f>
        <v/>
      </c>
      <c r="Z1014" s="523" t="str">
        <f>IF(LANÇ_MOV[[#This Row],[FORMA DE PAGAMENTO]]="","",VLOOKUP(LANÇ_MOV[[#This Row],[FORMA DE PAGAMENTO]],CAD_Forma_pagto[],2,0))</f>
        <v/>
      </c>
      <c r="AA1014" s="524" t="str">
        <f>IF(LANÇ_MOV[[#This Row],[DATA DE LANÇAMENTO]]="","",TEXT(LANÇ_MOV[[#This Row],[DATA DE LANÇAMENTO]],"AAAA"))</f>
        <v/>
      </c>
      <c r="AB1014" s="524" t="str">
        <f>IF(LANÇ_MOV[[#This Row],[DATA DE LANÇAMENTO]]="","",UPPER(TEXT(LANÇ_MOV[[#This Row],[DATA DE LANÇAMENTO]],"MMMM")))</f>
        <v/>
      </c>
      <c r="AC1014" s="525" t="str">
        <f>IF(LANÇ_MOV[[#This Row],[DATA DE LANÇAMENTO]]="","",PROPER(TEXT(LANÇ_MOV[[#This Row],[DATA DE LANÇAMENTO]],"M")))</f>
        <v/>
      </c>
      <c r="AD1014" s="524" t="str">
        <f>IF(LANÇ_MOV[[#This Row],[DATA DE LANÇAMENTO]]="","",TEXT(LANÇ_MOV[[#This Row],[DATA DE LANÇAMENTO]],"D"))</f>
        <v/>
      </c>
      <c r="AE1014" s="526" t="str">
        <f>IF(LANÇ_MOV[[#This Row],[DATA DE VENCIMENTO]]="","",TEXT(LANÇ_MOV[[#This Row],[DATA DE VENCIMENTO]],"AAAA"))</f>
        <v/>
      </c>
      <c r="AF1014" s="526" t="str">
        <f>IF(LANÇ_MOV[[#This Row],[DATA DE VENCIMENTO]]="","",UPPER(TEXT(LANÇ_MOV[[#This Row],[DATA DE VENCIMENTO]],"MMMM")))</f>
        <v/>
      </c>
      <c r="AG1014" s="526" t="str">
        <f>IF(LANÇ_MOV[[#This Row],[DATA DE VENCIMENTO]]="","",TEXT(LANÇ_MOV[[#This Row],[DATA DE VENCIMENTO]],"M"))</f>
        <v/>
      </c>
      <c r="AH1014" s="526" t="str">
        <f>IF(LANÇ_MOV[[#This Row],[DATA DE VENCIMENTO]]="","",TEXT(LANÇ_MOV[[#This Row],[DATA DE VENCIMENTO]],"D"))</f>
        <v/>
      </c>
      <c r="AI1014" s="526" t="str">
        <f>IF(LANÇ_MOV[[#This Row],[DATA DE PAGAMENTO]]="","",TEXT(LANÇ_MOV[[#This Row],[DATA DE PAGAMENTO]],"AAAA"))</f>
        <v/>
      </c>
      <c r="AJ1014" s="527" t="str">
        <f>IF(LANÇ_MOV[[#This Row],[DATA DE PAGAMENTO]]="","",UPPER(TEXT(LANÇ_MOV[[#This Row],[DATA DE PAGAMENTO]],"MMMM")))</f>
        <v/>
      </c>
      <c r="AK1014" s="527" t="str">
        <f>IF(LANÇ_MOV[[#This Row],[DATA DE PAGAMENTO]]="","",TEXT(LANÇ_MOV[[#This Row],[DATA DE PAGAMENTO]],"M"))</f>
        <v/>
      </c>
      <c r="AL1014" s="526" t="str">
        <f>IF(LANÇ_MOV[[#This Row],[DATA DE PAGAMENTO]]="","",TEXT(LANÇ_MOV[[#This Row],[DATA DE PAGAMENTO]],"D"))</f>
        <v/>
      </c>
    </row>
    <row r="1015" spans="2:38" ht="30.05" customHeight="1" x14ac:dyDescent="0.35">
      <c r="B1015" s="506"/>
      <c r="C1015" s="507"/>
      <c r="D1015" s="508" t="s">
        <v>1854</v>
      </c>
      <c r="E1015" s="509"/>
      <c r="F1015" s="510"/>
      <c r="G1015" s="507"/>
      <c r="H1015" s="511"/>
      <c r="I1015" s="512"/>
      <c r="J1015" s="518"/>
      <c r="K1015" s="510"/>
      <c r="L1015" s="510"/>
      <c r="M1015" s="548"/>
      <c r="N1015" s="514">
        <f>LANÇ_MOV[[#This Row],[VALOR BRUTO]]-LANÇ_MOV[[#This Row],[DESCONTO]]+LANÇ_MOV[[#This Row],[JUROS]]+LANÇ_MOV[[#This Row],[MULTA]]</f>
        <v>0</v>
      </c>
      <c r="O1015" s="546"/>
      <c r="P1015" s="547" t="str">
        <f t="shared" ca="1" si="16"/>
        <v/>
      </c>
      <c r="Q1015" s="528"/>
      <c r="R1015" s="529"/>
      <c r="S1015" s="518"/>
      <c r="T1015" s="518"/>
      <c r="U1015" s="519"/>
      <c r="V1015" s="520" t="str">
        <f>IFERROR(VLOOKUP(LANÇ_MOV[[#This Row],[PLANO DE CONTAS]],Plano_Contas[[PLANO DE CONTAS]:[R / D]],3,0),"")</f>
        <v/>
      </c>
      <c r="W1015" s="521" t="str">
        <f>IF(LANÇ_MOV[[#This Row],[DATA DE PAGAMENTO]]&lt;&gt;"","Pago","Não Pago")</f>
        <v>Não Pago</v>
      </c>
      <c r="X1015" s="522" t="str">
        <f>IFERROR(IF(LANÇ_MOV[[#This Row],[DATA DE PAGAMENTO]]="","",(UPPER(TEXT(LANÇ_MOV[[#This Row],[DATA DE PAGAMENTO]],"mmmm")))),"")</f>
        <v/>
      </c>
      <c r="Y1015" s="523" t="str">
        <f>IFERROR(VLOOKUP(LANÇ_MOV[[#This Row],[PLANO DE CONTAS]],Plano_Contas[[PLANO DE CONTAS]:[NOMES INTERVALOS]],2,0),"")</f>
        <v/>
      </c>
      <c r="Z1015" s="523" t="str">
        <f>IF(LANÇ_MOV[[#This Row],[FORMA DE PAGAMENTO]]="","",VLOOKUP(LANÇ_MOV[[#This Row],[FORMA DE PAGAMENTO]],CAD_Forma_pagto[],2,0))</f>
        <v/>
      </c>
      <c r="AA1015" s="524" t="str">
        <f>IF(LANÇ_MOV[[#This Row],[DATA DE LANÇAMENTO]]="","",TEXT(LANÇ_MOV[[#This Row],[DATA DE LANÇAMENTO]],"AAAA"))</f>
        <v/>
      </c>
      <c r="AB1015" s="524" t="str">
        <f>IF(LANÇ_MOV[[#This Row],[DATA DE LANÇAMENTO]]="","",UPPER(TEXT(LANÇ_MOV[[#This Row],[DATA DE LANÇAMENTO]],"MMMM")))</f>
        <v/>
      </c>
      <c r="AC1015" s="525" t="str">
        <f>IF(LANÇ_MOV[[#This Row],[DATA DE LANÇAMENTO]]="","",PROPER(TEXT(LANÇ_MOV[[#This Row],[DATA DE LANÇAMENTO]],"M")))</f>
        <v/>
      </c>
      <c r="AD1015" s="524" t="str">
        <f>IF(LANÇ_MOV[[#This Row],[DATA DE LANÇAMENTO]]="","",TEXT(LANÇ_MOV[[#This Row],[DATA DE LANÇAMENTO]],"D"))</f>
        <v/>
      </c>
      <c r="AE1015" s="526" t="str">
        <f>IF(LANÇ_MOV[[#This Row],[DATA DE VENCIMENTO]]="","",TEXT(LANÇ_MOV[[#This Row],[DATA DE VENCIMENTO]],"AAAA"))</f>
        <v/>
      </c>
      <c r="AF1015" s="526" t="str">
        <f>IF(LANÇ_MOV[[#This Row],[DATA DE VENCIMENTO]]="","",UPPER(TEXT(LANÇ_MOV[[#This Row],[DATA DE VENCIMENTO]],"MMMM")))</f>
        <v/>
      </c>
      <c r="AG1015" s="526" t="str">
        <f>IF(LANÇ_MOV[[#This Row],[DATA DE VENCIMENTO]]="","",TEXT(LANÇ_MOV[[#This Row],[DATA DE VENCIMENTO]],"M"))</f>
        <v/>
      </c>
      <c r="AH1015" s="526" t="str">
        <f>IF(LANÇ_MOV[[#This Row],[DATA DE VENCIMENTO]]="","",TEXT(LANÇ_MOV[[#This Row],[DATA DE VENCIMENTO]],"D"))</f>
        <v/>
      </c>
      <c r="AI1015" s="526" t="str">
        <f>IF(LANÇ_MOV[[#This Row],[DATA DE PAGAMENTO]]="","",TEXT(LANÇ_MOV[[#This Row],[DATA DE PAGAMENTO]],"AAAA"))</f>
        <v/>
      </c>
      <c r="AJ1015" s="527" t="str">
        <f>IF(LANÇ_MOV[[#This Row],[DATA DE PAGAMENTO]]="","",UPPER(TEXT(LANÇ_MOV[[#This Row],[DATA DE PAGAMENTO]],"MMMM")))</f>
        <v/>
      </c>
      <c r="AK1015" s="527" t="str">
        <f>IF(LANÇ_MOV[[#This Row],[DATA DE PAGAMENTO]]="","",TEXT(LANÇ_MOV[[#This Row],[DATA DE PAGAMENTO]],"M"))</f>
        <v/>
      </c>
      <c r="AL1015" s="526" t="str">
        <f>IF(LANÇ_MOV[[#This Row],[DATA DE PAGAMENTO]]="","",TEXT(LANÇ_MOV[[#This Row],[DATA DE PAGAMENTO]],"D"))</f>
        <v/>
      </c>
    </row>
    <row r="1016" spans="2:38" ht="30.05" customHeight="1" x14ac:dyDescent="0.35">
      <c r="B1016" s="506"/>
      <c r="C1016" s="507"/>
      <c r="D1016" s="508" t="s">
        <v>1854</v>
      </c>
      <c r="E1016" s="509"/>
      <c r="F1016" s="510"/>
      <c r="G1016" s="507"/>
      <c r="H1016" s="511"/>
      <c r="I1016" s="512"/>
      <c r="J1016" s="518"/>
      <c r="K1016" s="510"/>
      <c r="L1016" s="510"/>
      <c r="M1016" s="548"/>
      <c r="N1016" s="514">
        <f>LANÇ_MOV[[#This Row],[VALOR BRUTO]]-LANÇ_MOV[[#This Row],[DESCONTO]]+LANÇ_MOV[[#This Row],[JUROS]]+LANÇ_MOV[[#This Row],[MULTA]]</f>
        <v>0</v>
      </c>
      <c r="O1016" s="546"/>
      <c r="P1016" s="547" t="str">
        <f t="shared" ca="1" si="16"/>
        <v/>
      </c>
      <c r="Q1016" s="528"/>
      <c r="R1016" s="529"/>
      <c r="S1016" s="518"/>
      <c r="T1016" s="518"/>
      <c r="U1016" s="519"/>
      <c r="V1016" s="520" t="str">
        <f>IFERROR(VLOOKUP(LANÇ_MOV[[#This Row],[PLANO DE CONTAS]],Plano_Contas[[PLANO DE CONTAS]:[R / D]],3,0),"")</f>
        <v/>
      </c>
      <c r="W1016" s="521" t="str">
        <f>IF(LANÇ_MOV[[#This Row],[DATA DE PAGAMENTO]]&lt;&gt;"","Pago","Não Pago")</f>
        <v>Não Pago</v>
      </c>
      <c r="X1016" s="522" t="str">
        <f>IFERROR(IF(LANÇ_MOV[[#This Row],[DATA DE PAGAMENTO]]="","",(UPPER(TEXT(LANÇ_MOV[[#This Row],[DATA DE PAGAMENTO]],"mmmm")))),"")</f>
        <v/>
      </c>
      <c r="Y1016" s="523" t="str">
        <f>IFERROR(VLOOKUP(LANÇ_MOV[[#This Row],[PLANO DE CONTAS]],Plano_Contas[[PLANO DE CONTAS]:[NOMES INTERVALOS]],2,0),"")</f>
        <v/>
      </c>
      <c r="Z1016" s="523" t="str">
        <f>IF(LANÇ_MOV[[#This Row],[FORMA DE PAGAMENTO]]="","",VLOOKUP(LANÇ_MOV[[#This Row],[FORMA DE PAGAMENTO]],CAD_Forma_pagto[],2,0))</f>
        <v/>
      </c>
      <c r="AA1016" s="524" t="str">
        <f>IF(LANÇ_MOV[[#This Row],[DATA DE LANÇAMENTO]]="","",TEXT(LANÇ_MOV[[#This Row],[DATA DE LANÇAMENTO]],"AAAA"))</f>
        <v/>
      </c>
      <c r="AB1016" s="524" t="str">
        <f>IF(LANÇ_MOV[[#This Row],[DATA DE LANÇAMENTO]]="","",UPPER(TEXT(LANÇ_MOV[[#This Row],[DATA DE LANÇAMENTO]],"MMMM")))</f>
        <v/>
      </c>
      <c r="AC1016" s="525" t="str">
        <f>IF(LANÇ_MOV[[#This Row],[DATA DE LANÇAMENTO]]="","",PROPER(TEXT(LANÇ_MOV[[#This Row],[DATA DE LANÇAMENTO]],"M")))</f>
        <v/>
      </c>
      <c r="AD1016" s="524" t="str">
        <f>IF(LANÇ_MOV[[#This Row],[DATA DE LANÇAMENTO]]="","",TEXT(LANÇ_MOV[[#This Row],[DATA DE LANÇAMENTO]],"D"))</f>
        <v/>
      </c>
      <c r="AE1016" s="526" t="str">
        <f>IF(LANÇ_MOV[[#This Row],[DATA DE VENCIMENTO]]="","",TEXT(LANÇ_MOV[[#This Row],[DATA DE VENCIMENTO]],"AAAA"))</f>
        <v/>
      </c>
      <c r="AF1016" s="526" t="str">
        <f>IF(LANÇ_MOV[[#This Row],[DATA DE VENCIMENTO]]="","",UPPER(TEXT(LANÇ_MOV[[#This Row],[DATA DE VENCIMENTO]],"MMMM")))</f>
        <v/>
      </c>
      <c r="AG1016" s="526" t="str">
        <f>IF(LANÇ_MOV[[#This Row],[DATA DE VENCIMENTO]]="","",TEXT(LANÇ_MOV[[#This Row],[DATA DE VENCIMENTO]],"M"))</f>
        <v/>
      </c>
      <c r="AH1016" s="526" t="str">
        <f>IF(LANÇ_MOV[[#This Row],[DATA DE VENCIMENTO]]="","",TEXT(LANÇ_MOV[[#This Row],[DATA DE VENCIMENTO]],"D"))</f>
        <v/>
      </c>
      <c r="AI1016" s="526" t="str">
        <f>IF(LANÇ_MOV[[#This Row],[DATA DE PAGAMENTO]]="","",TEXT(LANÇ_MOV[[#This Row],[DATA DE PAGAMENTO]],"AAAA"))</f>
        <v/>
      </c>
      <c r="AJ1016" s="527" t="str">
        <f>IF(LANÇ_MOV[[#This Row],[DATA DE PAGAMENTO]]="","",UPPER(TEXT(LANÇ_MOV[[#This Row],[DATA DE PAGAMENTO]],"MMMM")))</f>
        <v/>
      </c>
      <c r="AK1016" s="527" t="str">
        <f>IF(LANÇ_MOV[[#This Row],[DATA DE PAGAMENTO]]="","",TEXT(LANÇ_MOV[[#This Row],[DATA DE PAGAMENTO]],"M"))</f>
        <v/>
      </c>
      <c r="AL1016" s="526" t="str">
        <f>IF(LANÇ_MOV[[#This Row],[DATA DE PAGAMENTO]]="","",TEXT(LANÇ_MOV[[#This Row],[DATA DE PAGAMENTO]],"D"))</f>
        <v/>
      </c>
    </row>
    <row r="1017" spans="2:38" ht="30.05" customHeight="1" x14ac:dyDescent="0.35">
      <c r="B1017" s="506"/>
      <c r="C1017" s="507"/>
      <c r="D1017" s="508" t="s">
        <v>1854</v>
      </c>
      <c r="E1017" s="509"/>
      <c r="F1017" s="510"/>
      <c r="G1017" s="507"/>
      <c r="H1017" s="511"/>
      <c r="I1017" s="512"/>
      <c r="J1017" s="518"/>
      <c r="K1017" s="510"/>
      <c r="L1017" s="510"/>
      <c r="M1017" s="548"/>
      <c r="N1017" s="514">
        <f>LANÇ_MOV[[#This Row],[VALOR BRUTO]]-LANÇ_MOV[[#This Row],[DESCONTO]]+LANÇ_MOV[[#This Row],[JUROS]]+LANÇ_MOV[[#This Row],[MULTA]]</f>
        <v>0</v>
      </c>
      <c r="O1017" s="546"/>
      <c r="P1017" s="547" t="str">
        <f t="shared" ca="1" si="16"/>
        <v/>
      </c>
      <c r="Q1017" s="528"/>
      <c r="R1017" s="529"/>
      <c r="S1017" s="518"/>
      <c r="T1017" s="518"/>
      <c r="U1017" s="519"/>
      <c r="V1017" s="520" t="str">
        <f>IFERROR(VLOOKUP(LANÇ_MOV[[#This Row],[PLANO DE CONTAS]],Plano_Contas[[PLANO DE CONTAS]:[R / D]],3,0),"")</f>
        <v/>
      </c>
      <c r="W1017" s="521" t="str">
        <f>IF(LANÇ_MOV[[#This Row],[DATA DE PAGAMENTO]]&lt;&gt;"","Pago","Não Pago")</f>
        <v>Não Pago</v>
      </c>
      <c r="X1017" s="522" t="str">
        <f>IFERROR(IF(LANÇ_MOV[[#This Row],[DATA DE PAGAMENTO]]="","",(UPPER(TEXT(LANÇ_MOV[[#This Row],[DATA DE PAGAMENTO]],"mmmm")))),"")</f>
        <v/>
      </c>
      <c r="Y1017" s="523" t="str">
        <f>IFERROR(VLOOKUP(LANÇ_MOV[[#This Row],[PLANO DE CONTAS]],Plano_Contas[[PLANO DE CONTAS]:[NOMES INTERVALOS]],2,0),"")</f>
        <v/>
      </c>
      <c r="Z1017" s="523" t="str">
        <f>IF(LANÇ_MOV[[#This Row],[FORMA DE PAGAMENTO]]="","",VLOOKUP(LANÇ_MOV[[#This Row],[FORMA DE PAGAMENTO]],CAD_Forma_pagto[],2,0))</f>
        <v/>
      </c>
      <c r="AA1017" s="524" t="str">
        <f>IF(LANÇ_MOV[[#This Row],[DATA DE LANÇAMENTO]]="","",TEXT(LANÇ_MOV[[#This Row],[DATA DE LANÇAMENTO]],"AAAA"))</f>
        <v/>
      </c>
      <c r="AB1017" s="524" t="str">
        <f>IF(LANÇ_MOV[[#This Row],[DATA DE LANÇAMENTO]]="","",UPPER(TEXT(LANÇ_MOV[[#This Row],[DATA DE LANÇAMENTO]],"MMMM")))</f>
        <v/>
      </c>
      <c r="AC1017" s="525" t="str">
        <f>IF(LANÇ_MOV[[#This Row],[DATA DE LANÇAMENTO]]="","",PROPER(TEXT(LANÇ_MOV[[#This Row],[DATA DE LANÇAMENTO]],"M")))</f>
        <v/>
      </c>
      <c r="AD1017" s="524" t="str">
        <f>IF(LANÇ_MOV[[#This Row],[DATA DE LANÇAMENTO]]="","",TEXT(LANÇ_MOV[[#This Row],[DATA DE LANÇAMENTO]],"D"))</f>
        <v/>
      </c>
      <c r="AE1017" s="526" t="str">
        <f>IF(LANÇ_MOV[[#This Row],[DATA DE VENCIMENTO]]="","",TEXT(LANÇ_MOV[[#This Row],[DATA DE VENCIMENTO]],"AAAA"))</f>
        <v/>
      </c>
      <c r="AF1017" s="526" t="str">
        <f>IF(LANÇ_MOV[[#This Row],[DATA DE VENCIMENTO]]="","",UPPER(TEXT(LANÇ_MOV[[#This Row],[DATA DE VENCIMENTO]],"MMMM")))</f>
        <v/>
      </c>
      <c r="AG1017" s="526" t="str">
        <f>IF(LANÇ_MOV[[#This Row],[DATA DE VENCIMENTO]]="","",TEXT(LANÇ_MOV[[#This Row],[DATA DE VENCIMENTO]],"M"))</f>
        <v/>
      </c>
      <c r="AH1017" s="526" t="str">
        <f>IF(LANÇ_MOV[[#This Row],[DATA DE VENCIMENTO]]="","",TEXT(LANÇ_MOV[[#This Row],[DATA DE VENCIMENTO]],"D"))</f>
        <v/>
      </c>
      <c r="AI1017" s="526" t="str">
        <f>IF(LANÇ_MOV[[#This Row],[DATA DE PAGAMENTO]]="","",TEXT(LANÇ_MOV[[#This Row],[DATA DE PAGAMENTO]],"AAAA"))</f>
        <v/>
      </c>
      <c r="AJ1017" s="527" t="str">
        <f>IF(LANÇ_MOV[[#This Row],[DATA DE PAGAMENTO]]="","",UPPER(TEXT(LANÇ_MOV[[#This Row],[DATA DE PAGAMENTO]],"MMMM")))</f>
        <v/>
      </c>
      <c r="AK1017" s="527" t="str">
        <f>IF(LANÇ_MOV[[#This Row],[DATA DE PAGAMENTO]]="","",TEXT(LANÇ_MOV[[#This Row],[DATA DE PAGAMENTO]],"M"))</f>
        <v/>
      </c>
      <c r="AL1017" s="526" t="str">
        <f>IF(LANÇ_MOV[[#This Row],[DATA DE PAGAMENTO]]="","",TEXT(LANÇ_MOV[[#This Row],[DATA DE PAGAMENTO]],"D"))</f>
        <v/>
      </c>
    </row>
    <row r="1018" spans="2:38" ht="30.05" customHeight="1" x14ac:dyDescent="0.35">
      <c r="B1018" s="506"/>
      <c r="C1018" s="507"/>
      <c r="D1018" s="508" t="s">
        <v>1854</v>
      </c>
      <c r="E1018" s="509"/>
      <c r="F1018" s="510"/>
      <c r="G1018" s="507"/>
      <c r="H1018" s="511"/>
      <c r="I1018" s="512"/>
      <c r="J1018" s="518"/>
      <c r="K1018" s="510"/>
      <c r="L1018" s="510"/>
      <c r="M1018" s="548"/>
      <c r="N1018" s="514">
        <f>LANÇ_MOV[[#This Row],[VALOR BRUTO]]-LANÇ_MOV[[#This Row],[DESCONTO]]+LANÇ_MOV[[#This Row],[JUROS]]+LANÇ_MOV[[#This Row],[MULTA]]</f>
        <v>0</v>
      </c>
      <c r="O1018" s="546"/>
      <c r="P1018" s="547" t="str">
        <f t="shared" ca="1" si="16"/>
        <v/>
      </c>
      <c r="Q1018" s="528"/>
      <c r="R1018" s="529"/>
      <c r="S1018" s="518"/>
      <c r="T1018" s="518"/>
      <c r="U1018" s="519"/>
      <c r="V1018" s="520" t="str">
        <f>IFERROR(VLOOKUP(LANÇ_MOV[[#This Row],[PLANO DE CONTAS]],Plano_Contas[[PLANO DE CONTAS]:[R / D]],3,0),"")</f>
        <v/>
      </c>
      <c r="W1018" s="521" t="str">
        <f>IF(LANÇ_MOV[[#This Row],[DATA DE PAGAMENTO]]&lt;&gt;"","Pago","Não Pago")</f>
        <v>Não Pago</v>
      </c>
      <c r="X1018" s="522" t="str">
        <f>IFERROR(IF(LANÇ_MOV[[#This Row],[DATA DE PAGAMENTO]]="","",(UPPER(TEXT(LANÇ_MOV[[#This Row],[DATA DE PAGAMENTO]],"mmmm")))),"")</f>
        <v/>
      </c>
      <c r="Y1018" s="523" t="str">
        <f>IFERROR(VLOOKUP(LANÇ_MOV[[#This Row],[PLANO DE CONTAS]],Plano_Contas[[PLANO DE CONTAS]:[NOMES INTERVALOS]],2,0),"")</f>
        <v/>
      </c>
      <c r="Z1018" s="523" t="str">
        <f>IF(LANÇ_MOV[[#This Row],[FORMA DE PAGAMENTO]]="","",VLOOKUP(LANÇ_MOV[[#This Row],[FORMA DE PAGAMENTO]],CAD_Forma_pagto[],2,0))</f>
        <v/>
      </c>
      <c r="AA1018" s="524" t="str">
        <f>IF(LANÇ_MOV[[#This Row],[DATA DE LANÇAMENTO]]="","",TEXT(LANÇ_MOV[[#This Row],[DATA DE LANÇAMENTO]],"AAAA"))</f>
        <v/>
      </c>
      <c r="AB1018" s="524" t="str">
        <f>IF(LANÇ_MOV[[#This Row],[DATA DE LANÇAMENTO]]="","",UPPER(TEXT(LANÇ_MOV[[#This Row],[DATA DE LANÇAMENTO]],"MMMM")))</f>
        <v/>
      </c>
      <c r="AC1018" s="525" t="str">
        <f>IF(LANÇ_MOV[[#This Row],[DATA DE LANÇAMENTO]]="","",PROPER(TEXT(LANÇ_MOV[[#This Row],[DATA DE LANÇAMENTO]],"M")))</f>
        <v/>
      </c>
      <c r="AD1018" s="524" t="str">
        <f>IF(LANÇ_MOV[[#This Row],[DATA DE LANÇAMENTO]]="","",TEXT(LANÇ_MOV[[#This Row],[DATA DE LANÇAMENTO]],"D"))</f>
        <v/>
      </c>
      <c r="AE1018" s="526" t="str">
        <f>IF(LANÇ_MOV[[#This Row],[DATA DE VENCIMENTO]]="","",TEXT(LANÇ_MOV[[#This Row],[DATA DE VENCIMENTO]],"AAAA"))</f>
        <v/>
      </c>
      <c r="AF1018" s="526" t="str">
        <f>IF(LANÇ_MOV[[#This Row],[DATA DE VENCIMENTO]]="","",UPPER(TEXT(LANÇ_MOV[[#This Row],[DATA DE VENCIMENTO]],"MMMM")))</f>
        <v/>
      </c>
      <c r="AG1018" s="526" t="str">
        <f>IF(LANÇ_MOV[[#This Row],[DATA DE VENCIMENTO]]="","",TEXT(LANÇ_MOV[[#This Row],[DATA DE VENCIMENTO]],"M"))</f>
        <v/>
      </c>
      <c r="AH1018" s="526" t="str">
        <f>IF(LANÇ_MOV[[#This Row],[DATA DE VENCIMENTO]]="","",TEXT(LANÇ_MOV[[#This Row],[DATA DE VENCIMENTO]],"D"))</f>
        <v/>
      </c>
      <c r="AI1018" s="526" t="str">
        <f>IF(LANÇ_MOV[[#This Row],[DATA DE PAGAMENTO]]="","",TEXT(LANÇ_MOV[[#This Row],[DATA DE PAGAMENTO]],"AAAA"))</f>
        <v/>
      </c>
      <c r="AJ1018" s="527" t="str">
        <f>IF(LANÇ_MOV[[#This Row],[DATA DE PAGAMENTO]]="","",UPPER(TEXT(LANÇ_MOV[[#This Row],[DATA DE PAGAMENTO]],"MMMM")))</f>
        <v/>
      </c>
      <c r="AK1018" s="527" t="str">
        <f>IF(LANÇ_MOV[[#This Row],[DATA DE PAGAMENTO]]="","",TEXT(LANÇ_MOV[[#This Row],[DATA DE PAGAMENTO]],"M"))</f>
        <v/>
      </c>
      <c r="AL1018" s="526" t="str">
        <f>IF(LANÇ_MOV[[#This Row],[DATA DE PAGAMENTO]]="","",TEXT(LANÇ_MOV[[#This Row],[DATA DE PAGAMENTO]],"D"))</f>
        <v/>
      </c>
    </row>
    <row r="1019" spans="2:38" ht="30.05" customHeight="1" x14ac:dyDescent="0.35">
      <c r="B1019" s="506"/>
      <c r="C1019" s="507"/>
      <c r="D1019" s="508" t="s">
        <v>1854</v>
      </c>
      <c r="E1019" s="509"/>
      <c r="F1019" s="510"/>
      <c r="G1019" s="507"/>
      <c r="H1019" s="511"/>
      <c r="I1019" s="512"/>
      <c r="J1019" s="518"/>
      <c r="K1019" s="510"/>
      <c r="L1019" s="510"/>
      <c r="M1019" s="548"/>
      <c r="N1019" s="514">
        <f>LANÇ_MOV[[#This Row],[VALOR BRUTO]]-LANÇ_MOV[[#This Row],[DESCONTO]]+LANÇ_MOV[[#This Row],[JUROS]]+LANÇ_MOV[[#This Row],[MULTA]]</f>
        <v>0</v>
      </c>
      <c r="O1019" s="546"/>
      <c r="P1019" s="547" t="str">
        <f t="shared" ca="1" si="16"/>
        <v/>
      </c>
      <c r="Q1019" s="528"/>
      <c r="R1019" s="529"/>
      <c r="S1019" s="518"/>
      <c r="T1019" s="518"/>
      <c r="U1019" s="519"/>
      <c r="V1019" s="520" t="str">
        <f>IFERROR(VLOOKUP(LANÇ_MOV[[#This Row],[PLANO DE CONTAS]],Plano_Contas[[PLANO DE CONTAS]:[R / D]],3,0),"")</f>
        <v/>
      </c>
      <c r="W1019" s="521" t="str">
        <f>IF(LANÇ_MOV[[#This Row],[DATA DE PAGAMENTO]]&lt;&gt;"","Pago","Não Pago")</f>
        <v>Não Pago</v>
      </c>
      <c r="X1019" s="522" t="str">
        <f>IFERROR(IF(LANÇ_MOV[[#This Row],[DATA DE PAGAMENTO]]="","",(UPPER(TEXT(LANÇ_MOV[[#This Row],[DATA DE PAGAMENTO]],"mmmm")))),"")</f>
        <v/>
      </c>
      <c r="Y1019" s="523" t="str">
        <f>IFERROR(VLOOKUP(LANÇ_MOV[[#This Row],[PLANO DE CONTAS]],Plano_Contas[[PLANO DE CONTAS]:[NOMES INTERVALOS]],2,0),"")</f>
        <v/>
      </c>
      <c r="Z1019" s="523" t="str">
        <f>IF(LANÇ_MOV[[#This Row],[FORMA DE PAGAMENTO]]="","",VLOOKUP(LANÇ_MOV[[#This Row],[FORMA DE PAGAMENTO]],CAD_Forma_pagto[],2,0))</f>
        <v/>
      </c>
      <c r="AA1019" s="524" t="str">
        <f>IF(LANÇ_MOV[[#This Row],[DATA DE LANÇAMENTO]]="","",TEXT(LANÇ_MOV[[#This Row],[DATA DE LANÇAMENTO]],"AAAA"))</f>
        <v/>
      </c>
      <c r="AB1019" s="524" t="str">
        <f>IF(LANÇ_MOV[[#This Row],[DATA DE LANÇAMENTO]]="","",UPPER(TEXT(LANÇ_MOV[[#This Row],[DATA DE LANÇAMENTO]],"MMMM")))</f>
        <v/>
      </c>
      <c r="AC1019" s="525" t="str">
        <f>IF(LANÇ_MOV[[#This Row],[DATA DE LANÇAMENTO]]="","",PROPER(TEXT(LANÇ_MOV[[#This Row],[DATA DE LANÇAMENTO]],"M")))</f>
        <v/>
      </c>
      <c r="AD1019" s="524" t="str">
        <f>IF(LANÇ_MOV[[#This Row],[DATA DE LANÇAMENTO]]="","",TEXT(LANÇ_MOV[[#This Row],[DATA DE LANÇAMENTO]],"D"))</f>
        <v/>
      </c>
      <c r="AE1019" s="526" t="str">
        <f>IF(LANÇ_MOV[[#This Row],[DATA DE VENCIMENTO]]="","",TEXT(LANÇ_MOV[[#This Row],[DATA DE VENCIMENTO]],"AAAA"))</f>
        <v/>
      </c>
      <c r="AF1019" s="526" t="str">
        <f>IF(LANÇ_MOV[[#This Row],[DATA DE VENCIMENTO]]="","",UPPER(TEXT(LANÇ_MOV[[#This Row],[DATA DE VENCIMENTO]],"MMMM")))</f>
        <v/>
      </c>
      <c r="AG1019" s="526" t="str">
        <f>IF(LANÇ_MOV[[#This Row],[DATA DE VENCIMENTO]]="","",TEXT(LANÇ_MOV[[#This Row],[DATA DE VENCIMENTO]],"M"))</f>
        <v/>
      </c>
      <c r="AH1019" s="526" t="str">
        <f>IF(LANÇ_MOV[[#This Row],[DATA DE VENCIMENTO]]="","",TEXT(LANÇ_MOV[[#This Row],[DATA DE VENCIMENTO]],"D"))</f>
        <v/>
      </c>
      <c r="AI1019" s="526" t="str">
        <f>IF(LANÇ_MOV[[#This Row],[DATA DE PAGAMENTO]]="","",TEXT(LANÇ_MOV[[#This Row],[DATA DE PAGAMENTO]],"AAAA"))</f>
        <v/>
      </c>
      <c r="AJ1019" s="527" t="str">
        <f>IF(LANÇ_MOV[[#This Row],[DATA DE PAGAMENTO]]="","",UPPER(TEXT(LANÇ_MOV[[#This Row],[DATA DE PAGAMENTO]],"MMMM")))</f>
        <v/>
      </c>
      <c r="AK1019" s="527" t="str">
        <f>IF(LANÇ_MOV[[#This Row],[DATA DE PAGAMENTO]]="","",TEXT(LANÇ_MOV[[#This Row],[DATA DE PAGAMENTO]],"M"))</f>
        <v/>
      </c>
      <c r="AL1019" s="526" t="str">
        <f>IF(LANÇ_MOV[[#This Row],[DATA DE PAGAMENTO]]="","",TEXT(LANÇ_MOV[[#This Row],[DATA DE PAGAMENTO]],"D"))</f>
        <v/>
      </c>
    </row>
    <row r="1020" spans="2:38" ht="30.05" customHeight="1" x14ac:dyDescent="0.35">
      <c r="B1020" s="506"/>
      <c r="C1020" s="507"/>
      <c r="D1020" s="508" t="s">
        <v>1854</v>
      </c>
      <c r="E1020" s="509"/>
      <c r="F1020" s="510"/>
      <c r="G1020" s="507"/>
      <c r="H1020" s="511"/>
      <c r="I1020" s="512"/>
      <c r="J1020" s="518"/>
      <c r="K1020" s="510"/>
      <c r="L1020" s="510"/>
      <c r="M1020" s="548"/>
      <c r="N1020" s="514">
        <f>LANÇ_MOV[[#This Row],[VALOR BRUTO]]-LANÇ_MOV[[#This Row],[DESCONTO]]+LANÇ_MOV[[#This Row],[JUROS]]+LANÇ_MOV[[#This Row],[MULTA]]</f>
        <v>0</v>
      </c>
      <c r="O1020" s="546"/>
      <c r="P1020" s="547" t="str">
        <f t="shared" ca="1" si="16"/>
        <v/>
      </c>
      <c r="Q1020" s="528"/>
      <c r="R1020" s="529"/>
      <c r="S1020" s="518"/>
      <c r="T1020" s="518"/>
      <c r="U1020" s="519"/>
      <c r="V1020" s="520" t="str">
        <f>IFERROR(VLOOKUP(LANÇ_MOV[[#This Row],[PLANO DE CONTAS]],Plano_Contas[[PLANO DE CONTAS]:[R / D]],3,0),"")</f>
        <v/>
      </c>
      <c r="W1020" s="521" t="str">
        <f>IF(LANÇ_MOV[[#This Row],[DATA DE PAGAMENTO]]&lt;&gt;"","Pago","Não Pago")</f>
        <v>Não Pago</v>
      </c>
      <c r="X1020" s="522" t="str">
        <f>IFERROR(IF(LANÇ_MOV[[#This Row],[DATA DE PAGAMENTO]]="","",(UPPER(TEXT(LANÇ_MOV[[#This Row],[DATA DE PAGAMENTO]],"mmmm")))),"")</f>
        <v/>
      </c>
      <c r="Y1020" s="523" t="str">
        <f>IFERROR(VLOOKUP(LANÇ_MOV[[#This Row],[PLANO DE CONTAS]],Plano_Contas[[PLANO DE CONTAS]:[NOMES INTERVALOS]],2,0),"")</f>
        <v/>
      </c>
      <c r="Z1020" s="523" t="str">
        <f>IF(LANÇ_MOV[[#This Row],[FORMA DE PAGAMENTO]]="","",VLOOKUP(LANÇ_MOV[[#This Row],[FORMA DE PAGAMENTO]],CAD_Forma_pagto[],2,0))</f>
        <v/>
      </c>
      <c r="AA1020" s="524" t="str">
        <f>IF(LANÇ_MOV[[#This Row],[DATA DE LANÇAMENTO]]="","",TEXT(LANÇ_MOV[[#This Row],[DATA DE LANÇAMENTO]],"AAAA"))</f>
        <v/>
      </c>
      <c r="AB1020" s="524" t="str">
        <f>IF(LANÇ_MOV[[#This Row],[DATA DE LANÇAMENTO]]="","",UPPER(TEXT(LANÇ_MOV[[#This Row],[DATA DE LANÇAMENTO]],"MMMM")))</f>
        <v/>
      </c>
      <c r="AC1020" s="525" t="str">
        <f>IF(LANÇ_MOV[[#This Row],[DATA DE LANÇAMENTO]]="","",PROPER(TEXT(LANÇ_MOV[[#This Row],[DATA DE LANÇAMENTO]],"M")))</f>
        <v/>
      </c>
      <c r="AD1020" s="524" t="str">
        <f>IF(LANÇ_MOV[[#This Row],[DATA DE LANÇAMENTO]]="","",TEXT(LANÇ_MOV[[#This Row],[DATA DE LANÇAMENTO]],"D"))</f>
        <v/>
      </c>
      <c r="AE1020" s="526" t="str">
        <f>IF(LANÇ_MOV[[#This Row],[DATA DE VENCIMENTO]]="","",TEXT(LANÇ_MOV[[#This Row],[DATA DE VENCIMENTO]],"AAAA"))</f>
        <v/>
      </c>
      <c r="AF1020" s="526" t="str">
        <f>IF(LANÇ_MOV[[#This Row],[DATA DE VENCIMENTO]]="","",UPPER(TEXT(LANÇ_MOV[[#This Row],[DATA DE VENCIMENTO]],"MMMM")))</f>
        <v/>
      </c>
      <c r="AG1020" s="526" t="str">
        <f>IF(LANÇ_MOV[[#This Row],[DATA DE VENCIMENTO]]="","",TEXT(LANÇ_MOV[[#This Row],[DATA DE VENCIMENTO]],"M"))</f>
        <v/>
      </c>
      <c r="AH1020" s="526" t="str">
        <f>IF(LANÇ_MOV[[#This Row],[DATA DE VENCIMENTO]]="","",TEXT(LANÇ_MOV[[#This Row],[DATA DE VENCIMENTO]],"D"))</f>
        <v/>
      </c>
      <c r="AI1020" s="526" t="str">
        <f>IF(LANÇ_MOV[[#This Row],[DATA DE PAGAMENTO]]="","",TEXT(LANÇ_MOV[[#This Row],[DATA DE PAGAMENTO]],"AAAA"))</f>
        <v/>
      </c>
      <c r="AJ1020" s="527" t="str">
        <f>IF(LANÇ_MOV[[#This Row],[DATA DE PAGAMENTO]]="","",UPPER(TEXT(LANÇ_MOV[[#This Row],[DATA DE PAGAMENTO]],"MMMM")))</f>
        <v/>
      </c>
      <c r="AK1020" s="527" t="str">
        <f>IF(LANÇ_MOV[[#This Row],[DATA DE PAGAMENTO]]="","",TEXT(LANÇ_MOV[[#This Row],[DATA DE PAGAMENTO]],"M"))</f>
        <v/>
      </c>
      <c r="AL1020" s="526" t="str">
        <f>IF(LANÇ_MOV[[#This Row],[DATA DE PAGAMENTO]]="","",TEXT(LANÇ_MOV[[#This Row],[DATA DE PAGAMENTO]],"D"))</f>
        <v/>
      </c>
    </row>
    <row r="1021" spans="2:38" ht="30.05" customHeight="1" x14ac:dyDescent="0.35">
      <c r="B1021" s="506"/>
      <c r="C1021" s="507"/>
      <c r="D1021" s="508" t="s">
        <v>1854</v>
      </c>
      <c r="E1021" s="509"/>
      <c r="F1021" s="510"/>
      <c r="G1021" s="507"/>
      <c r="H1021" s="511"/>
      <c r="I1021" s="512"/>
      <c r="J1021" s="518"/>
      <c r="K1021" s="510"/>
      <c r="L1021" s="510"/>
      <c r="M1021" s="548"/>
      <c r="N1021" s="514">
        <f>LANÇ_MOV[[#This Row],[VALOR BRUTO]]-LANÇ_MOV[[#This Row],[DESCONTO]]+LANÇ_MOV[[#This Row],[JUROS]]+LANÇ_MOV[[#This Row],[MULTA]]</f>
        <v>0</v>
      </c>
      <c r="O1021" s="546"/>
      <c r="P1021" s="547" t="str">
        <f t="shared" ca="1" si="16"/>
        <v/>
      </c>
      <c r="Q1021" s="528"/>
      <c r="R1021" s="529"/>
      <c r="S1021" s="518"/>
      <c r="T1021" s="518"/>
      <c r="U1021" s="519"/>
      <c r="V1021" s="520" t="str">
        <f>IFERROR(VLOOKUP(LANÇ_MOV[[#This Row],[PLANO DE CONTAS]],Plano_Contas[[PLANO DE CONTAS]:[R / D]],3,0),"")</f>
        <v/>
      </c>
      <c r="W1021" s="521" t="str">
        <f>IF(LANÇ_MOV[[#This Row],[DATA DE PAGAMENTO]]&lt;&gt;"","Pago","Não Pago")</f>
        <v>Não Pago</v>
      </c>
      <c r="X1021" s="522" t="str">
        <f>IFERROR(IF(LANÇ_MOV[[#This Row],[DATA DE PAGAMENTO]]="","",(UPPER(TEXT(LANÇ_MOV[[#This Row],[DATA DE PAGAMENTO]],"mmmm")))),"")</f>
        <v/>
      </c>
      <c r="Y1021" s="523" t="str">
        <f>IFERROR(VLOOKUP(LANÇ_MOV[[#This Row],[PLANO DE CONTAS]],Plano_Contas[[PLANO DE CONTAS]:[NOMES INTERVALOS]],2,0),"")</f>
        <v/>
      </c>
      <c r="Z1021" s="523" t="str">
        <f>IF(LANÇ_MOV[[#This Row],[FORMA DE PAGAMENTO]]="","",VLOOKUP(LANÇ_MOV[[#This Row],[FORMA DE PAGAMENTO]],CAD_Forma_pagto[],2,0))</f>
        <v/>
      </c>
      <c r="AA1021" s="524" t="str">
        <f>IF(LANÇ_MOV[[#This Row],[DATA DE LANÇAMENTO]]="","",TEXT(LANÇ_MOV[[#This Row],[DATA DE LANÇAMENTO]],"AAAA"))</f>
        <v/>
      </c>
      <c r="AB1021" s="524" t="str">
        <f>IF(LANÇ_MOV[[#This Row],[DATA DE LANÇAMENTO]]="","",UPPER(TEXT(LANÇ_MOV[[#This Row],[DATA DE LANÇAMENTO]],"MMMM")))</f>
        <v/>
      </c>
      <c r="AC1021" s="525" t="str">
        <f>IF(LANÇ_MOV[[#This Row],[DATA DE LANÇAMENTO]]="","",PROPER(TEXT(LANÇ_MOV[[#This Row],[DATA DE LANÇAMENTO]],"M")))</f>
        <v/>
      </c>
      <c r="AD1021" s="524" t="str">
        <f>IF(LANÇ_MOV[[#This Row],[DATA DE LANÇAMENTO]]="","",TEXT(LANÇ_MOV[[#This Row],[DATA DE LANÇAMENTO]],"D"))</f>
        <v/>
      </c>
      <c r="AE1021" s="526" t="str">
        <f>IF(LANÇ_MOV[[#This Row],[DATA DE VENCIMENTO]]="","",TEXT(LANÇ_MOV[[#This Row],[DATA DE VENCIMENTO]],"AAAA"))</f>
        <v/>
      </c>
      <c r="AF1021" s="526" t="str">
        <f>IF(LANÇ_MOV[[#This Row],[DATA DE VENCIMENTO]]="","",UPPER(TEXT(LANÇ_MOV[[#This Row],[DATA DE VENCIMENTO]],"MMMM")))</f>
        <v/>
      </c>
      <c r="AG1021" s="526" t="str">
        <f>IF(LANÇ_MOV[[#This Row],[DATA DE VENCIMENTO]]="","",TEXT(LANÇ_MOV[[#This Row],[DATA DE VENCIMENTO]],"M"))</f>
        <v/>
      </c>
      <c r="AH1021" s="526" t="str">
        <f>IF(LANÇ_MOV[[#This Row],[DATA DE VENCIMENTO]]="","",TEXT(LANÇ_MOV[[#This Row],[DATA DE VENCIMENTO]],"D"))</f>
        <v/>
      </c>
      <c r="AI1021" s="526" t="str">
        <f>IF(LANÇ_MOV[[#This Row],[DATA DE PAGAMENTO]]="","",TEXT(LANÇ_MOV[[#This Row],[DATA DE PAGAMENTO]],"AAAA"))</f>
        <v/>
      </c>
      <c r="AJ1021" s="527" t="str">
        <f>IF(LANÇ_MOV[[#This Row],[DATA DE PAGAMENTO]]="","",UPPER(TEXT(LANÇ_MOV[[#This Row],[DATA DE PAGAMENTO]],"MMMM")))</f>
        <v/>
      </c>
      <c r="AK1021" s="527" t="str">
        <f>IF(LANÇ_MOV[[#This Row],[DATA DE PAGAMENTO]]="","",TEXT(LANÇ_MOV[[#This Row],[DATA DE PAGAMENTO]],"M"))</f>
        <v/>
      </c>
      <c r="AL1021" s="526" t="str">
        <f>IF(LANÇ_MOV[[#This Row],[DATA DE PAGAMENTO]]="","",TEXT(LANÇ_MOV[[#This Row],[DATA DE PAGAMENTO]],"D"))</f>
        <v/>
      </c>
    </row>
    <row r="1022" spans="2:38" ht="30.05" customHeight="1" x14ac:dyDescent="0.35">
      <c r="B1022" s="506"/>
      <c r="C1022" s="507"/>
      <c r="D1022" s="508" t="s">
        <v>1854</v>
      </c>
      <c r="E1022" s="509"/>
      <c r="F1022" s="510"/>
      <c r="G1022" s="507"/>
      <c r="H1022" s="511"/>
      <c r="I1022" s="512"/>
      <c r="J1022" s="518"/>
      <c r="K1022" s="510"/>
      <c r="L1022" s="510"/>
      <c r="M1022" s="548"/>
      <c r="N1022" s="514">
        <f>LANÇ_MOV[[#This Row],[VALOR BRUTO]]-LANÇ_MOV[[#This Row],[DESCONTO]]+LANÇ_MOV[[#This Row],[JUROS]]+LANÇ_MOV[[#This Row],[MULTA]]</f>
        <v>0</v>
      </c>
      <c r="O1022" s="546"/>
      <c r="P1022" s="547" t="str">
        <f t="shared" ca="1" si="16"/>
        <v/>
      </c>
      <c r="Q1022" s="528"/>
      <c r="R1022" s="529"/>
      <c r="S1022" s="518"/>
      <c r="T1022" s="518"/>
      <c r="U1022" s="519"/>
      <c r="V1022" s="520" t="str">
        <f>IFERROR(VLOOKUP(LANÇ_MOV[[#This Row],[PLANO DE CONTAS]],Plano_Contas[[PLANO DE CONTAS]:[R / D]],3,0),"")</f>
        <v/>
      </c>
      <c r="W1022" s="521" t="str">
        <f>IF(LANÇ_MOV[[#This Row],[DATA DE PAGAMENTO]]&lt;&gt;"","Pago","Não Pago")</f>
        <v>Não Pago</v>
      </c>
      <c r="X1022" s="522" t="str">
        <f>IFERROR(IF(LANÇ_MOV[[#This Row],[DATA DE PAGAMENTO]]="","",(UPPER(TEXT(LANÇ_MOV[[#This Row],[DATA DE PAGAMENTO]],"mmmm")))),"")</f>
        <v/>
      </c>
      <c r="Y1022" s="523" t="str">
        <f>IFERROR(VLOOKUP(LANÇ_MOV[[#This Row],[PLANO DE CONTAS]],Plano_Contas[[PLANO DE CONTAS]:[NOMES INTERVALOS]],2,0),"")</f>
        <v/>
      </c>
      <c r="Z1022" s="523" t="str">
        <f>IF(LANÇ_MOV[[#This Row],[FORMA DE PAGAMENTO]]="","",VLOOKUP(LANÇ_MOV[[#This Row],[FORMA DE PAGAMENTO]],CAD_Forma_pagto[],2,0))</f>
        <v/>
      </c>
      <c r="AA1022" s="524" t="str">
        <f>IF(LANÇ_MOV[[#This Row],[DATA DE LANÇAMENTO]]="","",TEXT(LANÇ_MOV[[#This Row],[DATA DE LANÇAMENTO]],"AAAA"))</f>
        <v/>
      </c>
      <c r="AB1022" s="524" t="str">
        <f>IF(LANÇ_MOV[[#This Row],[DATA DE LANÇAMENTO]]="","",UPPER(TEXT(LANÇ_MOV[[#This Row],[DATA DE LANÇAMENTO]],"MMMM")))</f>
        <v/>
      </c>
      <c r="AC1022" s="525" t="str">
        <f>IF(LANÇ_MOV[[#This Row],[DATA DE LANÇAMENTO]]="","",PROPER(TEXT(LANÇ_MOV[[#This Row],[DATA DE LANÇAMENTO]],"M")))</f>
        <v/>
      </c>
      <c r="AD1022" s="524" t="str">
        <f>IF(LANÇ_MOV[[#This Row],[DATA DE LANÇAMENTO]]="","",TEXT(LANÇ_MOV[[#This Row],[DATA DE LANÇAMENTO]],"D"))</f>
        <v/>
      </c>
      <c r="AE1022" s="526" t="str">
        <f>IF(LANÇ_MOV[[#This Row],[DATA DE VENCIMENTO]]="","",TEXT(LANÇ_MOV[[#This Row],[DATA DE VENCIMENTO]],"AAAA"))</f>
        <v/>
      </c>
      <c r="AF1022" s="526" t="str">
        <f>IF(LANÇ_MOV[[#This Row],[DATA DE VENCIMENTO]]="","",UPPER(TEXT(LANÇ_MOV[[#This Row],[DATA DE VENCIMENTO]],"MMMM")))</f>
        <v/>
      </c>
      <c r="AG1022" s="526" t="str">
        <f>IF(LANÇ_MOV[[#This Row],[DATA DE VENCIMENTO]]="","",TEXT(LANÇ_MOV[[#This Row],[DATA DE VENCIMENTO]],"M"))</f>
        <v/>
      </c>
      <c r="AH1022" s="526" t="str">
        <f>IF(LANÇ_MOV[[#This Row],[DATA DE VENCIMENTO]]="","",TEXT(LANÇ_MOV[[#This Row],[DATA DE VENCIMENTO]],"D"))</f>
        <v/>
      </c>
      <c r="AI1022" s="526" t="str">
        <f>IF(LANÇ_MOV[[#This Row],[DATA DE PAGAMENTO]]="","",TEXT(LANÇ_MOV[[#This Row],[DATA DE PAGAMENTO]],"AAAA"))</f>
        <v/>
      </c>
      <c r="AJ1022" s="527" t="str">
        <f>IF(LANÇ_MOV[[#This Row],[DATA DE PAGAMENTO]]="","",UPPER(TEXT(LANÇ_MOV[[#This Row],[DATA DE PAGAMENTO]],"MMMM")))</f>
        <v/>
      </c>
      <c r="AK1022" s="527" t="str">
        <f>IF(LANÇ_MOV[[#This Row],[DATA DE PAGAMENTO]]="","",TEXT(LANÇ_MOV[[#This Row],[DATA DE PAGAMENTO]],"M"))</f>
        <v/>
      </c>
      <c r="AL1022" s="526" t="str">
        <f>IF(LANÇ_MOV[[#This Row],[DATA DE PAGAMENTO]]="","",TEXT(LANÇ_MOV[[#This Row],[DATA DE PAGAMENTO]],"D"))</f>
        <v/>
      </c>
    </row>
    <row r="1023" spans="2:38" ht="30.05" customHeight="1" x14ac:dyDescent="0.35">
      <c r="B1023" s="506"/>
      <c r="C1023" s="507"/>
      <c r="D1023" s="508" t="s">
        <v>1854</v>
      </c>
      <c r="E1023" s="509"/>
      <c r="F1023" s="510"/>
      <c r="G1023" s="507"/>
      <c r="H1023" s="511"/>
      <c r="I1023" s="512"/>
      <c r="J1023" s="518"/>
      <c r="K1023" s="510"/>
      <c r="L1023" s="510"/>
      <c r="M1023" s="548"/>
      <c r="N1023" s="514">
        <f>LANÇ_MOV[[#This Row],[VALOR BRUTO]]-LANÇ_MOV[[#This Row],[DESCONTO]]+LANÇ_MOV[[#This Row],[JUROS]]+LANÇ_MOV[[#This Row],[MULTA]]</f>
        <v>0</v>
      </c>
      <c r="O1023" s="546"/>
      <c r="P1023" s="547" t="str">
        <f t="shared" ca="1" si="16"/>
        <v/>
      </c>
      <c r="Q1023" s="528"/>
      <c r="R1023" s="529"/>
      <c r="S1023" s="518"/>
      <c r="T1023" s="518"/>
      <c r="U1023" s="519"/>
      <c r="V1023" s="520" t="str">
        <f>IFERROR(VLOOKUP(LANÇ_MOV[[#This Row],[PLANO DE CONTAS]],Plano_Contas[[PLANO DE CONTAS]:[R / D]],3,0),"")</f>
        <v/>
      </c>
      <c r="W1023" s="521" t="str">
        <f>IF(LANÇ_MOV[[#This Row],[DATA DE PAGAMENTO]]&lt;&gt;"","Pago","Não Pago")</f>
        <v>Não Pago</v>
      </c>
      <c r="X1023" s="522" t="str">
        <f>IFERROR(IF(LANÇ_MOV[[#This Row],[DATA DE PAGAMENTO]]="","",(UPPER(TEXT(LANÇ_MOV[[#This Row],[DATA DE PAGAMENTO]],"mmmm")))),"")</f>
        <v/>
      </c>
      <c r="Y1023" s="523" t="str">
        <f>IFERROR(VLOOKUP(LANÇ_MOV[[#This Row],[PLANO DE CONTAS]],Plano_Contas[[PLANO DE CONTAS]:[NOMES INTERVALOS]],2,0),"")</f>
        <v/>
      </c>
      <c r="Z1023" s="523" t="str">
        <f>IF(LANÇ_MOV[[#This Row],[FORMA DE PAGAMENTO]]="","",VLOOKUP(LANÇ_MOV[[#This Row],[FORMA DE PAGAMENTO]],CAD_Forma_pagto[],2,0))</f>
        <v/>
      </c>
      <c r="AA1023" s="524" t="str">
        <f>IF(LANÇ_MOV[[#This Row],[DATA DE LANÇAMENTO]]="","",TEXT(LANÇ_MOV[[#This Row],[DATA DE LANÇAMENTO]],"AAAA"))</f>
        <v/>
      </c>
      <c r="AB1023" s="524" t="str">
        <f>IF(LANÇ_MOV[[#This Row],[DATA DE LANÇAMENTO]]="","",UPPER(TEXT(LANÇ_MOV[[#This Row],[DATA DE LANÇAMENTO]],"MMMM")))</f>
        <v/>
      </c>
      <c r="AC1023" s="525" t="str">
        <f>IF(LANÇ_MOV[[#This Row],[DATA DE LANÇAMENTO]]="","",PROPER(TEXT(LANÇ_MOV[[#This Row],[DATA DE LANÇAMENTO]],"M")))</f>
        <v/>
      </c>
      <c r="AD1023" s="524" t="str">
        <f>IF(LANÇ_MOV[[#This Row],[DATA DE LANÇAMENTO]]="","",TEXT(LANÇ_MOV[[#This Row],[DATA DE LANÇAMENTO]],"D"))</f>
        <v/>
      </c>
      <c r="AE1023" s="526" t="str">
        <f>IF(LANÇ_MOV[[#This Row],[DATA DE VENCIMENTO]]="","",TEXT(LANÇ_MOV[[#This Row],[DATA DE VENCIMENTO]],"AAAA"))</f>
        <v/>
      </c>
      <c r="AF1023" s="526" t="str">
        <f>IF(LANÇ_MOV[[#This Row],[DATA DE VENCIMENTO]]="","",UPPER(TEXT(LANÇ_MOV[[#This Row],[DATA DE VENCIMENTO]],"MMMM")))</f>
        <v/>
      </c>
      <c r="AG1023" s="526" t="str">
        <f>IF(LANÇ_MOV[[#This Row],[DATA DE VENCIMENTO]]="","",TEXT(LANÇ_MOV[[#This Row],[DATA DE VENCIMENTO]],"M"))</f>
        <v/>
      </c>
      <c r="AH1023" s="526" t="str">
        <f>IF(LANÇ_MOV[[#This Row],[DATA DE VENCIMENTO]]="","",TEXT(LANÇ_MOV[[#This Row],[DATA DE VENCIMENTO]],"D"))</f>
        <v/>
      </c>
      <c r="AI1023" s="526" t="str">
        <f>IF(LANÇ_MOV[[#This Row],[DATA DE PAGAMENTO]]="","",TEXT(LANÇ_MOV[[#This Row],[DATA DE PAGAMENTO]],"AAAA"))</f>
        <v/>
      </c>
      <c r="AJ1023" s="527" t="str">
        <f>IF(LANÇ_MOV[[#This Row],[DATA DE PAGAMENTO]]="","",UPPER(TEXT(LANÇ_MOV[[#This Row],[DATA DE PAGAMENTO]],"MMMM")))</f>
        <v/>
      </c>
      <c r="AK1023" s="527" t="str">
        <f>IF(LANÇ_MOV[[#This Row],[DATA DE PAGAMENTO]]="","",TEXT(LANÇ_MOV[[#This Row],[DATA DE PAGAMENTO]],"M"))</f>
        <v/>
      </c>
      <c r="AL1023" s="526" t="str">
        <f>IF(LANÇ_MOV[[#This Row],[DATA DE PAGAMENTO]]="","",TEXT(LANÇ_MOV[[#This Row],[DATA DE PAGAMENTO]],"D"))</f>
        <v/>
      </c>
    </row>
    <row r="1024" spans="2:38" ht="30.05" customHeight="1" x14ac:dyDescent="0.35">
      <c r="B1024" s="506"/>
      <c r="C1024" s="507"/>
      <c r="D1024" s="508" t="s">
        <v>1854</v>
      </c>
      <c r="E1024" s="509"/>
      <c r="F1024" s="510"/>
      <c r="G1024" s="507"/>
      <c r="H1024" s="511"/>
      <c r="I1024" s="512"/>
      <c r="J1024" s="518"/>
      <c r="K1024" s="510"/>
      <c r="L1024" s="510"/>
      <c r="M1024" s="548"/>
      <c r="N1024" s="514">
        <f>LANÇ_MOV[[#This Row],[VALOR BRUTO]]-LANÇ_MOV[[#This Row],[DESCONTO]]+LANÇ_MOV[[#This Row],[JUROS]]+LANÇ_MOV[[#This Row],[MULTA]]</f>
        <v>0</v>
      </c>
      <c r="O1024" s="546"/>
      <c r="P1024" s="547" t="str">
        <f t="shared" ca="1" si="16"/>
        <v/>
      </c>
      <c r="Q1024" s="528"/>
      <c r="R1024" s="529"/>
      <c r="S1024" s="518"/>
      <c r="T1024" s="518"/>
      <c r="U1024" s="519"/>
      <c r="V1024" s="520" t="str">
        <f>IFERROR(VLOOKUP(LANÇ_MOV[[#This Row],[PLANO DE CONTAS]],Plano_Contas[[PLANO DE CONTAS]:[R / D]],3,0),"")</f>
        <v/>
      </c>
      <c r="W1024" s="521" t="str">
        <f>IF(LANÇ_MOV[[#This Row],[DATA DE PAGAMENTO]]&lt;&gt;"","Pago","Não Pago")</f>
        <v>Não Pago</v>
      </c>
      <c r="X1024" s="522" t="str">
        <f>IFERROR(IF(LANÇ_MOV[[#This Row],[DATA DE PAGAMENTO]]="","",(UPPER(TEXT(LANÇ_MOV[[#This Row],[DATA DE PAGAMENTO]],"mmmm")))),"")</f>
        <v/>
      </c>
      <c r="Y1024" s="523" t="str">
        <f>IFERROR(VLOOKUP(LANÇ_MOV[[#This Row],[PLANO DE CONTAS]],Plano_Contas[[PLANO DE CONTAS]:[NOMES INTERVALOS]],2,0),"")</f>
        <v/>
      </c>
      <c r="Z1024" s="523" t="str">
        <f>IF(LANÇ_MOV[[#This Row],[FORMA DE PAGAMENTO]]="","",VLOOKUP(LANÇ_MOV[[#This Row],[FORMA DE PAGAMENTO]],CAD_Forma_pagto[],2,0))</f>
        <v/>
      </c>
      <c r="AA1024" s="524" t="str">
        <f>IF(LANÇ_MOV[[#This Row],[DATA DE LANÇAMENTO]]="","",TEXT(LANÇ_MOV[[#This Row],[DATA DE LANÇAMENTO]],"AAAA"))</f>
        <v/>
      </c>
      <c r="AB1024" s="524" t="str">
        <f>IF(LANÇ_MOV[[#This Row],[DATA DE LANÇAMENTO]]="","",UPPER(TEXT(LANÇ_MOV[[#This Row],[DATA DE LANÇAMENTO]],"MMMM")))</f>
        <v/>
      </c>
      <c r="AC1024" s="525" t="str">
        <f>IF(LANÇ_MOV[[#This Row],[DATA DE LANÇAMENTO]]="","",PROPER(TEXT(LANÇ_MOV[[#This Row],[DATA DE LANÇAMENTO]],"M")))</f>
        <v/>
      </c>
      <c r="AD1024" s="524" t="str">
        <f>IF(LANÇ_MOV[[#This Row],[DATA DE LANÇAMENTO]]="","",TEXT(LANÇ_MOV[[#This Row],[DATA DE LANÇAMENTO]],"D"))</f>
        <v/>
      </c>
      <c r="AE1024" s="526" t="str">
        <f>IF(LANÇ_MOV[[#This Row],[DATA DE VENCIMENTO]]="","",TEXT(LANÇ_MOV[[#This Row],[DATA DE VENCIMENTO]],"AAAA"))</f>
        <v/>
      </c>
      <c r="AF1024" s="526" t="str">
        <f>IF(LANÇ_MOV[[#This Row],[DATA DE VENCIMENTO]]="","",UPPER(TEXT(LANÇ_MOV[[#This Row],[DATA DE VENCIMENTO]],"MMMM")))</f>
        <v/>
      </c>
      <c r="AG1024" s="526" t="str">
        <f>IF(LANÇ_MOV[[#This Row],[DATA DE VENCIMENTO]]="","",TEXT(LANÇ_MOV[[#This Row],[DATA DE VENCIMENTO]],"M"))</f>
        <v/>
      </c>
      <c r="AH1024" s="526" t="str">
        <f>IF(LANÇ_MOV[[#This Row],[DATA DE VENCIMENTO]]="","",TEXT(LANÇ_MOV[[#This Row],[DATA DE VENCIMENTO]],"D"))</f>
        <v/>
      </c>
      <c r="AI1024" s="526" t="str">
        <f>IF(LANÇ_MOV[[#This Row],[DATA DE PAGAMENTO]]="","",TEXT(LANÇ_MOV[[#This Row],[DATA DE PAGAMENTO]],"AAAA"))</f>
        <v/>
      </c>
      <c r="AJ1024" s="527" t="str">
        <f>IF(LANÇ_MOV[[#This Row],[DATA DE PAGAMENTO]]="","",UPPER(TEXT(LANÇ_MOV[[#This Row],[DATA DE PAGAMENTO]],"MMMM")))</f>
        <v/>
      </c>
      <c r="AK1024" s="527" t="str">
        <f>IF(LANÇ_MOV[[#This Row],[DATA DE PAGAMENTO]]="","",TEXT(LANÇ_MOV[[#This Row],[DATA DE PAGAMENTO]],"M"))</f>
        <v/>
      </c>
      <c r="AL1024" s="526" t="str">
        <f>IF(LANÇ_MOV[[#This Row],[DATA DE PAGAMENTO]]="","",TEXT(LANÇ_MOV[[#This Row],[DATA DE PAGAMENTO]],"D"))</f>
        <v/>
      </c>
    </row>
    <row r="1025" spans="2:38" ht="30.05" customHeight="1" x14ac:dyDescent="0.35">
      <c r="B1025" s="506"/>
      <c r="C1025" s="507"/>
      <c r="D1025" s="508" t="s">
        <v>1854</v>
      </c>
      <c r="E1025" s="509"/>
      <c r="F1025" s="510"/>
      <c r="G1025" s="507"/>
      <c r="H1025" s="511"/>
      <c r="I1025" s="512"/>
      <c r="J1025" s="518"/>
      <c r="K1025" s="510"/>
      <c r="L1025" s="510"/>
      <c r="M1025" s="548"/>
      <c r="N1025" s="514">
        <f>LANÇ_MOV[[#This Row],[VALOR BRUTO]]-LANÇ_MOV[[#This Row],[DESCONTO]]+LANÇ_MOV[[#This Row],[JUROS]]+LANÇ_MOV[[#This Row],[MULTA]]</f>
        <v>0</v>
      </c>
      <c r="O1025" s="546"/>
      <c r="P1025" s="547" t="str">
        <f t="shared" ca="1" si="16"/>
        <v/>
      </c>
      <c r="Q1025" s="528"/>
      <c r="R1025" s="529"/>
      <c r="S1025" s="518"/>
      <c r="T1025" s="518"/>
      <c r="U1025" s="519"/>
      <c r="V1025" s="520" t="str">
        <f>IFERROR(VLOOKUP(LANÇ_MOV[[#This Row],[PLANO DE CONTAS]],Plano_Contas[[PLANO DE CONTAS]:[R / D]],3,0),"")</f>
        <v/>
      </c>
      <c r="W1025" s="521" t="str">
        <f>IF(LANÇ_MOV[[#This Row],[DATA DE PAGAMENTO]]&lt;&gt;"","Pago","Não Pago")</f>
        <v>Não Pago</v>
      </c>
      <c r="X1025" s="522" t="str">
        <f>IFERROR(IF(LANÇ_MOV[[#This Row],[DATA DE PAGAMENTO]]="","",(UPPER(TEXT(LANÇ_MOV[[#This Row],[DATA DE PAGAMENTO]],"mmmm")))),"")</f>
        <v/>
      </c>
      <c r="Y1025" s="523" t="str">
        <f>IFERROR(VLOOKUP(LANÇ_MOV[[#This Row],[PLANO DE CONTAS]],Plano_Contas[[PLANO DE CONTAS]:[NOMES INTERVALOS]],2,0),"")</f>
        <v/>
      </c>
      <c r="Z1025" s="523" t="str">
        <f>IF(LANÇ_MOV[[#This Row],[FORMA DE PAGAMENTO]]="","",VLOOKUP(LANÇ_MOV[[#This Row],[FORMA DE PAGAMENTO]],CAD_Forma_pagto[],2,0))</f>
        <v/>
      </c>
      <c r="AA1025" s="524" t="str">
        <f>IF(LANÇ_MOV[[#This Row],[DATA DE LANÇAMENTO]]="","",TEXT(LANÇ_MOV[[#This Row],[DATA DE LANÇAMENTO]],"AAAA"))</f>
        <v/>
      </c>
      <c r="AB1025" s="524" t="str">
        <f>IF(LANÇ_MOV[[#This Row],[DATA DE LANÇAMENTO]]="","",UPPER(TEXT(LANÇ_MOV[[#This Row],[DATA DE LANÇAMENTO]],"MMMM")))</f>
        <v/>
      </c>
      <c r="AC1025" s="525" t="str">
        <f>IF(LANÇ_MOV[[#This Row],[DATA DE LANÇAMENTO]]="","",PROPER(TEXT(LANÇ_MOV[[#This Row],[DATA DE LANÇAMENTO]],"M")))</f>
        <v/>
      </c>
      <c r="AD1025" s="524" t="str">
        <f>IF(LANÇ_MOV[[#This Row],[DATA DE LANÇAMENTO]]="","",TEXT(LANÇ_MOV[[#This Row],[DATA DE LANÇAMENTO]],"D"))</f>
        <v/>
      </c>
      <c r="AE1025" s="526" t="str">
        <f>IF(LANÇ_MOV[[#This Row],[DATA DE VENCIMENTO]]="","",TEXT(LANÇ_MOV[[#This Row],[DATA DE VENCIMENTO]],"AAAA"))</f>
        <v/>
      </c>
      <c r="AF1025" s="526" t="str">
        <f>IF(LANÇ_MOV[[#This Row],[DATA DE VENCIMENTO]]="","",UPPER(TEXT(LANÇ_MOV[[#This Row],[DATA DE VENCIMENTO]],"MMMM")))</f>
        <v/>
      </c>
      <c r="AG1025" s="526" t="str">
        <f>IF(LANÇ_MOV[[#This Row],[DATA DE VENCIMENTO]]="","",TEXT(LANÇ_MOV[[#This Row],[DATA DE VENCIMENTO]],"M"))</f>
        <v/>
      </c>
      <c r="AH1025" s="526" t="str">
        <f>IF(LANÇ_MOV[[#This Row],[DATA DE VENCIMENTO]]="","",TEXT(LANÇ_MOV[[#This Row],[DATA DE VENCIMENTO]],"D"))</f>
        <v/>
      </c>
      <c r="AI1025" s="526" t="str">
        <f>IF(LANÇ_MOV[[#This Row],[DATA DE PAGAMENTO]]="","",TEXT(LANÇ_MOV[[#This Row],[DATA DE PAGAMENTO]],"AAAA"))</f>
        <v/>
      </c>
      <c r="AJ1025" s="527" t="str">
        <f>IF(LANÇ_MOV[[#This Row],[DATA DE PAGAMENTO]]="","",UPPER(TEXT(LANÇ_MOV[[#This Row],[DATA DE PAGAMENTO]],"MMMM")))</f>
        <v/>
      </c>
      <c r="AK1025" s="527" t="str">
        <f>IF(LANÇ_MOV[[#This Row],[DATA DE PAGAMENTO]]="","",TEXT(LANÇ_MOV[[#This Row],[DATA DE PAGAMENTO]],"M"))</f>
        <v/>
      </c>
      <c r="AL1025" s="526" t="str">
        <f>IF(LANÇ_MOV[[#This Row],[DATA DE PAGAMENTO]]="","",TEXT(LANÇ_MOV[[#This Row],[DATA DE PAGAMENTO]],"D"))</f>
        <v/>
      </c>
    </row>
    <row r="1026" spans="2:38" ht="30.05" customHeight="1" x14ac:dyDescent="0.35">
      <c r="B1026" s="506"/>
      <c r="C1026" s="507"/>
      <c r="D1026" s="508" t="s">
        <v>1854</v>
      </c>
      <c r="E1026" s="509"/>
      <c r="F1026" s="510"/>
      <c r="G1026" s="507"/>
      <c r="H1026" s="511"/>
      <c r="I1026" s="512"/>
      <c r="J1026" s="518"/>
      <c r="K1026" s="510"/>
      <c r="L1026" s="510"/>
      <c r="M1026" s="548"/>
      <c r="N1026" s="514">
        <f>LANÇ_MOV[[#This Row],[VALOR BRUTO]]-LANÇ_MOV[[#This Row],[DESCONTO]]+LANÇ_MOV[[#This Row],[JUROS]]+LANÇ_MOV[[#This Row],[MULTA]]</f>
        <v>0</v>
      </c>
      <c r="O1026" s="546"/>
      <c r="P1026" s="547" t="str">
        <f t="shared" ca="1" si="16"/>
        <v/>
      </c>
      <c r="Q1026" s="528"/>
      <c r="R1026" s="529"/>
      <c r="S1026" s="518"/>
      <c r="T1026" s="518"/>
      <c r="U1026" s="519"/>
      <c r="V1026" s="520" t="str">
        <f>IFERROR(VLOOKUP(LANÇ_MOV[[#This Row],[PLANO DE CONTAS]],Plano_Contas[[PLANO DE CONTAS]:[R / D]],3,0),"")</f>
        <v/>
      </c>
      <c r="W1026" s="521" t="str">
        <f>IF(LANÇ_MOV[[#This Row],[DATA DE PAGAMENTO]]&lt;&gt;"","Pago","Não Pago")</f>
        <v>Não Pago</v>
      </c>
      <c r="X1026" s="522" t="str">
        <f>IFERROR(IF(LANÇ_MOV[[#This Row],[DATA DE PAGAMENTO]]="","",(UPPER(TEXT(LANÇ_MOV[[#This Row],[DATA DE PAGAMENTO]],"mmmm")))),"")</f>
        <v/>
      </c>
      <c r="Y1026" s="523" t="str">
        <f>IFERROR(VLOOKUP(LANÇ_MOV[[#This Row],[PLANO DE CONTAS]],Plano_Contas[[PLANO DE CONTAS]:[NOMES INTERVALOS]],2,0),"")</f>
        <v/>
      </c>
      <c r="Z1026" s="523" t="str">
        <f>IF(LANÇ_MOV[[#This Row],[FORMA DE PAGAMENTO]]="","",VLOOKUP(LANÇ_MOV[[#This Row],[FORMA DE PAGAMENTO]],CAD_Forma_pagto[],2,0))</f>
        <v/>
      </c>
      <c r="AA1026" s="524" t="str">
        <f>IF(LANÇ_MOV[[#This Row],[DATA DE LANÇAMENTO]]="","",TEXT(LANÇ_MOV[[#This Row],[DATA DE LANÇAMENTO]],"AAAA"))</f>
        <v/>
      </c>
      <c r="AB1026" s="524" t="str">
        <f>IF(LANÇ_MOV[[#This Row],[DATA DE LANÇAMENTO]]="","",UPPER(TEXT(LANÇ_MOV[[#This Row],[DATA DE LANÇAMENTO]],"MMMM")))</f>
        <v/>
      </c>
      <c r="AC1026" s="525" t="str">
        <f>IF(LANÇ_MOV[[#This Row],[DATA DE LANÇAMENTO]]="","",PROPER(TEXT(LANÇ_MOV[[#This Row],[DATA DE LANÇAMENTO]],"M")))</f>
        <v/>
      </c>
      <c r="AD1026" s="524" t="str">
        <f>IF(LANÇ_MOV[[#This Row],[DATA DE LANÇAMENTO]]="","",TEXT(LANÇ_MOV[[#This Row],[DATA DE LANÇAMENTO]],"D"))</f>
        <v/>
      </c>
      <c r="AE1026" s="526" t="str">
        <f>IF(LANÇ_MOV[[#This Row],[DATA DE VENCIMENTO]]="","",TEXT(LANÇ_MOV[[#This Row],[DATA DE VENCIMENTO]],"AAAA"))</f>
        <v/>
      </c>
      <c r="AF1026" s="526" t="str">
        <f>IF(LANÇ_MOV[[#This Row],[DATA DE VENCIMENTO]]="","",UPPER(TEXT(LANÇ_MOV[[#This Row],[DATA DE VENCIMENTO]],"MMMM")))</f>
        <v/>
      </c>
      <c r="AG1026" s="526" t="str">
        <f>IF(LANÇ_MOV[[#This Row],[DATA DE VENCIMENTO]]="","",TEXT(LANÇ_MOV[[#This Row],[DATA DE VENCIMENTO]],"M"))</f>
        <v/>
      </c>
      <c r="AH1026" s="526" t="str">
        <f>IF(LANÇ_MOV[[#This Row],[DATA DE VENCIMENTO]]="","",TEXT(LANÇ_MOV[[#This Row],[DATA DE VENCIMENTO]],"D"))</f>
        <v/>
      </c>
      <c r="AI1026" s="526" t="str">
        <f>IF(LANÇ_MOV[[#This Row],[DATA DE PAGAMENTO]]="","",TEXT(LANÇ_MOV[[#This Row],[DATA DE PAGAMENTO]],"AAAA"))</f>
        <v/>
      </c>
      <c r="AJ1026" s="527" t="str">
        <f>IF(LANÇ_MOV[[#This Row],[DATA DE PAGAMENTO]]="","",UPPER(TEXT(LANÇ_MOV[[#This Row],[DATA DE PAGAMENTO]],"MMMM")))</f>
        <v/>
      </c>
      <c r="AK1026" s="527" t="str">
        <f>IF(LANÇ_MOV[[#This Row],[DATA DE PAGAMENTO]]="","",TEXT(LANÇ_MOV[[#This Row],[DATA DE PAGAMENTO]],"M"))</f>
        <v/>
      </c>
      <c r="AL1026" s="526" t="str">
        <f>IF(LANÇ_MOV[[#This Row],[DATA DE PAGAMENTO]]="","",TEXT(LANÇ_MOV[[#This Row],[DATA DE PAGAMENTO]],"D"))</f>
        <v/>
      </c>
    </row>
    <row r="1027" spans="2:38" ht="30.05" customHeight="1" x14ac:dyDescent="0.35">
      <c r="B1027" s="506"/>
      <c r="C1027" s="507"/>
      <c r="D1027" s="508" t="s">
        <v>1854</v>
      </c>
      <c r="E1027" s="509"/>
      <c r="F1027" s="510"/>
      <c r="G1027" s="507"/>
      <c r="H1027" s="511"/>
      <c r="I1027" s="512"/>
      <c r="J1027" s="518"/>
      <c r="K1027" s="510"/>
      <c r="L1027" s="510"/>
      <c r="M1027" s="548"/>
      <c r="N1027" s="514">
        <f>LANÇ_MOV[[#This Row],[VALOR BRUTO]]-LANÇ_MOV[[#This Row],[DESCONTO]]+LANÇ_MOV[[#This Row],[JUROS]]+LANÇ_MOV[[#This Row],[MULTA]]</f>
        <v>0</v>
      </c>
      <c r="O1027" s="546"/>
      <c r="P1027" s="547" t="str">
        <f t="shared" ca="1" si="16"/>
        <v/>
      </c>
      <c r="Q1027" s="528"/>
      <c r="R1027" s="529"/>
      <c r="S1027" s="518"/>
      <c r="T1027" s="518"/>
      <c r="U1027" s="519"/>
      <c r="V1027" s="520" t="str">
        <f>IFERROR(VLOOKUP(LANÇ_MOV[[#This Row],[PLANO DE CONTAS]],Plano_Contas[[PLANO DE CONTAS]:[R / D]],3,0),"")</f>
        <v/>
      </c>
      <c r="W1027" s="521" t="str">
        <f>IF(LANÇ_MOV[[#This Row],[DATA DE PAGAMENTO]]&lt;&gt;"","Pago","Não Pago")</f>
        <v>Não Pago</v>
      </c>
      <c r="X1027" s="522" t="str">
        <f>IFERROR(IF(LANÇ_MOV[[#This Row],[DATA DE PAGAMENTO]]="","",(UPPER(TEXT(LANÇ_MOV[[#This Row],[DATA DE PAGAMENTO]],"mmmm")))),"")</f>
        <v/>
      </c>
      <c r="Y1027" s="523" t="str">
        <f>IFERROR(VLOOKUP(LANÇ_MOV[[#This Row],[PLANO DE CONTAS]],Plano_Contas[[PLANO DE CONTAS]:[NOMES INTERVALOS]],2,0),"")</f>
        <v/>
      </c>
      <c r="Z1027" s="523" t="str">
        <f>IF(LANÇ_MOV[[#This Row],[FORMA DE PAGAMENTO]]="","",VLOOKUP(LANÇ_MOV[[#This Row],[FORMA DE PAGAMENTO]],CAD_Forma_pagto[],2,0))</f>
        <v/>
      </c>
      <c r="AA1027" s="524" t="str">
        <f>IF(LANÇ_MOV[[#This Row],[DATA DE LANÇAMENTO]]="","",TEXT(LANÇ_MOV[[#This Row],[DATA DE LANÇAMENTO]],"AAAA"))</f>
        <v/>
      </c>
      <c r="AB1027" s="524" t="str">
        <f>IF(LANÇ_MOV[[#This Row],[DATA DE LANÇAMENTO]]="","",UPPER(TEXT(LANÇ_MOV[[#This Row],[DATA DE LANÇAMENTO]],"MMMM")))</f>
        <v/>
      </c>
      <c r="AC1027" s="525" t="str">
        <f>IF(LANÇ_MOV[[#This Row],[DATA DE LANÇAMENTO]]="","",PROPER(TEXT(LANÇ_MOV[[#This Row],[DATA DE LANÇAMENTO]],"M")))</f>
        <v/>
      </c>
      <c r="AD1027" s="524" t="str">
        <f>IF(LANÇ_MOV[[#This Row],[DATA DE LANÇAMENTO]]="","",TEXT(LANÇ_MOV[[#This Row],[DATA DE LANÇAMENTO]],"D"))</f>
        <v/>
      </c>
      <c r="AE1027" s="526" t="str">
        <f>IF(LANÇ_MOV[[#This Row],[DATA DE VENCIMENTO]]="","",TEXT(LANÇ_MOV[[#This Row],[DATA DE VENCIMENTO]],"AAAA"))</f>
        <v/>
      </c>
      <c r="AF1027" s="526" t="str">
        <f>IF(LANÇ_MOV[[#This Row],[DATA DE VENCIMENTO]]="","",UPPER(TEXT(LANÇ_MOV[[#This Row],[DATA DE VENCIMENTO]],"MMMM")))</f>
        <v/>
      </c>
      <c r="AG1027" s="526" t="str">
        <f>IF(LANÇ_MOV[[#This Row],[DATA DE VENCIMENTO]]="","",TEXT(LANÇ_MOV[[#This Row],[DATA DE VENCIMENTO]],"M"))</f>
        <v/>
      </c>
      <c r="AH1027" s="526" t="str">
        <f>IF(LANÇ_MOV[[#This Row],[DATA DE VENCIMENTO]]="","",TEXT(LANÇ_MOV[[#This Row],[DATA DE VENCIMENTO]],"D"))</f>
        <v/>
      </c>
      <c r="AI1027" s="526" t="str">
        <f>IF(LANÇ_MOV[[#This Row],[DATA DE PAGAMENTO]]="","",TEXT(LANÇ_MOV[[#This Row],[DATA DE PAGAMENTO]],"AAAA"))</f>
        <v/>
      </c>
      <c r="AJ1027" s="527" t="str">
        <f>IF(LANÇ_MOV[[#This Row],[DATA DE PAGAMENTO]]="","",UPPER(TEXT(LANÇ_MOV[[#This Row],[DATA DE PAGAMENTO]],"MMMM")))</f>
        <v/>
      </c>
      <c r="AK1027" s="527" t="str">
        <f>IF(LANÇ_MOV[[#This Row],[DATA DE PAGAMENTO]]="","",TEXT(LANÇ_MOV[[#This Row],[DATA DE PAGAMENTO]],"M"))</f>
        <v/>
      </c>
      <c r="AL1027" s="526" t="str">
        <f>IF(LANÇ_MOV[[#This Row],[DATA DE PAGAMENTO]]="","",TEXT(LANÇ_MOV[[#This Row],[DATA DE PAGAMENTO]],"D"))</f>
        <v/>
      </c>
    </row>
    <row r="1028" spans="2:38" ht="30.05" customHeight="1" x14ac:dyDescent="0.35">
      <c r="B1028" s="506"/>
      <c r="C1028" s="507"/>
      <c r="D1028" s="508" t="s">
        <v>1854</v>
      </c>
      <c r="E1028" s="509"/>
      <c r="F1028" s="510"/>
      <c r="G1028" s="507"/>
      <c r="H1028" s="511"/>
      <c r="I1028" s="512"/>
      <c r="J1028" s="518"/>
      <c r="K1028" s="510"/>
      <c r="L1028" s="510"/>
      <c r="M1028" s="548"/>
      <c r="N1028" s="514">
        <f>LANÇ_MOV[[#This Row],[VALOR BRUTO]]-LANÇ_MOV[[#This Row],[DESCONTO]]+LANÇ_MOV[[#This Row],[JUROS]]+LANÇ_MOV[[#This Row],[MULTA]]</f>
        <v>0</v>
      </c>
      <c r="O1028" s="546"/>
      <c r="P1028" s="547" t="str">
        <f t="shared" ca="1" si="16"/>
        <v/>
      </c>
      <c r="Q1028" s="528"/>
      <c r="R1028" s="529"/>
      <c r="S1028" s="518"/>
      <c r="T1028" s="518"/>
      <c r="U1028" s="519"/>
      <c r="V1028" s="520" t="str">
        <f>IFERROR(VLOOKUP(LANÇ_MOV[[#This Row],[PLANO DE CONTAS]],Plano_Contas[[PLANO DE CONTAS]:[R / D]],3,0),"")</f>
        <v/>
      </c>
      <c r="W1028" s="521" t="str">
        <f>IF(LANÇ_MOV[[#This Row],[DATA DE PAGAMENTO]]&lt;&gt;"","Pago","Não Pago")</f>
        <v>Não Pago</v>
      </c>
      <c r="X1028" s="522" t="str">
        <f>IFERROR(IF(LANÇ_MOV[[#This Row],[DATA DE PAGAMENTO]]="","",(UPPER(TEXT(LANÇ_MOV[[#This Row],[DATA DE PAGAMENTO]],"mmmm")))),"")</f>
        <v/>
      </c>
      <c r="Y1028" s="523" t="str">
        <f>IFERROR(VLOOKUP(LANÇ_MOV[[#This Row],[PLANO DE CONTAS]],Plano_Contas[[PLANO DE CONTAS]:[NOMES INTERVALOS]],2,0),"")</f>
        <v/>
      </c>
      <c r="Z1028" s="523" t="str">
        <f>IF(LANÇ_MOV[[#This Row],[FORMA DE PAGAMENTO]]="","",VLOOKUP(LANÇ_MOV[[#This Row],[FORMA DE PAGAMENTO]],CAD_Forma_pagto[],2,0))</f>
        <v/>
      </c>
      <c r="AA1028" s="524" t="str">
        <f>IF(LANÇ_MOV[[#This Row],[DATA DE LANÇAMENTO]]="","",TEXT(LANÇ_MOV[[#This Row],[DATA DE LANÇAMENTO]],"AAAA"))</f>
        <v/>
      </c>
      <c r="AB1028" s="524" t="str">
        <f>IF(LANÇ_MOV[[#This Row],[DATA DE LANÇAMENTO]]="","",UPPER(TEXT(LANÇ_MOV[[#This Row],[DATA DE LANÇAMENTO]],"MMMM")))</f>
        <v/>
      </c>
      <c r="AC1028" s="525" t="str">
        <f>IF(LANÇ_MOV[[#This Row],[DATA DE LANÇAMENTO]]="","",PROPER(TEXT(LANÇ_MOV[[#This Row],[DATA DE LANÇAMENTO]],"M")))</f>
        <v/>
      </c>
      <c r="AD1028" s="524" t="str">
        <f>IF(LANÇ_MOV[[#This Row],[DATA DE LANÇAMENTO]]="","",TEXT(LANÇ_MOV[[#This Row],[DATA DE LANÇAMENTO]],"D"))</f>
        <v/>
      </c>
      <c r="AE1028" s="526" t="str">
        <f>IF(LANÇ_MOV[[#This Row],[DATA DE VENCIMENTO]]="","",TEXT(LANÇ_MOV[[#This Row],[DATA DE VENCIMENTO]],"AAAA"))</f>
        <v/>
      </c>
      <c r="AF1028" s="526" t="str">
        <f>IF(LANÇ_MOV[[#This Row],[DATA DE VENCIMENTO]]="","",UPPER(TEXT(LANÇ_MOV[[#This Row],[DATA DE VENCIMENTO]],"MMMM")))</f>
        <v/>
      </c>
      <c r="AG1028" s="526" t="str">
        <f>IF(LANÇ_MOV[[#This Row],[DATA DE VENCIMENTO]]="","",TEXT(LANÇ_MOV[[#This Row],[DATA DE VENCIMENTO]],"M"))</f>
        <v/>
      </c>
      <c r="AH1028" s="526" t="str">
        <f>IF(LANÇ_MOV[[#This Row],[DATA DE VENCIMENTO]]="","",TEXT(LANÇ_MOV[[#This Row],[DATA DE VENCIMENTO]],"D"))</f>
        <v/>
      </c>
      <c r="AI1028" s="526" t="str">
        <f>IF(LANÇ_MOV[[#This Row],[DATA DE PAGAMENTO]]="","",TEXT(LANÇ_MOV[[#This Row],[DATA DE PAGAMENTO]],"AAAA"))</f>
        <v/>
      </c>
      <c r="AJ1028" s="527" t="str">
        <f>IF(LANÇ_MOV[[#This Row],[DATA DE PAGAMENTO]]="","",UPPER(TEXT(LANÇ_MOV[[#This Row],[DATA DE PAGAMENTO]],"MMMM")))</f>
        <v/>
      </c>
      <c r="AK1028" s="527" t="str">
        <f>IF(LANÇ_MOV[[#This Row],[DATA DE PAGAMENTO]]="","",TEXT(LANÇ_MOV[[#This Row],[DATA DE PAGAMENTO]],"M"))</f>
        <v/>
      </c>
      <c r="AL1028" s="526" t="str">
        <f>IF(LANÇ_MOV[[#This Row],[DATA DE PAGAMENTO]]="","",TEXT(LANÇ_MOV[[#This Row],[DATA DE PAGAMENTO]],"D"))</f>
        <v/>
      </c>
    </row>
    <row r="1029" spans="2:38" ht="30.05" customHeight="1" x14ac:dyDescent="0.35">
      <c r="B1029" s="506"/>
      <c r="C1029" s="507"/>
      <c r="D1029" s="508" t="s">
        <v>1854</v>
      </c>
      <c r="E1029" s="509"/>
      <c r="F1029" s="510"/>
      <c r="G1029" s="507"/>
      <c r="H1029" s="511"/>
      <c r="I1029" s="512"/>
      <c r="J1029" s="518"/>
      <c r="K1029" s="510"/>
      <c r="L1029" s="510"/>
      <c r="M1029" s="548"/>
      <c r="N1029" s="514">
        <f>LANÇ_MOV[[#This Row],[VALOR BRUTO]]-LANÇ_MOV[[#This Row],[DESCONTO]]+LANÇ_MOV[[#This Row],[JUROS]]+LANÇ_MOV[[#This Row],[MULTA]]</f>
        <v>0</v>
      </c>
      <c r="O1029" s="546"/>
      <c r="P1029" s="547" t="str">
        <f t="shared" ca="1" si="16"/>
        <v/>
      </c>
      <c r="Q1029" s="528"/>
      <c r="R1029" s="529"/>
      <c r="S1029" s="518"/>
      <c r="T1029" s="518"/>
      <c r="U1029" s="519"/>
      <c r="V1029" s="520" t="str">
        <f>IFERROR(VLOOKUP(LANÇ_MOV[[#This Row],[PLANO DE CONTAS]],Plano_Contas[[PLANO DE CONTAS]:[R / D]],3,0),"")</f>
        <v/>
      </c>
      <c r="W1029" s="521" t="str">
        <f>IF(LANÇ_MOV[[#This Row],[DATA DE PAGAMENTO]]&lt;&gt;"","Pago","Não Pago")</f>
        <v>Não Pago</v>
      </c>
      <c r="X1029" s="522" t="str">
        <f>IFERROR(IF(LANÇ_MOV[[#This Row],[DATA DE PAGAMENTO]]="","",(UPPER(TEXT(LANÇ_MOV[[#This Row],[DATA DE PAGAMENTO]],"mmmm")))),"")</f>
        <v/>
      </c>
      <c r="Y1029" s="523" t="str">
        <f>IFERROR(VLOOKUP(LANÇ_MOV[[#This Row],[PLANO DE CONTAS]],Plano_Contas[[PLANO DE CONTAS]:[NOMES INTERVALOS]],2,0),"")</f>
        <v/>
      </c>
      <c r="Z1029" s="523" t="str">
        <f>IF(LANÇ_MOV[[#This Row],[FORMA DE PAGAMENTO]]="","",VLOOKUP(LANÇ_MOV[[#This Row],[FORMA DE PAGAMENTO]],CAD_Forma_pagto[],2,0))</f>
        <v/>
      </c>
      <c r="AA1029" s="524" t="str">
        <f>IF(LANÇ_MOV[[#This Row],[DATA DE LANÇAMENTO]]="","",TEXT(LANÇ_MOV[[#This Row],[DATA DE LANÇAMENTO]],"AAAA"))</f>
        <v/>
      </c>
      <c r="AB1029" s="524" t="str">
        <f>IF(LANÇ_MOV[[#This Row],[DATA DE LANÇAMENTO]]="","",UPPER(TEXT(LANÇ_MOV[[#This Row],[DATA DE LANÇAMENTO]],"MMMM")))</f>
        <v/>
      </c>
      <c r="AC1029" s="525" t="str">
        <f>IF(LANÇ_MOV[[#This Row],[DATA DE LANÇAMENTO]]="","",PROPER(TEXT(LANÇ_MOV[[#This Row],[DATA DE LANÇAMENTO]],"M")))</f>
        <v/>
      </c>
      <c r="AD1029" s="524" t="str">
        <f>IF(LANÇ_MOV[[#This Row],[DATA DE LANÇAMENTO]]="","",TEXT(LANÇ_MOV[[#This Row],[DATA DE LANÇAMENTO]],"D"))</f>
        <v/>
      </c>
      <c r="AE1029" s="526" t="str">
        <f>IF(LANÇ_MOV[[#This Row],[DATA DE VENCIMENTO]]="","",TEXT(LANÇ_MOV[[#This Row],[DATA DE VENCIMENTO]],"AAAA"))</f>
        <v/>
      </c>
      <c r="AF1029" s="526" t="str">
        <f>IF(LANÇ_MOV[[#This Row],[DATA DE VENCIMENTO]]="","",UPPER(TEXT(LANÇ_MOV[[#This Row],[DATA DE VENCIMENTO]],"MMMM")))</f>
        <v/>
      </c>
      <c r="AG1029" s="526" t="str">
        <f>IF(LANÇ_MOV[[#This Row],[DATA DE VENCIMENTO]]="","",TEXT(LANÇ_MOV[[#This Row],[DATA DE VENCIMENTO]],"M"))</f>
        <v/>
      </c>
      <c r="AH1029" s="526" t="str">
        <f>IF(LANÇ_MOV[[#This Row],[DATA DE VENCIMENTO]]="","",TEXT(LANÇ_MOV[[#This Row],[DATA DE VENCIMENTO]],"D"))</f>
        <v/>
      </c>
      <c r="AI1029" s="526" t="str">
        <f>IF(LANÇ_MOV[[#This Row],[DATA DE PAGAMENTO]]="","",TEXT(LANÇ_MOV[[#This Row],[DATA DE PAGAMENTO]],"AAAA"))</f>
        <v/>
      </c>
      <c r="AJ1029" s="527" t="str">
        <f>IF(LANÇ_MOV[[#This Row],[DATA DE PAGAMENTO]]="","",UPPER(TEXT(LANÇ_MOV[[#This Row],[DATA DE PAGAMENTO]],"MMMM")))</f>
        <v/>
      </c>
      <c r="AK1029" s="527" t="str">
        <f>IF(LANÇ_MOV[[#This Row],[DATA DE PAGAMENTO]]="","",TEXT(LANÇ_MOV[[#This Row],[DATA DE PAGAMENTO]],"M"))</f>
        <v/>
      </c>
      <c r="AL1029" s="526" t="str">
        <f>IF(LANÇ_MOV[[#This Row],[DATA DE PAGAMENTO]]="","",TEXT(LANÇ_MOV[[#This Row],[DATA DE PAGAMENTO]],"D"))</f>
        <v/>
      </c>
    </row>
    <row r="1030" spans="2:38" ht="30.05" customHeight="1" x14ac:dyDescent="0.35">
      <c r="B1030" s="506"/>
      <c r="C1030" s="507"/>
      <c r="D1030" s="508" t="s">
        <v>1854</v>
      </c>
      <c r="E1030" s="509"/>
      <c r="F1030" s="510"/>
      <c r="G1030" s="507"/>
      <c r="H1030" s="511"/>
      <c r="I1030" s="512"/>
      <c r="J1030" s="518"/>
      <c r="K1030" s="510"/>
      <c r="L1030" s="510"/>
      <c r="M1030" s="548"/>
      <c r="N1030" s="514">
        <f>LANÇ_MOV[[#This Row],[VALOR BRUTO]]-LANÇ_MOV[[#This Row],[DESCONTO]]+LANÇ_MOV[[#This Row],[JUROS]]+LANÇ_MOV[[#This Row],[MULTA]]</f>
        <v>0</v>
      </c>
      <c r="O1030" s="546"/>
      <c r="P1030" s="547" t="str">
        <f t="shared" ca="1" si="16"/>
        <v/>
      </c>
      <c r="Q1030" s="528"/>
      <c r="R1030" s="529"/>
      <c r="S1030" s="518"/>
      <c r="T1030" s="518"/>
      <c r="U1030" s="519"/>
      <c r="V1030" s="520" t="str">
        <f>IFERROR(VLOOKUP(LANÇ_MOV[[#This Row],[PLANO DE CONTAS]],Plano_Contas[[PLANO DE CONTAS]:[R / D]],3,0),"")</f>
        <v/>
      </c>
      <c r="W1030" s="521" t="str">
        <f>IF(LANÇ_MOV[[#This Row],[DATA DE PAGAMENTO]]&lt;&gt;"","Pago","Não Pago")</f>
        <v>Não Pago</v>
      </c>
      <c r="X1030" s="522" t="str">
        <f>IFERROR(IF(LANÇ_MOV[[#This Row],[DATA DE PAGAMENTO]]="","",(UPPER(TEXT(LANÇ_MOV[[#This Row],[DATA DE PAGAMENTO]],"mmmm")))),"")</f>
        <v/>
      </c>
      <c r="Y1030" s="523" t="str">
        <f>IFERROR(VLOOKUP(LANÇ_MOV[[#This Row],[PLANO DE CONTAS]],Plano_Contas[[PLANO DE CONTAS]:[NOMES INTERVALOS]],2,0),"")</f>
        <v/>
      </c>
      <c r="Z1030" s="523" t="str">
        <f>IF(LANÇ_MOV[[#This Row],[FORMA DE PAGAMENTO]]="","",VLOOKUP(LANÇ_MOV[[#This Row],[FORMA DE PAGAMENTO]],CAD_Forma_pagto[],2,0))</f>
        <v/>
      </c>
      <c r="AA1030" s="524" t="str">
        <f>IF(LANÇ_MOV[[#This Row],[DATA DE LANÇAMENTO]]="","",TEXT(LANÇ_MOV[[#This Row],[DATA DE LANÇAMENTO]],"AAAA"))</f>
        <v/>
      </c>
      <c r="AB1030" s="524" t="str">
        <f>IF(LANÇ_MOV[[#This Row],[DATA DE LANÇAMENTO]]="","",UPPER(TEXT(LANÇ_MOV[[#This Row],[DATA DE LANÇAMENTO]],"MMMM")))</f>
        <v/>
      </c>
      <c r="AC1030" s="525" t="str">
        <f>IF(LANÇ_MOV[[#This Row],[DATA DE LANÇAMENTO]]="","",PROPER(TEXT(LANÇ_MOV[[#This Row],[DATA DE LANÇAMENTO]],"M")))</f>
        <v/>
      </c>
      <c r="AD1030" s="524" t="str">
        <f>IF(LANÇ_MOV[[#This Row],[DATA DE LANÇAMENTO]]="","",TEXT(LANÇ_MOV[[#This Row],[DATA DE LANÇAMENTO]],"D"))</f>
        <v/>
      </c>
      <c r="AE1030" s="526" t="str">
        <f>IF(LANÇ_MOV[[#This Row],[DATA DE VENCIMENTO]]="","",TEXT(LANÇ_MOV[[#This Row],[DATA DE VENCIMENTO]],"AAAA"))</f>
        <v/>
      </c>
      <c r="AF1030" s="526" t="str">
        <f>IF(LANÇ_MOV[[#This Row],[DATA DE VENCIMENTO]]="","",UPPER(TEXT(LANÇ_MOV[[#This Row],[DATA DE VENCIMENTO]],"MMMM")))</f>
        <v/>
      </c>
      <c r="AG1030" s="526" t="str">
        <f>IF(LANÇ_MOV[[#This Row],[DATA DE VENCIMENTO]]="","",TEXT(LANÇ_MOV[[#This Row],[DATA DE VENCIMENTO]],"M"))</f>
        <v/>
      </c>
      <c r="AH1030" s="526" t="str">
        <f>IF(LANÇ_MOV[[#This Row],[DATA DE VENCIMENTO]]="","",TEXT(LANÇ_MOV[[#This Row],[DATA DE VENCIMENTO]],"D"))</f>
        <v/>
      </c>
      <c r="AI1030" s="526" t="str">
        <f>IF(LANÇ_MOV[[#This Row],[DATA DE PAGAMENTO]]="","",TEXT(LANÇ_MOV[[#This Row],[DATA DE PAGAMENTO]],"AAAA"))</f>
        <v/>
      </c>
      <c r="AJ1030" s="527" t="str">
        <f>IF(LANÇ_MOV[[#This Row],[DATA DE PAGAMENTO]]="","",UPPER(TEXT(LANÇ_MOV[[#This Row],[DATA DE PAGAMENTO]],"MMMM")))</f>
        <v/>
      </c>
      <c r="AK1030" s="527" t="str">
        <f>IF(LANÇ_MOV[[#This Row],[DATA DE PAGAMENTO]]="","",TEXT(LANÇ_MOV[[#This Row],[DATA DE PAGAMENTO]],"M"))</f>
        <v/>
      </c>
      <c r="AL1030" s="526" t="str">
        <f>IF(LANÇ_MOV[[#This Row],[DATA DE PAGAMENTO]]="","",TEXT(LANÇ_MOV[[#This Row],[DATA DE PAGAMENTO]],"D"))</f>
        <v/>
      </c>
    </row>
    <row r="1031" spans="2:38" ht="30.05" customHeight="1" x14ac:dyDescent="0.35">
      <c r="B1031" s="506"/>
      <c r="C1031" s="507"/>
      <c r="D1031" s="508" t="s">
        <v>1854</v>
      </c>
      <c r="E1031" s="509"/>
      <c r="F1031" s="510"/>
      <c r="G1031" s="507"/>
      <c r="H1031" s="511"/>
      <c r="I1031" s="512"/>
      <c r="J1031" s="518"/>
      <c r="K1031" s="510"/>
      <c r="L1031" s="510"/>
      <c r="M1031" s="548"/>
      <c r="N1031" s="514">
        <f>LANÇ_MOV[[#This Row],[VALOR BRUTO]]-LANÇ_MOV[[#This Row],[DESCONTO]]+LANÇ_MOV[[#This Row],[JUROS]]+LANÇ_MOV[[#This Row],[MULTA]]</f>
        <v>0</v>
      </c>
      <c r="O1031" s="546"/>
      <c r="P1031" s="547" t="str">
        <f t="shared" ca="1" si="16"/>
        <v/>
      </c>
      <c r="Q1031" s="528"/>
      <c r="R1031" s="529"/>
      <c r="S1031" s="518"/>
      <c r="T1031" s="518"/>
      <c r="U1031" s="519"/>
      <c r="V1031" s="520" t="str">
        <f>IFERROR(VLOOKUP(LANÇ_MOV[[#This Row],[PLANO DE CONTAS]],Plano_Contas[[PLANO DE CONTAS]:[R / D]],3,0),"")</f>
        <v/>
      </c>
      <c r="W1031" s="521" t="str">
        <f>IF(LANÇ_MOV[[#This Row],[DATA DE PAGAMENTO]]&lt;&gt;"","Pago","Não Pago")</f>
        <v>Não Pago</v>
      </c>
      <c r="X1031" s="522" t="str">
        <f>IFERROR(IF(LANÇ_MOV[[#This Row],[DATA DE PAGAMENTO]]="","",(UPPER(TEXT(LANÇ_MOV[[#This Row],[DATA DE PAGAMENTO]],"mmmm")))),"")</f>
        <v/>
      </c>
      <c r="Y1031" s="523" t="str">
        <f>IFERROR(VLOOKUP(LANÇ_MOV[[#This Row],[PLANO DE CONTAS]],Plano_Contas[[PLANO DE CONTAS]:[NOMES INTERVALOS]],2,0),"")</f>
        <v/>
      </c>
      <c r="Z1031" s="523" t="str">
        <f>IF(LANÇ_MOV[[#This Row],[FORMA DE PAGAMENTO]]="","",VLOOKUP(LANÇ_MOV[[#This Row],[FORMA DE PAGAMENTO]],CAD_Forma_pagto[],2,0))</f>
        <v/>
      </c>
      <c r="AA1031" s="524" t="str">
        <f>IF(LANÇ_MOV[[#This Row],[DATA DE LANÇAMENTO]]="","",TEXT(LANÇ_MOV[[#This Row],[DATA DE LANÇAMENTO]],"AAAA"))</f>
        <v/>
      </c>
      <c r="AB1031" s="524" t="str">
        <f>IF(LANÇ_MOV[[#This Row],[DATA DE LANÇAMENTO]]="","",UPPER(TEXT(LANÇ_MOV[[#This Row],[DATA DE LANÇAMENTO]],"MMMM")))</f>
        <v/>
      </c>
      <c r="AC1031" s="525" t="str">
        <f>IF(LANÇ_MOV[[#This Row],[DATA DE LANÇAMENTO]]="","",PROPER(TEXT(LANÇ_MOV[[#This Row],[DATA DE LANÇAMENTO]],"M")))</f>
        <v/>
      </c>
      <c r="AD1031" s="524" t="str">
        <f>IF(LANÇ_MOV[[#This Row],[DATA DE LANÇAMENTO]]="","",TEXT(LANÇ_MOV[[#This Row],[DATA DE LANÇAMENTO]],"D"))</f>
        <v/>
      </c>
      <c r="AE1031" s="526" t="str">
        <f>IF(LANÇ_MOV[[#This Row],[DATA DE VENCIMENTO]]="","",TEXT(LANÇ_MOV[[#This Row],[DATA DE VENCIMENTO]],"AAAA"))</f>
        <v/>
      </c>
      <c r="AF1031" s="526" t="str">
        <f>IF(LANÇ_MOV[[#This Row],[DATA DE VENCIMENTO]]="","",UPPER(TEXT(LANÇ_MOV[[#This Row],[DATA DE VENCIMENTO]],"MMMM")))</f>
        <v/>
      </c>
      <c r="AG1031" s="526" t="str">
        <f>IF(LANÇ_MOV[[#This Row],[DATA DE VENCIMENTO]]="","",TEXT(LANÇ_MOV[[#This Row],[DATA DE VENCIMENTO]],"M"))</f>
        <v/>
      </c>
      <c r="AH1031" s="526" t="str">
        <f>IF(LANÇ_MOV[[#This Row],[DATA DE VENCIMENTO]]="","",TEXT(LANÇ_MOV[[#This Row],[DATA DE VENCIMENTO]],"D"))</f>
        <v/>
      </c>
      <c r="AI1031" s="526" t="str">
        <f>IF(LANÇ_MOV[[#This Row],[DATA DE PAGAMENTO]]="","",TEXT(LANÇ_MOV[[#This Row],[DATA DE PAGAMENTO]],"AAAA"))</f>
        <v/>
      </c>
      <c r="AJ1031" s="527" t="str">
        <f>IF(LANÇ_MOV[[#This Row],[DATA DE PAGAMENTO]]="","",UPPER(TEXT(LANÇ_MOV[[#This Row],[DATA DE PAGAMENTO]],"MMMM")))</f>
        <v/>
      </c>
      <c r="AK1031" s="527" t="str">
        <f>IF(LANÇ_MOV[[#This Row],[DATA DE PAGAMENTO]]="","",TEXT(LANÇ_MOV[[#This Row],[DATA DE PAGAMENTO]],"M"))</f>
        <v/>
      </c>
      <c r="AL1031" s="526" t="str">
        <f>IF(LANÇ_MOV[[#This Row],[DATA DE PAGAMENTO]]="","",TEXT(LANÇ_MOV[[#This Row],[DATA DE PAGAMENTO]],"D"))</f>
        <v/>
      </c>
    </row>
    <row r="1032" spans="2:38" ht="30.05" customHeight="1" x14ac:dyDescent="0.35">
      <c r="B1032" s="506"/>
      <c r="C1032" s="507"/>
      <c r="D1032" s="508" t="s">
        <v>1854</v>
      </c>
      <c r="E1032" s="509"/>
      <c r="F1032" s="510"/>
      <c r="G1032" s="507"/>
      <c r="H1032" s="511"/>
      <c r="I1032" s="512"/>
      <c r="J1032" s="518"/>
      <c r="K1032" s="510"/>
      <c r="L1032" s="510"/>
      <c r="M1032" s="548"/>
      <c r="N1032" s="514">
        <f>LANÇ_MOV[[#This Row],[VALOR BRUTO]]-LANÇ_MOV[[#This Row],[DESCONTO]]+LANÇ_MOV[[#This Row],[JUROS]]+LANÇ_MOV[[#This Row],[MULTA]]</f>
        <v>0</v>
      </c>
      <c r="O1032" s="546"/>
      <c r="P1032" s="547" t="str">
        <f t="shared" ca="1" si="16"/>
        <v/>
      </c>
      <c r="Q1032" s="528"/>
      <c r="R1032" s="529"/>
      <c r="S1032" s="518"/>
      <c r="T1032" s="518"/>
      <c r="U1032" s="519"/>
      <c r="V1032" s="520" t="str">
        <f>IFERROR(VLOOKUP(LANÇ_MOV[[#This Row],[PLANO DE CONTAS]],Plano_Contas[[PLANO DE CONTAS]:[R / D]],3,0),"")</f>
        <v/>
      </c>
      <c r="W1032" s="521" t="str">
        <f>IF(LANÇ_MOV[[#This Row],[DATA DE PAGAMENTO]]&lt;&gt;"","Pago","Não Pago")</f>
        <v>Não Pago</v>
      </c>
      <c r="X1032" s="522" t="str">
        <f>IFERROR(IF(LANÇ_MOV[[#This Row],[DATA DE PAGAMENTO]]="","",(UPPER(TEXT(LANÇ_MOV[[#This Row],[DATA DE PAGAMENTO]],"mmmm")))),"")</f>
        <v/>
      </c>
      <c r="Y1032" s="523" t="str">
        <f>IFERROR(VLOOKUP(LANÇ_MOV[[#This Row],[PLANO DE CONTAS]],Plano_Contas[[PLANO DE CONTAS]:[NOMES INTERVALOS]],2,0),"")</f>
        <v/>
      </c>
      <c r="Z1032" s="523" t="str">
        <f>IF(LANÇ_MOV[[#This Row],[FORMA DE PAGAMENTO]]="","",VLOOKUP(LANÇ_MOV[[#This Row],[FORMA DE PAGAMENTO]],CAD_Forma_pagto[],2,0))</f>
        <v/>
      </c>
      <c r="AA1032" s="524" t="str">
        <f>IF(LANÇ_MOV[[#This Row],[DATA DE LANÇAMENTO]]="","",TEXT(LANÇ_MOV[[#This Row],[DATA DE LANÇAMENTO]],"AAAA"))</f>
        <v/>
      </c>
      <c r="AB1032" s="524" t="str">
        <f>IF(LANÇ_MOV[[#This Row],[DATA DE LANÇAMENTO]]="","",UPPER(TEXT(LANÇ_MOV[[#This Row],[DATA DE LANÇAMENTO]],"MMMM")))</f>
        <v/>
      </c>
      <c r="AC1032" s="525" t="str">
        <f>IF(LANÇ_MOV[[#This Row],[DATA DE LANÇAMENTO]]="","",PROPER(TEXT(LANÇ_MOV[[#This Row],[DATA DE LANÇAMENTO]],"M")))</f>
        <v/>
      </c>
      <c r="AD1032" s="524" t="str">
        <f>IF(LANÇ_MOV[[#This Row],[DATA DE LANÇAMENTO]]="","",TEXT(LANÇ_MOV[[#This Row],[DATA DE LANÇAMENTO]],"D"))</f>
        <v/>
      </c>
      <c r="AE1032" s="526" t="str">
        <f>IF(LANÇ_MOV[[#This Row],[DATA DE VENCIMENTO]]="","",TEXT(LANÇ_MOV[[#This Row],[DATA DE VENCIMENTO]],"AAAA"))</f>
        <v/>
      </c>
      <c r="AF1032" s="526" t="str">
        <f>IF(LANÇ_MOV[[#This Row],[DATA DE VENCIMENTO]]="","",UPPER(TEXT(LANÇ_MOV[[#This Row],[DATA DE VENCIMENTO]],"MMMM")))</f>
        <v/>
      </c>
      <c r="AG1032" s="526" t="str">
        <f>IF(LANÇ_MOV[[#This Row],[DATA DE VENCIMENTO]]="","",TEXT(LANÇ_MOV[[#This Row],[DATA DE VENCIMENTO]],"M"))</f>
        <v/>
      </c>
      <c r="AH1032" s="526" t="str">
        <f>IF(LANÇ_MOV[[#This Row],[DATA DE VENCIMENTO]]="","",TEXT(LANÇ_MOV[[#This Row],[DATA DE VENCIMENTO]],"D"))</f>
        <v/>
      </c>
      <c r="AI1032" s="526" t="str">
        <f>IF(LANÇ_MOV[[#This Row],[DATA DE PAGAMENTO]]="","",TEXT(LANÇ_MOV[[#This Row],[DATA DE PAGAMENTO]],"AAAA"))</f>
        <v/>
      </c>
      <c r="AJ1032" s="527" t="str">
        <f>IF(LANÇ_MOV[[#This Row],[DATA DE PAGAMENTO]]="","",UPPER(TEXT(LANÇ_MOV[[#This Row],[DATA DE PAGAMENTO]],"MMMM")))</f>
        <v/>
      </c>
      <c r="AK1032" s="527" t="str">
        <f>IF(LANÇ_MOV[[#This Row],[DATA DE PAGAMENTO]]="","",TEXT(LANÇ_MOV[[#This Row],[DATA DE PAGAMENTO]],"M"))</f>
        <v/>
      </c>
      <c r="AL1032" s="526" t="str">
        <f>IF(LANÇ_MOV[[#This Row],[DATA DE PAGAMENTO]]="","",TEXT(LANÇ_MOV[[#This Row],[DATA DE PAGAMENTO]],"D"))</f>
        <v/>
      </c>
    </row>
    <row r="1033" spans="2:38" ht="30.05" customHeight="1" x14ac:dyDescent="0.35">
      <c r="B1033" s="506"/>
      <c r="C1033" s="507"/>
      <c r="D1033" s="508" t="s">
        <v>1854</v>
      </c>
      <c r="E1033" s="509"/>
      <c r="F1033" s="510"/>
      <c r="G1033" s="507"/>
      <c r="H1033" s="511"/>
      <c r="I1033" s="512"/>
      <c r="J1033" s="518"/>
      <c r="K1033" s="510"/>
      <c r="L1033" s="510"/>
      <c r="M1033" s="548"/>
      <c r="N1033" s="514">
        <f>LANÇ_MOV[[#This Row],[VALOR BRUTO]]-LANÇ_MOV[[#This Row],[DESCONTO]]+LANÇ_MOV[[#This Row],[JUROS]]+LANÇ_MOV[[#This Row],[MULTA]]</f>
        <v>0</v>
      </c>
      <c r="O1033" s="546"/>
      <c r="P1033" s="547" t="str">
        <f t="shared" ca="1" si="16"/>
        <v/>
      </c>
      <c r="Q1033" s="528"/>
      <c r="R1033" s="529"/>
      <c r="S1033" s="518"/>
      <c r="T1033" s="518"/>
      <c r="U1033" s="519"/>
      <c r="V1033" s="520" t="str">
        <f>IFERROR(VLOOKUP(LANÇ_MOV[[#This Row],[PLANO DE CONTAS]],Plano_Contas[[PLANO DE CONTAS]:[R / D]],3,0),"")</f>
        <v/>
      </c>
      <c r="W1033" s="521" t="str">
        <f>IF(LANÇ_MOV[[#This Row],[DATA DE PAGAMENTO]]&lt;&gt;"","Pago","Não Pago")</f>
        <v>Não Pago</v>
      </c>
      <c r="X1033" s="522" t="str">
        <f>IFERROR(IF(LANÇ_MOV[[#This Row],[DATA DE PAGAMENTO]]="","",(UPPER(TEXT(LANÇ_MOV[[#This Row],[DATA DE PAGAMENTO]],"mmmm")))),"")</f>
        <v/>
      </c>
      <c r="Y1033" s="523" t="str">
        <f>IFERROR(VLOOKUP(LANÇ_MOV[[#This Row],[PLANO DE CONTAS]],Plano_Contas[[PLANO DE CONTAS]:[NOMES INTERVALOS]],2,0),"")</f>
        <v/>
      </c>
      <c r="Z1033" s="523" t="str">
        <f>IF(LANÇ_MOV[[#This Row],[FORMA DE PAGAMENTO]]="","",VLOOKUP(LANÇ_MOV[[#This Row],[FORMA DE PAGAMENTO]],CAD_Forma_pagto[],2,0))</f>
        <v/>
      </c>
      <c r="AA1033" s="524" t="str">
        <f>IF(LANÇ_MOV[[#This Row],[DATA DE LANÇAMENTO]]="","",TEXT(LANÇ_MOV[[#This Row],[DATA DE LANÇAMENTO]],"AAAA"))</f>
        <v/>
      </c>
      <c r="AB1033" s="524" t="str">
        <f>IF(LANÇ_MOV[[#This Row],[DATA DE LANÇAMENTO]]="","",UPPER(TEXT(LANÇ_MOV[[#This Row],[DATA DE LANÇAMENTO]],"MMMM")))</f>
        <v/>
      </c>
      <c r="AC1033" s="525" t="str">
        <f>IF(LANÇ_MOV[[#This Row],[DATA DE LANÇAMENTO]]="","",PROPER(TEXT(LANÇ_MOV[[#This Row],[DATA DE LANÇAMENTO]],"M")))</f>
        <v/>
      </c>
      <c r="AD1033" s="524" t="str">
        <f>IF(LANÇ_MOV[[#This Row],[DATA DE LANÇAMENTO]]="","",TEXT(LANÇ_MOV[[#This Row],[DATA DE LANÇAMENTO]],"D"))</f>
        <v/>
      </c>
      <c r="AE1033" s="526" t="str">
        <f>IF(LANÇ_MOV[[#This Row],[DATA DE VENCIMENTO]]="","",TEXT(LANÇ_MOV[[#This Row],[DATA DE VENCIMENTO]],"AAAA"))</f>
        <v/>
      </c>
      <c r="AF1033" s="526" t="str">
        <f>IF(LANÇ_MOV[[#This Row],[DATA DE VENCIMENTO]]="","",UPPER(TEXT(LANÇ_MOV[[#This Row],[DATA DE VENCIMENTO]],"MMMM")))</f>
        <v/>
      </c>
      <c r="AG1033" s="526" t="str">
        <f>IF(LANÇ_MOV[[#This Row],[DATA DE VENCIMENTO]]="","",TEXT(LANÇ_MOV[[#This Row],[DATA DE VENCIMENTO]],"M"))</f>
        <v/>
      </c>
      <c r="AH1033" s="526" t="str">
        <f>IF(LANÇ_MOV[[#This Row],[DATA DE VENCIMENTO]]="","",TEXT(LANÇ_MOV[[#This Row],[DATA DE VENCIMENTO]],"D"))</f>
        <v/>
      </c>
      <c r="AI1033" s="526" t="str">
        <f>IF(LANÇ_MOV[[#This Row],[DATA DE PAGAMENTO]]="","",TEXT(LANÇ_MOV[[#This Row],[DATA DE PAGAMENTO]],"AAAA"))</f>
        <v/>
      </c>
      <c r="AJ1033" s="527" t="str">
        <f>IF(LANÇ_MOV[[#This Row],[DATA DE PAGAMENTO]]="","",UPPER(TEXT(LANÇ_MOV[[#This Row],[DATA DE PAGAMENTO]],"MMMM")))</f>
        <v/>
      </c>
      <c r="AK1033" s="527" t="str">
        <f>IF(LANÇ_MOV[[#This Row],[DATA DE PAGAMENTO]]="","",TEXT(LANÇ_MOV[[#This Row],[DATA DE PAGAMENTO]],"M"))</f>
        <v/>
      </c>
      <c r="AL1033" s="526" t="str">
        <f>IF(LANÇ_MOV[[#This Row],[DATA DE PAGAMENTO]]="","",TEXT(LANÇ_MOV[[#This Row],[DATA DE PAGAMENTO]],"D"))</f>
        <v/>
      </c>
    </row>
    <row r="1034" spans="2:38" ht="30.05" customHeight="1" x14ac:dyDescent="0.35">
      <c r="B1034" s="506"/>
      <c r="C1034" s="507"/>
      <c r="D1034" s="508" t="s">
        <v>1854</v>
      </c>
      <c r="E1034" s="509"/>
      <c r="F1034" s="510"/>
      <c r="G1034" s="507"/>
      <c r="H1034" s="511"/>
      <c r="I1034" s="512"/>
      <c r="J1034" s="518"/>
      <c r="K1034" s="510"/>
      <c r="L1034" s="510"/>
      <c r="M1034" s="548"/>
      <c r="N1034" s="514">
        <f>LANÇ_MOV[[#This Row],[VALOR BRUTO]]-LANÇ_MOV[[#This Row],[DESCONTO]]+LANÇ_MOV[[#This Row],[JUROS]]+LANÇ_MOV[[#This Row],[MULTA]]</f>
        <v>0</v>
      </c>
      <c r="O1034" s="546"/>
      <c r="P1034" s="547" t="str">
        <f t="shared" ca="1" si="16"/>
        <v/>
      </c>
      <c r="Q1034" s="528"/>
      <c r="R1034" s="529"/>
      <c r="S1034" s="518"/>
      <c r="T1034" s="518"/>
      <c r="U1034" s="519"/>
      <c r="V1034" s="520" t="str">
        <f>IFERROR(VLOOKUP(LANÇ_MOV[[#This Row],[PLANO DE CONTAS]],Plano_Contas[[PLANO DE CONTAS]:[R / D]],3,0),"")</f>
        <v/>
      </c>
      <c r="W1034" s="521" t="str">
        <f>IF(LANÇ_MOV[[#This Row],[DATA DE PAGAMENTO]]&lt;&gt;"","Pago","Não Pago")</f>
        <v>Não Pago</v>
      </c>
      <c r="X1034" s="522" t="str">
        <f>IFERROR(IF(LANÇ_MOV[[#This Row],[DATA DE PAGAMENTO]]="","",(UPPER(TEXT(LANÇ_MOV[[#This Row],[DATA DE PAGAMENTO]],"mmmm")))),"")</f>
        <v/>
      </c>
      <c r="Y1034" s="523" t="str">
        <f>IFERROR(VLOOKUP(LANÇ_MOV[[#This Row],[PLANO DE CONTAS]],Plano_Contas[[PLANO DE CONTAS]:[NOMES INTERVALOS]],2,0),"")</f>
        <v/>
      </c>
      <c r="Z1034" s="523" t="str">
        <f>IF(LANÇ_MOV[[#This Row],[FORMA DE PAGAMENTO]]="","",VLOOKUP(LANÇ_MOV[[#This Row],[FORMA DE PAGAMENTO]],CAD_Forma_pagto[],2,0))</f>
        <v/>
      </c>
      <c r="AA1034" s="524" t="str">
        <f>IF(LANÇ_MOV[[#This Row],[DATA DE LANÇAMENTO]]="","",TEXT(LANÇ_MOV[[#This Row],[DATA DE LANÇAMENTO]],"AAAA"))</f>
        <v/>
      </c>
      <c r="AB1034" s="524" t="str">
        <f>IF(LANÇ_MOV[[#This Row],[DATA DE LANÇAMENTO]]="","",UPPER(TEXT(LANÇ_MOV[[#This Row],[DATA DE LANÇAMENTO]],"MMMM")))</f>
        <v/>
      </c>
      <c r="AC1034" s="525" t="str">
        <f>IF(LANÇ_MOV[[#This Row],[DATA DE LANÇAMENTO]]="","",PROPER(TEXT(LANÇ_MOV[[#This Row],[DATA DE LANÇAMENTO]],"M")))</f>
        <v/>
      </c>
      <c r="AD1034" s="524" t="str">
        <f>IF(LANÇ_MOV[[#This Row],[DATA DE LANÇAMENTO]]="","",TEXT(LANÇ_MOV[[#This Row],[DATA DE LANÇAMENTO]],"D"))</f>
        <v/>
      </c>
      <c r="AE1034" s="526" t="str">
        <f>IF(LANÇ_MOV[[#This Row],[DATA DE VENCIMENTO]]="","",TEXT(LANÇ_MOV[[#This Row],[DATA DE VENCIMENTO]],"AAAA"))</f>
        <v/>
      </c>
      <c r="AF1034" s="526" t="str">
        <f>IF(LANÇ_MOV[[#This Row],[DATA DE VENCIMENTO]]="","",UPPER(TEXT(LANÇ_MOV[[#This Row],[DATA DE VENCIMENTO]],"MMMM")))</f>
        <v/>
      </c>
      <c r="AG1034" s="526" t="str">
        <f>IF(LANÇ_MOV[[#This Row],[DATA DE VENCIMENTO]]="","",TEXT(LANÇ_MOV[[#This Row],[DATA DE VENCIMENTO]],"M"))</f>
        <v/>
      </c>
      <c r="AH1034" s="526" t="str">
        <f>IF(LANÇ_MOV[[#This Row],[DATA DE VENCIMENTO]]="","",TEXT(LANÇ_MOV[[#This Row],[DATA DE VENCIMENTO]],"D"))</f>
        <v/>
      </c>
      <c r="AI1034" s="526" t="str">
        <f>IF(LANÇ_MOV[[#This Row],[DATA DE PAGAMENTO]]="","",TEXT(LANÇ_MOV[[#This Row],[DATA DE PAGAMENTO]],"AAAA"))</f>
        <v/>
      </c>
      <c r="AJ1034" s="527" t="str">
        <f>IF(LANÇ_MOV[[#This Row],[DATA DE PAGAMENTO]]="","",UPPER(TEXT(LANÇ_MOV[[#This Row],[DATA DE PAGAMENTO]],"MMMM")))</f>
        <v/>
      </c>
      <c r="AK1034" s="527" t="str">
        <f>IF(LANÇ_MOV[[#This Row],[DATA DE PAGAMENTO]]="","",TEXT(LANÇ_MOV[[#This Row],[DATA DE PAGAMENTO]],"M"))</f>
        <v/>
      </c>
      <c r="AL1034" s="526" t="str">
        <f>IF(LANÇ_MOV[[#This Row],[DATA DE PAGAMENTO]]="","",TEXT(LANÇ_MOV[[#This Row],[DATA DE PAGAMENTO]],"D"))</f>
        <v/>
      </c>
    </row>
    <row r="1035" spans="2:38" ht="30.05" customHeight="1" x14ac:dyDescent="0.35">
      <c r="B1035" s="506"/>
      <c r="C1035" s="507"/>
      <c r="D1035" s="508" t="s">
        <v>1854</v>
      </c>
      <c r="E1035" s="509"/>
      <c r="F1035" s="510"/>
      <c r="G1035" s="507"/>
      <c r="H1035" s="511"/>
      <c r="I1035" s="512"/>
      <c r="J1035" s="518"/>
      <c r="K1035" s="510"/>
      <c r="L1035" s="510"/>
      <c r="M1035" s="548"/>
      <c r="N1035" s="514">
        <f>LANÇ_MOV[[#This Row],[VALOR BRUTO]]-LANÇ_MOV[[#This Row],[DESCONTO]]+LANÇ_MOV[[#This Row],[JUROS]]+LANÇ_MOV[[#This Row],[MULTA]]</f>
        <v>0</v>
      </c>
      <c r="O1035" s="546"/>
      <c r="P1035" s="547" t="str">
        <f t="shared" ca="1" si="16"/>
        <v/>
      </c>
      <c r="Q1035" s="528"/>
      <c r="R1035" s="529"/>
      <c r="S1035" s="518"/>
      <c r="T1035" s="518"/>
      <c r="U1035" s="519"/>
      <c r="V1035" s="520" t="str">
        <f>IFERROR(VLOOKUP(LANÇ_MOV[[#This Row],[PLANO DE CONTAS]],Plano_Contas[[PLANO DE CONTAS]:[R / D]],3,0),"")</f>
        <v/>
      </c>
      <c r="W1035" s="521" t="str">
        <f>IF(LANÇ_MOV[[#This Row],[DATA DE PAGAMENTO]]&lt;&gt;"","Pago","Não Pago")</f>
        <v>Não Pago</v>
      </c>
      <c r="X1035" s="522" t="str">
        <f>IFERROR(IF(LANÇ_MOV[[#This Row],[DATA DE PAGAMENTO]]="","",(UPPER(TEXT(LANÇ_MOV[[#This Row],[DATA DE PAGAMENTO]],"mmmm")))),"")</f>
        <v/>
      </c>
      <c r="Y1035" s="523" t="str">
        <f>IFERROR(VLOOKUP(LANÇ_MOV[[#This Row],[PLANO DE CONTAS]],Plano_Contas[[PLANO DE CONTAS]:[NOMES INTERVALOS]],2,0),"")</f>
        <v/>
      </c>
      <c r="Z1035" s="523" t="str">
        <f>IF(LANÇ_MOV[[#This Row],[FORMA DE PAGAMENTO]]="","",VLOOKUP(LANÇ_MOV[[#This Row],[FORMA DE PAGAMENTO]],CAD_Forma_pagto[],2,0))</f>
        <v/>
      </c>
      <c r="AA1035" s="524" t="str">
        <f>IF(LANÇ_MOV[[#This Row],[DATA DE LANÇAMENTO]]="","",TEXT(LANÇ_MOV[[#This Row],[DATA DE LANÇAMENTO]],"AAAA"))</f>
        <v/>
      </c>
      <c r="AB1035" s="524" t="str">
        <f>IF(LANÇ_MOV[[#This Row],[DATA DE LANÇAMENTO]]="","",UPPER(TEXT(LANÇ_MOV[[#This Row],[DATA DE LANÇAMENTO]],"MMMM")))</f>
        <v/>
      </c>
      <c r="AC1035" s="525" t="str">
        <f>IF(LANÇ_MOV[[#This Row],[DATA DE LANÇAMENTO]]="","",PROPER(TEXT(LANÇ_MOV[[#This Row],[DATA DE LANÇAMENTO]],"M")))</f>
        <v/>
      </c>
      <c r="AD1035" s="524" t="str">
        <f>IF(LANÇ_MOV[[#This Row],[DATA DE LANÇAMENTO]]="","",TEXT(LANÇ_MOV[[#This Row],[DATA DE LANÇAMENTO]],"D"))</f>
        <v/>
      </c>
      <c r="AE1035" s="526" t="str">
        <f>IF(LANÇ_MOV[[#This Row],[DATA DE VENCIMENTO]]="","",TEXT(LANÇ_MOV[[#This Row],[DATA DE VENCIMENTO]],"AAAA"))</f>
        <v/>
      </c>
      <c r="AF1035" s="526" t="str">
        <f>IF(LANÇ_MOV[[#This Row],[DATA DE VENCIMENTO]]="","",UPPER(TEXT(LANÇ_MOV[[#This Row],[DATA DE VENCIMENTO]],"MMMM")))</f>
        <v/>
      </c>
      <c r="AG1035" s="526" t="str">
        <f>IF(LANÇ_MOV[[#This Row],[DATA DE VENCIMENTO]]="","",TEXT(LANÇ_MOV[[#This Row],[DATA DE VENCIMENTO]],"M"))</f>
        <v/>
      </c>
      <c r="AH1035" s="526" t="str">
        <f>IF(LANÇ_MOV[[#This Row],[DATA DE VENCIMENTO]]="","",TEXT(LANÇ_MOV[[#This Row],[DATA DE VENCIMENTO]],"D"))</f>
        <v/>
      </c>
      <c r="AI1035" s="526" t="str">
        <f>IF(LANÇ_MOV[[#This Row],[DATA DE PAGAMENTO]]="","",TEXT(LANÇ_MOV[[#This Row],[DATA DE PAGAMENTO]],"AAAA"))</f>
        <v/>
      </c>
      <c r="AJ1035" s="527" t="str">
        <f>IF(LANÇ_MOV[[#This Row],[DATA DE PAGAMENTO]]="","",UPPER(TEXT(LANÇ_MOV[[#This Row],[DATA DE PAGAMENTO]],"MMMM")))</f>
        <v/>
      </c>
      <c r="AK1035" s="527" t="str">
        <f>IF(LANÇ_MOV[[#This Row],[DATA DE PAGAMENTO]]="","",TEXT(LANÇ_MOV[[#This Row],[DATA DE PAGAMENTO]],"M"))</f>
        <v/>
      </c>
      <c r="AL1035" s="526" t="str">
        <f>IF(LANÇ_MOV[[#This Row],[DATA DE PAGAMENTO]]="","",TEXT(LANÇ_MOV[[#This Row],[DATA DE PAGAMENTO]],"D"))</f>
        <v/>
      </c>
    </row>
    <row r="1036" spans="2:38" ht="30.05" customHeight="1" x14ac:dyDescent="0.35">
      <c r="B1036" s="506"/>
      <c r="C1036" s="507"/>
      <c r="D1036" s="508" t="s">
        <v>1854</v>
      </c>
      <c r="E1036" s="509"/>
      <c r="F1036" s="510"/>
      <c r="G1036" s="507"/>
      <c r="H1036" s="511"/>
      <c r="I1036" s="512"/>
      <c r="J1036" s="518"/>
      <c r="K1036" s="510"/>
      <c r="L1036" s="510"/>
      <c r="M1036" s="548"/>
      <c r="N1036" s="514">
        <f>LANÇ_MOV[[#This Row],[VALOR BRUTO]]-LANÇ_MOV[[#This Row],[DESCONTO]]+LANÇ_MOV[[#This Row],[JUROS]]+LANÇ_MOV[[#This Row],[MULTA]]</f>
        <v>0</v>
      </c>
      <c r="O1036" s="546"/>
      <c r="P1036" s="547" t="str">
        <f t="shared" ca="1" si="16"/>
        <v/>
      </c>
      <c r="Q1036" s="528"/>
      <c r="R1036" s="529"/>
      <c r="S1036" s="518"/>
      <c r="T1036" s="518"/>
      <c r="U1036" s="519"/>
      <c r="V1036" s="520" t="str">
        <f>IFERROR(VLOOKUP(LANÇ_MOV[[#This Row],[PLANO DE CONTAS]],Plano_Contas[[PLANO DE CONTAS]:[R / D]],3,0),"")</f>
        <v/>
      </c>
      <c r="W1036" s="521" t="str">
        <f>IF(LANÇ_MOV[[#This Row],[DATA DE PAGAMENTO]]&lt;&gt;"","Pago","Não Pago")</f>
        <v>Não Pago</v>
      </c>
      <c r="X1036" s="522" t="str">
        <f>IFERROR(IF(LANÇ_MOV[[#This Row],[DATA DE PAGAMENTO]]="","",(UPPER(TEXT(LANÇ_MOV[[#This Row],[DATA DE PAGAMENTO]],"mmmm")))),"")</f>
        <v/>
      </c>
      <c r="Y1036" s="523" t="str">
        <f>IFERROR(VLOOKUP(LANÇ_MOV[[#This Row],[PLANO DE CONTAS]],Plano_Contas[[PLANO DE CONTAS]:[NOMES INTERVALOS]],2,0),"")</f>
        <v/>
      </c>
      <c r="Z1036" s="523" t="str">
        <f>IF(LANÇ_MOV[[#This Row],[FORMA DE PAGAMENTO]]="","",VLOOKUP(LANÇ_MOV[[#This Row],[FORMA DE PAGAMENTO]],CAD_Forma_pagto[],2,0))</f>
        <v/>
      </c>
      <c r="AA1036" s="524" t="str">
        <f>IF(LANÇ_MOV[[#This Row],[DATA DE LANÇAMENTO]]="","",TEXT(LANÇ_MOV[[#This Row],[DATA DE LANÇAMENTO]],"AAAA"))</f>
        <v/>
      </c>
      <c r="AB1036" s="524" t="str">
        <f>IF(LANÇ_MOV[[#This Row],[DATA DE LANÇAMENTO]]="","",UPPER(TEXT(LANÇ_MOV[[#This Row],[DATA DE LANÇAMENTO]],"MMMM")))</f>
        <v/>
      </c>
      <c r="AC1036" s="525" t="str">
        <f>IF(LANÇ_MOV[[#This Row],[DATA DE LANÇAMENTO]]="","",PROPER(TEXT(LANÇ_MOV[[#This Row],[DATA DE LANÇAMENTO]],"M")))</f>
        <v/>
      </c>
      <c r="AD1036" s="524" t="str">
        <f>IF(LANÇ_MOV[[#This Row],[DATA DE LANÇAMENTO]]="","",TEXT(LANÇ_MOV[[#This Row],[DATA DE LANÇAMENTO]],"D"))</f>
        <v/>
      </c>
      <c r="AE1036" s="526" t="str">
        <f>IF(LANÇ_MOV[[#This Row],[DATA DE VENCIMENTO]]="","",TEXT(LANÇ_MOV[[#This Row],[DATA DE VENCIMENTO]],"AAAA"))</f>
        <v/>
      </c>
      <c r="AF1036" s="526" t="str">
        <f>IF(LANÇ_MOV[[#This Row],[DATA DE VENCIMENTO]]="","",UPPER(TEXT(LANÇ_MOV[[#This Row],[DATA DE VENCIMENTO]],"MMMM")))</f>
        <v/>
      </c>
      <c r="AG1036" s="526" t="str">
        <f>IF(LANÇ_MOV[[#This Row],[DATA DE VENCIMENTO]]="","",TEXT(LANÇ_MOV[[#This Row],[DATA DE VENCIMENTO]],"M"))</f>
        <v/>
      </c>
      <c r="AH1036" s="526" t="str">
        <f>IF(LANÇ_MOV[[#This Row],[DATA DE VENCIMENTO]]="","",TEXT(LANÇ_MOV[[#This Row],[DATA DE VENCIMENTO]],"D"))</f>
        <v/>
      </c>
      <c r="AI1036" s="526" t="str">
        <f>IF(LANÇ_MOV[[#This Row],[DATA DE PAGAMENTO]]="","",TEXT(LANÇ_MOV[[#This Row],[DATA DE PAGAMENTO]],"AAAA"))</f>
        <v/>
      </c>
      <c r="AJ1036" s="527" t="str">
        <f>IF(LANÇ_MOV[[#This Row],[DATA DE PAGAMENTO]]="","",UPPER(TEXT(LANÇ_MOV[[#This Row],[DATA DE PAGAMENTO]],"MMMM")))</f>
        <v/>
      </c>
      <c r="AK1036" s="527" t="str">
        <f>IF(LANÇ_MOV[[#This Row],[DATA DE PAGAMENTO]]="","",TEXT(LANÇ_MOV[[#This Row],[DATA DE PAGAMENTO]],"M"))</f>
        <v/>
      </c>
      <c r="AL1036" s="526" t="str">
        <f>IF(LANÇ_MOV[[#This Row],[DATA DE PAGAMENTO]]="","",TEXT(LANÇ_MOV[[#This Row],[DATA DE PAGAMENTO]],"D"))</f>
        <v/>
      </c>
    </row>
    <row r="1037" spans="2:38" ht="30.05" customHeight="1" x14ac:dyDescent="0.35">
      <c r="B1037" s="506"/>
      <c r="C1037" s="507"/>
      <c r="D1037" s="508" t="s">
        <v>1854</v>
      </c>
      <c r="E1037" s="509"/>
      <c r="F1037" s="510"/>
      <c r="G1037" s="507"/>
      <c r="H1037" s="511"/>
      <c r="I1037" s="512"/>
      <c r="J1037" s="518"/>
      <c r="K1037" s="510"/>
      <c r="L1037" s="510"/>
      <c r="M1037" s="548"/>
      <c r="N1037" s="514">
        <f>LANÇ_MOV[[#This Row],[VALOR BRUTO]]-LANÇ_MOV[[#This Row],[DESCONTO]]+LANÇ_MOV[[#This Row],[JUROS]]+LANÇ_MOV[[#This Row],[MULTA]]</f>
        <v>0</v>
      </c>
      <c r="O1037" s="546"/>
      <c r="P1037" s="547" t="str">
        <f t="shared" ca="1" si="16"/>
        <v/>
      </c>
      <c r="Q1037" s="528"/>
      <c r="R1037" s="529"/>
      <c r="S1037" s="518"/>
      <c r="T1037" s="518"/>
      <c r="U1037" s="519"/>
      <c r="V1037" s="520" t="str">
        <f>IFERROR(VLOOKUP(LANÇ_MOV[[#This Row],[PLANO DE CONTAS]],Plano_Contas[[PLANO DE CONTAS]:[R / D]],3,0),"")</f>
        <v/>
      </c>
      <c r="W1037" s="521" t="str">
        <f>IF(LANÇ_MOV[[#This Row],[DATA DE PAGAMENTO]]&lt;&gt;"","Pago","Não Pago")</f>
        <v>Não Pago</v>
      </c>
      <c r="X1037" s="522" t="str">
        <f>IFERROR(IF(LANÇ_MOV[[#This Row],[DATA DE PAGAMENTO]]="","",(UPPER(TEXT(LANÇ_MOV[[#This Row],[DATA DE PAGAMENTO]],"mmmm")))),"")</f>
        <v/>
      </c>
      <c r="Y1037" s="523" t="str">
        <f>IFERROR(VLOOKUP(LANÇ_MOV[[#This Row],[PLANO DE CONTAS]],Plano_Contas[[PLANO DE CONTAS]:[NOMES INTERVALOS]],2,0),"")</f>
        <v/>
      </c>
      <c r="Z1037" s="523" t="str">
        <f>IF(LANÇ_MOV[[#This Row],[FORMA DE PAGAMENTO]]="","",VLOOKUP(LANÇ_MOV[[#This Row],[FORMA DE PAGAMENTO]],CAD_Forma_pagto[],2,0))</f>
        <v/>
      </c>
      <c r="AA1037" s="524" t="str">
        <f>IF(LANÇ_MOV[[#This Row],[DATA DE LANÇAMENTO]]="","",TEXT(LANÇ_MOV[[#This Row],[DATA DE LANÇAMENTO]],"AAAA"))</f>
        <v/>
      </c>
      <c r="AB1037" s="524" t="str">
        <f>IF(LANÇ_MOV[[#This Row],[DATA DE LANÇAMENTO]]="","",UPPER(TEXT(LANÇ_MOV[[#This Row],[DATA DE LANÇAMENTO]],"MMMM")))</f>
        <v/>
      </c>
      <c r="AC1037" s="525" t="str">
        <f>IF(LANÇ_MOV[[#This Row],[DATA DE LANÇAMENTO]]="","",PROPER(TEXT(LANÇ_MOV[[#This Row],[DATA DE LANÇAMENTO]],"M")))</f>
        <v/>
      </c>
      <c r="AD1037" s="524" t="str">
        <f>IF(LANÇ_MOV[[#This Row],[DATA DE LANÇAMENTO]]="","",TEXT(LANÇ_MOV[[#This Row],[DATA DE LANÇAMENTO]],"D"))</f>
        <v/>
      </c>
      <c r="AE1037" s="526" t="str">
        <f>IF(LANÇ_MOV[[#This Row],[DATA DE VENCIMENTO]]="","",TEXT(LANÇ_MOV[[#This Row],[DATA DE VENCIMENTO]],"AAAA"))</f>
        <v/>
      </c>
      <c r="AF1037" s="526" t="str">
        <f>IF(LANÇ_MOV[[#This Row],[DATA DE VENCIMENTO]]="","",UPPER(TEXT(LANÇ_MOV[[#This Row],[DATA DE VENCIMENTO]],"MMMM")))</f>
        <v/>
      </c>
      <c r="AG1037" s="526" t="str">
        <f>IF(LANÇ_MOV[[#This Row],[DATA DE VENCIMENTO]]="","",TEXT(LANÇ_MOV[[#This Row],[DATA DE VENCIMENTO]],"M"))</f>
        <v/>
      </c>
      <c r="AH1037" s="526" t="str">
        <f>IF(LANÇ_MOV[[#This Row],[DATA DE VENCIMENTO]]="","",TEXT(LANÇ_MOV[[#This Row],[DATA DE VENCIMENTO]],"D"))</f>
        <v/>
      </c>
      <c r="AI1037" s="526" t="str">
        <f>IF(LANÇ_MOV[[#This Row],[DATA DE PAGAMENTO]]="","",TEXT(LANÇ_MOV[[#This Row],[DATA DE PAGAMENTO]],"AAAA"))</f>
        <v/>
      </c>
      <c r="AJ1037" s="527" t="str">
        <f>IF(LANÇ_MOV[[#This Row],[DATA DE PAGAMENTO]]="","",UPPER(TEXT(LANÇ_MOV[[#This Row],[DATA DE PAGAMENTO]],"MMMM")))</f>
        <v/>
      </c>
      <c r="AK1037" s="527" t="str">
        <f>IF(LANÇ_MOV[[#This Row],[DATA DE PAGAMENTO]]="","",TEXT(LANÇ_MOV[[#This Row],[DATA DE PAGAMENTO]],"M"))</f>
        <v/>
      </c>
      <c r="AL1037" s="526" t="str">
        <f>IF(LANÇ_MOV[[#This Row],[DATA DE PAGAMENTO]]="","",TEXT(LANÇ_MOV[[#This Row],[DATA DE PAGAMENTO]],"D"))</f>
        <v/>
      </c>
    </row>
    <row r="1038" spans="2:38" ht="30.05" customHeight="1" x14ac:dyDescent="0.35">
      <c r="B1038" s="506"/>
      <c r="C1038" s="507"/>
      <c r="D1038" s="508" t="s">
        <v>1854</v>
      </c>
      <c r="E1038" s="509"/>
      <c r="F1038" s="510"/>
      <c r="G1038" s="507"/>
      <c r="H1038" s="511"/>
      <c r="I1038" s="512"/>
      <c r="J1038" s="518"/>
      <c r="K1038" s="510"/>
      <c r="L1038" s="510"/>
      <c r="M1038" s="548"/>
      <c r="N1038" s="514">
        <f>LANÇ_MOV[[#This Row],[VALOR BRUTO]]-LANÇ_MOV[[#This Row],[DESCONTO]]+LANÇ_MOV[[#This Row],[JUROS]]+LANÇ_MOV[[#This Row],[MULTA]]</f>
        <v>0</v>
      </c>
      <c r="O1038" s="546"/>
      <c r="P1038" s="547" t="str">
        <f t="shared" ca="1" si="16"/>
        <v/>
      </c>
      <c r="Q1038" s="528"/>
      <c r="R1038" s="529"/>
      <c r="S1038" s="518"/>
      <c r="T1038" s="518"/>
      <c r="U1038" s="519"/>
      <c r="V1038" s="520" t="str">
        <f>IFERROR(VLOOKUP(LANÇ_MOV[[#This Row],[PLANO DE CONTAS]],Plano_Contas[[PLANO DE CONTAS]:[R / D]],3,0),"")</f>
        <v/>
      </c>
      <c r="W1038" s="521" t="str">
        <f>IF(LANÇ_MOV[[#This Row],[DATA DE PAGAMENTO]]&lt;&gt;"","Pago","Não Pago")</f>
        <v>Não Pago</v>
      </c>
      <c r="X1038" s="522" t="str">
        <f>IFERROR(IF(LANÇ_MOV[[#This Row],[DATA DE PAGAMENTO]]="","",(UPPER(TEXT(LANÇ_MOV[[#This Row],[DATA DE PAGAMENTO]],"mmmm")))),"")</f>
        <v/>
      </c>
      <c r="Y1038" s="523" t="str">
        <f>IFERROR(VLOOKUP(LANÇ_MOV[[#This Row],[PLANO DE CONTAS]],Plano_Contas[[PLANO DE CONTAS]:[NOMES INTERVALOS]],2,0),"")</f>
        <v/>
      </c>
      <c r="Z1038" s="523" t="str">
        <f>IF(LANÇ_MOV[[#This Row],[FORMA DE PAGAMENTO]]="","",VLOOKUP(LANÇ_MOV[[#This Row],[FORMA DE PAGAMENTO]],CAD_Forma_pagto[],2,0))</f>
        <v/>
      </c>
      <c r="AA1038" s="524" t="str">
        <f>IF(LANÇ_MOV[[#This Row],[DATA DE LANÇAMENTO]]="","",TEXT(LANÇ_MOV[[#This Row],[DATA DE LANÇAMENTO]],"AAAA"))</f>
        <v/>
      </c>
      <c r="AB1038" s="524" t="str">
        <f>IF(LANÇ_MOV[[#This Row],[DATA DE LANÇAMENTO]]="","",UPPER(TEXT(LANÇ_MOV[[#This Row],[DATA DE LANÇAMENTO]],"MMMM")))</f>
        <v/>
      </c>
      <c r="AC1038" s="525" t="str">
        <f>IF(LANÇ_MOV[[#This Row],[DATA DE LANÇAMENTO]]="","",PROPER(TEXT(LANÇ_MOV[[#This Row],[DATA DE LANÇAMENTO]],"M")))</f>
        <v/>
      </c>
      <c r="AD1038" s="524" t="str">
        <f>IF(LANÇ_MOV[[#This Row],[DATA DE LANÇAMENTO]]="","",TEXT(LANÇ_MOV[[#This Row],[DATA DE LANÇAMENTO]],"D"))</f>
        <v/>
      </c>
      <c r="AE1038" s="526" t="str">
        <f>IF(LANÇ_MOV[[#This Row],[DATA DE VENCIMENTO]]="","",TEXT(LANÇ_MOV[[#This Row],[DATA DE VENCIMENTO]],"AAAA"))</f>
        <v/>
      </c>
      <c r="AF1038" s="526" t="str">
        <f>IF(LANÇ_MOV[[#This Row],[DATA DE VENCIMENTO]]="","",UPPER(TEXT(LANÇ_MOV[[#This Row],[DATA DE VENCIMENTO]],"MMMM")))</f>
        <v/>
      </c>
      <c r="AG1038" s="526" t="str">
        <f>IF(LANÇ_MOV[[#This Row],[DATA DE VENCIMENTO]]="","",TEXT(LANÇ_MOV[[#This Row],[DATA DE VENCIMENTO]],"M"))</f>
        <v/>
      </c>
      <c r="AH1038" s="526" t="str">
        <f>IF(LANÇ_MOV[[#This Row],[DATA DE VENCIMENTO]]="","",TEXT(LANÇ_MOV[[#This Row],[DATA DE VENCIMENTO]],"D"))</f>
        <v/>
      </c>
      <c r="AI1038" s="526" t="str">
        <f>IF(LANÇ_MOV[[#This Row],[DATA DE PAGAMENTO]]="","",TEXT(LANÇ_MOV[[#This Row],[DATA DE PAGAMENTO]],"AAAA"))</f>
        <v/>
      </c>
      <c r="AJ1038" s="527" t="str">
        <f>IF(LANÇ_MOV[[#This Row],[DATA DE PAGAMENTO]]="","",UPPER(TEXT(LANÇ_MOV[[#This Row],[DATA DE PAGAMENTO]],"MMMM")))</f>
        <v/>
      </c>
      <c r="AK1038" s="527" t="str">
        <f>IF(LANÇ_MOV[[#This Row],[DATA DE PAGAMENTO]]="","",TEXT(LANÇ_MOV[[#This Row],[DATA DE PAGAMENTO]],"M"))</f>
        <v/>
      </c>
      <c r="AL1038" s="526" t="str">
        <f>IF(LANÇ_MOV[[#This Row],[DATA DE PAGAMENTO]]="","",TEXT(LANÇ_MOV[[#This Row],[DATA DE PAGAMENTO]],"D"))</f>
        <v/>
      </c>
    </row>
    <row r="1039" spans="2:38" ht="30.05" customHeight="1" x14ac:dyDescent="0.35">
      <c r="B1039" s="506"/>
      <c r="C1039" s="507"/>
      <c r="D1039" s="508" t="s">
        <v>1854</v>
      </c>
      <c r="E1039" s="509"/>
      <c r="F1039" s="510"/>
      <c r="G1039" s="507"/>
      <c r="H1039" s="511"/>
      <c r="I1039" s="512"/>
      <c r="J1039" s="518"/>
      <c r="K1039" s="510"/>
      <c r="L1039" s="510"/>
      <c r="M1039" s="548"/>
      <c r="N1039" s="514">
        <f>LANÇ_MOV[[#This Row],[VALOR BRUTO]]-LANÇ_MOV[[#This Row],[DESCONTO]]+LANÇ_MOV[[#This Row],[JUROS]]+LANÇ_MOV[[#This Row],[MULTA]]</f>
        <v>0</v>
      </c>
      <c r="O1039" s="546"/>
      <c r="P1039" s="547" t="str">
        <f t="shared" ca="1" si="16"/>
        <v/>
      </c>
      <c r="Q1039" s="528"/>
      <c r="R1039" s="529"/>
      <c r="S1039" s="518"/>
      <c r="T1039" s="518"/>
      <c r="U1039" s="519"/>
      <c r="V1039" s="520" t="str">
        <f>IFERROR(VLOOKUP(LANÇ_MOV[[#This Row],[PLANO DE CONTAS]],Plano_Contas[[PLANO DE CONTAS]:[R / D]],3,0),"")</f>
        <v/>
      </c>
      <c r="W1039" s="521" t="str">
        <f>IF(LANÇ_MOV[[#This Row],[DATA DE PAGAMENTO]]&lt;&gt;"","Pago","Não Pago")</f>
        <v>Não Pago</v>
      </c>
      <c r="X1039" s="522" t="str">
        <f>IFERROR(IF(LANÇ_MOV[[#This Row],[DATA DE PAGAMENTO]]="","",(UPPER(TEXT(LANÇ_MOV[[#This Row],[DATA DE PAGAMENTO]],"mmmm")))),"")</f>
        <v/>
      </c>
      <c r="Y1039" s="523" t="str">
        <f>IFERROR(VLOOKUP(LANÇ_MOV[[#This Row],[PLANO DE CONTAS]],Plano_Contas[[PLANO DE CONTAS]:[NOMES INTERVALOS]],2,0),"")</f>
        <v/>
      </c>
      <c r="Z1039" s="523" t="str">
        <f>IF(LANÇ_MOV[[#This Row],[FORMA DE PAGAMENTO]]="","",VLOOKUP(LANÇ_MOV[[#This Row],[FORMA DE PAGAMENTO]],CAD_Forma_pagto[],2,0))</f>
        <v/>
      </c>
      <c r="AA1039" s="524" t="str">
        <f>IF(LANÇ_MOV[[#This Row],[DATA DE LANÇAMENTO]]="","",TEXT(LANÇ_MOV[[#This Row],[DATA DE LANÇAMENTO]],"AAAA"))</f>
        <v/>
      </c>
      <c r="AB1039" s="524" t="str">
        <f>IF(LANÇ_MOV[[#This Row],[DATA DE LANÇAMENTO]]="","",UPPER(TEXT(LANÇ_MOV[[#This Row],[DATA DE LANÇAMENTO]],"MMMM")))</f>
        <v/>
      </c>
      <c r="AC1039" s="525" t="str">
        <f>IF(LANÇ_MOV[[#This Row],[DATA DE LANÇAMENTO]]="","",PROPER(TEXT(LANÇ_MOV[[#This Row],[DATA DE LANÇAMENTO]],"M")))</f>
        <v/>
      </c>
      <c r="AD1039" s="524" t="str">
        <f>IF(LANÇ_MOV[[#This Row],[DATA DE LANÇAMENTO]]="","",TEXT(LANÇ_MOV[[#This Row],[DATA DE LANÇAMENTO]],"D"))</f>
        <v/>
      </c>
      <c r="AE1039" s="526" t="str">
        <f>IF(LANÇ_MOV[[#This Row],[DATA DE VENCIMENTO]]="","",TEXT(LANÇ_MOV[[#This Row],[DATA DE VENCIMENTO]],"AAAA"))</f>
        <v/>
      </c>
      <c r="AF1039" s="526" t="str">
        <f>IF(LANÇ_MOV[[#This Row],[DATA DE VENCIMENTO]]="","",UPPER(TEXT(LANÇ_MOV[[#This Row],[DATA DE VENCIMENTO]],"MMMM")))</f>
        <v/>
      </c>
      <c r="AG1039" s="526" t="str">
        <f>IF(LANÇ_MOV[[#This Row],[DATA DE VENCIMENTO]]="","",TEXT(LANÇ_MOV[[#This Row],[DATA DE VENCIMENTO]],"M"))</f>
        <v/>
      </c>
      <c r="AH1039" s="526" t="str">
        <f>IF(LANÇ_MOV[[#This Row],[DATA DE VENCIMENTO]]="","",TEXT(LANÇ_MOV[[#This Row],[DATA DE VENCIMENTO]],"D"))</f>
        <v/>
      </c>
      <c r="AI1039" s="526" t="str">
        <f>IF(LANÇ_MOV[[#This Row],[DATA DE PAGAMENTO]]="","",TEXT(LANÇ_MOV[[#This Row],[DATA DE PAGAMENTO]],"AAAA"))</f>
        <v/>
      </c>
      <c r="AJ1039" s="527" t="str">
        <f>IF(LANÇ_MOV[[#This Row],[DATA DE PAGAMENTO]]="","",UPPER(TEXT(LANÇ_MOV[[#This Row],[DATA DE PAGAMENTO]],"MMMM")))</f>
        <v/>
      </c>
      <c r="AK1039" s="527" t="str">
        <f>IF(LANÇ_MOV[[#This Row],[DATA DE PAGAMENTO]]="","",TEXT(LANÇ_MOV[[#This Row],[DATA DE PAGAMENTO]],"M"))</f>
        <v/>
      </c>
      <c r="AL1039" s="526" t="str">
        <f>IF(LANÇ_MOV[[#This Row],[DATA DE PAGAMENTO]]="","",TEXT(LANÇ_MOV[[#This Row],[DATA DE PAGAMENTO]],"D"))</f>
        <v/>
      </c>
    </row>
    <row r="1040" spans="2:38" ht="30.05" customHeight="1" x14ac:dyDescent="0.35">
      <c r="B1040" s="506"/>
      <c r="C1040" s="507"/>
      <c r="D1040" s="508" t="s">
        <v>1854</v>
      </c>
      <c r="E1040" s="509"/>
      <c r="F1040" s="510"/>
      <c r="G1040" s="507"/>
      <c r="H1040" s="511"/>
      <c r="I1040" s="512"/>
      <c r="J1040" s="518"/>
      <c r="K1040" s="510"/>
      <c r="L1040" s="510"/>
      <c r="M1040" s="548"/>
      <c r="N1040" s="514">
        <f>LANÇ_MOV[[#This Row],[VALOR BRUTO]]-LANÇ_MOV[[#This Row],[DESCONTO]]+LANÇ_MOV[[#This Row],[JUROS]]+LANÇ_MOV[[#This Row],[MULTA]]</f>
        <v>0</v>
      </c>
      <c r="O1040" s="546"/>
      <c r="P1040" s="547" t="str">
        <f t="shared" ca="1" si="16"/>
        <v/>
      </c>
      <c r="Q1040" s="528"/>
      <c r="R1040" s="529"/>
      <c r="S1040" s="518"/>
      <c r="T1040" s="518"/>
      <c r="U1040" s="519"/>
      <c r="V1040" s="520" t="str">
        <f>IFERROR(VLOOKUP(LANÇ_MOV[[#This Row],[PLANO DE CONTAS]],Plano_Contas[[PLANO DE CONTAS]:[R / D]],3,0),"")</f>
        <v/>
      </c>
      <c r="W1040" s="521" t="str">
        <f>IF(LANÇ_MOV[[#This Row],[DATA DE PAGAMENTO]]&lt;&gt;"","Pago","Não Pago")</f>
        <v>Não Pago</v>
      </c>
      <c r="X1040" s="522" t="str">
        <f>IFERROR(IF(LANÇ_MOV[[#This Row],[DATA DE PAGAMENTO]]="","",(UPPER(TEXT(LANÇ_MOV[[#This Row],[DATA DE PAGAMENTO]],"mmmm")))),"")</f>
        <v/>
      </c>
      <c r="Y1040" s="523" t="str">
        <f>IFERROR(VLOOKUP(LANÇ_MOV[[#This Row],[PLANO DE CONTAS]],Plano_Contas[[PLANO DE CONTAS]:[NOMES INTERVALOS]],2,0),"")</f>
        <v/>
      </c>
      <c r="Z1040" s="523" t="str">
        <f>IF(LANÇ_MOV[[#This Row],[FORMA DE PAGAMENTO]]="","",VLOOKUP(LANÇ_MOV[[#This Row],[FORMA DE PAGAMENTO]],CAD_Forma_pagto[],2,0))</f>
        <v/>
      </c>
      <c r="AA1040" s="524" t="str">
        <f>IF(LANÇ_MOV[[#This Row],[DATA DE LANÇAMENTO]]="","",TEXT(LANÇ_MOV[[#This Row],[DATA DE LANÇAMENTO]],"AAAA"))</f>
        <v/>
      </c>
      <c r="AB1040" s="524" t="str">
        <f>IF(LANÇ_MOV[[#This Row],[DATA DE LANÇAMENTO]]="","",UPPER(TEXT(LANÇ_MOV[[#This Row],[DATA DE LANÇAMENTO]],"MMMM")))</f>
        <v/>
      </c>
      <c r="AC1040" s="525" t="str">
        <f>IF(LANÇ_MOV[[#This Row],[DATA DE LANÇAMENTO]]="","",PROPER(TEXT(LANÇ_MOV[[#This Row],[DATA DE LANÇAMENTO]],"M")))</f>
        <v/>
      </c>
      <c r="AD1040" s="524" t="str">
        <f>IF(LANÇ_MOV[[#This Row],[DATA DE LANÇAMENTO]]="","",TEXT(LANÇ_MOV[[#This Row],[DATA DE LANÇAMENTO]],"D"))</f>
        <v/>
      </c>
      <c r="AE1040" s="526" t="str">
        <f>IF(LANÇ_MOV[[#This Row],[DATA DE VENCIMENTO]]="","",TEXT(LANÇ_MOV[[#This Row],[DATA DE VENCIMENTO]],"AAAA"))</f>
        <v/>
      </c>
      <c r="AF1040" s="526" t="str">
        <f>IF(LANÇ_MOV[[#This Row],[DATA DE VENCIMENTO]]="","",UPPER(TEXT(LANÇ_MOV[[#This Row],[DATA DE VENCIMENTO]],"MMMM")))</f>
        <v/>
      </c>
      <c r="AG1040" s="526" t="str">
        <f>IF(LANÇ_MOV[[#This Row],[DATA DE VENCIMENTO]]="","",TEXT(LANÇ_MOV[[#This Row],[DATA DE VENCIMENTO]],"M"))</f>
        <v/>
      </c>
      <c r="AH1040" s="526" t="str">
        <f>IF(LANÇ_MOV[[#This Row],[DATA DE VENCIMENTO]]="","",TEXT(LANÇ_MOV[[#This Row],[DATA DE VENCIMENTO]],"D"))</f>
        <v/>
      </c>
      <c r="AI1040" s="526" t="str">
        <f>IF(LANÇ_MOV[[#This Row],[DATA DE PAGAMENTO]]="","",TEXT(LANÇ_MOV[[#This Row],[DATA DE PAGAMENTO]],"AAAA"))</f>
        <v/>
      </c>
      <c r="AJ1040" s="527" t="str">
        <f>IF(LANÇ_MOV[[#This Row],[DATA DE PAGAMENTO]]="","",UPPER(TEXT(LANÇ_MOV[[#This Row],[DATA DE PAGAMENTO]],"MMMM")))</f>
        <v/>
      </c>
      <c r="AK1040" s="527" t="str">
        <f>IF(LANÇ_MOV[[#This Row],[DATA DE PAGAMENTO]]="","",TEXT(LANÇ_MOV[[#This Row],[DATA DE PAGAMENTO]],"M"))</f>
        <v/>
      </c>
      <c r="AL1040" s="526" t="str">
        <f>IF(LANÇ_MOV[[#This Row],[DATA DE PAGAMENTO]]="","",TEXT(LANÇ_MOV[[#This Row],[DATA DE PAGAMENTO]],"D"))</f>
        <v/>
      </c>
    </row>
    <row r="1041" spans="2:38" ht="30.05" customHeight="1" x14ac:dyDescent="0.35">
      <c r="B1041" s="506"/>
      <c r="C1041" s="507"/>
      <c r="D1041" s="508" t="s">
        <v>1854</v>
      </c>
      <c r="E1041" s="509"/>
      <c r="F1041" s="510"/>
      <c r="G1041" s="507"/>
      <c r="H1041" s="511"/>
      <c r="I1041" s="512"/>
      <c r="J1041" s="518"/>
      <c r="K1041" s="510"/>
      <c r="L1041" s="510"/>
      <c r="M1041" s="548"/>
      <c r="N1041" s="514">
        <f>LANÇ_MOV[[#This Row],[VALOR BRUTO]]-LANÇ_MOV[[#This Row],[DESCONTO]]+LANÇ_MOV[[#This Row],[JUROS]]+LANÇ_MOV[[#This Row],[MULTA]]</f>
        <v>0</v>
      </c>
      <c r="O1041" s="546"/>
      <c r="P1041" s="547" t="str">
        <f t="shared" ca="1" si="16"/>
        <v/>
      </c>
      <c r="Q1041" s="528"/>
      <c r="R1041" s="529"/>
      <c r="S1041" s="518"/>
      <c r="T1041" s="518"/>
      <c r="U1041" s="519"/>
      <c r="V1041" s="520" t="str">
        <f>IFERROR(VLOOKUP(LANÇ_MOV[[#This Row],[PLANO DE CONTAS]],Plano_Contas[[PLANO DE CONTAS]:[R / D]],3,0),"")</f>
        <v/>
      </c>
      <c r="W1041" s="521" t="str">
        <f>IF(LANÇ_MOV[[#This Row],[DATA DE PAGAMENTO]]&lt;&gt;"","Pago","Não Pago")</f>
        <v>Não Pago</v>
      </c>
      <c r="X1041" s="522" t="str">
        <f>IFERROR(IF(LANÇ_MOV[[#This Row],[DATA DE PAGAMENTO]]="","",(UPPER(TEXT(LANÇ_MOV[[#This Row],[DATA DE PAGAMENTO]],"mmmm")))),"")</f>
        <v/>
      </c>
      <c r="Y1041" s="523" t="str">
        <f>IFERROR(VLOOKUP(LANÇ_MOV[[#This Row],[PLANO DE CONTAS]],Plano_Contas[[PLANO DE CONTAS]:[NOMES INTERVALOS]],2,0),"")</f>
        <v/>
      </c>
      <c r="Z1041" s="523" t="str">
        <f>IF(LANÇ_MOV[[#This Row],[FORMA DE PAGAMENTO]]="","",VLOOKUP(LANÇ_MOV[[#This Row],[FORMA DE PAGAMENTO]],CAD_Forma_pagto[],2,0))</f>
        <v/>
      </c>
      <c r="AA1041" s="524" t="str">
        <f>IF(LANÇ_MOV[[#This Row],[DATA DE LANÇAMENTO]]="","",TEXT(LANÇ_MOV[[#This Row],[DATA DE LANÇAMENTO]],"AAAA"))</f>
        <v/>
      </c>
      <c r="AB1041" s="524" t="str">
        <f>IF(LANÇ_MOV[[#This Row],[DATA DE LANÇAMENTO]]="","",UPPER(TEXT(LANÇ_MOV[[#This Row],[DATA DE LANÇAMENTO]],"MMMM")))</f>
        <v/>
      </c>
      <c r="AC1041" s="525" t="str">
        <f>IF(LANÇ_MOV[[#This Row],[DATA DE LANÇAMENTO]]="","",PROPER(TEXT(LANÇ_MOV[[#This Row],[DATA DE LANÇAMENTO]],"M")))</f>
        <v/>
      </c>
      <c r="AD1041" s="524" t="str">
        <f>IF(LANÇ_MOV[[#This Row],[DATA DE LANÇAMENTO]]="","",TEXT(LANÇ_MOV[[#This Row],[DATA DE LANÇAMENTO]],"D"))</f>
        <v/>
      </c>
      <c r="AE1041" s="526" t="str">
        <f>IF(LANÇ_MOV[[#This Row],[DATA DE VENCIMENTO]]="","",TEXT(LANÇ_MOV[[#This Row],[DATA DE VENCIMENTO]],"AAAA"))</f>
        <v/>
      </c>
      <c r="AF1041" s="526" t="str">
        <f>IF(LANÇ_MOV[[#This Row],[DATA DE VENCIMENTO]]="","",UPPER(TEXT(LANÇ_MOV[[#This Row],[DATA DE VENCIMENTO]],"MMMM")))</f>
        <v/>
      </c>
      <c r="AG1041" s="526" t="str">
        <f>IF(LANÇ_MOV[[#This Row],[DATA DE VENCIMENTO]]="","",TEXT(LANÇ_MOV[[#This Row],[DATA DE VENCIMENTO]],"M"))</f>
        <v/>
      </c>
      <c r="AH1041" s="526" t="str">
        <f>IF(LANÇ_MOV[[#This Row],[DATA DE VENCIMENTO]]="","",TEXT(LANÇ_MOV[[#This Row],[DATA DE VENCIMENTO]],"D"))</f>
        <v/>
      </c>
      <c r="AI1041" s="526" t="str">
        <f>IF(LANÇ_MOV[[#This Row],[DATA DE PAGAMENTO]]="","",TEXT(LANÇ_MOV[[#This Row],[DATA DE PAGAMENTO]],"AAAA"))</f>
        <v/>
      </c>
      <c r="AJ1041" s="527" t="str">
        <f>IF(LANÇ_MOV[[#This Row],[DATA DE PAGAMENTO]]="","",UPPER(TEXT(LANÇ_MOV[[#This Row],[DATA DE PAGAMENTO]],"MMMM")))</f>
        <v/>
      </c>
      <c r="AK1041" s="527" t="str">
        <f>IF(LANÇ_MOV[[#This Row],[DATA DE PAGAMENTO]]="","",TEXT(LANÇ_MOV[[#This Row],[DATA DE PAGAMENTO]],"M"))</f>
        <v/>
      </c>
      <c r="AL1041" s="526" t="str">
        <f>IF(LANÇ_MOV[[#This Row],[DATA DE PAGAMENTO]]="","",TEXT(LANÇ_MOV[[#This Row],[DATA DE PAGAMENTO]],"D"))</f>
        <v/>
      </c>
    </row>
    <row r="1042" spans="2:38" ht="30.05" customHeight="1" x14ac:dyDescent="0.35">
      <c r="B1042" s="506"/>
      <c r="C1042" s="507"/>
      <c r="D1042" s="508" t="s">
        <v>1854</v>
      </c>
      <c r="E1042" s="509"/>
      <c r="F1042" s="510"/>
      <c r="G1042" s="507"/>
      <c r="H1042" s="511"/>
      <c r="I1042" s="512"/>
      <c r="J1042" s="518"/>
      <c r="K1042" s="510"/>
      <c r="L1042" s="510"/>
      <c r="M1042" s="548"/>
      <c r="N1042" s="514">
        <f>LANÇ_MOV[[#This Row],[VALOR BRUTO]]-LANÇ_MOV[[#This Row],[DESCONTO]]+LANÇ_MOV[[#This Row],[JUROS]]+LANÇ_MOV[[#This Row],[MULTA]]</f>
        <v>0</v>
      </c>
      <c r="O1042" s="546"/>
      <c r="P1042" s="547" t="str">
        <f t="shared" ca="1" si="16"/>
        <v/>
      </c>
      <c r="Q1042" s="528"/>
      <c r="R1042" s="529"/>
      <c r="S1042" s="518"/>
      <c r="T1042" s="518"/>
      <c r="U1042" s="519"/>
      <c r="V1042" s="520" t="str">
        <f>IFERROR(VLOOKUP(LANÇ_MOV[[#This Row],[PLANO DE CONTAS]],Plano_Contas[[PLANO DE CONTAS]:[R / D]],3,0),"")</f>
        <v/>
      </c>
      <c r="W1042" s="521" t="str">
        <f>IF(LANÇ_MOV[[#This Row],[DATA DE PAGAMENTO]]&lt;&gt;"","Pago","Não Pago")</f>
        <v>Não Pago</v>
      </c>
      <c r="X1042" s="522" t="str">
        <f>IFERROR(IF(LANÇ_MOV[[#This Row],[DATA DE PAGAMENTO]]="","",(UPPER(TEXT(LANÇ_MOV[[#This Row],[DATA DE PAGAMENTO]],"mmmm")))),"")</f>
        <v/>
      </c>
      <c r="Y1042" s="523" t="str">
        <f>IFERROR(VLOOKUP(LANÇ_MOV[[#This Row],[PLANO DE CONTAS]],Plano_Contas[[PLANO DE CONTAS]:[NOMES INTERVALOS]],2,0),"")</f>
        <v/>
      </c>
      <c r="Z1042" s="523" t="str">
        <f>IF(LANÇ_MOV[[#This Row],[FORMA DE PAGAMENTO]]="","",VLOOKUP(LANÇ_MOV[[#This Row],[FORMA DE PAGAMENTO]],CAD_Forma_pagto[],2,0))</f>
        <v/>
      </c>
      <c r="AA1042" s="524" t="str">
        <f>IF(LANÇ_MOV[[#This Row],[DATA DE LANÇAMENTO]]="","",TEXT(LANÇ_MOV[[#This Row],[DATA DE LANÇAMENTO]],"AAAA"))</f>
        <v/>
      </c>
      <c r="AB1042" s="524" t="str">
        <f>IF(LANÇ_MOV[[#This Row],[DATA DE LANÇAMENTO]]="","",UPPER(TEXT(LANÇ_MOV[[#This Row],[DATA DE LANÇAMENTO]],"MMMM")))</f>
        <v/>
      </c>
      <c r="AC1042" s="525" t="str">
        <f>IF(LANÇ_MOV[[#This Row],[DATA DE LANÇAMENTO]]="","",PROPER(TEXT(LANÇ_MOV[[#This Row],[DATA DE LANÇAMENTO]],"M")))</f>
        <v/>
      </c>
      <c r="AD1042" s="524" t="str">
        <f>IF(LANÇ_MOV[[#This Row],[DATA DE LANÇAMENTO]]="","",TEXT(LANÇ_MOV[[#This Row],[DATA DE LANÇAMENTO]],"D"))</f>
        <v/>
      </c>
      <c r="AE1042" s="526" t="str">
        <f>IF(LANÇ_MOV[[#This Row],[DATA DE VENCIMENTO]]="","",TEXT(LANÇ_MOV[[#This Row],[DATA DE VENCIMENTO]],"AAAA"))</f>
        <v/>
      </c>
      <c r="AF1042" s="526" t="str">
        <f>IF(LANÇ_MOV[[#This Row],[DATA DE VENCIMENTO]]="","",UPPER(TEXT(LANÇ_MOV[[#This Row],[DATA DE VENCIMENTO]],"MMMM")))</f>
        <v/>
      </c>
      <c r="AG1042" s="526" t="str">
        <f>IF(LANÇ_MOV[[#This Row],[DATA DE VENCIMENTO]]="","",TEXT(LANÇ_MOV[[#This Row],[DATA DE VENCIMENTO]],"M"))</f>
        <v/>
      </c>
      <c r="AH1042" s="526" t="str">
        <f>IF(LANÇ_MOV[[#This Row],[DATA DE VENCIMENTO]]="","",TEXT(LANÇ_MOV[[#This Row],[DATA DE VENCIMENTO]],"D"))</f>
        <v/>
      </c>
      <c r="AI1042" s="526" t="str">
        <f>IF(LANÇ_MOV[[#This Row],[DATA DE PAGAMENTO]]="","",TEXT(LANÇ_MOV[[#This Row],[DATA DE PAGAMENTO]],"AAAA"))</f>
        <v/>
      </c>
      <c r="AJ1042" s="527" t="str">
        <f>IF(LANÇ_MOV[[#This Row],[DATA DE PAGAMENTO]]="","",UPPER(TEXT(LANÇ_MOV[[#This Row],[DATA DE PAGAMENTO]],"MMMM")))</f>
        <v/>
      </c>
      <c r="AK1042" s="527" t="str">
        <f>IF(LANÇ_MOV[[#This Row],[DATA DE PAGAMENTO]]="","",TEXT(LANÇ_MOV[[#This Row],[DATA DE PAGAMENTO]],"M"))</f>
        <v/>
      </c>
      <c r="AL1042" s="526" t="str">
        <f>IF(LANÇ_MOV[[#This Row],[DATA DE PAGAMENTO]]="","",TEXT(LANÇ_MOV[[#This Row],[DATA DE PAGAMENTO]],"D"))</f>
        <v/>
      </c>
    </row>
    <row r="1043" spans="2:38" ht="30.05" customHeight="1" x14ac:dyDescent="0.35">
      <c r="B1043" s="506"/>
      <c r="C1043" s="507"/>
      <c r="D1043" s="508" t="s">
        <v>1854</v>
      </c>
      <c r="E1043" s="509"/>
      <c r="F1043" s="510"/>
      <c r="G1043" s="507"/>
      <c r="H1043" s="511"/>
      <c r="I1043" s="512"/>
      <c r="J1043" s="518"/>
      <c r="K1043" s="510"/>
      <c r="L1043" s="510"/>
      <c r="M1043" s="548"/>
      <c r="N1043" s="514">
        <f>LANÇ_MOV[[#This Row],[VALOR BRUTO]]-LANÇ_MOV[[#This Row],[DESCONTO]]+LANÇ_MOV[[#This Row],[JUROS]]+LANÇ_MOV[[#This Row],[MULTA]]</f>
        <v>0</v>
      </c>
      <c r="O1043" s="546"/>
      <c r="P1043" s="547" t="str">
        <f t="shared" ca="1" si="16"/>
        <v/>
      </c>
      <c r="Q1043" s="528"/>
      <c r="R1043" s="529"/>
      <c r="S1043" s="518"/>
      <c r="T1043" s="518"/>
      <c r="U1043" s="519"/>
      <c r="V1043" s="520" t="str">
        <f>IFERROR(VLOOKUP(LANÇ_MOV[[#This Row],[PLANO DE CONTAS]],Plano_Contas[[PLANO DE CONTAS]:[R / D]],3,0),"")</f>
        <v/>
      </c>
      <c r="W1043" s="521" t="str">
        <f>IF(LANÇ_MOV[[#This Row],[DATA DE PAGAMENTO]]&lt;&gt;"","Pago","Não Pago")</f>
        <v>Não Pago</v>
      </c>
      <c r="X1043" s="522" t="str">
        <f>IFERROR(IF(LANÇ_MOV[[#This Row],[DATA DE PAGAMENTO]]="","",(UPPER(TEXT(LANÇ_MOV[[#This Row],[DATA DE PAGAMENTO]],"mmmm")))),"")</f>
        <v/>
      </c>
      <c r="Y1043" s="523" t="str">
        <f>IFERROR(VLOOKUP(LANÇ_MOV[[#This Row],[PLANO DE CONTAS]],Plano_Contas[[PLANO DE CONTAS]:[NOMES INTERVALOS]],2,0),"")</f>
        <v/>
      </c>
      <c r="Z1043" s="523" t="str">
        <f>IF(LANÇ_MOV[[#This Row],[FORMA DE PAGAMENTO]]="","",VLOOKUP(LANÇ_MOV[[#This Row],[FORMA DE PAGAMENTO]],CAD_Forma_pagto[],2,0))</f>
        <v/>
      </c>
      <c r="AA1043" s="524" t="str">
        <f>IF(LANÇ_MOV[[#This Row],[DATA DE LANÇAMENTO]]="","",TEXT(LANÇ_MOV[[#This Row],[DATA DE LANÇAMENTO]],"AAAA"))</f>
        <v/>
      </c>
      <c r="AB1043" s="524" t="str">
        <f>IF(LANÇ_MOV[[#This Row],[DATA DE LANÇAMENTO]]="","",UPPER(TEXT(LANÇ_MOV[[#This Row],[DATA DE LANÇAMENTO]],"MMMM")))</f>
        <v/>
      </c>
      <c r="AC1043" s="525" t="str">
        <f>IF(LANÇ_MOV[[#This Row],[DATA DE LANÇAMENTO]]="","",PROPER(TEXT(LANÇ_MOV[[#This Row],[DATA DE LANÇAMENTO]],"M")))</f>
        <v/>
      </c>
      <c r="AD1043" s="524" t="str">
        <f>IF(LANÇ_MOV[[#This Row],[DATA DE LANÇAMENTO]]="","",TEXT(LANÇ_MOV[[#This Row],[DATA DE LANÇAMENTO]],"D"))</f>
        <v/>
      </c>
      <c r="AE1043" s="526" t="str">
        <f>IF(LANÇ_MOV[[#This Row],[DATA DE VENCIMENTO]]="","",TEXT(LANÇ_MOV[[#This Row],[DATA DE VENCIMENTO]],"AAAA"))</f>
        <v/>
      </c>
      <c r="AF1043" s="526" t="str">
        <f>IF(LANÇ_MOV[[#This Row],[DATA DE VENCIMENTO]]="","",UPPER(TEXT(LANÇ_MOV[[#This Row],[DATA DE VENCIMENTO]],"MMMM")))</f>
        <v/>
      </c>
      <c r="AG1043" s="526" t="str">
        <f>IF(LANÇ_MOV[[#This Row],[DATA DE VENCIMENTO]]="","",TEXT(LANÇ_MOV[[#This Row],[DATA DE VENCIMENTO]],"M"))</f>
        <v/>
      </c>
      <c r="AH1043" s="526" t="str">
        <f>IF(LANÇ_MOV[[#This Row],[DATA DE VENCIMENTO]]="","",TEXT(LANÇ_MOV[[#This Row],[DATA DE VENCIMENTO]],"D"))</f>
        <v/>
      </c>
      <c r="AI1043" s="526" t="str">
        <f>IF(LANÇ_MOV[[#This Row],[DATA DE PAGAMENTO]]="","",TEXT(LANÇ_MOV[[#This Row],[DATA DE PAGAMENTO]],"AAAA"))</f>
        <v/>
      </c>
      <c r="AJ1043" s="527" t="str">
        <f>IF(LANÇ_MOV[[#This Row],[DATA DE PAGAMENTO]]="","",UPPER(TEXT(LANÇ_MOV[[#This Row],[DATA DE PAGAMENTO]],"MMMM")))</f>
        <v/>
      </c>
      <c r="AK1043" s="527" t="str">
        <f>IF(LANÇ_MOV[[#This Row],[DATA DE PAGAMENTO]]="","",TEXT(LANÇ_MOV[[#This Row],[DATA DE PAGAMENTO]],"M"))</f>
        <v/>
      </c>
      <c r="AL1043" s="526" t="str">
        <f>IF(LANÇ_MOV[[#This Row],[DATA DE PAGAMENTO]]="","",TEXT(LANÇ_MOV[[#This Row],[DATA DE PAGAMENTO]],"D"))</f>
        <v/>
      </c>
    </row>
    <row r="1044" spans="2:38" ht="30.05" customHeight="1" x14ac:dyDescent="0.35">
      <c r="B1044" s="506"/>
      <c r="C1044" s="507"/>
      <c r="D1044" s="508" t="s">
        <v>1854</v>
      </c>
      <c r="E1044" s="509"/>
      <c r="F1044" s="510"/>
      <c r="G1044" s="507"/>
      <c r="H1044" s="511"/>
      <c r="I1044" s="512"/>
      <c r="J1044" s="518"/>
      <c r="K1044" s="510"/>
      <c r="L1044" s="510"/>
      <c r="M1044" s="548"/>
      <c r="N1044" s="514">
        <f>LANÇ_MOV[[#This Row],[VALOR BRUTO]]-LANÇ_MOV[[#This Row],[DESCONTO]]+LANÇ_MOV[[#This Row],[JUROS]]+LANÇ_MOV[[#This Row],[MULTA]]</f>
        <v>0</v>
      </c>
      <c r="O1044" s="546"/>
      <c r="P1044" s="547" t="str">
        <f t="shared" ca="1" si="16"/>
        <v/>
      </c>
      <c r="Q1044" s="528"/>
      <c r="R1044" s="529"/>
      <c r="S1044" s="518"/>
      <c r="T1044" s="518"/>
      <c r="U1044" s="519"/>
      <c r="V1044" s="520" t="str">
        <f>IFERROR(VLOOKUP(LANÇ_MOV[[#This Row],[PLANO DE CONTAS]],Plano_Contas[[PLANO DE CONTAS]:[R / D]],3,0),"")</f>
        <v/>
      </c>
      <c r="W1044" s="521" t="str">
        <f>IF(LANÇ_MOV[[#This Row],[DATA DE PAGAMENTO]]&lt;&gt;"","Pago","Não Pago")</f>
        <v>Não Pago</v>
      </c>
      <c r="X1044" s="522" t="str">
        <f>IFERROR(IF(LANÇ_MOV[[#This Row],[DATA DE PAGAMENTO]]="","",(UPPER(TEXT(LANÇ_MOV[[#This Row],[DATA DE PAGAMENTO]],"mmmm")))),"")</f>
        <v/>
      </c>
      <c r="Y1044" s="523" t="str">
        <f>IFERROR(VLOOKUP(LANÇ_MOV[[#This Row],[PLANO DE CONTAS]],Plano_Contas[[PLANO DE CONTAS]:[NOMES INTERVALOS]],2,0),"")</f>
        <v/>
      </c>
      <c r="Z1044" s="523" t="str">
        <f>IF(LANÇ_MOV[[#This Row],[FORMA DE PAGAMENTO]]="","",VLOOKUP(LANÇ_MOV[[#This Row],[FORMA DE PAGAMENTO]],CAD_Forma_pagto[],2,0))</f>
        <v/>
      </c>
      <c r="AA1044" s="524" t="str">
        <f>IF(LANÇ_MOV[[#This Row],[DATA DE LANÇAMENTO]]="","",TEXT(LANÇ_MOV[[#This Row],[DATA DE LANÇAMENTO]],"AAAA"))</f>
        <v/>
      </c>
      <c r="AB1044" s="524" t="str">
        <f>IF(LANÇ_MOV[[#This Row],[DATA DE LANÇAMENTO]]="","",UPPER(TEXT(LANÇ_MOV[[#This Row],[DATA DE LANÇAMENTO]],"MMMM")))</f>
        <v/>
      </c>
      <c r="AC1044" s="525" t="str">
        <f>IF(LANÇ_MOV[[#This Row],[DATA DE LANÇAMENTO]]="","",PROPER(TEXT(LANÇ_MOV[[#This Row],[DATA DE LANÇAMENTO]],"M")))</f>
        <v/>
      </c>
      <c r="AD1044" s="524" t="str">
        <f>IF(LANÇ_MOV[[#This Row],[DATA DE LANÇAMENTO]]="","",TEXT(LANÇ_MOV[[#This Row],[DATA DE LANÇAMENTO]],"D"))</f>
        <v/>
      </c>
      <c r="AE1044" s="526" t="str">
        <f>IF(LANÇ_MOV[[#This Row],[DATA DE VENCIMENTO]]="","",TEXT(LANÇ_MOV[[#This Row],[DATA DE VENCIMENTO]],"AAAA"))</f>
        <v/>
      </c>
      <c r="AF1044" s="526" t="str">
        <f>IF(LANÇ_MOV[[#This Row],[DATA DE VENCIMENTO]]="","",UPPER(TEXT(LANÇ_MOV[[#This Row],[DATA DE VENCIMENTO]],"MMMM")))</f>
        <v/>
      </c>
      <c r="AG1044" s="526" t="str">
        <f>IF(LANÇ_MOV[[#This Row],[DATA DE VENCIMENTO]]="","",TEXT(LANÇ_MOV[[#This Row],[DATA DE VENCIMENTO]],"M"))</f>
        <v/>
      </c>
      <c r="AH1044" s="526" t="str">
        <f>IF(LANÇ_MOV[[#This Row],[DATA DE VENCIMENTO]]="","",TEXT(LANÇ_MOV[[#This Row],[DATA DE VENCIMENTO]],"D"))</f>
        <v/>
      </c>
      <c r="AI1044" s="526" t="str">
        <f>IF(LANÇ_MOV[[#This Row],[DATA DE PAGAMENTO]]="","",TEXT(LANÇ_MOV[[#This Row],[DATA DE PAGAMENTO]],"AAAA"))</f>
        <v/>
      </c>
      <c r="AJ1044" s="527" t="str">
        <f>IF(LANÇ_MOV[[#This Row],[DATA DE PAGAMENTO]]="","",UPPER(TEXT(LANÇ_MOV[[#This Row],[DATA DE PAGAMENTO]],"MMMM")))</f>
        <v/>
      </c>
      <c r="AK1044" s="527" t="str">
        <f>IF(LANÇ_MOV[[#This Row],[DATA DE PAGAMENTO]]="","",TEXT(LANÇ_MOV[[#This Row],[DATA DE PAGAMENTO]],"M"))</f>
        <v/>
      </c>
      <c r="AL1044" s="526" t="str">
        <f>IF(LANÇ_MOV[[#This Row],[DATA DE PAGAMENTO]]="","",TEXT(LANÇ_MOV[[#This Row],[DATA DE PAGAMENTO]],"D"))</f>
        <v/>
      </c>
    </row>
    <row r="1045" spans="2:38" ht="30.05" customHeight="1" x14ac:dyDescent="0.35">
      <c r="B1045" s="506"/>
      <c r="C1045" s="507"/>
      <c r="D1045" s="508" t="s">
        <v>1854</v>
      </c>
      <c r="E1045" s="509"/>
      <c r="F1045" s="510"/>
      <c r="G1045" s="507"/>
      <c r="H1045" s="511"/>
      <c r="I1045" s="512"/>
      <c r="J1045" s="518"/>
      <c r="K1045" s="510"/>
      <c r="L1045" s="510"/>
      <c r="M1045" s="548"/>
      <c r="N1045" s="514">
        <f>LANÇ_MOV[[#This Row],[VALOR BRUTO]]-LANÇ_MOV[[#This Row],[DESCONTO]]+LANÇ_MOV[[#This Row],[JUROS]]+LANÇ_MOV[[#This Row],[MULTA]]</f>
        <v>0</v>
      </c>
      <c r="O1045" s="546"/>
      <c r="P1045" s="547" t="str">
        <f t="shared" ca="1" si="16"/>
        <v/>
      </c>
      <c r="Q1045" s="528"/>
      <c r="R1045" s="529"/>
      <c r="S1045" s="518"/>
      <c r="T1045" s="518"/>
      <c r="U1045" s="519"/>
      <c r="V1045" s="520" t="str">
        <f>IFERROR(VLOOKUP(LANÇ_MOV[[#This Row],[PLANO DE CONTAS]],Plano_Contas[[PLANO DE CONTAS]:[R / D]],3,0),"")</f>
        <v/>
      </c>
      <c r="W1045" s="521" t="str">
        <f>IF(LANÇ_MOV[[#This Row],[DATA DE PAGAMENTO]]&lt;&gt;"","Pago","Não Pago")</f>
        <v>Não Pago</v>
      </c>
      <c r="X1045" s="522" t="str">
        <f>IFERROR(IF(LANÇ_MOV[[#This Row],[DATA DE PAGAMENTO]]="","",(UPPER(TEXT(LANÇ_MOV[[#This Row],[DATA DE PAGAMENTO]],"mmmm")))),"")</f>
        <v/>
      </c>
      <c r="Y1045" s="523" t="str">
        <f>IFERROR(VLOOKUP(LANÇ_MOV[[#This Row],[PLANO DE CONTAS]],Plano_Contas[[PLANO DE CONTAS]:[NOMES INTERVALOS]],2,0),"")</f>
        <v/>
      </c>
      <c r="Z1045" s="523" t="str">
        <f>IF(LANÇ_MOV[[#This Row],[FORMA DE PAGAMENTO]]="","",VLOOKUP(LANÇ_MOV[[#This Row],[FORMA DE PAGAMENTO]],CAD_Forma_pagto[],2,0))</f>
        <v/>
      </c>
      <c r="AA1045" s="524" t="str">
        <f>IF(LANÇ_MOV[[#This Row],[DATA DE LANÇAMENTO]]="","",TEXT(LANÇ_MOV[[#This Row],[DATA DE LANÇAMENTO]],"AAAA"))</f>
        <v/>
      </c>
      <c r="AB1045" s="524" t="str">
        <f>IF(LANÇ_MOV[[#This Row],[DATA DE LANÇAMENTO]]="","",UPPER(TEXT(LANÇ_MOV[[#This Row],[DATA DE LANÇAMENTO]],"MMMM")))</f>
        <v/>
      </c>
      <c r="AC1045" s="525" t="str">
        <f>IF(LANÇ_MOV[[#This Row],[DATA DE LANÇAMENTO]]="","",PROPER(TEXT(LANÇ_MOV[[#This Row],[DATA DE LANÇAMENTO]],"M")))</f>
        <v/>
      </c>
      <c r="AD1045" s="524" t="str">
        <f>IF(LANÇ_MOV[[#This Row],[DATA DE LANÇAMENTO]]="","",TEXT(LANÇ_MOV[[#This Row],[DATA DE LANÇAMENTO]],"D"))</f>
        <v/>
      </c>
      <c r="AE1045" s="526" t="str">
        <f>IF(LANÇ_MOV[[#This Row],[DATA DE VENCIMENTO]]="","",TEXT(LANÇ_MOV[[#This Row],[DATA DE VENCIMENTO]],"AAAA"))</f>
        <v/>
      </c>
      <c r="AF1045" s="526" t="str">
        <f>IF(LANÇ_MOV[[#This Row],[DATA DE VENCIMENTO]]="","",UPPER(TEXT(LANÇ_MOV[[#This Row],[DATA DE VENCIMENTO]],"MMMM")))</f>
        <v/>
      </c>
      <c r="AG1045" s="526" t="str">
        <f>IF(LANÇ_MOV[[#This Row],[DATA DE VENCIMENTO]]="","",TEXT(LANÇ_MOV[[#This Row],[DATA DE VENCIMENTO]],"M"))</f>
        <v/>
      </c>
      <c r="AH1045" s="526" t="str">
        <f>IF(LANÇ_MOV[[#This Row],[DATA DE VENCIMENTO]]="","",TEXT(LANÇ_MOV[[#This Row],[DATA DE VENCIMENTO]],"D"))</f>
        <v/>
      </c>
      <c r="AI1045" s="526" t="str">
        <f>IF(LANÇ_MOV[[#This Row],[DATA DE PAGAMENTO]]="","",TEXT(LANÇ_MOV[[#This Row],[DATA DE PAGAMENTO]],"AAAA"))</f>
        <v/>
      </c>
      <c r="AJ1045" s="527" t="str">
        <f>IF(LANÇ_MOV[[#This Row],[DATA DE PAGAMENTO]]="","",UPPER(TEXT(LANÇ_MOV[[#This Row],[DATA DE PAGAMENTO]],"MMMM")))</f>
        <v/>
      </c>
      <c r="AK1045" s="527" t="str">
        <f>IF(LANÇ_MOV[[#This Row],[DATA DE PAGAMENTO]]="","",TEXT(LANÇ_MOV[[#This Row],[DATA DE PAGAMENTO]],"M"))</f>
        <v/>
      </c>
      <c r="AL1045" s="526" t="str">
        <f>IF(LANÇ_MOV[[#This Row],[DATA DE PAGAMENTO]]="","",TEXT(LANÇ_MOV[[#This Row],[DATA DE PAGAMENTO]],"D"))</f>
        <v/>
      </c>
    </row>
    <row r="1046" spans="2:38" ht="30.05" customHeight="1" x14ac:dyDescent="0.35">
      <c r="B1046" s="506"/>
      <c r="C1046" s="507"/>
      <c r="D1046" s="508" t="s">
        <v>1854</v>
      </c>
      <c r="E1046" s="509"/>
      <c r="F1046" s="510"/>
      <c r="G1046" s="507"/>
      <c r="H1046" s="511"/>
      <c r="I1046" s="512"/>
      <c r="J1046" s="518"/>
      <c r="K1046" s="510"/>
      <c r="L1046" s="510"/>
      <c r="M1046" s="548"/>
      <c r="N1046" s="514">
        <f>LANÇ_MOV[[#This Row],[VALOR BRUTO]]-LANÇ_MOV[[#This Row],[DESCONTO]]+LANÇ_MOV[[#This Row],[JUROS]]+LANÇ_MOV[[#This Row],[MULTA]]</f>
        <v>0</v>
      </c>
      <c r="O1046" s="546"/>
      <c r="P1046" s="547" t="str">
        <f t="shared" ca="1" si="16"/>
        <v/>
      </c>
      <c r="Q1046" s="528"/>
      <c r="R1046" s="529"/>
      <c r="S1046" s="518"/>
      <c r="T1046" s="518"/>
      <c r="U1046" s="519"/>
      <c r="V1046" s="520" t="str">
        <f>IFERROR(VLOOKUP(LANÇ_MOV[[#This Row],[PLANO DE CONTAS]],Plano_Contas[[PLANO DE CONTAS]:[R / D]],3,0),"")</f>
        <v/>
      </c>
      <c r="W1046" s="521" t="str">
        <f>IF(LANÇ_MOV[[#This Row],[DATA DE PAGAMENTO]]&lt;&gt;"","Pago","Não Pago")</f>
        <v>Não Pago</v>
      </c>
      <c r="X1046" s="522" t="str">
        <f>IFERROR(IF(LANÇ_MOV[[#This Row],[DATA DE PAGAMENTO]]="","",(UPPER(TEXT(LANÇ_MOV[[#This Row],[DATA DE PAGAMENTO]],"mmmm")))),"")</f>
        <v/>
      </c>
      <c r="Y1046" s="523" t="str">
        <f>IFERROR(VLOOKUP(LANÇ_MOV[[#This Row],[PLANO DE CONTAS]],Plano_Contas[[PLANO DE CONTAS]:[NOMES INTERVALOS]],2,0),"")</f>
        <v/>
      </c>
      <c r="Z1046" s="523" t="str">
        <f>IF(LANÇ_MOV[[#This Row],[FORMA DE PAGAMENTO]]="","",VLOOKUP(LANÇ_MOV[[#This Row],[FORMA DE PAGAMENTO]],CAD_Forma_pagto[],2,0))</f>
        <v/>
      </c>
      <c r="AA1046" s="524" t="str">
        <f>IF(LANÇ_MOV[[#This Row],[DATA DE LANÇAMENTO]]="","",TEXT(LANÇ_MOV[[#This Row],[DATA DE LANÇAMENTO]],"AAAA"))</f>
        <v/>
      </c>
      <c r="AB1046" s="524" t="str">
        <f>IF(LANÇ_MOV[[#This Row],[DATA DE LANÇAMENTO]]="","",UPPER(TEXT(LANÇ_MOV[[#This Row],[DATA DE LANÇAMENTO]],"MMMM")))</f>
        <v/>
      </c>
      <c r="AC1046" s="525" t="str">
        <f>IF(LANÇ_MOV[[#This Row],[DATA DE LANÇAMENTO]]="","",PROPER(TEXT(LANÇ_MOV[[#This Row],[DATA DE LANÇAMENTO]],"M")))</f>
        <v/>
      </c>
      <c r="AD1046" s="524" t="str">
        <f>IF(LANÇ_MOV[[#This Row],[DATA DE LANÇAMENTO]]="","",TEXT(LANÇ_MOV[[#This Row],[DATA DE LANÇAMENTO]],"D"))</f>
        <v/>
      </c>
      <c r="AE1046" s="526" t="str">
        <f>IF(LANÇ_MOV[[#This Row],[DATA DE VENCIMENTO]]="","",TEXT(LANÇ_MOV[[#This Row],[DATA DE VENCIMENTO]],"AAAA"))</f>
        <v/>
      </c>
      <c r="AF1046" s="526" t="str">
        <f>IF(LANÇ_MOV[[#This Row],[DATA DE VENCIMENTO]]="","",UPPER(TEXT(LANÇ_MOV[[#This Row],[DATA DE VENCIMENTO]],"MMMM")))</f>
        <v/>
      </c>
      <c r="AG1046" s="526" t="str">
        <f>IF(LANÇ_MOV[[#This Row],[DATA DE VENCIMENTO]]="","",TEXT(LANÇ_MOV[[#This Row],[DATA DE VENCIMENTO]],"M"))</f>
        <v/>
      </c>
      <c r="AH1046" s="526" t="str">
        <f>IF(LANÇ_MOV[[#This Row],[DATA DE VENCIMENTO]]="","",TEXT(LANÇ_MOV[[#This Row],[DATA DE VENCIMENTO]],"D"))</f>
        <v/>
      </c>
      <c r="AI1046" s="526" t="str">
        <f>IF(LANÇ_MOV[[#This Row],[DATA DE PAGAMENTO]]="","",TEXT(LANÇ_MOV[[#This Row],[DATA DE PAGAMENTO]],"AAAA"))</f>
        <v/>
      </c>
      <c r="AJ1046" s="527" t="str">
        <f>IF(LANÇ_MOV[[#This Row],[DATA DE PAGAMENTO]]="","",UPPER(TEXT(LANÇ_MOV[[#This Row],[DATA DE PAGAMENTO]],"MMMM")))</f>
        <v/>
      </c>
      <c r="AK1046" s="527" t="str">
        <f>IF(LANÇ_MOV[[#This Row],[DATA DE PAGAMENTO]]="","",TEXT(LANÇ_MOV[[#This Row],[DATA DE PAGAMENTO]],"M"))</f>
        <v/>
      </c>
      <c r="AL1046" s="526" t="str">
        <f>IF(LANÇ_MOV[[#This Row],[DATA DE PAGAMENTO]]="","",TEXT(LANÇ_MOV[[#This Row],[DATA DE PAGAMENTO]],"D"))</f>
        <v/>
      </c>
    </row>
    <row r="1047" spans="2:38" ht="30.05" customHeight="1" x14ac:dyDescent="0.35">
      <c r="B1047" s="506"/>
      <c r="C1047" s="507"/>
      <c r="D1047" s="508" t="s">
        <v>1854</v>
      </c>
      <c r="E1047" s="509"/>
      <c r="F1047" s="510"/>
      <c r="G1047" s="507"/>
      <c r="H1047" s="511"/>
      <c r="I1047" s="512"/>
      <c r="J1047" s="518"/>
      <c r="K1047" s="510"/>
      <c r="L1047" s="510"/>
      <c r="M1047" s="548"/>
      <c r="N1047" s="514">
        <f>LANÇ_MOV[[#This Row],[VALOR BRUTO]]-LANÇ_MOV[[#This Row],[DESCONTO]]+LANÇ_MOV[[#This Row],[JUROS]]+LANÇ_MOV[[#This Row],[MULTA]]</f>
        <v>0</v>
      </c>
      <c r="O1047" s="546"/>
      <c r="P1047" s="547" t="str">
        <f t="shared" ca="1" si="16"/>
        <v/>
      </c>
      <c r="Q1047" s="528"/>
      <c r="R1047" s="529"/>
      <c r="S1047" s="518"/>
      <c r="T1047" s="518"/>
      <c r="U1047" s="519"/>
      <c r="V1047" s="520" t="str">
        <f>IFERROR(VLOOKUP(LANÇ_MOV[[#This Row],[PLANO DE CONTAS]],Plano_Contas[[PLANO DE CONTAS]:[R / D]],3,0),"")</f>
        <v/>
      </c>
      <c r="W1047" s="521" t="str">
        <f>IF(LANÇ_MOV[[#This Row],[DATA DE PAGAMENTO]]&lt;&gt;"","Pago","Não Pago")</f>
        <v>Não Pago</v>
      </c>
      <c r="X1047" s="522" t="str">
        <f>IFERROR(IF(LANÇ_MOV[[#This Row],[DATA DE PAGAMENTO]]="","",(UPPER(TEXT(LANÇ_MOV[[#This Row],[DATA DE PAGAMENTO]],"mmmm")))),"")</f>
        <v/>
      </c>
      <c r="Y1047" s="523" t="str">
        <f>IFERROR(VLOOKUP(LANÇ_MOV[[#This Row],[PLANO DE CONTAS]],Plano_Contas[[PLANO DE CONTAS]:[NOMES INTERVALOS]],2,0),"")</f>
        <v/>
      </c>
      <c r="Z1047" s="523" t="str">
        <f>IF(LANÇ_MOV[[#This Row],[FORMA DE PAGAMENTO]]="","",VLOOKUP(LANÇ_MOV[[#This Row],[FORMA DE PAGAMENTO]],CAD_Forma_pagto[],2,0))</f>
        <v/>
      </c>
      <c r="AA1047" s="524" t="str">
        <f>IF(LANÇ_MOV[[#This Row],[DATA DE LANÇAMENTO]]="","",TEXT(LANÇ_MOV[[#This Row],[DATA DE LANÇAMENTO]],"AAAA"))</f>
        <v/>
      </c>
      <c r="AB1047" s="524" t="str">
        <f>IF(LANÇ_MOV[[#This Row],[DATA DE LANÇAMENTO]]="","",UPPER(TEXT(LANÇ_MOV[[#This Row],[DATA DE LANÇAMENTO]],"MMMM")))</f>
        <v/>
      </c>
      <c r="AC1047" s="525" t="str">
        <f>IF(LANÇ_MOV[[#This Row],[DATA DE LANÇAMENTO]]="","",PROPER(TEXT(LANÇ_MOV[[#This Row],[DATA DE LANÇAMENTO]],"M")))</f>
        <v/>
      </c>
      <c r="AD1047" s="524" t="str">
        <f>IF(LANÇ_MOV[[#This Row],[DATA DE LANÇAMENTO]]="","",TEXT(LANÇ_MOV[[#This Row],[DATA DE LANÇAMENTO]],"D"))</f>
        <v/>
      </c>
      <c r="AE1047" s="526" t="str">
        <f>IF(LANÇ_MOV[[#This Row],[DATA DE VENCIMENTO]]="","",TEXT(LANÇ_MOV[[#This Row],[DATA DE VENCIMENTO]],"AAAA"))</f>
        <v/>
      </c>
      <c r="AF1047" s="526" t="str">
        <f>IF(LANÇ_MOV[[#This Row],[DATA DE VENCIMENTO]]="","",UPPER(TEXT(LANÇ_MOV[[#This Row],[DATA DE VENCIMENTO]],"MMMM")))</f>
        <v/>
      </c>
      <c r="AG1047" s="526" t="str">
        <f>IF(LANÇ_MOV[[#This Row],[DATA DE VENCIMENTO]]="","",TEXT(LANÇ_MOV[[#This Row],[DATA DE VENCIMENTO]],"M"))</f>
        <v/>
      </c>
      <c r="AH1047" s="526" t="str">
        <f>IF(LANÇ_MOV[[#This Row],[DATA DE VENCIMENTO]]="","",TEXT(LANÇ_MOV[[#This Row],[DATA DE VENCIMENTO]],"D"))</f>
        <v/>
      </c>
      <c r="AI1047" s="526" t="str">
        <f>IF(LANÇ_MOV[[#This Row],[DATA DE PAGAMENTO]]="","",TEXT(LANÇ_MOV[[#This Row],[DATA DE PAGAMENTO]],"AAAA"))</f>
        <v/>
      </c>
      <c r="AJ1047" s="527" t="str">
        <f>IF(LANÇ_MOV[[#This Row],[DATA DE PAGAMENTO]]="","",UPPER(TEXT(LANÇ_MOV[[#This Row],[DATA DE PAGAMENTO]],"MMMM")))</f>
        <v/>
      </c>
      <c r="AK1047" s="527" t="str">
        <f>IF(LANÇ_MOV[[#This Row],[DATA DE PAGAMENTO]]="","",TEXT(LANÇ_MOV[[#This Row],[DATA DE PAGAMENTO]],"M"))</f>
        <v/>
      </c>
      <c r="AL1047" s="526" t="str">
        <f>IF(LANÇ_MOV[[#This Row],[DATA DE PAGAMENTO]]="","",TEXT(LANÇ_MOV[[#This Row],[DATA DE PAGAMENTO]],"D"))</f>
        <v/>
      </c>
    </row>
    <row r="1048" spans="2:38" ht="30.05" customHeight="1" x14ac:dyDescent="0.35">
      <c r="B1048" s="506"/>
      <c r="C1048" s="507"/>
      <c r="D1048" s="508" t="s">
        <v>1854</v>
      </c>
      <c r="E1048" s="509"/>
      <c r="F1048" s="510"/>
      <c r="G1048" s="507"/>
      <c r="H1048" s="511"/>
      <c r="I1048" s="512"/>
      <c r="J1048" s="518"/>
      <c r="K1048" s="510"/>
      <c r="L1048" s="510"/>
      <c r="M1048" s="548"/>
      <c r="N1048" s="514">
        <f>LANÇ_MOV[[#This Row],[VALOR BRUTO]]-LANÇ_MOV[[#This Row],[DESCONTO]]+LANÇ_MOV[[#This Row],[JUROS]]+LANÇ_MOV[[#This Row],[MULTA]]</f>
        <v>0</v>
      </c>
      <c r="O1048" s="546"/>
      <c r="P1048" s="547" t="str">
        <f t="shared" ca="1" si="16"/>
        <v/>
      </c>
      <c r="Q1048" s="528"/>
      <c r="R1048" s="529"/>
      <c r="S1048" s="518"/>
      <c r="T1048" s="518"/>
      <c r="U1048" s="519"/>
      <c r="V1048" s="520" t="str">
        <f>IFERROR(VLOOKUP(LANÇ_MOV[[#This Row],[PLANO DE CONTAS]],Plano_Contas[[PLANO DE CONTAS]:[R / D]],3,0),"")</f>
        <v/>
      </c>
      <c r="W1048" s="521" t="str">
        <f>IF(LANÇ_MOV[[#This Row],[DATA DE PAGAMENTO]]&lt;&gt;"","Pago","Não Pago")</f>
        <v>Não Pago</v>
      </c>
      <c r="X1048" s="522" t="str">
        <f>IFERROR(IF(LANÇ_MOV[[#This Row],[DATA DE PAGAMENTO]]="","",(UPPER(TEXT(LANÇ_MOV[[#This Row],[DATA DE PAGAMENTO]],"mmmm")))),"")</f>
        <v/>
      </c>
      <c r="Y1048" s="523" t="str">
        <f>IFERROR(VLOOKUP(LANÇ_MOV[[#This Row],[PLANO DE CONTAS]],Plano_Contas[[PLANO DE CONTAS]:[NOMES INTERVALOS]],2,0),"")</f>
        <v/>
      </c>
      <c r="Z1048" s="523" t="str">
        <f>IF(LANÇ_MOV[[#This Row],[FORMA DE PAGAMENTO]]="","",VLOOKUP(LANÇ_MOV[[#This Row],[FORMA DE PAGAMENTO]],CAD_Forma_pagto[],2,0))</f>
        <v/>
      </c>
      <c r="AA1048" s="524" t="str">
        <f>IF(LANÇ_MOV[[#This Row],[DATA DE LANÇAMENTO]]="","",TEXT(LANÇ_MOV[[#This Row],[DATA DE LANÇAMENTO]],"AAAA"))</f>
        <v/>
      </c>
      <c r="AB1048" s="524" t="str">
        <f>IF(LANÇ_MOV[[#This Row],[DATA DE LANÇAMENTO]]="","",UPPER(TEXT(LANÇ_MOV[[#This Row],[DATA DE LANÇAMENTO]],"MMMM")))</f>
        <v/>
      </c>
      <c r="AC1048" s="525" t="str">
        <f>IF(LANÇ_MOV[[#This Row],[DATA DE LANÇAMENTO]]="","",PROPER(TEXT(LANÇ_MOV[[#This Row],[DATA DE LANÇAMENTO]],"M")))</f>
        <v/>
      </c>
      <c r="AD1048" s="524" t="str">
        <f>IF(LANÇ_MOV[[#This Row],[DATA DE LANÇAMENTO]]="","",TEXT(LANÇ_MOV[[#This Row],[DATA DE LANÇAMENTO]],"D"))</f>
        <v/>
      </c>
      <c r="AE1048" s="526" t="str">
        <f>IF(LANÇ_MOV[[#This Row],[DATA DE VENCIMENTO]]="","",TEXT(LANÇ_MOV[[#This Row],[DATA DE VENCIMENTO]],"AAAA"))</f>
        <v/>
      </c>
      <c r="AF1048" s="526" t="str">
        <f>IF(LANÇ_MOV[[#This Row],[DATA DE VENCIMENTO]]="","",UPPER(TEXT(LANÇ_MOV[[#This Row],[DATA DE VENCIMENTO]],"MMMM")))</f>
        <v/>
      </c>
      <c r="AG1048" s="526" t="str">
        <f>IF(LANÇ_MOV[[#This Row],[DATA DE VENCIMENTO]]="","",TEXT(LANÇ_MOV[[#This Row],[DATA DE VENCIMENTO]],"M"))</f>
        <v/>
      </c>
      <c r="AH1048" s="526" t="str">
        <f>IF(LANÇ_MOV[[#This Row],[DATA DE VENCIMENTO]]="","",TEXT(LANÇ_MOV[[#This Row],[DATA DE VENCIMENTO]],"D"))</f>
        <v/>
      </c>
      <c r="AI1048" s="526" t="str">
        <f>IF(LANÇ_MOV[[#This Row],[DATA DE PAGAMENTO]]="","",TEXT(LANÇ_MOV[[#This Row],[DATA DE PAGAMENTO]],"AAAA"))</f>
        <v/>
      </c>
      <c r="AJ1048" s="527" t="str">
        <f>IF(LANÇ_MOV[[#This Row],[DATA DE PAGAMENTO]]="","",UPPER(TEXT(LANÇ_MOV[[#This Row],[DATA DE PAGAMENTO]],"MMMM")))</f>
        <v/>
      </c>
      <c r="AK1048" s="527" t="str">
        <f>IF(LANÇ_MOV[[#This Row],[DATA DE PAGAMENTO]]="","",TEXT(LANÇ_MOV[[#This Row],[DATA DE PAGAMENTO]],"M"))</f>
        <v/>
      </c>
      <c r="AL1048" s="526" t="str">
        <f>IF(LANÇ_MOV[[#This Row],[DATA DE PAGAMENTO]]="","",TEXT(LANÇ_MOV[[#This Row],[DATA DE PAGAMENTO]],"D"))</f>
        <v/>
      </c>
    </row>
    <row r="1049" spans="2:38" ht="30.05" customHeight="1" x14ac:dyDescent="0.35">
      <c r="B1049" s="506"/>
      <c r="C1049" s="507"/>
      <c r="D1049" s="508" t="s">
        <v>1854</v>
      </c>
      <c r="E1049" s="509"/>
      <c r="F1049" s="510"/>
      <c r="G1049" s="507"/>
      <c r="H1049" s="511"/>
      <c r="I1049" s="512"/>
      <c r="J1049" s="518"/>
      <c r="K1049" s="510"/>
      <c r="L1049" s="510"/>
      <c r="M1049" s="548"/>
      <c r="N1049" s="514">
        <f>LANÇ_MOV[[#This Row],[VALOR BRUTO]]-LANÇ_MOV[[#This Row],[DESCONTO]]+LANÇ_MOV[[#This Row],[JUROS]]+LANÇ_MOV[[#This Row],[MULTA]]</f>
        <v>0</v>
      </c>
      <c r="O1049" s="546"/>
      <c r="P1049" s="547" t="str">
        <f t="shared" ca="1" si="16"/>
        <v/>
      </c>
      <c r="Q1049" s="528"/>
      <c r="R1049" s="529"/>
      <c r="S1049" s="518"/>
      <c r="T1049" s="518"/>
      <c r="U1049" s="519"/>
      <c r="V1049" s="520" t="str">
        <f>IFERROR(VLOOKUP(LANÇ_MOV[[#This Row],[PLANO DE CONTAS]],Plano_Contas[[PLANO DE CONTAS]:[R / D]],3,0),"")</f>
        <v/>
      </c>
      <c r="W1049" s="521" t="str">
        <f>IF(LANÇ_MOV[[#This Row],[DATA DE PAGAMENTO]]&lt;&gt;"","Pago","Não Pago")</f>
        <v>Não Pago</v>
      </c>
      <c r="X1049" s="522" t="str">
        <f>IFERROR(IF(LANÇ_MOV[[#This Row],[DATA DE PAGAMENTO]]="","",(UPPER(TEXT(LANÇ_MOV[[#This Row],[DATA DE PAGAMENTO]],"mmmm")))),"")</f>
        <v/>
      </c>
      <c r="Y1049" s="523" t="str">
        <f>IFERROR(VLOOKUP(LANÇ_MOV[[#This Row],[PLANO DE CONTAS]],Plano_Contas[[PLANO DE CONTAS]:[NOMES INTERVALOS]],2,0),"")</f>
        <v/>
      </c>
      <c r="Z1049" s="523" t="str">
        <f>IF(LANÇ_MOV[[#This Row],[FORMA DE PAGAMENTO]]="","",VLOOKUP(LANÇ_MOV[[#This Row],[FORMA DE PAGAMENTO]],CAD_Forma_pagto[],2,0))</f>
        <v/>
      </c>
      <c r="AA1049" s="524" t="str">
        <f>IF(LANÇ_MOV[[#This Row],[DATA DE LANÇAMENTO]]="","",TEXT(LANÇ_MOV[[#This Row],[DATA DE LANÇAMENTO]],"AAAA"))</f>
        <v/>
      </c>
      <c r="AB1049" s="524" t="str">
        <f>IF(LANÇ_MOV[[#This Row],[DATA DE LANÇAMENTO]]="","",UPPER(TEXT(LANÇ_MOV[[#This Row],[DATA DE LANÇAMENTO]],"MMMM")))</f>
        <v/>
      </c>
      <c r="AC1049" s="525" t="str">
        <f>IF(LANÇ_MOV[[#This Row],[DATA DE LANÇAMENTO]]="","",PROPER(TEXT(LANÇ_MOV[[#This Row],[DATA DE LANÇAMENTO]],"M")))</f>
        <v/>
      </c>
      <c r="AD1049" s="524" t="str">
        <f>IF(LANÇ_MOV[[#This Row],[DATA DE LANÇAMENTO]]="","",TEXT(LANÇ_MOV[[#This Row],[DATA DE LANÇAMENTO]],"D"))</f>
        <v/>
      </c>
      <c r="AE1049" s="526" t="str">
        <f>IF(LANÇ_MOV[[#This Row],[DATA DE VENCIMENTO]]="","",TEXT(LANÇ_MOV[[#This Row],[DATA DE VENCIMENTO]],"AAAA"))</f>
        <v/>
      </c>
      <c r="AF1049" s="526" t="str">
        <f>IF(LANÇ_MOV[[#This Row],[DATA DE VENCIMENTO]]="","",UPPER(TEXT(LANÇ_MOV[[#This Row],[DATA DE VENCIMENTO]],"MMMM")))</f>
        <v/>
      </c>
      <c r="AG1049" s="526" t="str">
        <f>IF(LANÇ_MOV[[#This Row],[DATA DE VENCIMENTO]]="","",TEXT(LANÇ_MOV[[#This Row],[DATA DE VENCIMENTO]],"M"))</f>
        <v/>
      </c>
      <c r="AH1049" s="526" t="str">
        <f>IF(LANÇ_MOV[[#This Row],[DATA DE VENCIMENTO]]="","",TEXT(LANÇ_MOV[[#This Row],[DATA DE VENCIMENTO]],"D"))</f>
        <v/>
      </c>
      <c r="AI1049" s="526" t="str">
        <f>IF(LANÇ_MOV[[#This Row],[DATA DE PAGAMENTO]]="","",TEXT(LANÇ_MOV[[#This Row],[DATA DE PAGAMENTO]],"AAAA"))</f>
        <v/>
      </c>
      <c r="AJ1049" s="527" t="str">
        <f>IF(LANÇ_MOV[[#This Row],[DATA DE PAGAMENTO]]="","",UPPER(TEXT(LANÇ_MOV[[#This Row],[DATA DE PAGAMENTO]],"MMMM")))</f>
        <v/>
      </c>
      <c r="AK1049" s="527" t="str">
        <f>IF(LANÇ_MOV[[#This Row],[DATA DE PAGAMENTO]]="","",TEXT(LANÇ_MOV[[#This Row],[DATA DE PAGAMENTO]],"M"))</f>
        <v/>
      </c>
      <c r="AL1049" s="526" t="str">
        <f>IF(LANÇ_MOV[[#This Row],[DATA DE PAGAMENTO]]="","",TEXT(LANÇ_MOV[[#This Row],[DATA DE PAGAMENTO]],"D"))</f>
        <v/>
      </c>
    </row>
    <row r="1050" spans="2:38" ht="30.05" customHeight="1" x14ac:dyDescent="0.35">
      <c r="B1050" s="506"/>
      <c r="C1050" s="507"/>
      <c r="D1050" s="508" t="s">
        <v>1854</v>
      </c>
      <c r="E1050" s="509"/>
      <c r="F1050" s="510"/>
      <c r="G1050" s="507"/>
      <c r="H1050" s="511"/>
      <c r="I1050" s="512"/>
      <c r="J1050" s="518"/>
      <c r="K1050" s="510"/>
      <c r="L1050" s="510"/>
      <c r="M1050" s="548"/>
      <c r="N1050" s="514">
        <f>LANÇ_MOV[[#This Row],[VALOR BRUTO]]-LANÇ_MOV[[#This Row],[DESCONTO]]+LANÇ_MOV[[#This Row],[JUROS]]+LANÇ_MOV[[#This Row],[MULTA]]</f>
        <v>0</v>
      </c>
      <c r="O1050" s="546"/>
      <c r="P1050" s="547" t="str">
        <f t="shared" ca="1" si="16"/>
        <v/>
      </c>
      <c r="Q1050" s="528"/>
      <c r="R1050" s="529"/>
      <c r="S1050" s="518"/>
      <c r="T1050" s="518"/>
      <c r="U1050" s="519"/>
      <c r="V1050" s="520" t="str">
        <f>IFERROR(VLOOKUP(LANÇ_MOV[[#This Row],[PLANO DE CONTAS]],Plano_Contas[[PLANO DE CONTAS]:[R / D]],3,0),"")</f>
        <v/>
      </c>
      <c r="W1050" s="521" t="str">
        <f>IF(LANÇ_MOV[[#This Row],[DATA DE PAGAMENTO]]&lt;&gt;"","Pago","Não Pago")</f>
        <v>Não Pago</v>
      </c>
      <c r="X1050" s="522" t="str">
        <f>IFERROR(IF(LANÇ_MOV[[#This Row],[DATA DE PAGAMENTO]]="","",(UPPER(TEXT(LANÇ_MOV[[#This Row],[DATA DE PAGAMENTO]],"mmmm")))),"")</f>
        <v/>
      </c>
      <c r="Y1050" s="523" t="str">
        <f>IFERROR(VLOOKUP(LANÇ_MOV[[#This Row],[PLANO DE CONTAS]],Plano_Contas[[PLANO DE CONTAS]:[NOMES INTERVALOS]],2,0),"")</f>
        <v/>
      </c>
      <c r="Z1050" s="523" t="str">
        <f>IF(LANÇ_MOV[[#This Row],[FORMA DE PAGAMENTO]]="","",VLOOKUP(LANÇ_MOV[[#This Row],[FORMA DE PAGAMENTO]],CAD_Forma_pagto[],2,0))</f>
        <v/>
      </c>
      <c r="AA1050" s="524" t="str">
        <f>IF(LANÇ_MOV[[#This Row],[DATA DE LANÇAMENTO]]="","",TEXT(LANÇ_MOV[[#This Row],[DATA DE LANÇAMENTO]],"AAAA"))</f>
        <v/>
      </c>
      <c r="AB1050" s="524" t="str">
        <f>IF(LANÇ_MOV[[#This Row],[DATA DE LANÇAMENTO]]="","",UPPER(TEXT(LANÇ_MOV[[#This Row],[DATA DE LANÇAMENTO]],"MMMM")))</f>
        <v/>
      </c>
      <c r="AC1050" s="525" t="str">
        <f>IF(LANÇ_MOV[[#This Row],[DATA DE LANÇAMENTO]]="","",PROPER(TEXT(LANÇ_MOV[[#This Row],[DATA DE LANÇAMENTO]],"M")))</f>
        <v/>
      </c>
      <c r="AD1050" s="524" t="str">
        <f>IF(LANÇ_MOV[[#This Row],[DATA DE LANÇAMENTO]]="","",TEXT(LANÇ_MOV[[#This Row],[DATA DE LANÇAMENTO]],"D"))</f>
        <v/>
      </c>
      <c r="AE1050" s="526" t="str">
        <f>IF(LANÇ_MOV[[#This Row],[DATA DE VENCIMENTO]]="","",TEXT(LANÇ_MOV[[#This Row],[DATA DE VENCIMENTO]],"AAAA"))</f>
        <v/>
      </c>
      <c r="AF1050" s="526" t="str">
        <f>IF(LANÇ_MOV[[#This Row],[DATA DE VENCIMENTO]]="","",UPPER(TEXT(LANÇ_MOV[[#This Row],[DATA DE VENCIMENTO]],"MMMM")))</f>
        <v/>
      </c>
      <c r="AG1050" s="526" t="str">
        <f>IF(LANÇ_MOV[[#This Row],[DATA DE VENCIMENTO]]="","",TEXT(LANÇ_MOV[[#This Row],[DATA DE VENCIMENTO]],"M"))</f>
        <v/>
      </c>
      <c r="AH1050" s="526" t="str">
        <f>IF(LANÇ_MOV[[#This Row],[DATA DE VENCIMENTO]]="","",TEXT(LANÇ_MOV[[#This Row],[DATA DE VENCIMENTO]],"D"))</f>
        <v/>
      </c>
      <c r="AI1050" s="526" t="str">
        <f>IF(LANÇ_MOV[[#This Row],[DATA DE PAGAMENTO]]="","",TEXT(LANÇ_MOV[[#This Row],[DATA DE PAGAMENTO]],"AAAA"))</f>
        <v/>
      </c>
      <c r="AJ1050" s="527" t="str">
        <f>IF(LANÇ_MOV[[#This Row],[DATA DE PAGAMENTO]]="","",UPPER(TEXT(LANÇ_MOV[[#This Row],[DATA DE PAGAMENTO]],"MMMM")))</f>
        <v/>
      </c>
      <c r="AK1050" s="527" t="str">
        <f>IF(LANÇ_MOV[[#This Row],[DATA DE PAGAMENTO]]="","",TEXT(LANÇ_MOV[[#This Row],[DATA DE PAGAMENTO]],"M"))</f>
        <v/>
      </c>
      <c r="AL1050" s="526" t="str">
        <f>IF(LANÇ_MOV[[#This Row],[DATA DE PAGAMENTO]]="","",TEXT(LANÇ_MOV[[#This Row],[DATA DE PAGAMENTO]],"D"))</f>
        <v/>
      </c>
    </row>
    <row r="1051" spans="2:38" ht="30.05" customHeight="1" x14ac:dyDescent="0.35">
      <c r="B1051" s="506"/>
      <c r="C1051" s="507"/>
      <c r="D1051" s="508" t="s">
        <v>1854</v>
      </c>
      <c r="E1051" s="509"/>
      <c r="F1051" s="510"/>
      <c r="G1051" s="507"/>
      <c r="H1051" s="511"/>
      <c r="I1051" s="512"/>
      <c r="J1051" s="518"/>
      <c r="K1051" s="510"/>
      <c r="L1051" s="510"/>
      <c r="M1051" s="548"/>
      <c r="N1051" s="514">
        <f>LANÇ_MOV[[#This Row],[VALOR BRUTO]]-LANÇ_MOV[[#This Row],[DESCONTO]]+LANÇ_MOV[[#This Row],[JUROS]]+LANÇ_MOV[[#This Row],[MULTA]]</f>
        <v>0</v>
      </c>
      <c r="O1051" s="546"/>
      <c r="P1051" s="547" t="str">
        <f t="shared" ca="1" si="16"/>
        <v/>
      </c>
      <c r="Q1051" s="528"/>
      <c r="R1051" s="529"/>
      <c r="S1051" s="518"/>
      <c r="T1051" s="518"/>
      <c r="U1051" s="519"/>
      <c r="V1051" s="520" t="str">
        <f>IFERROR(VLOOKUP(LANÇ_MOV[[#This Row],[PLANO DE CONTAS]],Plano_Contas[[PLANO DE CONTAS]:[R / D]],3,0),"")</f>
        <v/>
      </c>
      <c r="W1051" s="521" t="str">
        <f>IF(LANÇ_MOV[[#This Row],[DATA DE PAGAMENTO]]&lt;&gt;"","Pago","Não Pago")</f>
        <v>Não Pago</v>
      </c>
      <c r="X1051" s="522" t="str">
        <f>IFERROR(IF(LANÇ_MOV[[#This Row],[DATA DE PAGAMENTO]]="","",(UPPER(TEXT(LANÇ_MOV[[#This Row],[DATA DE PAGAMENTO]],"mmmm")))),"")</f>
        <v/>
      </c>
      <c r="Y1051" s="523" t="str">
        <f>IFERROR(VLOOKUP(LANÇ_MOV[[#This Row],[PLANO DE CONTAS]],Plano_Contas[[PLANO DE CONTAS]:[NOMES INTERVALOS]],2,0),"")</f>
        <v/>
      </c>
      <c r="Z1051" s="523" t="str">
        <f>IF(LANÇ_MOV[[#This Row],[FORMA DE PAGAMENTO]]="","",VLOOKUP(LANÇ_MOV[[#This Row],[FORMA DE PAGAMENTO]],CAD_Forma_pagto[],2,0))</f>
        <v/>
      </c>
      <c r="AA1051" s="524" t="str">
        <f>IF(LANÇ_MOV[[#This Row],[DATA DE LANÇAMENTO]]="","",TEXT(LANÇ_MOV[[#This Row],[DATA DE LANÇAMENTO]],"AAAA"))</f>
        <v/>
      </c>
      <c r="AB1051" s="524" t="str">
        <f>IF(LANÇ_MOV[[#This Row],[DATA DE LANÇAMENTO]]="","",UPPER(TEXT(LANÇ_MOV[[#This Row],[DATA DE LANÇAMENTO]],"MMMM")))</f>
        <v/>
      </c>
      <c r="AC1051" s="525" t="str">
        <f>IF(LANÇ_MOV[[#This Row],[DATA DE LANÇAMENTO]]="","",PROPER(TEXT(LANÇ_MOV[[#This Row],[DATA DE LANÇAMENTO]],"M")))</f>
        <v/>
      </c>
      <c r="AD1051" s="524" t="str">
        <f>IF(LANÇ_MOV[[#This Row],[DATA DE LANÇAMENTO]]="","",TEXT(LANÇ_MOV[[#This Row],[DATA DE LANÇAMENTO]],"D"))</f>
        <v/>
      </c>
      <c r="AE1051" s="526" t="str">
        <f>IF(LANÇ_MOV[[#This Row],[DATA DE VENCIMENTO]]="","",TEXT(LANÇ_MOV[[#This Row],[DATA DE VENCIMENTO]],"AAAA"))</f>
        <v/>
      </c>
      <c r="AF1051" s="526" t="str">
        <f>IF(LANÇ_MOV[[#This Row],[DATA DE VENCIMENTO]]="","",UPPER(TEXT(LANÇ_MOV[[#This Row],[DATA DE VENCIMENTO]],"MMMM")))</f>
        <v/>
      </c>
      <c r="AG1051" s="526" t="str">
        <f>IF(LANÇ_MOV[[#This Row],[DATA DE VENCIMENTO]]="","",TEXT(LANÇ_MOV[[#This Row],[DATA DE VENCIMENTO]],"M"))</f>
        <v/>
      </c>
      <c r="AH1051" s="526" t="str">
        <f>IF(LANÇ_MOV[[#This Row],[DATA DE VENCIMENTO]]="","",TEXT(LANÇ_MOV[[#This Row],[DATA DE VENCIMENTO]],"D"))</f>
        <v/>
      </c>
      <c r="AI1051" s="526" t="str">
        <f>IF(LANÇ_MOV[[#This Row],[DATA DE PAGAMENTO]]="","",TEXT(LANÇ_MOV[[#This Row],[DATA DE PAGAMENTO]],"AAAA"))</f>
        <v/>
      </c>
      <c r="AJ1051" s="527" t="str">
        <f>IF(LANÇ_MOV[[#This Row],[DATA DE PAGAMENTO]]="","",UPPER(TEXT(LANÇ_MOV[[#This Row],[DATA DE PAGAMENTO]],"MMMM")))</f>
        <v/>
      </c>
      <c r="AK1051" s="527" t="str">
        <f>IF(LANÇ_MOV[[#This Row],[DATA DE PAGAMENTO]]="","",TEXT(LANÇ_MOV[[#This Row],[DATA DE PAGAMENTO]],"M"))</f>
        <v/>
      </c>
      <c r="AL1051" s="526" t="str">
        <f>IF(LANÇ_MOV[[#This Row],[DATA DE PAGAMENTO]]="","",TEXT(LANÇ_MOV[[#This Row],[DATA DE PAGAMENTO]],"D"))</f>
        <v/>
      </c>
    </row>
    <row r="1052" spans="2:38" ht="30.05" customHeight="1" x14ac:dyDescent="0.35">
      <c r="B1052" s="506"/>
      <c r="C1052" s="507"/>
      <c r="D1052" s="508" t="s">
        <v>1854</v>
      </c>
      <c r="E1052" s="509"/>
      <c r="F1052" s="510"/>
      <c r="G1052" s="507"/>
      <c r="H1052" s="511"/>
      <c r="I1052" s="512"/>
      <c r="J1052" s="518"/>
      <c r="K1052" s="510"/>
      <c r="L1052" s="510"/>
      <c r="M1052" s="548"/>
      <c r="N1052" s="514">
        <f>LANÇ_MOV[[#This Row],[VALOR BRUTO]]-LANÇ_MOV[[#This Row],[DESCONTO]]+LANÇ_MOV[[#This Row],[JUROS]]+LANÇ_MOV[[#This Row],[MULTA]]</f>
        <v>0</v>
      </c>
      <c r="O1052" s="546"/>
      <c r="P1052" s="547" t="str">
        <f t="shared" ca="1" si="16"/>
        <v/>
      </c>
      <c r="Q1052" s="528"/>
      <c r="R1052" s="529"/>
      <c r="S1052" s="518"/>
      <c r="T1052" s="518"/>
      <c r="U1052" s="519"/>
      <c r="V1052" s="520" t="str">
        <f>IFERROR(VLOOKUP(LANÇ_MOV[[#This Row],[PLANO DE CONTAS]],Plano_Contas[[PLANO DE CONTAS]:[R / D]],3,0),"")</f>
        <v/>
      </c>
      <c r="W1052" s="521" t="str">
        <f>IF(LANÇ_MOV[[#This Row],[DATA DE PAGAMENTO]]&lt;&gt;"","Pago","Não Pago")</f>
        <v>Não Pago</v>
      </c>
      <c r="X1052" s="522" t="str">
        <f>IFERROR(IF(LANÇ_MOV[[#This Row],[DATA DE PAGAMENTO]]="","",(UPPER(TEXT(LANÇ_MOV[[#This Row],[DATA DE PAGAMENTO]],"mmmm")))),"")</f>
        <v/>
      </c>
      <c r="Y1052" s="523" t="str">
        <f>IFERROR(VLOOKUP(LANÇ_MOV[[#This Row],[PLANO DE CONTAS]],Plano_Contas[[PLANO DE CONTAS]:[NOMES INTERVALOS]],2,0),"")</f>
        <v/>
      </c>
      <c r="Z1052" s="523" t="str">
        <f>IF(LANÇ_MOV[[#This Row],[FORMA DE PAGAMENTO]]="","",VLOOKUP(LANÇ_MOV[[#This Row],[FORMA DE PAGAMENTO]],CAD_Forma_pagto[],2,0))</f>
        <v/>
      </c>
      <c r="AA1052" s="524" t="str">
        <f>IF(LANÇ_MOV[[#This Row],[DATA DE LANÇAMENTO]]="","",TEXT(LANÇ_MOV[[#This Row],[DATA DE LANÇAMENTO]],"AAAA"))</f>
        <v/>
      </c>
      <c r="AB1052" s="524" t="str">
        <f>IF(LANÇ_MOV[[#This Row],[DATA DE LANÇAMENTO]]="","",UPPER(TEXT(LANÇ_MOV[[#This Row],[DATA DE LANÇAMENTO]],"MMMM")))</f>
        <v/>
      </c>
      <c r="AC1052" s="525" t="str">
        <f>IF(LANÇ_MOV[[#This Row],[DATA DE LANÇAMENTO]]="","",PROPER(TEXT(LANÇ_MOV[[#This Row],[DATA DE LANÇAMENTO]],"M")))</f>
        <v/>
      </c>
      <c r="AD1052" s="524" t="str">
        <f>IF(LANÇ_MOV[[#This Row],[DATA DE LANÇAMENTO]]="","",TEXT(LANÇ_MOV[[#This Row],[DATA DE LANÇAMENTO]],"D"))</f>
        <v/>
      </c>
      <c r="AE1052" s="526" t="str">
        <f>IF(LANÇ_MOV[[#This Row],[DATA DE VENCIMENTO]]="","",TEXT(LANÇ_MOV[[#This Row],[DATA DE VENCIMENTO]],"AAAA"))</f>
        <v/>
      </c>
      <c r="AF1052" s="526" t="str">
        <f>IF(LANÇ_MOV[[#This Row],[DATA DE VENCIMENTO]]="","",UPPER(TEXT(LANÇ_MOV[[#This Row],[DATA DE VENCIMENTO]],"MMMM")))</f>
        <v/>
      </c>
      <c r="AG1052" s="526" t="str">
        <f>IF(LANÇ_MOV[[#This Row],[DATA DE VENCIMENTO]]="","",TEXT(LANÇ_MOV[[#This Row],[DATA DE VENCIMENTO]],"M"))</f>
        <v/>
      </c>
      <c r="AH1052" s="526" t="str">
        <f>IF(LANÇ_MOV[[#This Row],[DATA DE VENCIMENTO]]="","",TEXT(LANÇ_MOV[[#This Row],[DATA DE VENCIMENTO]],"D"))</f>
        <v/>
      </c>
      <c r="AI1052" s="526" t="str">
        <f>IF(LANÇ_MOV[[#This Row],[DATA DE PAGAMENTO]]="","",TEXT(LANÇ_MOV[[#This Row],[DATA DE PAGAMENTO]],"AAAA"))</f>
        <v/>
      </c>
      <c r="AJ1052" s="527" t="str">
        <f>IF(LANÇ_MOV[[#This Row],[DATA DE PAGAMENTO]]="","",UPPER(TEXT(LANÇ_MOV[[#This Row],[DATA DE PAGAMENTO]],"MMMM")))</f>
        <v/>
      </c>
      <c r="AK1052" s="527" t="str">
        <f>IF(LANÇ_MOV[[#This Row],[DATA DE PAGAMENTO]]="","",TEXT(LANÇ_MOV[[#This Row],[DATA DE PAGAMENTO]],"M"))</f>
        <v/>
      </c>
      <c r="AL1052" s="526" t="str">
        <f>IF(LANÇ_MOV[[#This Row],[DATA DE PAGAMENTO]]="","",TEXT(LANÇ_MOV[[#This Row],[DATA DE PAGAMENTO]],"D"))</f>
        <v/>
      </c>
    </row>
    <row r="1053" spans="2:38" ht="30.05" customHeight="1" x14ac:dyDescent="0.35">
      <c r="B1053" s="506"/>
      <c r="C1053" s="507"/>
      <c r="D1053" s="508" t="s">
        <v>1854</v>
      </c>
      <c r="E1053" s="509"/>
      <c r="F1053" s="510"/>
      <c r="G1053" s="507"/>
      <c r="H1053" s="511"/>
      <c r="I1053" s="512"/>
      <c r="J1053" s="518"/>
      <c r="K1053" s="510"/>
      <c r="L1053" s="510"/>
      <c r="M1053" s="548"/>
      <c r="N1053" s="514">
        <f>LANÇ_MOV[[#This Row],[VALOR BRUTO]]-LANÇ_MOV[[#This Row],[DESCONTO]]+LANÇ_MOV[[#This Row],[JUROS]]+LANÇ_MOV[[#This Row],[MULTA]]</f>
        <v>0</v>
      </c>
      <c r="O1053" s="546"/>
      <c r="P1053" s="547" t="str">
        <f t="shared" ca="1" si="16"/>
        <v/>
      </c>
      <c r="Q1053" s="528"/>
      <c r="R1053" s="529"/>
      <c r="S1053" s="518"/>
      <c r="T1053" s="518"/>
      <c r="U1053" s="519"/>
      <c r="V1053" s="520" t="str">
        <f>IFERROR(VLOOKUP(LANÇ_MOV[[#This Row],[PLANO DE CONTAS]],Plano_Contas[[PLANO DE CONTAS]:[R / D]],3,0),"")</f>
        <v/>
      </c>
      <c r="W1053" s="521" t="str">
        <f>IF(LANÇ_MOV[[#This Row],[DATA DE PAGAMENTO]]&lt;&gt;"","Pago","Não Pago")</f>
        <v>Não Pago</v>
      </c>
      <c r="X1053" s="522" t="str">
        <f>IFERROR(IF(LANÇ_MOV[[#This Row],[DATA DE PAGAMENTO]]="","",(UPPER(TEXT(LANÇ_MOV[[#This Row],[DATA DE PAGAMENTO]],"mmmm")))),"")</f>
        <v/>
      </c>
      <c r="Y1053" s="523" t="str">
        <f>IFERROR(VLOOKUP(LANÇ_MOV[[#This Row],[PLANO DE CONTAS]],Plano_Contas[[PLANO DE CONTAS]:[NOMES INTERVALOS]],2,0),"")</f>
        <v/>
      </c>
      <c r="Z1053" s="523" t="str">
        <f>IF(LANÇ_MOV[[#This Row],[FORMA DE PAGAMENTO]]="","",VLOOKUP(LANÇ_MOV[[#This Row],[FORMA DE PAGAMENTO]],CAD_Forma_pagto[],2,0))</f>
        <v/>
      </c>
      <c r="AA1053" s="524" t="str">
        <f>IF(LANÇ_MOV[[#This Row],[DATA DE LANÇAMENTO]]="","",TEXT(LANÇ_MOV[[#This Row],[DATA DE LANÇAMENTO]],"AAAA"))</f>
        <v/>
      </c>
      <c r="AB1053" s="524" t="str">
        <f>IF(LANÇ_MOV[[#This Row],[DATA DE LANÇAMENTO]]="","",UPPER(TEXT(LANÇ_MOV[[#This Row],[DATA DE LANÇAMENTO]],"MMMM")))</f>
        <v/>
      </c>
      <c r="AC1053" s="525" t="str">
        <f>IF(LANÇ_MOV[[#This Row],[DATA DE LANÇAMENTO]]="","",PROPER(TEXT(LANÇ_MOV[[#This Row],[DATA DE LANÇAMENTO]],"M")))</f>
        <v/>
      </c>
      <c r="AD1053" s="524" t="str">
        <f>IF(LANÇ_MOV[[#This Row],[DATA DE LANÇAMENTO]]="","",TEXT(LANÇ_MOV[[#This Row],[DATA DE LANÇAMENTO]],"D"))</f>
        <v/>
      </c>
      <c r="AE1053" s="526" t="str">
        <f>IF(LANÇ_MOV[[#This Row],[DATA DE VENCIMENTO]]="","",TEXT(LANÇ_MOV[[#This Row],[DATA DE VENCIMENTO]],"AAAA"))</f>
        <v/>
      </c>
      <c r="AF1053" s="526" t="str">
        <f>IF(LANÇ_MOV[[#This Row],[DATA DE VENCIMENTO]]="","",UPPER(TEXT(LANÇ_MOV[[#This Row],[DATA DE VENCIMENTO]],"MMMM")))</f>
        <v/>
      </c>
      <c r="AG1053" s="526" t="str">
        <f>IF(LANÇ_MOV[[#This Row],[DATA DE VENCIMENTO]]="","",TEXT(LANÇ_MOV[[#This Row],[DATA DE VENCIMENTO]],"M"))</f>
        <v/>
      </c>
      <c r="AH1053" s="526" t="str">
        <f>IF(LANÇ_MOV[[#This Row],[DATA DE VENCIMENTO]]="","",TEXT(LANÇ_MOV[[#This Row],[DATA DE VENCIMENTO]],"D"))</f>
        <v/>
      </c>
      <c r="AI1053" s="526" t="str">
        <f>IF(LANÇ_MOV[[#This Row],[DATA DE PAGAMENTO]]="","",TEXT(LANÇ_MOV[[#This Row],[DATA DE PAGAMENTO]],"AAAA"))</f>
        <v/>
      </c>
      <c r="AJ1053" s="527" t="str">
        <f>IF(LANÇ_MOV[[#This Row],[DATA DE PAGAMENTO]]="","",UPPER(TEXT(LANÇ_MOV[[#This Row],[DATA DE PAGAMENTO]],"MMMM")))</f>
        <v/>
      </c>
      <c r="AK1053" s="527" t="str">
        <f>IF(LANÇ_MOV[[#This Row],[DATA DE PAGAMENTO]]="","",TEXT(LANÇ_MOV[[#This Row],[DATA DE PAGAMENTO]],"M"))</f>
        <v/>
      </c>
      <c r="AL1053" s="526" t="str">
        <f>IF(LANÇ_MOV[[#This Row],[DATA DE PAGAMENTO]]="","",TEXT(LANÇ_MOV[[#This Row],[DATA DE PAGAMENTO]],"D"))</f>
        <v/>
      </c>
    </row>
    <row r="1054" spans="2:38" ht="30.05" customHeight="1" x14ac:dyDescent="0.35">
      <c r="B1054" s="506"/>
      <c r="C1054" s="507"/>
      <c r="D1054" s="508" t="s">
        <v>1854</v>
      </c>
      <c r="E1054" s="509"/>
      <c r="F1054" s="510"/>
      <c r="G1054" s="507"/>
      <c r="H1054" s="511"/>
      <c r="I1054" s="512"/>
      <c r="J1054" s="518"/>
      <c r="K1054" s="510"/>
      <c r="L1054" s="510"/>
      <c r="M1054" s="548"/>
      <c r="N1054" s="514">
        <f>LANÇ_MOV[[#This Row],[VALOR BRUTO]]-LANÇ_MOV[[#This Row],[DESCONTO]]+LANÇ_MOV[[#This Row],[JUROS]]+LANÇ_MOV[[#This Row],[MULTA]]</f>
        <v>0</v>
      </c>
      <c r="O1054" s="546"/>
      <c r="P1054" s="547" t="str">
        <f t="shared" ca="1" si="16"/>
        <v/>
      </c>
      <c r="Q1054" s="528"/>
      <c r="R1054" s="529"/>
      <c r="S1054" s="518"/>
      <c r="T1054" s="518"/>
      <c r="U1054" s="519"/>
      <c r="V1054" s="520" t="str">
        <f>IFERROR(VLOOKUP(LANÇ_MOV[[#This Row],[PLANO DE CONTAS]],Plano_Contas[[PLANO DE CONTAS]:[R / D]],3,0),"")</f>
        <v/>
      </c>
      <c r="W1054" s="521" t="str">
        <f>IF(LANÇ_MOV[[#This Row],[DATA DE PAGAMENTO]]&lt;&gt;"","Pago","Não Pago")</f>
        <v>Não Pago</v>
      </c>
      <c r="X1054" s="522" t="str">
        <f>IFERROR(IF(LANÇ_MOV[[#This Row],[DATA DE PAGAMENTO]]="","",(UPPER(TEXT(LANÇ_MOV[[#This Row],[DATA DE PAGAMENTO]],"mmmm")))),"")</f>
        <v/>
      </c>
      <c r="Y1054" s="523" t="str">
        <f>IFERROR(VLOOKUP(LANÇ_MOV[[#This Row],[PLANO DE CONTAS]],Plano_Contas[[PLANO DE CONTAS]:[NOMES INTERVALOS]],2,0),"")</f>
        <v/>
      </c>
      <c r="Z1054" s="523" t="str">
        <f>IF(LANÇ_MOV[[#This Row],[FORMA DE PAGAMENTO]]="","",VLOOKUP(LANÇ_MOV[[#This Row],[FORMA DE PAGAMENTO]],CAD_Forma_pagto[],2,0))</f>
        <v/>
      </c>
      <c r="AA1054" s="524" t="str">
        <f>IF(LANÇ_MOV[[#This Row],[DATA DE LANÇAMENTO]]="","",TEXT(LANÇ_MOV[[#This Row],[DATA DE LANÇAMENTO]],"AAAA"))</f>
        <v/>
      </c>
      <c r="AB1054" s="524" t="str">
        <f>IF(LANÇ_MOV[[#This Row],[DATA DE LANÇAMENTO]]="","",UPPER(TEXT(LANÇ_MOV[[#This Row],[DATA DE LANÇAMENTO]],"MMMM")))</f>
        <v/>
      </c>
      <c r="AC1054" s="525" t="str">
        <f>IF(LANÇ_MOV[[#This Row],[DATA DE LANÇAMENTO]]="","",PROPER(TEXT(LANÇ_MOV[[#This Row],[DATA DE LANÇAMENTO]],"M")))</f>
        <v/>
      </c>
      <c r="AD1054" s="524" t="str">
        <f>IF(LANÇ_MOV[[#This Row],[DATA DE LANÇAMENTO]]="","",TEXT(LANÇ_MOV[[#This Row],[DATA DE LANÇAMENTO]],"D"))</f>
        <v/>
      </c>
      <c r="AE1054" s="526" t="str">
        <f>IF(LANÇ_MOV[[#This Row],[DATA DE VENCIMENTO]]="","",TEXT(LANÇ_MOV[[#This Row],[DATA DE VENCIMENTO]],"AAAA"))</f>
        <v/>
      </c>
      <c r="AF1054" s="526" t="str">
        <f>IF(LANÇ_MOV[[#This Row],[DATA DE VENCIMENTO]]="","",UPPER(TEXT(LANÇ_MOV[[#This Row],[DATA DE VENCIMENTO]],"MMMM")))</f>
        <v/>
      </c>
      <c r="AG1054" s="526" t="str">
        <f>IF(LANÇ_MOV[[#This Row],[DATA DE VENCIMENTO]]="","",TEXT(LANÇ_MOV[[#This Row],[DATA DE VENCIMENTO]],"M"))</f>
        <v/>
      </c>
      <c r="AH1054" s="526" t="str">
        <f>IF(LANÇ_MOV[[#This Row],[DATA DE VENCIMENTO]]="","",TEXT(LANÇ_MOV[[#This Row],[DATA DE VENCIMENTO]],"D"))</f>
        <v/>
      </c>
      <c r="AI1054" s="526" t="str">
        <f>IF(LANÇ_MOV[[#This Row],[DATA DE PAGAMENTO]]="","",TEXT(LANÇ_MOV[[#This Row],[DATA DE PAGAMENTO]],"AAAA"))</f>
        <v/>
      </c>
      <c r="AJ1054" s="527" t="str">
        <f>IF(LANÇ_MOV[[#This Row],[DATA DE PAGAMENTO]]="","",UPPER(TEXT(LANÇ_MOV[[#This Row],[DATA DE PAGAMENTO]],"MMMM")))</f>
        <v/>
      </c>
      <c r="AK1054" s="527" t="str">
        <f>IF(LANÇ_MOV[[#This Row],[DATA DE PAGAMENTO]]="","",TEXT(LANÇ_MOV[[#This Row],[DATA DE PAGAMENTO]],"M"))</f>
        <v/>
      </c>
      <c r="AL1054" s="526" t="str">
        <f>IF(LANÇ_MOV[[#This Row],[DATA DE PAGAMENTO]]="","",TEXT(LANÇ_MOV[[#This Row],[DATA DE PAGAMENTO]],"D"))</f>
        <v/>
      </c>
    </row>
    <row r="1055" spans="2:38" ht="30.05" customHeight="1" x14ac:dyDescent="0.35">
      <c r="B1055" s="506"/>
      <c r="C1055" s="507"/>
      <c r="D1055" s="508" t="s">
        <v>1854</v>
      </c>
      <c r="E1055" s="509"/>
      <c r="F1055" s="510"/>
      <c r="G1055" s="507"/>
      <c r="H1055" s="511"/>
      <c r="I1055" s="512"/>
      <c r="J1055" s="518"/>
      <c r="K1055" s="510"/>
      <c r="L1055" s="510"/>
      <c r="M1055" s="548"/>
      <c r="N1055" s="514">
        <f>LANÇ_MOV[[#This Row],[VALOR BRUTO]]-LANÇ_MOV[[#This Row],[DESCONTO]]+LANÇ_MOV[[#This Row],[JUROS]]+LANÇ_MOV[[#This Row],[MULTA]]</f>
        <v>0</v>
      </c>
      <c r="O1055" s="546"/>
      <c r="P1055" s="547" t="str">
        <f t="shared" ca="1" si="16"/>
        <v/>
      </c>
      <c r="Q1055" s="528"/>
      <c r="R1055" s="529"/>
      <c r="S1055" s="518"/>
      <c r="T1055" s="518"/>
      <c r="U1055" s="519"/>
      <c r="V1055" s="520" t="str">
        <f>IFERROR(VLOOKUP(LANÇ_MOV[[#This Row],[PLANO DE CONTAS]],Plano_Contas[[PLANO DE CONTAS]:[R / D]],3,0),"")</f>
        <v/>
      </c>
      <c r="W1055" s="521" t="str">
        <f>IF(LANÇ_MOV[[#This Row],[DATA DE PAGAMENTO]]&lt;&gt;"","Pago","Não Pago")</f>
        <v>Não Pago</v>
      </c>
      <c r="X1055" s="522" t="str">
        <f>IFERROR(IF(LANÇ_MOV[[#This Row],[DATA DE PAGAMENTO]]="","",(UPPER(TEXT(LANÇ_MOV[[#This Row],[DATA DE PAGAMENTO]],"mmmm")))),"")</f>
        <v/>
      </c>
      <c r="Y1055" s="523" t="str">
        <f>IFERROR(VLOOKUP(LANÇ_MOV[[#This Row],[PLANO DE CONTAS]],Plano_Contas[[PLANO DE CONTAS]:[NOMES INTERVALOS]],2,0),"")</f>
        <v/>
      </c>
      <c r="Z1055" s="523" t="str">
        <f>IF(LANÇ_MOV[[#This Row],[FORMA DE PAGAMENTO]]="","",VLOOKUP(LANÇ_MOV[[#This Row],[FORMA DE PAGAMENTO]],CAD_Forma_pagto[],2,0))</f>
        <v/>
      </c>
      <c r="AA1055" s="524" t="str">
        <f>IF(LANÇ_MOV[[#This Row],[DATA DE LANÇAMENTO]]="","",TEXT(LANÇ_MOV[[#This Row],[DATA DE LANÇAMENTO]],"AAAA"))</f>
        <v/>
      </c>
      <c r="AB1055" s="524" t="str">
        <f>IF(LANÇ_MOV[[#This Row],[DATA DE LANÇAMENTO]]="","",UPPER(TEXT(LANÇ_MOV[[#This Row],[DATA DE LANÇAMENTO]],"MMMM")))</f>
        <v/>
      </c>
      <c r="AC1055" s="525" t="str">
        <f>IF(LANÇ_MOV[[#This Row],[DATA DE LANÇAMENTO]]="","",PROPER(TEXT(LANÇ_MOV[[#This Row],[DATA DE LANÇAMENTO]],"M")))</f>
        <v/>
      </c>
      <c r="AD1055" s="524" t="str">
        <f>IF(LANÇ_MOV[[#This Row],[DATA DE LANÇAMENTO]]="","",TEXT(LANÇ_MOV[[#This Row],[DATA DE LANÇAMENTO]],"D"))</f>
        <v/>
      </c>
      <c r="AE1055" s="526" t="str">
        <f>IF(LANÇ_MOV[[#This Row],[DATA DE VENCIMENTO]]="","",TEXT(LANÇ_MOV[[#This Row],[DATA DE VENCIMENTO]],"AAAA"))</f>
        <v/>
      </c>
      <c r="AF1055" s="526" t="str">
        <f>IF(LANÇ_MOV[[#This Row],[DATA DE VENCIMENTO]]="","",UPPER(TEXT(LANÇ_MOV[[#This Row],[DATA DE VENCIMENTO]],"MMMM")))</f>
        <v/>
      </c>
      <c r="AG1055" s="526" t="str">
        <f>IF(LANÇ_MOV[[#This Row],[DATA DE VENCIMENTO]]="","",TEXT(LANÇ_MOV[[#This Row],[DATA DE VENCIMENTO]],"M"))</f>
        <v/>
      </c>
      <c r="AH1055" s="526" t="str">
        <f>IF(LANÇ_MOV[[#This Row],[DATA DE VENCIMENTO]]="","",TEXT(LANÇ_MOV[[#This Row],[DATA DE VENCIMENTO]],"D"))</f>
        <v/>
      </c>
      <c r="AI1055" s="526" t="str">
        <f>IF(LANÇ_MOV[[#This Row],[DATA DE PAGAMENTO]]="","",TEXT(LANÇ_MOV[[#This Row],[DATA DE PAGAMENTO]],"AAAA"))</f>
        <v/>
      </c>
      <c r="AJ1055" s="527" t="str">
        <f>IF(LANÇ_MOV[[#This Row],[DATA DE PAGAMENTO]]="","",UPPER(TEXT(LANÇ_MOV[[#This Row],[DATA DE PAGAMENTO]],"MMMM")))</f>
        <v/>
      </c>
      <c r="AK1055" s="527" t="str">
        <f>IF(LANÇ_MOV[[#This Row],[DATA DE PAGAMENTO]]="","",TEXT(LANÇ_MOV[[#This Row],[DATA DE PAGAMENTO]],"M"))</f>
        <v/>
      </c>
      <c r="AL1055" s="526" t="str">
        <f>IF(LANÇ_MOV[[#This Row],[DATA DE PAGAMENTO]]="","",TEXT(LANÇ_MOV[[#This Row],[DATA DE PAGAMENTO]],"D"))</f>
        <v/>
      </c>
    </row>
    <row r="1056" spans="2:38" ht="30.05" customHeight="1" x14ac:dyDescent="0.35">
      <c r="B1056" s="506"/>
      <c r="C1056" s="507"/>
      <c r="D1056" s="508" t="s">
        <v>1854</v>
      </c>
      <c r="E1056" s="509"/>
      <c r="F1056" s="510"/>
      <c r="G1056" s="507"/>
      <c r="H1056" s="511"/>
      <c r="I1056" s="512"/>
      <c r="J1056" s="518"/>
      <c r="K1056" s="510"/>
      <c r="L1056" s="510"/>
      <c r="M1056" s="548"/>
      <c r="N1056" s="514">
        <f>LANÇ_MOV[[#This Row],[VALOR BRUTO]]-LANÇ_MOV[[#This Row],[DESCONTO]]+LANÇ_MOV[[#This Row],[JUROS]]+LANÇ_MOV[[#This Row],[MULTA]]</f>
        <v>0</v>
      </c>
      <c r="O1056" s="546"/>
      <c r="P1056" s="547" t="str">
        <f t="shared" ca="1" si="16"/>
        <v/>
      </c>
      <c r="Q1056" s="528"/>
      <c r="R1056" s="529"/>
      <c r="S1056" s="518"/>
      <c r="T1056" s="518"/>
      <c r="U1056" s="519"/>
      <c r="V1056" s="520" t="str">
        <f>IFERROR(VLOOKUP(LANÇ_MOV[[#This Row],[PLANO DE CONTAS]],Plano_Contas[[PLANO DE CONTAS]:[R / D]],3,0),"")</f>
        <v/>
      </c>
      <c r="W1056" s="521" t="str">
        <f>IF(LANÇ_MOV[[#This Row],[DATA DE PAGAMENTO]]&lt;&gt;"","Pago","Não Pago")</f>
        <v>Não Pago</v>
      </c>
      <c r="X1056" s="522" t="str">
        <f>IFERROR(IF(LANÇ_MOV[[#This Row],[DATA DE PAGAMENTO]]="","",(UPPER(TEXT(LANÇ_MOV[[#This Row],[DATA DE PAGAMENTO]],"mmmm")))),"")</f>
        <v/>
      </c>
      <c r="Y1056" s="523" t="str">
        <f>IFERROR(VLOOKUP(LANÇ_MOV[[#This Row],[PLANO DE CONTAS]],Plano_Contas[[PLANO DE CONTAS]:[NOMES INTERVALOS]],2,0),"")</f>
        <v/>
      </c>
      <c r="Z1056" s="523" t="str">
        <f>IF(LANÇ_MOV[[#This Row],[FORMA DE PAGAMENTO]]="","",VLOOKUP(LANÇ_MOV[[#This Row],[FORMA DE PAGAMENTO]],CAD_Forma_pagto[],2,0))</f>
        <v/>
      </c>
      <c r="AA1056" s="524" t="str">
        <f>IF(LANÇ_MOV[[#This Row],[DATA DE LANÇAMENTO]]="","",TEXT(LANÇ_MOV[[#This Row],[DATA DE LANÇAMENTO]],"AAAA"))</f>
        <v/>
      </c>
      <c r="AB1056" s="524" t="str">
        <f>IF(LANÇ_MOV[[#This Row],[DATA DE LANÇAMENTO]]="","",UPPER(TEXT(LANÇ_MOV[[#This Row],[DATA DE LANÇAMENTO]],"MMMM")))</f>
        <v/>
      </c>
      <c r="AC1056" s="525" t="str">
        <f>IF(LANÇ_MOV[[#This Row],[DATA DE LANÇAMENTO]]="","",PROPER(TEXT(LANÇ_MOV[[#This Row],[DATA DE LANÇAMENTO]],"M")))</f>
        <v/>
      </c>
      <c r="AD1056" s="524" t="str">
        <f>IF(LANÇ_MOV[[#This Row],[DATA DE LANÇAMENTO]]="","",TEXT(LANÇ_MOV[[#This Row],[DATA DE LANÇAMENTO]],"D"))</f>
        <v/>
      </c>
      <c r="AE1056" s="526" t="str">
        <f>IF(LANÇ_MOV[[#This Row],[DATA DE VENCIMENTO]]="","",TEXT(LANÇ_MOV[[#This Row],[DATA DE VENCIMENTO]],"AAAA"))</f>
        <v/>
      </c>
      <c r="AF1056" s="526" t="str">
        <f>IF(LANÇ_MOV[[#This Row],[DATA DE VENCIMENTO]]="","",UPPER(TEXT(LANÇ_MOV[[#This Row],[DATA DE VENCIMENTO]],"MMMM")))</f>
        <v/>
      </c>
      <c r="AG1056" s="526" t="str">
        <f>IF(LANÇ_MOV[[#This Row],[DATA DE VENCIMENTO]]="","",TEXT(LANÇ_MOV[[#This Row],[DATA DE VENCIMENTO]],"M"))</f>
        <v/>
      </c>
      <c r="AH1056" s="526" t="str">
        <f>IF(LANÇ_MOV[[#This Row],[DATA DE VENCIMENTO]]="","",TEXT(LANÇ_MOV[[#This Row],[DATA DE VENCIMENTO]],"D"))</f>
        <v/>
      </c>
      <c r="AI1056" s="526" t="str">
        <f>IF(LANÇ_MOV[[#This Row],[DATA DE PAGAMENTO]]="","",TEXT(LANÇ_MOV[[#This Row],[DATA DE PAGAMENTO]],"AAAA"))</f>
        <v/>
      </c>
      <c r="AJ1056" s="527" t="str">
        <f>IF(LANÇ_MOV[[#This Row],[DATA DE PAGAMENTO]]="","",UPPER(TEXT(LANÇ_MOV[[#This Row],[DATA DE PAGAMENTO]],"MMMM")))</f>
        <v/>
      </c>
      <c r="AK1056" s="527" t="str">
        <f>IF(LANÇ_MOV[[#This Row],[DATA DE PAGAMENTO]]="","",TEXT(LANÇ_MOV[[#This Row],[DATA DE PAGAMENTO]],"M"))</f>
        <v/>
      </c>
      <c r="AL1056" s="526" t="str">
        <f>IF(LANÇ_MOV[[#This Row],[DATA DE PAGAMENTO]]="","",TEXT(LANÇ_MOV[[#This Row],[DATA DE PAGAMENTO]],"D"))</f>
        <v/>
      </c>
    </row>
    <row r="1057" spans="2:38" ht="30.05" customHeight="1" x14ac:dyDescent="0.35">
      <c r="B1057" s="506"/>
      <c r="C1057" s="507"/>
      <c r="D1057" s="508" t="s">
        <v>1854</v>
      </c>
      <c r="E1057" s="509"/>
      <c r="F1057" s="510"/>
      <c r="G1057" s="507"/>
      <c r="H1057" s="511"/>
      <c r="I1057" s="512"/>
      <c r="J1057" s="518"/>
      <c r="K1057" s="510"/>
      <c r="L1057" s="510"/>
      <c r="M1057" s="548"/>
      <c r="N1057" s="514">
        <f>LANÇ_MOV[[#This Row],[VALOR BRUTO]]-LANÇ_MOV[[#This Row],[DESCONTO]]+LANÇ_MOV[[#This Row],[JUROS]]+LANÇ_MOV[[#This Row],[MULTA]]</f>
        <v>0</v>
      </c>
      <c r="O1057" s="546"/>
      <c r="P1057" s="547" t="str">
        <f t="shared" ca="1" si="16"/>
        <v/>
      </c>
      <c r="Q1057" s="528"/>
      <c r="R1057" s="529"/>
      <c r="S1057" s="518"/>
      <c r="T1057" s="518"/>
      <c r="U1057" s="519"/>
      <c r="V1057" s="520" t="str">
        <f>IFERROR(VLOOKUP(LANÇ_MOV[[#This Row],[PLANO DE CONTAS]],Plano_Contas[[PLANO DE CONTAS]:[R / D]],3,0),"")</f>
        <v/>
      </c>
      <c r="W1057" s="521" t="str">
        <f>IF(LANÇ_MOV[[#This Row],[DATA DE PAGAMENTO]]&lt;&gt;"","Pago","Não Pago")</f>
        <v>Não Pago</v>
      </c>
      <c r="X1057" s="522" t="str">
        <f>IFERROR(IF(LANÇ_MOV[[#This Row],[DATA DE PAGAMENTO]]="","",(UPPER(TEXT(LANÇ_MOV[[#This Row],[DATA DE PAGAMENTO]],"mmmm")))),"")</f>
        <v/>
      </c>
      <c r="Y1057" s="523" t="str">
        <f>IFERROR(VLOOKUP(LANÇ_MOV[[#This Row],[PLANO DE CONTAS]],Plano_Contas[[PLANO DE CONTAS]:[NOMES INTERVALOS]],2,0),"")</f>
        <v/>
      </c>
      <c r="Z1057" s="523" t="str">
        <f>IF(LANÇ_MOV[[#This Row],[FORMA DE PAGAMENTO]]="","",VLOOKUP(LANÇ_MOV[[#This Row],[FORMA DE PAGAMENTO]],CAD_Forma_pagto[],2,0))</f>
        <v/>
      </c>
      <c r="AA1057" s="524" t="str">
        <f>IF(LANÇ_MOV[[#This Row],[DATA DE LANÇAMENTO]]="","",TEXT(LANÇ_MOV[[#This Row],[DATA DE LANÇAMENTO]],"AAAA"))</f>
        <v/>
      </c>
      <c r="AB1057" s="524" t="str">
        <f>IF(LANÇ_MOV[[#This Row],[DATA DE LANÇAMENTO]]="","",UPPER(TEXT(LANÇ_MOV[[#This Row],[DATA DE LANÇAMENTO]],"MMMM")))</f>
        <v/>
      </c>
      <c r="AC1057" s="525" t="str">
        <f>IF(LANÇ_MOV[[#This Row],[DATA DE LANÇAMENTO]]="","",PROPER(TEXT(LANÇ_MOV[[#This Row],[DATA DE LANÇAMENTO]],"M")))</f>
        <v/>
      </c>
      <c r="AD1057" s="524" t="str">
        <f>IF(LANÇ_MOV[[#This Row],[DATA DE LANÇAMENTO]]="","",TEXT(LANÇ_MOV[[#This Row],[DATA DE LANÇAMENTO]],"D"))</f>
        <v/>
      </c>
      <c r="AE1057" s="526" t="str">
        <f>IF(LANÇ_MOV[[#This Row],[DATA DE VENCIMENTO]]="","",TEXT(LANÇ_MOV[[#This Row],[DATA DE VENCIMENTO]],"AAAA"))</f>
        <v/>
      </c>
      <c r="AF1057" s="526" t="str">
        <f>IF(LANÇ_MOV[[#This Row],[DATA DE VENCIMENTO]]="","",UPPER(TEXT(LANÇ_MOV[[#This Row],[DATA DE VENCIMENTO]],"MMMM")))</f>
        <v/>
      </c>
      <c r="AG1057" s="526" t="str">
        <f>IF(LANÇ_MOV[[#This Row],[DATA DE VENCIMENTO]]="","",TEXT(LANÇ_MOV[[#This Row],[DATA DE VENCIMENTO]],"M"))</f>
        <v/>
      </c>
      <c r="AH1057" s="526" t="str">
        <f>IF(LANÇ_MOV[[#This Row],[DATA DE VENCIMENTO]]="","",TEXT(LANÇ_MOV[[#This Row],[DATA DE VENCIMENTO]],"D"))</f>
        <v/>
      </c>
      <c r="AI1057" s="526" t="str">
        <f>IF(LANÇ_MOV[[#This Row],[DATA DE PAGAMENTO]]="","",TEXT(LANÇ_MOV[[#This Row],[DATA DE PAGAMENTO]],"AAAA"))</f>
        <v/>
      </c>
      <c r="AJ1057" s="527" t="str">
        <f>IF(LANÇ_MOV[[#This Row],[DATA DE PAGAMENTO]]="","",UPPER(TEXT(LANÇ_MOV[[#This Row],[DATA DE PAGAMENTO]],"MMMM")))</f>
        <v/>
      </c>
      <c r="AK1057" s="527" t="str">
        <f>IF(LANÇ_MOV[[#This Row],[DATA DE PAGAMENTO]]="","",TEXT(LANÇ_MOV[[#This Row],[DATA DE PAGAMENTO]],"M"))</f>
        <v/>
      </c>
      <c r="AL1057" s="526" t="str">
        <f>IF(LANÇ_MOV[[#This Row],[DATA DE PAGAMENTO]]="","",TEXT(LANÇ_MOV[[#This Row],[DATA DE PAGAMENTO]],"D"))</f>
        <v/>
      </c>
    </row>
    <row r="1058" spans="2:38" ht="30.05" customHeight="1" x14ac:dyDescent="0.35">
      <c r="B1058" s="506"/>
      <c r="C1058" s="507"/>
      <c r="D1058" s="508" t="s">
        <v>1854</v>
      </c>
      <c r="E1058" s="509"/>
      <c r="F1058" s="510"/>
      <c r="G1058" s="507"/>
      <c r="H1058" s="511"/>
      <c r="I1058" s="512"/>
      <c r="J1058" s="518"/>
      <c r="K1058" s="510"/>
      <c r="L1058" s="510"/>
      <c r="M1058" s="548"/>
      <c r="N1058" s="514">
        <f>LANÇ_MOV[[#This Row],[VALOR BRUTO]]-LANÇ_MOV[[#This Row],[DESCONTO]]+LANÇ_MOV[[#This Row],[JUROS]]+LANÇ_MOV[[#This Row],[MULTA]]</f>
        <v>0</v>
      </c>
      <c r="O1058" s="546"/>
      <c r="P1058" s="547" t="str">
        <f t="shared" ca="1" si="16"/>
        <v/>
      </c>
      <c r="Q1058" s="528"/>
      <c r="R1058" s="529"/>
      <c r="S1058" s="518"/>
      <c r="T1058" s="518"/>
      <c r="U1058" s="519"/>
      <c r="V1058" s="520" t="str">
        <f>IFERROR(VLOOKUP(LANÇ_MOV[[#This Row],[PLANO DE CONTAS]],Plano_Contas[[PLANO DE CONTAS]:[R / D]],3,0),"")</f>
        <v/>
      </c>
      <c r="W1058" s="521" t="str">
        <f>IF(LANÇ_MOV[[#This Row],[DATA DE PAGAMENTO]]&lt;&gt;"","Pago","Não Pago")</f>
        <v>Não Pago</v>
      </c>
      <c r="X1058" s="522" t="str">
        <f>IFERROR(IF(LANÇ_MOV[[#This Row],[DATA DE PAGAMENTO]]="","",(UPPER(TEXT(LANÇ_MOV[[#This Row],[DATA DE PAGAMENTO]],"mmmm")))),"")</f>
        <v/>
      </c>
      <c r="Y1058" s="523" t="str">
        <f>IFERROR(VLOOKUP(LANÇ_MOV[[#This Row],[PLANO DE CONTAS]],Plano_Contas[[PLANO DE CONTAS]:[NOMES INTERVALOS]],2,0),"")</f>
        <v/>
      </c>
      <c r="Z1058" s="523" t="str">
        <f>IF(LANÇ_MOV[[#This Row],[FORMA DE PAGAMENTO]]="","",VLOOKUP(LANÇ_MOV[[#This Row],[FORMA DE PAGAMENTO]],CAD_Forma_pagto[],2,0))</f>
        <v/>
      </c>
      <c r="AA1058" s="524" t="str">
        <f>IF(LANÇ_MOV[[#This Row],[DATA DE LANÇAMENTO]]="","",TEXT(LANÇ_MOV[[#This Row],[DATA DE LANÇAMENTO]],"AAAA"))</f>
        <v/>
      </c>
      <c r="AB1058" s="524" t="str">
        <f>IF(LANÇ_MOV[[#This Row],[DATA DE LANÇAMENTO]]="","",UPPER(TEXT(LANÇ_MOV[[#This Row],[DATA DE LANÇAMENTO]],"MMMM")))</f>
        <v/>
      </c>
      <c r="AC1058" s="525" t="str">
        <f>IF(LANÇ_MOV[[#This Row],[DATA DE LANÇAMENTO]]="","",PROPER(TEXT(LANÇ_MOV[[#This Row],[DATA DE LANÇAMENTO]],"M")))</f>
        <v/>
      </c>
      <c r="AD1058" s="524" t="str">
        <f>IF(LANÇ_MOV[[#This Row],[DATA DE LANÇAMENTO]]="","",TEXT(LANÇ_MOV[[#This Row],[DATA DE LANÇAMENTO]],"D"))</f>
        <v/>
      </c>
      <c r="AE1058" s="526" t="str">
        <f>IF(LANÇ_MOV[[#This Row],[DATA DE VENCIMENTO]]="","",TEXT(LANÇ_MOV[[#This Row],[DATA DE VENCIMENTO]],"AAAA"))</f>
        <v/>
      </c>
      <c r="AF1058" s="526" t="str">
        <f>IF(LANÇ_MOV[[#This Row],[DATA DE VENCIMENTO]]="","",UPPER(TEXT(LANÇ_MOV[[#This Row],[DATA DE VENCIMENTO]],"MMMM")))</f>
        <v/>
      </c>
      <c r="AG1058" s="526" t="str">
        <f>IF(LANÇ_MOV[[#This Row],[DATA DE VENCIMENTO]]="","",TEXT(LANÇ_MOV[[#This Row],[DATA DE VENCIMENTO]],"M"))</f>
        <v/>
      </c>
      <c r="AH1058" s="526" t="str">
        <f>IF(LANÇ_MOV[[#This Row],[DATA DE VENCIMENTO]]="","",TEXT(LANÇ_MOV[[#This Row],[DATA DE VENCIMENTO]],"D"))</f>
        <v/>
      </c>
      <c r="AI1058" s="526" t="str">
        <f>IF(LANÇ_MOV[[#This Row],[DATA DE PAGAMENTO]]="","",TEXT(LANÇ_MOV[[#This Row],[DATA DE PAGAMENTO]],"AAAA"))</f>
        <v/>
      </c>
      <c r="AJ1058" s="527" t="str">
        <f>IF(LANÇ_MOV[[#This Row],[DATA DE PAGAMENTO]]="","",UPPER(TEXT(LANÇ_MOV[[#This Row],[DATA DE PAGAMENTO]],"MMMM")))</f>
        <v/>
      </c>
      <c r="AK1058" s="527" t="str">
        <f>IF(LANÇ_MOV[[#This Row],[DATA DE PAGAMENTO]]="","",TEXT(LANÇ_MOV[[#This Row],[DATA DE PAGAMENTO]],"M"))</f>
        <v/>
      </c>
      <c r="AL1058" s="526" t="str">
        <f>IF(LANÇ_MOV[[#This Row],[DATA DE PAGAMENTO]]="","",TEXT(LANÇ_MOV[[#This Row],[DATA DE PAGAMENTO]],"D"))</f>
        <v/>
      </c>
    </row>
    <row r="1059" spans="2:38" ht="30.05" customHeight="1" x14ac:dyDescent="0.35">
      <c r="B1059" s="506"/>
      <c r="C1059" s="507"/>
      <c r="D1059" s="508" t="s">
        <v>1854</v>
      </c>
      <c r="E1059" s="509"/>
      <c r="F1059" s="510"/>
      <c r="G1059" s="507"/>
      <c r="H1059" s="511"/>
      <c r="I1059" s="512"/>
      <c r="J1059" s="518"/>
      <c r="K1059" s="510"/>
      <c r="L1059" s="510"/>
      <c r="M1059" s="548"/>
      <c r="N1059" s="514">
        <f>LANÇ_MOV[[#This Row],[VALOR BRUTO]]-LANÇ_MOV[[#This Row],[DESCONTO]]+LANÇ_MOV[[#This Row],[JUROS]]+LANÇ_MOV[[#This Row],[MULTA]]</f>
        <v>0</v>
      </c>
      <c r="O1059" s="546"/>
      <c r="P1059" s="547" t="str">
        <f t="shared" ca="1" si="16"/>
        <v/>
      </c>
      <c r="Q1059" s="528"/>
      <c r="R1059" s="529"/>
      <c r="S1059" s="518"/>
      <c r="T1059" s="518"/>
      <c r="U1059" s="519"/>
      <c r="V1059" s="520" t="str">
        <f>IFERROR(VLOOKUP(LANÇ_MOV[[#This Row],[PLANO DE CONTAS]],Plano_Contas[[PLANO DE CONTAS]:[R / D]],3,0),"")</f>
        <v/>
      </c>
      <c r="W1059" s="521" t="str">
        <f>IF(LANÇ_MOV[[#This Row],[DATA DE PAGAMENTO]]&lt;&gt;"","Pago","Não Pago")</f>
        <v>Não Pago</v>
      </c>
      <c r="X1059" s="522" t="str">
        <f>IFERROR(IF(LANÇ_MOV[[#This Row],[DATA DE PAGAMENTO]]="","",(UPPER(TEXT(LANÇ_MOV[[#This Row],[DATA DE PAGAMENTO]],"mmmm")))),"")</f>
        <v/>
      </c>
      <c r="Y1059" s="523" t="str">
        <f>IFERROR(VLOOKUP(LANÇ_MOV[[#This Row],[PLANO DE CONTAS]],Plano_Contas[[PLANO DE CONTAS]:[NOMES INTERVALOS]],2,0),"")</f>
        <v/>
      </c>
      <c r="Z1059" s="523" t="str">
        <f>IF(LANÇ_MOV[[#This Row],[FORMA DE PAGAMENTO]]="","",VLOOKUP(LANÇ_MOV[[#This Row],[FORMA DE PAGAMENTO]],CAD_Forma_pagto[],2,0))</f>
        <v/>
      </c>
      <c r="AA1059" s="524" t="str">
        <f>IF(LANÇ_MOV[[#This Row],[DATA DE LANÇAMENTO]]="","",TEXT(LANÇ_MOV[[#This Row],[DATA DE LANÇAMENTO]],"AAAA"))</f>
        <v/>
      </c>
      <c r="AB1059" s="524" t="str">
        <f>IF(LANÇ_MOV[[#This Row],[DATA DE LANÇAMENTO]]="","",UPPER(TEXT(LANÇ_MOV[[#This Row],[DATA DE LANÇAMENTO]],"MMMM")))</f>
        <v/>
      </c>
      <c r="AC1059" s="525" t="str">
        <f>IF(LANÇ_MOV[[#This Row],[DATA DE LANÇAMENTO]]="","",PROPER(TEXT(LANÇ_MOV[[#This Row],[DATA DE LANÇAMENTO]],"M")))</f>
        <v/>
      </c>
      <c r="AD1059" s="524" t="str">
        <f>IF(LANÇ_MOV[[#This Row],[DATA DE LANÇAMENTO]]="","",TEXT(LANÇ_MOV[[#This Row],[DATA DE LANÇAMENTO]],"D"))</f>
        <v/>
      </c>
      <c r="AE1059" s="526" t="str">
        <f>IF(LANÇ_MOV[[#This Row],[DATA DE VENCIMENTO]]="","",TEXT(LANÇ_MOV[[#This Row],[DATA DE VENCIMENTO]],"AAAA"))</f>
        <v/>
      </c>
      <c r="AF1059" s="526" t="str">
        <f>IF(LANÇ_MOV[[#This Row],[DATA DE VENCIMENTO]]="","",UPPER(TEXT(LANÇ_MOV[[#This Row],[DATA DE VENCIMENTO]],"MMMM")))</f>
        <v/>
      </c>
      <c r="AG1059" s="526" t="str">
        <f>IF(LANÇ_MOV[[#This Row],[DATA DE VENCIMENTO]]="","",TEXT(LANÇ_MOV[[#This Row],[DATA DE VENCIMENTO]],"M"))</f>
        <v/>
      </c>
      <c r="AH1059" s="526" t="str">
        <f>IF(LANÇ_MOV[[#This Row],[DATA DE VENCIMENTO]]="","",TEXT(LANÇ_MOV[[#This Row],[DATA DE VENCIMENTO]],"D"))</f>
        <v/>
      </c>
      <c r="AI1059" s="526" t="str">
        <f>IF(LANÇ_MOV[[#This Row],[DATA DE PAGAMENTO]]="","",TEXT(LANÇ_MOV[[#This Row],[DATA DE PAGAMENTO]],"AAAA"))</f>
        <v/>
      </c>
      <c r="AJ1059" s="527" t="str">
        <f>IF(LANÇ_MOV[[#This Row],[DATA DE PAGAMENTO]]="","",UPPER(TEXT(LANÇ_MOV[[#This Row],[DATA DE PAGAMENTO]],"MMMM")))</f>
        <v/>
      </c>
      <c r="AK1059" s="527" t="str">
        <f>IF(LANÇ_MOV[[#This Row],[DATA DE PAGAMENTO]]="","",TEXT(LANÇ_MOV[[#This Row],[DATA DE PAGAMENTO]],"M"))</f>
        <v/>
      </c>
      <c r="AL1059" s="526" t="str">
        <f>IF(LANÇ_MOV[[#This Row],[DATA DE PAGAMENTO]]="","",TEXT(LANÇ_MOV[[#This Row],[DATA DE PAGAMENTO]],"D"))</f>
        <v/>
      </c>
    </row>
    <row r="1060" spans="2:38" ht="30.05" customHeight="1" x14ac:dyDescent="0.35">
      <c r="B1060" s="506"/>
      <c r="C1060" s="507"/>
      <c r="D1060" s="508" t="s">
        <v>1854</v>
      </c>
      <c r="E1060" s="509"/>
      <c r="F1060" s="510"/>
      <c r="G1060" s="507"/>
      <c r="H1060" s="511"/>
      <c r="I1060" s="512"/>
      <c r="J1060" s="518"/>
      <c r="K1060" s="510"/>
      <c r="L1060" s="510"/>
      <c r="M1060" s="548"/>
      <c r="N1060" s="514">
        <f>LANÇ_MOV[[#This Row],[VALOR BRUTO]]-LANÇ_MOV[[#This Row],[DESCONTO]]+LANÇ_MOV[[#This Row],[JUROS]]+LANÇ_MOV[[#This Row],[MULTA]]</f>
        <v>0</v>
      </c>
      <c r="O1060" s="546"/>
      <c r="P1060" s="547" t="str">
        <f t="shared" ca="1" si="16"/>
        <v/>
      </c>
      <c r="Q1060" s="528"/>
      <c r="R1060" s="529"/>
      <c r="S1060" s="518"/>
      <c r="T1060" s="518"/>
      <c r="U1060" s="519"/>
      <c r="V1060" s="520" t="str">
        <f>IFERROR(VLOOKUP(LANÇ_MOV[[#This Row],[PLANO DE CONTAS]],Plano_Contas[[PLANO DE CONTAS]:[R / D]],3,0),"")</f>
        <v/>
      </c>
      <c r="W1060" s="521" t="str">
        <f>IF(LANÇ_MOV[[#This Row],[DATA DE PAGAMENTO]]&lt;&gt;"","Pago","Não Pago")</f>
        <v>Não Pago</v>
      </c>
      <c r="X1060" s="522" t="str">
        <f>IFERROR(IF(LANÇ_MOV[[#This Row],[DATA DE PAGAMENTO]]="","",(UPPER(TEXT(LANÇ_MOV[[#This Row],[DATA DE PAGAMENTO]],"mmmm")))),"")</f>
        <v/>
      </c>
      <c r="Y1060" s="523" t="str">
        <f>IFERROR(VLOOKUP(LANÇ_MOV[[#This Row],[PLANO DE CONTAS]],Plano_Contas[[PLANO DE CONTAS]:[NOMES INTERVALOS]],2,0),"")</f>
        <v/>
      </c>
      <c r="Z1060" s="523" t="str">
        <f>IF(LANÇ_MOV[[#This Row],[FORMA DE PAGAMENTO]]="","",VLOOKUP(LANÇ_MOV[[#This Row],[FORMA DE PAGAMENTO]],CAD_Forma_pagto[],2,0))</f>
        <v/>
      </c>
      <c r="AA1060" s="524" t="str">
        <f>IF(LANÇ_MOV[[#This Row],[DATA DE LANÇAMENTO]]="","",TEXT(LANÇ_MOV[[#This Row],[DATA DE LANÇAMENTO]],"AAAA"))</f>
        <v/>
      </c>
      <c r="AB1060" s="524" t="str">
        <f>IF(LANÇ_MOV[[#This Row],[DATA DE LANÇAMENTO]]="","",UPPER(TEXT(LANÇ_MOV[[#This Row],[DATA DE LANÇAMENTO]],"MMMM")))</f>
        <v/>
      </c>
      <c r="AC1060" s="525" t="str">
        <f>IF(LANÇ_MOV[[#This Row],[DATA DE LANÇAMENTO]]="","",PROPER(TEXT(LANÇ_MOV[[#This Row],[DATA DE LANÇAMENTO]],"M")))</f>
        <v/>
      </c>
      <c r="AD1060" s="524" t="str">
        <f>IF(LANÇ_MOV[[#This Row],[DATA DE LANÇAMENTO]]="","",TEXT(LANÇ_MOV[[#This Row],[DATA DE LANÇAMENTO]],"D"))</f>
        <v/>
      </c>
      <c r="AE1060" s="526" t="str">
        <f>IF(LANÇ_MOV[[#This Row],[DATA DE VENCIMENTO]]="","",TEXT(LANÇ_MOV[[#This Row],[DATA DE VENCIMENTO]],"AAAA"))</f>
        <v/>
      </c>
      <c r="AF1060" s="526" t="str">
        <f>IF(LANÇ_MOV[[#This Row],[DATA DE VENCIMENTO]]="","",UPPER(TEXT(LANÇ_MOV[[#This Row],[DATA DE VENCIMENTO]],"MMMM")))</f>
        <v/>
      </c>
      <c r="AG1060" s="526" t="str">
        <f>IF(LANÇ_MOV[[#This Row],[DATA DE VENCIMENTO]]="","",TEXT(LANÇ_MOV[[#This Row],[DATA DE VENCIMENTO]],"M"))</f>
        <v/>
      </c>
      <c r="AH1060" s="526" t="str">
        <f>IF(LANÇ_MOV[[#This Row],[DATA DE VENCIMENTO]]="","",TEXT(LANÇ_MOV[[#This Row],[DATA DE VENCIMENTO]],"D"))</f>
        <v/>
      </c>
      <c r="AI1060" s="526" t="str">
        <f>IF(LANÇ_MOV[[#This Row],[DATA DE PAGAMENTO]]="","",TEXT(LANÇ_MOV[[#This Row],[DATA DE PAGAMENTO]],"AAAA"))</f>
        <v/>
      </c>
      <c r="AJ1060" s="527" t="str">
        <f>IF(LANÇ_MOV[[#This Row],[DATA DE PAGAMENTO]]="","",UPPER(TEXT(LANÇ_MOV[[#This Row],[DATA DE PAGAMENTO]],"MMMM")))</f>
        <v/>
      </c>
      <c r="AK1060" s="527" t="str">
        <f>IF(LANÇ_MOV[[#This Row],[DATA DE PAGAMENTO]]="","",TEXT(LANÇ_MOV[[#This Row],[DATA DE PAGAMENTO]],"M"))</f>
        <v/>
      </c>
      <c r="AL1060" s="526" t="str">
        <f>IF(LANÇ_MOV[[#This Row],[DATA DE PAGAMENTO]]="","",TEXT(LANÇ_MOV[[#This Row],[DATA DE PAGAMENTO]],"D"))</f>
        <v/>
      </c>
    </row>
    <row r="1061" spans="2:38" ht="30.05" customHeight="1" x14ac:dyDescent="0.35">
      <c r="B1061" s="506"/>
      <c r="C1061" s="507"/>
      <c r="D1061" s="508" t="s">
        <v>1854</v>
      </c>
      <c r="E1061" s="509"/>
      <c r="F1061" s="510"/>
      <c r="G1061" s="507"/>
      <c r="H1061" s="511"/>
      <c r="I1061" s="512"/>
      <c r="J1061" s="518"/>
      <c r="K1061" s="510"/>
      <c r="L1061" s="510"/>
      <c r="M1061" s="548"/>
      <c r="N1061" s="514">
        <f>LANÇ_MOV[[#This Row],[VALOR BRUTO]]-LANÇ_MOV[[#This Row],[DESCONTO]]+LANÇ_MOV[[#This Row],[JUROS]]+LANÇ_MOV[[#This Row],[MULTA]]</f>
        <v>0</v>
      </c>
      <c r="O1061" s="546"/>
      <c r="P1061" s="547" t="str">
        <f t="shared" ca="1" si="16"/>
        <v/>
      </c>
      <c r="Q1061" s="528"/>
      <c r="R1061" s="529"/>
      <c r="S1061" s="518"/>
      <c r="T1061" s="518"/>
      <c r="U1061" s="519"/>
      <c r="V1061" s="520" t="str">
        <f>IFERROR(VLOOKUP(LANÇ_MOV[[#This Row],[PLANO DE CONTAS]],Plano_Contas[[PLANO DE CONTAS]:[R / D]],3,0),"")</f>
        <v/>
      </c>
      <c r="W1061" s="521" t="str">
        <f>IF(LANÇ_MOV[[#This Row],[DATA DE PAGAMENTO]]&lt;&gt;"","Pago","Não Pago")</f>
        <v>Não Pago</v>
      </c>
      <c r="X1061" s="522" t="str">
        <f>IFERROR(IF(LANÇ_MOV[[#This Row],[DATA DE PAGAMENTO]]="","",(UPPER(TEXT(LANÇ_MOV[[#This Row],[DATA DE PAGAMENTO]],"mmmm")))),"")</f>
        <v/>
      </c>
      <c r="Y1061" s="523" t="str">
        <f>IFERROR(VLOOKUP(LANÇ_MOV[[#This Row],[PLANO DE CONTAS]],Plano_Contas[[PLANO DE CONTAS]:[NOMES INTERVALOS]],2,0),"")</f>
        <v/>
      </c>
      <c r="Z1061" s="523" t="str">
        <f>IF(LANÇ_MOV[[#This Row],[FORMA DE PAGAMENTO]]="","",VLOOKUP(LANÇ_MOV[[#This Row],[FORMA DE PAGAMENTO]],CAD_Forma_pagto[],2,0))</f>
        <v/>
      </c>
      <c r="AA1061" s="524" t="str">
        <f>IF(LANÇ_MOV[[#This Row],[DATA DE LANÇAMENTO]]="","",TEXT(LANÇ_MOV[[#This Row],[DATA DE LANÇAMENTO]],"AAAA"))</f>
        <v/>
      </c>
      <c r="AB1061" s="524" t="str">
        <f>IF(LANÇ_MOV[[#This Row],[DATA DE LANÇAMENTO]]="","",UPPER(TEXT(LANÇ_MOV[[#This Row],[DATA DE LANÇAMENTO]],"MMMM")))</f>
        <v/>
      </c>
      <c r="AC1061" s="525" t="str">
        <f>IF(LANÇ_MOV[[#This Row],[DATA DE LANÇAMENTO]]="","",PROPER(TEXT(LANÇ_MOV[[#This Row],[DATA DE LANÇAMENTO]],"M")))</f>
        <v/>
      </c>
      <c r="AD1061" s="524" t="str">
        <f>IF(LANÇ_MOV[[#This Row],[DATA DE LANÇAMENTO]]="","",TEXT(LANÇ_MOV[[#This Row],[DATA DE LANÇAMENTO]],"D"))</f>
        <v/>
      </c>
      <c r="AE1061" s="526" t="str">
        <f>IF(LANÇ_MOV[[#This Row],[DATA DE VENCIMENTO]]="","",TEXT(LANÇ_MOV[[#This Row],[DATA DE VENCIMENTO]],"AAAA"))</f>
        <v/>
      </c>
      <c r="AF1061" s="526" t="str">
        <f>IF(LANÇ_MOV[[#This Row],[DATA DE VENCIMENTO]]="","",UPPER(TEXT(LANÇ_MOV[[#This Row],[DATA DE VENCIMENTO]],"MMMM")))</f>
        <v/>
      </c>
      <c r="AG1061" s="526" t="str">
        <f>IF(LANÇ_MOV[[#This Row],[DATA DE VENCIMENTO]]="","",TEXT(LANÇ_MOV[[#This Row],[DATA DE VENCIMENTO]],"M"))</f>
        <v/>
      </c>
      <c r="AH1061" s="526" t="str">
        <f>IF(LANÇ_MOV[[#This Row],[DATA DE VENCIMENTO]]="","",TEXT(LANÇ_MOV[[#This Row],[DATA DE VENCIMENTO]],"D"))</f>
        <v/>
      </c>
      <c r="AI1061" s="526" t="str">
        <f>IF(LANÇ_MOV[[#This Row],[DATA DE PAGAMENTO]]="","",TEXT(LANÇ_MOV[[#This Row],[DATA DE PAGAMENTO]],"AAAA"))</f>
        <v/>
      </c>
      <c r="AJ1061" s="527" t="str">
        <f>IF(LANÇ_MOV[[#This Row],[DATA DE PAGAMENTO]]="","",UPPER(TEXT(LANÇ_MOV[[#This Row],[DATA DE PAGAMENTO]],"MMMM")))</f>
        <v/>
      </c>
      <c r="AK1061" s="527" t="str">
        <f>IF(LANÇ_MOV[[#This Row],[DATA DE PAGAMENTO]]="","",TEXT(LANÇ_MOV[[#This Row],[DATA DE PAGAMENTO]],"M"))</f>
        <v/>
      </c>
      <c r="AL1061" s="526" t="str">
        <f>IF(LANÇ_MOV[[#This Row],[DATA DE PAGAMENTO]]="","",TEXT(LANÇ_MOV[[#This Row],[DATA DE PAGAMENTO]],"D"))</f>
        <v/>
      </c>
    </row>
    <row r="1062" spans="2:38" ht="30.05" customHeight="1" x14ac:dyDescent="0.35">
      <c r="B1062" s="506"/>
      <c r="C1062" s="507"/>
      <c r="D1062" s="508" t="s">
        <v>1854</v>
      </c>
      <c r="E1062" s="509"/>
      <c r="F1062" s="510"/>
      <c r="G1062" s="507"/>
      <c r="H1062" s="511"/>
      <c r="I1062" s="512"/>
      <c r="J1062" s="518"/>
      <c r="K1062" s="510"/>
      <c r="L1062" s="510"/>
      <c r="M1062" s="548"/>
      <c r="N1062" s="514">
        <f>LANÇ_MOV[[#This Row],[VALOR BRUTO]]-LANÇ_MOV[[#This Row],[DESCONTO]]+LANÇ_MOV[[#This Row],[JUROS]]+LANÇ_MOV[[#This Row],[MULTA]]</f>
        <v>0</v>
      </c>
      <c r="O1062" s="546"/>
      <c r="P1062" s="547" t="str">
        <f t="shared" ca="1" si="16"/>
        <v/>
      </c>
      <c r="Q1062" s="528"/>
      <c r="R1062" s="529"/>
      <c r="S1062" s="518"/>
      <c r="T1062" s="518"/>
      <c r="U1062" s="519"/>
      <c r="V1062" s="520" t="str">
        <f>IFERROR(VLOOKUP(LANÇ_MOV[[#This Row],[PLANO DE CONTAS]],Plano_Contas[[PLANO DE CONTAS]:[R / D]],3,0),"")</f>
        <v/>
      </c>
      <c r="W1062" s="521" t="str">
        <f>IF(LANÇ_MOV[[#This Row],[DATA DE PAGAMENTO]]&lt;&gt;"","Pago","Não Pago")</f>
        <v>Não Pago</v>
      </c>
      <c r="X1062" s="522" t="str">
        <f>IFERROR(IF(LANÇ_MOV[[#This Row],[DATA DE PAGAMENTO]]="","",(UPPER(TEXT(LANÇ_MOV[[#This Row],[DATA DE PAGAMENTO]],"mmmm")))),"")</f>
        <v/>
      </c>
      <c r="Y1062" s="523" t="str">
        <f>IFERROR(VLOOKUP(LANÇ_MOV[[#This Row],[PLANO DE CONTAS]],Plano_Contas[[PLANO DE CONTAS]:[NOMES INTERVALOS]],2,0),"")</f>
        <v/>
      </c>
      <c r="Z1062" s="523" t="str">
        <f>IF(LANÇ_MOV[[#This Row],[FORMA DE PAGAMENTO]]="","",VLOOKUP(LANÇ_MOV[[#This Row],[FORMA DE PAGAMENTO]],CAD_Forma_pagto[],2,0))</f>
        <v/>
      </c>
      <c r="AA1062" s="524" t="str">
        <f>IF(LANÇ_MOV[[#This Row],[DATA DE LANÇAMENTO]]="","",TEXT(LANÇ_MOV[[#This Row],[DATA DE LANÇAMENTO]],"AAAA"))</f>
        <v/>
      </c>
      <c r="AB1062" s="524" t="str">
        <f>IF(LANÇ_MOV[[#This Row],[DATA DE LANÇAMENTO]]="","",UPPER(TEXT(LANÇ_MOV[[#This Row],[DATA DE LANÇAMENTO]],"MMMM")))</f>
        <v/>
      </c>
      <c r="AC1062" s="525" t="str">
        <f>IF(LANÇ_MOV[[#This Row],[DATA DE LANÇAMENTO]]="","",PROPER(TEXT(LANÇ_MOV[[#This Row],[DATA DE LANÇAMENTO]],"M")))</f>
        <v/>
      </c>
      <c r="AD1062" s="524" t="str">
        <f>IF(LANÇ_MOV[[#This Row],[DATA DE LANÇAMENTO]]="","",TEXT(LANÇ_MOV[[#This Row],[DATA DE LANÇAMENTO]],"D"))</f>
        <v/>
      </c>
      <c r="AE1062" s="526" t="str">
        <f>IF(LANÇ_MOV[[#This Row],[DATA DE VENCIMENTO]]="","",TEXT(LANÇ_MOV[[#This Row],[DATA DE VENCIMENTO]],"AAAA"))</f>
        <v/>
      </c>
      <c r="AF1062" s="526" t="str">
        <f>IF(LANÇ_MOV[[#This Row],[DATA DE VENCIMENTO]]="","",UPPER(TEXT(LANÇ_MOV[[#This Row],[DATA DE VENCIMENTO]],"MMMM")))</f>
        <v/>
      </c>
      <c r="AG1062" s="526" t="str">
        <f>IF(LANÇ_MOV[[#This Row],[DATA DE VENCIMENTO]]="","",TEXT(LANÇ_MOV[[#This Row],[DATA DE VENCIMENTO]],"M"))</f>
        <v/>
      </c>
      <c r="AH1062" s="526" t="str">
        <f>IF(LANÇ_MOV[[#This Row],[DATA DE VENCIMENTO]]="","",TEXT(LANÇ_MOV[[#This Row],[DATA DE VENCIMENTO]],"D"))</f>
        <v/>
      </c>
      <c r="AI1062" s="526" t="str">
        <f>IF(LANÇ_MOV[[#This Row],[DATA DE PAGAMENTO]]="","",TEXT(LANÇ_MOV[[#This Row],[DATA DE PAGAMENTO]],"AAAA"))</f>
        <v/>
      </c>
      <c r="AJ1062" s="527" t="str">
        <f>IF(LANÇ_MOV[[#This Row],[DATA DE PAGAMENTO]]="","",UPPER(TEXT(LANÇ_MOV[[#This Row],[DATA DE PAGAMENTO]],"MMMM")))</f>
        <v/>
      </c>
      <c r="AK1062" s="527" t="str">
        <f>IF(LANÇ_MOV[[#This Row],[DATA DE PAGAMENTO]]="","",TEXT(LANÇ_MOV[[#This Row],[DATA DE PAGAMENTO]],"M"))</f>
        <v/>
      </c>
      <c r="AL1062" s="526" t="str">
        <f>IF(LANÇ_MOV[[#This Row],[DATA DE PAGAMENTO]]="","",TEXT(LANÇ_MOV[[#This Row],[DATA DE PAGAMENTO]],"D"))</f>
        <v/>
      </c>
    </row>
    <row r="1063" spans="2:38" ht="30.05" customHeight="1" x14ac:dyDescent="0.35">
      <c r="B1063" s="506"/>
      <c r="C1063" s="507"/>
      <c r="D1063" s="508" t="s">
        <v>1854</v>
      </c>
      <c r="E1063" s="509"/>
      <c r="F1063" s="510"/>
      <c r="G1063" s="507"/>
      <c r="H1063" s="511"/>
      <c r="I1063" s="512"/>
      <c r="J1063" s="518"/>
      <c r="K1063" s="510"/>
      <c r="L1063" s="510"/>
      <c r="M1063" s="548"/>
      <c r="N1063" s="514">
        <f>LANÇ_MOV[[#This Row],[VALOR BRUTO]]-LANÇ_MOV[[#This Row],[DESCONTO]]+LANÇ_MOV[[#This Row],[JUROS]]+LANÇ_MOV[[#This Row],[MULTA]]</f>
        <v>0</v>
      </c>
      <c r="O1063" s="546"/>
      <c r="P1063" s="547" t="str">
        <f t="shared" ca="1" si="16"/>
        <v/>
      </c>
      <c r="Q1063" s="528"/>
      <c r="R1063" s="529"/>
      <c r="S1063" s="518"/>
      <c r="T1063" s="518"/>
      <c r="U1063" s="519"/>
      <c r="V1063" s="520" t="str">
        <f>IFERROR(VLOOKUP(LANÇ_MOV[[#This Row],[PLANO DE CONTAS]],Plano_Contas[[PLANO DE CONTAS]:[R / D]],3,0),"")</f>
        <v/>
      </c>
      <c r="W1063" s="521" t="str">
        <f>IF(LANÇ_MOV[[#This Row],[DATA DE PAGAMENTO]]&lt;&gt;"","Pago","Não Pago")</f>
        <v>Não Pago</v>
      </c>
      <c r="X1063" s="522" t="str">
        <f>IFERROR(IF(LANÇ_MOV[[#This Row],[DATA DE PAGAMENTO]]="","",(UPPER(TEXT(LANÇ_MOV[[#This Row],[DATA DE PAGAMENTO]],"mmmm")))),"")</f>
        <v/>
      </c>
      <c r="Y1063" s="523" t="str">
        <f>IFERROR(VLOOKUP(LANÇ_MOV[[#This Row],[PLANO DE CONTAS]],Plano_Contas[[PLANO DE CONTAS]:[NOMES INTERVALOS]],2,0),"")</f>
        <v/>
      </c>
      <c r="Z1063" s="523" t="str">
        <f>IF(LANÇ_MOV[[#This Row],[FORMA DE PAGAMENTO]]="","",VLOOKUP(LANÇ_MOV[[#This Row],[FORMA DE PAGAMENTO]],CAD_Forma_pagto[],2,0))</f>
        <v/>
      </c>
      <c r="AA1063" s="524" t="str">
        <f>IF(LANÇ_MOV[[#This Row],[DATA DE LANÇAMENTO]]="","",TEXT(LANÇ_MOV[[#This Row],[DATA DE LANÇAMENTO]],"AAAA"))</f>
        <v/>
      </c>
      <c r="AB1063" s="524" t="str">
        <f>IF(LANÇ_MOV[[#This Row],[DATA DE LANÇAMENTO]]="","",UPPER(TEXT(LANÇ_MOV[[#This Row],[DATA DE LANÇAMENTO]],"MMMM")))</f>
        <v/>
      </c>
      <c r="AC1063" s="525" t="str">
        <f>IF(LANÇ_MOV[[#This Row],[DATA DE LANÇAMENTO]]="","",PROPER(TEXT(LANÇ_MOV[[#This Row],[DATA DE LANÇAMENTO]],"M")))</f>
        <v/>
      </c>
      <c r="AD1063" s="524" t="str">
        <f>IF(LANÇ_MOV[[#This Row],[DATA DE LANÇAMENTO]]="","",TEXT(LANÇ_MOV[[#This Row],[DATA DE LANÇAMENTO]],"D"))</f>
        <v/>
      </c>
      <c r="AE1063" s="526" t="str">
        <f>IF(LANÇ_MOV[[#This Row],[DATA DE VENCIMENTO]]="","",TEXT(LANÇ_MOV[[#This Row],[DATA DE VENCIMENTO]],"AAAA"))</f>
        <v/>
      </c>
      <c r="AF1063" s="526" t="str">
        <f>IF(LANÇ_MOV[[#This Row],[DATA DE VENCIMENTO]]="","",UPPER(TEXT(LANÇ_MOV[[#This Row],[DATA DE VENCIMENTO]],"MMMM")))</f>
        <v/>
      </c>
      <c r="AG1063" s="526" t="str">
        <f>IF(LANÇ_MOV[[#This Row],[DATA DE VENCIMENTO]]="","",TEXT(LANÇ_MOV[[#This Row],[DATA DE VENCIMENTO]],"M"))</f>
        <v/>
      </c>
      <c r="AH1063" s="526" t="str">
        <f>IF(LANÇ_MOV[[#This Row],[DATA DE VENCIMENTO]]="","",TEXT(LANÇ_MOV[[#This Row],[DATA DE VENCIMENTO]],"D"))</f>
        <v/>
      </c>
      <c r="AI1063" s="526" t="str">
        <f>IF(LANÇ_MOV[[#This Row],[DATA DE PAGAMENTO]]="","",TEXT(LANÇ_MOV[[#This Row],[DATA DE PAGAMENTO]],"AAAA"))</f>
        <v/>
      </c>
      <c r="AJ1063" s="527" t="str">
        <f>IF(LANÇ_MOV[[#This Row],[DATA DE PAGAMENTO]]="","",UPPER(TEXT(LANÇ_MOV[[#This Row],[DATA DE PAGAMENTO]],"MMMM")))</f>
        <v/>
      </c>
      <c r="AK1063" s="527" t="str">
        <f>IF(LANÇ_MOV[[#This Row],[DATA DE PAGAMENTO]]="","",TEXT(LANÇ_MOV[[#This Row],[DATA DE PAGAMENTO]],"M"))</f>
        <v/>
      </c>
      <c r="AL1063" s="526" t="str">
        <f>IF(LANÇ_MOV[[#This Row],[DATA DE PAGAMENTO]]="","",TEXT(LANÇ_MOV[[#This Row],[DATA DE PAGAMENTO]],"D"))</f>
        <v/>
      </c>
    </row>
    <row r="1064" spans="2:38" ht="30.05" customHeight="1" x14ac:dyDescent="0.35">
      <c r="B1064" s="506"/>
      <c r="C1064" s="507"/>
      <c r="D1064" s="508" t="s">
        <v>1854</v>
      </c>
      <c r="E1064" s="509"/>
      <c r="F1064" s="510"/>
      <c r="G1064" s="507"/>
      <c r="H1064" s="511"/>
      <c r="I1064" s="512"/>
      <c r="J1064" s="518"/>
      <c r="K1064" s="510"/>
      <c r="L1064" s="510"/>
      <c r="M1064" s="548"/>
      <c r="N1064" s="514">
        <f>LANÇ_MOV[[#This Row],[VALOR BRUTO]]-LANÇ_MOV[[#This Row],[DESCONTO]]+LANÇ_MOV[[#This Row],[JUROS]]+LANÇ_MOV[[#This Row],[MULTA]]</f>
        <v>0</v>
      </c>
      <c r="O1064" s="546"/>
      <c r="P1064" s="547" t="str">
        <f t="shared" ca="1" si="16"/>
        <v/>
      </c>
      <c r="Q1064" s="528"/>
      <c r="R1064" s="529"/>
      <c r="S1064" s="518"/>
      <c r="T1064" s="518"/>
      <c r="U1064" s="519"/>
      <c r="V1064" s="520" t="str">
        <f>IFERROR(VLOOKUP(LANÇ_MOV[[#This Row],[PLANO DE CONTAS]],Plano_Contas[[PLANO DE CONTAS]:[R / D]],3,0),"")</f>
        <v/>
      </c>
      <c r="W1064" s="521" t="str">
        <f>IF(LANÇ_MOV[[#This Row],[DATA DE PAGAMENTO]]&lt;&gt;"","Pago","Não Pago")</f>
        <v>Não Pago</v>
      </c>
      <c r="X1064" s="522" t="str">
        <f>IFERROR(IF(LANÇ_MOV[[#This Row],[DATA DE PAGAMENTO]]="","",(UPPER(TEXT(LANÇ_MOV[[#This Row],[DATA DE PAGAMENTO]],"mmmm")))),"")</f>
        <v/>
      </c>
      <c r="Y1064" s="523" t="str">
        <f>IFERROR(VLOOKUP(LANÇ_MOV[[#This Row],[PLANO DE CONTAS]],Plano_Contas[[PLANO DE CONTAS]:[NOMES INTERVALOS]],2,0),"")</f>
        <v/>
      </c>
      <c r="Z1064" s="523" t="str">
        <f>IF(LANÇ_MOV[[#This Row],[FORMA DE PAGAMENTO]]="","",VLOOKUP(LANÇ_MOV[[#This Row],[FORMA DE PAGAMENTO]],CAD_Forma_pagto[],2,0))</f>
        <v/>
      </c>
      <c r="AA1064" s="524" t="str">
        <f>IF(LANÇ_MOV[[#This Row],[DATA DE LANÇAMENTO]]="","",TEXT(LANÇ_MOV[[#This Row],[DATA DE LANÇAMENTO]],"AAAA"))</f>
        <v/>
      </c>
      <c r="AB1064" s="524" t="str">
        <f>IF(LANÇ_MOV[[#This Row],[DATA DE LANÇAMENTO]]="","",UPPER(TEXT(LANÇ_MOV[[#This Row],[DATA DE LANÇAMENTO]],"MMMM")))</f>
        <v/>
      </c>
      <c r="AC1064" s="525" t="str">
        <f>IF(LANÇ_MOV[[#This Row],[DATA DE LANÇAMENTO]]="","",PROPER(TEXT(LANÇ_MOV[[#This Row],[DATA DE LANÇAMENTO]],"M")))</f>
        <v/>
      </c>
      <c r="AD1064" s="524" t="str">
        <f>IF(LANÇ_MOV[[#This Row],[DATA DE LANÇAMENTO]]="","",TEXT(LANÇ_MOV[[#This Row],[DATA DE LANÇAMENTO]],"D"))</f>
        <v/>
      </c>
      <c r="AE1064" s="526" t="str">
        <f>IF(LANÇ_MOV[[#This Row],[DATA DE VENCIMENTO]]="","",TEXT(LANÇ_MOV[[#This Row],[DATA DE VENCIMENTO]],"AAAA"))</f>
        <v/>
      </c>
      <c r="AF1064" s="526" t="str">
        <f>IF(LANÇ_MOV[[#This Row],[DATA DE VENCIMENTO]]="","",UPPER(TEXT(LANÇ_MOV[[#This Row],[DATA DE VENCIMENTO]],"MMMM")))</f>
        <v/>
      </c>
      <c r="AG1064" s="526" t="str">
        <f>IF(LANÇ_MOV[[#This Row],[DATA DE VENCIMENTO]]="","",TEXT(LANÇ_MOV[[#This Row],[DATA DE VENCIMENTO]],"M"))</f>
        <v/>
      </c>
      <c r="AH1064" s="526" t="str">
        <f>IF(LANÇ_MOV[[#This Row],[DATA DE VENCIMENTO]]="","",TEXT(LANÇ_MOV[[#This Row],[DATA DE VENCIMENTO]],"D"))</f>
        <v/>
      </c>
      <c r="AI1064" s="526" t="str">
        <f>IF(LANÇ_MOV[[#This Row],[DATA DE PAGAMENTO]]="","",TEXT(LANÇ_MOV[[#This Row],[DATA DE PAGAMENTO]],"AAAA"))</f>
        <v/>
      </c>
      <c r="AJ1064" s="527" t="str">
        <f>IF(LANÇ_MOV[[#This Row],[DATA DE PAGAMENTO]]="","",UPPER(TEXT(LANÇ_MOV[[#This Row],[DATA DE PAGAMENTO]],"MMMM")))</f>
        <v/>
      </c>
      <c r="AK1064" s="527" t="str">
        <f>IF(LANÇ_MOV[[#This Row],[DATA DE PAGAMENTO]]="","",TEXT(LANÇ_MOV[[#This Row],[DATA DE PAGAMENTO]],"M"))</f>
        <v/>
      </c>
      <c r="AL1064" s="526" t="str">
        <f>IF(LANÇ_MOV[[#This Row],[DATA DE PAGAMENTO]]="","",TEXT(LANÇ_MOV[[#This Row],[DATA DE PAGAMENTO]],"D"))</f>
        <v/>
      </c>
    </row>
    <row r="1065" spans="2:38" ht="30.05" customHeight="1" x14ac:dyDescent="0.35">
      <c r="B1065" s="506"/>
      <c r="C1065" s="507"/>
      <c r="D1065" s="508" t="s">
        <v>1854</v>
      </c>
      <c r="E1065" s="509"/>
      <c r="F1065" s="510"/>
      <c r="G1065" s="507"/>
      <c r="H1065" s="511"/>
      <c r="I1065" s="512"/>
      <c r="J1065" s="518"/>
      <c r="K1065" s="510"/>
      <c r="L1065" s="510"/>
      <c r="M1065" s="548"/>
      <c r="N1065" s="514">
        <f>LANÇ_MOV[[#This Row],[VALOR BRUTO]]-LANÇ_MOV[[#This Row],[DESCONTO]]+LANÇ_MOV[[#This Row],[JUROS]]+LANÇ_MOV[[#This Row],[MULTA]]</f>
        <v>0</v>
      </c>
      <c r="O1065" s="546"/>
      <c r="P1065" s="547" t="str">
        <f t="shared" ca="1" si="16"/>
        <v/>
      </c>
      <c r="Q1065" s="528"/>
      <c r="R1065" s="529"/>
      <c r="S1065" s="518"/>
      <c r="T1065" s="518"/>
      <c r="U1065" s="519"/>
      <c r="V1065" s="520" t="str">
        <f>IFERROR(VLOOKUP(LANÇ_MOV[[#This Row],[PLANO DE CONTAS]],Plano_Contas[[PLANO DE CONTAS]:[R / D]],3,0),"")</f>
        <v/>
      </c>
      <c r="W1065" s="521" t="str">
        <f>IF(LANÇ_MOV[[#This Row],[DATA DE PAGAMENTO]]&lt;&gt;"","Pago","Não Pago")</f>
        <v>Não Pago</v>
      </c>
      <c r="X1065" s="522" t="str">
        <f>IFERROR(IF(LANÇ_MOV[[#This Row],[DATA DE PAGAMENTO]]="","",(UPPER(TEXT(LANÇ_MOV[[#This Row],[DATA DE PAGAMENTO]],"mmmm")))),"")</f>
        <v/>
      </c>
      <c r="Y1065" s="523" t="str">
        <f>IFERROR(VLOOKUP(LANÇ_MOV[[#This Row],[PLANO DE CONTAS]],Plano_Contas[[PLANO DE CONTAS]:[NOMES INTERVALOS]],2,0),"")</f>
        <v/>
      </c>
      <c r="Z1065" s="523" t="str">
        <f>IF(LANÇ_MOV[[#This Row],[FORMA DE PAGAMENTO]]="","",VLOOKUP(LANÇ_MOV[[#This Row],[FORMA DE PAGAMENTO]],CAD_Forma_pagto[],2,0))</f>
        <v/>
      </c>
      <c r="AA1065" s="524" t="str">
        <f>IF(LANÇ_MOV[[#This Row],[DATA DE LANÇAMENTO]]="","",TEXT(LANÇ_MOV[[#This Row],[DATA DE LANÇAMENTO]],"AAAA"))</f>
        <v/>
      </c>
      <c r="AB1065" s="524" t="str">
        <f>IF(LANÇ_MOV[[#This Row],[DATA DE LANÇAMENTO]]="","",UPPER(TEXT(LANÇ_MOV[[#This Row],[DATA DE LANÇAMENTO]],"MMMM")))</f>
        <v/>
      </c>
      <c r="AC1065" s="525" t="str">
        <f>IF(LANÇ_MOV[[#This Row],[DATA DE LANÇAMENTO]]="","",PROPER(TEXT(LANÇ_MOV[[#This Row],[DATA DE LANÇAMENTO]],"M")))</f>
        <v/>
      </c>
      <c r="AD1065" s="524" t="str">
        <f>IF(LANÇ_MOV[[#This Row],[DATA DE LANÇAMENTO]]="","",TEXT(LANÇ_MOV[[#This Row],[DATA DE LANÇAMENTO]],"D"))</f>
        <v/>
      </c>
      <c r="AE1065" s="526" t="str">
        <f>IF(LANÇ_MOV[[#This Row],[DATA DE VENCIMENTO]]="","",TEXT(LANÇ_MOV[[#This Row],[DATA DE VENCIMENTO]],"AAAA"))</f>
        <v/>
      </c>
      <c r="AF1065" s="526" t="str">
        <f>IF(LANÇ_MOV[[#This Row],[DATA DE VENCIMENTO]]="","",UPPER(TEXT(LANÇ_MOV[[#This Row],[DATA DE VENCIMENTO]],"MMMM")))</f>
        <v/>
      </c>
      <c r="AG1065" s="526" t="str">
        <f>IF(LANÇ_MOV[[#This Row],[DATA DE VENCIMENTO]]="","",TEXT(LANÇ_MOV[[#This Row],[DATA DE VENCIMENTO]],"M"))</f>
        <v/>
      </c>
      <c r="AH1065" s="526" t="str">
        <f>IF(LANÇ_MOV[[#This Row],[DATA DE VENCIMENTO]]="","",TEXT(LANÇ_MOV[[#This Row],[DATA DE VENCIMENTO]],"D"))</f>
        <v/>
      </c>
      <c r="AI1065" s="526" t="str">
        <f>IF(LANÇ_MOV[[#This Row],[DATA DE PAGAMENTO]]="","",TEXT(LANÇ_MOV[[#This Row],[DATA DE PAGAMENTO]],"AAAA"))</f>
        <v/>
      </c>
      <c r="AJ1065" s="527" t="str">
        <f>IF(LANÇ_MOV[[#This Row],[DATA DE PAGAMENTO]]="","",UPPER(TEXT(LANÇ_MOV[[#This Row],[DATA DE PAGAMENTO]],"MMMM")))</f>
        <v/>
      </c>
      <c r="AK1065" s="527" t="str">
        <f>IF(LANÇ_MOV[[#This Row],[DATA DE PAGAMENTO]]="","",TEXT(LANÇ_MOV[[#This Row],[DATA DE PAGAMENTO]],"M"))</f>
        <v/>
      </c>
      <c r="AL1065" s="526" t="str">
        <f>IF(LANÇ_MOV[[#This Row],[DATA DE PAGAMENTO]]="","",TEXT(LANÇ_MOV[[#This Row],[DATA DE PAGAMENTO]],"D"))</f>
        <v/>
      </c>
    </row>
    <row r="1066" spans="2:38" ht="30.05" customHeight="1" x14ac:dyDescent="0.35">
      <c r="B1066" s="506"/>
      <c r="C1066" s="507"/>
      <c r="D1066" s="508" t="s">
        <v>1854</v>
      </c>
      <c r="E1066" s="509"/>
      <c r="F1066" s="510"/>
      <c r="G1066" s="507"/>
      <c r="H1066" s="511"/>
      <c r="I1066" s="512"/>
      <c r="J1066" s="518"/>
      <c r="K1066" s="510"/>
      <c r="L1066" s="510"/>
      <c r="M1066" s="548"/>
      <c r="N1066" s="514">
        <f>LANÇ_MOV[[#This Row],[VALOR BRUTO]]-LANÇ_MOV[[#This Row],[DESCONTO]]+LANÇ_MOV[[#This Row],[JUROS]]+LANÇ_MOV[[#This Row],[MULTA]]</f>
        <v>0</v>
      </c>
      <c r="O1066" s="546"/>
      <c r="P1066" s="547" t="str">
        <f t="shared" ca="1" si="16"/>
        <v/>
      </c>
      <c r="Q1066" s="528"/>
      <c r="R1066" s="529"/>
      <c r="S1066" s="518"/>
      <c r="T1066" s="518"/>
      <c r="U1066" s="519"/>
      <c r="V1066" s="520" t="str">
        <f>IFERROR(VLOOKUP(LANÇ_MOV[[#This Row],[PLANO DE CONTAS]],Plano_Contas[[PLANO DE CONTAS]:[R / D]],3,0),"")</f>
        <v/>
      </c>
      <c r="W1066" s="521" t="str">
        <f>IF(LANÇ_MOV[[#This Row],[DATA DE PAGAMENTO]]&lt;&gt;"","Pago","Não Pago")</f>
        <v>Não Pago</v>
      </c>
      <c r="X1066" s="522" t="str">
        <f>IFERROR(IF(LANÇ_MOV[[#This Row],[DATA DE PAGAMENTO]]="","",(UPPER(TEXT(LANÇ_MOV[[#This Row],[DATA DE PAGAMENTO]],"mmmm")))),"")</f>
        <v/>
      </c>
      <c r="Y1066" s="523" t="str">
        <f>IFERROR(VLOOKUP(LANÇ_MOV[[#This Row],[PLANO DE CONTAS]],Plano_Contas[[PLANO DE CONTAS]:[NOMES INTERVALOS]],2,0),"")</f>
        <v/>
      </c>
      <c r="Z1066" s="523" t="str">
        <f>IF(LANÇ_MOV[[#This Row],[FORMA DE PAGAMENTO]]="","",VLOOKUP(LANÇ_MOV[[#This Row],[FORMA DE PAGAMENTO]],CAD_Forma_pagto[],2,0))</f>
        <v/>
      </c>
      <c r="AA1066" s="524" t="str">
        <f>IF(LANÇ_MOV[[#This Row],[DATA DE LANÇAMENTO]]="","",TEXT(LANÇ_MOV[[#This Row],[DATA DE LANÇAMENTO]],"AAAA"))</f>
        <v/>
      </c>
      <c r="AB1066" s="524" t="str">
        <f>IF(LANÇ_MOV[[#This Row],[DATA DE LANÇAMENTO]]="","",UPPER(TEXT(LANÇ_MOV[[#This Row],[DATA DE LANÇAMENTO]],"MMMM")))</f>
        <v/>
      </c>
      <c r="AC1066" s="525" t="str">
        <f>IF(LANÇ_MOV[[#This Row],[DATA DE LANÇAMENTO]]="","",PROPER(TEXT(LANÇ_MOV[[#This Row],[DATA DE LANÇAMENTO]],"M")))</f>
        <v/>
      </c>
      <c r="AD1066" s="524" t="str">
        <f>IF(LANÇ_MOV[[#This Row],[DATA DE LANÇAMENTO]]="","",TEXT(LANÇ_MOV[[#This Row],[DATA DE LANÇAMENTO]],"D"))</f>
        <v/>
      </c>
      <c r="AE1066" s="526" t="str">
        <f>IF(LANÇ_MOV[[#This Row],[DATA DE VENCIMENTO]]="","",TEXT(LANÇ_MOV[[#This Row],[DATA DE VENCIMENTO]],"AAAA"))</f>
        <v/>
      </c>
      <c r="AF1066" s="526" t="str">
        <f>IF(LANÇ_MOV[[#This Row],[DATA DE VENCIMENTO]]="","",UPPER(TEXT(LANÇ_MOV[[#This Row],[DATA DE VENCIMENTO]],"MMMM")))</f>
        <v/>
      </c>
      <c r="AG1066" s="526" t="str">
        <f>IF(LANÇ_MOV[[#This Row],[DATA DE VENCIMENTO]]="","",TEXT(LANÇ_MOV[[#This Row],[DATA DE VENCIMENTO]],"M"))</f>
        <v/>
      </c>
      <c r="AH1066" s="526" t="str">
        <f>IF(LANÇ_MOV[[#This Row],[DATA DE VENCIMENTO]]="","",TEXT(LANÇ_MOV[[#This Row],[DATA DE VENCIMENTO]],"D"))</f>
        <v/>
      </c>
      <c r="AI1066" s="526" t="str">
        <f>IF(LANÇ_MOV[[#This Row],[DATA DE PAGAMENTO]]="","",TEXT(LANÇ_MOV[[#This Row],[DATA DE PAGAMENTO]],"AAAA"))</f>
        <v/>
      </c>
      <c r="AJ1066" s="527" t="str">
        <f>IF(LANÇ_MOV[[#This Row],[DATA DE PAGAMENTO]]="","",UPPER(TEXT(LANÇ_MOV[[#This Row],[DATA DE PAGAMENTO]],"MMMM")))</f>
        <v/>
      </c>
      <c r="AK1066" s="527" t="str">
        <f>IF(LANÇ_MOV[[#This Row],[DATA DE PAGAMENTO]]="","",TEXT(LANÇ_MOV[[#This Row],[DATA DE PAGAMENTO]],"M"))</f>
        <v/>
      </c>
      <c r="AL1066" s="526" t="str">
        <f>IF(LANÇ_MOV[[#This Row],[DATA DE PAGAMENTO]]="","",TEXT(LANÇ_MOV[[#This Row],[DATA DE PAGAMENTO]],"D"))</f>
        <v/>
      </c>
    </row>
    <row r="1067" spans="2:38" ht="30.05" customHeight="1" x14ac:dyDescent="0.35">
      <c r="B1067" s="506"/>
      <c r="C1067" s="507"/>
      <c r="D1067" s="508" t="s">
        <v>1854</v>
      </c>
      <c r="E1067" s="509"/>
      <c r="F1067" s="510"/>
      <c r="G1067" s="507"/>
      <c r="H1067" s="511"/>
      <c r="I1067" s="512"/>
      <c r="J1067" s="518"/>
      <c r="K1067" s="510"/>
      <c r="L1067" s="510"/>
      <c r="M1067" s="548"/>
      <c r="N1067" s="514">
        <f>LANÇ_MOV[[#This Row],[VALOR BRUTO]]-LANÇ_MOV[[#This Row],[DESCONTO]]+LANÇ_MOV[[#This Row],[JUROS]]+LANÇ_MOV[[#This Row],[MULTA]]</f>
        <v>0</v>
      </c>
      <c r="O1067" s="546"/>
      <c r="P1067" s="547" t="str">
        <f t="shared" ca="1" si="16"/>
        <v/>
      </c>
      <c r="Q1067" s="528"/>
      <c r="R1067" s="529"/>
      <c r="S1067" s="518"/>
      <c r="T1067" s="518"/>
      <c r="U1067" s="519"/>
      <c r="V1067" s="520" t="str">
        <f>IFERROR(VLOOKUP(LANÇ_MOV[[#This Row],[PLANO DE CONTAS]],Plano_Contas[[PLANO DE CONTAS]:[R / D]],3,0),"")</f>
        <v/>
      </c>
      <c r="W1067" s="521" t="str">
        <f>IF(LANÇ_MOV[[#This Row],[DATA DE PAGAMENTO]]&lt;&gt;"","Pago","Não Pago")</f>
        <v>Não Pago</v>
      </c>
      <c r="X1067" s="522" t="str">
        <f>IFERROR(IF(LANÇ_MOV[[#This Row],[DATA DE PAGAMENTO]]="","",(UPPER(TEXT(LANÇ_MOV[[#This Row],[DATA DE PAGAMENTO]],"mmmm")))),"")</f>
        <v/>
      </c>
      <c r="Y1067" s="523" t="str">
        <f>IFERROR(VLOOKUP(LANÇ_MOV[[#This Row],[PLANO DE CONTAS]],Plano_Contas[[PLANO DE CONTAS]:[NOMES INTERVALOS]],2,0),"")</f>
        <v/>
      </c>
      <c r="Z1067" s="523" t="str">
        <f>IF(LANÇ_MOV[[#This Row],[FORMA DE PAGAMENTO]]="","",VLOOKUP(LANÇ_MOV[[#This Row],[FORMA DE PAGAMENTO]],CAD_Forma_pagto[],2,0))</f>
        <v/>
      </c>
      <c r="AA1067" s="524" t="str">
        <f>IF(LANÇ_MOV[[#This Row],[DATA DE LANÇAMENTO]]="","",TEXT(LANÇ_MOV[[#This Row],[DATA DE LANÇAMENTO]],"AAAA"))</f>
        <v/>
      </c>
      <c r="AB1067" s="524" t="str">
        <f>IF(LANÇ_MOV[[#This Row],[DATA DE LANÇAMENTO]]="","",UPPER(TEXT(LANÇ_MOV[[#This Row],[DATA DE LANÇAMENTO]],"MMMM")))</f>
        <v/>
      </c>
      <c r="AC1067" s="525" t="str">
        <f>IF(LANÇ_MOV[[#This Row],[DATA DE LANÇAMENTO]]="","",PROPER(TEXT(LANÇ_MOV[[#This Row],[DATA DE LANÇAMENTO]],"M")))</f>
        <v/>
      </c>
      <c r="AD1067" s="524" t="str">
        <f>IF(LANÇ_MOV[[#This Row],[DATA DE LANÇAMENTO]]="","",TEXT(LANÇ_MOV[[#This Row],[DATA DE LANÇAMENTO]],"D"))</f>
        <v/>
      </c>
      <c r="AE1067" s="526" t="str">
        <f>IF(LANÇ_MOV[[#This Row],[DATA DE VENCIMENTO]]="","",TEXT(LANÇ_MOV[[#This Row],[DATA DE VENCIMENTO]],"AAAA"))</f>
        <v/>
      </c>
      <c r="AF1067" s="526" t="str">
        <f>IF(LANÇ_MOV[[#This Row],[DATA DE VENCIMENTO]]="","",UPPER(TEXT(LANÇ_MOV[[#This Row],[DATA DE VENCIMENTO]],"MMMM")))</f>
        <v/>
      </c>
      <c r="AG1067" s="526" t="str">
        <f>IF(LANÇ_MOV[[#This Row],[DATA DE VENCIMENTO]]="","",TEXT(LANÇ_MOV[[#This Row],[DATA DE VENCIMENTO]],"M"))</f>
        <v/>
      </c>
      <c r="AH1067" s="526" t="str">
        <f>IF(LANÇ_MOV[[#This Row],[DATA DE VENCIMENTO]]="","",TEXT(LANÇ_MOV[[#This Row],[DATA DE VENCIMENTO]],"D"))</f>
        <v/>
      </c>
      <c r="AI1067" s="526" t="str">
        <f>IF(LANÇ_MOV[[#This Row],[DATA DE PAGAMENTO]]="","",TEXT(LANÇ_MOV[[#This Row],[DATA DE PAGAMENTO]],"AAAA"))</f>
        <v/>
      </c>
      <c r="AJ1067" s="527" t="str">
        <f>IF(LANÇ_MOV[[#This Row],[DATA DE PAGAMENTO]]="","",UPPER(TEXT(LANÇ_MOV[[#This Row],[DATA DE PAGAMENTO]],"MMMM")))</f>
        <v/>
      </c>
      <c r="AK1067" s="527" t="str">
        <f>IF(LANÇ_MOV[[#This Row],[DATA DE PAGAMENTO]]="","",TEXT(LANÇ_MOV[[#This Row],[DATA DE PAGAMENTO]],"M"))</f>
        <v/>
      </c>
      <c r="AL1067" s="526" t="str">
        <f>IF(LANÇ_MOV[[#This Row],[DATA DE PAGAMENTO]]="","",TEXT(LANÇ_MOV[[#This Row],[DATA DE PAGAMENTO]],"D"))</f>
        <v/>
      </c>
    </row>
    <row r="1068" spans="2:38" ht="30.05" customHeight="1" x14ac:dyDescent="0.35">
      <c r="B1068" s="506"/>
      <c r="C1068" s="507"/>
      <c r="D1068" s="508" t="s">
        <v>1854</v>
      </c>
      <c r="E1068" s="509"/>
      <c r="F1068" s="510"/>
      <c r="G1068" s="507"/>
      <c r="H1068" s="511"/>
      <c r="I1068" s="512"/>
      <c r="J1068" s="518"/>
      <c r="K1068" s="510"/>
      <c r="L1068" s="510"/>
      <c r="M1068" s="548"/>
      <c r="N1068" s="514">
        <f>LANÇ_MOV[[#This Row],[VALOR BRUTO]]-LANÇ_MOV[[#This Row],[DESCONTO]]+LANÇ_MOV[[#This Row],[JUROS]]+LANÇ_MOV[[#This Row],[MULTA]]</f>
        <v>0</v>
      </c>
      <c r="O1068" s="546"/>
      <c r="P1068" s="547" t="str">
        <f t="shared" ca="1" si="16"/>
        <v/>
      </c>
      <c r="Q1068" s="528"/>
      <c r="R1068" s="529"/>
      <c r="S1068" s="518"/>
      <c r="T1068" s="518"/>
      <c r="U1068" s="519"/>
      <c r="V1068" s="520" t="str">
        <f>IFERROR(VLOOKUP(LANÇ_MOV[[#This Row],[PLANO DE CONTAS]],Plano_Contas[[PLANO DE CONTAS]:[R / D]],3,0),"")</f>
        <v/>
      </c>
      <c r="W1068" s="521" t="str">
        <f>IF(LANÇ_MOV[[#This Row],[DATA DE PAGAMENTO]]&lt;&gt;"","Pago","Não Pago")</f>
        <v>Não Pago</v>
      </c>
      <c r="X1068" s="522" t="str">
        <f>IFERROR(IF(LANÇ_MOV[[#This Row],[DATA DE PAGAMENTO]]="","",(UPPER(TEXT(LANÇ_MOV[[#This Row],[DATA DE PAGAMENTO]],"mmmm")))),"")</f>
        <v/>
      </c>
      <c r="Y1068" s="523" t="str">
        <f>IFERROR(VLOOKUP(LANÇ_MOV[[#This Row],[PLANO DE CONTAS]],Plano_Contas[[PLANO DE CONTAS]:[NOMES INTERVALOS]],2,0),"")</f>
        <v/>
      </c>
      <c r="Z1068" s="523" t="str">
        <f>IF(LANÇ_MOV[[#This Row],[FORMA DE PAGAMENTO]]="","",VLOOKUP(LANÇ_MOV[[#This Row],[FORMA DE PAGAMENTO]],CAD_Forma_pagto[],2,0))</f>
        <v/>
      </c>
      <c r="AA1068" s="524" t="str">
        <f>IF(LANÇ_MOV[[#This Row],[DATA DE LANÇAMENTO]]="","",TEXT(LANÇ_MOV[[#This Row],[DATA DE LANÇAMENTO]],"AAAA"))</f>
        <v/>
      </c>
      <c r="AB1068" s="524" t="str">
        <f>IF(LANÇ_MOV[[#This Row],[DATA DE LANÇAMENTO]]="","",UPPER(TEXT(LANÇ_MOV[[#This Row],[DATA DE LANÇAMENTO]],"MMMM")))</f>
        <v/>
      </c>
      <c r="AC1068" s="525" t="str">
        <f>IF(LANÇ_MOV[[#This Row],[DATA DE LANÇAMENTO]]="","",PROPER(TEXT(LANÇ_MOV[[#This Row],[DATA DE LANÇAMENTO]],"M")))</f>
        <v/>
      </c>
      <c r="AD1068" s="524" t="str">
        <f>IF(LANÇ_MOV[[#This Row],[DATA DE LANÇAMENTO]]="","",TEXT(LANÇ_MOV[[#This Row],[DATA DE LANÇAMENTO]],"D"))</f>
        <v/>
      </c>
      <c r="AE1068" s="526" t="str">
        <f>IF(LANÇ_MOV[[#This Row],[DATA DE VENCIMENTO]]="","",TEXT(LANÇ_MOV[[#This Row],[DATA DE VENCIMENTO]],"AAAA"))</f>
        <v/>
      </c>
      <c r="AF1068" s="526" t="str">
        <f>IF(LANÇ_MOV[[#This Row],[DATA DE VENCIMENTO]]="","",UPPER(TEXT(LANÇ_MOV[[#This Row],[DATA DE VENCIMENTO]],"MMMM")))</f>
        <v/>
      </c>
      <c r="AG1068" s="526" t="str">
        <f>IF(LANÇ_MOV[[#This Row],[DATA DE VENCIMENTO]]="","",TEXT(LANÇ_MOV[[#This Row],[DATA DE VENCIMENTO]],"M"))</f>
        <v/>
      </c>
      <c r="AH1068" s="526" t="str">
        <f>IF(LANÇ_MOV[[#This Row],[DATA DE VENCIMENTO]]="","",TEXT(LANÇ_MOV[[#This Row],[DATA DE VENCIMENTO]],"D"))</f>
        <v/>
      </c>
      <c r="AI1068" s="526" t="str">
        <f>IF(LANÇ_MOV[[#This Row],[DATA DE PAGAMENTO]]="","",TEXT(LANÇ_MOV[[#This Row],[DATA DE PAGAMENTO]],"AAAA"))</f>
        <v/>
      </c>
      <c r="AJ1068" s="527" t="str">
        <f>IF(LANÇ_MOV[[#This Row],[DATA DE PAGAMENTO]]="","",UPPER(TEXT(LANÇ_MOV[[#This Row],[DATA DE PAGAMENTO]],"MMMM")))</f>
        <v/>
      </c>
      <c r="AK1068" s="527" t="str">
        <f>IF(LANÇ_MOV[[#This Row],[DATA DE PAGAMENTO]]="","",TEXT(LANÇ_MOV[[#This Row],[DATA DE PAGAMENTO]],"M"))</f>
        <v/>
      </c>
      <c r="AL1068" s="526" t="str">
        <f>IF(LANÇ_MOV[[#This Row],[DATA DE PAGAMENTO]]="","",TEXT(LANÇ_MOV[[#This Row],[DATA DE PAGAMENTO]],"D"))</f>
        <v/>
      </c>
    </row>
    <row r="1069" spans="2:38" ht="30.05" customHeight="1" x14ac:dyDescent="0.35">
      <c r="B1069" s="506"/>
      <c r="C1069" s="507"/>
      <c r="D1069" s="508" t="s">
        <v>1854</v>
      </c>
      <c r="E1069" s="509"/>
      <c r="F1069" s="510"/>
      <c r="G1069" s="507"/>
      <c r="H1069" s="511"/>
      <c r="I1069" s="512"/>
      <c r="J1069" s="518"/>
      <c r="K1069" s="510"/>
      <c r="L1069" s="510"/>
      <c r="M1069" s="548"/>
      <c r="N1069" s="514">
        <f>LANÇ_MOV[[#This Row],[VALOR BRUTO]]-LANÇ_MOV[[#This Row],[DESCONTO]]+LANÇ_MOV[[#This Row],[JUROS]]+LANÇ_MOV[[#This Row],[MULTA]]</f>
        <v>0</v>
      </c>
      <c r="O1069" s="546"/>
      <c r="P1069" s="547" t="str">
        <f t="shared" ca="1" si="16"/>
        <v/>
      </c>
      <c r="Q1069" s="528"/>
      <c r="R1069" s="529"/>
      <c r="S1069" s="518"/>
      <c r="T1069" s="518"/>
      <c r="U1069" s="519"/>
      <c r="V1069" s="520" t="str">
        <f>IFERROR(VLOOKUP(LANÇ_MOV[[#This Row],[PLANO DE CONTAS]],Plano_Contas[[PLANO DE CONTAS]:[R / D]],3,0),"")</f>
        <v/>
      </c>
      <c r="W1069" s="521" t="str">
        <f>IF(LANÇ_MOV[[#This Row],[DATA DE PAGAMENTO]]&lt;&gt;"","Pago","Não Pago")</f>
        <v>Não Pago</v>
      </c>
      <c r="X1069" s="522" t="str">
        <f>IFERROR(IF(LANÇ_MOV[[#This Row],[DATA DE PAGAMENTO]]="","",(UPPER(TEXT(LANÇ_MOV[[#This Row],[DATA DE PAGAMENTO]],"mmmm")))),"")</f>
        <v/>
      </c>
      <c r="Y1069" s="523" t="str">
        <f>IFERROR(VLOOKUP(LANÇ_MOV[[#This Row],[PLANO DE CONTAS]],Plano_Contas[[PLANO DE CONTAS]:[NOMES INTERVALOS]],2,0),"")</f>
        <v/>
      </c>
      <c r="Z1069" s="523" t="str">
        <f>IF(LANÇ_MOV[[#This Row],[FORMA DE PAGAMENTO]]="","",VLOOKUP(LANÇ_MOV[[#This Row],[FORMA DE PAGAMENTO]],CAD_Forma_pagto[],2,0))</f>
        <v/>
      </c>
      <c r="AA1069" s="524" t="str">
        <f>IF(LANÇ_MOV[[#This Row],[DATA DE LANÇAMENTO]]="","",TEXT(LANÇ_MOV[[#This Row],[DATA DE LANÇAMENTO]],"AAAA"))</f>
        <v/>
      </c>
      <c r="AB1069" s="524" t="str">
        <f>IF(LANÇ_MOV[[#This Row],[DATA DE LANÇAMENTO]]="","",UPPER(TEXT(LANÇ_MOV[[#This Row],[DATA DE LANÇAMENTO]],"MMMM")))</f>
        <v/>
      </c>
      <c r="AC1069" s="525" t="str">
        <f>IF(LANÇ_MOV[[#This Row],[DATA DE LANÇAMENTO]]="","",PROPER(TEXT(LANÇ_MOV[[#This Row],[DATA DE LANÇAMENTO]],"M")))</f>
        <v/>
      </c>
      <c r="AD1069" s="524" t="str">
        <f>IF(LANÇ_MOV[[#This Row],[DATA DE LANÇAMENTO]]="","",TEXT(LANÇ_MOV[[#This Row],[DATA DE LANÇAMENTO]],"D"))</f>
        <v/>
      </c>
      <c r="AE1069" s="526" t="str">
        <f>IF(LANÇ_MOV[[#This Row],[DATA DE VENCIMENTO]]="","",TEXT(LANÇ_MOV[[#This Row],[DATA DE VENCIMENTO]],"AAAA"))</f>
        <v/>
      </c>
      <c r="AF1069" s="526" t="str">
        <f>IF(LANÇ_MOV[[#This Row],[DATA DE VENCIMENTO]]="","",UPPER(TEXT(LANÇ_MOV[[#This Row],[DATA DE VENCIMENTO]],"MMMM")))</f>
        <v/>
      </c>
      <c r="AG1069" s="526" t="str">
        <f>IF(LANÇ_MOV[[#This Row],[DATA DE VENCIMENTO]]="","",TEXT(LANÇ_MOV[[#This Row],[DATA DE VENCIMENTO]],"M"))</f>
        <v/>
      </c>
      <c r="AH1069" s="526" t="str">
        <f>IF(LANÇ_MOV[[#This Row],[DATA DE VENCIMENTO]]="","",TEXT(LANÇ_MOV[[#This Row],[DATA DE VENCIMENTO]],"D"))</f>
        <v/>
      </c>
      <c r="AI1069" s="526" t="str">
        <f>IF(LANÇ_MOV[[#This Row],[DATA DE PAGAMENTO]]="","",TEXT(LANÇ_MOV[[#This Row],[DATA DE PAGAMENTO]],"AAAA"))</f>
        <v/>
      </c>
      <c r="AJ1069" s="527" t="str">
        <f>IF(LANÇ_MOV[[#This Row],[DATA DE PAGAMENTO]]="","",UPPER(TEXT(LANÇ_MOV[[#This Row],[DATA DE PAGAMENTO]],"MMMM")))</f>
        <v/>
      </c>
      <c r="AK1069" s="527" t="str">
        <f>IF(LANÇ_MOV[[#This Row],[DATA DE PAGAMENTO]]="","",TEXT(LANÇ_MOV[[#This Row],[DATA DE PAGAMENTO]],"M"))</f>
        <v/>
      </c>
      <c r="AL1069" s="526" t="str">
        <f>IF(LANÇ_MOV[[#This Row],[DATA DE PAGAMENTO]]="","",TEXT(LANÇ_MOV[[#This Row],[DATA DE PAGAMENTO]],"D"))</f>
        <v/>
      </c>
    </row>
    <row r="1070" spans="2:38" ht="30.05" customHeight="1" x14ac:dyDescent="0.35">
      <c r="B1070" s="506"/>
      <c r="C1070" s="507"/>
      <c r="D1070" s="508" t="s">
        <v>1854</v>
      </c>
      <c r="E1070" s="509"/>
      <c r="F1070" s="510"/>
      <c r="G1070" s="507"/>
      <c r="H1070" s="511"/>
      <c r="I1070" s="512"/>
      <c r="J1070" s="518"/>
      <c r="K1070" s="510"/>
      <c r="L1070" s="510"/>
      <c r="M1070" s="548"/>
      <c r="N1070" s="514">
        <f>LANÇ_MOV[[#This Row],[VALOR BRUTO]]-LANÇ_MOV[[#This Row],[DESCONTO]]+LANÇ_MOV[[#This Row],[JUROS]]+LANÇ_MOV[[#This Row],[MULTA]]</f>
        <v>0</v>
      </c>
      <c r="O1070" s="546"/>
      <c r="P1070" s="547" t="str">
        <f t="shared" ca="1" si="16"/>
        <v/>
      </c>
      <c r="Q1070" s="528"/>
      <c r="R1070" s="529"/>
      <c r="S1070" s="518"/>
      <c r="T1070" s="518"/>
      <c r="U1070" s="519"/>
      <c r="V1070" s="520" t="str">
        <f>IFERROR(VLOOKUP(LANÇ_MOV[[#This Row],[PLANO DE CONTAS]],Plano_Contas[[PLANO DE CONTAS]:[R / D]],3,0),"")</f>
        <v/>
      </c>
      <c r="W1070" s="521" t="str">
        <f>IF(LANÇ_MOV[[#This Row],[DATA DE PAGAMENTO]]&lt;&gt;"","Pago","Não Pago")</f>
        <v>Não Pago</v>
      </c>
      <c r="X1070" s="522" t="str">
        <f>IFERROR(IF(LANÇ_MOV[[#This Row],[DATA DE PAGAMENTO]]="","",(UPPER(TEXT(LANÇ_MOV[[#This Row],[DATA DE PAGAMENTO]],"mmmm")))),"")</f>
        <v/>
      </c>
      <c r="Y1070" s="523" t="str">
        <f>IFERROR(VLOOKUP(LANÇ_MOV[[#This Row],[PLANO DE CONTAS]],Plano_Contas[[PLANO DE CONTAS]:[NOMES INTERVALOS]],2,0),"")</f>
        <v/>
      </c>
      <c r="Z1070" s="523" t="str">
        <f>IF(LANÇ_MOV[[#This Row],[FORMA DE PAGAMENTO]]="","",VLOOKUP(LANÇ_MOV[[#This Row],[FORMA DE PAGAMENTO]],CAD_Forma_pagto[],2,0))</f>
        <v/>
      </c>
      <c r="AA1070" s="524" t="str">
        <f>IF(LANÇ_MOV[[#This Row],[DATA DE LANÇAMENTO]]="","",TEXT(LANÇ_MOV[[#This Row],[DATA DE LANÇAMENTO]],"AAAA"))</f>
        <v/>
      </c>
      <c r="AB1070" s="524" t="str">
        <f>IF(LANÇ_MOV[[#This Row],[DATA DE LANÇAMENTO]]="","",UPPER(TEXT(LANÇ_MOV[[#This Row],[DATA DE LANÇAMENTO]],"MMMM")))</f>
        <v/>
      </c>
      <c r="AC1070" s="525" t="str">
        <f>IF(LANÇ_MOV[[#This Row],[DATA DE LANÇAMENTO]]="","",PROPER(TEXT(LANÇ_MOV[[#This Row],[DATA DE LANÇAMENTO]],"M")))</f>
        <v/>
      </c>
      <c r="AD1070" s="524" t="str">
        <f>IF(LANÇ_MOV[[#This Row],[DATA DE LANÇAMENTO]]="","",TEXT(LANÇ_MOV[[#This Row],[DATA DE LANÇAMENTO]],"D"))</f>
        <v/>
      </c>
      <c r="AE1070" s="526" t="str">
        <f>IF(LANÇ_MOV[[#This Row],[DATA DE VENCIMENTO]]="","",TEXT(LANÇ_MOV[[#This Row],[DATA DE VENCIMENTO]],"AAAA"))</f>
        <v/>
      </c>
      <c r="AF1070" s="526" t="str">
        <f>IF(LANÇ_MOV[[#This Row],[DATA DE VENCIMENTO]]="","",UPPER(TEXT(LANÇ_MOV[[#This Row],[DATA DE VENCIMENTO]],"MMMM")))</f>
        <v/>
      </c>
      <c r="AG1070" s="526" t="str">
        <f>IF(LANÇ_MOV[[#This Row],[DATA DE VENCIMENTO]]="","",TEXT(LANÇ_MOV[[#This Row],[DATA DE VENCIMENTO]],"M"))</f>
        <v/>
      </c>
      <c r="AH1070" s="526" t="str">
        <f>IF(LANÇ_MOV[[#This Row],[DATA DE VENCIMENTO]]="","",TEXT(LANÇ_MOV[[#This Row],[DATA DE VENCIMENTO]],"D"))</f>
        <v/>
      </c>
      <c r="AI1070" s="526" t="str">
        <f>IF(LANÇ_MOV[[#This Row],[DATA DE PAGAMENTO]]="","",TEXT(LANÇ_MOV[[#This Row],[DATA DE PAGAMENTO]],"AAAA"))</f>
        <v/>
      </c>
      <c r="AJ1070" s="527" t="str">
        <f>IF(LANÇ_MOV[[#This Row],[DATA DE PAGAMENTO]]="","",UPPER(TEXT(LANÇ_MOV[[#This Row],[DATA DE PAGAMENTO]],"MMMM")))</f>
        <v/>
      </c>
      <c r="AK1070" s="527" t="str">
        <f>IF(LANÇ_MOV[[#This Row],[DATA DE PAGAMENTO]]="","",TEXT(LANÇ_MOV[[#This Row],[DATA DE PAGAMENTO]],"M"))</f>
        <v/>
      </c>
      <c r="AL1070" s="526" t="str">
        <f>IF(LANÇ_MOV[[#This Row],[DATA DE PAGAMENTO]]="","",TEXT(LANÇ_MOV[[#This Row],[DATA DE PAGAMENTO]],"D"))</f>
        <v/>
      </c>
    </row>
    <row r="1071" spans="2:38" ht="30.05" customHeight="1" x14ac:dyDescent="0.35">
      <c r="B1071" s="506"/>
      <c r="C1071" s="507"/>
      <c r="D1071" s="508" t="s">
        <v>1854</v>
      </c>
      <c r="E1071" s="509"/>
      <c r="F1071" s="510"/>
      <c r="G1071" s="507"/>
      <c r="H1071" s="511"/>
      <c r="I1071" s="512"/>
      <c r="J1071" s="518"/>
      <c r="K1071" s="510"/>
      <c r="L1071" s="510"/>
      <c r="M1071" s="548"/>
      <c r="N1071" s="514">
        <f>LANÇ_MOV[[#This Row],[VALOR BRUTO]]-LANÇ_MOV[[#This Row],[DESCONTO]]+LANÇ_MOV[[#This Row],[JUROS]]+LANÇ_MOV[[#This Row],[MULTA]]</f>
        <v>0</v>
      </c>
      <c r="O1071" s="546"/>
      <c r="P1071" s="547" t="str">
        <f t="shared" ca="1" si="16"/>
        <v/>
      </c>
      <c r="Q1071" s="528"/>
      <c r="R1071" s="529"/>
      <c r="S1071" s="518"/>
      <c r="T1071" s="518"/>
      <c r="U1071" s="519"/>
      <c r="V1071" s="520" t="str">
        <f>IFERROR(VLOOKUP(LANÇ_MOV[[#This Row],[PLANO DE CONTAS]],Plano_Contas[[PLANO DE CONTAS]:[R / D]],3,0),"")</f>
        <v/>
      </c>
      <c r="W1071" s="521" t="str">
        <f>IF(LANÇ_MOV[[#This Row],[DATA DE PAGAMENTO]]&lt;&gt;"","Pago","Não Pago")</f>
        <v>Não Pago</v>
      </c>
      <c r="X1071" s="522" t="str">
        <f>IFERROR(IF(LANÇ_MOV[[#This Row],[DATA DE PAGAMENTO]]="","",(UPPER(TEXT(LANÇ_MOV[[#This Row],[DATA DE PAGAMENTO]],"mmmm")))),"")</f>
        <v/>
      </c>
      <c r="Y1071" s="523" t="str">
        <f>IFERROR(VLOOKUP(LANÇ_MOV[[#This Row],[PLANO DE CONTAS]],Plano_Contas[[PLANO DE CONTAS]:[NOMES INTERVALOS]],2,0),"")</f>
        <v/>
      </c>
      <c r="Z1071" s="523" t="str">
        <f>IF(LANÇ_MOV[[#This Row],[FORMA DE PAGAMENTO]]="","",VLOOKUP(LANÇ_MOV[[#This Row],[FORMA DE PAGAMENTO]],CAD_Forma_pagto[],2,0))</f>
        <v/>
      </c>
      <c r="AA1071" s="524" t="str">
        <f>IF(LANÇ_MOV[[#This Row],[DATA DE LANÇAMENTO]]="","",TEXT(LANÇ_MOV[[#This Row],[DATA DE LANÇAMENTO]],"AAAA"))</f>
        <v/>
      </c>
      <c r="AB1071" s="524" t="str">
        <f>IF(LANÇ_MOV[[#This Row],[DATA DE LANÇAMENTO]]="","",UPPER(TEXT(LANÇ_MOV[[#This Row],[DATA DE LANÇAMENTO]],"MMMM")))</f>
        <v/>
      </c>
      <c r="AC1071" s="525" t="str">
        <f>IF(LANÇ_MOV[[#This Row],[DATA DE LANÇAMENTO]]="","",PROPER(TEXT(LANÇ_MOV[[#This Row],[DATA DE LANÇAMENTO]],"M")))</f>
        <v/>
      </c>
      <c r="AD1071" s="524" t="str">
        <f>IF(LANÇ_MOV[[#This Row],[DATA DE LANÇAMENTO]]="","",TEXT(LANÇ_MOV[[#This Row],[DATA DE LANÇAMENTO]],"D"))</f>
        <v/>
      </c>
      <c r="AE1071" s="526" t="str">
        <f>IF(LANÇ_MOV[[#This Row],[DATA DE VENCIMENTO]]="","",TEXT(LANÇ_MOV[[#This Row],[DATA DE VENCIMENTO]],"AAAA"))</f>
        <v/>
      </c>
      <c r="AF1071" s="526" t="str">
        <f>IF(LANÇ_MOV[[#This Row],[DATA DE VENCIMENTO]]="","",UPPER(TEXT(LANÇ_MOV[[#This Row],[DATA DE VENCIMENTO]],"MMMM")))</f>
        <v/>
      </c>
      <c r="AG1071" s="526" t="str">
        <f>IF(LANÇ_MOV[[#This Row],[DATA DE VENCIMENTO]]="","",TEXT(LANÇ_MOV[[#This Row],[DATA DE VENCIMENTO]],"M"))</f>
        <v/>
      </c>
      <c r="AH1071" s="526" t="str">
        <f>IF(LANÇ_MOV[[#This Row],[DATA DE VENCIMENTO]]="","",TEXT(LANÇ_MOV[[#This Row],[DATA DE VENCIMENTO]],"D"))</f>
        <v/>
      </c>
      <c r="AI1071" s="526" t="str">
        <f>IF(LANÇ_MOV[[#This Row],[DATA DE PAGAMENTO]]="","",TEXT(LANÇ_MOV[[#This Row],[DATA DE PAGAMENTO]],"AAAA"))</f>
        <v/>
      </c>
      <c r="AJ1071" s="527" t="str">
        <f>IF(LANÇ_MOV[[#This Row],[DATA DE PAGAMENTO]]="","",UPPER(TEXT(LANÇ_MOV[[#This Row],[DATA DE PAGAMENTO]],"MMMM")))</f>
        <v/>
      </c>
      <c r="AK1071" s="527" t="str">
        <f>IF(LANÇ_MOV[[#This Row],[DATA DE PAGAMENTO]]="","",TEXT(LANÇ_MOV[[#This Row],[DATA DE PAGAMENTO]],"M"))</f>
        <v/>
      </c>
      <c r="AL1071" s="526" t="str">
        <f>IF(LANÇ_MOV[[#This Row],[DATA DE PAGAMENTO]]="","",TEXT(LANÇ_MOV[[#This Row],[DATA DE PAGAMENTO]],"D"))</f>
        <v/>
      </c>
    </row>
    <row r="1072" spans="2:38" ht="30.05" customHeight="1" x14ac:dyDescent="0.35">
      <c r="B1072" s="506"/>
      <c r="C1072" s="507"/>
      <c r="D1072" s="508" t="s">
        <v>1854</v>
      </c>
      <c r="E1072" s="509"/>
      <c r="F1072" s="510"/>
      <c r="G1072" s="507"/>
      <c r="H1072" s="511"/>
      <c r="I1072" s="512"/>
      <c r="J1072" s="518"/>
      <c r="K1072" s="510"/>
      <c r="L1072" s="510"/>
      <c r="M1072" s="548"/>
      <c r="N1072" s="514">
        <f>LANÇ_MOV[[#This Row],[VALOR BRUTO]]-LANÇ_MOV[[#This Row],[DESCONTO]]+LANÇ_MOV[[#This Row],[JUROS]]+LANÇ_MOV[[#This Row],[MULTA]]</f>
        <v>0</v>
      </c>
      <c r="O1072" s="546"/>
      <c r="P1072" s="547" t="str">
        <f t="shared" ca="1" si="16"/>
        <v/>
      </c>
      <c r="Q1072" s="528"/>
      <c r="R1072" s="529"/>
      <c r="S1072" s="518"/>
      <c r="T1072" s="518"/>
      <c r="U1072" s="519"/>
      <c r="V1072" s="520" t="str">
        <f>IFERROR(VLOOKUP(LANÇ_MOV[[#This Row],[PLANO DE CONTAS]],Plano_Contas[[PLANO DE CONTAS]:[R / D]],3,0),"")</f>
        <v/>
      </c>
      <c r="W1072" s="521" t="str">
        <f>IF(LANÇ_MOV[[#This Row],[DATA DE PAGAMENTO]]&lt;&gt;"","Pago","Não Pago")</f>
        <v>Não Pago</v>
      </c>
      <c r="X1072" s="522" t="str">
        <f>IFERROR(IF(LANÇ_MOV[[#This Row],[DATA DE PAGAMENTO]]="","",(UPPER(TEXT(LANÇ_MOV[[#This Row],[DATA DE PAGAMENTO]],"mmmm")))),"")</f>
        <v/>
      </c>
      <c r="Y1072" s="523" t="str">
        <f>IFERROR(VLOOKUP(LANÇ_MOV[[#This Row],[PLANO DE CONTAS]],Plano_Contas[[PLANO DE CONTAS]:[NOMES INTERVALOS]],2,0),"")</f>
        <v/>
      </c>
      <c r="Z1072" s="523" t="str">
        <f>IF(LANÇ_MOV[[#This Row],[FORMA DE PAGAMENTO]]="","",VLOOKUP(LANÇ_MOV[[#This Row],[FORMA DE PAGAMENTO]],CAD_Forma_pagto[],2,0))</f>
        <v/>
      </c>
      <c r="AA1072" s="524" t="str">
        <f>IF(LANÇ_MOV[[#This Row],[DATA DE LANÇAMENTO]]="","",TEXT(LANÇ_MOV[[#This Row],[DATA DE LANÇAMENTO]],"AAAA"))</f>
        <v/>
      </c>
      <c r="AB1072" s="524" t="str">
        <f>IF(LANÇ_MOV[[#This Row],[DATA DE LANÇAMENTO]]="","",UPPER(TEXT(LANÇ_MOV[[#This Row],[DATA DE LANÇAMENTO]],"MMMM")))</f>
        <v/>
      </c>
      <c r="AC1072" s="525" t="str">
        <f>IF(LANÇ_MOV[[#This Row],[DATA DE LANÇAMENTO]]="","",PROPER(TEXT(LANÇ_MOV[[#This Row],[DATA DE LANÇAMENTO]],"M")))</f>
        <v/>
      </c>
      <c r="AD1072" s="524" t="str">
        <f>IF(LANÇ_MOV[[#This Row],[DATA DE LANÇAMENTO]]="","",TEXT(LANÇ_MOV[[#This Row],[DATA DE LANÇAMENTO]],"D"))</f>
        <v/>
      </c>
      <c r="AE1072" s="526" t="str">
        <f>IF(LANÇ_MOV[[#This Row],[DATA DE VENCIMENTO]]="","",TEXT(LANÇ_MOV[[#This Row],[DATA DE VENCIMENTO]],"AAAA"))</f>
        <v/>
      </c>
      <c r="AF1072" s="526" t="str">
        <f>IF(LANÇ_MOV[[#This Row],[DATA DE VENCIMENTO]]="","",UPPER(TEXT(LANÇ_MOV[[#This Row],[DATA DE VENCIMENTO]],"MMMM")))</f>
        <v/>
      </c>
      <c r="AG1072" s="526" t="str">
        <f>IF(LANÇ_MOV[[#This Row],[DATA DE VENCIMENTO]]="","",TEXT(LANÇ_MOV[[#This Row],[DATA DE VENCIMENTO]],"M"))</f>
        <v/>
      </c>
      <c r="AH1072" s="526" t="str">
        <f>IF(LANÇ_MOV[[#This Row],[DATA DE VENCIMENTO]]="","",TEXT(LANÇ_MOV[[#This Row],[DATA DE VENCIMENTO]],"D"))</f>
        <v/>
      </c>
      <c r="AI1072" s="526" t="str">
        <f>IF(LANÇ_MOV[[#This Row],[DATA DE PAGAMENTO]]="","",TEXT(LANÇ_MOV[[#This Row],[DATA DE PAGAMENTO]],"AAAA"))</f>
        <v/>
      </c>
      <c r="AJ1072" s="527" t="str">
        <f>IF(LANÇ_MOV[[#This Row],[DATA DE PAGAMENTO]]="","",UPPER(TEXT(LANÇ_MOV[[#This Row],[DATA DE PAGAMENTO]],"MMMM")))</f>
        <v/>
      </c>
      <c r="AK1072" s="527" t="str">
        <f>IF(LANÇ_MOV[[#This Row],[DATA DE PAGAMENTO]]="","",TEXT(LANÇ_MOV[[#This Row],[DATA DE PAGAMENTO]],"M"))</f>
        <v/>
      </c>
      <c r="AL1072" s="526" t="str">
        <f>IF(LANÇ_MOV[[#This Row],[DATA DE PAGAMENTO]]="","",TEXT(LANÇ_MOV[[#This Row],[DATA DE PAGAMENTO]],"D"))</f>
        <v/>
      </c>
    </row>
    <row r="1073" spans="2:38" ht="30.05" customHeight="1" x14ac:dyDescent="0.35">
      <c r="B1073" s="506"/>
      <c r="C1073" s="507"/>
      <c r="D1073" s="508" t="s">
        <v>1854</v>
      </c>
      <c r="E1073" s="509"/>
      <c r="F1073" s="510"/>
      <c r="G1073" s="507"/>
      <c r="H1073" s="511"/>
      <c r="I1073" s="512"/>
      <c r="J1073" s="518"/>
      <c r="K1073" s="510"/>
      <c r="L1073" s="510"/>
      <c r="M1073" s="548"/>
      <c r="N1073" s="514">
        <f>LANÇ_MOV[[#This Row],[VALOR BRUTO]]-LANÇ_MOV[[#This Row],[DESCONTO]]+LANÇ_MOV[[#This Row],[JUROS]]+LANÇ_MOV[[#This Row],[MULTA]]</f>
        <v>0</v>
      </c>
      <c r="O1073" s="546"/>
      <c r="P1073" s="547" t="str">
        <f t="shared" ca="1" si="16"/>
        <v/>
      </c>
      <c r="Q1073" s="528"/>
      <c r="R1073" s="529"/>
      <c r="S1073" s="518"/>
      <c r="T1073" s="518"/>
      <c r="U1073" s="519"/>
      <c r="V1073" s="520" t="str">
        <f>IFERROR(VLOOKUP(LANÇ_MOV[[#This Row],[PLANO DE CONTAS]],Plano_Contas[[PLANO DE CONTAS]:[R / D]],3,0),"")</f>
        <v/>
      </c>
      <c r="W1073" s="521" t="str">
        <f>IF(LANÇ_MOV[[#This Row],[DATA DE PAGAMENTO]]&lt;&gt;"","Pago","Não Pago")</f>
        <v>Não Pago</v>
      </c>
      <c r="X1073" s="522" t="str">
        <f>IFERROR(IF(LANÇ_MOV[[#This Row],[DATA DE PAGAMENTO]]="","",(UPPER(TEXT(LANÇ_MOV[[#This Row],[DATA DE PAGAMENTO]],"mmmm")))),"")</f>
        <v/>
      </c>
      <c r="Y1073" s="523" t="str">
        <f>IFERROR(VLOOKUP(LANÇ_MOV[[#This Row],[PLANO DE CONTAS]],Plano_Contas[[PLANO DE CONTAS]:[NOMES INTERVALOS]],2,0),"")</f>
        <v/>
      </c>
      <c r="Z1073" s="523" t="str">
        <f>IF(LANÇ_MOV[[#This Row],[FORMA DE PAGAMENTO]]="","",VLOOKUP(LANÇ_MOV[[#This Row],[FORMA DE PAGAMENTO]],CAD_Forma_pagto[],2,0))</f>
        <v/>
      </c>
      <c r="AA1073" s="524" t="str">
        <f>IF(LANÇ_MOV[[#This Row],[DATA DE LANÇAMENTO]]="","",TEXT(LANÇ_MOV[[#This Row],[DATA DE LANÇAMENTO]],"AAAA"))</f>
        <v/>
      </c>
      <c r="AB1073" s="524" t="str">
        <f>IF(LANÇ_MOV[[#This Row],[DATA DE LANÇAMENTO]]="","",UPPER(TEXT(LANÇ_MOV[[#This Row],[DATA DE LANÇAMENTO]],"MMMM")))</f>
        <v/>
      </c>
      <c r="AC1073" s="525" t="str">
        <f>IF(LANÇ_MOV[[#This Row],[DATA DE LANÇAMENTO]]="","",PROPER(TEXT(LANÇ_MOV[[#This Row],[DATA DE LANÇAMENTO]],"M")))</f>
        <v/>
      </c>
      <c r="AD1073" s="524" t="str">
        <f>IF(LANÇ_MOV[[#This Row],[DATA DE LANÇAMENTO]]="","",TEXT(LANÇ_MOV[[#This Row],[DATA DE LANÇAMENTO]],"D"))</f>
        <v/>
      </c>
      <c r="AE1073" s="526" t="str">
        <f>IF(LANÇ_MOV[[#This Row],[DATA DE VENCIMENTO]]="","",TEXT(LANÇ_MOV[[#This Row],[DATA DE VENCIMENTO]],"AAAA"))</f>
        <v/>
      </c>
      <c r="AF1073" s="526" t="str">
        <f>IF(LANÇ_MOV[[#This Row],[DATA DE VENCIMENTO]]="","",UPPER(TEXT(LANÇ_MOV[[#This Row],[DATA DE VENCIMENTO]],"MMMM")))</f>
        <v/>
      </c>
      <c r="AG1073" s="526" t="str">
        <f>IF(LANÇ_MOV[[#This Row],[DATA DE VENCIMENTO]]="","",TEXT(LANÇ_MOV[[#This Row],[DATA DE VENCIMENTO]],"M"))</f>
        <v/>
      </c>
      <c r="AH1073" s="526" t="str">
        <f>IF(LANÇ_MOV[[#This Row],[DATA DE VENCIMENTO]]="","",TEXT(LANÇ_MOV[[#This Row],[DATA DE VENCIMENTO]],"D"))</f>
        <v/>
      </c>
      <c r="AI1073" s="526" t="str">
        <f>IF(LANÇ_MOV[[#This Row],[DATA DE PAGAMENTO]]="","",TEXT(LANÇ_MOV[[#This Row],[DATA DE PAGAMENTO]],"AAAA"))</f>
        <v/>
      </c>
      <c r="AJ1073" s="527" t="str">
        <f>IF(LANÇ_MOV[[#This Row],[DATA DE PAGAMENTO]]="","",UPPER(TEXT(LANÇ_MOV[[#This Row],[DATA DE PAGAMENTO]],"MMMM")))</f>
        <v/>
      </c>
      <c r="AK1073" s="527" t="str">
        <f>IF(LANÇ_MOV[[#This Row],[DATA DE PAGAMENTO]]="","",TEXT(LANÇ_MOV[[#This Row],[DATA DE PAGAMENTO]],"M"))</f>
        <v/>
      </c>
      <c r="AL1073" s="526" t="str">
        <f>IF(LANÇ_MOV[[#This Row],[DATA DE PAGAMENTO]]="","",TEXT(LANÇ_MOV[[#This Row],[DATA DE PAGAMENTO]],"D"))</f>
        <v/>
      </c>
    </row>
    <row r="1074" spans="2:38" ht="30.05" customHeight="1" x14ac:dyDescent="0.35">
      <c r="B1074" s="506"/>
      <c r="C1074" s="507"/>
      <c r="D1074" s="508" t="s">
        <v>1854</v>
      </c>
      <c r="E1074" s="509"/>
      <c r="F1074" s="510"/>
      <c r="G1074" s="507"/>
      <c r="H1074" s="511"/>
      <c r="I1074" s="512"/>
      <c r="J1074" s="518"/>
      <c r="K1074" s="510"/>
      <c r="L1074" s="510"/>
      <c r="M1074" s="548"/>
      <c r="N1074" s="514">
        <f>LANÇ_MOV[[#This Row],[VALOR BRUTO]]-LANÇ_MOV[[#This Row],[DESCONTO]]+LANÇ_MOV[[#This Row],[JUROS]]+LANÇ_MOV[[#This Row],[MULTA]]</f>
        <v>0</v>
      </c>
      <c r="O1074" s="546"/>
      <c r="P1074" s="547" t="str">
        <f t="shared" ca="1" si="16"/>
        <v/>
      </c>
      <c r="Q1074" s="528"/>
      <c r="R1074" s="529"/>
      <c r="S1074" s="518"/>
      <c r="T1074" s="518"/>
      <c r="U1074" s="519"/>
      <c r="V1074" s="520" t="str">
        <f>IFERROR(VLOOKUP(LANÇ_MOV[[#This Row],[PLANO DE CONTAS]],Plano_Contas[[PLANO DE CONTAS]:[R / D]],3,0),"")</f>
        <v/>
      </c>
      <c r="W1074" s="521" t="str">
        <f>IF(LANÇ_MOV[[#This Row],[DATA DE PAGAMENTO]]&lt;&gt;"","Pago","Não Pago")</f>
        <v>Não Pago</v>
      </c>
      <c r="X1074" s="522" t="str">
        <f>IFERROR(IF(LANÇ_MOV[[#This Row],[DATA DE PAGAMENTO]]="","",(UPPER(TEXT(LANÇ_MOV[[#This Row],[DATA DE PAGAMENTO]],"mmmm")))),"")</f>
        <v/>
      </c>
      <c r="Y1074" s="523" t="str">
        <f>IFERROR(VLOOKUP(LANÇ_MOV[[#This Row],[PLANO DE CONTAS]],Plano_Contas[[PLANO DE CONTAS]:[NOMES INTERVALOS]],2,0),"")</f>
        <v/>
      </c>
      <c r="Z1074" s="523" t="str">
        <f>IF(LANÇ_MOV[[#This Row],[FORMA DE PAGAMENTO]]="","",VLOOKUP(LANÇ_MOV[[#This Row],[FORMA DE PAGAMENTO]],CAD_Forma_pagto[],2,0))</f>
        <v/>
      </c>
      <c r="AA1074" s="524" t="str">
        <f>IF(LANÇ_MOV[[#This Row],[DATA DE LANÇAMENTO]]="","",TEXT(LANÇ_MOV[[#This Row],[DATA DE LANÇAMENTO]],"AAAA"))</f>
        <v/>
      </c>
      <c r="AB1074" s="524" t="str">
        <f>IF(LANÇ_MOV[[#This Row],[DATA DE LANÇAMENTO]]="","",UPPER(TEXT(LANÇ_MOV[[#This Row],[DATA DE LANÇAMENTO]],"MMMM")))</f>
        <v/>
      </c>
      <c r="AC1074" s="525" t="str">
        <f>IF(LANÇ_MOV[[#This Row],[DATA DE LANÇAMENTO]]="","",PROPER(TEXT(LANÇ_MOV[[#This Row],[DATA DE LANÇAMENTO]],"M")))</f>
        <v/>
      </c>
      <c r="AD1074" s="524" t="str">
        <f>IF(LANÇ_MOV[[#This Row],[DATA DE LANÇAMENTO]]="","",TEXT(LANÇ_MOV[[#This Row],[DATA DE LANÇAMENTO]],"D"))</f>
        <v/>
      </c>
      <c r="AE1074" s="526" t="str">
        <f>IF(LANÇ_MOV[[#This Row],[DATA DE VENCIMENTO]]="","",TEXT(LANÇ_MOV[[#This Row],[DATA DE VENCIMENTO]],"AAAA"))</f>
        <v/>
      </c>
      <c r="AF1074" s="526" t="str">
        <f>IF(LANÇ_MOV[[#This Row],[DATA DE VENCIMENTO]]="","",UPPER(TEXT(LANÇ_MOV[[#This Row],[DATA DE VENCIMENTO]],"MMMM")))</f>
        <v/>
      </c>
      <c r="AG1074" s="526" t="str">
        <f>IF(LANÇ_MOV[[#This Row],[DATA DE VENCIMENTO]]="","",TEXT(LANÇ_MOV[[#This Row],[DATA DE VENCIMENTO]],"M"))</f>
        <v/>
      </c>
      <c r="AH1074" s="526" t="str">
        <f>IF(LANÇ_MOV[[#This Row],[DATA DE VENCIMENTO]]="","",TEXT(LANÇ_MOV[[#This Row],[DATA DE VENCIMENTO]],"D"))</f>
        <v/>
      </c>
      <c r="AI1074" s="526" t="str">
        <f>IF(LANÇ_MOV[[#This Row],[DATA DE PAGAMENTO]]="","",TEXT(LANÇ_MOV[[#This Row],[DATA DE PAGAMENTO]],"AAAA"))</f>
        <v/>
      </c>
      <c r="AJ1074" s="527" t="str">
        <f>IF(LANÇ_MOV[[#This Row],[DATA DE PAGAMENTO]]="","",UPPER(TEXT(LANÇ_MOV[[#This Row],[DATA DE PAGAMENTO]],"MMMM")))</f>
        <v/>
      </c>
      <c r="AK1074" s="527" t="str">
        <f>IF(LANÇ_MOV[[#This Row],[DATA DE PAGAMENTO]]="","",TEXT(LANÇ_MOV[[#This Row],[DATA DE PAGAMENTO]],"M"))</f>
        <v/>
      </c>
      <c r="AL1074" s="526" t="str">
        <f>IF(LANÇ_MOV[[#This Row],[DATA DE PAGAMENTO]]="","",TEXT(LANÇ_MOV[[#This Row],[DATA DE PAGAMENTO]],"D"))</f>
        <v/>
      </c>
    </row>
    <row r="1075" spans="2:38" ht="30.05" customHeight="1" x14ac:dyDescent="0.35">
      <c r="B1075" s="506"/>
      <c r="C1075" s="507"/>
      <c r="D1075" s="508" t="s">
        <v>1854</v>
      </c>
      <c r="E1075" s="509"/>
      <c r="F1075" s="510"/>
      <c r="G1075" s="507"/>
      <c r="H1075" s="511"/>
      <c r="I1075" s="512"/>
      <c r="J1075" s="518"/>
      <c r="K1075" s="510"/>
      <c r="L1075" s="510"/>
      <c r="M1075" s="548"/>
      <c r="N1075" s="514">
        <f>LANÇ_MOV[[#This Row],[VALOR BRUTO]]-LANÇ_MOV[[#This Row],[DESCONTO]]+LANÇ_MOV[[#This Row],[JUROS]]+LANÇ_MOV[[#This Row],[MULTA]]</f>
        <v>0</v>
      </c>
      <c r="O1075" s="546"/>
      <c r="P1075" s="547" t="str">
        <f t="shared" ca="1" si="16"/>
        <v/>
      </c>
      <c r="Q1075" s="528"/>
      <c r="R1075" s="529"/>
      <c r="S1075" s="518"/>
      <c r="T1075" s="518"/>
      <c r="U1075" s="519"/>
      <c r="V1075" s="520" t="str">
        <f>IFERROR(VLOOKUP(LANÇ_MOV[[#This Row],[PLANO DE CONTAS]],Plano_Contas[[PLANO DE CONTAS]:[R / D]],3,0),"")</f>
        <v/>
      </c>
      <c r="W1075" s="521" t="str">
        <f>IF(LANÇ_MOV[[#This Row],[DATA DE PAGAMENTO]]&lt;&gt;"","Pago","Não Pago")</f>
        <v>Não Pago</v>
      </c>
      <c r="X1075" s="522" t="str">
        <f>IFERROR(IF(LANÇ_MOV[[#This Row],[DATA DE PAGAMENTO]]="","",(UPPER(TEXT(LANÇ_MOV[[#This Row],[DATA DE PAGAMENTO]],"mmmm")))),"")</f>
        <v/>
      </c>
      <c r="Y1075" s="523" t="str">
        <f>IFERROR(VLOOKUP(LANÇ_MOV[[#This Row],[PLANO DE CONTAS]],Plano_Contas[[PLANO DE CONTAS]:[NOMES INTERVALOS]],2,0),"")</f>
        <v/>
      </c>
      <c r="Z1075" s="523" t="str">
        <f>IF(LANÇ_MOV[[#This Row],[FORMA DE PAGAMENTO]]="","",VLOOKUP(LANÇ_MOV[[#This Row],[FORMA DE PAGAMENTO]],CAD_Forma_pagto[],2,0))</f>
        <v/>
      </c>
      <c r="AA1075" s="524" t="str">
        <f>IF(LANÇ_MOV[[#This Row],[DATA DE LANÇAMENTO]]="","",TEXT(LANÇ_MOV[[#This Row],[DATA DE LANÇAMENTO]],"AAAA"))</f>
        <v/>
      </c>
      <c r="AB1075" s="524" t="str">
        <f>IF(LANÇ_MOV[[#This Row],[DATA DE LANÇAMENTO]]="","",UPPER(TEXT(LANÇ_MOV[[#This Row],[DATA DE LANÇAMENTO]],"MMMM")))</f>
        <v/>
      </c>
      <c r="AC1075" s="525" t="str">
        <f>IF(LANÇ_MOV[[#This Row],[DATA DE LANÇAMENTO]]="","",PROPER(TEXT(LANÇ_MOV[[#This Row],[DATA DE LANÇAMENTO]],"M")))</f>
        <v/>
      </c>
      <c r="AD1075" s="524" t="str">
        <f>IF(LANÇ_MOV[[#This Row],[DATA DE LANÇAMENTO]]="","",TEXT(LANÇ_MOV[[#This Row],[DATA DE LANÇAMENTO]],"D"))</f>
        <v/>
      </c>
      <c r="AE1075" s="526" t="str">
        <f>IF(LANÇ_MOV[[#This Row],[DATA DE VENCIMENTO]]="","",TEXT(LANÇ_MOV[[#This Row],[DATA DE VENCIMENTO]],"AAAA"))</f>
        <v/>
      </c>
      <c r="AF1075" s="526" t="str">
        <f>IF(LANÇ_MOV[[#This Row],[DATA DE VENCIMENTO]]="","",UPPER(TEXT(LANÇ_MOV[[#This Row],[DATA DE VENCIMENTO]],"MMMM")))</f>
        <v/>
      </c>
      <c r="AG1075" s="526" t="str">
        <f>IF(LANÇ_MOV[[#This Row],[DATA DE VENCIMENTO]]="","",TEXT(LANÇ_MOV[[#This Row],[DATA DE VENCIMENTO]],"M"))</f>
        <v/>
      </c>
      <c r="AH1075" s="526" t="str">
        <f>IF(LANÇ_MOV[[#This Row],[DATA DE VENCIMENTO]]="","",TEXT(LANÇ_MOV[[#This Row],[DATA DE VENCIMENTO]],"D"))</f>
        <v/>
      </c>
      <c r="AI1075" s="526" t="str">
        <f>IF(LANÇ_MOV[[#This Row],[DATA DE PAGAMENTO]]="","",TEXT(LANÇ_MOV[[#This Row],[DATA DE PAGAMENTO]],"AAAA"))</f>
        <v/>
      </c>
      <c r="AJ1075" s="527" t="str">
        <f>IF(LANÇ_MOV[[#This Row],[DATA DE PAGAMENTO]]="","",UPPER(TEXT(LANÇ_MOV[[#This Row],[DATA DE PAGAMENTO]],"MMMM")))</f>
        <v/>
      </c>
      <c r="AK1075" s="527" t="str">
        <f>IF(LANÇ_MOV[[#This Row],[DATA DE PAGAMENTO]]="","",TEXT(LANÇ_MOV[[#This Row],[DATA DE PAGAMENTO]],"M"))</f>
        <v/>
      </c>
      <c r="AL1075" s="526" t="str">
        <f>IF(LANÇ_MOV[[#This Row],[DATA DE PAGAMENTO]]="","",TEXT(LANÇ_MOV[[#This Row],[DATA DE PAGAMENTO]],"D"))</f>
        <v/>
      </c>
    </row>
    <row r="1076" spans="2:38" ht="30.05" customHeight="1" x14ac:dyDescent="0.35">
      <c r="B1076" s="506"/>
      <c r="C1076" s="507"/>
      <c r="D1076" s="508" t="s">
        <v>1854</v>
      </c>
      <c r="E1076" s="509"/>
      <c r="F1076" s="510"/>
      <c r="G1076" s="507"/>
      <c r="H1076" s="511"/>
      <c r="I1076" s="512"/>
      <c r="J1076" s="518"/>
      <c r="K1076" s="510"/>
      <c r="L1076" s="510"/>
      <c r="M1076" s="548"/>
      <c r="N1076" s="514">
        <f>LANÇ_MOV[[#This Row],[VALOR BRUTO]]-LANÇ_MOV[[#This Row],[DESCONTO]]+LANÇ_MOV[[#This Row],[JUROS]]+LANÇ_MOV[[#This Row],[MULTA]]</f>
        <v>0</v>
      </c>
      <c r="O1076" s="546"/>
      <c r="P1076" s="547" t="str">
        <f t="shared" ca="1" si="16"/>
        <v/>
      </c>
      <c r="Q1076" s="528"/>
      <c r="R1076" s="529"/>
      <c r="S1076" s="518"/>
      <c r="T1076" s="518"/>
      <c r="U1076" s="519"/>
      <c r="V1076" s="520" t="str">
        <f>IFERROR(VLOOKUP(LANÇ_MOV[[#This Row],[PLANO DE CONTAS]],Plano_Contas[[PLANO DE CONTAS]:[R / D]],3,0),"")</f>
        <v/>
      </c>
      <c r="W1076" s="521" t="str">
        <f>IF(LANÇ_MOV[[#This Row],[DATA DE PAGAMENTO]]&lt;&gt;"","Pago","Não Pago")</f>
        <v>Não Pago</v>
      </c>
      <c r="X1076" s="522" t="str">
        <f>IFERROR(IF(LANÇ_MOV[[#This Row],[DATA DE PAGAMENTO]]="","",(UPPER(TEXT(LANÇ_MOV[[#This Row],[DATA DE PAGAMENTO]],"mmmm")))),"")</f>
        <v/>
      </c>
      <c r="Y1076" s="523" t="str">
        <f>IFERROR(VLOOKUP(LANÇ_MOV[[#This Row],[PLANO DE CONTAS]],Plano_Contas[[PLANO DE CONTAS]:[NOMES INTERVALOS]],2,0),"")</f>
        <v/>
      </c>
      <c r="Z1076" s="523" t="str">
        <f>IF(LANÇ_MOV[[#This Row],[FORMA DE PAGAMENTO]]="","",VLOOKUP(LANÇ_MOV[[#This Row],[FORMA DE PAGAMENTO]],CAD_Forma_pagto[],2,0))</f>
        <v/>
      </c>
      <c r="AA1076" s="524" t="str">
        <f>IF(LANÇ_MOV[[#This Row],[DATA DE LANÇAMENTO]]="","",TEXT(LANÇ_MOV[[#This Row],[DATA DE LANÇAMENTO]],"AAAA"))</f>
        <v/>
      </c>
      <c r="AB1076" s="524" t="str">
        <f>IF(LANÇ_MOV[[#This Row],[DATA DE LANÇAMENTO]]="","",UPPER(TEXT(LANÇ_MOV[[#This Row],[DATA DE LANÇAMENTO]],"MMMM")))</f>
        <v/>
      </c>
      <c r="AC1076" s="525" t="str">
        <f>IF(LANÇ_MOV[[#This Row],[DATA DE LANÇAMENTO]]="","",PROPER(TEXT(LANÇ_MOV[[#This Row],[DATA DE LANÇAMENTO]],"M")))</f>
        <v/>
      </c>
      <c r="AD1076" s="524" t="str">
        <f>IF(LANÇ_MOV[[#This Row],[DATA DE LANÇAMENTO]]="","",TEXT(LANÇ_MOV[[#This Row],[DATA DE LANÇAMENTO]],"D"))</f>
        <v/>
      </c>
      <c r="AE1076" s="526" t="str">
        <f>IF(LANÇ_MOV[[#This Row],[DATA DE VENCIMENTO]]="","",TEXT(LANÇ_MOV[[#This Row],[DATA DE VENCIMENTO]],"AAAA"))</f>
        <v/>
      </c>
      <c r="AF1076" s="526" t="str">
        <f>IF(LANÇ_MOV[[#This Row],[DATA DE VENCIMENTO]]="","",UPPER(TEXT(LANÇ_MOV[[#This Row],[DATA DE VENCIMENTO]],"MMMM")))</f>
        <v/>
      </c>
      <c r="AG1076" s="526" t="str">
        <f>IF(LANÇ_MOV[[#This Row],[DATA DE VENCIMENTO]]="","",TEXT(LANÇ_MOV[[#This Row],[DATA DE VENCIMENTO]],"M"))</f>
        <v/>
      </c>
      <c r="AH1076" s="526" t="str">
        <f>IF(LANÇ_MOV[[#This Row],[DATA DE VENCIMENTO]]="","",TEXT(LANÇ_MOV[[#This Row],[DATA DE VENCIMENTO]],"D"))</f>
        <v/>
      </c>
      <c r="AI1076" s="526" t="str">
        <f>IF(LANÇ_MOV[[#This Row],[DATA DE PAGAMENTO]]="","",TEXT(LANÇ_MOV[[#This Row],[DATA DE PAGAMENTO]],"AAAA"))</f>
        <v/>
      </c>
      <c r="AJ1076" s="527" t="str">
        <f>IF(LANÇ_MOV[[#This Row],[DATA DE PAGAMENTO]]="","",UPPER(TEXT(LANÇ_MOV[[#This Row],[DATA DE PAGAMENTO]],"MMMM")))</f>
        <v/>
      </c>
      <c r="AK1076" s="527" t="str">
        <f>IF(LANÇ_MOV[[#This Row],[DATA DE PAGAMENTO]]="","",TEXT(LANÇ_MOV[[#This Row],[DATA DE PAGAMENTO]],"M"))</f>
        <v/>
      </c>
      <c r="AL1076" s="526" t="str">
        <f>IF(LANÇ_MOV[[#This Row],[DATA DE PAGAMENTO]]="","",TEXT(LANÇ_MOV[[#This Row],[DATA DE PAGAMENTO]],"D"))</f>
        <v/>
      </c>
    </row>
    <row r="1077" spans="2:38" ht="30.05" customHeight="1" x14ac:dyDescent="0.35">
      <c r="B1077" s="506"/>
      <c r="C1077" s="507"/>
      <c r="D1077" s="508" t="s">
        <v>1854</v>
      </c>
      <c r="E1077" s="509"/>
      <c r="F1077" s="510"/>
      <c r="G1077" s="507"/>
      <c r="H1077" s="511"/>
      <c r="I1077" s="512"/>
      <c r="J1077" s="518"/>
      <c r="K1077" s="510"/>
      <c r="L1077" s="510"/>
      <c r="M1077" s="548"/>
      <c r="N1077" s="514">
        <f>LANÇ_MOV[[#This Row],[VALOR BRUTO]]-LANÇ_MOV[[#This Row],[DESCONTO]]+LANÇ_MOV[[#This Row],[JUROS]]+LANÇ_MOV[[#This Row],[MULTA]]</f>
        <v>0</v>
      </c>
      <c r="O1077" s="546"/>
      <c r="P1077" s="547" t="str">
        <f t="shared" ref="P1077:P1140" ca="1" si="17">IF(O1077="","",IF(Q1077&lt;&gt;"","Pago",IF(O1077-TODAY()&gt;30,"Prazo - Mais de 1 mês",IF(O1077=TODAY(),"Hoje",IF(O1077&lt;TODAY(),"Venceu",IF(O1077-TODAY()&lt;10,"Prazo - Menos de 10 dias",IF(O1077-TODAY()&lt;15,"Prazo - Menos de 15 dias","Prazo - Menos de 1 Mês")))))))</f>
        <v/>
      </c>
      <c r="Q1077" s="528"/>
      <c r="R1077" s="529"/>
      <c r="S1077" s="518"/>
      <c r="T1077" s="518"/>
      <c r="U1077" s="519"/>
      <c r="V1077" s="520" t="str">
        <f>IFERROR(VLOOKUP(LANÇ_MOV[[#This Row],[PLANO DE CONTAS]],Plano_Contas[[PLANO DE CONTAS]:[R / D]],3,0),"")</f>
        <v/>
      </c>
      <c r="W1077" s="521" t="str">
        <f>IF(LANÇ_MOV[[#This Row],[DATA DE PAGAMENTO]]&lt;&gt;"","Pago","Não Pago")</f>
        <v>Não Pago</v>
      </c>
      <c r="X1077" s="522" t="str">
        <f>IFERROR(IF(LANÇ_MOV[[#This Row],[DATA DE PAGAMENTO]]="","",(UPPER(TEXT(LANÇ_MOV[[#This Row],[DATA DE PAGAMENTO]],"mmmm")))),"")</f>
        <v/>
      </c>
      <c r="Y1077" s="523" t="str">
        <f>IFERROR(VLOOKUP(LANÇ_MOV[[#This Row],[PLANO DE CONTAS]],Plano_Contas[[PLANO DE CONTAS]:[NOMES INTERVALOS]],2,0),"")</f>
        <v/>
      </c>
      <c r="Z1077" s="523" t="str">
        <f>IF(LANÇ_MOV[[#This Row],[FORMA DE PAGAMENTO]]="","",VLOOKUP(LANÇ_MOV[[#This Row],[FORMA DE PAGAMENTO]],CAD_Forma_pagto[],2,0))</f>
        <v/>
      </c>
      <c r="AA1077" s="524" t="str">
        <f>IF(LANÇ_MOV[[#This Row],[DATA DE LANÇAMENTO]]="","",TEXT(LANÇ_MOV[[#This Row],[DATA DE LANÇAMENTO]],"AAAA"))</f>
        <v/>
      </c>
      <c r="AB1077" s="524" t="str">
        <f>IF(LANÇ_MOV[[#This Row],[DATA DE LANÇAMENTO]]="","",UPPER(TEXT(LANÇ_MOV[[#This Row],[DATA DE LANÇAMENTO]],"MMMM")))</f>
        <v/>
      </c>
      <c r="AC1077" s="525" t="str">
        <f>IF(LANÇ_MOV[[#This Row],[DATA DE LANÇAMENTO]]="","",PROPER(TEXT(LANÇ_MOV[[#This Row],[DATA DE LANÇAMENTO]],"M")))</f>
        <v/>
      </c>
      <c r="AD1077" s="524" t="str">
        <f>IF(LANÇ_MOV[[#This Row],[DATA DE LANÇAMENTO]]="","",TEXT(LANÇ_MOV[[#This Row],[DATA DE LANÇAMENTO]],"D"))</f>
        <v/>
      </c>
      <c r="AE1077" s="526" t="str">
        <f>IF(LANÇ_MOV[[#This Row],[DATA DE VENCIMENTO]]="","",TEXT(LANÇ_MOV[[#This Row],[DATA DE VENCIMENTO]],"AAAA"))</f>
        <v/>
      </c>
      <c r="AF1077" s="526" t="str">
        <f>IF(LANÇ_MOV[[#This Row],[DATA DE VENCIMENTO]]="","",UPPER(TEXT(LANÇ_MOV[[#This Row],[DATA DE VENCIMENTO]],"MMMM")))</f>
        <v/>
      </c>
      <c r="AG1077" s="526" t="str">
        <f>IF(LANÇ_MOV[[#This Row],[DATA DE VENCIMENTO]]="","",TEXT(LANÇ_MOV[[#This Row],[DATA DE VENCIMENTO]],"M"))</f>
        <v/>
      </c>
      <c r="AH1077" s="526" t="str">
        <f>IF(LANÇ_MOV[[#This Row],[DATA DE VENCIMENTO]]="","",TEXT(LANÇ_MOV[[#This Row],[DATA DE VENCIMENTO]],"D"))</f>
        <v/>
      </c>
      <c r="AI1077" s="526" t="str">
        <f>IF(LANÇ_MOV[[#This Row],[DATA DE PAGAMENTO]]="","",TEXT(LANÇ_MOV[[#This Row],[DATA DE PAGAMENTO]],"AAAA"))</f>
        <v/>
      </c>
      <c r="AJ1077" s="527" t="str">
        <f>IF(LANÇ_MOV[[#This Row],[DATA DE PAGAMENTO]]="","",UPPER(TEXT(LANÇ_MOV[[#This Row],[DATA DE PAGAMENTO]],"MMMM")))</f>
        <v/>
      </c>
      <c r="AK1077" s="527" t="str">
        <f>IF(LANÇ_MOV[[#This Row],[DATA DE PAGAMENTO]]="","",TEXT(LANÇ_MOV[[#This Row],[DATA DE PAGAMENTO]],"M"))</f>
        <v/>
      </c>
      <c r="AL1077" s="526" t="str">
        <f>IF(LANÇ_MOV[[#This Row],[DATA DE PAGAMENTO]]="","",TEXT(LANÇ_MOV[[#This Row],[DATA DE PAGAMENTO]],"D"))</f>
        <v/>
      </c>
    </row>
    <row r="1078" spans="2:38" ht="30.05" customHeight="1" x14ac:dyDescent="0.35">
      <c r="B1078" s="506"/>
      <c r="C1078" s="507"/>
      <c r="D1078" s="508" t="s">
        <v>1854</v>
      </c>
      <c r="E1078" s="509"/>
      <c r="F1078" s="510"/>
      <c r="G1078" s="507"/>
      <c r="H1078" s="511"/>
      <c r="I1078" s="512"/>
      <c r="J1078" s="518"/>
      <c r="K1078" s="510"/>
      <c r="L1078" s="510"/>
      <c r="M1078" s="548"/>
      <c r="N1078" s="514">
        <f>LANÇ_MOV[[#This Row],[VALOR BRUTO]]-LANÇ_MOV[[#This Row],[DESCONTO]]+LANÇ_MOV[[#This Row],[JUROS]]+LANÇ_MOV[[#This Row],[MULTA]]</f>
        <v>0</v>
      </c>
      <c r="O1078" s="546"/>
      <c r="P1078" s="547" t="str">
        <f t="shared" ca="1" si="17"/>
        <v/>
      </c>
      <c r="Q1078" s="528"/>
      <c r="R1078" s="529"/>
      <c r="S1078" s="518"/>
      <c r="T1078" s="518"/>
      <c r="U1078" s="519"/>
      <c r="V1078" s="520" t="str">
        <f>IFERROR(VLOOKUP(LANÇ_MOV[[#This Row],[PLANO DE CONTAS]],Plano_Contas[[PLANO DE CONTAS]:[R / D]],3,0),"")</f>
        <v/>
      </c>
      <c r="W1078" s="521" t="str">
        <f>IF(LANÇ_MOV[[#This Row],[DATA DE PAGAMENTO]]&lt;&gt;"","Pago","Não Pago")</f>
        <v>Não Pago</v>
      </c>
      <c r="X1078" s="522" t="str">
        <f>IFERROR(IF(LANÇ_MOV[[#This Row],[DATA DE PAGAMENTO]]="","",(UPPER(TEXT(LANÇ_MOV[[#This Row],[DATA DE PAGAMENTO]],"mmmm")))),"")</f>
        <v/>
      </c>
      <c r="Y1078" s="523" t="str">
        <f>IFERROR(VLOOKUP(LANÇ_MOV[[#This Row],[PLANO DE CONTAS]],Plano_Contas[[PLANO DE CONTAS]:[NOMES INTERVALOS]],2,0),"")</f>
        <v/>
      </c>
      <c r="Z1078" s="523" t="str">
        <f>IF(LANÇ_MOV[[#This Row],[FORMA DE PAGAMENTO]]="","",VLOOKUP(LANÇ_MOV[[#This Row],[FORMA DE PAGAMENTO]],CAD_Forma_pagto[],2,0))</f>
        <v/>
      </c>
      <c r="AA1078" s="524" t="str">
        <f>IF(LANÇ_MOV[[#This Row],[DATA DE LANÇAMENTO]]="","",TEXT(LANÇ_MOV[[#This Row],[DATA DE LANÇAMENTO]],"AAAA"))</f>
        <v/>
      </c>
      <c r="AB1078" s="524" t="str">
        <f>IF(LANÇ_MOV[[#This Row],[DATA DE LANÇAMENTO]]="","",UPPER(TEXT(LANÇ_MOV[[#This Row],[DATA DE LANÇAMENTO]],"MMMM")))</f>
        <v/>
      </c>
      <c r="AC1078" s="525" t="str">
        <f>IF(LANÇ_MOV[[#This Row],[DATA DE LANÇAMENTO]]="","",PROPER(TEXT(LANÇ_MOV[[#This Row],[DATA DE LANÇAMENTO]],"M")))</f>
        <v/>
      </c>
      <c r="AD1078" s="524" t="str">
        <f>IF(LANÇ_MOV[[#This Row],[DATA DE LANÇAMENTO]]="","",TEXT(LANÇ_MOV[[#This Row],[DATA DE LANÇAMENTO]],"D"))</f>
        <v/>
      </c>
      <c r="AE1078" s="526" t="str">
        <f>IF(LANÇ_MOV[[#This Row],[DATA DE VENCIMENTO]]="","",TEXT(LANÇ_MOV[[#This Row],[DATA DE VENCIMENTO]],"AAAA"))</f>
        <v/>
      </c>
      <c r="AF1078" s="526" t="str">
        <f>IF(LANÇ_MOV[[#This Row],[DATA DE VENCIMENTO]]="","",UPPER(TEXT(LANÇ_MOV[[#This Row],[DATA DE VENCIMENTO]],"MMMM")))</f>
        <v/>
      </c>
      <c r="AG1078" s="526" t="str">
        <f>IF(LANÇ_MOV[[#This Row],[DATA DE VENCIMENTO]]="","",TEXT(LANÇ_MOV[[#This Row],[DATA DE VENCIMENTO]],"M"))</f>
        <v/>
      </c>
      <c r="AH1078" s="526" t="str">
        <f>IF(LANÇ_MOV[[#This Row],[DATA DE VENCIMENTO]]="","",TEXT(LANÇ_MOV[[#This Row],[DATA DE VENCIMENTO]],"D"))</f>
        <v/>
      </c>
      <c r="AI1078" s="526" t="str">
        <f>IF(LANÇ_MOV[[#This Row],[DATA DE PAGAMENTO]]="","",TEXT(LANÇ_MOV[[#This Row],[DATA DE PAGAMENTO]],"AAAA"))</f>
        <v/>
      </c>
      <c r="AJ1078" s="527" t="str">
        <f>IF(LANÇ_MOV[[#This Row],[DATA DE PAGAMENTO]]="","",UPPER(TEXT(LANÇ_MOV[[#This Row],[DATA DE PAGAMENTO]],"MMMM")))</f>
        <v/>
      </c>
      <c r="AK1078" s="527" t="str">
        <f>IF(LANÇ_MOV[[#This Row],[DATA DE PAGAMENTO]]="","",TEXT(LANÇ_MOV[[#This Row],[DATA DE PAGAMENTO]],"M"))</f>
        <v/>
      </c>
      <c r="AL1078" s="526" t="str">
        <f>IF(LANÇ_MOV[[#This Row],[DATA DE PAGAMENTO]]="","",TEXT(LANÇ_MOV[[#This Row],[DATA DE PAGAMENTO]],"D"))</f>
        <v/>
      </c>
    </row>
    <row r="1079" spans="2:38" ht="30.05" customHeight="1" x14ac:dyDescent="0.35">
      <c r="B1079" s="506"/>
      <c r="C1079" s="507"/>
      <c r="D1079" s="508" t="s">
        <v>1854</v>
      </c>
      <c r="E1079" s="509"/>
      <c r="F1079" s="510"/>
      <c r="G1079" s="507"/>
      <c r="H1079" s="511"/>
      <c r="I1079" s="512"/>
      <c r="J1079" s="518"/>
      <c r="K1079" s="510"/>
      <c r="L1079" s="510"/>
      <c r="M1079" s="548"/>
      <c r="N1079" s="514">
        <f>LANÇ_MOV[[#This Row],[VALOR BRUTO]]-LANÇ_MOV[[#This Row],[DESCONTO]]+LANÇ_MOV[[#This Row],[JUROS]]+LANÇ_MOV[[#This Row],[MULTA]]</f>
        <v>0</v>
      </c>
      <c r="O1079" s="546"/>
      <c r="P1079" s="547" t="str">
        <f t="shared" ca="1" si="17"/>
        <v/>
      </c>
      <c r="Q1079" s="528"/>
      <c r="R1079" s="529"/>
      <c r="S1079" s="518"/>
      <c r="T1079" s="518"/>
      <c r="U1079" s="519"/>
      <c r="V1079" s="520" t="str">
        <f>IFERROR(VLOOKUP(LANÇ_MOV[[#This Row],[PLANO DE CONTAS]],Plano_Contas[[PLANO DE CONTAS]:[R / D]],3,0),"")</f>
        <v/>
      </c>
      <c r="W1079" s="521" t="str">
        <f>IF(LANÇ_MOV[[#This Row],[DATA DE PAGAMENTO]]&lt;&gt;"","Pago","Não Pago")</f>
        <v>Não Pago</v>
      </c>
      <c r="X1079" s="522" t="str">
        <f>IFERROR(IF(LANÇ_MOV[[#This Row],[DATA DE PAGAMENTO]]="","",(UPPER(TEXT(LANÇ_MOV[[#This Row],[DATA DE PAGAMENTO]],"mmmm")))),"")</f>
        <v/>
      </c>
      <c r="Y1079" s="523" t="str">
        <f>IFERROR(VLOOKUP(LANÇ_MOV[[#This Row],[PLANO DE CONTAS]],Plano_Contas[[PLANO DE CONTAS]:[NOMES INTERVALOS]],2,0),"")</f>
        <v/>
      </c>
      <c r="Z1079" s="523" t="str">
        <f>IF(LANÇ_MOV[[#This Row],[FORMA DE PAGAMENTO]]="","",VLOOKUP(LANÇ_MOV[[#This Row],[FORMA DE PAGAMENTO]],CAD_Forma_pagto[],2,0))</f>
        <v/>
      </c>
      <c r="AA1079" s="524" t="str">
        <f>IF(LANÇ_MOV[[#This Row],[DATA DE LANÇAMENTO]]="","",TEXT(LANÇ_MOV[[#This Row],[DATA DE LANÇAMENTO]],"AAAA"))</f>
        <v/>
      </c>
      <c r="AB1079" s="524" t="str">
        <f>IF(LANÇ_MOV[[#This Row],[DATA DE LANÇAMENTO]]="","",UPPER(TEXT(LANÇ_MOV[[#This Row],[DATA DE LANÇAMENTO]],"MMMM")))</f>
        <v/>
      </c>
      <c r="AC1079" s="525" t="str">
        <f>IF(LANÇ_MOV[[#This Row],[DATA DE LANÇAMENTO]]="","",PROPER(TEXT(LANÇ_MOV[[#This Row],[DATA DE LANÇAMENTO]],"M")))</f>
        <v/>
      </c>
      <c r="AD1079" s="524" t="str">
        <f>IF(LANÇ_MOV[[#This Row],[DATA DE LANÇAMENTO]]="","",TEXT(LANÇ_MOV[[#This Row],[DATA DE LANÇAMENTO]],"D"))</f>
        <v/>
      </c>
      <c r="AE1079" s="526" t="str">
        <f>IF(LANÇ_MOV[[#This Row],[DATA DE VENCIMENTO]]="","",TEXT(LANÇ_MOV[[#This Row],[DATA DE VENCIMENTO]],"AAAA"))</f>
        <v/>
      </c>
      <c r="AF1079" s="526" t="str">
        <f>IF(LANÇ_MOV[[#This Row],[DATA DE VENCIMENTO]]="","",UPPER(TEXT(LANÇ_MOV[[#This Row],[DATA DE VENCIMENTO]],"MMMM")))</f>
        <v/>
      </c>
      <c r="AG1079" s="526" t="str">
        <f>IF(LANÇ_MOV[[#This Row],[DATA DE VENCIMENTO]]="","",TEXT(LANÇ_MOV[[#This Row],[DATA DE VENCIMENTO]],"M"))</f>
        <v/>
      </c>
      <c r="AH1079" s="526" t="str">
        <f>IF(LANÇ_MOV[[#This Row],[DATA DE VENCIMENTO]]="","",TEXT(LANÇ_MOV[[#This Row],[DATA DE VENCIMENTO]],"D"))</f>
        <v/>
      </c>
      <c r="AI1079" s="526" t="str">
        <f>IF(LANÇ_MOV[[#This Row],[DATA DE PAGAMENTO]]="","",TEXT(LANÇ_MOV[[#This Row],[DATA DE PAGAMENTO]],"AAAA"))</f>
        <v/>
      </c>
      <c r="AJ1079" s="527" t="str">
        <f>IF(LANÇ_MOV[[#This Row],[DATA DE PAGAMENTO]]="","",UPPER(TEXT(LANÇ_MOV[[#This Row],[DATA DE PAGAMENTO]],"MMMM")))</f>
        <v/>
      </c>
      <c r="AK1079" s="527" t="str">
        <f>IF(LANÇ_MOV[[#This Row],[DATA DE PAGAMENTO]]="","",TEXT(LANÇ_MOV[[#This Row],[DATA DE PAGAMENTO]],"M"))</f>
        <v/>
      </c>
      <c r="AL1079" s="526" t="str">
        <f>IF(LANÇ_MOV[[#This Row],[DATA DE PAGAMENTO]]="","",TEXT(LANÇ_MOV[[#This Row],[DATA DE PAGAMENTO]],"D"))</f>
        <v/>
      </c>
    </row>
    <row r="1080" spans="2:38" ht="30.05" customHeight="1" x14ac:dyDescent="0.35">
      <c r="B1080" s="506"/>
      <c r="C1080" s="507"/>
      <c r="D1080" s="508" t="s">
        <v>1854</v>
      </c>
      <c r="E1080" s="509"/>
      <c r="F1080" s="510"/>
      <c r="G1080" s="507"/>
      <c r="H1080" s="511"/>
      <c r="I1080" s="512"/>
      <c r="J1080" s="518"/>
      <c r="K1080" s="510"/>
      <c r="L1080" s="510"/>
      <c r="M1080" s="548"/>
      <c r="N1080" s="514">
        <f>LANÇ_MOV[[#This Row],[VALOR BRUTO]]-LANÇ_MOV[[#This Row],[DESCONTO]]+LANÇ_MOV[[#This Row],[JUROS]]+LANÇ_MOV[[#This Row],[MULTA]]</f>
        <v>0</v>
      </c>
      <c r="O1080" s="546"/>
      <c r="P1080" s="547" t="str">
        <f t="shared" ca="1" si="17"/>
        <v/>
      </c>
      <c r="Q1080" s="528"/>
      <c r="R1080" s="529"/>
      <c r="S1080" s="518"/>
      <c r="T1080" s="518"/>
      <c r="U1080" s="519"/>
      <c r="V1080" s="520" t="str">
        <f>IFERROR(VLOOKUP(LANÇ_MOV[[#This Row],[PLANO DE CONTAS]],Plano_Contas[[PLANO DE CONTAS]:[R / D]],3,0),"")</f>
        <v/>
      </c>
      <c r="W1080" s="521" t="str">
        <f>IF(LANÇ_MOV[[#This Row],[DATA DE PAGAMENTO]]&lt;&gt;"","Pago","Não Pago")</f>
        <v>Não Pago</v>
      </c>
      <c r="X1080" s="522" t="str">
        <f>IFERROR(IF(LANÇ_MOV[[#This Row],[DATA DE PAGAMENTO]]="","",(UPPER(TEXT(LANÇ_MOV[[#This Row],[DATA DE PAGAMENTO]],"mmmm")))),"")</f>
        <v/>
      </c>
      <c r="Y1080" s="523" t="str">
        <f>IFERROR(VLOOKUP(LANÇ_MOV[[#This Row],[PLANO DE CONTAS]],Plano_Contas[[PLANO DE CONTAS]:[NOMES INTERVALOS]],2,0),"")</f>
        <v/>
      </c>
      <c r="Z1080" s="523" t="str">
        <f>IF(LANÇ_MOV[[#This Row],[FORMA DE PAGAMENTO]]="","",VLOOKUP(LANÇ_MOV[[#This Row],[FORMA DE PAGAMENTO]],CAD_Forma_pagto[],2,0))</f>
        <v/>
      </c>
      <c r="AA1080" s="524" t="str">
        <f>IF(LANÇ_MOV[[#This Row],[DATA DE LANÇAMENTO]]="","",TEXT(LANÇ_MOV[[#This Row],[DATA DE LANÇAMENTO]],"AAAA"))</f>
        <v/>
      </c>
      <c r="AB1080" s="524" t="str">
        <f>IF(LANÇ_MOV[[#This Row],[DATA DE LANÇAMENTO]]="","",UPPER(TEXT(LANÇ_MOV[[#This Row],[DATA DE LANÇAMENTO]],"MMMM")))</f>
        <v/>
      </c>
      <c r="AC1080" s="525" t="str">
        <f>IF(LANÇ_MOV[[#This Row],[DATA DE LANÇAMENTO]]="","",PROPER(TEXT(LANÇ_MOV[[#This Row],[DATA DE LANÇAMENTO]],"M")))</f>
        <v/>
      </c>
      <c r="AD1080" s="524" t="str">
        <f>IF(LANÇ_MOV[[#This Row],[DATA DE LANÇAMENTO]]="","",TEXT(LANÇ_MOV[[#This Row],[DATA DE LANÇAMENTO]],"D"))</f>
        <v/>
      </c>
      <c r="AE1080" s="526" t="str">
        <f>IF(LANÇ_MOV[[#This Row],[DATA DE VENCIMENTO]]="","",TEXT(LANÇ_MOV[[#This Row],[DATA DE VENCIMENTO]],"AAAA"))</f>
        <v/>
      </c>
      <c r="AF1080" s="526" t="str">
        <f>IF(LANÇ_MOV[[#This Row],[DATA DE VENCIMENTO]]="","",UPPER(TEXT(LANÇ_MOV[[#This Row],[DATA DE VENCIMENTO]],"MMMM")))</f>
        <v/>
      </c>
      <c r="AG1080" s="526" t="str">
        <f>IF(LANÇ_MOV[[#This Row],[DATA DE VENCIMENTO]]="","",TEXT(LANÇ_MOV[[#This Row],[DATA DE VENCIMENTO]],"M"))</f>
        <v/>
      </c>
      <c r="AH1080" s="526" t="str">
        <f>IF(LANÇ_MOV[[#This Row],[DATA DE VENCIMENTO]]="","",TEXT(LANÇ_MOV[[#This Row],[DATA DE VENCIMENTO]],"D"))</f>
        <v/>
      </c>
      <c r="AI1080" s="526" t="str">
        <f>IF(LANÇ_MOV[[#This Row],[DATA DE PAGAMENTO]]="","",TEXT(LANÇ_MOV[[#This Row],[DATA DE PAGAMENTO]],"AAAA"))</f>
        <v/>
      </c>
      <c r="AJ1080" s="527" t="str">
        <f>IF(LANÇ_MOV[[#This Row],[DATA DE PAGAMENTO]]="","",UPPER(TEXT(LANÇ_MOV[[#This Row],[DATA DE PAGAMENTO]],"MMMM")))</f>
        <v/>
      </c>
      <c r="AK1080" s="527" t="str">
        <f>IF(LANÇ_MOV[[#This Row],[DATA DE PAGAMENTO]]="","",TEXT(LANÇ_MOV[[#This Row],[DATA DE PAGAMENTO]],"M"))</f>
        <v/>
      </c>
      <c r="AL1080" s="526" t="str">
        <f>IF(LANÇ_MOV[[#This Row],[DATA DE PAGAMENTO]]="","",TEXT(LANÇ_MOV[[#This Row],[DATA DE PAGAMENTO]],"D"))</f>
        <v/>
      </c>
    </row>
    <row r="1081" spans="2:38" ht="30.05" customHeight="1" x14ac:dyDescent="0.35">
      <c r="B1081" s="506"/>
      <c r="C1081" s="507"/>
      <c r="D1081" s="508" t="s">
        <v>1854</v>
      </c>
      <c r="E1081" s="509"/>
      <c r="F1081" s="510"/>
      <c r="G1081" s="507"/>
      <c r="H1081" s="511"/>
      <c r="I1081" s="512"/>
      <c r="J1081" s="518"/>
      <c r="K1081" s="510"/>
      <c r="L1081" s="510"/>
      <c r="M1081" s="548"/>
      <c r="N1081" s="514">
        <f>LANÇ_MOV[[#This Row],[VALOR BRUTO]]-LANÇ_MOV[[#This Row],[DESCONTO]]+LANÇ_MOV[[#This Row],[JUROS]]+LANÇ_MOV[[#This Row],[MULTA]]</f>
        <v>0</v>
      </c>
      <c r="O1081" s="546"/>
      <c r="P1081" s="547" t="str">
        <f t="shared" ca="1" si="17"/>
        <v/>
      </c>
      <c r="Q1081" s="528"/>
      <c r="R1081" s="529"/>
      <c r="S1081" s="518"/>
      <c r="T1081" s="518"/>
      <c r="U1081" s="519"/>
      <c r="V1081" s="520" t="str">
        <f>IFERROR(VLOOKUP(LANÇ_MOV[[#This Row],[PLANO DE CONTAS]],Plano_Contas[[PLANO DE CONTAS]:[R / D]],3,0),"")</f>
        <v/>
      </c>
      <c r="W1081" s="521" t="str">
        <f>IF(LANÇ_MOV[[#This Row],[DATA DE PAGAMENTO]]&lt;&gt;"","Pago","Não Pago")</f>
        <v>Não Pago</v>
      </c>
      <c r="X1081" s="522" t="str">
        <f>IFERROR(IF(LANÇ_MOV[[#This Row],[DATA DE PAGAMENTO]]="","",(UPPER(TEXT(LANÇ_MOV[[#This Row],[DATA DE PAGAMENTO]],"mmmm")))),"")</f>
        <v/>
      </c>
      <c r="Y1081" s="523" t="str">
        <f>IFERROR(VLOOKUP(LANÇ_MOV[[#This Row],[PLANO DE CONTAS]],Plano_Contas[[PLANO DE CONTAS]:[NOMES INTERVALOS]],2,0),"")</f>
        <v/>
      </c>
      <c r="Z1081" s="523" t="str">
        <f>IF(LANÇ_MOV[[#This Row],[FORMA DE PAGAMENTO]]="","",VLOOKUP(LANÇ_MOV[[#This Row],[FORMA DE PAGAMENTO]],CAD_Forma_pagto[],2,0))</f>
        <v/>
      </c>
      <c r="AA1081" s="524" t="str">
        <f>IF(LANÇ_MOV[[#This Row],[DATA DE LANÇAMENTO]]="","",TEXT(LANÇ_MOV[[#This Row],[DATA DE LANÇAMENTO]],"AAAA"))</f>
        <v/>
      </c>
      <c r="AB1081" s="524" t="str">
        <f>IF(LANÇ_MOV[[#This Row],[DATA DE LANÇAMENTO]]="","",UPPER(TEXT(LANÇ_MOV[[#This Row],[DATA DE LANÇAMENTO]],"MMMM")))</f>
        <v/>
      </c>
      <c r="AC1081" s="525" t="str">
        <f>IF(LANÇ_MOV[[#This Row],[DATA DE LANÇAMENTO]]="","",PROPER(TEXT(LANÇ_MOV[[#This Row],[DATA DE LANÇAMENTO]],"M")))</f>
        <v/>
      </c>
      <c r="AD1081" s="524" t="str">
        <f>IF(LANÇ_MOV[[#This Row],[DATA DE LANÇAMENTO]]="","",TEXT(LANÇ_MOV[[#This Row],[DATA DE LANÇAMENTO]],"D"))</f>
        <v/>
      </c>
      <c r="AE1081" s="526" t="str">
        <f>IF(LANÇ_MOV[[#This Row],[DATA DE VENCIMENTO]]="","",TEXT(LANÇ_MOV[[#This Row],[DATA DE VENCIMENTO]],"AAAA"))</f>
        <v/>
      </c>
      <c r="AF1081" s="526" t="str">
        <f>IF(LANÇ_MOV[[#This Row],[DATA DE VENCIMENTO]]="","",UPPER(TEXT(LANÇ_MOV[[#This Row],[DATA DE VENCIMENTO]],"MMMM")))</f>
        <v/>
      </c>
      <c r="AG1081" s="526" t="str">
        <f>IF(LANÇ_MOV[[#This Row],[DATA DE VENCIMENTO]]="","",TEXT(LANÇ_MOV[[#This Row],[DATA DE VENCIMENTO]],"M"))</f>
        <v/>
      </c>
      <c r="AH1081" s="526" t="str">
        <f>IF(LANÇ_MOV[[#This Row],[DATA DE VENCIMENTO]]="","",TEXT(LANÇ_MOV[[#This Row],[DATA DE VENCIMENTO]],"D"))</f>
        <v/>
      </c>
      <c r="AI1081" s="526" t="str">
        <f>IF(LANÇ_MOV[[#This Row],[DATA DE PAGAMENTO]]="","",TEXT(LANÇ_MOV[[#This Row],[DATA DE PAGAMENTO]],"AAAA"))</f>
        <v/>
      </c>
      <c r="AJ1081" s="527" t="str">
        <f>IF(LANÇ_MOV[[#This Row],[DATA DE PAGAMENTO]]="","",UPPER(TEXT(LANÇ_MOV[[#This Row],[DATA DE PAGAMENTO]],"MMMM")))</f>
        <v/>
      </c>
      <c r="AK1081" s="527" t="str">
        <f>IF(LANÇ_MOV[[#This Row],[DATA DE PAGAMENTO]]="","",TEXT(LANÇ_MOV[[#This Row],[DATA DE PAGAMENTO]],"M"))</f>
        <v/>
      </c>
      <c r="AL1081" s="526" t="str">
        <f>IF(LANÇ_MOV[[#This Row],[DATA DE PAGAMENTO]]="","",TEXT(LANÇ_MOV[[#This Row],[DATA DE PAGAMENTO]],"D"))</f>
        <v/>
      </c>
    </row>
    <row r="1082" spans="2:38" ht="30.05" customHeight="1" x14ac:dyDescent="0.35">
      <c r="B1082" s="506"/>
      <c r="C1082" s="507"/>
      <c r="D1082" s="508" t="s">
        <v>1854</v>
      </c>
      <c r="E1082" s="509"/>
      <c r="F1082" s="510"/>
      <c r="G1082" s="507"/>
      <c r="H1082" s="511"/>
      <c r="I1082" s="512"/>
      <c r="J1082" s="518"/>
      <c r="K1082" s="510"/>
      <c r="L1082" s="510"/>
      <c r="M1082" s="548"/>
      <c r="N1082" s="514">
        <f>LANÇ_MOV[[#This Row],[VALOR BRUTO]]-LANÇ_MOV[[#This Row],[DESCONTO]]+LANÇ_MOV[[#This Row],[JUROS]]+LANÇ_MOV[[#This Row],[MULTA]]</f>
        <v>0</v>
      </c>
      <c r="O1082" s="546"/>
      <c r="P1082" s="547" t="str">
        <f t="shared" ca="1" si="17"/>
        <v/>
      </c>
      <c r="Q1082" s="528"/>
      <c r="R1082" s="529"/>
      <c r="S1082" s="518"/>
      <c r="T1082" s="518"/>
      <c r="U1082" s="519"/>
      <c r="V1082" s="520" t="str">
        <f>IFERROR(VLOOKUP(LANÇ_MOV[[#This Row],[PLANO DE CONTAS]],Plano_Contas[[PLANO DE CONTAS]:[R / D]],3,0),"")</f>
        <v/>
      </c>
      <c r="W1082" s="521" t="str">
        <f>IF(LANÇ_MOV[[#This Row],[DATA DE PAGAMENTO]]&lt;&gt;"","Pago","Não Pago")</f>
        <v>Não Pago</v>
      </c>
      <c r="X1082" s="522" t="str">
        <f>IFERROR(IF(LANÇ_MOV[[#This Row],[DATA DE PAGAMENTO]]="","",(UPPER(TEXT(LANÇ_MOV[[#This Row],[DATA DE PAGAMENTO]],"mmmm")))),"")</f>
        <v/>
      </c>
      <c r="Y1082" s="523" t="str">
        <f>IFERROR(VLOOKUP(LANÇ_MOV[[#This Row],[PLANO DE CONTAS]],Plano_Contas[[PLANO DE CONTAS]:[NOMES INTERVALOS]],2,0),"")</f>
        <v/>
      </c>
      <c r="Z1082" s="523" t="str">
        <f>IF(LANÇ_MOV[[#This Row],[FORMA DE PAGAMENTO]]="","",VLOOKUP(LANÇ_MOV[[#This Row],[FORMA DE PAGAMENTO]],CAD_Forma_pagto[],2,0))</f>
        <v/>
      </c>
      <c r="AA1082" s="524" t="str">
        <f>IF(LANÇ_MOV[[#This Row],[DATA DE LANÇAMENTO]]="","",TEXT(LANÇ_MOV[[#This Row],[DATA DE LANÇAMENTO]],"AAAA"))</f>
        <v/>
      </c>
      <c r="AB1082" s="524" t="str">
        <f>IF(LANÇ_MOV[[#This Row],[DATA DE LANÇAMENTO]]="","",UPPER(TEXT(LANÇ_MOV[[#This Row],[DATA DE LANÇAMENTO]],"MMMM")))</f>
        <v/>
      </c>
      <c r="AC1082" s="525" t="str">
        <f>IF(LANÇ_MOV[[#This Row],[DATA DE LANÇAMENTO]]="","",PROPER(TEXT(LANÇ_MOV[[#This Row],[DATA DE LANÇAMENTO]],"M")))</f>
        <v/>
      </c>
      <c r="AD1082" s="524" t="str">
        <f>IF(LANÇ_MOV[[#This Row],[DATA DE LANÇAMENTO]]="","",TEXT(LANÇ_MOV[[#This Row],[DATA DE LANÇAMENTO]],"D"))</f>
        <v/>
      </c>
      <c r="AE1082" s="526" t="str">
        <f>IF(LANÇ_MOV[[#This Row],[DATA DE VENCIMENTO]]="","",TEXT(LANÇ_MOV[[#This Row],[DATA DE VENCIMENTO]],"AAAA"))</f>
        <v/>
      </c>
      <c r="AF1082" s="526" t="str">
        <f>IF(LANÇ_MOV[[#This Row],[DATA DE VENCIMENTO]]="","",UPPER(TEXT(LANÇ_MOV[[#This Row],[DATA DE VENCIMENTO]],"MMMM")))</f>
        <v/>
      </c>
      <c r="AG1082" s="526" t="str">
        <f>IF(LANÇ_MOV[[#This Row],[DATA DE VENCIMENTO]]="","",TEXT(LANÇ_MOV[[#This Row],[DATA DE VENCIMENTO]],"M"))</f>
        <v/>
      </c>
      <c r="AH1082" s="526" t="str">
        <f>IF(LANÇ_MOV[[#This Row],[DATA DE VENCIMENTO]]="","",TEXT(LANÇ_MOV[[#This Row],[DATA DE VENCIMENTO]],"D"))</f>
        <v/>
      </c>
      <c r="AI1082" s="526" t="str">
        <f>IF(LANÇ_MOV[[#This Row],[DATA DE PAGAMENTO]]="","",TEXT(LANÇ_MOV[[#This Row],[DATA DE PAGAMENTO]],"AAAA"))</f>
        <v/>
      </c>
      <c r="AJ1082" s="527" t="str">
        <f>IF(LANÇ_MOV[[#This Row],[DATA DE PAGAMENTO]]="","",UPPER(TEXT(LANÇ_MOV[[#This Row],[DATA DE PAGAMENTO]],"MMMM")))</f>
        <v/>
      </c>
      <c r="AK1082" s="527" t="str">
        <f>IF(LANÇ_MOV[[#This Row],[DATA DE PAGAMENTO]]="","",TEXT(LANÇ_MOV[[#This Row],[DATA DE PAGAMENTO]],"M"))</f>
        <v/>
      </c>
      <c r="AL1082" s="526" t="str">
        <f>IF(LANÇ_MOV[[#This Row],[DATA DE PAGAMENTO]]="","",TEXT(LANÇ_MOV[[#This Row],[DATA DE PAGAMENTO]],"D"))</f>
        <v/>
      </c>
    </row>
    <row r="1083" spans="2:38" ht="30.05" customHeight="1" x14ac:dyDescent="0.35">
      <c r="B1083" s="506"/>
      <c r="C1083" s="507"/>
      <c r="D1083" s="508" t="s">
        <v>1854</v>
      </c>
      <c r="E1083" s="509"/>
      <c r="F1083" s="510"/>
      <c r="G1083" s="507"/>
      <c r="H1083" s="511"/>
      <c r="I1083" s="512"/>
      <c r="J1083" s="518"/>
      <c r="K1083" s="510"/>
      <c r="L1083" s="510"/>
      <c r="M1083" s="548"/>
      <c r="N1083" s="514">
        <f>LANÇ_MOV[[#This Row],[VALOR BRUTO]]-LANÇ_MOV[[#This Row],[DESCONTO]]+LANÇ_MOV[[#This Row],[JUROS]]+LANÇ_MOV[[#This Row],[MULTA]]</f>
        <v>0</v>
      </c>
      <c r="O1083" s="546"/>
      <c r="P1083" s="547" t="str">
        <f t="shared" ca="1" si="17"/>
        <v/>
      </c>
      <c r="Q1083" s="528"/>
      <c r="R1083" s="529"/>
      <c r="S1083" s="518"/>
      <c r="T1083" s="518"/>
      <c r="U1083" s="519"/>
      <c r="V1083" s="520" t="str">
        <f>IFERROR(VLOOKUP(LANÇ_MOV[[#This Row],[PLANO DE CONTAS]],Plano_Contas[[PLANO DE CONTAS]:[R / D]],3,0),"")</f>
        <v/>
      </c>
      <c r="W1083" s="521" t="str">
        <f>IF(LANÇ_MOV[[#This Row],[DATA DE PAGAMENTO]]&lt;&gt;"","Pago","Não Pago")</f>
        <v>Não Pago</v>
      </c>
      <c r="X1083" s="522" t="str">
        <f>IFERROR(IF(LANÇ_MOV[[#This Row],[DATA DE PAGAMENTO]]="","",(UPPER(TEXT(LANÇ_MOV[[#This Row],[DATA DE PAGAMENTO]],"mmmm")))),"")</f>
        <v/>
      </c>
      <c r="Y1083" s="523" t="str">
        <f>IFERROR(VLOOKUP(LANÇ_MOV[[#This Row],[PLANO DE CONTAS]],Plano_Contas[[PLANO DE CONTAS]:[NOMES INTERVALOS]],2,0),"")</f>
        <v/>
      </c>
      <c r="Z1083" s="523" t="str">
        <f>IF(LANÇ_MOV[[#This Row],[FORMA DE PAGAMENTO]]="","",VLOOKUP(LANÇ_MOV[[#This Row],[FORMA DE PAGAMENTO]],CAD_Forma_pagto[],2,0))</f>
        <v/>
      </c>
      <c r="AA1083" s="524" t="str">
        <f>IF(LANÇ_MOV[[#This Row],[DATA DE LANÇAMENTO]]="","",TEXT(LANÇ_MOV[[#This Row],[DATA DE LANÇAMENTO]],"AAAA"))</f>
        <v/>
      </c>
      <c r="AB1083" s="524" t="str">
        <f>IF(LANÇ_MOV[[#This Row],[DATA DE LANÇAMENTO]]="","",UPPER(TEXT(LANÇ_MOV[[#This Row],[DATA DE LANÇAMENTO]],"MMMM")))</f>
        <v/>
      </c>
      <c r="AC1083" s="525" t="str">
        <f>IF(LANÇ_MOV[[#This Row],[DATA DE LANÇAMENTO]]="","",PROPER(TEXT(LANÇ_MOV[[#This Row],[DATA DE LANÇAMENTO]],"M")))</f>
        <v/>
      </c>
      <c r="AD1083" s="524" t="str">
        <f>IF(LANÇ_MOV[[#This Row],[DATA DE LANÇAMENTO]]="","",TEXT(LANÇ_MOV[[#This Row],[DATA DE LANÇAMENTO]],"D"))</f>
        <v/>
      </c>
      <c r="AE1083" s="526" t="str">
        <f>IF(LANÇ_MOV[[#This Row],[DATA DE VENCIMENTO]]="","",TEXT(LANÇ_MOV[[#This Row],[DATA DE VENCIMENTO]],"AAAA"))</f>
        <v/>
      </c>
      <c r="AF1083" s="526" t="str">
        <f>IF(LANÇ_MOV[[#This Row],[DATA DE VENCIMENTO]]="","",UPPER(TEXT(LANÇ_MOV[[#This Row],[DATA DE VENCIMENTO]],"MMMM")))</f>
        <v/>
      </c>
      <c r="AG1083" s="526" t="str">
        <f>IF(LANÇ_MOV[[#This Row],[DATA DE VENCIMENTO]]="","",TEXT(LANÇ_MOV[[#This Row],[DATA DE VENCIMENTO]],"M"))</f>
        <v/>
      </c>
      <c r="AH1083" s="526" t="str">
        <f>IF(LANÇ_MOV[[#This Row],[DATA DE VENCIMENTO]]="","",TEXT(LANÇ_MOV[[#This Row],[DATA DE VENCIMENTO]],"D"))</f>
        <v/>
      </c>
      <c r="AI1083" s="526" t="str">
        <f>IF(LANÇ_MOV[[#This Row],[DATA DE PAGAMENTO]]="","",TEXT(LANÇ_MOV[[#This Row],[DATA DE PAGAMENTO]],"AAAA"))</f>
        <v/>
      </c>
      <c r="AJ1083" s="527" t="str">
        <f>IF(LANÇ_MOV[[#This Row],[DATA DE PAGAMENTO]]="","",UPPER(TEXT(LANÇ_MOV[[#This Row],[DATA DE PAGAMENTO]],"MMMM")))</f>
        <v/>
      </c>
      <c r="AK1083" s="527" t="str">
        <f>IF(LANÇ_MOV[[#This Row],[DATA DE PAGAMENTO]]="","",TEXT(LANÇ_MOV[[#This Row],[DATA DE PAGAMENTO]],"M"))</f>
        <v/>
      </c>
      <c r="AL1083" s="526" t="str">
        <f>IF(LANÇ_MOV[[#This Row],[DATA DE PAGAMENTO]]="","",TEXT(LANÇ_MOV[[#This Row],[DATA DE PAGAMENTO]],"D"))</f>
        <v/>
      </c>
    </row>
    <row r="1084" spans="2:38" ht="30.05" customHeight="1" x14ac:dyDescent="0.35">
      <c r="B1084" s="506"/>
      <c r="C1084" s="507"/>
      <c r="D1084" s="508" t="s">
        <v>1854</v>
      </c>
      <c r="E1084" s="509"/>
      <c r="F1084" s="510"/>
      <c r="G1084" s="507"/>
      <c r="H1084" s="511"/>
      <c r="I1084" s="512"/>
      <c r="J1084" s="518"/>
      <c r="K1084" s="510"/>
      <c r="L1084" s="510"/>
      <c r="M1084" s="548"/>
      <c r="N1084" s="514">
        <f>LANÇ_MOV[[#This Row],[VALOR BRUTO]]-LANÇ_MOV[[#This Row],[DESCONTO]]+LANÇ_MOV[[#This Row],[JUROS]]+LANÇ_MOV[[#This Row],[MULTA]]</f>
        <v>0</v>
      </c>
      <c r="O1084" s="546"/>
      <c r="P1084" s="547" t="str">
        <f t="shared" ca="1" si="17"/>
        <v/>
      </c>
      <c r="Q1084" s="528"/>
      <c r="R1084" s="529"/>
      <c r="S1084" s="518"/>
      <c r="T1084" s="518"/>
      <c r="U1084" s="519"/>
      <c r="V1084" s="520" t="str">
        <f>IFERROR(VLOOKUP(LANÇ_MOV[[#This Row],[PLANO DE CONTAS]],Plano_Contas[[PLANO DE CONTAS]:[R / D]],3,0),"")</f>
        <v/>
      </c>
      <c r="W1084" s="521" t="str">
        <f>IF(LANÇ_MOV[[#This Row],[DATA DE PAGAMENTO]]&lt;&gt;"","Pago","Não Pago")</f>
        <v>Não Pago</v>
      </c>
      <c r="X1084" s="522" t="str">
        <f>IFERROR(IF(LANÇ_MOV[[#This Row],[DATA DE PAGAMENTO]]="","",(UPPER(TEXT(LANÇ_MOV[[#This Row],[DATA DE PAGAMENTO]],"mmmm")))),"")</f>
        <v/>
      </c>
      <c r="Y1084" s="523" t="str">
        <f>IFERROR(VLOOKUP(LANÇ_MOV[[#This Row],[PLANO DE CONTAS]],Plano_Contas[[PLANO DE CONTAS]:[NOMES INTERVALOS]],2,0),"")</f>
        <v/>
      </c>
      <c r="Z1084" s="523" t="str">
        <f>IF(LANÇ_MOV[[#This Row],[FORMA DE PAGAMENTO]]="","",VLOOKUP(LANÇ_MOV[[#This Row],[FORMA DE PAGAMENTO]],CAD_Forma_pagto[],2,0))</f>
        <v/>
      </c>
      <c r="AA1084" s="524" t="str">
        <f>IF(LANÇ_MOV[[#This Row],[DATA DE LANÇAMENTO]]="","",TEXT(LANÇ_MOV[[#This Row],[DATA DE LANÇAMENTO]],"AAAA"))</f>
        <v/>
      </c>
      <c r="AB1084" s="524" t="str">
        <f>IF(LANÇ_MOV[[#This Row],[DATA DE LANÇAMENTO]]="","",UPPER(TEXT(LANÇ_MOV[[#This Row],[DATA DE LANÇAMENTO]],"MMMM")))</f>
        <v/>
      </c>
      <c r="AC1084" s="525" t="str">
        <f>IF(LANÇ_MOV[[#This Row],[DATA DE LANÇAMENTO]]="","",PROPER(TEXT(LANÇ_MOV[[#This Row],[DATA DE LANÇAMENTO]],"M")))</f>
        <v/>
      </c>
      <c r="AD1084" s="524" t="str">
        <f>IF(LANÇ_MOV[[#This Row],[DATA DE LANÇAMENTO]]="","",TEXT(LANÇ_MOV[[#This Row],[DATA DE LANÇAMENTO]],"D"))</f>
        <v/>
      </c>
      <c r="AE1084" s="526" t="str">
        <f>IF(LANÇ_MOV[[#This Row],[DATA DE VENCIMENTO]]="","",TEXT(LANÇ_MOV[[#This Row],[DATA DE VENCIMENTO]],"AAAA"))</f>
        <v/>
      </c>
      <c r="AF1084" s="526" t="str">
        <f>IF(LANÇ_MOV[[#This Row],[DATA DE VENCIMENTO]]="","",UPPER(TEXT(LANÇ_MOV[[#This Row],[DATA DE VENCIMENTO]],"MMMM")))</f>
        <v/>
      </c>
      <c r="AG1084" s="526" t="str">
        <f>IF(LANÇ_MOV[[#This Row],[DATA DE VENCIMENTO]]="","",TEXT(LANÇ_MOV[[#This Row],[DATA DE VENCIMENTO]],"M"))</f>
        <v/>
      </c>
      <c r="AH1084" s="526" t="str">
        <f>IF(LANÇ_MOV[[#This Row],[DATA DE VENCIMENTO]]="","",TEXT(LANÇ_MOV[[#This Row],[DATA DE VENCIMENTO]],"D"))</f>
        <v/>
      </c>
      <c r="AI1084" s="526" t="str">
        <f>IF(LANÇ_MOV[[#This Row],[DATA DE PAGAMENTO]]="","",TEXT(LANÇ_MOV[[#This Row],[DATA DE PAGAMENTO]],"AAAA"))</f>
        <v/>
      </c>
      <c r="AJ1084" s="527" t="str">
        <f>IF(LANÇ_MOV[[#This Row],[DATA DE PAGAMENTO]]="","",UPPER(TEXT(LANÇ_MOV[[#This Row],[DATA DE PAGAMENTO]],"MMMM")))</f>
        <v/>
      </c>
      <c r="AK1084" s="527" t="str">
        <f>IF(LANÇ_MOV[[#This Row],[DATA DE PAGAMENTO]]="","",TEXT(LANÇ_MOV[[#This Row],[DATA DE PAGAMENTO]],"M"))</f>
        <v/>
      </c>
      <c r="AL1084" s="526" t="str">
        <f>IF(LANÇ_MOV[[#This Row],[DATA DE PAGAMENTO]]="","",TEXT(LANÇ_MOV[[#This Row],[DATA DE PAGAMENTO]],"D"))</f>
        <v/>
      </c>
    </row>
    <row r="1085" spans="2:38" ht="30.05" customHeight="1" x14ac:dyDescent="0.35">
      <c r="B1085" s="506"/>
      <c r="C1085" s="507"/>
      <c r="D1085" s="508" t="s">
        <v>1854</v>
      </c>
      <c r="E1085" s="509"/>
      <c r="F1085" s="510"/>
      <c r="G1085" s="507"/>
      <c r="H1085" s="511"/>
      <c r="I1085" s="512"/>
      <c r="J1085" s="518"/>
      <c r="K1085" s="510"/>
      <c r="L1085" s="510"/>
      <c r="M1085" s="548"/>
      <c r="N1085" s="514">
        <f>LANÇ_MOV[[#This Row],[VALOR BRUTO]]-LANÇ_MOV[[#This Row],[DESCONTO]]+LANÇ_MOV[[#This Row],[JUROS]]+LANÇ_MOV[[#This Row],[MULTA]]</f>
        <v>0</v>
      </c>
      <c r="O1085" s="546"/>
      <c r="P1085" s="547" t="str">
        <f t="shared" ca="1" si="17"/>
        <v/>
      </c>
      <c r="Q1085" s="528"/>
      <c r="R1085" s="529"/>
      <c r="S1085" s="518"/>
      <c r="T1085" s="518"/>
      <c r="U1085" s="519"/>
      <c r="V1085" s="520" t="str">
        <f>IFERROR(VLOOKUP(LANÇ_MOV[[#This Row],[PLANO DE CONTAS]],Plano_Contas[[PLANO DE CONTAS]:[R / D]],3,0),"")</f>
        <v/>
      </c>
      <c r="W1085" s="521" t="str">
        <f>IF(LANÇ_MOV[[#This Row],[DATA DE PAGAMENTO]]&lt;&gt;"","Pago","Não Pago")</f>
        <v>Não Pago</v>
      </c>
      <c r="X1085" s="522" t="str">
        <f>IFERROR(IF(LANÇ_MOV[[#This Row],[DATA DE PAGAMENTO]]="","",(UPPER(TEXT(LANÇ_MOV[[#This Row],[DATA DE PAGAMENTO]],"mmmm")))),"")</f>
        <v/>
      </c>
      <c r="Y1085" s="523" t="str">
        <f>IFERROR(VLOOKUP(LANÇ_MOV[[#This Row],[PLANO DE CONTAS]],Plano_Contas[[PLANO DE CONTAS]:[NOMES INTERVALOS]],2,0),"")</f>
        <v/>
      </c>
      <c r="Z1085" s="523" t="str">
        <f>IF(LANÇ_MOV[[#This Row],[FORMA DE PAGAMENTO]]="","",VLOOKUP(LANÇ_MOV[[#This Row],[FORMA DE PAGAMENTO]],CAD_Forma_pagto[],2,0))</f>
        <v/>
      </c>
      <c r="AA1085" s="524" t="str">
        <f>IF(LANÇ_MOV[[#This Row],[DATA DE LANÇAMENTO]]="","",TEXT(LANÇ_MOV[[#This Row],[DATA DE LANÇAMENTO]],"AAAA"))</f>
        <v/>
      </c>
      <c r="AB1085" s="524" t="str">
        <f>IF(LANÇ_MOV[[#This Row],[DATA DE LANÇAMENTO]]="","",UPPER(TEXT(LANÇ_MOV[[#This Row],[DATA DE LANÇAMENTO]],"MMMM")))</f>
        <v/>
      </c>
      <c r="AC1085" s="525" t="str">
        <f>IF(LANÇ_MOV[[#This Row],[DATA DE LANÇAMENTO]]="","",PROPER(TEXT(LANÇ_MOV[[#This Row],[DATA DE LANÇAMENTO]],"M")))</f>
        <v/>
      </c>
      <c r="AD1085" s="524" t="str">
        <f>IF(LANÇ_MOV[[#This Row],[DATA DE LANÇAMENTO]]="","",TEXT(LANÇ_MOV[[#This Row],[DATA DE LANÇAMENTO]],"D"))</f>
        <v/>
      </c>
      <c r="AE1085" s="526" t="str">
        <f>IF(LANÇ_MOV[[#This Row],[DATA DE VENCIMENTO]]="","",TEXT(LANÇ_MOV[[#This Row],[DATA DE VENCIMENTO]],"AAAA"))</f>
        <v/>
      </c>
      <c r="AF1085" s="526" t="str">
        <f>IF(LANÇ_MOV[[#This Row],[DATA DE VENCIMENTO]]="","",UPPER(TEXT(LANÇ_MOV[[#This Row],[DATA DE VENCIMENTO]],"MMMM")))</f>
        <v/>
      </c>
      <c r="AG1085" s="526" t="str">
        <f>IF(LANÇ_MOV[[#This Row],[DATA DE VENCIMENTO]]="","",TEXT(LANÇ_MOV[[#This Row],[DATA DE VENCIMENTO]],"M"))</f>
        <v/>
      </c>
      <c r="AH1085" s="526" t="str">
        <f>IF(LANÇ_MOV[[#This Row],[DATA DE VENCIMENTO]]="","",TEXT(LANÇ_MOV[[#This Row],[DATA DE VENCIMENTO]],"D"))</f>
        <v/>
      </c>
      <c r="AI1085" s="526" t="str">
        <f>IF(LANÇ_MOV[[#This Row],[DATA DE PAGAMENTO]]="","",TEXT(LANÇ_MOV[[#This Row],[DATA DE PAGAMENTO]],"AAAA"))</f>
        <v/>
      </c>
      <c r="AJ1085" s="527" t="str">
        <f>IF(LANÇ_MOV[[#This Row],[DATA DE PAGAMENTO]]="","",UPPER(TEXT(LANÇ_MOV[[#This Row],[DATA DE PAGAMENTO]],"MMMM")))</f>
        <v/>
      </c>
      <c r="AK1085" s="527" t="str">
        <f>IF(LANÇ_MOV[[#This Row],[DATA DE PAGAMENTO]]="","",TEXT(LANÇ_MOV[[#This Row],[DATA DE PAGAMENTO]],"M"))</f>
        <v/>
      </c>
      <c r="AL1085" s="526" t="str">
        <f>IF(LANÇ_MOV[[#This Row],[DATA DE PAGAMENTO]]="","",TEXT(LANÇ_MOV[[#This Row],[DATA DE PAGAMENTO]],"D"))</f>
        <v/>
      </c>
    </row>
    <row r="1086" spans="2:38" ht="30.05" customHeight="1" x14ac:dyDescent="0.35">
      <c r="B1086" s="506"/>
      <c r="C1086" s="507"/>
      <c r="D1086" s="508" t="s">
        <v>1854</v>
      </c>
      <c r="E1086" s="509"/>
      <c r="F1086" s="510"/>
      <c r="G1086" s="507"/>
      <c r="H1086" s="511"/>
      <c r="I1086" s="512"/>
      <c r="J1086" s="518"/>
      <c r="K1086" s="510"/>
      <c r="L1086" s="510"/>
      <c r="M1086" s="548"/>
      <c r="N1086" s="514">
        <f>LANÇ_MOV[[#This Row],[VALOR BRUTO]]-LANÇ_MOV[[#This Row],[DESCONTO]]+LANÇ_MOV[[#This Row],[JUROS]]+LANÇ_MOV[[#This Row],[MULTA]]</f>
        <v>0</v>
      </c>
      <c r="O1086" s="546"/>
      <c r="P1086" s="547" t="str">
        <f t="shared" ca="1" si="17"/>
        <v/>
      </c>
      <c r="Q1086" s="528"/>
      <c r="R1086" s="529"/>
      <c r="S1086" s="518"/>
      <c r="T1086" s="518"/>
      <c r="U1086" s="519"/>
      <c r="V1086" s="520" t="str">
        <f>IFERROR(VLOOKUP(LANÇ_MOV[[#This Row],[PLANO DE CONTAS]],Plano_Contas[[PLANO DE CONTAS]:[R / D]],3,0),"")</f>
        <v/>
      </c>
      <c r="W1086" s="521" t="str">
        <f>IF(LANÇ_MOV[[#This Row],[DATA DE PAGAMENTO]]&lt;&gt;"","Pago","Não Pago")</f>
        <v>Não Pago</v>
      </c>
      <c r="X1086" s="522" t="str">
        <f>IFERROR(IF(LANÇ_MOV[[#This Row],[DATA DE PAGAMENTO]]="","",(UPPER(TEXT(LANÇ_MOV[[#This Row],[DATA DE PAGAMENTO]],"mmmm")))),"")</f>
        <v/>
      </c>
      <c r="Y1086" s="523" t="str">
        <f>IFERROR(VLOOKUP(LANÇ_MOV[[#This Row],[PLANO DE CONTAS]],Plano_Contas[[PLANO DE CONTAS]:[NOMES INTERVALOS]],2,0),"")</f>
        <v/>
      </c>
      <c r="Z1086" s="523" t="str">
        <f>IF(LANÇ_MOV[[#This Row],[FORMA DE PAGAMENTO]]="","",VLOOKUP(LANÇ_MOV[[#This Row],[FORMA DE PAGAMENTO]],CAD_Forma_pagto[],2,0))</f>
        <v/>
      </c>
      <c r="AA1086" s="524" t="str">
        <f>IF(LANÇ_MOV[[#This Row],[DATA DE LANÇAMENTO]]="","",TEXT(LANÇ_MOV[[#This Row],[DATA DE LANÇAMENTO]],"AAAA"))</f>
        <v/>
      </c>
      <c r="AB1086" s="524" t="str">
        <f>IF(LANÇ_MOV[[#This Row],[DATA DE LANÇAMENTO]]="","",UPPER(TEXT(LANÇ_MOV[[#This Row],[DATA DE LANÇAMENTO]],"MMMM")))</f>
        <v/>
      </c>
      <c r="AC1086" s="525" t="str">
        <f>IF(LANÇ_MOV[[#This Row],[DATA DE LANÇAMENTO]]="","",PROPER(TEXT(LANÇ_MOV[[#This Row],[DATA DE LANÇAMENTO]],"M")))</f>
        <v/>
      </c>
      <c r="AD1086" s="524" t="str">
        <f>IF(LANÇ_MOV[[#This Row],[DATA DE LANÇAMENTO]]="","",TEXT(LANÇ_MOV[[#This Row],[DATA DE LANÇAMENTO]],"D"))</f>
        <v/>
      </c>
      <c r="AE1086" s="526" t="str">
        <f>IF(LANÇ_MOV[[#This Row],[DATA DE VENCIMENTO]]="","",TEXT(LANÇ_MOV[[#This Row],[DATA DE VENCIMENTO]],"AAAA"))</f>
        <v/>
      </c>
      <c r="AF1086" s="526" t="str">
        <f>IF(LANÇ_MOV[[#This Row],[DATA DE VENCIMENTO]]="","",UPPER(TEXT(LANÇ_MOV[[#This Row],[DATA DE VENCIMENTO]],"MMMM")))</f>
        <v/>
      </c>
      <c r="AG1086" s="526" t="str">
        <f>IF(LANÇ_MOV[[#This Row],[DATA DE VENCIMENTO]]="","",TEXT(LANÇ_MOV[[#This Row],[DATA DE VENCIMENTO]],"M"))</f>
        <v/>
      </c>
      <c r="AH1086" s="526" t="str">
        <f>IF(LANÇ_MOV[[#This Row],[DATA DE VENCIMENTO]]="","",TEXT(LANÇ_MOV[[#This Row],[DATA DE VENCIMENTO]],"D"))</f>
        <v/>
      </c>
      <c r="AI1086" s="526" t="str">
        <f>IF(LANÇ_MOV[[#This Row],[DATA DE PAGAMENTO]]="","",TEXT(LANÇ_MOV[[#This Row],[DATA DE PAGAMENTO]],"AAAA"))</f>
        <v/>
      </c>
      <c r="AJ1086" s="527" t="str">
        <f>IF(LANÇ_MOV[[#This Row],[DATA DE PAGAMENTO]]="","",UPPER(TEXT(LANÇ_MOV[[#This Row],[DATA DE PAGAMENTO]],"MMMM")))</f>
        <v/>
      </c>
      <c r="AK1086" s="527" t="str">
        <f>IF(LANÇ_MOV[[#This Row],[DATA DE PAGAMENTO]]="","",TEXT(LANÇ_MOV[[#This Row],[DATA DE PAGAMENTO]],"M"))</f>
        <v/>
      </c>
      <c r="AL1086" s="526" t="str">
        <f>IF(LANÇ_MOV[[#This Row],[DATA DE PAGAMENTO]]="","",TEXT(LANÇ_MOV[[#This Row],[DATA DE PAGAMENTO]],"D"))</f>
        <v/>
      </c>
    </row>
    <row r="1087" spans="2:38" ht="30.05" customHeight="1" x14ac:dyDescent="0.35">
      <c r="B1087" s="506"/>
      <c r="C1087" s="507"/>
      <c r="D1087" s="508" t="s">
        <v>1854</v>
      </c>
      <c r="E1087" s="509"/>
      <c r="F1087" s="510"/>
      <c r="G1087" s="507"/>
      <c r="H1087" s="511"/>
      <c r="I1087" s="512"/>
      <c r="J1087" s="518"/>
      <c r="K1087" s="510"/>
      <c r="L1087" s="510"/>
      <c r="M1087" s="548"/>
      <c r="N1087" s="514">
        <f>LANÇ_MOV[[#This Row],[VALOR BRUTO]]-LANÇ_MOV[[#This Row],[DESCONTO]]+LANÇ_MOV[[#This Row],[JUROS]]+LANÇ_MOV[[#This Row],[MULTA]]</f>
        <v>0</v>
      </c>
      <c r="O1087" s="546"/>
      <c r="P1087" s="547" t="str">
        <f t="shared" ca="1" si="17"/>
        <v/>
      </c>
      <c r="Q1087" s="528"/>
      <c r="R1087" s="529"/>
      <c r="S1087" s="518"/>
      <c r="T1087" s="518"/>
      <c r="U1087" s="519"/>
      <c r="V1087" s="520" t="str">
        <f>IFERROR(VLOOKUP(LANÇ_MOV[[#This Row],[PLANO DE CONTAS]],Plano_Contas[[PLANO DE CONTAS]:[R / D]],3,0),"")</f>
        <v/>
      </c>
      <c r="W1087" s="521" t="str">
        <f>IF(LANÇ_MOV[[#This Row],[DATA DE PAGAMENTO]]&lt;&gt;"","Pago","Não Pago")</f>
        <v>Não Pago</v>
      </c>
      <c r="X1087" s="522" t="str">
        <f>IFERROR(IF(LANÇ_MOV[[#This Row],[DATA DE PAGAMENTO]]="","",(UPPER(TEXT(LANÇ_MOV[[#This Row],[DATA DE PAGAMENTO]],"mmmm")))),"")</f>
        <v/>
      </c>
      <c r="Y1087" s="523" t="str">
        <f>IFERROR(VLOOKUP(LANÇ_MOV[[#This Row],[PLANO DE CONTAS]],Plano_Contas[[PLANO DE CONTAS]:[NOMES INTERVALOS]],2,0),"")</f>
        <v/>
      </c>
      <c r="Z1087" s="523" t="str">
        <f>IF(LANÇ_MOV[[#This Row],[FORMA DE PAGAMENTO]]="","",VLOOKUP(LANÇ_MOV[[#This Row],[FORMA DE PAGAMENTO]],CAD_Forma_pagto[],2,0))</f>
        <v/>
      </c>
      <c r="AA1087" s="524" t="str">
        <f>IF(LANÇ_MOV[[#This Row],[DATA DE LANÇAMENTO]]="","",TEXT(LANÇ_MOV[[#This Row],[DATA DE LANÇAMENTO]],"AAAA"))</f>
        <v/>
      </c>
      <c r="AB1087" s="524" t="str">
        <f>IF(LANÇ_MOV[[#This Row],[DATA DE LANÇAMENTO]]="","",UPPER(TEXT(LANÇ_MOV[[#This Row],[DATA DE LANÇAMENTO]],"MMMM")))</f>
        <v/>
      </c>
      <c r="AC1087" s="525" t="str">
        <f>IF(LANÇ_MOV[[#This Row],[DATA DE LANÇAMENTO]]="","",PROPER(TEXT(LANÇ_MOV[[#This Row],[DATA DE LANÇAMENTO]],"M")))</f>
        <v/>
      </c>
      <c r="AD1087" s="524" t="str">
        <f>IF(LANÇ_MOV[[#This Row],[DATA DE LANÇAMENTO]]="","",TEXT(LANÇ_MOV[[#This Row],[DATA DE LANÇAMENTO]],"D"))</f>
        <v/>
      </c>
      <c r="AE1087" s="526" t="str">
        <f>IF(LANÇ_MOV[[#This Row],[DATA DE VENCIMENTO]]="","",TEXT(LANÇ_MOV[[#This Row],[DATA DE VENCIMENTO]],"AAAA"))</f>
        <v/>
      </c>
      <c r="AF1087" s="526" t="str">
        <f>IF(LANÇ_MOV[[#This Row],[DATA DE VENCIMENTO]]="","",UPPER(TEXT(LANÇ_MOV[[#This Row],[DATA DE VENCIMENTO]],"MMMM")))</f>
        <v/>
      </c>
      <c r="AG1087" s="526" t="str">
        <f>IF(LANÇ_MOV[[#This Row],[DATA DE VENCIMENTO]]="","",TEXT(LANÇ_MOV[[#This Row],[DATA DE VENCIMENTO]],"M"))</f>
        <v/>
      </c>
      <c r="AH1087" s="526" t="str">
        <f>IF(LANÇ_MOV[[#This Row],[DATA DE VENCIMENTO]]="","",TEXT(LANÇ_MOV[[#This Row],[DATA DE VENCIMENTO]],"D"))</f>
        <v/>
      </c>
      <c r="AI1087" s="526" t="str">
        <f>IF(LANÇ_MOV[[#This Row],[DATA DE PAGAMENTO]]="","",TEXT(LANÇ_MOV[[#This Row],[DATA DE PAGAMENTO]],"AAAA"))</f>
        <v/>
      </c>
      <c r="AJ1087" s="527" t="str">
        <f>IF(LANÇ_MOV[[#This Row],[DATA DE PAGAMENTO]]="","",UPPER(TEXT(LANÇ_MOV[[#This Row],[DATA DE PAGAMENTO]],"MMMM")))</f>
        <v/>
      </c>
      <c r="AK1087" s="527" t="str">
        <f>IF(LANÇ_MOV[[#This Row],[DATA DE PAGAMENTO]]="","",TEXT(LANÇ_MOV[[#This Row],[DATA DE PAGAMENTO]],"M"))</f>
        <v/>
      </c>
      <c r="AL1087" s="526" t="str">
        <f>IF(LANÇ_MOV[[#This Row],[DATA DE PAGAMENTO]]="","",TEXT(LANÇ_MOV[[#This Row],[DATA DE PAGAMENTO]],"D"))</f>
        <v/>
      </c>
    </row>
    <row r="1088" spans="2:38" ht="30.05" customHeight="1" x14ac:dyDescent="0.35">
      <c r="B1088" s="506"/>
      <c r="C1088" s="507"/>
      <c r="D1088" s="508" t="s">
        <v>1854</v>
      </c>
      <c r="E1088" s="509"/>
      <c r="F1088" s="510"/>
      <c r="G1088" s="507"/>
      <c r="H1088" s="511"/>
      <c r="I1088" s="512"/>
      <c r="J1088" s="518"/>
      <c r="K1088" s="510"/>
      <c r="L1088" s="510"/>
      <c r="M1088" s="548"/>
      <c r="N1088" s="514">
        <f>LANÇ_MOV[[#This Row],[VALOR BRUTO]]-LANÇ_MOV[[#This Row],[DESCONTO]]+LANÇ_MOV[[#This Row],[JUROS]]+LANÇ_MOV[[#This Row],[MULTA]]</f>
        <v>0</v>
      </c>
      <c r="O1088" s="546"/>
      <c r="P1088" s="547" t="str">
        <f t="shared" ca="1" si="17"/>
        <v/>
      </c>
      <c r="Q1088" s="528"/>
      <c r="R1088" s="529"/>
      <c r="S1088" s="518"/>
      <c r="T1088" s="518"/>
      <c r="U1088" s="519"/>
      <c r="V1088" s="520" t="str">
        <f>IFERROR(VLOOKUP(LANÇ_MOV[[#This Row],[PLANO DE CONTAS]],Plano_Contas[[PLANO DE CONTAS]:[R / D]],3,0),"")</f>
        <v/>
      </c>
      <c r="W1088" s="521" t="str">
        <f>IF(LANÇ_MOV[[#This Row],[DATA DE PAGAMENTO]]&lt;&gt;"","Pago","Não Pago")</f>
        <v>Não Pago</v>
      </c>
      <c r="X1088" s="522" t="str">
        <f>IFERROR(IF(LANÇ_MOV[[#This Row],[DATA DE PAGAMENTO]]="","",(UPPER(TEXT(LANÇ_MOV[[#This Row],[DATA DE PAGAMENTO]],"mmmm")))),"")</f>
        <v/>
      </c>
      <c r="Y1088" s="523" t="str">
        <f>IFERROR(VLOOKUP(LANÇ_MOV[[#This Row],[PLANO DE CONTAS]],Plano_Contas[[PLANO DE CONTAS]:[NOMES INTERVALOS]],2,0),"")</f>
        <v/>
      </c>
      <c r="Z1088" s="523" t="str">
        <f>IF(LANÇ_MOV[[#This Row],[FORMA DE PAGAMENTO]]="","",VLOOKUP(LANÇ_MOV[[#This Row],[FORMA DE PAGAMENTO]],CAD_Forma_pagto[],2,0))</f>
        <v/>
      </c>
      <c r="AA1088" s="524" t="str">
        <f>IF(LANÇ_MOV[[#This Row],[DATA DE LANÇAMENTO]]="","",TEXT(LANÇ_MOV[[#This Row],[DATA DE LANÇAMENTO]],"AAAA"))</f>
        <v/>
      </c>
      <c r="AB1088" s="524" t="str">
        <f>IF(LANÇ_MOV[[#This Row],[DATA DE LANÇAMENTO]]="","",UPPER(TEXT(LANÇ_MOV[[#This Row],[DATA DE LANÇAMENTO]],"MMMM")))</f>
        <v/>
      </c>
      <c r="AC1088" s="525" t="str">
        <f>IF(LANÇ_MOV[[#This Row],[DATA DE LANÇAMENTO]]="","",PROPER(TEXT(LANÇ_MOV[[#This Row],[DATA DE LANÇAMENTO]],"M")))</f>
        <v/>
      </c>
      <c r="AD1088" s="524" t="str">
        <f>IF(LANÇ_MOV[[#This Row],[DATA DE LANÇAMENTO]]="","",TEXT(LANÇ_MOV[[#This Row],[DATA DE LANÇAMENTO]],"D"))</f>
        <v/>
      </c>
      <c r="AE1088" s="526" t="str">
        <f>IF(LANÇ_MOV[[#This Row],[DATA DE VENCIMENTO]]="","",TEXT(LANÇ_MOV[[#This Row],[DATA DE VENCIMENTO]],"AAAA"))</f>
        <v/>
      </c>
      <c r="AF1088" s="526" t="str">
        <f>IF(LANÇ_MOV[[#This Row],[DATA DE VENCIMENTO]]="","",UPPER(TEXT(LANÇ_MOV[[#This Row],[DATA DE VENCIMENTO]],"MMMM")))</f>
        <v/>
      </c>
      <c r="AG1088" s="526" t="str">
        <f>IF(LANÇ_MOV[[#This Row],[DATA DE VENCIMENTO]]="","",TEXT(LANÇ_MOV[[#This Row],[DATA DE VENCIMENTO]],"M"))</f>
        <v/>
      </c>
      <c r="AH1088" s="526" t="str">
        <f>IF(LANÇ_MOV[[#This Row],[DATA DE VENCIMENTO]]="","",TEXT(LANÇ_MOV[[#This Row],[DATA DE VENCIMENTO]],"D"))</f>
        <v/>
      </c>
      <c r="AI1088" s="526" t="str">
        <f>IF(LANÇ_MOV[[#This Row],[DATA DE PAGAMENTO]]="","",TEXT(LANÇ_MOV[[#This Row],[DATA DE PAGAMENTO]],"AAAA"))</f>
        <v/>
      </c>
      <c r="AJ1088" s="527" t="str">
        <f>IF(LANÇ_MOV[[#This Row],[DATA DE PAGAMENTO]]="","",UPPER(TEXT(LANÇ_MOV[[#This Row],[DATA DE PAGAMENTO]],"MMMM")))</f>
        <v/>
      </c>
      <c r="AK1088" s="527" t="str">
        <f>IF(LANÇ_MOV[[#This Row],[DATA DE PAGAMENTO]]="","",TEXT(LANÇ_MOV[[#This Row],[DATA DE PAGAMENTO]],"M"))</f>
        <v/>
      </c>
      <c r="AL1088" s="526" t="str">
        <f>IF(LANÇ_MOV[[#This Row],[DATA DE PAGAMENTO]]="","",TEXT(LANÇ_MOV[[#This Row],[DATA DE PAGAMENTO]],"D"))</f>
        <v/>
      </c>
    </row>
    <row r="1089" spans="2:38" ht="30.05" customHeight="1" x14ac:dyDescent="0.35">
      <c r="B1089" s="506"/>
      <c r="C1089" s="507"/>
      <c r="D1089" s="508" t="s">
        <v>1854</v>
      </c>
      <c r="E1089" s="509"/>
      <c r="F1089" s="510"/>
      <c r="G1089" s="507"/>
      <c r="H1089" s="511"/>
      <c r="I1089" s="512"/>
      <c r="J1089" s="518"/>
      <c r="K1089" s="510"/>
      <c r="L1089" s="510"/>
      <c r="M1089" s="548"/>
      <c r="N1089" s="514">
        <f>LANÇ_MOV[[#This Row],[VALOR BRUTO]]-LANÇ_MOV[[#This Row],[DESCONTO]]+LANÇ_MOV[[#This Row],[JUROS]]+LANÇ_MOV[[#This Row],[MULTA]]</f>
        <v>0</v>
      </c>
      <c r="O1089" s="546"/>
      <c r="P1089" s="547" t="str">
        <f t="shared" ca="1" si="17"/>
        <v/>
      </c>
      <c r="Q1089" s="528"/>
      <c r="R1089" s="529"/>
      <c r="S1089" s="518"/>
      <c r="T1089" s="518"/>
      <c r="U1089" s="519"/>
      <c r="V1089" s="520" t="str">
        <f>IFERROR(VLOOKUP(LANÇ_MOV[[#This Row],[PLANO DE CONTAS]],Plano_Contas[[PLANO DE CONTAS]:[R / D]],3,0),"")</f>
        <v/>
      </c>
      <c r="W1089" s="521" t="str">
        <f>IF(LANÇ_MOV[[#This Row],[DATA DE PAGAMENTO]]&lt;&gt;"","Pago","Não Pago")</f>
        <v>Não Pago</v>
      </c>
      <c r="X1089" s="522" t="str">
        <f>IFERROR(IF(LANÇ_MOV[[#This Row],[DATA DE PAGAMENTO]]="","",(UPPER(TEXT(LANÇ_MOV[[#This Row],[DATA DE PAGAMENTO]],"mmmm")))),"")</f>
        <v/>
      </c>
      <c r="Y1089" s="523" t="str">
        <f>IFERROR(VLOOKUP(LANÇ_MOV[[#This Row],[PLANO DE CONTAS]],Plano_Contas[[PLANO DE CONTAS]:[NOMES INTERVALOS]],2,0),"")</f>
        <v/>
      </c>
      <c r="Z1089" s="523" t="str">
        <f>IF(LANÇ_MOV[[#This Row],[FORMA DE PAGAMENTO]]="","",VLOOKUP(LANÇ_MOV[[#This Row],[FORMA DE PAGAMENTO]],CAD_Forma_pagto[],2,0))</f>
        <v/>
      </c>
      <c r="AA1089" s="524" t="str">
        <f>IF(LANÇ_MOV[[#This Row],[DATA DE LANÇAMENTO]]="","",TEXT(LANÇ_MOV[[#This Row],[DATA DE LANÇAMENTO]],"AAAA"))</f>
        <v/>
      </c>
      <c r="AB1089" s="524" t="str">
        <f>IF(LANÇ_MOV[[#This Row],[DATA DE LANÇAMENTO]]="","",UPPER(TEXT(LANÇ_MOV[[#This Row],[DATA DE LANÇAMENTO]],"MMMM")))</f>
        <v/>
      </c>
      <c r="AC1089" s="525" t="str">
        <f>IF(LANÇ_MOV[[#This Row],[DATA DE LANÇAMENTO]]="","",PROPER(TEXT(LANÇ_MOV[[#This Row],[DATA DE LANÇAMENTO]],"M")))</f>
        <v/>
      </c>
      <c r="AD1089" s="524" t="str">
        <f>IF(LANÇ_MOV[[#This Row],[DATA DE LANÇAMENTO]]="","",TEXT(LANÇ_MOV[[#This Row],[DATA DE LANÇAMENTO]],"D"))</f>
        <v/>
      </c>
      <c r="AE1089" s="526" t="str">
        <f>IF(LANÇ_MOV[[#This Row],[DATA DE VENCIMENTO]]="","",TEXT(LANÇ_MOV[[#This Row],[DATA DE VENCIMENTO]],"AAAA"))</f>
        <v/>
      </c>
      <c r="AF1089" s="526" t="str">
        <f>IF(LANÇ_MOV[[#This Row],[DATA DE VENCIMENTO]]="","",UPPER(TEXT(LANÇ_MOV[[#This Row],[DATA DE VENCIMENTO]],"MMMM")))</f>
        <v/>
      </c>
      <c r="AG1089" s="526" t="str">
        <f>IF(LANÇ_MOV[[#This Row],[DATA DE VENCIMENTO]]="","",TEXT(LANÇ_MOV[[#This Row],[DATA DE VENCIMENTO]],"M"))</f>
        <v/>
      </c>
      <c r="AH1089" s="526" t="str">
        <f>IF(LANÇ_MOV[[#This Row],[DATA DE VENCIMENTO]]="","",TEXT(LANÇ_MOV[[#This Row],[DATA DE VENCIMENTO]],"D"))</f>
        <v/>
      </c>
      <c r="AI1089" s="526" t="str">
        <f>IF(LANÇ_MOV[[#This Row],[DATA DE PAGAMENTO]]="","",TEXT(LANÇ_MOV[[#This Row],[DATA DE PAGAMENTO]],"AAAA"))</f>
        <v/>
      </c>
      <c r="AJ1089" s="527" t="str">
        <f>IF(LANÇ_MOV[[#This Row],[DATA DE PAGAMENTO]]="","",UPPER(TEXT(LANÇ_MOV[[#This Row],[DATA DE PAGAMENTO]],"MMMM")))</f>
        <v/>
      </c>
      <c r="AK1089" s="527" t="str">
        <f>IF(LANÇ_MOV[[#This Row],[DATA DE PAGAMENTO]]="","",TEXT(LANÇ_MOV[[#This Row],[DATA DE PAGAMENTO]],"M"))</f>
        <v/>
      </c>
      <c r="AL1089" s="526" t="str">
        <f>IF(LANÇ_MOV[[#This Row],[DATA DE PAGAMENTO]]="","",TEXT(LANÇ_MOV[[#This Row],[DATA DE PAGAMENTO]],"D"))</f>
        <v/>
      </c>
    </row>
    <row r="1090" spans="2:38" ht="30.05" customHeight="1" x14ac:dyDescent="0.35">
      <c r="B1090" s="506"/>
      <c r="C1090" s="507"/>
      <c r="D1090" s="508" t="s">
        <v>1854</v>
      </c>
      <c r="E1090" s="509"/>
      <c r="F1090" s="510"/>
      <c r="G1090" s="507"/>
      <c r="H1090" s="511"/>
      <c r="I1090" s="512"/>
      <c r="J1090" s="518"/>
      <c r="K1090" s="510"/>
      <c r="L1090" s="510"/>
      <c r="M1090" s="548"/>
      <c r="N1090" s="514">
        <f>LANÇ_MOV[[#This Row],[VALOR BRUTO]]-LANÇ_MOV[[#This Row],[DESCONTO]]+LANÇ_MOV[[#This Row],[JUROS]]+LANÇ_MOV[[#This Row],[MULTA]]</f>
        <v>0</v>
      </c>
      <c r="O1090" s="546"/>
      <c r="P1090" s="547" t="str">
        <f t="shared" ca="1" si="17"/>
        <v/>
      </c>
      <c r="Q1090" s="528"/>
      <c r="R1090" s="529"/>
      <c r="S1090" s="518"/>
      <c r="T1090" s="518"/>
      <c r="U1090" s="519"/>
      <c r="V1090" s="520" t="str">
        <f>IFERROR(VLOOKUP(LANÇ_MOV[[#This Row],[PLANO DE CONTAS]],Plano_Contas[[PLANO DE CONTAS]:[R / D]],3,0),"")</f>
        <v/>
      </c>
      <c r="W1090" s="521" t="str">
        <f>IF(LANÇ_MOV[[#This Row],[DATA DE PAGAMENTO]]&lt;&gt;"","Pago","Não Pago")</f>
        <v>Não Pago</v>
      </c>
      <c r="X1090" s="522" t="str">
        <f>IFERROR(IF(LANÇ_MOV[[#This Row],[DATA DE PAGAMENTO]]="","",(UPPER(TEXT(LANÇ_MOV[[#This Row],[DATA DE PAGAMENTO]],"mmmm")))),"")</f>
        <v/>
      </c>
      <c r="Y1090" s="523" t="str">
        <f>IFERROR(VLOOKUP(LANÇ_MOV[[#This Row],[PLANO DE CONTAS]],Plano_Contas[[PLANO DE CONTAS]:[NOMES INTERVALOS]],2,0),"")</f>
        <v/>
      </c>
      <c r="Z1090" s="523" t="str">
        <f>IF(LANÇ_MOV[[#This Row],[FORMA DE PAGAMENTO]]="","",VLOOKUP(LANÇ_MOV[[#This Row],[FORMA DE PAGAMENTO]],CAD_Forma_pagto[],2,0))</f>
        <v/>
      </c>
      <c r="AA1090" s="524" t="str">
        <f>IF(LANÇ_MOV[[#This Row],[DATA DE LANÇAMENTO]]="","",TEXT(LANÇ_MOV[[#This Row],[DATA DE LANÇAMENTO]],"AAAA"))</f>
        <v/>
      </c>
      <c r="AB1090" s="524" t="str">
        <f>IF(LANÇ_MOV[[#This Row],[DATA DE LANÇAMENTO]]="","",UPPER(TEXT(LANÇ_MOV[[#This Row],[DATA DE LANÇAMENTO]],"MMMM")))</f>
        <v/>
      </c>
      <c r="AC1090" s="525" t="str">
        <f>IF(LANÇ_MOV[[#This Row],[DATA DE LANÇAMENTO]]="","",PROPER(TEXT(LANÇ_MOV[[#This Row],[DATA DE LANÇAMENTO]],"M")))</f>
        <v/>
      </c>
      <c r="AD1090" s="524" t="str">
        <f>IF(LANÇ_MOV[[#This Row],[DATA DE LANÇAMENTO]]="","",TEXT(LANÇ_MOV[[#This Row],[DATA DE LANÇAMENTO]],"D"))</f>
        <v/>
      </c>
      <c r="AE1090" s="526" t="str">
        <f>IF(LANÇ_MOV[[#This Row],[DATA DE VENCIMENTO]]="","",TEXT(LANÇ_MOV[[#This Row],[DATA DE VENCIMENTO]],"AAAA"))</f>
        <v/>
      </c>
      <c r="AF1090" s="526" t="str">
        <f>IF(LANÇ_MOV[[#This Row],[DATA DE VENCIMENTO]]="","",UPPER(TEXT(LANÇ_MOV[[#This Row],[DATA DE VENCIMENTO]],"MMMM")))</f>
        <v/>
      </c>
      <c r="AG1090" s="526" t="str">
        <f>IF(LANÇ_MOV[[#This Row],[DATA DE VENCIMENTO]]="","",TEXT(LANÇ_MOV[[#This Row],[DATA DE VENCIMENTO]],"M"))</f>
        <v/>
      </c>
      <c r="AH1090" s="526" t="str">
        <f>IF(LANÇ_MOV[[#This Row],[DATA DE VENCIMENTO]]="","",TEXT(LANÇ_MOV[[#This Row],[DATA DE VENCIMENTO]],"D"))</f>
        <v/>
      </c>
      <c r="AI1090" s="526" t="str">
        <f>IF(LANÇ_MOV[[#This Row],[DATA DE PAGAMENTO]]="","",TEXT(LANÇ_MOV[[#This Row],[DATA DE PAGAMENTO]],"AAAA"))</f>
        <v/>
      </c>
      <c r="AJ1090" s="527" t="str">
        <f>IF(LANÇ_MOV[[#This Row],[DATA DE PAGAMENTO]]="","",UPPER(TEXT(LANÇ_MOV[[#This Row],[DATA DE PAGAMENTO]],"MMMM")))</f>
        <v/>
      </c>
      <c r="AK1090" s="527" t="str">
        <f>IF(LANÇ_MOV[[#This Row],[DATA DE PAGAMENTO]]="","",TEXT(LANÇ_MOV[[#This Row],[DATA DE PAGAMENTO]],"M"))</f>
        <v/>
      </c>
      <c r="AL1090" s="526" t="str">
        <f>IF(LANÇ_MOV[[#This Row],[DATA DE PAGAMENTO]]="","",TEXT(LANÇ_MOV[[#This Row],[DATA DE PAGAMENTO]],"D"))</f>
        <v/>
      </c>
    </row>
    <row r="1091" spans="2:38" ht="30.05" customHeight="1" x14ac:dyDescent="0.35">
      <c r="B1091" s="506"/>
      <c r="C1091" s="507"/>
      <c r="D1091" s="508" t="s">
        <v>1854</v>
      </c>
      <c r="E1091" s="509"/>
      <c r="F1091" s="510"/>
      <c r="G1091" s="507"/>
      <c r="H1091" s="511"/>
      <c r="I1091" s="512"/>
      <c r="J1091" s="518"/>
      <c r="K1091" s="510"/>
      <c r="L1091" s="510"/>
      <c r="M1091" s="548"/>
      <c r="N1091" s="514">
        <f>LANÇ_MOV[[#This Row],[VALOR BRUTO]]-LANÇ_MOV[[#This Row],[DESCONTO]]+LANÇ_MOV[[#This Row],[JUROS]]+LANÇ_MOV[[#This Row],[MULTA]]</f>
        <v>0</v>
      </c>
      <c r="O1091" s="546"/>
      <c r="P1091" s="547" t="str">
        <f t="shared" ca="1" si="17"/>
        <v/>
      </c>
      <c r="Q1091" s="528"/>
      <c r="R1091" s="529"/>
      <c r="S1091" s="518"/>
      <c r="T1091" s="518"/>
      <c r="U1091" s="519"/>
      <c r="V1091" s="520" t="str">
        <f>IFERROR(VLOOKUP(LANÇ_MOV[[#This Row],[PLANO DE CONTAS]],Plano_Contas[[PLANO DE CONTAS]:[R / D]],3,0),"")</f>
        <v/>
      </c>
      <c r="W1091" s="521" t="str">
        <f>IF(LANÇ_MOV[[#This Row],[DATA DE PAGAMENTO]]&lt;&gt;"","Pago","Não Pago")</f>
        <v>Não Pago</v>
      </c>
      <c r="X1091" s="522" t="str">
        <f>IFERROR(IF(LANÇ_MOV[[#This Row],[DATA DE PAGAMENTO]]="","",(UPPER(TEXT(LANÇ_MOV[[#This Row],[DATA DE PAGAMENTO]],"mmmm")))),"")</f>
        <v/>
      </c>
      <c r="Y1091" s="523" t="str">
        <f>IFERROR(VLOOKUP(LANÇ_MOV[[#This Row],[PLANO DE CONTAS]],Plano_Contas[[PLANO DE CONTAS]:[NOMES INTERVALOS]],2,0),"")</f>
        <v/>
      </c>
      <c r="Z1091" s="523" t="str">
        <f>IF(LANÇ_MOV[[#This Row],[FORMA DE PAGAMENTO]]="","",VLOOKUP(LANÇ_MOV[[#This Row],[FORMA DE PAGAMENTO]],CAD_Forma_pagto[],2,0))</f>
        <v/>
      </c>
      <c r="AA1091" s="524" t="str">
        <f>IF(LANÇ_MOV[[#This Row],[DATA DE LANÇAMENTO]]="","",TEXT(LANÇ_MOV[[#This Row],[DATA DE LANÇAMENTO]],"AAAA"))</f>
        <v/>
      </c>
      <c r="AB1091" s="524" t="str">
        <f>IF(LANÇ_MOV[[#This Row],[DATA DE LANÇAMENTO]]="","",UPPER(TEXT(LANÇ_MOV[[#This Row],[DATA DE LANÇAMENTO]],"MMMM")))</f>
        <v/>
      </c>
      <c r="AC1091" s="525" t="str">
        <f>IF(LANÇ_MOV[[#This Row],[DATA DE LANÇAMENTO]]="","",PROPER(TEXT(LANÇ_MOV[[#This Row],[DATA DE LANÇAMENTO]],"M")))</f>
        <v/>
      </c>
      <c r="AD1091" s="524" t="str">
        <f>IF(LANÇ_MOV[[#This Row],[DATA DE LANÇAMENTO]]="","",TEXT(LANÇ_MOV[[#This Row],[DATA DE LANÇAMENTO]],"D"))</f>
        <v/>
      </c>
      <c r="AE1091" s="526" t="str">
        <f>IF(LANÇ_MOV[[#This Row],[DATA DE VENCIMENTO]]="","",TEXT(LANÇ_MOV[[#This Row],[DATA DE VENCIMENTO]],"AAAA"))</f>
        <v/>
      </c>
      <c r="AF1091" s="526" t="str">
        <f>IF(LANÇ_MOV[[#This Row],[DATA DE VENCIMENTO]]="","",UPPER(TEXT(LANÇ_MOV[[#This Row],[DATA DE VENCIMENTO]],"MMMM")))</f>
        <v/>
      </c>
      <c r="AG1091" s="526" t="str">
        <f>IF(LANÇ_MOV[[#This Row],[DATA DE VENCIMENTO]]="","",TEXT(LANÇ_MOV[[#This Row],[DATA DE VENCIMENTO]],"M"))</f>
        <v/>
      </c>
      <c r="AH1091" s="526" t="str">
        <f>IF(LANÇ_MOV[[#This Row],[DATA DE VENCIMENTO]]="","",TEXT(LANÇ_MOV[[#This Row],[DATA DE VENCIMENTO]],"D"))</f>
        <v/>
      </c>
      <c r="AI1091" s="526" t="str">
        <f>IF(LANÇ_MOV[[#This Row],[DATA DE PAGAMENTO]]="","",TEXT(LANÇ_MOV[[#This Row],[DATA DE PAGAMENTO]],"AAAA"))</f>
        <v/>
      </c>
      <c r="AJ1091" s="527" t="str">
        <f>IF(LANÇ_MOV[[#This Row],[DATA DE PAGAMENTO]]="","",UPPER(TEXT(LANÇ_MOV[[#This Row],[DATA DE PAGAMENTO]],"MMMM")))</f>
        <v/>
      </c>
      <c r="AK1091" s="527" t="str">
        <f>IF(LANÇ_MOV[[#This Row],[DATA DE PAGAMENTO]]="","",TEXT(LANÇ_MOV[[#This Row],[DATA DE PAGAMENTO]],"M"))</f>
        <v/>
      </c>
      <c r="AL1091" s="526" t="str">
        <f>IF(LANÇ_MOV[[#This Row],[DATA DE PAGAMENTO]]="","",TEXT(LANÇ_MOV[[#This Row],[DATA DE PAGAMENTO]],"D"))</f>
        <v/>
      </c>
    </row>
    <row r="1092" spans="2:38" ht="30.05" customHeight="1" x14ac:dyDescent="0.35">
      <c r="B1092" s="506"/>
      <c r="C1092" s="507"/>
      <c r="D1092" s="508" t="s">
        <v>1854</v>
      </c>
      <c r="E1092" s="509"/>
      <c r="F1092" s="510"/>
      <c r="G1092" s="507"/>
      <c r="H1092" s="511"/>
      <c r="I1092" s="512"/>
      <c r="J1092" s="518"/>
      <c r="K1092" s="510"/>
      <c r="L1092" s="510"/>
      <c r="M1092" s="548"/>
      <c r="N1092" s="514">
        <f>LANÇ_MOV[[#This Row],[VALOR BRUTO]]-LANÇ_MOV[[#This Row],[DESCONTO]]+LANÇ_MOV[[#This Row],[JUROS]]+LANÇ_MOV[[#This Row],[MULTA]]</f>
        <v>0</v>
      </c>
      <c r="O1092" s="546"/>
      <c r="P1092" s="547" t="str">
        <f t="shared" ca="1" si="17"/>
        <v/>
      </c>
      <c r="Q1092" s="528"/>
      <c r="R1092" s="529"/>
      <c r="S1092" s="518"/>
      <c r="T1092" s="518"/>
      <c r="U1092" s="519"/>
      <c r="V1092" s="520" t="str">
        <f>IFERROR(VLOOKUP(LANÇ_MOV[[#This Row],[PLANO DE CONTAS]],Plano_Contas[[PLANO DE CONTAS]:[R / D]],3,0),"")</f>
        <v/>
      </c>
      <c r="W1092" s="521" t="str">
        <f>IF(LANÇ_MOV[[#This Row],[DATA DE PAGAMENTO]]&lt;&gt;"","Pago","Não Pago")</f>
        <v>Não Pago</v>
      </c>
      <c r="X1092" s="522" t="str">
        <f>IFERROR(IF(LANÇ_MOV[[#This Row],[DATA DE PAGAMENTO]]="","",(UPPER(TEXT(LANÇ_MOV[[#This Row],[DATA DE PAGAMENTO]],"mmmm")))),"")</f>
        <v/>
      </c>
      <c r="Y1092" s="523" t="str">
        <f>IFERROR(VLOOKUP(LANÇ_MOV[[#This Row],[PLANO DE CONTAS]],Plano_Contas[[PLANO DE CONTAS]:[NOMES INTERVALOS]],2,0),"")</f>
        <v/>
      </c>
      <c r="Z1092" s="523" t="str">
        <f>IF(LANÇ_MOV[[#This Row],[FORMA DE PAGAMENTO]]="","",VLOOKUP(LANÇ_MOV[[#This Row],[FORMA DE PAGAMENTO]],CAD_Forma_pagto[],2,0))</f>
        <v/>
      </c>
      <c r="AA1092" s="524" t="str">
        <f>IF(LANÇ_MOV[[#This Row],[DATA DE LANÇAMENTO]]="","",TEXT(LANÇ_MOV[[#This Row],[DATA DE LANÇAMENTO]],"AAAA"))</f>
        <v/>
      </c>
      <c r="AB1092" s="524" t="str">
        <f>IF(LANÇ_MOV[[#This Row],[DATA DE LANÇAMENTO]]="","",UPPER(TEXT(LANÇ_MOV[[#This Row],[DATA DE LANÇAMENTO]],"MMMM")))</f>
        <v/>
      </c>
      <c r="AC1092" s="525" t="str">
        <f>IF(LANÇ_MOV[[#This Row],[DATA DE LANÇAMENTO]]="","",PROPER(TEXT(LANÇ_MOV[[#This Row],[DATA DE LANÇAMENTO]],"M")))</f>
        <v/>
      </c>
      <c r="AD1092" s="524" t="str">
        <f>IF(LANÇ_MOV[[#This Row],[DATA DE LANÇAMENTO]]="","",TEXT(LANÇ_MOV[[#This Row],[DATA DE LANÇAMENTO]],"D"))</f>
        <v/>
      </c>
      <c r="AE1092" s="526" t="str">
        <f>IF(LANÇ_MOV[[#This Row],[DATA DE VENCIMENTO]]="","",TEXT(LANÇ_MOV[[#This Row],[DATA DE VENCIMENTO]],"AAAA"))</f>
        <v/>
      </c>
      <c r="AF1092" s="526" t="str">
        <f>IF(LANÇ_MOV[[#This Row],[DATA DE VENCIMENTO]]="","",UPPER(TEXT(LANÇ_MOV[[#This Row],[DATA DE VENCIMENTO]],"MMMM")))</f>
        <v/>
      </c>
      <c r="AG1092" s="526" t="str">
        <f>IF(LANÇ_MOV[[#This Row],[DATA DE VENCIMENTO]]="","",TEXT(LANÇ_MOV[[#This Row],[DATA DE VENCIMENTO]],"M"))</f>
        <v/>
      </c>
      <c r="AH1092" s="526" t="str">
        <f>IF(LANÇ_MOV[[#This Row],[DATA DE VENCIMENTO]]="","",TEXT(LANÇ_MOV[[#This Row],[DATA DE VENCIMENTO]],"D"))</f>
        <v/>
      </c>
      <c r="AI1092" s="526" t="str">
        <f>IF(LANÇ_MOV[[#This Row],[DATA DE PAGAMENTO]]="","",TEXT(LANÇ_MOV[[#This Row],[DATA DE PAGAMENTO]],"AAAA"))</f>
        <v/>
      </c>
      <c r="AJ1092" s="527" t="str">
        <f>IF(LANÇ_MOV[[#This Row],[DATA DE PAGAMENTO]]="","",UPPER(TEXT(LANÇ_MOV[[#This Row],[DATA DE PAGAMENTO]],"MMMM")))</f>
        <v/>
      </c>
      <c r="AK1092" s="527" t="str">
        <f>IF(LANÇ_MOV[[#This Row],[DATA DE PAGAMENTO]]="","",TEXT(LANÇ_MOV[[#This Row],[DATA DE PAGAMENTO]],"M"))</f>
        <v/>
      </c>
      <c r="AL1092" s="526" t="str">
        <f>IF(LANÇ_MOV[[#This Row],[DATA DE PAGAMENTO]]="","",TEXT(LANÇ_MOV[[#This Row],[DATA DE PAGAMENTO]],"D"))</f>
        <v/>
      </c>
    </row>
    <row r="1093" spans="2:38" ht="30.05" customHeight="1" x14ac:dyDescent="0.35">
      <c r="B1093" s="506"/>
      <c r="C1093" s="507"/>
      <c r="D1093" s="508" t="s">
        <v>1854</v>
      </c>
      <c r="E1093" s="509"/>
      <c r="F1093" s="510"/>
      <c r="G1093" s="507"/>
      <c r="H1093" s="511"/>
      <c r="I1093" s="512"/>
      <c r="J1093" s="518"/>
      <c r="K1093" s="510"/>
      <c r="L1093" s="510"/>
      <c r="M1093" s="548"/>
      <c r="N1093" s="514">
        <f>LANÇ_MOV[[#This Row],[VALOR BRUTO]]-LANÇ_MOV[[#This Row],[DESCONTO]]+LANÇ_MOV[[#This Row],[JUROS]]+LANÇ_MOV[[#This Row],[MULTA]]</f>
        <v>0</v>
      </c>
      <c r="O1093" s="546"/>
      <c r="P1093" s="547" t="str">
        <f t="shared" ca="1" si="17"/>
        <v/>
      </c>
      <c r="Q1093" s="528"/>
      <c r="R1093" s="529"/>
      <c r="S1093" s="518"/>
      <c r="T1093" s="518"/>
      <c r="U1093" s="519"/>
      <c r="V1093" s="520" t="str">
        <f>IFERROR(VLOOKUP(LANÇ_MOV[[#This Row],[PLANO DE CONTAS]],Plano_Contas[[PLANO DE CONTAS]:[R / D]],3,0),"")</f>
        <v/>
      </c>
      <c r="W1093" s="521" t="str">
        <f>IF(LANÇ_MOV[[#This Row],[DATA DE PAGAMENTO]]&lt;&gt;"","Pago","Não Pago")</f>
        <v>Não Pago</v>
      </c>
      <c r="X1093" s="522" t="str">
        <f>IFERROR(IF(LANÇ_MOV[[#This Row],[DATA DE PAGAMENTO]]="","",(UPPER(TEXT(LANÇ_MOV[[#This Row],[DATA DE PAGAMENTO]],"mmmm")))),"")</f>
        <v/>
      </c>
      <c r="Y1093" s="523" t="str">
        <f>IFERROR(VLOOKUP(LANÇ_MOV[[#This Row],[PLANO DE CONTAS]],Plano_Contas[[PLANO DE CONTAS]:[NOMES INTERVALOS]],2,0),"")</f>
        <v/>
      </c>
      <c r="Z1093" s="523" t="str">
        <f>IF(LANÇ_MOV[[#This Row],[FORMA DE PAGAMENTO]]="","",VLOOKUP(LANÇ_MOV[[#This Row],[FORMA DE PAGAMENTO]],CAD_Forma_pagto[],2,0))</f>
        <v/>
      </c>
      <c r="AA1093" s="524" t="str">
        <f>IF(LANÇ_MOV[[#This Row],[DATA DE LANÇAMENTO]]="","",TEXT(LANÇ_MOV[[#This Row],[DATA DE LANÇAMENTO]],"AAAA"))</f>
        <v/>
      </c>
      <c r="AB1093" s="524" t="str">
        <f>IF(LANÇ_MOV[[#This Row],[DATA DE LANÇAMENTO]]="","",UPPER(TEXT(LANÇ_MOV[[#This Row],[DATA DE LANÇAMENTO]],"MMMM")))</f>
        <v/>
      </c>
      <c r="AC1093" s="525" t="str">
        <f>IF(LANÇ_MOV[[#This Row],[DATA DE LANÇAMENTO]]="","",PROPER(TEXT(LANÇ_MOV[[#This Row],[DATA DE LANÇAMENTO]],"M")))</f>
        <v/>
      </c>
      <c r="AD1093" s="524" t="str">
        <f>IF(LANÇ_MOV[[#This Row],[DATA DE LANÇAMENTO]]="","",TEXT(LANÇ_MOV[[#This Row],[DATA DE LANÇAMENTO]],"D"))</f>
        <v/>
      </c>
      <c r="AE1093" s="526" t="str">
        <f>IF(LANÇ_MOV[[#This Row],[DATA DE VENCIMENTO]]="","",TEXT(LANÇ_MOV[[#This Row],[DATA DE VENCIMENTO]],"AAAA"))</f>
        <v/>
      </c>
      <c r="AF1093" s="526" t="str">
        <f>IF(LANÇ_MOV[[#This Row],[DATA DE VENCIMENTO]]="","",UPPER(TEXT(LANÇ_MOV[[#This Row],[DATA DE VENCIMENTO]],"MMMM")))</f>
        <v/>
      </c>
      <c r="AG1093" s="526" t="str">
        <f>IF(LANÇ_MOV[[#This Row],[DATA DE VENCIMENTO]]="","",TEXT(LANÇ_MOV[[#This Row],[DATA DE VENCIMENTO]],"M"))</f>
        <v/>
      </c>
      <c r="AH1093" s="526" t="str">
        <f>IF(LANÇ_MOV[[#This Row],[DATA DE VENCIMENTO]]="","",TEXT(LANÇ_MOV[[#This Row],[DATA DE VENCIMENTO]],"D"))</f>
        <v/>
      </c>
      <c r="AI1093" s="526" t="str">
        <f>IF(LANÇ_MOV[[#This Row],[DATA DE PAGAMENTO]]="","",TEXT(LANÇ_MOV[[#This Row],[DATA DE PAGAMENTO]],"AAAA"))</f>
        <v/>
      </c>
      <c r="AJ1093" s="527" t="str">
        <f>IF(LANÇ_MOV[[#This Row],[DATA DE PAGAMENTO]]="","",UPPER(TEXT(LANÇ_MOV[[#This Row],[DATA DE PAGAMENTO]],"MMMM")))</f>
        <v/>
      </c>
      <c r="AK1093" s="527" t="str">
        <f>IF(LANÇ_MOV[[#This Row],[DATA DE PAGAMENTO]]="","",TEXT(LANÇ_MOV[[#This Row],[DATA DE PAGAMENTO]],"M"))</f>
        <v/>
      </c>
      <c r="AL1093" s="526" t="str">
        <f>IF(LANÇ_MOV[[#This Row],[DATA DE PAGAMENTO]]="","",TEXT(LANÇ_MOV[[#This Row],[DATA DE PAGAMENTO]],"D"))</f>
        <v/>
      </c>
    </row>
    <row r="1094" spans="2:38" ht="30.05" customHeight="1" x14ac:dyDescent="0.35">
      <c r="B1094" s="506"/>
      <c r="C1094" s="507"/>
      <c r="D1094" s="508" t="s">
        <v>1854</v>
      </c>
      <c r="E1094" s="509"/>
      <c r="F1094" s="510"/>
      <c r="G1094" s="507"/>
      <c r="H1094" s="511"/>
      <c r="I1094" s="512"/>
      <c r="J1094" s="518"/>
      <c r="K1094" s="510"/>
      <c r="L1094" s="510"/>
      <c r="M1094" s="548"/>
      <c r="N1094" s="514">
        <f>LANÇ_MOV[[#This Row],[VALOR BRUTO]]-LANÇ_MOV[[#This Row],[DESCONTO]]+LANÇ_MOV[[#This Row],[JUROS]]+LANÇ_MOV[[#This Row],[MULTA]]</f>
        <v>0</v>
      </c>
      <c r="O1094" s="546"/>
      <c r="P1094" s="547" t="str">
        <f t="shared" ca="1" si="17"/>
        <v/>
      </c>
      <c r="Q1094" s="528"/>
      <c r="R1094" s="529"/>
      <c r="S1094" s="518"/>
      <c r="T1094" s="518"/>
      <c r="U1094" s="519"/>
      <c r="V1094" s="520" t="str">
        <f>IFERROR(VLOOKUP(LANÇ_MOV[[#This Row],[PLANO DE CONTAS]],Plano_Contas[[PLANO DE CONTAS]:[R / D]],3,0),"")</f>
        <v/>
      </c>
      <c r="W1094" s="521" t="str">
        <f>IF(LANÇ_MOV[[#This Row],[DATA DE PAGAMENTO]]&lt;&gt;"","Pago","Não Pago")</f>
        <v>Não Pago</v>
      </c>
      <c r="X1094" s="522" t="str">
        <f>IFERROR(IF(LANÇ_MOV[[#This Row],[DATA DE PAGAMENTO]]="","",(UPPER(TEXT(LANÇ_MOV[[#This Row],[DATA DE PAGAMENTO]],"mmmm")))),"")</f>
        <v/>
      </c>
      <c r="Y1094" s="523" t="str">
        <f>IFERROR(VLOOKUP(LANÇ_MOV[[#This Row],[PLANO DE CONTAS]],Plano_Contas[[PLANO DE CONTAS]:[NOMES INTERVALOS]],2,0),"")</f>
        <v/>
      </c>
      <c r="Z1094" s="523" t="str">
        <f>IF(LANÇ_MOV[[#This Row],[FORMA DE PAGAMENTO]]="","",VLOOKUP(LANÇ_MOV[[#This Row],[FORMA DE PAGAMENTO]],CAD_Forma_pagto[],2,0))</f>
        <v/>
      </c>
      <c r="AA1094" s="524" t="str">
        <f>IF(LANÇ_MOV[[#This Row],[DATA DE LANÇAMENTO]]="","",TEXT(LANÇ_MOV[[#This Row],[DATA DE LANÇAMENTO]],"AAAA"))</f>
        <v/>
      </c>
      <c r="AB1094" s="524" t="str">
        <f>IF(LANÇ_MOV[[#This Row],[DATA DE LANÇAMENTO]]="","",UPPER(TEXT(LANÇ_MOV[[#This Row],[DATA DE LANÇAMENTO]],"MMMM")))</f>
        <v/>
      </c>
      <c r="AC1094" s="525" t="str">
        <f>IF(LANÇ_MOV[[#This Row],[DATA DE LANÇAMENTO]]="","",PROPER(TEXT(LANÇ_MOV[[#This Row],[DATA DE LANÇAMENTO]],"M")))</f>
        <v/>
      </c>
      <c r="AD1094" s="524" t="str">
        <f>IF(LANÇ_MOV[[#This Row],[DATA DE LANÇAMENTO]]="","",TEXT(LANÇ_MOV[[#This Row],[DATA DE LANÇAMENTO]],"D"))</f>
        <v/>
      </c>
      <c r="AE1094" s="526" t="str">
        <f>IF(LANÇ_MOV[[#This Row],[DATA DE VENCIMENTO]]="","",TEXT(LANÇ_MOV[[#This Row],[DATA DE VENCIMENTO]],"AAAA"))</f>
        <v/>
      </c>
      <c r="AF1094" s="526" t="str">
        <f>IF(LANÇ_MOV[[#This Row],[DATA DE VENCIMENTO]]="","",UPPER(TEXT(LANÇ_MOV[[#This Row],[DATA DE VENCIMENTO]],"MMMM")))</f>
        <v/>
      </c>
      <c r="AG1094" s="526" t="str">
        <f>IF(LANÇ_MOV[[#This Row],[DATA DE VENCIMENTO]]="","",TEXT(LANÇ_MOV[[#This Row],[DATA DE VENCIMENTO]],"M"))</f>
        <v/>
      </c>
      <c r="AH1094" s="526" t="str">
        <f>IF(LANÇ_MOV[[#This Row],[DATA DE VENCIMENTO]]="","",TEXT(LANÇ_MOV[[#This Row],[DATA DE VENCIMENTO]],"D"))</f>
        <v/>
      </c>
      <c r="AI1094" s="526" t="str">
        <f>IF(LANÇ_MOV[[#This Row],[DATA DE PAGAMENTO]]="","",TEXT(LANÇ_MOV[[#This Row],[DATA DE PAGAMENTO]],"AAAA"))</f>
        <v/>
      </c>
      <c r="AJ1094" s="527" t="str">
        <f>IF(LANÇ_MOV[[#This Row],[DATA DE PAGAMENTO]]="","",UPPER(TEXT(LANÇ_MOV[[#This Row],[DATA DE PAGAMENTO]],"MMMM")))</f>
        <v/>
      </c>
      <c r="AK1094" s="527" t="str">
        <f>IF(LANÇ_MOV[[#This Row],[DATA DE PAGAMENTO]]="","",TEXT(LANÇ_MOV[[#This Row],[DATA DE PAGAMENTO]],"M"))</f>
        <v/>
      </c>
      <c r="AL1094" s="526" t="str">
        <f>IF(LANÇ_MOV[[#This Row],[DATA DE PAGAMENTO]]="","",TEXT(LANÇ_MOV[[#This Row],[DATA DE PAGAMENTO]],"D"))</f>
        <v/>
      </c>
    </row>
    <row r="1095" spans="2:38" ht="30.05" customHeight="1" x14ac:dyDescent="0.35">
      <c r="B1095" s="506"/>
      <c r="C1095" s="507"/>
      <c r="D1095" s="508" t="s">
        <v>1854</v>
      </c>
      <c r="E1095" s="509"/>
      <c r="F1095" s="510"/>
      <c r="G1095" s="507"/>
      <c r="H1095" s="511"/>
      <c r="I1095" s="512"/>
      <c r="J1095" s="518"/>
      <c r="K1095" s="510"/>
      <c r="L1095" s="510"/>
      <c r="M1095" s="548"/>
      <c r="N1095" s="514">
        <f>LANÇ_MOV[[#This Row],[VALOR BRUTO]]-LANÇ_MOV[[#This Row],[DESCONTO]]+LANÇ_MOV[[#This Row],[JUROS]]+LANÇ_MOV[[#This Row],[MULTA]]</f>
        <v>0</v>
      </c>
      <c r="O1095" s="546"/>
      <c r="P1095" s="547" t="str">
        <f t="shared" ca="1" si="17"/>
        <v/>
      </c>
      <c r="Q1095" s="528"/>
      <c r="R1095" s="529"/>
      <c r="S1095" s="518"/>
      <c r="T1095" s="518"/>
      <c r="U1095" s="519"/>
      <c r="V1095" s="520" t="str">
        <f>IFERROR(VLOOKUP(LANÇ_MOV[[#This Row],[PLANO DE CONTAS]],Plano_Contas[[PLANO DE CONTAS]:[R / D]],3,0),"")</f>
        <v/>
      </c>
      <c r="W1095" s="521" t="str">
        <f>IF(LANÇ_MOV[[#This Row],[DATA DE PAGAMENTO]]&lt;&gt;"","Pago","Não Pago")</f>
        <v>Não Pago</v>
      </c>
      <c r="X1095" s="522" t="str">
        <f>IFERROR(IF(LANÇ_MOV[[#This Row],[DATA DE PAGAMENTO]]="","",(UPPER(TEXT(LANÇ_MOV[[#This Row],[DATA DE PAGAMENTO]],"mmmm")))),"")</f>
        <v/>
      </c>
      <c r="Y1095" s="523" t="str">
        <f>IFERROR(VLOOKUP(LANÇ_MOV[[#This Row],[PLANO DE CONTAS]],Plano_Contas[[PLANO DE CONTAS]:[NOMES INTERVALOS]],2,0),"")</f>
        <v/>
      </c>
      <c r="Z1095" s="523" t="str">
        <f>IF(LANÇ_MOV[[#This Row],[FORMA DE PAGAMENTO]]="","",VLOOKUP(LANÇ_MOV[[#This Row],[FORMA DE PAGAMENTO]],CAD_Forma_pagto[],2,0))</f>
        <v/>
      </c>
      <c r="AA1095" s="524" t="str">
        <f>IF(LANÇ_MOV[[#This Row],[DATA DE LANÇAMENTO]]="","",TEXT(LANÇ_MOV[[#This Row],[DATA DE LANÇAMENTO]],"AAAA"))</f>
        <v/>
      </c>
      <c r="AB1095" s="524" t="str">
        <f>IF(LANÇ_MOV[[#This Row],[DATA DE LANÇAMENTO]]="","",UPPER(TEXT(LANÇ_MOV[[#This Row],[DATA DE LANÇAMENTO]],"MMMM")))</f>
        <v/>
      </c>
      <c r="AC1095" s="525" t="str">
        <f>IF(LANÇ_MOV[[#This Row],[DATA DE LANÇAMENTO]]="","",PROPER(TEXT(LANÇ_MOV[[#This Row],[DATA DE LANÇAMENTO]],"M")))</f>
        <v/>
      </c>
      <c r="AD1095" s="524" t="str">
        <f>IF(LANÇ_MOV[[#This Row],[DATA DE LANÇAMENTO]]="","",TEXT(LANÇ_MOV[[#This Row],[DATA DE LANÇAMENTO]],"D"))</f>
        <v/>
      </c>
      <c r="AE1095" s="526" t="str">
        <f>IF(LANÇ_MOV[[#This Row],[DATA DE VENCIMENTO]]="","",TEXT(LANÇ_MOV[[#This Row],[DATA DE VENCIMENTO]],"AAAA"))</f>
        <v/>
      </c>
      <c r="AF1095" s="526" t="str">
        <f>IF(LANÇ_MOV[[#This Row],[DATA DE VENCIMENTO]]="","",UPPER(TEXT(LANÇ_MOV[[#This Row],[DATA DE VENCIMENTO]],"MMMM")))</f>
        <v/>
      </c>
      <c r="AG1095" s="526" t="str">
        <f>IF(LANÇ_MOV[[#This Row],[DATA DE VENCIMENTO]]="","",TEXT(LANÇ_MOV[[#This Row],[DATA DE VENCIMENTO]],"M"))</f>
        <v/>
      </c>
      <c r="AH1095" s="526" t="str">
        <f>IF(LANÇ_MOV[[#This Row],[DATA DE VENCIMENTO]]="","",TEXT(LANÇ_MOV[[#This Row],[DATA DE VENCIMENTO]],"D"))</f>
        <v/>
      </c>
      <c r="AI1095" s="526" t="str">
        <f>IF(LANÇ_MOV[[#This Row],[DATA DE PAGAMENTO]]="","",TEXT(LANÇ_MOV[[#This Row],[DATA DE PAGAMENTO]],"AAAA"))</f>
        <v/>
      </c>
      <c r="AJ1095" s="527" t="str">
        <f>IF(LANÇ_MOV[[#This Row],[DATA DE PAGAMENTO]]="","",UPPER(TEXT(LANÇ_MOV[[#This Row],[DATA DE PAGAMENTO]],"MMMM")))</f>
        <v/>
      </c>
      <c r="AK1095" s="527" t="str">
        <f>IF(LANÇ_MOV[[#This Row],[DATA DE PAGAMENTO]]="","",TEXT(LANÇ_MOV[[#This Row],[DATA DE PAGAMENTO]],"M"))</f>
        <v/>
      </c>
      <c r="AL1095" s="526" t="str">
        <f>IF(LANÇ_MOV[[#This Row],[DATA DE PAGAMENTO]]="","",TEXT(LANÇ_MOV[[#This Row],[DATA DE PAGAMENTO]],"D"))</f>
        <v/>
      </c>
    </row>
    <row r="1096" spans="2:38" ht="30.05" customHeight="1" x14ac:dyDescent="0.35">
      <c r="B1096" s="506"/>
      <c r="C1096" s="507"/>
      <c r="D1096" s="508" t="s">
        <v>1854</v>
      </c>
      <c r="E1096" s="509"/>
      <c r="F1096" s="510"/>
      <c r="G1096" s="507"/>
      <c r="H1096" s="511"/>
      <c r="I1096" s="512"/>
      <c r="J1096" s="518"/>
      <c r="K1096" s="510"/>
      <c r="L1096" s="510"/>
      <c r="M1096" s="548"/>
      <c r="N1096" s="514">
        <f>LANÇ_MOV[[#This Row],[VALOR BRUTO]]-LANÇ_MOV[[#This Row],[DESCONTO]]+LANÇ_MOV[[#This Row],[JUROS]]+LANÇ_MOV[[#This Row],[MULTA]]</f>
        <v>0</v>
      </c>
      <c r="O1096" s="546"/>
      <c r="P1096" s="547" t="str">
        <f t="shared" ca="1" si="17"/>
        <v/>
      </c>
      <c r="Q1096" s="528"/>
      <c r="R1096" s="529"/>
      <c r="S1096" s="518"/>
      <c r="T1096" s="518"/>
      <c r="U1096" s="519"/>
      <c r="V1096" s="520" t="str">
        <f>IFERROR(VLOOKUP(LANÇ_MOV[[#This Row],[PLANO DE CONTAS]],Plano_Contas[[PLANO DE CONTAS]:[R / D]],3,0),"")</f>
        <v/>
      </c>
      <c r="W1096" s="521" t="str">
        <f>IF(LANÇ_MOV[[#This Row],[DATA DE PAGAMENTO]]&lt;&gt;"","Pago","Não Pago")</f>
        <v>Não Pago</v>
      </c>
      <c r="X1096" s="522" t="str">
        <f>IFERROR(IF(LANÇ_MOV[[#This Row],[DATA DE PAGAMENTO]]="","",(UPPER(TEXT(LANÇ_MOV[[#This Row],[DATA DE PAGAMENTO]],"mmmm")))),"")</f>
        <v/>
      </c>
      <c r="Y1096" s="523" t="str">
        <f>IFERROR(VLOOKUP(LANÇ_MOV[[#This Row],[PLANO DE CONTAS]],Plano_Contas[[PLANO DE CONTAS]:[NOMES INTERVALOS]],2,0),"")</f>
        <v/>
      </c>
      <c r="Z1096" s="523" t="str">
        <f>IF(LANÇ_MOV[[#This Row],[FORMA DE PAGAMENTO]]="","",VLOOKUP(LANÇ_MOV[[#This Row],[FORMA DE PAGAMENTO]],CAD_Forma_pagto[],2,0))</f>
        <v/>
      </c>
      <c r="AA1096" s="524" t="str">
        <f>IF(LANÇ_MOV[[#This Row],[DATA DE LANÇAMENTO]]="","",TEXT(LANÇ_MOV[[#This Row],[DATA DE LANÇAMENTO]],"AAAA"))</f>
        <v/>
      </c>
      <c r="AB1096" s="524" t="str">
        <f>IF(LANÇ_MOV[[#This Row],[DATA DE LANÇAMENTO]]="","",UPPER(TEXT(LANÇ_MOV[[#This Row],[DATA DE LANÇAMENTO]],"MMMM")))</f>
        <v/>
      </c>
      <c r="AC1096" s="525" t="str">
        <f>IF(LANÇ_MOV[[#This Row],[DATA DE LANÇAMENTO]]="","",PROPER(TEXT(LANÇ_MOV[[#This Row],[DATA DE LANÇAMENTO]],"M")))</f>
        <v/>
      </c>
      <c r="AD1096" s="524" t="str">
        <f>IF(LANÇ_MOV[[#This Row],[DATA DE LANÇAMENTO]]="","",TEXT(LANÇ_MOV[[#This Row],[DATA DE LANÇAMENTO]],"D"))</f>
        <v/>
      </c>
      <c r="AE1096" s="526" t="str">
        <f>IF(LANÇ_MOV[[#This Row],[DATA DE VENCIMENTO]]="","",TEXT(LANÇ_MOV[[#This Row],[DATA DE VENCIMENTO]],"AAAA"))</f>
        <v/>
      </c>
      <c r="AF1096" s="526" t="str">
        <f>IF(LANÇ_MOV[[#This Row],[DATA DE VENCIMENTO]]="","",UPPER(TEXT(LANÇ_MOV[[#This Row],[DATA DE VENCIMENTO]],"MMMM")))</f>
        <v/>
      </c>
      <c r="AG1096" s="526" t="str">
        <f>IF(LANÇ_MOV[[#This Row],[DATA DE VENCIMENTO]]="","",TEXT(LANÇ_MOV[[#This Row],[DATA DE VENCIMENTO]],"M"))</f>
        <v/>
      </c>
      <c r="AH1096" s="526" t="str">
        <f>IF(LANÇ_MOV[[#This Row],[DATA DE VENCIMENTO]]="","",TEXT(LANÇ_MOV[[#This Row],[DATA DE VENCIMENTO]],"D"))</f>
        <v/>
      </c>
      <c r="AI1096" s="526" t="str">
        <f>IF(LANÇ_MOV[[#This Row],[DATA DE PAGAMENTO]]="","",TEXT(LANÇ_MOV[[#This Row],[DATA DE PAGAMENTO]],"AAAA"))</f>
        <v/>
      </c>
      <c r="AJ1096" s="527" t="str">
        <f>IF(LANÇ_MOV[[#This Row],[DATA DE PAGAMENTO]]="","",UPPER(TEXT(LANÇ_MOV[[#This Row],[DATA DE PAGAMENTO]],"MMMM")))</f>
        <v/>
      </c>
      <c r="AK1096" s="527" t="str">
        <f>IF(LANÇ_MOV[[#This Row],[DATA DE PAGAMENTO]]="","",TEXT(LANÇ_MOV[[#This Row],[DATA DE PAGAMENTO]],"M"))</f>
        <v/>
      </c>
      <c r="AL1096" s="526" t="str">
        <f>IF(LANÇ_MOV[[#This Row],[DATA DE PAGAMENTO]]="","",TEXT(LANÇ_MOV[[#This Row],[DATA DE PAGAMENTO]],"D"))</f>
        <v/>
      </c>
    </row>
    <row r="1097" spans="2:38" ht="30.05" customHeight="1" x14ac:dyDescent="0.35">
      <c r="B1097" s="506"/>
      <c r="C1097" s="507"/>
      <c r="D1097" s="508" t="s">
        <v>1854</v>
      </c>
      <c r="E1097" s="509"/>
      <c r="F1097" s="510"/>
      <c r="G1097" s="507"/>
      <c r="H1097" s="511"/>
      <c r="I1097" s="512"/>
      <c r="J1097" s="518"/>
      <c r="K1097" s="510"/>
      <c r="L1097" s="510"/>
      <c r="M1097" s="548"/>
      <c r="N1097" s="514">
        <f>LANÇ_MOV[[#This Row],[VALOR BRUTO]]-LANÇ_MOV[[#This Row],[DESCONTO]]+LANÇ_MOV[[#This Row],[JUROS]]+LANÇ_MOV[[#This Row],[MULTA]]</f>
        <v>0</v>
      </c>
      <c r="O1097" s="546"/>
      <c r="P1097" s="547" t="str">
        <f t="shared" ca="1" si="17"/>
        <v/>
      </c>
      <c r="Q1097" s="528"/>
      <c r="R1097" s="529"/>
      <c r="S1097" s="518"/>
      <c r="T1097" s="518"/>
      <c r="U1097" s="519"/>
      <c r="V1097" s="520" t="str">
        <f>IFERROR(VLOOKUP(LANÇ_MOV[[#This Row],[PLANO DE CONTAS]],Plano_Contas[[PLANO DE CONTAS]:[R / D]],3,0),"")</f>
        <v/>
      </c>
      <c r="W1097" s="521" t="str">
        <f>IF(LANÇ_MOV[[#This Row],[DATA DE PAGAMENTO]]&lt;&gt;"","Pago","Não Pago")</f>
        <v>Não Pago</v>
      </c>
      <c r="X1097" s="522" t="str">
        <f>IFERROR(IF(LANÇ_MOV[[#This Row],[DATA DE PAGAMENTO]]="","",(UPPER(TEXT(LANÇ_MOV[[#This Row],[DATA DE PAGAMENTO]],"mmmm")))),"")</f>
        <v/>
      </c>
      <c r="Y1097" s="523" t="str">
        <f>IFERROR(VLOOKUP(LANÇ_MOV[[#This Row],[PLANO DE CONTAS]],Plano_Contas[[PLANO DE CONTAS]:[NOMES INTERVALOS]],2,0),"")</f>
        <v/>
      </c>
      <c r="Z1097" s="523" t="str">
        <f>IF(LANÇ_MOV[[#This Row],[FORMA DE PAGAMENTO]]="","",VLOOKUP(LANÇ_MOV[[#This Row],[FORMA DE PAGAMENTO]],CAD_Forma_pagto[],2,0))</f>
        <v/>
      </c>
      <c r="AA1097" s="524" t="str">
        <f>IF(LANÇ_MOV[[#This Row],[DATA DE LANÇAMENTO]]="","",TEXT(LANÇ_MOV[[#This Row],[DATA DE LANÇAMENTO]],"AAAA"))</f>
        <v/>
      </c>
      <c r="AB1097" s="524" t="str">
        <f>IF(LANÇ_MOV[[#This Row],[DATA DE LANÇAMENTO]]="","",UPPER(TEXT(LANÇ_MOV[[#This Row],[DATA DE LANÇAMENTO]],"MMMM")))</f>
        <v/>
      </c>
      <c r="AC1097" s="525" t="str">
        <f>IF(LANÇ_MOV[[#This Row],[DATA DE LANÇAMENTO]]="","",PROPER(TEXT(LANÇ_MOV[[#This Row],[DATA DE LANÇAMENTO]],"M")))</f>
        <v/>
      </c>
      <c r="AD1097" s="524" t="str">
        <f>IF(LANÇ_MOV[[#This Row],[DATA DE LANÇAMENTO]]="","",TEXT(LANÇ_MOV[[#This Row],[DATA DE LANÇAMENTO]],"D"))</f>
        <v/>
      </c>
      <c r="AE1097" s="526" t="str">
        <f>IF(LANÇ_MOV[[#This Row],[DATA DE VENCIMENTO]]="","",TEXT(LANÇ_MOV[[#This Row],[DATA DE VENCIMENTO]],"AAAA"))</f>
        <v/>
      </c>
      <c r="AF1097" s="526" t="str">
        <f>IF(LANÇ_MOV[[#This Row],[DATA DE VENCIMENTO]]="","",UPPER(TEXT(LANÇ_MOV[[#This Row],[DATA DE VENCIMENTO]],"MMMM")))</f>
        <v/>
      </c>
      <c r="AG1097" s="526" t="str">
        <f>IF(LANÇ_MOV[[#This Row],[DATA DE VENCIMENTO]]="","",TEXT(LANÇ_MOV[[#This Row],[DATA DE VENCIMENTO]],"M"))</f>
        <v/>
      </c>
      <c r="AH1097" s="526" t="str">
        <f>IF(LANÇ_MOV[[#This Row],[DATA DE VENCIMENTO]]="","",TEXT(LANÇ_MOV[[#This Row],[DATA DE VENCIMENTO]],"D"))</f>
        <v/>
      </c>
      <c r="AI1097" s="526" t="str">
        <f>IF(LANÇ_MOV[[#This Row],[DATA DE PAGAMENTO]]="","",TEXT(LANÇ_MOV[[#This Row],[DATA DE PAGAMENTO]],"AAAA"))</f>
        <v/>
      </c>
      <c r="AJ1097" s="527" t="str">
        <f>IF(LANÇ_MOV[[#This Row],[DATA DE PAGAMENTO]]="","",UPPER(TEXT(LANÇ_MOV[[#This Row],[DATA DE PAGAMENTO]],"MMMM")))</f>
        <v/>
      </c>
      <c r="AK1097" s="527" t="str">
        <f>IF(LANÇ_MOV[[#This Row],[DATA DE PAGAMENTO]]="","",TEXT(LANÇ_MOV[[#This Row],[DATA DE PAGAMENTO]],"M"))</f>
        <v/>
      </c>
      <c r="AL1097" s="526" t="str">
        <f>IF(LANÇ_MOV[[#This Row],[DATA DE PAGAMENTO]]="","",TEXT(LANÇ_MOV[[#This Row],[DATA DE PAGAMENTO]],"D"))</f>
        <v/>
      </c>
    </row>
    <row r="1098" spans="2:38" ht="30.05" customHeight="1" x14ac:dyDescent="0.35">
      <c r="B1098" s="506"/>
      <c r="C1098" s="507"/>
      <c r="D1098" s="508" t="s">
        <v>1854</v>
      </c>
      <c r="E1098" s="509"/>
      <c r="F1098" s="510"/>
      <c r="G1098" s="507"/>
      <c r="H1098" s="511"/>
      <c r="I1098" s="512"/>
      <c r="J1098" s="518"/>
      <c r="K1098" s="510"/>
      <c r="L1098" s="510"/>
      <c r="M1098" s="548"/>
      <c r="N1098" s="514">
        <f>LANÇ_MOV[[#This Row],[VALOR BRUTO]]-LANÇ_MOV[[#This Row],[DESCONTO]]+LANÇ_MOV[[#This Row],[JUROS]]+LANÇ_MOV[[#This Row],[MULTA]]</f>
        <v>0</v>
      </c>
      <c r="O1098" s="546"/>
      <c r="P1098" s="547" t="str">
        <f t="shared" ca="1" si="17"/>
        <v/>
      </c>
      <c r="Q1098" s="528"/>
      <c r="R1098" s="529"/>
      <c r="S1098" s="518"/>
      <c r="T1098" s="518"/>
      <c r="U1098" s="519"/>
      <c r="V1098" s="520" t="str">
        <f>IFERROR(VLOOKUP(LANÇ_MOV[[#This Row],[PLANO DE CONTAS]],Plano_Contas[[PLANO DE CONTAS]:[R / D]],3,0),"")</f>
        <v/>
      </c>
      <c r="W1098" s="521" t="str">
        <f>IF(LANÇ_MOV[[#This Row],[DATA DE PAGAMENTO]]&lt;&gt;"","Pago","Não Pago")</f>
        <v>Não Pago</v>
      </c>
      <c r="X1098" s="522" t="str">
        <f>IFERROR(IF(LANÇ_MOV[[#This Row],[DATA DE PAGAMENTO]]="","",(UPPER(TEXT(LANÇ_MOV[[#This Row],[DATA DE PAGAMENTO]],"mmmm")))),"")</f>
        <v/>
      </c>
      <c r="Y1098" s="523" t="str">
        <f>IFERROR(VLOOKUP(LANÇ_MOV[[#This Row],[PLANO DE CONTAS]],Plano_Contas[[PLANO DE CONTAS]:[NOMES INTERVALOS]],2,0),"")</f>
        <v/>
      </c>
      <c r="Z1098" s="523" t="str">
        <f>IF(LANÇ_MOV[[#This Row],[FORMA DE PAGAMENTO]]="","",VLOOKUP(LANÇ_MOV[[#This Row],[FORMA DE PAGAMENTO]],CAD_Forma_pagto[],2,0))</f>
        <v/>
      </c>
      <c r="AA1098" s="524" t="str">
        <f>IF(LANÇ_MOV[[#This Row],[DATA DE LANÇAMENTO]]="","",TEXT(LANÇ_MOV[[#This Row],[DATA DE LANÇAMENTO]],"AAAA"))</f>
        <v/>
      </c>
      <c r="AB1098" s="524" t="str">
        <f>IF(LANÇ_MOV[[#This Row],[DATA DE LANÇAMENTO]]="","",UPPER(TEXT(LANÇ_MOV[[#This Row],[DATA DE LANÇAMENTO]],"MMMM")))</f>
        <v/>
      </c>
      <c r="AC1098" s="525" t="str">
        <f>IF(LANÇ_MOV[[#This Row],[DATA DE LANÇAMENTO]]="","",PROPER(TEXT(LANÇ_MOV[[#This Row],[DATA DE LANÇAMENTO]],"M")))</f>
        <v/>
      </c>
      <c r="AD1098" s="524" t="str">
        <f>IF(LANÇ_MOV[[#This Row],[DATA DE LANÇAMENTO]]="","",TEXT(LANÇ_MOV[[#This Row],[DATA DE LANÇAMENTO]],"D"))</f>
        <v/>
      </c>
      <c r="AE1098" s="526" t="str">
        <f>IF(LANÇ_MOV[[#This Row],[DATA DE VENCIMENTO]]="","",TEXT(LANÇ_MOV[[#This Row],[DATA DE VENCIMENTO]],"AAAA"))</f>
        <v/>
      </c>
      <c r="AF1098" s="526" t="str">
        <f>IF(LANÇ_MOV[[#This Row],[DATA DE VENCIMENTO]]="","",UPPER(TEXT(LANÇ_MOV[[#This Row],[DATA DE VENCIMENTO]],"MMMM")))</f>
        <v/>
      </c>
      <c r="AG1098" s="526" t="str">
        <f>IF(LANÇ_MOV[[#This Row],[DATA DE VENCIMENTO]]="","",TEXT(LANÇ_MOV[[#This Row],[DATA DE VENCIMENTO]],"M"))</f>
        <v/>
      </c>
      <c r="AH1098" s="526" t="str">
        <f>IF(LANÇ_MOV[[#This Row],[DATA DE VENCIMENTO]]="","",TEXT(LANÇ_MOV[[#This Row],[DATA DE VENCIMENTO]],"D"))</f>
        <v/>
      </c>
      <c r="AI1098" s="526" t="str">
        <f>IF(LANÇ_MOV[[#This Row],[DATA DE PAGAMENTO]]="","",TEXT(LANÇ_MOV[[#This Row],[DATA DE PAGAMENTO]],"AAAA"))</f>
        <v/>
      </c>
      <c r="AJ1098" s="527" t="str">
        <f>IF(LANÇ_MOV[[#This Row],[DATA DE PAGAMENTO]]="","",UPPER(TEXT(LANÇ_MOV[[#This Row],[DATA DE PAGAMENTO]],"MMMM")))</f>
        <v/>
      </c>
      <c r="AK1098" s="527" t="str">
        <f>IF(LANÇ_MOV[[#This Row],[DATA DE PAGAMENTO]]="","",TEXT(LANÇ_MOV[[#This Row],[DATA DE PAGAMENTO]],"M"))</f>
        <v/>
      </c>
      <c r="AL1098" s="526" t="str">
        <f>IF(LANÇ_MOV[[#This Row],[DATA DE PAGAMENTO]]="","",TEXT(LANÇ_MOV[[#This Row],[DATA DE PAGAMENTO]],"D"))</f>
        <v/>
      </c>
    </row>
    <row r="1099" spans="2:38" ht="30.05" customHeight="1" x14ac:dyDescent="0.35">
      <c r="B1099" s="506"/>
      <c r="C1099" s="507"/>
      <c r="D1099" s="508" t="s">
        <v>1854</v>
      </c>
      <c r="E1099" s="509"/>
      <c r="F1099" s="510"/>
      <c r="G1099" s="507"/>
      <c r="H1099" s="511"/>
      <c r="I1099" s="512"/>
      <c r="J1099" s="518"/>
      <c r="K1099" s="510"/>
      <c r="L1099" s="510"/>
      <c r="M1099" s="548"/>
      <c r="N1099" s="514">
        <f>LANÇ_MOV[[#This Row],[VALOR BRUTO]]-LANÇ_MOV[[#This Row],[DESCONTO]]+LANÇ_MOV[[#This Row],[JUROS]]+LANÇ_MOV[[#This Row],[MULTA]]</f>
        <v>0</v>
      </c>
      <c r="O1099" s="546"/>
      <c r="P1099" s="547" t="str">
        <f t="shared" ca="1" si="17"/>
        <v/>
      </c>
      <c r="Q1099" s="528"/>
      <c r="R1099" s="529"/>
      <c r="S1099" s="518"/>
      <c r="T1099" s="518"/>
      <c r="U1099" s="519"/>
      <c r="V1099" s="520" t="str">
        <f>IFERROR(VLOOKUP(LANÇ_MOV[[#This Row],[PLANO DE CONTAS]],Plano_Contas[[PLANO DE CONTAS]:[R / D]],3,0),"")</f>
        <v/>
      </c>
      <c r="W1099" s="521" t="str">
        <f>IF(LANÇ_MOV[[#This Row],[DATA DE PAGAMENTO]]&lt;&gt;"","Pago","Não Pago")</f>
        <v>Não Pago</v>
      </c>
      <c r="X1099" s="522" t="str">
        <f>IFERROR(IF(LANÇ_MOV[[#This Row],[DATA DE PAGAMENTO]]="","",(UPPER(TEXT(LANÇ_MOV[[#This Row],[DATA DE PAGAMENTO]],"mmmm")))),"")</f>
        <v/>
      </c>
      <c r="Y1099" s="523" t="str">
        <f>IFERROR(VLOOKUP(LANÇ_MOV[[#This Row],[PLANO DE CONTAS]],Plano_Contas[[PLANO DE CONTAS]:[NOMES INTERVALOS]],2,0),"")</f>
        <v/>
      </c>
      <c r="Z1099" s="523" t="str">
        <f>IF(LANÇ_MOV[[#This Row],[FORMA DE PAGAMENTO]]="","",VLOOKUP(LANÇ_MOV[[#This Row],[FORMA DE PAGAMENTO]],CAD_Forma_pagto[],2,0))</f>
        <v/>
      </c>
      <c r="AA1099" s="524" t="str">
        <f>IF(LANÇ_MOV[[#This Row],[DATA DE LANÇAMENTO]]="","",TEXT(LANÇ_MOV[[#This Row],[DATA DE LANÇAMENTO]],"AAAA"))</f>
        <v/>
      </c>
      <c r="AB1099" s="524" t="str">
        <f>IF(LANÇ_MOV[[#This Row],[DATA DE LANÇAMENTO]]="","",UPPER(TEXT(LANÇ_MOV[[#This Row],[DATA DE LANÇAMENTO]],"MMMM")))</f>
        <v/>
      </c>
      <c r="AC1099" s="525" t="str">
        <f>IF(LANÇ_MOV[[#This Row],[DATA DE LANÇAMENTO]]="","",PROPER(TEXT(LANÇ_MOV[[#This Row],[DATA DE LANÇAMENTO]],"M")))</f>
        <v/>
      </c>
      <c r="AD1099" s="524" t="str">
        <f>IF(LANÇ_MOV[[#This Row],[DATA DE LANÇAMENTO]]="","",TEXT(LANÇ_MOV[[#This Row],[DATA DE LANÇAMENTO]],"D"))</f>
        <v/>
      </c>
      <c r="AE1099" s="526" t="str">
        <f>IF(LANÇ_MOV[[#This Row],[DATA DE VENCIMENTO]]="","",TEXT(LANÇ_MOV[[#This Row],[DATA DE VENCIMENTO]],"AAAA"))</f>
        <v/>
      </c>
      <c r="AF1099" s="526" t="str">
        <f>IF(LANÇ_MOV[[#This Row],[DATA DE VENCIMENTO]]="","",UPPER(TEXT(LANÇ_MOV[[#This Row],[DATA DE VENCIMENTO]],"MMMM")))</f>
        <v/>
      </c>
      <c r="AG1099" s="526" t="str">
        <f>IF(LANÇ_MOV[[#This Row],[DATA DE VENCIMENTO]]="","",TEXT(LANÇ_MOV[[#This Row],[DATA DE VENCIMENTO]],"M"))</f>
        <v/>
      </c>
      <c r="AH1099" s="526" t="str">
        <f>IF(LANÇ_MOV[[#This Row],[DATA DE VENCIMENTO]]="","",TEXT(LANÇ_MOV[[#This Row],[DATA DE VENCIMENTO]],"D"))</f>
        <v/>
      </c>
      <c r="AI1099" s="526" t="str">
        <f>IF(LANÇ_MOV[[#This Row],[DATA DE PAGAMENTO]]="","",TEXT(LANÇ_MOV[[#This Row],[DATA DE PAGAMENTO]],"AAAA"))</f>
        <v/>
      </c>
      <c r="AJ1099" s="527" t="str">
        <f>IF(LANÇ_MOV[[#This Row],[DATA DE PAGAMENTO]]="","",UPPER(TEXT(LANÇ_MOV[[#This Row],[DATA DE PAGAMENTO]],"MMMM")))</f>
        <v/>
      </c>
      <c r="AK1099" s="527" t="str">
        <f>IF(LANÇ_MOV[[#This Row],[DATA DE PAGAMENTO]]="","",TEXT(LANÇ_MOV[[#This Row],[DATA DE PAGAMENTO]],"M"))</f>
        <v/>
      </c>
      <c r="AL1099" s="526" t="str">
        <f>IF(LANÇ_MOV[[#This Row],[DATA DE PAGAMENTO]]="","",TEXT(LANÇ_MOV[[#This Row],[DATA DE PAGAMENTO]],"D"))</f>
        <v/>
      </c>
    </row>
    <row r="1100" spans="2:38" ht="30.05" customHeight="1" x14ac:dyDescent="0.35">
      <c r="B1100" s="506"/>
      <c r="C1100" s="507"/>
      <c r="D1100" s="508" t="s">
        <v>1854</v>
      </c>
      <c r="E1100" s="509"/>
      <c r="F1100" s="510"/>
      <c r="G1100" s="507"/>
      <c r="H1100" s="511"/>
      <c r="I1100" s="512"/>
      <c r="J1100" s="518"/>
      <c r="K1100" s="510"/>
      <c r="L1100" s="510"/>
      <c r="M1100" s="548"/>
      <c r="N1100" s="514">
        <f>LANÇ_MOV[[#This Row],[VALOR BRUTO]]-LANÇ_MOV[[#This Row],[DESCONTO]]+LANÇ_MOV[[#This Row],[JUROS]]+LANÇ_MOV[[#This Row],[MULTA]]</f>
        <v>0</v>
      </c>
      <c r="O1100" s="546"/>
      <c r="P1100" s="547" t="str">
        <f t="shared" ca="1" si="17"/>
        <v/>
      </c>
      <c r="Q1100" s="528"/>
      <c r="R1100" s="529"/>
      <c r="S1100" s="518"/>
      <c r="T1100" s="518"/>
      <c r="U1100" s="519"/>
      <c r="V1100" s="520" t="str">
        <f>IFERROR(VLOOKUP(LANÇ_MOV[[#This Row],[PLANO DE CONTAS]],Plano_Contas[[PLANO DE CONTAS]:[R / D]],3,0),"")</f>
        <v/>
      </c>
      <c r="W1100" s="521" t="str">
        <f>IF(LANÇ_MOV[[#This Row],[DATA DE PAGAMENTO]]&lt;&gt;"","Pago","Não Pago")</f>
        <v>Não Pago</v>
      </c>
      <c r="X1100" s="522" t="str">
        <f>IFERROR(IF(LANÇ_MOV[[#This Row],[DATA DE PAGAMENTO]]="","",(UPPER(TEXT(LANÇ_MOV[[#This Row],[DATA DE PAGAMENTO]],"mmmm")))),"")</f>
        <v/>
      </c>
      <c r="Y1100" s="523" t="str">
        <f>IFERROR(VLOOKUP(LANÇ_MOV[[#This Row],[PLANO DE CONTAS]],Plano_Contas[[PLANO DE CONTAS]:[NOMES INTERVALOS]],2,0),"")</f>
        <v/>
      </c>
      <c r="Z1100" s="523" t="str">
        <f>IF(LANÇ_MOV[[#This Row],[FORMA DE PAGAMENTO]]="","",VLOOKUP(LANÇ_MOV[[#This Row],[FORMA DE PAGAMENTO]],CAD_Forma_pagto[],2,0))</f>
        <v/>
      </c>
      <c r="AA1100" s="524" t="str">
        <f>IF(LANÇ_MOV[[#This Row],[DATA DE LANÇAMENTO]]="","",TEXT(LANÇ_MOV[[#This Row],[DATA DE LANÇAMENTO]],"AAAA"))</f>
        <v/>
      </c>
      <c r="AB1100" s="524" t="str">
        <f>IF(LANÇ_MOV[[#This Row],[DATA DE LANÇAMENTO]]="","",UPPER(TEXT(LANÇ_MOV[[#This Row],[DATA DE LANÇAMENTO]],"MMMM")))</f>
        <v/>
      </c>
      <c r="AC1100" s="525" t="str">
        <f>IF(LANÇ_MOV[[#This Row],[DATA DE LANÇAMENTO]]="","",PROPER(TEXT(LANÇ_MOV[[#This Row],[DATA DE LANÇAMENTO]],"M")))</f>
        <v/>
      </c>
      <c r="AD1100" s="524" t="str">
        <f>IF(LANÇ_MOV[[#This Row],[DATA DE LANÇAMENTO]]="","",TEXT(LANÇ_MOV[[#This Row],[DATA DE LANÇAMENTO]],"D"))</f>
        <v/>
      </c>
      <c r="AE1100" s="526" t="str">
        <f>IF(LANÇ_MOV[[#This Row],[DATA DE VENCIMENTO]]="","",TEXT(LANÇ_MOV[[#This Row],[DATA DE VENCIMENTO]],"AAAA"))</f>
        <v/>
      </c>
      <c r="AF1100" s="526" t="str">
        <f>IF(LANÇ_MOV[[#This Row],[DATA DE VENCIMENTO]]="","",UPPER(TEXT(LANÇ_MOV[[#This Row],[DATA DE VENCIMENTO]],"MMMM")))</f>
        <v/>
      </c>
      <c r="AG1100" s="526" t="str">
        <f>IF(LANÇ_MOV[[#This Row],[DATA DE VENCIMENTO]]="","",TEXT(LANÇ_MOV[[#This Row],[DATA DE VENCIMENTO]],"M"))</f>
        <v/>
      </c>
      <c r="AH1100" s="526" t="str">
        <f>IF(LANÇ_MOV[[#This Row],[DATA DE VENCIMENTO]]="","",TEXT(LANÇ_MOV[[#This Row],[DATA DE VENCIMENTO]],"D"))</f>
        <v/>
      </c>
      <c r="AI1100" s="526" t="str">
        <f>IF(LANÇ_MOV[[#This Row],[DATA DE PAGAMENTO]]="","",TEXT(LANÇ_MOV[[#This Row],[DATA DE PAGAMENTO]],"AAAA"))</f>
        <v/>
      </c>
      <c r="AJ1100" s="527" t="str">
        <f>IF(LANÇ_MOV[[#This Row],[DATA DE PAGAMENTO]]="","",UPPER(TEXT(LANÇ_MOV[[#This Row],[DATA DE PAGAMENTO]],"MMMM")))</f>
        <v/>
      </c>
      <c r="AK1100" s="527" t="str">
        <f>IF(LANÇ_MOV[[#This Row],[DATA DE PAGAMENTO]]="","",TEXT(LANÇ_MOV[[#This Row],[DATA DE PAGAMENTO]],"M"))</f>
        <v/>
      </c>
      <c r="AL1100" s="526" t="str">
        <f>IF(LANÇ_MOV[[#This Row],[DATA DE PAGAMENTO]]="","",TEXT(LANÇ_MOV[[#This Row],[DATA DE PAGAMENTO]],"D"))</f>
        <v/>
      </c>
    </row>
    <row r="1101" spans="2:38" ht="30.05" customHeight="1" x14ac:dyDescent="0.35">
      <c r="B1101" s="506"/>
      <c r="C1101" s="507"/>
      <c r="D1101" s="508" t="s">
        <v>1854</v>
      </c>
      <c r="E1101" s="509"/>
      <c r="F1101" s="510"/>
      <c r="G1101" s="507"/>
      <c r="H1101" s="511"/>
      <c r="I1101" s="512"/>
      <c r="J1101" s="518"/>
      <c r="K1101" s="510"/>
      <c r="L1101" s="510"/>
      <c r="M1101" s="548"/>
      <c r="N1101" s="514">
        <f>LANÇ_MOV[[#This Row],[VALOR BRUTO]]-LANÇ_MOV[[#This Row],[DESCONTO]]+LANÇ_MOV[[#This Row],[JUROS]]+LANÇ_MOV[[#This Row],[MULTA]]</f>
        <v>0</v>
      </c>
      <c r="O1101" s="546"/>
      <c r="P1101" s="547" t="str">
        <f t="shared" ca="1" si="17"/>
        <v/>
      </c>
      <c r="Q1101" s="528"/>
      <c r="R1101" s="529"/>
      <c r="S1101" s="518"/>
      <c r="T1101" s="518"/>
      <c r="U1101" s="519"/>
      <c r="V1101" s="520" t="str">
        <f>IFERROR(VLOOKUP(LANÇ_MOV[[#This Row],[PLANO DE CONTAS]],Plano_Contas[[PLANO DE CONTAS]:[R / D]],3,0),"")</f>
        <v/>
      </c>
      <c r="W1101" s="521" t="str">
        <f>IF(LANÇ_MOV[[#This Row],[DATA DE PAGAMENTO]]&lt;&gt;"","Pago","Não Pago")</f>
        <v>Não Pago</v>
      </c>
      <c r="X1101" s="522" t="str">
        <f>IFERROR(IF(LANÇ_MOV[[#This Row],[DATA DE PAGAMENTO]]="","",(UPPER(TEXT(LANÇ_MOV[[#This Row],[DATA DE PAGAMENTO]],"mmmm")))),"")</f>
        <v/>
      </c>
      <c r="Y1101" s="523" t="str">
        <f>IFERROR(VLOOKUP(LANÇ_MOV[[#This Row],[PLANO DE CONTAS]],Plano_Contas[[PLANO DE CONTAS]:[NOMES INTERVALOS]],2,0),"")</f>
        <v/>
      </c>
      <c r="Z1101" s="523" t="str">
        <f>IF(LANÇ_MOV[[#This Row],[FORMA DE PAGAMENTO]]="","",VLOOKUP(LANÇ_MOV[[#This Row],[FORMA DE PAGAMENTO]],CAD_Forma_pagto[],2,0))</f>
        <v/>
      </c>
      <c r="AA1101" s="524" t="str">
        <f>IF(LANÇ_MOV[[#This Row],[DATA DE LANÇAMENTO]]="","",TEXT(LANÇ_MOV[[#This Row],[DATA DE LANÇAMENTO]],"AAAA"))</f>
        <v/>
      </c>
      <c r="AB1101" s="524" t="str">
        <f>IF(LANÇ_MOV[[#This Row],[DATA DE LANÇAMENTO]]="","",UPPER(TEXT(LANÇ_MOV[[#This Row],[DATA DE LANÇAMENTO]],"MMMM")))</f>
        <v/>
      </c>
      <c r="AC1101" s="525" t="str">
        <f>IF(LANÇ_MOV[[#This Row],[DATA DE LANÇAMENTO]]="","",PROPER(TEXT(LANÇ_MOV[[#This Row],[DATA DE LANÇAMENTO]],"M")))</f>
        <v/>
      </c>
      <c r="AD1101" s="524" t="str">
        <f>IF(LANÇ_MOV[[#This Row],[DATA DE LANÇAMENTO]]="","",TEXT(LANÇ_MOV[[#This Row],[DATA DE LANÇAMENTO]],"D"))</f>
        <v/>
      </c>
      <c r="AE1101" s="526" t="str">
        <f>IF(LANÇ_MOV[[#This Row],[DATA DE VENCIMENTO]]="","",TEXT(LANÇ_MOV[[#This Row],[DATA DE VENCIMENTO]],"AAAA"))</f>
        <v/>
      </c>
      <c r="AF1101" s="526" t="str">
        <f>IF(LANÇ_MOV[[#This Row],[DATA DE VENCIMENTO]]="","",UPPER(TEXT(LANÇ_MOV[[#This Row],[DATA DE VENCIMENTO]],"MMMM")))</f>
        <v/>
      </c>
      <c r="AG1101" s="526" t="str">
        <f>IF(LANÇ_MOV[[#This Row],[DATA DE VENCIMENTO]]="","",TEXT(LANÇ_MOV[[#This Row],[DATA DE VENCIMENTO]],"M"))</f>
        <v/>
      </c>
      <c r="AH1101" s="526" t="str">
        <f>IF(LANÇ_MOV[[#This Row],[DATA DE VENCIMENTO]]="","",TEXT(LANÇ_MOV[[#This Row],[DATA DE VENCIMENTO]],"D"))</f>
        <v/>
      </c>
      <c r="AI1101" s="526" t="str">
        <f>IF(LANÇ_MOV[[#This Row],[DATA DE PAGAMENTO]]="","",TEXT(LANÇ_MOV[[#This Row],[DATA DE PAGAMENTO]],"AAAA"))</f>
        <v/>
      </c>
      <c r="AJ1101" s="527" t="str">
        <f>IF(LANÇ_MOV[[#This Row],[DATA DE PAGAMENTO]]="","",UPPER(TEXT(LANÇ_MOV[[#This Row],[DATA DE PAGAMENTO]],"MMMM")))</f>
        <v/>
      </c>
      <c r="AK1101" s="527" t="str">
        <f>IF(LANÇ_MOV[[#This Row],[DATA DE PAGAMENTO]]="","",TEXT(LANÇ_MOV[[#This Row],[DATA DE PAGAMENTO]],"M"))</f>
        <v/>
      </c>
      <c r="AL1101" s="526" t="str">
        <f>IF(LANÇ_MOV[[#This Row],[DATA DE PAGAMENTO]]="","",TEXT(LANÇ_MOV[[#This Row],[DATA DE PAGAMENTO]],"D"))</f>
        <v/>
      </c>
    </row>
    <row r="1102" spans="2:38" ht="30.05" customHeight="1" x14ac:dyDescent="0.35">
      <c r="B1102" s="506"/>
      <c r="C1102" s="507"/>
      <c r="D1102" s="508" t="s">
        <v>1854</v>
      </c>
      <c r="E1102" s="509"/>
      <c r="F1102" s="510"/>
      <c r="G1102" s="507"/>
      <c r="H1102" s="511"/>
      <c r="I1102" s="512"/>
      <c r="J1102" s="518"/>
      <c r="K1102" s="510"/>
      <c r="L1102" s="510"/>
      <c r="M1102" s="548"/>
      <c r="N1102" s="514">
        <f>LANÇ_MOV[[#This Row],[VALOR BRUTO]]-LANÇ_MOV[[#This Row],[DESCONTO]]+LANÇ_MOV[[#This Row],[JUROS]]+LANÇ_MOV[[#This Row],[MULTA]]</f>
        <v>0</v>
      </c>
      <c r="O1102" s="546"/>
      <c r="P1102" s="547" t="str">
        <f t="shared" ca="1" si="17"/>
        <v/>
      </c>
      <c r="Q1102" s="528"/>
      <c r="R1102" s="529"/>
      <c r="S1102" s="518"/>
      <c r="T1102" s="518"/>
      <c r="U1102" s="519"/>
      <c r="V1102" s="520" t="str">
        <f>IFERROR(VLOOKUP(LANÇ_MOV[[#This Row],[PLANO DE CONTAS]],Plano_Contas[[PLANO DE CONTAS]:[R / D]],3,0),"")</f>
        <v/>
      </c>
      <c r="W1102" s="521" t="str">
        <f>IF(LANÇ_MOV[[#This Row],[DATA DE PAGAMENTO]]&lt;&gt;"","Pago","Não Pago")</f>
        <v>Não Pago</v>
      </c>
      <c r="X1102" s="522" t="str">
        <f>IFERROR(IF(LANÇ_MOV[[#This Row],[DATA DE PAGAMENTO]]="","",(UPPER(TEXT(LANÇ_MOV[[#This Row],[DATA DE PAGAMENTO]],"mmmm")))),"")</f>
        <v/>
      </c>
      <c r="Y1102" s="523" t="str">
        <f>IFERROR(VLOOKUP(LANÇ_MOV[[#This Row],[PLANO DE CONTAS]],Plano_Contas[[PLANO DE CONTAS]:[NOMES INTERVALOS]],2,0),"")</f>
        <v/>
      </c>
      <c r="Z1102" s="523" t="str">
        <f>IF(LANÇ_MOV[[#This Row],[FORMA DE PAGAMENTO]]="","",VLOOKUP(LANÇ_MOV[[#This Row],[FORMA DE PAGAMENTO]],CAD_Forma_pagto[],2,0))</f>
        <v/>
      </c>
      <c r="AA1102" s="524" t="str">
        <f>IF(LANÇ_MOV[[#This Row],[DATA DE LANÇAMENTO]]="","",TEXT(LANÇ_MOV[[#This Row],[DATA DE LANÇAMENTO]],"AAAA"))</f>
        <v/>
      </c>
      <c r="AB1102" s="524" t="str">
        <f>IF(LANÇ_MOV[[#This Row],[DATA DE LANÇAMENTO]]="","",UPPER(TEXT(LANÇ_MOV[[#This Row],[DATA DE LANÇAMENTO]],"MMMM")))</f>
        <v/>
      </c>
      <c r="AC1102" s="525" t="str">
        <f>IF(LANÇ_MOV[[#This Row],[DATA DE LANÇAMENTO]]="","",PROPER(TEXT(LANÇ_MOV[[#This Row],[DATA DE LANÇAMENTO]],"M")))</f>
        <v/>
      </c>
      <c r="AD1102" s="524" t="str">
        <f>IF(LANÇ_MOV[[#This Row],[DATA DE LANÇAMENTO]]="","",TEXT(LANÇ_MOV[[#This Row],[DATA DE LANÇAMENTO]],"D"))</f>
        <v/>
      </c>
      <c r="AE1102" s="526" t="str">
        <f>IF(LANÇ_MOV[[#This Row],[DATA DE VENCIMENTO]]="","",TEXT(LANÇ_MOV[[#This Row],[DATA DE VENCIMENTO]],"AAAA"))</f>
        <v/>
      </c>
      <c r="AF1102" s="526" t="str">
        <f>IF(LANÇ_MOV[[#This Row],[DATA DE VENCIMENTO]]="","",UPPER(TEXT(LANÇ_MOV[[#This Row],[DATA DE VENCIMENTO]],"MMMM")))</f>
        <v/>
      </c>
      <c r="AG1102" s="526" t="str">
        <f>IF(LANÇ_MOV[[#This Row],[DATA DE VENCIMENTO]]="","",TEXT(LANÇ_MOV[[#This Row],[DATA DE VENCIMENTO]],"M"))</f>
        <v/>
      </c>
      <c r="AH1102" s="526" t="str">
        <f>IF(LANÇ_MOV[[#This Row],[DATA DE VENCIMENTO]]="","",TEXT(LANÇ_MOV[[#This Row],[DATA DE VENCIMENTO]],"D"))</f>
        <v/>
      </c>
      <c r="AI1102" s="526" t="str">
        <f>IF(LANÇ_MOV[[#This Row],[DATA DE PAGAMENTO]]="","",TEXT(LANÇ_MOV[[#This Row],[DATA DE PAGAMENTO]],"AAAA"))</f>
        <v/>
      </c>
      <c r="AJ1102" s="527" t="str">
        <f>IF(LANÇ_MOV[[#This Row],[DATA DE PAGAMENTO]]="","",UPPER(TEXT(LANÇ_MOV[[#This Row],[DATA DE PAGAMENTO]],"MMMM")))</f>
        <v/>
      </c>
      <c r="AK1102" s="527" t="str">
        <f>IF(LANÇ_MOV[[#This Row],[DATA DE PAGAMENTO]]="","",TEXT(LANÇ_MOV[[#This Row],[DATA DE PAGAMENTO]],"M"))</f>
        <v/>
      </c>
      <c r="AL1102" s="526" t="str">
        <f>IF(LANÇ_MOV[[#This Row],[DATA DE PAGAMENTO]]="","",TEXT(LANÇ_MOV[[#This Row],[DATA DE PAGAMENTO]],"D"))</f>
        <v/>
      </c>
    </row>
    <row r="1103" spans="2:38" ht="30.05" customHeight="1" x14ac:dyDescent="0.35">
      <c r="B1103" s="506"/>
      <c r="C1103" s="507"/>
      <c r="D1103" s="508" t="s">
        <v>1854</v>
      </c>
      <c r="E1103" s="509"/>
      <c r="F1103" s="510"/>
      <c r="G1103" s="507"/>
      <c r="H1103" s="511"/>
      <c r="I1103" s="512"/>
      <c r="J1103" s="518"/>
      <c r="K1103" s="510"/>
      <c r="L1103" s="510"/>
      <c r="M1103" s="548"/>
      <c r="N1103" s="514">
        <f>LANÇ_MOV[[#This Row],[VALOR BRUTO]]-LANÇ_MOV[[#This Row],[DESCONTO]]+LANÇ_MOV[[#This Row],[JUROS]]+LANÇ_MOV[[#This Row],[MULTA]]</f>
        <v>0</v>
      </c>
      <c r="O1103" s="546"/>
      <c r="P1103" s="547" t="str">
        <f t="shared" ca="1" si="17"/>
        <v/>
      </c>
      <c r="Q1103" s="528"/>
      <c r="R1103" s="529"/>
      <c r="S1103" s="518"/>
      <c r="T1103" s="518"/>
      <c r="U1103" s="519"/>
      <c r="V1103" s="520" t="str">
        <f>IFERROR(VLOOKUP(LANÇ_MOV[[#This Row],[PLANO DE CONTAS]],Plano_Contas[[PLANO DE CONTAS]:[R / D]],3,0),"")</f>
        <v/>
      </c>
      <c r="W1103" s="521" t="str">
        <f>IF(LANÇ_MOV[[#This Row],[DATA DE PAGAMENTO]]&lt;&gt;"","Pago","Não Pago")</f>
        <v>Não Pago</v>
      </c>
      <c r="X1103" s="522" t="str">
        <f>IFERROR(IF(LANÇ_MOV[[#This Row],[DATA DE PAGAMENTO]]="","",(UPPER(TEXT(LANÇ_MOV[[#This Row],[DATA DE PAGAMENTO]],"mmmm")))),"")</f>
        <v/>
      </c>
      <c r="Y1103" s="523" t="str">
        <f>IFERROR(VLOOKUP(LANÇ_MOV[[#This Row],[PLANO DE CONTAS]],Plano_Contas[[PLANO DE CONTAS]:[NOMES INTERVALOS]],2,0),"")</f>
        <v/>
      </c>
      <c r="Z1103" s="523" t="str">
        <f>IF(LANÇ_MOV[[#This Row],[FORMA DE PAGAMENTO]]="","",VLOOKUP(LANÇ_MOV[[#This Row],[FORMA DE PAGAMENTO]],CAD_Forma_pagto[],2,0))</f>
        <v/>
      </c>
      <c r="AA1103" s="524" t="str">
        <f>IF(LANÇ_MOV[[#This Row],[DATA DE LANÇAMENTO]]="","",TEXT(LANÇ_MOV[[#This Row],[DATA DE LANÇAMENTO]],"AAAA"))</f>
        <v/>
      </c>
      <c r="AB1103" s="524" t="str">
        <f>IF(LANÇ_MOV[[#This Row],[DATA DE LANÇAMENTO]]="","",UPPER(TEXT(LANÇ_MOV[[#This Row],[DATA DE LANÇAMENTO]],"MMMM")))</f>
        <v/>
      </c>
      <c r="AC1103" s="525" t="str">
        <f>IF(LANÇ_MOV[[#This Row],[DATA DE LANÇAMENTO]]="","",PROPER(TEXT(LANÇ_MOV[[#This Row],[DATA DE LANÇAMENTO]],"M")))</f>
        <v/>
      </c>
      <c r="AD1103" s="524" t="str">
        <f>IF(LANÇ_MOV[[#This Row],[DATA DE LANÇAMENTO]]="","",TEXT(LANÇ_MOV[[#This Row],[DATA DE LANÇAMENTO]],"D"))</f>
        <v/>
      </c>
      <c r="AE1103" s="526" t="str">
        <f>IF(LANÇ_MOV[[#This Row],[DATA DE VENCIMENTO]]="","",TEXT(LANÇ_MOV[[#This Row],[DATA DE VENCIMENTO]],"AAAA"))</f>
        <v/>
      </c>
      <c r="AF1103" s="526" t="str">
        <f>IF(LANÇ_MOV[[#This Row],[DATA DE VENCIMENTO]]="","",UPPER(TEXT(LANÇ_MOV[[#This Row],[DATA DE VENCIMENTO]],"MMMM")))</f>
        <v/>
      </c>
      <c r="AG1103" s="526" t="str">
        <f>IF(LANÇ_MOV[[#This Row],[DATA DE VENCIMENTO]]="","",TEXT(LANÇ_MOV[[#This Row],[DATA DE VENCIMENTO]],"M"))</f>
        <v/>
      </c>
      <c r="AH1103" s="526" t="str">
        <f>IF(LANÇ_MOV[[#This Row],[DATA DE VENCIMENTO]]="","",TEXT(LANÇ_MOV[[#This Row],[DATA DE VENCIMENTO]],"D"))</f>
        <v/>
      </c>
      <c r="AI1103" s="526" t="str">
        <f>IF(LANÇ_MOV[[#This Row],[DATA DE PAGAMENTO]]="","",TEXT(LANÇ_MOV[[#This Row],[DATA DE PAGAMENTO]],"AAAA"))</f>
        <v/>
      </c>
      <c r="AJ1103" s="527" t="str">
        <f>IF(LANÇ_MOV[[#This Row],[DATA DE PAGAMENTO]]="","",UPPER(TEXT(LANÇ_MOV[[#This Row],[DATA DE PAGAMENTO]],"MMMM")))</f>
        <v/>
      </c>
      <c r="AK1103" s="527" t="str">
        <f>IF(LANÇ_MOV[[#This Row],[DATA DE PAGAMENTO]]="","",TEXT(LANÇ_MOV[[#This Row],[DATA DE PAGAMENTO]],"M"))</f>
        <v/>
      </c>
      <c r="AL1103" s="526" t="str">
        <f>IF(LANÇ_MOV[[#This Row],[DATA DE PAGAMENTO]]="","",TEXT(LANÇ_MOV[[#This Row],[DATA DE PAGAMENTO]],"D"))</f>
        <v/>
      </c>
    </row>
    <row r="1104" spans="2:38" ht="30.05" customHeight="1" x14ac:dyDescent="0.35">
      <c r="B1104" s="506"/>
      <c r="C1104" s="507"/>
      <c r="D1104" s="508" t="s">
        <v>1854</v>
      </c>
      <c r="E1104" s="509"/>
      <c r="F1104" s="510"/>
      <c r="G1104" s="507"/>
      <c r="H1104" s="511"/>
      <c r="I1104" s="512"/>
      <c r="J1104" s="518"/>
      <c r="K1104" s="510"/>
      <c r="L1104" s="510"/>
      <c r="M1104" s="548"/>
      <c r="N1104" s="514">
        <f>LANÇ_MOV[[#This Row],[VALOR BRUTO]]-LANÇ_MOV[[#This Row],[DESCONTO]]+LANÇ_MOV[[#This Row],[JUROS]]+LANÇ_MOV[[#This Row],[MULTA]]</f>
        <v>0</v>
      </c>
      <c r="O1104" s="546"/>
      <c r="P1104" s="547" t="str">
        <f t="shared" ca="1" si="17"/>
        <v/>
      </c>
      <c r="Q1104" s="528"/>
      <c r="R1104" s="529"/>
      <c r="S1104" s="518"/>
      <c r="T1104" s="518"/>
      <c r="U1104" s="519"/>
      <c r="V1104" s="520" t="str">
        <f>IFERROR(VLOOKUP(LANÇ_MOV[[#This Row],[PLANO DE CONTAS]],Plano_Contas[[PLANO DE CONTAS]:[R / D]],3,0),"")</f>
        <v/>
      </c>
      <c r="W1104" s="521" t="str">
        <f>IF(LANÇ_MOV[[#This Row],[DATA DE PAGAMENTO]]&lt;&gt;"","Pago","Não Pago")</f>
        <v>Não Pago</v>
      </c>
      <c r="X1104" s="522" t="str">
        <f>IFERROR(IF(LANÇ_MOV[[#This Row],[DATA DE PAGAMENTO]]="","",(UPPER(TEXT(LANÇ_MOV[[#This Row],[DATA DE PAGAMENTO]],"mmmm")))),"")</f>
        <v/>
      </c>
      <c r="Y1104" s="523" t="str">
        <f>IFERROR(VLOOKUP(LANÇ_MOV[[#This Row],[PLANO DE CONTAS]],Plano_Contas[[PLANO DE CONTAS]:[NOMES INTERVALOS]],2,0),"")</f>
        <v/>
      </c>
      <c r="Z1104" s="523" t="str">
        <f>IF(LANÇ_MOV[[#This Row],[FORMA DE PAGAMENTO]]="","",VLOOKUP(LANÇ_MOV[[#This Row],[FORMA DE PAGAMENTO]],CAD_Forma_pagto[],2,0))</f>
        <v/>
      </c>
      <c r="AA1104" s="524" t="str">
        <f>IF(LANÇ_MOV[[#This Row],[DATA DE LANÇAMENTO]]="","",TEXT(LANÇ_MOV[[#This Row],[DATA DE LANÇAMENTO]],"AAAA"))</f>
        <v/>
      </c>
      <c r="AB1104" s="524" t="str">
        <f>IF(LANÇ_MOV[[#This Row],[DATA DE LANÇAMENTO]]="","",UPPER(TEXT(LANÇ_MOV[[#This Row],[DATA DE LANÇAMENTO]],"MMMM")))</f>
        <v/>
      </c>
      <c r="AC1104" s="525" t="str">
        <f>IF(LANÇ_MOV[[#This Row],[DATA DE LANÇAMENTO]]="","",PROPER(TEXT(LANÇ_MOV[[#This Row],[DATA DE LANÇAMENTO]],"M")))</f>
        <v/>
      </c>
      <c r="AD1104" s="524" t="str">
        <f>IF(LANÇ_MOV[[#This Row],[DATA DE LANÇAMENTO]]="","",TEXT(LANÇ_MOV[[#This Row],[DATA DE LANÇAMENTO]],"D"))</f>
        <v/>
      </c>
      <c r="AE1104" s="526" t="str">
        <f>IF(LANÇ_MOV[[#This Row],[DATA DE VENCIMENTO]]="","",TEXT(LANÇ_MOV[[#This Row],[DATA DE VENCIMENTO]],"AAAA"))</f>
        <v/>
      </c>
      <c r="AF1104" s="526" t="str">
        <f>IF(LANÇ_MOV[[#This Row],[DATA DE VENCIMENTO]]="","",UPPER(TEXT(LANÇ_MOV[[#This Row],[DATA DE VENCIMENTO]],"MMMM")))</f>
        <v/>
      </c>
      <c r="AG1104" s="526" t="str">
        <f>IF(LANÇ_MOV[[#This Row],[DATA DE VENCIMENTO]]="","",TEXT(LANÇ_MOV[[#This Row],[DATA DE VENCIMENTO]],"M"))</f>
        <v/>
      </c>
      <c r="AH1104" s="526" t="str">
        <f>IF(LANÇ_MOV[[#This Row],[DATA DE VENCIMENTO]]="","",TEXT(LANÇ_MOV[[#This Row],[DATA DE VENCIMENTO]],"D"))</f>
        <v/>
      </c>
      <c r="AI1104" s="526" t="str">
        <f>IF(LANÇ_MOV[[#This Row],[DATA DE PAGAMENTO]]="","",TEXT(LANÇ_MOV[[#This Row],[DATA DE PAGAMENTO]],"AAAA"))</f>
        <v/>
      </c>
      <c r="AJ1104" s="527" t="str">
        <f>IF(LANÇ_MOV[[#This Row],[DATA DE PAGAMENTO]]="","",UPPER(TEXT(LANÇ_MOV[[#This Row],[DATA DE PAGAMENTO]],"MMMM")))</f>
        <v/>
      </c>
      <c r="AK1104" s="527" t="str">
        <f>IF(LANÇ_MOV[[#This Row],[DATA DE PAGAMENTO]]="","",TEXT(LANÇ_MOV[[#This Row],[DATA DE PAGAMENTO]],"M"))</f>
        <v/>
      </c>
      <c r="AL1104" s="526" t="str">
        <f>IF(LANÇ_MOV[[#This Row],[DATA DE PAGAMENTO]]="","",TEXT(LANÇ_MOV[[#This Row],[DATA DE PAGAMENTO]],"D"))</f>
        <v/>
      </c>
    </row>
    <row r="1105" spans="2:38" ht="30.05" customHeight="1" x14ac:dyDescent="0.35">
      <c r="B1105" s="506"/>
      <c r="C1105" s="507"/>
      <c r="D1105" s="508" t="s">
        <v>1854</v>
      </c>
      <c r="E1105" s="509"/>
      <c r="F1105" s="510"/>
      <c r="G1105" s="507"/>
      <c r="H1105" s="511"/>
      <c r="I1105" s="512"/>
      <c r="J1105" s="518"/>
      <c r="K1105" s="510"/>
      <c r="L1105" s="510"/>
      <c r="M1105" s="548"/>
      <c r="N1105" s="514">
        <f>LANÇ_MOV[[#This Row],[VALOR BRUTO]]-LANÇ_MOV[[#This Row],[DESCONTO]]+LANÇ_MOV[[#This Row],[JUROS]]+LANÇ_MOV[[#This Row],[MULTA]]</f>
        <v>0</v>
      </c>
      <c r="O1105" s="546"/>
      <c r="P1105" s="547" t="str">
        <f t="shared" ca="1" si="17"/>
        <v/>
      </c>
      <c r="Q1105" s="528"/>
      <c r="R1105" s="529"/>
      <c r="S1105" s="518"/>
      <c r="T1105" s="518"/>
      <c r="U1105" s="519"/>
      <c r="V1105" s="520" t="str">
        <f>IFERROR(VLOOKUP(LANÇ_MOV[[#This Row],[PLANO DE CONTAS]],Plano_Contas[[PLANO DE CONTAS]:[R / D]],3,0),"")</f>
        <v/>
      </c>
      <c r="W1105" s="521" t="str">
        <f>IF(LANÇ_MOV[[#This Row],[DATA DE PAGAMENTO]]&lt;&gt;"","Pago","Não Pago")</f>
        <v>Não Pago</v>
      </c>
      <c r="X1105" s="522" t="str">
        <f>IFERROR(IF(LANÇ_MOV[[#This Row],[DATA DE PAGAMENTO]]="","",(UPPER(TEXT(LANÇ_MOV[[#This Row],[DATA DE PAGAMENTO]],"mmmm")))),"")</f>
        <v/>
      </c>
      <c r="Y1105" s="523" t="str">
        <f>IFERROR(VLOOKUP(LANÇ_MOV[[#This Row],[PLANO DE CONTAS]],Plano_Contas[[PLANO DE CONTAS]:[NOMES INTERVALOS]],2,0),"")</f>
        <v/>
      </c>
      <c r="Z1105" s="523" t="str">
        <f>IF(LANÇ_MOV[[#This Row],[FORMA DE PAGAMENTO]]="","",VLOOKUP(LANÇ_MOV[[#This Row],[FORMA DE PAGAMENTO]],CAD_Forma_pagto[],2,0))</f>
        <v/>
      </c>
      <c r="AA1105" s="524" t="str">
        <f>IF(LANÇ_MOV[[#This Row],[DATA DE LANÇAMENTO]]="","",TEXT(LANÇ_MOV[[#This Row],[DATA DE LANÇAMENTO]],"AAAA"))</f>
        <v/>
      </c>
      <c r="AB1105" s="524" t="str">
        <f>IF(LANÇ_MOV[[#This Row],[DATA DE LANÇAMENTO]]="","",UPPER(TEXT(LANÇ_MOV[[#This Row],[DATA DE LANÇAMENTO]],"MMMM")))</f>
        <v/>
      </c>
      <c r="AC1105" s="525" t="str">
        <f>IF(LANÇ_MOV[[#This Row],[DATA DE LANÇAMENTO]]="","",PROPER(TEXT(LANÇ_MOV[[#This Row],[DATA DE LANÇAMENTO]],"M")))</f>
        <v/>
      </c>
      <c r="AD1105" s="524" t="str">
        <f>IF(LANÇ_MOV[[#This Row],[DATA DE LANÇAMENTO]]="","",TEXT(LANÇ_MOV[[#This Row],[DATA DE LANÇAMENTO]],"D"))</f>
        <v/>
      </c>
      <c r="AE1105" s="526" t="str">
        <f>IF(LANÇ_MOV[[#This Row],[DATA DE VENCIMENTO]]="","",TEXT(LANÇ_MOV[[#This Row],[DATA DE VENCIMENTO]],"AAAA"))</f>
        <v/>
      </c>
      <c r="AF1105" s="526" t="str">
        <f>IF(LANÇ_MOV[[#This Row],[DATA DE VENCIMENTO]]="","",UPPER(TEXT(LANÇ_MOV[[#This Row],[DATA DE VENCIMENTO]],"MMMM")))</f>
        <v/>
      </c>
      <c r="AG1105" s="526" t="str">
        <f>IF(LANÇ_MOV[[#This Row],[DATA DE VENCIMENTO]]="","",TEXT(LANÇ_MOV[[#This Row],[DATA DE VENCIMENTO]],"M"))</f>
        <v/>
      </c>
      <c r="AH1105" s="526" t="str">
        <f>IF(LANÇ_MOV[[#This Row],[DATA DE VENCIMENTO]]="","",TEXT(LANÇ_MOV[[#This Row],[DATA DE VENCIMENTO]],"D"))</f>
        <v/>
      </c>
      <c r="AI1105" s="526" t="str">
        <f>IF(LANÇ_MOV[[#This Row],[DATA DE PAGAMENTO]]="","",TEXT(LANÇ_MOV[[#This Row],[DATA DE PAGAMENTO]],"AAAA"))</f>
        <v/>
      </c>
      <c r="AJ1105" s="527" t="str">
        <f>IF(LANÇ_MOV[[#This Row],[DATA DE PAGAMENTO]]="","",UPPER(TEXT(LANÇ_MOV[[#This Row],[DATA DE PAGAMENTO]],"MMMM")))</f>
        <v/>
      </c>
      <c r="AK1105" s="527" t="str">
        <f>IF(LANÇ_MOV[[#This Row],[DATA DE PAGAMENTO]]="","",TEXT(LANÇ_MOV[[#This Row],[DATA DE PAGAMENTO]],"M"))</f>
        <v/>
      </c>
      <c r="AL1105" s="526" t="str">
        <f>IF(LANÇ_MOV[[#This Row],[DATA DE PAGAMENTO]]="","",TEXT(LANÇ_MOV[[#This Row],[DATA DE PAGAMENTO]],"D"))</f>
        <v/>
      </c>
    </row>
    <row r="1106" spans="2:38" ht="30.05" customHeight="1" x14ac:dyDescent="0.35">
      <c r="B1106" s="506"/>
      <c r="C1106" s="507"/>
      <c r="D1106" s="508" t="s">
        <v>1854</v>
      </c>
      <c r="E1106" s="509"/>
      <c r="F1106" s="510"/>
      <c r="G1106" s="507"/>
      <c r="H1106" s="511"/>
      <c r="I1106" s="512"/>
      <c r="J1106" s="518"/>
      <c r="K1106" s="510"/>
      <c r="L1106" s="510"/>
      <c r="M1106" s="548"/>
      <c r="N1106" s="514">
        <f>LANÇ_MOV[[#This Row],[VALOR BRUTO]]-LANÇ_MOV[[#This Row],[DESCONTO]]+LANÇ_MOV[[#This Row],[JUROS]]+LANÇ_MOV[[#This Row],[MULTA]]</f>
        <v>0</v>
      </c>
      <c r="O1106" s="546"/>
      <c r="P1106" s="547" t="str">
        <f t="shared" ca="1" si="17"/>
        <v/>
      </c>
      <c r="Q1106" s="528"/>
      <c r="R1106" s="529"/>
      <c r="S1106" s="518"/>
      <c r="T1106" s="518"/>
      <c r="U1106" s="519"/>
      <c r="V1106" s="520" t="str">
        <f>IFERROR(VLOOKUP(LANÇ_MOV[[#This Row],[PLANO DE CONTAS]],Plano_Contas[[PLANO DE CONTAS]:[R / D]],3,0),"")</f>
        <v/>
      </c>
      <c r="W1106" s="521" t="str">
        <f>IF(LANÇ_MOV[[#This Row],[DATA DE PAGAMENTO]]&lt;&gt;"","Pago","Não Pago")</f>
        <v>Não Pago</v>
      </c>
      <c r="X1106" s="522" t="str">
        <f>IFERROR(IF(LANÇ_MOV[[#This Row],[DATA DE PAGAMENTO]]="","",(UPPER(TEXT(LANÇ_MOV[[#This Row],[DATA DE PAGAMENTO]],"mmmm")))),"")</f>
        <v/>
      </c>
      <c r="Y1106" s="523" t="str">
        <f>IFERROR(VLOOKUP(LANÇ_MOV[[#This Row],[PLANO DE CONTAS]],Plano_Contas[[PLANO DE CONTAS]:[NOMES INTERVALOS]],2,0),"")</f>
        <v/>
      </c>
      <c r="Z1106" s="523" t="str">
        <f>IF(LANÇ_MOV[[#This Row],[FORMA DE PAGAMENTO]]="","",VLOOKUP(LANÇ_MOV[[#This Row],[FORMA DE PAGAMENTO]],CAD_Forma_pagto[],2,0))</f>
        <v/>
      </c>
      <c r="AA1106" s="524" t="str">
        <f>IF(LANÇ_MOV[[#This Row],[DATA DE LANÇAMENTO]]="","",TEXT(LANÇ_MOV[[#This Row],[DATA DE LANÇAMENTO]],"AAAA"))</f>
        <v/>
      </c>
      <c r="AB1106" s="524" t="str">
        <f>IF(LANÇ_MOV[[#This Row],[DATA DE LANÇAMENTO]]="","",UPPER(TEXT(LANÇ_MOV[[#This Row],[DATA DE LANÇAMENTO]],"MMMM")))</f>
        <v/>
      </c>
      <c r="AC1106" s="525" t="str">
        <f>IF(LANÇ_MOV[[#This Row],[DATA DE LANÇAMENTO]]="","",PROPER(TEXT(LANÇ_MOV[[#This Row],[DATA DE LANÇAMENTO]],"M")))</f>
        <v/>
      </c>
      <c r="AD1106" s="524" t="str">
        <f>IF(LANÇ_MOV[[#This Row],[DATA DE LANÇAMENTO]]="","",TEXT(LANÇ_MOV[[#This Row],[DATA DE LANÇAMENTO]],"D"))</f>
        <v/>
      </c>
      <c r="AE1106" s="526" t="str">
        <f>IF(LANÇ_MOV[[#This Row],[DATA DE VENCIMENTO]]="","",TEXT(LANÇ_MOV[[#This Row],[DATA DE VENCIMENTO]],"AAAA"))</f>
        <v/>
      </c>
      <c r="AF1106" s="526" t="str">
        <f>IF(LANÇ_MOV[[#This Row],[DATA DE VENCIMENTO]]="","",UPPER(TEXT(LANÇ_MOV[[#This Row],[DATA DE VENCIMENTO]],"MMMM")))</f>
        <v/>
      </c>
      <c r="AG1106" s="526" t="str">
        <f>IF(LANÇ_MOV[[#This Row],[DATA DE VENCIMENTO]]="","",TEXT(LANÇ_MOV[[#This Row],[DATA DE VENCIMENTO]],"M"))</f>
        <v/>
      </c>
      <c r="AH1106" s="526" t="str">
        <f>IF(LANÇ_MOV[[#This Row],[DATA DE VENCIMENTO]]="","",TEXT(LANÇ_MOV[[#This Row],[DATA DE VENCIMENTO]],"D"))</f>
        <v/>
      </c>
      <c r="AI1106" s="526" t="str">
        <f>IF(LANÇ_MOV[[#This Row],[DATA DE PAGAMENTO]]="","",TEXT(LANÇ_MOV[[#This Row],[DATA DE PAGAMENTO]],"AAAA"))</f>
        <v/>
      </c>
      <c r="AJ1106" s="527" t="str">
        <f>IF(LANÇ_MOV[[#This Row],[DATA DE PAGAMENTO]]="","",UPPER(TEXT(LANÇ_MOV[[#This Row],[DATA DE PAGAMENTO]],"MMMM")))</f>
        <v/>
      </c>
      <c r="AK1106" s="527" t="str">
        <f>IF(LANÇ_MOV[[#This Row],[DATA DE PAGAMENTO]]="","",TEXT(LANÇ_MOV[[#This Row],[DATA DE PAGAMENTO]],"M"))</f>
        <v/>
      </c>
      <c r="AL1106" s="526" t="str">
        <f>IF(LANÇ_MOV[[#This Row],[DATA DE PAGAMENTO]]="","",TEXT(LANÇ_MOV[[#This Row],[DATA DE PAGAMENTO]],"D"))</f>
        <v/>
      </c>
    </row>
    <row r="1107" spans="2:38" ht="30.05" customHeight="1" x14ac:dyDescent="0.35">
      <c r="B1107" s="506"/>
      <c r="C1107" s="507"/>
      <c r="D1107" s="508" t="s">
        <v>1854</v>
      </c>
      <c r="E1107" s="509"/>
      <c r="F1107" s="510"/>
      <c r="G1107" s="507"/>
      <c r="H1107" s="511"/>
      <c r="I1107" s="512"/>
      <c r="J1107" s="518"/>
      <c r="K1107" s="510"/>
      <c r="L1107" s="510"/>
      <c r="M1107" s="548"/>
      <c r="N1107" s="514">
        <f>LANÇ_MOV[[#This Row],[VALOR BRUTO]]-LANÇ_MOV[[#This Row],[DESCONTO]]+LANÇ_MOV[[#This Row],[JUROS]]+LANÇ_MOV[[#This Row],[MULTA]]</f>
        <v>0</v>
      </c>
      <c r="O1107" s="546"/>
      <c r="P1107" s="547" t="str">
        <f t="shared" ca="1" si="17"/>
        <v/>
      </c>
      <c r="Q1107" s="528"/>
      <c r="R1107" s="529"/>
      <c r="S1107" s="518"/>
      <c r="T1107" s="518"/>
      <c r="U1107" s="519"/>
      <c r="V1107" s="520" t="str">
        <f>IFERROR(VLOOKUP(LANÇ_MOV[[#This Row],[PLANO DE CONTAS]],Plano_Contas[[PLANO DE CONTAS]:[R / D]],3,0),"")</f>
        <v/>
      </c>
      <c r="W1107" s="521" t="str">
        <f>IF(LANÇ_MOV[[#This Row],[DATA DE PAGAMENTO]]&lt;&gt;"","Pago","Não Pago")</f>
        <v>Não Pago</v>
      </c>
      <c r="X1107" s="522" t="str">
        <f>IFERROR(IF(LANÇ_MOV[[#This Row],[DATA DE PAGAMENTO]]="","",(UPPER(TEXT(LANÇ_MOV[[#This Row],[DATA DE PAGAMENTO]],"mmmm")))),"")</f>
        <v/>
      </c>
      <c r="Y1107" s="523" t="str">
        <f>IFERROR(VLOOKUP(LANÇ_MOV[[#This Row],[PLANO DE CONTAS]],Plano_Contas[[PLANO DE CONTAS]:[NOMES INTERVALOS]],2,0),"")</f>
        <v/>
      </c>
      <c r="Z1107" s="523" t="str">
        <f>IF(LANÇ_MOV[[#This Row],[FORMA DE PAGAMENTO]]="","",VLOOKUP(LANÇ_MOV[[#This Row],[FORMA DE PAGAMENTO]],CAD_Forma_pagto[],2,0))</f>
        <v/>
      </c>
      <c r="AA1107" s="524" t="str">
        <f>IF(LANÇ_MOV[[#This Row],[DATA DE LANÇAMENTO]]="","",TEXT(LANÇ_MOV[[#This Row],[DATA DE LANÇAMENTO]],"AAAA"))</f>
        <v/>
      </c>
      <c r="AB1107" s="524" t="str">
        <f>IF(LANÇ_MOV[[#This Row],[DATA DE LANÇAMENTO]]="","",UPPER(TEXT(LANÇ_MOV[[#This Row],[DATA DE LANÇAMENTO]],"MMMM")))</f>
        <v/>
      </c>
      <c r="AC1107" s="525" t="str">
        <f>IF(LANÇ_MOV[[#This Row],[DATA DE LANÇAMENTO]]="","",PROPER(TEXT(LANÇ_MOV[[#This Row],[DATA DE LANÇAMENTO]],"M")))</f>
        <v/>
      </c>
      <c r="AD1107" s="524" t="str">
        <f>IF(LANÇ_MOV[[#This Row],[DATA DE LANÇAMENTO]]="","",TEXT(LANÇ_MOV[[#This Row],[DATA DE LANÇAMENTO]],"D"))</f>
        <v/>
      </c>
      <c r="AE1107" s="526" t="str">
        <f>IF(LANÇ_MOV[[#This Row],[DATA DE VENCIMENTO]]="","",TEXT(LANÇ_MOV[[#This Row],[DATA DE VENCIMENTO]],"AAAA"))</f>
        <v/>
      </c>
      <c r="AF1107" s="526" t="str">
        <f>IF(LANÇ_MOV[[#This Row],[DATA DE VENCIMENTO]]="","",UPPER(TEXT(LANÇ_MOV[[#This Row],[DATA DE VENCIMENTO]],"MMMM")))</f>
        <v/>
      </c>
      <c r="AG1107" s="526" t="str">
        <f>IF(LANÇ_MOV[[#This Row],[DATA DE VENCIMENTO]]="","",TEXT(LANÇ_MOV[[#This Row],[DATA DE VENCIMENTO]],"M"))</f>
        <v/>
      </c>
      <c r="AH1107" s="526" t="str">
        <f>IF(LANÇ_MOV[[#This Row],[DATA DE VENCIMENTO]]="","",TEXT(LANÇ_MOV[[#This Row],[DATA DE VENCIMENTO]],"D"))</f>
        <v/>
      </c>
      <c r="AI1107" s="526" t="str">
        <f>IF(LANÇ_MOV[[#This Row],[DATA DE PAGAMENTO]]="","",TEXT(LANÇ_MOV[[#This Row],[DATA DE PAGAMENTO]],"AAAA"))</f>
        <v/>
      </c>
      <c r="AJ1107" s="527" t="str">
        <f>IF(LANÇ_MOV[[#This Row],[DATA DE PAGAMENTO]]="","",UPPER(TEXT(LANÇ_MOV[[#This Row],[DATA DE PAGAMENTO]],"MMMM")))</f>
        <v/>
      </c>
      <c r="AK1107" s="527" t="str">
        <f>IF(LANÇ_MOV[[#This Row],[DATA DE PAGAMENTO]]="","",TEXT(LANÇ_MOV[[#This Row],[DATA DE PAGAMENTO]],"M"))</f>
        <v/>
      </c>
      <c r="AL1107" s="526" t="str">
        <f>IF(LANÇ_MOV[[#This Row],[DATA DE PAGAMENTO]]="","",TEXT(LANÇ_MOV[[#This Row],[DATA DE PAGAMENTO]],"D"))</f>
        <v/>
      </c>
    </row>
    <row r="1108" spans="2:38" ht="30.05" customHeight="1" x14ac:dyDescent="0.35">
      <c r="B1108" s="506"/>
      <c r="C1108" s="507"/>
      <c r="D1108" s="508" t="s">
        <v>1854</v>
      </c>
      <c r="E1108" s="509"/>
      <c r="F1108" s="510"/>
      <c r="G1108" s="507"/>
      <c r="H1108" s="511"/>
      <c r="I1108" s="512"/>
      <c r="J1108" s="518"/>
      <c r="K1108" s="510"/>
      <c r="L1108" s="510"/>
      <c r="M1108" s="548"/>
      <c r="N1108" s="514">
        <f>LANÇ_MOV[[#This Row],[VALOR BRUTO]]-LANÇ_MOV[[#This Row],[DESCONTO]]+LANÇ_MOV[[#This Row],[JUROS]]+LANÇ_MOV[[#This Row],[MULTA]]</f>
        <v>0</v>
      </c>
      <c r="O1108" s="546"/>
      <c r="P1108" s="547" t="str">
        <f t="shared" ca="1" si="17"/>
        <v/>
      </c>
      <c r="Q1108" s="528"/>
      <c r="R1108" s="529"/>
      <c r="S1108" s="518"/>
      <c r="T1108" s="518"/>
      <c r="U1108" s="519"/>
      <c r="V1108" s="520" t="str">
        <f>IFERROR(VLOOKUP(LANÇ_MOV[[#This Row],[PLANO DE CONTAS]],Plano_Contas[[PLANO DE CONTAS]:[R / D]],3,0),"")</f>
        <v/>
      </c>
      <c r="W1108" s="521" t="str">
        <f>IF(LANÇ_MOV[[#This Row],[DATA DE PAGAMENTO]]&lt;&gt;"","Pago","Não Pago")</f>
        <v>Não Pago</v>
      </c>
      <c r="X1108" s="522" t="str">
        <f>IFERROR(IF(LANÇ_MOV[[#This Row],[DATA DE PAGAMENTO]]="","",(UPPER(TEXT(LANÇ_MOV[[#This Row],[DATA DE PAGAMENTO]],"mmmm")))),"")</f>
        <v/>
      </c>
      <c r="Y1108" s="523" t="str">
        <f>IFERROR(VLOOKUP(LANÇ_MOV[[#This Row],[PLANO DE CONTAS]],Plano_Contas[[PLANO DE CONTAS]:[NOMES INTERVALOS]],2,0),"")</f>
        <v/>
      </c>
      <c r="Z1108" s="523" t="str">
        <f>IF(LANÇ_MOV[[#This Row],[FORMA DE PAGAMENTO]]="","",VLOOKUP(LANÇ_MOV[[#This Row],[FORMA DE PAGAMENTO]],CAD_Forma_pagto[],2,0))</f>
        <v/>
      </c>
      <c r="AA1108" s="524" t="str">
        <f>IF(LANÇ_MOV[[#This Row],[DATA DE LANÇAMENTO]]="","",TEXT(LANÇ_MOV[[#This Row],[DATA DE LANÇAMENTO]],"AAAA"))</f>
        <v/>
      </c>
      <c r="AB1108" s="524" t="str">
        <f>IF(LANÇ_MOV[[#This Row],[DATA DE LANÇAMENTO]]="","",UPPER(TEXT(LANÇ_MOV[[#This Row],[DATA DE LANÇAMENTO]],"MMMM")))</f>
        <v/>
      </c>
      <c r="AC1108" s="525" t="str">
        <f>IF(LANÇ_MOV[[#This Row],[DATA DE LANÇAMENTO]]="","",PROPER(TEXT(LANÇ_MOV[[#This Row],[DATA DE LANÇAMENTO]],"M")))</f>
        <v/>
      </c>
      <c r="AD1108" s="524" t="str">
        <f>IF(LANÇ_MOV[[#This Row],[DATA DE LANÇAMENTO]]="","",TEXT(LANÇ_MOV[[#This Row],[DATA DE LANÇAMENTO]],"D"))</f>
        <v/>
      </c>
      <c r="AE1108" s="526" t="str">
        <f>IF(LANÇ_MOV[[#This Row],[DATA DE VENCIMENTO]]="","",TEXT(LANÇ_MOV[[#This Row],[DATA DE VENCIMENTO]],"AAAA"))</f>
        <v/>
      </c>
      <c r="AF1108" s="526" t="str">
        <f>IF(LANÇ_MOV[[#This Row],[DATA DE VENCIMENTO]]="","",UPPER(TEXT(LANÇ_MOV[[#This Row],[DATA DE VENCIMENTO]],"MMMM")))</f>
        <v/>
      </c>
      <c r="AG1108" s="526" t="str">
        <f>IF(LANÇ_MOV[[#This Row],[DATA DE VENCIMENTO]]="","",TEXT(LANÇ_MOV[[#This Row],[DATA DE VENCIMENTO]],"M"))</f>
        <v/>
      </c>
      <c r="AH1108" s="526" t="str">
        <f>IF(LANÇ_MOV[[#This Row],[DATA DE VENCIMENTO]]="","",TEXT(LANÇ_MOV[[#This Row],[DATA DE VENCIMENTO]],"D"))</f>
        <v/>
      </c>
      <c r="AI1108" s="526" t="str">
        <f>IF(LANÇ_MOV[[#This Row],[DATA DE PAGAMENTO]]="","",TEXT(LANÇ_MOV[[#This Row],[DATA DE PAGAMENTO]],"AAAA"))</f>
        <v/>
      </c>
      <c r="AJ1108" s="527" t="str">
        <f>IF(LANÇ_MOV[[#This Row],[DATA DE PAGAMENTO]]="","",UPPER(TEXT(LANÇ_MOV[[#This Row],[DATA DE PAGAMENTO]],"MMMM")))</f>
        <v/>
      </c>
      <c r="AK1108" s="527" t="str">
        <f>IF(LANÇ_MOV[[#This Row],[DATA DE PAGAMENTO]]="","",TEXT(LANÇ_MOV[[#This Row],[DATA DE PAGAMENTO]],"M"))</f>
        <v/>
      </c>
      <c r="AL1108" s="526" t="str">
        <f>IF(LANÇ_MOV[[#This Row],[DATA DE PAGAMENTO]]="","",TEXT(LANÇ_MOV[[#This Row],[DATA DE PAGAMENTO]],"D"))</f>
        <v/>
      </c>
    </row>
    <row r="1109" spans="2:38" ht="30.05" customHeight="1" x14ac:dyDescent="0.35">
      <c r="B1109" s="506"/>
      <c r="C1109" s="507"/>
      <c r="D1109" s="508" t="s">
        <v>1854</v>
      </c>
      <c r="E1109" s="509"/>
      <c r="F1109" s="510"/>
      <c r="G1109" s="507"/>
      <c r="H1109" s="511"/>
      <c r="I1109" s="512"/>
      <c r="J1109" s="518"/>
      <c r="K1109" s="510"/>
      <c r="L1109" s="510"/>
      <c r="M1109" s="548"/>
      <c r="N1109" s="514">
        <f>LANÇ_MOV[[#This Row],[VALOR BRUTO]]-LANÇ_MOV[[#This Row],[DESCONTO]]+LANÇ_MOV[[#This Row],[JUROS]]+LANÇ_MOV[[#This Row],[MULTA]]</f>
        <v>0</v>
      </c>
      <c r="O1109" s="546"/>
      <c r="P1109" s="547" t="str">
        <f t="shared" ca="1" si="17"/>
        <v/>
      </c>
      <c r="Q1109" s="528"/>
      <c r="R1109" s="529"/>
      <c r="S1109" s="518"/>
      <c r="T1109" s="518"/>
      <c r="U1109" s="519"/>
      <c r="V1109" s="520" t="str">
        <f>IFERROR(VLOOKUP(LANÇ_MOV[[#This Row],[PLANO DE CONTAS]],Plano_Contas[[PLANO DE CONTAS]:[R / D]],3,0),"")</f>
        <v/>
      </c>
      <c r="W1109" s="521" t="str">
        <f>IF(LANÇ_MOV[[#This Row],[DATA DE PAGAMENTO]]&lt;&gt;"","Pago","Não Pago")</f>
        <v>Não Pago</v>
      </c>
      <c r="X1109" s="522" t="str">
        <f>IFERROR(IF(LANÇ_MOV[[#This Row],[DATA DE PAGAMENTO]]="","",(UPPER(TEXT(LANÇ_MOV[[#This Row],[DATA DE PAGAMENTO]],"mmmm")))),"")</f>
        <v/>
      </c>
      <c r="Y1109" s="523" t="str">
        <f>IFERROR(VLOOKUP(LANÇ_MOV[[#This Row],[PLANO DE CONTAS]],Plano_Contas[[PLANO DE CONTAS]:[NOMES INTERVALOS]],2,0),"")</f>
        <v/>
      </c>
      <c r="Z1109" s="523" t="str">
        <f>IF(LANÇ_MOV[[#This Row],[FORMA DE PAGAMENTO]]="","",VLOOKUP(LANÇ_MOV[[#This Row],[FORMA DE PAGAMENTO]],CAD_Forma_pagto[],2,0))</f>
        <v/>
      </c>
      <c r="AA1109" s="524" t="str">
        <f>IF(LANÇ_MOV[[#This Row],[DATA DE LANÇAMENTO]]="","",TEXT(LANÇ_MOV[[#This Row],[DATA DE LANÇAMENTO]],"AAAA"))</f>
        <v/>
      </c>
      <c r="AB1109" s="524" t="str">
        <f>IF(LANÇ_MOV[[#This Row],[DATA DE LANÇAMENTO]]="","",UPPER(TEXT(LANÇ_MOV[[#This Row],[DATA DE LANÇAMENTO]],"MMMM")))</f>
        <v/>
      </c>
      <c r="AC1109" s="525" t="str">
        <f>IF(LANÇ_MOV[[#This Row],[DATA DE LANÇAMENTO]]="","",PROPER(TEXT(LANÇ_MOV[[#This Row],[DATA DE LANÇAMENTO]],"M")))</f>
        <v/>
      </c>
      <c r="AD1109" s="524" t="str">
        <f>IF(LANÇ_MOV[[#This Row],[DATA DE LANÇAMENTO]]="","",TEXT(LANÇ_MOV[[#This Row],[DATA DE LANÇAMENTO]],"D"))</f>
        <v/>
      </c>
      <c r="AE1109" s="526" t="str">
        <f>IF(LANÇ_MOV[[#This Row],[DATA DE VENCIMENTO]]="","",TEXT(LANÇ_MOV[[#This Row],[DATA DE VENCIMENTO]],"AAAA"))</f>
        <v/>
      </c>
      <c r="AF1109" s="526" t="str">
        <f>IF(LANÇ_MOV[[#This Row],[DATA DE VENCIMENTO]]="","",UPPER(TEXT(LANÇ_MOV[[#This Row],[DATA DE VENCIMENTO]],"MMMM")))</f>
        <v/>
      </c>
      <c r="AG1109" s="526" t="str">
        <f>IF(LANÇ_MOV[[#This Row],[DATA DE VENCIMENTO]]="","",TEXT(LANÇ_MOV[[#This Row],[DATA DE VENCIMENTO]],"M"))</f>
        <v/>
      </c>
      <c r="AH1109" s="526" t="str">
        <f>IF(LANÇ_MOV[[#This Row],[DATA DE VENCIMENTO]]="","",TEXT(LANÇ_MOV[[#This Row],[DATA DE VENCIMENTO]],"D"))</f>
        <v/>
      </c>
      <c r="AI1109" s="526" t="str">
        <f>IF(LANÇ_MOV[[#This Row],[DATA DE PAGAMENTO]]="","",TEXT(LANÇ_MOV[[#This Row],[DATA DE PAGAMENTO]],"AAAA"))</f>
        <v/>
      </c>
      <c r="AJ1109" s="527" t="str">
        <f>IF(LANÇ_MOV[[#This Row],[DATA DE PAGAMENTO]]="","",UPPER(TEXT(LANÇ_MOV[[#This Row],[DATA DE PAGAMENTO]],"MMMM")))</f>
        <v/>
      </c>
      <c r="AK1109" s="527" t="str">
        <f>IF(LANÇ_MOV[[#This Row],[DATA DE PAGAMENTO]]="","",TEXT(LANÇ_MOV[[#This Row],[DATA DE PAGAMENTO]],"M"))</f>
        <v/>
      </c>
      <c r="AL1109" s="526" t="str">
        <f>IF(LANÇ_MOV[[#This Row],[DATA DE PAGAMENTO]]="","",TEXT(LANÇ_MOV[[#This Row],[DATA DE PAGAMENTO]],"D"))</f>
        <v/>
      </c>
    </row>
    <row r="1110" spans="2:38" ht="30.05" customHeight="1" x14ac:dyDescent="0.35">
      <c r="B1110" s="506"/>
      <c r="C1110" s="507"/>
      <c r="D1110" s="508" t="s">
        <v>1854</v>
      </c>
      <c r="E1110" s="509"/>
      <c r="F1110" s="510"/>
      <c r="G1110" s="507"/>
      <c r="H1110" s="511"/>
      <c r="I1110" s="512"/>
      <c r="J1110" s="518"/>
      <c r="K1110" s="510"/>
      <c r="L1110" s="510"/>
      <c r="M1110" s="548"/>
      <c r="N1110" s="514">
        <f>LANÇ_MOV[[#This Row],[VALOR BRUTO]]-LANÇ_MOV[[#This Row],[DESCONTO]]+LANÇ_MOV[[#This Row],[JUROS]]+LANÇ_MOV[[#This Row],[MULTA]]</f>
        <v>0</v>
      </c>
      <c r="O1110" s="546"/>
      <c r="P1110" s="547" t="str">
        <f t="shared" ca="1" si="17"/>
        <v/>
      </c>
      <c r="Q1110" s="528"/>
      <c r="R1110" s="529"/>
      <c r="S1110" s="518"/>
      <c r="T1110" s="518"/>
      <c r="U1110" s="519"/>
      <c r="V1110" s="520" t="str">
        <f>IFERROR(VLOOKUP(LANÇ_MOV[[#This Row],[PLANO DE CONTAS]],Plano_Contas[[PLANO DE CONTAS]:[R / D]],3,0),"")</f>
        <v/>
      </c>
      <c r="W1110" s="521" t="str">
        <f>IF(LANÇ_MOV[[#This Row],[DATA DE PAGAMENTO]]&lt;&gt;"","Pago","Não Pago")</f>
        <v>Não Pago</v>
      </c>
      <c r="X1110" s="522" t="str">
        <f>IFERROR(IF(LANÇ_MOV[[#This Row],[DATA DE PAGAMENTO]]="","",(UPPER(TEXT(LANÇ_MOV[[#This Row],[DATA DE PAGAMENTO]],"mmmm")))),"")</f>
        <v/>
      </c>
      <c r="Y1110" s="523" t="str">
        <f>IFERROR(VLOOKUP(LANÇ_MOV[[#This Row],[PLANO DE CONTAS]],Plano_Contas[[PLANO DE CONTAS]:[NOMES INTERVALOS]],2,0),"")</f>
        <v/>
      </c>
      <c r="Z1110" s="523" t="str">
        <f>IF(LANÇ_MOV[[#This Row],[FORMA DE PAGAMENTO]]="","",VLOOKUP(LANÇ_MOV[[#This Row],[FORMA DE PAGAMENTO]],CAD_Forma_pagto[],2,0))</f>
        <v/>
      </c>
      <c r="AA1110" s="524" t="str">
        <f>IF(LANÇ_MOV[[#This Row],[DATA DE LANÇAMENTO]]="","",TEXT(LANÇ_MOV[[#This Row],[DATA DE LANÇAMENTO]],"AAAA"))</f>
        <v/>
      </c>
      <c r="AB1110" s="524" t="str">
        <f>IF(LANÇ_MOV[[#This Row],[DATA DE LANÇAMENTO]]="","",UPPER(TEXT(LANÇ_MOV[[#This Row],[DATA DE LANÇAMENTO]],"MMMM")))</f>
        <v/>
      </c>
      <c r="AC1110" s="525" t="str">
        <f>IF(LANÇ_MOV[[#This Row],[DATA DE LANÇAMENTO]]="","",PROPER(TEXT(LANÇ_MOV[[#This Row],[DATA DE LANÇAMENTO]],"M")))</f>
        <v/>
      </c>
      <c r="AD1110" s="524" t="str">
        <f>IF(LANÇ_MOV[[#This Row],[DATA DE LANÇAMENTO]]="","",TEXT(LANÇ_MOV[[#This Row],[DATA DE LANÇAMENTO]],"D"))</f>
        <v/>
      </c>
      <c r="AE1110" s="526" t="str">
        <f>IF(LANÇ_MOV[[#This Row],[DATA DE VENCIMENTO]]="","",TEXT(LANÇ_MOV[[#This Row],[DATA DE VENCIMENTO]],"AAAA"))</f>
        <v/>
      </c>
      <c r="AF1110" s="526" t="str">
        <f>IF(LANÇ_MOV[[#This Row],[DATA DE VENCIMENTO]]="","",UPPER(TEXT(LANÇ_MOV[[#This Row],[DATA DE VENCIMENTO]],"MMMM")))</f>
        <v/>
      </c>
      <c r="AG1110" s="526" t="str">
        <f>IF(LANÇ_MOV[[#This Row],[DATA DE VENCIMENTO]]="","",TEXT(LANÇ_MOV[[#This Row],[DATA DE VENCIMENTO]],"M"))</f>
        <v/>
      </c>
      <c r="AH1110" s="526" t="str">
        <f>IF(LANÇ_MOV[[#This Row],[DATA DE VENCIMENTO]]="","",TEXT(LANÇ_MOV[[#This Row],[DATA DE VENCIMENTO]],"D"))</f>
        <v/>
      </c>
      <c r="AI1110" s="526" t="str">
        <f>IF(LANÇ_MOV[[#This Row],[DATA DE PAGAMENTO]]="","",TEXT(LANÇ_MOV[[#This Row],[DATA DE PAGAMENTO]],"AAAA"))</f>
        <v/>
      </c>
      <c r="AJ1110" s="527" t="str">
        <f>IF(LANÇ_MOV[[#This Row],[DATA DE PAGAMENTO]]="","",UPPER(TEXT(LANÇ_MOV[[#This Row],[DATA DE PAGAMENTO]],"MMMM")))</f>
        <v/>
      </c>
      <c r="AK1110" s="527" t="str">
        <f>IF(LANÇ_MOV[[#This Row],[DATA DE PAGAMENTO]]="","",TEXT(LANÇ_MOV[[#This Row],[DATA DE PAGAMENTO]],"M"))</f>
        <v/>
      </c>
      <c r="AL1110" s="526" t="str">
        <f>IF(LANÇ_MOV[[#This Row],[DATA DE PAGAMENTO]]="","",TEXT(LANÇ_MOV[[#This Row],[DATA DE PAGAMENTO]],"D"))</f>
        <v/>
      </c>
    </row>
    <row r="1111" spans="2:38" ht="30.05" customHeight="1" x14ac:dyDescent="0.35">
      <c r="B1111" s="506"/>
      <c r="C1111" s="507"/>
      <c r="D1111" s="508" t="s">
        <v>1854</v>
      </c>
      <c r="E1111" s="509"/>
      <c r="F1111" s="510"/>
      <c r="G1111" s="507"/>
      <c r="H1111" s="511"/>
      <c r="I1111" s="512"/>
      <c r="J1111" s="518"/>
      <c r="K1111" s="510"/>
      <c r="L1111" s="510"/>
      <c r="M1111" s="548"/>
      <c r="N1111" s="514">
        <f>LANÇ_MOV[[#This Row],[VALOR BRUTO]]-LANÇ_MOV[[#This Row],[DESCONTO]]+LANÇ_MOV[[#This Row],[JUROS]]+LANÇ_MOV[[#This Row],[MULTA]]</f>
        <v>0</v>
      </c>
      <c r="O1111" s="546"/>
      <c r="P1111" s="547" t="str">
        <f t="shared" ca="1" si="17"/>
        <v/>
      </c>
      <c r="Q1111" s="528"/>
      <c r="R1111" s="529"/>
      <c r="S1111" s="518"/>
      <c r="T1111" s="518"/>
      <c r="U1111" s="519"/>
      <c r="V1111" s="520" t="str">
        <f>IFERROR(VLOOKUP(LANÇ_MOV[[#This Row],[PLANO DE CONTAS]],Plano_Contas[[PLANO DE CONTAS]:[R / D]],3,0),"")</f>
        <v/>
      </c>
      <c r="W1111" s="521" t="str">
        <f>IF(LANÇ_MOV[[#This Row],[DATA DE PAGAMENTO]]&lt;&gt;"","Pago","Não Pago")</f>
        <v>Não Pago</v>
      </c>
      <c r="X1111" s="522" t="str">
        <f>IFERROR(IF(LANÇ_MOV[[#This Row],[DATA DE PAGAMENTO]]="","",(UPPER(TEXT(LANÇ_MOV[[#This Row],[DATA DE PAGAMENTO]],"mmmm")))),"")</f>
        <v/>
      </c>
      <c r="Y1111" s="523" t="str">
        <f>IFERROR(VLOOKUP(LANÇ_MOV[[#This Row],[PLANO DE CONTAS]],Plano_Contas[[PLANO DE CONTAS]:[NOMES INTERVALOS]],2,0),"")</f>
        <v/>
      </c>
      <c r="Z1111" s="523" t="str">
        <f>IF(LANÇ_MOV[[#This Row],[FORMA DE PAGAMENTO]]="","",VLOOKUP(LANÇ_MOV[[#This Row],[FORMA DE PAGAMENTO]],CAD_Forma_pagto[],2,0))</f>
        <v/>
      </c>
      <c r="AA1111" s="524" t="str">
        <f>IF(LANÇ_MOV[[#This Row],[DATA DE LANÇAMENTO]]="","",TEXT(LANÇ_MOV[[#This Row],[DATA DE LANÇAMENTO]],"AAAA"))</f>
        <v/>
      </c>
      <c r="AB1111" s="524" t="str">
        <f>IF(LANÇ_MOV[[#This Row],[DATA DE LANÇAMENTO]]="","",UPPER(TEXT(LANÇ_MOV[[#This Row],[DATA DE LANÇAMENTO]],"MMMM")))</f>
        <v/>
      </c>
      <c r="AC1111" s="525" t="str">
        <f>IF(LANÇ_MOV[[#This Row],[DATA DE LANÇAMENTO]]="","",PROPER(TEXT(LANÇ_MOV[[#This Row],[DATA DE LANÇAMENTO]],"M")))</f>
        <v/>
      </c>
      <c r="AD1111" s="524" t="str">
        <f>IF(LANÇ_MOV[[#This Row],[DATA DE LANÇAMENTO]]="","",TEXT(LANÇ_MOV[[#This Row],[DATA DE LANÇAMENTO]],"D"))</f>
        <v/>
      </c>
      <c r="AE1111" s="526" t="str">
        <f>IF(LANÇ_MOV[[#This Row],[DATA DE VENCIMENTO]]="","",TEXT(LANÇ_MOV[[#This Row],[DATA DE VENCIMENTO]],"AAAA"))</f>
        <v/>
      </c>
      <c r="AF1111" s="526" t="str">
        <f>IF(LANÇ_MOV[[#This Row],[DATA DE VENCIMENTO]]="","",UPPER(TEXT(LANÇ_MOV[[#This Row],[DATA DE VENCIMENTO]],"MMMM")))</f>
        <v/>
      </c>
      <c r="AG1111" s="526" t="str">
        <f>IF(LANÇ_MOV[[#This Row],[DATA DE VENCIMENTO]]="","",TEXT(LANÇ_MOV[[#This Row],[DATA DE VENCIMENTO]],"M"))</f>
        <v/>
      </c>
      <c r="AH1111" s="526" t="str">
        <f>IF(LANÇ_MOV[[#This Row],[DATA DE VENCIMENTO]]="","",TEXT(LANÇ_MOV[[#This Row],[DATA DE VENCIMENTO]],"D"))</f>
        <v/>
      </c>
      <c r="AI1111" s="526" t="str">
        <f>IF(LANÇ_MOV[[#This Row],[DATA DE PAGAMENTO]]="","",TEXT(LANÇ_MOV[[#This Row],[DATA DE PAGAMENTO]],"AAAA"))</f>
        <v/>
      </c>
      <c r="AJ1111" s="527" t="str">
        <f>IF(LANÇ_MOV[[#This Row],[DATA DE PAGAMENTO]]="","",UPPER(TEXT(LANÇ_MOV[[#This Row],[DATA DE PAGAMENTO]],"MMMM")))</f>
        <v/>
      </c>
      <c r="AK1111" s="527" t="str">
        <f>IF(LANÇ_MOV[[#This Row],[DATA DE PAGAMENTO]]="","",TEXT(LANÇ_MOV[[#This Row],[DATA DE PAGAMENTO]],"M"))</f>
        <v/>
      </c>
      <c r="AL1111" s="526" t="str">
        <f>IF(LANÇ_MOV[[#This Row],[DATA DE PAGAMENTO]]="","",TEXT(LANÇ_MOV[[#This Row],[DATA DE PAGAMENTO]],"D"))</f>
        <v/>
      </c>
    </row>
    <row r="1112" spans="2:38" ht="30.05" customHeight="1" x14ac:dyDescent="0.35">
      <c r="B1112" s="506"/>
      <c r="C1112" s="507"/>
      <c r="D1112" s="508" t="s">
        <v>1854</v>
      </c>
      <c r="E1112" s="509"/>
      <c r="F1112" s="510"/>
      <c r="G1112" s="507"/>
      <c r="H1112" s="511"/>
      <c r="I1112" s="512"/>
      <c r="J1112" s="518"/>
      <c r="K1112" s="510"/>
      <c r="L1112" s="510"/>
      <c r="M1112" s="548"/>
      <c r="N1112" s="514">
        <f>LANÇ_MOV[[#This Row],[VALOR BRUTO]]-LANÇ_MOV[[#This Row],[DESCONTO]]+LANÇ_MOV[[#This Row],[JUROS]]+LANÇ_MOV[[#This Row],[MULTA]]</f>
        <v>0</v>
      </c>
      <c r="O1112" s="546"/>
      <c r="P1112" s="547" t="str">
        <f t="shared" ca="1" si="17"/>
        <v/>
      </c>
      <c r="Q1112" s="528"/>
      <c r="R1112" s="529"/>
      <c r="S1112" s="518"/>
      <c r="T1112" s="518"/>
      <c r="U1112" s="519"/>
      <c r="V1112" s="520" t="str">
        <f>IFERROR(VLOOKUP(LANÇ_MOV[[#This Row],[PLANO DE CONTAS]],Plano_Contas[[PLANO DE CONTAS]:[R / D]],3,0),"")</f>
        <v/>
      </c>
      <c r="W1112" s="521" t="str">
        <f>IF(LANÇ_MOV[[#This Row],[DATA DE PAGAMENTO]]&lt;&gt;"","Pago","Não Pago")</f>
        <v>Não Pago</v>
      </c>
      <c r="X1112" s="522" t="str">
        <f>IFERROR(IF(LANÇ_MOV[[#This Row],[DATA DE PAGAMENTO]]="","",(UPPER(TEXT(LANÇ_MOV[[#This Row],[DATA DE PAGAMENTO]],"mmmm")))),"")</f>
        <v/>
      </c>
      <c r="Y1112" s="523" t="str">
        <f>IFERROR(VLOOKUP(LANÇ_MOV[[#This Row],[PLANO DE CONTAS]],Plano_Contas[[PLANO DE CONTAS]:[NOMES INTERVALOS]],2,0),"")</f>
        <v/>
      </c>
      <c r="Z1112" s="523" t="str">
        <f>IF(LANÇ_MOV[[#This Row],[FORMA DE PAGAMENTO]]="","",VLOOKUP(LANÇ_MOV[[#This Row],[FORMA DE PAGAMENTO]],CAD_Forma_pagto[],2,0))</f>
        <v/>
      </c>
      <c r="AA1112" s="524" t="str">
        <f>IF(LANÇ_MOV[[#This Row],[DATA DE LANÇAMENTO]]="","",TEXT(LANÇ_MOV[[#This Row],[DATA DE LANÇAMENTO]],"AAAA"))</f>
        <v/>
      </c>
      <c r="AB1112" s="524" t="str">
        <f>IF(LANÇ_MOV[[#This Row],[DATA DE LANÇAMENTO]]="","",UPPER(TEXT(LANÇ_MOV[[#This Row],[DATA DE LANÇAMENTO]],"MMMM")))</f>
        <v/>
      </c>
      <c r="AC1112" s="525" t="str">
        <f>IF(LANÇ_MOV[[#This Row],[DATA DE LANÇAMENTO]]="","",PROPER(TEXT(LANÇ_MOV[[#This Row],[DATA DE LANÇAMENTO]],"M")))</f>
        <v/>
      </c>
      <c r="AD1112" s="524" t="str">
        <f>IF(LANÇ_MOV[[#This Row],[DATA DE LANÇAMENTO]]="","",TEXT(LANÇ_MOV[[#This Row],[DATA DE LANÇAMENTO]],"D"))</f>
        <v/>
      </c>
      <c r="AE1112" s="526" t="str">
        <f>IF(LANÇ_MOV[[#This Row],[DATA DE VENCIMENTO]]="","",TEXT(LANÇ_MOV[[#This Row],[DATA DE VENCIMENTO]],"AAAA"))</f>
        <v/>
      </c>
      <c r="AF1112" s="526" t="str">
        <f>IF(LANÇ_MOV[[#This Row],[DATA DE VENCIMENTO]]="","",UPPER(TEXT(LANÇ_MOV[[#This Row],[DATA DE VENCIMENTO]],"MMMM")))</f>
        <v/>
      </c>
      <c r="AG1112" s="526" t="str">
        <f>IF(LANÇ_MOV[[#This Row],[DATA DE VENCIMENTO]]="","",TEXT(LANÇ_MOV[[#This Row],[DATA DE VENCIMENTO]],"M"))</f>
        <v/>
      </c>
      <c r="AH1112" s="526" t="str">
        <f>IF(LANÇ_MOV[[#This Row],[DATA DE VENCIMENTO]]="","",TEXT(LANÇ_MOV[[#This Row],[DATA DE VENCIMENTO]],"D"))</f>
        <v/>
      </c>
      <c r="AI1112" s="526" t="str">
        <f>IF(LANÇ_MOV[[#This Row],[DATA DE PAGAMENTO]]="","",TEXT(LANÇ_MOV[[#This Row],[DATA DE PAGAMENTO]],"AAAA"))</f>
        <v/>
      </c>
      <c r="AJ1112" s="527" t="str">
        <f>IF(LANÇ_MOV[[#This Row],[DATA DE PAGAMENTO]]="","",UPPER(TEXT(LANÇ_MOV[[#This Row],[DATA DE PAGAMENTO]],"MMMM")))</f>
        <v/>
      </c>
      <c r="AK1112" s="527" t="str">
        <f>IF(LANÇ_MOV[[#This Row],[DATA DE PAGAMENTO]]="","",TEXT(LANÇ_MOV[[#This Row],[DATA DE PAGAMENTO]],"M"))</f>
        <v/>
      </c>
      <c r="AL1112" s="526" t="str">
        <f>IF(LANÇ_MOV[[#This Row],[DATA DE PAGAMENTO]]="","",TEXT(LANÇ_MOV[[#This Row],[DATA DE PAGAMENTO]],"D"))</f>
        <v/>
      </c>
    </row>
    <row r="1113" spans="2:38" ht="30.05" customHeight="1" x14ac:dyDescent="0.35">
      <c r="B1113" s="506"/>
      <c r="C1113" s="507"/>
      <c r="D1113" s="508" t="s">
        <v>1854</v>
      </c>
      <c r="E1113" s="509"/>
      <c r="F1113" s="510"/>
      <c r="G1113" s="507"/>
      <c r="H1113" s="511"/>
      <c r="I1113" s="512"/>
      <c r="J1113" s="518"/>
      <c r="K1113" s="510"/>
      <c r="L1113" s="510"/>
      <c r="M1113" s="548"/>
      <c r="N1113" s="514">
        <f>LANÇ_MOV[[#This Row],[VALOR BRUTO]]-LANÇ_MOV[[#This Row],[DESCONTO]]+LANÇ_MOV[[#This Row],[JUROS]]+LANÇ_MOV[[#This Row],[MULTA]]</f>
        <v>0</v>
      </c>
      <c r="O1113" s="546"/>
      <c r="P1113" s="547" t="str">
        <f t="shared" ca="1" si="17"/>
        <v/>
      </c>
      <c r="Q1113" s="528"/>
      <c r="R1113" s="529"/>
      <c r="S1113" s="518"/>
      <c r="T1113" s="518"/>
      <c r="U1113" s="519"/>
      <c r="V1113" s="520" t="str">
        <f>IFERROR(VLOOKUP(LANÇ_MOV[[#This Row],[PLANO DE CONTAS]],Plano_Contas[[PLANO DE CONTAS]:[R / D]],3,0),"")</f>
        <v/>
      </c>
      <c r="W1113" s="521" t="str">
        <f>IF(LANÇ_MOV[[#This Row],[DATA DE PAGAMENTO]]&lt;&gt;"","Pago","Não Pago")</f>
        <v>Não Pago</v>
      </c>
      <c r="X1113" s="522" t="str">
        <f>IFERROR(IF(LANÇ_MOV[[#This Row],[DATA DE PAGAMENTO]]="","",(UPPER(TEXT(LANÇ_MOV[[#This Row],[DATA DE PAGAMENTO]],"mmmm")))),"")</f>
        <v/>
      </c>
      <c r="Y1113" s="523" t="str">
        <f>IFERROR(VLOOKUP(LANÇ_MOV[[#This Row],[PLANO DE CONTAS]],Plano_Contas[[PLANO DE CONTAS]:[NOMES INTERVALOS]],2,0),"")</f>
        <v/>
      </c>
      <c r="Z1113" s="523" t="str">
        <f>IF(LANÇ_MOV[[#This Row],[FORMA DE PAGAMENTO]]="","",VLOOKUP(LANÇ_MOV[[#This Row],[FORMA DE PAGAMENTO]],CAD_Forma_pagto[],2,0))</f>
        <v/>
      </c>
      <c r="AA1113" s="524" t="str">
        <f>IF(LANÇ_MOV[[#This Row],[DATA DE LANÇAMENTO]]="","",TEXT(LANÇ_MOV[[#This Row],[DATA DE LANÇAMENTO]],"AAAA"))</f>
        <v/>
      </c>
      <c r="AB1113" s="524" t="str">
        <f>IF(LANÇ_MOV[[#This Row],[DATA DE LANÇAMENTO]]="","",UPPER(TEXT(LANÇ_MOV[[#This Row],[DATA DE LANÇAMENTO]],"MMMM")))</f>
        <v/>
      </c>
      <c r="AC1113" s="525" t="str">
        <f>IF(LANÇ_MOV[[#This Row],[DATA DE LANÇAMENTO]]="","",PROPER(TEXT(LANÇ_MOV[[#This Row],[DATA DE LANÇAMENTO]],"M")))</f>
        <v/>
      </c>
      <c r="AD1113" s="524" t="str">
        <f>IF(LANÇ_MOV[[#This Row],[DATA DE LANÇAMENTO]]="","",TEXT(LANÇ_MOV[[#This Row],[DATA DE LANÇAMENTO]],"D"))</f>
        <v/>
      </c>
      <c r="AE1113" s="526" t="str">
        <f>IF(LANÇ_MOV[[#This Row],[DATA DE VENCIMENTO]]="","",TEXT(LANÇ_MOV[[#This Row],[DATA DE VENCIMENTO]],"AAAA"))</f>
        <v/>
      </c>
      <c r="AF1113" s="526" t="str">
        <f>IF(LANÇ_MOV[[#This Row],[DATA DE VENCIMENTO]]="","",UPPER(TEXT(LANÇ_MOV[[#This Row],[DATA DE VENCIMENTO]],"MMMM")))</f>
        <v/>
      </c>
      <c r="AG1113" s="526" t="str">
        <f>IF(LANÇ_MOV[[#This Row],[DATA DE VENCIMENTO]]="","",TEXT(LANÇ_MOV[[#This Row],[DATA DE VENCIMENTO]],"M"))</f>
        <v/>
      </c>
      <c r="AH1113" s="526" t="str">
        <f>IF(LANÇ_MOV[[#This Row],[DATA DE VENCIMENTO]]="","",TEXT(LANÇ_MOV[[#This Row],[DATA DE VENCIMENTO]],"D"))</f>
        <v/>
      </c>
      <c r="AI1113" s="526" t="str">
        <f>IF(LANÇ_MOV[[#This Row],[DATA DE PAGAMENTO]]="","",TEXT(LANÇ_MOV[[#This Row],[DATA DE PAGAMENTO]],"AAAA"))</f>
        <v/>
      </c>
      <c r="AJ1113" s="527" t="str">
        <f>IF(LANÇ_MOV[[#This Row],[DATA DE PAGAMENTO]]="","",UPPER(TEXT(LANÇ_MOV[[#This Row],[DATA DE PAGAMENTO]],"MMMM")))</f>
        <v/>
      </c>
      <c r="AK1113" s="527" t="str">
        <f>IF(LANÇ_MOV[[#This Row],[DATA DE PAGAMENTO]]="","",TEXT(LANÇ_MOV[[#This Row],[DATA DE PAGAMENTO]],"M"))</f>
        <v/>
      </c>
      <c r="AL1113" s="526" t="str">
        <f>IF(LANÇ_MOV[[#This Row],[DATA DE PAGAMENTO]]="","",TEXT(LANÇ_MOV[[#This Row],[DATA DE PAGAMENTO]],"D"))</f>
        <v/>
      </c>
    </row>
    <row r="1114" spans="2:38" ht="30.05" customHeight="1" x14ac:dyDescent="0.35">
      <c r="B1114" s="506"/>
      <c r="C1114" s="507"/>
      <c r="D1114" s="508" t="s">
        <v>1854</v>
      </c>
      <c r="E1114" s="509"/>
      <c r="F1114" s="510"/>
      <c r="G1114" s="507"/>
      <c r="H1114" s="511"/>
      <c r="I1114" s="512"/>
      <c r="J1114" s="518"/>
      <c r="K1114" s="510"/>
      <c r="L1114" s="510"/>
      <c r="M1114" s="548"/>
      <c r="N1114" s="514">
        <f>LANÇ_MOV[[#This Row],[VALOR BRUTO]]-LANÇ_MOV[[#This Row],[DESCONTO]]+LANÇ_MOV[[#This Row],[JUROS]]+LANÇ_MOV[[#This Row],[MULTA]]</f>
        <v>0</v>
      </c>
      <c r="O1114" s="546"/>
      <c r="P1114" s="547" t="str">
        <f t="shared" ca="1" si="17"/>
        <v/>
      </c>
      <c r="Q1114" s="528"/>
      <c r="R1114" s="529"/>
      <c r="S1114" s="518"/>
      <c r="T1114" s="518"/>
      <c r="U1114" s="519"/>
      <c r="V1114" s="520" t="str">
        <f>IFERROR(VLOOKUP(LANÇ_MOV[[#This Row],[PLANO DE CONTAS]],Plano_Contas[[PLANO DE CONTAS]:[R / D]],3,0),"")</f>
        <v/>
      </c>
      <c r="W1114" s="521" t="str">
        <f>IF(LANÇ_MOV[[#This Row],[DATA DE PAGAMENTO]]&lt;&gt;"","Pago","Não Pago")</f>
        <v>Não Pago</v>
      </c>
      <c r="X1114" s="522" t="str">
        <f>IFERROR(IF(LANÇ_MOV[[#This Row],[DATA DE PAGAMENTO]]="","",(UPPER(TEXT(LANÇ_MOV[[#This Row],[DATA DE PAGAMENTO]],"mmmm")))),"")</f>
        <v/>
      </c>
      <c r="Y1114" s="523" t="str">
        <f>IFERROR(VLOOKUP(LANÇ_MOV[[#This Row],[PLANO DE CONTAS]],Plano_Contas[[PLANO DE CONTAS]:[NOMES INTERVALOS]],2,0),"")</f>
        <v/>
      </c>
      <c r="Z1114" s="523" t="str">
        <f>IF(LANÇ_MOV[[#This Row],[FORMA DE PAGAMENTO]]="","",VLOOKUP(LANÇ_MOV[[#This Row],[FORMA DE PAGAMENTO]],CAD_Forma_pagto[],2,0))</f>
        <v/>
      </c>
      <c r="AA1114" s="524" t="str">
        <f>IF(LANÇ_MOV[[#This Row],[DATA DE LANÇAMENTO]]="","",TEXT(LANÇ_MOV[[#This Row],[DATA DE LANÇAMENTO]],"AAAA"))</f>
        <v/>
      </c>
      <c r="AB1114" s="524" t="str">
        <f>IF(LANÇ_MOV[[#This Row],[DATA DE LANÇAMENTO]]="","",UPPER(TEXT(LANÇ_MOV[[#This Row],[DATA DE LANÇAMENTO]],"MMMM")))</f>
        <v/>
      </c>
      <c r="AC1114" s="525" t="str">
        <f>IF(LANÇ_MOV[[#This Row],[DATA DE LANÇAMENTO]]="","",PROPER(TEXT(LANÇ_MOV[[#This Row],[DATA DE LANÇAMENTO]],"M")))</f>
        <v/>
      </c>
      <c r="AD1114" s="524" t="str">
        <f>IF(LANÇ_MOV[[#This Row],[DATA DE LANÇAMENTO]]="","",TEXT(LANÇ_MOV[[#This Row],[DATA DE LANÇAMENTO]],"D"))</f>
        <v/>
      </c>
      <c r="AE1114" s="526" t="str">
        <f>IF(LANÇ_MOV[[#This Row],[DATA DE VENCIMENTO]]="","",TEXT(LANÇ_MOV[[#This Row],[DATA DE VENCIMENTO]],"AAAA"))</f>
        <v/>
      </c>
      <c r="AF1114" s="526" t="str">
        <f>IF(LANÇ_MOV[[#This Row],[DATA DE VENCIMENTO]]="","",UPPER(TEXT(LANÇ_MOV[[#This Row],[DATA DE VENCIMENTO]],"MMMM")))</f>
        <v/>
      </c>
      <c r="AG1114" s="526" t="str">
        <f>IF(LANÇ_MOV[[#This Row],[DATA DE VENCIMENTO]]="","",TEXT(LANÇ_MOV[[#This Row],[DATA DE VENCIMENTO]],"M"))</f>
        <v/>
      </c>
      <c r="AH1114" s="526" t="str">
        <f>IF(LANÇ_MOV[[#This Row],[DATA DE VENCIMENTO]]="","",TEXT(LANÇ_MOV[[#This Row],[DATA DE VENCIMENTO]],"D"))</f>
        <v/>
      </c>
      <c r="AI1114" s="526" t="str">
        <f>IF(LANÇ_MOV[[#This Row],[DATA DE PAGAMENTO]]="","",TEXT(LANÇ_MOV[[#This Row],[DATA DE PAGAMENTO]],"AAAA"))</f>
        <v/>
      </c>
      <c r="AJ1114" s="527" t="str">
        <f>IF(LANÇ_MOV[[#This Row],[DATA DE PAGAMENTO]]="","",UPPER(TEXT(LANÇ_MOV[[#This Row],[DATA DE PAGAMENTO]],"MMMM")))</f>
        <v/>
      </c>
      <c r="AK1114" s="527" t="str">
        <f>IF(LANÇ_MOV[[#This Row],[DATA DE PAGAMENTO]]="","",TEXT(LANÇ_MOV[[#This Row],[DATA DE PAGAMENTO]],"M"))</f>
        <v/>
      </c>
      <c r="AL1114" s="526" t="str">
        <f>IF(LANÇ_MOV[[#This Row],[DATA DE PAGAMENTO]]="","",TEXT(LANÇ_MOV[[#This Row],[DATA DE PAGAMENTO]],"D"))</f>
        <v/>
      </c>
    </row>
    <row r="1115" spans="2:38" ht="30.05" customHeight="1" x14ac:dyDescent="0.35">
      <c r="B1115" s="506"/>
      <c r="C1115" s="507"/>
      <c r="D1115" s="508" t="s">
        <v>1854</v>
      </c>
      <c r="E1115" s="509"/>
      <c r="F1115" s="510"/>
      <c r="G1115" s="507"/>
      <c r="H1115" s="511"/>
      <c r="I1115" s="512"/>
      <c r="J1115" s="518"/>
      <c r="K1115" s="510"/>
      <c r="L1115" s="510"/>
      <c r="M1115" s="548"/>
      <c r="N1115" s="514">
        <f>LANÇ_MOV[[#This Row],[VALOR BRUTO]]-LANÇ_MOV[[#This Row],[DESCONTO]]+LANÇ_MOV[[#This Row],[JUROS]]+LANÇ_MOV[[#This Row],[MULTA]]</f>
        <v>0</v>
      </c>
      <c r="O1115" s="546"/>
      <c r="P1115" s="547" t="str">
        <f t="shared" ca="1" si="17"/>
        <v/>
      </c>
      <c r="Q1115" s="528"/>
      <c r="R1115" s="529"/>
      <c r="S1115" s="518"/>
      <c r="T1115" s="518"/>
      <c r="U1115" s="519"/>
      <c r="V1115" s="520" t="str">
        <f>IFERROR(VLOOKUP(LANÇ_MOV[[#This Row],[PLANO DE CONTAS]],Plano_Contas[[PLANO DE CONTAS]:[R / D]],3,0),"")</f>
        <v/>
      </c>
      <c r="W1115" s="521" t="str">
        <f>IF(LANÇ_MOV[[#This Row],[DATA DE PAGAMENTO]]&lt;&gt;"","Pago","Não Pago")</f>
        <v>Não Pago</v>
      </c>
      <c r="X1115" s="522" t="str">
        <f>IFERROR(IF(LANÇ_MOV[[#This Row],[DATA DE PAGAMENTO]]="","",(UPPER(TEXT(LANÇ_MOV[[#This Row],[DATA DE PAGAMENTO]],"mmmm")))),"")</f>
        <v/>
      </c>
      <c r="Y1115" s="523" t="str">
        <f>IFERROR(VLOOKUP(LANÇ_MOV[[#This Row],[PLANO DE CONTAS]],Plano_Contas[[PLANO DE CONTAS]:[NOMES INTERVALOS]],2,0),"")</f>
        <v/>
      </c>
      <c r="Z1115" s="523" t="str">
        <f>IF(LANÇ_MOV[[#This Row],[FORMA DE PAGAMENTO]]="","",VLOOKUP(LANÇ_MOV[[#This Row],[FORMA DE PAGAMENTO]],CAD_Forma_pagto[],2,0))</f>
        <v/>
      </c>
      <c r="AA1115" s="524" t="str">
        <f>IF(LANÇ_MOV[[#This Row],[DATA DE LANÇAMENTO]]="","",TEXT(LANÇ_MOV[[#This Row],[DATA DE LANÇAMENTO]],"AAAA"))</f>
        <v/>
      </c>
      <c r="AB1115" s="524" t="str">
        <f>IF(LANÇ_MOV[[#This Row],[DATA DE LANÇAMENTO]]="","",UPPER(TEXT(LANÇ_MOV[[#This Row],[DATA DE LANÇAMENTO]],"MMMM")))</f>
        <v/>
      </c>
      <c r="AC1115" s="525" t="str">
        <f>IF(LANÇ_MOV[[#This Row],[DATA DE LANÇAMENTO]]="","",PROPER(TEXT(LANÇ_MOV[[#This Row],[DATA DE LANÇAMENTO]],"M")))</f>
        <v/>
      </c>
      <c r="AD1115" s="524" t="str">
        <f>IF(LANÇ_MOV[[#This Row],[DATA DE LANÇAMENTO]]="","",TEXT(LANÇ_MOV[[#This Row],[DATA DE LANÇAMENTO]],"D"))</f>
        <v/>
      </c>
      <c r="AE1115" s="526" t="str">
        <f>IF(LANÇ_MOV[[#This Row],[DATA DE VENCIMENTO]]="","",TEXT(LANÇ_MOV[[#This Row],[DATA DE VENCIMENTO]],"AAAA"))</f>
        <v/>
      </c>
      <c r="AF1115" s="526" t="str">
        <f>IF(LANÇ_MOV[[#This Row],[DATA DE VENCIMENTO]]="","",UPPER(TEXT(LANÇ_MOV[[#This Row],[DATA DE VENCIMENTO]],"MMMM")))</f>
        <v/>
      </c>
      <c r="AG1115" s="526" t="str">
        <f>IF(LANÇ_MOV[[#This Row],[DATA DE VENCIMENTO]]="","",TEXT(LANÇ_MOV[[#This Row],[DATA DE VENCIMENTO]],"M"))</f>
        <v/>
      </c>
      <c r="AH1115" s="526" t="str">
        <f>IF(LANÇ_MOV[[#This Row],[DATA DE VENCIMENTO]]="","",TEXT(LANÇ_MOV[[#This Row],[DATA DE VENCIMENTO]],"D"))</f>
        <v/>
      </c>
      <c r="AI1115" s="526" t="str">
        <f>IF(LANÇ_MOV[[#This Row],[DATA DE PAGAMENTO]]="","",TEXT(LANÇ_MOV[[#This Row],[DATA DE PAGAMENTO]],"AAAA"))</f>
        <v/>
      </c>
      <c r="AJ1115" s="527" t="str">
        <f>IF(LANÇ_MOV[[#This Row],[DATA DE PAGAMENTO]]="","",UPPER(TEXT(LANÇ_MOV[[#This Row],[DATA DE PAGAMENTO]],"MMMM")))</f>
        <v/>
      </c>
      <c r="AK1115" s="527" t="str">
        <f>IF(LANÇ_MOV[[#This Row],[DATA DE PAGAMENTO]]="","",TEXT(LANÇ_MOV[[#This Row],[DATA DE PAGAMENTO]],"M"))</f>
        <v/>
      </c>
      <c r="AL1115" s="526" t="str">
        <f>IF(LANÇ_MOV[[#This Row],[DATA DE PAGAMENTO]]="","",TEXT(LANÇ_MOV[[#This Row],[DATA DE PAGAMENTO]],"D"))</f>
        <v/>
      </c>
    </row>
    <row r="1116" spans="2:38" ht="30.05" customHeight="1" x14ac:dyDescent="0.35">
      <c r="B1116" s="506"/>
      <c r="C1116" s="507"/>
      <c r="D1116" s="508" t="s">
        <v>1854</v>
      </c>
      <c r="E1116" s="509"/>
      <c r="F1116" s="510"/>
      <c r="G1116" s="507"/>
      <c r="H1116" s="511"/>
      <c r="I1116" s="512"/>
      <c r="J1116" s="518"/>
      <c r="K1116" s="510"/>
      <c r="L1116" s="510"/>
      <c r="M1116" s="548"/>
      <c r="N1116" s="514">
        <f>LANÇ_MOV[[#This Row],[VALOR BRUTO]]-LANÇ_MOV[[#This Row],[DESCONTO]]+LANÇ_MOV[[#This Row],[JUROS]]+LANÇ_MOV[[#This Row],[MULTA]]</f>
        <v>0</v>
      </c>
      <c r="O1116" s="546"/>
      <c r="P1116" s="547" t="str">
        <f t="shared" ca="1" si="17"/>
        <v/>
      </c>
      <c r="Q1116" s="528"/>
      <c r="R1116" s="529"/>
      <c r="S1116" s="518"/>
      <c r="T1116" s="518"/>
      <c r="U1116" s="519"/>
      <c r="V1116" s="520" t="str">
        <f>IFERROR(VLOOKUP(LANÇ_MOV[[#This Row],[PLANO DE CONTAS]],Plano_Contas[[PLANO DE CONTAS]:[R / D]],3,0),"")</f>
        <v/>
      </c>
      <c r="W1116" s="521" t="str">
        <f>IF(LANÇ_MOV[[#This Row],[DATA DE PAGAMENTO]]&lt;&gt;"","Pago","Não Pago")</f>
        <v>Não Pago</v>
      </c>
      <c r="X1116" s="522" t="str">
        <f>IFERROR(IF(LANÇ_MOV[[#This Row],[DATA DE PAGAMENTO]]="","",(UPPER(TEXT(LANÇ_MOV[[#This Row],[DATA DE PAGAMENTO]],"mmmm")))),"")</f>
        <v/>
      </c>
      <c r="Y1116" s="523" t="str">
        <f>IFERROR(VLOOKUP(LANÇ_MOV[[#This Row],[PLANO DE CONTAS]],Plano_Contas[[PLANO DE CONTAS]:[NOMES INTERVALOS]],2,0),"")</f>
        <v/>
      </c>
      <c r="Z1116" s="523" t="str">
        <f>IF(LANÇ_MOV[[#This Row],[FORMA DE PAGAMENTO]]="","",VLOOKUP(LANÇ_MOV[[#This Row],[FORMA DE PAGAMENTO]],CAD_Forma_pagto[],2,0))</f>
        <v/>
      </c>
      <c r="AA1116" s="524" t="str">
        <f>IF(LANÇ_MOV[[#This Row],[DATA DE LANÇAMENTO]]="","",TEXT(LANÇ_MOV[[#This Row],[DATA DE LANÇAMENTO]],"AAAA"))</f>
        <v/>
      </c>
      <c r="AB1116" s="524" t="str">
        <f>IF(LANÇ_MOV[[#This Row],[DATA DE LANÇAMENTO]]="","",UPPER(TEXT(LANÇ_MOV[[#This Row],[DATA DE LANÇAMENTO]],"MMMM")))</f>
        <v/>
      </c>
      <c r="AC1116" s="525" t="str">
        <f>IF(LANÇ_MOV[[#This Row],[DATA DE LANÇAMENTO]]="","",PROPER(TEXT(LANÇ_MOV[[#This Row],[DATA DE LANÇAMENTO]],"M")))</f>
        <v/>
      </c>
      <c r="AD1116" s="524" t="str">
        <f>IF(LANÇ_MOV[[#This Row],[DATA DE LANÇAMENTO]]="","",TEXT(LANÇ_MOV[[#This Row],[DATA DE LANÇAMENTO]],"D"))</f>
        <v/>
      </c>
      <c r="AE1116" s="526" t="str">
        <f>IF(LANÇ_MOV[[#This Row],[DATA DE VENCIMENTO]]="","",TEXT(LANÇ_MOV[[#This Row],[DATA DE VENCIMENTO]],"AAAA"))</f>
        <v/>
      </c>
      <c r="AF1116" s="526" t="str">
        <f>IF(LANÇ_MOV[[#This Row],[DATA DE VENCIMENTO]]="","",UPPER(TEXT(LANÇ_MOV[[#This Row],[DATA DE VENCIMENTO]],"MMMM")))</f>
        <v/>
      </c>
      <c r="AG1116" s="526" t="str">
        <f>IF(LANÇ_MOV[[#This Row],[DATA DE VENCIMENTO]]="","",TEXT(LANÇ_MOV[[#This Row],[DATA DE VENCIMENTO]],"M"))</f>
        <v/>
      </c>
      <c r="AH1116" s="526" t="str">
        <f>IF(LANÇ_MOV[[#This Row],[DATA DE VENCIMENTO]]="","",TEXT(LANÇ_MOV[[#This Row],[DATA DE VENCIMENTO]],"D"))</f>
        <v/>
      </c>
      <c r="AI1116" s="526" t="str">
        <f>IF(LANÇ_MOV[[#This Row],[DATA DE PAGAMENTO]]="","",TEXT(LANÇ_MOV[[#This Row],[DATA DE PAGAMENTO]],"AAAA"))</f>
        <v/>
      </c>
      <c r="AJ1116" s="527" t="str">
        <f>IF(LANÇ_MOV[[#This Row],[DATA DE PAGAMENTO]]="","",UPPER(TEXT(LANÇ_MOV[[#This Row],[DATA DE PAGAMENTO]],"MMMM")))</f>
        <v/>
      </c>
      <c r="AK1116" s="527" t="str">
        <f>IF(LANÇ_MOV[[#This Row],[DATA DE PAGAMENTO]]="","",TEXT(LANÇ_MOV[[#This Row],[DATA DE PAGAMENTO]],"M"))</f>
        <v/>
      </c>
      <c r="AL1116" s="526" t="str">
        <f>IF(LANÇ_MOV[[#This Row],[DATA DE PAGAMENTO]]="","",TEXT(LANÇ_MOV[[#This Row],[DATA DE PAGAMENTO]],"D"))</f>
        <v/>
      </c>
    </row>
    <row r="1117" spans="2:38" ht="30.05" customHeight="1" x14ac:dyDescent="0.35">
      <c r="B1117" s="506"/>
      <c r="C1117" s="507"/>
      <c r="D1117" s="508" t="s">
        <v>1854</v>
      </c>
      <c r="E1117" s="509"/>
      <c r="F1117" s="510"/>
      <c r="G1117" s="507"/>
      <c r="H1117" s="511"/>
      <c r="I1117" s="512"/>
      <c r="J1117" s="518"/>
      <c r="K1117" s="510"/>
      <c r="L1117" s="510"/>
      <c r="M1117" s="548"/>
      <c r="N1117" s="514">
        <f>LANÇ_MOV[[#This Row],[VALOR BRUTO]]-LANÇ_MOV[[#This Row],[DESCONTO]]+LANÇ_MOV[[#This Row],[JUROS]]+LANÇ_MOV[[#This Row],[MULTA]]</f>
        <v>0</v>
      </c>
      <c r="O1117" s="546"/>
      <c r="P1117" s="547" t="str">
        <f t="shared" ca="1" si="17"/>
        <v/>
      </c>
      <c r="Q1117" s="528"/>
      <c r="R1117" s="529"/>
      <c r="S1117" s="518"/>
      <c r="T1117" s="518"/>
      <c r="U1117" s="519"/>
      <c r="V1117" s="520" t="str">
        <f>IFERROR(VLOOKUP(LANÇ_MOV[[#This Row],[PLANO DE CONTAS]],Plano_Contas[[PLANO DE CONTAS]:[R / D]],3,0),"")</f>
        <v/>
      </c>
      <c r="W1117" s="521" t="str">
        <f>IF(LANÇ_MOV[[#This Row],[DATA DE PAGAMENTO]]&lt;&gt;"","Pago","Não Pago")</f>
        <v>Não Pago</v>
      </c>
      <c r="X1117" s="522" t="str">
        <f>IFERROR(IF(LANÇ_MOV[[#This Row],[DATA DE PAGAMENTO]]="","",(UPPER(TEXT(LANÇ_MOV[[#This Row],[DATA DE PAGAMENTO]],"mmmm")))),"")</f>
        <v/>
      </c>
      <c r="Y1117" s="523" t="str">
        <f>IFERROR(VLOOKUP(LANÇ_MOV[[#This Row],[PLANO DE CONTAS]],Plano_Contas[[PLANO DE CONTAS]:[NOMES INTERVALOS]],2,0),"")</f>
        <v/>
      </c>
      <c r="Z1117" s="523" t="str">
        <f>IF(LANÇ_MOV[[#This Row],[FORMA DE PAGAMENTO]]="","",VLOOKUP(LANÇ_MOV[[#This Row],[FORMA DE PAGAMENTO]],CAD_Forma_pagto[],2,0))</f>
        <v/>
      </c>
      <c r="AA1117" s="524" t="str">
        <f>IF(LANÇ_MOV[[#This Row],[DATA DE LANÇAMENTO]]="","",TEXT(LANÇ_MOV[[#This Row],[DATA DE LANÇAMENTO]],"AAAA"))</f>
        <v/>
      </c>
      <c r="AB1117" s="524" t="str">
        <f>IF(LANÇ_MOV[[#This Row],[DATA DE LANÇAMENTO]]="","",UPPER(TEXT(LANÇ_MOV[[#This Row],[DATA DE LANÇAMENTO]],"MMMM")))</f>
        <v/>
      </c>
      <c r="AC1117" s="525" t="str">
        <f>IF(LANÇ_MOV[[#This Row],[DATA DE LANÇAMENTO]]="","",PROPER(TEXT(LANÇ_MOV[[#This Row],[DATA DE LANÇAMENTO]],"M")))</f>
        <v/>
      </c>
      <c r="AD1117" s="524" t="str">
        <f>IF(LANÇ_MOV[[#This Row],[DATA DE LANÇAMENTO]]="","",TEXT(LANÇ_MOV[[#This Row],[DATA DE LANÇAMENTO]],"D"))</f>
        <v/>
      </c>
      <c r="AE1117" s="526" t="str">
        <f>IF(LANÇ_MOV[[#This Row],[DATA DE VENCIMENTO]]="","",TEXT(LANÇ_MOV[[#This Row],[DATA DE VENCIMENTO]],"AAAA"))</f>
        <v/>
      </c>
      <c r="AF1117" s="526" t="str">
        <f>IF(LANÇ_MOV[[#This Row],[DATA DE VENCIMENTO]]="","",UPPER(TEXT(LANÇ_MOV[[#This Row],[DATA DE VENCIMENTO]],"MMMM")))</f>
        <v/>
      </c>
      <c r="AG1117" s="526" t="str">
        <f>IF(LANÇ_MOV[[#This Row],[DATA DE VENCIMENTO]]="","",TEXT(LANÇ_MOV[[#This Row],[DATA DE VENCIMENTO]],"M"))</f>
        <v/>
      </c>
      <c r="AH1117" s="526" t="str">
        <f>IF(LANÇ_MOV[[#This Row],[DATA DE VENCIMENTO]]="","",TEXT(LANÇ_MOV[[#This Row],[DATA DE VENCIMENTO]],"D"))</f>
        <v/>
      </c>
      <c r="AI1117" s="526" t="str">
        <f>IF(LANÇ_MOV[[#This Row],[DATA DE PAGAMENTO]]="","",TEXT(LANÇ_MOV[[#This Row],[DATA DE PAGAMENTO]],"AAAA"))</f>
        <v/>
      </c>
      <c r="AJ1117" s="527" t="str">
        <f>IF(LANÇ_MOV[[#This Row],[DATA DE PAGAMENTO]]="","",UPPER(TEXT(LANÇ_MOV[[#This Row],[DATA DE PAGAMENTO]],"MMMM")))</f>
        <v/>
      </c>
      <c r="AK1117" s="527" t="str">
        <f>IF(LANÇ_MOV[[#This Row],[DATA DE PAGAMENTO]]="","",TEXT(LANÇ_MOV[[#This Row],[DATA DE PAGAMENTO]],"M"))</f>
        <v/>
      </c>
      <c r="AL1117" s="526" t="str">
        <f>IF(LANÇ_MOV[[#This Row],[DATA DE PAGAMENTO]]="","",TEXT(LANÇ_MOV[[#This Row],[DATA DE PAGAMENTO]],"D"))</f>
        <v/>
      </c>
    </row>
    <row r="1118" spans="2:38" ht="30.05" customHeight="1" x14ac:dyDescent="0.35">
      <c r="B1118" s="506"/>
      <c r="C1118" s="507"/>
      <c r="D1118" s="508" t="s">
        <v>1854</v>
      </c>
      <c r="E1118" s="509"/>
      <c r="F1118" s="510"/>
      <c r="G1118" s="507"/>
      <c r="H1118" s="511"/>
      <c r="I1118" s="512"/>
      <c r="J1118" s="518"/>
      <c r="K1118" s="510"/>
      <c r="L1118" s="510"/>
      <c r="M1118" s="548"/>
      <c r="N1118" s="514">
        <f>LANÇ_MOV[[#This Row],[VALOR BRUTO]]-LANÇ_MOV[[#This Row],[DESCONTO]]+LANÇ_MOV[[#This Row],[JUROS]]+LANÇ_MOV[[#This Row],[MULTA]]</f>
        <v>0</v>
      </c>
      <c r="O1118" s="546"/>
      <c r="P1118" s="547" t="str">
        <f t="shared" ca="1" si="17"/>
        <v/>
      </c>
      <c r="Q1118" s="528"/>
      <c r="R1118" s="529"/>
      <c r="S1118" s="518"/>
      <c r="T1118" s="518"/>
      <c r="U1118" s="519"/>
      <c r="V1118" s="520" t="str">
        <f>IFERROR(VLOOKUP(LANÇ_MOV[[#This Row],[PLANO DE CONTAS]],Plano_Contas[[PLANO DE CONTAS]:[R / D]],3,0),"")</f>
        <v/>
      </c>
      <c r="W1118" s="521" t="str">
        <f>IF(LANÇ_MOV[[#This Row],[DATA DE PAGAMENTO]]&lt;&gt;"","Pago","Não Pago")</f>
        <v>Não Pago</v>
      </c>
      <c r="X1118" s="522" t="str">
        <f>IFERROR(IF(LANÇ_MOV[[#This Row],[DATA DE PAGAMENTO]]="","",(UPPER(TEXT(LANÇ_MOV[[#This Row],[DATA DE PAGAMENTO]],"mmmm")))),"")</f>
        <v/>
      </c>
      <c r="Y1118" s="523" t="str">
        <f>IFERROR(VLOOKUP(LANÇ_MOV[[#This Row],[PLANO DE CONTAS]],Plano_Contas[[PLANO DE CONTAS]:[NOMES INTERVALOS]],2,0),"")</f>
        <v/>
      </c>
      <c r="Z1118" s="523" t="str">
        <f>IF(LANÇ_MOV[[#This Row],[FORMA DE PAGAMENTO]]="","",VLOOKUP(LANÇ_MOV[[#This Row],[FORMA DE PAGAMENTO]],CAD_Forma_pagto[],2,0))</f>
        <v/>
      </c>
      <c r="AA1118" s="524" t="str">
        <f>IF(LANÇ_MOV[[#This Row],[DATA DE LANÇAMENTO]]="","",TEXT(LANÇ_MOV[[#This Row],[DATA DE LANÇAMENTO]],"AAAA"))</f>
        <v/>
      </c>
      <c r="AB1118" s="524" t="str">
        <f>IF(LANÇ_MOV[[#This Row],[DATA DE LANÇAMENTO]]="","",UPPER(TEXT(LANÇ_MOV[[#This Row],[DATA DE LANÇAMENTO]],"MMMM")))</f>
        <v/>
      </c>
      <c r="AC1118" s="525" t="str">
        <f>IF(LANÇ_MOV[[#This Row],[DATA DE LANÇAMENTO]]="","",PROPER(TEXT(LANÇ_MOV[[#This Row],[DATA DE LANÇAMENTO]],"M")))</f>
        <v/>
      </c>
      <c r="AD1118" s="524" t="str">
        <f>IF(LANÇ_MOV[[#This Row],[DATA DE LANÇAMENTO]]="","",TEXT(LANÇ_MOV[[#This Row],[DATA DE LANÇAMENTO]],"D"))</f>
        <v/>
      </c>
      <c r="AE1118" s="526" t="str">
        <f>IF(LANÇ_MOV[[#This Row],[DATA DE VENCIMENTO]]="","",TEXT(LANÇ_MOV[[#This Row],[DATA DE VENCIMENTO]],"AAAA"))</f>
        <v/>
      </c>
      <c r="AF1118" s="526" t="str">
        <f>IF(LANÇ_MOV[[#This Row],[DATA DE VENCIMENTO]]="","",UPPER(TEXT(LANÇ_MOV[[#This Row],[DATA DE VENCIMENTO]],"MMMM")))</f>
        <v/>
      </c>
      <c r="AG1118" s="526" t="str">
        <f>IF(LANÇ_MOV[[#This Row],[DATA DE VENCIMENTO]]="","",TEXT(LANÇ_MOV[[#This Row],[DATA DE VENCIMENTO]],"M"))</f>
        <v/>
      </c>
      <c r="AH1118" s="526" t="str">
        <f>IF(LANÇ_MOV[[#This Row],[DATA DE VENCIMENTO]]="","",TEXT(LANÇ_MOV[[#This Row],[DATA DE VENCIMENTO]],"D"))</f>
        <v/>
      </c>
      <c r="AI1118" s="526" t="str">
        <f>IF(LANÇ_MOV[[#This Row],[DATA DE PAGAMENTO]]="","",TEXT(LANÇ_MOV[[#This Row],[DATA DE PAGAMENTO]],"AAAA"))</f>
        <v/>
      </c>
      <c r="AJ1118" s="527" t="str">
        <f>IF(LANÇ_MOV[[#This Row],[DATA DE PAGAMENTO]]="","",UPPER(TEXT(LANÇ_MOV[[#This Row],[DATA DE PAGAMENTO]],"MMMM")))</f>
        <v/>
      </c>
      <c r="AK1118" s="527" t="str">
        <f>IF(LANÇ_MOV[[#This Row],[DATA DE PAGAMENTO]]="","",TEXT(LANÇ_MOV[[#This Row],[DATA DE PAGAMENTO]],"M"))</f>
        <v/>
      </c>
      <c r="AL1118" s="526" t="str">
        <f>IF(LANÇ_MOV[[#This Row],[DATA DE PAGAMENTO]]="","",TEXT(LANÇ_MOV[[#This Row],[DATA DE PAGAMENTO]],"D"))</f>
        <v/>
      </c>
    </row>
    <row r="1119" spans="2:38" ht="30.05" customHeight="1" x14ac:dyDescent="0.35">
      <c r="B1119" s="506"/>
      <c r="C1119" s="507"/>
      <c r="D1119" s="508" t="s">
        <v>1854</v>
      </c>
      <c r="E1119" s="509"/>
      <c r="F1119" s="510"/>
      <c r="G1119" s="507"/>
      <c r="H1119" s="511"/>
      <c r="I1119" s="512"/>
      <c r="J1119" s="518"/>
      <c r="K1119" s="510"/>
      <c r="L1119" s="510"/>
      <c r="M1119" s="548"/>
      <c r="N1119" s="514">
        <f>LANÇ_MOV[[#This Row],[VALOR BRUTO]]-LANÇ_MOV[[#This Row],[DESCONTO]]+LANÇ_MOV[[#This Row],[JUROS]]+LANÇ_MOV[[#This Row],[MULTA]]</f>
        <v>0</v>
      </c>
      <c r="O1119" s="546"/>
      <c r="P1119" s="547" t="str">
        <f t="shared" ca="1" si="17"/>
        <v/>
      </c>
      <c r="Q1119" s="528"/>
      <c r="R1119" s="529"/>
      <c r="S1119" s="518"/>
      <c r="T1119" s="518"/>
      <c r="U1119" s="519"/>
      <c r="V1119" s="520" t="str">
        <f>IFERROR(VLOOKUP(LANÇ_MOV[[#This Row],[PLANO DE CONTAS]],Plano_Contas[[PLANO DE CONTAS]:[R / D]],3,0),"")</f>
        <v/>
      </c>
      <c r="W1119" s="521" t="str">
        <f>IF(LANÇ_MOV[[#This Row],[DATA DE PAGAMENTO]]&lt;&gt;"","Pago","Não Pago")</f>
        <v>Não Pago</v>
      </c>
      <c r="X1119" s="522" t="str">
        <f>IFERROR(IF(LANÇ_MOV[[#This Row],[DATA DE PAGAMENTO]]="","",(UPPER(TEXT(LANÇ_MOV[[#This Row],[DATA DE PAGAMENTO]],"mmmm")))),"")</f>
        <v/>
      </c>
      <c r="Y1119" s="523" t="str">
        <f>IFERROR(VLOOKUP(LANÇ_MOV[[#This Row],[PLANO DE CONTAS]],Plano_Contas[[PLANO DE CONTAS]:[NOMES INTERVALOS]],2,0),"")</f>
        <v/>
      </c>
      <c r="Z1119" s="523" t="str">
        <f>IF(LANÇ_MOV[[#This Row],[FORMA DE PAGAMENTO]]="","",VLOOKUP(LANÇ_MOV[[#This Row],[FORMA DE PAGAMENTO]],CAD_Forma_pagto[],2,0))</f>
        <v/>
      </c>
      <c r="AA1119" s="524" t="str">
        <f>IF(LANÇ_MOV[[#This Row],[DATA DE LANÇAMENTO]]="","",TEXT(LANÇ_MOV[[#This Row],[DATA DE LANÇAMENTO]],"AAAA"))</f>
        <v/>
      </c>
      <c r="AB1119" s="524" t="str">
        <f>IF(LANÇ_MOV[[#This Row],[DATA DE LANÇAMENTO]]="","",UPPER(TEXT(LANÇ_MOV[[#This Row],[DATA DE LANÇAMENTO]],"MMMM")))</f>
        <v/>
      </c>
      <c r="AC1119" s="525" t="str">
        <f>IF(LANÇ_MOV[[#This Row],[DATA DE LANÇAMENTO]]="","",PROPER(TEXT(LANÇ_MOV[[#This Row],[DATA DE LANÇAMENTO]],"M")))</f>
        <v/>
      </c>
      <c r="AD1119" s="524" t="str">
        <f>IF(LANÇ_MOV[[#This Row],[DATA DE LANÇAMENTO]]="","",TEXT(LANÇ_MOV[[#This Row],[DATA DE LANÇAMENTO]],"D"))</f>
        <v/>
      </c>
      <c r="AE1119" s="526" t="str">
        <f>IF(LANÇ_MOV[[#This Row],[DATA DE VENCIMENTO]]="","",TEXT(LANÇ_MOV[[#This Row],[DATA DE VENCIMENTO]],"AAAA"))</f>
        <v/>
      </c>
      <c r="AF1119" s="526" t="str">
        <f>IF(LANÇ_MOV[[#This Row],[DATA DE VENCIMENTO]]="","",UPPER(TEXT(LANÇ_MOV[[#This Row],[DATA DE VENCIMENTO]],"MMMM")))</f>
        <v/>
      </c>
      <c r="AG1119" s="526" t="str">
        <f>IF(LANÇ_MOV[[#This Row],[DATA DE VENCIMENTO]]="","",TEXT(LANÇ_MOV[[#This Row],[DATA DE VENCIMENTO]],"M"))</f>
        <v/>
      </c>
      <c r="AH1119" s="526" t="str">
        <f>IF(LANÇ_MOV[[#This Row],[DATA DE VENCIMENTO]]="","",TEXT(LANÇ_MOV[[#This Row],[DATA DE VENCIMENTO]],"D"))</f>
        <v/>
      </c>
      <c r="AI1119" s="526" t="str">
        <f>IF(LANÇ_MOV[[#This Row],[DATA DE PAGAMENTO]]="","",TEXT(LANÇ_MOV[[#This Row],[DATA DE PAGAMENTO]],"AAAA"))</f>
        <v/>
      </c>
      <c r="AJ1119" s="527" t="str">
        <f>IF(LANÇ_MOV[[#This Row],[DATA DE PAGAMENTO]]="","",UPPER(TEXT(LANÇ_MOV[[#This Row],[DATA DE PAGAMENTO]],"MMMM")))</f>
        <v/>
      </c>
      <c r="AK1119" s="527" t="str">
        <f>IF(LANÇ_MOV[[#This Row],[DATA DE PAGAMENTO]]="","",TEXT(LANÇ_MOV[[#This Row],[DATA DE PAGAMENTO]],"M"))</f>
        <v/>
      </c>
      <c r="AL1119" s="526" t="str">
        <f>IF(LANÇ_MOV[[#This Row],[DATA DE PAGAMENTO]]="","",TEXT(LANÇ_MOV[[#This Row],[DATA DE PAGAMENTO]],"D"))</f>
        <v/>
      </c>
    </row>
    <row r="1120" spans="2:38" ht="30.05" customHeight="1" x14ac:dyDescent="0.35">
      <c r="B1120" s="506"/>
      <c r="C1120" s="507"/>
      <c r="D1120" s="508" t="s">
        <v>1854</v>
      </c>
      <c r="E1120" s="509"/>
      <c r="F1120" s="510"/>
      <c r="G1120" s="507"/>
      <c r="H1120" s="511"/>
      <c r="I1120" s="512"/>
      <c r="J1120" s="518"/>
      <c r="K1120" s="510"/>
      <c r="L1120" s="510"/>
      <c r="M1120" s="548"/>
      <c r="N1120" s="514">
        <f>LANÇ_MOV[[#This Row],[VALOR BRUTO]]-LANÇ_MOV[[#This Row],[DESCONTO]]+LANÇ_MOV[[#This Row],[JUROS]]+LANÇ_MOV[[#This Row],[MULTA]]</f>
        <v>0</v>
      </c>
      <c r="O1120" s="546"/>
      <c r="P1120" s="547" t="str">
        <f t="shared" ca="1" si="17"/>
        <v/>
      </c>
      <c r="Q1120" s="528"/>
      <c r="R1120" s="529"/>
      <c r="S1120" s="518"/>
      <c r="T1120" s="518"/>
      <c r="U1120" s="519"/>
      <c r="V1120" s="520" t="str">
        <f>IFERROR(VLOOKUP(LANÇ_MOV[[#This Row],[PLANO DE CONTAS]],Plano_Contas[[PLANO DE CONTAS]:[R / D]],3,0),"")</f>
        <v/>
      </c>
      <c r="W1120" s="521" t="str">
        <f>IF(LANÇ_MOV[[#This Row],[DATA DE PAGAMENTO]]&lt;&gt;"","Pago","Não Pago")</f>
        <v>Não Pago</v>
      </c>
      <c r="X1120" s="522" t="str">
        <f>IFERROR(IF(LANÇ_MOV[[#This Row],[DATA DE PAGAMENTO]]="","",(UPPER(TEXT(LANÇ_MOV[[#This Row],[DATA DE PAGAMENTO]],"mmmm")))),"")</f>
        <v/>
      </c>
      <c r="Y1120" s="523" t="str">
        <f>IFERROR(VLOOKUP(LANÇ_MOV[[#This Row],[PLANO DE CONTAS]],Plano_Contas[[PLANO DE CONTAS]:[NOMES INTERVALOS]],2,0),"")</f>
        <v/>
      </c>
      <c r="Z1120" s="523" t="str">
        <f>IF(LANÇ_MOV[[#This Row],[FORMA DE PAGAMENTO]]="","",VLOOKUP(LANÇ_MOV[[#This Row],[FORMA DE PAGAMENTO]],CAD_Forma_pagto[],2,0))</f>
        <v/>
      </c>
      <c r="AA1120" s="524" t="str">
        <f>IF(LANÇ_MOV[[#This Row],[DATA DE LANÇAMENTO]]="","",TEXT(LANÇ_MOV[[#This Row],[DATA DE LANÇAMENTO]],"AAAA"))</f>
        <v/>
      </c>
      <c r="AB1120" s="524" t="str">
        <f>IF(LANÇ_MOV[[#This Row],[DATA DE LANÇAMENTO]]="","",UPPER(TEXT(LANÇ_MOV[[#This Row],[DATA DE LANÇAMENTO]],"MMMM")))</f>
        <v/>
      </c>
      <c r="AC1120" s="525" t="str">
        <f>IF(LANÇ_MOV[[#This Row],[DATA DE LANÇAMENTO]]="","",PROPER(TEXT(LANÇ_MOV[[#This Row],[DATA DE LANÇAMENTO]],"M")))</f>
        <v/>
      </c>
      <c r="AD1120" s="524" t="str">
        <f>IF(LANÇ_MOV[[#This Row],[DATA DE LANÇAMENTO]]="","",TEXT(LANÇ_MOV[[#This Row],[DATA DE LANÇAMENTO]],"D"))</f>
        <v/>
      </c>
      <c r="AE1120" s="526" t="str">
        <f>IF(LANÇ_MOV[[#This Row],[DATA DE VENCIMENTO]]="","",TEXT(LANÇ_MOV[[#This Row],[DATA DE VENCIMENTO]],"AAAA"))</f>
        <v/>
      </c>
      <c r="AF1120" s="526" t="str">
        <f>IF(LANÇ_MOV[[#This Row],[DATA DE VENCIMENTO]]="","",UPPER(TEXT(LANÇ_MOV[[#This Row],[DATA DE VENCIMENTO]],"MMMM")))</f>
        <v/>
      </c>
      <c r="AG1120" s="526" t="str">
        <f>IF(LANÇ_MOV[[#This Row],[DATA DE VENCIMENTO]]="","",TEXT(LANÇ_MOV[[#This Row],[DATA DE VENCIMENTO]],"M"))</f>
        <v/>
      </c>
      <c r="AH1120" s="526" t="str">
        <f>IF(LANÇ_MOV[[#This Row],[DATA DE VENCIMENTO]]="","",TEXT(LANÇ_MOV[[#This Row],[DATA DE VENCIMENTO]],"D"))</f>
        <v/>
      </c>
      <c r="AI1120" s="526" t="str">
        <f>IF(LANÇ_MOV[[#This Row],[DATA DE PAGAMENTO]]="","",TEXT(LANÇ_MOV[[#This Row],[DATA DE PAGAMENTO]],"AAAA"))</f>
        <v/>
      </c>
      <c r="AJ1120" s="527" t="str">
        <f>IF(LANÇ_MOV[[#This Row],[DATA DE PAGAMENTO]]="","",UPPER(TEXT(LANÇ_MOV[[#This Row],[DATA DE PAGAMENTO]],"MMMM")))</f>
        <v/>
      </c>
      <c r="AK1120" s="527" t="str">
        <f>IF(LANÇ_MOV[[#This Row],[DATA DE PAGAMENTO]]="","",TEXT(LANÇ_MOV[[#This Row],[DATA DE PAGAMENTO]],"M"))</f>
        <v/>
      </c>
      <c r="AL1120" s="526" t="str">
        <f>IF(LANÇ_MOV[[#This Row],[DATA DE PAGAMENTO]]="","",TEXT(LANÇ_MOV[[#This Row],[DATA DE PAGAMENTO]],"D"))</f>
        <v/>
      </c>
    </row>
    <row r="1121" spans="2:38" ht="30.05" customHeight="1" x14ac:dyDescent="0.35">
      <c r="B1121" s="506"/>
      <c r="C1121" s="507"/>
      <c r="D1121" s="508" t="s">
        <v>1854</v>
      </c>
      <c r="E1121" s="509"/>
      <c r="F1121" s="510"/>
      <c r="G1121" s="507"/>
      <c r="H1121" s="511"/>
      <c r="I1121" s="512"/>
      <c r="J1121" s="518"/>
      <c r="K1121" s="510"/>
      <c r="L1121" s="510"/>
      <c r="M1121" s="548"/>
      <c r="N1121" s="514">
        <f>LANÇ_MOV[[#This Row],[VALOR BRUTO]]-LANÇ_MOV[[#This Row],[DESCONTO]]+LANÇ_MOV[[#This Row],[JUROS]]+LANÇ_MOV[[#This Row],[MULTA]]</f>
        <v>0</v>
      </c>
      <c r="O1121" s="546"/>
      <c r="P1121" s="547" t="str">
        <f t="shared" ca="1" si="17"/>
        <v/>
      </c>
      <c r="Q1121" s="528"/>
      <c r="R1121" s="529"/>
      <c r="S1121" s="518"/>
      <c r="T1121" s="518"/>
      <c r="U1121" s="519"/>
      <c r="V1121" s="520" t="str">
        <f>IFERROR(VLOOKUP(LANÇ_MOV[[#This Row],[PLANO DE CONTAS]],Plano_Contas[[PLANO DE CONTAS]:[R / D]],3,0),"")</f>
        <v/>
      </c>
      <c r="W1121" s="521" t="str">
        <f>IF(LANÇ_MOV[[#This Row],[DATA DE PAGAMENTO]]&lt;&gt;"","Pago","Não Pago")</f>
        <v>Não Pago</v>
      </c>
      <c r="X1121" s="522" t="str">
        <f>IFERROR(IF(LANÇ_MOV[[#This Row],[DATA DE PAGAMENTO]]="","",(UPPER(TEXT(LANÇ_MOV[[#This Row],[DATA DE PAGAMENTO]],"mmmm")))),"")</f>
        <v/>
      </c>
      <c r="Y1121" s="523" t="str">
        <f>IFERROR(VLOOKUP(LANÇ_MOV[[#This Row],[PLANO DE CONTAS]],Plano_Contas[[PLANO DE CONTAS]:[NOMES INTERVALOS]],2,0),"")</f>
        <v/>
      </c>
      <c r="Z1121" s="523" t="str">
        <f>IF(LANÇ_MOV[[#This Row],[FORMA DE PAGAMENTO]]="","",VLOOKUP(LANÇ_MOV[[#This Row],[FORMA DE PAGAMENTO]],CAD_Forma_pagto[],2,0))</f>
        <v/>
      </c>
      <c r="AA1121" s="524" t="str">
        <f>IF(LANÇ_MOV[[#This Row],[DATA DE LANÇAMENTO]]="","",TEXT(LANÇ_MOV[[#This Row],[DATA DE LANÇAMENTO]],"AAAA"))</f>
        <v/>
      </c>
      <c r="AB1121" s="524" t="str">
        <f>IF(LANÇ_MOV[[#This Row],[DATA DE LANÇAMENTO]]="","",UPPER(TEXT(LANÇ_MOV[[#This Row],[DATA DE LANÇAMENTO]],"MMMM")))</f>
        <v/>
      </c>
      <c r="AC1121" s="525" t="str">
        <f>IF(LANÇ_MOV[[#This Row],[DATA DE LANÇAMENTO]]="","",PROPER(TEXT(LANÇ_MOV[[#This Row],[DATA DE LANÇAMENTO]],"M")))</f>
        <v/>
      </c>
      <c r="AD1121" s="524" t="str">
        <f>IF(LANÇ_MOV[[#This Row],[DATA DE LANÇAMENTO]]="","",TEXT(LANÇ_MOV[[#This Row],[DATA DE LANÇAMENTO]],"D"))</f>
        <v/>
      </c>
      <c r="AE1121" s="526" t="str">
        <f>IF(LANÇ_MOV[[#This Row],[DATA DE VENCIMENTO]]="","",TEXT(LANÇ_MOV[[#This Row],[DATA DE VENCIMENTO]],"AAAA"))</f>
        <v/>
      </c>
      <c r="AF1121" s="526" t="str">
        <f>IF(LANÇ_MOV[[#This Row],[DATA DE VENCIMENTO]]="","",UPPER(TEXT(LANÇ_MOV[[#This Row],[DATA DE VENCIMENTO]],"MMMM")))</f>
        <v/>
      </c>
      <c r="AG1121" s="526" t="str">
        <f>IF(LANÇ_MOV[[#This Row],[DATA DE VENCIMENTO]]="","",TEXT(LANÇ_MOV[[#This Row],[DATA DE VENCIMENTO]],"M"))</f>
        <v/>
      </c>
      <c r="AH1121" s="526" t="str">
        <f>IF(LANÇ_MOV[[#This Row],[DATA DE VENCIMENTO]]="","",TEXT(LANÇ_MOV[[#This Row],[DATA DE VENCIMENTO]],"D"))</f>
        <v/>
      </c>
      <c r="AI1121" s="526" t="str">
        <f>IF(LANÇ_MOV[[#This Row],[DATA DE PAGAMENTO]]="","",TEXT(LANÇ_MOV[[#This Row],[DATA DE PAGAMENTO]],"AAAA"))</f>
        <v/>
      </c>
      <c r="AJ1121" s="527" t="str">
        <f>IF(LANÇ_MOV[[#This Row],[DATA DE PAGAMENTO]]="","",UPPER(TEXT(LANÇ_MOV[[#This Row],[DATA DE PAGAMENTO]],"MMMM")))</f>
        <v/>
      </c>
      <c r="AK1121" s="527" t="str">
        <f>IF(LANÇ_MOV[[#This Row],[DATA DE PAGAMENTO]]="","",TEXT(LANÇ_MOV[[#This Row],[DATA DE PAGAMENTO]],"M"))</f>
        <v/>
      </c>
      <c r="AL1121" s="526" t="str">
        <f>IF(LANÇ_MOV[[#This Row],[DATA DE PAGAMENTO]]="","",TEXT(LANÇ_MOV[[#This Row],[DATA DE PAGAMENTO]],"D"))</f>
        <v/>
      </c>
    </row>
    <row r="1122" spans="2:38" ht="30.05" customHeight="1" x14ac:dyDescent="0.35">
      <c r="B1122" s="506"/>
      <c r="C1122" s="507"/>
      <c r="D1122" s="508" t="s">
        <v>1854</v>
      </c>
      <c r="E1122" s="509"/>
      <c r="F1122" s="510"/>
      <c r="G1122" s="507"/>
      <c r="H1122" s="511"/>
      <c r="I1122" s="512"/>
      <c r="J1122" s="518"/>
      <c r="K1122" s="510"/>
      <c r="L1122" s="510"/>
      <c r="M1122" s="548"/>
      <c r="N1122" s="514">
        <f>LANÇ_MOV[[#This Row],[VALOR BRUTO]]-LANÇ_MOV[[#This Row],[DESCONTO]]+LANÇ_MOV[[#This Row],[JUROS]]+LANÇ_MOV[[#This Row],[MULTA]]</f>
        <v>0</v>
      </c>
      <c r="O1122" s="546"/>
      <c r="P1122" s="547" t="str">
        <f t="shared" ca="1" si="17"/>
        <v/>
      </c>
      <c r="Q1122" s="528"/>
      <c r="R1122" s="529"/>
      <c r="S1122" s="518"/>
      <c r="T1122" s="518"/>
      <c r="U1122" s="519"/>
      <c r="V1122" s="520" t="str">
        <f>IFERROR(VLOOKUP(LANÇ_MOV[[#This Row],[PLANO DE CONTAS]],Plano_Contas[[PLANO DE CONTAS]:[R / D]],3,0),"")</f>
        <v/>
      </c>
      <c r="W1122" s="521" t="str">
        <f>IF(LANÇ_MOV[[#This Row],[DATA DE PAGAMENTO]]&lt;&gt;"","Pago","Não Pago")</f>
        <v>Não Pago</v>
      </c>
      <c r="X1122" s="522" t="str">
        <f>IFERROR(IF(LANÇ_MOV[[#This Row],[DATA DE PAGAMENTO]]="","",(UPPER(TEXT(LANÇ_MOV[[#This Row],[DATA DE PAGAMENTO]],"mmmm")))),"")</f>
        <v/>
      </c>
      <c r="Y1122" s="523" t="str">
        <f>IFERROR(VLOOKUP(LANÇ_MOV[[#This Row],[PLANO DE CONTAS]],Plano_Contas[[PLANO DE CONTAS]:[NOMES INTERVALOS]],2,0),"")</f>
        <v/>
      </c>
      <c r="Z1122" s="523" t="str">
        <f>IF(LANÇ_MOV[[#This Row],[FORMA DE PAGAMENTO]]="","",VLOOKUP(LANÇ_MOV[[#This Row],[FORMA DE PAGAMENTO]],CAD_Forma_pagto[],2,0))</f>
        <v/>
      </c>
      <c r="AA1122" s="524" t="str">
        <f>IF(LANÇ_MOV[[#This Row],[DATA DE LANÇAMENTO]]="","",TEXT(LANÇ_MOV[[#This Row],[DATA DE LANÇAMENTO]],"AAAA"))</f>
        <v/>
      </c>
      <c r="AB1122" s="524" t="str">
        <f>IF(LANÇ_MOV[[#This Row],[DATA DE LANÇAMENTO]]="","",UPPER(TEXT(LANÇ_MOV[[#This Row],[DATA DE LANÇAMENTO]],"MMMM")))</f>
        <v/>
      </c>
      <c r="AC1122" s="525" t="str">
        <f>IF(LANÇ_MOV[[#This Row],[DATA DE LANÇAMENTO]]="","",PROPER(TEXT(LANÇ_MOV[[#This Row],[DATA DE LANÇAMENTO]],"M")))</f>
        <v/>
      </c>
      <c r="AD1122" s="524" t="str">
        <f>IF(LANÇ_MOV[[#This Row],[DATA DE LANÇAMENTO]]="","",TEXT(LANÇ_MOV[[#This Row],[DATA DE LANÇAMENTO]],"D"))</f>
        <v/>
      </c>
      <c r="AE1122" s="526" t="str">
        <f>IF(LANÇ_MOV[[#This Row],[DATA DE VENCIMENTO]]="","",TEXT(LANÇ_MOV[[#This Row],[DATA DE VENCIMENTO]],"AAAA"))</f>
        <v/>
      </c>
      <c r="AF1122" s="526" t="str">
        <f>IF(LANÇ_MOV[[#This Row],[DATA DE VENCIMENTO]]="","",UPPER(TEXT(LANÇ_MOV[[#This Row],[DATA DE VENCIMENTO]],"MMMM")))</f>
        <v/>
      </c>
      <c r="AG1122" s="526" t="str">
        <f>IF(LANÇ_MOV[[#This Row],[DATA DE VENCIMENTO]]="","",TEXT(LANÇ_MOV[[#This Row],[DATA DE VENCIMENTO]],"M"))</f>
        <v/>
      </c>
      <c r="AH1122" s="526" t="str">
        <f>IF(LANÇ_MOV[[#This Row],[DATA DE VENCIMENTO]]="","",TEXT(LANÇ_MOV[[#This Row],[DATA DE VENCIMENTO]],"D"))</f>
        <v/>
      </c>
      <c r="AI1122" s="526" t="str">
        <f>IF(LANÇ_MOV[[#This Row],[DATA DE PAGAMENTO]]="","",TEXT(LANÇ_MOV[[#This Row],[DATA DE PAGAMENTO]],"AAAA"))</f>
        <v/>
      </c>
      <c r="AJ1122" s="527" t="str">
        <f>IF(LANÇ_MOV[[#This Row],[DATA DE PAGAMENTO]]="","",UPPER(TEXT(LANÇ_MOV[[#This Row],[DATA DE PAGAMENTO]],"MMMM")))</f>
        <v/>
      </c>
      <c r="AK1122" s="527" t="str">
        <f>IF(LANÇ_MOV[[#This Row],[DATA DE PAGAMENTO]]="","",TEXT(LANÇ_MOV[[#This Row],[DATA DE PAGAMENTO]],"M"))</f>
        <v/>
      </c>
      <c r="AL1122" s="526" t="str">
        <f>IF(LANÇ_MOV[[#This Row],[DATA DE PAGAMENTO]]="","",TEXT(LANÇ_MOV[[#This Row],[DATA DE PAGAMENTO]],"D"))</f>
        <v/>
      </c>
    </row>
    <row r="1123" spans="2:38" ht="30.05" customHeight="1" x14ac:dyDescent="0.35">
      <c r="B1123" s="506"/>
      <c r="C1123" s="507"/>
      <c r="D1123" s="508" t="s">
        <v>1854</v>
      </c>
      <c r="E1123" s="509"/>
      <c r="F1123" s="510"/>
      <c r="G1123" s="507"/>
      <c r="H1123" s="511"/>
      <c r="I1123" s="512"/>
      <c r="J1123" s="518"/>
      <c r="K1123" s="510"/>
      <c r="L1123" s="510"/>
      <c r="M1123" s="548"/>
      <c r="N1123" s="514">
        <f>LANÇ_MOV[[#This Row],[VALOR BRUTO]]-LANÇ_MOV[[#This Row],[DESCONTO]]+LANÇ_MOV[[#This Row],[JUROS]]+LANÇ_MOV[[#This Row],[MULTA]]</f>
        <v>0</v>
      </c>
      <c r="O1123" s="546"/>
      <c r="P1123" s="547" t="str">
        <f t="shared" ca="1" si="17"/>
        <v/>
      </c>
      <c r="Q1123" s="528"/>
      <c r="R1123" s="529"/>
      <c r="S1123" s="518"/>
      <c r="T1123" s="518"/>
      <c r="U1123" s="519"/>
      <c r="V1123" s="520" t="str">
        <f>IFERROR(VLOOKUP(LANÇ_MOV[[#This Row],[PLANO DE CONTAS]],Plano_Contas[[PLANO DE CONTAS]:[R / D]],3,0),"")</f>
        <v/>
      </c>
      <c r="W1123" s="521" t="str">
        <f>IF(LANÇ_MOV[[#This Row],[DATA DE PAGAMENTO]]&lt;&gt;"","Pago","Não Pago")</f>
        <v>Não Pago</v>
      </c>
      <c r="X1123" s="522" t="str">
        <f>IFERROR(IF(LANÇ_MOV[[#This Row],[DATA DE PAGAMENTO]]="","",(UPPER(TEXT(LANÇ_MOV[[#This Row],[DATA DE PAGAMENTO]],"mmmm")))),"")</f>
        <v/>
      </c>
      <c r="Y1123" s="523" t="str">
        <f>IFERROR(VLOOKUP(LANÇ_MOV[[#This Row],[PLANO DE CONTAS]],Plano_Contas[[PLANO DE CONTAS]:[NOMES INTERVALOS]],2,0),"")</f>
        <v/>
      </c>
      <c r="Z1123" s="523" t="str">
        <f>IF(LANÇ_MOV[[#This Row],[FORMA DE PAGAMENTO]]="","",VLOOKUP(LANÇ_MOV[[#This Row],[FORMA DE PAGAMENTO]],CAD_Forma_pagto[],2,0))</f>
        <v/>
      </c>
      <c r="AA1123" s="524" t="str">
        <f>IF(LANÇ_MOV[[#This Row],[DATA DE LANÇAMENTO]]="","",TEXT(LANÇ_MOV[[#This Row],[DATA DE LANÇAMENTO]],"AAAA"))</f>
        <v/>
      </c>
      <c r="AB1123" s="524" t="str">
        <f>IF(LANÇ_MOV[[#This Row],[DATA DE LANÇAMENTO]]="","",UPPER(TEXT(LANÇ_MOV[[#This Row],[DATA DE LANÇAMENTO]],"MMMM")))</f>
        <v/>
      </c>
      <c r="AC1123" s="525" t="str">
        <f>IF(LANÇ_MOV[[#This Row],[DATA DE LANÇAMENTO]]="","",PROPER(TEXT(LANÇ_MOV[[#This Row],[DATA DE LANÇAMENTO]],"M")))</f>
        <v/>
      </c>
      <c r="AD1123" s="524" t="str">
        <f>IF(LANÇ_MOV[[#This Row],[DATA DE LANÇAMENTO]]="","",TEXT(LANÇ_MOV[[#This Row],[DATA DE LANÇAMENTO]],"D"))</f>
        <v/>
      </c>
      <c r="AE1123" s="526" t="str">
        <f>IF(LANÇ_MOV[[#This Row],[DATA DE VENCIMENTO]]="","",TEXT(LANÇ_MOV[[#This Row],[DATA DE VENCIMENTO]],"AAAA"))</f>
        <v/>
      </c>
      <c r="AF1123" s="526" t="str">
        <f>IF(LANÇ_MOV[[#This Row],[DATA DE VENCIMENTO]]="","",UPPER(TEXT(LANÇ_MOV[[#This Row],[DATA DE VENCIMENTO]],"MMMM")))</f>
        <v/>
      </c>
      <c r="AG1123" s="526" t="str">
        <f>IF(LANÇ_MOV[[#This Row],[DATA DE VENCIMENTO]]="","",TEXT(LANÇ_MOV[[#This Row],[DATA DE VENCIMENTO]],"M"))</f>
        <v/>
      </c>
      <c r="AH1123" s="526" t="str">
        <f>IF(LANÇ_MOV[[#This Row],[DATA DE VENCIMENTO]]="","",TEXT(LANÇ_MOV[[#This Row],[DATA DE VENCIMENTO]],"D"))</f>
        <v/>
      </c>
      <c r="AI1123" s="526" t="str">
        <f>IF(LANÇ_MOV[[#This Row],[DATA DE PAGAMENTO]]="","",TEXT(LANÇ_MOV[[#This Row],[DATA DE PAGAMENTO]],"AAAA"))</f>
        <v/>
      </c>
      <c r="AJ1123" s="527" t="str">
        <f>IF(LANÇ_MOV[[#This Row],[DATA DE PAGAMENTO]]="","",UPPER(TEXT(LANÇ_MOV[[#This Row],[DATA DE PAGAMENTO]],"MMMM")))</f>
        <v/>
      </c>
      <c r="AK1123" s="527" t="str">
        <f>IF(LANÇ_MOV[[#This Row],[DATA DE PAGAMENTO]]="","",TEXT(LANÇ_MOV[[#This Row],[DATA DE PAGAMENTO]],"M"))</f>
        <v/>
      </c>
      <c r="AL1123" s="526" t="str">
        <f>IF(LANÇ_MOV[[#This Row],[DATA DE PAGAMENTO]]="","",TEXT(LANÇ_MOV[[#This Row],[DATA DE PAGAMENTO]],"D"))</f>
        <v/>
      </c>
    </row>
    <row r="1124" spans="2:38" ht="30.05" customHeight="1" x14ac:dyDescent="0.35">
      <c r="B1124" s="506"/>
      <c r="C1124" s="507"/>
      <c r="D1124" s="508" t="s">
        <v>1854</v>
      </c>
      <c r="E1124" s="509"/>
      <c r="F1124" s="510"/>
      <c r="G1124" s="507"/>
      <c r="H1124" s="511"/>
      <c r="I1124" s="512"/>
      <c r="J1124" s="518"/>
      <c r="K1124" s="510"/>
      <c r="L1124" s="510"/>
      <c r="M1124" s="548"/>
      <c r="N1124" s="514">
        <f>LANÇ_MOV[[#This Row],[VALOR BRUTO]]-LANÇ_MOV[[#This Row],[DESCONTO]]+LANÇ_MOV[[#This Row],[JUROS]]+LANÇ_MOV[[#This Row],[MULTA]]</f>
        <v>0</v>
      </c>
      <c r="O1124" s="546"/>
      <c r="P1124" s="547" t="str">
        <f t="shared" ca="1" si="17"/>
        <v/>
      </c>
      <c r="Q1124" s="528"/>
      <c r="R1124" s="529"/>
      <c r="S1124" s="518"/>
      <c r="T1124" s="518"/>
      <c r="U1124" s="519"/>
      <c r="V1124" s="520" t="str">
        <f>IFERROR(VLOOKUP(LANÇ_MOV[[#This Row],[PLANO DE CONTAS]],Plano_Contas[[PLANO DE CONTAS]:[R / D]],3,0),"")</f>
        <v/>
      </c>
      <c r="W1124" s="521" t="str">
        <f>IF(LANÇ_MOV[[#This Row],[DATA DE PAGAMENTO]]&lt;&gt;"","Pago","Não Pago")</f>
        <v>Não Pago</v>
      </c>
      <c r="X1124" s="522" t="str">
        <f>IFERROR(IF(LANÇ_MOV[[#This Row],[DATA DE PAGAMENTO]]="","",(UPPER(TEXT(LANÇ_MOV[[#This Row],[DATA DE PAGAMENTO]],"mmmm")))),"")</f>
        <v/>
      </c>
      <c r="Y1124" s="523" t="str">
        <f>IFERROR(VLOOKUP(LANÇ_MOV[[#This Row],[PLANO DE CONTAS]],Plano_Contas[[PLANO DE CONTAS]:[NOMES INTERVALOS]],2,0),"")</f>
        <v/>
      </c>
      <c r="Z1124" s="523" t="str">
        <f>IF(LANÇ_MOV[[#This Row],[FORMA DE PAGAMENTO]]="","",VLOOKUP(LANÇ_MOV[[#This Row],[FORMA DE PAGAMENTO]],CAD_Forma_pagto[],2,0))</f>
        <v/>
      </c>
      <c r="AA1124" s="524" t="str">
        <f>IF(LANÇ_MOV[[#This Row],[DATA DE LANÇAMENTO]]="","",TEXT(LANÇ_MOV[[#This Row],[DATA DE LANÇAMENTO]],"AAAA"))</f>
        <v/>
      </c>
      <c r="AB1124" s="524" t="str">
        <f>IF(LANÇ_MOV[[#This Row],[DATA DE LANÇAMENTO]]="","",UPPER(TEXT(LANÇ_MOV[[#This Row],[DATA DE LANÇAMENTO]],"MMMM")))</f>
        <v/>
      </c>
      <c r="AC1124" s="525" t="str">
        <f>IF(LANÇ_MOV[[#This Row],[DATA DE LANÇAMENTO]]="","",PROPER(TEXT(LANÇ_MOV[[#This Row],[DATA DE LANÇAMENTO]],"M")))</f>
        <v/>
      </c>
      <c r="AD1124" s="524" t="str">
        <f>IF(LANÇ_MOV[[#This Row],[DATA DE LANÇAMENTO]]="","",TEXT(LANÇ_MOV[[#This Row],[DATA DE LANÇAMENTO]],"D"))</f>
        <v/>
      </c>
      <c r="AE1124" s="526" t="str">
        <f>IF(LANÇ_MOV[[#This Row],[DATA DE VENCIMENTO]]="","",TEXT(LANÇ_MOV[[#This Row],[DATA DE VENCIMENTO]],"AAAA"))</f>
        <v/>
      </c>
      <c r="AF1124" s="526" t="str">
        <f>IF(LANÇ_MOV[[#This Row],[DATA DE VENCIMENTO]]="","",UPPER(TEXT(LANÇ_MOV[[#This Row],[DATA DE VENCIMENTO]],"MMMM")))</f>
        <v/>
      </c>
      <c r="AG1124" s="526" t="str">
        <f>IF(LANÇ_MOV[[#This Row],[DATA DE VENCIMENTO]]="","",TEXT(LANÇ_MOV[[#This Row],[DATA DE VENCIMENTO]],"M"))</f>
        <v/>
      </c>
      <c r="AH1124" s="526" t="str">
        <f>IF(LANÇ_MOV[[#This Row],[DATA DE VENCIMENTO]]="","",TEXT(LANÇ_MOV[[#This Row],[DATA DE VENCIMENTO]],"D"))</f>
        <v/>
      </c>
      <c r="AI1124" s="526" t="str">
        <f>IF(LANÇ_MOV[[#This Row],[DATA DE PAGAMENTO]]="","",TEXT(LANÇ_MOV[[#This Row],[DATA DE PAGAMENTO]],"AAAA"))</f>
        <v/>
      </c>
      <c r="AJ1124" s="527" t="str">
        <f>IF(LANÇ_MOV[[#This Row],[DATA DE PAGAMENTO]]="","",UPPER(TEXT(LANÇ_MOV[[#This Row],[DATA DE PAGAMENTO]],"MMMM")))</f>
        <v/>
      </c>
      <c r="AK1124" s="527" t="str">
        <f>IF(LANÇ_MOV[[#This Row],[DATA DE PAGAMENTO]]="","",TEXT(LANÇ_MOV[[#This Row],[DATA DE PAGAMENTO]],"M"))</f>
        <v/>
      </c>
      <c r="AL1124" s="526" t="str">
        <f>IF(LANÇ_MOV[[#This Row],[DATA DE PAGAMENTO]]="","",TEXT(LANÇ_MOV[[#This Row],[DATA DE PAGAMENTO]],"D"))</f>
        <v/>
      </c>
    </row>
    <row r="1125" spans="2:38" ht="30.05" customHeight="1" x14ac:dyDescent="0.35">
      <c r="B1125" s="506"/>
      <c r="C1125" s="507"/>
      <c r="D1125" s="508" t="s">
        <v>1854</v>
      </c>
      <c r="E1125" s="509"/>
      <c r="F1125" s="510"/>
      <c r="G1125" s="507"/>
      <c r="H1125" s="511"/>
      <c r="I1125" s="512"/>
      <c r="J1125" s="518"/>
      <c r="K1125" s="510"/>
      <c r="L1125" s="510"/>
      <c r="M1125" s="548"/>
      <c r="N1125" s="514">
        <f>LANÇ_MOV[[#This Row],[VALOR BRUTO]]-LANÇ_MOV[[#This Row],[DESCONTO]]+LANÇ_MOV[[#This Row],[JUROS]]+LANÇ_MOV[[#This Row],[MULTA]]</f>
        <v>0</v>
      </c>
      <c r="O1125" s="546"/>
      <c r="P1125" s="547" t="str">
        <f t="shared" ca="1" si="17"/>
        <v/>
      </c>
      <c r="Q1125" s="528"/>
      <c r="R1125" s="529"/>
      <c r="S1125" s="518"/>
      <c r="T1125" s="518"/>
      <c r="U1125" s="519"/>
      <c r="V1125" s="520" t="str">
        <f>IFERROR(VLOOKUP(LANÇ_MOV[[#This Row],[PLANO DE CONTAS]],Plano_Contas[[PLANO DE CONTAS]:[R / D]],3,0),"")</f>
        <v/>
      </c>
      <c r="W1125" s="521" t="str">
        <f>IF(LANÇ_MOV[[#This Row],[DATA DE PAGAMENTO]]&lt;&gt;"","Pago","Não Pago")</f>
        <v>Não Pago</v>
      </c>
      <c r="X1125" s="522" t="str">
        <f>IFERROR(IF(LANÇ_MOV[[#This Row],[DATA DE PAGAMENTO]]="","",(UPPER(TEXT(LANÇ_MOV[[#This Row],[DATA DE PAGAMENTO]],"mmmm")))),"")</f>
        <v/>
      </c>
      <c r="Y1125" s="523" t="str">
        <f>IFERROR(VLOOKUP(LANÇ_MOV[[#This Row],[PLANO DE CONTAS]],Plano_Contas[[PLANO DE CONTAS]:[NOMES INTERVALOS]],2,0),"")</f>
        <v/>
      </c>
      <c r="Z1125" s="523" t="str">
        <f>IF(LANÇ_MOV[[#This Row],[FORMA DE PAGAMENTO]]="","",VLOOKUP(LANÇ_MOV[[#This Row],[FORMA DE PAGAMENTO]],CAD_Forma_pagto[],2,0))</f>
        <v/>
      </c>
      <c r="AA1125" s="524" t="str">
        <f>IF(LANÇ_MOV[[#This Row],[DATA DE LANÇAMENTO]]="","",TEXT(LANÇ_MOV[[#This Row],[DATA DE LANÇAMENTO]],"AAAA"))</f>
        <v/>
      </c>
      <c r="AB1125" s="524" t="str">
        <f>IF(LANÇ_MOV[[#This Row],[DATA DE LANÇAMENTO]]="","",UPPER(TEXT(LANÇ_MOV[[#This Row],[DATA DE LANÇAMENTO]],"MMMM")))</f>
        <v/>
      </c>
      <c r="AC1125" s="525" t="str">
        <f>IF(LANÇ_MOV[[#This Row],[DATA DE LANÇAMENTO]]="","",PROPER(TEXT(LANÇ_MOV[[#This Row],[DATA DE LANÇAMENTO]],"M")))</f>
        <v/>
      </c>
      <c r="AD1125" s="524" t="str">
        <f>IF(LANÇ_MOV[[#This Row],[DATA DE LANÇAMENTO]]="","",TEXT(LANÇ_MOV[[#This Row],[DATA DE LANÇAMENTO]],"D"))</f>
        <v/>
      </c>
      <c r="AE1125" s="526" t="str">
        <f>IF(LANÇ_MOV[[#This Row],[DATA DE VENCIMENTO]]="","",TEXT(LANÇ_MOV[[#This Row],[DATA DE VENCIMENTO]],"AAAA"))</f>
        <v/>
      </c>
      <c r="AF1125" s="526" t="str">
        <f>IF(LANÇ_MOV[[#This Row],[DATA DE VENCIMENTO]]="","",UPPER(TEXT(LANÇ_MOV[[#This Row],[DATA DE VENCIMENTO]],"MMMM")))</f>
        <v/>
      </c>
      <c r="AG1125" s="526" t="str">
        <f>IF(LANÇ_MOV[[#This Row],[DATA DE VENCIMENTO]]="","",TEXT(LANÇ_MOV[[#This Row],[DATA DE VENCIMENTO]],"M"))</f>
        <v/>
      </c>
      <c r="AH1125" s="526" t="str">
        <f>IF(LANÇ_MOV[[#This Row],[DATA DE VENCIMENTO]]="","",TEXT(LANÇ_MOV[[#This Row],[DATA DE VENCIMENTO]],"D"))</f>
        <v/>
      </c>
      <c r="AI1125" s="526" t="str">
        <f>IF(LANÇ_MOV[[#This Row],[DATA DE PAGAMENTO]]="","",TEXT(LANÇ_MOV[[#This Row],[DATA DE PAGAMENTO]],"AAAA"))</f>
        <v/>
      </c>
      <c r="AJ1125" s="527" t="str">
        <f>IF(LANÇ_MOV[[#This Row],[DATA DE PAGAMENTO]]="","",UPPER(TEXT(LANÇ_MOV[[#This Row],[DATA DE PAGAMENTO]],"MMMM")))</f>
        <v/>
      </c>
      <c r="AK1125" s="527" t="str">
        <f>IF(LANÇ_MOV[[#This Row],[DATA DE PAGAMENTO]]="","",TEXT(LANÇ_MOV[[#This Row],[DATA DE PAGAMENTO]],"M"))</f>
        <v/>
      </c>
      <c r="AL1125" s="526" t="str">
        <f>IF(LANÇ_MOV[[#This Row],[DATA DE PAGAMENTO]]="","",TEXT(LANÇ_MOV[[#This Row],[DATA DE PAGAMENTO]],"D"))</f>
        <v/>
      </c>
    </row>
    <row r="1126" spans="2:38" ht="30.05" customHeight="1" x14ac:dyDescent="0.35">
      <c r="B1126" s="506"/>
      <c r="C1126" s="507"/>
      <c r="D1126" s="508" t="s">
        <v>1854</v>
      </c>
      <c r="E1126" s="509"/>
      <c r="F1126" s="510"/>
      <c r="G1126" s="507"/>
      <c r="H1126" s="511"/>
      <c r="I1126" s="512"/>
      <c r="J1126" s="518"/>
      <c r="K1126" s="510"/>
      <c r="L1126" s="510"/>
      <c r="M1126" s="548"/>
      <c r="N1126" s="514">
        <f>LANÇ_MOV[[#This Row],[VALOR BRUTO]]-LANÇ_MOV[[#This Row],[DESCONTO]]+LANÇ_MOV[[#This Row],[JUROS]]+LANÇ_MOV[[#This Row],[MULTA]]</f>
        <v>0</v>
      </c>
      <c r="O1126" s="546"/>
      <c r="P1126" s="547" t="str">
        <f t="shared" ca="1" si="17"/>
        <v/>
      </c>
      <c r="Q1126" s="528"/>
      <c r="R1126" s="529"/>
      <c r="S1126" s="518"/>
      <c r="T1126" s="518"/>
      <c r="U1126" s="519"/>
      <c r="V1126" s="520" t="str">
        <f>IFERROR(VLOOKUP(LANÇ_MOV[[#This Row],[PLANO DE CONTAS]],Plano_Contas[[PLANO DE CONTAS]:[R / D]],3,0),"")</f>
        <v/>
      </c>
      <c r="W1126" s="521" t="str">
        <f>IF(LANÇ_MOV[[#This Row],[DATA DE PAGAMENTO]]&lt;&gt;"","Pago","Não Pago")</f>
        <v>Não Pago</v>
      </c>
      <c r="X1126" s="522" t="str">
        <f>IFERROR(IF(LANÇ_MOV[[#This Row],[DATA DE PAGAMENTO]]="","",(UPPER(TEXT(LANÇ_MOV[[#This Row],[DATA DE PAGAMENTO]],"mmmm")))),"")</f>
        <v/>
      </c>
      <c r="Y1126" s="523" t="str">
        <f>IFERROR(VLOOKUP(LANÇ_MOV[[#This Row],[PLANO DE CONTAS]],Plano_Contas[[PLANO DE CONTAS]:[NOMES INTERVALOS]],2,0),"")</f>
        <v/>
      </c>
      <c r="Z1126" s="523" t="str">
        <f>IF(LANÇ_MOV[[#This Row],[FORMA DE PAGAMENTO]]="","",VLOOKUP(LANÇ_MOV[[#This Row],[FORMA DE PAGAMENTO]],CAD_Forma_pagto[],2,0))</f>
        <v/>
      </c>
      <c r="AA1126" s="524" t="str">
        <f>IF(LANÇ_MOV[[#This Row],[DATA DE LANÇAMENTO]]="","",TEXT(LANÇ_MOV[[#This Row],[DATA DE LANÇAMENTO]],"AAAA"))</f>
        <v/>
      </c>
      <c r="AB1126" s="524" t="str">
        <f>IF(LANÇ_MOV[[#This Row],[DATA DE LANÇAMENTO]]="","",UPPER(TEXT(LANÇ_MOV[[#This Row],[DATA DE LANÇAMENTO]],"MMMM")))</f>
        <v/>
      </c>
      <c r="AC1126" s="525" t="str">
        <f>IF(LANÇ_MOV[[#This Row],[DATA DE LANÇAMENTO]]="","",PROPER(TEXT(LANÇ_MOV[[#This Row],[DATA DE LANÇAMENTO]],"M")))</f>
        <v/>
      </c>
      <c r="AD1126" s="524" t="str">
        <f>IF(LANÇ_MOV[[#This Row],[DATA DE LANÇAMENTO]]="","",TEXT(LANÇ_MOV[[#This Row],[DATA DE LANÇAMENTO]],"D"))</f>
        <v/>
      </c>
      <c r="AE1126" s="526" t="str">
        <f>IF(LANÇ_MOV[[#This Row],[DATA DE VENCIMENTO]]="","",TEXT(LANÇ_MOV[[#This Row],[DATA DE VENCIMENTO]],"AAAA"))</f>
        <v/>
      </c>
      <c r="AF1126" s="526" t="str">
        <f>IF(LANÇ_MOV[[#This Row],[DATA DE VENCIMENTO]]="","",UPPER(TEXT(LANÇ_MOV[[#This Row],[DATA DE VENCIMENTO]],"MMMM")))</f>
        <v/>
      </c>
      <c r="AG1126" s="526" t="str">
        <f>IF(LANÇ_MOV[[#This Row],[DATA DE VENCIMENTO]]="","",TEXT(LANÇ_MOV[[#This Row],[DATA DE VENCIMENTO]],"M"))</f>
        <v/>
      </c>
      <c r="AH1126" s="526" t="str">
        <f>IF(LANÇ_MOV[[#This Row],[DATA DE VENCIMENTO]]="","",TEXT(LANÇ_MOV[[#This Row],[DATA DE VENCIMENTO]],"D"))</f>
        <v/>
      </c>
      <c r="AI1126" s="526" t="str">
        <f>IF(LANÇ_MOV[[#This Row],[DATA DE PAGAMENTO]]="","",TEXT(LANÇ_MOV[[#This Row],[DATA DE PAGAMENTO]],"AAAA"))</f>
        <v/>
      </c>
      <c r="AJ1126" s="527" t="str">
        <f>IF(LANÇ_MOV[[#This Row],[DATA DE PAGAMENTO]]="","",UPPER(TEXT(LANÇ_MOV[[#This Row],[DATA DE PAGAMENTO]],"MMMM")))</f>
        <v/>
      </c>
      <c r="AK1126" s="527" t="str">
        <f>IF(LANÇ_MOV[[#This Row],[DATA DE PAGAMENTO]]="","",TEXT(LANÇ_MOV[[#This Row],[DATA DE PAGAMENTO]],"M"))</f>
        <v/>
      </c>
      <c r="AL1126" s="526" t="str">
        <f>IF(LANÇ_MOV[[#This Row],[DATA DE PAGAMENTO]]="","",TEXT(LANÇ_MOV[[#This Row],[DATA DE PAGAMENTO]],"D"))</f>
        <v/>
      </c>
    </row>
    <row r="1127" spans="2:38" ht="30.05" customHeight="1" x14ac:dyDescent="0.35">
      <c r="B1127" s="506"/>
      <c r="C1127" s="507"/>
      <c r="D1127" s="508" t="s">
        <v>1854</v>
      </c>
      <c r="E1127" s="509"/>
      <c r="F1127" s="510"/>
      <c r="G1127" s="507"/>
      <c r="H1127" s="511"/>
      <c r="I1127" s="512"/>
      <c r="J1127" s="518"/>
      <c r="K1127" s="510"/>
      <c r="L1127" s="510"/>
      <c r="M1127" s="548"/>
      <c r="N1127" s="514">
        <f>LANÇ_MOV[[#This Row],[VALOR BRUTO]]-LANÇ_MOV[[#This Row],[DESCONTO]]+LANÇ_MOV[[#This Row],[JUROS]]+LANÇ_MOV[[#This Row],[MULTA]]</f>
        <v>0</v>
      </c>
      <c r="O1127" s="546"/>
      <c r="P1127" s="547" t="str">
        <f t="shared" ca="1" si="17"/>
        <v/>
      </c>
      <c r="Q1127" s="528"/>
      <c r="R1127" s="529"/>
      <c r="S1127" s="518"/>
      <c r="T1127" s="518"/>
      <c r="U1127" s="519"/>
      <c r="V1127" s="520" t="str">
        <f>IFERROR(VLOOKUP(LANÇ_MOV[[#This Row],[PLANO DE CONTAS]],Plano_Contas[[PLANO DE CONTAS]:[R / D]],3,0),"")</f>
        <v/>
      </c>
      <c r="W1127" s="521" t="str">
        <f>IF(LANÇ_MOV[[#This Row],[DATA DE PAGAMENTO]]&lt;&gt;"","Pago","Não Pago")</f>
        <v>Não Pago</v>
      </c>
      <c r="X1127" s="522" t="str">
        <f>IFERROR(IF(LANÇ_MOV[[#This Row],[DATA DE PAGAMENTO]]="","",(UPPER(TEXT(LANÇ_MOV[[#This Row],[DATA DE PAGAMENTO]],"mmmm")))),"")</f>
        <v/>
      </c>
      <c r="Y1127" s="523" t="str">
        <f>IFERROR(VLOOKUP(LANÇ_MOV[[#This Row],[PLANO DE CONTAS]],Plano_Contas[[PLANO DE CONTAS]:[NOMES INTERVALOS]],2,0),"")</f>
        <v/>
      </c>
      <c r="Z1127" s="523" t="str">
        <f>IF(LANÇ_MOV[[#This Row],[FORMA DE PAGAMENTO]]="","",VLOOKUP(LANÇ_MOV[[#This Row],[FORMA DE PAGAMENTO]],CAD_Forma_pagto[],2,0))</f>
        <v/>
      </c>
      <c r="AA1127" s="524" t="str">
        <f>IF(LANÇ_MOV[[#This Row],[DATA DE LANÇAMENTO]]="","",TEXT(LANÇ_MOV[[#This Row],[DATA DE LANÇAMENTO]],"AAAA"))</f>
        <v/>
      </c>
      <c r="AB1127" s="524" t="str">
        <f>IF(LANÇ_MOV[[#This Row],[DATA DE LANÇAMENTO]]="","",UPPER(TEXT(LANÇ_MOV[[#This Row],[DATA DE LANÇAMENTO]],"MMMM")))</f>
        <v/>
      </c>
      <c r="AC1127" s="525" t="str">
        <f>IF(LANÇ_MOV[[#This Row],[DATA DE LANÇAMENTO]]="","",PROPER(TEXT(LANÇ_MOV[[#This Row],[DATA DE LANÇAMENTO]],"M")))</f>
        <v/>
      </c>
      <c r="AD1127" s="524" t="str">
        <f>IF(LANÇ_MOV[[#This Row],[DATA DE LANÇAMENTO]]="","",TEXT(LANÇ_MOV[[#This Row],[DATA DE LANÇAMENTO]],"D"))</f>
        <v/>
      </c>
      <c r="AE1127" s="526" t="str">
        <f>IF(LANÇ_MOV[[#This Row],[DATA DE VENCIMENTO]]="","",TEXT(LANÇ_MOV[[#This Row],[DATA DE VENCIMENTO]],"AAAA"))</f>
        <v/>
      </c>
      <c r="AF1127" s="526" t="str">
        <f>IF(LANÇ_MOV[[#This Row],[DATA DE VENCIMENTO]]="","",UPPER(TEXT(LANÇ_MOV[[#This Row],[DATA DE VENCIMENTO]],"MMMM")))</f>
        <v/>
      </c>
      <c r="AG1127" s="526" t="str">
        <f>IF(LANÇ_MOV[[#This Row],[DATA DE VENCIMENTO]]="","",TEXT(LANÇ_MOV[[#This Row],[DATA DE VENCIMENTO]],"M"))</f>
        <v/>
      </c>
      <c r="AH1127" s="526" t="str">
        <f>IF(LANÇ_MOV[[#This Row],[DATA DE VENCIMENTO]]="","",TEXT(LANÇ_MOV[[#This Row],[DATA DE VENCIMENTO]],"D"))</f>
        <v/>
      </c>
      <c r="AI1127" s="526" t="str">
        <f>IF(LANÇ_MOV[[#This Row],[DATA DE PAGAMENTO]]="","",TEXT(LANÇ_MOV[[#This Row],[DATA DE PAGAMENTO]],"AAAA"))</f>
        <v/>
      </c>
      <c r="AJ1127" s="527" t="str">
        <f>IF(LANÇ_MOV[[#This Row],[DATA DE PAGAMENTO]]="","",UPPER(TEXT(LANÇ_MOV[[#This Row],[DATA DE PAGAMENTO]],"MMMM")))</f>
        <v/>
      </c>
      <c r="AK1127" s="527" t="str">
        <f>IF(LANÇ_MOV[[#This Row],[DATA DE PAGAMENTO]]="","",TEXT(LANÇ_MOV[[#This Row],[DATA DE PAGAMENTO]],"M"))</f>
        <v/>
      </c>
      <c r="AL1127" s="526" t="str">
        <f>IF(LANÇ_MOV[[#This Row],[DATA DE PAGAMENTO]]="","",TEXT(LANÇ_MOV[[#This Row],[DATA DE PAGAMENTO]],"D"))</f>
        <v/>
      </c>
    </row>
    <row r="1128" spans="2:38" ht="30.05" customHeight="1" x14ac:dyDescent="0.35">
      <c r="B1128" s="506"/>
      <c r="C1128" s="507"/>
      <c r="D1128" s="508" t="s">
        <v>1854</v>
      </c>
      <c r="E1128" s="509"/>
      <c r="F1128" s="510"/>
      <c r="G1128" s="507"/>
      <c r="H1128" s="511"/>
      <c r="I1128" s="512"/>
      <c r="J1128" s="518"/>
      <c r="K1128" s="510"/>
      <c r="L1128" s="510"/>
      <c r="M1128" s="548"/>
      <c r="N1128" s="514">
        <f>LANÇ_MOV[[#This Row],[VALOR BRUTO]]-LANÇ_MOV[[#This Row],[DESCONTO]]+LANÇ_MOV[[#This Row],[JUROS]]+LANÇ_MOV[[#This Row],[MULTA]]</f>
        <v>0</v>
      </c>
      <c r="O1128" s="546"/>
      <c r="P1128" s="547" t="str">
        <f t="shared" ca="1" si="17"/>
        <v/>
      </c>
      <c r="Q1128" s="528"/>
      <c r="R1128" s="529"/>
      <c r="S1128" s="518"/>
      <c r="T1128" s="518"/>
      <c r="U1128" s="519"/>
      <c r="V1128" s="520" t="str">
        <f>IFERROR(VLOOKUP(LANÇ_MOV[[#This Row],[PLANO DE CONTAS]],Plano_Contas[[PLANO DE CONTAS]:[R / D]],3,0),"")</f>
        <v/>
      </c>
      <c r="W1128" s="521" t="str">
        <f>IF(LANÇ_MOV[[#This Row],[DATA DE PAGAMENTO]]&lt;&gt;"","Pago","Não Pago")</f>
        <v>Não Pago</v>
      </c>
      <c r="X1128" s="522" t="str">
        <f>IFERROR(IF(LANÇ_MOV[[#This Row],[DATA DE PAGAMENTO]]="","",(UPPER(TEXT(LANÇ_MOV[[#This Row],[DATA DE PAGAMENTO]],"mmmm")))),"")</f>
        <v/>
      </c>
      <c r="Y1128" s="523" t="str">
        <f>IFERROR(VLOOKUP(LANÇ_MOV[[#This Row],[PLANO DE CONTAS]],Plano_Contas[[PLANO DE CONTAS]:[NOMES INTERVALOS]],2,0),"")</f>
        <v/>
      </c>
      <c r="Z1128" s="523" t="str">
        <f>IF(LANÇ_MOV[[#This Row],[FORMA DE PAGAMENTO]]="","",VLOOKUP(LANÇ_MOV[[#This Row],[FORMA DE PAGAMENTO]],CAD_Forma_pagto[],2,0))</f>
        <v/>
      </c>
      <c r="AA1128" s="524" t="str">
        <f>IF(LANÇ_MOV[[#This Row],[DATA DE LANÇAMENTO]]="","",TEXT(LANÇ_MOV[[#This Row],[DATA DE LANÇAMENTO]],"AAAA"))</f>
        <v/>
      </c>
      <c r="AB1128" s="524" t="str">
        <f>IF(LANÇ_MOV[[#This Row],[DATA DE LANÇAMENTO]]="","",UPPER(TEXT(LANÇ_MOV[[#This Row],[DATA DE LANÇAMENTO]],"MMMM")))</f>
        <v/>
      </c>
      <c r="AC1128" s="525" t="str">
        <f>IF(LANÇ_MOV[[#This Row],[DATA DE LANÇAMENTO]]="","",PROPER(TEXT(LANÇ_MOV[[#This Row],[DATA DE LANÇAMENTO]],"M")))</f>
        <v/>
      </c>
      <c r="AD1128" s="524" t="str">
        <f>IF(LANÇ_MOV[[#This Row],[DATA DE LANÇAMENTO]]="","",TEXT(LANÇ_MOV[[#This Row],[DATA DE LANÇAMENTO]],"D"))</f>
        <v/>
      </c>
      <c r="AE1128" s="526" t="str">
        <f>IF(LANÇ_MOV[[#This Row],[DATA DE VENCIMENTO]]="","",TEXT(LANÇ_MOV[[#This Row],[DATA DE VENCIMENTO]],"AAAA"))</f>
        <v/>
      </c>
      <c r="AF1128" s="526" t="str">
        <f>IF(LANÇ_MOV[[#This Row],[DATA DE VENCIMENTO]]="","",UPPER(TEXT(LANÇ_MOV[[#This Row],[DATA DE VENCIMENTO]],"MMMM")))</f>
        <v/>
      </c>
      <c r="AG1128" s="526" t="str">
        <f>IF(LANÇ_MOV[[#This Row],[DATA DE VENCIMENTO]]="","",TEXT(LANÇ_MOV[[#This Row],[DATA DE VENCIMENTO]],"M"))</f>
        <v/>
      </c>
      <c r="AH1128" s="526" t="str">
        <f>IF(LANÇ_MOV[[#This Row],[DATA DE VENCIMENTO]]="","",TEXT(LANÇ_MOV[[#This Row],[DATA DE VENCIMENTO]],"D"))</f>
        <v/>
      </c>
      <c r="AI1128" s="526" t="str">
        <f>IF(LANÇ_MOV[[#This Row],[DATA DE PAGAMENTO]]="","",TEXT(LANÇ_MOV[[#This Row],[DATA DE PAGAMENTO]],"AAAA"))</f>
        <v/>
      </c>
      <c r="AJ1128" s="527" t="str">
        <f>IF(LANÇ_MOV[[#This Row],[DATA DE PAGAMENTO]]="","",UPPER(TEXT(LANÇ_MOV[[#This Row],[DATA DE PAGAMENTO]],"MMMM")))</f>
        <v/>
      </c>
      <c r="AK1128" s="527" t="str">
        <f>IF(LANÇ_MOV[[#This Row],[DATA DE PAGAMENTO]]="","",TEXT(LANÇ_MOV[[#This Row],[DATA DE PAGAMENTO]],"M"))</f>
        <v/>
      </c>
      <c r="AL1128" s="526" t="str">
        <f>IF(LANÇ_MOV[[#This Row],[DATA DE PAGAMENTO]]="","",TEXT(LANÇ_MOV[[#This Row],[DATA DE PAGAMENTO]],"D"))</f>
        <v/>
      </c>
    </row>
    <row r="1129" spans="2:38" ht="30.05" customHeight="1" x14ac:dyDescent="0.35">
      <c r="B1129" s="506"/>
      <c r="C1129" s="507"/>
      <c r="D1129" s="508" t="s">
        <v>1854</v>
      </c>
      <c r="E1129" s="509"/>
      <c r="F1129" s="510"/>
      <c r="G1129" s="507"/>
      <c r="H1129" s="511"/>
      <c r="I1129" s="512"/>
      <c r="J1129" s="518"/>
      <c r="K1129" s="510"/>
      <c r="L1129" s="510"/>
      <c r="M1129" s="548"/>
      <c r="N1129" s="514">
        <f>LANÇ_MOV[[#This Row],[VALOR BRUTO]]-LANÇ_MOV[[#This Row],[DESCONTO]]+LANÇ_MOV[[#This Row],[JUROS]]+LANÇ_MOV[[#This Row],[MULTA]]</f>
        <v>0</v>
      </c>
      <c r="O1129" s="546"/>
      <c r="P1129" s="547" t="str">
        <f t="shared" ca="1" si="17"/>
        <v/>
      </c>
      <c r="Q1129" s="528"/>
      <c r="R1129" s="529"/>
      <c r="S1129" s="518"/>
      <c r="T1129" s="518"/>
      <c r="U1129" s="519"/>
      <c r="V1129" s="520" t="str">
        <f>IFERROR(VLOOKUP(LANÇ_MOV[[#This Row],[PLANO DE CONTAS]],Plano_Contas[[PLANO DE CONTAS]:[R / D]],3,0),"")</f>
        <v/>
      </c>
      <c r="W1129" s="521" t="str">
        <f>IF(LANÇ_MOV[[#This Row],[DATA DE PAGAMENTO]]&lt;&gt;"","Pago","Não Pago")</f>
        <v>Não Pago</v>
      </c>
      <c r="X1129" s="522" t="str">
        <f>IFERROR(IF(LANÇ_MOV[[#This Row],[DATA DE PAGAMENTO]]="","",(UPPER(TEXT(LANÇ_MOV[[#This Row],[DATA DE PAGAMENTO]],"mmmm")))),"")</f>
        <v/>
      </c>
      <c r="Y1129" s="523" t="str">
        <f>IFERROR(VLOOKUP(LANÇ_MOV[[#This Row],[PLANO DE CONTAS]],Plano_Contas[[PLANO DE CONTAS]:[NOMES INTERVALOS]],2,0),"")</f>
        <v/>
      </c>
      <c r="Z1129" s="523" t="str">
        <f>IF(LANÇ_MOV[[#This Row],[FORMA DE PAGAMENTO]]="","",VLOOKUP(LANÇ_MOV[[#This Row],[FORMA DE PAGAMENTO]],CAD_Forma_pagto[],2,0))</f>
        <v/>
      </c>
      <c r="AA1129" s="524" t="str">
        <f>IF(LANÇ_MOV[[#This Row],[DATA DE LANÇAMENTO]]="","",TEXT(LANÇ_MOV[[#This Row],[DATA DE LANÇAMENTO]],"AAAA"))</f>
        <v/>
      </c>
      <c r="AB1129" s="524" t="str">
        <f>IF(LANÇ_MOV[[#This Row],[DATA DE LANÇAMENTO]]="","",UPPER(TEXT(LANÇ_MOV[[#This Row],[DATA DE LANÇAMENTO]],"MMMM")))</f>
        <v/>
      </c>
      <c r="AC1129" s="525" t="str">
        <f>IF(LANÇ_MOV[[#This Row],[DATA DE LANÇAMENTO]]="","",PROPER(TEXT(LANÇ_MOV[[#This Row],[DATA DE LANÇAMENTO]],"M")))</f>
        <v/>
      </c>
      <c r="AD1129" s="524" t="str">
        <f>IF(LANÇ_MOV[[#This Row],[DATA DE LANÇAMENTO]]="","",TEXT(LANÇ_MOV[[#This Row],[DATA DE LANÇAMENTO]],"D"))</f>
        <v/>
      </c>
      <c r="AE1129" s="526" t="str">
        <f>IF(LANÇ_MOV[[#This Row],[DATA DE VENCIMENTO]]="","",TEXT(LANÇ_MOV[[#This Row],[DATA DE VENCIMENTO]],"AAAA"))</f>
        <v/>
      </c>
      <c r="AF1129" s="526" t="str">
        <f>IF(LANÇ_MOV[[#This Row],[DATA DE VENCIMENTO]]="","",UPPER(TEXT(LANÇ_MOV[[#This Row],[DATA DE VENCIMENTO]],"MMMM")))</f>
        <v/>
      </c>
      <c r="AG1129" s="526" t="str">
        <f>IF(LANÇ_MOV[[#This Row],[DATA DE VENCIMENTO]]="","",TEXT(LANÇ_MOV[[#This Row],[DATA DE VENCIMENTO]],"M"))</f>
        <v/>
      </c>
      <c r="AH1129" s="526" t="str">
        <f>IF(LANÇ_MOV[[#This Row],[DATA DE VENCIMENTO]]="","",TEXT(LANÇ_MOV[[#This Row],[DATA DE VENCIMENTO]],"D"))</f>
        <v/>
      </c>
      <c r="AI1129" s="526" t="str">
        <f>IF(LANÇ_MOV[[#This Row],[DATA DE PAGAMENTO]]="","",TEXT(LANÇ_MOV[[#This Row],[DATA DE PAGAMENTO]],"AAAA"))</f>
        <v/>
      </c>
      <c r="AJ1129" s="527" t="str">
        <f>IF(LANÇ_MOV[[#This Row],[DATA DE PAGAMENTO]]="","",UPPER(TEXT(LANÇ_MOV[[#This Row],[DATA DE PAGAMENTO]],"MMMM")))</f>
        <v/>
      </c>
      <c r="AK1129" s="527" t="str">
        <f>IF(LANÇ_MOV[[#This Row],[DATA DE PAGAMENTO]]="","",TEXT(LANÇ_MOV[[#This Row],[DATA DE PAGAMENTO]],"M"))</f>
        <v/>
      </c>
      <c r="AL1129" s="526" t="str">
        <f>IF(LANÇ_MOV[[#This Row],[DATA DE PAGAMENTO]]="","",TEXT(LANÇ_MOV[[#This Row],[DATA DE PAGAMENTO]],"D"))</f>
        <v/>
      </c>
    </row>
    <row r="1130" spans="2:38" ht="30.05" customHeight="1" x14ac:dyDescent="0.35">
      <c r="B1130" s="506"/>
      <c r="C1130" s="507"/>
      <c r="D1130" s="508" t="s">
        <v>1854</v>
      </c>
      <c r="E1130" s="509"/>
      <c r="F1130" s="510"/>
      <c r="G1130" s="507"/>
      <c r="H1130" s="511"/>
      <c r="I1130" s="512"/>
      <c r="J1130" s="518"/>
      <c r="K1130" s="510"/>
      <c r="L1130" s="510"/>
      <c r="M1130" s="548"/>
      <c r="N1130" s="514">
        <f>LANÇ_MOV[[#This Row],[VALOR BRUTO]]-LANÇ_MOV[[#This Row],[DESCONTO]]+LANÇ_MOV[[#This Row],[JUROS]]+LANÇ_MOV[[#This Row],[MULTA]]</f>
        <v>0</v>
      </c>
      <c r="O1130" s="546"/>
      <c r="P1130" s="547" t="str">
        <f t="shared" ca="1" si="17"/>
        <v/>
      </c>
      <c r="Q1130" s="528"/>
      <c r="R1130" s="529"/>
      <c r="S1130" s="518"/>
      <c r="T1130" s="518"/>
      <c r="U1130" s="519"/>
      <c r="V1130" s="520" t="str">
        <f>IFERROR(VLOOKUP(LANÇ_MOV[[#This Row],[PLANO DE CONTAS]],Plano_Contas[[PLANO DE CONTAS]:[R / D]],3,0),"")</f>
        <v/>
      </c>
      <c r="W1130" s="521" t="str">
        <f>IF(LANÇ_MOV[[#This Row],[DATA DE PAGAMENTO]]&lt;&gt;"","Pago","Não Pago")</f>
        <v>Não Pago</v>
      </c>
      <c r="X1130" s="522" t="str">
        <f>IFERROR(IF(LANÇ_MOV[[#This Row],[DATA DE PAGAMENTO]]="","",(UPPER(TEXT(LANÇ_MOV[[#This Row],[DATA DE PAGAMENTO]],"mmmm")))),"")</f>
        <v/>
      </c>
      <c r="Y1130" s="523" t="str">
        <f>IFERROR(VLOOKUP(LANÇ_MOV[[#This Row],[PLANO DE CONTAS]],Plano_Contas[[PLANO DE CONTAS]:[NOMES INTERVALOS]],2,0),"")</f>
        <v/>
      </c>
      <c r="Z1130" s="523" t="str">
        <f>IF(LANÇ_MOV[[#This Row],[FORMA DE PAGAMENTO]]="","",VLOOKUP(LANÇ_MOV[[#This Row],[FORMA DE PAGAMENTO]],CAD_Forma_pagto[],2,0))</f>
        <v/>
      </c>
      <c r="AA1130" s="524" t="str">
        <f>IF(LANÇ_MOV[[#This Row],[DATA DE LANÇAMENTO]]="","",TEXT(LANÇ_MOV[[#This Row],[DATA DE LANÇAMENTO]],"AAAA"))</f>
        <v/>
      </c>
      <c r="AB1130" s="524" t="str">
        <f>IF(LANÇ_MOV[[#This Row],[DATA DE LANÇAMENTO]]="","",UPPER(TEXT(LANÇ_MOV[[#This Row],[DATA DE LANÇAMENTO]],"MMMM")))</f>
        <v/>
      </c>
      <c r="AC1130" s="525" t="str">
        <f>IF(LANÇ_MOV[[#This Row],[DATA DE LANÇAMENTO]]="","",PROPER(TEXT(LANÇ_MOV[[#This Row],[DATA DE LANÇAMENTO]],"M")))</f>
        <v/>
      </c>
      <c r="AD1130" s="524" t="str">
        <f>IF(LANÇ_MOV[[#This Row],[DATA DE LANÇAMENTO]]="","",TEXT(LANÇ_MOV[[#This Row],[DATA DE LANÇAMENTO]],"D"))</f>
        <v/>
      </c>
      <c r="AE1130" s="526" t="str">
        <f>IF(LANÇ_MOV[[#This Row],[DATA DE VENCIMENTO]]="","",TEXT(LANÇ_MOV[[#This Row],[DATA DE VENCIMENTO]],"AAAA"))</f>
        <v/>
      </c>
      <c r="AF1130" s="526" t="str">
        <f>IF(LANÇ_MOV[[#This Row],[DATA DE VENCIMENTO]]="","",UPPER(TEXT(LANÇ_MOV[[#This Row],[DATA DE VENCIMENTO]],"MMMM")))</f>
        <v/>
      </c>
      <c r="AG1130" s="526" t="str">
        <f>IF(LANÇ_MOV[[#This Row],[DATA DE VENCIMENTO]]="","",TEXT(LANÇ_MOV[[#This Row],[DATA DE VENCIMENTO]],"M"))</f>
        <v/>
      </c>
      <c r="AH1130" s="526" t="str">
        <f>IF(LANÇ_MOV[[#This Row],[DATA DE VENCIMENTO]]="","",TEXT(LANÇ_MOV[[#This Row],[DATA DE VENCIMENTO]],"D"))</f>
        <v/>
      </c>
      <c r="AI1130" s="526" t="str">
        <f>IF(LANÇ_MOV[[#This Row],[DATA DE PAGAMENTO]]="","",TEXT(LANÇ_MOV[[#This Row],[DATA DE PAGAMENTO]],"AAAA"))</f>
        <v/>
      </c>
      <c r="AJ1130" s="527" t="str">
        <f>IF(LANÇ_MOV[[#This Row],[DATA DE PAGAMENTO]]="","",UPPER(TEXT(LANÇ_MOV[[#This Row],[DATA DE PAGAMENTO]],"MMMM")))</f>
        <v/>
      </c>
      <c r="AK1130" s="527" t="str">
        <f>IF(LANÇ_MOV[[#This Row],[DATA DE PAGAMENTO]]="","",TEXT(LANÇ_MOV[[#This Row],[DATA DE PAGAMENTO]],"M"))</f>
        <v/>
      </c>
      <c r="AL1130" s="526" t="str">
        <f>IF(LANÇ_MOV[[#This Row],[DATA DE PAGAMENTO]]="","",TEXT(LANÇ_MOV[[#This Row],[DATA DE PAGAMENTO]],"D"))</f>
        <v/>
      </c>
    </row>
    <row r="1131" spans="2:38" ht="30.05" customHeight="1" x14ac:dyDescent="0.35">
      <c r="B1131" s="506"/>
      <c r="C1131" s="507"/>
      <c r="D1131" s="508" t="s">
        <v>1854</v>
      </c>
      <c r="E1131" s="509"/>
      <c r="F1131" s="510"/>
      <c r="G1131" s="507"/>
      <c r="H1131" s="511"/>
      <c r="I1131" s="512"/>
      <c r="J1131" s="518"/>
      <c r="K1131" s="510"/>
      <c r="L1131" s="510"/>
      <c r="M1131" s="548"/>
      <c r="N1131" s="514">
        <f>LANÇ_MOV[[#This Row],[VALOR BRUTO]]-LANÇ_MOV[[#This Row],[DESCONTO]]+LANÇ_MOV[[#This Row],[JUROS]]+LANÇ_MOV[[#This Row],[MULTA]]</f>
        <v>0</v>
      </c>
      <c r="O1131" s="546"/>
      <c r="P1131" s="547" t="str">
        <f t="shared" ca="1" si="17"/>
        <v/>
      </c>
      <c r="Q1131" s="528"/>
      <c r="R1131" s="529"/>
      <c r="S1131" s="518"/>
      <c r="T1131" s="518"/>
      <c r="U1131" s="519"/>
      <c r="V1131" s="520" t="str">
        <f>IFERROR(VLOOKUP(LANÇ_MOV[[#This Row],[PLANO DE CONTAS]],Plano_Contas[[PLANO DE CONTAS]:[R / D]],3,0),"")</f>
        <v/>
      </c>
      <c r="W1131" s="521" t="str">
        <f>IF(LANÇ_MOV[[#This Row],[DATA DE PAGAMENTO]]&lt;&gt;"","Pago","Não Pago")</f>
        <v>Não Pago</v>
      </c>
      <c r="X1131" s="522" t="str">
        <f>IFERROR(IF(LANÇ_MOV[[#This Row],[DATA DE PAGAMENTO]]="","",(UPPER(TEXT(LANÇ_MOV[[#This Row],[DATA DE PAGAMENTO]],"mmmm")))),"")</f>
        <v/>
      </c>
      <c r="Y1131" s="523" t="str">
        <f>IFERROR(VLOOKUP(LANÇ_MOV[[#This Row],[PLANO DE CONTAS]],Plano_Contas[[PLANO DE CONTAS]:[NOMES INTERVALOS]],2,0),"")</f>
        <v/>
      </c>
      <c r="Z1131" s="523" t="str">
        <f>IF(LANÇ_MOV[[#This Row],[FORMA DE PAGAMENTO]]="","",VLOOKUP(LANÇ_MOV[[#This Row],[FORMA DE PAGAMENTO]],CAD_Forma_pagto[],2,0))</f>
        <v/>
      </c>
      <c r="AA1131" s="524" t="str">
        <f>IF(LANÇ_MOV[[#This Row],[DATA DE LANÇAMENTO]]="","",TEXT(LANÇ_MOV[[#This Row],[DATA DE LANÇAMENTO]],"AAAA"))</f>
        <v/>
      </c>
      <c r="AB1131" s="524" t="str">
        <f>IF(LANÇ_MOV[[#This Row],[DATA DE LANÇAMENTO]]="","",UPPER(TEXT(LANÇ_MOV[[#This Row],[DATA DE LANÇAMENTO]],"MMMM")))</f>
        <v/>
      </c>
      <c r="AC1131" s="525" t="str">
        <f>IF(LANÇ_MOV[[#This Row],[DATA DE LANÇAMENTO]]="","",PROPER(TEXT(LANÇ_MOV[[#This Row],[DATA DE LANÇAMENTO]],"M")))</f>
        <v/>
      </c>
      <c r="AD1131" s="524" t="str">
        <f>IF(LANÇ_MOV[[#This Row],[DATA DE LANÇAMENTO]]="","",TEXT(LANÇ_MOV[[#This Row],[DATA DE LANÇAMENTO]],"D"))</f>
        <v/>
      </c>
      <c r="AE1131" s="526" t="str">
        <f>IF(LANÇ_MOV[[#This Row],[DATA DE VENCIMENTO]]="","",TEXT(LANÇ_MOV[[#This Row],[DATA DE VENCIMENTO]],"AAAA"))</f>
        <v/>
      </c>
      <c r="AF1131" s="526" t="str">
        <f>IF(LANÇ_MOV[[#This Row],[DATA DE VENCIMENTO]]="","",UPPER(TEXT(LANÇ_MOV[[#This Row],[DATA DE VENCIMENTO]],"MMMM")))</f>
        <v/>
      </c>
      <c r="AG1131" s="526" t="str">
        <f>IF(LANÇ_MOV[[#This Row],[DATA DE VENCIMENTO]]="","",TEXT(LANÇ_MOV[[#This Row],[DATA DE VENCIMENTO]],"M"))</f>
        <v/>
      </c>
      <c r="AH1131" s="526" t="str">
        <f>IF(LANÇ_MOV[[#This Row],[DATA DE VENCIMENTO]]="","",TEXT(LANÇ_MOV[[#This Row],[DATA DE VENCIMENTO]],"D"))</f>
        <v/>
      </c>
      <c r="AI1131" s="526" t="str">
        <f>IF(LANÇ_MOV[[#This Row],[DATA DE PAGAMENTO]]="","",TEXT(LANÇ_MOV[[#This Row],[DATA DE PAGAMENTO]],"AAAA"))</f>
        <v/>
      </c>
      <c r="AJ1131" s="527" t="str">
        <f>IF(LANÇ_MOV[[#This Row],[DATA DE PAGAMENTO]]="","",UPPER(TEXT(LANÇ_MOV[[#This Row],[DATA DE PAGAMENTO]],"MMMM")))</f>
        <v/>
      </c>
      <c r="AK1131" s="527" t="str">
        <f>IF(LANÇ_MOV[[#This Row],[DATA DE PAGAMENTO]]="","",TEXT(LANÇ_MOV[[#This Row],[DATA DE PAGAMENTO]],"M"))</f>
        <v/>
      </c>
      <c r="AL1131" s="526" t="str">
        <f>IF(LANÇ_MOV[[#This Row],[DATA DE PAGAMENTO]]="","",TEXT(LANÇ_MOV[[#This Row],[DATA DE PAGAMENTO]],"D"))</f>
        <v/>
      </c>
    </row>
    <row r="1132" spans="2:38" ht="30.05" customHeight="1" x14ac:dyDescent="0.35">
      <c r="B1132" s="506"/>
      <c r="C1132" s="507"/>
      <c r="D1132" s="508" t="s">
        <v>1854</v>
      </c>
      <c r="E1132" s="509"/>
      <c r="F1132" s="510"/>
      <c r="G1132" s="507"/>
      <c r="H1132" s="511"/>
      <c r="I1132" s="512"/>
      <c r="J1132" s="518"/>
      <c r="K1132" s="510"/>
      <c r="L1132" s="510"/>
      <c r="M1132" s="548"/>
      <c r="N1132" s="514">
        <f>LANÇ_MOV[[#This Row],[VALOR BRUTO]]-LANÇ_MOV[[#This Row],[DESCONTO]]+LANÇ_MOV[[#This Row],[JUROS]]+LANÇ_MOV[[#This Row],[MULTA]]</f>
        <v>0</v>
      </c>
      <c r="O1132" s="546"/>
      <c r="P1132" s="547" t="str">
        <f t="shared" ca="1" si="17"/>
        <v/>
      </c>
      <c r="Q1132" s="528"/>
      <c r="R1132" s="529"/>
      <c r="S1132" s="518"/>
      <c r="T1132" s="518"/>
      <c r="U1132" s="519"/>
      <c r="V1132" s="520" t="str">
        <f>IFERROR(VLOOKUP(LANÇ_MOV[[#This Row],[PLANO DE CONTAS]],Plano_Contas[[PLANO DE CONTAS]:[R / D]],3,0),"")</f>
        <v/>
      </c>
      <c r="W1132" s="521" t="str">
        <f>IF(LANÇ_MOV[[#This Row],[DATA DE PAGAMENTO]]&lt;&gt;"","Pago","Não Pago")</f>
        <v>Não Pago</v>
      </c>
      <c r="X1132" s="522" t="str">
        <f>IFERROR(IF(LANÇ_MOV[[#This Row],[DATA DE PAGAMENTO]]="","",(UPPER(TEXT(LANÇ_MOV[[#This Row],[DATA DE PAGAMENTO]],"mmmm")))),"")</f>
        <v/>
      </c>
      <c r="Y1132" s="523" t="str">
        <f>IFERROR(VLOOKUP(LANÇ_MOV[[#This Row],[PLANO DE CONTAS]],Plano_Contas[[PLANO DE CONTAS]:[NOMES INTERVALOS]],2,0),"")</f>
        <v/>
      </c>
      <c r="Z1132" s="523" t="str">
        <f>IF(LANÇ_MOV[[#This Row],[FORMA DE PAGAMENTO]]="","",VLOOKUP(LANÇ_MOV[[#This Row],[FORMA DE PAGAMENTO]],CAD_Forma_pagto[],2,0))</f>
        <v/>
      </c>
      <c r="AA1132" s="524" t="str">
        <f>IF(LANÇ_MOV[[#This Row],[DATA DE LANÇAMENTO]]="","",TEXT(LANÇ_MOV[[#This Row],[DATA DE LANÇAMENTO]],"AAAA"))</f>
        <v/>
      </c>
      <c r="AB1132" s="524" t="str">
        <f>IF(LANÇ_MOV[[#This Row],[DATA DE LANÇAMENTO]]="","",UPPER(TEXT(LANÇ_MOV[[#This Row],[DATA DE LANÇAMENTO]],"MMMM")))</f>
        <v/>
      </c>
      <c r="AC1132" s="525" t="str">
        <f>IF(LANÇ_MOV[[#This Row],[DATA DE LANÇAMENTO]]="","",PROPER(TEXT(LANÇ_MOV[[#This Row],[DATA DE LANÇAMENTO]],"M")))</f>
        <v/>
      </c>
      <c r="AD1132" s="524" t="str">
        <f>IF(LANÇ_MOV[[#This Row],[DATA DE LANÇAMENTO]]="","",TEXT(LANÇ_MOV[[#This Row],[DATA DE LANÇAMENTO]],"D"))</f>
        <v/>
      </c>
      <c r="AE1132" s="526" t="str">
        <f>IF(LANÇ_MOV[[#This Row],[DATA DE VENCIMENTO]]="","",TEXT(LANÇ_MOV[[#This Row],[DATA DE VENCIMENTO]],"AAAA"))</f>
        <v/>
      </c>
      <c r="AF1132" s="526" t="str">
        <f>IF(LANÇ_MOV[[#This Row],[DATA DE VENCIMENTO]]="","",UPPER(TEXT(LANÇ_MOV[[#This Row],[DATA DE VENCIMENTO]],"MMMM")))</f>
        <v/>
      </c>
      <c r="AG1132" s="526" t="str">
        <f>IF(LANÇ_MOV[[#This Row],[DATA DE VENCIMENTO]]="","",TEXT(LANÇ_MOV[[#This Row],[DATA DE VENCIMENTO]],"M"))</f>
        <v/>
      </c>
      <c r="AH1132" s="526" t="str">
        <f>IF(LANÇ_MOV[[#This Row],[DATA DE VENCIMENTO]]="","",TEXT(LANÇ_MOV[[#This Row],[DATA DE VENCIMENTO]],"D"))</f>
        <v/>
      </c>
      <c r="AI1132" s="526" t="str">
        <f>IF(LANÇ_MOV[[#This Row],[DATA DE PAGAMENTO]]="","",TEXT(LANÇ_MOV[[#This Row],[DATA DE PAGAMENTO]],"AAAA"))</f>
        <v/>
      </c>
      <c r="AJ1132" s="527" t="str">
        <f>IF(LANÇ_MOV[[#This Row],[DATA DE PAGAMENTO]]="","",UPPER(TEXT(LANÇ_MOV[[#This Row],[DATA DE PAGAMENTO]],"MMMM")))</f>
        <v/>
      </c>
      <c r="AK1132" s="527" t="str">
        <f>IF(LANÇ_MOV[[#This Row],[DATA DE PAGAMENTO]]="","",TEXT(LANÇ_MOV[[#This Row],[DATA DE PAGAMENTO]],"M"))</f>
        <v/>
      </c>
      <c r="AL1132" s="526" t="str">
        <f>IF(LANÇ_MOV[[#This Row],[DATA DE PAGAMENTO]]="","",TEXT(LANÇ_MOV[[#This Row],[DATA DE PAGAMENTO]],"D"))</f>
        <v/>
      </c>
    </row>
    <row r="1133" spans="2:38" ht="30.05" customHeight="1" x14ac:dyDescent="0.35">
      <c r="B1133" s="506"/>
      <c r="C1133" s="507"/>
      <c r="D1133" s="508" t="s">
        <v>1854</v>
      </c>
      <c r="E1133" s="509"/>
      <c r="F1133" s="510"/>
      <c r="G1133" s="507"/>
      <c r="H1133" s="511"/>
      <c r="I1133" s="512"/>
      <c r="J1133" s="518"/>
      <c r="K1133" s="510"/>
      <c r="L1133" s="510"/>
      <c r="M1133" s="548"/>
      <c r="N1133" s="514">
        <f>LANÇ_MOV[[#This Row],[VALOR BRUTO]]-LANÇ_MOV[[#This Row],[DESCONTO]]+LANÇ_MOV[[#This Row],[JUROS]]+LANÇ_MOV[[#This Row],[MULTA]]</f>
        <v>0</v>
      </c>
      <c r="O1133" s="546"/>
      <c r="P1133" s="547" t="str">
        <f t="shared" ca="1" si="17"/>
        <v/>
      </c>
      <c r="Q1133" s="528"/>
      <c r="R1133" s="529"/>
      <c r="S1133" s="518"/>
      <c r="T1133" s="518"/>
      <c r="U1133" s="519"/>
      <c r="V1133" s="520" t="str">
        <f>IFERROR(VLOOKUP(LANÇ_MOV[[#This Row],[PLANO DE CONTAS]],Plano_Contas[[PLANO DE CONTAS]:[R / D]],3,0),"")</f>
        <v/>
      </c>
      <c r="W1133" s="521" t="str">
        <f>IF(LANÇ_MOV[[#This Row],[DATA DE PAGAMENTO]]&lt;&gt;"","Pago","Não Pago")</f>
        <v>Não Pago</v>
      </c>
      <c r="X1133" s="522" t="str">
        <f>IFERROR(IF(LANÇ_MOV[[#This Row],[DATA DE PAGAMENTO]]="","",(UPPER(TEXT(LANÇ_MOV[[#This Row],[DATA DE PAGAMENTO]],"mmmm")))),"")</f>
        <v/>
      </c>
      <c r="Y1133" s="523" t="str">
        <f>IFERROR(VLOOKUP(LANÇ_MOV[[#This Row],[PLANO DE CONTAS]],Plano_Contas[[PLANO DE CONTAS]:[NOMES INTERVALOS]],2,0),"")</f>
        <v/>
      </c>
      <c r="Z1133" s="523" t="str">
        <f>IF(LANÇ_MOV[[#This Row],[FORMA DE PAGAMENTO]]="","",VLOOKUP(LANÇ_MOV[[#This Row],[FORMA DE PAGAMENTO]],CAD_Forma_pagto[],2,0))</f>
        <v/>
      </c>
      <c r="AA1133" s="524" t="str">
        <f>IF(LANÇ_MOV[[#This Row],[DATA DE LANÇAMENTO]]="","",TEXT(LANÇ_MOV[[#This Row],[DATA DE LANÇAMENTO]],"AAAA"))</f>
        <v/>
      </c>
      <c r="AB1133" s="524" t="str">
        <f>IF(LANÇ_MOV[[#This Row],[DATA DE LANÇAMENTO]]="","",UPPER(TEXT(LANÇ_MOV[[#This Row],[DATA DE LANÇAMENTO]],"MMMM")))</f>
        <v/>
      </c>
      <c r="AC1133" s="525" t="str">
        <f>IF(LANÇ_MOV[[#This Row],[DATA DE LANÇAMENTO]]="","",PROPER(TEXT(LANÇ_MOV[[#This Row],[DATA DE LANÇAMENTO]],"M")))</f>
        <v/>
      </c>
      <c r="AD1133" s="524" t="str">
        <f>IF(LANÇ_MOV[[#This Row],[DATA DE LANÇAMENTO]]="","",TEXT(LANÇ_MOV[[#This Row],[DATA DE LANÇAMENTO]],"D"))</f>
        <v/>
      </c>
      <c r="AE1133" s="526" t="str">
        <f>IF(LANÇ_MOV[[#This Row],[DATA DE VENCIMENTO]]="","",TEXT(LANÇ_MOV[[#This Row],[DATA DE VENCIMENTO]],"AAAA"))</f>
        <v/>
      </c>
      <c r="AF1133" s="526" t="str">
        <f>IF(LANÇ_MOV[[#This Row],[DATA DE VENCIMENTO]]="","",UPPER(TEXT(LANÇ_MOV[[#This Row],[DATA DE VENCIMENTO]],"MMMM")))</f>
        <v/>
      </c>
      <c r="AG1133" s="526" t="str">
        <f>IF(LANÇ_MOV[[#This Row],[DATA DE VENCIMENTO]]="","",TEXT(LANÇ_MOV[[#This Row],[DATA DE VENCIMENTO]],"M"))</f>
        <v/>
      </c>
      <c r="AH1133" s="526" t="str">
        <f>IF(LANÇ_MOV[[#This Row],[DATA DE VENCIMENTO]]="","",TEXT(LANÇ_MOV[[#This Row],[DATA DE VENCIMENTO]],"D"))</f>
        <v/>
      </c>
      <c r="AI1133" s="526" t="str">
        <f>IF(LANÇ_MOV[[#This Row],[DATA DE PAGAMENTO]]="","",TEXT(LANÇ_MOV[[#This Row],[DATA DE PAGAMENTO]],"AAAA"))</f>
        <v/>
      </c>
      <c r="AJ1133" s="527" t="str">
        <f>IF(LANÇ_MOV[[#This Row],[DATA DE PAGAMENTO]]="","",UPPER(TEXT(LANÇ_MOV[[#This Row],[DATA DE PAGAMENTO]],"MMMM")))</f>
        <v/>
      </c>
      <c r="AK1133" s="527" t="str">
        <f>IF(LANÇ_MOV[[#This Row],[DATA DE PAGAMENTO]]="","",TEXT(LANÇ_MOV[[#This Row],[DATA DE PAGAMENTO]],"M"))</f>
        <v/>
      </c>
      <c r="AL1133" s="526" t="str">
        <f>IF(LANÇ_MOV[[#This Row],[DATA DE PAGAMENTO]]="","",TEXT(LANÇ_MOV[[#This Row],[DATA DE PAGAMENTO]],"D"))</f>
        <v/>
      </c>
    </row>
    <row r="1134" spans="2:38" ht="30.05" customHeight="1" x14ac:dyDescent="0.35">
      <c r="B1134" s="506"/>
      <c r="C1134" s="507"/>
      <c r="D1134" s="508" t="s">
        <v>1854</v>
      </c>
      <c r="E1134" s="509"/>
      <c r="F1134" s="510"/>
      <c r="G1134" s="507"/>
      <c r="H1134" s="511"/>
      <c r="I1134" s="512"/>
      <c r="J1134" s="518"/>
      <c r="K1134" s="510"/>
      <c r="L1134" s="510"/>
      <c r="M1134" s="548"/>
      <c r="N1134" s="514">
        <f>LANÇ_MOV[[#This Row],[VALOR BRUTO]]-LANÇ_MOV[[#This Row],[DESCONTO]]+LANÇ_MOV[[#This Row],[JUROS]]+LANÇ_MOV[[#This Row],[MULTA]]</f>
        <v>0</v>
      </c>
      <c r="O1134" s="546"/>
      <c r="P1134" s="547" t="str">
        <f t="shared" ca="1" si="17"/>
        <v/>
      </c>
      <c r="Q1134" s="528"/>
      <c r="R1134" s="529"/>
      <c r="S1134" s="518"/>
      <c r="T1134" s="518"/>
      <c r="U1134" s="519"/>
      <c r="V1134" s="520" t="str">
        <f>IFERROR(VLOOKUP(LANÇ_MOV[[#This Row],[PLANO DE CONTAS]],Plano_Contas[[PLANO DE CONTAS]:[R / D]],3,0),"")</f>
        <v/>
      </c>
      <c r="W1134" s="521" t="str">
        <f>IF(LANÇ_MOV[[#This Row],[DATA DE PAGAMENTO]]&lt;&gt;"","Pago","Não Pago")</f>
        <v>Não Pago</v>
      </c>
      <c r="X1134" s="522" t="str">
        <f>IFERROR(IF(LANÇ_MOV[[#This Row],[DATA DE PAGAMENTO]]="","",(UPPER(TEXT(LANÇ_MOV[[#This Row],[DATA DE PAGAMENTO]],"mmmm")))),"")</f>
        <v/>
      </c>
      <c r="Y1134" s="523" t="str">
        <f>IFERROR(VLOOKUP(LANÇ_MOV[[#This Row],[PLANO DE CONTAS]],Plano_Contas[[PLANO DE CONTAS]:[NOMES INTERVALOS]],2,0),"")</f>
        <v/>
      </c>
      <c r="Z1134" s="523" t="str">
        <f>IF(LANÇ_MOV[[#This Row],[FORMA DE PAGAMENTO]]="","",VLOOKUP(LANÇ_MOV[[#This Row],[FORMA DE PAGAMENTO]],CAD_Forma_pagto[],2,0))</f>
        <v/>
      </c>
      <c r="AA1134" s="524" t="str">
        <f>IF(LANÇ_MOV[[#This Row],[DATA DE LANÇAMENTO]]="","",TEXT(LANÇ_MOV[[#This Row],[DATA DE LANÇAMENTO]],"AAAA"))</f>
        <v/>
      </c>
      <c r="AB1134" s="524" t="str">
        <f>IF(LANÇ_MOV[[#This Row],[DATA DE LANÇAMENTO]]="","",UPPER(TEXT(LANÇ_MOV[[#This Row],[DATA DE LANÇAMENTO]],"MMMM")))</f>
        <v/>
      </c>
      <c r="AC1134" s="525" t="str">
        <f>IF(LANÇ_MOV[[#This Row],[DATA DE LANÇAMENTO]]="","",PROPER(TEXT(LANÇ_MOV[[#This Row],[DATA DE LANÇAMENTO]],"M")))</f>
        <v/>
      </c>
      <c r="AD1134" s="524" t="str">
        <f>IF(LANÇ_MOV[[#This Row],[DATA DE LANÇAMENTO]]="","",TEXT(LANÇ_MOV[[#This Row],[DATA DE LANÇAMENTO]],"D"))</f>
        <v/>
      </c>
      <c r="AE1134" s="526" t="str">
        <f>IF(LANÇ_MOV[[#This Row],[DATA DE VENCIMENTO]]="","",TEXT(LANÇ_MOV[[#This Row],[DATA DE VENCIMENTO]],"AAAA"))</f>
        <v/>
      </c>
      <c r="AF1134" s="526" t="str">
        <f>IF(LANÇ_MOV[[#This Row],[DATA DE VENCIMENTO]]="","",UPPER(TEXT(LANÇ_MOV[[#This Row],[DATA DE VENCIMENTO]],"MMMM")))</f>
        <v/>
      </c>
      <c r="AG1134" s="526" t="str">
        <f>IF(LANÇ_MOV[[#This Row],[DATA DE VENCIMENTO]]="","",TEXT(LANÇ_MOV[[#This Row],[DATA DE VENCIMENTO]],"M"))</f>
        <v/>
      </c>
      <c r="AH1134" s="526" t="str">
        <f>IF(LANÇ_MOV[[#This Row],[DATA DE VENCIMENTO]]="","",TEXT(LANÇ_MOV[[#This Row],[DATA DE VENCIMENTO]],"D"))</f>
        <v/>
      </c>
      <c r="AI1134" s="526" t="str">
        <f>IF(LANÇ_MOV[[#This Row],[DATA DE PAGAMENTO]]="","",TEXT(LANÇ_MOV[[#This Row],[DATA DE PAGAMENTO]],"AAAA"))</f>
        <v/>
      </c>
      <c r="AJ1134" s="527" t="str">
        <f>IF(LANÇ_MOV[[#This Row],[DATA DE PAGAMENTO]]="","",UPPER(TEXT(LANÇ_MOV[[#This Row],[DATA DE PAGAMENTO]],"MMMM")))</f>
        <v/>
      </c>
      <c r="AK1134" s="527" t="str">
        <f>IF(LANÇ_MOV[[#This Row],[DATA DE PAGAMENTO]]="","",TEXT(LANÇ_MOV[[#This Row],[DATA DE PAGAMENTO]],"M"))</f>
        <v/>
      </c>
      <c r="AL1134" s="526" t="str">
        <f>IF(LANÇ_MOV[[#This Row],[DATA DE PAGAMENTO]]="","",TEXT(LANÇ_MOV[[#This Row],[DATA DE PAGAMENTO]],"D"))</f>
        <v/>
      </c>
    </row>
    <row r="1135" spans="2:38" ht="30.05" customHeight="1" x14ac:dyDescent="0.35">
      <c r="B1135" s="506"/>
      <c r="C1135" s="507"/>
      <c r="D1135" s="508" t="s">
        <v>1854</v>
      </c>
      <c r="E1135" s="509"/>
      <c r="F1135" s="510"/>
      <c r="G1135" s="507"/>
      <c r="H1135" s="511"/>
      <c r="I1135" s="512"/>
      <c r="J1135" s="518"/>
      <c r="K1135" s="510"/>
      <c r="L1135" s="510"/>
      <c r="M1135" s="548"/>
      <c r="N1135" s="514">
        <f>LANÇ_MOV[[#This Row],[VALOR BRUTO]]-LANÇ_MOV[[#This Row],[DESCONTO]]+LANÇ_MOV[[#This Row],[JUROS]]+LANÇ_MOV[[#This Row],[MULTA]]</f>
        <v>0</v>
      </c>
      <c r="O1135" s="546"/>
      <c r="P1135" s="547" t="str">
        <f t="shared" ca="1" si="17"/>
        <v/>
      </c>
      <c r="Q1135" s="528"/>
      <c r="R1135" s="529"/>
      <c r="S1135" s="518"/>
      <c r="T1135" s="518"/>
      <c r="U1135" s="519"/>
      <c r="V1135" s="520" t="str">
        <f>IFERROR(VLOOKUP(LANÇ_MOV[[#This Row],[PLANO DE CONTAS]],Plano_Contas[[PLANO DE CONTAS]:[R / D]],3,0),"")</f>
        <v/>
      </c>
      <c r="W1135" s="521" t="str">
        <f>IF(LANÇ_MOV[[#This Row],[DATA DE PAGAMENTO]]&lt;&gt;"","Pago","Não Pago")</f>
        <v>Não Pago</v>
      </c>
      <c r="X1135" s="522" t="str">
        <f>IFERROR(IF(LANÇ_MOV[[#This Row],[DATA DE PAGAMENTO]]="","",(UPPER(TEXT(LANÇ_MOV[[#This Row],[DATA DE PAGAMENTO]],"mmmm")))),"")</f>
        <v/>
      </c>
      <c r="Y1135" s="523" t="str">
        <f>IFERROR(VLOOKUP(LANÇ_MOV[[#This Row],[PLANO DE CONTAS]],Plano_Contas[[PLANO DE CONTAS]:[NOMES INTERVALOS]],2,0),"")</f>
        <v/>
      </c>
      <c r="Z1135" s="523" t="str">
        <f>IF(LANÇ_MOV[[#This Row],[FORMA DE PAGAMENTO]]="","",VLOOKUP(LANÇ_MOV[[#This Row],[FORMA DE PAGAMENTO]],CAD_Forma_pagto[],2,0))</f>
        <v/>
      </c>
      <c r="AA1135" s="524" t="str">
        <f>IF(LANÇ_MOV[[#This Row],[DATA DE LANÇAMENTO]]="","",TEXT(LANÇ_MOV[[#This Row],[DATA DE LANÇAMENTO]],"AAAA"))</f>
        <v/>
      </c>
      <c r="AB1135" s="524" t="str">
        <f>IF(LANÇ_MOV[[#This Row],[DATA DE LANÇAMENTO]]="","",UPPER(TEXT(LANÇ_MOV[[#This Row],[DATA DE LANÇAMENTO]],"MMMM")))</f>
        <v/>
      </c>
      <c r="AC1135" s="525" t="str">
        <f>IF(LANÇ_MOV[[#This Row],[DATA DE LANÇAMENTO]]="","",PROPER(TEXT(LANÇ_MOV[[#This Row],[DATA DE LANÇAMENTO]],"M")))</f>
        <v/>
      </c>
      <c r="AD1135" s="524" t="str">
        <f>IF(LANÇ_MOV[[#This Row],[DATA DE LANÇAMENTO]]="","",TEXT(LANÇ_MOV[[#This Row],[DATA DE LANÇAMENTO]],"D"))</f>
        <v/>
      </c>
      <c r="AE1135" s="526" t="str">
        <f>IF(LANÇ_MOV[[#This Row],[DATA DE VENCIMENTO]]="","",TEXT(LANÇ_MOV[[#This Row],[DATA DE VENCIMENTO]],"AAAA"))</f>
        <v/>
      </c>
      <c r="AF1135" s="526" t="str">
        <f>IF(LANÇ_MOV[[#This Row],[DATA DE VENCIMENTO]]="","",UPPER(TEXT(LANÇ_MOV[[#This Row],[DATA DE VENCIMENTO]],"MMMM")))</f>
        <v/>
      </c>
      <c r="AG1135" s="526" t="str">
        <f>IF(LANÇ_MOV[[#This Row],[DATA DE VENCIMENTO]]="","",TEXT(LANÇ_MOV[[#This Row],[DATA DE VENCIMENTO]],"M"))</f>
        <v/>
      </c>
      <c r="AH1135" s="526" t="str">
        <f>IF(LANÇ_MOV[[#This Row],[DATA DE VENCIMENTO]]="","",TEXT(LANÇ_MOV[[#This Row],[DATA DE VENCIMENTO]],"D"))</f>
        <v/>
      </c>
      <c r="AI1135" s="526" t="str">
        <f>IF(LANÇ_MOV[[#This Row],[DATA DE PAGAMENTO]]="","",TEXT(LANÇ_MOV[[#This Row],[DATA DE PAGAMENTO]],"AAAA"))</f>
        <v/>
      </c>
      <c r="AJ1135" s="527" t="str">
        <f>IF(LANÇ_MOV[[#This Row],[DATA DE PAGAMENTO]]="","",UPPER(TEXT(LANÇ_MOV[[#This Row],[DATA DE PAGAMENTO]],"MMMM")))</f>
        <v/>
      </c>
      <c r="AK1135" s="527" t="str">
        <f>IF(LANÇ_MOV[[#This Row],[DATA DE PAGAMENTO]]="","",TEXT(LANÇ_MOV[[#This Row],[DATA DE PAGAMENTO]],"M"))</f>
        <v/>
      </c>
      <c r="AL1135" s="526" t="str">
        <f>IF(LANÇ_MOV[[#This Row],[DATA DE PAGAMENTO]]="","",TEXT(LANÇ_MOV[[#This Row],[DATA DE PAGAMENTO]],"D"))</f>
        <v/>
      </c>
    </row>
    <row r="1136" spans="2:38" ht="30.05" customHeight="1" x14ac:dyDescent="0.35">
      <c r="B1136" s="506"/>
      <c r="C1136" s="507"/>
      <c r="D1136" s="508" t="s">
        <v>1854</v>
      </c>
      <c r="E1136" s="509"/>
      <c r="F1136" s="510"/>
      <c r="G1136" s="507"/>
      <c r="H1136" s="511"/>
      <c r="I1136" s="512"/>
      <c r="J1136" s="518"/>
      <c r="K1136" s="510"/>
      <c r="L1136" s="510"/>
      <c r="M1136" s="548"/>
      <c r="N1136" s="514">
        <f>LANÇ_MOV[[#This Row],[VALOR BRUTO]]-LANÇ_MOV[[#This Row],[DESCONTO]]+LANÇ_MOV[[#This Row],[JUROS]]+LANÇ_MOV[[#This Row],[MULTA]]</f>
        <v>0</v>
      </c>
      <c r="O1136" s="546"/>
      <c r="P1136" s="547" t="str">
        <f t="shared" ca="1" si="17"/>
        <v/>
      </c>
      <c r="Q1136" s="528"/>
      <c r="R1136" s="529"/>
      <c r="S1136" s="518"/>
      <c r="T1136" s="518"/>
      <c r="U1136" s="519"/>
      <c r="V1136" s="520" t="str">
        <f>IFERROR(VLOOKUP(LANÇ_MOV[[#This Row],[PLANO DE CONTAS]],Plano_Contas[[PLANO DE CONTAS]:[R / D]],3,0),"")</f>
        <v/>
      </c>
      <c r="W1136" s="521" t="str">
        <f>IF(LANÇ_MOV[[#This Row],[DATA DE PAGAMENTO]]&lt;&gt;"","Pago","Não Pago")</f>
        <v>Não Pago</v>
      </c>
      <c r="X1136" s="522" t="str">
        <f>IFERROR(IF(LANÇ_MOV[[#This Row],[DATA DE PAGAMENTO]]="","",(UPPER(TEXT(LANÇ_MOV[[#This Row],[DATA DE PAGAMENTO]],"mmmm")))),"")</f>
        <v/>
      </c>
      <c r="Y1136" s="523" t="str">
        <f>IFERROR(VLOOKUP(LANÇ_MOV[[#This Row],[PLANO DE CONTAS]],Plano_Contas[[PLANO DE CONTAS]:[NOMES INTERVALOS]],2,0),"")</f>
        <v/>
      </c>
      <c r="Z1136" s="523" t="str">
        <f>IF(LANÇ_MOV[[#This Row],[FORMA DE PAGAMENTO]]="","",VLOOKUP(LANÇ_MOV[[#This Row],[FORMA DE PAGAMENTO]],CAD_Forma_pagto[],2,0))</f>
        <v/>
      </c>
      <c r="AA1136" s="524" t="str">
        <f>IF(LANÇ_MOV[[#This Row],[DATA DE LANÇAMENTO]]="","",TEXT(LANÇ_MOV[[#This Row],[DATA DE LANÇAMENTO]],"AAAA"))</f>
        <v/>
      </c>
      <c r="AB1136" s="524" t="str">
        <f>IF(LANÇ_MOV[[#This Row],[DATA DE LANÇAMENTO]]="","",UPPER(TEXT(LANÇ_MOV[[#This Row],[DATA DE LANÇAMENTO]],"MMMM")))</f>
        <v/>
      </c>
      <c r="AC1136" s="525" t="str">
        <f>IF(LANÇ_MOV[[#This Row],[DATA DE LANÇAMENTO]]="","",PROPER(TEXT(LANÇ_MOV[[#This Row],[DATA DE LANÇAMENTO]],"M")))</f>
        <v/>
      </c>
      <c r="AD1136" s="524" t="str">
        <f>IF(LANÇ_MOV[[#This Row],[DATA DE LANÇAMENTO]]="","",TEXT(LANÇ_MOV[[#This Row],[DATA DE LANÇAMENTO]],"D"))</f>
        <v/>
      </c>
      <c r="AE1136" s="526" t="str">
        <f>IF(LANÇ_MOV[[#This Row],[DATA DE VENCIMENTO]]="","",TEXT(LANÇ_MOV[[#This Row],[DATA DE VENCIMENTO]],"AAAA"))</f>
        <v/>
      </c>
      <c r="AF1136" s="526" t="str">
        <f>IF(LANÇ_MOV[[#This Row],[DATA DE VENCIMENTO]]="","",UPPER(TEXT(LANÇ_MOV[[#This Row],[DATA DE VENCIMENTO]],"MMMM")))</f>
        <v/>
      </c>
      <c r="AG1136" s="526" t="str">
        <f>IF(LANÇ_MOV[[#This Row],[DATA DE VENCIMENTO]]="","",TEXT(LANÇ_MOV[[#This Row],[DATA DE VENCIMENTO]],"M"))</f>
        <v/>
      </c>
      <c r="AH1136" s="526" t="str">
        <f>IF(LANÇ_MOV[[#This Row],[DATA DE VENCIMENTO]]="","",TEXT(LANÇ_MOV[[#This Row],[DATA DE VENCIMENTO]],"D"))</f>
        <v/>
      </c>
      <c r="AI1136" s="526" t="str">
        <f>IF(LANÇ_MOV[[#This Row],[DATA DE PAGAMENTO]]="","",TEXT(LANÇ_MOV[[#This Row],[DATA DE PAGAMENTO]],"AAAA"))</f>
        <v/>
      </c>
      <c r="AJ1136" s="527" t="str">
        <f>IF(LANÇ_MOV[[#This Row],[DATA DE PAGAMENTO]]="","",UPPER(TEXT(LANÇ_MOV[[#This Row],[DATA DE PAGAMENTO]],"MMMM")))</f>
        <v/>
      </c>
      <c r="AK1136" s="527" t="str">
        <f>IF(LANÇ_MOV[[#This Row],[DATA DE PAGAMENTO]]="","",TEXT(LANÇ_MOV[[#This Row],[DATA DE PAGAMENTO]],"M"))</f>
        <v/>
      </c>
      <c r="AL1136" s="526" t="str">
        <f>IF(LANÇ_MOV[[#This Row],[DATA DE PAGAMENTO]]="","",TEXT(LANÇ_MOV[[#This Row],[DATA DE PAGAMENTO]],"D"))</f>
        <v/>
      </c>
    </row>
    <row r="1137" spans="2:38" ht="30.05" customHeight="1" x14ac:dyDescent="0.35">
      <c r="B1137" s="506"/>
      <c r="C1137" s="507"/>
      <c r="D1137" s="508" t="s">
        <v>1854</v>
      </c>
      <c r="E1137" s="509"/>
      <c r="F1137" s="510"/>
      <c r="G1137" s="507"/>
      <c r="H1137" s="511"/>
      <c r="I1137" s="512"/>
      <c r="J1137" s="518"/>
      <c r="K1137" s="510"/>
      <c r="L1137" s="510"/>
      <c r="M1137" s="548"/>
      <c r="N1137" s="514">
        <f>LANÇ_MOV[[#This Row],[VALOR BRUTO]]-LANÇ_MOV[[#This Row],[DESCONTO]]+LANÇ_MOV[[#This Row],[JUROS]]+LANÇ_MOV[[#This Row],[MULTA]]</f>
        <v>0</v>
      </c>
      <c r="O1137" s="546"/>
      <c r="P1137" s="547" t="str">
        <f t="shared" ca="1" si="17"/>
        <v/>
      </c>
      <c r="Q1137" s="528"/>
      <c r="R1137" s="529"/>
      <c r="S1137" s="518"/>
      <c r="T1137" s="518"/>
      <c r="U1137" s="519"/>
      <c r="V1137" s="520" t="str">
        <f>IFERROR(VLOOKUP(LANÇ_MOV[[#This Row],[PLANO DE CONTAS]],Plano_Contas[[PLANO DE CONTAS]:[R / D]],3,0),"")</f>
        <v/>
      </c>
      <c r="W1137" s="521" t="str">
        <f>IF(LANÇ_MOV[[#This Row],[DATA DE PAGAMENTO]]&lt;&gt;"","Pago","Não Pago")</f>
        <v>Não Pago</v>
      </c>
      <c r="X1137" s="522" t="str">
        <f>IFERROR(IF(LANÇ_MOV[[#This Row],[DATA DE PAGAMENTO]]="","",(UPPER(TEXT(LANÇ_MOV[[#This Row],[DATA DE PAGAMENTO]],"mmmm")))),"")</f>
        <v/>
      </c>
      <c r="Y1137" s="523" t="str">
        <f>IFERROR(VLOOKUP(LANÇ_MOV[[#This Row],[PLANO DE CONTAS]],Plano_Contas[[PLANO DE CONTAS]:[NOMES INTERVALOS]],2,0),"")</f>
        <v/>
      </c>
      <c r="Z1137" s="523" t="str">
        <f>IF(LANÇ_MOV[[#This Row],[FORMA DE PAGAMENTO]]="","",VLOOKUP(LANÇ_MOV[[#This Row],[FORMA DE PAGAMENTO]],CAD_Forma_pagto[],2,0))</f>
        <v/>
      </c>
      <c r="AA1137" s="524" t="str">
        <f>IF(LANÇ_MOV[[#This Row],[DATA DE LANÇAMENTO]]="","",TEXT(LANÇ_MOV[[#This Row],[DATA DE LANÇAMENTO]],"AAAA"))</f>
        <v/>
      </c>
      <c r="AB1137" s="524" t="str">
        <f>IF(LANÇ_MOV[[#This Row],[DATA DE LANÇAMENTO]]="","",UPPER(TEXT(LANÇ_MOV[[#This Row],[DATA DE LANÇAMENTO]],"MMMM")))</f>
        <v/>
      </c>
      <c r="AC1137" s="525" t="str">
        <f>IF(LANÇ_MOV[[#This Row],[DATA DE LANÇAMENTO]]="","",PROPER(TEXT(LANÇ_MOV[[#This Row],[DATA DE LANÇAMENTO]],"M")))</f>
        <v/>
      </c>
      <c r="AD1137" s="524" t="str">
        <f>IF(LANÇ_MOV[[#This Row],[DATA DE LANÇAMENTO]]="","",TEXT(LANÇ_MOV[[#This Row],[DATA DE LANÇAMENTO]],"D"))</f>
        <v/>
      </c>
      <c r="AE1137" s="526" t="str">
        <f>IF(LANÇ_MOV[[#This Row],[DATA DE VENCIMENTO]]="","",TEXT(LANÇ_MOV[[#This Row],[DATA DE VENCIMENTO]],"AAAA"))</f>
        <v/>
      </c>
      <c r="AF1137" s="526" t="str">
        <f>IF(LANÇ_MOV[[#This Row],[DATA DE VENCIMENTO]]="","",UPPER(TEXT(LANÇ_MOV[[#This Row],[DATA DE VENCIMENTO]],"MMMM")))</f>
        <v/>
      </c>
      <c r="AG1137" s="526" t="str">
        <f>IF(LANÇ_MOV[[#This Row],[DATA DE VENCIMENTO]]="","",TEXT(LANÇ_MOV[[#This Row],[DATA DE VENCIMENTO]],"M"))</f>
        <v/>
      </c>
      <c r="AH1137" s="526" t="str">
        <f>IF(LANÇ_MOV[[#This Row],[DATA DE VENCIMENTO]]="","",TEXT(LANÇ_MOV[[#This Row],[DATA DE VENCIMENTO]],"D"))</f>
        <v/>
      </c>
      <c r="AI1137" s="526" t="str">
        <f>IF(LANÇ_MOV[[#This Row],[DATA DE PAGAMENTO]]="","",TEXT(LANÇ_MOV[[#This Row],[DATA DE PAGAMENTO]],"AAAA"))</f>
        <v/>
      </c>
      <c r="AJ1137" s="527" t="str">
        <f>IF(LANÇ_MOV[[#This Row],[DATA DE PAGAMENTO]]="","",UPPER(TEXT(LANÇ_MOV[[#This Row],[DATA DE PAGAMENTO]],"MMMM")))</f>
        <v/>
      </c>
      <c r="AK1137" s="527" t="str">
        <f>IF(LANÇ_MOV[[#This Row],[DATA DE PAGAMENTO]]="","",TEXT(LANÇ_MOV[[#This Row],[DATA DE PAGAMENTO]],"M"))</f>
        <v/>
      </c>
      <c r="AL1137" s="526" t="str">
        <f>IF(LANÇ_MOV[[#This Row],[DATA DE PAGAMENTO]]="","",TEXT(LANÇ_MOV[[#This Row],[DATA DE PAGAMENTO]],"D"))</f>
        <v/>
      </c>
    </row>
    <row r="1138" spans="2:38" ht="30.05" customHeight="1" x14ac:dyDescent="0.35">
      <c r="B1138" s="506"/>
      <c r="C1138" s="507"/>
      <c r="D1138" s="508" t="s">
        <v>1854</v>
      </c>
      <c r="E1138" s="509"/>
      <c r="F1138" s="510"/>
      <c r="G1138" s="507"/>
      <c r="H1138" s="511"/>
      <c r="I1138" s="512"/>
      <c r="J1138" s="518"/>
      <c r="K1138" s="510"/>
      <c r="L1138" s="510"/>
      <c r="M1138" s="548"/>
      <c r="N1138" s="514">
        <f>LANÇ_MOV[[#This Row],[VALOR BRUTO]]-LANÇ_MOV[[#This Row],[DESCONTO]]+LANÇ_MOV[[#This Row],[JUROS]]+LANÇ_MOV[[#This Row],[MULTA]]</f>
        <v>0</v>
      </c>
      <c r="O1138" s="546"/>
      <c r="P1138" s="547" t="str">
        <f t="shared" ca="1" si="17"/>
        <v/>
      </c>
      <c r="Q1138" s="528"/>
      <c r="R1138" s="529"/>
      <c r="S1138" s="518"/>
      <c r="T1138" s="518"/>
      <c r="U1138" s="519"/>
      <c r="V1138" s="520" t="str">
        <f>IFERROR(VLOOKUP(LANÇ_MOV[[#This Row],[PLANO DE CONTAS]],Plano_Contas[[PLANO DE CONTAS]:[R / D]],3,0),"")</f>
        <v/>
      </c>
      <c r="W1138" s="521" t="str">
        <f>IF(LANÇ_MOV[[#This Row],[DATA DE PAGAMENTO]]&lt;&gt;"","Pago","Não Pago")</f>
        <v>Não Pago</v>
      </c>
      <c r="X1138" s="522" t="str">
        <f>IFERROR(IF(LANÇ_MOV[[#This Row],[DATA DE PAGAMENTO]]="","",(UPPER(TEXT(LANÇ_MOV[[#This Row],[DATA DE PAGAMENTO]],"mmmm")))),"")</f>
        <v/>
      </c>
      <c r="Y1138" s="523" t="str">
        <f>IFERROR(VLOOKUP(LANÇ_MOV[[#This Row],[PLANO DE CONTAS]],Plano_Contas[[PLANO DE CONTAS]:[NOMES INTERVALOS]],2,0),"")</f>
        <v/>
      </c>
      <c r="Z1138" s="523" t="str">
        <f>IF(LANÇ_MOV[[#This Row],[FORMA DE PAGAMENTO]]="","",VLOOKUP(LANÇ_MOV[[#This Row],[FORMA DE PAGAMENTO]],CAD_Forma_pagto[],2,0))</f>
        <v/>
      </c>
      <c r="AA1138" s="524" t="str">
        <f>IF(LANÇ_MOV[[#This Row],[DATA DE LANÇAMENTO]]="","",TEXT(LANÇ_MOV[[#This Row],[DATA DE LANÇAMENTO]],"AAAA"))</f>
        <v/>
      </c>
      <c r="AB1138" s="524" t="str">
        <f>IF(LANÇ_MOV[[#This Row],[DATA DE LANÇAMENTO]]="","",UPPER(TEXT(LANÇ_MOV[[#This Row],[DATA DE LANÇAMENTO]],"MMMM")))</f>
        <v/>
      </c>
      <c r="AC1138" s="525" t="str">
        <f>IF(LANÇ_MOV[[#This Row],[DATA DE LANÇAMENTO]]="","",PROPER(TEXT(LANÇ_MOV[[#This Row],[DATA DE LANÇAMENTO]],"M")))</f>
        <v/>
      </c>
      <c r="AD1138" s="524" t="str">
        <f>IF(LANÇ_MOV[[#This Row],[DATA DE LANÇAMENTO]]="","",TEXT(LANÇ_MOV[[#This Row],[DATA DE LANÇAMENTO]],"D"))</f>
        <v/>
      </c>
      <c r="AE1138" s="526" t="str">
        <f>IF(LANÇ_MOV[[#This Row],[DATA DE VENCIMENTO]]="","",TEXT(LANÇ_MOV[[#This Row],[DATA DE VENCIMENTO]],"AAAA"))</f>
        <v/>
      </c>
      <c r="AF1138" s="526" t="str">
        <f>IF(LANÇ_MOV[[#This Row],[DATA DE VENCIMENTO]]="","",UPPER(TEXT(LANÇ_MOV[[#This Row],[DATA DE VENCIMENTO]],"MMMM")))</f>
        <v/>
      </c>
      <c r="AG1138" s="526" t="str">
        <f>IF(LANÇ_MOV[[#This Row],[DATA DE VENCIMENTO]]="","",TEXT(LANÇ_MOV[[#This Row],[DATA DE VENCIMENTO]],"M"))</f>
        <v/>
      </c>
      <c r="AH1138" s="526" t="str">
        <f>IF(LANÇ_MOV[[#This Row],[DATA DE VENCIMENTO]]="","",TEXT(LANÇ_MOV[[#This Row],[DATA DE VENCIMENTO]],"D"))</f>
        <v/>
      </c>
      <c r="AI1138" s="526" t="str">
        <f>IF(LANÇ_MOV[[#This Row],[DATA DE PAGAMENTO]]="","",TEXT(LANÇ_MOV[[#This Row],[DATA DE PAGAMENTO]],"AAAA"))</f>
        <v/>
      </c>
      <c r="AJ1138" s="527" t="str">
        <f>IF(LANÇ_MOV[[#This Row],[DATA DE PAGAMENTO]]="","",UPPER(TEXT(LANÇ_MOV[[#This Row],[DATA DE PAGAMENTO]],"MMMM")))</f>
        <v/>
      </c>
      <c r="AK1138" s="527" t="str">
        <f>IF(LANÇ_MOV[[#This Row],[DATA DE PAGAMENTO]]="","",TEXT(LANÇ_MOV[[#This Row],[DATA DE PAGAMENTO]],"M"))</f>
        <v/>
      </c>
      <c r="AL1138" s="526" t="str">
        <f>IF(LANÇ_MOV[[#This Row],[DATA DE PAGAMENTO]]="","",TEXT(LANÇ_MOV[[#This Row],[DATA DE PAGAMENTO]],"D"))</f>
        <v/>
      </c>
    </row>
    <row r="1139" spans="2:38" ht="30.05" customHeight="1" x14ac:dyDescent="0.35">
      <c r="B1139" s="506"/>
      <c r="C1139" s="507"/>
      <c r="D1139" s="508" t="s">
        <v>1854</v>
      </c>
      <c r="E1139" s="509"/>
      <c r="F1139" s="510"/>
      <c r="G1139" s="507"/>
      <c r="H1139" s="511"/>
      <c r="I1139" s="512"/>
      <c r="J1139" s="518"/>
      <c r="K1139" s="510"/>
      <c r="L1139" s="510"/>
      <c r="M1139" s="548"/>
      <c r="N1139" s="514">
        <f>LANÇ_MOV[[#This Row],[VALOR BRUTO]]-LANÇ_MOV[[#This Row],[DESCONTO]]+LANÇ_MOV[[#This Row],[JUROS]]+LANÇ_MOV[[#This Row],[MULTA]]</f>
        <v>0</v>
      </c>
      <c r="O1139" s="546"/>
      <c r="P1139" s="547" t="str">
        <f t="shared" ca="1" si="17"/>
        <v/>
      </c>
      <c r="Q1139" s="528"/>
      <c r="R1139" s="529"/>
      <c r="S1139" s="518"/>
      <c r="T1139" s="518"/>
      <c r="U1139" s="519"/>
      <c r="V1139" s="520" t="str">
        <f>IFERROR(VLOOKUP(LANÇ_MOV[[#This Row],[PLANO DE CONTAS]],Plano_Contas[[PLANO DE CONTAS]:[R / D]],3,0),"")</f>
        <v/>
      </c>
      <c r="W1139" s="521" t="str">
        <f>IF(LANÇ_MOV[[#This Row],[DATA DE PAGAMENTO]]&lt;&gt;"","Pago","Não Pago")</f>
        <v>Não Pago</v>
      </c>
      <c r="X1139" s="522" t="str">
        <f>IFERROR(IF(LANÇ_MOV[[#This Row],[DATA DE PAGAMENTO]]="","",(UPPER(TEXT(LANÇ_MOV[[#This Row],[DATA DE PAGAMENTO]],"mmmm")))),"")</f>
        <v/>
      </c>
      <c r="Y1139" s="523" t="str">
        <f>IFERROR(VLOOKUP(LANÇ_MOV[[#This Row],[PLANO DE CONTAS]],Plano_Contas[[PLANO DE CONTAS]:[NOMES INTERVALOS]],2,0),"")</f>
        <v/>
      </c>
      <c r="Z1139" s="523" t="str">
        <f>IF(LANÇ_MOV[[#This Row],[FORMA DE PAGAMENTO]]="","",VLOOKUP(LANÇ_MOV[[#This Row],[FORMA DE PAGAMENTO]],CAD_Forma_pagto[],2,0))</f>
        <v/>
      </c>
      <c r="AA1139" s="524" t="str">
        <f>IF(LANÇ_MOV[[#This Row],[DATA DE LANÇAMENTO]]="","",TEXT(LANÇ_MOV[[#This Row],[DATA DE LANÇAMENTO]],"AAAA"))</f>
        <v/>
      </c>
      <c r="AB1139" s="524" t="str">
        <f>IF(LANÇ_MOV[[#This Row],[DATA DE LANÇAMENTO]]="","",UPPER(TEXT(LANÇ_MOV[[#This Row],[DATA DE LANÇAMENTO]],"MMMM")))</f>
        <v/>
      </c>
      <c r="AC1139" s="525" t="str">
        <f>IF(LANÇ_MOV[[#This Row],[DATA DE LANÇAMENTO]]="","",PROPER(TEXT(LANÇ_MOV[[#This Row],[DATA DE LANÇAMENTO]],"M")))</f>
        <v/>
      </c>
      <c r="AD1139" s="524" t="str">
        <f>IF(LANÇ_MOV[[#This Row],[DATA DE LANÇAMENTO]]="","",TEXT(LANÇ_MOV[[#This Row],[DATA DE LANÇAMENTO]],"D"))</f>
        <v/>
      </c>
      <c r="AE1139" s="526" t="str">
        <f>IF(LANÇ_MOV[[#This Row],[DATA DE VENCIMENTO]]="","",TEXT(LANÇ_MOV[[#This Row],[DATA DE VENCIMENTO]],"AAAA"))</f>
        <v/>
      </c>
      <c r="AF1139" s="526" t="str">
        <f>IF(LANÇ_MOV[[#This Row],[DATA DE VENCIMENTO]]="","",UPPER(TEXT(LANÇ_MOV[[#This Row],[DATA DE VENCIMENTO]],"MMMM")))</f>
        <v/>
      </c>
      <c r="AG1139" s="526" t="str">
        <f>IF(LANÇ_MOV[[#This Row],[DATA DE VENCIMENTO]]="","",TEXT(LANÇ_MOV[[#This Row],[DATA DE VENCIMENTO]],"M"))</f>
        <v/>
      </c>
      <c r="AH1139" s="526" t="str">
        <f>IF(LANÇ_MOV[[#This Row],[DATA DE VENCIMENTO]]="","",TEXT(LANÇ_MOV[[#This Row],[DATA DE VENCIMENTO]],"D"))</f>
        <v/>
      </c>
      <c r="AI1139" s="526" t="str">
        <f>IF(LANÇ_MOV[[#This Row],[DATA DE PAGAMENTO]]="","",TEXT(LANÇ_MOV[[#This Row],[DATA DE PAGAMENTO]],"AAAA"))</f>
        <v/>
      </c>
      <c r="AJ1139" s="527" t="str">
        <f>IF(LANÇ_MOV[[#This Row],[DATA DE PAGAMENTO]]="","",UPPER(TEXT(LANÇ_MOV[[#This Row],[DATA DE PAGAMENTO]],"MMMM")))</f>
        <v/>
      </c>
      <c r="AK1139" s="527" t="str">
        <f>IF(LANÇ_MOV[[#This Row],[DATA DE PAGAMENTO]]="","",TEXT(LANÇ_MOV[[#This Row],[DATA DE PAGAMENTO]],"M"))</f>
        <v/>
      </c>
      <c r="AL1139" s="526" t="str">
        <f>IF(LANÇ_MOV[[#This Row],[DATA DE PAGAMENTO]]="","",TEXT(LANÇ_MOV[[#This Row],[DATA DE PAGAMENTO]],"D"))</f>
        <v/>
      </c>
    </row>
    <row r="1140" spans="2:38" ht="30.05" customHeight="1" x14ac:dyDescent="0.35">
      <c r="B1140" s="506"/>
      <c r="C1140" s="507"/>
      <c r="D1140" s="508" t="s">
        <v>1854</v>
      </c>
      <c r="E1140" s="509"/>
      <c r="F1140" s="510"/>
      <c r="G1140" s="507"/>
      <c r="H1140" s="511"/>
      <c r="I1140" s="512"/>
      <c r="J1140" s="518"/>
      <c r="K1140" s="510"/>
      <c r="L1140" s="510"/>
      <c r="M1140" s="548"/>
      <c r="N1140" s="514">
        <f>LANÇ_MOV[[#This Row],[VALOR BRUTO]]-LANÇ_MOV[[#This Row],[DESCONTO]]+LANÇ_MOV[[#This Row],[JUROS]]+LANÇ_MOV[[#This Row],[MULTA]]</f>
        <v>0</v>
      </c>
      <c r="O1140" s="546"/>
      <c r="P1140" s="547" t="str">
        <f t="shared" ca="1" si="17"/>
        <v/>
      </c>
      <c r="Q1140" s="528"/>
      <c r="R1140" s="529"/>
      <c r="S1140" s="518"/>
      <c r="T1140" s="518"/>
      <c r="U1140" s="519"/>
      <c r="V1140" s="520" t="str">
        <f>IFERROR(VLOOKUP(LANÇ_MOV[[#This Row],[PLANO DE CONTAS]],Plano_Contas[[PLANO DE CONTAS]:[R / D]],3,0),"")</f>
        <v/>
      </c>
      <c r="W1140" s="521" t="str">
        <f>IF(LANÇ_MOV[[#This Row],[DATA DE PAGAMENTO]]&lt;&gt;"","Pago","Não Pago")</f>
        <v>Não Pago</v>
      </c>
      <c r="X1140" s="522" t="str">
        <f>IFERROR(IF(LANÇ_MOV[[#This Row],[DATA DE PAGAMENTO]]="","",(UPPER(TEXT(LANÇ_MOV[[#This Row],[DATA DE PAGAMENTO]],"mmmm")))),"")</f>
        <v/>
      </c>
      <c r="Y1140" s="523" t="str">
        <f>IFERROR(VLOOKUP(LANÇ_MOV[[#This Row],[PLANO DE CONTAS]],Plano_Contas[[PLANO DE CONTAS]:[NOMES INTERVALOS]],2,0),"")</f>
        <v/>
      </c>
      <c r="Z1140" s="523" t="str">
        <f>IF(LANÇ_MOV[[#This Row],[FORMA DE PAGAMENTO]]="","",VLOOKUP(LANÇ_MOV[[#This Row],[FORMA DE PAGAMENTO]],CAD_Forma_pagto[],2,0))</f>
        <v/>
      </c>
      <c r="AA1140" s="524" t="str">
        <f>IF(LANÇ_MOV[[#This Row],[DATA DE LANÇAMENTO]]="","",TEXT(LANÇ_MOV[[#This Row],[DATA DE LANÇAMENTO]],"AAAA"))</f>
        <v/>
      </c>
      <c r="AB1140" s="524" t="str">
        <f>IF(LANÇ_MOV[[#This Row],[DATA DE LANÇAMENTO]]="","",UPPER(TEXT(LANÇ_MOV[[#This Row],[DATA DE LANÇAMENTO]],"MMMM")))</f>
        <v/>
      </c>
      <c r="AC1140" s="525" t="str">
        <f>IF(LANÇ_MOV[[#This Row],[DATA DE LANÇAMENTO]]="","",PROPER(TEXT(LANÇ_MOV[[#This Row],[DATA DE LANÇAMENTO]],"M")))</f>
        <v/>
      </c>
      <c r="AD1140" s="524" t="str">
        <f>IF(LANÇ_MOV[[#This Row],[DATA DE LANÇAMENTO]]="","",TEXT(LANÇ_MOV[[#This Row],[DATA DE LANÇAMENTO]],"D"))</f>
        <v/>
      </c>
      <c r="AE1140" s="526" t="str">
        <f>IF(LANÇ_MOV[[#This Row],[DATA DE VENCIMENTO]]="","",TEXT(LANÇ_MOV[[#This Row],[DATA DE VENCIMENTO]],"AAAA"))</f>
        <v/>
      </c>
      <c r="AF1140" s="526" t="str">
        <f>IF(LANÇ_MOV[[#This Row],[DATA DE VENCIMENTO]]="","",UPPER(TEXT(LANÇ_MOV[[#This Row],[DATA DE VENCIMENTO]],"MMMM")))</f>
        <v/>
      </c>
      <c r="AG1140" s="526" t="str">
        <f>IF(LANÇ_MOV[[#This Row],[DATA DE VENCIMENTO]]="","",TEXT(LANÇ_MOV[[#This Row],[DATA DE VENCIMENTO]],"M"))</f>
        <v/>
      </c>
      <c r="AH1140" s="526" t="str">
        <f>IF(LANÇ_MOV[[#This Row],[DATA DE VENCIMENTO]]="","",TEXT(LANÇ_MOV[[#This Row],[DATA DE VENCIMENTO]],"D"))</f>
        <v/>
      </c>
      <c r="AI1140" s="526" t="str">
        <f>IF(LANÇ_MOV[[#This Row],[DATA DE PAGAMENTO]]="","",TEXT(LANÇ_MOV[[#This Row],[DATA DE PAGAMENTO]],"AAAA"))</f>
        <v/>
      </c>
      <c r="AJ1140" s="527" t="str">
        <f>IF(LANÇ_MOV[[#This Row],[DATA DE PAGAMENTO]]="","",UPPER(TEXT(LANÇ_MOV[[#This Row],[DATA DE PAGAMENTO]],"MMMM")))</f>
        <v/>
      </c>
      <c r="AK1140" s="527" t="str">
        <f>IF(LANÇ_MOV[[#This Row],[DATA DE PAGAMENTO]]="","",TEXT(LANÇ_MOV[[#This Row],[DATA DE PAGAMENTO]],"M"))</f>
        <v/>
      </c>
      <c r="AL1140" s="526" t="str">
        <f>IF(LANÇ_MOV[[#This Row],[DATA DE PAGAMENTO]]="","",TEXT(LANÇ_MOV[[#This Row],[DATA DE PAGAMENTO]],"D"))</f>
        <v/>
      </c>
    </row>
    <row r="1141" spans="2:38" ht="30.05" customHeight="1" x14ac:dyDescent="0.35">
      <c r="B1141" s="506"/>
      <c r="C1141" s="507"/>
      <c r="D1141" s="508" t="s">
        <v>1854</v>
      </c>
      <c r="E1141" s="509"/>
      <c r="F1141" s="510"/>
      <c r="G1141" s="507"/>
      <c r="H1141" s="511"/>
      <c r="I1141" s="512"/>
      <c r="J1141" s="518"/>
      <c r="K1141" s="510"/>
      <c r="L1141" s="510"/>
      <c r="M1141" s="548"/>
      <c r="N1141" s="514">
        <f>LANÇ_MOV[[#This Row],[VALOR BRUTO]]-LANÇ_MOV[[#This Row],[DESCONTO]]+LANÇ_MOV[[#This Row],[JUROS]]+LANÇ_MOV[[#This Row],[MULTA]]</f>
        <v>0</v>
      </c>
      <c r="O1141" s="546"/>
      <c r="P1141" s="547" t="str">
        <f t="shared" ref="P1141:P1204" ca="1" si="18">IF(O1141="","",IF(Q1141&lt;&gt;"","Pago",IF(O1141-TODAY()&gt;30,"Prazo - Mais de 1 mês",IF(O1141=TODAY(),"Hoje",IF(O1141&lt;TODAY(),"Venceu",IF(O1141-TODAY()&lt;10,"Prazo - Menos de 10 dias",IF(O1141-TODAY()&lt;15,"Prazo - Menos de 15 dias","Prazo - Menos de 1 Mês")))))))</f>
        <v/>
      </c>
      <c r="Q1141" s="528"/>
      <c r="R1141" s="529"/>
      <c r="S1141" s="518"/>
      <c r="T1141" s="518"/>
      <c r="U1141" s="519"/>
      <c r="V1141" s="520" t="str">
        <f>IFERROR(VLOOKUP(LANÇ_MOV[[#This Row],[PLANO DE CONTAS]],Plano_Contas[[PLANO DE CONTAS]:[R / D]],3,0),"")</f>
        <v/>
      </c>
      <c r="W1141" s="521" t="str">
        <f>IF(LANÇ_MOV[[#This Row],[DATA DE PAGAMENTO]]&lt;&gt;"","Pago","Não Pago")</f>
        <v>Não Pago</v>
      </c>
      <c r="X1141" s="522" t="str">
        <f>IFERROR(IF(LANÇ_MOV[[#This Row],[DATA DE PAGAMENTO]]="","",(UPPER(TEXT(LANÇ_MOV[[#This Row],[DATA DE PAGAMENTO]],"mmmm")))),"")</f>
        <v/>
      </c>
      <c r="Y1141" s="523" t="str">
        <f>IFERROR(VLOOKUP(LANÇ_MOV[[#This Row],[PLANO DE CONTAS]],Plano_Contas[[PLANO DE CONTAS]:[NOMES INTERVALOS]],2,0),"")</f>
        <v/>
      </c>
      <c r="Z1141" s="523" t="str">
        <f>IF(LANÇ_MOV[[#This Row],[FORMA DE PAGAMENTO]]="","",VLOOKUP(LANÇ_MOV[[#This Row],[FORMA DE PAGAMENTO]],CAD_Forma_pagto[],2,0))</f>
        <v/>
      </c>
      <c r="AA1141" s="524" t="str">
        <f>IF(LANÇ_MOV[[#This Row],[DATA DE LANÇAMENTO]]="","",TEXT(LANÇ_MOV[[#This Row],[DATA DE LANÇAMENTO]],"AAAA"))</f>
        <v/>
      </c>
      <c r="AB1141" s="524" t="str">
        <f>IF(LANÇ_MOV[[#This Row],[DATA DE LANÇAMENTO]]="","",UPPER(TEXT(LANÇ_MOV[[#This Row],[DATA DE LANÇAMENTO]],"MMMM")))</f>
        <v/>
      </c>
      <c r="AC1141" s="525" t="str">
        <f>IF(LANÇ_MOV[[#This Row],[DATA DE LANÇAMENTO]]="","",PROPER(TEXT(LANÇ_MOV[[#This Row],[DATA DE LANÇAMENTO]],"M")))</f>
        <v/>
      </c>
      <c r="AD1141" s="524" t="str">
        <f>IF(LANÇ_MOV[[#This Row],[DATA DE LANÇAMENTO]]="","",TEXT(LANÇ_MOV[[#This Row],[DATA DE LANÇAMENTO]],"D"))</f>
        <v/>
      </c>
      <c r="AE1141" s="526" t="str">
        <f>IF(LANÇ_MOV[[#This Row],[DATA DE VENCIMENTO]]="","",TEXT(LANÇ_MOV[[#This Row],[DATA DE VENCIMENTO]],"AAAA"))</f>
        <v/>
      </c>
      <c r="AF1141" s="526" t="str">
        <f>IF(LANÇ_MOV[[#This Row],[DATA DE VENCIMENTO]]="","",UPPER(TEXT(LANÇ_MOV[[#This Row],[DATA DE VENCIMENTO]],"MMMM")))</f>
        <v/>
      </c>
      <c r="AG1141" s="526" t="str">
        <f>IF(LANÇ_MOV[[#This Row],[DATA DE VENCIMENTO]]="","",TEXT(LANÇ_MOV[[#This Row],[DATA DE VENCIMENTO]],"M"))</f>
        <v/>
      </c>
      <c r="AH1141" s="526" t="str">
        <f>IF(LANÇ_MOV[[#This Row],[DATA DE VENCIMENTO]]="","",TEXT(LANÇ_MOV[[#This Row],[DATA DE VENCIMENTO]],"D"))</f>
        <v/>
      </c>
      <c r="AI1141" s="526" t="str">
        <f>IF(LANÇ_MOV[[#This Row],[DATA DE PAGAMENTO]]="","",TEXT(LANÇ_MOV[[#This Row],[DATA DE PAGAMENTO]],"AAAA"))</f>
        <v/>
      </c>
      <c r="AJ1141" s="527" t="str">
        <f>IF(LANÇ_MOV[[#This Row],[DATA DE PAGAMENTO]]="","",UPPER(TEXT(LANÇ_MOV[[#This Row],[DATA DE PAGAMENTO]],"MMMM")))</f>
        <v/>
      </c>
      <c r="AK1141" s="527" t="str">
        <f>IF(LANÇ_MOV[[#This Row],[DATA DE PAGAMENTO]]="","",TEXT(LANÇ_MOV[[#This Row],[DATA DE PAGAMENTO]],"M"))</f>
        <v/>
      </c>
      <c r="AL1141" s="526" t="str">
        <f>IF(LANÇ_MOV[[#This Row],[DATA DE PAGAMENTO]]="","",TEXT(LANÇ_MOV[[#This Row],[DATA DE PAGAMENTO]],"D"))</f>
        <v/>
      </c>
    </row>
    <row r="1142" spans="2:38" ht="30.05" customHeight="1" x14ac:dyDescent="0.35">
      <c r="B1142" s="506"/>
      <c r="C1142" s="507"/>
      <c r="D1142" s="508" t="s">
        <v>1854</v>
      </c>
      <c r="E1142" s="509"/>
      <c r="F1142" s="510"/>
      <c r="G1142" s="507"/>
      <c r="H1142" s="511"/>
      <c r="I1142" s="512"/>
      <c r="J1142" s="518"/>
      <c r="K1142" s="510"/>
      <c r="L1142" s="510"/>
      <c r="M1142" s="548"/>
      <c r="N1142" s="514">
        <f>LANÇ_MOV[[#This Row],[VALOR BRUTO]]-LANÇ_MOV[[#This Row],[DESCONTO]]+LANÇ_MOV[[#This Row],[JUROS]]+LANÇ_MOV[[#This Row],[MULTA]]</f>
        <v>0</v>
      </c>
      <c r="O1142" s="546"/>
      <c r="P1142" s="547" t="str">
        <f t="shared" ca="1" si="18"/>
        <v/>
      </c>
      <c r="Q1142" s="528"/>
      <c r="R1142" s="529"/>
      <c r="S1142" s="518"/>
      <c r="T1142" s="518"/>
      <c r="U1142" s="519"/>
      <c r="V1142" s="520" t="str">
        <f>IFERROR(VLOOKUP(LANÇ_MOV[[#This Row],[PLANO DE CONTAS]],Plano_Contas[[PLANO DE CONTAS]:[R / D]],3,0),"")</f>
        <v/>
      </c>
      <c r="W1142" s="521" t="str">
        <f>IF(LANÇ_MOV[[#This Row],[DATA DE PAGAMENTO]]&lt;&gt;"","Pago","Não Pago")</f>
        <v>Não Pago</v>
      </c>
      <c r="X1142" s="522" t="str">
        <f>IFERROR(IF(LANÇ_MOV[[#This Row],[DATA DE PAGAMENTO]]="","",(UPPER(TEXT(LANÇ_MOV[[#This Row],[DATA DE PAGAMENTO]],"mmmm")))),"")</f>
        <v/>
      </c>
      <c r="Y1142" s="523" t="str">
        <f>IFERROR(VLOOKUP(LANÇ_MOV[[#This Row],[PLANO DE CONTAS]],Plano_Contas[[PLANO DE CONTAS]:[NOMES INTERVALOS]],2,0),"")</f>
        <v/>
      </c>
      <c r="Z1142" s="523" t="str">
        <f>IF(LANÇ_MOV[[#This Row],[FORMA DE PAGAMENTO]]="","",VLOOKUP(LANÇ_MOV[[#This Row],[FORMA DE PAGAMENTO]],CAD_Forma_pagto[],2,0))</f>
        <v/>
      </c>
      <c r="AA1142" s="524" t="str">
        <f>IF(LANÇ_MOV[[#This Row],[DATA DE LANÇAMENTO]]="","",TEXT(LANÇ_MOV[[#This Row],[DATA DE LANÇAMENTO]],"AAAA"))</f>
        <v/>
      </c>
      <c r="AB1142" s="524" t="str">
        <f>IF(LANÇ_MOV[[#This Row],[DATA DE LANÇAMENTO]]="","",UPPER(TEXT(LANÇ_MOV[[#This Row],[DATA DE LANÇAMENTO]],"MMMM")))</f>
        <v/>
      </c>
      <c r="AC1142" s="525" t="str">
        <f>IF(LANÇ_MOV[[#This Row],[DATA DE LANÇAMENTO]]="","",PROPER(TEXT(LANÇ_MOV[[#This Row],[DATA DE LANÇAMENTO]],"M")))</f>
        <v/>
      </c>
      <c r="AD1142" s="524" t="str">
        <f>IF(LANÇ_MOV[[#This Row],[DATA DE LANÇAMENTO]]="","",TEXT(LANÇ_MOV[[#This Row],[DATA DE LANÇAMENTO]],"D"))</f>
        <v/>
      </c>
      <c r="AE1142" s="526" t="str">
        <f>IF(LANÇ_MOV[[#This Row],[DATA DE VENCIMENTO]]="","",TEXT(LANÇ_MOV[[#This Row],[DATA DE VENCIMENTO]],"AAAA"))</f>
        <v/>
      </c>
      <c r="AF1142" s="526" t="str">
        <f>IF(LANÇ_MOV[[#This Row],[DATA DE VENCIMENTO]]="","",UPPER(TEXT(LANÇ_MOV[[#This Row],[DATA DE VENCIMENTO]],"MMMM")))</f>
        <v/>
      </c>
      <c r="AG1142" s="526" t="str">
        <f>IF(LANÇ_MOV[[#This Row],[DATA DE VENCIMENTO]]="","",TEXT(LANÇ_MOV[[#This Row],[DATA DE VENCIMENTO]],"M"))</f>
        <v/>
      </c>
      <c r="AH1142" s="526" t="str">
        <f>IF(LANÇ_MOV[[#This Row],[DATA DE VENCIMENTO]]="","",TEXT(LANÇ_MOV[[#This Row],[DATA DE VENCIMENTO]],"D"))</f>
        <v/>
      </c>
      <c r="AI1142" s="526" t="str">
        <f>IF(LANÇ_MOV[[#This Row],[DATA DE PAGAMENTO]]="","",TEXT(LANÇ_MOV[[#This Row],[DATA DE PAGAMENTO]],"AAAA"))</f>
        <v/>
      </c>
      <c r="AJ1142" s="527" t="str">
        <f>IF(LANÇ_MOV[[#This Row],[DATA DE PAGAMENTO]]="","",UPPER(TEXT(LANÇ_MOV[[#This Row],[DATA DE PAGAMENTO]],"MMMM")))</f>
        <v/>
      </c>
      <c r="AK1142" s="527" t="str">
        <f>IF(LANÇ_MOV[[#This Row],[DATA DE PAGAMENTO]]="","",TEXT(LANÇ_MOV[[#This Row],[DATA DE PAGAMENTO]],"M"))</f>
        <v/>
      </c>
      <c r="AL1142" s="526" t="str">
        <f>IF(LANÇ_MOV[[#This Row],[DATA DE PAGAMENTO]]="","",TEXT(LANÇ_MOV[[#This Row],[DATA DE PAGAMENTO]],"D"))</f>
        <v/>
      </c>
    </row>
    <row r="1143" spans="2:38" ht="30.05" customHeight="1" x14ac:dyDescent="0.35">
      <c r="B1143" s="506"/>
      <c r="C1143" s="507"/>
      <c r="D1143" s="508" t="s">
        <v>1854</v>
      </c>
      <c r="E1143" s="509"/>
      <c r="F1143" s="510"/>
      <c r="G1143" s="507"/>
      <c r="H1143" s="511"/>
      <c r="I1143" s="512"/>
      <c r="J1143" s="518"/>
      <c r="K1143" s="510"/>
      <c r="L1143" s="510"/>
      <c r="M1143" s="548"/>
      <c r="N1143" s="514">
        <f>LANÇ_MOV[[#This Row],[VALOR BRUTO]]-LANÇ_MOV[[#This Row],[DESCONTO]]+LANÇ_MOV[[#This Row],[JUROS]]+LANÇ_MOV[[#This Row],[MULTA]]</f>
        <v>0</v>
      </c>
      <c r="O1143" s="546"/>
      <c r="P1143" s="547" t="str">
        <f t="shared" ca="1" si="18"/>
        <v/>
      </c>
      <c r="Q1143" s="528"/>
      <c r="R1143" s="529"/>
      <c r="S1143" s="518"/>
      <c r="T1143" s="518"/>
      <c r="U1143" s="519"/>
      <c r="V1143" s="520" t="str">
        <f>IFERROR(VLOOKUP(LANÇ_MOV[[#This Row],[PLANO DE CONTAS]],Plano_Contas[[PLANO DE CONTAS]:[R / D]],3,0),"")</f>
        <v/>
      </c>
      <c r="W1143" s="521" t="str">
        <f>IF(LANÇ_MOV[[#This Row],[DATA DE PAGAMENTO]]&lt;&gt;"","Pago","Não Pago")</f>
        <v>Não Pago</v>
      </c>
      <c r="X1143" s="522" t="str">
        <f>IFERROR(IF(LANÇ_MOV[[#This Row],[DATA DE PAGAMENTO]]="","",(UPPER(TEXT(LANÇ_MOV[[#This Row],[DATA DE PAGAMENTO]],"mmmm")))),"")</f>
        <v/>
      </c>
      <c r="Y1143" s="523" t="str">
        <f>IFERROR(VLOOKUP(LANÇ_MOV[[#This Row],[PLANO DE CONTAS]],Plano_Contas[[PLANO DE CONTAS]:[NOMES INTERVALOS]],2,0),"")</f>
        <v/>
      </c>
      <c r="Z1143" s="523" t="str">
        <f>IF(LANÇ_MOV[[#This Row],[FORMA DE PAGAMENTO]]="","",VLOOKUP(LANÇ_MOV[[#This Row],[FORMA DE PAGAMENTO]],CAD_Forma_pagto[],2,0))</f>
        <v/>
      </c>
      <c r="AA1143" s="524" t="str">
        <f>IF(LANÇ_MOV[[#This Row],[DATA DE LANÇAMENTO]]="","",TEXT(LANÇ_MOV[[#This Row],[DATA DE LANÇAMENTO]],"AAAA"))</f>
        <v/>
      </c>
      <c r="AB1143" s="524" t="str">
        <f>IF(LANÇ_MOV[[#This Row],[DATA DE LANÇAMENTO]]="","",UPPER(TEXT(LANÇ_MOV[[#This Row],[DATA DE LANÇAMENTO]],"MMMM")))</f>
        <v/>
      </c>
      <c r="AC1143" s="525" t="str">
        <f>IF(LANÇ_MOV[[#This Row],[DATA DE LANÇAMENTO]]="","",PROPER(TEXT(LANÇ_MOV[[#This Row],[DATA DE LANÇAMENTO]],"M")))</f>
        <v/>
      </c>
      <c r="AD1143" s="524" t="str">
        <f>IF(LANÇ_MOV[[#This Row],[DATA DE LANÇAMENTO]]="","",TEXT(LANÇ_MOV[[#This Row],[DATA DE LANÇAMENTO]],"D"))</f>
        <v/>
      </c>
      <c r="AE1143" s="526" t="str">
        <f>IF(LANÇ_MOV[[#This Row],[DATA DE VENCIMENTO]]="","",TEXT(LANÇ_MOV[[#This Row],[DATA DE VENCIMENTO]],"AAAA"))</f>
        <v/>
      </c>
      <c r="AF1143" s="526" t="str">
        <f>IF(LANÇ_MOV[[#This Row],[DATA DE VENCIMENTO]]="","",UPPER(TEXT(LANÇ_MOV[[#This Row],[DATA DE VENCIMENTO]],"MMMM")))</f>
        <v/>
      </c>
      <c r="AG1143" s="526" t="str">
        <f>IF(LANÇ_MOV[[#This Row],[DATA DE VENCIMENTO]]="","",TEXT(LANÇ_MOV[[#This Row],[DATA DE VENCIMENTO]],"M"))</f>
        <v/>
      </c>
      <c r="AH1143" s="526" t="str">
        <f>IF(LANÇ_MOV[[#This Row],[DATA DE VENCIMENTO]]="","",TEXT(LANÇ_MOV[[#This Row],[DATA DE VENCIMENTO]],"D"))</f>
        <v/>
      </c>
      <c r="AI1143" s="526" t="str">
        <f>IF(LANÇ_MOV[[#This Row],[DATA DE PAGAMENTO]]="","",TEXT(LANÇ_MOV[[#This Row],[DATA DE PAGAMENTO]],"AAAA"))</f>
        <v/>
      </c>
      <c r="AJ1143" s="527" t="str">
        <f>IF(LANÇ_MOV[[#This Row],[DATA DE PAGAMENTO]]="","",UPPER(TEXT(LANÇ_MOV[[#This Row],[DATA DE PAGAMENTO]],"MMMM")))</f>
        <v/>
      </c>
      <c r="AK1143" s="527" t="str">
        <f>IF(LANÇ_MOV[[#This Row],[DATA DE PAGAMENTO]]="","",TEXT(LANÇ_MOV[[#This Row],[DATA DE PAGAMENTO]],"M"))</f>
        <v/>
      </c>
      <c r="AL1143" s="526" t="str">
        <f>IF(LANÇ_MOV[[#This Row],[DATA DE PAGAMENTO]]="","",TEXT(LANÇ_MOV[[#This Row],[DATA DE PAGAMENTO]],"D"))</f>
        <v/>
      </c>
    </row>
    <row r="1144" spans="2:38" ht="30.05" customHeight="1" x14ac:dyDescent="0.35">
      <c r="B1144" s="506"/>
      <c r="C1144" s="507"/>
      <c r="D1144" s="508" t="s">
        <v>1854</v>
      </c>
      <c r="E1144" s="509"/>
      <c r="F1144" s="510"/>
      <c r="G1144" s="507"/>
      <c r="H1144" s="511"/>
      <c r="I1144" s="512"/>
      <c r="J1144" s="518"/>
      <c r="K1144" s="510"/>
      <c r="L1144" s="510"/>
      <c r="M1144" s="548"/>
      <c r="N1144" s="514">
        <f>LANÇ_MOV[[#This Row],[VALOR BRUTO]]-LANÇ_MOV[[#This Row],[DESCONTO]]+LANÇ_MOV[[#This Row],[JUROS]]+LANÇ_MOV[[#This Row],[MULTA]]</f>
        <v>0</v>
      </c>
      <c r="O1144" s="546"/>
      <c r="P1144" s="547" t="str">
        <f t="shared" ca="1" si="18"/>
        <v/>
      </c>
      <c r="Q1144" s="528"/>
      <c r="R1144" s="529"/>
      <c r="S1144" s="518"/>
      <c r="T1144" s="518"/>
      <c r="U1144" s="519"/>
      <c r="V1144" s="520" t="str">
        <f>IFERROR(VLOOKUP(LANÇ_MOV[[#This Row],[PLANO DE CONTAS]],Plano_Contas[[PLANO DE CONTAS]:[R / D]],3,0),"")</f>
        <v/>
      </c>
      <c r="W1144" s="521" t="str">
        <f>IF(LANÇ_MOV[[#This Row],[DATA DE PAGAMENTO]]&lt;&gt;"","Pago","Não Pago")</f>
        <v>Não Pago</v>
      </c>
      <c r="X1144" s="522" t="str">
        <f>IFERROR(IF(LANÇ_MOV[[#This Row],[DATA DE PAGAMENTO]]="","",(UPPER(TEXT(LANÇ_MOV[[#This Row],[DATA DE PAGAMENTO]],"mmmm")))),"")</f>
        <v/>
      </c>
      <c r="Y1144" s="523" t="str">
        <f>IFERROR(VLOOKUP(LANÇ_MOV[[#This Row],[PLANO DE CONTAS]],Plano_Contas[[PLANO DE CONTAS]:[NOMES INTERVALOS]],2,0),"")</f>
        <v/>
      </c>
      <c r="Z1144" s="523" t="str">
        <f>IF(LANÇ_MOV[[#This Row],[FORMA DE PAGAMENTO]]="","",VLOOKUP(LANÇ_MOV[[#This Row],[FORMA DE PAGAMENTO]],CAD_Forma_pagto[],2,0))</f>
        <v/>
      </c>
      <c r="AA1144" s="524" t="str">
        <f>IF(LANÇ_MOV[[#This Row],[DATA DE LANÇAMENTO]]="","",TEXT(LANÇ_MOV[[#This Row],[DATA DE LANÇAMENTO]],"AAAA"))</f>
        <v/>
      </c>
      <c r="AB1144" s="524" t="str">
        <f>IF(LANÇ_MOV[[#This Row],[DATA DE LANÇAMENTO]]="","",UPPER(TEXT(LANÇ_MOV[[#This Row],[DATA DE LANÇAMENTO]],"MMMM")))</f>
        <v/>
      </c>
      <c r="AC1144" s="525" t="str">
        <f>IF(LANÇ_MOV[[#This Row],[DATA DE LANÇAMENTO]]="","",PROPER(TEXT(LANÇ_MOV[[#This Row],[DATA DE LANÇAMENTO]],"M")))</f>
        <v/>
      </c>
      <c r="AD1144" s="524" t="str">
        <f>IF(LANÇ_MOV[[#This Row],[DATA DE LANÇAMENTO]]="","",TEXT(LANÇ_MOV[[#This Row],[DATA DE LANÇAMENTO]],"D"))</f>
        <v/>
      </c>
      <c r="AE1144" s="526" t="str">
        <f>IF(LANÇ_MOV[[#This Row],[DATA DE VENCIMENTO]]="","",TEXT(LANÇ_MOV[[#This Row],[DATA DE VENCIMENTO]],"AAAA"))</f>
        <v/>
      </c>
      <c r="AF1144" s="526" t="str">
        <f>IF(LANÇ_MOV[[#This Row],[DATA DE VENCIMENTO]]="","",UPPER(TEXT(LANÇ_MOV[[#This Row],[DATA DE VENCIMENTO]],"MMMM")))</f>
        <v/>
      </c>
      <c r="AG1144" s="526" t="str">
        <f>IF(LANÇ_MOV[[#This Row],[DATA DE VENCIMENTO]]="","",TEXT(LANÇ_MOV[[#This Row],[DATA DE VENCIMENTO]],"M"))</f>
        <v/>
      </c>
      <c r="AH1144" s="526" t="str">
        <f>IF(LANÇ_MOV[[#This Row],[DATA DE VENCIMENTO]]="","",TEXT(LANÇ_MOV[[#This Row],[DATA DE VENCIMENTO]],"D"))</f>
        <v/>
      </c>
      <c r="AI1144" s="526" t="str">
        <f>IF(LANÇ_MOV[[#This Row],[DATA DE PAGAMENTO]]="","",TEXT(LANÇ_MOV[[#This Row],[DATA DE PAGAMENTO]],"AAAA"))</f>
        <v/>
      </c>
      <c r="AJ1144" s="527" t="str">
        <f>IF(LANÇ_MOV[[#This Row],[DATA DE PAGAMENTO]]="","",UPPER(TEXT(LANÇ_MOV[[#This Row],[DATA DE PAGAMENTO]],"MMMM")))</f>
        <v/>
      </c>
      <c r="AK1144" s="527" t="str">
        <f>IF(LANÇ_MOV[[#This Row],[DATA DE PAGAMENTO]]="","",TEXT(LANÇ_MOV[[#This Row],[DATA DE PAGAMENTO]],"M"))</f>
        <v/>
      </c>
      <c r="AL1144" s="526" t="str">
        <f>IF(LANÇ_MOV[[#This Row],[DATA DE PAGAMENTO]]="","",TEXT(LANÇ_MOV[[#This Row],[DATA DE PAGAMENTO]],"D"))</f>
        <v/>
      </c>
    </row>
    <row r="1145" spans="2:38" ht="30.05" customHeight="1" x14ac:dyDescent="0.35">
      <c r="B1145" s="506"/>
      <c r="C1145" s="507"/>
      <c r="D1145" s="508" t="s">
        <v>1854</v>
      </c>
      <c r="E1145" s="509"/>
      <c r="F1145" s="510"/>
      <c r="G1145" s="507"/>
      <c r="H1145" s="511"/>
      <c r="I1145" s="512"/>
      <c r="J1145" s="518"/>
      <c r="K1145" s="510"/>
      <c r="L1145" s="510"/>
      <c r="M1145" s="548"/>
      <c r="N1145" s="514">
        <f>LANÇ_MOV[[#This Row],[VALOR BRUTO]]-LANÇ_MOV[[#This Row],[DESCONTO]]+LANÇ_MOV[[#This Row],[JUROS]]+LANÇ_MOV[[#This Row],[MULTA]]</f>
        <v>0</v>
      </c>
      <c r="O1145" s="546"/>
      <c r="P1145" s="547" t="str">
        <f t="shared" ca="1" si="18"/>
        <v/>
      </c>
      <c r="Q1145" s="528"/>
      <c r="R1145" s="529"/>
      <c r="S1145" s="518"/>
      <c r="T1145" s="518"/>
      <c r="U1145" s="519"/>
      <c r="V1145" s="520" t="str">
        <f>IFERROR(VLOOKUP(LANÇ_MOV[[#This Row],[PLANO DE CONTAS]],Plano_Contas[[PLANO DE CONTAS]:[R / D]],3,0),"")</f>
        <v/>
      </c>
      <c r="W1145" s="521" t="str">
        <f>IF(LANÇ_MOV[[#This Row],[DATA DE PAGAMENTO]]&lt;&gt;"","Pago","Não Pago")</f>
        <v>Não Pago</v>
      </c>
      <c r="X1145" s="522" t="str">
        <f>IFERROR(IF(LANÇ_MOV[[#This Row],[DATA DE PAGAMENTO]]="","",(UPPER(TEXT(LANÇ_MOV[[#This Row],[DATA DE PAGAMENTO]],"mmmm")))),"")</f>
        <v/>
      </c>
      <c r="Y1145" s="523" t="str">
        <f>IFERROR(VLOOKUP(LANÇ_MOV[[#This Row],[PLANO DE CONTAS]],Plano_Contas[[PLANO DE CONTAS]:[NOMES INTERVALOS]],2,0),"")</f>
        <v/>
      </c>
      <c r="Z1145" s="523" t="str">
        <f>IF(LANÇ_MOV[[#This Row],[FORMA DE PAGAMENTO]]="","",VLOOKUP(LANÇ_MOV[[#This Row],[FORMA DE PAGAMENTO]],CAD_Forma_pagto[],2,0))</f>
        <v/>
      </c>
      <c r="AA1145" s="524" t="str">
        <f>IF(LANÇ_MOV[[#This Row],[DATA DE LANÇAMENTO]]="","",TEXT(LANÇ_MOV[[#This Row],[DATA DE LANÇAMENTO]],"AAAA"))</f>
        <v/>
      </c>
      <c r="AB1145" s="524" t="str">
        <f>IF(LANÇ_MOV[[#This Row],[DATA DE LANÇAMENTO]]="","",UPPER(TEXT(LANÇ_MOV[[#This Row],[DATA DE LANÇAMENTO]],"MMMM")))</f>
        <v/>
      </c>
      <c r="AC1145" s="525" t="str">
        <f>IF(LANÇ_MOV[[#This Row],[DATA DE LANÇAMENTO]]="","",PROPER(TEXT(LANÇ_MOV[[#This Row],[DATA DE LANÇAMENTO]],"M")))</f>
        <v/>
      </c>
      <c r="AD1145" s="524" t="str">
        <f>IF(LANÇ_MOV[[#This Row],[DATA DE LANÇAMENTO]]="","",TEXT(LANÇ_MOV[[#This Row],[DATA DE LANÇAMENTO]],"D"))</f>
        <v/>
      </c>
      <c r="AE1145" s="526" t="str">
        <f>IF(LANÇ_MOV[[#This Row],[DATA DE VENCIMENTO]]="","",TEXT(LANÇ_MOV[[#This Row],[DATA DE VENCIMENTO]],"AAAA"))</f>
        <v/>
      </c>
      <c r="AF1145" s="526" t="str">
        <f>IF(LANÇ_MOV[[#This Row],[DATA DE VENCIMENTO]]="","",UPPER(TEXT(LANÇ_MOV[[#This Row],[DATA DE VENCIMENTO]],"MMMM")))</f>
        <v/>
      </c>
      <c r="AG1145" s="526" t="str">
        <f>IF(LANÇ_MOV[[#This Row],[DATA DE VENCIMENTO]]="","",TEXT(LANÇ_MOV[[#This Row],[DATA DE VENCIMENTO]],"M"))</f>
        <v/>
      </c>
      <c r="AH1145" s="526" t="str">
        <f>IF(LANÇ_MOV[[#This Row],[DATA DE VENCIMENTO]]="","",TEXT(LANÇ_MOV[[#This Row],[DATA DE VENCIMENTO]],"D"))</f>
        <v/>
      </c>
      <c r="AI1145" s="526" t="str">
        <f>IF(LANÇ_MOV[[#This Row],[DATA DE PAGAMENTO]]="","",TEXT(LANÇ_MOV[[#This Row],[DATA DE PAGAMENTO]],"AAAA"))</f>
        <v/>
      </c>
      <c r="AJ1145" s="527" t="str">
        <f>IF(LANÇ_MOV[[#This Row],[DATA DE PAGAMENTO]]="","",UPPER(TEXT(LANÇ_MOV[[#This Row],[DATA DE PAGAMENTO]],"MMMM")))</f>
        <v/>
      </c>
      <c r="AK1145" s="527" t="str">
        <f>IF(LANÇ_MOV[[#This Row],[DATA DE PAGAMENTO]]="","",TEXT(LANÇ_MOV[[#This Row],[DATA DE PAGAMENTO]],"M"))</f>
        <v/>
      </c>
      <c r="AL1145" s="526" t="str">
        <f>IF(LANÇ_MOV[[#This Row],[DATA DE PAGAMENTO]]="","",TEXT(LANÇ_MOV[[#This Row],[DATA DE PAGAMENTO]],"D"))</f>
        <v/>
      </c>
    </row>
    <row r="1146" spans="2:38" ht="30.05" customHeight="1" x14ac:dyDescent="0.35">
      <c r="B1146" s="506"/>
      <c r="C1146" s="507"/>
      <c r="D1146" s="508" t="s">
        <v>1854</v>
      </c>
      <c r="E1146" s="509"/>
      <c r="F1146" s="510"/>
      <c r="G1146" s="507"/>
      <c r="H1146" s="511"/>
      <c r="I1146" s="512"/>
      <c r="J1146" s="518"/>
      <c r="K1146" s="510"/>
      <c r="L1146" s="510"/>
      <c r="M1146" s="548"/>
      <c r="N1146" s="514">
        <f>LANÇ_MOV[[#This Row],[VALOR BRUTO]]-LANÇ_MOV[[#This Row],[DESCONTO]]+LANÇ_MOV[[#This Row],[JUROS]]+LANÇ_MOV[[#This Row],[MULTA]]</f>
        <v>0</v>
      </c>
      <c r="O1146" s="546"/>
      <c r="P1146" s="547" t="str">
        <f t="shared" ca="1" si="18"/>
        <v/>
      </c>
      <c r="Q1146" s="528"/>
      <c r="R1146" s="529"/>
      <c r="S1146" s="518"/>
      <c r="T1146" s="518"/>
      <c r="U1146" s="519"/>
      <c r="V1146" s="520" t="str">
        <f>IFERROR(VLOOKUP(LANÇ_MOV[[#This Row],[PLANO DE CONTAS]],Plano_Contas[[PLANO DE CONTAS]:[R / D]],3,0),"")</f>
        <v/>
      </c>
      <c r="W1146" s="521" t="str">
        <f>IF(LANÇ_MOV[[#This Row],[DATA DE PAGAMENTO]]&lt;&gt;"","Pago","Não Pago")</f>
        <v>Não Pago</v>
      </c>
      <c r="X1146" s="522" t="str">
        <f>IFERROR(IF(LANÇ_MOV[[#This Row],[DATA DE PAGAMENTO]]="","",(UPPER(TEXT(LANÇ_MOV[[#This Row],[DATA DE PAGAMENTO]],"mmmm")))),"")</f>
        <v/>
      </c>
      <c r="Y1146" s="523" t="str">
        <f>IFERROR(VLOOKUP(LANÇ_MOV[[#This Row],[PLANO DE CONTAS]],Plano_Contas[[PLANO DE CONTAS]:[NOMES INTERVALOS]],2,0),"")</f>
        <v/>
      </c>
      <c r="Z1146" s="523" t="str">
        <f>IF(LANÇ_MOV[[#This Row],[FORMA DE PAGAMENTO]]="","",VLOOKUP(LANÇ_MOV[[#This Row],[FORMA DE PAGAMENTO]],CAD_Forma_pagto[],2,0))</f>
        <v/>
      </c>
      <c r="AA1146" s="524" t="str">
        <f>IF(LANÇ_MOV[[#This Row],[DATA DE LANÇAMENTO]]="","",TEXT(LANÇ_MOV[[#This Row],[DATA DE LANÇAMENTO]],"AAAA"))</f>
        <v/>
      </c>
      <c r="AB1146" s="524" t="str">
        <f>IF(LANÇ_MOV[[#This Row],[DATA DE LANÇAMENTO]]="","",UPPER(TEXT(LANÇ_MOV[[#This Row],[DATA DE LANÇAMENTO]],"MMMM")))</f>
        <v/>
      </c>
      <c r="AC1146" s="525" t="str">
        <f>IF(LANÇ_MOV[[#This Row],[DATA DE LANÇAMENTO]]="","",PROPER(TEXT(LANÇ_MOV[[#This Row],[DATA DE LANÇAMENTO]],"M")))</f>
        <v/>
      </c>
      <c r="AD1146" s="524" t="str">
        <f>IF(LANÇ_MOV[[#This Row],[DATA DE LANÇAMENTO]]="","",TEXT(LANÇ_MOV[[#This Row],[DATA DE LANÇAMENTO]],"D"))</f>
        <v/>
      </c>
      <c r="AE1146" s="526" t="str">
        <f>IF(LANÇ_MOV[[#This Row],[DATA DE VENCIMENTO]]="","",TEXT(LANÇ_MOV[[#This Row],[DATA DE VENCIMENTO]],"AAAA"))</f>
        <v/>
      </c>
      <c r="AF1146" s="526" t="str">
        <f>IF(LANÇ_MOV[[#This Row],[DATA DE VENCIMENTO]]="","",UPPER(TEXT(LANÇ_MOV[[#This Row],[DATA DE VENCIMENTO]],"MMMM")))</f>
        <v/>
      </c>
      <c r="AG1146" s="526" t="str">
        <f>IF(LANÇ_MOV[[#This Row],[DATA DE VENCIMENTO]]="","",TEXT(LANÇ_MOV[[#This Row],[DATA DE VENCIMENTO]],"M"))</f>
        <v/>
      </c>
      <c r="AH1146" s="526" t="str">
        <f>IF(LANÇ_MOV[[#This Row],[DATA DE VENCIMENTO]]="","",TEXT(LANÇ_MOV[[#This Row],[DATA DE VENCIMENTO]],"D"))</f>
        <v/>
      </c>
      <c r="AI1146" s="526" t="str">
        <f>IF(LANÇ_MOV[[#This Row],[DATA DE PAGAMENTO]]="","",TEXT(LANÇ_MOV[[#This Row],[DATA DE PAGAMENTO]],"AAAA"))</f>
        <v/>
      </c>
      <c r="AJ1146" s="527" t="str">
        <f>IF(LANÇ_MOV[[#This Row],[DATA DE PAGAMENTO]]="","",UPPER(TEXT(LANÇ_MOV[[#This Row],[DATA DE PAGAMENTO]],"MMMM")))</f>
        <v/>
      </c>
      <c r="AK1146" s="527" t="str">
        <f>IF(LANÇ_MOV[[#This Row],[DATA DE PAGAMENTO]]="","",TEXT(LANÇ_MOV[[#This Row],[DATA DE PAGAMENTO]],"M"))</f>
        <v/>
      </c>
      <c r="AL1146" s="526" t="str">
        <f>IF(LANÇ_MOV[[#This Row],[DATA DE PAGAMENTO]]="","",TEXT(LANÇ_MOV[[#This Row],[DATA DE PAGAMENTO]],"D"))</f>
        <v/>
      </c>
    </row>
    <row r="1147" spans="2:38" ht="30.05" customHeight="1" x14ac:dyDescent="0.35">
      <c r="B1147" s="506"/>
      <c r="C1147" s="507"/>
      <c r="D1147" s="508" t="s">
        <v>1854</v>
      </c>
      <c r="E1147" s="509"/>
      <c r="F1147" s="510"/>
      <c r="G1147" s="507"/>
      <c r="H1147" s="511"/>
      <c r="I1147" s="512"/>
      <c r="J1147" s="518"/>
      <c r="K1147" s="510"/>
      <c r="L1147" s="510"/>
      <c r="M1147" s="548"/>
      <c r="N1147" s="514">
        <f>LANÇ_MOV[[#This Row],[VALOR BRUTO]]-LANÇ_MOV[[#This Row],[DESCONTO]]+LANÇ_MOV[[#This Row],[JUROS]]+LANÇ_MOV[[#This Row],[MULTA]]</f>
        <v>0</v>
      </c>
      <c r="O1147" s="546"/>
      <c r="P1147" s="547" t="str">
        <f t="shared" ca="1" si="18"/>
        <v/>
      </c>
      <c r="Q1147" s="528"/>
      <c r="R1147" s="529"/>
      <c r="S1147" s="518"/>
      <c r="T1147" s="518"/>
      <c r="U1147" s="519"/>
      <c r="V1147" s="520" t="str">
        <f>IFERROR(VLOOKUP(LANÇ_MOV[[#This Row],[PLANO DE CONTAS]],Plano_Contas[[PLANO DE CONTAS]:[R / D]],3,0),"")</f>
        <v/>
      </c>
      <c r="W1147" s="521" t="str">
        <f>IF(LANÇ_MOV[[#This Row],[DATA DE PAGAMENTO]]&lt;&gt;"","Pago","Não Pago")</f>
        <v>Não Pago</v>
      </c>
      <c r="X1147" s="522" t="str">
        <f>IFERROR(IF(LANÇ_MOV[[#This Row],[DATA DE PAGAMENTO]]="","",(UPPER(TEXT(LANÇ_MOV[[#This Row],[DATA DE PAGAMENTO]],"mmmm")))),"")</f>
        <v/>
      </c>
      <c r="Y1147" s="523" t="str">
        <f>IFERROR(VLOOKUP(LANÇ_MOV[[#This Row],[PLANO DE CONTAS]],Plano_Contas[[PLANO DE CONTAS]:[NOMES INTERVALOS]],2,0),"")</f>
        <v/>
      </c>
      <c r="Z1147" s="523" t="str">
        <f>IF(LANÇ_MOV[[#This Row],[FORMA DE PAGAMENTO]]="","",VLOOKUP(LANÇ_MOV[[#This Row],[FORMA DE PAGAMENTO]],CAD_Forma_pagto[],2,0))</f>
        <v/>
      </c>
      <c r="AA1147" s="524" t="str">
        <f>IF(LANÇ_MOV[[#This Row],[DATA DE LANÇAMENTO]]="","",TEXT(LANÇ_MOV[[#This Row],[DATA DE LANÇAMENTO]],"AAAA"))</f>
        <v/>
      </c>
      <c r="AB1147" s="524" t="str">
        <f>IF(LANÇ_MOV[[#This Row],[DATA DE LANÇAMENTO]]="","",UPPER(TEXT(LANÇ_MOV[[#This Row],[DATA DE LANÇAMENTO]],"MMMM")))</f>
        <v/>
      </c>
      <c r="AC1147" s="525" t="str">
        <f>IF(LANÇ_MOV[[#This Row],[DATA DE LANÇAMENTO]]="","",PROPER(TEXT(LANÇ_MOV[[#This Row],[DATA DE LANÇAMENTO]],"M")))</f>
        <v/>
      </c>
      <c r="AD1147" s="524" t="str">
        <f>IF(LANÇ_MOV[[#This Row],[DATA DE LANÇAMENTO]]="","",TEXT(LANÇ_MOV[[#This Row],[DATA DE LANÇAMENTO]],"D"))</f>
        <v/>
      </c>
      <c r="AE1147" s="526" t="str">
        <f>IF(LANÇ_MOV[[#This Row],[DATA DE VENCIMENTO]]="","",TEXT(LANÇ_MOV[[#This Row],[DATA DE VENCIMENTO]],"AAAA"))</f>
        <v/>
      </c>
      <c r="AF1147" s="526" t="str">
        <f>IF(LANÇ_MOV[[#This Row],[DATA DE VENCIMENTO]]="","",UPPER(TEXT(LANÇ_MOV[[#This Row],[DATA DE VENCIMENTO]],"MMMM")))</f>
        <v/>
      </c>
      <c r="AG1147" s="526" t="str">
        <f>IF(LANÇ_MOV[[#This Row],[DATA DE VENCIMENTO]]="","",TEXT(LANÇ_MOV[[#This Row],[DATA DE VENCIMENTO]],"M"))</f>
        <v/>
      </c>
      <c r="AH1147" s="526" t="str">
        <f>IF(LANÇ_MOV[[#This Row],[DATA DE VENCIMENTO]]="","",TEXT(LANÇ_MOV[[#This Row],[DATA DE VENCIMENTO]],"D"))</f>
        <v/>
      </c>
      <c r="AI1147" s="526" t="str">
        <f>IF(LANÇ_MOV[[#This Row],[DATA DE PAGAMENTO]]="","",TEXT(LANÇ_MOV[[#This Row],[DATA DE PAGAMENTO]],"AAAA"))</f>
        <v/>
      </c>
      <c r="AJ1147" s="527" t="str">
        <f>IF(LANÇ_MOV[[#This Row],[DATA DE PAGAMENTO]]="","",UPPER(TEXT(LANÇ_MOV[[#This Row],[DATA DE PAGAMENTO]],"MMMM")))</f>
        <v/>
      </c>
      <c r="AK1147" s="527" t="str">
        <f>IF(LANÇ_MOV[[#This Row],[DATA DE PAGAMENTO]]="","",TEXT(LANÇ_MOV[[#This Row],[DATA DE PAGAMENTO]],"M"))</f>
        <v/>
      </c>
      <c r="AL1147" s="526" t="str">
        <f>IF(LANÇ_MOV[[#This Row],[DATA DE PAGAMENTO]]="","",TEXT(LANÇ_MOV[[#This Row],[DATA DE PAGAMENTO]],"D"))</f>
        <v/>
      </c>
    </row>
    <row r="1148" spans="2:38" ht="30.05" customHeight="1" x14ac:dyDescent="0.35">
      <c r="B1148" s="506"/>
      <c r="C1148" s="507"/>
      <c r="D1148" s="508" t="s">
        <v>1854</v>
      </c>
      <c r="E1148" s="509"/>
      <c r="F1148" s="510"/>
      <c r="G1148" s="507"/>
      <c r="H1148" s="511"/>
      <c r="I1148" s="512"/>
      <c r="J1148" s="518"/>
      <c r="K1148" s="510"/>
      <c r="L1148" s="510"/>
      <c r="M1148" s="548"/>
      <c r="N1148" s="514">
        <f>LANÇ_MOV[[#This Row],[VALOR BRUTO]]-LANÇ_MOV[[#This Row],[DESCONTO]]+LANÇ_MOV[[#This Row],[JUROS]]+LANÇ_MOV[[#This Row],[MULTA]]</f>
        <v>0</v>
      </c>
      <c r="O1148" s="546"/>
      <c r="P1148" s="547" t="str">
        <f t="shared" ca="1" si="18"/>
        <v/>
      </c>
      <c r="Q1148" s="528"/>
      <c r="R1148" s="529"/>
      <c r="S1148" s="518"/>
      <c r="T1148" s="518"/>
      <c r="U1148" s="519"/>
      <c r="V1148" s="520" t="str">
        <f>IFERROR(VLOOKUP(LANÇ_MOV[[#This Row],[PLANO DE CONTAS]],Plano_Contas[[PLANO DE CONTAS]:[R / D]],3,0),"")</f>
        <v/>
      </c>
      <c r="W1148" s="521" t="str">
        <f>IF(LANÇ_MOV[[#This Row],[DATA DE PAGAMENTO]]&lt;&gt;"","Pago","Não Pago")</f>
        <v>Não Pago</v>
      </c>
      <c r="X1148" s="522" t="str">
        <f>IFERROR(IF(LANÇ_MOV[[#This Row],[DATA DE PAGAMENTO]]="","",(UPPER(TEXT(LANÇ_MOV[[#This Row],[DATA DE PAGAMENTO]],"mmmm")))),"")</f>
        <v/>
      </c>
      <c r="Y1148" s="523" t="str">
        <f>IFERROR(VLOOKUP(LANÇ_MOV[[#This Row],[PLANO DE CONTAS]],Plano_Contas[[PLANO DE CONTAS]:[NOMES INTERVALOS]],2,0),"")</f>
        <v/>
      </c>
      <c r="Z1148" s="523" t="str">
        <f>IF(LANÇ_MOV[[#This Row],[FORMA DE PAGAMENTO]]="","",VLOOKUP(LANÇ_MOV[[#This Row],[FORMA DE PAGAMENTO]],CAD_Forma_pagto[],2,0))</f>
        <v/>
      </c>
      <c r="AA1148" s="524" t="str">
        <f>IF(LANÇ_MOV[[#This Row],[DATA DE LANÇAMENTO]]="","",TEXT(LANÇ_MOV[[#This Row],[DATA DE LANÇAMENTO]],"AAAA"))</f>
        <v/>
      </c>
      <c r="AB1148" s="524" t="str">
        <f>IF(LANÇ_MOV[[#This Row],[DATA DE LANÇAMENTO]]="","",UPPER(TEXT(LANÇ_MOV[[#This Row],[DATA DE LANÇAMENTO]],"MMMM")))</f>
        <v/>
      </c>
      <c r="AC1148" s="525" t="str">
        <f>IF(LANÇ_MOV[[#This Row],[DATA DE LANÇAMENTO]]="","",PROPER(TEXT(LANÇ_MOV[[#This Row],[DATA DE LANÇAMENTO]],"M")))</f>
        <v/>
      </c>
      <c r="AD1148" s="524" t="str">
        <f>IF(LANÇ_MOV[[#This Row],[DATA DE LANÇAMENTO]]="","",TEXT(LANÇ_MOV[[#This Row],[DATA DE LANÇAMENTO]],"D"))</f>
        <v/>
      </c>
      <c r="AE1148" s="526" t="str">
        <f>IF(LANÇ_MOV[[#This Row],[DATA DE VENCIMENTO]]="","",TEXT(LANÇ_MOV[[#This Row],[DATA DE VENCIMENTO]],"AAAA"))</f>
        <v/>
      </c>
      <c r="AF1148" s="526" t="str">
        <f>IF(LANÇ_MOV[[#This Row],[DATA DE VENCIMENTO]]="","",UPPER(TEXT(LANÇ_MOV[[#This Row],[DATA DE VENCIMENTO]],"MMMM")))</f>
        <v/>
      </c>
      <c r="AG1148" s="526" t="str">
        <f>IF(LANÇ_MOV[[#This Row],[DATA DE VENCIMENTO]]="","",TEXT(LANÇ_MOV[[#This Row],[DATA DE VENCIMENTO]],"M"))</f>
        <v/>
      </c>
      <c r="AH1148" s="526" t="str">
        <f>IF(LANÇ_MOV[[#This Row],[DATA DE VENCIMENTO]]="","",TEXT(LANÇ_MOV[[#This Row],[DATA DE VENCIMENTO]],"D"))</f>
        <v/>
      </c>
      <c r="AI1148" s="526" t="str">
        <f>IF(LANÇ_MOV[[#This Row],[DATA DE PAGAMENTO]]="","",TEXT(LANÇ_MOV[[#This Row],[DATA DE PAGAMENTO]],"AAAA"))</f>
        <v/>
      </c>
      <c r="AJ1148" s="527" t="str">
        <f>IF(LANÇ_MOV[[#This Row],[DATA DE PAGAMENTO]]="","",UPPER(TEXT(LANÇ_MOV[[#This Row],[DATA DE PAGAMENTO]],"MMMM")))</f>
        <v/>
      </c>
      <c r="AK1148" s="527" t="str">
        <f>IF(LANÇ_MOV[[#This Row],[DATA DE PAGAMENTO]]="","",TEXT(LANÇ_MOV[[#This Row],[DATA DE PAGAMENTO]],"M"))</f>
        <v/>
      </c>
      <c r="AL1148" s="526" t="str">
        <f>IF(LANÇ_MOV[[#This Row],[DATA DE PAGAMENTO]]="","",TEXT(LANÇ_MOV[[#This Row],[DATA DE PAGAMENTO]],"D"))</f>
        <v/>
      </c>
    </row>
    <row r="1149" spans="2:38" ht="30.05" customHeight="1" x14ac:dyDescent="0.35">
      <c r="B1149" s="506"/>
      <c r="C1149" s="507"/>
      <c r="D1149" s="508" t="s">
        <v>1854</v>
      </c>
      <c r="E1149" s="509"/>
      <c r="F1149" s="510"/>
      <c r="G1149" s="507"/>
      <c r="H1149" s="511"/>
      <c r="I1149" s="512"/>
      <c r="J1149" s="518"/>
      <c r="K1149" s="510"/>
      <c r="L1149" s="510"/>
      <c r="M1149" s="548"/>
      <c r="N1149" s="514">
        <f>LANÇ_MOV[[#This Row],[VALOR BRUTO]]-LANÇ_MOV[[#This Row],[DESCONTO]]+LANÇ_MOV[[#This Row],[JUROS]]+LANÇ_MOV[[#This Row],[MULTA]]</f>
        <v>0</v>
      </c>
      <c r="O1149" s="546"/>
      <c r="P1149" s="547" t="str">
        <f t="shared" ca="1" si="18"/>
        <v/>
      </c>
      <c r="Q1149" s="528"/>
      <c r="R1149" s="529"/>
      <c r="S1149" s="518"/>
      <c r="T1149" s="518"/>
      <c r="U1149" s="519"/>
      <c r="V1149" s="520" t="str">
        <f>IFERROR(VLOOKUP(LANÇ_MOV[[#This Row],[PLANO DE CONTAS]],Plano_Contas[[PLANO DE CONTAS]:[R / D]],3,0),"")</f>
        <v/>
      </c>
      <c r="W1149" s="521" t="str">
        <f>IF(LANÇ_MOV[[#This Row],[DATA DE PAGAMENTO]]&lt;&gt;"","Pago","Não Pago")</f>
        <v>Não Pago</v>
      </c>
      <c r="X1149" s="522" t="str">
        <f>IFERROR(IF(LANÇ_MOV[[#This Row],[DATA DE PAGAMENTO]]="","",(UPPER(TEXT(LANÇ_MOV[[#This Row],[DATA DE PAGAMENTO]],"mmmm")))),"")</f>
        <v/>
      </c>
      <c r="Y1149" s="523" t="str">
        <f>IFERROR(VLOOKUP(LANÇ_MOV[[#This Row],[PLANO DE CONTAS]],Plano_Contas[[PLANO DE CONTAS]:[NOMES INTERVALOS]],2,0),"")</f>
        <v/>
      </c>
      <c r="Z1149" s="523" t="str">
        <f>IF(LANÇ_MOV[[#This Row],[FORMA DE PAGAMENTO]]="","",VLOOKUP(LANÇ_MOV[[#This Row],[FORMA DE PAGAMENTO]],CAD_Forma_pagto[],2,0))</f>
        <v/>
      </c>
      <c r="AA1149" s="524" t="str">
        <f>IF(LANÇ_MOV[[#This Row],[DATA DE LANÇAMENTO]]="","",TEXT(LANÇ_MOV[[#This Row],[DATA DE LANÇAMENTO]],"AAAA"))</f>
        <v/>
      </c>
      <c r="AB1149" s="524" t="str">
        <f>IF(LANÇ_MOV[[#This Row],[DATA DE LANÇAMENTO]]="","",UPPER(TEXT(LANÇ_MOV[[#This Row],[DATA DE LANÇAMENTO]],"MMMM")))</f>
        <v/>
      </c>
      <c r="AC1149" s="525" t="str">
        <f>IF(LANÇ_MOV[[#This Row],[DATA DE LANÇAMENTO]]="","",PROPER(TEXT(LANÇ_MOV[[#This Row],[DATA DE LANÇAMENTO]],"M")))</f>
        <v/>
      </c>
      <c r="AD1149" s="524" t="str">
        <f>IF(LANÇ_MOV[[#This Row],[DATA DE LANÇAMENTO]]="","",TEXT(LANÇ_MOV[[#This Row],[DATA DE LANÇAMENTO]],"D"))</f>
        <v/>
      </c>
      <c r="AE1149" s="526" t="str">
        <f>IF(LANÇ_MOV[[#This Row],[DATA DE VENCIMENTO]]="","",TEXT(LANÇ_MOV[[#This Row],[DATA DE VENCIMENTO]],"AAAA"))</f>
        <v/>
      </c>
      <c r="AF1149" s="526" t="str">
        <f>IF(LANÇ_MOV[[#This Row],[DATA DE VENCIMENTO]]="","",UPPER(TEXT(LANÇ_MOV[[#This Row],[DATA DE VENCIMENTO]],"MMMM")))</f>
        <v/>
      </c>
      <c r="AG1149" s="526" t="str">
        <f>IF(LANÇ_MOV[[#This Row],[DATA DE VENCIMENTO]]="","",TEXT(LANÇ_MOV[[#This Row],[DATA DE VENCIMENTO]],"M"))</f>
        <v/>
      </c>
      <c r="AH1149" s="526" t="str">
        <f>IF(LANÇ_MOV[[#This Row],[DATA DE VENCIMENTO]]="","",TEXT(LANÇ_MOV[[#This Row],[DATA DE VENCIMENTO]],"D"))</f>
        <v/>
      </c>
      <c r="AI1149" s="526" t="str">
        <f>IF(LANÇ_MOV[[#This Row],[DATA DE PAGAMENTO]]="","",TEXT(LANÇ_MOV[[#This Row],[DATA DE PAGAMENTO]],"AAAA"))</f>
        <v/>
      </c>
      <c r="AJ1149" s="527" t="str">
        <f>IF(LANÇ_MOV[[#This Row],[DATA DE PAGAMENTO]]="","",UPPER(TEXT(LANÇ_MOV[[#This Row],[DATA DE PAGAMENTO]],"MMMM")))</f>
        <v/>
      </c>
      <c r="AK1149" s="527" t="str">
        <f>IF(LANÇ_MOV[[#This Row],[DATA DE PAGAMENTO]]="","",TEXT(LANÇ_MOV[[#This Row],[DATA DE PAGAMENTO]],"M"))</f>
        <v/>
      </c>
      <c r="AL1149" s="526" t="str">
        <f>IF(LANÇ_MOV[[#This Row],[DATA DE PAGAMENTO]]="","",TEXT(LANÇ_MOV[[#This Row],[DATA DE PAGAMENTO]],"D"))</f>
        <v/>
      </c>
    </row>
    <row r="1150" spans="2:38" ht="30.05" customHeight="1" x14ac:dyDescent="0.35">
      <c r="B1150" s="506"/>
      <c r="C1150" s="507"/>
      <c r="D1150" s="508" t="s">
        <v>1854</v>
      </c>
      <c r="E1150" s="509"/>
      <c r="F1150" s="510"/>
      <c r="G1150" s="507"/>
      <c r="H1150" s="511"/>
      <c r="I1150" s="512"/>
      <c r="J1150" s="518"/>
      <c r="K1150" s="510"/>
      <c r="L1150" s="510"/>
      <c r="M1150" s="548"/>
      <c r="N1150" s="514">
        <f>LANÇ_MOV[[#This Row],[VALOR BRUTO]]-LANÇ_MOV[[#This Row],[DESCONTO]]+LANÇ_MOV[[#This Row],[JUROS]]+LANÇ_MOV[[#This Row],[MULTA]]</f>
        <v>0</v>
      </c>
      <c r="O1150" s="546"/>
      <c r="P1150" s="547" t="str">
        <f t="shared" ca="1" si="18"/>
        <v/>
      </c>
      <c r="Q1150" s="528"/>
      <c r="R1150" s="529"/>
      <c r="S1150" s="518"/>
      <c r="T1150" s="518"/>
      <c r="U1150" s="519"/>
      <c r="V1150" s="520" t="str">
        <f>IFERROR(VLOOKUP(LANÇ_MOV[[#This Row],[PLANO DE CONTAS]],Plano_Contas[[PLANO DE CONTAS]:[R / D]],3,0),"")</f>
        <v/>
      </c>
      <c r="W1150" s="521" t="str">
        <f>IF(LANÇ_MOV[[#This Row],[DATA DE PAGAMENTO]]&lt;&gt;"","Pago","Não Pago")</f>
        <v>Não Pago</v>
      </c>
      <c r="X1150" s="522" t="str">
        <f>IFERROR(IF(LANÇ_MOV[[#This Row],[DATA DE PAGAMENTO]]="","",(UPPER(TEXT(LANÇ_MOV[[#This Row],[DATA DE PAGAMENTO]],"mmmm")))),"")</f>
        <v/>
      </c>
      <c r="Y1150" s="523" t="str">
        <f>IFERROR(VLOOKUP(LANÇ_MOV[[#This Row],[PLANO DE CONTAS]],Plano_Contas[[PLANO DE CONTAS]:[NOMES INTERVALOS]],2,0),"")</f>
        <v/>
      </c>
      <c r="Z1150" s="523" t="str">
        <f>IF(LANÇ_MOV[[#This Row],[FORMA DE PAGAMENTO]]="","",VLOOKUP(LANÇ_MOV[[#This Row],[FORMA DE PAGAMENTO]],CAD_Forma_pagto[],2,0))</f>
        <v/>
      </c>
      <c r="AA1150" s="524" t="str">
        <f>IF(LANÇ_MOV[[#This Row],[DATA DE LANÇAMENTO]]="","",TEXT(LANÇ_MOV[[#This Row],[DATA DE LANÇAMENTO]],"AAAA"))</f>
        <v/>
      </c>
      <c r="AB1150" s="524" t="str">
        <f>IF(LANÇ_MOV[[#This Row],[DATA DE LANÇAMENTO]]="","",UPPER(TEXT(LANÇ_MOV[[#This Row],[DATA DE LANÇAMENTO]],"MMMM")))</f>
        <v/>
      </c>
      <c r="AC1150" s="525" t="str">
        <f>IF(LANÇ_MOV[[#This Row],[DATA DE LANÇAMENTO]]="","",PROPER(TEXT(LANÇ_MOV[[#This Row],[DATA DE LANÇAMENTO]],"M")))</f>
        <v/>
      </c>
      <c r="AD1150" s="524" t="str">
        <f>IF(LANÇ_MOV[[#This Row],[DATA DE LANÇAMENTO]]="","",TEXT(LANÇ_MOV[[#This Row],[DATA DE LANÇAMENTO]],"D"))</f>
        <v/>
      </c>
      <c r="AE1150" s="526" t="str">
        <f>IF(LANÇ_MOV[[#This Row],[DATA DE VENCIMENTO]]="","",TEXT(LANÇ_MOV[[#This Row],[DATA DE VENCIMENTO]],"AAAA"))</f>
        <v/>
      </c>
      <c r="AF1150" s="526" t="str">
        <f>IF(LANÇ_MOV[[#This Row],[DATA DE VENCIMENTO]]="","",UPPER(TEXT(LANÇ_MOV[[#This Row],[DATA DE VENCIMENTO]],"MMMM")))</f>
        <v/>
      </c>
      <c r="AG1150" s="526" t="str">
        <f>IF(LANÇ_MOV[[#This Row],[DATA DE VENCIMENTO]]="","",TEXT(LANÇ_MOV[[#This Row],[DATA DE VENCIMENTO]],"M"))</f>
        <v/>
      </c>
      <c r="AH1150" s="526" t="str">
        <f>IF(LANÇ_MOV[[#This Row],[DATA DE VENCIMENTO]]="","",TEXT(LANÇ_MOV[[#This Row],[DATA DE VENCIMENTO]],"D"))</f>
        <v/>
      </c>
      <c r="AI1150" s="526" t="str">
        <f>IF(LANÇ_MOV[[#This Row],[DATA DE PAGAMENTO]]="","",TEXT(LANÇ_MOV[[#This Row],[DATA DE PAGAMENTO]],"AAAA"))</f>
        <v/>
      </c>
      <c r="AJ1150" s="527" t="str">
        <f>IF(LANÇ_MOV[[#This Row],[DATA DE PAGAMENTO]]="","",UPPER(TEXT(LANÇ_MOV[[#This Row],[DATA DE PAGAMENTO]],"MMMM")))</f>
        <v/>
      </c>
      <c r="AK1150" s="527" t="str">
        <f>IF(LANÇ_MOV[[#This Row],[DATA DE PAGAMENTO]]="","",TEXT(LANÇ_MOV[[#This Row],[DATA DE PAGAMENTO]],"M"))</f>
        <v/>
      </c>
      <c r="AL1150" s="526" t="str">
        <f>IF(LANÇ_MOV[[#This Row],[DATA DE PAGAMENTO]]="","",TEXT(LANÇ_MOV[[#This Row],[DATA DE PAGAMENTO]],"D"))</f>
        <v/>
      </c>
    </row>
    <row r="1151" spans="2:38" ht="30.05" customHeight="1" x14ac:dyDescent="0.35">
      <c r="B1151" s="506"/>
      <c r="C1151" s="507"/>
      <c r="D1151" s="508" t="s">
        <v>1854</v>
      </c>
      <c r="E1151" s="509"/>
      <c r="F1151" s="510"/>
      <c r="G1151" s="507"/>
      <c r="H1151" s="511"/>
      <c r="I1151" s="512"/>
      <c r="J1151" s="518"/>
      <c r="K1151" s="510"/>
      <c r="L1151" s="510"/>
      <c r="M1151" s="548"/>
      <c r="N1151" s="514">
        <f>LANÇ_MOV[[#This Row],[VALOR BRUTO]]-LANÇ_MOV[[#This Row],[DESCONTO]]+LANÇ_MOV[[#This Row],[JUROS]]+LANÇ_MOV[[#This Row],[MULTA]]</f>
        <v>0</v>
      </c>
      <c r="O1151" s="546"/>
      <c r="P1151" s="547" t="str">
        <f t="shared" ca="1" si="18"/>
        <v/>
      </c>
      <c r="Q1151" s="528"/>
      <c r="R1151" s="529"/>
      <c r="S1151" s="518"/>
      <c r="T1151" s="518"/>
      <c r="U1151" s="519"/>
      <c r="V1151" s="520" t="str">
        <f>IFERROR(VLOOKUP(LANÇ_MOV[[#This Row],[PLANO DE CONTAS]],Plano_Contas[[PLANO DE CONTAS]:[R / D]],3,0),"")</f>
        <v/>
      </c>
      <c r="W1151" s="521" t="str">
        <f>IF(LANÇ_MOV[[#This Row],[DATA DE PAGAMENTO]]&lt;&gt;"","Pago","Não Pago")</f>
        <v>Não Pago</v>
      </c>
      <c r="X1151" s="522" t="str">
        <f>IFERROR(IF(LANÇ_MOV[[#This Row],[DATA DE PAGAMENTO]]="","",(UPPER(TEXT(LANÇ_MOV[[#This Row],[DATA DE PAGAMENTO]],"mmmm")))),"")</f>
        <v/>
      </c>
      <c r="Y1151" s="523" t="str">
        <f>IFERROR(VLOOKUP(LANÇ_MOV[[#This Row],[PLANO DE CONTAS]],Plano_Contas[[PLANO DE CONTAS]:[NOMES INTERVALOS]],2,0),"")</f>
        <v/>
      </c>
      <c r="Z1151" s="523" t="str">
        <f>IF(LANÇ_MOV[[#This Row],[FORMA DE PAGAMENTO]]="","",VLOOKUP(LANÇ_MOV[[#This Row],[FORMA DE PAGAMENTO]],CAD_Forma_pagto[],2,0))</f>
        <v/>
      </c>
      <c r="AA1151" s="524" t="str">
        <f>IF(LANÇ_MOV[[#This Row],[DATA DE LANÇAMENTO]]="","",TEXT(LANÇ_MOV[[#This Row],[DATA DE LANÇAMENTO]],"AAAA"))</f>
        <v/>
      </c>
      <c r="AB1151" s="524" t="str">
        <f>IF(LANÇ_MOV[[#This Row],[DATA DE LANÇAMENTO]]="","",UPPER(TEXT(LANÇ_MOV[[#This Row],[DATA DE LANÇAMENTO]],"MMMM")))</f>
        <v/>
      </c>
      <c r="AC1151" s="525" t="str">
        <f>IF(LANÇ_MOV[[#This Row],[DATA DE LANÇAMENTO]]="","",PROPER(TEXT(LANÇ_MOV[[#This Row],[DATA DE LANÇAMENTO]],"M")))</f>
        <v/>
      </c>
      <c r="AD1151" s="524" t="str">
        <f>IF(LANÇ_MOV[[#This Row],[DATA DE LANÇAMENTO]]="","",TEXT(LANÇ_MOV[[#This Row],[DATA DE LANÇAMENTO]],"D"))</f>
        <v/>
      </c>
      <c r="AE1151" s="526" t="str">
        <f>IF(LANÇ_MOV[[#This Row],[DATA DE VENCIMENTO]]="","",TEXT(LANÇ_MOV[[#This Row],[DATA DE VENCIMENTO]],"AAAA"))</f>
        <v/>
      </c>
      <c r="AF1151" s="526" t="str">
        <f>IF(LANÇ_MOV[[#This Row],[DATA DE VENCIMENTO]]="","",UPPER(TEXT(LANÇ_MOV[[#This Row],[DATA DE VENCIMENTO]],"MMMM")))</f>
        <v/>
      </c>
      <c r="AG1151" s="526" t="str">
        <f>IF(LANÇ_MOV[[#This Row],[DATA DE VENCIMENTO]]="","",TEXT(LANÇ_MOV[[#This Row],[DATA DE VENCIMENTO]],"M"))</f>
        <v/>
      </c>
      <c r="AH1151" s="526" t="str">
        <f>IF(LANÇ_MOV[[#This Row],[DATA DE VENCIMENTO]]="","",TEXT(LANÇ_MOV[[#This Row],[DATA DE VENCIMENTO]],"D"))</f>
        <v/>
      </c>
      <c r="AI1151" s="526" t="str">
        <f>IF(LANÇ_MOV[[#This Row],[DATA DE PAGAMENTO]]="","",TEXT(LANÇ_MOV[[#This Row],[DATA DE PAGAMENTO]],"AAAA"))</f>
        <v/>
      </c>
      <c r="AJ1151" s="527" t="str">
        <f>IF(LANÇ_MOV[[#This Row],[DATA DE PAGAMENTO]]="","",UPPER(TEXT(LANÇ_MOV[[#This Row],[DATA DE PAGAMENTO]],"MMMM")))</f>
        <v/>
      </c>
      <c r="AK1151" s="527" t="str">
        <f>IF(LANÇ_MOV[[#This Row],[DATA DE PAGAMENTO]]="","",TEXT(LANÇ_MOV[[#This Row],[DATA DE PAGAMENTO]],"M"))</f>
        <v/>
      </c>
      <c r="AL1151" s="526" t="str">
        <f>IF(LANÇ_MOV[[#This Row],[DATA DE PAGAMENTO]]="","",TEXT(LANÇ_MOV[[#This Row],[DATA DE PAGAMENTO]],"D"))</f>
        <v/>
      </c>
    </row>
    <row r="1152" spans="2:38" ht="30.05" customHeight="1" x14ac:dyDescent="0.35">
      <c r="B1152" s="506"/>
      <c r="C1152" s="507"/>
      <c r="D1152" s="508" t="s">
        <v>1854</v>
      </c>
      <c r="E1152" s="509"/>
      <c r="F1152" s="510"/>
      <c r="G1152" s="507"/>
      <c r="H1152" s="511"/>
      <c r="I1152" s="512"/>
      <c r="J1152" s="518"/>
      <c r="K1152" s="510"/>
      <c r="L1152" s="510"/>
      <c r="M1152" s="548"/>
      <c r="N1152" s="514">
        <f>LANÇ_MOV[[#This Row],[VALOR BRUTO]]-LANÇ_MOV[[#This Row],[DESCONTO]]+LANÇ_MOV[[#This Row],[JUROS]]+LANÇ_MOV[[#This Row],[MULTA]]</f>
        <v>0</v>
      </c>
      <c r="O1152" s="546"/>
      <c r="P1152" s="547" t="str">
        <f t="shared" ca="1" si="18"/>
        <v/>
      </c>
      <c r="Q1152" s="528"/>
      <c r="R1152" s="529"/>
      <c r="S1152" s="518"/>
      <c r="T1152" s="518"/>
      <c r="U1152" s="519"/>
      <c r="V1152" s="520" t="str">
        <f>IFERROR(VLOOKUP(LANÇ_MOV[[#This Row],[PLANO DE CONTAS]],Plano_Contas[[PLANO DE CONTAS]:[R / D]],3,0),"")</f>
        <v/>
      </c>
      <c r="W1152" s="521" t="str">
        <f>IF(LANÇ_MOV[[#This Row],[DATA DE PAGAMENTO]]&lt;&gt;"","Pago","Não Pago")</f>
        <v>Não Pago</v>
      </c>
      <c r="X1152" s="522" t="str">
        <f>IFERROR(IF(LANÇ_MOV[[#This Row],[DATA DE PAGAMENTO]]="","",(UPPER(TEXT(LANÇ_MOV[[#This Row],[DATA DE PAGAMENTO]],"mmmm")))),"")</f>
        <v/>
      </c>
      <c r="Y1152" s="523" t="str">
        <f>IFERROR(VLOOKUP(LANÇ_MOV[[#This Row],[PLANO DE CONTAS]],Plano_Contas[[PLANO DE CONTAS]:[NOMES INTERVALOS]],2,0),"")</f>
        <v/>
      </c>
      <c r="Z1152" s="523" t="str">
        <f>IF(LANÇ_MOV[[#This Row],[FORMA DE PAGAMENTO]]="","",VLOOKUP(LANÇ_MOV[[#This Row],[FORMA DE PAGAMENTO]],CAD_Forma_pagto[],2,0))</f>
        <v/>
      </c>
      <c r="AA1152" s="524" t="str">
        <f>IF(LANÇ_MOV[[#This Row],[DATA DE LANÇAMENTO]]="","",TEXT(LANÇ_MOV[[#This Row],[DATA DE LANÇAMENTO]],"AAAA"))</f>
        <v/>
      </c>
      <c r="AB1152" s="524" t="str">
        <f>IF(LANÇ_MOV[[#This Row],[DATA DE LANÇAMENTO]]="","",UPPER(TEXT(LANÇ_MOV[[#This Row],[DATA DE LANÇAMENTO]],"MMMM")))</f>
        <v/>
      </c>
      <c r="AC1152" s="525" t="str">
        <f>IF(LANÇ_MOV[[#This Row],[DATA DE LANÇAMENTO]]="","",PROPER(TEXT(LANÇ_MOV[[#This Row],[DATA DE LANÇAMENTO]],"M")))</f>
        <v/>
      </c>
      <c r="AD1152" s="524" t="str">
        <f>IF(LANÇ_MOV[[#This Row],[DATA DE LANÇAMENTO]]="","",TEXT(LANÇ_MOV[[#This Row],[DATA DE LANÇAMENTO]],"D"))</f>
        <v/>
      </c>
      <c r="AE1152" s="526" t="str">
        <f>IF(LANÇ_MOV[[#This Row],[DATA DE VENCIMENTO]]="","",TEXT(LANÇ_MOV[[#This Row],[DATA DE VENCIMENTO]],"AAAA"))</f>
        <v/>
      </c>
      <c r="AF1152" s="526" t="str">
        <f>IF(LANÇ_MOV[[#This Row],[DATA DE VENCIMENTO]]="","",UPPER(TEXT(LANÇ_MOV[[#This Row],[DATA DE VENCIMENTO]],"MMMM")))</f>
        <v/>
      </c>
      <c r="AG1152" s="526" t="str">
        <f>IF(LANÇ_MOV[[#This Row],[DATA DE VENCIMENTO]]="","",TEXT(LANÇ_MOV[[#This Row],[DATA DE VENCIMENTO]],"M"))</f>
        <v/>
      </c>
      <c r="AH1152" s="526" t="str">
        <f>IF(LANÇ_MOV[[#This Row],[DATA DE VENCIMENTO]]="","",TEXT(LANÇ_MOV[[#This Row],[DATA DE VENCIMENTO]],"D"))</f>
        <v/>
      </c>
      <c r="AI1152" s="526" t="str">
        <f>IF(LANÇ_MOV[[#This Row],[DATA DE PAGAMENTO]]="","",TEXT(LANÇ_MOV[[#This Row],[DATA DE PAGAMENTO]],"AAAA"))</f>
        <v/>
      </c>
      <c r="AJ1152" s="527" t="str">
        <f>IF(LANÇ_MOV[[#This Row],[DATA DE PAGAMENTO]]="","",UPPER(TEXT(LANÇ_MOV[[#This Row],[DATA DE PAGAMENTO]],"MMMM")))</f>
        <v/>
      </c>
      <c r="AK1152" s="527" t="str">
        <f>IF(LANÇ_MOV[[#This Row],[DATA DE PAGAMENTO]]="","",TEXT(LANÇ_MOV[[#This Row],[DATA DE PAGAMENTO]],"M"))</f>
        <v/>
      </c>
      <c r="AL1152" s="526" t="str">
        <f>IF(LANÇ_MOV[[#This Row],[DATA DE PAGAMENTO]]="","",TEXT(LANÇ_MOV[[#This Row],[DATA DE PAGAMENTO]],"D"))</f>
        <v/>
      </c>
    </row>
    <row r="1153" spans="2:38" ht="30.05" customHeight="1" x14ac:dyDescent="0.35">
      <c r="B1153" s="506"/>
      <c r="C1153" s="507"/>
      <c r="D1153" s="508" t="s">
        <v>1854</v>
      </c>
      <c r="E1153" s="509"/>
      <c r="F1153" s="510"/>
      <c r="G1153" s="507"/>
      <c r="H1153" s="511"/>
      <c r="I1153" s="512"/>
      <c r="J1153" s="518"/>
      <c r="K1153" s="510"/>
      <c r="L1153" s="510"/>
      <c r="M1153" s="548"/>
      <c r="N1153" s="514">
        <f>LANÇ_MOV[[#This Row],[VALOR BRUTO]]-LANÇ_MOV[[#This Row],[DESCONTO]]+LANÇ_MOV[[#This Row],[JUROS]]+LANÇ_MOV[[#This Row],[MULTA]]</f>
        <v>0</v>
      </c>
      <c r="O1153" s="546"/>
      <c r="P1153" s="547" t="str">
        <f t="shared" ca="1" si="18"/>
        <v/>
      </c>
      <c r="Q1153" s="528"/>
      <c r="R1153" s="529"/>
      <c r="S1153" s="518"/>
      <c r="T1153" s="518"/>
      <c r="U1153" s="519"/>
      <c r="V1153" s="520" t="str">
        <f>IFERROR(VLOOKUP(LANÇ_MOV[[#This Row],[PLANO DE CONTAS]],Plano_Contas[[PLANO DE CONTAS]:[R / D]],3,0),"")</f>
        <v/>
      </c>
      <c r="W1153" s="521" t="str">
        <f>IF(LANÇ_MOV[[#This Row],[DATA DE PAGAMENTO]]&lt;&gt;"","Pago","Não Pago")</f>
        <v>Não Pago</v>
      </c>
      <c r="X1153" s="522" t="str">
        <f>IFERROR(IF(LANÇ_MOV[[#This Row],[DATA DE PAGAMENTO]]="","",(UPPER(TEXT(LANÇ_MOV[[#This Row],[DATA DE PAGAMENTO]],"mmmm")))),"")</f>
        <v/>
      </c>
      <c r="Y1153" s="523" t="str">
        <f>IFERROR(VLOOKUP(LANÇ_MOV[[#This Row],[PLANO DE CONTAS]],Plano_Contas[[PLANO DE CONTAS]:[NOMES INTERVALOS]],2,0),"")</f>
        <v/>
      </c>
      <c r="Z1153" s="523" t="str">
        <f>IF(LANÇ_MOV[[#This Row],[FORMA DE PAGAMENTO]]="","",VLOOKUP(LANÇ_MOV[[#This Row],[FORMA DE PAGAMENTO]],CAD_Forma_pagto[],2,0))</f>
        <v/>
      </c>
      <c r="AA1153" s="524" t="str">
        <f>IF(LANÇ_MOV[[#This Row],[DATA DE LANÇAMENTO]]="","",TEXT(LANÇ_MOV[[#This Row],[DATA DE LANÇAMENTO]],"AAAA"))</f>
        <v/>
      </c>
      <c r="AB1153" s="524" t="str">
        <f>IF(LANÇ_MOV[[#This Row],[DATA DE LANÇAMENTO]]="","",UPPER(TEXT(LANÇ_MOV[[#This Row],[DATA DE LANÇAMENTO]],"MMMM")))</f>
        <v/>
      </c>
      <c r="AC1153" s="525" t="str">
        <f>IF(LANÇ_MOV[[#This Row],[DATA DE LANÇAMENTO]]="","",PROPER(TEXT(LANÇ_MOV[[#This Row],[DATA DE LANÇAMENTO]],"M")))</f>
        <v/>
      </c>
      <c r="AD1153" s="524" t="str">
        <f>IF(LANÇ_MOV[[#This Row],[DATA DE LANÇAMENTO]]="","",TEXT(LANÇ_MOV[[#This Row],[DATA DE LANÇAMENTO]],"D"))</f>
        <v/>
      </c>
      <c r="AE1153" s="526" t="str">
        <f>IF(LANÇ_MOV[[#This Row],[DATA DE VENCIMENTO]]="","",TEXT(LANÇ_MOV[[#This Row],[DATA DE VENCIMENTO]],"AAAA"))</f>
        <v/>
      </c>
      <c r="AF1153" s="526" t="str">
        <f>IF(LANÇ_MOV[[#This Row],[DATA DE VENCIMENTO]]="","",UPPER(TEXT(LANÇ_MOV[[#This Row],[DATA DE VENCIMENTO]],"MMMM")))</f>
        <v/>
      </c>
      <c r="AG1153" s="526" t="str">
        <f>IF(LANÇ_MOV[[#This Row],[DATA DE VENCIMENTO]]="","",TEXT(LANÇ_MOV[[#This Row],[DATA DE VENCIMENTO]],"M"))</f>
        <v/>
      </c>
      <c r="AH1153" s="526" t="str">
        <f>IF(LANÇ_MOV[[#This Row],[DATA DE VENCIMENTO]]="","",TEXT(LANÇ_MOV[[#This Row],[DATA DE VENCIMENTO]],"D"))</f>
        <v/>
      </c>
      <c r="AI1153" s="526" t="str">
        <f>IF(LANÇ_MOV[[#This Row],[DATA DE PAGAMENTO]]="","",TEXT(LANÇ_MOV[[#This Row],[DATA DE PAGAMENTO]],"AAAA"))</f>
        <v/>
      </c>
      <c r="AJ1153" s="527" t="str">
        <f>IF(LANÇ_MOV[[#This Row],[DATA DE PAGAMENTO]]="","",UPPER(TEXT(LANÇ_MOV[[#This Row],[DATA DE PAGAMENTO]],"MMMM")))</f>
        <v/>
      </c>
      <c r="AK1153" s="527" t="str">
        <f>IF(LANÇ_MOV[[#This Row],[DATA DE PAGAMENTO]]="","",TEXT(LANÇ_MOV[[#This Row],[DATA DE PAGAMENTO]],"M"))</f>
        <v/>
      </c>
      <c r="AL1153" s="526" t="str">
        <f>IF(LANÇ_MOV[[#This Row],[DATA DE PAGAMENTO]]="","",TEXT(LANÇ_MOV[[#This Row],[DATA DE PAGAMENTO]],"D"))</f>
        <v/>
      </c>
    </row>
    <row r="1154" spans="2:38" ht="30.05" customHeight="1" x14ac:dyDescent="0.35">
      <c r="B1154" s="506"/>
      <c r="C1154" s="507"/>
      <c r="D1154" s="508" t="s">
        <v>1854</v>
      </c>
      <c r="E1154" s="509"/>
      <c r="F1154" s="510"/>
      <c r="G1154" s="507"/>
      <c r="H1154" s="511"/>
      <c r="I1154" s="512"/>
      <c r="J1154" s="518"/>
      <c r="K1154" s="510"/>
      <c r="L1154" s="510"/>
      <c r="M1154" s="548"/>
      <c r="N1154" s="514">
        <f>LANÇ_MOV[[#This Row],[VALOR BRUTO]]-LANÇ_MOV[[#This Row],[DESCONTO]]+LANÇ_MOV[[#This Row],[JUROS]]+LANÇ_MOV[[#This Row],[MULTA]]</f>
        <v>0</v>
      </c>
      <c r="O1154" s="546"/>
      <c r="P1154" s="547" t="str">
        <f t="shared" ca="1" si="18"/>
        <v/>
      </c>
      <c r="Q1154" s="528"/>
      <c r="R1154" s="529"/>
      <c r="S1154" s="518"/>
      <c r="T1154" s="518"/>
      <c r="U1154" s="519"/>
      <c r="V1154" s="520" t="str">
        <f>IFERROR(VLOOKUP(LANÇ_MOV[[#This Row],[PLANO DE CONTAS]],Plano_Contas[[PLANO DE CONTAS]:[R / D]],3,0),"")</f>
        <v/>
      </c>
      <c r="W1154" s="521" t="str">
        <f>IF(LANÇ_MOV[[#This Row],[DATA DE PAGAMENTO]]&lt;&gt;"","Pago","Não Pago")</f>
        <v>Não Pago</v>
      </c>
      <c r="X1154" s="522" t="str">
        <f>IFERROR(IF(LANÇ_MOV[[#This Row],[DATA DE PAGAMENTO]]="","",(UPPER(TEXT(LANÇ_MOV[[#This Row],[DATA DE PAGAMENTO]],"mmmm")))),"")</f>
        <v/>
      </c>
      <c r="Y1154" s="523" t="str">
        <f>IFERROR(VLOOKUP(LANÇ_MOV[[#This Row],[PLANO DE CONTAS]],Plano_Contas[[PLANO DE CONTAS]:[NOMES INTERVALOS]],2,0),"")</f>
        <v/>
      </c>
      <c r="Z1154" s="523" t="str">
        <f>IF(LANÇ_MOV[[#This Row],[FORMA DE PAGAMENTO]]="","",VLOOKUP(LANÇ_MOV[[#This Row],[FORMA DE PAGAMENTO]],CAD_Forma_pagto[],2,0))</f>
        <v/>
      </c>
      <c r="AA1154" s="524" t="str">
        <f>IF(LANÇ_MOV[[#This Row],[DATA DE LANÇAMENTO]]="","",TEXT(LANÇ_MOV[[#This Row],[DATA DE LANÇAMENTO]],"AAAA"))</f>
        <v/>
      </c>
      <c r="AB1154" s="524" t="str">
        <f>IF(LANÇ_MOV[[#This Row],[DATA DE LANÇAMENTO]]="","",UPPER(TEXT(LANÇ_MOV[[#This Row],[DATA DE LANÇAMENTO]],"MMMM")))</f>
        <v/>
      </c>
      <c r="AC1154" s="525" t="str">
        <f>IF(LANÇ_MOV[[#This Row],[DATA DE LANÇAMENTO]]="","",PROPER(TEXT(LANÇ_MOV[[#This Row],[DATA DE LANÇAMENTO]],"M")))</f>
        <v/>
      </c>
      <c r="AD1154" s="524" t="str">
        <f>IF(LANÇ_MOV[[#This Row],[DATA DE LANÇAMENTO]]="","",TEXT(LANÇ_MOV[[#This Row],[DATA DE LANÇAMENTO]],"D"))</f>
        <v/>
      </c>
      <c r="AE1154" s="526" t="str">
        <f>IF(LANÇ_MOV[[#This Row],[DATA DE VENCIMENTO]]="","",TEXT(LANÇ_MOV[[#This Row],[DATA DE VENCIMENTO]],"AAAA"))</f>
        <v/>
      </c>
      <c r="AF1154" s="526" t="str">
        <f>IF(LANÇ_MOV[[#This Row],[DATA DE VENCIMENTO]]="","",UPPER(TEXT(LANÇ_MOV[[#This Row],[DATA DE VENCIMENTO]],"MMMM")))</f>
        <v/>
      </c>
      <c r="AG1154" s="526" t="str">
        <f>IF(LANÇ_MOV[[#This Row],[DATA DE VENCIMENTO]]="","",TEXT(LANÇ_MOV[[#This Row],[DATA DE VENCIMENTO]],"M"))</f>
        <v/>
      </c>
      <c r="AH1154" s="526" t="str">
        <f>IF(LANÇ_MOV[[#This Row],[DATA DE VENCIMENTO]]="","",TEXT(LANÇ_MOV[[#This Row],[DATA DE VENCIMENTO]],"D"))</f>
        <v/>
      </c>
      <c r="AI1154" s="526" t="str">
        <f>IF(LANÇ_MOV[[#This Row],[DATA DE PAGAMENTO]]="","",TEXT(LANÇ_MOV[[#This Row],[DATA DE PAGAMENTO]],"AAAA"))</f>
        <v/>
      </c>
      <c r="AJ1154" s="527" t="str">
        <f>IF(LANÇ_MOV[[#This Row],[DATA DE PAGAMENTO]]="","",UPPER(TEXT(LANÇ_MOV[[#This Row],[DATA DE PAGAMENTO]],"MMMM")))</f>
        <v/>
      </c>
      <c r="AK1154" s="527" t="str">
        <f>IF(LANÇ_MOV[[#This Row],[DATA DE PAGAMENTO]]="","",TEXT(LANÇ_MOV[[#This Row],[DATA DE PAGAMENTO]],"M"))</f>
        <v/>
      </c>
      <c r="AL1154" s="526" t="str">
        <f>IF(LANÇ_MOV[[#This Row],[DATA DE PAGAMENTO]]="","",TEXT(LANÇ_MOV[[#This Row],[DATA DE PAGAMENTO]],"D"))</f>
        <v/>
      </c>
    </row>
    <row r="1155" spans="2:38" ht="30.05" customHeight="1" x14ac:dyDescent="0.35">
      <c r="B1155" s="506"/>
      <c r="C1155" s="507"/>
      <c r="D1155" s="508" t="s">
        <v>1854</v>
      </c>
      <c r="E1155" s="509"/>
      <c r="F1155" s="510"/>
      <c r="G1155" s="507"/>
      <c r="H1155" s="511"/>
      <c r="I1155" s="512"/>
      <c r="J1155" s="518"/>
      <c r="K1155" s="510"/>
      <c r="L1155" s="510"/>
      <c r="M1155" s="548"/>
      <c r="N1155" s="514">
        <f>LANÇ_MOV[[#This Row],[VALOR BRUTO]]-LANÇ_MOV[[#This Row],[DESCONTO]]+LANÇ_MOV[[#This Row],[JUROS]]+LANÇ_MOV[[#This Row],[MULTA]]</f>
        <v>0</v>
      </c>
      <c r="O1155" s="546"/>
      <c r="P1155" s="547" t="str">
        <f t="shared" ca="1" si="18"/>
        <v/>
      </c>
      <c r="Q1155" s="528"/>
      <c r="R1155" s="529"/>
      <c r="S1155" s="518"/>
      <c r="T1155" s="518"/>
      <c r="U1155" s="519"/>
      <c r="V1155" s="520" t="str">
        <f>IFERROR(VLOOKUP(LANÇ_MOV[[#This Row],[PLANO DE CONTAS]],Plano_Contas[[PLANO DE CONTAS]:[R / D]],3,0),"")</f>
        <v/>
      </c>
      <c r="W1155" s="521" t="str">
        <f>IF(LANÇ_MOV[[#This Row],[DATA DE PAGAMENTO]]&lt;&gt;"","Pago","Não Pago")</f>
        <v>Não Pago</v>
      </c>
      <c r="X1155" s="522" t="str">
        <f>IFERROR(IF(LANÇ_MOV[[#This Row],[DATA DE PAGAMENTO]]="","",(UPPER(TEXT(LANÇ_MOV[[#This Row],[DATA DE PAGAMENTO]],"mmmm")))),"")</f>
        <v/>
      </c>
      <c r="Y1155" s="523" t="str">
        <f>IFERROR(VLOOKUP(LANÇ_MOV[[#This Row],[PLANO DE CONTAS]],Plano_Contas[[PLANO DE CONTAS]:[NOMES INTERVALOS]],2,0),"")</f>
        <v/>
      </c>
      <c r="Z1155" s="523" t="str">
        <f>IF(LANÇ_MOV[[#This Row],[FORMA DE PAGAMENTO]]="","",VLOOKUP(LANÇ_MOV[[#This Row],[FORMA DE PAGAMENTO]],CAD_Forma_pagto[],2,0))</f>
        <v/>
      </c>
      <c r="AA1155" s="524" t="str">
        <f>IF(LANÇ_MOV[[#This Row],[DATA DE LANÇAMENTO]]="","",TEXT(LANÇ_MOV[[#This Row],[DATA DE LANÇAMENTO]],"AAAA"))</f>
        <v/>
      </c>
      <c r="AB1155" s="524" t="str">
        <f>IF(LANÇ_MOV[[#This Row],[DATA DE LANÇAMENTO]]="","",UPPER(TEXT(LANÇ_MOV[[#This Row],[DATA DE LANÇAMENTO]],"MMMM")))</f>
        <v/>
      </c>
      <c r="AC1155" s="525" t="str">
        <f>IF(LANÇ_MOV[[#This Row],[DATA DE LANÇAMENTO]]="","",PROPER(TEXT(LANÇ_MOV[[#This Row],[DATA DE LANÇAMENTO]],"M")))</f>
        <v/>
      </c>
      <c r="AD1155" s="524" t="str">
        <f>IF(LANÇ_MOV[[#This Row],[DATA DE LANÇAMENTO]]="","",TEXT(LANÇ_MOV[[#This Row],[DATA DE LANÇAMENTO]],"D"))</f>
        <v/>
      </c>
      <c r="AE1155" s="526" t="str">
        <f>IF(LANÇ_MOV[[#This Row],[DATA DE VENCIMENTO]]="","",TEXT(LANÇ_MOV[[#This Row],[DATA DE VENCIMENTO]],"AAAA"))</f>
        <v/>
      </c>
      <c r="AF1155" s="526" t="str">
        <f>IF(LANÇ_MOV[[#This Row],[DATA DE VENCIMENTO]]="","",UPPER(TEXT(LANÇ_MOV[[#This Row],[DATA DE VENCIMENTO]],"MMMM")))</f>
        <v/>
      </c>
      <c r="AG1155" s="526" t="str">
        <f>IF(LANÇ_MOV[[#This Row],[DATA DE VENCIMENTO]]="","",TEXT(LANÇ_MOV[[#This Row],[DATA DE VENCIMENTO]],"M"))</f>
        <v/>
      </c>
      <c r="AH1155" s="526" t="str">
        <f>IF(LANÇ_MOV[[#This Row],[DATA DE VENCIMENTO]]="","",TEXT(LANÇ_MOV[[#This Row],[DATA DE VENCIMENTO]],"D"))</f>
        <v/>
      </c>
      <c r="AI1155" s="526" t="str">
        <f>IF(LANÇ_MOV[[#This Row],[DATA DE PAGAMENTO]]="","",TEXT(LANÇ_MOV[[#This Row],[DATA DE PAGAMENTO]],"AAAA"))</f>
        <v/>
      </c>
      <c r="AJ1155" s="527" t="str">
        <f>IF(LANÇ_MOV[[#This Row],[DATA DE PAGAMENTO]]="","",UPPER(TEXT(LANÇ_MOV[[#This Row],[DATA DE PAGAMENTO]],"MMMM")))</f>
        <v/>
      </c>
      <c r="AK1155" s="527" t="str">
        <f>IF(LANÇ_MOV[[#This Row],[DATA DE PAGAMENTO]]="","",TEXT(LANÇ_MOV[[#This Row],[DATA DE PAGAMENTO]],"M"))</f>
        <v/>
      </c>
      <c r="AL1155" s="526" t="str">
        <f>IF(LANÇ_MOV[[#This Row],[DATA DE PAGAMENTO]]="","",TEXT(LANÇ_MOV[[#This Row],[DATA DE PAGAMENTO]],"D"))</f>
        <v/>
      </c>
    </row>
    <row r="1156" spans="2:38" ht="30.05" customHeight="1" x14ac:dyDescent="0.35">
      <c r="B1156" s="506"/>
      <c r="C1156" s="507"/>
      <c r="D1156" s="508" t="s">
        <v>1854</v>
      </c>
      <c r="E1156" s="509"/>
      <c r="F1156" s="510"/>
      <c r="G1156" s="507"/>
      <c r="H1156" s="511"/>
      <c r="I1156" s="512"/>
      <c r="J1156" s="518"/>
      <c r="K1156" s="510"/>
      <c r="L1156" s="510"/>
      <c r="M1156" s="548"/>
      <c r="N1156" s="514">
        <f>LANÇ_MOV[[#This Row],[VALOR BRUTO]]-LANÇ_MOV[[#This Row],[DESCONTO]]+LANÇ_MOV[[#This Row],[JUROS]]+LANÇ_MOV[[#This Row],[MULTA]]</f>
        <v>0</v>
      </c>
      <c r="O1156" s="546"/>
      <c r="P1156" s="547" t="str">
        <f t="shared" ca="1" si="18"/>
        <v/>
      </c>
      <c r="Q1156" s="528"/>
      <c r="R1156" s="529"/>
      <c r="S1156" s="518"/>
      <c r="T1156" s="518"/>
      <c r="U1156" s="519"/>
      <c r="V1156" s="520" t="str">
        <f>IFERROR(VLOOKUP(LANÇ_MOV[[#This Row],[PLANO DE CONTAS]],Plano_Contas[[PLANO DE CONTAS]:[R / D]],3,0),"")</f>
        <v/>
      </c>
      <c r="W1156" s="521" t="str">
        <f>IF(LANÇ_MOV[[#This Row],[DATA DE PAGAMENTO]]&lt;&gt;"","Pago","Não Pago")</f>
        <v>Não Pago</v>
      </c>
      <c r="X1156" s="522" t="str">
        <f>IFERROR(IF(LANÇ_MOV[[#This Row],[DATA DE PAGAMENTO]]="","",(UPPER(TEXT(LANÇ_MOV[[#This Row],[DATA DE PAGAMENTO]],"mmmm")))),"")</f>
        <v/>
      </c>
      <c r="Y1156" s="523" t="str">
        <f>IFERROR(VLOOKUP(LANÇ_MOV[[#This Row],[PLANO DE CONTAS]],Plano_Contas[[PLANO DE CONTAS]:[NOMES INTERVALOS]],2,0),"")</f>
        <v/>
      </c>
      <c r="Z1156" s="523" t="str">
        <f>IF(LANÇ_MOV[[#This Row],[FORMA DE PAGAMENTO]]="","",VLOOKUP(LANÇ_MOV[[#This Row],[FORMA DE PAGAMENTO]],CAD_Forma_pagto[],2,0))</f>
        <v/>
      </c>
      <c r="AA1156" s="524" t="str">
        <f>IF(LANÇ_MOV[[#This Row],[DATA DE LANÇAMENTO]]="","",TEXT(LANÇ_MOV[[#This Row],[DATA DE LANÇAMENTO]],"AAAA"))</f>
        <v/>
      </c>
      <c r="AB1156" s="524" t="str">
        <f>IF(LANÇ_MOV[[#This Row],[DATA DE LANÇAMENTO]]="","",UPPER(TEXT(LANÇ_MOV[[#This Row],[DATA DE LANÇAMENTO]],"MMMM")))</f>
        <v/>
      </c>
      <c r="AC1156" s="525" t="str">
        <f>IF(LANÇ_MOV[[#This Row],[DATA DE LANÇAMENTO]]="","",PROPER(TEXT(LANÇ_MOV[[#This Row],[DATA DE LANÇAMENTO]],"M")))</f>
        <v/>
      </c>
      <c r="AD1156" s="524" t="str">
        <f>IF(LANÇ_MOV[[#This Row],[DATA DE LANÇAMENTO]]="","",TEXT(LANÇ_MOV[[#This Row],[DATA DE LANÇAMENTO]],"D"))</f>
        <v/>
      </c>
      <c r="AE1156" s="526" t="str">
        <f>IF(LANÇ_MOV[[#This Row],[DATA DE VENCIMENTO]]="","",TEXT(LANÇ_MOV[[#This Row],[DATA DE VENCIMENTO]],"AAAA"))</f>
        <v/>
      </c>
      <c r="AF1156" s="526" t="str">
        <f>IF(LANÇ_MOV[[#This Row],[DATA DE VENCIMENTO]]="","",UPPER(TEXT(LANÇ_MOV[[#This Row],[DATA DE VENCIMENTO]],"MMMM")))</f>
        <v/>
      </c>
      <c r="AG1156" s="526" t="str">
        <f>IF(LANÇ_MOV[[#This Row],[DATA DE VENCIMENTO]]="","",TEXT(LANÇ_MOV[[#This Row],[DATA DE VENCIMENTO]],"M"))</f>
        <v/>
      </c>
      <c r="AH1156" s="526" t="str">
        <f>IF(LANÇ_MOV[[#This Row],[DATA DE VENCIMENTO]]="","",TEXT(LANÇ_MOV[[#This Row],[DATA DE VENCIMENTO]],"D"))</f>
        <v/>
      </c>
      <c r="AI1156" s="526" t="str">
        <f>IF(LANÇ_MOV[[#This Row],[DATA DE PAGAMENTO]]="","",TEXT(LANÇ_MOV[[#This Row],[DATA DE PAGAMENTO]],"AAAA"))</f>
        <v/>
      </c>
      <c r="AJ1156" s="527" t="str">
        <f>IF(LANÇ_MOV[[#This Row],[DATA DE PAGAMENTO]]="","",UPPER(TEXT(LANÇ_MOV[[#This Row],[DATA DE PAGAMENTO]],"MMMM")))</f>
        <v/>
      </c>
      <c r="AK1156" s="527" t="str">
        <f>IF(LANÇ_MOV[[#This Row],[DATA DE PAGAMENTO]]="","",TEXT(LANÇ_MOV[[#This Row],[DATA DE PAGAMENTO]],"M"))</f>
        <v/>
      </c>
      <c r="AL1156" s="526" t="str">
        <f>IF(LANÇ_MOV[[#This Row],[DATA DE PAGAMENTO]]="","",TEXT(LANÇ_MOV[[#This Row],[DATA DE PAGAMENTO]],"D"))</f>
        <v/>
      </c>
    </row>
    <row r="1157" spans="2:38" ht="30.05" customHeight="1" x14ac:dyDescent="0.35">
      <c r="B1157" s="506"/>
      <c r="C1157" s="507"/>
      <c r="D1157" s="508" t="s">
        <v>1854</v>
      </c>
      <c r="E1157" s="509"/>
      <c r="F1157" s="510"/>
      <c r="G1157" s="507"/>
      <c r="H1157" s="511"/>
      <c r="I1157" s="512"/>
      <c r="J1157" s="518"/>
      <c r="K1157" s="510"/>
      <c r="L1157" s="510"/>
      <c r="M1157" s="548"/>
      <c r="N1157" s="514">
        <f>LANÇ_MOV[[#This Row],[VALOR BRUTO]]-LANÇ_MOV[[#This Row],[DESCONTO]]+LANÇ_MOV[[#This Row],[JUROS]]+LANÇ_MOV[[#This Row],[MULTA]]</f>
        <v>0</v>
      </c>
      <c r="O1157" s="546"/>
      <c r="P1157" s="547" t="str">
        <f t="shared" ca="1" si="18"/>
        <v/>
      </c>
      <c r="Q1157" s="528"/>
      <c r="R1157" s="529"/>
      <c r="S1157" s="518"/>
      <c r="T1157" s="518"/>
      <c r="U1157" s="519"/>
      <c r="V1157" s="520" t="str">
        <f>IFERROR(VLOOKUP(LANÇ_MOV[[#This Row],[PLANO DE CONTAS]],Plano_Contas[[PLANO DE CONTAS]:[R / D]],3,0),"")</f>
        <v/>
      </c>
      <c r="W1157" s="521" t="str">
        <f>IF(LANÇ_MOV[[#This Row],[DATA DE PAGAMENTO]]&lt;&gt;"","Pago","Não Pago")</f>
        <v>Não Pago</v>
      </c>
      <c r="X1157" s="522" t="str">
        <f>IFERROR(IF(LANÇ_MOV[[#This Row],[DATA DE PAGAMENTO]]="","",(UPPER(TEXT(LANÇ_MOV[[#This Row],[DATA DE PAGAMENTO]],"mmmm")))),"")</f>
        <v/>
      </c>
      <c r="Y1157" s="523" t="str">
        <f>IFERROR(VLOOKUP(LANÇ_MOV[[#This Row],[PLANO DE CONTAS]],Plano_Contas[[PLANO DE CONTAS]:[NOMES INTERVALOS]],2,0),"")</f>
        <v/>
      </c>
      <c r="Z1157" s="523" t="str">
        <f>IF(LANÇ_MOV[[#This Row],[FORMA DE PAGAMENTO]]="","",VLOOKUP(LANÇ_MOV[[#This Row],[FORMA DE PAGAMENTO]],CAD_Forma_pagto[],2,0))</f>
        <v/>
      </c>
      <c r="AA1157" s="524" t="str">
        <f>IF(LANÇ_MOV[[#This Row],[DATA DE LANÇAMENTO]]="","",TEXT(LANÇ_MOV[[#This Row],[DATA DE LANÇAMENTO]],"AAAA"))</f>
        <v/>
      </c>
      <c r="AB1157" s="524" t="str">
        <f>IF(LANÇ_MOV[[#This Row],[DATA DE LANÇAMENTO]]="","",UPPER(TEXT(LANÇ_MOV[[#This Row],[DATA DE LANÇAMENTO]],"MMMM")))</f>
        <v/>
      </c>
      <c r="AC1157" s="525" t="str">
        <f>IF(LANÇ_MOV[[#This Row],[DATA DE LANÇAMENTO]]="","",PROPER(TEXT(LANÇ_MOV[[#This Row],[DATA DE LANÇAMENTO]],"M")))</f>
        <v/>
      </c>
      <c r="AD1157" s="524" t="str">
        <f>IF(LANÇ_MOV[[#This Row],[DATA DE LANÇAMENTO]]="","",TEXT(LANÇ_MOV[[#This Row],[DATA DE LANÇAMENTO]],"D"))</f>
        <v/>
      </c>
      <c r="AE1157" s="526" t="str">
        <f>IF(LANÇ_MOV[[#This Row],[DATA DE VENCIMENTO]]="","",TEXT(LANÇ_MOV[[#This Row],[DATA DE VENCIMENTO]],"AAAA"))</f>
        <v/>
      </c>
      <c r="AF1157" s="526" t="str">
        <f>IF(LANÇ_MOV[[#This Row],[DATA DE VENCIMENTO]]="","",UPPER(TEXT(LANÇ_MOV[[#This Row],[DATA DE VENCIMENTO]],"MMMM")))</f>
        <v/>
      </c>
      <c r="AG1157" s="526" t="str">
        <f>IF(LANÇ_MOV[[#This Row],[DATA DE VENCIMENTO]]="","",TEXT(LANÇ_MOV[[#This Row],[DATA DE VENCIMENTO]],"M"))</f>
        <v/>
      </c>
      <c r="AH1157" s="526" t="str">
        <f>IF(LANÇ_MOV[[#This Row],[DATA DE VENCIMENTO]]="","",TEXT(LANÇ_MOV[[#This Row],[DATA DE VENCIMENTO]],"D"))</f>
        <v/>
      </c>
      <c r="AI1157" s="526" t="str">
        <f>IF(LANÇ_MOV[[#This Row],[DATA DE PAGAMENTO]]="","",TEXT(LANÇ_MOV[[#This Row],[DATA DE PAGAMENTO]],"AAAA"))</f>
        <v/>
      </c>
      <c r="AJ1157" s="527" t="str">
        <f>IF(LANÇ_MOV[[#This Row],[DATA DE PAGAMENTO]]="","",UPPER(TEXT(LANÇ_MOV[[#This Row],[DATA DE PAGAMENTO]],"MMMM")))</f>
        <v/>
      </c>
      <c r="AK1157" s="527" t="str">
        <f>IF(LANÇ_MOV[[#This Row],[DATA DE PAGAMENTO]]="","",TEXT(LANÇ_MOV[[#This Row],[DATA DE PAGAMENTO]],"M"))</f>
        <v/>
      </c>
      <c r="AL1157" s="526" t="str">
        <f>IF(LANÇ_MOV[[#This Row],[DATA DE PAGAMENTO]]="","",TEXT(LANÇ_MOV[[#This Row],[DATA DE PAGAMENTO]],"D"))</f>
        <v/>
      </c>
    </row>
    <row r="1158" spans="2:38" ht="30.05" customHeight="1" x14ac:dyDescent="0.35">
      <c r="B1158" s="506"/>
      <c r="C1158" s="507"/>
      <c r="D1158" s="508" t="s">
        <v>1854</v>
      </c>
      <c r="E1158" s="509"/>
      <c r="F1158" s="510"/>
      <c r="G1158" s="507"/>
      <c r="H1158" s="511"/>
      <c r="I1158" s="512"/>
      <c r="J1158" s="518"/>
      <c r="K1158" s="510"/>
      <c r="L1158" s="510"/>
      <c r="M1158" s="548"/>
      <c r="N1158" s="514">
        <f>LANÇ_MOV[[#This Row],[VALOR BRUTO]]-LANÇ_MOV[[#This Row],[DESCONTO]]+LANÇ_MOV[[#This Row],[JUROS]]+LANÇ_MOV[[#This Row],[MULTA]]</f>
        <v>0</v>
      </c>
      <c r="O1158" s="546"/>
      <c r="P1158" s="547" t="str">
        <f t="shared" ca="1" si="18"/>
        <v/>
      </c>
      <c r="Q1158" s="528"/>
      <c r="R1158" s="529"/>
      <c r="S1158" s="518"/>
      <c r="T1158" s="518"/>
      <c r="U1158" s="519"/>
      <c r="V1158" s="520" t="str">
        <f>IFERROR(VLOOKUP(LANÇ_MOV[[#This Row],[PLANO DE CONTAS]],Plano_Contas[[PLANO DE CONTAS]:[R / D]],3,0),"")</f>
        <v/>
      </c>
      <c r="W1158" s="521" t="str">
        <f>IF(LANÇ_MOV[[#This Row],[DATA DE PAGAMENTO]]&lt;&gt;"","Pago","Não Pago")</f>
        <v>Não Pago</v>
      </c>
      <c r="X1158" s="522" t="str">
        <f>IFERROR(IF(LANÇ_MOV[[#This Row],[DATA DE PAGAMENTO]]="","",(UPPER(TEXT(LANÇ_MOV[[#This Row],[DATA DE PAGAMENTO]],"mmmm")))),"")</f>
        <v/>
      </c>
      <c r="Y1158" s="523" t="str">
        <f>IFERROR(VLOOKUP(LANÇ_MOV[[#This Row],[PLANO DE CONTAS]],Plano_Contas[[PLANO DE CONTAS]:[NOMES INTERVALOS]],2,0),"")</f>
        <v/>
      </c>
      <c r="Z1158" s="523" t="str">
        <f>IF(LANÇ_MOV[[#This Row],[FORMA DE PAGAMENTO]]="","",VLOOKUP(LANÇ_MOV[[#This Row],[FORMA DE PAGAMENTO]],CAD_Forma_pagto[],2,0))</f>
        <v/>
      </c>
      <c r="AA1158" s="524" t="str">
        <f>IF(LANÇ_MOV[[#This Row],[DATA DE LANÇAMENTO]]="","",TEXT(LANÇ_MOV[[#This Row],[DATA DE LANÇAMENTO]],"AAAA"))</f>
        <v/>
      </c>
      <c r="AB1158" s="524" t="str">
        <f>IF(LANÇ_MOV[[#This Row],[DATA DE LANÇAMENTO]]="","",UPPER(TEXT(LANÇ_MOV[[#This Row],[DATA DE LANÇAMENTO]],"MMMM")))</f>
        <v/>
      </c>
      <c r="AC1158" s="525" t="str">
        <f>IF(LANÇ_MOV[[#This Row],[DATA DE LANÇAMENTO]]="","",PROPER(TEXT(LANÇ_MOV[[#This Row],[DATA DE LANÇAMENTO]],"M")))</f>
        <v/>
      </c>
      <c r="AD1158" s="524" t="str">
        <f>IF(LANÇ_MOV[[#This Row],[DATA DE LANÇAMENTO]]="","",TEXT(LANÇ_MOV[[#This Row],[DATA DE LANÇAMENTO]],"D"))</f>
        <v/>
      </c>
      <c r="AE1158" s="526" t="str">
        <f>IF(LANÇ_MOV[[#This Row],[DATA DE VENCIMENTO]]="","",TEXT(LANÇ_MOV[[#This Row],[DATA DE VENCIMENTO]],"AAAA"))</f>
        <v/>
      </c>
      <c r="AF1158" s="526" t="str">
        <f>IF(LANÇ_MOV[[#This Row],[DATA DE VENCIMENTO]]="","",UPPER(TEXT(LANÇ_MOV[[#This Row],[DATA DE VENCIMENTO]],"MMMM")))</f>
        <v/>
      </c>
      <c r="AG1158" s="526" t="str">
        <f>IF(LANÇ_MOV[[#This Row],[DATA DE VENCIMENTO]]="","",TEXT(LANÇ_MOV[[#This Row],[DATA DE VENCIMENTO]],"M"))</f>
        <v/>
      </c>
      <c r="AH1158" s="526" t="str">
        <f>IF(LANÇ_MOV[[#This Row],[DATA DE VENCIMENTO]]="","",TEXT(LANÇ_MOV[[#This Row],[DATA DE VENCIMENTO]],"D"))</f>
        <v/>
      </c>
      <c r="AI1158" s="526" t="str">
        <f>IF(LANÇ_MOV[[#This Row],[DATA DE PAGAMENTO]]="","",TEXT(LANÇ_MOV[[#This Row],[DATA DE PAGAMENTO]],"AAAA"))</f>
        <v/>
      </c>
      <c r="AJ1158" s="527" t="str">
        <f>IF(LANÇ_MOV[[#This Row],[DATA DE PAGAMENTO]]="","",UPPER(TEXT(LANÇ_MOV[[#This Row],[DATA DE PAGAMENTO]],"MMMM")))</f>
        <v/>
      </c>
      <c r="AK1158" s="527" t="str">
        <f>IF(LANÇ_MOV[[#This Row],[DATA DE PAGAMENTO]]="","",TEXT(LANÇ_MOV[[#This Row],[DATA DE PAGAMENTO]],"M"))</f>
        <v/>
      </c>
      <c r="AL1158" s="526" t="str">
        <f>IF(LANÇ_MOV[[#This Row],[DATA DE PAGAMENTO]]="","",TEXT(LANÇ_MOV[[#This Row],[DATA DE PAGAMENTO]],"D"))</f>
        <v/>
      </c>
    </row>
    <row r="1159" spans="2:38" ht="30.05" customHeight="1" x14ac:dyDescent="0.35">
      <c r="B1159" s="506"/>
      <c r="C1159" s="507"/>
      <c r="D1159" s="508" t="s">
        <v>1854</v>
      </c>
      <c r="E1159" s="509"/>
      <c r="F1159" s="510"/>
      <c r="G1159" s="507"/>
      <c r="H1159" s="511"/>
      <c r="I1159" s="512"/>
      <c r="J1159" s="518"/>
      <c r="K1159" s="510"/>
      <c r="L1159" s="510"/>
      <c r="M1159" s="548"/>
      <c r="N1159" s="514">
        <f>LANÇ_MOV[[#This Row],[VALOR BRUTO]]-LANÇ_MOV[[#This Row],[DESCONTO]]+LANÇ_MOV[[#This Row],[JUROS]]+LANÇ_MOV[[#This Row],[MULTA]]</f>
        <v>0</v>
      </c>
      <c r="O1159" s="546"/>
      <c r="P1159" s="547" t="str">
        <f t="shared" ca="1" si="18"/>
        <v/>
      </c>
      <c r="Q1159" s="528"/>
      <c r="R1159" s="529"/>
      <c r="S1159" s="518"/>
      <c r="T1159" s="518"/>
      <c r="U1159" s="519"/>
      <c r="V1159" s="520" t="str">
        <f>IFERROR(VLOOKUP(LANÇ_MOV[[#This Row],[PLANO DE CONTAS]],Plano_Contas[[PLANO DE CONTAS]:[R / D]],3,0),"")</f>
        <v/>
      </c>
      <c r="W1159" s="521" t="str">
        <f>IF(LANÇ_MOV[[#This Row],[DATA DE PAGAMENTO]]&lt;&gt;"","Pago","Não Pago")</f>
        <v>Não Pago</v>
      </c>
      <c r="X1159" s="522" t="str">
        <f>IFERROR(IF(LANÇ_MOV[[#This Row],[DATA DE PAGAMENTO]]="","",(UPPER(TEXT(LANÇ_MOV[[#This Row],[DATA DE PAGAMENTO]],"mmmm")))),"")</f>
        <v/>
      </c>
      <c r="Y1159" s="523" t="str">
        <f>IFERROR(VLOOKUP(LANÇ_MOV[[#This Row],[PLANO DE CONTAS]],Plano_Contas[[PLANO DE CONTAS]:[NOMES INTERVALOS]],2,0),"")</f>
        <v/>
      </c>
      <c r="Z1159" s="523" t="str">
        <f>IF(LANÇ_MOV[[#This Row],[FORMA DE PAGAMENTO]]="","",VLOOKUP(LANÇ_MOV[[#This Row],[FORMA DE PAGAMENTO]],CAD_Forma_pagto[],2,0))</f>
        <v/>
      </c>
      <c r="AA1159" s="524" t="str">
        <f>IF(LANÇ_MOV[[#This Row],[DATA DE LANÇAMENTO]]="","",TEXT(LANÇ_MOV[[#This Row],[DATA DE LANÇAMENTO]],"AAAA"))</f>
        <v/>
      </c>
      <c r="AB1159" s="524" t="str">
        <f>IF(LANÇ_MOV[[#This Row],[DATA DE LANÇAMENTO]]="","",UPPER(TEXT(LANÇ_MOV[[#This Row],[DATA DE LANÇAMENTO]],"MMMM")))</f>
        <v/>
      </c>
      <c r="AC1159" s="525" t="str">
        <f>IF(LANÇ_MOV[[#This Row],[DATA DE LANÇAMENTO]]="","",PROPER(TEXT(LANÇ_MOV[[#This Row],[DATA DE LANÇAMENTO]],"M")))</f>
        <v/>
      </c>
      <c r="AD1159" s="524" t="str">
        <f>IF(LANÇ_MOV[[#This Row],[DATA DE LANÇAMENTO]]="","",TEXT(LANÇ_MOV[[#This Row],[DATA DE LANÇAMENTO]],"D"))</f>
        <v/>
      </c>
      <c r="AE1159" s="526" t="str">
        <f>IF(LANÇ_MOV[[#This Row],[DATA DE VENCIMENTO]]="","",TEXT(LANÇ_MOV[[#This Row],[DATA DE VENCIMENTO]],"AAAA"))</f>
        <v/>
      </c>
      <c r="AF1159" s="526" t="str">
        <f>IF(LANÇ_MOV[[#This Row],[DATA DE VENCIMENTO]]="","",UPPER(TEXT(LANÇ_MOV[[#This Row],[DATA DE VENCIMENTO]],"MMMM")))</f>
        <v/>
      </c>
      <c r="AG1159" s="526" t="str">
        <f>IF(LANÇ_MOV[[#This Row],[DATA DE VENCIMENTO]]="","",TEXT(LANÇ_MOV[[#This Row],[DATA DE VENCIMENTO]],"M"))</f>
        <v/>
      </c>
      <c r="AH1159" s="526" t="str">
        <f>IF(LANÇ_MOV[[#This Row],[DATA DE VENCIMENTO]]="","",TEXT(LANÇ_MOV[[#This Row],[DATA DE VENCIMENTO]],"D"))</f>
        <v/>
      </c>
      <c r="AI1159" s="526" t="str">
        <f>IF(LANÇ_MOV[[#This Row],[DATA DE PAGAMENTO]]="","",TEXT(LANÇ_MOV[[#This Row],[DATA DE PAGAMENTO]],"AAAA"))</f>
        <v/>
      </c>
      <c r="AJ1159" s="527" t="str">
        <f>IF(LANÇ_MOV[[#This Row],[DATA DE PAGAMENTO]]="","",UPPER(TEXT(LANÇ_MOV[[#This Row],[DATA DE PAGAMENTO]],"MMMM")))</f>
        <v/>
      </c>
      <c r="AK1159" s="527" t="str">
        <f>IF(LANÇ_MOV[[#This Row],[DATA DE PAGAMENTO]]="","",TEXT(LANÇ_MOV[[#This Row],[DATA DE PAGAMENTO]],"M"))</f>
        <v/>
      </c>
      <c r="AL1159" s="526" t="str">
        <f>IF(LANÇ_MOV[[#This Row],[DATA DE PAGAMENTO]]="","",TEXT(LANÇ_MOV[[#This Row],[DATA DE PAGAMENTO]],"D"))</f>
        <v/>
      </c>
    </row>
    <row r="1160" spans="2:38" ht="30.05" customHeight="1" x14ac:dyDescent="0.35">
      <c r="B1160" s="506"/>
      <c r="C1160" s="507"/>
      <c r="D1160" s="508" t="s">
        <v>1854</v>
      </c>
      <c r="E1160" s="509"/>
      <c r="F1160" s="510"/>
      <c r="G1160" s="507"/>
      <c r="H1160" s="511"/>
      <c r="I1160" s="512"/>
      <c r="J1160" s="518"/>
      <c r="K1160" s="510"/>
      <c r="L1160" s="510"/>
      <c r="M1160" s="548"/>
      <c r="N1160" s="514">
        <f>LANÇ_MOV[[#This Row],[VALOR BRUTO]]-LANÇ_MOV[[#This Row],[DESCONTO]]+LANÇ_MOV[[#This Row],[JUROS]]+LANÇ_MOV[[#This Row],[MULTA]]</f>
        <v>0</v>
      </c>
      <c r="O1160" s="546"/>
      <c r="P1160" s="547" t="str">
        <f t="shared" ca="1" si="18"/>
        <v/>
      </c>
      <c r="Q1160" s="528"/>
      <c r="R1160" s="529"/>
      <c r="S1160" s="518"/>
      <c r="T1160" s="518"/>
      <c r="U1160" s="519"/>
      <c r="V1160" s="520" t="str">
        <f>IFERROR(VLOOKUP(LANÇ_MOV[[#This Row],[PLANO DE CONTAS]],Plano_Contas[[PLANO DE CONTAS]:[R / D]],3,0),"")</f>
        <v/>
      </c>
      <c r="W1160" s="521" t="str">
        <f>IF(LANÇ_MOV[[#This Row],[DATA DE PAGAMENTO]]&lt;&gt;"","Pago","Não Pago")</f>
        <v>Não Pago</v>
      </c>
      <c r="X1160" s="522" t="str">
        <f>IFERROR(IF(LANÇ_MOV[[#This Row],[DATA DE PAGAMENTO]]="","",(UPPER(TEXT(LANÇ_MOV[[#This Row],[DATA DE PAGAMENTO]],"mmmm")))),"")</f>
        <v/>
      </c>
      <c r="Y1160" s="523" t="str">
        <f>IFERROR(VLOOKUP(LANÇ_MOV[[#This Row],[PLANO DE CONTAS]],Plano_Contas[[PLANO DE CONTAS]:[NOMES INTERVALOS]],2,0),"")</f>
        <v/>
      </c>
      <c r="Z1160" s="523" t="str">
        <f>IF(LANÇ_MOV[[#This Row],[FORMA DE PAGAMENTO]]="","",VLOOKUP(LANÇ_MOV[[#This Row],[FORMA DE PAGAMENTO]],CAD_Forma_pagto[],2,0))</f>
        <v/>
      </c>
      <c r="AA1160" s="524" t="str">
        <f>IF(LANÇ_MOV[[#This Row],[DATA DE LANÇAMENTO]]="","",TEXT(LANÇ_MOV[[#This Row],[DATA DE LANÇAMENTO]],"AAAA"))</f>
        <v/>
      </c>
      <c r="AB1160" s="524" t="str">
        <f>IF(LANÇ_MOV[[#This Row],[DATA DE LANÇAMENTO]]="","",UPPER(TEXT(LANÇ_MOV[[#This Row],[DATA DE LANÇAMENTO]],"MMMM")))</f>
        <v/>
      </c>
      <c r="AC1160" s="525" t="str">
        <f>IF(LANÇ_MOV[[#This Row],[DATA DE LANÇAMENTO]]="","",PROPER(TEXT(LANÇ_MOV[[#This Row],[DATA DE LANÇAMENTO]],"M")))</f>
        <v/>
      </c>
      <c r="AD1160" s="524" t="str">
        <f>IF(LANÇ_MOV[[#This Row],[DATA DE LANÇAMENTO]]="","",TEXT(LANÇ_MOV[[#This Row],[DATA DE LANÇAMENTO]],"D"))</f>
        <v/>
      </c>
      <c r="AE1160" s="526" t="str">
        <f>IF(LANÇ_MOV[[#This Row],[DATA DE VENCIMENTO]]="","",TEXT(LANÇ_MOV[[#This Row],[DATA DE VENCIMENTO]],"AAAA"))</f>
        <v/>
      </c>
      <c r="AF1160" s="526" t="str">
        <f>IF(LANÇ_MOV[[#This Row],[DATA DE VENCIMENTO]]="","",UPPER(TEXT(LANÇ_MOV[[#This Row],[DATA DE VENCIMENTO]],"MMMM")))</f>
        <v/>
      </c>
      <c r="AG1160" s="526" t="str">
        <f>IF(LANÇ_MOV[[#This Row],[DATA DE VENCIMENTO]]="","",TEXT(LANÇ_MOV[[#This Row],[DATA DE VENCIMENTO]],"M"))</f>
        <v/>
      </c>
      <c r="AH1160" s="526" t="str">
        <f>IF(LANÇ_MOV[[#This Row],[DATA DE VENCIMENTO]]="","",TEXT(LANÇ_MOV[[#This Row],[DATA DE VENCIMENTO]],"D"))</f>
        <v/>
      </c>
      <c r="AI1160" s="526" t="str">
        <f>IF(LANÇ_MOV[[#This Row],[DATA DE PAGAMENTO]]="","",TEXT(LANÇ_MOV[[#This Row],[DATA DE PAGAMENTO]],"AAAA"))</f>
        <v/>
      </c>
      <c r="AJ1160" s="527" t="str">
        <f>IF(LANÇ_MOV[[#This Row],[DATA DE PAGAMENTO]]="","",UPPER(TEXT(LANÇ_MOV[[#This Row],[DATA DE PAGAMENTO]],"MMMM")))</f>
        <v/>
      </c>
      <c r="AK1160" s="527" t="str">
        <f>IF(LANÇ_MOV[[#This Row],[DATA DE PAGAMENTO]]="","",TEXT(LANÇ_MOV[[#This Row],[DATA DE PAGAMENTO]],"M"))</f>
        <v/>
      </c>
      <c r="AL1160" s="526" t="str">
        <f>IF(LANÇ_MOV[[#This Row],[DATA DE PAGAMENTO]]="","",TEXT(LANÇ_MOV[[#This Row],[DATA DE PAGAMENTO]],"D"))</f>
        <v/>
      </c>
    </row>
    <row r="1161" spans="2:38" ht="30.05" customHeight="1" x14ac:dyDescent="0.35">
      <c r="B1161" s="506"/>
      <c r="C1161" s="507"/>
      <c r="D1161" s="508" t="s">
        <v>1854</v>
      </c>
      <c r="E1161" s="509"/>
      <c r="F1161" s="510"/>
      <c r="G1161" s="507"/>
      <c r="H1161" s="511"/>
      <c r="I1161" s="512"/>
      <c r="J1161" s="518"/>
      <c r="K1161" s="510"/>
      <c r="L1161" s="510"/>
      <c r="M1161" s="548"/>
      <c r="N1161" s="514">
        <f>LANÇ_MOV[[#This Row],[VALOR BRUTO]]-LANÇ_MOV[[#This Row],[DESCONTO]]+LANÇ_MOV[[#This Row],[JUROS]]+LANÇ_MOV[[#This Row],[MULTA]]</f>
        <v>0</v>
      </c>
      <c r="O1161" s="546"/>
      <c r="P1161" s="547" t="str">
        <f t="shared" ca="1" si="18"/>
        <v/>
      </c>
      <c r="Q1161" s="528"/>
      <c r="R1161" s="529"/>
      <c r="S1161" s="518"/>
      <c r="T1161" s="518"/>
      <c r="U1161" s="519"/>
      <c r="V1161" s="520" t="str">
        <f>IFERROR(VLOOKUP(LANÇ_MOV[[#This Row],[PLANO DE CONTAS]],Plano_Contas[[PLANO DE CONTAS]:[R / D]],3,0),"")</f>
        <v/>
      </c>
      <c r="W1161" s="521" t="str">
        <f>IF(LANÇ_MOV[[#This Row],[DATA DE PAGAMENTO]]&lt;&gt;"","Pago","Não Pago")</f>
        <v>Não Pago</v>
      </c>
      <c r="X1161" s="522" t="str">
        <f>IFERROR(IF(LANÇ_MOV[[#This Row],[DATA DE PAGAMENTO]]="","",(UPPER(TEXT(LANÇ_MOV[[#This Row],[DATA DE PAGAMENTO]],"mmmm")))),"")</f>
        <v/>
      </c>
      <c r="Y1161" s="523" t="str">
        <f>IFERROR(VLOOKUP(LANÇ_MOV[[#This Row],[PLANO DE CONTAS]],Plano_Contas[[PLANO DE CONTAS]:[NOMES INTERVALOS]],2,0),"")</f>
        <v/>
      </c>
      <c r="Z1161" s="523" t="str">
        <f>IF(LANÇ_MOV[[#This Row],[FORMA DE PAGAMENTO]]="","",VLOOKUP(LANÇ_MOV[[#This Row],[FORMA DE PAGAMENTO]],CAD_Forma_pagto[],2,0))</f>
        <v/>
      </c>
      <c r="AA1161" s="524" t="str">
        <f>IF(LANÇ_MOV[[#This Row],[DATA DE LANÇAMENTO]]="","",TEXT(LANÇ_MOV[[#This Row],[DATA DE LANÇAMENTO]],"AAAA"))</f>
        <v/>
      </c>
      <c r="AB1161" s="524" t="str">
        <f>IF(LANÇ_MOV[[#This Row],[DATA DE LANÇAMENTO]]="","",UPPER(TEXT(LANÇ_MOV[[#This Row],[DATA DE LANÇAMENTO]],"MMMM")))</f>
        <v/>
      </c>
      <c r="AC1161" s="525" t="str">
        <f>IF(LANÇ_MOV[[#This Row],[DATA DE LANÇAMENTO]]="","",PROPER(TEXT(LANÇ_MOV[[#This Row],[DATA DE LANÇAMENTO]],"M")))</f>
        <v/>
      </c>
      <c r="AD1161" s="524" t="str">
        <f>IF(LANÇ_MOV[[#This Row],[DATA DE LANÇAMENTO]]="","",TEXT(LANÇ_MOV[[#This Row],[DATA DE LANÇAMENTO]],"D"))</f>
        <v/>
      </c>
      <c r="AE1161" s="526" t="str">
        <f>IF(LANÇ_MOV[[#This Row],[DATA DE VENCIMENTO]]="","",TEXT(LANÇ_MOV[[#This Row],[DATA DE VENCIMENTO]],"AAAA"))</f>
        <v/>
      </c>
      <c r="AF1161" s="526" t="str">
        <f>IF(LANÇ_MOV[[#This Row],[DATA DE VENCIMENTO]]="","",UPPER(TEXT(LANÇ_MOV[[#This Row],[DATA DE VENCIMENTO]],"MMMM")))</f>
        <v/>
      </c>
      <c r="AG1161" s="526" t="str">
        <f>IF(LANÇ_MOV[[#This Row],[DATA DE VENCIMENTO]]="","",TEXT(LANÇ_MOV[[#This Row],[DATA DE VENCIMENTO]],"M"))</f>
        <v/>
      </c>
      <c r="AH1161" s="526" t="str">
        <f>IF(LANÇ_MOV[[#This Row],[DATA DE VENCIMENTO]]="","",TEXT(LANÇ_MOV[[#This Row],[DATA DE VENCIMENTO]],"D"))</f>
        <v/>
      </c>
      <c r="AI1161" s="526" t="str">
        <f>IF(LANÇ_MOV[[#This Row],[DATA DE PAGAMENTO]]="","",TEXT(LANÇ_MOV[[#This Row],[DATA DE PAGAMENTO]],"AAAA"))</f>
        <v/>
      </c>
      <c r="AJ1161" s="527" t="str">
        <f>IF(LANÇ_MOV[[#This Row],[DATA DE PAGAMENTO]]="","",UPPER(TEXT(LANÇ_MOV[[#This Row],[DATA DE PAGAMENTO]],"MMMM")))</f>
        <v/>
      </c>
      <c r="AK1161" s="527" t="str">
        <f>IF(LANÇ_MOV[[#This Row],[DATA DE PAGAMENTO]]="","",TEXT(LANÇ_MOV[[#This Row],[DATA DE PAGAMENTO]],"M"))</f>
        <v/>
      </c>
      <c r="AL1161" s="526" t="str">
        <f>IF(LANÇ_MOV[[#This Row],[DATA DE PAGAMENTO]]="","",TEXT(LANÇ_MOV[[#This Row],[DATA DE PAGAMENTO]],"D"))</f>
        <v/>
      </c>
    </row>
    <row r="1162" spans="2:38" ht="30.05" customHeight="1" x14ac:dyDescent="0.35">
      <c r="B1162" s="506"/>
      <c r="C1162" s="507"/>
      <c r="D1162" s="508" t="s">
        <v>1854</v>
      </c>
      <c r="E1162" s="509"/>
      <c r="F1162" s="510"/>
      <c r="G1162" s="507"/>
      <c r="H1162" s="511"/>
      <c r="I1162" s="512"/>
      <c r="J1162" s="518"/>
      <c r="K1162" s="510"/>
      <c r="L1162" s="510"/>
      <c r="M1162" s="548"/>
      <c r="N1162" s="514">
        <f>LANÇ_MOV[[#This Row],[VALOR BRUTO]]-LANÇ_MOV[[#This Row],[DESCONTO]]+LANÇ_MOV[[#This Row],[JUROS]]+LANÇ_MOV[[#This Row],[MULTA]]</f>
        <v>0</v>
      </c>
      <c r="O1162" s="546"/>
      <c r="P1162" s="547" t="str">
        <f t="shared" ca="1" si="18"/>
        <v/>
      </c>
      <c r="Q1162" s="528"/>
      <c r="R1162" s="529"/>
      <c r="S1162" s="518"/>
      <c r="T1162" s="518"/>
      <c r="U1162" s="519"/>
      <c r="V1162" s="520" t="str">
        <f>IFERROR(VLOOKUP(LANÇ_MOV[[#This Row],[PLANO DE CONTAS]],Plano_Contas[[PLANO DE CONTAS]:[R / D]],3,0),"")</f>
        <v/>
      </c>
      <c r="W1162" s="521" t="str">
        <f>IF(LANÇ_MOV[[#This Row],[DATA DE PAGAMENTO]]&lt;&gt;"","Pago","Não Pago")</f>
        <v>Não Pago</v>
      </c>
      <c r="X1162" s="522" t="str">
        <f>IFERROR(IF(LANÇ_MOV[[#This Row],[DATA DE PAGAMENTO]]="","",(UPPER(TEXT(LANÇ_MOV[[#This Row],[DATA DE PAGAMENTO]],"mmmm")))),"")</f>
        <v/>
      </c>
      <c r="Y1162" s="523" t="str">
        <f>IFERROR(VLOOKUP(LANÇ_MOV[[#This Row],[PLANO DE CONTAS]],Plano_Contas[[PLANO DE CONTAS]:[NOMES INTERVALOS]],2,0),"")</f>
        <v/>
      </c>
      <c r="Z1162" s="523" t="str">
        <f>IF(LANÇ_MOV[[#This Row],[FORMA DE PAGAMENTO]]="","",VLOOKUP(LANÇ_MOV[[#This Row],[FORMA DE PAGAMENTO]],CAD_Forma_pagto[],2,0))</f>
        <v/>
      </c>
      <c r="AA1162" s="524" t="str">
        <f>IF(LANÇ_MOV[[#This Row],[DATA DE LANÇAMENTO]]="","",TEXT(LANÇ_MOV[[#This Row],[DATA DE LANÇAMENTO]],"AAAA"))</f>
        <v/>
      </c>
      <c r="AB1162" s="524" t="str">
        <f>IF(LANÇ_MOV[[#This Row],[DATA DE LANÇAMENTO]]="","",UPPER(TEXT(LANÇ_MOV[[#This Row],[DATA DE LANÇAMENTO]],"MMMM")))</f>
        <v/>
      </c>
      <c r="AC1162" s="525" t="str">
        <f>IF(LANÇ_MOV[[#This Row],[DATA DE LANÇAMENTO]]="","",PROPER(TEXT(LANÇ_MOV[[#This Row],[DATA DE LANÇAMENTO]],"M")))</f>
        <v/>
      </c>
      <c r="AD1162" s="524" t="str">
        <f>IF(LANÇ_MOV[[#This Row],[DATA DE LANÇAMENTO]]="","",TEXT(LANÇ_MOV[[#This Row],[DATA DE LANÇAMENTO]],"D"))</f>
        <v/>
      </c>
      <c r="AE1162" s="526" t="str">
        <f>IF(LANÇ_MOV[[#This Row],[DATA DE VENCIMENTO]]="","",TEXT(LANÇ_MOV[[#This Row],[DATA DE VENCIMENTO]],"AAAA"))</f>
        <v/>
      </c>
      <c r="AF1162" s="526" t="str">
        <f>IF(LANÇ_MOV[[#This Row],[DATA DE VENCIMENTO]]="","",UPPER(TEXT(LANÇ_MOV[[#This Row],[DATA DE VENCIMENTO]],"MMMM")))</f>
        <v/>
      </c>
      <c r="AG1162" s="526" t="str">
        <f>IF(LANÇ_MOV[[#This Row],[DATA DE VENCIMENTO]]="","",TEXT(LANÇ_MOV[[#This Row],[DATA DE VENCIMENTO]],"M"))</f>
        <v/>
      </c>
      <c r="AH1162" s="526" t="str">
        <f>IF(LANÇ_MOV[[#This Row],[DATA DE VENCIMENTO]]="","",TEXT(LANÇ_MOV[[#This Row],[DATA DE VENCIMENTO]],"D"))</f>
        <v/>
      </c>
      <c r="AI1162" s="526" t="str">
        <f>IF(LANÇ_MOV[[#This Row],[DATA DE PAGAMENTO]]="","",TEXT(LANÇ_MOV[[#This Row],[DATA DE PAGAMENTO]],"AAAA"))</f>
        <v/>
      </c>
      <c r="AJ1162" s="527" t="str">
        <f>IF(LANÇ_MOV[[#This Row],[DATA DE PAGAMENTO]]="","",UPPER(TEXT(LANÇ_MOV[[#This Row],[DATA DE PAGAMENTO]],"MMMM")))</f>
        <v/>
      </c>
      <c r="AK1162" s="527" t="str">
        <f>IF(LANÇ_MOV[[#This Row],[DATA DE PAGAMENTO]]="","",TEXT(LANÇ_MOV[[#This Row],[DATA DE PAGAMENTO]],"M"))</f>
        <v/>
      </c>
      <c r="AL1162" s="526" t="str">
        <f>IF(LANÇ_MOV[[#This Row],[DATA DE PAGAMENTO]]="","",TEXT(LANÇ_MOV[[#This Row],[DATA DE PAGAMENTO]],"D"))</f>
        <v/>
      </c>
    </row>
    <row r="1163" spans="2:38" ht="30.05" customHeight="1" x14ac:dyDescent="0.35">
      <c r="B1163" s="506"/>
      <c r="C1163" s="507"/>
      <c r="D1163" s="508" t="s">
        <v>1854</v>
      </c>
      <c r="E1163" s="509"/>
      <c r="F1163" s="510"/>
      <c r="G1163" s="507"/>
      <c r="H1163" s="511"/>
      <c r="I1163" s="512"/>
      <c r="J1163" s="518"/>
      <c r="K1163" s="510"/>
      <c r="L1163" s="510"/>
      <c r="M1163" s="548"/>
      <c r="N1163" s="514">
        <f>LANÇ_MOV[[#This Row],[VALOR BRUTO]]-LANÇ_MOV[[#This Row],[DESCONTO]]+LANÇ_MOV[[#This Row],[JUROS]]+LANÇ_MOV[[#This Row],[MULTA]]</f>
        <v>0</v>
      </c>
      <c r="O1163" s="546"/>
      <c r="P1163" s="547" t="str">
        <f t="shared" ca="1" si="18"/>
        <v/>
      </c>
      <c r="Q1163" s="528"/>
      <c r="R1163" s="529"/>
      <c r="S1163" s="518"/>
      <c r="T1163" s="518"/>
      <c r="U1163" s="519"/>
      <c r="V1163" s="520" t="str">
        <f>IFERROR(VLOOKUP(LANÇ_MOV[[#This Row],[PLANO DE CONTAS]],Plano_Contas[[PLANO DE CONTAS]:[R / D]],3,0),"")</f>
        <v/>
      </c>
      <c r="W1163" s="521" t="str">
        <f>IF(LANÇ_MOV[[#This Row],[DATA DE PAGAMENTO]]&lt;&gt;"","Pago","Não Pago")</f>
        <v>Não Pago</v>
      </c>
      <c r="X1163" s="522" t="str">
        <f>IFERROR(IF(LANÇ_MOV[[#This Row],[DATA DE PAGAMENTO]]="","",(UPPER(TEXT(LANÇ_MOV[[#This Row],[DATA DE PAGAMENTO]],"mmmm")))),"")</f>
        <v/>
      </c>
      <c r="Y1163" s="523" t="str">
        <f>IFERROR(VLOOKUP(LANÇ_MOV[[#This Row],[PLANO DE CONTAS]],Plano_Contas[[PLANO DE CONTAS]:[NOMES INTERVALOS]],2,0),"")</f>
        <v/>
      </c>
      <c r="Z1163" s="523" t="str">
        <f>IF(LANÇ_MOV[[#This Row],[FORMA DE PAGAMENTO]]="","",VLOOKUP(LANÇ_MOV[[#This Row],[FORMA DE PAGAMENTO]],CAD_Forma_pagto[],2,0))</f>
        <v/>
      </c>
      <c r="AA1163" s="524" t="str">
        <f>IF(LANÇ_MOV[[#This Row],[DATA DE LANÇAMENTO]]="","",TEXT(LANÇ_MOV[[#This Row],[DATA DE LANÇAMENTO]],"AAAA"))</f>
        <v/>
      </c>
      <c r="AB1163" s="524" t="str">
        <f>IF(LANÇ_MOV[[#This Row],[DATA DE LANÇAMENTO]]="","",UPPER(TEXT(LANÇ_MOV[[#This Row],[DATA DE LANÇAMENTO]],"MMMM")))</f>
        <v/>
      </c>
      <c r="AC1163" s="525" t="str">
        <f>IF(LANÇ_MOV[[#This Row],[DATA DE LANÇAMENTO]]="","",PROPER(TEXT(LANÇ_MOV[[#This Row],[DATA DE LANÇAMENTO]],"M")))</f>
        <v/>
      </c>
      <c r="AD1163" s="524" t="str">
        <f>IF(LANÇ_MOV[[#This Row],[DATA DE LANÇAMENTO]]="","",TEXT(LANÇ_MOV[[#This Row],[DATA DE LANÇAMENTO]],"D"))</f>
        <v/>
      </c>
      <c r="AE1163" s="526" t="str">
        <f>IF(LANÇ_MOV[[#This Row],[DATA DE VENCIMENTO]]="","",TEXT(LANÇ_MOV[[#This Row],[DATA DE VENCIMENTO]],"AAAA"))</f>
        <v/>
      </c>
      <c r="AF1163" s="526" t="str">
        <f>IF(LANÇ_MOV[[#This Row],[DATA DE VENCIMENTO]]="","",UPPER(TEXT(LANÇ_MOV[[#This Row],[DATA DE VENCIMENTO]],"MMMM")))</f>
        <v/>
      </c>
      <c r="AG1163" s="526" t="str">
        <f>IF(LANÇ_MOV[[#This Row],[DATA DE VENCIMENTO]]="","",TEXT(LANÇ_MOV[[#This Row],[DATA DE VENCIMENTO]],"M"))</f>
        <v/>
      </c>
      <c r="AH1163" s="526" t="str">
        <f>IF(LANÇ_MOV[[#This Row],[DATA DE VENCIMENTO]]="","",TEXT(LANÇ_MOV[[#This Row],[DATA DE VENCIMENTO]],"D"))</f>
        <v/>
      </c>
      <c r="AI1163" s="526" t="str">
        <f>IF(LANÇ_MOV[[#This Row],[DATA DE PAGAMENTO]]="","",TEXT(LANÇ_MOV[[#This Row],[DATA DE PAGAMENTO]],"AAAA"))</f>
        <v/>
      </c>
      <c r="AJ1163" s="527" t="str">
        <f>IF(LANÇ_MOV[[#This Row],[DATA DE PAGAMENTO]]="","",UPPER(TEXT(LANÇ_MOV[[#This Row],[DATA DE PAGAMENTO]],"MMMM")))</f>
        <v/>
      </c>
      <c r="AK1163" s="527" t="str">
        <f>IF(LANÇ_MOV[[#This Row],[DATA DE PAGAMENTO]]="","",TEXT(LANÇ_MOV[[#This Row],[DATA DE PAGAMENTO]],"M"))</f>
        <v/>
      </c>
      <c r="AL1163" s="526" t="str">
        <f>IF(LANÇ_MOV[[#This Row],[DATA DE PAGAMENTO]]="","",TEXT(LANÇ_MOV[[#This Row],[DATA DE PAGAMENTO]],"D"))</f>
        <v/>
      </c>
    </row>
    <row r="1164" spans="2:38" ht="30.05" customHeight="1" x14ac:dyDescent="0.35">
      <c r="B1164" s="506"/>
      <c r="C1164" s="507"/>
      <c r="D1164" s="508" t="s">
        <v>1854</v>
      </c>
      <c r="E1164" s="509"/>
      <c r="F1164" s="510"/>
      <c r="G1164" s="507"/>
      <c r="H1164" s="511"/>
      <c r="I1164" s="512"/>
      <c r="J1164" s="518"/>
      <c r="K1164" s="510"/>
      <c r="L1164" s="510"/>
      <c r="M1164" s="548"/>
      <c r="N1164" s="514">
        <f>LANÇ_MOV[[#This Row],[VALOR BRUTO]]-LANÇ_MOV[[#This Row],[DESCONTO]]+LANÇ_MOV[[#This Row],[JUROS]]+LANÇ_MOV[[#This Row],[MULTA]]</f>
        <v>0</v>
      </c>
      <c r="O1164" s="546"/>
      <c r="P1164" s="547" t="str">
        <f t="shared" ca="1" si="18"/>
        <v/>
      </c>
      <c r="Q1164" s="528"/>
      <c r="R1164" s="529"/>
      <c r="S1164" s="518"/>
      <c r="T1164" s="518"/>
      <c r="U1164" s="519"/>
      <c r="V1164" s="520" t="str">
        <f>IFERROR(VLOOKUP(LANÇ_MOV[[#This Row],[PLANO DE CONTAS]],Plano_Contas[[PLANO DE CONTAS]:[R / D]],3,0),"")</f>
        <v/>
      </c>
      <c r="W1164" s="521" t="str">
        <f>IF(LANÇ_MOV[[#This Row],[DATA DE PAGAMENTO]]&lt;&gt;"","Pago","Não Pago")</f>
        <v>Não Pago</v>
      </c>
      <c r="X1164" s="522" t="str">
        <f>IFERROR(IF(LANÇ_MOV[[#This Row],[DATA DE PAGAMENTO]]="","",(UPPER(TEXT(LANÇ_MOV[[#This Row],[DATA DE PAGAMENTO]],"mmmm")))),"")</f>
        <v/>
      </c>
      <c r="Y1164" s="523" t="str">
        <f>IFERROR(VLOOKUP(LANÇ_MOV[[#This Row],[PLANO DE CONTAS]],Plano_Contas[[PLANO DE CONTAS]:[NOMES INTERVALOS]],2,0),"")</f>
        <v/>
      </c>
      <c r="Z1164" s="523" t="str">
        <f>IF(LANÇ_MOV[[#This Row],[FORMA DE PAGAMENTO]]="","",VLOOKUP(LANÇ_MOV[[#This Row],[FORMA DE PAGAMENTO]],CAD_Forma_pagto[],2,0))</f>
        <v/>
      </c>
      <c r="AA1164" s="524" t="str">
        <f>IF(LANÇ_MOV[[#This Row],[DATA DE LANÇAMENTO]]="","",TEXT(LANÇ_MOV[[#This Row],[DATA DE LANÇAMENTO]],"AAAA"))</f>
        <v/>
      </c>
      <c r="AB1164" s="524" t="str">
        <f>IF(LANÇ_MOV[[#This Row],[DATA DE LANÇAMENTO]]="","",UPPER(TEXT(LANÇ_MOV[[#This Row],[DATA DE LANÇAMENTO]],"MMMM")))</f>
        <v/>
      </c>
      <c r="AC1164" s="525" t="str">
        <f>IF(LANÇ_MOV[[#This Row],[DATA DE LANÇAMENTO]]="","",PROPER(TEXT(LANÇ_MOV[[#This Row],[DATA DE LANÇAMENTO]],"M")))</f>
        <v/>
      </c>
      <c r="AD1164" s="524" t="str">
        <f>IF(LANÇ_MOV[[#This Row],[DATA DE LANÇAMENTO]]="","",TEXT(LANÇ_MOV[[#This Row],[DATA DE LANÇAMENTO]],"D"))</f>
        <v/>
      </c>
      <c r="AE1164" s="526" t="str">
        <f>IF(LANÇ_MOV[[#This Row],[DATA DE VENCIMENTO]]="","",TEXT(LANÇ_MOV[[#This Row],[DATA DE VENCIMENTO]],"AAAA"))</f>
        <v/>
      </c>
      <c r="AF1164" s="526" t="str">
        <f>IF(LANÇ_MOV[[#This Row],[DATA DE VENCIMENTO]]="","",UPPER(TEXT(LANÇ_MOV[[#This Row],[DATA DE VENCIMENTO]],"MMMM")))</f>
        <v/>
      </c>
      <c r="AG1164" s="526" t="str">
        <f>IF(LANÇ_MOV[[#This Row],[DATA DE VENCIMENTO]]="","",TEXT(LANÇ_MOV[[#This Row],[DATA DE VENCIMENTO]],"M"))</f>
        <v/>
      </c>
      <c r="AH1164" s="526" t="str">
        <f>IF(LANÇ_MOV[[#This Row],[DATA DE VENCIMENTO]]="","",TEXT(LANÇ_MOV[[#This Row],[DATA DE VENCIMENTO]],"D"))</f>
        <v/>
      </c>
      <c r="AI1164" s="526" t="str">
        <f>IF(LANÇ_MOV[[#This Row],[DATA DE PAGAMENTO]]="","",TEXT(LANÇ_MOV[[#This Row],[DATA DE PAGAMENTO]],"AAAA"))</f>
        <v/>
      </c>
      <c r="AJ1164" s="527" t="str">
        <f>IF(LANÇ_MOV[[#This Row],[DATA DE PAGAMENTO]]="","",UPPER(TEXT(LANÇ_MOV[[#This Row],[DATA DE PAGAMENTO]],"MMMM")))</f>
        <v/>
      </c>
      <c r="AK1164" s="527" t="str">
        <f>IF(LANÇ_MOV[[#This Row],[DATA DE PAGAMENTO]]="","",TEXT(LANÇ_MOV[[#This Row],[DATA DE PAGAMENTO]],"M"))</f>
        <v/>
      </c>
      <c r="AL1164" s="526" t="str">
        <f>IF(LANÇ_MOV[[#This Row],[DATA DE PAGAMENTO]]="","",TEXT(LANÇ_MOV[[#This Row],[DATA DE PAGAMENTO]],"D"))</f>
        <v/>
      </c>
    </row>
    <row r="1165" spans="2:38" ht="30.05" customHeight="1" x14ac:dyDescent="0.35">
      <c r="B1165" s="506"/>
      <c r="C1165" s="507"/>
      <c r="D1165" s="508" t="s">
        <v>1854</v>
      </c>
      <c r="E1165" s="509"/>
      <c r="F1165" s="510"/>
      <c r="G1165" s="507"/>
      <c r="H1165" s="511"/>
      <c r="I1165" s="512"/>
      <c r="J1165" s="518"/>
      <c r="K1165" s="510"/>
      <c r="L1165" s="510"/>
      <c r="M1165" s="548"/>
      <c r="N1165" s="514">
        <f>LANÇ_MOV[[#This Row],[VALOR BRUTO]]-LANÇ_MOV[[#This Row],[DESCONTO]]+LANÇ_MOV[[#This Row],[JUROS]]+LANÇ_MOV[[#This Row],[MULTA]]</f>
        <v>0</v>
      </c>
      <c r="O1165" s="546"/>
      <c r="P1165" s="547" t="str">
        <f t="shared" ca="1" si="18"/>
        <v/>
      </c>
      <c r="Q1165" s="528"/>
      <c r="R1165" s="529"/>
      <c r="S1165" s="518"/>
      <c r="T1165" s="518"/>
      <c r="U1165" s="519"/>
      <c r="V1165" s="520" t="str">
        <f>IFERROR(VLOOKUP(LANÇ_MOV[[#This Row],[PLANO DE CONTAS]],Plano_Contas[[PLANO DE CONTAS]:[R / D]],3,0),"")</f>
        <v/>
      </c>
      <c r="W1165" s="521" t="str">
        <f>IF(LANÇ_MOV[[#This Row],[DATA DE PAGAMENTO]]&lt;&gt;"","Pago","Não Pago")</f>
        <v>Não Pago</v>
      </c>
      <c r="X1165" s="522" t="str">
        <f>IFERROR(IF(LANÇ_MOV[[#This Row],[DATA DE PAGAMENTO]]="","",(UPPER(TEXT(LANÇ_MOV[[#This Row],[DATA DE PAGAMENTO]],"mmmm")))),"")</f>
        <v/>
      </c>
      <c r="Y1165" s="523" t="str">
        <f>IFERROR(VLOOKUP(LANÇ_MOV[[#This Row],[PLANO DE CONTAS]],Plano_Contas[[PLANO DE CONTAS]:[NOMES INTERVALOS]],2,0),"")</f>
        <v/>
      </c>
      <c r="Z1165" s="523" t="str">
        <f>IF(LANÇ_MOV[[#This Row],[FORMA DE PAGAMENTO]]="","",VLOOKUP(LANÇ_MOV[[#This Row],[FORMA DE PAGAMENTO]],CAD_Forma_pagto[],2,0))</f>
        <v/>
      </c>
      <c r="AA1165" s="524" t="str">
        <f>IF(LANÇ_MOV[[#This Row],[DATA DE LANÇAMENTO]]="","",TEXT(LANÇ_MOV[[#This Row],[DATA DE LANÇAMENTO]],"AAAA"))</f>
        <v/>
      </c>
      <c r="AB1165" s="524" t="str">
        <f>IF(LANÇ_MOV[[#This Row],[DATA DE LANÇAMENTO]]="","",UPPER(TEXT(LANÇ_MOV[[#This Row],[DATA DE LANÇAMENTO]],"MMMM")))</f>
        <v/>
      </c>
      <c r="AC1165" s="525" t="str">
        <f>IF(LANÇ_MOV[[#This Row],[DATA DE LANÇAMENTO]]="","",PROPER(TEXT(LANÇ_MOV[[#This Row],[DATA DE LANÇAMENTO]],"M")))</f>
        <v/>
      </c>
      <c r="AD1165" s="524" t="str">
        <f>IF(LANÇ_MOV[[#This Row],[DATA DE LANÇAMENTO]]="","",TEXT(LANÇ_MOV[[#This Row],[DATA DE LANÇAMENTO]],"D"))</f>
        <v/>
      </c>
      <c r="AE1165" s="526" t="str">
        <f>IF(LANÇ_MOV[[#This Row],[DATA DE VENCIMENTO]]="","",TEXT(LANÇ_MOV[[#This Row],[DATA DE VENCIMENTO]],"AAAA"))</f>
        <v/>
      </c>
      <c r="AF1165" s="526" t="str">
        <f>IF(LANÇ_MOV[[#This Row],[DATA DE VENCIMENTO]]="","",UPPER(TEXT(LANÇ_MOV[[#This Row],[DATA DE VENCIMENTO]],"MMMM")))</f>
        <v/>
      </c>
      <c r="AG1165" s="526" t="str">
        <f>IF(LANÇ_MOV[[#This Row],[DATA DE VENCIMENTO]]="","",TEXT(LANÇ_MOV[[#This Row],[DATA DE VENCIMENTO]],"M"))</f>
        <v/>
      </c>
      <c r="AH1165" s="526" t="str">
        <f>IF(LANÇ_MOV[[#This Row],[DATA DE VENCIMENTO]]="","",TEXT(LANÇ_MOV[[#This Row],[DATA DE VENCIMENTO]],"D"))</f>
        <v/>
      </c>
      <c r="AI1165" s="526" t="str">
        <f>IF(LANÇ_MOV[[#This Row],[DATA DE PAGAMENTO]]="","",TEXT(LANÇ_MOV[[#This Row],[DATA DE PAGAMENTO]],"AAAA"))</f>
        <v/>
      </c>
      <c r="AJ1165" s="527" t="str">
        <f>IF(LANÇ_MOV[[#This Row],[DATA DE PAGAMENTO]]="","",UPPER(TEXT(LANÇ_MOV[[#This Row],[DATA DE PAGAMENTO]],"MMMM")))</f>
        <v/>
      </c>
      <c r="AK1165" s="527" t="str">
        <f>IF(LANÇ_MOV[[#This Row],[DATA DE PAGAMENTO]]="","",TEXT(LANÇ_MOV[[#This Row],[DATA DE PAGAMENTO]],"M"))</f>
        <v/>
      </c>
      <c r="AL1165" s="526" t="str">
        <f>IF(LANÇ_MOV[[#This Row],[DATA DE PAGAMENTO]]="","",TEXT(LANÇ_MOV[[#This Row],[DATA DE PAGAMENTO]],"D"))</f>
        <v/>
      </c>
    </row>
    <row r="1166" spans="2:38" ht="30.05" customHeight="1" x14ac:dyDescent="0.35">
      <c r="B1166" s="506"/>
      <c r="C1166" s="507"/>
      <c r="D1166" s="508" t="s">
        <v>1854</v>
      </c>
      <c r="E1166" s="509"/>
      <c r="F1166" s="510"/>
      <c r="G1166" s="507"/>
      <c r="H1166" s="511"/>
      <c r="I1166" s="512"/>
      <c r="J1166" s="518"/>
      <c r="K1166" s="510"/>
      <c r="L1166" s="510"/>
      <c r="M1166" s="548"/>
      <c r="N1166" s="514">
        <f>LANÇ_MOV[[#This Row],[VALOR BRUTO]]-LANÇ_MOV[[#This Row],[DESCONTO]]+LANÇ_MOV[[#This Row],[JUROS]]+LANÇ_MOV[[#This Row],[MULTA]]</f>
        <v>0</v>
      </c>
      <c r="O1166" s="546"/>
      <c r="P1166" s="547" t="str">
        <f t="shared" ca="1" si="18"/>
        <v/>
      </c>
      <c r="Q1166" s="528"/>
      <c r="R1166" s="529"/>
      <c r="S1166" s="518"/>
      <c r="T1166" s="518"/>
      <c r="U1166" s="519"/>
      <c r="V1166" s="520" t="str">
        <f>IFERROR(VLOOKUP(LANÇ_MOV[[#This Row],[PLANO DE CONTAS]],Plano_Contas[[PLANO DE CONTAS]:[R / D]],3,0),"")</f>
        <v/>
      </c>
      <c r="W1166" s="521" t="str">
        <f>IF(LANÇ_MOV[[#This Row],[DATA DE PAGAMENTO]]&lt;&gt;"","Pago","Não Pago")</f>
        <v>Não Pago</v>
      </c>
      <c r="X1166" s="522" t="str">
        <f>IFERROR(IF(LANÇ_MOV[[#This Row],[DATA DE PAGAMENTO]]="","",(UPPER(TEXT(LANÇ_MOV[[#This Row],[DATA DE PAGAMENTO]],"mmmm")))),"")</f>
        <v/>
      </c>
      <c r="Y1166" s="523" t="str">
        <f>IFERROR(VLOOKUP(LANÇ_MOV[[#This Row],[PLANO DE CONTAS]],Plano_Contas[[PLANO DE CONTAS]:[NOMES INTERVALOS]],2,0),"")</f>
        <v/>
      </c>
      <c r="Z1166" s="523" t="str">
        <f>IF(LANÇ_MOV[[#This Row],[FORMA DE PAGAMENTO]]="","",VLOOKUP(LANÇ_MOV[[#This Row],[FORMA DE PAGAMENTO]],CAD_Forma_pagto[],2,0))</f>
        <v/>
      </c>
      <c r="AA1166" s="524" t="str">
        <f>IF(LANÇ_MOV[[#This Row],[DATA DE LANÇAMENTO]]="","",TEXT(LANÇ_MOV[[#This Row],[DATA DE LANÇAMENTO]],"AAAA"))</f>
        <v/>
      </c>
      <c r="AB1166" s="524" t="str">
        <f>IF(LANÇ_MOV[[#This Row],[DATA DE LANÇAMENTO]]="","",UPPER(TEXT(LANÇ_MOV[[#This Row],[DATA DE LANÇAMENTO]],"MMMM")))</f>
        <v/>
      </c>
      <c r="AC1166" s="525" t="str">
        <f>IF(LANÇ_MOV[[#This Row],[DATA DE LANÇAMENTO]]="","",PROPER(TEXT(LANÇ_MOV[[#This Row],[DATA DE LANÇAMENTO]],"M")))</f>
        <v/>
      </c>
      <c r="AD1166" s="524" t="str">
        <f>IF(LANÇ_MOV[[#This Row],[DATA DE LANÇAMENTO]]="","",TEXT(LANÇ_MOV[[#This Row],[DATA DE LANÇAMENTO]],"D"))</f>
        <v/>
      </c>
      <c r="AE1166" s="526" t="str">
        <f>IF(LANÇ_MOV[[#This Row],[DATA DE VENCIMENTO]]="","",TEXT(LANÇ_MOV[[#This Row],[DATA DE VENCIMENTO]],"AAAA"))</f>
        <v/>
      </c>
      <c r="AF1166" s="526" t="str">
        <f>IF(LANÇ_MOV[[#This Row],[DATA DE VENCIMENTO]]="","",UPPER(TEXT(LANÇ_MOV[[#This Row],[DATA DE VENCIMENTO]],"MMMM")))</f>
        <v/>
      </c>
      <c r="AG1166" s="526" t="str">
        <f>IF(LANÇ_MOV[[#This Row],[DATA DE VENCIMENTO]]="","",TEXT(LANÇ_MOV[[#This Row],[DATA DE VENCIMENTO]],"M"))</f>
        <v/>
      </c>
      <c r="AH1166" s="526" t="str">
        <f>IF(LANÇ_MOV[[#This Row],[DATA DE VENCIMENTO]]="","",TEXT(LANÇ_MOV[[#This Row],[DATA DE VENCIMENTO]],"D"))</f>
        <v/>
      </c>
      <c r="AI1166" s="526" t="str">
        <f>IF(LANÇ_MOV[[#This Row],[DATA DE PAGAMENTO]]="","",TEXT(LANÇ_MOV[[#This Row],[DATA DE PAGAMENTO]],"AAAA"))</f>
        <v/>
      </c>
      <c r="AJ1166" s="527" t="str">
        <f>IF(LANÇ_MOV[[#This Row],[DATA DE PAGAMENTO]]="","",UPPER(TEXT(LANÇ_MOV[[#This Row],[DATA DE PAGAMENTO]],"MMMM")))</f>
        <v/>
      </c>
      <c r="AK1166" s="527" t="str">
        <f>IF(LANÇ_MOV[[#This Row],[DATA DE PAGAMENTO]]="","",TEXT(LANÇ_MOV[[#This Row],[DATA DE PAGAMENTO]],"M"))</f>
        <v/>
      </c>
      <c r="AL1166" s="526" t="str">
        <f>IF(LANÇ_MOV[[#This Row],[DATA DE PAGAMENTO]]="","",TEXT(LANÇ_MOV[[#This Row],[DATA DE PAGAMENTO]],"D"))</f>
        <v/>
      </c>
    </row>
    <row r="1167" spans="2:38" ht="30.05" customHeight="1" x14ac:dyDescent="0.35">
      <c r="B1167" s="506"/>
      <c r="C1167" s="507"/>
      <c r="D1167" s="508" t="s">
        <v>1854</v>
      </c>
      <c r="E1167" s="509"/>
      <c r="F1167" s="510"/>
      <c r="G1167" s="507"/>
      <c r="H1167" s="511"/>
      <c r="I1167" s="512"/>
      <c r="J1167" s="518"/>
      <c r="K1167" s="510"/>
      <c r="L1167" s="510"/>
      <c r="M1167" s="548"/>
      <c r="N1167" s="514">
        <f>LANÇ_MOV[[#This Row],[VALOR BRUTO]]-LANÇ_MOV[[#This Row],[DESCONTO]]+LANÇ_MOV[[#This Row],[JUROS]]+LANÇ_MOV[[#This Row],[MULTA]]</f>
        <v>0</v>
      </c>
      <c r="O1167" s="546"/>
      <c r="P1167" s="547" t="str">
        <f t="shared" ca="1" si="18"/>
        <v/>
      </c>
      <c r="Q1167" s="528"/>
      <c r="R1167" s="529"/>
      <c r="S1167" s="518"/>
      <c r="T1167" s="518"/>
      <c r="U1167" s="519"/>
      <c r="V1167" s="520" t="str">
        <f>IFERROR(VLOOKUP(LANÇ_MOV[[#This Row],[PLANO DE CONTAS]],Plano_Contas[[PLANO DE CONTAS]:[R / D]],3,0),"")</f>
        <v/>
      </c>
      <c r="W1167" s="521" t="str">
        <f>IF(LANÇ_MOV[[#This Row],[DATA DE PAGAMENTO]]&lt;&gt;"","Pago","Não Pago")</f>
        <v>Não Pago</v>
      </c>
      <c r="X1167" s="522" t="str">
        <f>IFERROR(IF(LANÇ_MOV[[#This Row],[DATA DE PAGAMENTO]]="","",(UPPER(TEXT(LANÇ_MOV[[#This Row],[DATA DE PAGAMENTO]],"mmmm")))),"")</f>
        <v/>
      </c>
      <c r="Y1167" s="523" t="str">
        <f>IFERROR(VLOOKUP(LANÇ_MOV[[#This Row],[PLANO DE CONTAS]],Plano_Contas[[PLANO DE CONTAS]:[NOMES INTERVALOS]],2,0),"")</f>
        <v/>
      </c>
      <c r="Z1167" s="523" t="str">
        <f>IF(LANÇ_MOV[[#This Row],[FORMA DE PAGAMENTO]]="","",VLOOKUP(LANÇ_MOV[[#This Row],[FORMA DE PAGAMENTO]],CAD_Forma_pagto[],2,0))</f>
        <v/>
      </c>
      <c r="AA1167" s="524" t="str">
        <f>IF(LANÇ_MOV[[#This Row],[DATA DE LANÇAMENTO]]="","",TEXT(LANÇ_MOV[[#This Row],[DATA DE LANÇAMENTO]],"AAAA"))</f>
        <v/>
      </c>
      <c r="AB1167" s="524" t="str">
        <f>IF(LANÇ_MOV[[#This Row],[DATA DE LANÇAMENTO]]="","",UPPER(TEXT(LANÇ_MOV[[#This Row],[DATA DE LANÇAMENTO]],"MMMM")))</f>
        <v/>
      </c>
      <c r="AC1167" s="525" t="str">
        <f>IF(LANÇ_MOV[[#This Row],[DATA DE LANÇAMENTO]]="","",PROPER(TEXT(LANÇ_MOV[[#This Row],[DATA DE LANÇAMENTO]],"M")))</f>
        <v/>
      </c>
      <c r="AD1167" s="524" t="str">
        <f>IF(LANÇ_MOV[[#This Row],[DATA DE LANÇAMENTO]]="","",TEXT(LANÇ_MOV[[#This Row],[DATA DE LANÇAMENTO]],"D"))</f>
        <v/>
      </c>
      <c r="AE1167" s="526" t="str">
        <f>IF(LANÇ_MOV[[#This Row],[DATA DE VENCIMENTO]]="","",TEXT(LANÇ_MOV[[#This Row],[DATA DE VENCIMENTO]],"AAAA"))</f>
        <v/>
      </c>
      <c r="AF1167" s="526" t="str">
        <f>IF(LANÇ_MOV[[#This Row],[DATA DE VENCIMENTO]]="","",UPPER(TEXT(LANÇ_MOV[[#This Row],[DATA DE VENCIMENTO]],"MMMM")))</f>
        <v/>
      </c>
      <c r="AG1167" s="526" t="str">
        <f>IF(LANÇ_MOV[[#This Row],[DATA DE VENCIMENTO]]="","",TEXT(LANÇ_MOV[[#This Row],[DATA DE VENCIMENTO]],"M"))</f>
        <v/>
      </c>
      <c r="AH1167" s="526" t="str">
        <f>IF(LANÇ_MOV[[#This Row],[DATA DE VENCIMENTO]]="","",TEXT(LANÇ_MOV[[#This Row],[DATA DE VENCIMENTO]],"D"))</f>
        <v/>
      </c>
      <c r="AI1167" s="526" t="str">
        <f>IF(LANÇ_MOV[[#This Row],[DATA DE PAGAMENTO]]="","",TEXT(LANÇ_MOV[[#This Row],[DATA DE PAGAMENTO]],"AAAA"))</f>
        <v/>
      </c>
      <c r="AJ1167" s="527" t="str">
        <f>IF(LANÇ_MOV[[#This Row],[DATA DE PAGAMENTO]]="","",UPPER(TEXT(LANÇ_MOV[[#This Row],[DATA DE PAGAMENTO]],"MMMM")))</f>
        <v/>
      </c>
      <c r="AK1167" s="527" t="str">
        <f>IF(LANÇ_MOV[[#This Row],[DATA DE PAGAMENTO]]="","",TEXT(LANÇ_MOV[[#This Row],[DATA DE PAGAMENTO]],"M"))</f>
        <v/>
      </c>
      <c r="AL1167" s="526" t="str">
        <f>IF(LANÇ_MOV[[#This Row],[DATA DE PAGAMENTO]]="","",TEXT(LANÇ_MOV[[#This Row],[DATA DE PAGAMENTO]],"D"))</f>
        <v/>
      </c>
    </row>
    <row r="1168" spans="2:38" ht="30.05" customHeight="1" x14ac:dyDescent="0.35">
      <c r="B1168" s="506"/>
      <c r="C1168" s="507"/>
      <c r="D1168" s="508" t="s">
        <v>1854</v>
      </c>
      <c r="E1168" s="509"/>
      <c r="F1168" s="510"/>
      <c r="G1168" s="507"/>
      <c r="H1168" s="511"/>
      <c r="I1168" s="512"/>
      <c r="J1168" s="518"/>
      <c r="K1168" s="510"/>
      <c r="L1168" s="510"/>
      <c r="M1168" s="548"/>
      <c r="N1168" s="514">
        <f>LANÇ_MOV[[#This Row],[VALOR BRUTO]]-LANÇ_MOV[[#This Row],[DESCONTO]]+LANÇ_MOV[[#This Row],[JUROS]]+LANÇ_MOV[[#This Row],[MULTA]]</f>
        <v>0</v>
      </c>
      <c r="O1168" s="546"/>
      <c r="P1168" s="547" t="str">
        <f t="shared" ca="1" si="18"/>
        <v/>
      </c>
      <c r="Q1168" s="528"/>
      <c r="R1168" s="529"/>
      <c r="S1168" s="518"/>
      <c r="T1168" s="518"/>
      <c r="U1168" s="519"/>
      <c r="V1168" s="520" t="str">
        <f>IFERROR(VLOOKUP(LANÇ_MOV[[#This Row],[PLANO DE CONTAS]],Plano_Contas[[PLANO DE CONTAS]:[R / D]],3,0),"")</f>
        <v/>
      </c>
      <c r="W1168" s="521" t="str">
        <f>IF(LANÇ_MOV[[#This Row],[DATA DE PAGAMENTO]]&lt;&gt;"","Pago","Não Pago")</f>
        <v>Não Pago</v>
      </c>
      <c r="X1168" s="522" t="str">
        <f>IFERROR(IF(LANÇ_MOV[[#This Row],[DATA DE PAGAMENTO]]="","",(UPPER(TEXT(LANÇ_MOV[[#This Row],[DATA DE PAGAMENTO]],"mmmm")))),"")</f>
        <v/>
      </c>
      <c r="Y1168" s="523" t="str">
        <f>IFERROR(VLOOKUP(LANÇ_MOV[[#This Row],[PLANO DE CONTAS]],Plano_Contas[[PLANO DE CONTAS]:[NOMES INTERVALOS]],2,0),"")</f>
        <v/>
      </c>
      <c r="Z1168" s="523" t="str">
        <f>IF(LANÇ_MOV[[#This Row],[FORMA DE PAGAMENTO]]="","",VLOOKUP(LANÇ_MOV[[#This Row],[FORMA DE PAGAMENTO]],CAD_Forma_pagto[],2,0))</f>
        <v/>
      </c>
      <c r="AA1168" s="524" t="str">
        <f>IF(LANÇ_MOV[[#This Row],[DATA DE LANÇAMENTO]]="","",TEXT(LANÇ_MOV[[#This Row],[DATA DE LANÇAMENTO]],"AAAA"))</f>
        <v/>
      </c>
      <c r="AB1168" s="524" t="str">
        <f>IF(LANÇ_MOV[[#This Row],[DATA DE LANÇAMENTO]]="","",UPPER(TEXT(LANÇ_MOV[[#This Row],[DATA DE LANÇAMENTO]],"MMMM")))</f>
        <v/>
      </c>
      <c r="AC1168" s="525" t="str">
        <f>IF(LANÇ_MOV[[#This Row],[DATA DE LANÇAMENTO]]="","",PROPER(TEXT(LANÇ_MOV[[#This Row],[DATA DE LANÇAMENTO]],"M")))</f>
        <v/>
      </c>
      <c r="AD1168" s="524" t="str">
        <f>IF(LANÇ_MOV[[#This Row],[DATA DE LANÇAMENTO]]="","",TEXT(LANÇ_MOV[[#This Row],[DATA DE LANÇAMENTO]],"D"))</f>
        <v/>
      </c>
      <c r="AE1168" s="526" t="str">
        <f>IF(LANÇ_MOV[[#This Row],[DATA DE VENCIMENTO]]="","",TEXT(LANÇ_MOV[[#This Row],[DATA DE VENCIMENTO]],"AAAA"))</f>
        <v/>
      </c>
      <c r="AF1168" s="526" t="str">
        <f>IF(LANÇ_MOV[[#This Row],[DATA DE VENCIMENTO]]="","",UPPER(TEXT(LANÇ_MOV[[#This Row],[DATA DE VENCIMENTO]],"MMMM")))</f>
        <v/>
      </c>
      <c r="AG1168" s="526" t="str">
        <f>IF(LANÇ_MOV[[#This Row],[DATA DE VENCIMENTO]]="","",TEXT(LANÇ_MOV[[#This Row],[DATA DE VENCIMENTO]],"M"))</f>
        <v/>
      </c>
      <c r="AH1168" s="526" t="str">
        <f>IF(LANÇ_MOV[[#This Row],[DATA DE VENCIMENTO]]="","",TEXT(LANÇ_MOV[[#This Row],[DATA DE VENCIMENTO]],"D"))</f>
        <v/>
      </c>
      <c r="AI1168" s="526" t="str">
        <f>IF(LANÇ_MOV[[#This Row],[DATA DE PAGAMENTO]]="","",TEXT(LANÇ_MOV[[#This Row],[DATA DE PAGAMENTO]],"AAAA"))</f>
        <v/>
      </c>
      <c r="AJ1168" s="527" t="str">
        <f>IF(LANÇ_MOV[[#This Row],[DATA DE PAGAMENTO]]="","",UPPER(TEXT(LANÇ_MOV[[#This Row],[DATA DE PAGAMENTO]],"MMMM")))</f>
        <v/>
      </c>
      <c r="AK1168" s="527" t="str">
        <f>IF(LANÇ_MOV[[#This Row],[DATA DE PAGAMENTO]]="","",TEXT(LANÇ_MOV[[#This Row],[DATA DE PAGAMENTO]],"M"))</f>
        <v/>
      </c>
      <c r="AL1168" s="526" t="str">
        <f>IF(LANÇ_MOV[[#This Row],[DATA DE PAGAMENTO]]="","",TEXT(LANÇ_MOV[[#This Row],[DATA DE PAGAMENTO]],"D"))</f>
        <v/>
      </c>
    </row>
    <row r="1169" spans="2:38" ht="30.05" customHeight="1" x14ac:dyDescent="0.35">
      <c r="B1169" s="506"/>
      <c r="C1169" s="507"/>
      <c r="D1169" s="508" t="s">
        <v>1854</v>
      </c>
      <c r="E1169" s="509"/>
      <c r="F1169" s="510"/>
      <c r="G1169" s="507"/>
      <c r="H1169" s="511"/>
      <c r="I1169" s="512"/>
      <c r="J1169" s="518"/>
      <c r="K1169" s="510"/>
      <c r="L1169" s="510"/>
      <c r="M1169" s="548"/>
      <c r="N1169" s="514">
        <f>LANÇ_MOV[[#This Row],[VALOR BRUTO]]-LANÇ_MOV[[#This Row],[DESCONTO]]+LANÇ_MOV[[#This Row],[JUROS]]+LANÇ_MOV[[#This Row],[MULTA]]</f>
        <v>0</v>
      </c>
      <c r="O1169" s="546"/>
      <c r="P1169" s="547" t="str">
        <f t="shared" ca="1" si="18"/>
        <v/>
      </c>
      <c r="Q1169" s="528"/>
      <c r="R1169" s="529"/>
      <c r="S1169" s="518"/>
      <c r="T1169" s="518"/>
      <c r="U1169" s="519"/>
      <c r="V1169" s="520" t="str">
        <f>IFERROR(VLOOKUP(LANÇ_MOV[[#This Row],[PLANO DE CONTAS]],Plano_Contas[[PLANO DE CONTAS]:[R / D]],3,0),"")</f>
        <v/>
      </c>
      <c r="W1169" s="521" t="str">
        <f>IF(LANÇ_MOV[[#This Row],[DATA DE PAGAMENTO]]&lt;&gt;"","Pago","Não Pago")</f>
        <v>Não Pago</v>
      </c>
      <c r="X1169" s="522" t="str">
        <f>IFERROR(IF(LANÇ_MOV[[#This Row],[DATA DE PAGAMENTO]]="","",(UPPER(TEXT(LANÇ_MOV[[#This Row],[DATA DE PAGAMENTO]],"mmmm")))),"")</f>
        <v/>
      </c>
      <c r="Y1169" s="523" t="str">
        <f>IFERROR(VLOOKUP(LANÇ_MOV[[#This Row],[PLANO DE CONTAS]],Plano_Contas[[PLANO DE CONTAS]:[NOMES INTERVALOS]],2,0),"")</f>
        <v/>
      </c>
      <c r="Z1169" s="523" t="str">
        <f>IF(LANÇ_MOV[[#This Row],[FORMA DE PAGAMENTO]]="","",VLOOKUP(LANÇ_MOV[[#This Row],[FORMA DE PAGAMENTO]],CAD_Forma_pagto[],2,0))</f>
        <v/>
      </c>
      <c r="AA1169" s="524" t="str">
        <f>IF(LANÇ_MOV[[#This Row],[DATA DE LANÇAMENTO]]="","",TEXT(LANÇ_MOV[[#This Row],[DATA DE LANÇAMENTO]],"AAAA"))</f>
        <v/>
      </c>
      <c r="AB1169" s="524" t="str">
        <f>IF(LANÇ_MOV[[#This Row],[DATA DE LANÇAMENTO]]="","",UPPER(TEXT(LANÇ_MOV[[#This Row],[DATA DE LANÇAMENTO]],"MMMM")))</f>
        <v/>
      </c>
      <c r="AC1169" s="525" t="str">
        <f>IF(LANÇ_MOV[[#This Row],[DATA DE LANÇAMENTO]]="","",PROPER(TEXT(LANÇ_MOV[[#This Row],[DATA DE LANÇAMENTO]],"M")))</f>
        <v/>
      </c>
      <c r="AD1169" s="524" t="str">
        <f>IF(LANÇ_MOV[[#This Row],[DATA DE LANÇAMENTO]]="","",TEXT(LANÇ_MOV[[#This Row],[DATA DE LANÇAMENTO]],"D"))</f>
        <v/>
      </c>
      <c r="AE1169" s="526" t="str">
        <f>IF(LANÇ_MOV[[#This Row],[DATA DE VENCIMENTO]]="","",TEXT(LANÇ_MOV[[#This Row],[DATA DE VENCIMENTO]],"AAAA"))</f>
        <v/>
      </c>
      <c r="AF1169" s="526" t="str">
        <f>IF(LANÇ_MOV[[#This Row],[DATA DE VENCIMENTO]]="","",UPPER(TEXT(LANÇ_MOV[[#This Row],[DATA DE VENCIMENTO]],"MMMM")))</f>
        <v/>
      </c>
      <c r="AG1169" s="526" t="str">
        <f>IF(LANÇ_MOV[[#This Row],[DATA DE VENCIMENTO]]="","",TEXT(LANÇ_MOV[[#This Row],[DATA DE VENCIMENTO]],"M"))</f>
        <v/>
      </c>
      <c r="AH1169" s="526" t="str">
        <f>IF(LANÇ_MOV[[#This Row],[DATA DE VENCIMENTO]]="","",TEXT(LANÇ_MOV[[#This Row],[DATA DE VENCIMENTO]],"D"))</f>
        <v/>
      </c>
      <c r="AI1169" s="526" t="str">
        <f>IF(LANÇ_MOV[[#This Row],[DATA DE PAGAMENTO]]="","",TEXT(LANÇ_MOV[[#This Row],[DATA DE PAGAMENTO]],"AAAA"))</f>
        <v/>
      </c>
      <c r="AJ1169" s="527" t="str">
        <f>IF(LANÇ_MOV[[#This Row],[DATA DE PAGAMENTO]]="","",UPPER(TEXT(LANÇ_MOV[[#This Row],[DATA DE PAGAMENTO]],"MMMM")))</f>
        <v/>
      </c>
      <c r="AK1169" s="527" t="str">
        <f>IF(LANÇ_MOV[[#This Row],[DATA DE PAGAMENTO]]="","",TEXT(LANÇ_MOV[[#This Row],[DATA DE PAGAMENTO]],"M"))</f>
        <v/>
      </c>
      <c r="AL1169" s="526" t="str">
        <f>IF(LANÇ_MOV[[#This Row],[DATA DE PAGAMENTO]]="","",TEXT(LANÇ_MOV[[#This Row],[DATA DE PAGAMENTO]],"D"))</f>
        <v/>
      </c>
    </row>
    <row r="1170" spans="2:38" ht="30.05" customHeight="1" x14ac:dyDescent="0.35">
      <c r="B1170" s="506"/>
      <c r="C1170" s="507"/>
      <c r="D1170" s="508" t="s">
        <v>1854</v>
      </c>
      <c r="E1170" s="509"/>
      <c r="F1170" s="510"/>
      <c r="G1170" s="507"/>
      <c r="H1170" s="511"/>
      <c r="I1170" s="512"/>
      <c r="J1170" s="518"/>
      <c r="K1170" s="510"/>
      <c r="L1170" s="510"/>
      <c r="M1170" s="548"/>
      <c r="N1170" s="514">
        <f>LANÇ_MOV[[#This Row],[VALOR BRUTO]]-LANÇ_MOV[[#This Row],[DESCONTO]]+LANÇ_MOV[[#This Row],[JUROS]]+LANÇ_MOV[[#This Row],[MULTA]]</f>
        <v>0</v>
      </c>
      <c r="O1170" s="546"/>
      <c r="P1170" s="547" t="str">
        <f t="shared" ca="1" si="18"/>
        <v/>
      </c>
      <c r="Q1170" s="528"/>
      <c r="R1170" s="529"/>
      <c r="S1170" s="518"/>
      <c r="T1170" s="518"/>
      <c r="U1170" s="519"/>
      <c r="V1170" s="520" t="str">
        <f>IFERROR(VLOOKUP(LANÇ_MOV[[#This Row],[PLANO DE CONTAS]],Plano_Contas[[PLANO DE CONTAS]:[R / D]],3,0),"")</f>
        <v/>
      </c>
      <c r="W1170" s="521" t="str">
        <f>IF(LANÇ_MOV[[#This Row],[DATA DE PAGAMENTO]]&lt;&gt;"","Pago","Não Pago")</f>
        <v>Não Pago</v>
      </c>
      <c r="X1170" s="522" t="str">
        <f>IFERROR(IF(LANÇ_MOV[[#This Row],[DATA DE PAGAMENTO]]="","",(UPPER(TEXT(LANÇ_MOV[[#This Row],[DATA DE PAGAMENTO]],"mmmm")))),"")</f>
        <v/>
      </c>
      <c r="Y1170" s="523" t="str">
        <f>IFERROR(VLOOKUP(LANÇ_MOV[[#This Row],[PLANO DE CONTAS]],Plano_Contas[[PLANO DE CONTAS]:[NOMES INTERVALOS]],2,0),"")</f>
        <v/>
      </c>
      <c r="Z1170" s="523" t="str">
        <f>IF(LANÇ_MOV[[#This Row],[FORMA DE PAGAMENTO]]="","",VLOOKUP(LANÇ_MOV[[#This Row],[FORMA DE PAGAMENTO]],CAD_Forma_pagto[],2,0))</f>
        <v/>
      </c>
      <c r="AA1170" s="524" t="str">
        <f>IF(LANÇ_MOV[[#This Row],[DATA DE LANÇAMENTO]]="","",TEXT(LANÇ_MOV[[#This Row],[DATA DE LANÇAMENTO]],"AAAA"))</f>
        <v/>
      </c>
      <c r="AB1170" s="524" t="str">
        <f>IF(LANÇ_MOV[[#This Row],[DATA DE LANÇAMENTO]]="","",UPPER(TEXT(LANÇ_MOV[[#This Row],[DATA DE LANÇAMENTO]],"MMMM")))</f>
        <v/>
      </c>
      <c r="AC1170" s="525" t="str">
        <f>IF(LANÇ_MOV[[#This Row],[DATA DE LANÇAMENTO]]="","",PROPER(TEXT(LANÇ_MOV[[#This Row],[DATA DE LANÇAMENTO]],"M")))</f>
        <v/>
      </c>
      <c r="AD1170" s="524" t="str">
        <f>IF(LANÇ_MOV[[#This Row],[DATA DE LANÇAMENTO]]="","",TEXT(LANÇ_MOV[[#This Row],[DATA DE LANÇAMENTO]],"D"))</f>
        <v/>
      </c>
      <c r="AE1170" s="526" t="str">
        <f>IF(LANÇ_MOV[[#This Row],[DATA DE VENCIMENTO]]="","",TEXT(LANÇ_MOV[[#This Row],[DATA DE VENCIMENTO]],"AAAA"))</f>
        <v/>
      </c>
      <c r="AF1170" s="526" t="str">
        <f>IF(LANÇ_MOV[[#This Row],[DATA DE VENCIMENTO]]="","",UPPER(TEXT(LANÇ_MOV[[#This Row],[DATA DE VENCIMENTO]],"MMMM")))</f>
        <v/>
      </c>
      <c r="AG1170" s="526" t="str">
        <f>IF(LANÇ_MOV[[#This Row],[DATA DE VENCIMENTO]]="","",TEXT(LANÇ_MOV[[#This Row],[DATA DE VENCIMENTO]],"M"))</f>
        <v/>
      </c>
      <c r="AH1170" s="526" t="str">
        <f>IF(LANÇ_MOV[[#This Row],[DATA DE VENCIMENTO]]="","",TEXT(LANÇ_MOV[[#This Row],[DATA DE VENCIMENTO]],"D"))</f>
        <v/>
      </c>
      <c r="AI1170" s="526" t="str">
        <f>IF(LANÇ_MOV[[#This Row],[DATA DE PAGAMENTO]]="","",TEXT(LANÇ_MOV[[#This Row],[DATA DE PAGAMENTO]],"AAAA"))</f>
        <v/>
      </c>
      <c r="AJ1170" s="527" t="str">
        <f>IF(LANÇ_MOV[[#This Row],[DATA DE PAGAMENTO]]="","",UPPER(TEXT(LANÇ_MOV[[#This Row],[DATA DE PAGAMENTO]],"MMMM")))</f>
        <v/>
      </c>
      <c r="AK1170" s="527" t="str">
        <f>IF(LANÇ_MOV[[#This Row],[DATA DE PAGAMENTO]]="","",TEXT(LANÇ_MOV[[#This Row],[DATA DE PAGAMENTO]],"M"))</f>
        <v/>
      </c>
      <c r="AL1170" s="526" t="str">
        <f>IF(LANÇ_MOV[[#This Row],[DATA DE PAGAMENTO]]="","",TEXT(LANÇ_MOV[[#This Row],[DATA DE PAGAMENTO]],"D"))</f>
        <v/>
      </c>
    </row>
    <row r="1171" spans="2:38" ht="30.05" customHeight="1" x14ac:dyDescent="0.35">
      <c r="B1171" s="506"/>
      <c r="C1171" s="507"/>
      <c r="D1171" s="508" t="s">
        <v>1854</v>
      </c>
      <c r="E1171" s="509"/>
      <c r="F1171" s="510"/>
      <c r="G1171" s="507"/>
      <c r="H1171" s="511"/>
      <c r="I1171" s="512"/>
      <c r="J1171" s="518"/>
      <c r="K1171" s="510"/>
      <c r="L1171" s="510"/>
      <c r="M1171" s="548"/>
      <c r="N1171" s="514">
        <f>LANÇ_MOV[[#This Row],[VALOR BRUTO]]-LANÇ_MOV[[#This Row],[DESCONTO]]+LANÇ_MOV[[#This Row],[JUROS]]+LANÇ_MOV[[#This Row],[MULTA]]</f>
        <v>0</v>
      </c>
      <c r="O1171" s="546"/>
      <c r="P1171" s="547" t="str">
        <f t="shared" ca="1" si="18"/>
        <v/>
      </c>
      <c r="Q1171" s="528"/>
      <c r="R1171" s="529"/>
      <c r="S1171" s="518"/>
      <c r="T1171" s="518"/>
      <c r="U1171" s="519"/>
      <c r="V1171" s="520" t="str">
        <f>IFERROR(VLOOKUP(LANÇ_MOV[[#This Row],[PLANO DE CONTAS]],Plano_Contas[[PLANO DE CONTAS]:[R / D]],3,0),"")</f>
        <v/>
      </c>
      <c r="W1171" s="521" t="str">
        <f>IF(LANÇ_MOV[[#This Row],[DATA DE PAGAMENTO]]&lt;&gt;"","Pago","Não Pago")</f>
        <v>Não Pago</v>
      </c>
      <c r="X1171" s="522" t="str">
        <f>IFERROR(IF(LANÇ_MOV[[#This Row],[DATA DE PAGAMENTO]]="","",(UPPER(TEXT(LANÇ_MOV[[#This Row],[DATA DE PAGAMENTO]],"mmmm")))),"")</f>
        <v/>
      </c>
      <c r="Y1171" s="523" t="str">
        <f>IFERROR(VLOOKUP(LANÇ_MOV[[#This Row],[PLANO DE CONTAS]],Plano_Contas[[PLANO DE CONTAS]:[NOMES INTERVALOS]],2,0),"")</f>
        <v/>
      </c>
      <c r="Z1171" s="523" t="str">
        <f>IF(LANÇ_MOV[[#This Row],[FORMA DE PAGAMENTO]]="","",VLOOKUP(LANÇ_MOV[[#This Row],[FORMA DE PAGAMENTO]],CAD_Forma_pagto[],2,0))</f>
        <v/>
      </c>
      <c r="AA1171" s="524" t="str">
        <f>IF(LANÇ_MOV[[#This Row],[DATA DE LANÇAMENTO]]="","",TEXT(LANÇ_MOV[[#This Row],[DATA DE LANÇAMENTO]],"AAAA"))</f>
        <v/>
      </c>
      <c r="AB1171" s="524" t="str">
        <f>IF(LANÇ_MOV[[#This Row],[DATA DE LANÇAMENTO]]="","",UPPER(TEXT(LANÇ_MOV[[#This Row],[DATA DE LANÇAMENTO]],"MMMM")))</f>
        <v/>
      </c>
      <c r="AC1171" s="525" t="str">
        <f>IF(LANÇ_MOV[[#This Row],[DATA DE LANÇAMENTO]]="","",PROPER(TEXT(LANÇ_MOV[[#This Row],[DATA DE LANÇAMENTO]],"M")))</f>
        <v/>
      </c>
      <c r="AD1171" s="524" t="str">
        <f>IF(LANÇ_MOV[[#This Row],[DATA DE LANÇAMENTO]]="","",TEXT(LANÇ_MOV[[#This Row],[DATA DE LANÇAMENTO]],"D"))</f>
        <v/>
      </c>
      <c r="AE1171" s="526" t="str">
        <f>IF(LANÇ_MOV[[#This Row],[DATA DE VENCIMENTO]]="","",TEXT(LANÇ_MOV[[#This Row],[DATA DE VENCIMENTO]],"AAAA"))</f>
        <v/>
      </c>
      <c r="AF1171" s="526" t="str">
        <f>IF(LANÇ_MOV[[#This Row],[DATA DE VENCIMENTO]]="","",UPPER(TEXT(LANÇ_MOV[[#This Row],[DATA DE VENCIMENTO]],"MMMM")))</f>
        <v/>
      </c>
      <c r="AG1171" s="526" t="str">
        <f>IF(LANÇ_MOV[[#This Row],[DATA DE VENCIMENTO]]="","",TEXT(LANÇ_MOV[[#This Row],[DATA DE VENCIMENTO]],"M"))</f>
        <v/>
      </c>
      <c r="AH1171" s="526" t="str">
        <f>IF(LANÇ_MOV[[#This Row],[DATA DE VENCIMENTO]]="","",TEXT(LANÇ_MOV[[#This Row],[DATA DE VENCIMENTO]],"D"))</f>
        <v/>
      </c>
      <c r="AI1171" s="526" t="str">
        <f>IF(LANÇ_MOV[[#This Row],[DATA DE PAGAMENTO]]="","",TEXT(LANÇ_MOV[[#This Row],[DATA DE PAGAMENTO]],"AAAA"))</f>
        <v/>
      </c>
      <c r="AJ1171" s="527" t="str">
        <f>IF(LANÇ_MOV[[#This Row],[DATA DE PAGAMENTO]]="","",UPPER(TEXT(LANÇ_MOV[[#This Row],[DATA DE PAGAMENTO]],"MMMM")))</f>
        <v/>
      </c>
      <c r="AK1171" s="527" t="str">
        <f>IF(LANÇ_MOV[[#This Row],[DATA DE PAGAMENTO]]="","",TEXT(LANÇ_MOV[[#This Row],[DATA DE PAGAMENTO]],"M"))</f>
        <v/>
      </c>
      <c r="AL1171" s="526" t="str">
        <f>IF(LANÇ_MOV[[#This Row],[DATA DE PAGAMENTO]]="","",TEXT(LANÇ_MOV[[#This Row],[DATA DE PAGAMENTO]],"D"))</f>
        <v/>
      </c>
    </row>
    <row r="1172" spans="2:38" ht="30.05" customHeight="1" x14ac:dyDescent="0.35">
      <c r="B1172" s="506"/>
      <c r="C1172" s="507"/>
      <c r="D1172" s="508" t="s">
        <v>1854</v>
      </c>
      <c r="E1172" s="509"/>
      <c r="F1172" s="510"/>
      <c r="G1172" s="507"/>
      <c r="H1172" s="511"/>
      <c r="I1172" s="512"/>
      <c r="J1172" s="518"/>
      <c r="K1172" s="510"/>
      <c r="L1172" s="510"/>
      <c r="M1172" s="548"/>
      <c r="N1172" s="514">
        <f>LANÇ_MOV[[#This Row],[VALOR BRUTO]]-LANÇ_MOV[[#This Row],[DESCONTO]]+LANÇ_MOV[[#This Row],[JUROS]]+LANÇ_MOV[[#This Row],[MULTA]]</f>
        <v>0</v>
      </c>
      <c r="O1172" s="546"/>
      <c r="P1172" s="547" t="str">
        <f t="shared" ca="1" si="18"/>
        <v/>
      </c>
      <c r="Q1172" s="528"/>
      <c r="R1172" s="529"/>
      <c r="S1172" s="518"/>
      <c r="T1172" s="518"/>
      <c r="U1172" s="519"/>
      <c r="V1172" s="520" t="str">
        <f>IFERROR(VLOOKUP(LANÇ_MOV[[#This Row],[PLANO DE CONTAS]],Plano_Contas[[PLANO DE CONTAS]:[R / D]],3,0),"")</f>
        <v/>
      </c>
      <c r="W1172" s="521" t="str">
        <f>IF(LANÇ_MOV[[#This Row],[DATA DE PAGAMENTO]]&lt;&gt;"","Pago","Não Pago")</f>
        <v>Não Pago</v>
      </c>
      <c r="X1172" s="522" t="str">
        <f>IFERROR(IF(LANÇ_MOV[[#This Row],[DATA DE PAGAMENTO]]="","",(UPPER(TEXT(LANÇ_MOV[[#This Row],[DATA DE PAGAMENTO]],"mmmm")))),"")</f>
        <v/>
      </c>
      <c r="Y1172" s="523" t="str">
        <f>IFERROR(VLOOKUP(LANÇ_MOV[[#This Row],[PLANO DE CONTAS]],Plano_Contas[[PLANO DE CONTAS]:[NOMES INTERVALOS]],2,0),"")</f>
        <v/>
      </c>
      <c r="Z1172" s="523" t="str">
        <f>IF(LANÇ_MOV[[#This Row],[FORMA DE PAGAMENTO]]="","",VLOOKUP(LANÇ_MOV[[#This Row],[FORMA DE PAGAMENTO]],CAD_Forma_pagto[],2,0))</f>
        <v/>
      </c>
      <c r="AA1172" s="524" t="str">
        <f>IF(LANÇ_MOV[[#This Row],[DATA DE LANÇAMENTO]]="","",TEXT(LANÇ_MOV[[#This Row],[DATA DE LANÇAMENTO]],"AAAA"))</f>
        <v/>
      </c>
      <c r="AB1172" s="524" t="str">
        <f>IF(LANÇ_MOV[[#This Row],[DATA DE LANÇAMENTO]]="","",UPPER(TEXT(LANÇ_MOV[[#This Row],[DATA DE LANÇAMENTO]],"MMMM")))</f>
        <v/>
      </c>
      <c r="AC1172" s="525" t="str">
        <f>IF(LANÇ_MOV[[#This Row],[DATA DE LANÇAMENTO]]="","",PROPER(TEXT(LANÇ_MOV[[#This Row],[DATA DE LANÇAMENTO]],"M")))</f>
        <v/>
      </c>
      <c r="AD1172" s="524" t="str">
        <f>IF(LANÇ_MOV[[#This Row],[DATA DE LANÇAMENTO]]="","",TEXT(LANÇ_MOV[[#This Row],[DATA DE LANÇAMENTO]],"D"))</f>
        <v/>
      </c>
      <c r="AE1172" s="526" t="str">
        <f>IF(LANÇ_MOV[[#This Row],[DATA DE VENCIMENTO]]="","",TEXT(LANÇ_MOV[[#This Row],[DATA DE VENCIMENTO]],"AAAA"))</f>
        <v/>
      </c>
      <c r="AF1172" s="526" t="str">
        <f>IF(LANÇ_MOV[[#This Row],[DATA DE VENCIMENTO]]="","",UPPER(TEXT(LANÇ_MOV[[#This Row],[DATA DE VENCIMENTO]],"MMMM")))</f>
        <v/>
      </c>
      <c r="AG1172" s="526" t="str">
        <f>IF(LANÇ_MOV[[#This Row],[DATA DE VENCIMENTO]]="","",TEXT(LANÇ_MOV[[#This Row],[DATA DE VENCIMENTO]],"M"))</f>
        <v/>
      </c>
      <c r="AH1172" s="526" t="str">
        <f>IF(LANÇ_MOV[[#This Row],[DATA DE VENCIMENTO]]="","",TEXT(LANÇ_MOV[[#This Row],[DATA DE VENCIMENTO]],"D"))</f>
        <v/>
      </c>
      <c r="AI1172" s="526" t="str">
        <f>IF(LANÇ_MOV[[#This Row],[DATA DE PAGAMENTO]]="","",TEXT(LANÇ_MOV[[#This Row],[DATA DE PAGAMENTO]],"AAAA"))</f>
        <v/>
      </c>
      <c r="AJ1172" s="527" t="str">
        <f>IF(LANÇ_MOV[[#This Row],[DATA DE PAGAMENTO]]="","",UPPER(TEXT(LANÇ_MOV[[#This Row],[DATA DE PAGAMENTO]],"MMMM")))</f>
        <v/>
      </c>
      <c r="AK1172" s="527" t="str">
        <f>IF(LANÇ_MOV[[#This Row],[DATA DE PAGAMENTO]]="","",TEXT(LANÇ_MOV[[#This Row],[DATA DE PAGAMENTO]],"M"))</f>
        <v/>
      </c>
      <c r="AL1172" s="526" t="str">
        <f>IF(LANÇ_MOV[[#This Row],[DATA DE PAGAMENTO]]="","",TEXT(LANÇ_MOV[[#This Row],[DATA DE PAGAMENTO]],"D"))</f>
        <v/>
      </c>
    </row>
    <row r="1173" spans="2:38" ht="30.05" customHeight="1" x14ac:dyDescent="0.35">
      <c r="B1173" s="506"/>
      <c r="C1173" s="507"/>
      <c r="D1173" s="508" t="s">
        <v>1854</v>
      </c>
      <c r="E1173" s="509"/>
      <c r="F1173" s="510"/>
      <c r="G1173" s="507"/>
      <c r="H1173" s="511"/>
      <c r="I1173" s="512"/>
      <c r="J1173" s="518"/>
      <c r="K1173" s="510"/>
      <c r="L1173" s="510"/>
      <c r="M1173" s="548"/>
      <c r="N1173" s="514">
        <f>LANÇ_MOV[[#This Row],[VALOR BRUTO]]-LANÇ_MOV[[#This Row],[DESCONTO]]+LANÇ_MOV[[#This Row],[JUROS]]+LANÇ_MOV[[#This Row],[MULTA]]</f>
        <v>0</v>
      </c>
      <c r="O1173" s="546"/>
      <c r="P1173" s="547" t="str">
        <f t="shared" ca="1" si="18"/>
        <v/>
      </c>
      <c r="Q1173" s="528"/>
      <c r="R1173" s="529"/>
      <c r="S1173" s="518"/>
      <c r="T1173" s="518"/>
      <c r="U1173" s="519"/>
      <c r="V1173" s="520" t="str">
        <f>IFERROR(VLOOKUP(LANÇ_MOV[[#This Row],[PLANO DE CONTAS]],Plano_Contas[[PLANO DE CONTAS]:[R / D]],3,0),"")</f>
        <v/>
      </c>
      <c r="W1173" s="521" t="str">
        <f>IF(LANÇ_MOV[[#This Row],[DATA DE PAGAMENTO]]&lt;&gt;"","Pago","Não Pago")</f>
        <v>Não Pago</v>
      </c>
      <c r="X1173" s="522" t="str">
        <f>IFERROR(IF(LANÇ_MOV[[#This Row],[DATA DE PAGAMENTO]]="","",(UPPER(TEXT(LANÇ_MOV[[#This Row],[DATA DE PAGAMENTO]],"mmmm")))),"")</f>
        <v/>
      </c>
      <c r="Y1173" s="523" t="str">
        <f>IFERROR(VLOOKUP(LANÇ_MOV[[#This Row],[PLANO DE CONTAS]],Plano_Contas[[PLANO DE CONTAS]:[NOMES INTERVALOS]],2,0),"")</f>
        <v/>
      </c>
      <c r="Z1173" s="523" t="str">
        <f>IF(LANÇ_MOV[[#This Row],[FORMA DE PAGAMENTO]]="","",VLOOKUP(LANÇ_MOV[[#This Row],[FORMA DE PAGAMENTO]],CAD_Forma_pagto[],2,0))</f>
        <v/>
      </c>
      <c r="AA1173" s="524" t="str">
        <f>IF(LANÇ_MOV[[#This Row],[DATA DE LANÇAMENTO]]="","",TEXT(LANÇ_MOV[[#This Row],[DATA DE LANÇAMENTO]],"AAAA"))</f>
        <v/>
      </c>
      <c r="AB1173" s="524" t="str">
        <f>IF(LANÇ_MOV[[#This Row],[DATA DE LANÇAMENTO]]="","",UPPER(TEXT(LANÇ_MOV[[#This Row],[DATA DE LANÇAMENTO]],"MMMM")))</f>
        <v/>
      </c>
      <c r="AC1173" s="525" t="str">
        <f>IF(LANÇ_MOV[[#This Row],[DATA DE LANÇAMENTO]]="","",PROPER(TEXT(LANÇ_MOV[[#This Row],[DATA DE LANÇAMENTO]],"M")))</f>
        <v/>
      </c>
      <c r="AD1173" s="524" t="str">
        <f>IF(LANÇ_MOV[[#This Row],[DATA DE LANÇAMENTO]]="","",TEXT(LANÇ_MOV[[#This Row],[DATA DE LANÇAMENTO]],"D"))</f>
        <v/>
      </c>
      <c r="AE1173" s="526" t="str">
        <f>IF(LANÇ_MOV[[#This Row],[DATA DE VENCIMENTO]]="","",TEXT(LANÇ_MOV[[#This Row],[DATA DE VENCIMENTO]],"AAAA"))</f>
        <v/>
      </c>
      <c r="AF1173" s="526" t="str">
        <f>IF(LANÇ_MOV[[#This Row],[DATA DE VENCIMENTO]]="","",UPPER(TEXT(LANÇ_MOV[[#This Row],[DATA DE VENCIMENTO]],"MMMM")))</f>
        <v/>
      </c>
      <c r="AG1173" s="526" t="str">
        <f>IF(LANÇ_MOV[[#This Row],[DATA DE VENCIMENTO]]="","",TEXT(LANÇ_MOV[[#This Row],[DATA DE VENCIMENTO]],"M"))</f>
        <v/>
      </c>
      <c r="AH1173" s="526" t="str">
        <f>IF(LANÇ_MOV[[#This Row],[DATA DE VENCIMENTO]]="","",TEXT(LANÇ_MOV[[#This Row],[DATA DE VENCIMENTO]],"D"))</f>
        <v/>
      </c>
      <c r="AI1173" s="526" t="str">
        <f>IF(LANÇ_MOV[[#This Row],[DATA DE PAGAMENTO]]="","",TEXT(LANÇ_MOV[[#This Row],[DATA DE PAGAMENTO]],"AAAA"))</f>
        <v/>
      </c>
      <c r="AJ1173" s="527" t="str">
        <f>IF(LANÇ_MOV[[#This Row],[DATA DE PAGAMENTO]]="","",UPPER(TEXT(LANÇ_MOV[[#This Row],[DATA DE PAGAMENTO]],"MMMM")))</f>
        <v/>
      </c>
      <c r="AK1173" s="527" t="str">
        <f>IF(LANÇ_MOV[[#This Row],[DATA DE PAGAMENTO]]="","",TEXT(LANÇ_MOV[[#This Row],[DATA DE PAGAMENTO]],"M"))</f>
        <v/>
      </c>
      <c r="AL1173" s="526" t="str">
        <f>IF(LANÇ_MOV[[#This Row],[DATA DE PAGAMENTO]]="","",TEXT(LANÇ_MOV[[#This Row],[DATA DE PAGAMENTO]],"D"))</f>
        <v/>
      </c>
    </row>
    <row r="1174" spans="2:38" ht="30.05" customHeight="1" x14ac:dyDescent="0.35">
      <c r="B1174" s="506"/>
      <c r="C1174" s="507"/>
      <c r="D1174" s="508" t="s">
        <v>1854</v>
      </c>
      <c r="E1174" s="509"/>
      <c r="F1174" s="510"/>
      <c r="G1174" s="507"/>
      <c r="H1174" s="511"/>
      <c r="I1174" s="512"/>
      <c r="J1174" s="518"/>
      <c r="K1174" s="510"/>
      <c r="L1174" s="510"/>
      <c r="M1174" s="548"/>
      <c r="N1174" s="514">
        <f>LANÇ_MOV[[#This Row],[VALOR BRUTO]]-LANÇ_MOV[[#This Row],[DESCONTO]]+LANÇ_MOV[[#This Row],[JUROS]]+LANÇ_MOV[[#This Row],[MULTA]]</f>
        <v>0</v>
      </c>
      <c r="O1174" s="546"/>
      <c r="P1174" s="547" t="str">
        <f t="shared" ca="1" si="18"/>
        <v/>
      </c>
      <c r="Q1174" s="528"/>
      <c r="R1174" s="529"/>
      <c r="S1174" s="518"/>
      <c r="T1174" s="518"/>
      <c r="U1174" s="519"/>
      <c r="V1174" s="520" t="str">
        <f>IFERROR(VLOOKUP(LANÇ_MOV[[#This Row],[PLANO DE CONTAS]],Plano_Contas[[PLANO DE CONTAS]:[R / D]],3,0),"")</f>
        <v/>
      </c>
      <c r="W1174" s="521" t="str">
        <f>IF(LANÇ_MOV[[#This Row],[DATA DE PAGAMENTO]]&lt;&gt;"","Pago","Não Pago")</f>
        <v>Não Pago</v>
      </c>
      <c r="X1174" s="522" t="str">
        <f>IFERROR(IF(LANÇ_MOV[[#This Row],[DATA DE PAGAMENTO]]="","",(UPPER(TEXT(LANÇ_MOV[[#This Row],[DATA DE PAGAMENTO]],"mmmm")))),"")</f>
        <v/>
      </c>
      <c r="Y1174" s="523" t="str">
        <f>IFERROR(VLOOKUP(LANÇ_MOV[[#This Row],[PLANO DE CONTAS]],Plano_Contas[[PLANO DE CONTAS]:[NOMES INTERVALOS]],2,0),"")</f>
        <v/>
      </c>
      <c r="Z1174" s="523" t="str">
        <f>IF(LANÇ_MOV[[#This Row],[FORMA DE PAGAMENTO]]="","",VLOOKUP(LANÇ_MOV[[#This Row],[FORMA DE PAGAMENTO]],CAD_Forma_pagto[],2,0))</f>
        <v/>
      </c>
      <c r="AA1174" s="524" t="str">
        <f>IF(LANÇ_MOV[[#This Row],[DATA DE LANÇAMENTO]]="","",TEXT(LANÇ_MOV[[#This Row],[DATA DE LANÇAMENTO]],"AAAA"))</f>
        <v/>
      </c>
      <c r="AB1174" s="524" t="str">
        <f>IF(LANÇ_MOV[[#This Row],[DATA DE LANÇAMENTO]]="","",UPPER(TEXT(LANÇ_MOV[[#This Row],[DATA DE LANÇAMENTO]],"MMMM")))</f>
        <v/>
      </c>
      <c r="AC1174" s="525" t="str">
        <f>IF(LANÇ_MOV[[#This Row],[DATA DE LANÇAMENTO]]="","",PROPER(TEXT(LANÇ_MOV[[#This Row],[DATA DE LANÇAMENTO]],"M")))</f>
        <v/>
      </c>
      <c r="AD1174" s="524" t="str">
        <f>IF(LANÇ_MOV[[#This Row],[DATA DE LANÇAMENTO]]="","",TEXT(LANÇ_MOV[[#This Row],[DATA DE LANÇAMENTO]],"D"))</f>
        <v/>
      </c>
      <c r="AE1174" s="526" t="str">
        <f>IF(LANÇ_MOV[[#This Row],[DATA DE VENCIMENTO]]="","",TEXT(LANÇ_MOV[[#This Row],[DATA DE VENCIMENTO]],"AAAA"))</f>
        <v/>
      </c>
      <c r="AF1174" s="526" t="str">
        <f>IF(LANÇ_MOV[[#This Row],[DATA DE VENCIMENTO]]="","",UPPER(TEXT(LANÇ_MOV[[#This Row],[DATA DE VENCIMENTO]],"MMMM")))</f>
        <v/>
      </c>
      <c r="AG1174" s="526" t="str">
        <f>IF(LANÇ_MOV[[#This Row],[DATA DE VENCIMENTO]]="","",TEXT(LANÇ_MOV[[#This Row],[DATA DE VENCIMENTO]],"M"))</f>
        <v/>
      </c>
      <c r="AH1174" s="526" t="str">
        <f>IF(LANÇ_MOV[[#This Row],[DATA DE VENCIMENTO]]="","",TEXT(LANÇ_MOV[[#This Row],[DATA DE VENCIMENTO]],"D"))</f>
        <v/>
      </c>
      <c r="AI1174" s="526" t="str">
        <f>IF(LANÇ_MOV[[#This Row],[DATA DE PAGAMENTO]]="","",TEXT(LANÇ_MOV[[#This Row],[DATA DE PAGAMENTO]],"AAAA"))</f>
        <v/>
      </c>
      <c r="AJ1174" s="527" t="str">
        <f>IF(LANÇ_MOV[[#This Row],[DATA DE PAGAMENTO]]="","",UPPER(TEXT(LANÇ_MOV[[#This Row],[DATA DE PAGAMENTO]],"MMMM")))</f>
        <v/>
      </c>
      <c r="AK1174" s="527" t="str">
        <f>IF(LANÇ_MOV[[#This Row],[DATA DE PAGAMENTO]]="","",TEXT(LANÇ_MOV[[#This Row],[DATA DE PAGAMENTO]],"M"))</f>
        <v/>
      </c>
      <c r="AL1174" s="526" t="str">
        <f>IF(LANÇ_MOV[[#This Row],[DATA DE PAGAMENTO]]="","",TEXT(LANÇ_MOV[[#This Row],[DATA DE PAGAMENTO]],"D"))</f>
        <v/>
      </c>
    </row>
    <row r="1175" spans="2:38" ht="30.05" customHeight="1" x14ac:dyDescent="0.35">
      <c r="B1175" s="506"/>
      <c r="C1175" s="507"/>
      <c r="D1175" s="508" t="s">
        <v>1854</v>
      </c>
      <c r="E1175" s="509"/>
      <c r="F1175" s="510"/>
      <c r="G1175" s="507"/>
      <c r="H1175" s="511"/>
      <c r="I1175" s="512"/>
      <c r="J1175" s="518"/>
      <c r="K1175" s="510"/>
      <c r="L1175" s="510"/>
      <c r="M1175" s="548"/>
      <c r="N1175" s="514">
        <f>LANÇ_MOV[[#This Row],[VALOR BRUTO]]-LANÇ_MOV[[#This Row],[DESCONTO]]+LANÇ_MOV[[#This Row],[JUROS]]+LANÇ_MOV[[#This Row],[MULTA]]</f>
        <v>0</v>
      </c>
      <c r="O1175" s="546"/>
      <c r="P1175" s="547" t="str">
        <f t="shared" ca="1" si="18"/>
        <v/>
      </c>
      <c r="Q1175" s="528"/>
      <c r="R1175" s="529"/>
      <c r="S1175" s="518"/>
      <c r="T1175" s="518"/>
      <c r="U1175" s="519"/>
      <c r="V1175" s="520" t="str">
        <f>IFERROR(VLOOKUP(LANÇ_MOV[[#This Row],[PLANO DE CONTAS]],Plano_Contas[[PLANO DE CONTAS]:[R / D]],3,0),"")</f>
        <v/>
      </c>
      <c r="W1175" s="521" t="str">
        <f>IF(LANÇ_MOV[[#This Row],[DATA DE PAGAMENTO]]&lt;&gt;"","Pago","Não Pago")</f>
        <v>Não Pago</v>
      </c>
      <c r="X1175" s="522" t="str">
        <f>IFERROR(IF(LANÇ_MOV[[#This Row],[DATA DE PAGAMENTO]]="","",(UPPER(TEXT(LANÇ_MOV[[#This Row],[DATA DE PAGAMENTO]],"mmmm")))),"")</f>
        <v/>
      </c>
      <c r="Y1175" s="523" t="str">
        <f>IFERROR(VLOOKUP(LANÇ_MOV[[#This Row],[PLANO DE CONTAS]],Plano_Contas[[PLANO DE CONTAS]:[NOMES INTERVALOS]],2,0),"")</f>
        <v/>
      </c>
      <c r="Z1175" s="523" t="str">
        <f>IF(LANÇ_MOV[[#This Row],[FORMA DE PAGAMENTO]]="","",VLOOKUP(LANÇ_MOV[[#This Row],[FORMA DE PAGAMENTO]],CAD_Forma_pagto[],2,0))</f>
        <v/>
      </c>
      <c r="AA1175" s="524" t="str">
        <f>IF(LANÇ_MOV[[#This Row],[DATA DE LANÇAMENTO]]="","",TEXT(LANÇ_MOV[[#This Row],[DATA DE LANÇAMENTO]],"AAAA"))</f>
        <v/>
      </c>
      <c r="AB1175" s="524" t="str">
        <f>IF(LANÇ_MOV[[#This Row],[DATA DE LANÇAMENTO]]="","",UPPER(TEXT(LANÇ_MOV[[#This Row],[DATA DE LANÇAMENTO]],"MMMM")))</f>
        <v/>
      </c>
      <c r="AC1175" s="525" t="str">
        <f>IF(LANÇ_MOV[[#This Row],[DATA DE LANÇAMENTO]]="","",PROPER(TEXT(LANÇ_MOV[[#This Row],[DATA DE LANÇAMENTO]],"M")))</f>
        <v/>
      </c>
      <c r="AD1175" s="524" t="str">
        <f>IF(LANÇ_MOV[[#This Row],[DATA DE LANÇAMENTO]]="","",TEXT(LANÇ_MOV[[#This Row],[DATA DE LANÇAMENTO]],"D"))</f>
        <v/>
      </c>
      <c r="AE1175" s="526" t="str">
        <f>IF(LANÇ_MOV[[#This Row],[DATA DE VENCIMENTO]]="","",TEXT(LANÇ_MOV[[#This Row],[DATA DE VENCIMENTO]],"AAAA"))</f>
        <v/>
      </c>
      <c r="AF1175" s="526" t="str">
        <f>IF(LANÇ_MOV[[#This Row],[DATA DE VENCIMENTO]]="","",UPPER(TEXT(LANÇ_MOV[[#This Row],[DATA DE VENCIMENTO]],"MMMM")))</f>
        <v/>
      </c>
      <c r="AG1175" s="526" t="str">
        <f>IF(LANÇ_MOV[[#This Row],[DATA DE VENCIMENTO]]="","",TEXT(LANÇ_MOV[[#This Row],[DATA DE VENCIMENTO]],"M"))</f>
        <v/>
      </c>
      <c r="AH1175" s="526" t="str">
        <f>IF(LANÇ_MOV[[#This Row],[DATA DE VENCIMENTO]]="","",TEXT(LANÇ_MOV[[#This Row],[DATA DE VENCIMENTO]],"D"))</f>
        <v/>
      </c>
      <c r="AI1175" s="526" t="str">
        <f>IF(LANÇ_MOV[[#This Row],[DATA DE PAGAMENTO]]="","",TEXT(LANÇ_MOV[[#This Row],[DATA DE PAGAMENTO]],"AAAA"))</f>
        <v/>
      </c>
      <c r="AJ1175" s="527" t="str">
        <f>IF(LANÇ_MOV[[#This Row],[DATA DE PAGAMENTO]]="","",UPPER(TEXT(LANÇ_MOV[[#This Row],[DATA DE PAGAMENTO]],"MMMM")))</f>
        <v/>
      </c>
      <c r="AK1175" s="527" t="str">
        <f>IF(LANÇ_MOV[[#This Row],[DATA DE PAGAMENTO]]="","",TEXT(LANÇ_MOV[[#This Row],[DATA DE PAGAMENTO]],"M"))</f>
        <v/>
      </c>
      <c r="AL1175" s="526" t="str">
        <f>IF(LANÇ_MOV[[#This Row],[DATA DE PAGAMENTO]]="","",TEXT(LANÇ_MOV[[#This Row],[DATA DE PAGAMENTO]],"D"))</f>
        <v/>
      </c>
    </row>
    <row r="1176" spans="2:38" ht="30.05" customHeight="1" x14ac:dyDescent="0.35">
      <c r="B1176" s="506"/>
      <c r="C1176" s="507"/>
      <c r="D1176" s="508" t="s">
        <v>1854</v>
      </c>
      <c r="E1176" s="509"/>
      <c r="F1176" s="510"/>
      <c r="G1176" s="507"/>
      <c r="H1176" s="511"/>
      <c r="I1176" s="512"/>
      <c r="J1176" s="518"/>
      <c r="K1176" s="510"/>
      <c r="L1176" s="510"/>
      <c r="M1176" s="548"/>
      <c r="N1176" s="514">
        <f>LANÇ_MOV[[#This Row],[VALOR BRUTO]]-LANÇ_MOV[[#This Row],[DESCONTO]]+LANÇ_MOV[[#This Row],[JUROS]]+LANÇ_MOV[[#This Row],[MULTA]]</f>
        <v>0</v>
      </c>
      <c r="O1176" s="546"/>
      <c r="P1176" s="547" t="str">
        <f t="shared" ca="1" si="18"/>
        <v/>
      </c>
      <c r="Q1176" s="528"/>
      <c r="R1176" s="529"/>
      <c r="S1176" s="518"/>
      <c r="T1176" s="518"/>
      <c r="U1176" s="519"/>
      <c r="V1176" s="520" t="str">
        <f>IFERROR(VLOOKUP(LANÇ_MOV[[#This Row],[PLANO DE CONTAS]],Plano_Contas[[PLANO DE CONTAS]:[R / D]],3,0),"")</f>
        <v/>
      </c>
      <c r="W1176" s="521" t="str">
        <f>IF(LANÇ_MOV[[#This Row],[DATA DE PAGAMENTO]]&lt;&gt;"","Pago","Não Pago")</f>
        <v>Não Pago</v>
      </c>
      <c r="X1176" s="522" t="str">
        <f>IFERROR(IF(LANÇ_MOV[[#This Row],[DATA DE PAGAMENTO]]="","",(UPPER(TEXT(LANÇ_MOV[[#This Row],[DATA DE PAGAMENTO]],"mmmm")))),"")</f>
        <v/>
      </c>
      <c r="Y1176" s="523" t="str">
        <f>IFERROR(VLOOKUP(LANÇ_MOV[[#This Row],[PLANO DE CONTAS]],Plano_Contas[[PLANO DE CONTAS]:[NOMES INTERVALOS]],2,0),"")</f>
        <v/>
      </c>
      <c r="Z1176" s="523" t="str">
        <f>IF(LANÇ_MOV[[#This Row],[FORMA DE PAGAMENTO]]="","",VLOOKUP(LANÇ_MOV[[#This Row],[FORMA DE PAGAMENTO]],CAD_Forma_pagto[],2,0))</f>
        <v/>
      </c>
      <c r="AA1176" s="524" t="str">
        <f>IF(LANÇ_MOV[[#This Row],[DATA DE LANÇAMENTO]]="","",TEXT(LANÇ_MOV[[#This Row],[DATA DE LANÇAMENTO]],"AAAA"))</f>
        <v/>
      </c>
      <c r="AB1176" s="524" t="str">
        <f>IF(LANÇ_MOV[[#This Row],[DATA DE LANÇAMENTO]]="","",UPPER(TEXT(LANÇ_MOV[[#This Row],[DATA DE LANÇAMENTO]],"MMMM")))</f>
        <v/>
      </c>
      <c r="AC1176" s="525" t="str">
        <f>IF(LANÇ_MOV[[#This Row],[DATA DE LANÇAMENTO]]="","",PROPER(TEXT(LANÇ_MOV[[#This Row],[DATA DE LANÇAMENTO]],"M")))</f>
        <v/>
      </c>
      <c r="AD1176" s="524" t="str">
        <f>IF(LANÇ_MOV[[#This Row],[DATA DE LANÇAMENTO]]="","",TEXT(LANÇ_MOV[[#This Row],[DATA DE LANÇAMENTO]],"D"))</f>
        <v/>
      </c>
      <c r="AE1176" s="526" t="str">
        <f>IF(LANÇ_MOV[[#This Row],[DATA DE VENCIMENTO]]="","",TEXT(LANÇ_MOV[[#This Row],[DATA DE VENCIMENTO]],"AAAA"))</f>
        <v/>
      </c>
      <c r="AF1176" s="526" t="str">
        <f>IF(LANÇ_MOV[[#This Row],[DATA DE VENCIMENTO]]="","",UPPER(TEXT(LANÇ_MOV[[#This Row],[DATA DE VENCIMENTO]],"MMMM")))</f>
        <v/>
      </c>
      <c r="AG1176" s="526" t="str">
        <f>IF(LANÇ_MOV[[#This Row],[DATA DE VENCIMENTO]]="","",TEXT(LANÇ_MOV[[#This Row],[DATA DE VENCIMENTO]],"M"))</f>
        <v/>
      </c>
      <c r="AH1176" s="526" t="str">
        <f>IF(LANÇ_MOV[[#This Row],[DATA DE VENCIMENTO]]="","",TEXT(LANÇ_MOV[[#This Row],[DATA DE VENCIMENTO]],"D"))</f>
        <v/>
      </c>
      <c r="AI1176" s="526" t="str">
        <f>IF(LANÇ_MOV[[#This Row],[DATA DE PAGAMENTO]]="","",TEXT(LANÇ_MOV[[#This Row],[DATA DE PAGAMENTO]],"AAAA"))</f>
        <v/>
      </c>
      <c r="AJ1176" s="527" t="str">
        <f>IF(LANÇ_MOV[[#This Row],[DATA DE PAGAMENTO]]="","",UPPER(TEXT(LANÇ_MOV[[#This Row],[DATA DE PAGAMENTO]],"MMMM")))</f>
        <v/>
      </c>
      <c r="AK1176" s="527" t="str">
        <f>IF(LANÇ_MOV[[#This Row],[DATA DE PAGAMENTO]]="","",TEXT(LANÇ_MOV[[#This Row],[DATA DE PAGAMENTO]],"M"))</f>
        <v/>
      </c>
      <c r="AL1176" s="526" t="str">
        <f>IF(LANÇ_MOV[[#This Row],[DATA DE PAGAMENTO]]="","",TEXT(LANÇ_MOV[[#This Row],[DATA DE PAGAMENTO]],"D"))</f>
        <v/>
      </c>
    </row>
    <row r="1177" spans="2:38" ht="30.05" customHeight="1" x14ac:dyDescent="0.35">
      <c r="B1177" s="506"/>
      <c r="C1177" s="507"/>
      <c r="D1177" s="508" t="s">
        <v>1854</v>
      </c>
      <c r="E1177" s="509"/>
      <c r="F1177" s="510"/>
      <c r="G1177" s="507"/>
      <c r="H1177" s="511"/>
      <c r="I1177" s="512"/>
      <c r="J1177" s="518"/>
      <c r="K1177" s="510"/>
      <c r="L1177" s="510"/>
      <c r="M1177" s="548"/>
      <c r="N1177" s="514">
        <f>LANÇ_MOV[[#This Row],[VALOR BRUTO]]-LANÇ_MOV[[#This Row],[DESCONTO]]+LANÇ_MOV[[#This Row],[JUROS]]+LANÇ_MOV[[#This Row],[MULTA]]</f>
        <v>0</v>
      </c>
      <c r="O1177" s="546"/>
      <c r="P1177" s="547" t="str">
        <f t="shared" ca="1" si="18"/>
        <v/>
      </c>
      <c r="Q1177" s="528"/>
      <c r="R1177" s="529"/>
      <c r="S1177" s="518"/>
      <c r="T1177" s="518"/>
      <c r="U1177" s="519"/>
      <c r="V1177" s="520" t="str">
        <f>IFERROR(VLOOKUP(LANÇ_MOV[[#This Row],[PLANO DE CONTAS]],Plano_Contas[[PLANO DE CONTAS]:[R / D]],3,0),"")</f>
        <v/>
      </c>
      <c r="W1177" s="521" t="str">
        <f>IF(LANÇ_MOV[[#This Row],[DATA DE PAGAMENTO]]&lt;&gt;"","Pago","Não Pago")</f>
        <v>Não Pago</v>
      </c>
      <c r="X1177" s="522" t="str">
        <f>IFERROR(IF(LANÇ_MOV[[#This Row],[DATA DE PAGAMENTO]]="","",(UPPER(TEXT(LANÇ_MOV[[#This Row],[DATA DE PAGAMENTO]],"mmmm")))),"")</f>
        <v/>
      </c>
      <c r="Y1177" s="523" t="str">
        <f>IFERROR(VLOOKUP(LANÇ_MOV[[#This Row],[PLANO DE CONTAS]],Plano_Contas[[PLANO DE CONTAS]:[NOMES INTERVALOS]],2,0),"")</f>
        <v/>
      </c>
      <c r="Z1177" s="523" t="str">
        <f>IF(LANÇ_MOV[[#This Row],[FORMA DE PAGAMENTO]]="","",VLOOKUP(LANÇ_MOV[[#This Row],[FORMA DE PAGAMENTO]],CAD_Forma_pagto[],2,0))</f>
        <v/>
      </c>
      <c r="AA1177" s="524" t="str">
        <f>IF(LANÇ_MOV[[#This Row],[DATA DE LANÇAMENTO]]="","",TEXT(LANÇ_MOV[[#This Row],[DATA DE LANÇAMENTO]],"AAAA"))</f>
        <v/>
      </c>
      <c r="AB1177" s="524" t="str">
        <f>IF(LANÇ_MOV[[#This Row],[DATA DE LANÇAMENTO]]="","",UPPER(TEXT(LANÇ_MOV[[#This Row],[DATA DE LANÇAMENTO]],"MMMM")))</f>
        <v/>
      </c>
      <c r="AC1177" s="525" t="str">
        <f>IF(LANÇ_MOV[[#This Row],[DATA DE LANÇAMENTO]]="","",PROPER(TEXT(LANÇ_MOV[[#This Row],[DATA DE LANÇAMENTO]],"M")))</f>
        <v/>
      </c>
      <c r="AD1177" s="524" t="str">
        <f>IF(LANÇ_MOV[[#This Row],[DATA DE LANÇAMENTO]]="","",TEXT(LANÇ_MOV[[#This Row],[DATA DE LANÇAMENTO]],"D"))</f>
        <v/>
      </c>
      <c r="AE1177" s="526" t="str">
        <f>IF(LANÇ_MOV[[#This Row],[DATA DE VENCIMENTO]]="","",TEXT(LANÇ_MOV[[#This Row],[DATA DE VENCIMENTO]],"AAAA"))</f>
        <v/>
      </c>
      <c r="AF1177" s="526" t="str">
        <f>IF(LANÇ_MOV[[#This Row],[DATA DE VENCIMENTO]]="","",UPPER(TEXT(LANÇ_MOV[[#This Row],[DATA DE VENCIMENTO]],"MMMM")))</f>
        <v/>
      </c>
      <c r="AG1177" s="526" t="str">
        <f>IF(LANÇ_MOV[[#This Row],[DATA DE VENCIMENTO]]="","",TEXT(LANÇ_MOV[[#This Row],[DATA DE VENCIMENTO]],"M"))</f>
        <v/>
      </c>
      <c r="AH1177" s="526" t="str">
        <f>IF(LANÇ_MOV[[#This Row],[DATA DE VENCIMENTO]]="","",TEXT(LANÇ_MOV[[#This Row],[DATA DE VENCIMENTO]],"D"))</f>
        <v/>
      </c>
      <c r="AI1177" s="526" t="str">
        <f>IF(LANÇ_MOV[[#This Row],[DATA DE PAGAMENTO]]="","",TEXT(LANÇ_MOV[[#This Row],[DATA DE PAGAMENTO]],"AAAA"))</f>
        <v/>
      </c>
      <c r="AJ1177" s="527" t="str">
        <f>IF(LANÇ_MOV[[#This Row],[DATA DE PAGAMENTO]]="","",UPPER(TEXT(LANÇ_MOV[[#This Row],[DATA DE PAGAMENTO]],"MMMM")))</f>
        <v/>
      </c>
      <c r="AK1177" s="527" t="str">
        <f>IF(LANÇ_MOV[[#This Row],[DATA DE PAGAMENTO]]="","",TEXT(LANÇ_MOV[[#This Row],[DATA DE PAGAMENTO]],"M"))</f>
        <v/>
      </c>
      <c r="AL1177" s="526" t="str">
        <f>IF(LANÇ_MOV[[#This Row],[DATA DE PAGAMENTO]]="","",TEXT(LANÇ_MOV[[#This Row],[DATA DE PAGAMENTO]],"D"))</f>
        <v/>
      </c>
    </row>
    <row r="1178" spans="2:38" ht="30.05" customHeight="1" x14ac:dyDescent="0.35">
      <c r="B1178" s="506"/>
      <c r="C1178" s="507"/>
      <c r="D1178" s="508" t="s">
        <v>1854</v>
      </c>
      <c r="E1178" s="509"/>
      <c r="F1178" s="510"/>
      <c r="G1178" s="507"/>
      <c r="H1178" s="511"/>
      <c r="I1178" s="512"/>
      <c r="J1178" s="518"/>
      <c r="K1178" s="510"/>
      <c r="L1178" s="510"/>
      <c r="M1178" s="548"/>
      <c r="N1178" s="514">
        <f>LANÇ_MOV[[#This Row],[VALOR BRUTO]]-LANÇ_MOV[[#This Row],[DESCONTO]]+LANÇ_MOV[[#This Row],[JUROS]]+LANÇ_MOV[[#This Row],[MULTA]]</f>
        <v>0</v>
      </c>
      <c r="O1178" s="546"/>
      <c r="P1178" s="547" t="str">
        <f t="shared" ca="1" si="18"/>
        <v/>
      </c>
      <c r="Q1178" s="528"/>
      <c r="R1178" s="529"/>
      <c r="S1178" s="518"/>
      <c r="T1178" s="518"/>
      <c r="U1178" s="519"/>
      <c r="V1178" s="520" t="str">
        <f>IFERROR(VLOOKUP(LANÇ_MOV[[#This Row],[PLANO DE CONTAS]],Plano_Contas[[PLANO DE CONTAS]:[R / D]],3,0),"")</f>
        <v/>
      </c>
      <c r="W1178" s="521" t="str">
        <f>IF(LANÇ_MOV[[#This Row],[DATA DE PAGAMENTO]]&lt;&gt;"","Pago","Não Pago")</f>
        <v>Não Pago</v>
      </c>
      <c r="X1178" s="522" t="str">
        <f>IFERROR(IF(LANÇ_MOV[[#This Row],[DATA DE PAGAMENTO]]="","",(UPPER(TEXT(LANÇ_MOV[[#This Row],[DATA DE PAGAMENTO]],"mmmm")))),"")</f>
        <v/>
      </c>
      <c r="Y1178" s="523" t="str">
        <f>IFERROR(VLOOKUP(LANÇ_MOV[[#This Row],[PLANO DE CONTAS]],Plano_Contas[[PLANO DE CONTAS]:[NOMES INTERVALOS]],2,0),"")</f>
        <v/>
      </c>
      <c r="Z1178" s="523" t="str">
        <f>IF(LANÇ_MOV[[#This Row],[FORMA DE PAGAMENTO]]="","",VLOOKUP(LANÇ_MOV[[#This Row],[FORMA DE PAGAMENTO]],CAD_Forma_pagto[],2,0))</f>
        <v/>
      </c>
      <c r="AA1178" s="524" t="str">
        <f>IF(LANÇ_MOV[[#This Row],[DATA DE LANÇAMENTO]]="","",TEXT(LANÇ_MOV[[#This Row],[DATA DE LANÇAMENTO]],"AAAA"))</f>
        <v/>
      </c>
      <c r="AB1178" s="524" t="str">
        <f>IF(LANÇ_MOV[[#This Row],[DATA DE LANÇAMENTO]]="","",UPPER(TEXT(LANÇ_MOV[[#This Row],[DATA DE LANÇAMENTO]],"MMMM")))</f>
        <v/>
      </c>
      <c r="AC1178" s="525" t="str">
        <f>IF(LANÇ_MOV[[#This Row],[DATA DE LANÇAMENTO]]="","",PROPER(TEXT(LANÇ_MOV[[#This Row],[DATA DE LANÇAMENTO]],"M")))</f>
        <v/>
      </c>
      <c r="AD1178" s="524" t="str">
        <f>IF(LANÇ_MOV[[#This Row],[DATA DE LANÇAMENTO]]="","",TEXT(LANÇ_MOV[[#This Row],[DATA DE LANÇAMENTO]],"D"))</f>
        <v/>
      </c>
      <c r="AE1178" s="526" t="str">
        <f>IF(LANÇ_MOV[[#This Row],[DATA DE VENCIMENTO]]="","",TEXT(LANÇ_MOV[[#This Row],[DATA DE VENCIMENTO]],"AAAA"))</f>
        <v/>
      </c>
      <c r="AF1178" s="526" t="str">
        <f>IF(LANÇ_MOV[[#This Row],[DATA DE VENCIMENTO]]="","",UPPER(TEXT(LANÇ_MOV[[#This Row],[DATA DE VENCIMENTO]],"MMMM")))</f>
        <v/>
      </c>
      <c r="AG1178" s="526" t="str">
        <f>IF(LANÇ_MOV[[#This Row],[DATA DE VENCIMENTO]]="","",TEXT(LANÇ_MOV[[#This Row],[DATA DE VENCIMENTO]],"M"))</f>
        <v/>
      </c>
      <c r="AH1178" s="526" t="str">
        <f>IF(LANÇ_MOV[[#This Row],[DATA DE VENCIMENTO]]="","",TEXT(LANÇ_MOV[[#This Row],[DATA DE VENCIMENTO]],"D"))</f>
        <v/>
      </c>
      <c r="AI1178" s="526" t="str">
        <f>IF(LANÇ_MOV[[#This Row],[DATA DE PAGAMENTO]]="","",TEXT(LANÇ_MOV[[#This Row],[DATA DE PAGAMENTO]],"AAAA"))</f>
        <v/>
      </c>
      <c r="AJ1178" s="527" t="str">
        <f>IF(LANÇ_MOV[[#This Row],[DATA DE PAGAMENTO]]="","",UPPER(TEXT(LANÇ_MOV[[#This Row],[DATA DE PAGAMENTO]],"MMMM")))</f>
        <v/>
      </c>
      <c r="AK1178" s="527" t="str">
        <f>IF(LANÇ_MOV[[#This Row],[DATA DE PAGAMENTO]]="","",TEXT(LANÇ_MOV[[#This Row],[DATA DE PAGAMENTO]],"M"))</f>
        <v/>
      </c>
      <c r="AL1178" s="526" t="str">
        <f>IF(LANÇ_MOV[[#This Row],[DATA DE PAGAMENTO]]="","",TEXT(LANÇ_MOV[[#This Row],[DATA DE PAGAMENTO]],"D"))</f>
        <v/>
      </c>
    </row>
    <row r="1179" spans="2:38" ht="30.05" customHeight="1" x14ac:dyDescent="0.35">
      <c r="B1179" s="506"/>
      <c r="C1179" s="507"/>
      <c r="D1179" s="508" t="s">
        <v>1854</v>
      </c>
      <c r="E1179" s="509"/>
      <c r="F1179" s="510"/>
      <c r="G1179" s="507"/>
      <c r="H1179" s="511"/>
      <c r="I1179" s="512"/>
      <c r="J1179" s="518"/>
      <c r="K1179" s="510"/>
      <c r="L1179" s="510"/>
      <c r="M1179" s="548"/>
      <c r="N1179" s="514">
        <f>LANÇ_MOV[[#This Row],[VALOR BRUTO]]-LANÇ_MOV[[#This Row],[DESCONTO]]+LANÇ_MOV[[#This Row],[JUROS]]+LANÇ_MOV[[#This Row],[MULTA]]</f>
        <v>0</v>
      </c>
      <c r="O1179" s="546"/>
      <c r="P1179" s="547" t="str">
        <f t="shared" ca="1" si="18"/>
        <v/>
      </c>
      <c r="Q1179" s="528"/>
      <c r="R1179" s="529"/>
      <c r="S1179" s="518"/>
      <c r="T1179" s="518"/>
      <c r="U1179" s="519"/>
      <c r="V1179" s="520" t="str">
        <f>IFERROR(VLOOKUP(LANÇ_MOV[[#This Row],[PLANO DE CONTAS]],Plano_Contas[[PLANO DE CONTAS]:[R / D]],3,0),"")</f>
        <v/>
      </c>
      <c r="W1179" s="521" t="str">
        <f>IF(LANÇ_MOV[[#This Row],[DATA DE PAGAMENTO]]&lt;&gt;"","Pago","Não Pago")</f>
        <v>Não Pago</v>
      </c>
      <c r="X1179" s="522" t="str">
        <f>IFERROR(IF(LANÇ_MOV[[#This Row],[DATA DE PAGAMENTO]]="","",(UPPER(TEXT(LANÇ_MOV[[#This Row],[DATA DE PAGAMENTO]],"mmmm")))),"")</f>
        <v/>
      </c>
      <c r="Y1179" s="523" t="str">
        <f>IFERROR(VLOOKUP(LANÇ_MOV[[#This Row],[PLANO DE CONTAS]],Plano_Contas[[PLANO DE CONTAS]:[NOMES INTERVALOS]],2,0),"")</f>
        <v/>
      </c>
      <c r="Z1179" s="523" t="str">
        <f>IF(LANÇ_MOV[[#This Row],[FORMA DE PAGAMENTO]]="","",VLOOKUP(LANÇ_MOV[[#This Row],[FORMA DE PAGAMENTO]],CAD_Forma_pagto[],2,0))</f>
        <v/>
      </c>
      <c r="AA1179" s="524" t="str">
        <f>IF(LANÇ_MOV[[#This Row],[DATA DE LANÇAMENTO]]="","",TEXT(LANÇ_MOV[[#This Row],[DATA DE LANÇAMENTO]],"AAAA"))</f>
        <v/>
      </c>
      <c r="AB1179" s="524" t="str">
        <f>IF(LANÇ_MOV[[#This Row],[DATA DE LANÇAMENTO]]="","",UPPER(TEXT(LANÇ_MOV[[#This Row],[DATA DE LANÇAMENTO]],"MMMM")))</f>
        <v/>
      </c>
      <c r="AC1179" s="525" t="str">
        <f>IF(LANÇ_MOV[[#This Row],[DATA DE LANÇAMENTO]]="","",PROPER(TEXT(LANÇ_MOV[[#This Row],[DATA DE LANÇAMENTO]],"M")))</f>
        <v/>
      </c>
      <c r="AD1179" s="524" t="str">
        <f>IF(LANÇ_MOV[[#This Row],[DATA DE LANÇAMENTO]]="","",TEXT(LANÇ_MOV[[#This Row],[DATA DE LANÇAMENTO]],"D"))</f>
        <v/>
      </c>
      <c r="AE1179" s="526" t="str">
        <f>IF(LANÇ_MOV[[#This Row],[DATA DE VENCIMENTO]]="","",TEXT(LANÇ_MOV[[#This Row],[DATA DE VENCIMENTO]],"AAAA"))</f>
        <v/>
      </c>
      <c r="AF1179" s="526" t="str">
        <f>IF(LANÇ_MOV[[#This Row],[DATA DE VENCIMENTO]]="","",UPPER(TEXT(LANÇ_MOV[[#This Row],[DATA DE VENCIMENTO]],"MMMM")))</f>
        <v/>
      </c>
      <c r="AG1179" s="526" t="str">
        <f>IF(LANÇ_MOV[[#This Row],[DATA DE VENCIMENTO]]="","",TEXT(LANÇ_MOV[[#This Row],[DATA DE VENCIMENTO]],"M"))</f>
        <v/>
      </c>
      <c r="AH1179" s="526" t="str">
        <f>IF(LANÇ_MOV[[#This Row],[DATA DE VENCIMENTO]]="","",TEXT(LANÇ_MOV[[#This Row],[DATA DE VENCIMENTO]],"D"))</f>
        <v/>
      </c>
      <c r="AI1179" s="526" t="str">
        <f>IF(LANÇ_MOV[[#This Row],[DATA DE PAGAMENTO]]="","",TEXT(LANÇ_MOV[[#This Row],[DATA DE PAGAMENTO]],"AAAA"))</f>
        <v/>
      </c>
      <c r="AJ1179" s="527" t="str">
        <f>IF(LANÇ_MOV[[#This Row],[DATA DE PAGAMENTO]]="","",UPPER(TEXT(LANÇ_MOV[[#This Row],[DATA DE PAGAMENTO]],"MMMM")))</f>
        <v/>
      </c>
      <c r="AK1179" s="527" t="str">
        <f>IF(LANÇ_MOV[[#This Row],[DATA DE PAGAMENTO]]="","",TEXT(LANÇ_MOV[[#This Row],[DATA DE PAGAMENTO]],"M"))</f>
        <v/>
      </c>
      <c r="AL1179" s="526" t="str">
        <f>IF(LANÇ_MOV[[#This Row],[DATA DE PAGAMENTO]]="","",TEXT(LANÇ_MOV[[#This Row],[DATA DE PAGAMENTO]],"D"))</f>
        <v/>
      </c>
    </row>
    <row r="1180" spans="2:38" ht="30.05" customHeight="1" x14ac:dyDescent="0.35">
      <c r="B1180" s="506"/>
      <c r="C1180" s="507"/>
      <c r="D1180" s="508" t="s">
        <v>1854</v>
      </c>
      <c r="E1180" s="509"/>
      <c r="F1180" s="510"/>
      <c r="G1180" s="507"/>
      <c r="H1180" s="511"/>
      <c r="I1180" s="512"/>
      <c r="J1180" s="518"/>
      <c r="K1180" s="510"/>
      <c r="L1180" s="510"/>
      <c r="M1180" s="548"/>
      <c r="N1180" s="514">
        <f>LANÇ_MOV[[#This Row],[VALOR BRUTO]]-LANÇ_MOV[[#This Row],[DESCONTO]]+LANÇ_MOV[[#This Row],[JUROS]]+LANÇ_MOV[[#This Row],[MULTA]]</f>
        <v>0</v>
      </c>
      <c r="O1180" s="546"/>
      <c r="P1180" s="547" t="str">
        <f t="shared" ca="1" si="18"/>
        <v/>
      </c>
      <c r="Q1180" s="528"/>
      <c r="R1180" s="529"/>
      <c r="S1180" s="518"/>
      <c r="T1180" s="518"/>
      <c r="U1180" s="519"/>
      <c r="V1180" s="520" t="str">
        <f>IFERROR(VLOOKUP(LANÇ_MOV[[#This Row],[PLANO DE CONTAS]],Plano_Contas[[PLANO DE CONTAS]:[R / D]],3,0),"")</f>
        <v/>
      </c>
      <c r="W1180" s="521" t="str">
        <f>IF(LANÇ_MOV[[#This Row],[DATA DE PAGAMENTO]]&lt;&gt;"","Pago","Não Pago")</f>
        <v>Não Pago</v>
      </c>
      <c r="X1180" s="522" t="str">
        <f>IFERROR(IF(LANÇ_MOV[[#This Row],[DATA DE PAGAMENTO]]="","",(UPPER(TEXT(LANÇ_MOV[[#This Row],[DATA DE PAGAMENTO]],"mmmm")))),"")</f>
        <v/>
      </c>
      <c r="Y1180" s="523" t="str">
        <f>IFERROR(VLOOKUP(LANÇ_MOV[[#This Row],[PLANO DE CONTAS]],Plano_Contas[[PLANO DE CONTAS]:[NOMES INTERVALOS]],2,0),"")</f>
        <v/>
      </c>
      <c r="Z1180" s="523" t="str">
        <f>IF(LANÇ_MOV[[#This Row],[FORMA DE PAGAMENTO]]="","",VLOOKUP(LANÇ_MOV[[#This Row],[FORMA DE PAGAMENTO]],CAD_Forma_pagto[],2,0))</f>
        <v/>
      </c>
      <c r="AA1180" s="524" t="str">
        <f>IF(LANÇ_MOV[[#This Row],[DATA DE LANÇAMENTO]]="","",TEXT(LANÇ_MOV[[#This Row],[DATA DE LANÇAMENTO]],"AAAA"))</f>
        <v/>
      </c>
      <c r="AB1180" s="524" t="str">
        <f>IF(LANÇ_MOV[[#This Row],[DATA DE LANÇAMENTO]]="","",UPPER(TEXT(LANÇ_MOV[[#This Row],[DATA DE LANÇAMENTO]],"MMMM")))</f>
        <v/>
      </c>
      <c r="AC1180" s="525" t="str">
        <f>IF(LANÇ_MOV[[#This Row],[DATA DE LANÇAMENTO]]="","",PROPER(TEXT(LANÇ_MOV[[#This Row],[DATA DE LANÇAMENTO]],"M")))</f>
        <v/>
      </c>
      <c r="AD1180" s="524" t="str">
        <f>IF(LANÇ_MOV[[#This Row],[DATA DE LANÇAMENTO]]="","",TEXT(LANÇ_MOV[[#This Row],[DATA DE LANÇAMENTO]],"D"))</f>
        <v/>
      </c>
      <c r="AE1180" s="526" t="str">
        <f>IF(LANÇ_MOV[[#This Row],[DATA DE VENCIMENTO]]="","",TEXT(LANÇ_MOV[[#This Row],[DATA DE VENCIMENTO]],"AAAA"))</f>
        <v/>
      </c>
      <c r="AF1180" s="526" t="str">
        <f>IF(LANÇ_MOV[[#This Row],[DATA DE VENCIMENTO]]="","",UPPER(TEXT(LANÇ_MOV[[#This Row],[DATA DE VENCIMENTO]],"MMMM")))</f>
        <v/>
      </c>
      <c r="AG1180" s="526" t="str">
        <f>IF(LANÇ_MOV[[#This Row],[DATA DE VENCIMENTO]]="","",TEXT(LANÇ_MOV[[#This Row],[DATA DE VENCIMENTO]],"M"))</f>
        <v/>
      </c>
      <c r="AH1180" s="526" t="str">
        <f>IF(LANÇ_MOV[[#This Row],[DATA DE VENCIMENTO]]="","",TEXT(LANÇ_MOV[[#This Row],[DATA DE VENCIMENTO]],"D"))</f>
        <v/>
      </c>
      <c r="AI1180" s="526" t="str">
        <f>IF(LANÇ_MOV[[#This Row],[DATA DE PAGAMENTO]]="","",TEXT(LANÇ_MOV[[#This Row],[DATA DE PAGAMENTO]],"AAAA"))</f>
        <v/>
      </c>
      <c r="AJ1180" s="527" t="str">
        <f>IF(LANÇ_MOV[[#This Row],[DATA DE PAGAMENTO]]="","",UPPER(TEXT(LANÇ_MOV[[#This Row],[DATA DE PAGAMENTO]],"MMMM")))</f>
        <v/>
      </c>
      <c r="AK1180" s="527" t="str">
        <f>IF(LANÇ_MOV[[#This Row],[DATA DE PAGAMENTO]]="","",TEXT(LANÇ_MOV[[#This Row],[DATA DE PAGAMENTO]],"M"))</f>
        <v/>
      </c>
      <c r="AL1180" s="526" t="str">
        <f>IF(LANÇ_MOV[[#This Row],[DATA DE PAGAMENTO]]="","",TEXT(LANÇ_MOV[[#This Row],[DATA DE PAGAMENTO]],"D"))</f>
        <v/>
      </c>
    </row>
    <row r="1181" spans="2:38" ht="30.05" customHeight="1" x14ac:dyDescent="0.35">
      <c r="B1181" s="506"/>
      <c r="C1181" s="507"/>
      <c r="D1181" s="508" t="s">
        <v>1854</v>
      </c>
      <c r="E1181" s="509"/>
      <c r="F1181" s="510"/>
      <c r="G1181" s="507"/>
      <c r="H1181" s="511"/>
      <c r="I1181" s="512"/>
      <c r="J1181" s="518"/>
      <c r="K1181" s="510"/>
      <c r="L1181" s="510"/>
      <c r="M1181" s="548"/>
      <c r="N1181" s="514">
        <f>LANÇ_MOV[[#This Row],[VALOR BRUTO]]-LANÇ_MOV[[#This Row],[DESCONTO]]+LANÇ_MOV[[#This Row],[JUROS]]+LANÇ_MOV[[#This Row],[MULTA]]</f>
        <v>0</v>
      </c>
      <c r="O1181" s="546"/>
      <c r="P1181" s="547" t="str">
        <f t="shared" ca="1" si="18"/>
        <v/>
      </c>
      <c r="Q1181" s="528"/>
      <c r="R1181" s="529"/>
      <c r="S1181" s="518"/>
      <c r="T1181" s="518"/>
      <c r="U1181" s="519"/>
      <c r="V1181" s="520" t="str">
        <f>IFERROR(VLOOKUP(LANÇ_MOV[[#This Row],[PLANO DE CONTAS]],Plano_Contas[[PLANO DE CONTAS]:[R / D]],3,0),"")</f>
        <v/>
      </c>
      <c r="W1181" s="521" t="str">
        <f>IF(LANÇ_MOV[[#This Row],[DATA DE PAGAMENTO]]&lt;&gt;"","Pago","Não Pago")</f>
        <v>Não Pago</v>
      </c>
      <c r="X1181" s="522" t="str">
        <f>IFERROR(IF(LANÇ_MOV[[#This Row],[DATA DE PAGAMENTO]]="","",(UPPER(TEXT(LANÇ_MOV[[#This Row],[DATA DE PAGAMENTO]],"mmmm")))),"")</f>
        <v/>
      </c>
      <c r="Y1181" s="523" t="str">
        <f>IFERROR(VLOOKUP(LANÇ_MOV[[#This Row],[PLANO DE CONTAS]],Plano_Contas[[PLANO DE CONTAS]:[NOMES INTERVALOS]],2,0),"")</f>
        <v/>
      </c>
      <c r="Z1181" s="523" t="str">
        <f>IF(LANÇ_MOV[[#This Row],[FORMA DE PAGAMENTO]]="","",VLOOKUP(LANÇ_MOV[[#This Row],[FORMA DE PAGAMENTO]],CAD_Forma_pagto[],2,0))</f>
        <v/>
      </c>
      <c r="AA1181" s="524" t="str">
        <f>IF(LANÇ_MOV[[#This Row],[DATA DE LANÇAMENTO]]="","",TEXT(LANÇ_MOV[[#This Row],[DATA DE LANÇAMENTO]],"AAAA"))</f>
        <v/>
      </c>
      <c r="AB1181" s="524" t="str">
        <f>IF(LANÇ_MOV[[#This Row],[DATA DE LANÇAMENTO]]="","",UPPER(TEXT(LANÇ_MOV[[#This Row],[DATA DE LANÇAMENTO]],"MMMM")))</f>
        <v/>
      </c>
      <c r="AC1181" s="525" t="str">
        <f>IF(LANÇ_MOV[[#This Row],[DATA DE LANÇAMENTO]]="","",PROPER(TEXT(LANÇ_MOV[[#This Row],[DATA DE LANÇAMENTO]],"M")))</f>
        <v/>
      </c>
      <c r="AD1181" s="524" t="str">
        <f>IF(LANÇ_MOV[[#This Row],[DATA DE LANÇAMENTO]]="","",TEXT(LANÇ_MOV[[#This Row],[DATA DE LANÇAMENTO]],"D"))</f>
        <v/>
      </c>
      <c r="AE1181" s="526" t="str">
        <f>IF(LANÇ_MOV[[#This Row],[DATA DE VENCIMENTO]]="","",TEXT(LANÇ_MOV[[#This Row],[DATA DE VENCIMENTO]],"AAAA"))</f>
        <v/>
      </c>
      <c r="AF1181" s="526" t="str">
        <f>IF(LANÇ_MOV[[#This Row],[DATA DE VENCIMENTO]]="","",UPPER(TEXT(LANÇ_MOV[[#This Row],[DATA DE VENCIMENTO]],"MMMM")))</f>
        <v/>
      </c>
      <c r="AG1181" s="526" t="str">
        <f>IF(LANÇ_MOV[[#This Row],[DATA DE VENCIMENTO]]="","",TEXT(LANÇ_MOV[[#This Row],[DATA DE VENCIMENTO]],"M"))</f>
        <v/>
      </c>
      <c r="AH1181" s="526" t="str">
        <f>IF(LANÇ_MOV[[#This Row],[DATA DE VENCIMENTO]]="","",TEXT(LANÇ_MOV[[#This Row],[DATA DE VENCIMENTO]],"D"))</f>
        <v/>
      </c>
      <c r="AI1181" s="526" t="str">
        <f>IF(LANÇ_MOV[[#This Row],[DATA DE PAGAMENTO]]="","",TEXT(LANÇ_MOV[[#This Row],[DATA DE PAGAMENTO]],"AAAA"))</f>
        <v/>
      </c>
      <c r="AJ1181" s="527" t="str">
        <f>IF(LANÇ_MOV[[#This Row],[DATA DE PAGAMENTO]]="","",UPPER(TEXT(LANÇ_MOV[[#This Row],[DATA DE PAGAMENTO]],"MMMM")))</f>
        <v/>
      </c>
      <c r="AK1181" s="527" t="str">
        <f>IF(LANÇ_MOV[[#This Row],[DATA DE PAGAMENTO]]="","",TEXT(LANÇ_MOV[[#This Row],[DATA DE PAGAMENTO]],"M"))</f>
        <v/>
      </c>
      <c r="AL1181" s="526" t="str">
        <f>IF(LANÇ_MOV[[#This Row],[DATA DE PAGAMENTO]]="","",TEXT(LANÇ_MOV[[#This Row],[DATA DE PAGAMENTO]],"D"))</f>
        <v/>
      </c>
    </row>
    <row r="1182" spans="2:38" ht="30.05" customHeight="1" x14ac:dyDescent="0.35">
      <c r="B1182" s="506"/>
      <c r="C1182" s="507"/>
      <c r="D1182" s="508" t="s">
        <v>1854</v>
      </c>
      <c r="E1182" s="509"/>
      <c r="F1182" s="510"/>
      <c r="G1182" s="507"/>
      <c r="H1182" s="511"/>
      <c r="I1182" s="512"/>
      <c r="J1182" s="518"/>
      <c r="K1182" s="510"/>
      <c r="L1182" s="510"/>
      <c r="M1182" s="548"/>
      <c r="N1182" s="514">
        <f>LANÇ_MOV[[#This Row],[VALOR BRUTO]]-LANÇ_MOV[[#This Row],[DESCONTO]]+LANÇ_MOV[[#This Row],[JUROS]]+LANÇ_MOV[[#This Row],[MULTA]]</f>
        <v>0</v>
      </c>
      <c r="O1182" s="546"/>
      <c r="P1182" s="547" t="str">
        <f t="shared" ca="1" si="18"/>
        <v/>
      </c>
      <c r="Q1182" s="528"/>
      <c r="R1182" s="529"/>
      <c r="S1182" s="518"/>
      <c r="T1182" s="518"/>
      <c r="U1182" s="519"/>
      <c r="V1182" s="520" t="str">
        <f>IFERROR(VLOOKUP(LANÇ_MOV[[#This Row],[PLANO DE CONTAS]],Plano_Contas[[PLANO DE CONTAS]:[R / D]],3,0),"")</f>
        <v/>
      </c>
      <c r="W1182" s="521" t="str">
        <f>IF(LANÇ_MOV[[#This Row],[DATA DE PAGAMENTO]]&lt;&gt;"","Pago","Não Pago")</f>
        <v>Não Pago</v>
      </c>
      <c r="X1182" s="522" t="str">
        <f>IFERROR(IF(LANÇ_MOV[[#This Row],[DATA DE PAGAMENTO]]="","",(UPPER(TEXT(LANÇ_MOV[[#This Row],[DATA DE PAGAMENTO]],"mmmm")))),"")</f>
        <v/>
      </c>
      <c r="Y1182" s="523" t="str">
        <f>IFERROR(VLOOKUP(LANÇ_MOV[[#This Row],[PLANO DE CONTAS]],Plano_Contas[[PLANO DE CONTAS]:[NOMES INTERVALOS]],2,0),"")</f>
        <v/>
      </c>
      <c r="Z1182" s="523" t="str">
        <f>IF(LANÇ_MOV[[#This Row],[FORMA DE PAGAMENTO]]="","",VLOOKUP(LANÇ_MOV[[#This Row],[FORMA DE PAGAMENTO]],CAD_Forma_pagto[],2,0))</f>
        <v/>
      </c>
      <c r="AA1182" s="524" t="str">
        <f>IF(LANÇ_MOV[[#This Row],[DATA DE LANÇAMENTO]]="","",TEXT(LANÇ_MOV[[#This Row],[DATA DE LANÇAMENTO]],"AAAA"))</f>
        <v/>
      </c>
      <c r="AB1182" s="524" t="str">
        <f>IF(LANÇ_MOV[[#This Row],[DATA DE LANÇAMENTO]]="","",UPPER(TEXT(LANÇ_MOV[[#This Row],[DATA DE LANÇAMENTO]],"MMMM")))</f>
        <v/>
      </c>
      <c r="AC1182" s="525" t="str">
        <f>IF(LANÇ_MOV[[#This Row],[DATA DE LANÇAMENTO]]="","",PROPER(TEXT(LANÇ_MOV[[#This Row],[DATA DE LANÇAMENTO]],"M")))</f>
        <v/>
      </c>
      <c r="AD1182" s="524" t="str">
        <f>IF(LANÇ_MOV[[#This Row],[DATA DE LANÇAMENTO]]="","",TEXT(LANÇ_MOV[[#This Row],[DATA DE LANÇAMENTO]],"D"))</f>
        <v/>
      </c>
      <c r="AE1182" s="526" t="str">
        <f>IF(LANÇ_MOV[[#This Row],[DATA DE VENCIMENTO]]="","",TEXT(LANÇ_MOV[[#This Row],[DATA DE VENCIMENTO]],"AAAA"))</f>
        <v/>
      </c>
      <c r="AF1182" s="526" t="str">
        <f>IF(LANÇ_MOV[[#This Row],[DATA DE VENCIMENTO]]="","",UPPER(TEXT(LANÇ_MOV[[#This Row],[DATA DE VENCIMENTO]],"MMMM")))</f>
        <v/>
      </c>
      <c r="AG1182" s="526" t="str">
        <f>IF(LANÇ_MOV[[#This Row],[DATA DE VENCIMENTO]]="","",TEXT(LANÇ_MOV[[#This Row],[DATA DE VENCIMENTO]],"M"))</f>
        <v/>
      </c>
      <c r="AH1182" s="526" t="str">
        <f>IF(LANÇ_MOV[[#This Row],[DATA DE VENCIMENTO]]="","",TEXT(LANÇ_MOV[[#This Row],[DATA DE VENCIMENTO]],"D"))</f>
        <v/>
      </c>
      <c r="AI1182" s="526" t="str">
        <f>IF(LANÇ_MOV[[#This Row],[DATA DE PAGAMENTO]]="","",TEXT(LANÇ_MOV[[#This Row],[DATA DE PAGAMENTO]],"AAAA"))</f>
        <v/>
      </c>
      <c r="AJ1182" s="527" t="str">
        <f>IF(LANÇ_MOV[[#This Row],[DATA DE PAGAMENTO]]="","",UPPER(TEXT(LANÇ_MOV[[#This Row],[DATA DE PAGAMENTO]],"MMMM")))</f>
        <v/>
      </c>
      <c r="AK1182" s="527" t="str">
        <f>IF(LANÇ_MOV[[#This Row],[DATA DE PAGAMENTO]]="","",TEXT(LANÇ_MOV[[#This Row],[DATA DE PAGAMENTO]],"M"))</f>
        <v/>
      </c>
      <c r="AL1182" s="526" t="str">
        <f>IF(LANÇ_MOV[[#This Row],[DATA DE PAGAMENTO]]="","",TEXT(LANÇ_MOV[[#This Row],[DATA DE PAGAMENTO]],"D"))</f>
        <v/>
      </c>
    </row>
    <row r="1183" spans="2:38" ht="30.05" customHeight="1" x14ac:dyDescent="0.35">
      <c r="B1183" s="506"/>
      <c r="C1183" s="507"/>
      <c r="D1183" s="508" t="s">
        <v>1854</v>
      </c>
      <c r="E1183" s="509"/>
      <c r="F1183" s="510"/>
      <c r="G1183" s="507"/>
      <c r="H1183" s="511"/>
      <c r="I1183" s="512"/>
      <c r="J1183" s="518"/>
      <c r="K1183" s="510"/>
      <c r="L1183" s="510"/>
      <c r="M1183" s="548"/>
      <c r="N1183" s="514">
        <f>LANÇ_MOV[[#This Row],[VALOR BRUTO]]-LANÇ_MOV[[#This Row],[DESCONTO]]+LANÇ_MOV[[#This Row],[JUROS]]+LANÇ_MOV[[#This Row],[MULTA]]</f>
        <v>0</v>
      </c>
      <c r="O1183" s="546"/>
      <c r="P1183" s="547" t="str">
        <f t="shared" ca="1" si="18"/>
        <v/>
      </c>
      <c r="Q1183" s="528"/>
      <c r="R1183" s="529"/>
      <c r="S1183" s="518"/>
      <c r="T1183" s="518"/>
      <c r="U1183" s="519"/>
      <c r="V1183" s="520" t="str">
        <f>IFERROR(VLOOKUP(LANÇ_MOV[[#This Row],[PLANO DE CONTAS]],Plano_Contas[[PLANO DE CONTAS]:[R / D]],3,0),"")</f>
        <v/>
      </c>
      <c r="W1183" s="521" t="str">
        <f>IF(LANÇ_MOV[[#This Row],[DATA DE PAGAMENTO]]&lt;&gt;"","Pago","Não Pago")</f>
        <v>Não Pago</v>
      </c>
      <c r="X1183" s="522" t="str">
        <f>IFERROR(IF(LANÇ_MOV[[#This Row],[DATA DE PAGAMENTO]]="","",(UPPER(TEXT(LANÇ_MOV[[#This Row],[DATA DE PAGAMENTO]],"mmmm")))),"")</f>
        <v/>
      </c>
      <c r="Y1183" s="523" t="str">
        <f>IFERROR(VLOOKUP(LANÇ_MOV[[#This Row],[PLANO DE CONTAS]],Plano_Contas[[PLANO DE CONTAS]:[NOMES INTERVALOS]],2,0),"")</f>
        <v/>
      </c>
      <c r="Z1183" s="523" t="str">
        <f>IF(LANÇ_MOV[[#This Row],[FORMA DE PAGAMENTO]]="","",VLOOKUP(LANÇ_MOV[[#This Row],[FORMA DE PAGAMENTO]],CAD_Forma_pagto[],2,0))</f>
        <v/>
      </c>
      <c r="AA1183" s="524" t="str">
        <f>IF(LANÇ_MOV[[#This Row],[DATA DE LANÇAMENTO]]="","",TEXT(LANÇ_MOV[[#This Row],[DATA DE LANÇAMENTO]],"AAAA"))</f>
        <v/>
      </c>
      <c r="AB1183" s="524" t="str">
        <f>IF(LANÇ_MOV[[#This Row],[DATA DE LANÇAMENTO]]="","",UPPER(TEXT(LANÇ_MOV[[#This Row],[DATA DE LANÇAMENTO]],"MMMM")))</f>
        <v/>
      </c>
      <c r="AC1183" s="525" t="str">
        <f>IF(LANÇ_MOV[[#This Row],[DATA DE LANÇAMENTO]]="","",PROPER(TEXT(LANÇ_MOV[[#This Row],[DATA DE LANÇAMENTO]],"M")))</f>
        <v/>
      </c>
      <c r="AD1183" s="524" t="str">
        <f>IF(LANÇ_MOV[[#This Row],[DATA DE LANÇAMENTO]]="","",TEXT(LANÇ_MOV[[#This Row],[DATA DE LANÇAMENTO]],"D"))</f>
        <v/>
      </c>
      <c r="AE1183" s="526" t="str">
        <f>IF(LANÇ_MOV[[#This Row],[DATA DE VENCIMENTO]]="","",TEXT(LANÇ_MOV[[#This Row],[DATA DE VENCIMENTO]],"AAAA"))</f>
        <v/>
      </c>
      <c r="AF1183" s="526" t="str">
        <f>IF(LANÇ_MOV[[#This Row],[DATA DE VENCIMENTO]]="","",UPPER(TEXT(LANÇ_MOV[[#This Row],[DATA DE VENCIMENTO]],"MMMM")))</f>
        <v/>
      </c>
      <c r="AG1183" s="526" t="str">
        <f>IF(LANÇ_MOV[[#This Row],[DATA DE VENCIMENTO]]="","",TEXT(LANÇ_MOV[[#This Row],[DATA DE VENCIMENTO]],"M"))</f>
        <v/>
      </c>
      <c r="AH1183" s="526" t="str">
        <f>IF(LANÇ_MOV[[#This Row],[DATA DE VENCIMENTO]]="","",TEXT(LANÇ_MOV[[#This Row],[DATA DE VENCIMENTO]],"D"))</f>
        <v/>
      </c>
      <c r="AI1183" s="526" t="str">
        <f>IF(LANÇ_MOV[[#This Row],[DATA DE PAGAMENTO]]="","",TEXT(LANÇ_MOV[[#This Row],[DATA DE PAGAMENTO]],"AAAA"))</f>
        <v/>
      </c>
      <c r="AJ1183" s="527" t="str">
        <f>IF(LANÇ_MOV[[#This Row],[DATA DE PAGAMENTO]]="","",UPPER(TEXT(LANÇ_MOV[[#This Row],[DATA DE PAGAMENTO]],"MMMM")))</f>
        <v/>
      </c>
      <c r="AK1183" s="527" t="str">
        <f>IF(LANÇ_MOV[[#This Row],[DATA DE PAGAMENTO]]="","",TEXT(LANÇ_MOV[[#This Row],[DATA DE PAGAMENTO]],"M"))</f>
        <v/>
      </c>
      <c r="AL1183" s="526" t="str">
        <f>IF(LANÇ_MOV[[#This Row],[DATA DE PAGAMENTO]]="","",TEXT(LANÇ_MOV[[#This Row],[DATA DE PAGAMENTO]],"D"))</f>
        <v/>
      </c>
    </row>
    <row r="1184" spans="2:38" ht="30.05" customHeight="1" x14ac:dyDescent="0.35">
      <c r="B1184" s="506"/>
      <c r="C1184" s="507"/>
      <c r="D1184" s="508" t="s">
        <v>1854</v>
      </c>
      <c r="E1184" s="509"/>
      <c r="F1184" s="510"/>
      <c r="G1184" s="507"/>
      <c r="H1184" s="511"/>
      <c r="I1184" s="512"/>
      <c r="J1184" s="518"/>
      <c r="K1184" s="510"/>
      <c r="L1184" s="510"/>
      <c r="M1184" s="548"/>
      <c r="N1184" s="514">
        <f>LANÇ_MOV[[#This Row],[VALOR BRUTO]]-LANÇ_MOV[[#This Row],[DESCONTO]]+LANÇ_MOV[[#This Row],[JUROS]]+LANÇ_MOV[[#This Row],[MULTA]]</f>
        <v>0</v>
      </c>
      <c r="O1184" s="546"/>
      <c r="P1184" s="547" t="str">
        <f t="shared" ca="1" si="18"/>
        <v/>
      </c>
      <c r="Q1184" s="528"/>
      <c r="R1184" s="529"/>
      <c r="S1184" s="518"/>
      <c r="T1184" s="518"/>
      <c r="U1184" s="519"/>
      <c r="V1184" s="520" t="str">
        <f>IFERROR(VLOOKUP(LANÇ_MOV[[#This Row],[PLANO DE CONTAS]],Plano_Contas[[PLANO DE CONTAS]:[R / D]],3,0),"")</f>
        <v/>
      </c>
      <c r="W1184" s="521" t="str">
        <f>IF(LANÇ_MOV[[#This Row],[DATA DE PAGAMENTO]]&lt;&gt;"","Pago","Não Pago")</f>
        <v>Não Pago</v>
      </c>
      <c r="X1184" s="522" t="str">
        <f>IFERROR(IF(LANÇ_MOV[[#This Row],[DATA DE PAGAMENTO]]="","",(UPPER(TEXT(LANÇ_MOV[[#This Row],[DATA DE PAGAMENTO]],"mmmm")))),"")</f>
        <v/>
      </c>
      <c r="Y1184" s="523" t="str">
        <f>IFERROR(VLOOKUP(LANÇ_MOV[[#This Row],[PLANO DE CONTAS]],Plano_Contas[[PLANO DE CONTAS]:[NOMES INTERVALOS]],2,0),"")</f>
        <v/>
      </c>
      <c r="Z1184" s="523" t="str">
        <f>IF(LANÇ_MOV[[#This Row],[FORMA DE PAGAMENTO]]="","",VLOOKUP(LANÇ_MOV[[#This Row],[FORMA DE PAGAMENTO]],CAD_Forma_pagto[],2,0))</f>
        <v/>
      </c>
      <c r="AA1184" s="524" t="str">
        <f>IF(LANÇ_MOV[[#This Row],[DATA DE LANÇAMENTO]]="","",TEXT(LANÇ_MOV[[#This Row],[DATA DE LANÇAMENTO]],"AAAA"))</f>
        <v/>
      </c>
      <c r="AB1184" s="524" t="str">
        <f>IF(LANÇ_MOV[[#This Row],[DATA DE LANÇAMENTO]]="","",UPPER(TEXT(LANÇ_MOV[[#This Row],[DATA DE LANÇAMENTO]],"MMMM")))</f>
        <v/>
      </c>
      <c r="AC1184" s="525" t="str">
        <f>IF(LANÇ_MOV[[#This Row],[DATA DE LANÇAMENTO]]="","",PROPER(TEXT(LANÇ_MOV[[#This Row],[DATA DE LANÇAMENTO]],"M")))</f>
        <v/>
      </c>
      <c r="AD1184" s="524" t="str">
        <f>IF(LANÇ_MOV[[#This Row],[DATA DE LANÇAMENTO]]="","",TEXT(LANÇ_MOV[[#This Row],[DATA DE LANÇAMENTO]],"D"))</f>
        <v/>
      </c>
      <c r="AE1184" s="526" t="str">
        <f>IF(LANÇ_MOV[[#This Row],[DATA DE VENCIMENTO]]="","",TEXT(LANÇ_MOV[[#This Row],[DATA DE VENCIMENTO]],"AAAA"))</f>
        <v/>
      </c>
      <c r="AF1184" s="526" t="str">
        <f>IF(LANÇ_MOV[[#This Row],[DATA DE VENCIMENTO]]="","",UPPER(TEXT(LANÇ_MOV[[#This Row],[DATA DE VENCIMENTO]],"MMMM")))</f>
        <v/>
      </c>
      <c r="AG1184" s="526" t="str">
        <f>IF(LANÇ_MOV[[#This Row],[DATA DE VENCIMENTO]]="","",TEXT(LANÇ_MOV[[#This Row],[DATA DE VENCIMENTO]],"M"))</f>
        <v/>
      </c>
      <c r="AH1184" s="526" t="str">
        <f>IF(LANÇ_MOV[[#This Row],[DATA DE VENCIMENTO]]="","",TEXT(LANÇ_MOV[[#This Row],[DATA DE VENCIMENTO]],"D"))</f>
        <v/>
      </c>
      <c r="AI1184" s="526" t="str">
        <f>IF(LANÇ_MOV[[#This Row],[DATA DE PAGAMENTO]]="","",TEXT(LANÇ_MOV[[#This Row],[DATA DE PAGAMENTO]],"AAAA"))</f>
        <v/>
      </c>
      <c r="AJ1184" s="527" t="str">
        <f>IF(LANÇ_MOV[[#This Row],[DATA DE PAGAMENTO]]="","",UPPER(TEXT(LANÇ_MOV[[#This Row],[DATA DE PAGAMENTO]],"MMMM")))</f>
        <v/>
      </c>
      <c r="AK1184" s="527" t="str">
        <f>IF(LANÇ_MOV[[#This Row],[DATA DE PAGAMENTO]]="","",TEXT(LANÇ_MOV[[#This Row],[DATA DE PAGAMENTO]],"M"))</f>
        <v/>
      </c>
      <c r="AL1184" s="526" t="str">
        <f>IF(LANÇ_MOV[[#This Row],[DATA DE PAGAMENTO]]="","",TEXT(LANÇ_MOV[[#This Row],[DATA DE PAGAMENTO]],"D"))</f>
        <v/>
      </c>
    </row>
    <row r="1185" spans="2:38" ht="30.05" customHeight="1" x14ac:dyDescent="0.35">
      <c r="B1185" s="506"/>
      <c r="C1185" s="507"/>
      <c r="D1185" s="508" t="s">
        <v>1854</v>
      </c>
      <c r="E1185" s="509"/>
      <c r="F1185" s="510"/>
      <c r="G1185" s="507"/>
      <c r="H1185" s="511"/>
      <c r="I1185" s="512"/>
      <c r="J1185" s="518"/>
      <c r="K1185" s="510"/>
      <c r="L1185" s="510"/>
      <c r="M1185" s="548"/>
      <c r="N1185" s="514">
        <f>LANÇ_MOV[[#This Row],[VALOR BRUTO]]-LANÇ_MOV[[#This Row],[DESCONTO]]+LANÇ_MOV[[#This Row],[JUROS]]+LANÇ_MOV[[#This Row],[MULTA]]</f>
        <v>0</v>
      </c>
      <c r="O1185" s="546"/>
      <c r="P1185" s="547" t="str">
        <f t="shared" ca="1" si="18"/>
        <v/>
      </c>
      <c r="Q1185" s="528"/>
      <c r="R1185" s="529"/>
      <c r="S1185" s="518"/>
      <c r="T1185" s="518"/>
      <c r="U1185" s="519"/>
      <c r="V1185" s="520" t="str">
        <f>IFERROR(VLOOKUP(LANÇ_MOV[[#This Row],[PLANO DE CONTAS]],Plano_Contas[[PLANO DE CONTAS]:[R / D]],3,0),"")</f>
        <v/>
      </c>
      <c r="W1185" s="521" t="str">
        <f>IF(LANÇ_MOV[[#This Row],[DATA DE PAGAMENTO]]&lt;&gt;"","Pago","Não Pago")</f>
        <v>Não Pago</v>
      </c>
      <c r="X1185" s="522" t="str">
        <f>IFERROR(IF(LANÇ_MOV[[#This Row],[DATA DE PAGAMENTO]]="","",(UPPER(TEXT(LANÇ_MOV[[#This Row],[DATA DE PAGAMENTO]],"mmmm")))),"")</f>
        <v/>
      </c>
      <c r="Y1185" s="523" t="str">
        <f>IFERROR(VLOOKUP(LANÇ_MOV[[#This Row],[PLANO DE CONTAS]],Plano_Contas[[PLANO DE CONTAS]:[NOMES INTERVALOS]],2,0),"")</f>
        <v/>
      </c>
      <c r="Z1185" s="523" t="str">
        <f>IF(LANÇ_MOV[[#This Row],[FORMA DE PAGAMENTO]]="","",VLOOKUP(LANÇ_MOV[[#This Row],[FORMA DE PAGAMENTO]],CAD_Forma_pagto[],2,0))</f>
        <v/>
      </c>
      <c r="AA1185" s="524" t="str">
        <f>IF(LANÇ_MOV[[#This Row],[DATA DE LANÇAMENTO]]="","",TEXT(LANÇ_MOV[[#This Row],[DATA DE LANÇAMENTO]],"AAAA"))</f>
        <v/>
      </c>
      <c r="AB1185" s="524" t="str">
        <f>IF(LANÇ_MOV[[#This Row],[DATA DE LANÇAMENTO]]="","",UPPER(TEXT(LANÇ_MOV[[#This Row],[DATA DE LANÇAMENTO]],"MMMM")))</f>
        <v/>
      </c>
      <c r="AC1185" s="525" t="str">
        <f>IF(LANÇ_MOV[[#This Row],[DATA DE LANÇAMENTO]]="","",PROPER(TEXT(LANÇ_MOV[[#This Row],[DATA DE LANÇAMENTO]],"M")))</f>
        <v/>
      </c>
      <c r="AD1185" s="524" t="str">
        <f>IF(LANÇ_MOV[[#This Row],[DATA DE LANÇAMENTO]]="","",TEXT(LANÇ_MOV[[#This Row],[DATA DE LANÇAMENTO]],"D"))</f>
        <v/>
      </c>
      <c r="AE1185" s="526" t="str">
        <f>IF(LANÇ_MOV[[#This Row],[DATA DE VENCIMENTO]]="","",TEXT(LANÇ_MOV[[#This Row],[DATA DE VENCIMENTO]],"AAAA"))</f>
        <v/>
      </c>
      <c r="AF1185" s="526" t="str">
        <f>IF(LANÇ_MOV[[#This Row],[DATA DE VENCIMENTO]]="","",UPPER(TEXT(LANÇ_MOV[[#This Row],[DATA DE VENCIMENTO]],"MMMM")))</f>
        <v/>
      </c>
      <c r="AG1185" s="526" t="str">
        <f>IF(LANÇ_MOV[[#This Row],[DATA DE VENCIMENTO]]="","",TEXT(LANÇ_MOV[[#This Row],[DATA DE VENCIMENTO]],"M"))</f>
        <v/>
      </c>
      <c r="AH1185" s="526" t="str">
        <f>IF(LANÇ_MOV[[#This Row],[DATA DE VENCIMENTO]]="","",TEXT(LANÇ_MOV[[#This Row],[DATA DE VENCIMENTO]],"D"))</f>
        <v/>
      </c>
      <c r="AI1185" s="526" t="str">
        <f>IF(LANÇ_MOV[[#This Row],[DATA DE PAGAMENTO]]="","",TEXT(LANÇ_MOV[[#This Row],[DATA DE PAGAMENTO]],"AAAA"))</f>
        <v/>
      </c>
      <c r="AJ1185" s="527" t="str">
        <f>IF(LANÇ_MOV[[#This Row],[DATA DE PAGAMENTO]]="","",UPPER(TEXT(LANÇ_MOV[[#This Row],[DATA DE PAGAMENTO]],"MMMM")))</f>
        <v/>
      </c>
      <c r="AK1185" s="527" t="str">
        <f>IF(LANÇ_MOV[[#This Row],[DATA DE PAGAMENTO]]="","",TEXT(LANÇ_MOV[[#This Row],[DATA DE PAGAMENTO]],"M"))</f>
        <v/>
      </c>
      <c r="AL1185" s="526" t="str">
        <f>IF(LANÇ_MOV[[#This Row],[DATA DE PAGAMENTO]]="","",TEXT(LANÇ_MOV[[#This Row],[DATA DE PAGAMENTO]],"D"))</f>
        <v/>
      </c>
    </row>
    <row r="1186" spans="2:38" ht="30.05" customHeight="1" x14ac:dyDescent="0.35">
      <c r="B1186" s="506"/>
      <c r="C1186" s="507"/>
      <c r="D1186" s="508" t="s">
        <v>1854</v>
      </c>
      <c r="E1186" s="509"/>
      <c r="F1186" s="510"/>
      <c r="G1186" s="507"/>
      <c r="H1186" s="511"/>
      <c r="I1186" s="512"/>
      <c r="J1186" s="518"/>
      <c r="K1186" s="510"/>
      <c r="L1186" s="510"/>
      <c r="M1186" s="548"/>
      <c r="N1186" s="514">
        <f>LANÇ_MOV[[#This Row],[VALOR BRUTO]]-LANÇ_MOV[[#This Row],[DESCONTO]]+LANÇ_MOV[[#This Row],[JUROS]]+LANÇ_MOV[[#This Row],[MULTA]]</f>
        <v>0</v>
      </c>
      <c r="O1186" s="546"/>
      <c r="P1186" s="547" t="str">
        <f t="shared" ca="1" si="18"/>
        <v/>
      </c>
      <c r="Q1186" s="528"/>
      <c r="R1186" s="529"/>
      <c r="S1186" s="518"/>
      <c r="T1186" s="518"/>
      <c r="U1186" s="519"/>
      <c r="V1186" s="520" t="str">
        <f>IFERROR(VLOOKUP(LANÇ_MOV[[#This Row],[PLANO DE CONTAS]],Plano_Contas[[PLANO DE CONTAS]:[R / D]],3,0),"")</f>
        <v/>
      </c>
      <c r="W1186" s="521" t="str">
        <f>IF(LANÇ_MOV[[#This Row],[DATA DE PAGAMENTO]]&lt;&gt;"","Pago","Não Pago")</f>
        <v>Não Pago</v>
      </c>
      <c r="X1186" s="522" t="str">
        <f>IFERROR(IF(LANÇ_MOV[[#This Row],[DATA DE PAGAMENTO]]="","",(UPPER(TEXT(LANÇ_MOV[[#This Row],[DATA DE PAGAMENTO]],"mmmm")))),"")</f>
        <v/>
      </c>
      <c r="Y1186" s="523" t="str">
        <f>IFERROR(VLOOKUP(LANÇ_MOV[[#This Row],[PLANO DE CONTAS]],Plano_Contas[[PLANO DE CONTAS]:[NOMES INTERVALOS]],2,0),"")</f>
        <v/>
      </c>
      <c r="Z1186" s="523" t="str">
        <f>IF(LANÇ_MOV[[#This Row],[FORMA DE PAGAMENTO]]="","",VLOOKUP(LANÇ_MOV[[#This Row],[FORMA DE PAGAMENTO]],CAD_Forma_pagto[],2,0))</f>
        <v/>
      </c>
      <c r="AA1186" s="524" t="str">
        <f>IF(LANÇ_MOV[[#This Row],[DATA DE LANÇAMENTO]]="","",TEXT(LANÇ_MOV[[#This Row],[DATA DE LANÇAMENTO]],"AAAA"))</f>
        <v/>
      </c>
      <c r="AB1186" s="524" t="str">
        <f>IF(LANÇ_MOV[[#This Row],[DATA DE LANÇAMENTO]]="","",UPPER(TEXT(LANÇ_MOV[[#This Row],[DATA DE LANÇAMENTO]],"MMMM")))</f>
        <v/>
      </c>
      <c r="AC1186" s="525" t="str">
        <f>IF(LANÇ_MOV[[#This Row],[DATA DE LANÇAMENTO]]="","",PROPER(TEXT(LANÇ_MOV[[#This Row],[DATA DE LANÇAMENTO]],"M")))</f>
        <v/>
      </c>
      <c r="AD1186" s="524" t="str">
        <f>IF(LANÇ_MOV[[#This Row],[DATA DE LANÇAMENTO]]="","",TEXT(LANÇ_MOV[[#This Row],[DATA DE LANÇAMENTO]],"D"))</f>
        <v/>
      </c>
      <c r="AE1186" s="526" t="str">
        <f>IF(LANÇ_MOV[[#This Row],[DATA DE VENCIMENTO]]="","",TEXT(LANÇ_MOV[[#This Row],[DATA DE VENCIMENTO]],"AAAA"))</f>
        <v/>
      </c>
      <c r="AF1186" s="526" t="str">
        <f>IF(LANÇ_MOV[[#This Row],[DATA DE VENCIMENTO]]="","",UPPER(TEXT(LANÇ_MOV[[#This Row],[DATA DE VENCIMENTO]],"MMMM")))</f>
        <v/>
      </c>
      <c r="AG1186" s="526" t="str">
        <f>IF(LANÇ_MOV[[#This Row],[DATA DE VENCIMENTO]]="","",TEXT(LANÇ_MOV[[#This Row],[DATA DE VENCIMENTO]],"M"))</f>
        <v/>
      </c>
      <c r="AH1186" s="526" t="str">
        <f>IF(LANÇ_MOV[[#This Row],[DATA DE VENCIMENTO]]="","",TEXT(LANÇ_MOV[[#This Row],[DATA DE VENCIMENTO]],"D"))</f>
        <v/>
      </c>
      <c r="AI1186" s="526" t="str">
        <f>IF(LANÇ_MOV[[#This Row],[DATA DE PAGAMENTO]]="","",TEXT(LANÇ_MOV[[#This Row],[DATA DE PAGAMENTO]],"AAAA"))</f>
        <v/>
      </c>
      <c r="AJ1186" s="527" t="str">
        <f>IF(LANÇ_MOV[[#This Row],[DATA DE PAGAMENTO]]="","",UPPER(TEXT(LANÇ_MOV[[#This Row],[DATA DE PAGAMENTO]],"MMMM")))</f>
        <v/>
      </c>
      <c r="AK1186" s="527" t="str">
        <f>IF(LANÇ_MOV[[#This Row],[DATA DE PAGAMENTO]]="","",TEXT(LANÇ_MOV[[#This Row],[DATA DE PAGAMENTO]],"M"))</f>
        <v/>
      </c>
      <c r="AL1186" s="526" t="str">
        <f>IF(LANÇ_MOV[[#This Row],[DATA DE PAGAMENTO]]="","",TEXT(LANÇ_MOV[[#This Row],[DATA DE PAGAMENTO]],"D"))</f>
        <v/>
      </c>
    </row>
    <row r="1187" spans="2:38" ht="30.05" customHeight="1" x14ac:dyDescent="0.35">
      <c r="B1187" s="506"/>
      <c r="C1187" s="507"/>
      <c r="D1187" s="508" t="s">
        <v>1854</v>
      </c>
      <c r="E1187" s="509"/>
      <c r="F1187" s="510"/>
      <c r="G1187" s="507"/>
      <c r="H1187" s="511"/>
      <c r="I1187" s="512"/>
      <c r="J1187" s="518"/>
      <c r="K1187" s="510"/>
      <c r="L1187" s="510"/>
      <c r="M1187" s="548"/>
      <c r="N1187" s="514">
        <f>LANÇ_MOV[[#This Row],[VALOR BRUTO]]-LANÇ_MOV[[#This Row],[DESCONTO]]+LANÇ_MOV[[#This Row],[JUROS]]+LANÇ_MOV[[#This Row],[MULTA]]</f>
        <v>0</v>
      </c>
      <c r="O1187" s="546"/>
      <c r="P1187" s="547" t="str">
        <f t="shared" ca="1" si="18"/>
        <v/>
      </c>
      <c r="Q1187" s="528"/>
      <c r="R1187" s="529"/>
      <c r="S1187" s="518"/>
      <c r="T1187" s="518"/>
      <c r="U1187" s="519"/>
      <c r="V1187" s="520" t="str">
        <f>IFERROR(VLOOKUP(LANÇ_MOV[[#This Row],[PLANO DE CONTAS]],Plano_Contas[[PLANO DE CONTAS]:[R / D]],3,0),"")</f>
        <v/>
      </c>
      <c r="W1187" s="521" t="str">
        <f>IF(LANÇ_MOV[[#This Row],[DATA DE PAGAMENTO]]&lt;&gt;"","Pago","Não Pago")</f>
        <v>Não Pago</v>
      </c>
      <c r="X1187" s="522" t="str">
        <f>IFERROR(IF(LANÇ_MOV[[#This Row],[DATA DE PAGAMENTO]]="","",(UPPER(TEXT(LANÇ_MOV[[#This Row],[DATA DE PAGAMENTO]],"mmmm")))),"")</f>
        <v/>
      </c>
      <c r="Y1187" s="523" t="str">
        <f>IFERROR(VLOOKUP(LANÇ_MOV[[#This Row],[PLANO DE CONTAS]],Plano_Contas[[PLANO DE CONTAS]:[NOMES INTERVALOS]],2,0),"")</f>
        <v/>
      </c>
      <c r="Z1187" s="523" t="str">
        <f>IF(LANÇ_MOV[[#This Row],[FORMA DE PAGAMENTO]]="","",VLOOKUP(LANÇ_MOV[[#This Row],[FORMA DE PAGAMENTO]],CAD_Forma_pagto[],2,0))</f>
        <v/>
      </c>
      <c r="AA1187" s="524" t="str">
        <f>IF(LANÇ_MOV[[#This Row],[DATA DE LANÇAMENTO]]="","",TEXT(LANÇ_MOV[[#This Row],[DATA DE LANÇAMENTO]],"AAAA"))</f>
        <v/>
      </c>
      <c r="AB1187" s="524" t="str">
        <f>IF(LANÇ_MOV[[#This Row],[DATA DE LANÇAMENTO]]="","",UPPER(TEXT(LANÇ_MOV[[#This Row],[DATA DE LANÇAMENTO]],"MMMM")))</f>
        <v/>
      </c>
      <c r="AC1187" s="525" t="str">
        <f>IF(LANÇ_MOV[[#This Row],[DATA DE LANÇAMENTO]]="","",PROPER(TEXT(LANÇ_MOV[[#This Row],[DATA DE LANÇAMENTO]],"M")))</f>
        <v/>
      </c>
      <c r="AD1187" s="524" t="str">
        <f>IF(LANÇ_MOV[[#This Row],[DATA DE LANÇAMENTO]]="","",TEXT(LANÇ_MOV[[#This Row],[DATA DE LANÇAMENTO]],"D"))</f>
        <v/>
      </c>
      <c r="AE1187" s="526" t="str">
        <f>IF(LANÇ_MOV[[#This Row],[DATA DE VENCIMENTO]]="","",TEXT(LANÇ_MOV[[#This Row],[DATA DE VENCIMENTO]],"AAAA"))</f>
        <v/>
      </c>
      <c r="AF1187" s="526" t="str">
        <f>IF(LANÇ_MOV[[#This Row],[DATA DE VENCIMENTO]]="","",UPPER(TEXT(LANÇ_MOV[[#This Row],[DATA DE VENCIMENTO]],"MMMM")))</f>
        <v/>
      </c>
      <c r="AG1187" s="526" t="str">
        <f>IF(LANÇ_MOV[[#This Row],[DATA DE VENCIMENTO]]="","",TEXT(LANÇ_MOV[[#This Row],[DATA DE VENCIMENTO]],"M"))</f>
        <v/>
      </c>
      <c r="AH1187" s="526" t="str">
        <f>IF(LANÇ_MOV[[#This Row],[DATA DE VENCIMENTO]]="","",TEXT(LANÇ_MOV[[#This Row],[DATA DE VENCIMENTO]],"D"))</f>
        <v/>
      </c>
      <c r="AI1187" s="526" t="str">
        <f>IF(LANÇ_MOV[[#This Row],[DATA DE PAGAMENTO]]="","",TEXT(LANÇ_MOV[[#This Row],[DATA DE PAGAMENTO]],"AAAA"))</f>
        <v/>
      </c>
      <c r="AJ1187" s="527" t="str">
        <f>IF(LANÇ_MOV[[#This Row],[DATA DE PAGAMENTO]]="","",UPPER(TEXT(LANÇ_MOV[[#This Row],[DATA DE PAGAMENTO]],"MMMM")))</f>
        <v/>
      </c>
      <c r="AK1187" s="527" t="str">
        <f>IF(LANÇ_MOV[[#This Row],[DATA DE PAGAMENTO]]="","",TEXT(LANÇ_MOV[[#This Row],[DATA DE PAGAMENTO]],"M"))</f>
        <v/>
      </c>
      <c r="AL1187" s="526" t="str">
        <f>IF(LANÇ_MOV[[#This Row],[DATA DE PAGAMENTO]]="","",TEXT(LANÇ_MOV[[#This Row],[DATA DE PAGAMENTO]],"D"))</f>
        <v/>
      </c>
    </row>
    <row r="1188" spans="2:38" ht="30.05" customHeight="1" x14ac:dyDescent="0.35">
      <c r="B1188" s="506"/>
      <c r="C1188" s="507"/>
      <c r="D1188" s="508" t="s">
        <v>1854</v>
      </c>
      <c r="E1188" s="509"/>
      <c r="F1188" s="510"/>
      <c r="G1188" s="507"/>
      <c r="H1188" s="511"/>
      <c r="I1188" s="512"/>
      <c r="J1188" s="518"/>
      <c r="K1188" s="510"/>
      <c r="L1188" s="510"/>
      <c r="M1188" s="548"/>
      <c r="N1188" s="514">
        <f>LANÇ_MOV[[#This Row],[VALOR BRUTO]]-LANÇ_MOV[[#This Row],[DESCONTO]]+LANÇ_MOV[[#This Row],[JUROS]]+LANÇ_MOV[[#This Row],[MULTA]]</f>
        <v>0</v>
      </c>
      <c r="O1188" s="546"/>
      <c r="P1188" s="547" t="str">
        <f t="shared" ca="1" si="18"/>
        <v/>
      </c>
      <c r="Q1188" s="528"/>
      <c r="R1188" s="529"/>
      <c r="S1188" s="518"/>
      <c r="T1188" s="518"/>
      <c r="U1188" s="519"/>
      <c r="V1188" s="520" t="str">
        <f>IFERROR(VLOOKUP(LANÇ_MOV[[#This Row],[PLANO DE CONTAS]],Plano_Contas[[PLANO DE CONTAS]:[R / D]],3,0),"")</f>
        <v/>
      </c>
      <c r="W1188" s="521" t="str">
        <f>IF(LANÇ_MOV[[#This Row],[DATA DE PAGAMENTO]]&lt;&gt;"","Pago","Não Pago")</f>
        <v>Não Pago</v>
      </c>
      <c r="X1188" s="522" t="str">
        <f>IFERROR(IF(LANÇ_MOV[[#This Row],[DATA DE PAGAMENTO]]="","",(UPPER(TEXT(LANÇ_MOV[[#This Row],[DATA DE PAGAMENTO]],"mmmm")))),"")</f>
        <v/>
      </c>
      <c r="Y1188" s="523" t="str">
        <f>IFERROR(VLOOKUP(LANÇ_MOV[[#This Row],[PLANO DE CONTAS]],Plano_Contas[[PLANO DE CONTAS]:[NOMES INTERVALOS]],2,0),"")</f>
        <v/>
      </c>
      <c r="Z1188" s="523" t="str">
        <f>IF(LANÇ_MOV[[#This Row],[FORMA DE PAGAMENTO]]="","",VLOOKUP(LANÇ_MOV[[#This Row],[FORMA DE PAGAMENTO]],CAD_Forma_pagto[],2,0))</f>
        <v/>
      </c>
      <c r="AA1188" s="524" t="str">
        <f>IF(LANÇ_MOV[[#This Row],[DATA DE LANÇAMENTO]]="","",TEXT(LANÇ_MOV[[#This Row],[DATA DE LANÇAMENTO]],"AAAA"))</f>
        <v/>
      </c>
      <c r="AB1188" s="524" t="str">
        <f>IF(LANÇ_MOV[[#This Row],[DATA DE LANÇAMENTO]]="","",UPPER(TEXT(LANÇ_MOV[[#This Row],[DATA DE LANÇAMENTO]],"MMMM")))</f>
        <v/>
      </c>
      <c r="AC1188" s="525" t="str">
        <f>IF(LANÇ_MOV[[#This Row],[DATA DE LANÇAMENTO]]="","",PROPER(TEXT(LANÇ_MOV[[#This Row],[DATA DE LANÇAMENTO]],"M")))</f>
        <v/>
      </c>
      <c r="AD1188" s="524" t="str">
        <f>IF(LANÇ_MOV[[#This Row],[DATA DE LANÇAMENTO]]="","",TEXT(LANÇ_MOV[[#This Row],[DATA DE LANÇAMENTO]],"D"))</f>
        <v/>
      </c>
      <c r="AE1188" s="526" t="str">
        <f>IF(LANÇ_MOV[[#This Row],[DATA DE VENCIMENTO]]="","",TEXT(LANÇ_MOV[[#This Row],[DATA DE VENCIMENTO]],"AAAA"))</f>
        <v/>
      </c>
      <c r="AF1188" s="526" t="str">
        <f>IF(LANÇ_MOV[[#This Row],[DATA DE VENCIMENTO]]="","",UPPER(TEXT(LANÇ_MOV[[#This Row],[DATA DE VENCIMENTO]],"MMMM")))</f>
        <v/>
      </c>
      <c r="AG1188" s="526" t="str">
        <f>IF(LANÇ_MOV[[#This Row],[DATA DE VENCIMENTO]]="","",TEXT(LANÇ_MOV[[#This Row],[DATA DE VENCIMENTO]],"M"))</f>
        <v/>
      </c>
      <c r="AH1188" s="526" t="str">
        <f>IF(LANÇ_MOV[[#This Row],[DATA DE VENCIMENTO]]="","",TEXT(LANÇ_MOV[[#This Row],[DATA DE VENCIMENTO]],"D"))</f>
        <v/>
      </c>
      <c r="AI1188" s="526" t="str">
        <f>IF(LANÇ_MOV[[#This Row],[DATA DE PAGAMENTO]]="","",TEXT(LANÇ_MOV[[#This Row],[DATA DE PAGAMENTO]],"AAAA"))</f>
        <v/>
      </c>
      <c r="AJ1188" s="527" t="str">
        <f>IF(LANÇ_MOV[[#This Row],[DATA DE PAGAMENTO]]="","",UPPER(TEXT(LANÇ_MOV[[#This Row],[DATA DE PAGAMENTO]],"MMMM")))</f>
        <v/>
      </c>
      <c r="AK1188" s="527" t="str">
        <f>IF(LANÇ_MOV[[#This Row],[DATA DE PAGAMENTO]]="","",TEXT(LANÇ_MOV[[#This Row],[DATA DE PAGAMENTO]],"M"))</f>
        <v/>
      </c>
      <c r="AL1188" s="526" t="str">
        <f>IF(LANÇ_MOV[[#This Row],[DATA DE PAGAMENTO]]="","",TEXT(LANÇ_MOV[[#This Row],[DATA DE PAGAMENTO]],"D"))</f>
        <v/>
      </c>
    </row>
    <row r="1189" spans="2:38" ht="30.05" customHeight="1" x14ac:dyDescent="0.35">
      <c r="B1189" s="506"/>
      <c r="C1189" s="507"/>
      <c r="D1189" s="508" t="s">
        <v>1854</v>
      </c>
      <c r="E1189" s="509"/>
      <c r="F1189" s="510"/>
      <c r="G1189" s="507"/>
      <c r="H1189" s="511"/>
      <c r="I1189" s="512"/>
      <c r="J1189" s="518"/>
      <c r="K1189" s="510"/>
      <c r="L1189" s="510"/>
      <c r="M1189" s="548"/>
      <c r="N1189" s="514">
        <f>LANÇ_MOV[[#This Row],[VALOR BRUTO]]-LANÇ_MOV[[#This Row],[DESCONTO]]+LANÇ_MOV[[#This Row],[JUROS]]+LANÇ_MOV[[#This Row],[MULTA]]</f>
        <v>0</v>
      </c>
      <c r="O1189" s="546"/>
      <c r="P1189" s="547" t="str">
        <f t="shared" ca="1" si="18"/>
        <v/>
      </c>
      <c r="Q1189" s="528"/>
      <c r="R1189" s="529"/>
      <c r="S1189" s="518"/>
      <c r="T1189" s="518"/>
      <c r="U1189" s="519"/>
      <c r="V1189" s="520" t="str">
        <f>IFERROR(VLOOKUP(LANÇ_MOV[[#This Row],[PLANO DE CONTAS]],Plano_Contas[[PLANO DE CONTAS]:[R / D]],3,0),"")</f>
        <v/>
      </c>
      <c r="W1189" s="521" t="str">
        <f>IF(LANÇ_MOV[[#This Row],[DATA DE PAGAMENTO]]&lt;&gt;"","Pago","Não Pago")</f>
        <v>Não Pago</v>
      </c>
      <c r="X1189" s="522" t="str">
        <f>IFERROR(IF(LANÇ_MOV[[#This Row],[DATA DE PAGAMENTO]]="","",(UPPER(TEXT(LANÇ_MOV[[#This Row],[DATA DE PAGAMENTO]],"mmmm")))),"")</f>
        <v/>
      </c>
      <c r="Y1189" s="523" t="str">
        <f>IFERROR(VLOOKUP(LANÇ_MOV[[#This Row],[PLANO DE CONTAS]],Plano_Contas[[PLANO DE CONTAS]:[NOMES INTERVALOS]],2,0),"")</f>
        <v/>
      </c>
      <c r="Z1189" s="523" t="str">
        <f>IF(LANÇ_MOV[[#This Row],[FORMA DE PAGAMENTO]]="","",VLOOKUP(LANÇ_MOV[[#This Row],[FORMA DE PAGAMENTO]],CAD_Forma_pagto[],2,0))</f>
        <v/>
      </c>
      <c r="AA1189" s="524" t="str">
        <f>IF(LANÇ_MOV[[#This Row],[DATA DE LANÇAMENTO]]="","",TEXT(LANÇ_MOV[[#This Row],[DATA DE LANÇAMENTO]],"AAAA"))</f>
        <v/>
      </c>
      <c r="AB1189" s="524" t="str">
        <f>IF(LANÇ_MOV[[#This Row],[DATA DE LANÇAMENTO]]="","",UPPER(TEXT(LANÇ_MOV[[#This Row],[DATA DE LANÇAMENTO]],"MMMM")))</f>
        <v/>
      </c>
      <c r="AC1189" s="525" t="str">
        <f>IF(LANÇ_MOV[[#This Row],[DATA DE LANÇAMENTO]]="","",PROPER(TEXT(LANÇ_MOV[[#This Row],[DATA DE LANÇAMENTO]],"M")))</f>
        <v/>
      </c>
      <c r="AD1189" s="524" t="str">
        <f>IF(LANÇ_MOV[[#This Row],[DATA DE LANÇAMENTO]]="","",TEXT(LANÇ_MOV[[#This Row],[DATA DE LANÇAMENTO]],"D"))</f>
        <v/>
      </c>
      <c r="AE1189" s="526" t="str">
        <f>IF(LANÇ_MOV[[#This Row],[DATA DE VENCIMENTO]]="","",TEXT(LANÇ_MOV[[#This Row],[DATA DE VENCIMENTO]],"AAAA"))</f>
        <v/>
      </c>
      <c r="AF1189" s="526" t="str">
        <f>IF(LANÇ_MOV[[#This Row],[DATA DE VENCIMENTO]]="","",UPPER(TEXT(LANÇ_MOV[[#This Row],[DATA DE VENCIMENTO]],"MMMM")))</f>
        <v/>
      </c>
      <c r="AG1189" s="526" t="str">
        <f>IF(LANÇ_MOV[[#This Row],[DATA DE VENCIMENTO]]="","",TEXT(LANÇ_MOV[[#This Row],[DATA DE VENCIMENTO]],"M"))</f>
        <v/>
      </c>
      <c r="AH1189" s="526" t="str">
        <f>IF(LANÇ_MOV[[#This Row],[DATA DE VENCIMENTO]]="","",TEXT(LANÇ_MOV[[#This Row],[DATA DE VENCIMENTO]],"D"))</f>
        <v/>
      </c>
      <c r="AI1189" s="526" t="str">
        <f>IF(LANÇ_MOV[[#This Row],[DATA DE PAGAMENTO]]="","",TEXT(LANÇ_MOV[[#This Row],[DATA DE PAGAMENTO]],"AAAA"))</f>
        <v/>
      </c>
      <c r="AJ1189" s="527" t="str">
        <f>IF(LANÇ_MOV[[#This Row],[DATA DE PAGAMENTO]]="","",UPPER(TEXT(LANÇ_MOV[[#This Row],[DATA DE PAGAMENTO]],"MMMM")))</f>
        <v/>
      </c>
      <c r="AK1189" s="527" t="str">
        <f>IF(LANÇ_MOV[[#This Row],[DATA DE PAGAMENTO]]="","",TEXT(LANÇ_MOV[[#This Row],[DATA DE PAGAMENTO]],"M"))</f>
        <v/>
      </c>
      <c r="AL1189" s="526" t="str">
        <f>IF(LANÇ_MOV[[#This Row],[DATA DE PAGAMENTO]]="","",TEXT(LANÇ_MOV[[#This Row],[DATA DE PAGAMENTO]],"D"))</f>
        <v/>
      </c>
    </row>
    <row r="1190" spans="2:38" ht="30.05" customHeight="1" x14ac:dyDescent="0.35">
      <c r="B1190" s="506"/>
      <c r="C1190" s="507"/>
      <c r="D1190" s="508" t="s">
        <v>1854</v>
      </c>
      <c r="E1190" s="509"/>
      <c r="F1190" s="510"/>
      <c r="G1190" s="507"/>
      <c r="H1190" s="511"/>
      <c r="I1190" s="512"/>
      <c r="J1190" s="518"/>
      <c r="K1190" s="510"/>
      <c r="L1190" s="510"/>
      <c r="M1190" s="548"/>
      <c r="N1190" s="514">
        <f>LANÇ_MOV[[#This Row],[VALOR BRUTO]]-LANÇ_MOV[[#This Row],[DESCONTO]]+LANÇ_MOV[[#This Row],[JUROS]]+LANÇ_MOV[[#This Row],[MULTA]]</f>
        <v>0</v>
      </c>
      <c r="O1190" s="546"/>
      <c r="P1190" s="547" t="str">
        <f t="shared" ca="1" si="18"/>
        <v/>
      </c>
      <c r="Q1190" s="528"/>
      <c r="R1190" s="529"/>
      <c r="S1190" s="518"/>
      <c r="T1190" s="518"/>
      <c r="U1190" s="519"/>
      <c r="V1190" s="520" t="str">
        <f>IFERROR(VLOOKUP(LANÇ_MOV[[#This Row],[PLANO DE CONTAS]],Plano_Contas[[PLANO DE CONTAS]:[R / D]],3,0),"")</f>
        <v/>
      </c>
      <c r="W1190" s="521" t="str">
        <f>IF(LANÇ_MOV[[#This Row],[DATA DE PAGAMENTO]]&lt;&gt;"","Pago","Não Pago")</f>
        <v>Não Pago</v>
      </c>
      <c r="X1190" s="522" t="str">
        <f>IFERROR(IF(LANÇ_MOV[[#This Row],[DATA DE PAGAMENTO]]="","",(UPPER(TEXT(LANÇ_MOV[[#This Row],[DATA DE PAGAMENTO]],"mmmm")))),"")</f>
        <v/>
      </c>
      <c r="Y1190" s="523" t="str">
        <f>IFERROR(VLOOKUP(LANÇ_MOV[[#This Row],[PLANO DE CONTAS]],Plano_Contas[[PLANO DE CONTAS]:[NOMES INTERVALOS]],2,0),"")</f>
        <v/>
      </c>
      <c r="Z1190" s="523" t="str">
        <f>IF(LANÇ_MOV[[#This Row],[FORMA DE PAGAMENTO]]="","",VLOOKUP(LANÇ_MOV[[#This Row],[FORMA DE PAGAMENTO]],CAD_Forma_pagto[],2,0))</f>
        <v/>
      </c>
      <c r="AA1190" s="524" t="str">
        <f>IF(LANÇ_MOV[[#This Row],[DATA DE LANÇAMENTO]]="","",TEXT(LANÇ_MOV[[#This Row],[DATA DE LANÇAMENTO]],"AAAA"))</f>
        <v/>
      </c>
      <c r="AB1190" s="524" t="str">
        <f>IF(LANÇ_MOV[[#This Row],[DATA DE LANÇAMENTO]]="","",UPPER(TEXT(LANÇ_MOV[[#This Row],[DATA DE LANÇAMENTO]],"MMMM")))</f>
        <v/>
      </c>
      <c r="AC1190" s="525" t="str">
        <f>IF(LANÇ_MOV[[#This Row],[DATA DE LANÇAMENTO]]="","",PROPER(TEXT(LANÇ_MOV[[#This Row],[DATA DE LANÇAMENTO]],"M")))</f>
        <v/>
      </c>
      <c r="AD1190" s="524" t="str">
        <f>IF(LANÇ_MOV[[#This Row],[DATA DE LANÇAMENTO]]="","",TEXT(LANÇ_MOV[[#This Row],[DATA DE LANÇAMENTO]],"D"))</f>
        <v/>
      </c>
      <c r="AE1190" s="526" t="str">
        <f>IF(LANÇ_MOV[[#This Row],[DATA DE VENCIMENTO]]="","",TEXT(LANÇ_MOV[[#This Row],[DATA DE VENCIMENTO]],"AAAA"))</f>
        <v/>
      </c>
      <c r="AF1190" s="526" t="str">
        <f>IF(LANÇ_MOV[[#This Row],[DATA DE VENCIMENTO]]="","",UPPER(TEXT(LANÇ_MOV[[#This Row],[DATA DE VENCIMENTO]],"MMMM")))</f>
        <v/>
      </c>
      <c r="AG1190" s="526" t="str">
        <f>IF(LANÇ_MOV[[#This Row],[DATA DE VENCIMENTO]]="","",TEXT(LANÇ_MOV[[#This Row],[DATA DE VENCIMENTO]],"M"))</f>
        <v/>
      </c>
      <c r="AH1190" s="526" t="str">
        <f>IF(LANÇ_MOV[[#This Row],[DATA DE VENCIMENTO]]="","",TEXT(LANÇ_MOV[[#This Row],[DATA DE VENCIMENTO]],"D"))</f>
        <v/>
      </c>
      <c r="AI1190" s="526" t="str">
        <f>IF(LANÇ_MOV[[#This Row],[DATA DE PAGAMENTO]]="","",TEXT(LANÇ_MOV[[#This Row],[DATA DE PAGAMENTO]],"AAAA"))</f>
        <v/>
      </c>
      <c r="AJ1190" s="527" t="str">
        <f>IF(LANÇ_MOV[[#This Row],[DATA DE PAGAMENTO]]="","",UPPER(TEXT(LANÇ_MOV[[#This Row],[DATA DE PAGAMENTO]],"MMMM")))</f>
        <v/>
      </c>
      <c r="AK1190" s="527" t="str">
        <f>IF(LANÇ_MOV[[#This Row],[DATA DE PAGAMENTO]]="","",TEXT(LANÇ_MOV[[#This Row],[DATA DE PAGAMENTO]],"M"))</f>
        <v/>
      </c>
      <c r="AL1190" s="526" t="str">
        <f>IF(LANÇ_MOV[[#This Row],[DATA DE PAGAMENTO]]="","",TEXT(LANÇ_MOV[[#This Row],[DATA DE PAGAMENTO]],"D"))</f>
        <v/>
      </c>
    </row>
    <row r="1191" spans="2:38" ht="30.05" customHeight="1" x14ac:dyDescent="0.35">
      <c r="B1191" s="506"/>
      <c r="C1191" s="507"/>
      <c r="D1191" s="508" t="s">
        <v>1854</v>
      </c>
      <c r="E1191" s="509"/>
      <c r="F1191" s="510"/>
      <c r="G1191" s="507"/>
      <c r="H1191" s="511"/>
      <c r="I1191" s="512"/>
      <c r="J1191" s="518"/>
      <c r="K1191" s="510"/>
      <c r="L1191" s="510"/>
      <c r="M1191" s="548"/>
      <c r="N1191" s="514">
        <f>LANÇ_MOV[[#This Row],[VALOR BRUTO]]-LANÇ_MOV[[#This Row],[DESCONTO]]+LANÇ_MOV[[#This Row],[JUROS]]+LANÇ_MOV[[#This Row],[MULTA]]</f>
        <v>0</v>
      </c>
      <c r="O1191" s="546"/>
      <c r="P1191" s="547" t="str">
        <f t="shared" ca="1" si="18"/>
        <v/>
      </c>
      <c r="Q1191" s="528"/>
      <c r="R1191" s="529"/>
      <c r="S1191" s="518"/>
      <c r="T1191" s="518"/>
      <c r="U1191" s="519"/>
      <c r="V1191" s="520" t="str">
        <f>IFERROR(VLOOKUP(LANÇ_MOV[[#This Row],[PLANO DE CONTAS]],Plano_Contas[[PLANO DE CONTAS]:[R / D]],3,0),"")</f>
        <v/>
      </c>
      <c r="W1191" s="521" t="str">
        <f>IF(LANÇ_MOV[[#This Row],[DATA DE PAGAMENTO]]&lt;&gt;"","Pago","Não Pago")</f>
        <v>Não Pago</v>
      </c>
      <c r="X1191" s="522" t="str">
        <f>IFERROR(IF(LANÇ_MOV[[#This Row],[DATA DE PAGAMENTO]]="","",(UPPER(TEXT(LANÇ_MOV[[#This Row],[DATA DE PAGAMENTO]],"mmmm")))),"")</f>
        <v/>
      </c>
      <c r="Y1191" s="523" t="str">
        <f>IFERROR(VLOOKUP(LANÇ_MOV[[#This Row],[PLANO DE CONTAS]],Plano_Contas[[PLANO DE CONTAS]:[NOMES INTERVALOS]],2,0),"")</f>
        <v/>
      </c>
      <c r="Z1191" s="523" t="str">
        <f>IF(LANÇ_MOV[[#This Row],[FORMA DE PAGAMENTO]]="","",VLOOKUP(LANÇ_MOV[[#This Row],[FORMA DE PAGAMENTO]],CAD_Forma_pagto[],2,0))</f>
        <v/>
      </c>
      <c r="AA1191" s="524" t="str">
        <f>IF(LANÇ_MOV[[#This Row],[DATA DE LANÇAMENTO]]="","",TEXT(LANÇ_MOV[[#This Row],[DATA DE LANÇAMENTO]],"AAAA"))</f>
        <v/>
      </c>
      <c r="AB1191" s="524" t="str">
        <f>IF(LANÇ_MOV[[#This Row],[DATA DE LANÇAMENTO]]="","",UPPER(TEXT(LANÇ_MOV[[#This Row],[DATA DE LANÇAMENTO]],"MMMM")))</f>
        <v/>
      </c>
      <c r="AC1191" s="525" t="str">
        <f>IF(LANÇ_MOV[[#This Row],[DATA DE LANÇAMENTO]]="","",PROPER(TEXT(LANÇ_MOV[[#This Row],[DATA DE LANÇAMENTO]],"M")))</f>
        <v/>
      </c>
      <c r="AD1191" s="524" t="str">
        <f>IF(LANÇ_MOV[[#This Row],[DATA DE LANÇAMENTO]]="","",TEXT(LANÇ_MOV[[#This Row],[DATA DE LANÇAMENTO]],"D"))</f>
        <v/>
      </c>
      <c r="AE1191" s="526" t="str">
        <f>IF(LANÇ_MOV[[#This Row],[DATA DE VENCIMENTO]]="","",TEXT(LANÇ_MOV[[#This Row],[DATA DE VENCIMENTO]],"AAAA"))</f>
        <v/>
      </c>
      <c r="AF1191" s="526" t="str">
        <f>IF(LANÇ_MOV[[#This Row],[DATA DE VENCIMENTO]]="","",UPPER(TEXT(LANÇ_MOV[[#This Row],[DATA DE VENCIMENTO]],"MMMM")))</f>
        <v/>
      </c>
      <c r="AG1191" s="526" t="str">
        <f>IF(LANÇ_MOV[[#This Row],[DATA DE VENCIMENTO]]="","",TEXT(LANÇ_MOV[[#This Row],[DATA DE VENCIMENTO]],"M"))</f>
        <v/>
      </c>
      <c r="AH1191" s="526" t="str">
        <f>IF(LANÇ_MOV[[#This Row],[DATA DE VENCIMENTO]]="","",TEXT(LANÇ_MOV[[#This Row],[DATA DE VENCIMENTO]],"D"))</f>
        <v/>
      </c>
      <c r="AI1191" s="526" t="str">
        <f>IF(LANÇ_MOV[[#This Row],[DATA DE PAGAMENTO]]="","",TEXT(LANÇ_MOV[[#This Row],[DATA DE PAGAMENTO]],"AAAA"))</f>
        <v/>
      </c>
      <c r="AJ1191" s="527" t="str">
        <f>IF(LANÇ_MOV[[#This Row],[DATA DE PAGAMENTO]]="","",UPPER(TEXT(LANÇ_MOV[[#This Row],[DATA DE PAGAMENTO]],"MMMM")))</f>
        <v/>
      </c>
      <c r="AK1191" s="527" t="str">
        <f>IF(LANÇ_MOV[[#This Row],[DATA DE PAGAMENTO]]="","",TEXT(LANÇ_MOV[[#This Row],[DATA DE PAGAMENTO]],"M"))</f>
        <v/>
      </c>
      <c r="AL1191" s="526" t="str">
        <f>IF(LANÇ_MOV[[#This Row],[DATA DE PAGAMENTO]]="","",TEXT(LANÇ_MOV[[#This Row],[DATA DE PAGAMENTO]],"D"))</f>
        <v/>
      </c>
    </row>
    <row r="1192" spans="2:38" ht="30.05" customHeight="1" x14ac:dyDescent="0.35">
      <c r="B1192" s="506"/>
      <c r="C1192" s="507"/>
      <c r="D1192" s="508" t="s">
        <v>1854</v>
      </c>
      <c r="E1192" s="509"/>
      <c r="F1192" s="510"/>
      <c r="G1192" s="507"/>
      <c r="H1192" s="511"/>
      <c r="I1192" s="512"/>
      <c r="J1192" s="518"/>
      <c r="K1192" s="510"/>
      <c r="L1192" s="510"/>
      <c r="M1192" s="548"/>
      <c r="N1192" s="514">
        <f>LANÇ_MOV[[#This Row],[VALOR BRUTO]]-LANÇ_MOV[[#This Row],[DESCONTO]]+LANÇ_MOV[[#This Row],[JUROS]]+LANÇ_MOV[[#This Row],[MULTA]]</f>
        <v>0</v>
      </c>
      <c r="O1192" s="546"/>
      <c r="P1192" s="547" t="str">
        <f t="shared" ca="1" si="18"/>
        <v/>
      </c>
      <c r="Q1192" s="528"/>
      <c r="R1192" s="529"/>
      <c r="S1192" s="518"/>
      <c r="T1192" s="518"/>
      <c r="U1192" s="519"/>
      <c r="V1192" s="520" t="str">
        <f>IFERROR(VLOOKUP(LANÇ_MOV[[#This Row],[PLANO DE CONTAS]],Plano_Contas[[PLANO DE CONTAS]:[R / D]],3,0),"")</f>
        <v/>
      </c>
      <c r="W1192" s="521" t="str">
        <f>IF(LANÇ_MOV[[#This Row],[DATA DE PAGAMENTO]]&lt;&gt;"","Pago","Não Pago")</f>
        <v>Não Pago</v>
      </c>
      <c r="X1192" s="522" t="str">
        <f>IFERROR(IF(LANÇ_MOV[[#This Row],[DATA DE PAGAMENTO]]="","",(UPPER(TEXT(LANÇ_MOV[[#This Row],[DATA DE PAGAMENTO]],"mmmm")))),"")</f>
        <v/>
      </c>
      <c r="Y1192" s="523" t="str">
        <f>IFERROR(VLOOKUP(LANÇ_MOV[[#This Row],[PLANO DE CONTAS]],Plano_Contas[[PLANO DE CONTAS]:[NOMES INTERVALOS]],2,0),"")</f>
        <v/>
      </c>
      <c r="Z1192" s="523" t="str">
        <f>IF(LANÇ_MOV[[#This Row],[FORMA DE PAGAMENTO]]="","",VLOOKUP(LANÇ_MOV[[#This Row],[FORMA DE PAGAMENTO]],CAD_Forma_pagto[],2,0))</f>
        <v/>
      </c>
      <c r="AA1192" s="524" t="str">
        <f>IF(LANÇ_MOV[[#This Row],[DATA DE LANÇAMENTO]]="","",TEXT(LANÇ_MOV[[#This Row],[DATA DE LANÇAMENTO]],"AAAA"))</f>
        <v/>
      </c>
      <c r="AB1192" s="524" t="str">
        <f>IF(LANÇ_MOV[[#This Row],[DATA DE LANÇAMENTO]]="","",UPPER(TEXT(LANÇ_MOV[[#This Row],[DATA DE LANÇAMENTO]],"MMMM")))</f>
        <v/>
      </c>
      <c r="AC1192" s="525" t="str">
        <f>IF(LANÇ_MOV[[#This Row],[DATA DE LANÇAMENTO]]="","",PROPER(TEXT(LANÇ_MOV[[#This Row],[DATA DE LANÇAMENTO]],"M")))</f>
        <v/>
      </c>
      <c r="AD1192" s="524" t="str">
        <f>IF(LANÇ_MOV[[#This Row],[DATA DE LANÇAMENTO]]="","",TEXT(LANÇ_MOV[[#This Row],[DATA DE LANÇAMENTO]],"D"))</f>
        <v/>
      </c>
      <c r="AE1192" s="526" t="str">
        <f>IF(LANÇ_MOV[[#This Row],[DATA DE VENCIMENTO]]="","",TEXT(LANÇ_MOV[[#This Row],[DATA DE VENCIMENTO]],"AAAA"))</f>
        <v/>
      </c>
      <c r="AF1192" s="526" t="str">
        <f>IF(LANÇ_MOV[[#This Row],[DATA DE VENCIMENTO]]="","",UPPER(TEXT(LANÇ_MOV[[#This Row],[DATA DE VENCIMENTO]],"MMMM")))</f>
        <v/>
      </c>
      <c r="AG1192" s="526" t="str">
        <f>IF(LANÇ_MOV[[#This Row],[DATA DE VENCIMENTO]]="","",TEXT(LANÇ_MOV[[#This Row],[DATA DE VENCIMENTO]],"M"))</f>
        <v/>
      </c>
      <c r="AH1192" s="526" t="str">
        <f>IF(LANÇ_MOV[[#This Row],[DATA DE VENCIMENTO]]="","",TEXT(LANÇ_MOV[[#This Row],[DATA DE VENCIMENTO]],"D"))</f>
        <v/>
      </c>
      <c r="AI1192" s="526" t="str">
        <f>IF(LANÇ_MOV[[#This Row],[DATA DE PAGAMENTO]]="","",TEXT(LANÇ_MOV[[#This Row],[DATA DE PAGAMENTO]],"AAAA"))</f>
        <v/>
      </c>
      <c r="AJ1192" s="527" t="str">
        <f>IF(LANÇ_MOV[[#This Row],[DATA DE PAGAMENTO]]="","",UPPER(TEXT(LANÇ_MOV[[#This Row],[DATA DE PAGAMENTO]],"MMMM")))</f>
        <v/>
      </c>
      <c r="AK1192" s="527" t="str">
        <f>IF(LANÇ_MOV[[#This Row],[DATA DE PAGAMENTO]]="","",TEXT(LANÇ_MOV[[#This Row],[DATA DE PAGAMENTO]],"M"))</f>
        <v/>
      </c>
      <c r="AL1192" s="526" t="str">
        <f>IF(LANÇ_MOV[[#This Row],[DATA DE PAGAMENTO]]="","",TEXT(LANÇ_MOV[[#This Row],[DATA DE PAGAMENTO]],"D"))</f>
        <v/>
      </c>
    </row>
    <row r="1193" spans="2:38" ht="30.05" customHeight="1" x14ac:dyDescent="0.35">
      <c r="B1193" s="506"/>
      <c r="C1193" s="507"/>
      <c r="D1193" s="508" t="s">
        <v>1854</v>
      </c>
      <c r="E1193" s="509"/>
      <c r="F1193" s="510"/>
      <c r="G1193" s="507"/>
      <c r="H1193" s="511"/>
      <c r="I1193" s="512"/>
      <c r="J1193" s="518"/>
      <c r="K1193" s="510"/>
      <c r="L1193" s="510"/>
      <c r="M1193" s="548"/>
      <c r="N1193" s="514">
        <f>LANÇ_MOV[[#This Row],[VALOR BRUTO]]-LANÇ_MOV[[#This Row],[DESCONTO]]+LANÇ_MOV[[#This Row],[JUROS]]+LANÇ_MOV[[#This Row],[MULTA]]</f>
        <v>0</v>
      </c>
      <c r="O1193" s="546"/>
      <c r="P1193" s="547" t="str">
        <f t="shared" ca="1" si="18"/>
        <v/>
      </c>
      <c r="Q1193" s="528"/>
      <c r="R1193" s="529"/>
      <c r="S1193" s="518"/>
      <c r="T1193" s="518"/>
      <c r="U1193" s="519"/>
      <c r="V1193" s="520" t="str">
        <f>IFERROR(VLOOKUP(LANÇ_MOV[[#This Row],[PLANO DE CONTAS]],Plano_Contas[[PLANO DE CONTAS]:[R / D]],3,0),"")</f>
        <v/>
      </c>
      <c r="W1193" s="521" t="str">
        <f>IF(LANÇ_MOV[[#This Row],[DATA DE PAGAMENTO]]&lt;&gt;"","Pago","Não Pago")</f>
        <v>Não Pago</v>
      </c>
      <c r="X1193" s="522" t="str">
        <f>IFERROR(IF(LANÇ_MOV[[#This Row],[DATA DE PAGAMENTO]]="","",(UPPER(TEXT(LANÇ_MOV[[#This Row],[DATA DE PAGAMENTO]],"mmmm")))),"")</f>
        <v/>
      </c>
      <c r="Y1193" s="523" t="str">
        <f>IFERROR(VLOOKUP(LANÇ_MOV[[#This Row],[PLANO DE CONTAS]],Plano_Contas[[PLANO DE CONTAS]:[NOMES INTERVALOS]],2,0),"")</f>
        <v/>
      </c>
      <c r="Z1193" s="523" t="str">
        <f>IF(LANÇ_MOV[[#This Row],[FORMA DE PAGAMENTO]]="","",VLOOKUP(LANÇ_MOV[[#This Row],[FORMA DE PAGAMENTO]],CAD_Forma_pagto[],2,0))</f>
        <v/>
      </c>
      <c r="AA1193" s="524" t="str">
        <f>IF(LANÇ_MOV[[#This Row],[DATA DE LANÇAMENTO]]="","",TEXT(LANÇ_MOV[[#This Row],[DATA DE LANÇAMENTO]],"AAAA"))</f>
        <v/>
      </c>
      <c r="AB1193" s="524" t="str">
        <f>IF(LANÇ_MOV[[#This Row],[DATA DE LANÇAMENTO]]="","",UPPER(TEXT(LANÇ_MOV[[#This Row],[DATA DE LANÇAMENTO]],"MMMM")))</f>
        <v/>
      </c>
      <c r="AC1193" s="525" t="str">
        <f>IF(LANÇ_MOV[[#This Row],[DATA DE LANÇAMENTO]]="","",PROPER(TEXT(LANÇ_MOV[[#This Row],[DATA DE LANÇAMENTO]],"M")))</f>
        <v/>
      </c>
      <c r="AD1193" s="524" t="str">
        <f>IF(LANÇ_MOV[[#This Row],[DATA DE LANÇAMENTO]]="","",TEXT(LANÇ_MOV[[#This Row],[DATA DE LANÇAMENTO]],"D"))</f>
        <v/>
      </c>
      <c r="AE1193" s="526" t="str">
        <f>IF(LANÇ_MOV[[#This Row],[DATA DE VENCIMENTO]]="","",TEXT(LANÇ_MOV[[#This Row],[DATA DE VENCIMENTO]],"AAAA"))</f>
        <v/>
      </c>
      <c r="AF1193" s="526" t="str">
        <f>IF(LANÇ_MOV[[#This Row],[DATA DE VENCIMENTO]]="","",UPPER(TEXT(LANÇ_MOV[[#This Row],[DATA DE VENCIMENTO]],"MMMM")))</f>
        <v/>
      </c>
      <c r="AG1193" s="526" t="str">
        <f>IF(LANÇ_MOV[[#This Row],[DATA DE VENCIMENTO]]="","",TEXT(LANÇ_MOV[[#This Row],[DATA DE VENCIMENTO]],"M"))</f>
        <v/>
      </c>
      <c r="AH1193" s="526" t="str">
        <f>IF(LANÇ_MOV[[#This Row],[DATA DE VENCIMENTO]]="","",TEXT(LANÇ_MOV[[#This Row],[DATA DE VENCIMENTO]],"D"))</f>
        <v/>
      </c>
      <c r="AI1193" s="526" t="str">
        <f>IF(LANÇ_MOV[[#This Row],[DATA DE PAGAMENTO]]="","",TEXT(LANÇ_MOV[[#This Row],[DATA DE PAGAMENTO]],"AAAA"))</f>
        <v/>
      </c>
      <c r="AJ1193" s="527" t="str">
        <f>IF(LANÇ_MOV[[#This Row],[DATA DE PAGAMENTO]]="","",UPPER(TEXT(LANÇ_MOV[[#This Row],[DATA DE PAGAMENTO]],"MMMM")))</f>
        <v/>
      </c>
      <c r="AK1193" s="527" t="str">
        <f>IF(LANÇ_MOV[[#This Row],[DATA DE PAGAMENTO]]="","",TEXT(LANÇ_MOV[[#This Row],[DATA DE PAGAMENTO]],"M"))</f>
        <v/>
      </c>
      <c r="AL1193" s="526" t="str">
        <f>IF(LANÇ_MOV[[#This Row],[DATA DE PAGAMENTO]]="","",TEXT(LANÇ_MOV[[#This Row],[DATA DE PAGAMENTO]],"D"))</f>
        <v/>
      </c>
    </row>
    <row r="1194" spans="2:38" ht="30.05" customHeight="1" x14ac:dyDescent="0.35">
      <c r="B1194" s="506"/>
      <c r="C1194" s="507"/>
      <c r="D1194" s="508" t="s">
        <v>1854</v>
      </c>
      <c r="E1194" s="509"/>
      <c r="F1194" s="510"/>
      <c r="G1194" s="507"/>
      <c r="H1194" s="511"/>
      <c r="I1194" s="512"/>
      <c r="J1194" s="518"/>
      <c r="K1194" s="510"/>
      <c r="L1194" s="510"/>
      <c r="M1194" s="548"/>
      <c r="N1194" s="514">
        <f>LANÇ_MOV[[#This Row],[VALOR BRUTO]]-LANÇ_MOV[[#This Row],[DESCONTO]]+LANÇ_MOV[[#This Row],[JUROS]]+LANÇ_MOV[[#This Row],[MULTA]]</f>
        <v>0</v>
      </c>
      <c r="O1194" s="546"/>
      <c r="P1194" s="547" t="str">
        <f t="shared" ca="1" si="18"/>
        <v/>
      </c>
      <c r="Q1194" s="528"/>
      <c r="R1194" s="529"/>
      <c r="S1194" s="518"/>
      <c r="T1194" s="518"/>
      <c r="U1194" s="519"/>
      <c r="V1194" s="520" t="str">
        <f>IFERROR(VLOOKUP(LANÇ_MOV[[#This Row],[PLANO DE CONTAS]],Plano_Contas[[PLANO DE CONTAS]:[R / D]],3,0),"")</f>
        <v/>
      </c>
      <c r="W1194" s="521" t="str">
        <f>IF(LANÇ_MOV[[#This Row],[DATA DE PAGAMENTO]]&lt;&gt;"","Pago","Não Pago")</f>
        <v>Não Pago</v>
      </c>
      <c r="X1194" s="522" t="str">
        <f>IFERROR(IF(LANÇ_MOV[[#This Row],[DATA DE PAGAMENTO]]="","",(UPPER(TEXT(LANÇ_MOV[[#This Row],[DATA DE PAGAMENTO]],"mmmm")))),"")</f>
        <v/>
      </c>
      <c r="Y1194" s="523" t="str">
        <f>IFERROR(VLOOKUP(LANÇ_MOV[[#This Row],[PLANO DE CONTAS]],Plano_Contas[[PLANO DE CONTAS]:[NOMES INTERVALOS]],2,0),"")</f>
        <v/>
      </c>
      <c r="Z1194" s="523" t="str">
        <f>IF(LANÇ_MOV[[#This Row],[FORMA DE PAGAMENTO]]="","",VLOOKUP(LANÇ_MOV[[#This Row],[FORMA DE PAGAMENTO]],CAD_Forma_pagto[],2,0))</f>
        <v/>
      </c>
      <c r="AA1194" s="524" t="str">
        <f>IF(LANÇ_MOV[[#This Row],[DATA DE LANÇAMENTO]]="","",TEXT(LANÇ_MOV[[#This Row],[DATA DE LANÇAMENTO]],"AAAA"))</f>
        <v/>
      </c>
      <c r="AB1194" s="524" t="str">
        <f>IF(LANÇ_MOV[[#This Row],[DATA DE LANÇAMENTO]]="","",UPPER(TEXT(LANÇ_MOV[[#This Row],[DATA DE LANÇAMENTO]],"MMMM")))</f>
        <v/>
      </c>
      <c r="AC1194" s="525" t="str">
        <f>IF(LANÇ_MOV[[#This Row],[DATA DE LANÇAMENTO]]="","",PROPER(TEXT(LANÇ_MOV[[#This Row],[DATA DE LANÇAMENTO]],"M")))</f>
        <v/>
      </c>
      <c r="AD1194" s="524" t="str">
        <f>IF(LANÇ_MOV[[#This Row],[DATA DE LANÇAMENTO]]="","",TEXT(LANÇ_MOV[[#This Row],[DATA DE LANÇAMENTO]],"D"))</f>
        <v/>
      </c>
      <c r="AE1194" s="526" t="str">
        <f>IF(LANÇ_MOV[[#This Row],[DATA DE VENCIMENTO]]="","",TEXT(LANÇ_MOV[[#This Row],[DATA DE VENCIMENTO]],"AAAA"))</f>
        <v/>
      </c>
      <c r="AF1194" s="526" t="str">
        <f>IF(LANÇ_MOV[[#This Row],[DATA DE VENCIMENTO]]="","",UPPER(TEXT(LANÇ_MOV[[#This Row],[DATA DE VENCIMENTO]],"MMMM")))</f>
        <v/>
      </c>
      <c r="AG1194" s="526" t="str">
        <f>IF(LANÇ_MOV[[#This Row],[DATA DE VENCIMENTO]]="","",TEXT(LANÇ_MOV[[#This Row],[DATA DE VENCIMENTO]],"M"))</f>
        <v/>
      </c>
      <c r="AH1194" s="526" t="str">
        <f>IF(LANÇ_MOV[[#This Row],[DATA DE VENCIMENTO]]="","",TEXT(LANÇ_MOV[[#This Row],[DATA DE VENCIMENTO]],"D"))</f>
        <v/>
      </c>
      <c r="AI1194" s="526" t="str">
        <f>IF(LANÇ_MOV[[#This Row],[DATA DE PAGAMENTO]]="","",TEXT(LANÇ_MOV[[#This Row],[DATA DE PAGAMENTO]],"AAAA"))</f>
        <v/>
      </c>
      <c r="AJ1194" s="527" t="str">
        <f>IF(LANÇ_MOV[[#This Row],[DATA DE PAGAMENTO]]="","",UPPER(TEXT(LANÇ_MOV[[#This Row],[DATA DE PAGAMENTO]],"MMMM")))</f>
        <v/>
      </c>
      <c r="AK1194" s="527" t="str">
        <f>IF(LANÇ_MOV[[#This Row],[DATA DE PAGAMENTO]]="","",TEXT(LANÇ_MOV[[#This Row],[DATA DE PAGAMENTO]],"M"))</f>
        <v/>
      </c>
      <c r="AL1194" s="526" t="str">
        <f>IF(LANÇ_MOV[[#This Row],[DATA DE PAGAMENTO]]="","",TEXT(LANÇ_MOV[[#This Row],[DATA DE PAGAMENTO]],"D"))</f>
        <v/>
      </c>
    </row>
    <row r="1195" spans="2:38" ht="30.05" customHeight="1" x14ac:dyDescent="0.35">
      <c r="B1195" s="506"/>
      <c r="C1195" s="507"/>
      <c r="D1195" s="508" t="s">
        <v>1854</v>
      </c>
      <c r="E1195" s="509"/>
      <c r="F1195" s="510"/>
      <c r="G1195" s="507"/>
      <c r="H1195" s="511"/>
      <c r="I1195" s="512"/>
      <c r="J1195" s="518"/>
      <c r="K1195" s="510"/>
      <c r="L1195" s="510"/>
      <c r="M1195" s="548"/>
      <c r="N1195" s="514">
        <f>LANÇ_MOV[[#This Row],[VALOR BRUTO]]-LANÇ_MOV[[#This Row],[DESCONTO]]+LANÇ_MOV[[#This Row],[JUROS]]+LANÇ_MOV[[#This Row],[MULTA]]</f>
        <v>0</v>
      </c>
      <c r="O1195" s="546"/>
      <c r="P1195" s="547" t="str">
        <f t="shared" ca="1" si="18"/>
        <v/>
      </c>
      <c r="Q1195" s="528"/>
      <c r="R1195" s="529"/>
      <c r="S1195" s="518"/>
      <c r="T1195" s="518"/>
      <c r="U1195" s="519"/>
      <c r="V1195" s="520" t="str">
        <f>IFERROR(VLOOKUP(LANÇ_MOV[[#This Row],[PLANO DE CONTAS]],Plano_Contas[[PLANO DE CONTAS]:[R / D]],3,0),"")</f>
        <v/>
      </c>
      <c r="W1195" s="521" t="str">
        <f>IF(LANÇ_MOV[[#This Row],[DATA DE PAGAMENTO]]&lt;&gt;"","Pago","Não Pago")</f>
        <v>Não Pago</v>
      </c>
      <c r="X1195" s="522" t="str">
        <f>IFERROR(IF(LANÇ_MOV[[#This Row],[DATA DE PAGAMENTO]]="","",(UPPER(TEXT(LANÇ_MOV[[#This Row],[DATA DE PAGAMENTO]],"mmmm")))),"")</f>
        <v/>
      </c>
      <c r="Y1195" s="523" t="str">
        <f>IFERROR(VLOOKUP(LANÇ_MOV[[#This Row],[PLANO DE CONTAS]],Plano_Contas[[PLANO DE CONTAS]:[NOMES INTERVALOS]],2,0),"")</f>
        <v/>
      </c>
      <c r="Z1195" s="523" t="str">
        <f>IF(LANÇ_MOV[[#This Row],[FORMA DE PAGAMENTO]]="","",VLOOKUP(LANÇ_MOV[[#This Row],[FORMA DE PAGAMENTO]],CAD_Forma_pagto[],2,0))</f>
        <v/>
      </c>
      <c r="AA1195" s="524" t="str">
        <f>IF(LANÇ_MOV[[#This Row],[DATA DE LANÇAMENTO]]="","",TEXT(LANÇ_MOV[[#This Row],[DATA DE LANÇAMENTO]],"AAAA"))</f>
        <v/>
      </c>
      <c r="AB1195" s="524" t="str">
        <f>IF(LANÇ_MOV[[#This Row],[DATA DE LANÇAMENTO]]="","",UPPER(TEXT(LANÇ_MOV[[#This Row],[DATA DE LANÇAMENTO]],"MMMM")))</f>
        <v/>
      </c>
      <c r="AC1195" s="525" t="str">
        <f>IF(LANÇ_MOV[[#This Row],[DATA DE LANÇAMENTO]]="","",PROPER(TEXT(LANÇ_MOV[[#This Row],[DATA DE LANÇAMENTO]],"M")))</f>
        <v/>
      </c>
      <c r="AD1195" s="524" t="str">
        <f>IF(LANÇ_MOV[[#This Row],[DATA DE LANÇAMENTO]]="","",TEXT(LANÇ_MOV[[#This Row],[DATA DE LANÇAMENTO]],"D"))</f>
        <v/>
      </c>
      <c r="AE1195" s="526" t="str">
        <f>IF(LANÇ_MOV[[#This Row],[DATA DE VENCIMENTO]]="","",TEXT(LANÇ_MOV[[#This Row],[DATA DE VENCIMENTO]],"AAAA"))</f>
        <v/>
      </c>
      <c r="AF1195" s="526" t="str">
        <f>IF(LANÇ_MOV[[#This Row],[DATA DE VENCIMENTO]]="","",UPPER(TEXT(LANÇ_MOV[[#This Row],[DATA DE VENCIMENTO]],"MMMM")))</f>
        <v/>
      </c>
      <c r="AG1195" s="526" t="str">
        <f>IF(LANÇ_MOV[[#This Row],[DATA DE VENCIMENTO]]="","",TEXT(LANÇ_MOV[[#This Row],[DATA DE VENCIMENTO]],"M"))</f>
        <v/>
      </c>
      <c r="AH1195" s="526" t="str">
        <f>IF(LANÇ_MOV[[#This Row],[DATA DE VENCIMENTO]]="","",TEXT(LANÇ_MOV[[#This Row],[DATA DE VENCIMENTO]],"D"))</f>
        <v/>
      </c>
      <c r="AI1195" s="526" t="str">
        <f>IF(LANÇ_MOV[[#This Row],[DATA DE PAGAMENTO]]="","",TEXT(LANÇ_MOV[[#This Row],[DATA DE PAGAMENTO]],"AAAA"))</f>
        <v/>
      </c>
      <c r="AJ1195" s="527" t="str">
        <f>IF(LANÇ_MOV[[#This Row],[DATA DE PAGAMENTO]]="","",UPPER(TEXT(LANÇ_MOV[[#This Row],[DATA DE PAGAMENTO]],"MMMM")))</f>
        <v/>
      </c>
      <c r="AK1195" s="527" t="str">
        <f>IF(LANÇ_MOV[[#This Row],[DATA DE PAGAMENTO]]="","",TEXT(LANÇ_MOV[[#This Row],[DATA DE PAGAMENTO]],"M"))</f>
        <v/>
      </c>
      <c r="AL1195" s="526" t="str">
        <f>IF(LANÇ_MOV[[#This Row],[DATA DE PAGAMENTO]]="","",TEXT(LANÇ_MOV[[#This Row],[DATA DE PAGAMENTO]],"D"))</f>
        <v/>
      </c>
    </row>
    <row r="1196" spans="2:38" ht="30.05" customHeight="1" x14ac:dyDescent="0.35">
      <c r="B1196" s="506"/>
      <c r="C1196" s="507"/>
      <c r="D1196" s="508" t="s">
        <v>1854</v>
      </c>
      <c r="E1196" s="509"/>
      <c r="F1196" s="510"/>
      <c r="G1196" s="507"/>
      <c r="H1196" s="511"/>
      <c r="I1196" s="512"/>
      <c r="J1196" s="518"/>
      <c r="K1196" s="510"/>
      <c r="L1196" s="510"/>
      <c r="M1196" s="548"/>
      <c r="N1196" s="514">
        <f>LANÇ_MOV[[#This Row],[VALOR BRUTO]]-LANÇ_MOV[[#This Row],[DESCONTO]]+LANÇ_MOV[[#This Row],[JUROS]]+LANÇ_MOV[[#This Row],[MULTA]]</f>
        <v>0</v>
      </c>
      <c r="O1196" s="546"/>
      <c r="P1196" s="547" t="str">
        <f t="shared" ca="1" si="18"/>
        <v/>
      </c>
      <c r="Q1196" s="528"/>
      <c r="R1196" s="529"/>
      <c r="S1196" s="518"/>
      <c r="T1196" s="518"/>
      <c r="U1196" s="519"/>
      <c r="V1196" s="520" t="str">
        <f>IFERROR(VLOOKUP(LANÇ_MOV[[#This Row],[PLANO DE CONTAS]],Plano_Contas[[PLANO DE CONTAS]:[R / D]],3,0),"")</f>
        <v/>
      </c>
      <c r="W1196" s="521" t="str">
        <f>IF(LANÇ_MOV[[#This Row],[DATA DE PAGAMENTO]]&lt;&gt;"","Pago","Não Pago")</f>
        <v>Não Pago</v>
      </c>
      <c r="X1196" s="522" t="str">
        <f>IFERROR(IF(LANÇ_MOV[[#This Row],[DATA DE PAGAMENTO]]="","",(UPPER(TEXT(LANÇ_MOV[[#This Row],[DATA DE PAGAMENTO]],"mmmm")))),"")</f>
        <v/>
      </c>
      <c r="Y1196" s="523" t="str">
        <f>IFERROR(VLOOKUP(LANÇ_MOV[[#This Row],[PLANO DE CONTAS]],Plano_Contas[[PLANO DE CONTAS]:[NOMES INTERVALOS]],2,0),"")</f>
        <v/>
      </c>
      <c r="Z1196" s="523" t="str">
        <f>IF(LANÇ_MOV[[#This Row],[FORMA DE PAGAMENTO]]="","",VLOOKUP(LANÇ_MOV[[#This Row],[FORMA DE PAGAMENTO]],CAD_Forma_pagto[],2,0))</f>
        <v/>
      </c>
      <c r="AA1196" s="524" t="str">
        <f>IF(LANÇ_MOV[[#This Row],[DATA DE LANÇAMENTO]]="","",TEXT(LANÇ_MOV[[#This Row],[DATA DE LANÇAMENTO]],"AAAA"))</f>
        <v/>
      </c>
      <c r="AB1196" s="524" t="str">
        <f>IF(LANÇ_MOV[[#This Row],[DATA DE LANÇAMENTO]]="","",UPPER(TEXT(LANÇ_MOV[[#This Row],[DATA DE LANÇAMENTO]],"MMMM")))</f>
        <v/>
      </c>
      <c r="AC1196" s="525" t="str">
        <f>IF(LANÇ_MOV[[#This Row],[DATA DE LANÇAMENTO]]="","",PROPER(TEXT(LANÇ_MOV[[#This Row],[DATA DE LANÇAMENTO]],"M")))</f>
        <v/>
      </c>
      <c r="AD1196" s="524" t="str">
        <f>IF(LANÇ_MOV[[#This Row],[DATA DE LANÇAMENTO]]="","",TEXT(LANÇ_MOV[[#This Row],[DATA DE LANÇAMENTO]],"D"))</f>
        <v/>
      </c>
      <c r="AE1196" s="526" t="str">
        <f>IF(LANÇ_MOV[[#This Row],[DATA DE VENCIMENTO]]="","",TEXT(LANÇ_MOV[[#This Row],[DATA DE VENCIMENTO]],"AAAA"))</f>
        <v/>
      </c>
      <c r="AF1196" s="526" t="str">
        <f>IF(LANÇ_MOV[[#This Row],[DATA DE VENCIMENTO]]="","",UPPER(TEXT(LANÇ_MOV[[#This Row],[DATA DE VENCIMENTO]],"MMMM")))</f>
        <v/>
      </c>
      <c r="AG1196" s="526" t="str">
        <f>IF(LANÇ_MOV[[#This Row],[DATA DE VENCIMENTO]]="","",TEXT(LANÇ_MOV[[#This Row],[DATA DE VENCIMENTO]],"M"))</f>
        <v/>
      </c>
      <c r="AH1196" s="526" t="str">
        <f>IF(LANÇ_MOV[[#This Row],[DATA DE VENCIMENTO]]="","",TEXT(LANÇ_MOV[[#This Row],[DATA DE VENCIMENTO]],"D"))</f>
        <v/>
      </c>
      <c r="AI1196" s="526" t="str">
        <f>IF(LANÇ_MOV[[#This Row],[DATA DE PAGAMENTO]]="","",TEXT(LANÇ_MOV[[#This Row],[DATA DE PAGAMENTO]],"AAAA"))</f>
        <v/>
      </c>
      <c r="AJ1196" s="527" t="str">
        <f>IF(LANÇ_MOV[[#This Row],[DATA DE PAGAMENTO]]="","",UPPER(TEXT(LANÇ_MOV[[#This Row],[DATA DE PAGAMENTO]],"MMMM")))</f>
        <v/>
      </c>
      <c r="AK1196" s="527" t="str">
        <f>IF(LANÇ_MOV[[#This Row],[DATA DE PAGAMENTO]]="","",TEXT(LANÇ_MOV[[#This Row],[DATA DE PAGAMENTO]],"M"))</f>
        <v/>
      </c>
      <c r="AL1196" s="526" t="str">
        <f>IF(LANÇ_MOV[[#This Row],[DATA DE PAGAMENTO]]="","",TEXT(LANÇ_MOV[[#This Row],[DATA DE PAGAMENTO]],"D"))</f>
        <v/>
      </c>
    </row>
    <row r="1197" spans="2:38" ht="30.05" customHeight="1" x14ac:dyDescent="0.35">
      <c r="B1197" s="506"/>
      <c r="C1197" s="507"/>
      <c r="D1197" s="508" t="s">
        <v>1854</v>
      </c>
      <c r="E1197" s="509"/>
      <c r="F1197" s="510"/>
      <c r="G1197" s="507"/>
      <c r="H1197" s="511"/>
      <c r="I1197" s="512"/>
      <c r="J1197" s="518"/>
      <c r="K1197" s="510"/>
      <c r="L1197" s="510"/>
      <c r="M1197" s="548"/>
      <c r="N1197" s="514">
        <f>LANÇ_MOV[[#This Row],[VALOR BRUTO]]-LANÇ_MOV[[#This Row],[DESCONTO]]+LANÇ_MOV[[#This Row],[JUROS]]+LANÇ_MOV[[#This Row],[MULTA]]</f>
        <v>0</v>
      </c>
      <c r="O1197" s="546"/>
      <c r="P1197" s="547" t="str">
        <f t="shared" ca="1" si="18"/>
        <v/>
      </c>
      <c r="Q1197" s="528"/>
      <c r="R1197" s="529"/>
      <c r="S1197" s="518"/>
      <c r="T1197" s="518"/>
      <c r="U1197" s="519"/>
      <c r="V1197" s="520" t="str">
        <f>IFERROR(VLOOKUP(LANÇ_MOV[[#This Row],[PLANO DE CONTAS]],Plano_Contas[[PLANO DE CONTAS]:[R / D]],3,0),"")</f>
        <v/>
      </c>
      <c r="W1197" s="521" t="str">
        <f>IF(LANÇ_MOV[[#This Row],[DATA DE PAGAMENTO]]&lt;&gt;"","Pago","Não Pago")</f>
        <v>Não Pago</v>
      </c>
      <c r="X1197" s="522" t="str">
        <f>IFERROR(IF(LANÇ_MOV[[#This Row],[DATA DE PAGAMENTO]]="","",(UPPER(TEXT(LANÇ_MOV[[#This Row],[DATA DE PAGAMENTO]],"mmmm")))),"")</f>
        <v/>
      </c>
      <c r="Y1197" s="523" t="str">
        <f>IFERROR(VLOOKUP(LANÇ_MOV[[#This Row],[PLANO DE CONTAS]],Plano_Contas[[PLANO DE CONTAS]:[NOMES INTERVALOS]],2,0),"")</f>
        <v/>
      </c>
      <c r="Z1197" s="523" t="str">
        <f>IF(LANÇ_MOV[[#This Row],[FORMA DE PAGAMENTO]]="","",VLOOKUP(LANÇ_MOV[[#This Row],[FORMA DE PAGAMENTO]],CAD_Forma_pagto[],2,0))</f>
        <v/>
      </c>
      <c r="AA1197" s="524" t="str">
        <f>IF(LANÇ_MOV[[#This Row],[DATA DE LANÇAMENTO]]="","",TEXT(LANÇ_MOV[[#This Row],[DATA DE LANÇAMENTO]],"AAAA"))</f>
        <v/>
      </c>
      <c r="AB1197" s="524" t="str">
        <f>IF(LANÇ_MOV[[#This Row],[DATA DE LANÇAMENTO]]="","",UPPER(TEXT(LANÇ_MOV[[#This Row],[DATA DE LANÇAMENTO]],"MMMM")))</f>
        <v/>
      </c>
      <c r="AC1197" s="525" t="str">
        <f>IF(LANÇ_MOV[[#This Row],[DATA DE LANÇAMENTO]]="","",PROPER(TEXT(LANÇ_MOV[[#This Row],[DATA DE LANÇAMENTO]],"M")))</f>
        <v/>
      </c>
      <c r="AD1197" s="524" t="str">
        <f>IF(LANÇ_MOV[[#This Row],[DATA DE LANÇAMENTO]]="","",TEXT(LANÇ_MOV[[#This Row],[DATA DE LANÇAMENTO]],"D"))</f>
        <v/>
      </c>
      <c r="AE1197" s="526" t="str">
        <f>IF(LANÇ_MOV[[#This Row],[DATA DE VENCIMENTO]]="","",TEXT(LANÇ_MOV[[#This Row],[DATA DE VENCIMENTO]],"AAAA"))</f>
        <v/>
      </c>
      <c r="AF1197" s="526" t="str">
        <f>IF(LANÇ_MOV[[#This Row],[DATA DE VENCIMENTO]]="","",UPPER(TEXT(LANÇ_MOV[[#This Row],[DATA DE VENCIMENTO]],"MMMM")))</f>
        <v/>
      </c>
      <c r="AG1197" s="526" t="str">
        <f>IF(LANÇ_MOV[[#This Row],[DATA DE VENCIMENTO]]="","",TEXT(LANÇ_MOV[[#This Row],[DATA DE VENCIMENTO]],"M"))</f>
        <v/>
      </c>
      <c r="AH1197" s="526" t="str">
        <f>IF(LANÇ_MOV[[#This Row],[DATA DE VENCIMENTO]]="","",TEXT(LANÇ_MOV[[#This Row],[DATA DE VENCIMENTO]],"D"))</f>
        <v/>
      </c>
      <c r="AI1197" s="526" t="str">
        <f>IF(LANÇ_MOV[[#This Row],[DATA DE PAGAMENTO]]="","",TEXT(LANÇ_MOV[[#This Row],[DATA DE PAGAMENTO]],"AAAA"))</f>
        <v/>
      </c>
      <c r="AJ1197" s="527" t="str">
        <f>IF(LANÇ_MOV[[#This Row],[DATA DE PAGAMENTO]]="","",UPPER(TEXT(LANÇ_MOV[[#This Row],[DATA DE PAGAMENTO]],"MMMM")))</f>
        <v/>
      </c>
      <c r="AK1197" s="527" t="str">
        <f>IF(LANÇ_MOV[[#This Row],[DATA DE PAGAMENTO]]="","",TEXT(LANÇ_MOV[[#This Row],[DATA DE PAGAMENTO]],"M"))</f>
        <v/>
      </c>
      <c r="AL1197" s="526" t="str">
        <f>IF(LANÇ_MOV[[#This Row],[DATA DE PAGAMENTO]]="","",TEXT(LANÇ_MOV[[#This Row],[DATA DE PAGAMENTO]],"D"))</f>
        <v/>
      </c>
    </row>
    <row r="1198" spans="2:38" ht="30.05" customHeight="1" x14ac:dyDescent="0.35">
      <c r="B1198" s="506"/>
      <c r="C1198" s="507"/>
      <c r="D1198" s="508" t="s">
        <v>1854</v>
      </c>
      <c r="E1198" s="509"/>
      <c r="F1198" s="510"/>
      <c r="G1198" s="507"/>
      <c r="H1198" s="511"/>
      <c r="I1198" s="512"/>
      <c r="J1198" s="518"/>
      <c r="K1198" s="510"/>
      <c r="L1198" s="510"/>
      <c r="M1198" s="548"/>
      <c r="N1198" s="514">
        <f>LANÇ_MOV[[#This Row],[VALOR BRUTO]]-LANÇ_MOV[[#This Row],[DESCONTO]]+LANÇ_MOV[[#This Row],[JUROS]]+LANÇ_MOV[[#This Row],[MULTA]]</f>
        <v>0</v>
      </c>
      <c r="O1198" s="546"/>
      <c r="P1198" s="547" t="str">
        <f t="shared" ca="1" si="18"/>
        <v/>
      </c>
      <c r="Q1198" s="528"/>
      <c r="R1198" s="529"/>
      <c r="S1198" s="518"/>
      <c r="T1198" s="518"/>
      <c r="U1198" s="519"/>
      <c r="V1198" s="520" t="str">
        <f>IFERROR(VLOOKUP(LANÇ_MOV[[#This Row],[PLANO DE CONTAS]],Plano_Contas[[PLANO DE CONTAS]:[R / D]],3,0),"")</f>
        <v/>
      </c>
      <c r="W1198" s="521" t="str">
        <f>IF(LANÇ_MOV[[#This Row],[DATA DE PAGAMENTO]]&lt;&gt;"","Pago","Não Pago")</f>
        <v>Não Pago</v>
      </c>
      <c r="X1198" s="522" t="str">
        <f>IFERROR(IF(LANÇ_MOV[[#This Row],[DATA DE PAGAMENTO]]="","",(UPPER(TEXT(LANÇ_MOV[[#This Row],[DATA DE PAGAMENTO]],"mmmm")))),"")</f>
        <v/>
      </c>
      <c r="Y1198" s="523" t="str">
        <f>IFERROR(VLOOKUP(LANÇ_MOV[[#This Row],[PLANO DE CONTAS]],Plano_Contas[[PLANO DE CONTAS]:[NOMES INTERVALOS]],2,0),"")</f>
        <v/>
      </c>
      <c r="Z1198" s="523" t="str">
        <f>IF(LANÇ_MOV[[#This Row],[FORMA DE PAGAMENTO]]="","",VLOOKUP(LANÇ_MOV[[#This Row],[FORMA DE PAGAMENTO]],CAD_Forma_pagto[],2,0))</f>
        <v/>
      </c>
      <c r="AA1198" s="524" t="str">
        <f>IF(LANÇ_MOV[[#This Row],[DATA DE LANÇAMENTO]]="","",TEXT(LANÇ_MOV[[#This Row],[DATA DE LANÇAMENTO]],"AAAA"))</f>
        <v/>
      </c>
      <c r="AB1198" s="524" t="str">
        <f>IF(LANÇ_MOV[[#This Row],[DATA DE LANÇAMENTO]]="","",UPPER(TEXT(LANÇ_MOV[[#This Row],[DATA DE LANÇAMENTO]],"MMMM")))</f>
        <v/>
      </c>
      <c r="AC1198" s="525" t="str">
        <f>IF(LANÇ_MOV[[#This Row],[DATA DE LANÇAMENTO]]="","",PROPER(TEXT(LANÇ_MOV[[#This Row],[DATA DE LANÇAMENTO]],"M")))</f>
        <v/>
      </c>
      <c r="AD1198" s="524" t="str">
        <f>IF(LANÇ_MOV[[#This Row],[DATA DE LANÇAMENTO]]="","",TEXT(LANÇ_MOV[[#This Row],[DATA DE LANÇAMENTO]],"D"))</f>
        <v/>
      </c>
      <c r="AE1198" s="526" t="str">
        <f>IF(LANÇ_MOV[[#This Row],[DATA DE VENCIMENTO]]="","",TEXT(LANÇ_MOV[[#This Row],[DATA DE VENCIMENTO]],"AAAA"))</f>
        <v/>
      </c>
      <c r="AF1198" s="526" t="str">
        <f>IF(LANÇ_MOV[[#This Row],[DATA DE VENCIMENTO]]="","",UPPER(TEXT(LANÇ_MOV[[#This Row],[DATA DE VENCIMENTO]],"MMMM")))</f>
        <v/>
      </c>
      <c r="AG1198" s="526" t="str">
        <f>IF(LANÇ_MOV[[#This Row],[DATA DE VENCIMENTO]]="","",TEXT(LANÇ_MOV[[#This Row],[DATA DE VENCIMENTO]],"M"))</f>
        <v/>
      </c>
      <c r="AH1198" s="526" t="str">
        <f>IF(LANÇ_MOV[[#This Row],[DATA DE VENCIMENTO]]="","",TEXT(LANÇ_MOV[[#This Row],[DATA DE VENCIMENTO]],"D"))</f>
        <v/>
      </c>
      <c r="AI1198" s="526" t="str">
        <f>IF(LANÇ_MOV[[#This Row],[DATA DE PAGAMENTO]]="","",TEXT(LANÇ_MOV[[#This Row],[DATA DE PAGAMENTO]],"AAAA"))</f>
        <v/>
      </c>
      <c r="AJ1198" s="527" t="str">
        <f>IF(LANÇ_MOV[[#This Row],[DATA DE PAGAMENTO]]="","",UPPER(TEXT(LANÇ_MOV[[#This Row],[DATA DE PAGAMENTO]],"MMMM")))</f>
        <v/>
      </c>
      <c r="AK1198" s="527" t="str">
        <f>IF(LANÇ_MOV[[#This Row],[DATA DE PAGAMENTO]]="","",TEXT(LANÇ_MOV[[#This Row],[DATA DE PAGAMENTO]],"M"))</f>
        <v/>
      </c>
      <c r="AL1198" s="526" t="str">
        <f>IF(LANÇ_MOV[[#This Row],[DATA DE PAGAMENTO]]="","",TEXT(LANÇ_MOV[[#This Row],[DATA DE PAGAMENTO]],"D"))</f>
        <v/>
      </c>
    </row>
    <row r="1199" spans="2:38" ht="30.05" customHeight="1" x14ac:dyDescent="0.35">
      <c r="B1199" s="506"/>
      <c r="C1199" s="507"/>
      <c r="D1199" s="508" t="s">
        <v>1854</v>
      </c>
      <c r="E1199" s="509"/>
      <c r="F1199" s="510"/>
      <c r="G1199" s="507"/>
      <c r="H1199" s="511"/>
      <c r="I1199" s="512"/>
      <c r="J1199" s="518"/>
      <c r="K1199" s="510"/>
      <c r="L1199" s="510"/>
      <c r="M1199" s="548"/>
      <c r="N1199" s="514">
        <f>LANÇ_MOV[[#This Row],[VALOR BRUTO]]-LANÇ_MOV[[#This Row],[DESCONTO]]+LANÇ_MOV[[#This Row],[JUROS]]+LANÇ_MOV[[#This Row],[MULTA]]</f>
        <v>0</v>
      </c>
      <c r="O1199" s="546"/>
      <c r="P1199" s="547" t="str">
        <f t="shared" ca="1" si="18"/>
        <v/>
      </c>
      <c r="Q1199" s="528"/>
      <c r="R1199" s="529"/>
      <c r="S1199" s="518"/>
      <c r="T1199" s="518"/>
      <c r="U1199" s="519"/>
      <c r="V1199" s="520" t="str">
        <f>IFERROR(VLOOKUP(LANÇ_MOV[[#This Row],[PLANO DE CONTAS]],Plano_Contas[[PLANO DE CONTAS]:[R / D]],3,0),"")</f>
        <v/>
      </c>
      <c r="W1199" s="521" t="str">
        <f>IF(LANÇ_MOV[[#This Row],[DATA DE PAGAMENTO]]&lt;&gt;"","Pago","Não Pago")</f>
        <v>Não Pago</v>
      </c>
      <c r="X1199" s="522" t="str">
        <f>IFERROR(IF(LANÇ_MOV[[#This Row],[DATA DE PAGAMENTO]]="","",(UPPER(TEXT(LANÇ_MOV[[#This Row],[DATA DE PAGAMENTO]],"mmmm")))),"")</f>
        <v/>
      </c>
      <c r="Y1199" s="523" t="str">
        <f>IFERROR(VLOOKUP(LANÇ_MOV[[#This Row],[PLANO DE CONTAS]],Plano_Contas[[PLANO DE CONTAS]:[NOMES INTERVALOS]],2,0),"")</f>
        <v/>
      </c>
      <c r="Z1199" s="523" t="str">
        <f>IF(LANÇ_MOV[[#This Row],[FORMA DE PAGAMENTO]]="","",VLOOKUP(LANÇ_MOV[[#This Row],[FORMA DE PAGAMENTO]],CAD_Forma_pagto[],2,0))</f>
        <v/>
      </c>
      <c r="AA1199" s="524" t="str">
        <f>IF(LANÇ_MOV[[#This Row],[DATA DE LANÇAMENTO]]="","",TEXT(LANÇ_MOV[[#This Row],[DATA DE LANÇAMENTO]],"AAAA"))</f>
        <v/>
      </c>
      <c r="AB1199" s="524" t="str">
        <f>IF(LANÇ_MOV[[#This Row],[DATA DE LANÇAMENTO]]="","",UPPER(TEXT(LANÇ_MOV[[#This Row],[DATA DE LANÇAMENTO]],"MMMM")))</f>
        <v/>
      </c>
      <c r="AC1199" s="525" t="str">
        <f>IF(LANÇ_MOV[[#This Row],[DATA DE LANÇAMENTO]]="","",PROPER(TEXT(LANÇ_MOV[[#This Row],[DATA DE LANÇAMENTO]],"M")))</f>
        <v/>
      </c>
      <c r="AD1199" s="524" t="str">
        <f>IF(LANÇ_MOV[[#This Row],[DATA DE LANÇAMENTO]]="","",TEXT(LANÇ_MOV[[#This Row],[DATA DE LANÇAMENTO]],"D"))</f>
        <v/>
      </c>
      <c r="AE1199" s="526" t="str">
        <f>IF(LANÇ_MOV[[#This Row],[DATA DE VENCIMENTO]]="","",TEXT(LANÇ_MOV[[#This Row],[DATA DE VENCIMENTO]],"AAAA"))</f>
        <v/>
      </c>
      <c r="AF1199" s="526" t="str">
        <f>IF(LANÇ_MOV[[#This Row],[DATA DE VENCIMENTO]]="","",UPPER(TEXT(LANÇ_MOV[[#This Row],[DATA DE VENCIMENTO]],"MMMM")))</f>
        <v/>
      </c>
      <c r="AG1199" s="526" t="str">
        <f>IF(LANÇ_MOV[[#This Row],[DATA DE VENCIMENTO]]="","",TEXT(LANÇ_MOV[[#This Row],[DATA DE VENCIMENTO]],"M"))</f>
        <v/>
      </c>
      <c r="AH1199" s="526" t="str">
        <f>IF(LANÇ_MOV[[#This Row],[DATA DE VENCIMENTO]]="","",TEXT(LANÇ_MOV[[#This Row],[DATA DE VENCIMENTO]],"D"))</f>
        <v/>
      </c>
      <c r="AI1199" s="526" t="str">
        <f>IF(LANÇ_MOV[[#This Row],[DATA DE PAGAMENTO]]="","",TEXT(LANÇ_MOV[[#This Row],[DATA DE PAGAMENTO]],"AAAA"))</f>
        <v/>
      </c>
      <c r="AJ1199" s="527" t="str">
        <f>IF(LANÇ_MOV[[#This Row],[DATA DE PAGAMENTO]]="","",UPPER(TEXT(LANÇ_MOV[[#This Row],[DATA DE PAGAMENTO]],"MMMM")))</f>
        <v/>
      </c>
      <c r="AK1199" s="527" t="str">
        <f>IF(LANÇ_MOV[[#This Row],[DATA DE PAGAMENTO]]="","",TEXT(LANÇ_MOV[[#This Row],[DATA DE PAGAMENTO]],"M"))</f>
        <v/>
      </c>
      <c r="AL1199" s="526" t="str">
        <f>IF(LANÇ_MOV[[#This Row],[DATA DE PAGAMENTO]]="","",TEXT(LANÇ_MOV[[#This Row],[DATA DE PAGAMENTO]],"D"))</f>
        <v/>
      </c>
    </row>
    <row r="1200" spans="2:38" ht="30.05" customHeight="1" x14ac:dyDescent="0.35">
      <c r="B1200" s="506"/>
      <c r="C1200" s="507"/>
      <c r="D1200" s="508" t="s">
        <v>1854</v>
      </c>
      <c r="E1200" s="509"/>
      <c r="F1200" s="510"/>
      <c r="G1200" s="507"/>
      <c r="H1200" s="511"/>
      <c r="I1200" s="512"/>
      <c r="J1200" s="518"/>
      <c r="K1200" s="510"/>
      <c r="L1200" s="510"/>
      <c r="M1200" s="548"/>
      <c r="N1200" s="514">
        <f>LANÇ_MOV[[#This Row],[VALOR BRUTO]]-LANÇ_MOV[[#This Row],[DESCONTO]]+LANÇ_MOV[[#This Row],[JUROS]]+LANÇ_MOV[[#This Row],[MULTA]]</f>
        <v>0</v>
      </c>
      <c r="O1200" s="546"/>
      <c r="P1200" s="547" t="str">
        <f t="shared" ca="1" si="18"/>
        <v/>
      </c>
      <c r="Q1200" s="528"/>
      <c r="R1200" s="529"/>
      <c r="S1200" s="518"/>
      <c r="T1200" s="518"/>
      <c r="U1200" s="519"/>
      <c r="V1200" s="520" t="str">
        <f>IFERROR(VLOOKUP(LANÇ_MOV[[#This Row],[PLANO DE CONTAS]],Plano_Contas[[PLANO DE CONTAS]:[R / D]],3,0),"")</f>
        <v/>
      </c>
      <c r="W1200" s="521" t="str">
        <f>IF(LANÇ_MOV[[#This Row],[DATA DE PAGAMENTO]]&lt;&gt;"","Pago","Não Pago")</f>
        <v>Não Pago</v>
      </c>
      <c r="X1200" s="522" t="str">
        <f>IFERROR(IF(LANÇ_MOV[[#This Row],[DATA DE PAGAMENTO]]="","",(UPPER(TEXT(LANÇ_MOV[[#This Row],[DATA DE PAGAMENTO]],"mmmm")))),"")</f>
        <v/>
      </c>
      <c r="Y1200" s="523" t="str">
        <f>IFERROR(VLOOKUP(LANÇ_MOV[[#This Row],[PLANO DE CONTAS]],Plano_Contas[[PLANO DE CONTAS]:[NOMES INTERVALOS]],2,0),"")</f>
        <v/>
      </c>
      <c r="Z1200" s="523" t="str">
        <f>IF(LANÇ_MOV[[#This Row],[FORMA DE PAGAMENTO]]="","",VLOOKUP(LANÇ_MOV[[#This Row],[FORMA DE PAGAMENTO]],CAD_Forma_pagto[],2,0))</f>
        <v/>
      </c>
      <c r="AA1200" s="524" t="str">
        <f>IF(LANÇ_MOV[[#This Row],[DATA DE LANÇAMENTO]]="","",TEXT(LANÇ_MOV[[#This Row],[DATA DE LANÇAMENTO]],"AAAA"))</f>
        <v/>
      </c>
      <c r="AB1200" s="524" t="str">
        <f>IF(LANÇ_MOV[[#This Row],[DATA DE LANÇAMENTO]]="","",UPPER(TEXT(LANÇ_MOV[[#This Row],[DATA DE LANÇAMENTO]],"MMMM")))</f>
        <v/>
      </c>
      <c r="AC1200" s="525" t="str">
        <f>IF(LANÇ_MOV[[#This Row],[DATA DE LANÇAMENTO]]="","",PROPER(TEXT(LANÇ_MOV[[#This Row],[DATA DE LANÇAMENTO]],"M")))</f>
        <v/>
      </c>
      <c r="AD1200" s="524" t="str">
        <f>IF(LANÇ_MOV[[#This Row],[DATA DE LANÇAMENTO]]="","",TEXT(LANÇ_MOV[[#This Row],[DATA DE LANÇAMENTO]],"D"))</f>
        <v/>
      </c>
      <c r="AE1200" s="526" t="str">
        <f>IF(LANÇ_MOV[[#This Row],[DATA DE VENCIMENTO]]="","",TEXT(LANÇ_MOV[[#This Row],[DATA DE VENCIMENTO]],"AAAA"))</f>
        <v/>
      </c>
      <c r="AF1200" s="526" t="str">
        <f>IF(LANÇ_MOV[[#This Row],[DATA DE VENCIMENTO]]="","",UPPER(TEXT(LANÇ_MOV[[#This Row],[DATA DE VENCIMENTO]],"MMMM")))</f>
        <v/>
      </c>
      <c r="AG1200" s="526" t="str">
        <f>IF(LANÇ_MOV[[#This Row],[DATA DE VENCIMENTO]]="","",TEXT(LANÇ_MOV[[#This Row],[DATA DE VENCIMENTO]],"M"))</f>
        <v/>
      </c>
      <c r="AH1200" s="526" t="str">
        <f>IF(LANÇ_MOV[[#This Row],[DATA DE VENCIMENTO]]="","",TEXT(LANÇ_MOV[[#This Row],[DATA DE VENCIMENTO]],"D"))</f>
        <v/>
      </c>
      <c r="AI1200" s="526" t="str">
        <f>IF(LANÇ_MOV[[#This Row],[DATA DE PAGAMENTO]]="","",TEXT(LANÇ_MOV[[#This Row],[DATA DE PAGAMENTO]],"AAAA"))</f>
        <v/>
      </c>
      <c r="AJ1200" s="527" t="str">
        <f>IF(LANÇ_MOV[[#This Row],[DATA DE PAGAMENTO]]="","",UPPER(TEXT(LANÇ_MOV[[#This Row],[DATA DE PAGAMENTO]],"MMMM")))</f>
        <v/>
      </c>
      <c r="AK1200" s="527" t="str">
        <f>IF(LANÇ_MOV[[#This Row],[DATA DE PAGAMENTO]]="","",TEXT(LANÇ_MOV[[#This Row],[DATA DE PAGAMENTO]],"M"))</f>
        <v/>
      </c>
      <c r="AL1200" s="526" t="str">
        <f>IF(LANÇ_MOV[[#This Row],[DATA DE PAGAMENTO]]="","",TEXT(LANÇ_MOV[[#This Row],[DATA DE PAGAMENTO]],"D"))</f>
        <v/>
      </c>
    </row>
    <row r="1201" spans="2:38" ht="30.05" customHeight="1" x14ac:dyDescent="0.35">
      <c r="B1201" s="506"/>
      <c r="C1201" s="507"/>
      <c r="D1201" s="508" t="s">
        <v>1854</v>
      </c>
      <c r="E1201" s="509"/>
      <c r="F1201" s="510"/>
      <c r="G1201" s="507"/>
      <c r="H1201" s="511"/>
      <c r="I1201" s="512"/>
      <c r="J1201" s="518"/>
      <c r="K1201" s="510"/>
      <c r="L1201" s="510"/>
      <c r="M1201" s="548"/>
      <c r="N1201" s="514">
        <f>LANÇ_MOV[[#This Row],[VALOR BRUTO]]-LANÇ_MOV[[#This Row],[DESCONTO]]+LANÇ_MOV[[#This Row],[JUROS]]+LANÇ_MOV[[#This Row],[MULTA]]</f>
        <v>0</v>
      </c>
      <c r="O1201" s="546"/>
      <c r="P1201" s="547" t="str">
        <f t="shared" ca="1" si="18"/>
        <v/>
      </c>
      <c r="Q1201" s="528"/>
      <c r="R1201" s="529"/>
      <c r="S1201" s="518"/>
      <c r="T1201" s="518"/>
      <c r="U1201" s="519"/>
      <c r="V1201" s="520" t="str">
        <f>IFERROR(VLOOKUP(LANÇ_MOV[[#This Row],[PLANO DE CONTAS]],Plano_Contas[[PLANO DE CONTAS]:[R / D]],3,0),"")</f>
        <v/>
      </c>
      <c r="W1201" s="521" t="str">
        <f>IF(LANÇ_MOV[[#This Row],[DATA DE PAGAMENTO]]&lt;&gt;"","Pago","Não Pago")</f>
        <v>Não Pago</v>
      </c>
      <c r="X1201" s="522" t="str">
        <f>IFERROR(IF(LANÇ_MOV[[#This Row],[DATA DE PAGAMENTO]]="","",(UPPER(TEXT(LANÇ_MOV[[#This Row],[DATA DE PAGAMENTO]],"mmmm")))),"")</f>
        <v/>
      </c>
      <c r="Y1201" s="523" t="str">
        <f>IFERROR(VLOOKUP(LANÇ_MOV[[#This Row],[PLANO DE CONTAS]],Plano_Contas[[PLANO DE CONTAS]:[NOMES INTERVALOS]],2,0),"")</f>
        <v/>
      </c>
      <c r="Z1201" s="523" t="str">
        <f>IF(LANÇ_MOV[[#This Row],[FORMA DE PAGAMENTO]]="","",VLOOKUP(LANÇ_MOV[[#This Row],[FORMA DE PAGAMENTO]],CAD_Forma_pagto[],2,0))</f>
        <v/>
      </c>
      <c r="AA1201" s="524" t="str">
        <f>IF(LANÇ_MOV[[#This Row],[DATA DE LANÇAMENTO]]="","",TEXT(LANÇ_MOV[[#This Row],[DATA DE LANÇAMENTO]],"AAAA"))</f>
        <v/>
      </c>
      <c r="AB1201" s="524" t="str">
        <f>IF(LANÇ_MOV[[#This Row],[DATA DE LANÇAMENTO]]="","",UPPER(TEXT(LANÇ_MOV[[#This Row],[DATA DE LANÇAMENTO]],"MMMM")))</f>
        <v/>
      </c>
      <c r="AC1201" s="525" t="str">
        <f>IF(LANÇ_MOV[[#This Row],[DATA DE LANÇAMENTO]]="","",PROPER(TEXT(LANÇ_MOV[[#This Row],[DATA DE LANÇAMENTO]],"M")))</f>
        <v/>
      </c>
      <c r="AD1201" s="524" t="str">
        <f>IF(LANÇ_MOV[[#This Row],[DATA DE LANÇAMENTO]]="","",TEXT(LANÇ_MOV[[#This Row],[DATA DE LANÇAMENTO]],"D"))</f>
        <v/>
      </c>
      <c r="AE1201" s="526" t="str">
        <f>IF(LANÇ_MOV[[#This Row],[DATA DE VENCIMENTO]]="","",TEXT(LANÇ_MOV[[#This Row],[DATA DE VENCIMENTO]],"AAAA"))</f>
        <v/>
      </c>
      <c r="AF1201" s="526" t="str">
        <f>IF(LANÇ_MOV[[#This Row],[DATA DE VENCIMENTO]]="","",UPPER(TEXT(LANÇ_MOV[[#This Row],[DATA DE VENCIMENTO]],"MMMM")))</f>
        <v/>
      </c>
      <c r="AG1201" s="526" t="str">
        <f>IF(LANÇ_MOV[[#This Row],[DATA DE VENCIMENTO]]="","",TEXT(LANÇ_MOV[[#This Row],[DATA DE VENCIMENTO]],"M"))</f>
        <v/>
      </c>
      <c r="AH1201" s="526" t="str">
        <f>IF(LANÇ_MOV[[#This Row],[DATA DE VENCIMENTO]]="","",TEXT(LANÇ_MOV[[#This Row],[DATA DE VENCIMENTO]],"D"))</f>
        <v/>
      </c>
      <c r="AI1201" s="526" t="str">
        <f>IF(LANÇ_MOV[[#This Row],[DATA DE PAGAMENTO]]="","",TEXT(LANÇ_MOV[[#This Row],[DATA DE PAGAMENTO]],"AAAA"))</f>
        <v/>
      </c>
      <c r="AJ1201" s="527" t="str">
        <f>IF(LANÇ_MOV[[#This Row],[DATA DE PAGAMENTO]]="","",UPPER(TEXT(LANÇ_MOV[[#This Row],[DATA DE PAGAMENTO]],"MMMM")))</f>
        <v/>
      </c>
      <c r="AK1201" s="527" t="str">
        <f>IF(LANÇ_MOV[[#This Row],[DATA DE PAGAMENTO]]="","",TEXT(LANÇ_MOV[[#This Row],[DATA DE PAGAMENTO]],"M"))</f>
        <v/>
      </c>
      <c r="AL1201" s="526" t="str">
        <f>IF(LANÇ_MOV[[#This Row],[DATA DE PAGAMENTO]]="","",TEXT(LANÇ_MOV[[#This Row],[DATA DE PAGAMENTO]],"D"))</f>
        <v/>
      </c>
    </row>
    <row r="1202" spans="2:38" ht="30.05" customHeight="1" x14ac:dyDescent="0.35">
      <c r="B1202" s="506"/>
      <c r="C1202" s="507"/>
      <c r="D1202" s="508" t="s">
        <v>1854</v>
      </c>
      <c r="E1202" s="509"/>
      <c r="F1202" s="510"/>
      <c r="G1202" s="507"/>
      <c r="H1202" s="511"/>
      <c r="I1202" s="512"/>
      <c r="J1202" s="518"/>
      <c r="K1202" s="510"/>
      <c r="L1202" s="510"/>
      <c r="M1202" s="548"/>
      <c r="N1202" s="514">
        <f>LANÇ_MOV[[#This Row],[VALOR BRUTO]]-LANÇ_MOV[[#This Row],[DESCONTO]]+LANÇ_MOV[[#This Row],[JUROS]]+LANÇ_MOV[[#This Row],[MULTA]]</f>
        <v>0</v>
      </c>
      <c r="O1202" s="546"/>
      <c r="P1202" s="547" t="str">
        <f t="shared" ca="1" si="18"/>
        <v/>
      </c>
      <c r="Q1202" s="528"/>
      <c r="R1202" s="529"/>
      <c r="S1202" s="518"/>
      <c r="T1202" s="518"/>
      <c r="U1202" s="519"/>
      <c r="V1202" s="520" t="str">
        <f>IFERROR(VLOOKUP(LANÇ_MOV[[#This Row],[PLANO DE CONTAS]],Plano_Contas[[PLANO DE CONTAS]:[R / D]],3,0),"")</f>
        <v/>
      </c>
      <c r="W1202" s="521" t="str">
        <f>IF(LANÇ_MOV[[#This Row],[DATA DE PAGAMENTO]]&lt;&gt;"","Pago","Não Pago")</f>
        <v>Não Pago</v>
      </c>
      <c r="X1202" s="522" t="str">
        <f>IFERROR(IF(LANÇ_MOV[[#This Row],[DATA DE PAGAMENTO]]="","",(UPPER(TEXT(LANÇ_MOV[[#This Row],[DATA DE PAGAMENTO]],"mmmm")))),"")</f>
        <v/>
      </c>
      <c r="Y1202" s="523" t="str">
        <f>IFERROR(VLOOKUP(LANÇ_MOV[[#This Row],[PLANO DE CONTAS]],Plano_Contas[[PLANO DE CONTAS]:[NOMES INTERVALOS]],2,0),"")</f>
        <v/>
      </c>
      <c r="Z1202" s="523" t="str">
        <f>IF(LANÇ_MOV[[#This Row],[FORMA DE PAGAMENTO]]="","",VLOOKUP(LANÇ_MOV[[#This Row],[FORMA DE PAGAMENTO]],CAD_Forma_pagto[],2,0))</f>
        <v/>
      </c>
      <c r="AA1202" s="524" t="str">
        <f>IF(LANÇ_MOV[[#This Row],[DATA DE LANÇAMENTO]]="","",TEXT(LANÇ_MOV[[#This Row],[DATA DE LANÇAMENTO]],"AAAA"))</f>
        <v/>
      </c>
      <c r="AB1202" s="524" t="str">
        <f>IF(LANÇ_MOV[[#This Row],[DATA DE LANÇAMENTO]]="","",UPPER(TEXT(LANÇ_MOV[[#This Row],[DATA DE LANÇAMENTO]],"MMMM")))</f>
        <v/>
      </c>
      <c r="AC1202" s="525" t="str">
        <f>IF(LANÇ_MOV[[#This Row],[DATA DE LANÇAMENTO]]="","",PROPER(TEXT(LANÇ_MOV[[#This Row],[DATA DE LANÇAMENTO]],"M")))</f>
        <v/>
      </c>
      <c r="AD1202" s="524" t="str">
        <f>IF(LANÇ_MOV[[#This Row],[DATA DE LANÇAMENTO]]="","",TEXT(LANÇ_MOV[[#This Row],[DATA DE LANÇAMENTO]],"D"))</f>
        <v/>
      </c>
      <c r="AE1202" s="526" t="str">
        <f>IF(LANÇ_MOV[[#This Row],[DATA DE VENCIMENTO]]="","",TEXT(LANÇ_MOV[[#This Row],[DATA DE VENCIMENTO]],"AAAA"))</f>
        <v/>
      </c>
      <c r="AF1202" s="526" t="str">
        <f>IF(LANÇ_MOV[[#This Row],[DATA DE VENCIMENTO]]="","",UPPER(TEXT(LANÇ_MOV[[#This Row],[DATA DE VENCIMENTO]],"MMMM")))</f>
        <v/>
      </c>
      <c r="AG1202" s="526" t="str">
        <f>IF(LANÇ_MOV[[#This Row],[DATA DE VENCIMENTO]]="","",TEXT(LANÇ_MOV[[#This Row],[DATA DE VENCIMENTO]],"M"))</f>
        <v/>
      </c>
      <c r="AH1202" s="526" t="str">
        <f>IF(LANÇ_MOV[[#This Row],[DATA DE VENCIMENTO]]="","",TEXT(LANÇ_MOV[[#This Row],[DATA DE VENCIMENTO]],"D"))</f>
        <v/>
      </c>
      <c r="AI1202" s="526" t="str">
        <f>IF(LANÇ_MOV[[#This Row],[DATA DE PAGAMENTO]]="","",TEXT(LANÇ_MOV[[#This Row],[DATA DE PAGAMENTO]],"AAAA"))</f>
        <v/>
      </c>
      <c r="AJ1202" s="527" t="str">
        <f>IF(LANÇ_MOV[[#This Row],[DATA DE PAGAMENTO]]="","",UPPER(TEXT(LANÇ_MOV[[#This Row],[DATA DE PAGAMENTO]],"MMMM")))</f>
        <v/>
      </c>
      <c r="AK1202" s="527" t="str">
        <f>IF(LANÇ_MOV[[#This Row],[DATA DE PAGAMENTO]]="","",TEXT(LANÇ_MOV[[#This Row],[DATA DE PAGAMENTO]],"M"))</f>
        <v/>
      </c>
      <c r="AL1202" s="526" t="str">
        <f>IF(LANÇ_MOV[[#This Row],[DATA DE PAGAMENTO]]="","",TEXT(LANÇ_MOV[[#This Row],[DATA DE PAGAMENTO]],"D"))</f>
        <v/>
      </c>
    </row>
    <row r="1203" spans="2:38" ht="30.05" customHeight="1" x14ac:dyDescent="0.35">
      <c r="B1203" s="506"/>
      <c r="C1203" s="507"/>
      <c r="D1203" s="508" t="s">
        <v>1854</v>
      </c>
      <c r="E1203" s="509"/>
      <c r="F1203" s="510"/>
      <c r="G1203" s="507"/>
      <c r="H1203" s="511"/>
      <c r="I1203" s="512"/>
      <c r="J1203" s="518"/>
      <c r="K1203" s="510"/>
      <c r="L1203" s="510"/>
      <c r="M1203" s="548"/>
      <c r="N1203" s="514">
        <f>LANÇ_MOV[[#This Row],[VALOR BRUTO]]-LANÇ_MOV[[#This Row],[DESCONTO]]+LANÇ_MOV[[#This Row],[JUROS]]+LANÇ_MOV[[#This Row],[MULTA]]</f>
        <v>0</v>
      </c>
      <c r="O1203" s="546"/>
      <c r="P1203" s="547" t="str">
        <f t="shared" ca="1" si="18"/>
        <v/>
      </c>
      <c r="Q1203" s="528"/>
      <c r="R1203" s="529"/>
      <c r="S1203" s="518"/>
      <c r="T1203" s="518"/>
      <c r="U1203" s="519"/>
      <c r="V1203" s="520" t="str">
        <f>IFERROR(VLOOKUP(LANÇ_MOV[[#This Row],[PLANO DE CONTAS]],Plano_Contas[[PLANO DE CONTAS]:[R / D]],3,0),"")</f>
        <v/>
      </c>
      <c r="W1203" s="521" t="str">
        <f>IF(LANÇ_MOV[[#This Row],[DATA DE PAGAMENTO]]&lt;&gt;"","Pago","Não Pago")</f>
        <v>Não Pago</v>
      </c>
      <c r="X1203" s="522" t="str">
        <f>IFERROR(IF(LANÇ_MOV[[#This Row],[DATA DE PAGAMENTO]]="","",(UPPER(TEXT(LANÇ_MOV[[#This Row],[DATA DE PAGAMENTO]],"mmmm")))),"")</f>
        <v/>
      </c>
      <c r="Y1203" s="523" t="str">
        <f>IFERROR(VLOOKUP(LANÇ_MOV[[#This Row],[PLANO DE CONTAS]],Plano_Contas[[PLANO DE CONTAS]:[NOMES INTERVALOS]],2,0),"")</f>
        <v/>
      </c>
      <c r="Z1203" s="523" t="str">
        <f>IF(LANÇ_MOV[[#This Row],[FORMA DE PAGAMENTO]]="","",VLOOKUP(LANÇ_MOV[[#This Row],[FORMA DE PAGAMENTO]],CAD_Forma_pagto[],2,0))</f>
        <v/>
      </c>
      <c r="AA1203" s="524" t="str">
        <f>IF(LANÇ_MOV[[#This Row],[DATA DE LANÇAMENTO]]="","",TEXT(LANÇ_MOV[[#This Row],[DATA DE LANÇAMENTO]],"AAAA"))</f>
        <v/>
      </c>
      <c r="AB1203" s="524" t="str">
        <f>IF(LANÇ_MOV[[#This Row],[DATA DE LANÇAMENTO]]="","",UPPER(TEXT(LANÇ_MOV[[#This Row],[DATA DE LANÇAMENTO]],"MMMM")))</f>
        <v/>
      </c>
      <c r="AC1203" s="525" t="str">
        <f>IF(LANÇ_MOV[[#This Row],[DATA DE LANÇAMENTO]]="","",PROPER(TEXT(LANÇ_MOV[[#This Row],[DATA DE LANÇAMENTO]],"M")))</f>
        <v/>
      </c>
      <c r="AD1203" s="524" t="str">
        <f>IF(LANÇ_MOV[[#This Row],[DATA DE LANÇAMENTO]]="","",TEXT(LANÇ_MOV[[#This Row],[DATA DE LANÇAMENTO]],"D"))</f>
        <v/>
      </c>
      <c r="AE1203" s="526" t="str">
        <f>IF(LANÇ_MOV[[#This Row],[DATA DE VENCIMENTO]]="","",TEXT(LANÇ_MOV[[#This Row],[DATA DE VENCIMENTO]],"AAAA"))</f>
        <v/>
      </c>
      <c r="AF1203" s="526" t="str">
        <f>IF(LANÇ_MOV[[#This Row],[DATA DE VENCIMENTO]]="","",UPPER(TEXT(LANÇ_MOV[[#This Row],[DATA DE VENCIMENTO]],"MMMM")))</f>
        <v/>
      </c>
      <c r="AG1203" s="526" t="str">
        <f>IF(LANÇ_MOV[[#This Row],[DATA DE VENCIMENTO]]="","",TEXT(LANÇ_MOV[[#This Row],[DATA DE VENCIMENTO]],"M"))</f>
        <v/>
      </c>
      <c r="AH1203" s="526" t="str">
        <f>IF(LANÇ_MOV[[#This Row],[DATA DE VENCIMENTO]]="","",TEXT(LANÇ_MOV[[#This Row],[DATA DE VENCIMENTO]],"D"))</f>
        <v/>
      </c>
      <c r="AI1203" s="526" t="str">
        <f>IF(LANÇ_MOV[[#This Row],[DATA DE PAGAMENTO]]="","",TEXT(LANÇ_MOV[[#This Row],[DATA DE PAGAMENTO]],"AAAA"))</f>
        <v/>
      </c>
      <c r="AJ1203" s="527" t="str">
        <f>IF(LANÇ_MOV[[#This Row],[DATA DE PAGAMENTO]]="","",UPPER(TEXT(LANÇ_MOV[[#This Row],[DATA DE PAGAMENTO]],"MMMM")))</f>
        <v/>
      </c>
      <c r="AK1203" s="527" t="str">
        <f>IF(LANÇ_MOV[[#This Row],[DATA DE PAGAMENTO]]="","",TEXT(LANÇ_MOV[[#This Row],[DATA DE PAGAMENTO]],"M"))</f>
        <v/>
      </c>
      <c r="AL1203" s="526" t="str">
        <f>IF(LANÇ_MOV[[#This Row],[DATA DE PAGAMENTO]]="","",TEXT(LANÇ_MOV[[#This Row],[DATA DE PAGAMENTO]],"D"))</f>
        <v/>
      </c>
    </row>
    <row r="1204" spans="2:38" ht="30.05" customHeight="1" x14ac:dyDescent="0.35">
      <c r="B1204" s="506"/>
      <c r="C1204" s="507"/>
      <c r="D1204" s="508" t="s">
        <v>1854</v>
      </c>
      <c r="E1204" s="509"/>
      <c r="F1204" s="510"/>
      <c r="G1204" s="507"/>
      <c r="H1204" s="511"/>
      <c r="I1204" s="512"/>
      <c r="J1204" s="518"/>
      <c r="K1204" s="510"/>
      <c r="L1204" s="510"/>
      <c r="M1204" s="548"/>
      <c r="N1204" s="514">
        <f>LANÇ_MOV[[#This Row],[VALOR BRUTO]]-LANÇ_MOV[[#This Row],[DESCONTO]]+LANÇ_MOV[[#This Row],[JUROS]]+LANÇ_MOV[[#This Row],[MULTA]]</f>
        <v>0</v>
      </c>
      <c r="O1204" s="546"/>
      <c r="P1204" s="547" t="str">
        <f t="shared" ca="1" si="18"/>
        <v/>
      </c>
      <c r="Q1204" s="528"/>
      <c r="R1204" s="529"/>
      <c r="S1204" s="518"/>
      <c r="T1204" s="518"/>
      <c r="U1204" s="519"/>
      <c r="V1204" s="520" t="str">
        <f>IFERROR(VLOOKUP(LANÇ_MOV[[#This Row],[PLANO DE CONTAS]],Plano_Contas[[PLANO DE CONTAS]:[R / D]],3,0),"")</f>
        <v/>
      </c>
      <c r="W1204" s="521" t="str">
        <f>IF(LANÇ_MOV[[#This Row],[DATA DE PAGAMENTO]]&lt;&gt;"","Pago","Não Pago")</f>
        <v>Não Pago</v>
      </c>
      <c r="X1204" s="522" t="str">
        <f>IFERROR(IF(LANÇ_MOV[[#This Row],[DATA DE PAGAMENTO]]="","",(UPPER(TEXT(LANÇ_MOV[[#This Row],[DATA DE PAGAMENTO]],"mmmm")))),"")</f>
        <v/>
      </c>
      <c r="Y1204" s="523" t="str">
        <f>IFERROR(VLOOKUP(LANÇ_MOV[[#This Row],[PLANO DE CONTAS]],Plano_Contas[[PLANO DE CONTAS]:[NOMES INTERVALOS]],2,0),"")</f>
        <v/>
      </c>
      <c r="Z1204" s="523" t="str">
        <f>IF(LANÇ_MOV[[#This Row],[FORMA DE PAGAMENTO]]="","",VLOOKUP(LANÇ_MOV[[#This Row],[FORMA DE PAGAMENTO]],CAD_Forma_pagto[],2,0))</f>
        <v/>
      </c>
      <c r="AA1204" s="524" t="str">
        <f>IF(LANÇ_MOV[[#This Row],[DATA DE LANÇAMENTO]]="","",TEXT(LANÇ_MOV[[#This Row],[DATA DE LANÇAMENTO]],"AAAA"))</f>
        <v/>
      </c>
      <c r="AB1204" s="524" t="str">
        <f>IF(LANÇ_MOV[[#This Row],[DATA DE LANÇAMENTO]]="","",UPPER(TEXT(LANÇ_MOV[[#This Row],[DATA DE LANÇAMENTO]],"MMMM")))</f>
        <v/>
      </c>
      <c r="AC1204" s="525" t="str">
        <f>IF(LANÇ_MOV[[#This Row],[DATA DE LANÇAMENTO]]="","",PROPER(TEXT(LANÇ_MOV[[#This Row],[DATA DE LANÇAMENTO]],"M")))</f>
        <v/>
      </c>
      <c r="AD1204" s="524" t="str">
        <f>IF(LANÇ_MOV[[#This Row],[DATA DE LANÇAMENTO]]="","",TEXT(LANÇ_MOV[[#This Row],[DATA DE LANÇAMENTO]],"D"))</f>
        <v/>
      </c>
      <c r="AE1204" s="526" t="str">
        <f>IF(LANÇ_MOV[[#This Row],[DATA DE VENCIMENTO]]="","",TEXT(LANÇ_MOV[[#This Row],[DATA DE VENCIMENTO]],"AAAA"))</f>
        <v/>
      </c>
      <c r="AF1204" s="526" t="str">
        <f>IF(LANÇ_MOV[[#This Row],[DATA DE VENCIMENTO]]="","",UPPER(TEXT(LANÇ_MOV[[#This Row],[DATA DE VENCIMENTO]],"MMMM")))</f>
        <v/>
      </c>
      <c r="AG1204" s="526" t="str">
        <f>IF(LANÇ_MOV[[#This Row],[DATA DE VENCIMENTO]]="","",TEXT(LANÇ_MOV[[#This Row],[DATA DE VENCIMENTO]],"M"))</f>
        <v/>
      </c>
      <c r="AH1204" s="526" t="str">
        <f>IF(LANÇ_MOV[[#This Row],[DATA DE VENCIMENTO]]="","",TEXT(LANÇ_MOV[[#This Row],[DATA DE VENCIMENTO]],"D"))</f>
        <v/>
      </c>
      <c r="AI1204" s="526" t="str">
        <f>IF(LANÇ_MOV[[#This Row],[DATA DE PAGAMENTO]]="","",TEXT(LANÇ_MOV[[#This Row],[DATA DE PAGAMENTO]],"AAAA"))</f>
        <v/>
      </c>
      <c r="AJ1204" s="527" t="str">
        <f>IF(LANÇ_MOV[[#This Row],[DATA DE PAGAMENTO]]="","",UPPER(TEXT(LANÇ_MOV[[#This Row],[DATA DE PAGAMENTO]],"MMMM")))</f>
        <v/>
      </c>
      <c r="AK1204" s="527" t="str">
        <f>IF(LANÇ_MOV[[#This Row],[DATA DE PAGAMENTO]]="","",TEXT(LANÇ_MOV[[#This Row],[DATA DE PAGAMENTO]],"M"))</f>
        <v/>
      </c>
      <c r="AL1204" s="526" t="str">
        <f>IF(LANÇ_MOV[[#This Row],[DATA DE PAGAMENTO]]="","",TEXT(LANÇ_MOV[[#This Row],[DATA DE PAGAMENTO]],"D"))</f>
        <v/>
      </c>
    </row>
    <row r="1205" spans="2:38" ht="30.05" customHeight="1" x14ac:dyDescent="0.35">
      <c r="B1205" s="506"/>
      <c r="C1205" s="507"/>
      <c r="D1205" s="508" t="s">
        <v>1854</v>
      </c>
      <c r="E1205" s="509"/>
      <c r="F1205" s="510"/>
      <c r="G1205" s="507"/>
      <c r="H1205" s="511"/>
      <c r="I1205" s="512"/>
      <c r="J1205" s="518"/>
      <c r="K1205" s="510"/>
      <c r="L1205" s="510"/>
      <c r="M1205" s="548"/>
      <c r="N1205" s="514">
        <f>LANÇ_MOV[[#This Row],[VALOR BRUTO]]-LANÇ_MOV[[#This Row],[DESCONTO]]+LANÇ_MOV[[#This Row],[JUROS]]+LANÇ_MOV[[#This Row],[MULTA]]</f>
        <v>0</v>
      </c>
      <c r="O1205" s="546"/>
      <c r="P1205" s="547" t="str">
        <f t="shared" ref="P1205:P1252" ca="1" si="19">IF(O1205="","",IF(Q1205&lt;&gt;"","Pago",IF(O1205-TODAY()&gt;30,"Prazo - Mais de 1 mês",IF(O1205=TODAY(),"Hoje",IF(O1205&lt;TODAY(),"Venceu",IF(O1205-TODAY()&lt;10,"Prazo - Menos de 10 dias",IF(O1205-TODAY()&lt;15,"Prazo - Menos de 15 dias","Prazo - Menos de 1 Mês")))))))</f>
        <v/>
      </c>
      <c r="Q1205" s="528"/>
      <c r="R1205" s="529"/>
      <c r="S1205" s="518"/>
      <c r="T1205" s="518"/>
      <c r="U1205" s="519"/>
      <c r="V1205" s="520" t="str">
        <f>IFERROR(VLOOKUP(LANÇ_MOV[[#This Row],[PLANO DE CONTAS]],Plano_Contas[[PLANO DE CONTAS]:[R / D]],3,0),"")</f>
        <v/>
      </c>
      <c r="W1205" s="521" t="str">
        <f>IF(LANÇ_MOV[[#This Row],[DATA DE PAGAMENTO]]&lt;&gt;"","Pago","Não Pago")</f>
        <v>Não Pago</v>
      </c>
      <c r="X1205" s="522" t="str">
        <f>IFERROR(IF(LANÇ_MOV[[#This Row],[DATA DE PAGAMENTO]]="","",(UPPER(TEXT(LANÇ_MOV[[#This Row],[DATA DE PAGAMENTO]],"mmmm")))),"")</f>
        <v/>
      </c>
      <c r="Y1205" s="523" t="str">
        <f>IFERROR(VLOOKUP(LANÇ_MOV[[#This Row],[PLANO DE CONTAS]],Plano_Contas[[PLANO DE CONTAS]:[NOMES INTERVALOS]],2,0),"")</f>
        <v/>
      </c>
      <c r="Z1205" s="523" t="str">
        <f>IF(LANÇ_MOV[[#This Row],[FORMA DE PAGAMENTO]]="","",VLOOKUP(LANÇ_MOV[[#This Row],[FORMA DE PAGAMENTO]],CAD_Forma_pagto[],2,0))</f>
        <v/>
      </c>
      <c r="AA1205" s="524" t="str">
        <f>IF(LANÇ_MOV[[#This Row],[DATA DE LANÇAMENTO]]="","",TEXT(LANÇ_MOV[[#This Row],[DATA DE LANÇAMENTO]],"AAAA"))</f>
        <v/>
      </c>
      <c r="AB1205" s="524" t="str">
        <f>IF(LANÇ_MOV[[#This Row],[DATA DE LANÇAMENTO]]="","",UPPER(TEXT(LANÇ_MOV[[#This Row],[DATA DE LANÇAMENTO]],"MMMM")))</f>
        <v/>
      </c>
      <c r="AC1205" s="525" t="str">
        <f>IF(LANÇ_MOV[[#This Row],[DATA DE LANÇAMENTO]]="","",PROPER(TEXT(LANÇ_MOV[[#This Row],[DATA DE LANÇAMENTO]],"M")))</f>
        <v/>
      </c>
      <c r="AD1205" s="524" t="str">
        <f>IF(LANÇ_MOV[[#This Row],[DATA DE LANÇAMENTO]]="","",TEXT(LANÇ_MOV[[#This Row],[DATA DE LANÇAMENTO]],"D"))</f>
        <v/>
      </c>
      <c r="AE1205" s="526" t="str">
        <f>IF(LANÇ_MOV[[#This Row],[DATA DE VENCIMENTO]]="","",TEXT(LANÇ_MOV[[#This Row],[DATA DE VENCIMENTO]],"AAAA"))</f>
        <v/>
      </c>
      <c r="AF1205" s="526" t="str">
        <f>IF(LANÇ_MOV[[#This Row],[DATA DE VENCIMENTO]]="","",UPPER(TEXT(LANÇ_MOV[[#This Row],[DATA DE VENCIMENTO]],"MMMM")))</f>
        <v/>
      </c>
      <c r="AG1205" s="526" t="str">
        <f>IF(LANÇ_MOV[[#This Row],[DATA DE VENCIMENTO]]="","",TEXT(LANÇ_MOV[[#This Row],[DATA DE VENCIMENTO]],"M"))</f>
        <v/>
      </c>
      <c r="AH1205" s="526" t="str">
        <f>IF(LANÇ_MOV[[#This Row],[DATA DE VENCIMENTO]]="","",TEXT(LANÇ_MOV[[#This Row],[DATA DE VENCIMENTO]],"D"))</f>
        <v/>
      </c>
      <c r="AI1205" s="526" t="str">
        <f>IF(LANÇ_MOV[[#This Row],[DATA DE PAGAMENTO]]="","",TEXT(LANÇ_MOV[[#This Row],[DATA DE PAGAMENTO]],"AAAA"))</f>
        <v/>
      </c>
      <c r="AJ1205" s="527" t="str">
        <f>IF(LANÇ_MOV[[#This Row],[DATA DE PAGAMENTO]]="","",UPPER(TEXT(LANÇ_MOV[[#This Row],[DATA DE PAGAMENTO]],"MMMM")))</f>
        <v/>
      </c>
      <c r="AK1205" s="527" t="str">
        <f>IF(LANÇ_MOV[[#This Row],[DATA DE PAGAMENTO]]="","",TEXT(LANÇ_MOV[[#This Row],[DATA DE PAGAMENTO]],"M"))</f>
        <v/>
      </c>
      <c r="AL1205" s="526" t="str">
        <f>IF(LANÇ_MOV[[#This Row],[DATA DE PAGAMENTO]]="","",TEXT(LANÇ_MOV[[#This Row],[DATA DE PAGAMENTO]],"D"))</f>
        <v/>
      </c>
    </row>
    <row r="1206" spans="2:38" ht="30.05" customHeight="1" x14ac:dyDescent="0.35">
      <c r="B1206" s="506"/>
      <c r="C1206" s="507"/>
      <c r="D1206" s="508" t="s">
        <v>1854</v>
      </c>
      <c r="E1206" s="509"/>
      <c r="F1206" s="510"/>
      <c r="G1206" s="507"/>
      <c r="H1206" s="511"/>
      <c r="I1206" s="512"/>
      <c r="J1206" s="518"/>
      <c r="K1206" s="510"/>
      <c r="L1206" s="510"/>
      <c r="M1206" s="548"/>
      <c r="N1206" s="514">
        <f>LANÇ_MOV[[#This Row],[VALOR BRUTO]]-LANÇ_MOV[[#This Row],[DESCONTO]]+LANÇ_MOV[[#This Row],[JUROS]]+LANÇ_MOV[[#This Row],[MULTA]]</f>
        <v>0</v>
      </c>
      <c r="O1206" s="546"/>
      <c r="P1206" s="547" t="str">
        <f t="shared" ca="1" si="19"/>
        <v/>
      </c>
      <c r="Q1206" s="528"/>
      <c r="R1206" s="529"/>
      <c r="S1206" s="518"/>
      <c r="T1206" s="518"/>
      <c r="U1206" s="519"/>
      <c r="V1206" s="520" t="str">
        <f>IFERROR(VLOOKUP(LANÇ_MOV[[#This Row],[PLANO DE CONTAS]],Plano_Contas[[PLANO DE CONTAS]:[R / D]],3,0),"")</f>
        <v/>
      </c>
      <c r="W1206" s="521" t="str">
        <f>IF(LANÇ_MOV[[#This Row],[DATA DE PAGAMENTO]]&lt;&gt;"","Pago","Não Pago")</f>
        <v>Não Pago</v>
      </c>
      <c r="X1206" s="522" t="str">
        <f>IFERROR(IF(LANÇ_MOV[[#This Row],[DATA DE PAGAMENTO]]="","",(UPPER(TEXT(LANÇ_MOV[[#This Row],[DATA DE PAGAMENTO]],"mmmm")))),"")</f>
        <v/>
      </c>
      <c r="Y1206" s="523" t="str">
        <f>IFERROR(VLOOKUP(LANÇ_MOV[[#This Row],[PLANO DE CONTAS]],Plano_Contas[[PLANO DE CONTAS]:[NOMES INTERVALOS]],2,0),"")</f>
        <v/>
      </c>
      <c r="Z1206" s="523" t="str">
        <f>IF(LANÇ_MOV[[#This Row],[FORMA DE PAGAMENTO]]="","",VLOOKUP(LANÇ_MOV[[#This Row],[FORMA DE PAGAMENTO]],CAD_Forma_pagto[],2,0))</f>
        <v/>
      </c>
      <c r="AA1206" s="524" t="str">
        <f>IF(LANÇ_MOV[[#This Row],[DATA DE LANÇAMENTO]]="","",TEXT(LANÇ_MOV[[#This Row],[DATA DE LANÇAMENTO]],"AAAA"))</f>
        <v/>
      </c>
      <c r="AB1206" s="524" t="str">
        <f>IF(LANÇ_MOV[[#This Row],[DATA DE LANÇAMENTO]]="","",UPPER(TEXT(LANÇ_MOV[[#This Row],[DATA DE LANÇAMENTO]],"MMMM")))</f>
        <v/>
      </c>
      <c r="AC1206" s="525" t="str">
        <f>IF(LANÇ_MOV[[#This Row],[DATA DE LANÇAMENTO]]="","",PROPER(TEXT(LANÇ_MOV[[#This Row],[DATA DE LANÇAMENTO]],"M")))</f>
        <v/>
      </c>
      <c r="AD1206" s="524" t="str">
        <f>IF(LANÇ_MOV[[#This Row],[DATA DE LANÇAMENTO]]="","",TEXT(LANÇ_MOV[[#This Row],[DATA DE LANÇAMENTO]],"D"))</f>
        <v/>
      </c>
      <c r="AE1206" s="526" t="str">
        <f>IF(LANÇ_MOV[[#This Row],[DATA DE VENCIMENTO]]="","",TEXT(LANÇ_MOV[[#This Row],[DATA DE VENCIMENTO]],"AAAA"))</f>
        <v/>
      </c>
      <c r="AF1206" s="526" t="str">
        <f>IF(LANÇ_MOV[[#This Row],[DATA DE VENCIMENTO]]="","",UPPER(TEXT(LANÇ_MOV[[#This Row],[DATA DE VENCIMENTO]],"MMMM")))</f>
        <v/>
      </c>
      <c r="AG1206" s="526" t="str">
        <f>IF(LANÇ_MOV[[#This Row],[DATA DE VENCIMENTO]]="","",TEXT(LANÇ_MOV[[#This Row],[DATA DE VENCIMENTO]],"M"))</f>
        <v/>
      </c>
      <c r="AH1206" s="526" t="str">
        <f>IF(LANÇ_MOV[[#This Row],[DATA DE VENCIMENTO]]="","",TEXT(LANÇ_MOV[[#This Row],[DATA DE VENCIMENTO]],"D"))</f>
        <v/>
      </c>
      <c r="AI1206" s="526" t="str">
        <f>IF(LANÇ_MOV[[#This Row],[DATA DE PAGAMENTO]]="","",TEXT(LANÇ_MOV[[#This Row],[DATA DE PAGAMENTO]],"AAAA"))</f>
        <v/>
      </c>
      <c r="AJ1206" s="527" t="str">
        <f>IF(LANÇ_MOV[[#This Row],[DATA DE PAGAMENTO]]="","",UPPER(TEXT(LANÇ_MOV[[#This Row],[DATA DE PAGAMENTO]],"MMMM")))</f>
        <v/>
      </c>
      <c r="AK1206" s="527" t="str">
        <f>IF(LANÇ_MOV[[#This Row],[DATA DE PAGAMENTO]]="","",TEXT(LANÇ_MOV[[#This Row],[DATA DE PAGAMENTO]],"M"))</f>
        <v/>
      </c>
      <c r="AL1206" s="526" t="str">
        <f>IF(LANÇ_MOV[[#This Row],[DATA DE PAGAMENTO]]="","",TEXT(LANÇ_MOV[[#This Row],[DATA DE PAGAMENTO]],"D"))</f>
        <v/>
      </c>
    </row>
    <row r="1207" spans="2:38" ht="30.05" customHeight="1" x14ac:dyDescent="0.35">
      <c r="B1207" s="506"/>
      <c r="C1207" s="507"/>
      <c r="D1207" s="508" t="s">
        <v>1854</v>
      </c>
      <c r="E1207" s="509"/>
      <c r="F1207" s="510"/>
      <c r="G1207" s="507"/>
      <c r="H1207" s="511"/>
      <c r="I1207" s="512"/>
      <c r="J1207" s="518"/>
      <c r="K1207" s="510"/>
      <c r="L1207" s="510"/>
      <c r="M1207" s="548"/>
      <c r="N1207" s="514">
        <f>LANÇ_MOV[[#This Row],[VALOR BRUTO]]-LANÇ_MOV[[#This Row],[DESCONTO]]+LANÇ_MOV[[#This Row],[JUROS]]+LANÇ_MOV[[#This Row],[MULTA]]</f>
        <v>0</v>
      </c>
      <c r="O1207" s="546"/>
      <c r="P1207" s="547" t="str">
        <f t="shared" ca="1" si="19"/>
        <v/>
      </c>
      <c r="Q1207" s="528"/>
      <c r="R1207" s="529"/>
      <c r="S1207" s="518"/>
      <c r="T1207" s="518"/>
      <c r="U1207" s="519"/>
      <c r="V1207" s="520" t="str">
        <f>IFERROR(VLOOKUP(LANÇ_MOV[[#This Row],[PLANO DE CONTAS]],Plano_Contas[[PLANO DE CONTAS]:[R / D]],3,0),"")</f>
        <v/>
      </c>
      <c r="W1207" s="521" t="str">
        <f>IF(LANÇ_MOV[[#This Row],[DATA DE PAGAMENTO]]&lt;&gt;"","Pago","Não Pago")</f>
        <v>Não Pago</v>
      </c>
      <c r="X1207" s="522" t="str">
        <f>IFERROR(IF(LANÇ_MOV[[#This Row],[DATA DE PAGAMENTO]]="","",(UPPER(TEXT(LANÇ_MOV[[#This Row],[DATA DE PAGAMENTO]],"mmmm")))),"")</f>
        <v/>
      </c>
      <c r="Y1207" s="523" t="str">
        <f>IFERROR(VLOOKUP(LANÇ_MOV[[#This Row],[PLANO DE CONTAS]],Plano_Contas[[PLANO DE CONTAS]:[NOMES INTERVALOS]],2,0),"")</f>
        <v/>
      </c>
      <c r="Z1207" s="523" t="str">
        <f>IF(LANÇ_MOV[[#This Row],[FORMA DE PAGAMENTO]]="","",VLOOKUP(LANÇ_MOV[[#This Row],[FORMA DE PAGAMENTO]],CAD_Forma_pagto[],2,0))</f>
        <v/>
      </c>
      <c r="AA1207" s="524" t="str">
        <f>IF(LANÇ_MOV[[#This Row],[DATA DE LANÇAMENTO]]="","",TEXT(LANÇ_MOV[[#This Row],[DATA DE LANÇAMENTO]],"AAAA"))</f>
        <v/>
      </c>
      <c r="AB1207" s="524" t="str">
        <f>IF(LANÇ_MOV[[#This Row],[DATA DE LANÇAMENTO]]="","",UPPER(TEXT(LANÇ_MOV[[#This Row],[DATA DE LANÇAMENTO]],"MMMM")))</f>
        <v/>
      </c>
      <c r="AC1207" s="525" t="str">
        <f>IF(LANÇ_MOV[[#This Row],[DATA DE LANÇAMENTO]]="","",PROPER(TEXT(LANÇ_MOV[[#This Row],[DATA DE LANÇAMENTO]],"M")))</f>
        <v/>
      </c>
      <c r="AD1207" s="524" t="str">
        <f>IF(LANÇ_MOV[[#This Row],[DATA DE LANÇAMENTO]]="","",TEXT(LANÇ_MOV[[#This Row],[DATA DE LANÇAMENTO]],"D"))</f>
        <v/>
      </c>
      <c r="AE1207" s="526" t="str">
        <f>IF(LANÇ_MOV[[#This Row],[DATA DE VENCIMENTO]]="","",TEXT(LANÇ_MOV[[#This Row],[DATA DE VENCIMENTO]],"AAAA"))</f>
        <v/>
      </c>
      <c r="AF1207" s="526" t="str">
        <f>IF(LANÇ_MOV[[#This Row],[DATA DE VENCIMENTO]]="","",UPPER(TEXT(LANÇ_MOV[[#This Row],[DATA DE VENCIMENTO]],"MMMM")))</f>
        <v/>
      </c>
      <c r="AG1207" s="526" t="str">
        <f>IF(LANÇ_MOV[[#This Row],[DATA DE VENCIMENTO]]="","",TEXT(LANÇ_MOV[[#This Row],[DATA DE VENCIMENTO]],"M"))</f>
        <v/>
      </c>
      <c r="AH1207" s="526" t="str">
        <f>IF(LANÇ_MOV[[#This Row],[DATA DE VENCIMENTO]]="","",TEXT(LANÇ_MOV[[#This Row],[DATA DE VENCIMENTO]],"D"))</f>
        <v/>
      </c>
      <c r="AI1207" s="526" t="str">
        <f>IF(LANÇ_MOV[[#This Row],[DATA DE PAGAMENTO]]="","",TEXT(LANÇ_MOV[[#This Row],[DATA DE PAGAMENTO]],"AAAA"))</f>
        <v/>
      </c>
      <c r="AJ1207" s="527" t="str">
        <f>IF(LANÇ_MOV[[#This Row],[DATA DE PAGAMENTO]]="","",UPPER(TEXT(LANÇ_MOV[[#This Row],[DATA DE PAGAMENTO]],"MMMM")))</f>
        <v/>
      </c>
      <c r="AK1207" s="527" t="str">
        <f>IF(LANÇ_MOV[[#This Row],[DATA DE PAGAMENTO]]="","",TEXT(LANÇ_MOV[[#This Row],[DATA DE PAGAMENTO]],"M"))</f>
        <v/>
      </c>
      <c r="AL1207" s="526" t="str">
        <f>IF(LANÇ_MOV[[#This Row],[DATA DE PAGAMENTO]]="","",TEXT(LANÇ_MOV[[#This Row],[DATA DE PAGAMENTO]],"D"))</f>
        <v/>
      </c>
    </row>
    <row r="1208" spans="2:38" ht="30.05" customHeight="1" x14ac:dyDescent="0.35">
      <c r="B1208" s="506"/>
      <c r="C1208" s="507"/>
      <c r="D1208" s="508" t="s">
        <v>1854</v>
      </c>
      <c r="E1208" s="509"/>
      <c r="F1208" s="510"/>
      <c r="G1208" s="507"/>
      <c r="H1208" s="511"/>
      <c r="I1208" s="512"/>
      <c r="J1208" s="518"/>
      <c r="K1208" s="510"/>
      <c r="L1208" s="510"/>
      <c r="M1208" s="548"/>
      <c r="N1208" s="514">
        <f>LANÇ_MOV[[#This Row],[VALOR BRUTO]]-LANÇ_MOV[[#This Row],[DESCONTO]]+LANÇ_MOV[[#This Row],[JUROS]]+LANÇ_MOV[[#This Row],[MULTA]]</f>
        <v>0</v>
      </c>
      <c r="O1208" s="546"/>
      <c r="P1208" s="547" t="str">
        <f t="shared" ca="1" si="19"/>
        <v/>
      </c>
      <c r="Q1208" s="528"/>
      <c r="R1208" s="529"/>
      <c r="S1208" s="518"/>
      <c r="T1208" s="518"/>
      <c r="U1208" s="519"/>
      <c r="V1208" s="520" t="str">
        <f>IFERROR(VLOOKUP(LANÇ_MOV[[#This Row],[PLANO DE CONTAS]],Plano_Contas[[PLANO DE CONTAS]:[R / D]],3,0),"")</f>
        <v/>
      </c>
      <c r="W1208" s="521" t="str">
        <f>IF(LANÇ_MOV[[#This Row],[DATA DE PAGAMENTO]]&lt;&gt;"","Pago","Não Pago")</f>
        <v>Não Pago</v>
      </c>
      <c r="X1208" s="522" t="str">
        <f>IFERROR(IF(LANÇ_MOV[[#This Row],[DATA DE PAGAMENTO]]="","",(UPPER(TEXT(LANÇ_MOV[[#This Row],[DATA DE PAGAMENTO]],"mmmm")))),"")</f>
        <v/>
      </c>
      <c r="Y1208" s="523" t="str">
        <f>IFERROR(VLOOKUP(LANÇ_MOV[[#This Row],[PLANO DE CONTAS]],Plano_Contas[[PLANO DE CONTAS]:[NOMES INTERVALOS]],2,0),"")</f>
        <v/>
      </c>
      <c r="Z1208" s="523" t="str">
        <f>IF(LANÇ_MOV[[#This Row],[FORMA DE PAGAMENTO]]="","",VLOOKUP(LANÇ_MOV[[#This Row],[FORMA DE PAGAMENTO]],CAD_Forma_pagto[],2,0))</f>
        <v/>
      </c>
      <c r="AA1208" s="524" t="str">
        <f>IF(LANÇ_MOV[[#This Row],[DATA DE LANÇAMENTO]]="","",TEXT(LANÇ_MOV[[#This Row],[DATA DE LANÇAMENTO]],"AAAA"))</f>
        <v/>
      </c>
      <c r="AB1208" s="524" t="str">
        <f>IF(LANÇ_MOV[[#This Row],[DATA DE LANÇAMENTO]]="","",UPPER(TEXT(LANÇ_MOV[[#This Row],[DATA DE LANÇAMENTO]],"MMMM")))</f>
        <v/>
      </c>
      <c r="AC1208" s="525" t="str">
        <f>IF(LANÇ_MOV[[#This Row],[DATA DE LANÇAMENTO]]="","",PROPER(TEXT(LANÇ_MOV[[#This Row],[DATA DE LANÇAMENTO]],"M")))</f>
        <v/>
      </c>
      <c r="AD1208" s="524" t="str">
        <f>IF(LANÇ_MOV[[#This Row],[DATA DE LANÇAMENTO]]="","",TEXT(LANÇ_MOV[[#This Row],[DATA DE LANÇAMENTO]],"D"))</f>
        <v/>
      </c>
      <c r="AE1208" s="526" t="str">
        <f>IF(LANÇ_MOV[[#This Row],[DATA DE VENCIMENTO]]="","",TEXT(LANÇ_MOV[[#This Row],[DATA DE VENCIMENTO]],"AAAA"))</f>
        <v/>
      </c>
      <c r="AF1208" s="526" t="str">
        <f>IF(LANÇ_MOV[[#This Row],[DATA DE VENCIMENTO]]="","",UPPER(TEXT(LANÇ_MOV[[#This Row],[DATA DE VENCIMENTO]],"MMMM")))</f>
        <v/>
      </c>
      <c r="AG1208" s="526" t="str">
        <f>IF(LANÇ_MOV[[#This Row],[DATA DE VENCIMENTO]]="","",TEXT(LANÇ_MOV[[#This Row],[DATA DE VENCIMENTO]],"M"))</f>
        <v/>
      </c>
      <c r="AH1208" s="526" t="str">
        <f>IF(LANÇ_MOV[[#This Row],[DATA DE VENCIMENTO]]="","",TEXT(LANÇ_MOV[[#This Row],[DATA DE VENCIMENTO]],"D"))</f>
        <v/>
      </c>
      <c r="AI1208" s="526" t="str">
        <f>IF(LANÇ_MOV[[#This Row],[DATA DE PAGAMENTO]]="","",TEXT(LANÇ_MOV[[#This Row],[DATA DE PAGAMENTO]],"AAAA"))</f>
        <v/>
      </c>
      <c r="AJ1208" s="527" t="str">
        <f>IF(LANÇ_MOV[[#This Row],[DATA DE PAGAMENTO]]="","",UPPER(TEXT(LANÇ_MOV[[#This Row],[DATA DE PAGAMENTO]],"MMMM")))</f>
        <v/>
      </c>
      <c r="AK1208" s="527" t="str">
        <f>IF(LANÇ_MOV[[#This Row],[DATA DE PAGAMENTO]]="","",TEXT(LANÇ_MOV[[#This Row],[DATA DE PAGAMENTO]],"M"))</f>
        <v/>
      </c>
      <c r="AL1208" s="526" t="str">
        <f>IF(LANÇ_MOV[[#This Row],[DATA DE PAGAMENTO]]="","",TEXT(LANÇ_MOV[[#This Row],[DATA DE PAGAMENTO]],"D"))</f>
        <v/>
      </c>
    </row>
    <row r="1209" spans="2:38" ht="30.05" customHeight="1" x14ac:dyDescent="0.35">
      <c r="B1209" s="506"/>
      <c r="C1209" s="507"/>
      <c r="D1209" s="508" t="s">
        <v>1854</v>
      </c>
      <c r="E1209" s="509"/>
      <c r="F1209" s="510"/>
      <c r="G1209" s="507"/>
      <c r="H1209" s="511"/>
      <c r="I1209" s="512"/>
      <c r="J1209" s="518"/>
      <c r="K1209" s="510"/>
      <c r="L1209" s="510"/>
      <c r="M1209" s="548"/>
      <c r="N1209" s="514">
        <f>LANÇ_MOV[[#This Row],[VALOR BRUTO]]-LANÇ_MOV[[#This Row],[DESCONTO]]+LANÇ_MOV[[#This Row],[JUROS]]+LANÇ_MOV[[#This Row],[MULTA]]</f>
        <v>0</v>
      </c>
      <c r="O1209" s="546"/>
      <c r="P1209" s="547" t="str">
        <f t="shared" ca="1" si="19"/>
        <v/>
      </c>
      <c r="Q1209" s="528"/>
      <c r="R1209" s="529"/>
      <c r="S1209" s="518"/>
      <c r="T1209" s="518"/>
      <c r="U1209" s="519"/>
      <c r="V1209" s="520" t="str">
        <f>IFERROR(VLOOKUP(LANÇ_MOV[[#This Row],[PLANO DE CONTAS]],Plano_Contas[[PLANO DE CONTAS]:[R / D]],3,0),"")</f>
        <v/>
      </c>
      <c r="W1209" s="521" t="str">
        <f>IF(LANÇ_MOV[[#This Row],[DATA DE PAGAMENTO]]&lt;&gt;"","Pago","Não Pago")</f>
        <v>Não Pago</v>
      </c>
      <c r="X1209" s="522" t="str">
        <f>IFERROR(IF(LANÇ_MOV[[#This Row],[DATA DE PAGAMENTO]]="","",(UPPER(TEXT(LANÇ_MOV[[#This Row],[DATA DE PAGAMENTO]],"mmmm")))),"")</f>
        <v/>
      </c>
      <c r="Y1209" s="523" t="str">
        <f>IFERROR(VLOOKUP(LANÇ_MOV[[#This Row],[PLANO DE CONTAS]],Plano_Contas[[PLANO DE CONTAS]:[NOMES INTERVALOS]],2,0),"")</f>
        <v/>
      </c>
      <c r="Z1209" s="523" t="str">
        <f>IF(LANÇ_MOV[[#This Row],[FORMA DE PAGAMENTO]]="","",VLOOKUP(LANÇ_MOV[[#This Row],[FORMA DE PAGAMENTO]],CAD_Forma_pagto[],2,0))</f>
        <v/>
      </c>
      <c r="AA1209" s="524" t="str">
        <f>IF(LANÇ_MOV[[#This Row],[DATA DE LANÇAMENTO]]="","",TEXT(LANÇ_MOV[[#This Row],[DATA DE LANÇAMENTO]],"AAAA"))</f>
        <v/>
      </c>
      <c r="AB1209" s="524" t="str">
        <f>IF(LANÇ_MOV[[#This Row],[DATA DE LANÇAMENTO]]="","",UPPER(TEXT(LANÇ_MOV[[#This Row],[DATA DE LANÇAMENTO]],"MMMM")))</f>
        <v/>
      </c>
      <c r="AC1209" s="525" t="str">
        <f>IF(LANÇ_MOV[[#This Row],[DATA DE LANÇAMENTO]]="","",PROPER(TEXT(LANÇ_MOV[[#This Row],[DATA DE LANÇAMENTO]],"M")))</f>
        <v/>
      </c>
      <c r="AD1209" s="524" t="str">
        <f>IF(LANÇ_MOV[[#This Row],[DATA DE LANÇAMENTO]]="","",TEXT(LANÇ_MOV[[#This Row],[DATA DE LANÇAMENTO]],"D"))</f>
        <v/>
      </c>
      <c r="AE1209" s="526" t="str">
        <f>IF(LANÇ_MOV[[#This Row],[DATA DE VENCIMENTO]]="","",TEXT(LANÇ_MOV[[#This Row],[DATA DE VENCIMENTO]],"AAAA"))</f>
        <v/>
      </c>
      <c r="AF1209" s="526" t="str">
        <f>IF(LANÇ_MOV[[#This Row],[DATA DE VENCIMENTO]]="","",UPPER(TEXT(LANÇ_MOV[[#This Row],[DATA DE VENCIMENTO]],"MMMM")))</f>
        <v/>
      </c>
      <c r="AG1209" s="526" t="str">
        <f>IF(LANÇ_MOV[[#This Row],[DATA DE VENCIMENTO]]="","",TEXT(LANÇ_MOV[[#This Row],[DATA DE VENCIMENTO]],"M"))</f>
        <v/>
      </c>
      <c r="AH1209" s="526" t="str">
        <f>IF(LANÇ_MOV[[#This Row],[DATA DE VENCIMENTO]]="","",TEXT(LANÇ_MOV[[#This Row],[DATA DE VENCIMENTO]],"D"))</f>
        <v/>
      </c>
      <c r="AI1209" s="526" t="str">
        <f>IF(LANÇ_MOV[[#This Row],[DATA DE PAGAMENTO]]="","",TEXT(LANÇ_MOV[[#This Row],[DATA DE PAGAMENTO]],"AAAA"))</f>
        <v/>
      </c>
      <c r="AJ1209" s="527" t="str">
        <f>IF(LANÇ_MOV[[#This Row],[DATA DE PAGAMENTO]]="","",UPPER(TEXT(LANÇ_MOV[[#This Row],[DATA DE PAGAMENTO]],"MMMM")))</f>
        <v/>
      </c>
      <c r="AK1209" s="527" t="str">
        <f>IF(LANÇ_MOV[[#This Row],[DATA DE PAGAMENTO]]="","",TEXT(LANÇ_MOV[[#This Row],[DATA DE PAGAMENTO]],"M"))</f>
        <v/>
      </c>
      <c r="AL1209" s="526" t="str">
        <f>IF(LANÇ_MOV[[#This Row],[DATA DE PAGAMENTO]]="","",TEXT(LANÇ_MOV[[#This Row],[DATA DE PAGAMENTO]],"D"))</f>
        <v/>
      </c>
    </row>
    <row r="1210" spans="2:38" ht="30.05" customHeight="1" x14ac:dyDescent="0.35">
      <c r="B1210" s="506"/>
      <c r="C1210" s="507"/>
      <c r="D1210" s="508" t="s">
        <v>1854</v>
      </c>
      <c r="E1210" s="509"/>
      <c r="F1210" s="510"/>
      <c r="G1210" s="507"/>
      <c r="H1210" s="511"/>
      <c r="I1210" s="512"/>
      <c r="J1210" s="518"/>
      <c r="K1210" s="510"/>
      <c r="L1210" s="510"/>
      <c r="M1210" s="548"/>
      <c r="N1210" s="514">
        <f>LANÇ_MOV[[#This Row],[VALOR BRUTO]]-LANÇ_MOV[[#This Row],[DESCONTO]]+LANÇ_MOV[[#This Row],[JUROS]]+LANÇ_MOV[[#This Row],[MULTA]]</f>
        <v>0</v>
      </c>
      <c r="O1210" s="546"/>
      <c r="P1210" s="547" t="str">
        <f t="shared" ca="1" si="19"/>
        <v/>
      </c>
      <c r="Q1210" s="528"/>
      <c r="R1210" s="529"/>
      <c r="S1210" s="518"/>
      <c r="T1210" s="518"/>
      <c r="U1210" s="519"/>
      <c r="V1210" s="520" t="str">
        <f>IFERROR(VLOOKUP(LANÇ_MOV[[#This Row],[PLANO DE CONTAS]],Plano_Contas[[PLANO DE CONTAS]:[R / D]],3,0),"")</f>
        <v/>
      </c>
      <c r="W1210" s="521" t="str">
        <f>IF(LANÇ_MOV[[#This Row],[DATA DE PAGAMENTO]]&lt;&gt;"","Pago","Não Pago")</f>
        <v>Não Pago</v>
      </c>
      <c r="X1210" s="522" t="str">
        <f>IFERROR(IF(LANÇ_MOV[[#This Row],[DATA DE PAGAMENTO]]="","",(UPPER(TEXT(LANÇ_MOV[[#This Row],[DATA DE PAGAMENTO]],"mmmm")))),"")</f>
        <v/>
      </c>
      <c r="Y1210" s="523" t="str">
        <f>IFERROR(VLOOKUP(LANÇ_MOV[[#This Row],[PLANO DE CONTAS]],Plano_Contas[[PLANO DE CONTAS]:[NOMES INTERVALOS]],2,0),"")</f>
        <v/>
      </c>
      <c r="Z1210" s="523" t="str">
        <f>IF(LANÇ_MOV[[#This Row],[FORMA DE PAGAMENTO]]="","",VLOOKUP(LANÇ_MOV[[#This Row],[FORMA DE PAGAMENTO]],CAD_Forma_pagto[],2,0))</f>
        <v/>
      </c>
      <c r="AA1210" s="524" t="str">
        <f>IF(LANÇ_MOV[[#This Row],[DATA DE LANÇAMENTO]]="","",TEXT(LANÇ_MOV[[#This Row],[DATA DE LANÇAMENTO]],"AAAA"))</f>
        <v/>
      </c>
      <c r="AB1210" s="524" t="str">
        <f>IF(LANÇ_MOV[[#This Row],[DATA DE LANÇAMENTO]]="","",UPPER(TEXT(LANÇ_MOV[[#This Row],[DATA DE LANÇAMENTO]],"MMMM")))</f>
        <v/>
      </c>
      <c r="AC1210" s="525" t="str">
        <f>IF(LANÇ_MOV[[#This Row],[DATA DE LANÇAMENTO]]="","",PROPER(TEXT(LANÇ_MOV[[#This Row],[DATA DE LANÇAMENTO]],"M")))</f>
        <v/>
      </c>
      <c r="AD1210" s="524" t="str">
        <f>IF(LANÇ_MOV[[#This Row],[DATA DE LANÇAMENTO]]="","",TEXT(LANÇ_MOV[[#This Row],[DATA DE LANÇAMENTO]],"D"))</f>
        <v/>
      </c>
      <c r="AE1210" s="526" t="str">
        <f>IF(LANÇ_MOV[[#This Row],[DATA DE VENCIMENTO]]="","",TEXT(LANÇ_MOV[[#This Row],[DATA DE VENCIMENTO]],"AAAA"))</f>
        <v/>
      </c>
      <c r="AF1210" s="526" t="str">
        <f>IF(LANÇ_MOV[[#This Row],[DATA DE VENCIMENTO]]="","",UPPER(TEXT(LANÇ_MOV[[#This Row],[DATA DE VENCIMENTO]],"MMMM")))</f>
        <v/>
      </c>
      <c r="AG1210" s="526" t="str">
        <f>IF(LANÇ_MOV[[#This Row],[DATA DE VENCIMENTO]]="","",TEXT(LANÇ_MOV[[#This Row],[DATA DE VENCIMENTO]],"M"))</f>
        <v/>
      </c>
      <c r="AH1210" s="526" t="str">
        <f>IF(LANÇ_MOV[[#This Row],[DATA DE VENCIMENTO]]="","",TEXT(LANÇ_MOV[[#This Row],[DATA DE VENCIMENTO]],"D"))</f>
        <v/>
      </c>
      <c r="AI1210" s="526" t="str">
        <f>IF(LANÇ_MOV[[#This Row],[DATA DE PAGAMENTO]]="","",TEXT(LANÇ_MOV[[#This Row],[DATA DE PAGAMENTO]],"AAAA"))</f>
        <v/>
      </c>
      <c r="AJ1210" s="527" t="str">
        <f>IF(LANÇ_MOV[[#This Row],[DATA DE PAGAMENTO]]="","",UPPER(TEXT(LANÇ_MOV[[#This Row],[DATA DE PAGAMENTO]],"MMMM")))</f>
        <v/>
      </c>
      <c r="AK1210" s="527" t="str">
        <f>IF(LANÇ_MOV[[#This Row],[DATA DE PAGAMENTO]]="","",TEXT(LANÇ_MOV[[#This Row],[DATA DE PAGAMENTO]],"M"))</f>
        <v/>
      </c>
      <c r="AL1210" s="526" t="str">
        <f>IF(LANÇ_MOV[[#This Row],[DATA DE PAGAMENTO]]="","",TEXT(LANÇ_MOV[[#This Row],[DATA DE PAGAMENTO]],"D"))</f>
        <v/>
      </c>
    </row>
    <row r="1211" spans="2:38" ht="30.05" customHeight="1" x14ac:dyDescent="0.35">
      <c r="B1211" s="506"/>
      <c r="C1211" s="507"/>
      <c r="D1211" s="508" t="s">
        <v>1854</v>
      </c>
      <c r="E1211" s="509"/>
      <c r="F1211" s="510"/>
      <c r="G1211" s="507"/>
      <c r="H1211" s="511"/>
      <c r="I1211" s="512"/>
      <c r="J1211" s="518"/>
      <c r="K1211" s="510"/>
      <c r="L1211" s="510"/>
      <c r="M1211" s="548"/>
      <c r="N1211" s="514">
        <f>LANÇ_MOV[[#This Row],[VALOR BRUTO]]-LANÇ_MOV[[#This Row],[DESCONTO]]+LANÇ_MOV[[#This Row],[JUROS]]+LANÇ_MOV[[#This Row],[MULTA]]</f>
        <v>0</v>
      </c>
      <c r="O1211" s="546"/>
      <c r="P1211" s="547" t="str">
        <f t="shared" ca="1" si="19"/>
        <v/>
      </c>
      <c r="Q1211" s="528"/>
      <c r="R1211" s="529"/>
      <c r="S1211" s="518"/>
      <c r="T1211" s="518"/>
      <c r="U1211" s="519"/>
      <c r="V1211" s="520" t="str">
        <f>IFERROR(VLOOKUP(LANÇ_MOV[[#This Row],[PLANO DE CONTAS]],Plano_Contas[[PLANO DE CONTAS]:[R / D]],3,0),"")</f>
        <v/>
      </c>
      <c r="W1211" s="521" t="str">
        <f>IF(LANÇ_MOV[[#This Row],[DATA DE PAGAMENTO]]&lt;&gt;"","Pago","Não Pago")</f>
        <v>Não Pago</v>
      </c>
      <c r="X1211" s="522" t="str">
        <f>IFERROR(IF(LANÇ_MOV[[#This Row],[DATA DE PAGAMENTO]]="","",(UPPER(TEXT(LANÇ_MOV[[#This Row],[DATA DE PAGAMENTO]],"mmmm")))),"")</f>
        <v/>
      </c>
      <c r="Y1211" s="523" t="str">
        <f>IFERROR(VLOOKUP(LANÇ_MOV[[#This Row],[PLANO DE CONTAS]],Plano_Contas[[PLANO DE CONTAS]:[NOMES INTERVALOS]],2,0),"")</f>
        <v/>
      </c>
      <c r="Z1211" s="523" t="str">
        <f>IF(LANÇ_MOV[[#This Row],[FORMA DE PAGAMENTO]]="","",VLOOKUP(LANÇ_MOV[[#This Row],[FORMA DE PAGAMENTO]],CAD_Forma_pagto[],2,0))</f>
        <v/>
      </c>
      <c r="AA1211" s="524" t="str">
        <f>IF(LANÇ_MOV[[#This Row],[DATA DE LANÇAMENTO]]="","",TEXT(LANÇ_MOV[[#This Row],[DATA DE LANÇAMENTO]],"AAAA"))</f>
        <v/>
      </c>
      <c r="AB1211" s="524" t="str">
        <f>IF(LANÇ_MOV[[#This Row],[DATA DE LANÇAMENTO]]="","",UPPER(TEXT(LANÇ_MOV[[#This Row],[DATA DE LANÇAMENTO]],"MMMM")))</f>
        <v/>
      </c>
      <c r="AC1211" s="525" t="str">
        <f>IF(LANÇ_MOV[[#This Row],[DATA DE LANÇAMENTO]]="","",PROPER(TEXT(LANÇ_MOV[[#This Row],[DATA DE LANÇAMENTO]],"M")))</f>
        <v/>
      </c>
      <c r="AD1211" s="524" t="str">
        <f>IF(LANÇ_MOV[[#This Row],[DATA DE LANÇAMENTO]]="","",TEXT(LANÇ_MOV[[#This Row],[DATA DE LANÇAMENTO]],"D"))</f>
        <v/>
      </c>
      <c r="AE1211" s="526" t="str">
        <f>IF(LANÇ_MOV[[#This Row],[DATA DE VENCIMENTO]]="","",TEXT(LANÇ_MOV[[#This Row],[DATA DE VENCIMENTO]],"AAAA"))</f>
        <v/>
      </c>
      <c r="AF1211" s="526" t="str">
        <f>IF(LANÇ_MOV[[#This Row],[DATA DE VENCIMENTO]]="","",UPPER(TEXT(LANÇ_MOV[[#This Row],[DATA DE VENCIMENTO]],"MMMM")))</f>
        <v/>
      </c>
      <c r="AG1211" s="526" t="str">
        <f>IF(LANÇ_MOV[[#This Row],[DATA DE VENCIMENTO]]="","",TEXT(LANÇ_MOV[[#This Row],[DATA DE VENCIMENTO]],"M"))</f>
        <v/>
      </c>
      <c r="AH1211" s="526" t="str">
        <f>IF(LANÇ_MOV[[#This Row],[DATA DE VENCIMENTO]]="","",TEXT(LANÇ_MOV[[#This Row],[DATA DE VENCIMENTO]],"D"))</f>
        <v/>
      </c>
      <c r="AI1211" s="526" t="str">
        <f>IF(LANÇ_MOV[[#This Row],[DATA DE PAGAMENTO]]="","",TEXT(LANÇ_MOV[[#This Row],[DATA DE PAGAMENTO]],"AAAA"))</f>
        <v/>
      </c>
      <c r="AJ1211" s="527" t="str">
        <f>IF(LANÇ_MOV[[#This Row],[DATA DE PAGAMENTO]]="","",UPPER(TEXT(LANÇ_MOV[[#This Row],[DATA DE PAGAMENTO]],"MMMM")))</f>
        <v/>
      </c>
      <c r="AK1211" s="527" t="str">
        <f>IF(LANÇ_MOV[[#This Row],[DATA DE PAGAMENTO]]="","",TEXT(LANÇ_MOV[[#This Row],[DATA DE PAGAMENTO]],"M"))</f>
        <v/>
      </c>
      <c r="AL1211" s="526" t="str">
        <f>IF(LANÇ_MOV[[#This Row],[DATA DE PAGAMENTO]]="","",TEXT(LANÇ_MOV[[#This Row],[DATA DE PAGAMENTO]],"D"))</f>
        <v/>
      </c>
    </row>
    <row r="1212" spans="2:38" ht="30.05" customHeight="1" x14ac:dyDescent="0.35">
      <c r="B1212" s="506"/>
      <c r="C1212" s="507"/>
      <c r="D1212" s="508" t="s">
        <v>1854</v>
      </c>
      <c r="E1212" s="509"/>
      <c r="F1212" s="510"/>
      <c r="G1212" s="507"/>
      <c r="H1212" s="511"/>
      <c r="I1212" s="512"/>
      <c r="J1212" s="518"/>
      <c r="K1212" s="510"/>
      <c r="L1212" s="510"/>
      <c r="M1212" s="548"/>
      <c r="N1212" s="514">
        <f>LANÇ_MOV[[#This Row],[VALOR BRUTO]]-LANÇ_MOV[[#This Row],[DESCONTO]]+LANÇ_MOV[[#This Row],[JUROS]]+LANÇ_MOV[[#This Row],[MULTA]]</f>
        <v>0</v>
      </c>
      <c r="O1212" s="546"/>
      <c r="P1212" s="547" t="str">
        <f t="shared" ca="1" si="19"/>
        <v/>
      </c>
      <c r="Q1212" s="528"/>
      <c r="R1212" s="529"/>
      <c r="S1212" s="518"/>
      <c r="T1212" s="518"/>
      <c r="U1212" s="519"/>
      <c r="V1212" s="520" t="str">
        <f>IFERROR(VLOOKUP(LANÇ_MOV[[#This Row],[PLANO DE CONTAS]],Plano_Contas[[PLANO DE CONTAS]:[R / D]],3,0),"")</f>
        <v/>
      </c>
      <c r="W1212" s="521" t="str">
        <f>IF(LANÇ_MOV[[#This Row],[DATA DE PAGAMENTO]]&lt;&gt;"","Pago","Não Pago")</f>
        <v>Não Pago</v>
      </c>
      <c r="X1212" s="522" t="str">
        <f>IFERROR(IF(LANÇ_MOV[[#This Row],[DATA DE PAGAMENTO]]="","",(UPPER(TEXT(LANÇ_MOV[[#This Row],[DATA DE PAGAMENTO]],"mmmm")))),"")</f>
        <v/>
      </c>
      <c r="Y1212" s="523" t="str">
        <f>IFERROR(VLOOKUP(LANÇ_MOV[[#This Row],[PLANO DE CONTAS]],Plano_Contas[[PLANO DE CONTAS]:[NOMES INTERVALOS]],2,0),"")</f>
        <v/>
      </c>
      <c r="Z1212" s="523" t="str">
        <f>IF(LANÇ_MOV[[#This Row],[FORMA DE PAGAMENTO]]="","",VLOOKUP(LANÇ_MOV[[#This Row],[FORMA DE PAGAMENTO]],CAD_Forma_pagto[],2,0))</f>
        <v/>
      </c>
      <c r="AA1212" s="524" t="str">
        <f>IF(LANÇ_MOV[[#This Row],[DATA DE LANÇAMENTO]]="","",TEXT(LANÇ_MOV[[#This Row],[DATA DE LANÇAMENTO]],"AAAA"))</f>
        <v/>
      </c>
      <c r="AB1212" s="524" t="str">
        <f>IF(LANÇ_MOV[[#This Row],[DATA DE LANÇAMENTO]]="","",UPPER(TEXT(LANÇ_MOV[[#This Row],[DATA DE LANÇAMENTO]],"MMMM")))</f>
        <v/>
      </c>
      <c r="AC1212" s="525" t="str">
        <f>IF(LANÇ_MOV[[#This Row],[DATA DE LANÇAMENTO]]="","",PROPER(TEXT(LANÇ_MOV[[#This Row],[DATA DE LANÇAMENTO]],"M")))</f>
        <v/>
      </c>
      <c r="AD1212" s="524" t="str">
        <f>IF(LANÇ_MOV[[#This Row],[DATA DE LANÇAMENTO]]="","",TEXT(LANÇ_MOV[[#This Row],[DATA DE LANÇAMENTO]],"D"))</f>
        <v/>
      </c>
      <c r="AE1212" s="526" t="str">
        <f>IF(LANÇ_MOV[[#This Row],[DATA DE VENCIMENTO]]="","",TEXT(LANÇ_MOV[[#This Row],[DATA DE VENCIMENTO]],"AAAA"))</f>
        <v/>
      </c>
      <c r="AF1212" s="526" t="str">
        <f>IF(LANÇ_MOV[[#This Row],[DATA DE VENCIMENTO]]="","",UPPER(TEXT(LANÇ_MOV[[#This Row],[DATA DE VENCIMENTO]],"MMMM")))</f>
        <v/>
      </c>
      <c r="AG1212" s="526" t="str">
        <f>IF(LANÇ_MOV[[#This Row],[DATA DE VENCIMENTO]]="","",TEXT(LANÇ_MOV[[#This Row],[DATA DE VENCIMENTO]],"M"))</f>
        <v/>
      </c>
      <c r="AH1212" s="526" t="str">
        <f>IF(LANÇ_MOV[[#This Row],[DATA DE VENCIMENTO]]="","",TEXT(LANÇ_MOV[[#This Row],[DATA DE VENCIMENTO]],"D"))</f>
        <v/>
      </c>
      <c r="AI1212" s="526" t="str">
        <f>IF(LANÇ_MOV[[#This Row],[DATA DE PAGAMENTO]]="","",TEXT(LANÇ_MOV[[#This Row],[DATA DE PAGAMENTO]],"AAAA"))</f>
        <v/>
      </c>
      <c r="AJ1212" s="527" t="str">
        <f>IF(LANÇ_MOV[[#This Row],[DATA DE PAGAMENTO]]="","",UPPER(TEXT(LANÇ_MOV[[#This Row],[DATA DE PAGAMENTO]],"MMMM")))</f>
        <v/>
      </c>
      <c r="AK1212" s="527" t="str">
        <f>IF(LANÇ_MOV[[#This Row],[DATA DE PAGAMENTO]]="","",TEXT(LANÇ_MOV[[#This Row],[DATA DE PAGAMENTO]],"M"))</f>
        <v/>
      </c>
      <c r="AL1212" s="526" t="str">
        <f>IF(LANÇ_MOV[[#This Row],[DATA DE PAGAMENTO]]="","",TEXT(LANÇ_MOV[[#This Row],[DATA DE PAGAMENTO]],"D"))</f>
        <v/>
      </c>
    </row>
    <row r="1213" spans="2:38" ht="30.05" customHeight="1" x14ac:dyDescent="0.35">
      <c r="B1213" s="506"/>
      <c r="C1213" s="507"/>
      <c r="D1213" s="508" t="s">
        <v>1854</v>
      </c>
      <c r="E1213" s="509"/>
      <c r="F1213" s="510"/>
      <c r="G1213" s="507"/>
      <c r="H1213" s="511"/>
      <c r="I1213" s="512"/>
      <c r="J1213" s="518"/>
      <c r="K1213" s="510"/>
      <c r="L1213" s="510"/>
      <c r="M1213" s="548"/>
      <c r="N1213" s="514">
        <f>LANÇ_MOV[[#This Row],[VALOR BRUTO]]-LANÇ_MOV[[#This Row],[DESCONTO]]+LANÇ_MOV[[#This Row],[JUROS]]+LANÇ_MOV[[#This Row],[MULTA]]</f>
        <v>0</v>
      </c>
      <c r="O1213" s="546"/>
      <c r="P1213" s="547" t="str">
        <f t="shared" ca="1" si="19"/>
        <v/>
      </c>
      <c r="Q1213" s="528"/>
      <c r="R1213" s="529"/>
      <c r="S1213" s="518"/>
      <c r="T1213" s="518"/>
      <c r="U1213" s="519"/>
      <c r="V1213" s="520" t="str">
        <f>IFERROR(VLOOKUP(LANÇ_MOV[[#This Row],[PLANO DE CONTAS]],Plano_Contas[[PLANO DE CONTAS]:[R / D]],3,0),"")</f>
        <v/>
      </c>
      <c r="W1213" s="521" t="str">
        <f>IF(LANÇ_MOV[[#This Row],[DATA DE PAGAMENTO]]&lt;&gt;"","Pago","Não Pago")</f>
        <v>Não Pago</v>
      </c>
      <c r="X1213" s="522" t="str">
        <f>IFERROR(IF(LANÇ_MOV[[#This Row],[DATA DE PAGAMENTO]]="","",(UPPER(TEXT(LANÇ_MOV[[#This Row],[DATA DE PAGAMENTO]],"mmmm")))),"")</f>
        <v/>
      </c>
      <c r="Y1213" s="523" t="str">
        <f>IFERROR(VLOOKUP(LANÇ_MOV[[#This Row],[PLANO DE CONTAS]],Plano_Contas[[PLANO DE CONTAS]:[NOMES INTERVALOS]],2,0),"")</f>
        <v/>
      </c>
      <c r="Z1213" s="523" t="str">
        <f>IF(LANÇ_MOV[[#This Row],[FORMA DE PAGAMENTO]]="","",VLOOKUP(LANÇ_MOV[[#This Row],[FORMA DE PAGAMENTO]],CAD_Forma_pagto[],2,0))</f>
        <v/>
      </c>
      <c r="AA1213" s="524" t="str">
        <f>IF(LANÇ_MOV[[#This Row],[DATA DE LANÇAMENTO]]="","",TEXT(LANÇ_MOV[[#This Row],[DATA DE LANÇAMENTO]],"AAAA"))</f>
        <v/>
      </c>
      <c r="AB1213" s="524" t="str">
        <f>IF(LANÇ_MOV[[#This Row],[DATA DE LANÇAMENTO]]="","",UPPER(TEXT(LANÇ_MOV[[#This Row],[DATA DE LANÇAMENTO]],"MMMM")))</f>
        <v/>
      </c>
      <c r="AC1213" s="525" t="str">
        <f>IF(LANÇ_MOV[[#This Row],[DATA DE LANÇAMENTO]]="","",PROPER(TEXT(LANÇ_MOV[[#This Row],[DATA DE LANÇAMENTO]],"M")))</f>
        <v/>
      </c>
      <c r="AD1213" s="524" t="str">
        <f>IF(LANÇ_MOV[[#This Row],[DATA DE LANÇAMENTO]]="","",TEXT(LANÇ_MOV[[#This Row],[DATA DE LANÇAMENTO]],"D"))</f>
        <v/>
      </c>
      <c r="AE1213" s="526" t="str">
        <f>IF(LANÇ_MOV[[#This Row],[DATA DE VENCIMENTO]]="","",TEXT(LANÇ_MOV[[#This Row],[DATA DE VENCIMENTO]],"AAAA"))</f>
        <v/>
      </c>
      <c r="AF1213" s="526" t="str">
        <f>IF(LANÇ_MOV[[#This Row],[DATA DE VENCIMENTO]]="","",UPPER(TEXT(LANÇ_MOV[[#This Row],[DATA DE VENCIMENTO]],"MMMM")))</f>
        <v/>
      </c>
      <c r="AG1213" s="526" t="str">
        <f>IF(LANÇ_MOV[[#This Row],[DATA DE VENCIMENTO]]="","",TEXT(LANÇ_MOV[[#This Row],[DATA DE VENCIMENTO]],"M"))</f>
        <v/>
      </c>
      <c r="AH1213" s="526" t="str">
        <f>IF(LANÇ_MOV[[#This Row],[DATA DE VENCIMENTO]]="","",TEXT(LANÇ_MOV[[#This Row],[DATA DE VENCIMENTO]],"D"))</f>
        <v/>
      </c>
      <c r="AI1213" s="526" t="str">
        <f>IF(LANÇ_MOV[[#This Row],[DATA DE PAGAMENTO]]="","",TEXT(LANÇ_MOV[[#This Row],[DATA DE PAGAMENTO]],"AAAA"))</f>
        <v/>
      </c>
      <c r="AJ1213" s="527" t="str">
        <f>IF(LANÇ_MOV[[#This Row],[DATA DE PAGAMENTO]]="","",UPPER(TEXT(LANÇ_MOV[[#This Row],[DATA DE PAGAMENTO]],"MMMM")))</f>
        <v/>
      </c>
      <c r="AK1213" s="527" t="str">
        <f>IF(LANÇ_MOV[[#This Row],[DATA DE PAGAMENTO]]="","",TEXT(LANÇ_MOV[[#This Row],[DATA DE PAGAMENTO]],"M"))</f>
        <v/>
      </c>
      <c r="AL1213" s="526" t="str">
        <f>IF(LANÇ_MOV[[#This Row],[DATA DE PAGAMENTO]]="","",TEXT(LANÇ_MOV[[#This Row],[DATA DE PAGAMENTO]],"D"))</f>
        <v/>
      </c>
    </row>
    <row r="1214" spans="2:38" ht="30.05" customHeight="1" x14ac:dyDescent="0.35">
      <c r="B1214" s="506"/>
      <c r="C1214" s="507"/>
      <c r="D1214" s="508" t="s">
        <v>1854</v>
      </c>
      <c r="E1214" s="509"/>
      <c r="F1214" s="510"/>
      <c r="G1214" s="507"/>
      <c r="H1214" s="511"/>
      <c r="I1214" s="512"/>
      <c r="J1214" s="518"/>
      <c r="K1214" s="510"/>
      <c r="L1214" s="510"/>
      <c r="M1214" s="548"/>
      <c r="N1214" s="514">
        <f>LANÇ_MOV[[#This Row],[VALOR BRUTO]]-LANÇ_MOV[[#This Row],[DESCONTO]]+LANÇ_MOV[[#This Row],[JUROS]]+LANÇ_MOV[[#This Row],[MULTA]]</f>
        <v>0</v>
      </c>
      <c r="O1214" s="546"/>
      <c r="P1214" s="547" t="str">
        <f t="shared" ca="1" si="19"/>
        <v/>
      </c>
      <c r="Q1214" s="528"/>
      <c r="R1214" s="529"/>
      <c r="S1214" s="518"/>
      <c r="T1214" s="518"/>
      <c r="U1214" s="519"/>
      <c r="V1214" s="520" t="str">
        <f>IFERROR(VLOOKUP(LANÇ_MOV[[#This Row],[PLANO DE CONTAS]],Plano_Contas[[PLANO DE CONTAS]:[R / D]],3,0),"")</f>
        <v/>
      </c>
      <c r="W1214" s="521" t="str">
        <f>IF(LANÇ_MOV[[#This Row],[DATA DE PAGAMENTO]]&lt;&gt;"","Pago","Não Pago")</f>
        <v>Não Pago</v>
      </c>
      <c r="X1214" s="522" t="str">
        <f>IFERROR(IF(LANÇ_MOV[[#This Row],[DATA DE PAGAMENTO]]="","",(UPPER(TEXT(LANÇ_MOV[[#This Row],[DATA DE PAGAMENTO]],"mmmm")))),"")</f>
        <v/>
      </c>
      <c r="Y1214" s="523" t="str">
        <f>IFERROR(VLOOKUP(LANÇ_MOV[[#This Row],[PLANO DE CONTAS]],Plano_Contas[[PLANO DE CONTAS]:[NOMES INTERVALOS]],2,0),"")</f>
        <v/>
      </c>
      <c r="Z1214" s="523" t="str">
        <f>IF(LANÇ_MOV[[#This Row],[FORMA DE PAGAMENTO]]="","",VLOOKUP(LANÇ_MOV[[#This Row],[FORMA DE PAGAMENTO]],CAD_Forma_pagto[],2,0))</f>
        <v/>
      </c>
      <c r="AA1214" s="524" t="str">
        <f>IF(LANÇ_MOV[[#This Row],[DATA DE LANÇAMENTO]]="","",TEXT(LANÇ_MOV[[#This Row],[DATA DE LANÇAMENTO]],"AAAA"))</f>
        <v/>
      </c>
      <c r="AB1214" s="524" t="str">
        <f>IF(LANÇ_MOV[[#This Row],[DATA DE LANÇAMENTO]]="","",UPPER(TEXT(LANÇ_MOV[[#This Row],[DATA DE LANÇAMENTO]],"MMMM")))</f>
        <v/>
      </c>
      <c r="AC1214" s="525" t="str">
        <f>IF(LANÇ_MOV[[#This Row],[DATA DE LANÇAMENTO]]="","",PROPER(TEXT(LANÇ_MOV[[#This Row],[DATA DE LANÇAMENTO]],"M")))</f>
        <v/>
      </c>
      <c r="AD1214" s="524" t="str">
        <f>IF(LANÇ_MOV[[#This Row],[DATA DE LANÇAMENTO]]="","",TEXT(LANÇ_MOV[[#This Row],[DATA DE LANÇAMENTO]],"D"))</f>
        <v/>
      </c>
      <c r="AE1214" s="526" t="str">
        <f>IF(LANÇ_MOV[[#This Row],[DATA DE VENCIMENTO]]="","",TEXT(LANÇ_MOV[[#This Row],[DATA DE VENCIMENTO]],"AAAA"))</f>
        <v/>
      </c>
      <c r="AF1214" s="526" t="str">
        <f>IF(LANÇ_MOV[[#This Row],[DATA DE VENCIMENTO]]="","",UPPER(TEXT(LANÇ_MOV[[#This Row],[DATA DE VENCIMENTO]],"MMMM")))</f>
        <v/>
      </c>
      <c r="AG1214" s="526" t="str">
        <f>IF(LANÇ_MOV[[#This Row],[DATA DE VENCIMENTO]]="","",TEXT(LANÇ_MOV[[#This Row],[DATA DE VENCIMENTO]],"M"))</f>
        <v/>
      </c>
      <c r="AH1214" s="526" t="str">
        <f>IF(LANÇ_MOV[[#This Row],[DATA DE VENCIMENTO]]="","",TEXT(LANÇ_MOV[[#This Row],[DATA DE VENCIMENTO]],"D"))</f>
        <v/>
      </c>
      <c r="AI1214" s="526" t="str">
        <f>IF(LANÇ_MOV[[#This Row],[DATA DE PAGAMENTO]]="","",TEXT(LANÇ_MOV[[#This Row],[DATA DE PAGAMENTO]],"AAAA"))</f>
        <v/>
      </c>
      <c r="AJ1214" s="527" t="str">
        <f>IF(LANÇ_MOV[[#This Row],[DATA DE PAGAMENTO]]="","",UPPER(TEXT(LANÇ_MOV[[#This Row],[DATA DE PAGAMENTO]],"MMMM")))</f>
        <v/>
      </c>
      <c r="AK1214" s="527" t="str">
        <f>IF(LANÇ_MOV[[#This Row],[DATA DE PAGAMENTO]]="","",TEXT(LANÇ_MOV[[#This Row],[DATA DE PAGAMENTO]],"M"))</f>
        <v/>
      </c>
      <c r="AL1214" s="526" t="str">
        <f>IF(LANÇ_MOV[[#This Row],[DATA DE PAGAMENTO]]="","",TEXT(LANÇ_MOV[[#This Row],[DATA DE PAGAMENTO]],"D"))</f>
        <v/>
      </c>
    </row>
    <row r="1215" spans="2:38" ht="30.05" customHeight="1" x14ac:dyDescent="0.35">
      <c r="B1215" s="506"/>
      <c r="C1215" s="507"/>
      <c r="D1215" s="508" t="s">
        <v>1854</v>
      </c>
      <c r="E1215" s="509"/>
      <c r="F1215" s="510"/>
      <c r="G1215" s="507"/>
      <c r="H1215" s="511"/>
      <c r="I1215" s="512"/>
      <c r="J1215" s="518"/>
      <c r="K1215" s="510"/>
      <c r="L1215" s="510"/>
      <c r="M1215" s="548"/>
      <c r="N1215" s="514">
        <f>LANÇ_MOV[[#This Row],[VALOR BRUTO]]-LANÇ_MOV[[#This Row],[DESCONTO]]+LANÇ_MOV[[#This Row],[JUROS]]+LANÇ_MOV[[#This Row],[MULTA]]</f>
        <v>0</v>
      </c>
      <c r="O1215" s="546"/>
      <c r="P1215" s="547" t="str">
        <f t="shared" ca="1" si="19"/>
        <v/>
      </c>
      <c r="Q1215" s="528"/>
      <c r="R1215" s="529"/>
      <c r="S1215" s="518"/>
      <c r="T1215" s="518"/>
      <c r="U1215" s="519"/>
      <c r="V1215" s="520" t="str">
        <f>IFERROR(VLOOKUP(LANÇ_MOV[[#This Row],[PLANO DE CONTAS]],Plano_Contas[[PLANO DE CONTAS]:[R / D]],3,0),"")</f>
        <v/>
      </c>
      <c r="W1215" s="521" t="str">
        <f>IF(LANÇ_MOV[[#This Row],[DATA DE PAGAMENTO]]&lt;&gt;"","Pago","Não Pago")</f>
        <v>Não Pago</v>
      </c>
      <c r="X1215" s="522" t="str">
        <f>IFERROR(IF(LANÇ_MOV[[#This Row],[DATA DE PAGAMENTO]]="","",(UPPER(TEXT(LANÇ_MOV[[#This Row],[DATA DE PAGAMENTO]],"mmmm")))),"")</f>
        <v/>
      </c>
      <c r="Y1215" s="523" t="str">
        <f>IFERROR(VLOOKUP(LANÇ_MOV[[#This Row],[PLANO DE CONTAS]],Plano_Contas[[PLANO DE CONTAS]:[NOMES INTERVALOS]],2,0),"")</f>
        <v/>
      </c>
      <c r="Z1215" s="523" t="str">
        <f>IF(LANÇ_MOV[[#This Row],[FORMA DE PAGAMENTO]]="","",VLOOKUP(LANÇ_MOV[[#This Row],[FORMA DE PAGAMENTO]],CAD_Forma_pagto[],2,0))</f>
        <v/>
      </c>
      <c r="AA1215" s="524" t="str">
        <f>IF(LANÇ_MOV[[#This Row],[DATA DE LANÇAMENTO]]="","",TEXT(LANÇ_MOV[[#This Row],[DATA DE LANÇAMENTO]],"AAAA"))</f>
        <v/>
      </c>
      <c r="AB1215" s="524" t="str">
        <f>IF(LANÇ_MOV[[#This Row],[DATA DE LANÇAMENTO]]="","",UPPER(TEXT(LANÇ_MOV[[#This Row],[DATA DE LANÇAMENTO]],"MMMM")))</f>
        <v/>
      </c>
      <c r="AC1215" s="525" t="str">
        <f>IF(LANÇ_MOV[[#This Row],[DATA DE LANÇAMENTO]]="","",PROPER(TEXT(LANÇ_MOV[[#This Row],[DATA DE LANÇAMENTO]],"M")))</f>
        <v/>
      </c>
      <c r="AD1215" s="524" t="str">
        <f>IF(LANÇ_MOV[[#This Row],[DATA DE LANÇAMENTO]]="","",TEXT(LANÇ_MOV[[#This Row],[DATA DE LANÇAMENTO]],"D"))</f>
        <v/>
      </c>
      <c r="AE1215" s="526" t="str">
        <f>IF(LANÇ_MOV[[#This Row],[DATA DE VENCIMENTO]]="","",TEXT(LANÇ_MOV[[#This Row],[DATA DE VENCIMENTO]],"AAAA"))</f>
        <v/>
      </c>
      <c r="AF1215" s="526" t="str">
        <f>IF(LANÇ_MOV[[#This Row],[DATA DE VENCIMENTO]]="","",UPPER(TEXT(LANÇ_MOV[[#This Row],[DATA DE VENCIMENTO]],"MMMM")))</f>
        <v/>
      </c>
      <c r="AG1215" s="526" t="str">
        <f>IF(LANÇ_MOV[[#This Row],[DATA DE VENCIMENTO]]="","",TEXT(LANÇ_MOV[[#This Row],[DATA DE VENCIMENTO]],"M"))</f>
        <v/>
      </c>
      <c r="AH1215" s="526" t="str">
        <f>IF(LANÇ_MOV[[#This Row],[DATA DE VENCIMENTO]]="","",TEXT(LANÇ_MOV[[#This Row],[DATA DE VENCIMENTO]],"D"))</f>
        <v/>
      </c>
      <c r="AI1215" s="526" t="str">
        <f>IF(LANÇ_MOV[[#This Row],[DATA DE PAGAMENTO]]="","",TEXT(LANÇ_MOV[[#This Row],[DATA DE PAGAMENTO]],"AAAA"))</f>
        <v/>
      </c>
      <c r="AJ1215" s="527" t="str">
        <f>IF(LANÇ_MOV[[#This Row],[DATA DE PAGAMENTO]]="","",UPPER(TEXT(LANÇ_MOV[[#This Row],[DATA DE PAGAMENTO]],"MMMM")))</f>
        <v/>
      </c>
      <c r="AK1215" s="527" t="str">
        <f>IF(LANÇ_MOV[[#This Row],[DATA DE PAGAMENTO]]="","",TEXT(LANÇ_MOV[[#This Row],[DATA DE PAGAMENTO]],"M"))</f>
        <v/>
      </c>
      <c r="AL1215" s="526" t="str">
        <f>IF(LANÇ_MOV[[#This Row],[DATA DE PAGAMENTO]]="","",TEXT(LANÇ_MOV[[#This Row],[DATA DE PAGAMENTO]],"D"))</f>
        <v/>
      </c>
    </row>
    <row r="1216" spans="2:38" ht="30.05" customHeight="1" x14ac:dyDescent="0.35">
      <c r="B1216" s="506"/>
      <c r="C1216" s="507"/>
      <c r="D1216" s="508" t="s">
        <v>1854</v>
      </c>
      <c r="E1216" s="509"/>
      <c r="F1216" s="510"/>
      <c r="G1216" s="507"/>
      <c r="H1216" s="511"/>
      <c r="I1216" s="512"/>
      <c r="J1216" s="518"/>
      <c r="K1216" s="510"/>
      <c r="L1216" s="510"/>
      <c r="M1216" s="548"/>
      <c r="N1216" s="514">
        <f>LANÇ_MOV[[#This Row],[VALOR BRUTO]]-LANÇ_MOV[[#This Row],[DESCONTO]]+LANÇ_MOV[[#This Row],[JUROS]]+LANÇ_MOV[[#This Row],[MULTA]]</f>
        <v>0</v>
      </c>
      <c r="O1216" s="546"/>
      <c r="P1216" s="547" t="str">
        <f t="shared" ca="1" si="19"/>
        <v/>
      </c>
      <c r="Q1216" s="528"/>
      <c r="R1216" s="529"/>
      <c r="S1216" s="518"/>
      <c r="T1216" s="518"/>
      <c r="U1216" s="519"/>
      <c r="V1216" s="520" t="str">
        <f>IFERROR(VLOOKUP(LANÇ_MOV[[#This Row],[PLANO DE CONTAS]],Plano_Contas[[PLANO DE CONTAS]:[R / D]],3,0),"")</f>
        <v/>
      </c>
      <c r="W1216" s="521" t="str">
        <f>IF(LANÇ_MOV[[#This Row],[DATA DE PAGAMENTO]]&lt;&gt;"","Pago","Não Pago")</f>
        <v>Não Pago</v>
      </c>
      <c r="X1216" s="522" t="str">
        <f>IFERROR(IF(LANÇ_MOV[[#This Row],[DATA DE PAGAMENTO]]="","",(UPPER(TEXT(LANÇ_MOV[[#This Row],[DATA DE PAGAMENTO]],"mmmm")))),"")</f>
        <v/>
      </c>
      <c r="Y1216" s="523" t="str">
        <f>IFERROR(VLOOKUP(LANÇ_MOV[[#This Row],[PLANO DE CONTAS]],Plano_Contas[[PLANO DE CONTAS]:[NOMES INTERVALOS]],2,0),"")</f>
        <v/>
      </c>
      <c r="Z1216" s="523" t="str">
        <f>IF(LANÇ_MOV[[#This Row],[FORMA DE PAGAMENTO]]="","",VLOOKUP(LANÇ_MOV[[#This Row],[FORMA DE PAGAMENTO]],CAD_Forma_pagto[],2,0))</f>
        <v/>
      </c>
      <c r="AA1216" s="524" t="str">
        <f>IF(LANÇ_MOV[[#This Row],[DATA DE LANÇAMENTO]]="","",TEXT(LANÇ_MOV[[#This Row],[DATA DE LANÇAMENTO]],"AAAA"))</f>
        <v/>
      </c>
      <c r="AB1216" s="524" t="str">
        <f>IF(LANÇ_MOV[[#This Row],[DATA DE LANÇAMENTO]]="","",UPPER(TEXT(LANÇ_MOV[[#This Row],[DATA DE LANÇAMENTO]],"MMMM")))</f>
        <v/>
      </c>
      <c r="AC1216" s="525" t="str">
        <f>IF(LANÇ_MOV[[#This Row],[DATA DE LANÇAMENTO]]="","",PROPER(TEXT(LANÇ_MOV[[#This Row],[DATA DE LANÇAMENTO]],"M")))</f>
        <v/>
      </c>
      <c r="AD1216" s="524" t="str">
        <f>IF(LANÇ_MOV[[#This Row],[DATA DE LANÇAMENTO]]="","",TEXT(LANÇ_MOV[[#This Row],[DATA DE LANÇAMENTO]],"D"))</f>
        <v/>
      </c>
      <c r="AE1216" s="526" t="str">
        <f>IF(LANÇ_MOV[[#This Row],[DATA DE VENCIMENTO]]="","",TEXT(LANÇ_MOV[[#This Row],[DATA DE VENCIMENTO]],"AAAA"))</f>
        <v/>
      </c>
      <c r="AF1216" s="526" t="str">
        <f>IF(LANÇ_MOV[[#This Row],[DATA DE VENCIMENTO]]="","",UPPER(TEXT(LANÇ_MOV[[#This Row],[DATA DE VENCIMENTO]],"MMMM")))</f>
        <v/>
      </c>
      <c r="AG1216" s="526" t="str">
        <f>IF(LANÇ_MOV[[#This Row],[DATA DE VENCIMENTO]]="","",TEXT(LANÇ_MOV[[#This Row],[DATA DE VENCIMENTO]],"M"))</f>
        <v/>
      </c>
      <c r="AH1216" s="526" t="str">
        <f>IF(LANÇ_MOV[[#This Row],[DATA DE VENCIMENTO]]="","",TEXT(LANÇ_MOV[[#This Row],[DATA DE VENCIMENTO]],"D"))</f>
        <v/>
      </c>
      <c r="AI1216" s="526" t="str">
        <f>IF(LANÇ_MOV[[#This Row],[DATA DE PAGAMENTO]]="","",TEXT(LANÇ_MOV[[#This Row],[DATA DE PAGAMENTO]],"AAAA"))</f>
        <v/>
      </c>
      <c r="AJ1216" s="527" t="str">
        <f>IF(LANÇ_MOV[[#This Row],[DATA DE PAGAMENTO]]="","",UPPER(TEXT(LANÇ_MOV[[#This Row],[DATA DE PAGAMENTO]],"MMMM")))</f>
        <v/>
      </c>
      <c r="AK1216" s="527" t="str">
        <f>IF(LANÇ_MOV[[#This Row],[DATA DE PAGAMENTO]]="","",TEXT(LANÇ_MOV[[#This Row],[DATA DE PAGAMENTO]],"M"))</f>
        <v/>
      </c>
      <c r="AL1216" s="526" t="str">
        <f>IF(LANÇ_MOV[[#This Row],[DATA DE PAGAMENTO]]="","",TEXT(LANÇ_MOV[[#This Row],[DATA DE PAGAMENTO]],"D"))</f>
        <v/>
      </c>
    </row>
    <row r="1217" spans="2:38" ht="30.05" customHeight="1" x14ac:dyDescent="0.35">
      <c r="B1217" s="506"/>
      <c r="C1217" s="507"/>
      <c r="D1217" s="508" t="s">
        <v>1854</v>
      </c>
      <c r="E1217" s="509"/>
      <c r="F1217" s="510"/>
      <c r="G1217" s="507"/>
      <c r="H1217" s="511"/>
      <c r="I1217" s="512"/>
      <c r="J1217" s="518"/>
      <c r="K1217" s="510"/>
      <c r="L1217" s="510"/>
      <c r="M1217" s="548"/>
      <c r="N1217" s="514">
        <f>LANÇ_MOV[[#This Row],[VALOR BRUTO]]-LANÇ_MOV[[#This Row],[DESCONTO]]+LANÇ_MOV[[#This Row],[JUROS]]+LANÇ_MOV[[#This Row],[MULTA]]</f>
        <v>0</v>
      </c>
      <c r="O1217" s="546"/>
      <c r="P1217" s="547" t="str">
        <f t="shared" ca="1" si="19"/>
        <v/>
      </c>
      <c r="Q1217" s="528"/>
      <c r="R1217" s="529"/>
      <c r="S1217" s="518"/>
      <c r="T1217" s="518"/>
      <c r="U1217" s="519"/>
      <c r="V1217" s="520" t="str">
        <f>IFERROR(VLOOKUP(LANÇ_MOV[[#This Row],[PLANO DE CONTAS]],Plano_Contas[[PLANO DE CONTAS]:[R / D]],3,0),"")</f>
        <v/>
      </c>
      <c r="W1217" s="521" t="str">
        <f>IF(LANÇ_MOV[[#This Row],[DATA DE PAGAMENTO]]&lt;&gt;"","Pago","Não Pago")</f>
        <v>Não Pago</v>
      </c>
      <c r="X1217" s="522" t="str">
        <f>IFERROR(IF(LANÇ_MOV[[#This Row],[DATA DE PAGAMENTO]]="","",(UPPER(TEXT(LANÇ_MOV[[#This Row],[DATA DE PAGAMENTO]],"mmmm")))),"")</f>
        <v/>
      </c>
      <c r="Y1217" s="523" t="str">
        <f>IFERROR(VLOOKUP(LANÇ_MOV[[#This Row],[PLANO DE CONTAS]],Plano_Contas[[PLANO DE CONTAS]:[NOMES INTERVALOS]],2,0),"")</f>
        <v/>
      </c>
      <c r="Z1217" s="523" t="str">
        <f>IF(LANÇ_MOV[[#This Row],[FORMA DE PAGAMENTO]]="","",VLOOKUP(LANÇ_MOV[[#This Row],[FORMA DE PAGAMENTO]],CAD_Forma_pagto[],2,0))</f>
        <v/>
      </c>
      <c r="AA1217" s="524" t="str">
        <f>IF(LANÇ_MOV[[#This Row],[DATA DE LANÇAMENTO]]="","",TEXT(LANÇ_MOV[[#This Row],[DATA DE LANÇAMENTO]],"AAAA"))</f>
        <v/>
      </c>
      <c r="AB1217" s="524" t="str">
        <f>IF(LANÇ_MOV[[#This Row],[DATA DE LANÇAMENTO]]="","",UPPER(TEXT(LANÇ_MOV[[#This Row],[DATA DE LANÇAMENTO]],"MMMM")))</f>
        <v/>
      </c>
      <c r="AC1217" s="525" t="str">
        <f>IF(LANÇ_MOV[[#This Row],[DATA DE LANÇAMENTO]]="","",PROPER(TEXT(LANÇ_MOV[[#This Row],[DATA DE LANÇAMENTO]],"M")))</f>
        <v/>
      </c>
      <c r="AD1217" s="524" t="str">
        <f>IF(LANÇ_MOV[[#This Row],[DATA DE LANÇAMENTO]]="","",TEXT(LANÇ_MOV[[#This Row],[DATA DE LANÇAMENTO]],"D"))</f>
        <v/>
      </c>
      <c r="AE1217" s="526" t="str">
        <f>IF(LANÇ_MOV[[#This Row],[DATA DE VENCIMENTO]]="","",TEXT(LANÇ_MOV[[#This Row],[DATA DE VENCIMENTO]],"AAAA"))</f>
        <v/>
      </c>
      <c r="AF1217" s="526" t="str">
        <f>IF(LANÇ_MOV[[#This Row],[DATA DE VENCIMENTO]]="","",UPPER(TEXT(LANÇ_MOV[[#This Row],[DATA DE VENCIMENTO]],"MMMM")))</f>
        <v/>
      </c>
      <c r="AG1217" s="526" t="str">
        <f>IF(LANÇ_MOV[[#This Row],[DATA DE VENCIMENTO]]="","",TEXT(LANÇ_MOV[[#This Row],[DATA DE VENCIMENTO]],"M"))</f>
        <v/>
      </c>
      <c r="AH1217" s="526" t="str">
        <f>IF(LANÇ_MOV[[#This Row],[DATA DE VENCIMENTO]]="","",TEXT(LANÇ_MOV[[#This Row],[DATA DE VENCIMENTO]],"D"))</f>
        <v/>
      </c>
      <c r="AI1217" s="526" t="str">
        <f>IF(LANÇ_MOV[[#This Row],[DATA DE PAGAMENTO]]="","",TEXT(LANÇ_MOV[[#This Row],[DATA DE PAGAMENTO]],"AAAA"))</f>
        <v/>
      </c>
      <c r="AJ1217" s="527" t="str">
        <f>IF(LANÇ_MOV[[#This Row],[DATA DE PAGAMENTO]]="","",UPPER(TEXT(LANÇ_MOV[[#This Row],[DATA DE PAGAMENTO]],"MMMM")))</f>
        <v/>
      </c>
      <c r="AK1217" s="527" t="str">
        <f>IF(LANÇ_MOV[[#This Row],[DATA DE PAGAMENTO]]="","",TEXT(LANÇ_MOV[[#This Row],[DATA DE PAGAMENTO]],"M"))</f>
        <v/>
      </c>
      <c r="AL1217" s="526" t="str">
        <f>IF(LANÇ_MOV[[#This Row],[DATA DE PAGAMENTO]]="","",TEXT(LANÇ_MOV[[#This Row],[DATA DE PAGAMENTO]],"D"))</f>
        <v/>
      </c>
    </row>
    <row r="1218" spans="2:38" ht="30.05" customHeight="1" x14ac:dyDescent="0.35">
      <c r="B1218" s="506"/>
      <c r="C1218" s="507"/>
      <c r="D1218" s="508" t="s">
        <v>1854</v>
      </c>
      <c r="E1218" s="509"/>
      <c r="F1218" s="510"/>
      <c r="G1218" s="507"/>
      <c r="H1218" s="511"/>
      <c r="I1218" s="512"/>
      <c r="J1218" s="518"/>
      <c r="K1218" s="510"/>
      <c r="L1218" s="510"/>
      <c r="M1218" s="548"/>
      <c r="N1218" s="514">
        <f>LANÇ_MOV[[#This Row],[VALOR BRUTO]]-LANÇ_MOV[[#This Row],[DESCONTO]]+LANÇ_MOV[[#This Row],[JUROS]]+LANÇ_MOV[[#This Row],[MULTA]]</f>
        <v>0</v>
      </c>
      <c r="O1218" s="546"/>
      <c r="P1218" s="547" t="str">
        <f t="shared" ca="1" si="19"/>
        <v/>
      </c>
      <c r="Q1218" s="528"/>
      <c r="R1218" s="529"/>
      <c r="S1218" s="518"/>
      <c r="T1218" s="518"/>
      <c r="U1218" s="519"/>
      <c r="V1218" s="520" t="str">
        <f>IFERROR(VLOOKUP(LANÇ_MOV[[#This Row],[PLANO DE CONTAS]],Plano_Contas[[PLANO DE CONTAS]:[R / D]],3,0),"")</f>
        <v/>
      </c>
      <c r="W1218" s="521" t="str">
        <f>IF(LANÇ_MOV[[#This Row],[DATA DE PAGAMENTO]]&lt;&gt;"","Pago","Não Pago")</f>
        <v>Não Pago</v>
      </c>
      <c r="X1218" s="522" t="str">
        <f>IFERROR(IF(LANÇ_MOV[[#This Row],[DATA DE PAGAMENTO]]="","",(UPPER(TEXT(LANÇ_MOV[[#This Row],[DATA DE PAGAMENTO]],"mmmm")))),"")</f>
        <v/>
      </c>
      <c r="Y1218" s="523" t="str">
        <f>IFERROR(VLOOKUP(LANÇ_MOV[[#This Row],[PLANO DE CONTAS]],Plano_Contas[[PLANO DE CONTAS]:[NOMES INTERVALOS]],2,0),"")</f>
        <v/>
      </c>
      <c r="Z1218" s="523" t="str">
        <f>IF(LANÇ_MOV[[#This Row],[FORMA DE PAGAMENTO]]="","",VLOOKUP(LANÇ_MOV[[#This Row],[FORMA DE PAGAMENTO]],CAD_Forma_pagto[],2,0))</f>
        <v/>
      </c>
      <c r="AA1218" s="524" t="str">
        <f>IF(LANÇ_MOV[[#This Row],[DATA DE LANÇAMENTO]]="","",TEXT(LANÇ_MOV[[#This Row],[DATA DE LANÇAMENTO]],"AAAA"))</f>
        <v/>
      </c>
      <c r="AB1218" s="524" t="str">
        <f>IF(LANÇ_MOV[[#This Row],[DATA DE LANÇAMENTO]]="","",UPPER(TEXT(LANÇ_MOV[[#This Row],[DATA DE LANÇAMENTO]],"MMMM")))</f>
        <v/>
      </c>
      <c r="AC1218" s="525" t="str">
        <f>IF(LANÇ_MOV[[#This Row],[DATA DE LANÇAMENTO]]="","",PROPER(TEXT(LANÇ_MOV[[#This Row],[DATA DE LANÇAMENTO]],"M")))</f>
        <v/>
      </c>
      <c r="AD1218" s="524" t="str">
        <f>IF(LANÇ_MOV[[#This Row],[DATA DE LANÇAMENTO]]="","",TEXT(LANÇ_MOV[[#This Row],[DATA DE LANÇAMENTO]],"D"))</f>
        <v/>
      </c>
      <c r="AE1218" s="526" t="str">
        <f>IF(LANÇ_MOV[[#This Row],[DATA DE VENCIMENTO]]="","",TEXT(LANÇ_MOV[[#This Row],[DATA DE VENCIMENTO]],"AAAA"))</f>
        <v/>
      </c>
      <c r="AF1218" s="526" t="str">
        <f>IF(LANÇ_MOV[[#This Row],[DATA DE VENCIMENTO]]="","",UPPER(TEXT(LANÇ_MOV[[#This Row],[DATA DE VENCIMENTO]],"MMMM")))</f>
        <v/>
      </c>
      <c r="AG1218" s="526" t="str">
        <f>IF(LANÇ_MOV[[#This Row],[DATA DE VENCIMENTO]]="","",TEXT(LANÇ_MOV[[#This Row],[DATA DE VENCIMENTO]],"M"))</f>
        <v/>
      </c>
      <c r="AH1218" s="526" t="str">
        <f>IF(LANÇ_MOV[[#This Row],[DATA DE VENCIMENTO]]="","",TEXT(LANÇ_MOV[[#This Row],[DATA DE VENCIMENTO]],"D"))</f>
        <v/>
      </c>
      <c r="AI1218" s="526" t="str">
        <f>IF(LANÇ_MOV[[#This Row],[DATA DE PAGAMENTO]]="","",TEXT(LANÇ_MOV[[#This Row],[DATA DE PAGAMENTO]],"AAAA"))</f>
        <v/>
      </c>
      <c r="AJ1218" s="527" t="str">
        <f>IF(LANÇ_MOV[[#This Row],[DATA DE PAGAMENTO]]="","",UPPER(TEXT(LANÇ_MOV[[#This Row],[DATA DE PAGAMENTO]],"MMMM")))</f>
        <v/>
      </c>
      <c r="AK1218" s="527" t="str">
        <f>IF(LANÇ_MOV[[#This Row],[DATA DE PAGAMENTO]]="","",TEXT(LANÇ_MOV[[#This Row],[DATA DE PAGAMENTO]],"M"))</f>
        <v/>
      </c>
      <c r="AL1218" s="526" t="str">
        <f>IF(LANÇ_MOV[[#This Row],[DATA DE PAGAMENTO]]="","",TEXT(LANÇ_MOV[[#This Row],[DATA DE PAGAMENTO]],"D"))</f>
        <v/>
      </c>
    </row>
    <row r="1219" spans="2:38" ht="30.05" customHeight="1" x14ac:dyDescent="0.35">
      <c r="B1219" s="506"/>
      <c r="C1219" s="507"/>
      <c r="D1219" s="508" t="s">
        <v>1854</v>
      </c>
      <c r="E1219" s="509"/>
      <c r="F1219" s="510"/>
      <c r="G1219" s="507"/>
      <c r="H1219" s="511"/>
      <c r="I1219" s="512"/>
      <c r="J1219" s="518"/>
      <c r="K1219" s="510"/>
      <c r="L1219" s="510"/>
      <c r="M1219" s="548"/>
      <c r="N1219" s="514">
        <f>LANÇ_MOV[[#This Row],[VALOR BRUTO]]-LANÇ_MOV[[#This Row],[DESCONTO]]+LANÇ_MOV[[#This Row],[JUROS]]+LANÇ_MOV[[#This Row],[MULTA]]</f>
        <v>0</v>
      </c>
      <c r="O1219" s="546"/>
      <c r="P1219" s="547" t="str">
        <f t="shared" ca="1" si="19"/>
        <v/>
      </c>
      <c r="Q1219" s="528"/>
      <c r="R1219" s="529"/>
      <c r="S1219" s="518"/>
      <c r="T1219" s="518"/>
      <c r="U1219" s="519"/>
      <c r="V1219" s="520" t="str">
        <f>IFERROR(VLOOKUP(LANÇ_MOV[[#This Row],[PLANO DE CONTAS]],Plano_Contas[[PLANO DE CONTAS]:[R / D]],3,0),"")</f>
        <v/>
      </c>
      <c r="W1219" s="521" t="str">
        <f>IF(LANÇ_MOV[[#This Row],[DATA DE PAGAMENTO]]&lt;&gt;"","Pago","Não Pago")</f>
        <v>Não Pago</v>
      </c>
      <c r="X1219" s="522" t="str">
        <f>IFERROR(IF(LANÇ_MOV[[#This Row],[DATA DE PAGAMENTO]]="","",(UPPER(TEXT(LANÇ_MOV[[#This Row],[DATA DE PAGAMENTO]],"mmmm")))),"")</f>
        <v/>
      </c>
      <c r="Y1219" s="523" t="str">
        <f>IFERROR(VLOOKUP(LANÇ_MOV[[#This Row],[PLANO DE CONTAS]],Plano_Contas[[PLANO DE CONTAS]:[NOMES INTERVALOS]],2,0),"")</f>
        <v/>
      </c>
      <c r="Z1219" s="523" t="str">
        <f>IF(LANÇ_MOV[[#This Row],[FORMA DE PAGAMENTO]]="","",VLOOKUP(LANÇ_MOV[[#This Row],[FORMA DE PAGAMENTO]],CAD_Forma_pagto[],2,0))</f>
        <v/>
      </c>
      <c r="AA1219" s="524" t="str">
        <f>IF(LANÇ_MOV[[#This Row],[DATA DE LANÇAMENTO]]="","",TEXT(LANÇ_MOV[[#This Row],[DATA DE LANÇAMENTO]],"AAAA"))</f>
        <v/>
      </c>
      <c r="AB1219" s="524" t="str">
        <f>IF(LANÇ_MOV[[#This Row],[DATA DE LANÇAMENTO]]="","",UPPER(TEXT(LANÇ_MOV[[#This Row],[DATA DE LANÇAMENTO]],"MMMM")))</f>
        <v/>
      </c>
      <c r="AC1219" s="525" t="str">
        <f>IF(LANÇ_MOV[[#This Row],[DATA DE LANÇAMENTO]]="","",PROPER(TEXT(LANÇ_MOV[[#This Row],[DATA DE LANÇAMENTO]],"M")))</f>
        <v/>
      </c>
      <c r="AD1219" s="524" t="str">
        <f>IF(LANÇ_MOV[[#This Row],[DATA DE LANÇAMENTO]]="","",TEXT(LANÇ_MOV[[#This Row],[DATA DE LANÇAMENTO]],"D"))</f>
        <v/>
      </c>
      <c r="AE1219" s="526" t="str">
        <f>IF(LANÇ_MOV[[#This Row],[DATA DE VENCIMENTO]]="","",TEXT(LANÇ_MOV[[#This Row],[DATA DE VENCIMENTO]],"AAAA"))</f>
        <v/>
      </c>
      <c r="AF1219" s="526" t="str">
        <f>IF(LANÇ_MOV[[#This Row],[DATA DE VENCIMENTO]]="","",UPPER(TEXT(LANÇ_MOV[[#This Row],[DATA DE VENCIMENTO]],"MMMM")))</f>
        <v/>
      </c>
      <c r="AG1219" s="526" t="str">
        <f>IF(LANÇ_MOV[[#This Row],[DATA DE VENCIMENTO]]="","",TEXT(LANÇ_MOV[[#This Row],[DATA DE VENCIMENTO]],"M"))</f>
        <v/>
      </c>
      <c r="AH1219" s="526" t="str">
        <f>IF(LANÇ_MOV[[#This Row],[DATA DE VENCIMENTO]]="","",TEXT(LANÇ_MOV[[#This Row],[DATA DE VENCIMENTO]],"D"))</f>
        <v/>
      </c>
      <c r="AI1219" s="526" t="str">
        <f>IF(LANÇ_MOV[[#This Row],[DATA DE PAGAMENTO]]="","",TEXT(LANÇ_MOV[[#This Row],[DATA DE PAGAMENTO]],"AAAA"))</f>
        <v/>
      </c>
      <c r="AJ1219" s="527" t="str">
        <f>IF(LANÇ_MOV[[#This Row],[DATA DE PAGAMENTO]]="","",UPPER(TEXT(LANÇ_MOV[[#This Row],[DATA DE PAGAMENTO]],"MMMM")))</f>
        <v/>
      </c>
      <c r="AK1219" s="527" t="str">
        <f>IF(LANÇ_MOV[[#This Row],[DATA DE PAGAMENTO]]="","",TEXT(LANÇ_MOV[[#This Row],[DATA DE PAGAMENTO]],"M"))</f>
        <v/>
      </c>
      <c r="AL1219" s="526" t="str">
        <f>IF(LANÇ_MOV[[#This Row],[DATA DE PAGAMENTO]]="","",TEXT(LANÇ_MOV[[#This Row],[DATA DE PAGAMENTO]],"D"))</f>
        <v/>
      </c>
    </row>
    <row r="1220" spans="2:38" ht="30.05" customHeight="1" x14ac:dyDescent="0.35">
      <c r="B1220" s="506"/>
      <c r="C1220" s="507"/>
      <c r="D1220" s="508" t="s">
        <v>1854</v>
      </c>
      <c r="E1220" s="509"/>
      <c r="F1220" s="510"/>
      <c r="G1220" s="507"/>
      <c r="H1220" s="511"/>
      <c r="I1220" s="512"/>
      <c r="J1220" s="518"/>
      <c r="K1220" s="510"/>
      <c r="L1220" s="510"/>
      <c r="M1220" s="548"/>
      <c r="N1220" s="514">
        <f>LANÇ_MOV[[#This Row],[VALOR BRUTO]]-LANÇ_MOV[[#This Row],[DESCONTO]]+LANÇ_MOV[[#This Row],[JUROS]]+LANÇ_MOV[[#This Row],[MULTA]]</f>
        <v>0</v>
      </c>
      <c r="O1220" s="546"/>
      <c r="P1220" s="547" t="str">
        <f t="shared" ca="1" si="19"/>
        <v/>
      </c>
      <c r="Q1220" s="528"/>
      <c r="R1220" s="529"/>
      <c r="S1220" s="518"/>
      <c r="T1220" s="518"/>
      <c r="U1220" s="519"/>
      <c r="V1220" s="520" t="str">
        <f>IFERROR(VLOOKUP(LANÇ_MOV[[#This Row],[PLANO DE CONTAS]],Plano_Contas[[PLANO DE CONTAS]:[R / D]],3,0),"")</f>
        <v/>
      </c>
      <c r="W1220" s="521" t="str">
        <f>IF(LANÇ_MOV[[#This Row],[DATA DE PAGAMENTO]]&lt;&gt;"","Pago","Não Pago")</f>
        <v>Não Pago</v>
      </c>
      <c r="X1220" s="522" t="str">
        <f>IFERROR(IF(LANÇ_MOV[[#This Row],[DATA DE PAGAMENTO]]="","",(UPPER(TEXT(LANÇ_MOV[[#This Row],[DATA DE PAGAMENTO]],"mmmm")))),"")</f>
        <v/>
      </c>
      <c r="Y1220" s="523" t="str">
        <f>IFERROR(VLOOKUP(LANÇ_MOV[[#This Row],[PLANO DE CONTAS]],Plano_Contas[[PLANO DE CONTAS]:[NOMES INTERVALOS]],2,0),"")</f>
        <v/>
      </c>
      <c r="Z1220" s="523" t="str">
        <f>IF(LANÇ_MOV[[#This Row],[FORMA DE PAGAMENTO]]="","",VLOOKUP(LANÇ_MOV[[#This Row],[FORMA DE PAGAMENTO]],CAD_Forma_pagto[],2,0))</f>
        <v/>
      </c>
      <c r="AA1220" s="524" t="str">
        <f>IF(LANÇ_MOV[[#This Row],[DATA DE LANÇAMENTO]]="","",TEXT(LANÇ_MOV[[#This Row],[DATA DE LANÇAMENTO]],"AAAA"))</f>
        <v/>
      </c>
      <c r="AB1220" s="524" t="str">
        <f>IF(LANÇ_MOV[[#This Row],[DATA DE LANÇAMENTO]]="","",UPPER(TEXT(LANÇ_MOV[[#This Row],[DATA DE LANÇAMENTO]],"MMMM")))</f>
        <v/>
      </c>
      <c r="AC1220" s="525" t="str">
        <f>IF(LANÇ_MOV[[#This Row],[DATA DE LANÇAMENTO]]="","",PROPER(TEXT(LANÇ_MOV[[#This Row],[DATA DE LANÇAMENTO]],"M")))</f>
        <v/>
      </c>
      <c r="AD1220" s="524" t="str">
        <f>IF(LANÇ_MOV[[#This Row],[DATA DE LANÇAMENTO]]="","",TEXT(LANÇ_MOV[[#This Row],[DATA DE LANÇAMENTO]],"D"))</f>
        <v/>
      </c>
      <c r="AE1220" s="526" t="str">
        <f>IF(LANÇ_MOV[[#This Row],[DATA DE VENCIMENTO]]="","",TEXT(LANÇ_MOV[[#This Row],[DATA DE VENCIMENTO]],"AAAA"))</f>
        <v/>
      </c>
      <c r="AF1220" s="526" t="str">
        <f>IF(LANÇ_MOV[[#This Row],[DATA DE VENCIMENTO]]="","",UPPER(TEXT(LANÇ_MOV[[#This Row],[DATA DE VENCIMENTO]],"MMMM")))</f>
        <v/>
      </c>
      <c r="AG1220" s="526" t="str">
        <f>IF(LANÇ_MOV[[#This Row],[DATA DE VENCIMENTO]]="","",TEXT(LANÇ_MOV[[#This Row],[DATA DE VENCIMENTO]],"M"))</f>
        <v/>
      </c>
      <c r="AH1220" s="526" t="str">
        <f>IF(LANÇ_MOV[[#This Row],[DATA DE VENCIMENTO]]="","",TEXT(LANÇ_MOV[[#This Row],[DATA DE VENCIMENTO]],"D"))</f>
        <v/>
      </c>
      <c r="AI1220" s="526" t="str">
        <f>IF(LANÇ_MOV[[#This Row],[DATA DE PAGAMENTO]]="","",TEXT(LANÇ_MOV[[#This Row],[DATA DE PAGAMENTO]],"AAAA"))</f>
        <v/>
      </c>
      <c r="AJ1220" s="527" t="str">
        <f>IF(LANÇ_MOV[[#This Row],[DATA DE PAGAMENTO]]="","",UPPER(TEXT(LANÇ_MOV[[#This Row],[DATA DE PAGAMENTO]],"MMMM")))</f>
        <v/>
      </c>
      <c r="AK1220" s="527" t="str">
        <f>IF(LANÇ_MOV[[#This Row],[DATA DE PAGAMENTO]]="","",TEXT(LANÇ_MOV[[#This Row],[DATA DE PAGAMENTO]],"M"))</f>
        <v/>
      </c>
      <c r="AL1220" s="526" t="str">
        <f>IF(LANÇ_MOV[[#This Row],[DATA DE PAGAMENTO]]="","",TEXT(LANÇ_MOV[[#This Row],[DATA DE PAGAMENTO]],"D"))</f>
        <v/>
      </c>
    </row>
    <row r="1221" spans="2:38" ht="30.05" customHeight="1" x14ac:dyDescent="0.35">
      <c r="B1221" s="506"/>
      <c r="C1221" s="507"/>
      <c r="D1221" s="508" t="s">
        <v>1854</v>
      </c>
      <c r="E1221" s="509"/>
      <c r="F1221" s="510"/>
      <c r="G1221" s="507"/>
      <c r="H1221" s="511"/>
      <c r="I1221" s="512"/>
      <c r="J1221" s="518"/>
      <c r="K1221" s="510"/>
      <c r="L1221" s="510"/>
      <c r="M1221" s="548"/>
      <c r="N1221" s="514">
        <f>LANÇ_MOV[[#This Row],[VALOR BRUTO]]-LANÇ_MOV[[#This Row],[DESCONTO]]+LANÇ_MOV[[#This Row],[JUROS]]+LANÇ_MOV[[#This Row],[MULTA]]</f>
        <v>0</v>
      </c>
      <c r="O1221" s="546"/>
      <c r="P1221" s="547" t="str">
        <f t="shared" ca="1" si="19"/>
        <v/>
      </c>
      <c r="Q1221" s="528"/>
      <c r="R1221" s="529"/>
      <c r="S1221" s="518"/>
      <c r="T1221" s="518"/>
      <c r="U1221" s="519"/>
      <c r="V1221" s="520" t="str">
        <f>IFERROR(VLOOKUP(LANÇ_MOV[[#This Row],[PLANO DE CONTAS]],Plano_Contas[[PLANO DE CONTAS]:[R / D]],3,0),"")</f>
        <v/>
      </c>
      <c r="W1221" s="521" t="str">
        <f>IF(LANÇ_MOV[[#This Row],[DATA DE PAGAMENTO]]&lt;&gt;"","Pago","Não Pago")</f>
        <v>Não Pago</v>
      </c>
      <c r="X1221" s="522" t="str">
        <f>IFERROR(IF(LANÇ_MOV[[#This Row],[DATA DE PAGAMENTO]]="","",(UPPER(TEXT(LANÇ_MOV[[#This Row],[DATA DE PAGAMENTO]],"mmmm")))),"")</f>
        <v/>
      </c>
      <c r="Y1221" s="523" t="str">
        <f>IFERROR(VLOOKUP(LANÇ_MOV[[#This Row],[PLANO DE CONTAS]],Plano_Contas[[PLANO DE CONTAS]:[NOMES INTERVALOS]],2,0),"")</f>
        <v/>
      </c>
      <c r="Z1221" s="523" t="str">
        <f>IF(LANÇ_MOV[[#This Row],[FORMA DE PAGAMENTO]]="","",VLOOKUP(LANÇ_MOV[[#This Row],[FORMA DE PAGAMENTO]],CAD_Forma_pagto[],2,0))</f>
        <v/>
      </c>
      <c r="AA1221" s="524" t="str">
        <f>IF(LANÇ_MOV[[#This Row],[DATA DE LANÇAMENTO]]="","",TEXT(LANÇ_MOV[[#This Row],[DATA DE LANÇAMENTO]],"AAAA"))</f>
        <v/>
      </c>
      <c r="AB1221" s="524" t="str">
        <f>IF(LANÇ_MOV[[#This Row],[DATA DE LANÇAMENTO]]="","",UPPER(TEXT(LANÇ_MOV[[#This Row],[DATA DE LANÇAMENTO]],"MMMM")))</f>
        <v/>
      </c>
      <c r="AC1221" s="525" t="str">
        <f>IF(LANÇ_MOV[[#This Row],[DATA DE LANÇAMENTO]]="","",PROPER(TEXT(LANÇ_MOV[[#This Row],[DATA DE LANÇAMENTO]],"M")))</f>
        <v/>
      </c>
      <c r="AD1221" s="524" t="str">
        <f>IF(LANÇ_MOV[[#This Row],[DATA DE LANÇAMENTO]]="","",TEXT(LANÇ_MOV[[#This Row],[DATA DE LANÇAMENTO]],"D"))</f>
        <v/>
      </c>
      <c r="AE1221" s="526" t="str">
        <f>IF(LANÇ_MOV[[#This Row],[DATA DE VENCIMENTO]]="","",TEXT(LANÇ_MOV[[#This Row],[DATA DE VENCIMENTO]],"AAAA"))</f>
        <v/>
      </c>
      <c r="AF1221" s="526" t="str">
        <f>IF(LANÇ_MOV[[#This Row],[DATA DE VENCIMENTO]]="","",UPPER(TEXT(LANÇ_MOV[[#This Row],[DATA DE VENCIMENTO]],"MMMM")))</f>
        <v/>
      </c>
      <c r="AG1221" s="526" t="str">
        <f>IF(LANÇ_MOV[[#This Row],[DATA DE VENCIMENTO]]="","",TEXT(LANÇ_MOV[[#This Row],[DATA DE VENCIMENTO]],"M"))</f>
        <v/>
      </c>
      <c r="AH1221" s="526" t="str">
        <f>IF(LANÇ_MOV[[#This Row],[DATA DE VENCIMENTO]]="","",TEXT(LANÇ_MOV[[#This Row],[DATA DE VENCIMENTO]],"D"))</f>
        <v/>
      </c>
      <c r="AI1221" s="526" t="str">
        <f>IF(LANÇ_MOV[[#This Row],[DATA DE PAGAMENTO]]="","",TEXT(LANÇ_MOV[[#This Row],[DATA DE PAGAMENTO]],"AAAA"))</f>
        <v/>
      </c>
      <c r="AJ1221" s="527" t="str">
        <f>IF(LANÇ_MOV[[#This Row],[DATA DE PAGAMENTO]]="","",UPPER(TEXT(LANÇ_MOV[[#This Row],[DATA DE PAGAMENTO]],"MMMM")))</f>
        <v/>
      </c>
      <c r="AK1221" s="527" t="str">
        <f>IF(LANÇ_MOV[[#This Row],[DATA DE PAGAMENTO]]="","",TEXT(LANÇ_MOV[[#This Row],[DATA DE PAGAMENTO]],"M"))</f>
        <v/>
      </c>
      <c r="AL1221" s="526" t="str">
        <f>IF(LANÇ_MOV[[#This Row],[DATA DE PAGAMENTO]]="","",TEXT(LANÇ_MOV[[#This Row],[DATA DE PAGAMENTO]],"D"))</f>
        <v/>
      </c>
    </row>
    <row r="1222" spans="2:38" ht="30.05" customHeight="1" x14ac:dyDescent="0.35">
      <c r="B1222" s="506"/>
      <c r="C1222" s="507"/>
      <c r="D1222" s="508" t="s">
        <v>1854</v>
      </c>
      <c r="E1222" s="509"/>
      <c r="F1222" s="510"/>
      <c r="G1222" s="507"/>
      <c r="H1222" s="511"/>
      <c r="I1222" s="512"/>
      <c r="J1222" s="518"/>
      <c r="K1222" s="510"/>
      <c r="L1222" s="510"/>
      <c r="M1222" s="548"/>
      <c r="N1222" s="514">
        <f>LANÇ_MOV[[#This Row],[VALOR BRUTO]]-LANÇ_MOV[[#This Row],[DESCONTO]]+LANÇ_MOV[[#This Row],[JUROS]]+LANÇ_MOV[[#This Row],[MULTA]]</f>
        <v>0</v>
      </c>
      <c r="O1222" s="546"/>
      <c r="P1222" s="547" t="str">
        <f t="shared" ca="1" si="19"/>
        <v/>
      </c>
      <c r="Q1222" s="528"/>
      <c r="R1222" s="529"/>
      <c r="S1222" s="518"/>
      <c r="T1222" s="518"/>
      <c r="U1222" s="519"/>
      <c r="V1222" s="520" t="str">
        <f>IFERROR(VLOOKUP(LANÇ_MOV[[#This Row],[PLANO DE CONTAS]],Plano_Contas[[PLANO DE CONTAS]:[R / D]],3,0),"")</f>
        <v/>
      </c>
      <c r="W1222" s="521" t="str">
        <f>IF(LANÇ_MOV[[#This Row],[DATA DE PAGAMENTO]]&lt;&gt;"","Pago","Não Pago")</f>
        <v>Não Pago</v>
      </c>
      <c r="X1222" s="522" t="str">
        <f>IFERROR(IF(LANÇ_MOV[[#This Row],[DATA DE PAGAMENTO]]="","",(UPPER(TEXT(LANÇ_MOV[[#This Row],[DATA DE PAGAMENTO]],"mmmm")))),"")</f>
        <v/>
      </c>
      <c r="Y1222" s="523" t="str">
        <f>IFERROR(VLOOKUP(LANÇ_MOV[[#This Row],[PLANO DE CONTAS]],Plano_Contas[[PLANO DE CONTAS]:[NOMES INTERVALOS]],2,0),"")</f>
        <v/>
      </c>
      <c r="Z1222" s="523" t="str">
        <f>IF(LANÇ_MOV[[#This Row],[FORMA DE PAGAMENTO]]="","",VLOOKUP(LANÇ_MOV[[#This Row],[FORMA DE PAGAMENTO]],CAD_Forma_pagto[],2,0))</f>
        <v/>
      </c>
      <c r="AA1222" s="524" t="str">
        <f>IF(LANÇ_MOV[[#This Row],[DATA DE LANÇAMENTO]]="","",TEXT(LANÇ_MOV[[#This Row],[DATA DE LANÇAMENTO]],"AAAA"))</f>
        <v/>
      </c>
      <c r="AB1222" s="524" t="str">
        <f>IF(LANÇ_MOV[[#This Row],[DATA DE LANÇAMENTO]]="","",UPPER(TEXT(LANÇ_MOV[[#This Row],[DATA DE LANÇAMENTO]],"MMMM")))</f>
        <v/>
      </c>
      <c r="AC1222" s="525" t="str">
        <f>IF(LANÇ_MOV[[#This Row],[DATA DE LANÇAMENTO]]="","",PROPER(TEXT(LANÇ_MOV[[#This Row],[DATA DE LANÇAMENTO]],"M")))</f>
        <v/>
      </c>
      <c r="AD1222" s="524" t="str">
        <f>IF(LANÇ_MOV[[#This Row],[DATA DE LANÇAMENTO]]="","",TEXT(LANÇ_MOV[[#This Row],[DATA DE LANÇAMENTO]],"D"))</f>
        <v/>
      </c>
      <c r="AE1222" s="526" t="str">
        <f>IF(LANÇ_MOV[[#This Row],[DATA DE VENCIMENTO]]="","",TEXT(LANÇ_MOV[[#This Row],[DATA DE VENCIMENTO]],"AAAA"))</f>
        <v/>
      </c>
      <c r="AF1222" s="526" t="str">
        <f>IF(LANÇ_MOV[[#This Row],[DATA DE VENCIMENTO]]="","",UPPER(TEXT(LANÇ_MOV[[#This Row],[DATA DE VENCIMENTO]],"MMMM")))</f>
        <v/>
      </c>
      <c r="AG1222" s="526" t="str">
        <f>IF(LANÇ_MOV[[#This Row],[DATA DE VENCIMENTO]]="","",TEXT(LANÇ_MOV[[#This Row],[DATA DE VENCIMENTO]],"M"))</f>
        <v/>
      </c>
      <c r="AH1222" s="526" t="str">
        <f>IF(LANÇ_MOV[[#This Row],[DATA DE VENCIMENTO]]="","",TEXT(LANÇ_MOV[[#This Row],[DATA DE VENCIMENTO]],"D"))</f>
        <v/>
      </c>
      <c r="AI1222" s="526" t="str">
        <f>IF(LANÇ_MOV[[#This Row],[DATA DE PAGAMENTO]]="","",TEXT(LANÇ_MOV[[#This Row],[DATA DE PAGAMENTO]],"AAAA"))</f>
        <v/>
      </c>
      <c r="AJ1222" s="527" t="str">
        <f>IF(LANÇ_MOV[[#This Row],[DATA DE PAGAMENTO]]="","",UPPER(TEXT(LANÇ_MOV[[#This Row],[DATA DE PAGAMENTO]],"MMMM")))</f>
        <v/>
      </c>
      <c r="AK1222" s="527" t="str">
        <f>IF(LANÇ_MOV[[#This Row],[DATA DE PAGAMENTO]]="","",TEXT(LANÇ_MOV[[#This Row],[DATA DE PAGAMENTO]],"M"))</f>
        <v/>
      </c>
      <c r="AL1222" s="526" t="str">
        <f>IF(LANÇ_MOV[[#This Row],[DATA DE PAGAMENTO]]="","",TEXT(LANÇ_MOV[[#This Row],[DATA DE PAGAMENTO]],"D"))</f>
        <v/>
      </c>
    </row>
    <row r="1223" spans="2:38" ht="30.05" customHeight="1" x14ac:dyDescent="0.35">
      <c r="B1223" s="506"/>
      <c r="C1223" s="507"/>
      <c r="D1223" s="508" t="s">
        <v>1854</v>
      </c>
      <c r="E1223" s="509"/>
      <c r="F1223" s="510"/>
      <c r="G1223" s="507"/>
      <c r="H1223" s="511"/>
      <c r="I1223" s="512"/>
      <c r="J1223" s="518"/>
      <c r="K1223" s="510"/>
      <c r="L1223" s="510"/>
      <c r="M1223" s="548"/>
      <c r="N1223" s="514">
        <f>LANÇ_MOV[[#This Row],[VALOR BRUTO]]-LANÇ_MOV[[#This Row],[DESCONTO]]+LANÇ_MOV[[#This Row],[JUROS]]+LANÇ_MOV[[#This Row],[MULTA]]</f>
        <v>0</v>
      </c>
      <c r="O1223" s="546"/>
      <c r="P1223" s="547" t="str">
        <f t="shared" ca="1" si="19"/>
        <v/>
      </c>
      <c r="Q1223" s="528"/>
      <c r="R1223" s="529"/>
      <c r="S1223" s="518"/>
      <c r="T1223" s="518"/>
      <c r="U1223" s="519"/>
      <c r="V1223" s="520" t="str">
        <f>IFERROR(VLOOKUP(LANÇ_MOV[[#This Row],[PLANO DE CONTAS]],Plano_Contas[[PLANO DE CONTAS]:[R / D]],3,0),"")</f>
        <v/>
      </c>
      <c r="W1223" s="521" t="str">
        <f>IF(LANÇ_MOV[[#This Row],[DATA DE PAGAMENTO]]&lt;&gt;"","Pago","Não Pago")</f>
        <v>Não Pago</v>
      </c>
      <c r="X1223" s="522" t="str">
        <f>IFERROR(IF(LANÇ_MOV[[#This Row],[DATA DE PAGAMENTO]]="","",(UPPER(TEXT(LANÇ_MOV[[#This Row],[DATA DE PAGAMENTO]],"mmmm")))),"")</f>
        <v/>
      </c>
      <c r="Y1223" s="523" t="str">
        <f>IFERROR(VLOOKUP(LANÇ_MOV[[#This Row],[PLANO DE CONTAS]],Plano_Contas[[PLANO DE CONTAS]:[NOMES INTERVALOS]],2,0),"")</f>
        <v/>
      </c>
      <c r="Z1223" s="523" t="str">
        <f>IF(LANÇ_MOV[[#This Row],[FORMA DE PAGAMENTO]]="","",VLOOKUP(LANÇ_MOV[[#This Row],[FORMA DE PAGAMENTO]],CAD_Forma_pagto[],2,0))</f>
        <v/>
      </c>
      <c r="AA1223" s="524" t="str">
        <f>IF(LANÇ_MOV[[#This Row],[DATA DE LANÇAMENTO]]="","",TEXT(LANÇ_MOV[[#This Row],[DATA DE LANÇAMENTO]],"AAAA"))</f>
        <v/>
      </c>
      <c r="AB1223" s="524" t="str">
        <f>IF(LANÇ_MOV[[#This Row],[DATA DE LANÇAMENTO]]="","",UPPER(TEXT(LANÇ_MOV[[#This Row],[DATA DE LANÇAMENTO]],"MMMM")))</f>
        <v/>
      </c>
      <c r="AC1223" s="525" t="str">
        <f>IF(LANÇ_MOV[[#This Row],[DATA DE LANÇAMENTO]]="","",PROPER(TEXT(LANÇ_MOV[[#This Row],[DATA DE LANÇAMENTO]],"M")))</f>
        <v/>
      </c>
      <c r="AD1223" s="524" t="str">
        <f>IF(LANÇ_MOV[[#This Row],[DATA DE LANÇAMENTO]]="","",TEXT(LANÇ_MOV[[#This Row],[DATA DE LANÇAMENTO]],"D"))</f>
        <v/>
      </c>
      <c r="AE1223" s="526" t="str">
        <f>IF(LANÇ_MOV[[#This Row],[DATA DE VENCIMENTO]]="","",TEXT(LANÇ_MOV[[#This Row],[DATA DE VENCIMENTO]],"AAAA"))</f>
        <v/>
      </c>
      <c r="AF1223" s="526" t="str">
        <f>IF(LANÇ_MOV[[#This Row],[DATA DE VENCIMENTO]]="","",UPPER(TEXT(LANÇ_MOV[[#This Row],[DATA DE VENCIMENTO]],"MMMM")))</f>
        <v/>
      </c>
      <c r="AG1223" s="526" t="str">
        <f>IF(LANÇ_MOV[[#This Row],[DATA DE VENCIMENTO]]="","",TEXT(LANÇ_MOV[[#This Row],[DATA DE VENCIMENTO]],"M"))</f>
        <v/>
      </c>
      <c r="AH1223" s="526" t="str">
        <f>IF(LANÇ_MOV[[#This Row],[DATA DE VENCIMENTO]]="","",TEXT(LANÇ_MOV[[#This Row],[DATA DE VENCIMENTO]],"D"))</f>
        <v/>
      </c>
      <c r="AI1223" s="526" t="str">
        <f>IF(LANÇ_MOV[[#This Row],[DATA DE PAGAMENTO]]="","",TEXT(LANÇ_MOV[[#This Row],[DATA DE PAGAMENTO]],"AAAA"))</f>
        <v/>
      </c>
      <c r="AJ1223" s="527" t="str">
        <f>IF(LANÇ_MOV[[#This Row],[DATA DE PAGAMENTO]]="","",UPPER(TEXT(LANÇ_MOV[[#This Row],[DATA DE PAGAMENTO]],"MMMM")))</f>
        <v/>
      </c>
      <c r="AK1223" s="527" t="str">
        <f>IF(LANÇ_MOV[[#This Row],[DATA DE PAGAMENTO]]="","",TEXT(LANÇ_MOV[[#This Row],[DATA DE PAGAMENTO]],"M"))</f>
        <v/>
      </c>
      <c r="AL1223" s="526" t="str">
        <f>IF(LANÇ_MOV[[#This Row],[DATA DE PAGAMENTO]]="","",TEXT(LANÇ_MOV[[#This Row],[DATA DE PAGAMENTO]],"D"))</f>
        <v/>
      </c>
    </row>
    <row r="1224" spans="2:38" ht="30.05" customHeight="1" x14ac:dyDescent="0.35">
      <c r="B1224" s="506"/>
      <c r="C1224" s="507"/>
      <c r="D1224" s="508" t="s">
        <v>1854</v>
      </c>
      <c r="E1224" s="509"/>
      <c r="F1224" s="510"/>
      <c r="G1224" s="507"/>
      <c r="H1224" s="511"/>
      <c r="I1224" s="512"/>
      <c r="J1224" s="518"/>
      <c r="K1224" s="510"/>
      <c r="L1224" s="510"/>
      <c r="M1224" s="548"/>
      <c r="N1224" s="514">
        <f>LANÇ_MOV[[#This Row],[VALOR BRUTO]]-LANÇ_MOV[[#This Row],[DESCONTO]]+LANÇ_MOV[[#This Row],[JUROS]]+LANÇ_MOV[[#This Row],[MULTA]]</f>
        <v>0</v>
      </c>
      <c r="O1224" s="546"/>
      <c r="P1224" s="547" t="str">
        <f t="shared" ca="1" si="19"/>
        <v/>
      </c>
      <c r="Q1224" s="528"/>
      <c r="R1224" s="529"/>
      <c r="S1224" s="518"/>
      <c r="T1224" s="518"/>
      <c r="U1224" s="519"/>
      <c r="V1224" s="520" t="str">
        <f>IFERROR(VLOOKUP(LANÇ_MOV[[#This Row],[PLANO DE CONTAS]],Plano_Contas[[PLANO DE CONTAS]:[R / D]],3,0),"")</f>
        <v/>
      </c>
      <c r="W1224" s="521" t="str">
        <f>IF(LANÇ_MOV[[#This Row],[DATA DE PAGAMENTO]]&lt;&gt;"","Pago","Não Pago")</f>
        <v>Não Pago</v>
      </c>
      <c r="X1224" s="522" t="str">
        <f>IFERROR(IF(LANÇ_MOV[[#This Row],[DATA DE PAGAMENTO]]="","",(UPPER(TEXT(LANÇ_MOV[[#This Row],[DATA DE PAGAMENTO]],"mmmm")))),"")</f>
        <v/>
      </c>
      <c r="Y1224" s="523" t="str">
        <f>IFERROR(VLOOKUP(LANÇ_MOV[[#This Row],[PLANO DE CONTAS]],Plano_Contas[[PLANO DE CONTAS]:[NOMES INTERVALOS]],2,0),"")</f>
        <v/>
      </c>
      <c r="Z1224" s="523" t="str">
        <f>IF(LANÇ_MOV[[#This Row],[FORMA DE PAGAMENTO]]="","",VLOOKUP(LANÇ_MOV[[#This Row],[FORMA DE PAGAMENTO]],CAD_Forma_pagto[],2,0))</f>
        <v/>
      </c>
      <c r="AA1224" s="524" t="str">
        <f>IF(LANÇ_MOV[[#This Row],[DATA DE LANÇAMENTO]]="","",TEXT(LANÇ_MOV[[#This Row],[DATA DE LANÇAMENTO]],"AAAA"))</f>
        <v/>
      </c>
      <c r="AB1224" s="524" t="str">
        <f>IF(LANÇ_MOV[[#This Row],[DATA DE LANÇAMENTO]]="","",UPPER(TEXT(LANÇ_MOV[[#This Row],[DATA DE LANÇAMENTO]],"MMMM")))</f>
        <v/>
      </c>
      <c r="AC1224" s="525" t="str">
        <f>IF(LANÇ_MOV[[#This Row],[DATA DE LANÇAMENTO]]="","",PROPER(TEXT(LANÇ_MOV[[#This Row],[DATA DE LANÇAMENTO]],"M")))</f>
        <v/>
      </c>
      <c r="AD1224" s="524" t="str">
        <f>IF(LANÇ_MOV[[#This Row],[DATA DE LANÇAMENTO]]="","",TEXT(LANÇ_MOV[[#This Row],[DATA DE LANÇAMENTO]],"D"))</f>
        <v/>
      </c>
      <c r="AE1224" s="526" t="str">
        <f>IF(LANÇ_MOV[[#This Row],[DATA DE VENCIMENTO]]="","",TEXT(LANÇ_MOV[[#This Row],[DATA DE VENCIMENTO]],"AAAA"))</f>
        <v/>
      </c>
      <c r="AF1224" s="526" t="str">
        <f>IF(LANÇ_MOV[[#This Row],[DATA DE VENCIMENTO]]="","",UPPER(TEXT(LANÇ_MOV[[#This Row],[DATA DE VENCIMENTO]],"MMMM")))</f>
        <v/>
      </c>
      <c r="AG1224" s="526" t="str">
        <f>IF(LANÇ_MOV[[#This Row],[DATA DE VENCIMENTO]]="","",TEXT(LANÇ_MOV[[#This Row],[DATA DE VENCIMENTO]],"M"))</f>
        <v/>
      </c>
      <c r="AH1224" s="526" t="str">
        <f>IF(LANÇ_MOV[[#This Row],[DATA DE VENCIMENTO]]="","",TEXT(LANÇ_MOV[[#This Row],[DATA DE VENCIMENTO]],"D"))</f>
        <v/>
      </c>
      <c r="AI1224" s="526" t="str">
        <f>IF(LANÇ_MOV[[#This Row],[DATA DE PAGAMENTO]]="","",TEXT(LANÇ_MOV[[#This Row],[DATA DE PAGAMENTO]],"AAAA"))</f>
        <v/>
      </c>
      <c r="AJ1224" s="527" t="str">
        <f>IF(LANÇ_MOV[[#This Row],[DATA DE PAGAMENTO]]="","",UPPER(TEXT(LANÇ_MOV[[#This Row],[DATA DE PAGAMENTO]],"MMMM")))</f>
        <v/>
      </c>
      <c r="AK1224" s="527" t="str">
        <f>IF(LANÇ_MOV[[#This Row],[DATA DE PAGAMENTO]]="","",TEXT(LANÇ_MOV[[#This Row],[DATA DE PAGAMENTO]],"M"))</f>
        <v/>
      </c>
      <c r="AL1224" s="526" t="str">
        <f>IF(LANÇ_MOV[[#This Row],[DATA DE PAGAMENTO]]="","",TEXT(LANÇ_MOV[[#This Row],[DATA DE PAGAMENTO]],"D"))</f>
        <v/>
      </c>
    </row>
    <row r="1225" spans="2:38" ht="30.05" customHeight="1" x14ac:dyDescent="0.35">
      <c r="B1225" s="506"/>
      <c r="C1225" s="507"/>
      <c r="D1225" s="508" t="s">
        <v>1854</v>
      </c>
      <c r="E1225" s="509"/>
      <c r="F1225" s="510"/>
      <c r="G1225" s="507"/>
      <c r="H1225" s="511"/>
      <c r="I1225" s="512"/>
      <c r="J1225" s="518"/>
      <c r="K1225" s="510"/>
      <c r="L1225" s="510"/>
      <c r="M1225" s="548"/>
      <c r="N1225" s="514">
        <f>LANÇ_MOV[[#This Row],[VALOR BRUTO]]-LANÇ_MOV[[#This Row],[DESCONTO]]+LANÇ_MOV[[#This Row],[JUROS]]+LANÇ_MOV[[#This Row],[MULTA]]</f>
        <v>0</v>
      </c>
      <c r="O1225" s="546"/>
      <c r="P1225" s="547" t="str">
        <f t="shared" ca="1" si="19"/>
        <v/>
      </c>
      <c r="Q1225" s="528"/>
      <c r="R1225" s="529"/>
      <c r="S1225" s="518"/>
      <c r="T1225" s="518"/>
      <c r="U1225" s="519"/>
      <c r="V1225" s="520" t="str">
        <f>IFERROR(VLOOKUP(LANÇ_MOV[[#This Row],[PLANO DE CONTAS]],Plano_Contas[[PLANO DE CONTAS]:[R / D]],3,0),"")</f>
        <v/>
      </c>
      <c r="W1225" s="521" t="str">
        <f>IF(LANÇ_MOV[[#This Row],[DATA DE PAGAMENTO]]&lt;&gt;"","Pago","Não Pago")</f>
        <v>Não Pago</v>
      </c>
      <c r="X1225" s="522" t="str">
        <f>IFERROR(IF(LANÇ_MOV[[#This Row],[DATA DE PAGAMENTO]]="","",(UPPER(TEXT(LANÇ_MOV[[#This Row],[DATA DE PAGAMENTO]],"mmmm")))),"")</f>
        <v/>
      </c>
      <c r="Y1225" s="523" t="str">
        <f>IFERROR(VLOOKUP(LANÇ_MOV[[#This Row],[PLANO DE CONTAS]],Plano_Contas[[PLANO DE CONTAS]:[NOMES INTERVALOS]],2,0),"")</f>
        <v/>
      </c>
      <c r="Z1225" s="523" t="str">
        <f>IF(LANÇ_MOV[[#This Row],[FORMA DE PAGAMENTO]]="","",VLOOKUP(LANÇ_MOV[[#This Row],[FORMA DE PAGAMENTO]],CAD_Forma_pagto[],2,0))</f>
        <v/>
      </c>
      <c r="AA1225" s="524" t="str">
        <f>IF(LANÇ_MOV[[#This Row],[DATA DE LANÇAMENTO]]="","",TEXT(LANÇ_MOV[[#This Row],[DATA DE LANÇAMENTO]],"AAAA"))</f>
        <v/>
      </c>
      <c r="AB1225" s="524" t="str">
        <f>IF(LANÇ_MOV[[#This Row],[DATA DE LANÇAMENTO]]="","",UPPER(TEXT(LANÇ_MOV[[#This Row],[DATA DE LANÇAMENTO]],"MMMM")))</f>
        <v/>
      </c>
      <c r="AC1225" s="525" t="str">
        <f>IF(LANÇ_MOV[[#This Row],[DATA DE LANÇAMENTO]]="","",PROPER(TEXT(LANÇ_MOV[[#This Row],[DATA DE LANÇAMENTO]],"M")))</f>
        <v/>
      </c>
      <c r="AD1225" s="524" t="str">
        <f>IF(LANÇ_MOV[[#This Row],[DATA DE LANÇAMENTO]]="","",TEXT(LANÇ_MOV[[#This Row],[DATA DE LANÇAMENTO]],"D"))</f>
        <v/>
      </c>
      <c r="AE1225" s="526" t="str">
        <f>IF(LANÇ_MOV[[#This Row],[DATA DE VENCIMENTO]]="","",TEXT(LANÇ_MOV[[#This Row],[DATA DE VENCIMENTO]],"AAAA"))</f>
        <v/>
      </c>
      <c r="AF1225" s="526" t="str">
        <f>IF(LANÇ_MOV[[#This Row],[DATA DE VENCIMENTO]]="","",UPPER(TEXT(LANÇ_MOV[[#This Row],[DATA DE VENCIMENTO]],"MMMM")))</f>
        <v/>
      </c>
      <c r="AG1225" s="526" t="str">
        <f>IF(LANÇ_MOV[[#This Row],[DATA DE VENCIMENTO]]="","",TEXT(LANÇ_MOV[[#This Row],[DATA DE VENCIMENTO]],"M"))</f>
        <v/>
      </c>
      <c r="AH1225" s="526" t="str">
        <f>IF(LANÇ_MOV[[#This Row],[DATA DE VENCIMENTO]]="","",TEXT(LANÇ_MOV[[#This Row],[DATA DE VENCIMENTO]],"D"))</f>
        <v/>
      </c>
      <c r="AI1225" s="526" t="str">
        <f>IF(LANÇ_MOV[[#This Row],[DATA DE PAGAMENTO]]="","",TEXT(LANÇ_MOV[[#This Row],[DATA DE PAGAMENTO]],"AAAA"))</f>
        <v/>
      </c>
      <c r="AJ1225" s="527" t="str">
        <f>IF(LANÇ_MOV[[#This Row],[DATA DE PAGAMENTO]]="","",UPPER(TEXT(LANÇ_MOV[[#This Row],[DATA DE PAGAMENTO]],"MMMM")))</f>
        <v/>
      </c>
      <c r="AK1225" s="527" t="str">
        <f>IF(LANÇ_MOV[[#This Row],[DATA DE PAGAMENTO]]="","",TEXT(LANÇ_MOV[[#This Row],[DATA DE PAGAMENTO]],"M"))</f>
        <v/>
      </c>
      <c r="AL1225" s="526" t="str">
        <f>IF(LANÇ_MOV[[#This Row],[DATA DE PAGAMENTO]]="","",TEXT(LANÇ_MOV[[#This Row],[DATA DE PAGAMENTO]],"D"))</f>
        <v/>
      </c>
    </row>
    <row r="1226" spans="2:38" ht="30.05" customHeight="1" x14ac:dyDescent="0.35">
      <c r="B1226" s="506"/>
      <c r="C1226" s="507"/>
      <c r="D1226" s="508" t="s">
        <v>1854</v>
      </c>
      <c r="E1226" s="509"/>
      <c r="F1226" s="510"/>
      <c r="G1226" s="507"/>
      <c r="H1226" s="511"/>
      <c r="I1226" s="512"/>
      <c r="J1226" s="518"/>
      <c r="K1226" s="510"/>
      <c r="L1226" s="510"/>
      <c r="M1226" s="548"/>
      <c r="N1226" s="514">
        <f>LANÇ_MOV[[#This Row],[VALOR BRUTO]]-LANÇ_MOV[[#This Row],[DESCONTO]]+LANÇ_MOV[[#This Row],[JUROS]]+LANÇ_MOV[[#This Row],[MULTA]]</f>
        <v>0</v>
      </c>
      <c r="O1226" s="546"/>
      <c r="P1226" s="547" t="str">
        <f t="shared" ca="1" si="19"/>
        <v/>
      </c>
      <c r="Q1226" s="528"/>
      <c r="R1226" s="529"/>
      <c r="S1226" s="518"/>
      <c r="T1226" s="518"/>
      <c r="U1226" s="519"/>
      <c r="V1226" s="520" t="str">
        <f>IFERROR(VLOOKUP(LANÇ_MOV[[#This Row],[PLANO DE CONTAS]],Plano_Contas[[PLANO DE CONTAS]:[R / D]],3,0),"")</f>
        <v/>
      </c>
      <c r="W1226" s="521" t="str">
        <f>IF(LANÇ_MOV[[#This Row],[DATA DE PAGAMENTO]]&lt;&gt;"","Pago","Não Pago")</f>
        <v>Não Pago</v>
      </c>
      <c r="X1226" s="522" t="str">
        <f>IFERROR(IF(LANÇ_MOV[[#This Row],[DATA DE PAGAMENTO]]="","",(UPPER(TEXT(LANÇ_MOV[[#This Row],[DATA DE PAGAMENTO]],"mmmm")))),"")</f>
        <v/>
      </c>
      <c r="Y1226" s="523" t="str">
        <f>IFERROR(VLOOKUP(LANÇ_MOV[[#This Row],[PLANO DE CONTAS]],Plano_Contas[[PLANO DE CONTAS]:[NOMES INTERVALOS]],2,0),"")</f>
        <v/>
      </c>
      <c r="Z1226" s="523" t="str">
        <f>IF(LANÇ_MOV[[#This Row],[FORMA DE PAGAMENTO]]="","",VLOOKUP(LANÇ_MOV[[#This Row],[FORMA DE PAGAMENTO]],CAD_Forma_pagto[],2,0))</f>
        <v/>
      </c>
      <c r="AA1226" s="524" t="str">
        <f>IF(LANÇ_MOV[[#This Row],[DATA DE LANÇAMENTO]]="","",TEXT(LANÇ_MOV[[#This Row],[DATA DE LANÇAMENTO]],"AAAA"))</f>
        <v/>
      </c>
      <c r="AB1226" s="524" t="str">
        <f>IF(LANÇ_MOV[[#This Row],[DATA DE LANÇAMENTO]]="","",UPPER(TEXT(LANÇ_MOV[[#This Row],[DATA DE LANÇAMENTO]],"MMMM")))</f>
        <v/>
      </c>
      <c r="AC1226" s="525" t="str">
        <f>IF(LANÇ_MOV[[#This Row],[DATA DE LANÇAMENTO]]="","",PROPER(TEXT(LANÇ_MOV[[#This Row],[DATA DE LANÇAMENTO]],"M")))</f>
        <v/>
      </c>
      <c r="AD1226" s="524" t="str">
        <f>IF(LANÇ_MOV[[#This Row],[DATA DE LANÇAMENTO]]="","",TEXT(LANÇ_MOV[[#This Row],[DATA DE LANÇAMENTO]],"D"))</f>
        <v/>
      </c>
      <c r="AE1226" s="526" t="str">
        <f>IF(LANÇ_MOV[[#This Row],[DATA DE VENCIMENTO]]="","",TEXT(LANÇ_MOV[[#This Row],[DATA DE VENCIMENTO]],"AAAA"))</f>
        <v/>
      </c>
      <c r="AF1226" s="526" t="str">
        <f>IF(LANÇ_MOV[[#This Row],[DATA DE VENCIMENTO]]="","",UPPER(TEXT(LANÇ_MOV[[#This Row],[DATA DE VENCIMENTO]],"MMMM")))</f>
        <v/>
      </c>
      <c r="AG1226" s="526" t="str">
        <f>IF(LANÇ_MOV[[#This Row],[DATA DE VENCIMENTO]]="","",TEXT(LANÇ_MOV[[#This Row],[DATA DE VENCIMENTO]],"M"))</f>
        <v/>
      </c>
      <c r="AH1226" s="526" t="str">
        <f>IF(LANÇ_MOV[[#This Row],[DATA DE VENCIMENTO]]="","",TEXT(LANÇ_MOV[[#This Row],[DATA DE VENCIMENTO]],"D"))</f>
        <v/>
      </c>
      <c r="AI1226" s="526" t="str">
        <f>IF(LANÇ_MOV[[#This Row],[DATA DE PAGAMENTO]]="","",TEXT(LANÇ_MOV[[#This Row],[DATA DE PAGAMENTO]],"AAAA"))</f>
        <v/>
      </c>
      <c r="AJ1226" s="527" t="str">
        <f>IF(LANÇ_MOV[[#This Row],[DATA DE PAGAMENTO]]="","",UPPER(TEXT(LANÇ_MOV[[#This Row],[DATA DE PAGAMENTO]],"MMMM")))</f>
        <v/>
      </c>
      <c r="AK1226" s="527" t="str">
        <f>IF(LANÇ_MOV[[#This Row],[DATA DE PAGAMENTO]]="","",TEXT(LANÇ_MOV[[#This Row],[DATA DE PAGAMENTO]],"M"))</f>
        <v/>
      </c>
      <c r="AL1226" s="526" t="str">
        <f>IF(LANÇ_MOV[[#This Row],[DATA DE PAGAMENTO]]="","",TEXT(LANÇ_MOV[[#This Row],[DATA DE PAGAMENTO]],"D"))</f>
        <v/>
      </c>
    </row>
    <row r="1227" spans="2:38" ht="30.05" customHeight="1" x14ac:dyDescent="0.35">
      <c r="B1227" s="506"/>
      <c r="C1227" s="507"/>
      <c r="D1227" s="508" t="s">
        <v>1854</v>
      </c>
      <c r="E1227" s="509"/>
      <c r="F1227" s="510"/>
      <c r="G1227" s="507"/>
      <c r="H1227" s="511"/>
      <c r="I1227" s="512"/>
      <c r="J1227" s="518"/>
      <c r="K1227" s="510"/>
      <c r="L1227" s="510"/>
      <c r="M1227" s="548"/>
      <c r="N1227" s="514">
        <f>LANÇ_MOV[[#This Row],[VALOR BRUTO]]-LANÇ_MOV[[#This Row],[DESCONTO]]+LANÇ_MOV[[#This Row],[JUROS]]+LANÇ_MOV[[#This Row],[MULTA]]</f>
        <v>0</v>
      </c>
      <c r="O1227" s="546"/>
      <c r="P1227" s="547" t="str">
        <f t="shared" ca="1" si="19"/>
        <v/>
      </c>
      <c r="Q1227" s="528"/>
      <c r="R1227" s="529"/>
      <c r="S1227" s="518"/>
      <c r="T1227" s="518"/>
      <c r="U1227" s="519"/>
      <c r="V1227" s="520" t="str">
        <f>IFERROR(VLOOKUP(LANÇ_MOV[[#This Row],[PLANO DE CONTAS]],Plano_Contas[[PLANO DE CONTAS]:[R / D]],3,0),"")</f>
        <v/>
      </c>
      <c r="W1227" s="521" t="str">
        <f>IF(LANÇ_MOV[[#This Row],[DATA DE PAGAMENTO]]&lt;&gt;"","Pago","Não Pago")</f>
        <v>Não Pago</v>
      </c>
      <c r="X1227" s="522" t="str">
        <f>IFERROR(IF(LANÇ_MOV[[#This Row],[DATA DE PAGAMENTO]]="","",(UPPER(TEXT(LANÇ_MOV[[#This Row],[DATA DE PAGAMENTO]],"mmmm")))),"")</f>
        <v/>
      </c>
      <c r="Y1227" s="523" t="str">
        <f>IFERROR(VLOOKUP(LANÇ_MOV[[#This Row],[PLANO DE CONTAS]],Plano_Contas[[PLANO DE CONTAS]:[NOMES INTERVALOS]],2,0),"")</f>
        <v/>
      </c>
      <c r="Z1227" s="523" t="str">
        <f>IF(LANÇ_MOV[[#This Row],[FORMA DE PAGAMENTO]]="","",VLOOKUP(LANÇ_MOV[[#This Row],[FORMA DE PAGAMENTO]],CAD_Forma_pagto[],2,0))</f>
        <v/>
      </c>
      <c r="AA1227" s="524" t="str">
        <f>IF(LANÇ_MOV[[#This Row],[DATA DE LANÇAMENTO]]="","",TEXT(LANÇ_MOV[[#This Row],[DATA DE LANÇAMENTO]],"AAAA"))</f>
        <v/>
      </c>
      <c r="AB1227" s="524" t="str">
        <f>IF(LANÇ_MOV[[#This Row],[DATA DE LANÇAMENTO]]="","",UPPER(TEXT(LANÇ_MOV[[#This Row],[DATA DE LANÇAMENTO]],"MMMM")))</f>
        <v/>
      </c>
      <c r="AC1227" s="525" t="str">
        <f>IF(LANÇ_MOV[[#This Row],[DATA DE LANÇAMENTO]]="","",PROPER(TEXT(LANÇ_MOV[[#This Row],[DATA DE LANÇAMENTO]],"M")))</f>
        <v/>
      </c>
      <c r="AD1227" s="524" t="str">
        <f>IF(LANÇ_MOV[[#This Row],[DATA DE LANÇAMENTO]]="","",TEXT(LANÇ_MOV[[#This Row],[DATA DE LANÇAMENTO]],"D"))</f>
        <v/>
      </c>
      <c r="AE1227" s="526" t="str">
        <f>IF(LANÇ_MOV[[#This Row],[DATA DE VENCIMENTO]]="","",TEXT(LANÇ_MOV[[#This Row],[DATA DE VENCIMENTO]],"AAAA"))</f>
        <v/>
      </c>
      <c r="AF1227" s="526" t="str">
        <f>IF(LANÇ_MOV[[#This Row],[DATA DE VENCIMENTO]]="","",UPPER(TEXT(LANÇ_MOV[[#This Row],[DATA DE VENCIMENTO]],"MMMM")))</f>
        <v/>
      </c>
      <c r="AG1227" s="526" t="str">
        <f>IF(LANÇ_MOV[[#This Row],[DATA DE VENCIMENTO]]="","",TEXT(LANÇ_MOV[[#This Row],[DATA DE VENCIMENTO]],"M"))</f>
        <v/>
      </c>
      <c r="AH1227" s="526" t="str">
        <f>IF(LANÇ_MOV[[#This Row],[DATA DE VENCIMENTO]]="","",TEXT(LANÇ_MOV[[#This Row],[DATA DE VENCIMENTO]],"D"))</f>
        <v/>
      </c>
      <c r="AI1227" s="526" t="str">
        <f>IF(LANÇ_MOV[[#This Row],[DATA DE PAGAMENTO]]="","",TEXT(LANÇ_MOV[[#This Row],[DATA DE PAGAMENTO]],"AAAA"))</f>
        <v/>
      </c>
      <c r="AJ1227" s="527" t="str">
        <f>IF(LANÇ_MOV[[#This Row],[DATA DE PAGAMENTO]]="","",UPPER(TEXT(LANÇ_MOV[[#This Row],[DATA DE PAGAMENTO]],"MMMM")))</f>
        <v/>
      </c>
      <c r="AK1227" s="527" t="str">
        <f>IF(LANÇ_MOV[[#This Row],[DATA DE PAGAMENTO]]="","",TEXT(LANÇ_MOV[[#This Row],[DATA DE PAGAMENTO]],"M"))</f>
        <v/>
      </c>
      <c r="AL1227" s="526" t="str">
        <f>IF(LANÇ_MOV[[#This Row],[DATA DE PAGAMENTO]]="","",TEXT(LANÇ_MOV[[#This Row],[DATA DE PAGAMENTO]],"D"))</f>
        <v/>
      </c>
    </row>
    <row r="1228" spans="2:38" ht="30.05" customHeight="1" x14ac:dyDescent="0.35">
      <c r="B1228" s="506"/>
      <c r="C1228" s="507"/>
      <c r="D1228" s="508" t="s">
        <v>1854</v>
      </c>
      <c r="E1228" s="509"/>
      <c r="F1228" s="510"/>
      <c r="G1228" s="507"/>
      <c r="H1228" s="511"/>
      <c r="I1228" s="512"/>
      <c r="J1228" s="518"/>
      <c r="K1228" s="510"/>
      <c r="L1228" s="510"/>
      <c r="M1228" s="548"/>
      <c r="N1228" s="514">
        <f>LANÇ_MOV[[#This Row],[VALOR BRUTO]]-LANÇ_MOV[[#This Row],[DESCONTO]]+LANÇ_MOV[[#This Row],[JUROS]]+LANÇ_MOV[[#This Row],[MULTA]]</f>
        <v>0</v>
      </c>
      <c r="O1228" s="546"/>
      <c r="P1228" s="547" t="str">
        <f t="shared" ca="1" si="19"/>
        <v/>
      </c>
      <c r="Q1228" s="528"/>
      <c r="R1228" s="529"/>
      <c r="S1228" s="518"/>
      <c r="T1228" s="518"/>
      <c r="U1228" s="519"/>
      <c r="V1228" s="520" t="str">
        <f>IFERROR(VLOOKUP(LANÇ_MOV[[#This Row],[PLANO DE CONTAS]],Plano_Contas[[PLANO DE CONTAS]:[R / D]],3,0),"")</f>
        <v/>
      </c>
      <c r="W1228" s="521" t="str">
        <f>IF(LANÇ_MOV[[#This Row],[DATA DE PAGAMENTO]]&lt;&gt;"","Pago","Não Pago")</f>
        <v>Não Pago</v>
      </c>
      <c r="X1228" s="522" t="str">
        <f>IFERROR(IF(LANÇ_MOV[[#This Row],[DATA DE PAGAMENTO]]="","",(UPPER(TEXT(LANÇ_MOV[[#This Row],[DATA DE PAGAMENTO]],"mmmm")))),"")</f>
        <v/>
      </c>
      <c r="Y1228" s="523" t="str">
        <f>IFERROR(VLOOKUP(LANÇ_MOV[[#This Row],[PLANO DE CONTAS]],Plano_Contas[[PLANO DE CONTAS]:[NOMES INTERVALOS]],2,0),"")</f>
        <v/>
      </c>
      <c r="Z1228" s="523" t="str">
        <f>IF(LANÇ_MOV[[#This Row],[FORMA DE PAGAMENTO]]="","",VLOOKUP(LANÇ_MOV[[#This Row],[FORMA DE PAGAMENTO]],CAD_Forma_pagto[],2,0))</f>
        <v/>
      </c>
      <c r="AA1228" s="524" t="str">
        <f>IF(LANÇ_MOV[[#This Row],[DATA DE LANÇAMENTO]]="","",TEXT(LANÇ_MOV[[#This Row],[DATA DE LANÇAMENTO]],"AAAA"))</f>
        <v/>
      </c>
      <c r="AB1228" s="524" t="str">
        <f>IF(LANÇ_MOV[[#This Row],[DATA DE LANÇAMENTO]]="","",UPPER(TEXT(LANÇ_MOV[[#This Row],[DATA DE LANÇAMENTO]],"MMMM")))</f>
        <v/>
      </c>
      <c r="AC1228" s="525" t="str">
        <f>IF(LANÇ_MOV[[#This Row],[DATA DE LANÇAMENTO]]="","",PROPER(TEXT(LANÇ_MOV[[#This Row],[DATA DE LANÇAMENTO]],"M")))</f>
        <v/>
      </c>
      <c r="AD1228" s="524" t="str">
        <f>IF(LANÇ_MOV[[#This Row],[DATA DE LANÇAMENTO]]="","",TEXT(LANÇ_MOV[[#This Row],[DATA DE LANÇAMENTO]],"D"))</f>
        <v/>
      </c>
      <c r="AE1228" s="526" t="str">
        <f>IF(LANÇ_MOV[[#This Row],[DATA DE VENCIMENTO]]="","",TEXT(LANÇ_MOV[[#This Row],[DATA DE VENCIMENTO]],"AAAA"))</f>
        <v/>
      </c>
      <c r="AF1228" s="526" t="str">
        <f>IF(LANÇ_MOV[[#This Row],[DATA DE VENCIMENTO]]="","",UPPER(TEXT(LANÇ_MOV[[#This Row],[DATA DE VENCIMENTO]],"MMMM")))</f>
        <v/>
      </c>
      <c r="AG1228" s="526" t="str">
        <f>IF(LANÇ_MOV[[#This Row],[DATA DE VENCIMENTO]]="","",TEXT(LANÇ_MOV[[#This Row],[DATA DE VENCIMENTO]],"M"))</f>
        <v/>
      </c>
      <c r="AH1228" s="526" t="str">
        <f>IF(LANÇ_MOV[[#This Row],[DATA DE VENCIMENTO]]="","",TEXT(LANÇ_MOV[[#This Row],[DATA DE VENCIMENTO]],"D"))</f>
        <v/>
      </c>
      <c r="AI1228" s="526" t="str">
        <f>IF(LANÇ_MOV[[#This Row],[DATA DE PAGAMENTO]]="","",TEXT(LANÇ_MOV[[#This Row],[DATA DE PAGAMENTO]],"AAAA"))</f>
        <v/>
      </c>
      <c r="AJ1228" s="527" t="str">
        <f>IF(LANÇ_MOV[[#This Row],[DATA DE PAGAMENTO]]="","",UPPER(TEXT(LANÇ_MOV[[#This Row],[DATA DE PAGAMENTO]],"MMMM")))</f>
        <v/>
      </c>
      <c r="AK1228" s="527" t="str">
        <f>IF(LANÇ_MOV[[#This Row],[DATA DE PAGAMENTO]]="","",TEXT(LANÇ_MOV[[#This Row],[DATA DE PAGAMENTO]],"M"))</f>
        <v/>
      </c>
      <c r="AL1228" s="526" t="str">
        <f>IF(LANÇ_MOV[[#This Row],[DATA DE PAGAMENTO]]="","",TEXT(LANÇ_MOV[[#This Row],[DATA DE PAGAMENTO]],"D"))</f>
        <v/>
      </c>
    </row>
    <row r="1229" spans="2:38" ht="30.05" customHeight="1" x14ac:dyDescent="0.35">
      <c r="B1229" s="506"/>
      <c r="C1229" s="507"/>
      <c r="D1229" s="508" t="s">
        <v>1854</v>
      </c>
      <c r="E1229" s="509"/>
      <c r="F1229" s="510"/>
      <c r="G1229" s="507"/>
      <c r="H1229" s="511"/>
      <c r="I1229" s="512"/>
      <c r="J1229" s="518"/>
      <c r="K1229" s="510"/>
      <c r="L1229" s="510"/>
      <c r="M1229" s="548"/>
      <c r="N1229" s="514">
        <f>LANÇ_MOV[[#This Row],[VALOR BRUTO]]-LANÇ_MOV[[#This Row],[DESCONTO]]+LANÇ_MOV[[#This Row],[JUROS]]+LANÇ_MOV[[#This Row],[MULTA]]</f>
        <v>0</v>
      </c>
      <c r="O1229" s="546"/>
      <c r="P1229" s="547" t="str">
        <f t="shared" ca="1" si="19"/>
        <v/>
      </c>
      <c r="Q1229" s="528"/>
      <c r="R1229" s="529"/>
      <c r="S1229" s="518"/>
      <c r="T1229" s="518"/>
      <c r="U1229" s="519"/>
      <c r="V1229" s="520" t="str">
        <f>IFERROR(VLOOKUP(LANÇ_MOV[[#This Row],[PLANO DE CONTAS]],Plano_Contas[[PLANO DE CONTAS]:[R / D]],3,0),"")</f>
        <v/>
      </c>
      <c r="W1229" s="521" t="str">
        <f>IF(LANÇ_MOV[[#This Row],[DATA DE PAGAMENTO]]&lt;&gt;"","Pago","Não Pago")</f>
        <v>Não Pago</v>
      </c>
      <c r="X1229" s="522" t="str">
        <f>IFERROR(IF(LANÇ_MOV[[#This Row],[DATA DE PAGAMENTO]]="","",(UPPER(TEXT(LANÇ_MOV[[#This Row],[DATA DE PAGAMENTO]],"mmmm")))),"")</f>
        <v/>
      </c>
      <c r="Y1229" s="523" t="str">
        <f>IFERROR(VLOOKUP(LANÇ_MOV[[#This Row],[PLANO DE CONTAS]],Plano_Contas[[PLANO DE CONTAS]:[NOMES INTERVALOS]],2,0),"")</f>
        <v/>
      </c>
      <c r="Z1229" s="523" t="str">
        <f>IF(LANÇ_MOV[[#This Row],[FORMA DE PAGAMENTO]]="","",VLOOKUP(LANÇ_MOV[[#This Row],[FORMA DE PAGAMENTO]],CAD_Forma_pagto[],2,0))</f>
        <v/>
      </c>
      <c r="AA1229" s="524" t="str">
        <f>IF(LANÇ_MOV[[#This Row],[DATA DE LANÇAMENTO]]="","",TEXT(LANÇ_MOV[[#This Row],[DATA DE LANÇAMENTO]],"AAAA"))</f>
        <v/>
      </c>
      <c r="AB1229" s="524" t="str">
        <f>IF(LANÇ_MOV[[#This Row],[DATA DE LANÇAMENTO]]="","",UPPER(TEXT(LANÇ_MOV[[#This Row],[DATA DE LANÇAMENTO]],"MMMM")))</f>
        <v/>
      </c>
      <c r="AC1229" s="525" t="str">
        <f>IF(LANÇ_MOV[[#This Row],[DATA DE LANÇAMENTO]]="","",PROPER(TEXT(LANÇ_MOV[[#This Row],[DATA DE LANÇAMENTO]],"M")))</f>
        <v/>
      </c>
      <c r="AD1229" s="524" t="str">
        <f>IF(LANÇ_MOV[[#This Row],[DATA DE LANÇAMENTO]]="","",TEXT(LANÇ_MOV[[#This Row],[DATA DE LANÇAMENTO]],"D"))</f>
        <v/>
      </c>
      <c r="AE1229" s="526" t="str">
        <f>IF(LANÇ_MOV[[#This Row],[DATA DE VENCIMENTO]]="","",TEXT(LANÇ_MOV[[#This Row],[DATA DE VENCIMENTO]],"AAAA"))</f>
        <v/>
      </c>
      <c r="AF1229" s="526" t="str">
        <f>IF(LANÇ_MOV[[#This Row],[DATA DE VENCIMENTO]]="","",UPPER(TEXT(LANÇ_MOV[[#This Row],[DATA DE VENCIMENTO]],"MMMM")))</f>
        <v/>
      </c>
      <c r="AG1229" s="526" t="str">
        <f>IF(LANÇ_MOV[[#This Row],[DATA DE VENCIMENTO]]="","",TEXT(LANÇ_MOV[[#This Row],[DATA DE VENCIMENTO]],"M"))</f>
        <v/>
      </c>
      <c r="AH1229" s="526" t="str">
        <f>IF(LANÇ_MOV[[#This Row],[DATA DE VENCIMENTO]]="","",TEXT(LANÇ_MOV[[#This Row],[DATA DE VENCIMENTO]],"D"))</f>
        <v/>
      </c>
      <c r="AI1229" s="526" t="str">
        <f>IF(LANÇ_MOV[[#This Row],[DATA DE PAGAMENTO]]="","",TEXT(LANÇ_MOV[[#This Row],[DATA DE PAGAMENTO]],"AAAA"))</f>
        <v/>
      </c>
      <c r="AJ1229" s="527" t="str">
        <f>IF(LANÇ_MOV[[#This Row],[DATA DE PAGAMENTO]]="","",UPPER(TEXT(LANÇ_MOV[[#This Row],[DATA DE PAGAMENTO]],"MMMM")))</f>
        <v/>
      </c>
      <c r="AK1229" s="527" t="str">
        <f>IF(LANÇ_MOV[[#This Row],[DATA DE PAGAMENTO]]="","",TEXT(LANÇ_MOV[[#This Row],[DATA DE PAGAMENTO]],"M"))</f>
        <v/>
      </c>
      <c r="AL1229" s="526" t="str">
        <f>IF(LANÇ_MOV[[#This Row],[DATA DE PAGAMENTO]]="","",TEXT(LANÇ_MOV[[#This Row],[DATA DE PAGAMENTO]],"D"))</f>
        <v/>
      </c>
    </row>
    <row r="1230" spans="2:38" ht="30.05" customHeight="1" x14ac:dyDescent="0.35">
      <c r="B1230" s="506"/>
      <c r="C1230" s="507"/>
      <c r="D1230" s="508" t="s">
        <v>1854</v>
      </c>
      <c r="E1230" s="509"/>
      <c r="F1230" s="510"/>
      <c r="G1230" s="507"/>
      <c r="H1230" s="511"/>
      <c r="I1230" s="512"/>
      <c r="J1230" s="518"/>
      <c r="K1230" s="510"/>
      <c r="L1230" s="510"/>
      <c r="M1230" s="548"/>
      <c r="N1230" s="514">
        <f>LANÇ_MOV[[#This Row],[VALOR BRUTO]]-LANÇ_MOV[[#This Row],[DESCONTO]]+LANÇ_MOV[[#This Row],[JUROS]]+LANÇ_MOV[[#This Row],[MULTA]]</f>
        <v>0</v>
      </c>
      <c r="O1230" s="546"/>
      <c r="P1230" s="547" t="str">
        <f t="shared" ca="1" si="19"/>
        <v/>
      </c>
      <c r="Q1230" s="528"/>
      <c r="R1230" s="529"/>
      <c r="S1230" s="518"/>
      <c r="T1230" s="518"/>
      <c r="U1230" s="519"/>
      <c r="V1230" s="520" t="str">
        <f>IFERROR(VLOOKUP(LANÇ_MOV[[#This Row],[PLANO DE CONTAS]],Plano_Contas[[PLANO DE CONTAS]:[R / D]],3,0),"")</f>
        <v/>
      </c>
      <c r="W1230" s="521" t="str">
        <f>IF(LANÇ_MOV[[#This Row],[DATA DE PAGAMENTO]]&lt;&gt;"","Pago","Não Pago")</f>
        <v>Não Pago</v>
      </c>
      <c r="X1230" s="522" t="str">
        <f>IFERROR(IF(LANÇ_MOV[[#This Row],[DATA DE PAGAMENTO]]="","",(UPPER(TEXT(LANÇ_MOV[[#This Row],[DATA DE PAGAMENTO]],"mmmm")))),"")</f>
        <v/>
      </c>
      <c r="Y1230" s="523" t="str">
        <f>IFERROR(VLOOKUP(LANÇ_MOV[[#This Row],[PLANO DE CONTAS]],Plano_Contas[[PLANO DE CONTAS]:[NOMES INTERVALOS]],2,0),"")</f>
        <v/>
      </c>
      <c r="Z1230" s="523" t="str">
        <f>IF(LANÇ_MOV[[#This Row],[FORMA DE PAGAMENTO]]="","",VLOOKUP(LANÇ_MOV[[#This Row],[FORMA DE PAGAMENTO]],CAD_Forma_pagto[],2,0))</f>
        <v/>
      </c>
      <c r="AA1230" s="524" t="str">
        <f>IF(LANÇ_MOV[[#This Row],[DATA DE LANÇAMENTO]]="","",TEXT(LANÇ_MOV[[#This Row],[DATA DE LANÇAMENTO]],"AAAA"))</f>
        <v/>
      </c>
      <c r="AB1230" s="524" t="str">
        <f>IF(LANÇ_MOV[[#This Row],[DATA DE LANÇAMENTO]]="","",UPPER(TEXT(LANÇ_MOV[[#This Row],[DATA DE LANÇAMENTO]],"MMMM")))</f>
        <v/>
      </c>
      <c r="AC1230" s="525" t="str">
        <f>IF(LANÇ_MOV[[#This Row],[DATA DE LANÇAMENTO]]="","",PROPER(TEXT(LANÇ_MOV[[#This Row],[DATA DE LANÇAMENTO]],"M")))</f>
        <v/>
      </c>
      <c r="AD1230" s="524" t="str">
        <f>IF(LANÇ_MOV[[#This Row],[DATA DE LANÇAMENTO]]="","",TEXT(LANÇ_MOV[[#This Row],[DATA DE LANÇAMENTO]],"D"))</f>
        <v/>
      </c>
      <c r="AE1230" s="526" t="str">
        <f>IF(LANÇ_MOV[[#This Row],[DATA DE VENCIMENTO]]="","",TEXT(LANÇ_MOV[[#This Row],[DATA DE VENCIMENTO]],"AAAA"))</f>
        <v/>
      </c>
      <c r="AF1230" s="526" t="str">
        <f>IF(LANÇ_MOV[[#This Row],[DATA DE VENCIMENTO]]="","",UPPER(TEXT(LANÇ_MOV[[#This Row],[DATA DE VENCIMENTO]],"MMMM")))</f>
        <v/>
      </c>
      <c r="AG1230" s="526" t="str">
        <f>IF(LANÇ_MOV[[#This Row],[DATA DE VENCIMENTO]]="","",TEXT(LANÇ_MOV[[#This Row],[DATA DE VENCIMENTO]],"M"))</f>
        <v/>
      </c>
      <c r="AH1230" s="526" t="str">
        <f>IF(LANÇ_MOV[[#This Row],[DATA DE VENCIMENTO]]="","",TEXT(LANÇ_MOV[[#This Row],[DATA DE VENCIMENTO]],"D"))</f>
        <v/>
      </c>
      <c r="AI1230" s="526" t="str">
        <f>IF(LANÇ_MOV[[#This Row],[DATA DE PAGAMENTO]]="","",TEXT(LANÇ_MOV[[#This Row],[DATA DE PAGAMENTO]],"AAAA"))</f>
        <v/>
      </c>
      <c r="AJ1230" s="527" t="str">
        <f>IF(LANÇ_MOV[[#This Row],[DATA DE PAGAMENTO]]="","",UPPER(TEXT(LANÇ_MOV[[#This Row],[DATA DE PAGAMENTO]],"MMMM")))</f>
        <v/>
      </c>
      <c r="AK1230" s="527" t="str">
        <f>IF(LANÇ_MOV[[#This Row],[DATA DE PAGAMENTO]]="","",TEXT(LANÇ_MOV[[#This Row],[DATA DE PAGAMENTO]],"M"))</f>
        <v/>
      </c>
      <c r="AL1230" s="526" t="str">
        <f>IF(LANÇ_MOV[[#This Row],[DATA DE PAGAMENTO]]="","",TEXT(LANÇ_MOV[[#This Row],[DATA DE PAGAMENTO]],"D"))</f>
        <v/>
      </c>
    </row>
    <row r="1231" spans="2:38" ht="30.05" customHeight="1" x14ac:dyDescent="0.35">
      <c r="B1231" s="506"/>
      <c r="C1231" s="507"/>
      <c r="D1231" s="508" t="s">
        <v>1854</v>
      </c>
      <c r="E1231" s="509"/>
      <c r="F1231" s="510"/>
      <c r="G1231" s="507"/>
      <c r="H1231" s="511"/>
      <c r="I1231" s="512"/>
      <c r="J1231" s="518"/>
      <c r="K1231" s="510"/>
      <c r="L1231" s="510"/>
      <c r="M1231" s="548"/>
      <c r="N1231" s="514">
        <f>LANÇ_MOV[[#This Row],[VALOR BRUTO]]-LANÇ_MOV[[#This Row],[DESCONTO]]+LANÇ_MOV[[#This Row],[JUROS]]+LANÇ_MOV[[#This Row],[MULTA]]</f>
        <v>0</v>
      </c>
      <c r="O1231" s="546"/>
      <c r="P1231" s="547" t="str">
        <f t="shared" ca="1" si="19"/>
        <v/>
      </c>
      <c r="Q1231" s="528"/>
      <c r="R1231" s="529"/>
      <c r="S1231" s="518"/>
      <c r="T1231" s="518"/>
      <c r="U1231" s="519"/>
      <c r="V1231" s="520" t="str">
        <f>IFERROR(VLOOKUP(LANÇ_MOV[[#This Row],[PLANO DE CONTAS]],Plano_Contas[[PLANO DE CONTAS]:[R / D]],3,0),"")</f>
        <v/>
      </c>
      <c r="W1231" s="521" t="str">
        <f>IF(LANÇ_MOV[[#This Row],[DATA DE PAGAMENTO]]&lt;&gt;"","Pago","Não Pago")</f>
        <v>Não Pago</v>
      </c>
      <c r="X1231" s="522" t="str">
        <f>IFERROR(IF(LANÇ_MOV[[#This Row],[DATA DE PAGAMENTO]]="","",(UPPER(TEXT(LANÇ_MOV[[#This Row],[DATA DE PAGAMENTO]],"mmmm")))),"")</f>
        <v/>
      </c>
      <c r="Y1231" s="523" t="str">
        <f>IFERROR(VLOOKUP(LANÇ_MOV[[#This Row],[PLANO DE CONTAS]],Plano_Contas[[PLANO DE CONTAS]:[NOMES INTERVALOS]],2,0),"")</f>
        <v/>
      </c>
      <c r="Z1231" s="523" t="str">
        <f>IF(LANÇ_MOV[[#This Row],[FORMA DE PAGAMENTO]]="","",VLOOKUP(LANÇ_MOV[[#This Row],[FORMA DE PAGAMENTO]],CAD_Forma_pagto[],2,0))</f>
        <v/>
      </c>
      <c r="AA1231" s="524" t="str">
        <f>IF(LANÇ_MOV[[#This Row],[DATA DE LANÇAMENTO]]="","",TEXT(LANÇ_MOV[[#This Row],[DATA DE LANÇAMENTO]],"AAAA"))</f>
        <v/>
      </c>
      <c r="AB1231" s="524" t="str">
        <f>IF(LANÇ_MOV[[#This Row],[DATA DE LANÇAMENTO]]="","",UPPER(TEXT(LANÇ_MOV[[#This Row],[DATA DE LANÇAMENTO]],"MMMM")))</f>
        <v/>
      </c>
      <c r="AC1231" s="525" t="str">
        <f>IF(LANÇ_MOV[[#This Row],[DATA DE LANÇAMENTO]]="","",PROPER(TEXT(LANÇ_MOV[[#This Row],[DATA DE LANÇAMENTO]],"M")))</f>
        <v/>
      </c>
      <c r="AD1231" s="524" t="str">
        <f>IF(LANÇ_MOV[[#This Row],[DATA DE LANÇAMENTO]]="","",TEXT(LANÇ_MOV[[#This Row],[DATA DE LANÇAMENTO]],"D"))</f>
        <v/>
      </c>
      <c r="AE1231" s="526" t="str">
        <f>IF(LANÇ_MOV[[#This Row],[DATA DE VENCIMENTO]]="","",TEXT(LANÇ_MOV[[#This Row],[DATA DE VENCIMENTO]],"AAAA"))</f>
        <v/>
      </c>
      <c r="AF1231" s="526" t="str">
        <f>IF(LANÇ_MOV[[#This Row],[DATA DE VENCIMENTO]]="","",UPPER(TEXT(LANÇ_MOV[[#This Row],[DATA DE VENCIMENTO]],"MMMM")))</f>
        <v/>
      </c>
      <c r="AG1231" s="526" t="str">
        <f>IF(LANÇ_MOV[[#This Row],[DATA DE VENCIMENTO]]="","",TEXT(LANÇ_MOV[[#This Row],[DATA DE VENCIMENTO]],"M"))</f>
        <v/>
      </c>
      <c r="AH1231" s="526" t="str">
        <f>IF(LANÇ_MOV[[#This Row],[DATA DE VENCIMENTO]]="","",TEXT(LANÇ_MOV[[#This Row],[DATA DE VENCIMENTO]],"D"))</f>
        <v/>
      </c>
      <c r="AI1231" s="526" t="str">
        <f>IF(LANÇ_MOV[[#This Row],[DATA DE PAGAMENTO]]="","",TEXT(LANÇ_MOV[[#This Row],[DATA DE PAGAMENTO]],"AAAA"))</f>
        <v/>
      </c>
      <c r="AJ1231" s="527" t="str">
        <f>IF(LANÇ_MOV[[#This Row],[DATA DE PAGAMENTO]]="","",UPPER(TEXT(LANÇ_MOV[[#This Row],[DATA DE PAGAMENTO]],"MMMM")))</f>
        <v/>
      </c>
      <c r="AK1231" s="527" t="str">
        <f>IF(LANÇ_MOV[[#This Row],[DATA DE PAGAMENTO]]="","",TEXT(LANÇ_MOV[[#This Row],[DATA DE PAGAMENTO]],"M"))</f>
        <v/>
      </c>
      <c r="AL1231" s="526" t="str">
        <f>IF(LANÇ_MOV[[#This Row],[DATA DE PAGAMENTO]]="","",TEXT(LANÇ_MOV[[#This Row],[DATA DE PAGAMENTO]],"D"))</f>
        <v/>
      </c>
    </row>
    <row r="1232" spans="2:38" ht="30.05" customHeight="1" x14ac:dyDescent="0.35">
      <c r="B1232" s="506"/>
      <c r="C1232" s="507"/>
      <c r="D1232" s="508" t="s">
        <v>1854</v>
      </c>
      <c r="E1232" s="509"/>
      <c r="F1232" s="510"/>
      <c r="G1232" s="507"/>
      <c r="H1232" s="511"/>
      <c r="I1232" s="512"/>
      <c r="J1232" s="518"/>
      <c r="K1232" s="510"/>
      <c r="L1232" s="510"/>
      <c r="M1232" s="548"/>
      <c r="N1232" s="514">
        <f>LANÇ_MOV[[#This Row],[VALOR BRUTO]]-LANÇ_MOV[[#This Row],[DESCONTO]]+LANÇ_MOV[[#This Row],[JUROS]]+LANÇ_MOV[[#This Row],[MULTA]]</f>
        <v>0</v>
      </c>
      <c r="O1232" s="546"/>
      <c r="P1232" s="547" t="str">
        <f t="shared" ca="1" si="19"/>
        <v/>
      </c>
      <c r="Q1232" s="528"/>
      <c r="R1232" s="529"/>
      <c r="S1232" s="518"/>
      <c r="T1232" s="518"/>
      <c r="U1232" s="519"/>
      <c r="V1232" s="520" t="str">
        <f>IFERROR(VLOOKUP(LANÇ_MOV[[#This Row],[PLANO DE CONTAS]],Plano_Contas[[PLANO DE CONTAS]:[R / D]],3,0),"")</f>
        <v/>
      </c>
      <c r="W1232" s="521" t="str">
        <f>IF(LANÇ_MOV[[#This Row],[DATA DE PAGAMENTO]]&lt;&gt;"","Pago","Não Pago")</f>
        <v>Não Pago</v>
      </c>
      <c r="X1232" s="522" t="str">
        <f>IFERROR(IF(LANÇ_MOV[[#This Row],[DATA DE PAGAMENTO]]="","",(UPPER(TEXT(LANÇ_MOV[[#This Row],[DATA DE PAGAMENTO]],"mmmm")))),"")</f>
        <v/>
      </c>
      <c r="Y1232" s="523" t="str">
        <f>IFERROR(VLOOKUP(LANÇ_MOV[[#This Row],[PLANO DE CONTAS]],Plano_Contas[[PLANO DE CONTAS]:[NOMES INTERVALOS]],2,0),"")</f>
        <v/>
      </c>
      <c r="Z1232" s="523" t="str">
        <f>IF(LANÇ_MOV[[#This Row],[FORMA DE PAGAMENTO]]="","",VLOOKUP(LANÇ_MOV[[#This Row],[FORMA DE PAGAMENTO]],CAD_Forma_pagto[],2,0))</f>
        <v/>
      </c>
      <c r="AA1232" s="524" t="str">
        <f>IF(LANÇ_MOV[[#This Row],[DATA DE LANÇAMENTO]]="","",TEXT(LANÇ_MOV[[#This Row],[DATA DE LANÇAMENTO]],"AAAA"))</f>
        <v/>
      </c>
      <c r="AB1232" s="524" t="str">
        <f>IF(LANÇ_MOV[[#This Row],[DATA DE LANÇAMENTO]]="","",UPPER(TEXT(LANÇ_MOV[[#This Row],[DATA DE LANÇAMENTO]],"MMMM")))</f>
        <v/>
      </c>
      <c r="AC1232" s="525" t="str">
        <f>IF(LANÇ_MOV[[#This Row],[DATA DE LANÇAMENTO]]="","",PROPER(TEXT(LANÇ_MOV[[#This Row],[DATA DE LANÇAMENTO]],"M")))</f>
        <v/>
      </c>
      <c r="AD1232" s="524" t="str">
        <f>IF(LANÇ_MOV[[#This Row],[DATA DE LANÇAMENTO]]="","",TEXT(LANÇ_MOV[[#This Row],[DATA DE LANÇAMENTO]],"D"))</f>
        <v/>
      </c>
      <c r="AE1232" s="526" t="str">
        <f>IF(LANÇ_MOV[[#This Row],[DATA DE VENCIMENTO]]="","",TEXT(LANÇ_MOV[[#This Row],[DATA DE VENCIMENTO]],"AAAA"))</f>
        <v/>
      </c>
      <c r="AF1232" s="526" t="str">
        <f>IF(LANÇ_MOV[[#This Row],[DATA DE VENCIMENTO]]="","",UPPER(TEXT(LANÇ_MOV[[#This Row],[DATA DE VENCIMENTO]],"MMMM")))</f>
        <v/>
      </c>
      <c r="AG1232" s="526" t="str">
        <f>IF(LANÇ_MOV[[#This Row],[DATA DE VENCIMENTO]]="","",TEXT(LANÇ_MOV[[#This Row],[DATA DE VENCIMENTO]],"M"))</f>
        <v/>
      </c>
      <c r="AH1232" s="526" t="str">
        <f>IF(LANÇ_MOV[[#This Row],[DATA DE VENCIMENTO]]="","",TEXT(LANÇ_MOV[[#This Row],[DATA DE VENCIMENTO]],"D"))</f>
        <v/>
      </c>
      <c r="AI1232" s="526" t="str">
        <f>IF(LANÇ_MOV[[#This Row],[DATA DE PAGAMENTO]]="","",TEXT(LANÇ_MOV[[#This Row],[DATA DE PAGAMENTO]],"AAAA"))</f>
        <v/>
      </c>
      <c r="AJ1232" s="527" t="str">
        <f>IF(LANÇ_MOV[[#This Row],[DATA DE PAGAMENTO]]="","",UPPER(TEXT(LANÇ_MOV[[#This Row],[DATA DE PAGAMENTO]],"MMMM")))</f>
        <v/>
      </c>
      <c r="AK1232" s="527" t="str">
        <f>IF(LANÇ_MOV[[#This Row],[DATA DE PAGAMENTO]]="","",TEXT(LANÇ_MOV[[#This Row],[DATA DE PAGAMENTO]],"M"))</f>
        <v/>
      </c>
      <c r="AL1232" s="526" t="str">
        <f>IF(LANÇ_MOV[[#This Row],[DATA DE PAGAMENTO]]="","",TEXT(LANÇ_MOV[[#This Row],[DATA DE PAGAMENTO]],"D"))</f>
        <v/>
      </c>
    </row>
    <row r="1233" spans="2:38" ht="30.05" customHeight="1" x14ac:dyDescent="0.35">
      <c r="B1233" s="506"/>
      <c r="C1233" s="507"/>
      <c r="D1233" s="508" t="s">
        <v>1854</v>
      </c>
      <c r="E1233" s="509"/>
      <c r="F1233" s="510"/>
      <c r="G1233" s="507"/>
      <c r="H1233" s="511"/>
      <c r="I1233" s="512"/>
      <c r="J1233" s="518"/>
      <c r="K1233" s="510"/>
      <c r="L1233" s="510"/>
      <c r="M1233" s="548"/>
      <c r="N1233" s="514">
        <f>LANÇ_MOV[[#This Row],[VALOR BRUTO]]-LANÇ_MOV[[#This Row],[DESCONTO]]+LANÇ_MOV[[#This Row],[JUROS]]+LANÇ_MOV[[#This Row],[MULTA]]</f>
        <v>0</v>
      </c>
      <c r="O1233" s="546"/>
      <c r="P1233" s="547" t="str">
        <f t="shared" ca="1" si="19"/>
        <v/>
      </c>
      <c r="Q1233" s="528"/>
      <c r="R1233" s="529"/>
      <c r="S1233" s="518"/>
      <c r="T1233" s="518"/>
      <c r="U1233" s="519"/>
      <c r="V1233" s="520" t="str">
        <f>IFERROR(VLOOKUP(LANÇ_MOV[[#This Row],[PLANO DE CONTAS]],Plano_Contas[[PLANO DE CONTAS]:[R / D]],3,0),"")</f>
        <v/>
      </c>
      <c r="W1233" s="521" t="str">
        <f>IF(LANÇ_MOV[[#This Row],[DATA DE PAGAMENTO]]&lt;&gt;"","Pago","Não Pago")</f>
        <v>Não Pago</v>
      </c>
      <c r="X1233" s="522" t="str">
        <f>IFERROR(IF(LANÇ_MOV[[#This Row],[DATA DE PAGAMENTO]]="","",(UPPER(TEXT(LANÇ_MOV[[#This Row],[DATA DE PAGAMENTO]],"mmmm")))),"")</f>
        <v/>
      </c>
      <c r="Y1233" s="523" t="str">
        <f>IFERROR(VLOOKUP(LANÇ_MOV[[#This Row],[PLANO DE CONTAS]],Plano_Contas[[PLANO DE CONTAS]:[NOMES INTERVALOS]],2,0),"")</f>
        <v/>
      </c>
      <c r="Z1233" s="523" t="str">
        <f>IF(LANÇ_MOV[[#This Row],[FORMA DE PAGAMENTO]]="","",VLOOKUP(LANÇ_MOV[[#This Row],[FORMA DE PAGAMENTO]],CAD_Forma_pagto[],2,0))</f>
        <v/>
      </c>
      <c r="AA1233" s="524" t="str">
        <f>IF(LANÇ_MOV[[#This Row],[DATA DE LANÇAMENTO]]="","",TEXT(LANÇ_MOV[[#This Row],[DATA DE LANÇAMENTO]],"AAAA"))</f>
        <v/>
      </c>
      <c r="AB1233" s="524" t="str">
        <f>IF(LANÇ_MOV[[#This Row],[DATA DE LANÇAMENTO]]="","",UPPER(TEXT(LANÇ_MOV[[#This Row],[DATA DE LANÇAMENTO]],"MMMM")))</f>
        <v/>
      </c>
      <c r="AC1233" s="525" t="str">
        <f>IF(LANÇ_MOV[[#This Row],[DATA DE LANÇAMENTO]]="","",PROPER(TEXT(LANÇ_MOV[[#This Row],[DATA DE LANÇAMENTO]],"M")))</f>
        <v/>
      </c>
      <c r="AD1233" s="524" t="str">
        <f>IF(LANÇ_MOV[[#This Row],[DATA DE LANÇAMENTO]]="","",TEXT(LANÇ_MOV[[#This Row],[DATA DE LANÇAMENTO]],"D"))</f>
        <v/>
      </c>
      <c r="AE1233" s="526" t="str">
        <f>IF(LANÇ_MOV[[#This Row],[DATA DE VENCIMENTO]]="","",TEXT(LANÇ_MOV[[#This Row],[DATA DE VENCIMENTO]],"AAAA"))</f>
        <v/>
      </c>
      <c r="AF1233" s="526" t="str">
        <f>IF(LANÇ_MOV[[#This Row],[DATA DE VENCIMENTO]]="","",UPPER(TEXT(LANÇ_MOV[[#This Row],[DATA DE VENCIMENTO]],"MMMM")))</f>
        <v/>
      </c>
      <c r="AG1233" s="526" t="str">
        <f>IF(LANÇ_MOV[[#This Row],[DATA DE VENCIMENTO]]="","",TEXT(LANÇ_MOV[[#This Row],[DATA DE VENCIMENTO]],"M"))</f>
        <v/>
      </c>
      <c r="AH1233" s="526" t="str">
        <f>IF(LANÇ_MOV[[#This Row],[DATA DE VENCIMENTO]]="","",TEXT(LANÇ_MOV[[#This Row],[DATA DE VENCIMENTO]],"D"))</f>
        <v/>
      </c>
      <c r="AI1233" s="526" t="str">
        <f>IF(LANÇ_MOV[[#This Row],[DATA DE PAGAMENTO]]="","",TEXT(LANÇ_MOV[[#This Row],[DATA DE PAGAMENTO]],"AAAA"))</f>
        <v/>
      </c>
      <c r="AJ1233" s="527" t="str">
        <f>IF(LANÇ_MOV[[#This Row],[DATA DE PAGAMENTO]]="","",UPPER(TEXT(LANÇ_MOV[[#This Row],[DATA DE PAGAMENTO]],"MMMM")))</f>
        <v/>
      </c>
      <c r="AK1233" s="527" t="str">
        <f>IF(LANÇ_MOV[[#This Row],[DATA DE PAGAMENTO]]="","",TEXT(LANÇ_MOV[[#This Row],[DATA DE PAGAMENTO]],"M"))</f>
        <v/>
      </c>
      <c r="AL1233" s="526" t="str">
        <f>IF(LANÇ_MOV[[#This Row],[DATA DE PAGAMENTO]]="","",TEXT(LANÇ_MOV[[#This Row],[DATA DE PAGAMENTO]],"D"))</f>
        <v/>
      </c>
    </row>
    <row r="1234" spans="2:38" ht="30.05" customHeight="1" x14ac:dyDescent="0.35">
      <c r="B1234" s="506"/>
      <c r="C1234" s="507"/>
      <c r="D1234" s="508" t="s">
        <v>1854</v>
      </c>
      <c r="E1234" s="509"/>
      <c r="F1234" s="510"/>
      <c r="G1234" s="507"/>
      <c r="H1234" s="511"/>
      <c r="I1234" s="512"/>
      <c r="J1234" s="518"/>
      <c r="K1234" s="510"/>
      <c r="L1234" s="510"/>
      <c r="M1234" s="548"/>
      <c r="N1234" s="514">
        <f>LANÇ_MOV[[#This Row],[VALOR BRUTO]]-LANÇ_MOV[[#This Row],[DESCONTO]]+LANÇ_MOV[[#This Row],[JUROS]]+LANÇ_MOV[[#This Row],[MULTA]]</f>
        <v>0</v>
      </c>
      <c r="O1234" s="546"/>
      <c r="P1234" s="547" t="str">
        <f t="shared" ca="1" si="19"/>
        <v/>
      </c>
      <c r="Q1234" s="528"/>
      <c r="R1234" s="529"/>
      <c r="S1234" s="518"/>
      <c r="T1234" s="518"/>
      <c r="U1234" s="519"/>
      <c r="V1234" s="520" t="str">
        <f>IFERROR(VLOOKUP(LANÇ_MOV[[#This Row],[PLANO DE CONTAS]],Plano_Contas[[PLANO DE CONTAS]:[R / D]],3,0),"")</f>
        <v/>
      </c>
      <c r="W1234" s="521" t="str">
        <f>IF(LANÇ_MOV[[#This Row],[DATA DE PAGAMENTO]]&lt;&gt;"","Pago","Não Pago")</f>
        <v>Não Pago</v>
      </c>
      <c r="X1234" s="522" t="str">
        <f>IFERROR(IF(LANÇ_MOV[[#This Row],[DATA DE PAGAMENTO]]="","",(UPPER(TEXT(LANÇ_MOV[[#This Row],[DATA DE PAGAMENTO]],"mmmm")))),"")</f>
        <v/>
      </c>
      <c r="Y1234" s="523" t="str">
        <f>IFERROR(VLOOKUP(LANÇ_MOV[[#This Row],[PLANO DE CONTAS]],Plano_Contas[[PLANO DE CONTAS]:[NOMES INTERVALOS]],2,0),"")</f>
        <v/>
      </c>
      <c r="Z1234" s="523" t="str">
        <f>IF(LANÇ_MOV[[#This Row],[FORMA DE PAGAMENTO]]="","",VLOOKUP(LANÇ_MOV[[#This Row],[FORMA DE PAGAMENTO]],CAD_Forma_pagto[],2,0))</f>
        <v/>
      </c>
      <c r="AA1234" s="524" t="str">
        <f>IF(LANÇ_MOV[[#This Row],[DATA DE LANÇAMENTO]]="","",TEXT(LANÇ_MOV[[#This Row],[DATA DE LANÇAMENTO]],"AAAA"))</f>
        <v/>
      </c>
      <c r="AB1234" s="524" t="str">
        <f>IF(LANÇ_MOV[[#This Row],[DATA DE LANÇAMENTO]]="","",UPPER(TEXT(LANÇ_MOV[[#This Row],[DATA DE LANÇAMENTO]],"MMMM")))</f>
        <v/>
      </c>
      <c r="AC1234" s="525" t="str">
        <f>IF(LANÇ_MOV[[#This Row],[DATA DE LANÇAMENTO]]="","",PROPER(TEXT(LANÇ_MOV[[#This Row],[DATA DE LANÇAMENTO]],"M")))</f>
        <v/>
      </c>
      <c r="AD1234" s="524" t="str">
        <f>IF(LANÇ_MOV[[#This Row],[DATA DE LANÇAMENTO]]="","",TEXT(LANÇ_MOV[[#This Row],[DATA DE LANÇAMENTO]],"D"))</f>
        <v/>
      </c>
      <c r="AE1234" s="526" t="str">
        <f>IF(LANÇ_MOV[[#This Row],[DATA DE VENCIMENTO]]="","",TEXT(LANÇ_MOV[[#This Row],[DATA DE VENCIMENTO]],"AAAA"))</f>
        <v/>
      </c>
      <c r="AF1234" s="526" t="str">
        <f>IF(LANÇ_MOV[[#This Row],[DATA DE VENCIMENTO]]="","",UPPER(TEXT(LANÇ_MOV[[#This Row],[DATA DE VENCIMENTO]],"MMMM")))</f>
        <v/>
      </c>
      <c r="AG1234" s="526" t="str">
        <f>IF(LANÇ_MOV[[#This Row],[DATA DE VENCIMENTO]]="","",TEXT(LANÇ_MOV[[#This Row],[DATA DE VENCIMENTO]],"M"))</f>
        <v/>
      </c>
      <c r="AH1234" s="526" t="str">
        <f>IF(LANÇ_MOV[[#This Row],[DATA DE VENCIMENTO]]="","",TEXT(LANÇ_MOV[[#This Row],[DATA DE VENCIMENTO]],"D"))</f>
        <v/>
      </c>
      <c r="AI1234" s="526" t="str">
        <f>IF(LANÇ_MOV[[#This Row],[DATA DE PAGAMENTO]]="","",TEXT(LANÇ_MOV[[#This Row],[DATA DE PAGAMENTO]],"AAAA"))</f>
        <v/>
      </c>
      <c r="AJ1234" s="527" t="str">
        <f>IF(LANÇ_MOV[[#This Row],[DATA DE PAGAMENTO]]="","",UPPER(TEXT(LANÇ_MOV[[#This Row],[DATA DE PAGAMENTO]],"MMMM")))</f>
        <v/>
      </c>
      <c r="AK1234" s="527" t="str">
        <f>IF(LANÇ_MOV[[#This Row],[DATA DE PAGAMENTO]]="","",TEXT(LANÇ_MOV[[#This Row],[DATA DE PAGAMENTO]],"M"))</f>
        <v/>
      </c>
      <c r="AL1234" s="526" t="str">
        <f>IF(LANÇ_MOV[[#This Row],[DATA DE PAGAMENTO]]="","",TEXT(LANÇ_MOV[[#This Row],[DATA DE PAGAMENTO]],"D"))</f>
        <v/>
      </c>
    </row>
    <row r="1235" spans="2:38" ht="30.05" customHeight="1" x14ac:dyDescent="0.35">
      <c r="B1235" s="506"/>
      <c r="C1235" s="507"/>
      <c r="D1235" s="508" t="s">
        <v>1854</v>
      </c>
      <c r="E1235" s="509"/>
      <c r="F1235" s="510"/>
      <c r="G1235" s="507"/>
      <c r="H1235" s="511"/>
      <c r="I1235" s="512"/>
      <c r="J1235" s="518"/>
      <c r="K1235" s="510"/>
      <c r="L1235" s="510"/>
      <c r="M1235" s="548"/>
      <c r="N1235" s="514">
        <f>LANÇ_MOV[[#This Row],[VALOR BRUTO]]-LANÇ_MOV[[#This Row],[DESCONTO]]+LANÇ_MOV[[#This Row],[JUROS]]+LANÇ_MOV[[#This Row],[MULTA]]</f>
        <v>0</v>
      </c>
      <c r="O1235" s="546"/>
      <c r="P1235" s="547" t="str">
        <f t="shared" ca="1" si="19"/>
        <v/>
      </c>
      <c r="Q1235" s="528"/>
      <c r="R1235" s="529"/>
      <c r="S1235" s="518"/>
      <c r="T1235" s="518"/>
      <c r="U1235" s="519"/>
      <c r="V1235" s="520" t="str">
        <f>IFERROR(VLOOKUP(LANÇ_MOV[[#This Row],[PLANO DE CONTAS]],Plano_Contas[[PLANO DE CONTAS]:[R / D]],3,0),"")</f>
        <v/>
      </c>
      <c r="W1235" s="521" t="str">
        <f>IF(LANÇ_MOV[[#This Row],[DATA DE PAGAMENTO]]&lt;&gt;"","Pago","Não Pago")</f>
        <v>Não Pago</v>
      </c>
      <c r="X1235" s="522" t="str">
        <f>IFERROR(IF(LANÇ_MOV[[#This Row],[DATA DE PAGAMENTO]]="","",(UPPER(TEXT(LANÇ_MOV[[#This Row],[DATA DE PAGAMENTO]],"mmmm")))),"")</f>
        <v/>
      </c>
      <c r="Y1235" s="523" t="str">
        <f>IFERROR(VLOOKUP(LANÇ_MOV[[#This Row],[PLANO DE CONTAS]],Plano_Contas[[PLANO DE CONTAS]:[NOMES INTERVALOS]],2,0),"")</f>
        <v/>
      </c>
      <c r="Z1235" s="523" t="str">
        <f>IF(LANÇ_MOV[[#This Row],[FORMA DE PAGAMENTO]]="","",VLOOKUP(LANÇ_MOV[[#This Row],[FORMA DE PAGAMENTO]],CAD_Forma_pagto[],2,0))</f>
        <v/>
      </c>
      <c r="AA1235" s="524" t="str">
        <f>IF(LANÇ_MOV[[#This Row],[DATA DE LANÇAMENTO]]="","",TEXT(LANÇ_MOV[[#This Row],[DATA DE LANÇAMENTO]],"AAAA"))</f>
        <v/>
      </c>
      <c r="AB1235" s="524" t="str">
        <f>IF(LANÇ_MOV[[#This Row],[DATA DE LANÇAMENTO]]="","",UPPER(TEXT(LANÇ_MOV[[#This Row],[DATA DE LANÇAMENTO]],"MMMM")))</f>
        <v/>
      </c>
      <c r="AC1235" s="525" t="str">
        <f>IF(LANÇ_MOV[[#This Row],[DATA DE LANÇAMENTO]]="","",PROPER(TEXT(LANÇ_MOV[[#This Row],[DATA DE LANÇAMENTO]],"M")))</f>
        <v/>
      </c>
      <c r="AD1235" s="524" t="str">
        <f>IF(LANÇ_MOV[[#This Row],[DATA DE LANÇAMENTO]]="","",TEXT(LANÇ_MOV[[#This Row],[DATA DE LANÇAMENTO]],"D"))</f>
        <v/>
      </c>
      <c r="AE1235" s="526" t="str">
        <f>IF(LANÇ_MOV[[#This Row],[DATA DE VENCIMENTO]]="","",TEXT(LANÇ_MOV[[#This Row],[DATA DE VENCIMENTO]],"AAAA"))</f>
        <v/>
      </c>
      <c r="AF1235" s="526" t="str">
        <f>IF(LANÇ_MOV[[#This Row],[DATA DE VENCIMENTO]]="","",UPPER(TEXT(LANÇ_MOV[[#This Row],[DATA DE VENCIMENTO]],"MMMM")))</f>
        <v/>
      </c>
      <c r="AG1235" s="526" t="str">
        <f>IF(LANÇ_MOV[[#This Row],[DATA DE VENCIMENTO]]="","",TEXT(LANÇ_MOV[[#This Row],[DATA DE VENCIMENTO]],"M"))</f>
        <v/>
      </c>
      <c r="AH1235" s="526" t="str">
        <f>IF(LANÇ_MOV[[#This Row],[DATA DE VENCIMENTO]]="","",TEXT(LANÇ_MOV[[#This Row],[DATA DE VENCIMENTO]],"D"))</f>
        <v/>
      </c>
      <c r="AI1235" s="526" t="str">
        <f>IF(LANÇ_MOV[[#This Row],[DATA DE PAGAMENTO]]="","",TEXT(LANÇ_MOV[[#This Row],[DATA DE PAGAMENTO]],"AAAA"))</f>
        <v/>
      </c>
      <c r="AJ1235" s="527" t="str">
        <f>IF(LANÇ_MOV[[#This Row],[DATA DE PAGAMENTO]]="","",UPPER(TEXT(LANÇ_MOV[[#This Row],[DATA DE PAGAMENTO]],"MMMM")))</f>
        <v/>
      </c>
      <c r="AK1235" s="527" t="str">
        <f>IF(LANÇ_MOV[[#This Row],[DATA DE PAGAMENTO]]="","",TEXT(LANÇ_MOV[[#This Row],[DATA DE PAGAMENTO]],"M"))</f>
        <v/>
      </c>
      <c r="AL1235" s="526" t="str">
        <f>IF(LANÇ_MOV[[#This Row],[DATA DE PAGAMENTO]]="","",TEXT(LANÇ_MOV[[#This Row],[DATA DE PAGAMENTO]],"D"))</f>
        <v/>
      </c>
    </row>
    <row r="1236" spans="2:38" ht="30.05" customHeight="1" x14ac:dyDescent="0.35">
      <c r="B1236" s="506"/>
      <c r="C1236" s="507"/>
      <c r="D1236" s="508" t="s">
        <v>1854</v>
      </c>
      <c r="E1236" s="509"/>
      <c r="F1236" s="510"/>
      <c r="G1236" s="507"/>
      <c r="H1236" s="511"/>
      <c r="I1236" s="512"/>
      <c r="J1236" s="518"/>
      <c r="K1236" s="510"/>
      <c r="L1236" s="510"/>
      <c r="M1236" s="548"/>
      <c r="N1236" s="514">
        <f>LANÇ_MOV[[#This Row],[VALOR BRUTO]]-LANÇ_MOV[[#This Row],[DESCONTO]]+LANÇ_MOV[[#This Row],[JUROS]]+LANÇ_MOV[[#This Row],[MULTA]]</f>
        <v>0</v>
      </c>
      <c r="O1236" s="546"/>
      <c r="P1236" s="547" t="str">
        <f t="shared" ca="1" si="19"/>
        <v/>
      </c>
      <c r="Q1236" s="528"/>
      <c r="R1236" s="529"/>
      <c r="S1236" s="518"/>
      <c r="T1236" s="518"/>
      <c r="U1236" s="519"/>
      <c r="V1236" s="520" t="str">
        <f>IFERROR(VLOOKUP(LANÇ_MOV[[#This Row],[PLANO DE CONTAS]],Plano_Contas[[PLANO DE CONTAS]:[R / D]],3,0),"")</f>
        <v/>
      </c>
      <c r="W1236" s="521" t="str">
        <f>IF(LANÇ_MOV[[#This Row],[DATA DE PAGAMENTO]]&lt;&gt;"","Pago","Não Pago")</f>
        <v>Não Pago</v>
      </c>
      <c r="X1236" s="522" t="str">
        <f>IFERROR(IF(LANÇ_MOV[[#This Row],[DATA DE PAGAMENTO]]="","",(UPPER(TEXT(LANÇ_MOV[[#This Row],[DATA DE PAGAMENTO]],"mmmm")))),"")</f>
        <v/>
      </c>
      <c r="Y1236" s="523" t="str">
        <f>IFERROR(VLOOKUP(LANÇ_MOV[[#This Row],[PLANO DE CONTAS]],Plano_Contas[[PLANO DE CONTAS]:[NOMES INTERVALOS]],2,0),"")</f>
        <v/>
      </c>
      <c r="Z1236" s="523" t="str">
        <f>IF(LANÇ_MOV[[#This Row],[FORMA DE PAGAMENTO]]="","",VLOOKUP(LANÇ_MOV[[#This Row],[FORMA DE PAGAMENTO]],CAD_Forma_pagto[],2,0))</f>
        <v/>
      </c>
      <c r="AA1236" s="524" t="str">
        <f>IF(LANÇ_MOV[[#This Row],[DATA DE LANÇAMENTO]]="","",TEXT(LANÇ_MOV[[#This Row],[DATA DE LANÇAMENTO]],"AAAA"))</f>
        <v/>
      </c>
      <c r="AB1236" s="524" t="str">
        <f>IF(LANÇ_MOV[[#This Row],[DATA DE LANÇAMENTO]]="","",UPPER(TEXT(LANÇ_MOV[[#This Row],[DATA DE LANÇAMENTO]],"MMMM")))</f>
        <v/>
      </c>
      <c r="AC1236" s="525" t="str">
        <f>IF(LANÇ_MOV[[#This Row],[DATA DE LANÇAMENTO]]="","",PROPER(TEXT(LANÇ_MOV[[#This Row],[DATA DE LANÇAMENTO]],"M")))</f>
        <v/>
      </c>
      <c r="AD1236" s="524" t="str">
        <f>IF(LANÇ_MOV[[#This Row],[DATA DE LANÇAMENTO]]="","",TEXT(LANÇ_MOV[[#This Row],[DATA DE LANÇAMENTO]],"D"))</f>
        <v/>
      </c>
      <c r="AE1236" s="526" t="str">
        <f>IF(LANÇ_MOV[[#This Row],[DATA DE VENCIMENTO]]="","",TEXT(LANÇ_MOV[[#This Row],[DATA DE VENCIMENTO]],"AAAA"))</f>
        <v/>
      </c>
      <c r="AF1236" s="526" t="str">
        <f>IF(LANÇ_MOV[[#This Row],[DATA DE VENCIMENTO]]="","",UPPER(TEXT(LANÇ_MOV[[#This Row],[DATA DE VENCIMENTO]],"MMMM")))</f>
        <v/>
      </c>
      <c r="AG1236" s="526" t="str">
        <f>IF(LANÇ_MOV[[#This Row],[DATA DE VENCIMENTO]]="","",TEXT(LANÇ_MOV[[#This Row],[DATA DE VENCIMENTO]],"M"))</f>
        <v/>
      </c>
      <c r="AH1236" s="526" t="str">
        <f>IF(LANÇ_MOV[[#This Row],[DATA DE VENCIMENTO]]="","",TEXT(LANÇ_MOV[[#This Row],[DATA DE VENCIMENTO]],"D"))</f>
        <v/>
      </c>
      <c r="AI1236" s="526" t="str">
        <f>IF(LANÇ_MOV[[#This Row],[DATA DE PAGAMENTO]]="","",TEXT(LANÇ_MOV[[#This Row],[DATA DE PAGAMENTO]],"AAAA"))</f>
        <v/>
      </c>
      <c r="AJ1236" s="527" t="str">
        <f>IF(LANÇ_MOV[[#This Row],[DATA DE PAGAMENTO]]="","",UPPER(TEXT(LANÇ_MOV[[#This Row],[DATA DE PAGAMENTO]],"MMMM")))</f>
        <v/>
      </c>
      <c r="AK1236" s="527" t="str">
        <f>IF(LANÇ_MOV[[#This Row],[DATA DE PAGAMENTO]]="","",TEXT(LANÇ_MOV[[#This Row],[DATA DE PAGAMENTO]],"M"))</f>
        <v/>
      </c>
      <c r="AL1236" s="526" t="str">
        <f>IF(LANÇ_MOV[[#This Row],[DATA DE PAGAMENTO]]="","",TEXT(LANÇ_MOV[[#This Row],[DATA DE PAGAMENTO]],"D"))</f>
        <v/>
      </c>
    </row>
    <row r="1237" spans="2:38" ht="30.05" customHeight="1" x14ac:dyDescent="0.35">
      <c r="B1237" s="506"/>
      <c r="C1237" s="507"/>
      <c r="D1237" s="508" t="s">
        <v>1854</v>
      </c>
      <c r="E1237" s="509"/>
      <c r="F1237" s="510"/>
      <c r="G1237" s="507"/>
      <c r="H1237" s="511"/>
      <c r="I1237" s="512"/>
      <c r="J1237" s="518"/>
      <c r="K1237" s="510"/>
      <c r="L1237" s="510"/>
      <c r="M1237" s="548"/>
      <c r="N1237" s="514">
        <f>LANÇ_MOV[[#This Row],[VALOR BRUTO]]-LANÇ_MOV[[#This Row],[DESCONTO]]+LANÇ_MOV[[#This Row],[JUROS]]+LANÇ_MOV[[#This Row],[MULTA]]</f>
        <v>0</v>
      </c>
      <c r="O1237" s="546"/>
      <c r="P1237" s="547" t="str">
        <f t="shared" ca="1" si="19"/>
        <v/>
      </c>
      <c r="Q1237" s="528"/>
      <c r="R1237" s="529"/>
      <c r="S1237" s="518"/>
      <c r="T1237" s="518"/>
      <c r="U1237" s="519"/>
      <c r="V1237" s="520" t="str">
        <f>IFERROR(VLOOKUP(LANÇ_MOV[[#This Row],[PLANO DE CONTAS]],Plano_Contas[[PLANO DE CONTAS]:[R / D]],3,0),"")</f>
        <v/>
      </c>
      <c r="W1237" s="521" t="str">
        <f>IF(LANÇ_MOV[[#This Row],[DATA DE PAGAMENTO]]&lt;&gt;"","Pago","Não Pago")</f>
        <v>Não Pago</v>
      </c>
      <c r="X1237" s="522" t="str">
        <f>IFERROR(IF(LANÇ_MOV[[#This Row],[DATA DE PAGAMENTO]]="","",(UPPER(TEXT(LANÇ_MOV[[#This Row],[DATA DE PAGAMENTO]],"mmmm")))),"")</f>
        <v/>
      </c>
      <c r="Y1237" s="523" t="str">
        <f>IFERROR(VLOOKUP(LANÇ_MOV[[#This Row],[PLANO DE CONTAS]],Plano_Contas[[PLANO DE CONTAS]:[NOMES INTERVALOS]],2,0),"")</f>
        <v/>
      </c>
      <c r="Z1237" s="523" t="str">
        <f>IF(LANÇ_MOV[[#This Row],[FORMA DE PAGAMENTO]]="","",VLOOKUP(LANÇ_MOV[[#This Row],[FORMA DE PAGAMENTO]],CAD_Forma_pagto[],2,0))</f>
        <v/>
      </c>
      <c r="AA1237" s="524" t="str">
        <f>IF(LANÇ_MOV[[#This Row],[DATA DE LANÇAMENTO]]="","",TEXT(LANÇ_MOV[[#This Row],[DATA DE LANÇAMENTO]],"AAAA"))</f>
        <v/>
      </c>
      <c r="AB1237" s="524" t="str">
        <f>IF(LANÇ_MOV[[#This Row],[DATA DE LANÇAMENTO]]="","",UPPER(TEXT(LANÇ_MOV[[#This Row],[DATA DE LANÇAMENTO]],"MMMM")))</f>
        <v/>
      </c>
      <c r="AC1237" s="525" t="str">
        <f>IF(LANÇ_MOV[[#This Row],[DATA DE LANÇAMENTO]]="","",PROPER(TEXT(LANÇ_MOV[[#This Row],[DATA DE LANÇAMENTO]],"M")))</f>
        <v/>
      </c>
      <c r="AD1237" s="524" t="str">
        <f>IF(LANÇ_MOV[[#This Row],[DATA DE LANÇAMENTO]]="","",TEXT(LANÇ_MOV[[#This Row],[DATA DE LANÇAMENTO]],"D"))</f>
        <v/>
      </c>
      <c r="AE1237" s="526" t="str">
        <f>IF(LANÇ_MOV[[#This Row],[DATA DE VENCIMENTO]]="","",TEXT(LANÇ_MOV[[#This Row],[DATA DE VENCIMENTO]],"AAAA"))</f>
        <v/>
      </c>
      <c r="AF1237" s="526" t="str">
        <f>IF(LANÇ_MOV[[#This Row],[DATA DE VENCIMENTO]]="","",UPPER(TEXT(LANÇ_MOV[[#This Row],[DATA DE VENCIMENTO]],"MMMM")))</f>
        <v/>
      </c>
      <c r="AG1237" s="526" t="str">
        <f>IF(LANÇ_MOV[[#This Row],[DATA DE VENCIMENTO]]="","",TEXT(LANÇ_MOV[[#This Row],[DATA DE VENCIMENTO]],"M"))</f>
        <v/>
      </c>
      <c r="AH1237" s="526" t="str">
        <f>IF(LANÇ_MOV[[#This Row],[DATA DE VENCIMENTO]]="","",TEXT(LANÇ_MOV[[#This Row],[DATA DE VENCIMENTO]],"D"))</f>
        <v/>
      </c>
      <c r="AI1237" s="526" t="str">
        <f>IF(LANÇ_MOV[[#This Row],[DATA DE PAGAMENTO]]="","",TEXT(LANÇ_MOV[[#This Row],[DATA DE PAGAMENTO]],"AAAA"))</f>
        <v/>
      </c>
      <c r="AJ1237" s="527" t="str">
        <f>IF(LANÇ_MOV[[#This Row],[DATA DE PAGAMENTO]]="","",UPPER(TEXT(LANÇ_MOV[[#This Row],[DATA DE PAGAMENTO]],"MMMM")))</f>
        <v/>
      </c>
      <c r="AK1237" s="527" t="str">
        <f>IF(LANÇ_MOV[[#This Row],[DATA DE PAGAMENTO]]="","",TEXT(LANÇ_MOV[[#This Row],[DATA DE PAGAMENTO]],"M"))</f>
        <v/>
      </c>
      <c r="AL1237" s="526" t="str">
        <f>IF(LANÇ_MOV[[#This Row],[DATA DE PAGAMENTO]]="","",TEXT(LANÇ_MOV[[#This Row],[DATA DE PAGAMENTO]],"D"))</f>
        <v/>
      </c>
    </row>
    <row r="1238" spans="2:38" ht="30.05" customHeight="1" x14ac:dyDescent="0.35">
      <c r="B1238" s="506"/>
      <c r="C1238" s="507"/>
      <c r="D1238" s="508" t="s">
        <v>1854</v>
      </c>
      <c r="E1238" s="509"/>
      <c r="F1238" s="510"/>
      <c r="G1238" s="507"/>
      <c r="H1238" s="511"/>
      <c r="I1238" s="512"/>
      <c r="J1238" s="518"/>
      <c r="K1238" s="510"/>
      <c r="L1238" s="510"/>
      <c r="M1238" s="548"/>
      <c r="N1238" s="514">
        <f>LANÇ_MOV[[#This Row],[VALOR BRUTO]]-LANÇ_MOV[[#This Row],[DESCONTO]]+LANÇ_MOV[[#This Row],[JUROS]]+LANÇ_MOV[[#This Row],[MULTA]]</f>
        <v>0</v>
      </c>
      <c r="O1238" s="546"/>
      <c r="P1238" s="547" t="str">
        <f t="shared" ca="1" si="19"/>
        <v/>
      </c>
      <c r="Q1238" s="528"/>
      <c r="R1238" s="529"/>
      <c r="S1238" s="518"/>
      <c r="T1238" s="518"/>
      <c r="U1238" s="519"/>
      <c r="V1238" s="520" t="str">
        <f>IFERROR(VLOOKUP(LANÇ_MOV[[#This Row],[PLANO DE CONTAS]],Plano_Contas[[PLANO DE CONTAS]:[R / D]],3,0),"")</f>
        <v/>
      </c>
      <c r="W1238" s="521" t="str">
        <f>IF(LANÇ_MOV[[#This Row],[DATA DE PAGAMENTO]]&lt;&gt;"","Pago","Não Pago")</f>
        <v>Não Pago</v>
      </c>
      <c r="X1238" s="522" t="str">
        <f>IFERROR(IF(LANÇ_MOV[[#This Row],[DATA DE PAGAMENTO]]="","",(UPPER(TEXT(LANÇ_MOV[[#This Row],[DATA DE PAGAMENTO]],"mmmm")))),"")</f>
        <v/>
      </c>
      <c r="Y1238" s="523" t="str">
        <f>IFERROR(VLOOKUP(LANÇ_MOV[[#This Row],[PLANO DE CONTAS]],Plano_Contas[[PLANO DE CONTAS]:[NOMES INTERVALOS]],2,0),"")</f>
        <v/>
      </c>
      <c r="Z1238" s="523" t="str">
        <f>IF(LANÇ_MOV[[#This Row],[FORMA DE PAGAMENTO]]="","",VLOOKUP(LANÇ_MOV[[#This Row],[FORMA DE PAGAMENTO]],CAD_Forma_pagto[],2,0))</f>
        <v/>
      </c>
      <c r="AA1238" s="524" t="str">
        <f>IF(LANÇ_MOV[[#This Row],[DATA DE LANÇAMENTO]]="","",TEXT(LANÇ_MOV[[#This Row],[DATA DE LANÇAMENTO]],"AAAA"))</f>
        <v/>
      </c>
      <c r="AB1238" s="524" t="str">
        <f>IF(LANÇ_MOV[[#This Row],[DATA DE LANÇAMENTO]]="","",UPPER(TEXT(LANÇ_MOV[[#This Row],[DATA DE LANÇAMENTO]],"MMMM")))</f>
        <v/>
      </c>
      <c r="AC1238" s="525" t="str">
        <f>IF(LANÇ_MOV[[#This Row],[DATA DE LANÇAMENTO]]="","",PROPER(TEXT(LANÇ_MOV[[#This Row],[DATA DE LANÇAMENTO]],"M")))</f>
        <v/>
      </c>
      <c r="AD1238" s="524" t="str">
        <f>IF(LANÇ_MOV[[#This Row],[DATA DE LANÇAMENTO]]="","",TEXT(LANÇ_MOV[[#This Row],[DATA DE LANÇAMENTO]],"D"))</f>
        <v/>
      </c>
      <c r="AE1238" s="526" t="str">
        <f>IF(LANÇ_MOV[[#This Row],[DATA DE VENCIMENTO]]="","",TEXT(LANÇ_MOV[[#This Row],[DATA DE VENCIMENTO]],"AAAA"))</f>
        <v/>
      </c>
      <c r="AF1238" s="526" t="str">
        <f>IF(LANÇ_MOV[[#This Row],[DATA DE VENCIMENTO]]="","",UPPER(TEXT(LANÇ_MOV[[#This Row],[DATA DE VENCIMENTO]],"MMMM")))</f>
        <v/>
      </c>
      <c r="AG1238" s="526" t="str">
        <f>IF(LANÇ_MOV[[#This Row],[DATA DE VENCIMENTO]]="","",TEXT(LANÇ_MOV[[#This Row],[DATA DE VENCIMENTO]],"M"))</f>
        <v/>
      </c>
      <c r="AH1238" s="526" t="str">
        <f>IF(LANÇ_MOV[[#This Row],[DATA DE VENCIMENTO]]="","",TEXT(LANÇ_MOV[[#This Row],[DATA DE VENCIMENTO]],"D"))</f>
        <v/>
      </c>
      <c r="AI1238" s="526" t="str">
        <f>IF(LANÇ_MOV[[#This Row],[DATA DE PAGAMENTO]]="","",TEXT(LANÇ_MOV[[#This Row],[DATA DE PAGAMENTO]],"AAAA"))</f>
        <v/>
      </c>
      <c r="AJ1238" s="527" t="str">
        <f>IF(LANÇ_MOV[[#This Row],[DATA DE PAGAMENTO]]="","",UPPER(TEXT(LANÇ_MOV[[#This Row],[DATA DE PAGAMENTO]],"MMMM")))</f>
        <v/>
      </c>
      <c r="AK1238" s="527" t="str">
        <f>IF(LANÇ_MOV[[#This Row],[DATA DE PAGAMENTO]]="","",TEXT(LANÇ_MOV[[#This Row],[DATA DE PAGAMENTO]],"M"))</f>
        <v/>
      </c>
      <c r="AL1238" s="526" t="str">
        <f>IF(LANÇ_MOV[[#This Row],[DATA DE PAGAMENTO]]="","",TEXT(LANÇ_MOV[[#This Row],[DATA DE PAGAMENTO]],"D"))</f>
        <v/>
      </c>
    </row>
    <row r="1239" spans="2:38" ht="30.05" customHeight="1" x14ac:dyDescent="0.35">
      <c r="B1239" s="506"/>
      <c r="C1239" s="507"/>
      <c r="D1239" s="508" t="s">
        <v>1854</v>
      </c>
      <c r="E1239" s="509"/>
      <c r="F1239" s="510"/>
      <c r="G1239" s="507"/>
      <c r="H1239" s="511"/>
      <c r="I1239" s="512"/>
      <c r="J1239" s="518"/>
      <c r="K1239" s="510"/>
      <c r="L1239" s="510"/>
      <c r="M1239" s="548"/>
      <c r="N1239" s="514">
        <f>LANÇ_MOV[[#This Row],[VALOR BRUTO]]-LANÇ_MOV[[#This Row],[DESCONTO]]+LANÇ_MOV[[#This Row],[JUROS]]+LANÇ_MOV[[#This Row],[MULTA]]</f>
        <v>0</v>
      </c>
      <c r="O1239" s="546"/>
      <c r="P1239" s="547" t="str">
        <f t="shared" ca="1" si="19"/>
        <v/>
      </c>
      <c r="Q1239" s="528"/>
      <c r="R1239" s="529"/>
      <c r="S1239" s="518"/>
      <c r="T1239" s="518"/>
      <c r="U1239" s="519"/>
      <c r="V1239" s="520" t="str">
        <f>IFERROR(VLOOKUP(LANÇ_MOV[[#This Row],[PLANO DE CONTAS]],Plano_Contas[[PLANO DE CONTAS]:[R / D]],3,0),"")</f>
        <v/>
      </c>
      <c r="W1239" s="521" t="str">
        <f>IF(LANÇ_MOV[[#This Row],[DATA DE PAGAMENTO]]&lt;&gt;"","Pago","Não Pago")</f>
        <v>Não Pago</v>
      </c>
      <c r="X1239" s="522" t="str">
        <f>IFERROR(IF(LANÇ_MOV[[#This Row],[DATA DE PAGAMENTO]]="","",(UPPER(TEXT(LANÇ_MOV[[#This Row],[DATA DE PAGAMENTO]],"mmmm")))),"")</f>
        <v/>
      </c>
      <c r="Y1239" s="523" t="str">
        <f>IFERROR(VLOOKUP(LANÇ_MOV[[#This Row],[PLANO DE CONTAS]],Plano_Contas[[PLANO DE CONTAS]:[NOMES INTERVALOS]],2,0),"")</f>
        <v/>
      </c>
      <c r="Z1239" s="523" t="str">
        <f>IF(LANÇ_MOV[[#This Row],[FORMA DE PAGAMENTO]]="","",VLOOKUP(LANÇ_MOV[[#This Row],[FORMA DE PAGAMENTO]],CAD_Forma_pagto[],2,0))</f>
        <v/>
      </c>
      <c r="AA1239" s="524" t="str">
        <f>IF(LANÇ_MOV[[#This Row],[DATA DE LANÇAMENTO]]="","",TEXT(LANÇ_MOV[[#This Row],[DATA DE LANÇAMENTO]],"AAAA"))</f>
        <v/>
      </c>
      <c r="AB1239" s="524" t="str">
        <f>IF(LANÇ_MOV[[#This Row],[DATA DE LANÇAMENTO]]="","",UPPER(TEXT(LANÇ_MOV[[#This Row],[DATA DE LANÇAMENTO]],"MMMM")))</f>
        <v/>
      </c>
      <c r="AC1239" s="525" t="str">
        <f>IF(LANÇ_MOV[[#This Row],[DATA DE LANÇAMENTO]]="","",PROPER(TEXT(LANÇ_MOV[[#This Row],[DATA DE LANÇAMENTO]],"M")))</f>
        <v/>
      </c>
      <c r="AD1239" s="524" t="str">
        <f>IF(LANÇ_MOV[[#This Row],[DATA DE LANÇAMENTO]]="","",TEXT(LANÇ_MOV[[#This Row],[DATA DE LANÇAMENTO]],"D"))</f>
        <v/>
      </c>
      <c r="AE1239" s="526" t="str">
        <f>IF(LANÇ_MOV[[#This Row],[DATA DE VENCIMENTO]]="","",TEXT(LANÇ_MOV[[#This Row],[DATA DE VENCIMENTO]],"AAAA"))</f>
        <v/>
      </c>
      <c r="AF1239" s="526" t="str">
        <f>IF(LANÇ_MOV[[#This Row],[DATA DE VENCIMENTO]]="","",UPPER(TEXT(LANÇ_MOV[[#This Row],[DATA DE VENCIMENTO]],"MMMM")))</f>
        <v/>
      </c>
      <c r="AG1239" s="526" t="str">
        <f>IF(LANÇ_MOV[[#This Row],[DATA DE VENCIMENTO]]="","",TEXT(LANÇ_MOV[[#This Row],[DATA DE VENCIMENTO]],"M"))</f>
        <v/>
      </c>
      <c r="AH1239" s="526" t="str">
        <f>IF(LANÇ_MOV[[#This Row],[DATA DE VENCIMENTO]]="","",TEXT(LANÇ_MOV[[#This Row],[DATA DE VENCIMENTO]],"D"))</f>
        <v/>
      </c>
      <c r="AI1239" s="526" t="str">
        <f>IF(LANÇ_MOV[[#This Row],[DATA DE PAGAMENTO]]="","",TEXT(LANÇ_MOV[[#This Row],[DATA DE PAGAMENTO]],"AAAA"))</f>
        <v/>
      </c>
      <c r="AJ1239" s="527" t="str">
        <f>IF(LANÇ_MOV[[#This Row],[DATA DE PAGAMENTO]]="","",UPPER(TEXT(LANÇ_MOV[[#This Row],[DATA DE PAGAMENTO]],"MMMM")))</f>
        <v/>
      </c>
      <c r="AK1239" s="527" t="str">
        <f>IF(LANÇ_MOV[[#This Row],[DATA DE PAGAMENTO]]="","",TEXT(LANÇ_MOV[[#This Row],[DATA DE PAGAMENTO]],"M"))</f>
        <v/>
      </c>
      <c r="AL1239" s="526" t="str">
        <f>IF(LANÇ_MOV[[#This Row],[DATA DE PAGAMENTO]]="","",TEXT(LANÇ_MOV[[#This Row],[DATA DE PAGAMENTO]],"D"))</f>
        <v/>
      </c>
    </row>
    <row r="1240" spans="2:38" ht="30.05" customHeight="1" x14ac:dyDescent="0.35">
      <c r="B1240" s="506"/>
      <c r="C1240" s="507"/>
      <c r="D1240" s="508" t="s">
        <v>1854</v>
      </c>
      <c r="E1240" s="509"/>
      <c r="F1240" s="510"/>
      <c r="G1240" s="507"/>
      <c r="H1240" s="511"/>
      <c r="I1240" s="512"/>
      <c r="J1240" s="518"/>
      <c r="K1240" s="510"/>
      <c r="L1240" s="510"/>
      <c r="M1240" s="548"/>
      <c r="N1240" s="514">
        <f>LANÇ_MOV[[#This Row],[VALOR BRUTO]]-LANÇ_MOV[[#This Row],[DESCONTO]]+LANÇ_MOV[[#This Row],[JUROS]]+LANÇ_MOV[[#This Row],[MULTA]]</f>
        <v>0</v>
      </c>
      <c r="O1240" s="546"/>
      <c r="P1240" s="547" t="str">
        <f t="shared" ca="1" si="19"/>
        <v/>
      </c>
      <c r="Q1240" s="528"/>
      <c r="R1240" s="529"/>
      <c r="S1240" s="518"/>
      <c r="T1240" s="518"/>
      <c r="U1240" s="519"/>
      <c r="V1240" s="520" t="str">
        <f>IFERROR(VLOOKUP(LANÇ_MOV[[#This Row],[PLANO DE CONTAS]],Plano_Contas[[PLANO DE CONTAS]:[R / D]],3,0),"")</f>
        <v/>
      </c>
      <c r="W1240" s="521" t="str">
        <f>IF(LANÇ_MOV[[#This Row],[DATA DE PAGAMENTO]]&lt;&gt;"","Pago","Não Pago")</f>
        <v>Não Pago</v>
      </c>
      <c r="X1240" s="522" t="str">
        <f>IFERROR(IF(LANÇ_MOV[[#This Row],[DATA DE PAGAMENTO]]="","",(UPPER(TEXT(LANÇ_MOV[[#This Row],[DATA DE PAGAMENTO]],"mmmm")))),"")</f>
        <v/>
      </c>
      <c r="Y1240" s="523" t="str">
        <f>IFERROR(VLOOKUP(LANÇ_MOV[[#This Row],[PLANO DE CONTAS]],Plano_Contas[[PLANO DE CONTAS]:[NOMES INTERVALOS]],2,0),"")</f>
        <v/>
      </c>
      <c r="Z1240" s="523" t="str">
        <f>IF(LANÇ_MOV[[#This Row],[FORMA DE PAGAMENTO]]="","",VLOOKUP(LANÇ_MOV[[#This Row],[FORMA DE PAGAMENTO]],CAD_Forma_pagto[],2,0))</f>
        <v/>
      </c>
      <c r="AA1240" s="524" t="str">
        <f>IF(LANÇ_MOV[[#This Row],[DATA DE LANÇAMENTO]]="","",TEXT(LANÇ_MOV[[#This Row],[DATA DE LANÇAMENTO]],"AAAA"))</f>
        <v/>
      </c>
      <c r="AB1240" s="524" t="str">
        <f>IF(LANÇ_MOV[[#This Row],[DATA DE LANÇAMENTO]]="","",UPPER(TEXT(LANÇ_MOV[[#This Row],[DATA DE LANÇAMENTO]],"MMMM")))</f>
        <v/>
      </c>
      <c r="AC1240" s="525" t="str">
        <f>IF(LANÇ_MOV[[#This Row],[DATA DE LANÇAMENTO]]="","",PROPER(TEXT(LANÇ_MOV[[#This Row],[DATA DE LANÇAMENTO]],"M")))</f>
        <v/>
      </c>
      <c r="AD1240" s="524" t="str">
        <f>IF(LANÇ_MOV[[#This Row],[DATA DE LANÇAMENTO]]="","",TEXT(LANÇ_MOV[[#This Row],[DATA DE LANÇAMENTO]],"D"))</f>
        <v/>
      </c>
      <c r="AE1240" s="526" t="str">
        <f>IF(LANÇ_MOV[[#This Row],[DATA DE VENCIMENTO]]="","",TEXT(LANÇ_MOV[[#This Row],[DATA DE VENCIMENTO]],"AAAA"))</f>
        <v/>
      </c>
      <c r="AF1240" s="526" t="str">
        <f>IF(LANÇ_MOV[[#This Row],[DATA DE VENCIMENTO]]="","",UPPER(TEXT(LANÇ_MOV[[#This Row],[DATA DE VENCIMENTO]],"MMMM")))</f>
        <v/>
      </c>
      <c r="AG1240" s="526" t="str">
        <f>IF(LANÇ_MOV[[#This Row],[DATA DE VENCIMENTO]]="","",TEXT(LANÇ_MOV[[#This Row],[DATA DE VENCIMENTO]],"M"))</f>
        <v/>
      </c>
      <c r="AH1240" s="526" t="str">
        <f>IF(LANÇ_MOV[[#This Row],[DATA DE VENCIMENTO]]="","",TEXT(LANÇ_MOV[[#This Row],[DATA DE VENCIMENTO]],"D"))</f>
        <v/>
      </c>
      <c r="AI1240" s="526" t="str">
        <f>IF(LANÇ_MOV[[#This Row],[DATA DE PAGAMENTO]]="","",TEXT(LANÇ_MOV[[#This Row],[DATA DE PAGAMENTO]],"AAAA"))</f>
        <v/>
      </c>
      <c r="AJ1240" s="527" t="str">
        <f>IF(LANÇ_MOV[[#This Row],[DATA DE PAGAMENTO]]="","",UPPER(TEXT(LANÇ_MOV[[#This Row],[DATA DE PAGAMENTO]],"MMMM")))</f>
        <v/>
      </c>
      <c r="AK1240" s="527" t="str">
        <f>IF(LANÇ_MOV[[#This Row],[DATA DE PAGAMENTO]]="","",TEXT(LANÇ_MOV[[#This Row],[DATA DE PAGAMENTO]],"M"))</f>
        <v/>
      </c>
      <c r="AL1240" s="526" t="str">
        <f>IF(LANÇ_MOV[[#This Row],[DATA DE PAGAMENTO]]="","",TEXT(LANÇ_MOV[[#This Row],[DATA DE PAGAMENTO]],"D"))</f>
        <v/>
      </c>
    </row>
    <row r="1241" spans="2:38" ht="30.05" customHeight="1" x14ac:dyDescent="0.35">
      <c r="B1241" s="506"/>
      <c r="C1241" s="507"/>
      <c r="D1241" s="508" t="s">
        <v>1854</v>
      </c>
      <c r="E1241" s="509"/>
      <c r="F1241" s="510"/>
      <c r="G1241" s="507"/>
      <c r="H1241" s="511"/>
      <c r="I1241" s="512"/>
      <c r="J1241" s="518"/>
      <c r="K1241" s="510"/>
      <c r="L1241" s="510"/>
      <c r="M1241" s="548"/>
      <c r="N1241" s="514">
        <f>LANÇ_MOV[[#This Row],[VALOR BRUTO]]-LANÇ_MOV[[#This Row],[DESCONTO]]+LANÇ_MOV[[#This Row],[JUROS]]+LANÇ_MOV[[#This Row],[MULTA]]</f>
        <v>0</v>
      </c>
      <c r="O1241" s="546"/>
      <c r="P1241" s="547" t="str">
        <f t="shared" ca="1" si="19"/>
        <v/>
      </c>
      <c r="Q1241" s="528"/>
      <c r="R1241" s="529"/>
      <c r="S1241" s="518"/>
      <c r="T1241" s="518"/>
      <c r="U1241" s="519"/>
      <c r="V1241" s="520" t="str">
        <f>IFERROR(VLOOKUP(LANÇ_MOV[[#This Row],[PLANO DE CONTAS]],Plano_Contas[[PLANO DE CONTAS]:[R / D]],3,0),"")</f>
        <v/>
      </c>
      <c r="W1241" s="521" t="str">
        <f>IF(LANÇ_MOV[[#This Row],[DATA DE PAGAMENTO]]&lt;&gt;"","Pago","Não Pago")</f>
        <v>Não Pago</v>
      </c>
      <c r="X1241" s="522" t="str">
        <f>IFERROR(IF(LANÇ_MOV[[#This Row],[DATA DE PAGAMENTO]]="","",(UPPER(TEXT(LANÇ_MOV[[#This Row],[DATA DE PAGAMENTO]],"mmmm")))),"")</f>
        <v/>
      </c>
      <c r="Y1241" s="523" t="str">
        <f>IFERROR(VLOOKUP(LANÇ_MOV[[#This Row],[PLANO DE CONTAS]],Plano_Contas[[PLANO DE CONTAS]:[NOMES INTERVALOS]],2,0),"")</f>
        <v/>
      </c>
      <c r="Z1241" s="523" t="str">
        <f>IF(LANÇ_MOV[[#This Row],[FORMA DE PAGAMENTO]]="","",VLOOKUP(LANÇ_MOV[[#This Row],[FORMA DE PAGAMENTO]],CAD_Forma_pagto[],2,0))</f>
        <v/>
      </c>
      <c r="AA1241" s="524" t="str">
        <f>IF(LANÇ_MOV[[#This Row],[DATA DE LANÇAMENTO]]="","",TEXT(LANÇ_MOV[[#This Row],[DATA DE LANÇAMENTO]],"AAAA"))</f>
        <v/>
      </c>
      <c r="AB1241" s="524" t="str">
        <f>IF(LANÇ_MOV[[#This Row],[DATA DE LANÇAMENTO]]="","",UPPER(TEXT(LANÇ_MOV[[#This Row],[DATA DE LANÇAMENTO]],"MMMM")))</f>
        <v/>
      </c>
      <c r="AC1241" s="525" t="str">
        <f>IF(LANÇ_MOV[[#This Row],[DATA DE LANÇAMENTO]]="","",PROPER(TEXT(LANÇ_MOV[[#This Row],[DATA DE LANÇAMENTO]],"M")))</f>
        <v/>
      </c>
      <c r="AD1241" s="524" t="str">
        <f>IF(LANÇ_MOV[[#This Row],[DATA DE LANÇAMENTO]]="","",TEXT(LANÇ_MOV[[#This Row],[DATA DE LANÇAMENTO]],"D"))</f>
        <v/>
      </c>
      <c r="AE1241" s="526" t="str">
        <f>IF(LANÇ_MOV[[#This Row],[DATA DE VENCIMENTO]]="","",TEXT(LANÇ_MOV[[#This Row],[DATA DE VENCIMENTO]],"AAAA"))</f>
        <v/>
      </c>
      <c r="AF1241" s="526" t="str">
        <f>IF(LANÇ_MOV[[#This Row],[DATA DE VENCIMENTO]]="","",UPPER(TEXT(LANÇ_MOV[[#This Row],[DATA DE VENCIMENTO]],"MMMM")))</f>
        <v/>
      </c>
      <c r="AG1241" s="526" t="str">
        <f>IF(LANÇ_MOV[[#This Row],[DATA DE VENCIMENTO]]="","",TEXT(LANÇ_MOV[[#This Row],[DATA DE VENCIMENTO]],"M"))</f>
        <v/>
      </c>
      <c r="AH1241" s="526" t="str">
        <f>IF(LANÇ_MOV[[#This Row],[DATA DE VENCIMENTO]]="","",TEXT(LANÇ_MOV[[#This Row],[DATA DE VENCIMENTO]],"D"))</f>
        <v/>
      </c>
      <c r="AI1241" s="526" t="str">
        <f>IF(LANÇ_MOV[[#This Row],[DATA DE PAGAMENTO]]="","",TEXT(LANÇ_MOV[[#This Row],[DATA DE PAGAMENTO]],"AAAA"))</f>
        <v/>
      </c>
      <c r="AJ1241" s="527" t="str">
        <f>IF(LANÇ_MOV[[#This Row],[DATA DE PAGAMENTO]]="","",UPPER(TEXT(LANÇ_MOV[[#This Row],[DATA DE PAGAMENTO]],"MMMM")))</f>
        <v/>
      </c>
      <c r="AK1241" s="527" t="str">
        <f>IF(LANÇ_MOV[[#This Row],[DATA DE PAGAMENTO]]="","",TEXT(LANÇ_MOV[[#This Row],[DATA DE PAGAMENTO]],"M"))</f>
        <v/>
      </c>
      <c r="AL1241" s="526" t="str">
        <f>IF(LANÇ_MOV[[#This Row],[DATA DE PAGAMENTO]]="","",TEXT(LANÇ_MOV[[#This Row],[DATA DE PAGAMENTO]],"D"))</f>
        <v/>
      </c>
    </row>
    <row r="1242" spans="2:38" ht="30.05" customHeight="1" x14ac:dyDescent="0.35">
      <c r="B1242" s="506"/>
      <c r="C1242" s="507"/>
      <c r="D1242" s="508" t="s">
        <v>1854</v>
      </c>
      <c r="E1242" s="509"/>
      <c r="F1242" s="510"/>
      <c r="G1242" s="507"/>
      <c r="H1242" s="511"/>
      <c r="I1242" s="512"/>
      <c r="J1242" s="518"/>
      <c r="K1242" s="510"/>
      <c r="L1242" s="510"/>
      <c r="M1242" s="548"/>
      <c r="N1242" s="514">
        <f>LANÇ_MOV[[#This Row],[VALOR BRUTO]]-LANÇ_MOV[[#This Row],[DESCONTO]]+LANÇ_MOV[[#This Row],[JUROS]]+LANÇ_MOV[[#This Row],[MULTA]]</f>
        <v>0</v>
      </c>
      <c r="O1242" s="546"/>
      <c r="P1242" s="547" t="str">
        <f t="shared" ca="1" si="19"/>
        <v/>
      </c>
      <c r="Q1242" s="528"/>
      <c r="R1242" s="529"/>
      <c r="S1242" s="518"/>
      <c r="T1242" s="518"/>
      <c r="U1242" s="519"/>
      <c r="V1242" s="520" t="str">
        <f>IFERROR(VLOOKUP(LANÇ_MOV[[#This Row],[PLANO DE CONTAS]],Plano_Contas[[PLANO DE CONTAS]:[R / D]],3,0),"")</f>
        <v/>
      </c>
      <c r="W1242" s="521" t="str">
        <f>IF(LANÇ_MOV[[#This Row],[DATA DE PAGAMENTO]]&lt;&gt;"","Pago","Não Pago")</f>
        <v>Não Pago</v>
      </c>
      <c r="X1242" s="522" t="str">
        <f>IFERROR(IF(LANÇ_MOV[[#This Row],[DATA DE PAGAMENTO]]="","",(UPPER(TEXT(LANÇ_MOV[[#This Row],[DATA DE PAGAMENTO]],"mmmm")))),"")</f>
        <v/>
      </c>
      <c r="Y1242" s="523" t="str">
        <f>IFERROR(VLOOKUP(LANÇ_MOV[[#This Row],[PLANO DE CONTAS]],Plano_Contas[[PLANO DE CONTAS]:[NOMES INTERVALOS]],2,0),"")</f>
        <v/>
      </c>
      <c r="Z1242" s="523" t="str">
        <f>IF(LANÇ_MOV[[#This Row],[FORMA DE PAGAMENTO]]="","",VLOOKUP(LANÇ_MOV[[#This Row],[FORMA DE PAGAMENTO]],CAD_Forma_pagto[],2,0))</f>
        <v/>
      </c>
      <c r="AA1242" s="524" t="str">
        <f>IF(LANÇ_MOV[[#This Row],[DATA DE LANÇAMENTO]]="","",TEXT(LANÇ_MOV[[#This Row],[DATA DE LANÇAMENTO]],"AAAA"))</f>
        <v/>
      </c>
      <c r="AB1242" s="524" t="str">
        <f>IF(LANÇ_MOV[[#This Row],[DATA DE LANÇAMENTO]]="","",UPPER(TEXT(LANÇ_MOV[[#This Row],[DATA DE LANÇAMENTO]],"MMMM")))</f>
        <v/>
      </c>
      <c r="AC1242" s="525" t="str">
        <f>IF(LANÇ_MOV[[#This Row],[DATA DE LANÇAMENTO]]="","",PROPER(TEXT(LANÇ_MOV[[#This Row],[DATA DE LANÇAMENTO]],"M")))</f>
        <v/>
      </c>
      <c r="AD1242" s="524" t="str">
        <f>IF(LANÇ_MOV[[#This Row],[DATA DE LANÇAMENTO]]="","",TEXT(LANÇ_MOV[[#This Row],[DATA DE LANÇAMENTO]],"D"))</f>
        <v/>
      </c>
      <c r="AE1242" s="526" t="str">
        <f>IF(LANÇ_MOV[[#This Row],[DATA DE VENCIMENTO]]="","",TEXT(LANÇ_MOV[[#This Row],[DATA DE VENCIMENTO]],"AAAA"))</f>
        <v/>
      </c>
      <c r="AF1242" s="526" t="str">
        <f>IF(LANÇ_MOV[[#This Row],[DATA DE VENCIMENTO]]="","",UPPER(TEXT(LANÇ_MOV[[#This Row],[DATA DE VENCIMENTO]],"MMMM")))</f>
        <v/>
      </c>
      <c r="AG1242" s="526" t="str">
        <f>IF(LANÇ_MOV[[#This Row],[DATA DE VENCIMENTO]]="","",TEXT(LANÇ_MOV[[#This Row],[DATA DE VENCIMENTO]],"M"))</f>
        <v/>
      </c>
      <c r="AH1242" s="526" t="str">
        <f>IF(LANÇ_MOV[[#This Row],[DATA DE VENCIMENTO]]="","",TEXT(LANÇ_MOV[[#This Row],[DATA DE VENCIMENTO]],"D"))</f>
        <v/>
      </c>
      <c r="AI1242" s="526" t="str">
        <f>IF(LANÇ_MOV[[#This Row],[DATA DE PAGAMENTO]]="","",TEXT(LANÇ_MOV[[#This Row],[DATA DE PAGAMENTO]],"AAAA"))</f>
        <v/>
      </c>
      <c r="AJ1242" s="527" t="str">
        <f>IF(LANÇ_MOV[[#This Row],[DATA DE PAGAMENTO]]="","",UPPER(TEXT(LANÇ_MOV[[#This Row],[DATA DE PAGAMENTO]],"MMMM")))</f>
        <v/>
      </c>
      <c r="AK1242" s="527" t="str">
        <f>IF(LANÇ_MOV[[#This Row],[DATA DE PAGAMENTO]]="","",TEXT(LANÇ_MOV[[#This Row],[DATA DE PAGAMENTO]],"M"))</f>
        <v/>
      </c>
      <c r="AL1242" s="526" t="str">
        <f>IF(LANÇ_MOV[[#This Row],[DATA DE PAGAMENTO]]="","",TEXT(LANÇ_MOV[[#This Row],[DATA DE PAGAMENTO]],"D"))</f>
        <v/>
      </c>
    </row>
    <row r="1243" spans="2:38" ht="30.05" customHeight="1" x14ac:dyDescent="0.35">
      <c r="B1243" s="506"/>
      <c r="C1243" s="507"/>
      <c r="D1243" s="508" t="s">
        <v>1854</v>
      </c>
      <c r="E1243" s="509"/>
      <c r="F1243" s="510"/>
      <c r="G1243" s="507"/>
      <c r="H1243" s="511"/>
      <c r="I1243" s="512"/>
      <c r="J1243" s="518"/>
      <c r="K1243" s="510"/>
      <c r="L1243" s="510"/>
      <c r="M1243" s="548"/>
      <c r="N1243" s="514">
        <f>LANÇ_MOV[[#This Row],[VALOR BRUTO]]-LANÇ_MOV[[#This Row],[DESCONTO]]+LANÇ_MOV[[#This Row],[JUROS]]+LANÇ_MOV[[#This Row],[MULTA]]</f>
        <v>0</v>
      </c>
      <c r="O1243" s="546"/>
      <c r="P1243" s="547" t="str">
        <f t="shared" ca="1" si="19"/>
        <v/>
      </c>
      <c r="Q1243" s="528"/>
      <c r="R1243" s="529"/>
      <c r="S1243" s="518"/>
      <c r="T1243" s="518"/>
      <c r="U1243" s="519"/>
      <c r="V1243" s="520" t="str">
        <f>IFERROR(VLOOKUP(LANÇ_MOV[[#This Row],[PLANO DE CONTAS]],Plano_Contas[[PLANO DE CONTAS]:[R / D]],3,0),"")</f>
        <v/>
      </c>
      <c r="W1243" s="521" t="str">
        <f>IF(LANÇ_MOV[[#This Row],[DATA DE PAGAMENTO]]&lt;&gt;"","Pago","Não Pago")</f>
        <v>Não Pago</v>
      </c>
      <c r="X1243" s="522" t="str">
        <f>IFERROR(IF(LANÇ_MOV[[#This Row],[DATA DE PAGAMENTO]]="","",(UPPER(TEXT(LANÇ_MOV[[#This Row],[DATA DE PAGAMENTO]],"mmmm")))),"")</f>
        <v/>
      </c>
      <c r="Y1243" s="523" t="str">
        <f>IFERROR(VLOOKUP(LANÇ_MOV[[#This Row],[PLANO DE CONTAS]],Plano_Contas[[PLANO DE CONTAS]:[NOMES INTERVALOS]],2,0),"")</f>
        <v/>
      </c>
      <c r="Z1243" s="523" t="str">
        <f>IF(LANÇ_MOV[[#This Row],[FORMA DE PAGAMENTO]]="","",VLOOKUP(LANÇ_MOV[[#This Row],[FORMA DE PAGAMENTO]],CAD_Forma_pagto[],2,0))</f>
        <v/>
      </c>
      <c r="AA1243" s="524" t="str">
        <f>IF(LANÇ_MOV[[#This Row],[DATA DE LANÇAMENTO]]="","",TEXT(LANÇ_MOV[[#This Row],[DATA DE LANÇAMENTO]],"AAAA"))</f>
        <v/>
      </c>
      <c r="AB1243" s="524" t="str">
        <f>IF(LANÇ_MOV[[#This Row],[DATA DE LANÇAMENTO]]="","",UPPER(TEXT(LANÇ_MOV[[#This Row],[DATA DE LANÇAMENTO]],"MMMM")))</f>
        <v/>
      </c>
      <c r="AC1243" s="525" t="str">
        <f>IF(LANÇ_MOV[[#This Row],[DATA DE LANÇAMENTO]]="","",PROPER(TEXT(LANÇ_MOV[[#This Row],[DATA DE LANÇAMENTO]],"M")))</f>
        <v/>
      </c>
      <c r="AD1243" s="524" t="str">
        <f>IF(LANÇ_MOV[[#This Row],[DATA DE LANÇAMENTO]]="","",TEXT(LANÇ_MOV[[#This Row],[DATA DE LANÇAMENTO]],"D"))</f>
        <v/>
      </c>
      <c r="AE1243" s="526" t="str">
        <f>IF(LANÇ_MOV[[#This Row],[DATA DE VENCIMENTO]]="","",TEXT(LANÇ_MOV[[#This Row],[DATA DE VENCIMENTO]],"AAAA"))</f>
        <v/>
      </c>
      <c r="AF1243" s="526" t="str">
        <f>IF(LANÇ_MOV[[#This Row],[DATA DE VENCIMENTO]]="","",UPPER(TEXT(LANÇ_MOV[[#This Row],[DATA DE VENCIMENTO]],"MMMM")))</f>
        <v/>
      </c>
      <c r="AG1243" s="526" t="str">
        <f>IF(LANÇ_MOV[[#This Row],[DATA DE VENCIMENTO]]="","",TEXT(LANÇ_MOV[[#This Row],[DATA DE VENCIMENTO]],"M"))</f>
        <v/>
      </c>
      <c r="AH1243" s="526" t="str">
        <f>IF(LANÇ_MOV[[#This Row],[DATA DE VENCIMENTO]]="","",TEXT(LANÇ_MOV[[#This Row],[DATA DE VENCIMENTO]],"D"))</f>
        <v/>
      </c>
      <c r="AI1243" s="526" t="str">
        <f>IF(LANÇ_MOV[[#This Row],[DATA DE PAGAMENTO]]="","",TEXT(LANÇ_MOV[[#This Row],[DATA DE PAGAMENTO]],"AAAA"))</f>
        <v/>
      </c>
      <c r="AJ1243" s="527" t="str">
        <f>IF(LANÇ_MOV[[#This Row],[DATA DE PAGAMENTO]]="","",UPPER(TEXT(LANÇ_MOV[[#This Row],[DATA DE PAGAMENTO]],"MMMM")))</f>
        <v/>
      </c>
      <c r="AK1243" s="527" t="str">
        <f>IF(LANÇ_MOV[[#This Row],[DATA DE PAGAMENTO]]="","",TEXT(LANÇ_MOV[[#This Row],[DATA DE PAGAMENTO]],"M"))</f>
        <v/>
      </c>
      <c r="AL1243" s="526" t="str">
        <f>IF(LANÇ_MOV[[#This Row],[DATA DE PAGAMENTO]]="","",TEXT(LANÇ_MOV[[#This Row],[DATA DE PAGAMENTO]],"D"))</f>
        <v/>
      </c>
    </row>
    <row r="1244" spans="2:38" ht="30.05" customHeight="1" x14ac:dyDescent="0.35">
      <c r="B1244" s="506"/>
      <c r="C1244" s="507"/>
      <c r="D1244" s="508" t="s">
        <v>1854</v>
      </c>
      <c r="E1244" s="509"/>
      <c r="F1244" s="510"/>
      <c r="G1244" s="507"/>
      <c r="H1244" s="511"/>
      <c r="I1244" s="512"/>
      <c r="J1244" s="518"/>
      <c r="K1244" s="510"/>
      <c r="L1244" s="510"/>
      <c r="M1244" s="548"/>
      <c r="N1244" s="514">
        <f>LANÇ_MOV[[#This Row],[VALOR BRUTO]]-LANÇ_MOV[[#This Row],[DESCONTO]]+LANÇ_MOV[[#This Row],[JUROS]]+LANÇ_MOV[[#This Row],[MULTA]]</f>
        <v>0</v>
      </c>
      <c r="O1244" s="546"/>
      <c r="P1244" s="547" t="str">
        <f t="shared" ca="1" si="19"/>
        <v/>
      </c>
      <c r="Q1244" s="528"/>
      <c r="R1244" s="529"/>
      <c r="S1244" s="518"/>
      <c r="T1244" s="518"/>
      <c r="U1244" s="519"/>
      <c r="V1244" s="520" t="str">
        <f>IFERROR(VLOOKUP(LANÇ_MOV[[#This Row],[PLANO DE CONTAS]],Plano_Contas[[PLANO DE CONTAS]:[R / D]],3,0),"")</f>
        <v/>
      </c>
      <c r="W1244" s="521" t="str">
        <f>IF(LANÇ_MOV[[#This Row],[DATA DE PAGAMENTO]]&lt;&gt;"","Pago","Não Pago")</f>
        <v>Não Pago</v>
      </c>
      <c r="X1244" s="522" t="str">
        <f>IFERROR(IF(LANÇ_MOV[[#This Row],[DATA DE PAGAMENTO]]="","",(UPPER(TEXT(LANÇ_MOV[[#This Row],[DATA DE PAGAMENTO]],"mmmm")))),"")</f>
        <v/>
      </c>
      <c r="Y1244" s="523" t="str">
        <f>IFERROR(VLOOKUP(LANÇ_MOV[[#This Row],[PLANO DE CONTAS]],Plano_Contas[[PLANO DE CONTAS]:[NOMES INTERVALOS]],2,0),"")</f>
        <v/>
      </c>
      <c r="Z1244" s="523" t="str">
        <f>IF(LANÇ_MOV[[#This Row],[FORMA DE PAGAMENTO]]="","",VLOOKUP(LANÇ_MOV[[#This Row],[FORMA DE PAGAMENTO]],CAD_Forma_pagto[],2,0))</f>
        <v/>
      </c>
      <c r="AA1244" s="524" t="str">
        <f>IF(LANÇ_MOV[[#This Row],[DATA DE LANÇAMENTO]]="","",TEXT(LANÇ_MOV[[#This Row],[DATA DE LANÇAMENTO]],"AAAA"))</f>
        <v/>
      </c>
      <c r="AB1244" s="524" t="str">
        <f>IF(LANÇ_MOV[[#This Row],[DATA DE LANÇAMENTO]]="","",UPPER(TEXT(LANÇ_MOV[[#This Row],[DATA DE LANÇAMENTO]],"MMMM")))</f>
        <v/>
      </c>
      <c r="AC1244" s="525" t="str">
        <f>IF(LANÇ_MOV[[#This Row],[DATA DE LANÇAMENTO]]="","",PROPER(TEXT(LANÇ_MOV[[#This Row],[DATA DE LANÇAMENTO]],"M")))</f>
        <v/>
      </c>
      <c r="AD1244" s="524" t="str">
        <f>IF(LANÇ_MOV[[#This Row],[DATA DE LANÇAMENTO]]="","",TEXT(LANÇ_MOV[[#This Row],[DATA DE LANÇAMENTO]],"D"))</f>
        <v/>
      </c>
      <c r="AE1244" s="526" t="str">
        <f>IF(LANÇ_MOV[[#This Row],[DATA DE VENCIMENTO]]="","",TEXT(LANÇ_MOV[[#This Row],[DATA DE VENCIMENTO]],"AAAA"))</f>
        <v/>
      </c>
      <c r="AF1244" s="526" t="str">
        <f>IF(LANÇ_MOV[[#This Row],[DATA DE VENCIMENTO]]="","",UPPER(TEXT(LANÇ_MOV[[#This Row],[DATA DE VENCIMENTO]],"MMMM")))</f>
        <v/>
      </c>
      <c r="AG1244" s="526" t="str">
        <f>IF(LANÇ_MOV[[#This Row],[DATA DE VENCIMENTO]]="","",TEXT(LANÇ_MOV[[#This Row],[DATA DE VENCIMENTO]],"M"))</f>
        <v/>
      </c>
      <c r="AH1244" s="526" t="str">
        <f>IF(LANÇ_MOV[[#This Row],[DATA DE VENCIMENTO]]="","",TEXT(LANÇ_MOV[[#This Row],[DATA DE VENCIMENTO]],"D"))</f>
        <v/>
      </c>
      <c r="AI1244" s="526" t="str">
        <f>IF(LANÇ_MOV[[#This Row],[DATA DE PAGAMENTO]]="","",TEXT(LANÇ_MOV[[#This Row],[DATA DE PAGAMENTO]],"AAAA"))</f>
        <v/>
      </c>
      <c r="AJ1244" s="527" t="str">
        <f>IF(LANÇ_MOV[[#This Row],[DATA DE PAGAMENTO]]="","",UPPER(TEXT(LANÇ_MOV[[#This Row],[DATA DE PAGAMENTO]],"MMMM")))</f>
        <v/>
      </c>
      <c r="AK1244" s="527" t="str">
        <f>IF(LANÇ_MOV[[#This Row],[DATA DE PAGAMENTO]]="","",TEXT(LANÇ_MOV[[#This Row],[DATA DE PAGAMENTO]],"M"))</f>
        <v/>
      </c>
      <c r="AL1244" s="526" t="str">
        <f>IF(LANÇ_MOV[[#This Row],[DATA DE PAGAMENTO]]="","",TEXT(LANÇ_MOV[[#This Row],[DATA DE PAGAMENTO]],"D"))</f>
        <v/>
      </c>
    </row>
    <row r="1245" spans="2:38" ht="30.05" customHeight="1" x14ac:dyDescent="0.35">
      <c r="B1245" s="506"/>
      <c r="C1245" s="507"/>
      <c r="D1245" s="508" t="s">
        <v>1854</v>
      </c>
      <c r="E1245" s="509"/>
      <c r="F1245" s="510"/>
      <c r="G1245" s="507"/>
      <c r="H1245" s="511"/>
      <c r="I1245" s="512"/>
      <c r="J1245" s="518"/>
      <c r="K1245" s="510"/>
      <c r="L1245" s="510"/>
      <c r="M1245" s="548"/>
      <c r="N1245" s="514">
        <f>LANÇ_MOV[[#This Row],[VALOR BRUTO]]-LANÇ_MOV[[#This Row],[DESCONTO]]+LANÇ_MOV[[#This Row],[JUROS]]+LANÇ_MOV[[#This Row],[MULTA]]</f>
        <v>0</v>
      </c>
      <c r="O1245" s="546"/>
      <c r="P1245" s="547" t="str">
        <f t="shared" ca="1" si="19"/>
        <v/>
      </c>
      <c r="Q1245" s="528"/>
      <c r="R1245" s="529"/>
      <c r="S1245" s="518"/>
      <c r="T1245" s="518"/>
      <c r="U1245" s="519"/>
      <c r="V1245" s="520" t="str">
        <f>IFERROR(VLOOKUP(LANÇ_MOV[[#This Row],[PLANO DE CONTAS]],Plano_Contas[[PLANO DE CONTAS]:[R / D]],3,0),"")</f>
        <v/>
      </c>
      <c r="W1245" s="521" t="str">
        <f>IF(LANÇ_MOV[[#This Row],[DATA DE PAGAMENTO]]&lt;&gt;"","Pago","Não Pago")</f>
        <v>Não Pago</v>
      </c>
      <c r="X1245" s="522" t="str">
        <f>IFERROR(IF(LANÇ_MOV[[#This Row],[DATA DE PAGAMENTO]]="","",(UPPER(TEXT(LANÇ_MOV[[#This Row],[DATA DE PAGAMENTO]],"mmmm")))),"")</f>
        <v/>
      </c>
      <c r="Y1245" s="523" t="str">
        <f>IFERROR(VLOOKUP(LANÇ_MOV[[#This Row],[PLANO DE CONTAS]],Plano_Contas[[PLANO DE CONTAS]:[NOMES INTERVALOS]],2,0),"")</f>
        <v/>
      </c>
      <c r="Z1245" s="523" t="str">
        <f>IF(LANÇ_MOV[[#This Row],[FORMA DE PAGAMENTO]]="","",VLOOKUP(LANÇ_MOV[[#This Row],[FORMA DE PAGAMENTO]],CAD_Forma_pagto[],2,0))</f>
        <v/>
      </c>
      <c r="AA1245" s="524" t="str">
        <f>IF(LANÇ_MOV[[#This Row],[DATA DE LANÇAMENTO]]="","",TEXT(LANÇ_MOV[[#This Row],[DATA DE LANÇAMENTO]],"AAAA"))</f>
        <v/>
      </c>
      <c r="AB1245" s="524" t="str">
        <f>IF(LANÇ_MOV[[#This Row],[DATA DE LANÇAMENTO]]="","",UPPER(TEXT(LANÇ_MOV[[#This Row],[DATA DE LANÇAMENTO]],"MMMM")))</f>
        <v/>
      </c>
      <c r="AC1245" s="525" t="str">
        <f>IF(LANÇ_MOV[[#This Row],[DATA DE LANÇAMENTO]]="","",PROPER(TEXT(LANÇ_MOV[[#This Row],[DATA DE LANÇAMENTO]],"M")))</f>
        <v/>
      </c>
      <c r="AD1245" s="524" t="str">
        <f>IF(LANÇ_MOV[[#This Row],[DATA DE LANÇAMENTO]]="","",TEXT(LANÇ_MOV[[#This Row],[DATA DE LANÇAMENTO]],"D"))</f>
        <v/>
      </c>
      <c r="AE1245" s="526" t="str">
        <f>IF(LANÇ_MOV[[#This Row],[DATA DE VENCIMENTO]]="","",TEXT(LANÇ_MOV[[#This Row],[DATA DE VENCIMENTO]],"AAAA"))</f>
        <v/>
      </c>
      <c r="AF1245" s="526" t="str">
        <f>IF(LANÇ_MOV[[#This Row],[DATA DE VENCIMENTO]]="","",UPPER(TEXT(LANÇ_MOV[[#This Row],[DATA DE VENCIMENTO]],"MMMM")))</f>
        <v/>
      </c>
      <c r="AG1245" s="526" t="str">
        <f>IF(LANÇ_MOV[[#This Row],[DATA DE VENCIMENTO]]="","",TEXT(LANÇ_MOV[[#This Row],[DATA DE VENCIMENTO]],"M"))</f>
        <v/>
      </c>
      <c r="AH1245" s="526" t="str">
        <f>IF(LANÇ_MOV[[#This Row],[DATA DE VENCIMENTO]]="","",TEXT(LANÇ_MOV[[#This Row],[DATA DE VENCIMENTO]],"D"))</f>
        <v/>
      </c>
      <c r="AI1245" s="526" t="str">
        <f>IF(LANÇ_MOV[[#This Row],[DATA DE PAGAMENTO]]="","",TEXT(LANÇ_MOV[[#This Row],[DATA DE PAGAMENTO]],"AAAA"))</f>
        <v/>
      </c>
      <c r="AJ1245" s="527" t="str">
        <f>IF(LANÇ_MOV[[#This Row],[DATA DE PAGAMENTO]]="","",UPPER(TEXT(LANÇ_MOV[[#This Row],[DATA DE PAGAMENTO]],"MMMM")))</f>
        <v/>
      </c>
      <c r="AK1245" s="527" t="str">
        <f>IF(LANÇ_MOV[[#This Row],[DATA DE PAGAMENTO]]="","",TEXT(LANÇ_MOV[[#This Row],[DATA DE PAGAMENTO]],"M"))</f>
        <v/>
      </c>
      <c r="AL1245" s="526" t="str">
        <f>IF(LANÇ_MOV[[#This Row],[DATA DE PAGAMENTO]]="","",TEXT(LANÇ_MOV[[#This Row],[DATA DE PAGAMENTO]],"D"))</f>
        <v/>
      </c>
    </row>
    <row r="1246" spans="2:38" ht="30.05" customHeight="1" x14ac:dyDescent="0.35">
      <c r="B1246" s="506"/>
      <c r="C1246" s="507"/>
      <c r="D1246" s="508" t="s">
        <v>1854</v>
      </c>
      <c r="E1246" s="509"/>
      <c r="F1246" s="510"/>
      <c r="G1246" s="507"/>
      <c r="H1246" s="511"/>
      <c r="I1246" s="512"/>
      <c r="J1246" s="518"/>
      <c r="K1246" s="510"/>
      <c r="L1246" s="510"/>
      <c r="M1246" s="548"/>
      <c r="N1246" s="514">
        <f>LANÇ_MOV[[#This Row],[VALOR BRUTO]]-LANÇ_MOV[[#This Row],[DESCONTO]]+LANÇ_MOV[[#This Row],[JUROS]]+LANÇ_MOV[[#This Row],[MULTA]]</f>
        <v>0</v>
      </c>
      <c r="O1246" s="546"/>
      <c r="P1246" s="547" t="str">
        <f t="shared" ca="1" si="19"/>
        <v/>
      </c>
      <c r="Q1246" s="528"/>
      <c r="R1246" s="529"/>
      <c r="S1246" s="518"/>
      <c r="T1246" s="518"/>
      <c r="U1246" s="519"/>
      <c r="V1246" s="520" t="str">
        <f>IFERROR(VLOOKUP(LANÇ_MOV[[#This Row],[PLANO DE CONTAS]],Plano_Contas[[PLANO DE CONTAS]:[R / D]],3,0),"")</f>
        <v/>
      </c>
      <c r="W1246" s="521" t="str">
        <f>IF(LANÇ_MOV[[#This Row],[DATA DE PAGAMENTO]]&lt;&gt;"","Pago","Não Pago")</f>
        <v>Não Pago</v>
      </c>
      <c r="X1246" s="522" t="str">
        <f>IFERROR(IF(LANÇ_MOV[[#This Row],[DATA DE PAGAMENTO]]="","",(UPPER(TEXT(LANÇ_MOV[[#This Row],[DATA DE PAGAMENTO]],"mmmm")))),"")</f>
        <v/>
      </c>
      <c r="Y1246" s="523" t="str">
        <f>IFERROR(VLOOKUP(LANÇ_MOV[[#This Row],[PLANO DE CONTAS]],Plano_Contas[[PLANO DE CONTAS]:[NOMES INTERVALOS]],2,0),"")</f>
        <v/>
      </c>
      <c r="Z1246" s="523" t="str">
        <f>IF(LANÇ_MOV[[#This Row],[FORMA DE PAGAMENTO]]="","",VLOOKUP(LANÇ_MOV[[#This Row],[FORMA DE PAGAMENTO]],CAD_Forma_pagto[],2,0))</f>
        <v/>
      </c>
      <c r="AA1246" s="524" t="str">
        <f>IF(LANÇ_MOV[[#This Row],[DATA DE LANÇAMENTO]]="","",TEXT(LANÇ_MOV[[#This Row],[DATA DE LANÇAMENTO]],"AAAA"))</f>
        <v/>
      </c>
      <c r="AB1246" s="524" t="str">
        <f>IF(LANÇ_MOV[[#This Row],[DATA DE LANÇAMENTO]]="","",UPPER(TEXT(LANÇ_MOV[[#This Row],[DATA DE LANÇAMENTO]],"MMMM")))</f>
        <v/>
      </c>
      <c r="AC1246" s="525" t="str">
        <f>IF(LANÇ_MOV[[#This Row],[DATA DE LANÇAMENTO]]="","",PROPER(TEXT(LANÇ_MOV[[#This Row],[DATA DE LANÇAMENTO]],"M")))</f>
        <v/>
      </c>
      <c r="AD1246" s="524" t="str">
        <f>IF(LANÇ_MOV[[#This Row],[DATA DE LANÇAMENTO]]="","",TEXT(LANÇ_MOV[[#This Row],[DATA DE LANÇAMENTO]],"D"))</f>
        <v/>
      </c>
      <c r="AE1246" s="526" t="str">
        <f>IF(LANÇ_MOV[[#This Row],[DATA DE VENCIMENTO]]="","",TEXT(LANÇ_MOV[[#This Row],[DATA DE VENCIMENTO]],"AAAA"))</f>
        <v/>
      </c>
      <c r="AF1246" s="526" t="str">
        <f>IF(LANÇ_MOV[[#This Row],[DATA DE VENCIMENTO]]="","",UPPER(TEXT(LANÇ_MOV[[#This Row],[DATA DE VENCIMENTO]],"MMMM")))</f>
        <v/>
      </c>
      <c r="AG1246" s="526" t="str">
        <f>IF(LANÇ_MOV[[#This Row],[DATA DE VENCIMENTO]]="","",TEXT(LANÇ_MOV[[#This Row],[DATA DE VENCIMENTO]],"M"))</f>
        <v/>
      </c>
      <c r="AH1246" s="526" t="str">
        <f>IF(LANÇ_MOV[[#This Row],[DATA DE VENCIMENTO]]="","",TEXT(LANÇ_MOV[[#This Row],[DATA DE VENCIMENTO]],"D"))</f>
        <v/>
      </c>
      <c r="AI1246" s="526" t="str">
        <f>IF(LANÇ_MOV[[#This Row],[DATA DE PAGAMENTO]]="","",TEXT(LANÇ_MOV[[#This Row],[DATA DE PAGAMENTO]],"AAAA"))</f>
        <v/>
      </c>
      <c r="AJ1246" s="527" t="str">
        <f>IF(LANÇ_MOV[[#This Row],[DATA DE PAGAMENTO]]="","",UPPER(TEXT(LANÇ_MOV[[#This Row],[DATA DE PAGAMENTO]],"MMMM")))</f>
        <v/>
      </c>
      <c r="AK1246" s="527" t="str">
        <f>IF(LANÇ_MOV[[#This Row],[DATA DE PAGAMENTO]]="","",TEXT(LANÇ_MOV[[#This Row],[DATA DE PAGAMENTO]],"M"))</f>
        <v/>
      </c>
      <c r="AL1246" s="526" t="str">
        <f>IF(LANÇ_MOV[[#This Row],[DATA DE PAGAMENTO]]="","",TEXT(LANÇ_MOV[[#This Row],[DATA DE PAGAMENTO]],"D"))</f>
        <v/>
      </c>
    </row>
    <row r="1247" spans="2:38" ht="30.05" customHeight="1" x14ac:dyDescent="0.35">
      <c r="B1247" s="506"/>
      <c r="C1247" s="507"/>
      <c r="D1247" s="508" t="s">
        <v>1854</v>
      </c>
      <c r="E1247" s="509"/>
      <c r="F1247" s="510"/>
      <c r="G1247" s="507"/>
      <c r="H1247" s="511"/>
      <c r="I1247" s="512"/>
      <c r="J1247" s="518"/>
      <c r="K1247" s="510"/>
      <c r="L1247" s="510"/>
      <c r="M1247" s="548"/>
      <c r="N1247" s="514">
        <f>LANÇ_MOV[[#This Row],[VALOR BRUTO]]-LANÇ_MOV[[#This Row],[DESCONTO]]+LANÇ_MOV[[#This Row],[JUROS]]+LANÇ_MOV[[#This Row],[MULTA]]</f>
        <v>0</v>
      </c>
      <c r="O1247" s="546"/>
      <c r="P1247" s="547" t="str">
        <f t="shared" ca="1" si="19"/>
        <v/>
      </c>
      <c r="Q1247" s="528"/>
      <c r="R1247" s="529"/>
      <c r="S1247" s="518"/>
      <c r="T1247" s="518"/>
      <c r="U1247" s="519"/>
      <c r="V1247" s="520" t="str">
        <f>IFERROR(VLOOKUP(LANÇ_MOV[[#This Row],[PLANO DE CONTAS]],Plano_Contas[[PLANO DE CONTAS]:[R / D]],3,0),"")</f>
        <v/>
      </c>
      <c r="W1247" s="521" t="str">
        <f>IF(LANÇ_MOV[[#This Row],[DATA DE PAGAMENTO]]&lt;&gt;"","Pago","Não Pago")</f>
        <v>Não Pago</v>
      </c>
      <c r="X1247" s="522" t="str">
        <f>IFERROR(IF(LANÇ_MOV[[#This Row],[DATA DE PAGAMENTO]]="","",(UPPER(TEXT(LANÇ_MOV[[#This Row],[DATA DE PAGAMENTO]],"mmmm")))),"")</f>
        <v/>
      </c>
      <c r="Y1247" s="523" t="str">
        <f>IFERROR(VLOOKUP(LANÇ_MOV[[#This Row],[PLANO DE CONTAS]],Plano_Contas[[PLANO DE CONTAS]:[NOMES INTERVALOS]],2,0),"")</f>
        <v/>
      </c>
      <c r="Z1247" s="523" t="str">
        <f>IF(LANÇ_MOV[[#This Row],[FORMA DE PAGAMENTO]]="","",VLOOKUP(LANÇ_MOV[[#This Row],[FORMA DE PAGAMENTO]],CAD_Forma_pagto[],2,0))</f>
        <v/>
      </c>
      <c r="AA1247" s="524" t="str">
        <f>IF(LANÇ_MOV[[#This Row],[DATA DE LANÇAMENTO]]="","",TEXT(LANÇ_MOV[[#This Row],[DATA DE LANÇAMENTO]],"AAAA"))</f>
        <v/>
      </c>
      <c r="AB1247" s="524" t="str">
        <f>IF(LANÇ_MOV[[#This Row],[DATA DE LANÇAMENTO]]="","",UPPER(TEXT(LANÇ_MOV[[#This Row],[DATA DE LANÇAMENTO]],"MMMM")))</f>
        <v/>
      </c>
      <c r="AC1247" s="525" t="str">
        <f>IF(LANÇ_MOV[[#This Row],[DATA DE LANÇAMENTO]]="","",PROPER(TEXT(LANÇ_MOV[[#This Row],[DATA DE LANÇAMENTO]],"M")))</f>
        <v/>
      </c>
      <c r="AD1247" s="524" t="str">
        <f>IF(LANÇ_MOV[[#This Row],[DATA DE LANÇAMENTO]]="","",TEXT(LANÇ_MOV[[#This Row],[DATA DE LANÇAMENTO]],"D"))</f>
        <v/>
      </c>
      <c r="AE1247" s="526" t="str">
        <f>IF(LANÇ_MOV[[#This Row],[DATA DE VENCIMENTO]]="","",TEXT(LANÇ_MOV[[#This Row],[DATA DE VENCIMENTO]],"AAAA"))</f>
        <v/>
      </c>
      <c r="AF1247" s="526" t="str">
        <f>IF(LANÇ_MOV[[#This Row],[DATA DE VENCIMENTO]]="","",UPPER(TEXT(LANÇ_MOV[[#This Row],[DATA DE VENCIMENTO]],"MMMM")))</f>
        <v/>
      </c>
      <c r="AG1247" s="526" t="str">
        <f>IF(LANÇ_MOV[[#This Row],[DATA DE VENCIMENTO]]="","",TEXT(LANÇ_MOV[[#This Row],[DATA DE VENCIMENTO]],"M"))</f>
        <v/>
      </c>
      <c r="AH1247" s="526" t="str">
        <f>IF(LANÇ_MOV[[#This Row],[DATA DE VENCIMENTO]]="","",TEXT(LANÇ_MOV[[#This Row],[DATA DE VENCIMENTO]],"D"))</f>
        <v/>
      </c>
      <c r="AI1247" s="526" t="str">
        <f>IF(LANÇ_MOV[[#This Row],[DATA DE PAGAMENTO]]="","",TEXT(LANÇ_MOV[[#This Row],[DATA DE PAGAMENTO]],"AAAA"))</f>
        <v/>
      </c>
      <c r="AJ1247" s="527" t="str">
        <f>IF(LANÇ_MOV[[#This Row],[DATA DE PAGAMENTO]]="","",UPPER(TEXT(LANÇ_MOV[[#This Row],[DATA DE PAGAMENTO]],"MMMM")))</f>
        <v/>
      </c>
      <c r="AK1247" s="527" t="str">
        <f>IF(LANÇ_MOV[[#This Row],[DATA DE PAGAMENTO]]="","",TEXT(LANÇ_MOV[[#This Row],[DATA DE PAGAMENTO]],"M"))</f>
        <v/>
      </c>
      <c r="AL1247" s="526" t="str">
        <f>IF(LANÇ_MOV[[#This Row],[DATA DE PAGAMENTO]]="","",TEXT(LANÇ_MOV[[#This Row],[DATA DE PAGAMENTO]],"D"))</f>
        <v/>
      </c>
    </row>
    <row r="1248" spans="2:38" ht="30.05" customHeight="1" x14ac:dyDescent="0.35">
      <c r="B1248" s="506"/>
      <c r="C1248" s="507"/>
      <c r="D1248" s="508" t="s">
        <v>1854</v>
      </c>
      <c r="E1248" s="509"/>
      <c r="F1248" s="510"/>
      <c r="G1248" s="507"/>
      <c r="H1248" s="511"/>
      <c r="I1248" s="512"/>
      <c r="J1248" s="518"/>
      <c r="K1248" s="510"/>
      <c r="L1248" s="510"/>
      <c r="M1248" s="548"/>
      <c r="N1248" s="514">
        <f>LANÇ_MOV[[#This Row],[VALOR BRUTO]]-LANÇ_MOV[[#This Row],[DESCONTO]]+LANÇ_MOV[[#This Row],[JUROS]]+LANÇ_MOV[[#This Row],[MULTA]]</f>
        <v>0</v>
      </c>
      <c r="O1248" s="546"/>
      <c r="P1248" s="547" t="str">
        <f t="shared" ca="1" si="19"/>
        <v/>
      </c>
      <c r="Q1248" s="528"/>
      <c r="R1248" s="529"/>
      <c r="S1248" s="518"/>
      <c r="T1248" s="518"/>
      <c r="U1248" s="519"/>
      <c r="V1248" s="520" t="str">
        <f>IFERROR(VLOOKUP(LANÇ_MOV[[#This Row],[PLANO DE CONTAS]],Plano_Contas[[PLANO DE CONTAS]:[R / D]],3,0),"")</f>
        <v/>
      </c>
      <c r="W1248" s="521" t="str">
        <f>IF(LANÇ_MOV[[#This Row],[DATA DE PAGAMENTO]]&lt;&gt;"","Pago","Não Pago")</f>
        <v>Não Pago</v>
      </c>
      <c r="X1248" s="522" t="str">
        <f>IFERROR(IF(LANÇ_MOV[[#This Row],[DATA DE PAGAMENTO]]="","",(UPPER(TEXT(LANÇ_MOV[[#This Row],[DATA DE PAGAMENTO]],"mmmm")))),"")</f>
        <v/>
      </c>
      <c r="Y1248" s="523" t="str">
        <f>IFERROR(VLOOKUP(LANÇ_MOV[[#This Row],[PLANO DE CONTAS]],Plano_Contas[[PLANO DE CONTAS]:[NOMES INTERVALOS]],2,0),"")</f>
        <v/>
      </c>
      <c r="Z1248" s="523" t="str">
        <f>IF(LANÇ_MOV[[#This Row],[FORMA DE PAGAMENTO]]="","",VLOOKUP(LANÇ_MOV[[#This Row],[FORMA DE PAGAMENTO]],CAD_Forma_pagto[],2,0))</f>
        <v/>
      </c>
      <c r="AA1248" s="524" t="str">
        <f>IF(LANÇ_MOV[[#This Row],[DATA DE LANÇAMENTO]]="","",TEXT(LANÇ_MOV[[#This Row],[DATA DE LANÇAMENTO]],"AAAA"))</f>
        <v/>
      </c>
      <c r="AB1248" s="524" t="str">
        <f>IF(LANÇ_MOV[[#This Row],[DATA DE LANÇAMENTO]]="","",UPPER(TEXT(LANÇ_MOV[[#This Row],[DATA DE LANÇAMENTO]],"MMMM")))</f>
        <v/>
      </c>
      <c r="AC1248" s="525" t="str">
        <f>IF(LANÇ_MOV[[#This Row],[DATA DE LANÇAMENTO]]="","",PROPER(TEXT(LANÇ_MOV[[#This Row],[DATA DE LANÇAMENTO]],"M")))</f>
        <v/>
      </c>
      <c r="AD1248" s="524" t="str">
        <f>IF(LANÇ_MOV[[#This Row],[DATA DE LANÇAMENTO]]="","",TEXT(LANÇ_MOV[[#This Row],[DATA DE LANÇAMENTO]],"D"))</f>
        <v/>
      </c>
      <c r="AE1248" s="526" t="str">
        <f>IF(LANÇ_MOV[[#This Row],[DATA DE VENCIMENTO]]="","",TEXT(LANÇ_MOV[[#This Row],[DATA DE VENCIMENTO]],"AAAA"))</f>
        <v/>
      </c>
      <c r="AF1248" s="526" t="str">
        <f>IF(LANÇ_MOV[[#This Row],[DATA DE VENCIMENTO]]="","",UPPER(TEXT(LANÇ_MOV[[#This Row],[DATA DE VENCIMENTO]],"MMMM")))</f>
        <v/>
      </c>
      <c r="AG1248" s="526" t="str">
        <f>IF(LANÇ_MOV[[#This Row],[DATA DE VENCIMENTO]]="","",TEXT(LANÇ_MOV[[#This Row],[DATA DE VENCIMENTO]],"M"))</f>
        <v/>
      </c>
      <c r="AH1248" s="526" t="str">
        <f>IF(LANÇ_MOV[[#This Row],[DATA DE VENCIMENTO]]="","",TEXT(LANÇ_MOV[[#This Row],[DATA DE VENCIMENTO]],"D"))</f>
        <v/>
      </c>
      <c r="AI1248" s="526" t="str">
        <f>IF(LANÇ_MOV[[#This Row],[DATA DE PAGAMENTO]]="","",TEXT(LANÇ_MOV[[#This Row],[DATA DE PAGAMENTO]],"AAAA"))</f>
        <v/>
      </c>
      <c r="AJ1248" s="527" t="str">
        <f>IF(LANÇ_MOV[[#This Row],[DATA DE PAGAMENTO]]="","",UPPER(TEXT(LANÇ_MOV[[#This Row],[DATA DE PAGAMENTO]],"MMMM")))</f>
        <v/>
      </c>
      <c r="AK1248" s="527" t="str">
        <f>IF(LANÇ_MOV[[#This Row],[DATA DE PAGAMENTO]]="","",TEXT(LANÇ_MOV[[#This Row],[DATA DE PAGAMENTO]],"M"))</f>
        <v/>
      </c>
      <c r="AL1248" s="526" t="str">
        <f>IF(LANÇ_MOV[[#This Row],[DATA DE PAGAMENTO]]="","",TEXT(LANÇ_MOV[[#This Row],[DATA DE PAGAMENTO]],"D"))</f>
        <v/>
      </c>
    </row>
    <row r="1249" spans="2:38" ht="30.05" customHeight="1" x14ac:dyDescent="0.35">
      <c r="B1249" s="506"/>
      <c r="C1249" s="507"/>
      <c r="D1249" s="508" t="s">
        <v>1854</v>
      </c>
      <c r="E1249" s="509"/>
      <c r="F1249" s="510"/>
      <c r="G1249" s="507"/>
      <c r="H1249" s="511"/>
      <c r="I1249" s="512"/>
      <c r="J1249" s="518"/>
      <c r="K1249" s="510"/>
      <c r="L1249" s="510"/>
      <c r="M1249" s="548"/>
      <c r="N1249" s="514">
        <f>LANÇ_MOV[[#This Row],[VALOR BRUTO]]-LANÇ_MOV[[#This Row],[DESCONTO]]+LANÇ_MOV[[#This Row],[JUROS]]+LANÇ_MOV[[#This Row],[MULTA]]</f>
        <v>0</v>
      </c>
      <c r="O1249" s="546"/>
      <c r="P1249" s="547" t="str">
        <f t="shared" ca="1" si="19"/>
        <v/>
      </c>
      <c r="Q1249" s="528"/>
      <c r="R1249" s="529"/>
      <c r="S1249" s="518"/>
      <c r="T1249" s="518"/>
      <c r="U1249" s="519"/>
      <c r="V1249" s="520" t="str">
        <f>IFERROR(VLOOKUP(LANÇ_MOV[[#This Row],[PLANO DE CONTAS]],Plano_Contas[[PLANO DE CONTAS]:[R / D]],3,0),"")</f>
        <v/>
      </c>
      <c r="W1249" s="521" t="str">
        <f>IF(LANÇ_MOV[[#This Row],[DATA DE PAGAMENTO]]&lt;&gt;"","Pago","Não Pago")</f>
        <v>Não Pago</v>
      </c>
      <c r="X1249" s="522" t="str">
        <f>IFERROR(IF(LANÇ_MOV[[#This Row],[DATA DE PAGAMENTO]]="","",(UPPER(TEXT(LANÇ_MOV[[#This Row],[DATA DE PAGAMENTO]],"mmmm")))),"")</f>
        <v/>
      </c>
      <c r="Y1249" s="523" t="str">
        <f>IFERROR(VLOOKUP(LANÇ_MOV[[#This Row],[PLANO DE CONTAS]],Plano_Contas[[PLANO DE CONTAS]:[NOMES INTERVALOS]],2,0),"")</f>
        <v/>
      </c>
      <c r="Z1249" s="523" t="str">
        <f>IF(LANÇ_MOV[[#This Row],[FORMA DE PAGAMENTO]]="","",VLOOKUP(LANÇ_MOV[[#This Row],[FORMA DE PAGAMENTO]],CAD_Forma_pagto[],2,0))</f>
        <v/>
      </c>
      <c r="AA1249" s="524" t="str">
        <f>IF(LANÇ_MOV[[#This Row],[DATA DE LANÇAMENTO]]="","",TEXT(LANÇ_MOV[[#This Row],[DATA DE LANÇAMENTO]],"AAAA"))</f>
        <v/>
      </c>
      <c r="AB1249" s="524" t="str">
        <f>IF(LANÇ_MOV[[#This Row],[DATA DE LANÇAMENTO]]="","",UPPER(TEXT(LANÇ_MOV[[#This Row],[DATA DE LANÇAMENTO]],"MMMM")))</f>
        <v/>
      </c>
      <c r="AC1249" s="525" t="str">
        <f>IF(LANÇ_MOV[[#This Row],[DATA DE LANÇAMENTO]]="","",PROPER(TEXT(LANÇ_MOV[[#This Row],[DATA DE LANÇAMENTO]],"M")))</f>
        <v/>
      </c>
      <c r="AD1249" s="524" t="str">
        <f>IF(LANÇ_MOV[[#This Row],[DATA DE LANÇAMENTO]]="","",TEXT(LANÇ_MOV[[#This Row],[DATA DE LANÇAMENTO]],"D"))</f>
        <v/>
      </c>
      <c r="AE1249" s="526" t="str">
        <f>IF(LANÇ_MOV[[#This Row],[DATA DE VENCIMENTO]]="","",TEXT(LANÇ_MOV[[#This Row],[DATA DE VENCIMENTO]],"AAAA"))</f>
        <v/>
      </c>
      <c r="AF1249" s="526" t="str">
        <f>IF(LANÇ_MOV[[#This Row],[DATA DE VENCIMENTO]]="","",UPPER(TEXT(LANÇ_MOV[[#This Row],[DATA DE VENCIMENTO]],"MMMM")))</f>
        <v/>
      </c>
      <c r="AG1249" s="526" t="str">
        <f>IF(LANÇ_MOV[[#This Row],[DATA DE VENCIMENTO]]="","",TEXT(LANÇ_MOV[[#This Row],[DATA DE VENCIMENTO]],"M"))</f>
        <v/>
      </c>
      <c r="AH1249" s="526" t="str">
        <f>IF(LANÇ_MOV[[#This Row],[DATA DE VENCIMENTO]]="","",TEXT(LANÇ_MOV[[#This Row],[DATA DE VENCIMENTO]],"D"))</f>
        <v/>
      </c>
      <c r="AI1249" s="526" t="str">
        <f>IF(LANÇ_MOV[[#This Row],[DATA DE PAGAMENTO]]="","",TEXT(LANÇ_MOV[[#This Row],[DATA DE PAGAMENTO]],"AAAA"))</f>
        <v/>
      </c>
      <c r="AJ1249" s="527" t="str">
        <f>IF(LANÇ_MOV[[#This Row],[DATA DE PAGAMENTO]]="","",UPPER(TEXT(LANÇ_MOV[[#This Row],[DATA DE PAGAMENTO]],"MMMM")))</f>
        <v/>
      </c>
      <c r="AK1249" s="527" t="str">
        <f>IF(LANÇ_MOV[[#This Row],[DATA DE PAGAMENTO]]="","",TEXT(LANÇ_MOV[[#This Row],[DATA DE PAGAMENTO]],"M"))</f>
        <v/>
      </c>
      <c r="AL1249" s="526" t="str">
        <f>IF(LANÇ_MOV[[#This Row],[DATA DE PAGAMENTO]]="","",TEXT(LANÇ_MOV[[#This Row],[DATA DE PAGAMENTO]],"D"))</f>
        <v/>
      </c>
    </row>
    <row r="1250" spans="2:38" ht="30.05" customHeight="1" x14ac:dyDescent="0.35">
      <c r="B1250" s="506"/>
      <c r="C1250" s="507"/>
      <c r="D1250" s="508" t="s">
        <v>1854</v>
      </c>
      <c r="E1250" s="509"/>
      <c r="F1250" s="510"/>
      <c r="G1250" s="507"/>
      <c r="H1250" s="511"/>
      <c r="I1250" s="512"/>
      <c r="J1250" s="518"/>
      <c r="K1250" s="510"/>
      <c r="L1250" s="510"/>
      <c r="M1250" s="548"/>
      <c r="N1250" s="514">
        <f>LANÇ_MOV[[#This Row],[VALOR BRUTO]]-LANÇ_MOV[[#This Row],[DESCONTO]]+LANÇ_MOV[[#This Row],[JUROS]]+LANÇ_MOV[[#This Row],[MULTA]]</f>
        <v>0</v>
      </c>
      <c r="O1250" s="546"/>
      <c r="P1250" s="547" t="str">
        <f t="shared" ca="1" si="19"/>
        <v/>
      </c>
      <c r="Q1250" s="528"/>
      <c r="R1250" s="529"/>
      <c r="S1250" s="518"/>
      <c r="T1250" s="518"/>
      <c r="U1250" s="519"/>
      <c r="V1250" s="520" t="str">
        <f>IFERROR(VLOOKUP(LANÇ_MOV[[#This Row],[PLANO DE CONTAS]],Plano_Contas[[PLANO DE CONTAS]:[R / D]],3,0),"")</f>
        <v/>
      </c>
      <c r="W1250" s="521" t="str">
        <f>IF(LANÇ_MOV[[#This Row],[DATA DE PAGAMENTO]]&lt;&gt;"","Pago","Não Pago")</f>
        <v>Não Pago</v>
      </c>
      <c r="X1250" s="522" t="str">
        <f>IFERROR(IF(LANÇ_MOV[[#This Row],[DATA DE PAGAMENTO]]="","",(UPPER(TEXT(LANÇ_MOV[[#This Row],[DATA DE PAGAMENTO]],"mmmm")))),"")</f>
        <v/>
      </c>
      <c r="Y1250" s="523" t="str">
        <f>IFERROR(VLOOKUP(LANÇ_MOV[[#This Row],[PLANO DE CONTAS]],Plano_Contas[[PLANO DE CONTAS]:[NOMES INTERVALOS]],2,0),"")</f>
        <v/>
      </c>
      <c r="Z1250" s="523" t="str">
        <f>IF(LANÇ_MOV[[#This Row],[FORMA DE PAGAMENTO]]="","",VLOOKUP(LANÇ_MOV[[#This Row],[FORMA DE PAGAMENTO]],CAD_Forma_pagto[],2,0))</f>
        <v/>
      </c>
      <c r="AA1250" s="524" t="str">
        <f>IF(LANÇ_MOV[[#This Row],[DATA DE LANÇAMENTO]]="","",TEXT(LANÇ_MOV[[#This Row],[DATA DE LANÇAMENTO]],"AAAA"))</f>
        <v/>
      </c>
      <c r="AB1250" s="524" t="str">
        <f>IF(LANÇ_MOV[[#This Row],[DATA DE LANÇAMENTO]]="","",UPPER(TEXT(LANÇ_MOV[[#This Row],[DATA DE LANÇAMENTO]],"MMMM")))</f>
        <v/>
      </c>
      <c r="AC1250" s="525" t="str">
        <f>IF(LANÇ_MOV[[#This Row],[DATA DE LANÇAMENTO]]="","",PROPER(TEXT(LANÇ_MOV[[#This Row],[DATA DE LANÇAMENTO]],"M")))</f>
        <v/>
      </c>
      <c r="AD1250" s="524" t="str">
        <f>IF(LANÇ_MOV[[#This Row],[DATA DE LANÇAMENTO]]="","",TEXT(LANÇ_MOV[[#This Row],[DATA DE LANÇAMENTO]],"D"))</f>
        <v/>
      </c>
      <c r="AE1250" s="526" t="str">
        <f>IF(LANÇ_MOV[[#This Row],[DATA DE VENCIMENTO]]="","",TEXT(LANÇ_MOV[[#This Row],[DATA DE VENCIMENTO]],"AAAA"))</f>
        <v/>
      </c>
      <c r="AF1250" s="526" t="str">
        <f>IF(LANÇ_MOV[[#This Row],[DATA DE VENCIMENTO]]="","",UPPER(TEXT(LANÇ_MOV[[#This Row],[DATA DE VENCIMENTO]],"MMMM")))</f>
        <v/>
      </c>
      <c r="AG1250" s="526" t="str">
        <f>IF(LANÇ_MOV[[#This Row],[DATA DE VENCIMENTO]]="","",TEXT(LANÇ_MOV[[#This Row],[DATA DE VENCIMENTO]],"M"))</f>
        <v/>
      </c>
      <c r="AH1250" s="526" t="str">
        <f>IF(LANÇ_MOV[[#This Row],[DATA DE VENCIMENTO]]="","",TEXT(LANÇ_MOV[[#This Row],[DATA DE VENCIMENTO]],"D"))</f>
        <v/>
      </c>
      <c r="AI1250" s="526" t="str">
        <f>IF(LANÇ_MOV[[#This Row],[DATA DE PAGAMENTO]]="","",TEXT(LANÇ_MOV[[#This Row],[DATA DE PAGAMENTO]],"AAAA"))</f>
        <v/>
      </c>
      <c r="AJ1250" s="527" t="str">
        <f>IF(LANÇ_MOV[[#This Row],[DATA DE PAGAMENTO]]="","",UPPER(TEXT(LANÇ_MOV[[#This Row],[DATA DE PAGAMENTO]],"MMMM")))</f>
        <v/>
      </c>
      <c r="AK1250" s="527" t="str">
        <f>IF(LANÇ_MOV[[#This Row],[DATA DE PAGAMENTO]]="","",TEXT(LANÇ_MOV[[#This Row],[DATA DE PAGAMENTO]],"M"))</f>
        <v/>
      </c>
      <c r="AL1250" s="526" t="str">
        <f>IF(LANÇ_MOV[[#This Row],[DATA DE PAGAMENTO]]="","",TEXT(LANÇ_MOV[[#This Row],[DATA DE PAGAMENTO]],"D"))</f>
        <v/>
      </c>
    </row>
    <row r="1251" spans="2:38" ht="30.05" customHeight="1" x14ac:dyDescent="0.35">
      <c r="B1251" s="506"/>
      <c r="C1251" s="507"/>
      <c r="D1251" s="508" t="s">
        <v>1854</v>
      </c>
      <c r="E1251" s="509"/>
      <c r="F1251" s="510"/>
      <c r="G1251" s="507"/>
      <c r="H1251" s="511"/>
      <c r="I1251" s="512"/>
      <c r="J1251" s="518"/>
      <c r="K1251" s="510"/>
      <c r="L1251" s="510"/>
      <c r="M1251" s="548"/>
      <c r="N1251" s="514">
        <f>LANÇ_MOV[[#This Row],[VALOR BRUTO]]-LANÇ_MOV[[#This Row],[DESCONTO]]+LANÇ_MOV[[#This Row],[JUROS]]+LANÇ_MOV[[#This Row],[MULTA]]</f>
        <v>0</v>
      </c>
      <c r="O1251" s="546"/>
      <c r="P1251" s="547" t="str">
        <f t="shared" ca="1" si="19"/>
        <v/>
      </c>
      <c r="Q1251" s="528"/>
      <c r="R1251" s="529"/>
      <c r="S1251" s="518"/>
      <c r="T1251" s="518"/>
      <c r="U1251" s="519"/>
      <c r="V1251" s="520" t="str">
        <f>IFERROR(VLOOKUP(LANÇ_MOV[[#This Row],[PLANO DE CONTAS]],Plano_Contas[[PLANO DE CONTAS]:[R / D]],3,0),"")</f>
        <v/>
      </c>
      <c r="W1251" s="521" t="str">
        <f>IF(LANÇ_MOV[[#This Row],[DATA DE PAGAMENTO]]&lt;&gt;"","Pago","Não Pago")</f>
        <v>Não Pago</v>
      </c>
      <c r="X1251" s="522" t="str">
        <f>IFERROR(IF(LANÇ_MOV[[#This Row],[DATA DE PAGAMENTO]]="","",(UPPER(TEXT(LANÇ_MOV[[#This Row],[DATA DE PAGAMENTO]],"mmmm")))),"")</f>
        <v/>
      </c>
      <c r="Y1251" s="523" t="str">
        <f>IFERROR(VLOOKUP(LANÇ_MOV[[#This Row],[PLANO DE CONTAS]],Plano_Contas[[PLANO DE CONTAS]:[NOMES INTERVALOS]],2,0),"")</f>
        <v/>
      </c>
      <c r="Z1251" s="523" t="str">
        <f>IF(LANÇ_MOV[[#This Row],[FORMA DE PAGAMENTO]]="","",VLOOKUP(LANÇ_MOV[[#This Row],[FORMA DE PAGAMENTO]],CAD_Forma_pagto[],2,0))</f>
        <v/>
      </c>
      <c r="AA1251" s="524" t="str">
        <f>IF(LANÇ_MOV[[#This Row],[DATA DE LANÇAMENTO]]="","",TEXT(LANÇ_MOV[[#This Row],[DATA DE LANÇAMENTO]],"AAAA"))</f>
        <v/>
      </c>
      <c r="AB1251" s="524" t="str">
        <f>IF(LANÇ_MOV[[#This Row],[DATA DE LANÇAMENTO]]="","",UPPER(TEXT(LANÇ_MOV[[#This Row],[DATA DE LANÇAMENTO]],"MMMM")))</f>
        <v/>
      </c>
      <c r="AC1251" s="525" t="str">
        <f>IF(LANÇ_MOV[[#This Row],[DATA DE LANÇAMENTO]]="","",PROPER(TEXT(LANÇ_MOV[[#This Row],[DATA DE LANÇAMENTO]],"M")))</f>
        <v/>
      </c>
      <c r="AD1251" s="524" t="str">
        <f>IF(LANÇ_MOV[[#This Row],[DATA DE LANÇAMENTO]]="","",TEXT(LANÇ_MOV[[#This Row],[DATA DE LANÇAMENTO]],"D"))</f>
        <v/>
      </c>
      <c r="AE1251" s="526" t="str">
        <f>IF(LANÇ_MOV[[#This Row],[DATA DE VENCIMENTO]]="","",TEXT(LANÇ_MOV[[#This Row],[DATA DE VENCIMENTO]],"AAAA"))</f>
        <v/>
      </c>
      <c r="AF1251" s="526" t="str">
        <f>IF(LANÇ_MOV[[#This Row],[DATA DE VENCIMENTO]]="","",UPPER(TEXT(LANÇ_MOV[[#This Row],[DATA DE VENCIMENTO]],"MMMM")))</f>
        <v/>
      </c>
      <c r="AG1251" s="526" t="str">
        <f>IF(LANÇ_MOV[[#This Row],[DATA DE VENCIMENTO]]="","",TEXT(LANÇ_MOV[[#This Row],[DATA DE VENCIMENTO]],"M"))</f>
        <v/>
      </c>
      <c r="AH1251" s="526" t="str">
        <f>IF(LANÇ_MOV[[#This Row],[DATA DE VENCIMENTO]]="","",TEXT(LANÇ_MOV[[#This Row],[DATA DE VENCIMENTO]],"D"))</f>
        <v/>
      </c>
      <c r="AI1251" s="526" t="str">
        <f>IF(LANÇ_MOV[[#This Row],[DATA DE PAGAMENTO]]="","",TEXT(LANÇ_MOV[[#This Row],[DATA DE PAGAMENTO]],"AAAA"))</f>
        <v/>
      </c>
      <c r="AJ1251" s="527" t="str">
        <f>IF(LANÇ_MOV[[#This Row],[DATA DE PAGAMENTO]]="","",UPPER(TEXT(LANÇ_MOV[[#This Row],[DATA DE PAGAMENTO]],"MMMM")))</f>
        <v/>
      </c>
      <c r="AK1251" s="527" t="str">
        <f>IF(LANÇ_MOV[[#This Row],[DATA DE PAGAMENTO]]="","",TEXT(LANÇ_MOV[[#This Row],[DATA DE PAGAMENTO]],"M"))</f>
        <v/>
      </c>
      <c r="AL1251" s="526" t="str">
        <f>IF(LANÇ_MOV[[#This Row],[DATA DE PAGAMENTO]]="","",TEXT(LANÇ_MOV[[#This Row],[DATA DE PAGAMENTO]],"D"))</f>
        <v/>
      </c>
    </row>
    <row r="1252" spans="2:38" ht="30.05" customHeight="1" x14ac:dyDescent="0.35">
      <c r="B1252" s="506"/>
      <c r="C1252" s="507"/>
      <c r="D1252" s="508" t="s">
        <v>1854</v>
      </c>
      <c r="E1252" s="509"/>
      <c r="F1252" s="510"/>
      <c r="G1252" s="507"/>
      <c r="H1252" s="511"/>
      <c r="I1252" s="512"/>
      <c r="J1252" s="518"/>
      <c r="K1252" s="510"/>
      <c r="L1252" s="510"/>
      <c r="M1252" s="548"/>
      <c r="N1252" s="514">
        <f>LANÇ_MOV[[#This Row],[VALOR BRUTO]]-LANÇ_MOV[[#This Row],[DESCONTO]]+LANÇ_MOV[[#This Row],[JUROS]]+LANÇ_MOV[[#This Row],[MULTA]]</f>
        <v>0</v>
      </c>
      <c r="O1252" s="546"/>
      <c r="P1252" s="516" t="str">
        <f t="shared" ca="1" si="19"/>
        <v/>
      </c>
      <c r="Q1252" s="528"/>
      <c r="R1252" s="529"/>
      <c r="S1252" s="518"/>
      <c r="T1252" s="518"/>
      <c r="U1252" s="519"/>
      <c r="V1252" s="520" t="str">
        <f>IFERROR(VLOOKUP(LANÇ_MOV[[#This Row],[PLANO DE CONTAS]],Plano_Contas[[PLANO DE CONTAS]:[R / D]],3,0),"")</f>
        <v/>
      </c>
      <c r="W1252" s="521" t="str">
        <f>IF(LANÇ_MOV[[#This Row],[DATA DE PAGAMENTO]]&lt;&gt;"","Pago","Não Pago")</f>
        <v>Não Pago</v>
      </c>
      <c r="X1252" s="522" t="str">
        <f>IFERROR(IF(LANÇ_MOV[[#This Row],[DATA DE PAGAMENTO]]="","",(UPPER(TEXT(LANÇ_MOV[[#This Row],[DATA DE PAGAMENTO]],"mmmm")))),"")</f>
        <v/>
      </c>
      <c r="Y1252" s="523" t="str">
        <f>IFERROR(VLOOKUP(LANÇ_MOV[[#This Row],[PLANO DE CONTAS]],Plano_Contas[[PLANO DE CONTAS]:[NOMES INTERVALOS]],2,0),"")</f>
        <v/>
      </c>
      <c r="Z1252" s="523" t="str">
        <f>IF(LANÇ_MOV[[#This Row],[FORMA DE PAGAMENTO]]="","",VLOOKUP(LANÇ_MOV[[#This Row],[FORMA DE PAGAMENTO]],CAD_Forma_pagto[],2,0))</f>
        <v/>
      </c>
      <c r="AA1252" s="524" t="str">
        <f>IF(LANÇ_MOV[[#This Row],[DATA DE LANÇAMENTO]]="","",TEXT(LANÇ_MOV[[#This Row],[DATA DE LANÇAMENTO]],"AAAA"))</f>
        <v/>
      </c>
      <c r="AB1252" s="524" t="str">
        <f>IF(LANÇ_MOV[[#This Row],[DATA DE LANÇAMENTO]]="","",UPPER(TEXT(LANÇ_MOV[[#This Row],[DATA DE LANÇAMENTO]],"MMMM")))</f>
        <v/>
      </c>
      <c r="AC1252" s="525" t="str">
        <f>IF(LANÇ_MOV[[#This Row],[DATA DE LANÇAMENTO]]="","",PROPER(TEXT(LANÇ_MOV[[#This Row],[DATA DE LANÇAMENTO]],"M")))</f>
        <v/>
      </c>
      <c r="AD1252" s="524" t="str">
        <f>IF(LANÇ_MOV[[#This Row],[DATA DE LANÇAMENTO]]="","",TEXT(LANÇ_MOV[[#This Row],[DATA DE LANÇAMENTO]],"D"))</f>
        <v/>
      </c>
      <c r="AE1252" s="526" t="str">
        <f>IF(LANÇ_MOV[[#This Row],[DATA DE VENCIMENTO]]="","",TEXT(LANÇ_MOV[[#This Row],[DATA DE VENCIMENTO]],"AAAA"))</f>
        <v/>
      </c>
      <c r="AF1252" s="526" t="str">
        <f>IF(LANÇ_MOV[[#This Row],[DATA DE VENCIMENTO]]="","",UPPER(TEXT(LANÇ_MOV[[#This Row],[DATA DE VENCIMENTO]],"MMMM")))</f>
        <v/>
      </c>
      <c r="AG1252" s="526" t="str">
        <f>IF(LANÇ_MOV[[#This Row],[DATA DE VENCIMENTO]]="","",TEXT(LANÇ_MOV[[#This Row],[DATA DE VENCIMENTO]],"M"))</f>
        <v/>
      </c>
      <c r="AH1252" s="526" t="str">
        <f>IF(LANÇ_MOV[[#This Row],[DATA DE VENCIMENTO]]="","",TEXT(LANÇ_MOV[[#This Row],[DATA DE VENCIMENTO]],"D"))</f>
        <v/>
      </c>
      <c r="AI1252" s="526" t="str">
        <f>IF(LANÇ_MOV[[#This Row],[DATA DE PAGAMENTO]]="","",TEXT(LANÇ_MOV[[#This Row],[DATA DE PAGAMENTO]],"AAAA"))</f>
        <v/>
      </c>
      <c r="AJ1252" s="527" t="str">
        <f>IF(LANÇ_MOV[[#This Row],[DATA DE PAGAMENTO]]="","",UPPER(TEXT(LANÇ_MOV[[#This Row],[DATA DE PAGAMENTO]],"MMMM")))</f>
        <v/>
      </c>
      <c r="AK1252" s="527" t="str">
        <f>IF(LANÇ_MOV[[#This Row],[DATA DE PAGAMENTO]]="","",TEXT(LANÇ_MOV[[#This Row],[DATA DE PAGAMENTO]],"M"))</f>
        <v/>
      </c>
      <c r="AL1252" s="526" t="str">
        <f>IF(LANÇ_MOV[[#This Row],[DATA DE PAGAMENTO]]="","",TEXT(LANÇ_MOV[[#This Row],[DATA DE PAGAMENTO]],"D"))</f>
        <v/>
      </c>
    </row>
  </sheetData>
  <sheetProtection insertRows="0" deleteRows="0" sort="0" autoFilter="0" pivotTables="0"/>
  <phoneticPr fontId="36" type="noConversion"/>
  <conditionalFormatting sqref="E59:E60 E117 E115 E213:E221 E224:E226 E202:E203 E197:E200 E192:E195 E189:E190 E178:E187 E163 E151:E156 E120 E46:E51 E41:E44 E147:E148 E4:E39 E228:E239 E347:E351 E359 E105 E330:E344 E122:E145 E159:E161 E165:E176 E242:E266 E269:E327 E362:E372 E383:E437 E441:E1252">
    <cfRule type="containsText" dxfId="1354" priority="128481" operator="containsText" text="ENDIVIDAMENTO">
      <formula>NOT(ISERROR(SEARCH("ENDIVIDAMENTO",E4)))</formula>
    </cfRule>
    <cfRule type="containsText" dxfId="1353" priority="128482" operator="containsText" text="IMPOSTOS">
      <formula>NOT(ISERROR(SEARCH("IMPOSTOS",E4)))</formula>
    </cfRule>
    <cfRule type="containsText" dxfId="1352" priority="128483" operator="containsText" text="INVESTIMENTO">
      <formula>NOT(ISERROR(SEARCH("INVESTIMENTO",E4)))</formula>
    </cfRule>
    <cfRule type="containsText" dxfId="1351" priority="128484" operator="containsText" text="Despesas">
      <formula>NOT(ISERROR(SEARCH("Despesas",E4)))</formula>
    </cfRule>
    <cfRule type="containsText" dxfId="1350" priority="128485" operator="containsText" text="Receitas">
      <formula>NOT(ISERROR(SEARCH("Receitas",E4)))</formula>
    </cfRule>
    <cfRule type="containsText" dxfId="1349" priority="128488" operator="containsText" text="ENDIVIDAMENTO">
      <formula>NOT(ISERROR(SEARCH("ENDIVIDAMENTO",E4)))</formula>
    </cfRule>
    <cfRule type="containsText" dxfId="1348" priority="128489" operator="containsText" text="IMPOSTOS">
      <formula>NOT(ISERROR(SEARCH("IMPOSTOS",E4)))</formula>
    </cfRule>
    <cfRule type="containsText" dxfId="1347" priority="128490" operator="containsText" text="INVESTIMENTO">
      <formula>NOT(ISERROR(SEARCH("INVESTIMENTO",E4)))</formula>
    </cfRule>
    <cfRule type="containsText" dxfId="1346" priority="128491" operator="containsText" text="Despesas">
      <formula>NOT(ISERROR(SEARCH("Despesas",E4)))</formula>
    </cfRule>
    <cfRule type="containsText" dxfId="1345" priority="128492" operator="containsText" text="Receitas">
      <formula>NOT(ISERROR(SEARCH("Receitas",E4)))</formula>
    </cfRule>
  </conditionalFormatting>
  <conditionalFormatting sqref="E40">
    <cfRule type="containsText" dxfId="1344" priority="120939" operator="containsText" text="ENDIVIDAMENTO">
      <formula>NOT(ISERROR(SEARCH("ENDIVIDAMENTO",E40)))</formula>
    </cfRule>
    <cfRule type="containsText" dxfId="1343" priority="120940" operator="containsText" text="IMPOSTOS">
      <formula>NOT(ISERROR(SEARCH("IMPOSTOS",E40)))</formula>
    </cfRule>
    <cfRule type="containsText" dxfId="1342" priority="120941" operator="containsText" text="INVESTIMENTO">
      <formula>NOT(ISERROR(SEARCH("INVESTIMENTO",E40)))</formula>
    </cfRule>
    <cfRule type="containsText" dxfId="1341" priority="120942" operator="containsText" text="Despesas">
      <formula>NOT(ISERROR(SEARCH("Despesas",E40)))</formula>
    </cfRule>
    <cfRule type="containsText" dxfId="1340" priority="120943" operator="containsText" text="Receitas">
      <formula>NOT(ISERROR(SEARCH("Receitas",E40)))</formula>
    </cfRule>
    <cfRule type="containsText" dxfId="1339" priority="120946" operator="containsText" text="ENDIVIDAMENTO">
      <formula>NOT(ISERROR(SEARCH("ENDIVIDAMENTO",E40)))</formula>
    </cfRule>
    <cfRule type="containsText" dxfId="1338" priority="120947" operator="containsText" text="IMPOSTOS">
      <formula>NOT(ISERROR(SEARCH("IMPOSTOS",E40)))</formula>
    </cfRule>
    <cfRule type="containsText" dxfId="1337" priority="120948" operator="containsText" text="INVESTIMENTO">
      <formula>NOT(ISERROR(SEARCH("INVESTIMENTO",E40)))</formula>
    </cfRule>
    <cfRule type="containsText" dxfId="1336" priority="120949" operator="containsText" text="Despesas">
      <formula>NOT(ISERROR(SEARCH("Despesas",E40)))</formula>
    </cfRule>
    <cfRule type="containsText" dxfId="1335" priority="120950" operator="containsText" text="Receitas">
      <formula>NOT(ISERROR(SEARCH("Receitas",E40)))</formula>
    </cfRule>
  </conditionalFormatting>
  <conditionalFormatting sqref="E45">
    <cfRule type="containsText" dxfId="1334" priority="116587" operator="containsText" text="ENDIVIDAMENTO">
      <formula>NOT(ISERROR(SEARCH("ENDIVIDAMENTO",E45)))</formula>
    </cfRule>
    <cfRule type="containsText" dxfId="1333" priority="116588" operator="containsText" text="IMPOSTOS">
      <formula>NOT(ISERROR(SEARCH("IMPOSTOS",E45)))</formula>
    </cfRule>
    <cfRule type="containsText" dxfId="1332" priority="116589" operator="containsText" text="INVESTIMENTO">
      <formula>NOT(ISERROR(SEARCH("INVESTIMENTO",E45)))</formula>
    </cfRule>
    <cfRule type="containsText" dxfId="1331" priority="116590" operator="containsText" text="Despesas">
      <formula>NOT(ISERROR(SEARCH("Despesas",E45)))</formula>
    </cfRule>
    <cfRule type="containsText" dxfId="1330" priority="116591" operator="containsText" text="Receitas">
      <formula>NOT(ISERROR(SEARCH("Receitas",E45)))</formula>
    </cfRule>
    <cfRule type="containsText" dxfId="1329" priority="116594" operator="containsText" text="ENDIVIDAMENTO">
      <formula>NOT(ISERROR(SEARCH("ENDIVIDAMENTO",E45)))</formula>
    </cfRule>
    <cfRule type="containsText" dxfId="1328" priority="116595" operator="containsText" text="IMPOSTOS">
      <formula>NOT(ISERROR(SEARCH("IMPOSTOS",E45)))</formula>
    </cfRule>
    <cfRule type="containsText" dxfId="1327" priority="116596" operator="containsText" text="INVESTIMENTO">
      <formula>NOT(ISERROR(SEARCH("INVESTIMENTO",E45)))</formula>
    </cfRule>
    <cfRule type="containsText" dxfId="1326" priority="116597" operator="containsText" text="Despesas">
      <formula>NOT(ISERROR(SEARCH("Despesas",E45)))</formula>
    </cfRule>
    <cfRule type="containsText" dxfId="1325" priority="116598" operator="containsText" text="Receitas">
      <formula>NOT(ISERROR(SEARCH("Receitas",E45)))</formula>
    </cfRule>
  </conditionalFormatting>
  <conditionalFormatting sqref="E52:E53">
    <cfRule type="containsText" dxfId="1324" priority="105709" operator="containsText" text="ENDIVIDAMENTO">
      <formula>NOT(ISERROR(SEARCH("ENDIVIDAMENTO",E52)))</formula>
    </cfRule>
    <cfRule type="containsText" dxfId="1323" priority="105710" operator="containsText" text="IMPOSTOS">
      <formula>NOT(ISERROR(SEARCH("IMPOSTOS",E52)))</formula>
    </cfRule>
    <cfRule type="containsText" dxfId="1322" priority="105711" operator="containsText" text="INVESTIMENTO">
      <formula>NOT(ISERROR(SEARCH("INVESTIMENTO",E52)))</formula>
    </cfRule>
    <cfRule type="containsText" dxfId="1321" priority="105712" operator="containsText" text="Despesas">
      <formula>NOT(ISERROR(SEARCH("Despesas",E52)))</formula>
    </cfRule>
    <cfRule type="containsText" dxfId="1320" priority="105713" operator="containsText" text="Receitas">
      <formula>NOT(ISERROR(SEARCH("Receitas",E52)))</formula>
    </cfRule>
    <cfRule type="containsText" dxfId="1319" priority="105716" operator="containsText" text="ENDIVIDAMENTO">
      <formula>NOT(ISERROR(SEARCH("ENDIVIDAMENTO",E52)))</formula>
    </cfRule>
    <cfRule type="containsText" dxfId="1318" priority="105717" operator="containsText" text="IMPOSTOS">
      <formula>NOT(ISERROR(SEARCH("IMPOSTOS",E52)))</formula>
    </cfRule>
    <cfRule type="containsText" dxfId="1317" priority="105718" operator="containsText" text="INVESTIMENTO">
      <formula>NOT(ISERROR(SEARCH("INVESTIMENTO",E52)))</formula>
    </cfRule>
    <cfRule type="containsText" dxfId="1316" priority="105719" operator="containsText" text="Despesas">
      <formula>NOT(ISERROR(SEARCH("Despesas",E52)))</formula>
    </cfRule>
    <cfRule type="containsText" dxfId="1315" priority="105720" operator="containsText" text="Receitas">
      <formula>NOT(ISERROR(SEARCH("Receitas",E52)))</formula>
    </cfRule>
  </conditionalFormatting>
  <conditionalFormatting sqref="E54">
    <cfRule type="containsText" dxfId="1314" priority="95943" operator="containsText" text="ENDIVIDAMENTO">
      <formula>NOT(ISERROR(SEARCH("ENDIVIDAMENTO",E54)))</formula>
    </cfRule>
    <cfRule type="containsText" dxfId="1313" priority="95944" operator="containsText" text="IMPOSTOS">
      <formula>NOT(ISERROR(SEARCH("IMPOSTOS",E54)))</formula>
    </cfRule>
    <cfRule type="containsText" dxfId="1312" priority="95945" operator="containsText" text="INVESTIMENTO">
      <formula>NOT(ISERROR(SEARCH("INVESTIMENTO",E54)))</formula>
    </cfRule>
    <cfRule type="containsText" dxfId="1311" priority="95946" operator="containsText" text="Despesas">
      <formula>NOT(ISERROR(SEARCH("Despesas",E54)))</formula>
    </cfRule>
    <cfRule type="containsText" dxfId="1310" priority="95947" operator="containsText" text="Receitas">
      <formula>NOT(ISERROR(SEARCH("Receitas",E54)))</formula>
    </cfRule>
    <cfRule type="containsText" dxfId="1309" priority="95950" operator="containsText" text="ENDIVIDAMENTO">
      <formula>NOT(ISERROR(SEARCH("ENDIVIDAMENTO",E54)))</formula>
    </cfRule>
    <cfRule type="containsText" dxfId="1308" priority="95951" operator="containsText" text="IMPOSTOS">
      <formula>NOT(ISERROR(SEARCH("IMPOSTOS",E54)))</formula>
    </cfRule>
    <cfRule type="containsText" dxfId="1307" priority="95952" operator="containsText" text="INVESTIMENTO">
      <formula>NOT(ISERROR(SEARCH("INVESTIMENTO",E54)))</formula>
    </cfRule>
    <cfRule type="containsText" dxfId="1306" priority="95953" operator="containsText" text="Despesas">
      <formula>NOT(ISERROR(SEARCH("Despesas",E54)))</formula>
    </cfRule>
    <cfRule type="containsText" dxfId="1305" priority="95954" operator="containsText" text="Receitas">
      <formula>NOT(ISERROR(SEARCH("Receitas",E54)))</formula>
    </cfRule>
  </conditionalFormatting>
  <conditionalFormatting sqref="E55">
    <cfRule type="containsText" dxfId="1304" priority="95919" operator="containsText" text="ENDIVIDAMENTO">
      <formula>NOT(ISERROR(SEARCH("ENDIVIDAMENTO",E55)))</formula>
    </cfRule>
    <cfRule type="containsText" dxfId="1303" priority="95920" operator="containsText" text="IMPOSTOS">
      <formula>NOT(ISERROR(SEARCH("IMPOSTOS",E55)))</formula>
    </cfRule>
    <cfRule type="containsText" dxfId="1302" priority="95921" operator="containsText" text="INVESTIMENTO">
      <formula>NOT(ISERROR(SEARCH("INVESTIMENTO",E55)))</formula>
    </cfRule>
    <cfRule type="containsText" dxfId="1301" priority="95922" operator="containsText" text="Despesas">
      <formula>NOT(ISERROR(SEARCH("Despesas",E55)))</formula>
    </cfRule>
    <cfRule type="containsText" dxfId="1300" priority="95923" operator="containsText" text="Receitas">
      <formula>NOT(ISERROR(SEARCH("Receitas",E55)))</formula>
    </cfRule>
    <cfRule type="containsText" dxfId="1299" priority="95926" operator="containsText" text="ENDIVIDAMENTO">
      <formula>NOT(ISERROR(SEARCH("ENDIVIDAMENTO",E55)))</formula>
    </cfRule>
    <cfRule type="containsText" dxfId="1298" priority="95927" operator="containsText" text="IMPOSTOS">
      <formula>NOT(ISERROR(SEARCH("IMPOSTOS",E55)))</formula>
    </cfRule>
    <cfRule type="containsText" dxfId="1297" priority="95928" operator="containsText" text="INVESTIMENTO">
      <formula>NOT(ISERROR(SEARCH("INVESTIMENTO",E55)))</formula>
    </cfRule>
    <cfRule type="containsText" dxfId="1296" priority="95929" operator="containsText" text="Despesas">
      <formula>NOT(ISERROR(SEARCH("Despesas",E55)))</formula>
    </cfRule>
    <cfRule type="containsText" dxfId="1295" priority="95930" operator="containsText" text="Receitas">
      <formula>NOT(ISERROR(SEARCH("Receitas",E55)))</formula>
    </cfRule>
  </conditionalFormatting>
  <conditionalFormatting sqref="E56">
    <cfRule type="containsText" dxfId="1294" priority="86421" operator="containsText" text="ENDIVIDAMENTO">
      <formula>NOT(ISERROR(SEARCH("ENDIVIDAMENTO",E56)))</formula>
    </cfRule>
    <cfRule type="containsText" dxfId="1293" priority="86422" operator="containsText" text="IMPOSTOS">
      <formula>NOT(ISERROR(SEARCH("IMPOSTOS",E56)))</formula>
    </cfRule>
    <cfRule type="containsText" dxfId="1292" priority="86423" operator="containsText" text="INVESTIMENTO">
      <formula>NOT(ISERROR(SEARCH("INVESTIMENTO",E56)))</formula>
    </cfRule>
    <cfRule type="containsText" dxfId="1291" priority="86424" operator="containsText" text="Despesas">
      <formula>NOT(ISERROR(SEARCH("Despesas",E56)))</formula>
    </cfRule>
    <cfRule type="containsText" dxfId="1290" priority="86425" operator="containsText" text="Receitas">
      <formula>NOT(ISERROR(SEARCH("Receitas",E56)))</formula>
    </cfRule>
    <cfRule type="containsText" dxfId="1289" priority="86428" operator="containsText" text="ENDIVIDAMENTO">
      <formula>NOT(ISERROR(SEARCH("ENDIVIDAMENTO",E56)))</formula>
    </cfRule>
    <cfRule type="containsText" dxfId="1288" priority="86429" operator="containsText" text="IMPOSTOS">
      <formula>NOT(ISERROR(SEARCH("IMPOSTOS",E56)))</formula>
    </cfRule>
    <cfRule type="containsText" dxfId="1287" priority="86430" operator="containsText" text="INVESTIMENTO">
      <formula>NOT(ISERROR(SEARCH("INVESTIMENTO",E56)))</formula>
    </cfRule>
    <cfRule type="containsText" dxfId="1286" priority="86431" operator="containsText" text="Despesas">
      <formula>NOT(ISERROR(SEARCH("Despesas",E56)))</formula>
    </cfRule>
    <cfRule type="containsText" dxfId="1285" priority="86432" operator="containsText" text="Receitas">
      <formula>NOT(ISERROR(SEARCH("Receitas",E56)))</formula>
    </cfRule>
  </conditionalFormatting>
  <conditionalFormatting sqref="E57">
    <cfRule type="containsText" dxfId="1284" priority="69459" operator="containsText" text="ENDIVIDAMENTO">
      <formula>NOT(ISERROR(SEARCH("ENDIVIDAMENTO",E57)))</formula>
    </cfRule>
    <cfRule type="containsText" dxfId="1283" priority="69460" operator="containsText" text="IMPOSTOS">
      <formula>NOT(ISERROR(SEARCH("IMPOSTOS",E57)))</formula>
    </cfRule>
    <cfRule type="containsText" dxfId="1282" priority="69461" operator="containsText" text="INVESTIMENTO">
      <formula>NOT(ISERROR(SEARCH("INVESTIMENTO",E57)))</formula>
    </cfRule>
    <cfRule type="containsText" dxfId="1281" priority="69462" operator="containsText" text="Despesas">
      <formula>NOT(ISERROR(SEARCH("Despesas",E57)))</formula>
    </cfRule>
    <cfRule type="containsText" dxfId="1280" priority="69463" operator="containsText" text="Receitas">
      <formula>NOT(ISERROR(SEARCH("Receitas",E57)))</formula>
    </cfRule>
    <cfRule type="containsText" dxfId="1279" priority="69466" operator="containsText" text="ENDIVIDAMENTO">
      <formula>NOT(ISERROR(SEARCH("ENDIVIDAMENTO",E57)))</formula>
    </cfRule>
    <cfRule type="containsText" dxfId="1278" priority="69467" operator="containsText" text="IMPOSTOS">
      <formula>NOT(ISERROR(SEARCH("IMPOSTOS",E57)))</formula>
    </cfRule>
    <cfRule type="containsText" dxfId="1277" priority="69468" operator="containsText" text="INVESTIMENTO">
      <formula>NOT(ISERROR(SEARCH("INVESTIMENTO",E57)))</formula>
    </cfRule>
    <cfRule type="containsText" dxfId="1276" priority="69469" operator="containsText" text="Despesas">
      <formula>NOT(ISERROR(SEARCH("Despesas",E57)))</formula>
    </cfRule>
    <cfRule type="containsText" dxfId="1275" priority="69470" operator="containsText" text="Receitas">
      <formula>NOT(ISERROR(SEARCH("Receitas",E57)))</formula>
    </cfRule>
  </conditionalFormatting>
  <conditionalFormatting sqref="E58">
    <cfRule type="containsText" dxfId="1274" priority="68651" operator="containsText" text="ENDIVIDAMENTO">
      <formula>NOT(ISERROR(SEARCH("ENDIVIDAMENTO",E58)))</formula>
    </cfRule>
    <cfRule type="containsText" dxfId="1273" priority="68652" operator="containsText" text="IMPOSTOS">
      <formula>NOT(ISERROR(SEARCH("IMPOSTOS",E58)))</formula>
    </cfRule>
    <cfRule type="containsText" dxfId="1272" priority="68653" operator="containsText" text="INVESTIMENTO">
      <formula>NOT(ISERROR(SEARCH("INVESTIMENTO",E58)))</formula>
    </cfRule>
    <cfRule type="containsText" dxfId="1271" priority="68654" operator="containsText" text="Despesas">
      <formula>NOT(ISERROR(SEARCH("Despesas",E58)))</formula>
    </cfRule>
    <cfRule type="containsText" dxfId="1270" priority="68655" operator="containsText" text="Receitas">
      <formula>NOT(ISERROR(SEARCH("Receitas",E58)))</formula>
    </cfRule>
    <cfRule type="containsText" dxfId="1269" priority="68658" operator="containsText" text="ENDIVIDAMENTO">
      <formula>NOT(ISERROR(SEARCH("ENDIVIDAMENTO",E58)))</formula>
    </cfRule>
    <cfRule type="containsText" dxfId="1268" priority="68659" operator="containsText" text="IMPOSTOS">
      <formula>NOT(ISERROR(SEARCH("IMPOSTOS",E58)))</formula>
    </cfRule>
    <cfRule type="containsText" dxfId="1267" priority="68660" operator="containsText" text="INVESTIMENTO">
      <formula>NOT(ISERROR(SEARCH("INVESTIMENTO",E58)))</formula>
    </cfRule>
    <cfRule type="containsText" dxfId="1266" priority="68661" operator="containsText" text="Despesas">
      <formula>NOT(ISERROR(SEARCH("Despesas",E58)))</formula>
    </cfRule>
    <cfRule type="containsText" dxfId="1265" priority="68662" operator="containsText" text="Receitas">
      <formula>NOT(ISERROR(SEARCH("Receitas",E58)))</formula>
    </cfRule>
  </conditionalFormatting>
  <conditionalFormatting sqref="E61">
    <cfRule type="containsText" dxfId="1264" priority="68603" operator="containsText" text="ENDIVIDAMENTO">
      <formula>NOT(ISERROR(SEARCH("ENDIVIDAMENTO",E61)))</formula>
    </cfRule>
    <cfRule type="containsText" dxfId="1263" priority="68604" operator="containsText" text="IMPOSTOS">
      <formula>NOT(ISERROR(SEARCH("IMPOSTOS",E61)))</formula>
    </cfRule>
    <cfRule type="containsText" dxfId="1262" priority="68605" operator="containsText" text="INVESTIMENTO">
      <formula>NOT(ISERROR(SEARCH("INVESTIMENTO",E61)))</formula>
    </cfRule>
    <cfRule type="containsText" dxfId="1261" priority="68606" operator="containsText" text="Despesas">
      <formula>NOT(ISERROR(SEARCH("Despesas",E61)))</formula>
    </cfRule>
    <cfRule type="containsText" dxfId="1260" priority="68607" operator="containsText" text="Receitas">
      <formula>NOT(ISERROR(SEARCH("Receitas",E61)))</formula>
    </cfRule>
    <cfRule type="containsText" dxfId="1259" priority="68610" operator="containsText" text="ENDIVIDAMENTO">
      <formula>NOT(ISERROR(SEARCH("ENDIVIDAMENTO",E61)))</formula>
    </cfRule>
    <cfRule type="containsText" dxfId="1258" priority="68611" operator="containsText" text="IMPOSTOS">
      <formula>NOT(ISERROR(SEARCH("IMPOSTOS",E61)))</formula>
    </cfRule>
    <cfRule type="containsText" dxfId="1257" priority="68612" operator="containsText" text="INVESTIMENTO">
      <formula>NOT(ISERROR(SEARCH("INVESTIMENTO",E61)))</formula>
    </cfRule>
    <cfRule type="containsText" dxfId="1256" priority="68613" operator="containsText" text="Despesas">
      <formula>NOT(ISERROR(SEARCH("Despesas",E61)))</formula>
    </cfRule>
    <cfRule type="containsText" dxfId="1255" priority="68614" operator="containsText" text="Receitas">
      <formula>NOT(ISERROR(SEARCH("Receitas",E61)))</formula>
    </cfRule>
  </conditionalFormatting>
  <conditionalFormatting sqref="E62">
    <cfRule type="containsText" dxfId="1254" priority="68531" operator="containsText" text="ENDIVIDAMENTO">
      <formula>NOT(ISERROR(SEARCH("ENDIVIDAMENTO",E62)))</formula>
    </cfRule>
    <cfRule type="containsText" dxfId="1253" priority="68532" operator="containsText" text="IMPOSTOS">
      <formula>NOT(ISERROR(SEARCH("IMPOSTOS",E62)))</formula>
    </cfRule>
    <cfRule type="containsText" dxfId="1252" priority="68533" operator="containsText" text="INVESTIMENTO">
      <formula>NOT(ISERROR(SEARCH("INVESTIMENTO",E62)))</formula>
    </cfRule>
    <cfRule type="containsText" dxfId="1251" priority="68534" operator="containsText" text="Despesas">
      <formula>NOT(ISERROR(SEARCH("Despesas",E62)))</formula>
    </cfRule>
    <cfRule type="containsText" dxfId="1250" priority="68535" operator="containsText" text="Receitas">
      <formula>NOT(ISERROR(SEARCH("Receitas",E62)))</formula>
    </cfRule>
    <cfRule type="containsText" dxfId="1249" priority="68538" operator="containsText" text="ENDIVIDAMENTO">
      <formula>NOT(ISERROR(SEARCH("ENDIVIDAMENTO",E62)))</formula>
    </cfRule>
    <cfRule type="containsText" dxfId="1248" priority="68539" operator="containsText" text="IMPOSTOS">
      <formula>NOT(ISERROR(SEARCH("IMPOSTOS",E62)))</formula>
    </cfRule>
    <cfRule type="containsText" dxfId="1247" priority="68540" operator="containsText" text="INVESTIMENTO">
      <formula>NOT(ISERROR(SEARCH("INVESTIMENTO",E62)))</formula>
    </cfRule>
    <cfRule type="containsText" dxfId="1246" priority="68541" operator="containsText" text="Despesas">
      <formula>NOT(ISERROR(SEARCH("Despesas",E62)))</formula>
    </cfRule>
    <cfRule type="containsText" dxfId="1245" priority="68542" operator="containsText" text="Receitas">
      <formula>NOT(ISERROR(SEARCH("Receitas",E62)))</formula>
    </cfRule>
  </conditionalFormatting>
  <conditionalFormatting sqref="E63">
    <cfRule type="containsText" dxfId="1244" priority="68507" operator="containsText" text="ENDIVIDAMENTO">
      <formula>NOT(ISERROR(SEARCH("ENDIVIDAMENTO",E63)))</formula>
    </cfRule>
    <cfRule type="containsText" dxfId="1243" priority="68508" operator="containsText" text="IMPOSTOS">
      <formula>NOT(ISERROR(SEARCH("IMPOSTOS",E63)))</formula>
    </cfRule>
    <cfRule type="containsText" dxfId="1242" priority="68509" operator="containsText" text="INVESTIMENTO">
      <formula>NOT(ISERROR(SEARCH("INVESTIMENTO",E63)))</formula>
    </cfRule>
    <cfRule type="containsText" dxfId="1241" priority="68510" operator="containsText" text="Despesas">
      <formula>NOT(ISERROR(SEARCH("Despesas",E63)))</formula>
    </cfRule>
    <cfRule type="containsText" dxfId="1240" priority="68511" operator="containsText" text="Receitas">
      <formula>NOT(ISERROR(SEARCH("Receitas",E63)))</formula>
    </cfRule>
    <cfRule type="containsText" dxfId="1239" priority="68514" operator="containsText" text="ENDIVIDAMENTO">
      <formula>NOT(ISERROR(SEARCH("ENDIVIDAMENTO",E63)))</formula>
    </cfRule>
    <cfRule type="containsText" dxfId="1238" priority="68515" operator="containsText" text="IMPOSTOS">
      <formula>NOT(ISERROR(SEARCH("IMPOSTOS",E63)))</formula>
    </cfRule>
    <cfRule type="containsText" dxfId="1237" priority="68516" operator="containsText" text="INVESTIMENTO">
      <formula>NOT(ISERROR(SEARCH("INVESTIMENTO",E63)))</formula>
    </cfRule>
    <cfRule type="containsText" dxfId="1236" priority="68517" operator="containsText" text="Despesas">
      <formula>NOT(ISERROR(SEARCH("Despesas",E63)))</formula>
    </cfRule>
    <cfRule type="containsText" dxfId="1235" priority="68518" operator="containsText" text="Receitas">
      <formula>NOT(ISERROR(SEARCH("Receitas",E63)))</formula>
    </cfRule>
  </conditionalFormatting>
  <conditionalFormatting sqref="E64">
    <cfRule type="containsText" dxfId="1234" priority="68483" operator="containsText" text="ENDIVIDAMENTO">
      <formula>NOT(ISERROR(SEARCH("ENDIVIDAMENTO",E64)))</formula>
    </cfRule>
    <cfRule type="containsText" dxfId="1233" priority="68484" operator="containsText" text="IMPOSTOS">
      <formula>NOT(ISERROR(SEARCH("IMPOSTOS",E64)))</formula>
    </cfRule>
    <cfRule type="containsText" dxfId="1232" priority="68485" operator="containsText" text="INVESTIMENTO">
      <formula>NOT(ISERROR(SEARCH("INVESTIMENTO",E64)))</formula>
    </cfRule>
    <cfRule type="containsText" dxfId="1231" priority="68486" operator="containsText" text="Despesas">
      <formula>NOT(ISERROR(SEARCH("Despesas",E64)))</formula>
    </cfRule>
    <cfRule type="containsText" dxfId="1230" priority="68487" operator="containsText" text="Receitas">
      <formula>NOT(ISERROR(SEARCH("Receitas",E64)))</formula>
    </cfRule>
    <cfRule type="containsText" dxfId="1229" priority="68490" operator="containsText" text="ENDIVIDAMENTO">
      <formula>NOT(ISERROR(SEARCH("ENDIVIDAMENTO",E64)))</formula>
    </cfRule>
    <cfRule type="containsText" dxfId="1228" priority="68491" operator="containsText" text="IMPOSTOS">
      <formula>NOT(ISERROR(SEARCH("IMPOSTOS",E64)))</formula>
    </cfRule>
    <cfRule type="containsText" dxfId="1227" priority="68492" operator="containsText" text="INVESTIMENTO">
      <formula>NOT(ISERROR(SEARCH("INVESTIMENTO",E64)))</formula>
    </cfRule>
    <cfRule type="containsText" dxfId="1226" priority="68493" operator="containsText" text="Despesas">
      <formula>NOT(ISERROR(SEARCH("Despesas",E64)))</formula>
    </cfRule>
    <cfRule type="containsText" dxfId="1225" priority="68494" operator="containsText" text="Receitas">
      <formula>NOT(ISERROR(SEARCH("Receitas",E64)))</formula>
    </cfRule>
  </conditionalFormatting>
  <conditionalFormatting sqref="E65">
    <cfRule type="containsText" dxfId="1224" priority="68459" operator="containsText" text="ENDIVIDAMENTO">
      <formula>NOT(ISERROR(SEARCH("ENDIVIDAMENTO",E65)))</formula>
    </cfRule>
    <cfRule type="containsText" dxfId="1223" priority="68460" operator="containsText" text="IMPOSTOS">
      <formula>NOT(ISERROR(SEARCH("IMPOSTOS",E65)))</formula>
    </cfRule>
    <cfRule type="containsText" dxfId="1222" priority="68461" operator="containsText" text="INVESTIMENTO">
      <formula>NOT(ISERROR(SEARCH("INVESTIMENTO",E65)))</formula>
    </cfRule>
    <cfRule type="containsText" dxfId="1221" priority="68462" operator="containsText" text="Despesas">
      <formula>NOT(ISERROR(SEARCH("Despesas",E65)))</formula>
    </cfRule>
    <cfRule type="containsText" dxfId="1220" priority="68463" operator="containsText" text="Receitas">
      <formula>NOT(ISERROR(SEARCH("Receitas",E65)))</formula>
    </cfRule>
    <cfRule type="containsText" dxfId="1219" priority="68466" operator="containsText" text="ENDIVIDAMENTO">
      <formula>NOT(ISERROR(SEARCH("ENDIVIDAMENTO",E65)))</formula>
    </cfRule>
    <cfRule type="containsText" dxfId="1218" priority="68467" operator="containsText" text="IMPOSTOS">
      <formula>NOT(ISERROR(SEARCH("IMPOSTOS",E65)))</formula>
    </cfRule>
    <cfRule type="containsText" dxfId="1217" priority="68468" operator="containsText" text="INVESTIMENTO">
      <formula>NOT(ISERROR(SEARCH("INVESTIMENTO",E65)))</formula>
    </cfRule>
    <cfRule type="containsText" dxfId="1216" priority="68469" operator="containsText" text="Despesas">
      <formula>NOT(ISERROR(SEARCH("Despesas",E65)))</formula>
    </cfRule>
    <cfRule type="containsText" dxfId="1215" priority="68470" operator="containsText" text="Receitas">
      <formula>NOT(ISERROR(SEARCH("Receitas",E65)))</formula>
    </cfRule>
  </conditionalFormatting>
  <conditionalFormatting sqref="E67:E68">
    <cfRule type="containsText" dxfId="1214" priority="68411" operator="containsText" text="ENDIVIDAMENTO">
      <formula>NOT(ISERROR(SEARCH("ENDIVIDAMENTO",E67)))</formula>
    </cfRule>
    <cfRule type="containsText" dxfId="1213" priority="68412" operator="containsText" text="IMPOSTOS">
      <formula>NOT(ISERROR(SEARCH("IMPOSTOS",E67)))</formula>
    </cfRule>
    <cfRule type="containsText" dxfId="1212" priority="68413" operator="containsText" text="INVESTIMENTO">
      <formula>NOT(ISERROR(SEARCH("INVESTIMENTO",E67)))</formula>
    </cfRule>
    <cfRule type="containsText" dxfId="1211" priority="68414" operator="containsText" text="Despesas">
      <formula>NOT(ISERROR(SEARCH("Despesas",E67)))</formula>
    </cfRule>
    <cfRule type="containsText" dxfId="1210" priority="68415" operator="containsText" text="Receitas">
      <formula>NOT(ISERROR(SEARCH("Receitas",E67)))</formula>
    </cfRule>
    <cfRule type="containsText" dxfId="1209" priority="68418" operator="containsText" text="ENDIVIDAMENTO">
      <formula>NOT(ISERROR(SEARCH("ENDIVIDAMENTO",E67)))</formula>
    </cfRule>
    <cfRule type="containsText" dxfId="1208" priority="68419" operator="containsText" text="IMPOSTOS">
      <formula>NOT(ISERROR(SEARCH("IMPOSTOS",E67)))</formula>
    </cfRule>
    <cfRule type="containsText" dxfId="1207" priority="68420" operator="containsText" text="INVESTIMENTO">
      <formula>NOT(ISERROR(SEARCH("INVESTIMENTO",E67)))</formula>
    </cfRule>
    <cfRule type="containsText" dxfId="1206" priority="68421" operator="containsText" text="Despesas">
      <formula>NOT(ISERROR(SEARCH("Despesas",E67)))</formula>
    </cfRule>
    <cfRule type="containsText" dxfId="1205" priority="68422" operator="containsText" text="Receitas">
      <formula>NOT(ISERROR(SEARCH("Receitas",E67)))</formula>
    </cfRule>
  </conditionalFormatting>
  <conditionalFormatting sqref="E72">
    <cfRule type="containsText" dxfId="1204" priority="68387" operator="containsText" text="ENDIVIDAMENTO">
      <formula>NOT(ISERROR(SEARCH("ENDIVIDAMENTO",E72)))</formula>
    </cfRule>
    <cfRule type="containsText" dxfId="1203" priority="68388" operator="containsText" text="IMPOSTOS">
      <formula>NOT(ISERROR(SEARCH("IMPOSTOS",E72)))</formula>
    </cfRule>
    <cfRule type="containsText" dxfId="1202" priority="68389" operator="containsText" text="INVESTIMENTO">
      <formula>NOT(ISERROR(SEARCH("INVESTIMENTO",E72)))</formula>
    </cfRule>
    <cfRule type="containsText" dxfId="1201" priority="68390" operator="containsText" text="Despesas">
      <formula>NOT(ISERROR(SEARCH("Despesas",E72)))</formula>
    </cfRule>
    <cfRule type="containsText" dxfId="1200" priority="68391" operator="containsText" text="Receitas">
      <formula>NOT(ISERROR(SEARCH("Receitas",E72)))</formula>
    </cfRule>
    <cfRule type="containsText" dxfId="1199" priority="68394" operator="containsText" text="ENDIVIDAMENTO">
      <formula>NOT(ISERROR(SEARCH("ENDIVIDAMENTO",E72)))</formula>
    </cfRule>
    <cfRule type="containsText" dxfId="1198" priority="68395" operator="containsText" text="IMPOSTOS">
      <formula>NOT(ISERROR(SEARCH("IMPOSTOS",E72)))</formula>
    </cfRule>
    <cfRule type="containsText" dxfId="1197" priority="68396" operator="containsText" text="INVESTIMENTO">
      <formula>NOT(ISERROR(SEARCH("INVESTIMENTO",E72)))</formula>
    </cfRule>
    <cfRule type="containsText" dxfId="1196" priority="68397" operator="containsText" text="Despesas">
      <formula>NOT(ISERROR(SEARCH("Despesas",E72)))</formula>
    </cfRule>
    <cfRule type="containsText" dxfId="1195" priority="68398" operator="containsText" text="Receitas">
      <formula>NOT(ISERROR(SEARCH("Receitas",E72)))</formula>
    </cfRule>
  </conditionalFormatting>
  <conditionalFormatting sqref="E73">
    <cfRule type="containsText" dxfId="1194" priority="68363" operator="containsText" text="ENDIVIDAMENTO">
      <formula>NOT(ISERROR(SEARCH("ENDIVIDAMENTO",E73)))</formula>
    </cfRule>
    <cfRule type="containsText" dxfId="1193" priority="68364" operator="containsText" text="IMPOSTOS">
      <formula>NOT(ISERROR(SEARCH("IMPOSTOS",E73)))</formula>
    </cfRule>
    <cfRule type="containsText" dxfId="1192" priority="68365" operator="containsText" text="INVESTIMENTO">
      <formula>NOT(ISERROR(SEARCH("INVESTIMENTO",E73)))</formula>
    </cfRule>
    <cfRule type="containsText" dxfId="1191" priority="68366" operator="containsText" text="Despesas">
      <formula>NOT(ISERROR(SEARCH("Despesas",E73)))</formula>
    </cfRule>
    <cfRule type="containsText" dxfId="1190" priority="68367" operator="containsText" text="Receitas">
      <formula>NOT(ISERROR(SEARCH("Receitas",E73)))</formula>
    </cfRule>
    <cfRule type="containsText" dxfId="1189" priority="68370" operator="containsText" text="ENDIVIDAMENTO">
      <formula>NOT(ISERROR(SEARCH("ENDIVIDAMENTO",E73)))</formula>
    </cfRule>
    <cfRule type="containsText" dxfId="1188" priority="68371" operator="containsText" text="IMPOSTOS">
      <formula>NOT(ISERROR(SEARCH("IMPOSTOS",E73)))</formula>
    </cfRule>
    <cfRule type="containsText" dxfId="1187" priority="68372" operator="containsText" text="INVESTIMENTO">
      <formula>NOT(ISERROR(SEARCH("INVESTIMENTO",E73)))</formula>
    </cfRule>
    <cfRule type="containsText" dxfId="1186" priority="68373" operator="containsText" text="Despesas">
      <formula>NOT(ISERROR(SEARCH("Despesas",E73)))</formula>
    </cfRule>
    <cfRule type="containsText" dxfId="1185" priority="68374" operator="containsText" text="Receitas">
      <formula>NOT(ISERROR(SEARCH("Receitas",E73)))</formula>
    </cfRule>
  </conditionalFormatting>
  <conditionalFormatting sqref="E74">
    <cfRule type="containsText" dxfId="1184" priority="68339" operator="containsText" text="ENDIVIDAMENTO">
      <formula>NOT(ISERROR(SEARCH("ENDIVIDAMENTO",E74)))</formula>
    </cfRule>
    <cfRule type="containsText" dxfId="1183" priority="68340" operator="containsText" text="IMPOSTOS">
      <formula>NOT(ISERROR(SEARCH("IMPOSTOS",E74)))</formula>
    </cfRule>
    <cfRule type="containsText" dxfId="1182" priority="68341" operator="containsText" text="INVESTIMENTO">
      <formula>NOT(ISERROR(SEARCH("INVESTIMENTO",E74)))</formula>
    </cfRule>
    <cfRule type="containsText" dxfId="1181" priority="68342" operator="containsText" text="Despesas">
      <formula>NOT(ISERROR(SEARCH("Despesas",E74)))</formula>
    </cfRule>
    <cfRule type="containsText" dxfId="1180" priority="68343" operator="containsText" text="Receitas">
      <formula>NOT(ISERROR(SEARCH("Receitas",E74)))</formula>
    </cfRule>
    <cfRule type="containsText" dxfId="1179" priority="68346" operator="containsText" text="ENDIVIDAMENTO">
      <formula>NOT(ISERROR(SEARCH("ENDIVIDAMENTO",E74)))</formula>
    </cfRule>
    <cfRule type="containsText" dxfId="1178" priority="68347" operator="containsText" text="IMPOSTOS">
      <formula>NOT(ISERROR(SEARCH("IMPOSTOS",E74)))</formula>
    </cfRule>
    <cfRule type="containsText" dxfId="1177" priority="68348" operator="containsText" text="INVESTIMENTO">
      <formula>NOT(ISERROR(SEARCH("INVESTIMENTO",E74)))</formula>
    </cfRule>
    <cfRule type="containsText" dxfId="1176" priority="68349" operator="containsText" text="Despesas">
      <formula>NOT(ISERROR(SEARCH("Despesas",E74)))</formula>
    </cfRule>
    <cfRule type="containsText" dxfId="1175" priority="68350" operator="containsText" text="Receitas">
      <formula>NOT(ISERROR(SEARCH("Receitas",E74)))</formula>
    </cfRule>
  </conditionalFormatting>
  <conditionalFormatting sqref="E75">
    <cfRule type="containsText" dxfId="1174" priority="68315" operator="containsText" text="ENDIVIDAMENTO">
      <formula>NOT(ISERROR(SEARCH("ENDIVIDAMENTO",E75)))</formula>
    </cfRule>
    <cfRule type="containsText" dxfId="1173" priority="68316" operator="containsText" text="IMPOSTOS">
      <formula>NOT(ISERROR(SEARCH("IMPOSTOS",E75)))</formula>
    </cfRule>
    <cfRule type="containsText" dxfId="1172" priority="68317" operator="containsText" text="INVESTIMENTO">
      <formula>NOT(ISERROR(SEARCH("INVESTIMENTO",E75)))</formula>
    </cfRule>
    <cfRule type="containsText" dxfId="1171" priority="68318" operator="containsText" text="Despesas">
      <formula>NOT(ISERROR(SEARCH("Despesas",E75)))</formula>
    </cfRule>
    <cfRule type="containsText" dxfId="1170" priority="68319" operator="containsText" text="Receitas">
      <formula>NOT(ISERROR(SEARCH("Receitas",E75)))</formula>
    </cfRule>
    <cfRule type="containsText" dxfId="1169" priority="68322" operator="containsText" text="ENDIVIDAMENTO">
      <formula>NOT(ISERROR(SEARCH("ENDIVIDAMENTO",E75)))</formula>
    </cfRule>
    <cfRule type="containsText" dxfId="1168" priority="68323" operator="containsText" text="IMPOSTOS">
      <formula>NOT(ISERROR(SEARCH("IMPOSTOS",E75)))</formula>
    </cfRule>
    <cfRule type="containsText" dxfId="1167" priority="68324" operator="containsText" text="INVESTIMENTO">
      <formula>NOT(ISERROR(SEARCH("INVESTIMENTO",E75)))</formula>
    </cfRule>
    <cfRule type="containsText" dxfId="1166" priority="68325" operator="containsText" text="Despesas">
      <formula>NOT(ISERROR(SEARCH("Despesas",E75)))</formula>
    </cfRule>
    <cfRule type="containsText" dxfId="1165" priority="68326" operator="containsText" text="Receitas">
      <formula>NOT(ISERROR(SEARCH("Receitas",E75)))</formula>
    </cfRule>
  </conditionalFormatting>
  <conditionalFormatting sqref="E76">
    <cfRule type="containsText" dxfId="1164" priority="68291" operator="containsText" text="ENDIVIDAMENTO">
      <formula>NOT(ISERROR(SEARCH("ENDIVIDAMENTO",E76)))</formula>
    </cfRule>
    <cfRule type="containsText" dxfId="1163" priority="68292" operator="containsText" text="IMPOSTOS">
      <formula>NOT(ISERROR(SEARCH("IMPOSTOS",E76)))</formula>
    </cfRule>
    <cfRule type="containsText" dxfId="1162" priority="68293" operator="containsText" text="INVESTIMENTO">
      <formula>NOT(ISERROR(SEARCH("INVESTIMENTO",E76)))</formula>
    </cfRule>
    <cfRule type="containsText" dxfId="1161" priority="68294" operator="containsText" text="Despesas">
      <formula>NOT(ISERROR(SEARCH("Despesas",E76)))</formula>
    </cfRule>
    <cfRule type="containsText" dxfId="1160" priority="68295" operator="containsText" text="Receitas">
      <formula>NOT(ISERROR(SEARCH("Receitas",E76)))</formula>
    </cfRule>
    <cfRule type="containsText" dxfId="1159" priority="68298" operator="containsText" text="ENDIVIDAMENTO">
      <formula>NOT(ISERROR(SEARCH("ENDIVIDAMENTO",E76)))</formula>
    </cfRule>
    <cfRule type="containsText" dxfId="1158" priority="68299" operator="containsText" text="IMPOSTOS">
      <formula>NOT(ISERROR(SEARCH("IMPOSTOS",E76)))</formula>
    </cfRule>
    <cfRule type="containsText" dxfId="1157" priority="68300" operator="containsText" text="INVESTIMENTO">
      <formula>NOT(ISERROR(SEARCH("INVESTIMENTO",E76)))</formula>
    </cfRule>
    <cfRule type="containsText" dxfId="1156" priority="68301" operator="containsText" text="Despesas">
      <formula>NOT(ISERROR(SEARCH("Despesas",E76)))</formula>
    </cfRule>
    <cfRule type="containsText" dxfId="1155" priority="68302" operator="containsText" text="Receitas">
      <formula>NOT(ISERROR(SEARCH("Receitas",E76)))</formula>
    </cfRule>
  </conditionalFormatting>
  <conditionalFormatting sqref="E77">
    <cfRule type="containsText" dxfId="1154" priority="68267" operator="containsText" text="ENDIVIDAMENTO">
      <formula>NOT(ISERROR(SEARCH("ENDIVIDAMENTO",E77)))</formula>
    </cfRule>
    <cfRule type="containsText" dxfId="1153" priority="68268" operator="containsText" text="IMPOSTOS">
      <formula>NOT(ISERROR(SEARCH("IMPOSTOS",E77)))</formula>
    </cfRule>
    <cfRule type="containsText" dxfId="1152" priority="68269" operator="containsText" text="INVESTIMENTO">
      <formula>NOT(ISERROR(SEARCH("INVESTIMENTO",E77)))</formula>
    </cfRule>
    <cfRule type="containsText" dxfId="1151" priority="68270" operator="containsText" text="Despesas">
      <formula>NOT(ISERROR(SEARCH("Despesas",E77)))</formula>
    </cfRule>
    <cfRule type="containsText" dxfId="1150" priority="68271" operator="containsText" text="Receitas">
      <formula>NOT(ISERROR(SEARCH("Receitas",E77)))</formula>
    </cfRule>
    <cfRule type="containsText" dxfId="1149" priority="68274" operator="containsText" text="ENDIVIDAMENTO">
      <formula>NOT(ISERROR(SEARCH("ENDIVIDAMENTO",E77)))</formula>
    </cfRule>
    <cfRule type="containsText" dxfId="1148" priority="68275" operator="containsText" text="IMPOSTOS">
      <formula>NOT(ISERROR(SEARCH("IMPOSTOS",E77)))</formula>
    </cfRule>
    <cfRule type="containsText" dxfId="1147" priority="68276" operator="containsText" text="INVESTIMENTO">
      <formula>NOT(ISERROR(SEARCH("INVESTIMENTO",E77)))</formula>
    </cfRule>
    <cfRule type="containsText" dxfId="1146" priority="68277" operator="containsText" text="Despesas">
      <formula>NOT(ISERROR(SEARCH("Despesas",E77)))</formula>
    </cfRule>
    <cfRule type="containsText" dxfId="1145" priority="68278" operator="containsText" text="Receitas">
      <formula>NOT(ISERROR(SEARCH("Receitas",E77)))</formula>
    </cfRule>
  </conditionalFormatting>
  <conditionalFormatting sqref="E78">
    <cfRule type="containsText" dxfId="1144" priority="68243" operator="containsText" text="ENDIVIDAMENTO">
      <formula>NOT(ISERROR(SEARCH("ENDIVIDAMENTO",E78)))</formula>
    </cfRule>
    <cfRule type="containsText" dxfId="1143" priority="68244" operator="containsText" text="IMPOSTOS">
      <formula>NOT(ISERROR(SEARCH("IMPOSTOS",E78)))</formula>
    </cfRule>
    <cfRule type="containsText" dxfId="1142" priority="68245" operator="containsText" text="INVESTIMENTO">
      <formula>NOT(ISERROR(SEARCH("INVESTIMENTO",E78)))</formula>
    </cfRule>
    <cfRule type="containsText" dxfId="1141" priority="68246" operator="containsText" text="Despesas">
      <formula>NOT(ISERROR(SEARCH("Despesas",E78)))</formula>
    </cfRule>
    <cfRule type="containsText" dxfId="1140" priority="68247" operator="containsText" text="Receitas">
      <formula>NOT(ISERROR(SEARCH("Receitas",E78)))</formula>
    </cfRule>
    <cfRule type="containsText" dxfId="1139" priority="68250" operator="containsText" text="ENDIVIDAMENTO">
      <formula>NOT(ISERROR(SEARCH("ENDIVIDAMENTO",E78)))</formula>
    </cfRule>
    <cfRule type="containsText" dxfId="1138" priority="68251" operator="containsText" text="IMPOSTOS">
      <formula>NOT(ISERROR(SEARCH("IMPOSTOS",E78)))</formula>
    </cfRule>
    <cfRule type="containsText" dxfId="1137" priority="68252" operator="containsText" text="INVESTIMENTO">
      <formula>NOT(ISERROR(SEARCH("INVESTIMENTO",E78)))</formula>
    </cfRule>
    <cfRule type="containsText" dxfId="1136" priority="68253" operator="containsText" text="Despesas">
      <formula>NOT(ISERROR(SEARCH("Despesas",E78)))</formula>
    </cfRule>
    <cfRule type="containsText" dxfId="1135" priority="68254" operator="containsText" text="Receitas">
      <formula>NOT(ISERROR(SEARCH("Receitas",E78)))</formula>
    </cfRule>
  </conditionalFormatting>
  <conditionalFormatting sqref="E79:E81">
    <cfRule type="containsText" dxfId="1134" priority="68211" operator="containsText" text="ENDIVIDAMENTO">
      <formula>NOT(ISERROR(SEARCH("ENDIVIDAMENTO",E79)))</formula>
    </cfRule>
    <cfRule type="containsText" dxfId="1133" priority="68212" operator="containsText" text="IMPOSTOS">
      <formula>NOT(ISERROR(SEARCH("IMPOSTOS",E79)))</formula>
    </cfRule>
    <cfRule type="containsText" dxfId="1132" priority="68213" operator="containsText" text="INVESTIMENTO">
      <formula>NOT(ISERROR(SEARCH("INVESTIMENTO",E79)))</formula>
    </cfRule>
    <cfRule type="containsText" dxfId="1131" priority="68214" operator="containsText" text="Despesas">
      <formula>NOT(ISERROR(SEARCH("Despesas",E79)))</formula>
    </cfRule>
    <cfRule type="containsText" dxfId="1130" priority="68215" operator="containsText" text="Receitas">
      <formula>NOT(ISERROR(SEARCH("Receitas",E79)))</formula>
    </cfRule>
    <cfRule type="containsText" dxfId="1129" priority="68218" operator="containsText" text="ENDIVIDAMENTO">
      <formula>NOT(ISERROR(SEARCH("ENDIVIDAMENTO",E79)))</formula>
    </cfRule>
    <cfRule type="containsText" dxfId="1128" priority="68219" operator="containsText" text="IMPOSTOS">
      <formula>NOT(ISERROR(SEARCH("IMPOSTOS",E79)))</formula>
    </cfRule>
    <cfRule type="containsText" dxfId="1127" priority="68220" operator="containsText" text="INVESTIMENTO">
      <formula>NOT(ISERROR(SEARCH("INVESTIMENTO",E79)))</formula>
    </cfRule>
    <cfRule type="containsText" dxfId="1126" priority="68221" operator="containsText" text="Despesas">
      <formula>NOT(ISERROR(SEARCH("Despesas",E79)))</formula>
    </cfRule>
    <cfRule type="containsText" dxfId="1125" priority="68222" operator="containsText" text="Receitas">
      <formula>NOT(ISERROR(SEARCH("Receitas",E79)))</formula>
    </cfRule>
  </conditionalFormatting>
  <conditionalFormatting sqref="E82">
    <cfRule type="containsText" dxfId="1124" priority="68179" operator="containsText" text="ENDIVIDAMENTO">
      <formula>NOT(ISERROR(SEARCH("ENDIVIDAMENTO",E82)))</formula>
    </cfRule>
    <cfRule type="containsText" dxfId="1123" priority="68180" operator="containsText" text="IMPOSTOS">
      <formula>NOT(ISERROR(SEARCH("IMPOSTOS",E82)))</formula>
    </cfRule>
    <cfRule type="containsText" dxfId="1122" priority="68181" operator="containsText" text="INVESTIMENTO">
      <formula>NOT(ISERROR(SEARCH("INVESTIMENTO",E82)))</formula>
    </cfRule>
    <cfRule type="containsText" dxfId="1121" priority="68182" operator="containsText" text="Despesas">
      <formula>NOT(ISERROR(SEARCH("Despesas",E82)))</formula>
    </cfRule>
    <cfRule type="containsText" dxfId="1120" priority="68183" operator="containsText" text="Receitas">
      <formula>NOT(ISERROR(SEARCH("Receitas",E82)))</formula>
    </cfRule>
    <cfRule type="containsText" dxfId="1119" priority="68186" operator="containsText" text="ENDIVIDAMENTO">
      <formula>NOT(ISERROR(SEARCH("ENDIVIDAMENTO",E82)))</formula>
    </cfRule>
    <cfRule type="containsText" dxfId="1118" priority="68187" operator="containsText" text="IMPOSTOS">
      <formula>NOT(ISERROR(SEARCH("IMPOSTOS",E82)))</formula>
    </cfRule>
    <cfRule type="containsText" dxfId="1117" priority="68188" operator="containsText" text="INVESTIMENTO">
      <formula>NOT(ISERROR(SEARCH("INVESTIMENTO",E82)))</formula>
    </cfRule>
    <cfRule type="containsText" dxfId="1116" priority="68189" operator="containsText" text="Despesas">
      <formula>NOT(ISERROR(SEARCH("Despesas",E82)))</formula>
    </cfRule>
    <cfRule type="containsText" dxfId="1115" priority="68190" operator="containsText" text="Receitas">
      <formula>NOT(ISERROR(SEARCH("Receitas",E82)))</formula>
    </cfRule>
  </conditionalFormatting>
  <conditionalFormatting sqref="E83">
    <cfRule type="containsText" dxfId="1114" priority="68155" operator="containsText" text="ENDIVIDAMENTO">
      <formula>NOT(ISERROR(SEARCH("ENDIVIDAMENTO",E83)))</formula>
    </cfRule>
    <cfRule type="containsText" dxfId="1113" priority="68156" operator="containsText" text="IMPOSTOS">
      <formula>NOT(ISERROR(SEARCH("IMPOSTOS",E83)))</formula>
    </cfRule>
    <cfRule type="containsText" dxfId="1112" priority="68157" operator="containsText" text="INVESTIMENTO">
      <formula>NOT(ISERROR(SEARCH("INVESTIMENTO",E83)))</formula>
    </cfRule>
    <cfRule type="containsText" dxfId="1111" priority="68158" operator="containsText" text="Despesas">
      <formula>NOT(ISERROR(SEARCH("Despesas",E83)))</formula>
    </cfRule>
    <cfRule type="containsText" dxfId="1110" priority="68159" operator="containsText" text="Receitas">
      <formula>NOT(ISERROR(SEARCH("Receitas",E83)))</formula>
    </cfRule>
    <cfRule type="containsText" dxfId="1109" priority="68162" operator="containsText" text="ENDIVIDAMENTO">
      <formula>NOT(ISERROR(SEARCH("ENDIVIDAMENTO",E83)))</formula>
    </cfRule>
    <cfRule type="containsText" dxfId="1108" priority="68163" operator="containsText" text="IMPOSTOS">
      <formula>NOT(ISERROR(SEARCH("IMPOSTOS",E83)))</formula>
    </cfRule>
    <cfRule type="containsText" dxfId="1107" priority="68164" operator="containsText" text="INVESTIMENTO">
      <formula>NOT(ISERROR(SEARCH("INVESTIMENTO",E83)))</formula>
    </cfRule>
    <cfRule type="containsText" dxfId="1106" priority="68165" operator="containsText" text="Despesas">
      <formula>NOT(ISERROR(SEARCH("Despesas",E83)))</formula>
    </cfRule>
    <cfRule type="containsText" dxfId="1105" priority="68166" operator="containsText" text="Receitas">
      <formula>NOT(ISERROR(SEARCH("Receitas",E83)))</formula>
    </cfRule>
  </conditionalFormatting>
  <conditionalFormatting sqref="E84">
    <cfRule type="containsText" dxfId="1104" priority="68131" operator="containsText" text="ENDIVIDAMENTO">
      <formula>NOT(ISERROR(SEARCH("ENDIVIDAMENTO",E84)))</formula>
    </cfRule>
    <cfRule type="containsText" dxfId="1103" priority="68132" operator="containsText" text="IMPOSTOS">
      <formula>NOT(ISERROR(SEARCH("IMPOSTOS",E84)))</formula>
    </cfRule>
    <cfRule type="containsText" dxfId="1102" priority="68133" operator="containsText" text="INVESTIMENTO">
      <formula>NOT(ISERROR(SEARCH("INVESTIMENTO",E84)))</formula>
    </cfRule>
    <cfRule type="containsText" dxfId="1101" priority="68134" operator="containsText" text="Despesas">
      <formula>NOT(ISERROR(SEARCH("Despesas",E84)))</formula>
    </cfRule>
    <cfRule type="containsText" dxfId="1100" priority="68135" operator="containsText" text="Receitas">
      <formula>NOT(ISERROR(SEARCH("Receitas",E84)))</formula>
    </cfRule>
    <cfRule type="containsText" dxfId="1099" priority="68138" operator="containsText" text="ENDIVIDAMENTO">
      <formula>NOT(ISERROR(SEARCH("ENDIVIDAMENTO",E84)))</formula>
    </cfRule>
    <cfRule type="containsText" dxfId="1098" priority="68139" operator="containsText" text="IMPOSTOS">
      <formula>NOT(ISERROR(SEARCH("IMPOSTOS",E84)))</formula>
    </cfRule>
    <cfRule type="containsText" dxfId="1097" priority="68140" operator="containsText" text="INVESTIMENTO">
      <formula>NOT(ISERROR(SEARCH("INVESTIMENTO",E84)))</formula>
    </cfRule>
    <cfRule type="containsText" dxfId="1096" priority="68141" operator="containsText" text="Despesas">
      <formula>NOT(ISERROR(SEARCH("Despesas",E84)))</formula>
    </cfRule>
    <cfRule type="containsText" dxfId="1095" priority="68142" operator="containsText" text="Receitas">
      <formula>NOT(ISERROR(SEARCH("Receitas",E84)))</formula>
    </cfRule>
  </conditionalFormatting>
  <conditionalFormatting sqref="E85">
    <cfRule type="containsText" dxfId="1094" priority="68107" operator="containsText" text="ENDIVIDAMENTO">
      <formula>NOT(ISERROR(SEARCH("ENDIVIDAMENTO",E85)))</formula>
    </cfRule>
    <cfRule type="containsText" dxfId="1093" priority="68108" operator="containsText" text="IMPOSTOS">
      <formula>NOT(ISERROR(SEARCH("IMPOSTOS",E85)))</formula>
    </cfRule>
    <cfRule type="containsText" dxfId="1092" priority="68109" operator="containsText" text="INVESTIMENTO">
      <formula>NOT(ISERROR(SEARCH("INVESTIMENTO",E85)))</formula>
    </cfRule>
    <cfRule type="containsText" dxfId="1091" priority="68110" operator="containsText" text="Despesas">
      <formula>NOT(ISERROR(SEARCH("Despesas",E85)))</formula>
    </cfRule>
    <cfRule type="containsText" dxfId="1090" priority="68111" operator="containsText" text="Receitas">
      <formula>NOT(ISERROR(SEARCH("Receitas",E85)))</formula>
    </cfRule>
    <cfRule type="containsText" dxfId="1089" priority="68114" operator="containsText" text="ENDIVIDAMENTO">
      <formula>NOT(ISERROR(SEARCH("ENDIVIDAMENTO",E85)))</formula>
    </cfRule>
    <cfRule type="containsText" dxfId="1088" priority="68115" operator="containsText" text="IMPOSTOS">
      <formula>NOT(ISERROR(SEARCH("IMPOSTOS",E85)))</formula>
    </cfRule>
    <cfRule type="containsText" dxfId="1087" priority="68116" operator="containsText" text="INVESTIMENTO">
      <formula>NOT(ISERROR(SEARCH("INVESTIMENTO",E85)))</formula>
    </cfRule>
    <cfRule type="containsText" dxfId="1086" priority="68117" operator="containsText" text="Despesas">
      <formula>NOT(ISERROR(SEARCH("Despesas",E85)))</formula>
    </cfRule>
    <cfRule type="containsText" dxfId="1085" priority="68118" operator="containsText" text="Receitas">
      <formula>NOT(ISERROR(SEARCH("Receitas",E85)))</formula>
    </cfRule>
  </conditionalFormatting>
  <conditionalFormatting sqref="E86">
    <cfRule type="containsText" dxfId="1084" priority="68083" operator="containsText" text="ENDIVIDAMENTO">
      <formula>NOT(ISERROR(SEARCH("ENDIVIDAMENTO",E86)))</formula>
    </cfRule>
    <cfRule type="containsText" dxfId="1083" priority="68084" operator="containsText" text="IMPOSTOS">
      <formula>NOT(ISERROR(SEARCH("IMPOSTOS",E86)))</formula>
    </cfRule>
    <cfRule type="containsText" dxfId="1082" priority="68085" operator="containsText" text="INVESTIMENTO">
      <formula>NOT(ISERROR(SEARCH("INVESTIMENTO",E86)))</formula>
    </cfRule>
    <cfRule type="containsText" dxfId="1081" priority="68086" operator="containsText" text="Despesas">
      <formula>NOT(ISERROR(SEARCH("Despesas",E86)))</formula>
    </cfRule>
    <cfRule type="containsText" dxfId="1080" priority="68087" operator="containsText" text="Receitas">
      <formula>NOT(ISERROR(SEARCH("Receitas",E86)))</formula>
    </cfRule>
    <cfRule type="containsText" dxfId="1079" priority="68090" operator="containsText" text="ENDIVIDAMENTO">
      <formula>NOT(ISERROR(SEARCH("ENDIVIDAMENTO",E86)))</formula>
    </cfRule>
    <cfRule type="containsText" dxfId="1078" priority="68091" operator="containsText" text="IMPOSTOS">
      <formula>NOT(ISERROR(SEARCH("IMPOSTOS",E86)))</formula>
    </cfRule>
    <cfRule type="containsText" dxfId="1077" priority="68092" operator="containsText" text="INVESTIMENTO">
      <formula>NOT(ISERROR(SEARCH("INVESTIMENTO",E86)))</formula>
    </cfRule>
    <cfRule type="containsText" dxfId="1076" priority="68093" operator="containsText" text="Despesas">
      <formula>NOT(ISERROR(SEARCH("Despesas",E86)))</formula>
    </cfRule>
    <cfRule type="containsText" dxfId="1075" priority="68094" operator="containsText" text="Receitas">
      <formula>NOT(ISERROR(SEARCH("Receitas",E86)))</formula>
    </cfRule>
  </conditionalFormatting>
  <conditionalFormatting sqref="E87">
    <cfRule type="containsText" dxfId="1074" priority="68059" operator="containsText" text="ENDIVIDAMENTO">
      <formula>NOT(ISERROR(SEARCH("ENDIVIDAMENTO",E87)))</formula>
    </cfRule>
    <cfRule type="containsText" dxfId="1073" priority="68060" operator="containsText" text="IMPOSTOS">
      <formula>NOT(ISERROR(SEARCH("IMPOSTOS",E87)))</formula>
    </cfRule>
    <cfRule type="containsText" dxfId="1072" priority="68061" operator="containsText" text="INVESTIMENTO">
      <formula>NOT(ISERROR(SEARCH("INVESTIMENTO",E87)))</formula>
    </cfRule>
    <cfRule type="containsText" dxfId="1071" priority="68062" operator="containsText" text="Despesas">
      <formula>NOT(ISERROR(SEARCH("Despesas",E87)))</formula>
    </cfRule>
    <cfRule type="containsText" dxfId="1070" priority="68063" operator="containsText" text="Receitas">
      <formula>NOT(ISERROR(SEARCH("Receitas",E87)))</formula>
    </cfRule>
    <cfRule type="containsText" dxfId="1069" priority="68066" operator="containsText" text="ENDIVIDAMENTO">
      <formula>NOT(ISERROR(SEARCH("ENDIVIDAMENTO",E87)))</formula>
    </cfRule>
    <cfRule type="containsText" dxfId="1068" priority="68067" operator="containsText" text="IMPOSTOS">
      <formula>NOT(ISERROR(SEARCH("IMPOSTOS",E87)))</formula>
    </cfRule>
    <cfRule type="containsText" dxfId="1067" priority="68068" operator="containsText" text="INVESTIMENTO">
      <formula>NOT(ISERROR(SEARCH("INVESTIMENTO",E87)))</formula>
    </cfRule>
    <cfRule type="containsText" dxfId="1066" priority="68069" operator="containsText" text="Despesas">
      <formula>NOT(ISERROR(SEARCH("Despesas",E87)))</formula>
    </cfRule>
    <cfRule type="containsText" dxfId="1065" priority="68070" operator="containsText" text="Receitas">
      <formula>NOT(ISERROR(SEARCH("Receitas",E87)))</formula>
    </cfRule>
  </conditionalFormatting>
  <conditionalFormatting sqref="E88">
    <cfRule type="containsText" dxfId="1064" priority="68027" operator="containsText" text="ENDIVIDAMENTO">
      <formula>NOT(ISERROR(SEARCH("ENDIVIDAMENTO",E88)))</formula>
    </cfRule>
    <cfRule type="containsText" dxfId="1063" priority="68028" operator="containsText" text="IMPOSTOS">
      <formula>NOT(ISERROR(SEARCH("IMPOSTOS",E88)))</formula>
    </cfRule>
    <cfRule type="containsText" dxfId="1062" priority="68029" operator="containsText" text="INVESTIMENTO">
      <formula>NOT(ISERROR(SEARCH("INVESTIMENTO",E88)))</formula>
    </cfRule>
    <cfRule type="containsText" dxfId="1061" priority="68030" operator="containsText" text="Despesas">
      <formula>NOT(ISERROR(SEARCH("Despesas",E88)))</formula>
    </cfRule>
    <cfRule type="containsText" dxfId="1060" priority="68031" operator="containsText" text="Receitas">
      <formula>NOT(ISERROR(SEARCH("Receitas",E88)))</formula>
    </cfRule>
    <cfRule type="containsText" dxfId="1059" priority="68034" operator="containsText" text="ENDIVIDAMENTO">
      <formula>NOT(ISERROR(SEARCH("ENDIVIDAMENTO",E88)))</formula>
    </cfRule>
    <cfRule type="containsText" dxfId="1058" priority="68035" operator="containsText" text="IMPOSTOS">
      <formula>NOT(ISERROR(SEARCH("IMPOSTOS",E88)))</formula>
    </cfRule>
    <cfRule type="containsText" dxfId="1057" priority="68036" operator="containsText" text="INVESTIMENTO">
      <formula>NOT(ISERROR(SEARCH("INVESTIMENTO",E88)))</formula>
    </cfRule>
    <cfRule type="containsText" dxfId="1056" priority="68037" operator="containsText" text="Despesas">
      <formula>NOT(ISERROR(SEARCH("Despesas",E88)))</formula>
    </cfRule>
    <cfRule type="containsText" dxfId="1055" priority="68038" operator="containsText" text="Receitas">
      <formula>NOT(ISERROR(SEARCH("Receitas",E88)))</formula>
    </cfRule>
  </conditionalFormatting>
  <conditionalFormatting sqref="E89">
    <cfRule type="containsText" dxfId="1054" priority="68003" operator="containsText" text="ENDIVIDAMENTO">
      <formula>NOT(ISERROR(SEARCH("ENDIVIDAMENTO",E89)))</formula>
    </cfRule>
    <cfRule type="containsText" dxfId="1053" priority="68004" operator="containsText" text="IMPOSTOS">
      <formula>NOT(ISERROR(SEARCH("IMPOSTOS",E89)))</formula>
    </cfRule>
    <cfRule type="containsText" dxfId="1052" priority="68005" operator="containsText" text="INVESTIMENTO">
      <formula>NOT(ISERROR(SEARCH("INVESTIMENTO",E89)))</formula>
    </cfRule>
    <cfRule type="containsText" dxfId="1051" priority="68006" operator="containsText" text="Despesas">
      <formula>NOT(ISERROR(SEARCH("Despesas",E89)))</formula>
    </cfRule>
    <cfRule type="containsText" dxfId="1050" priority="68007" operator="containsText" text="Receitas">
      <formula>NOT(ISERROR(SEARCH("Receitas",E89)))</formula>
    </cfRule>
    <cfRule type="containsText" dxfId="1049" priority="68010" operator="containsText" text="ENDIVIDAMENTO">
      <formula>NOT(ISERROR(SEARCH("ENDIVIDAMENTO",E89)))</formula>
    </cfRule>
    <cfRule type="containsText" dxfId="1048" priority="68011" operator="containsText" text="IMPOSTOS">
      <formula>NOT(ISERROR(SEARCH("IMPOSTOS",E89)))</formula>
    </cfRule>
    <cfRule type="containsText" dxfId="1047" priority="68012" operator="containsText" text="INVESTIMENTO">
      <formula>NOT(ISERROR(SEARCH("INVESTIMENTO",E89)))</formula>
    </cfRule>
    <cfRule type="containsText" dxfId="1046" priority="68013" operator="containsText" text="Despesas">
      <formula>NOT(ISERROR(SEARCH("Despesas",E89)))</formula>
    </cfRule>
    <cfRule type="containsText" dxfId="1045" priority="68014" operator="containsText" text="Receitas">
      <formula>NOT(ISERROR(SEARCH("Receitas",E89)))</formula>
    </cfRule>
  </conditionalFormatting>
  <conditionalFormatting sqref="E90">
    <cfRule type="containsText" dxfId="1044" priority="67979" operator="containsText" text="ENDIVIDAMENTO">
      <formula>NOT(ISERROR(SEARCH("ENDIVIDAMENTO",E90)))</formula>
    </cfRule>
    <cfRule type="containsText" dxfId="1043" priority="67980" operator="containsText" text="IMPOSTOS">
      <formula>NOT(ISERROR(SEARCH("IMPOSTOS",E90)))</formula>
    </cfRule>
    <cfRule type="containsText" dxfId="1042" priority="67981" operator="containsText" text="INVESTIMENTO">
      <formula>NOT(ISERROR(SEARCH("INVESTIMENTO",E90)))</formula>
    </cfRule>
    <cfRule type="containsText" dxfId="1041" priority="67982" operator="containsText" text="Despesas">
      <formula>NOT(ISERROR(SEARCH("Despesas",E90)))</formula>
    </cfRule>
    <cfRule type="containsText" dxfId="1040" priority="67983" operator="containsText" text="Receitas">
      <formula>NOT(ISERROR(SEARCH("Receitas",E90)))</formula>
    </cfRule>
    <cfRule type="containsText" dxfId="1039" priority="67986" operator="containsText" text="ENDIVIDAMENTO">
      <formula>NOT(ISERROR(SEARCH("ENDIVIDAMENTO",E90)))</formula>
    </cfRule>
    <cfRule type="containsText" dxfId="1038" priority="67987" operator="containsText" text="IMPOSTOS">
      <formula>NOT(ISERROR(SEARCH("IMPOSTOS",E90)))</formula>
    </cfRule>
    <cfRule type="containsText" dxfId="1037" priority="67988" operator="containsText" text="INVESTIMENTO">
      <formula>NOT(ISERROR(SEARCH("INVESTIMENTO",E90)))</formula>
    </cfRule>
    <cfRule type="containsText" dxfId="1036" priority="67989" operator="containsText" text="Despesas">
      <formula>NOT(ISERROR(SEARCH("Despesas",E90)))</formula>
    </cfRule>
    <cfRule type="containsText" dxfId="1035" priority="67990" operator="containsText" text="Receitas">
      <formula>NOT(ISERROR(SEARCH("Receitas",E90)))</formula>
    </cfRule>
  </conditionalFormatting>
  <conditionalFormatting sqref="E91">
    <cfRule type="containsText" dxfId="1034" priority="67955" operator="containsText" text="ENDIVIDAMENTO">
      <formula>NOT(ISERROR(SEARCH("ENDIVIDAMENTO",E91)))</formula>
    </cfRule>
    <cfRule type="containsText" dxfId="1033" priority="67956" operator="containsText" text="IMPOSTOS">
      <formula>NOT(ISERROR(SEARCH("IMPOSTOS",E91)))</formula>
    </cfRule>
    <cfRule type="containsText" dxfId="1032" priority="67957" operator="containsText" text="INVESTIMENTO">
      <formula>NOT(ISERROR(SEARCH("INVESTIMENTO",E91)))</formula>
    </cfRule>
    <cfRule type="containsText" dxfId="1031" priority="67958" operator="containsText" text="Despesas">
      <formula>NOT(ISERROR(SEARCH("Despesas",E91)))</formula>
    </cfRule>
    <cfRule type="containsText" dxfId="1030" priority="67959" operator="containsText" text="Receitas">
      <formula>NOT(ISERROR(SEARCH("Receitas",E91)))</formula>
    </cfRule>
    <cfRule type="containsText" dxfId="1029" priority="67962" operator="containsText" text="ENDIVIDAMENTO">
      <formula>NOT(ISERROR(SEARCH("ENDIVIDAMENTO",E91)))</formula>
    </cfRule>
    <cfRule type="containsText" dxfId="1028" priority="67963" operator="containsText" text="IMPOSTOS">
      <formula>NOT(ISERROR(SEARCH("IMPOSTOS",E91)))</formula>
    </cfRule>
    <cfRule type="containsText" dxfId="1027" priority="67964" operator="containsText" text="INVESTIMENTO">
      <formula>NOT(ISERROR(SEARCH("INVESTIMENTO",E91)))</formula>
    </cfRule>
    <cfRule type="containsText" dxfId="1026" priority="67965" operator="containsText" text="Despesas">
      <formula>NOT(ISERROR(SEARCH("Despesas",E91)))</formula>
    </cfRule>
    <cfRule type="containsText" dxfId="1025" priority="67966" operator="containsText" text="Receitas">
      <formula>NOT(ISERROR(SEARCH("Receitas",E91)))</formula>
    </cfRule>
  </conditionalFormatting>
  <conditionalFormatting sqref="E93">
    <cfRule type="containsText" dxfId="1024" priority="67907" operator="containsText" text="ENDIVIDAMENTO">
      <formula>NOT(ISERROR(SEARCH("ENDIVIDAMENTO",E93)))</formula>
    </cfRule>
    <cfRule type="containsText" dxfId="1023" priority="67908" operator="containsText" text="IMPOSTOS">
      <formula>NOT(ISERROR(SEARCH("IMPOSTOS",E93)))</formula>
    </cfRule>
    <cfRule type="containsText" dxfId="1022" priority="67909" operator="containsText" text="INVESTIMENTO">
      <formula>NOT(ISERROR(SEARCH("INVESTIMENTO",E93)))</formula>
    </cfRule>
    <cfRule type="containsText" dxfId="1021" priority="67910" operator="containsText" text="Despesas">
      <formula>NOT(ISERROR(SEARCH("Despesas",E93)))</formula>
    </cfRule>
    <cfRule type="containsText" dxfId="1020" priority="67911" operator="containsText" text="Receitas">
      <formula>NOT(ISERROR(SEARCH("Receitas",E93)))</formula>
    </cfRule>
    <cfRule type="containsText" dxfId="1019" priority="67914" operator="containsText" text="ENDIVIDAMENTO">
      <formula>NOT(ISERROR(SEARCH("ENDIVIDAMENTO",E93)))</formula>
    </cfRule>
    <cfRule type="containsText" dxfId="1018" priority="67915" operator="containsText" text="IMPOSTOS">
      <formula>NOT(ISERROR(SEARCH("IMPOSTOS",E93)))</formula>
    </cfRule>
    <cfRule type="containsText" dxfId="1017" priority="67916" operator="containsText" text="INVESTIMENTO">
      <formula>NOT(ISERROR(SEARCH("INVESTIMENTO",E93)))</formula>
    </cfRule>
    <cfRule type="containsText" dxfId="1016" priority="67917" operator="containsText" text="Despesas">
      <formula>NOT(ISERROR(SEARCH("Despesas",E93)))</formula>
    </cfRule>
    <cfRule type="containsText" dxfId="1015" priority="67918" operator="containsText" text="Receitas">
      <formula>NOT(ISERROR(SEARCH("Receitas",E93)))</formula>
    </cfRule>
  </conditionalFormatting>
  <conditionalFormatting sqref="E94">
    <cfRule type="containsText" dxfId="1014" priority="67883" operator="containsText" text="ENDIVIDAMENTO">
      <formula>NOT(ISERROR(SEARCH("ENDIVIDAMENTO",E94)))</formula>
    </cfRule>
    <cfRule type="containsText" dxfId="1013" priority="67884" operator="containsText" text="IMPOSTOS">
      <formula>NOT(ISERROR(SEARCH("IMPOSTOS",E94)))</formula>
    </cfRule>
    <cfRule type="containsText" dxfId="1012" priority="67885" operator="containsText" text="INVESTIMENTO">
      <formula>NOT(ISERROR(SEARCH("INVESTIMENTO",E94)))</formula>
    </cfRule>
    <cfRule type="containsText" dxfId="1011" priority="67886" operator="containsText" text="Despesas">
      <formula>NOT(ISERROR(SEARCH("Despesas",E94)))</formula>
    </cfRule>
    <cfRule type="containsText" dxfId="1010" priority="67887" operator="containsText" text="Receitas">
      <formula>NOT(ISERROR(SEARCH("Receitas",E94)))</formula>
    </cfRule>
    <cfRule type="containsText" dxfId="1009" priority="67890" operator="containsText" text="ENDIVIDAMENTO">
      <formula>NOT(ISERROR(SEARCH("ENDIVIDAMENTO",E94)))</formula>
    </cfRule>
    <cfRule type="containsText" dxfId="1008" priority="67891" operator="containsText" text="IMPOSTOS">
      <formula>NOT(ISERROR(SEARCH("IMPOSTOS",E94)))</formula>
    </cfRule>
    <cfRule type="containsText" dxfId="1007" priority="67892" operator="containsText" text="INVESTIMENTO">
      <formula>NOT(ISERROR(SEARCH("INVESTIMENTO",E94)))</formula>
    </cfRule>
    <cfRule type="containsText" dxfId="1006" priority="67893" operator="containsText" text="Despesas">
      <formula>NOT(ISERROR(SEARCH("Despesas",E94)))</formula>
    </cfRule>
    <cfRule type="containsText" dxfId="1005" priority="67894" operator="containsText" text="Receitas">
      <formula>NOT(ISERROR(SEARCH("Receitas",E94)))</formula>
    </cfRule>
  </conditionalFormatting>
  <conditionalFormatting sqref="E95">
    <cfRule type="containsText" dxfId="1004" priority="67859" operator="containsText" text="ENDIVIDAMENTO">
      <formula>NOT(ISERROR(SEARCH("ENDIVIDAMENTO",E95)))</formula>
    </cfRule>
    <cfRule type="containsText" dxfId="1003" priority="67860" operator="containsText" text="IMPOSTOS">
      <formula>NOT(ISERROR(SEARCH("IMPOSTOS",E95)))</formula>
    </cfRule>
    <cfRule type="containsText" dxfId="1002" priority="67861" operator="containsText" text="INVESTIMENTO">
      <formula>NOT(ISERROR(SEARCH("INVESTIMENTO",E95)))</formula>
    </cfRule>
    <cfRule type="containsText" dxfId="1001" priority="67862" operator="containsText" text="Despesas">
      <formula>NOT(ISERROR(SEARCH("Despesas",E95)))</formula>
    </cfRule>
    <cfRule type="containsText" dxfId="1000" priority="67863" operator="containsText" text="Receitas">
      <formula>NOT(ISERROR(SEARCH("Receitas",E95)))</formula>
    </cfRule>
    <cfRule type="containsText" dxfId="999" priority="67866" operator="containsText" text="ENDIVIDAMENTO">
      <formula>NOT(ISERROR(SEARCH("ENDIVIDAMENTO",E95)))</formula>
    </cfRule>
    <cfRule type="containsText" dxfId="998" priority="67867" operator="containsText" text="IMPOSTOS">
      <formula>NOT(ISERROR(SEARCH("IMPOSTOS",E95)))</formula>
    </cfRule>
    <cfRule type="containsText" dxfId="997" priority="67868" operator="containsText" text="INVESTIMENTO">
      <formula>NOT(ISERROR(SEARCH("INVESTIMENTO",E95)))</formula>
    </cfRule>
    <cfRule type="containsText" dxfId="996" priority="67869" operator="containsText" text="Despesas">
      <formula>NOT(ISERROR(SEARCH("Despesas",E95)))</formula>
    </cfRule>
    <cfRule type="containsText" dxfId="995" priority="67870" operator="containsText" text="Receitas">
      <formula>NOT(ISERROR(SEARCH("Receitas",E95)))</formula>
    </cfRule>
  </conditionalFormatting>
  <conditionalFormatting sqref="E96">
    <cfRule type="containsText" dxfId="994" priority="67835" operator="containsText" text="ENDIVIDAMENTO">
      <formula>NOT(ISERROR(SEARCH("ENDIVIDAMENTO",E96)))</formula>
    </cfRule>
    <cfRule type="containsText" dxfId="993" priority="67836" operator="containsText" text="IMPOSTOS">
      <formula>NOT(ISERROR(SEARCH("IMPOSTOS",E96)))</formula>
    </cfRule>
    <cfRule type="containsText" dxfId="992" priority="67837" operator="containsText" text="INVESTIMENTO">
      <formula>NOT(ISERROR(SEARCH("INVESTIMENTO",E96)))</formula>
    </cfRule>
    <cfRule type="containsText" dxfId="991" priority="67838" operator="containsText" text="Despesas">
      <formula>NOT(ISERROR(SEARCH("Despesas",E96)))</formula>
    </cfRule>
    <cfRule type="containsText" dxfId="990" priority="67839" operator="containsText" text="Receitas">
      <formula>NOT(ISERROR(SEARCH("Receitas",E96)))</formula>
    </cfRule>
    <cfRule type="containsText" dxfId="989" priority="67842" operator="containsText" text="ENDIVIDAMENTO">
      <formula>NOT(ISERROR(SEARCH("ENDIVIDAMENTO",E96)))</formula>
    </cfRule>
    <cfRule type="containsText" dxfId="988" priority="67843" operator="containsText" text="IMPOSTOS">
      <formula>NOT(ISERROR(SEARCH("IMPOSTOS",E96)))</formula>
    </cfRule>
    <cfRule type="containsText" dxfId="987" priority="67844" operator="containsText" text="INVESTIMENTO">
      <formula>NOT(ISERROR(SEARCH("INVESTIMENTO",E96)))</formula>
    </cfRule>
    <cfRule type="containsText" dxfId="986" priority="67845" operator="containsText" text="Despesas">
      <formula>NOT(ISERROR(SEARCH("Despesas",E96)))</formula>
    </cfRule>
    <cfRule type="containsText" dxfId="985" priority="67846" operator="containsText" text="Receitas">
      <formula>NOT(ISERROR(SEARCH("Receitas",E96)))</formula>
    </cfRule>
  </conditionalFormatting>
  <conditionalFormatting sqref="E97">
    <cfRule type="containsText" dxfId="984" priority="67811" operator="containsText" text="ENDIVIDAMENTO">
      <formula>NOT(ISERROR(SEARCH("ENDIVIDAMENTO",E97)))</formula>
    </cfRule>
    <cfRule type="containsText" dxfId="983" priority="67812" operator="containsText" text="IMPOSTOS">
      <formula>NOT(ISERROR(SEARCH("IMPOSTOS",E97)))</formula>
    </cfRule>
    <cfRule type="containsText" dxfId="982" priority="67813" operator="containsText" text="INVESTIMENTO">
      <formula>NOT(ISERROR(SEARCH("INVESTIMENTO",E97)))</formula>
    </cfRule>
    <cfRule type="containsText" dxfId="981" priority="67814" operator="containsText" text="Despesas">
      <formula>NOT(ISERROR(SEARCH("Despesas",E97)))</formula>
    </cfRule>
    <cfRule type="containsText" dxfId="980" priority="67815" operator="containsText" text="Receitas">
      <formula>NOT(ISERROR(SEARCH("Receitas",E97)))</formula>
    </cfRule>
    <cfRule type="containsText" dxfId="979" priority="67818" operator="containsText" text="ENDIVIDAMENTO">
      <formula>NOT(ISERROR(SEARCH("ENDIVIDAMENTO",E97)))</formula>
    </cfRule>
    <cfRule type="containsText" dxfId="978" priority="67819" operator="containsText" text="IMPOSTOS">
      <formula>NOT(ISERROR(SEARCH("IMPOSTOS",E97)))</formula>
    </cfRule>
    <cfRule type="containsText" dxfId="977" priority="67820" operator="containsText" text="INVESTIMENTO">
      <formula>NOT(ISERROR(SEARCH("INVESTIMENTO",E97)))</formula>
    </cfRule>
    <cfRule type="containsText" dxfId="976" priority="67821" operator="containsText" text="Despesas">
      <formula>NOT(ISERROR(SEARCH("Despesas",E97)))</formula>
    </cfRule>
    <cfRule type="containsText" dxfId="975" priority="67822" operator="containsText" text="Receitas">
      <formula>NOT(ISERROR(SEARCH("Receitas",E97)))</formula>
    </cfRule>
  </conditionalFormatting>
  <conditionalFormatting sqref="E99">
    <cfRule type="containsText" dxfId="974" priority="67787" operator="containsText" text="ENDIVIDAMENTO">
      <formula>NOT(ISERROR(SEARCH("ENDIVIDAMENTO",E99)))</formula>
    </cfRule>
    <cfRule type="containsText" dxfId="973" priority="67788" operator="containsText" text="IMPOSTOS">
      <formula>NOT(ISERROR(SEARCH("IMPOSTOS",E99)))</formula>
    </cfRule>
    <cfRule type="containsText" dxfId="972" priority="67789" operator="containsText" text="INVESTIMENTO">
      <formula>NOT(ISERROR(SEARCH("INVESTIMENTO",E99)))</formula>
    </cfRule>
    <cfRule type="containsText" dxfId="971" priority="67790" operator="containsText" text="Despesas">
      <formula>NOT(ISERROR(SEARCH("Despesas",E99)))</formula>
    </cfRule>
    <cfRule type="containsText" dxfId="970" priority="67791" operator="containsText" text="Receitas">
      <formula>NOT(ISERROR(SEARCH("Receitas",E99)))</formula>
    </cfRule>
    <cfRule type="containsText" dxfId="969" priority="67794" operator="containsText" text="ENDIVIDAMENTO">
      <formula>NOT(ISERROR(SEARCH("ENDIVIDAMENTO",E99)))</formula>
    </cfRule>
    <cfRule type="containsText" dxfId="968" priority="67795" operator="containsText" text="IMPOSTOS">
      <formula>NOT(ISERROR(SEARCH("IMPOSTOS",E99)))</formula>
    </cfRule>
    <cfRule type="containsText" dxfId="967" priority="67796" operator="containsText" text="INVESTIMENTO">
      <formula>NOT(ISERROR(SEARCH("INVESTIMENTO",E99)))</formula>
    </cfRule>
    <cfRule type="containsText" dxfId="966" priority="67797" operator="containsText" text="Despesas">
      <formula>NOT(ISERROR(SEARCH("Despesas",E99)))</formula>
    </cfRule>
    <cfRule type="containsText" dxfId="965" priority="67798" operator="containsText" text="Receitas">
      <formula>NOT(ISERROR(SEARCH("Receitas",E99)))</formula>
    </cfRule>
  </conditionalFormatting>
  <conditionalFormatting sqref="E100">
    <cfRule type="containsText" dxfId="964" priority="67763" operator="containsText" text="ENDIVIDAMENTO">
      <formula>NOT(ISERROR(SEARCH("ENDIVIDAMENTO",E100)))</formula>
    </cfRule>
    <cfRule type="containsText" dxfId="963" priority="67764" operator="containsText" text="IMPOSTOS">
      <formula>NOT(ISERROR(SEARCH("IMPOSTOS",E100)))</formula>
    </cfRule>
    <cfRule type="containsText" dxfId="962" priority="67765" operator="containsText" text="INVESTIMENTO">
      <formula>NOT(ISERROR(SEARCH("INVESTIMENTO",E100)))</formula>
    </cfRule>
    <cfRule type="containsText" dxfId="961" priority="67766" operator="containsText" text="Despesas">
      <formula>NOT(ISERROR(SEARCH("Despesas",E100)))</formula>
    </cfRule>
    <cfRule type="containsText" dxfId="960" priority="67767" operator="containsText" text="Receitas">
      <formula>NOT(ISERROR(SEARCH("Receitas",E100)))</formula>
    </cfRule>
    <cfRule type="containsText" dxfId="959" priority="67770" operator="containsText" text="ENDIVIDAMENTO">
      <formula>NOT(ISERROR(SEARCH("ENDIVIDAMENTO",E100)))</formula>
    </cfRule>
    <cfRule type="containsText" dxfId="958" priority="67771" operator="containsText" text="IMPOSTOS">
      <formula>NOT(ISERROR(SEARCH("IMPOSTOS",E100)))</formula>
    </cfRule>
    <cfRule type="containsText" dxfId="957" priority="67772" operator="containsText" text="INVESTIMENTO">
      <formula>NOT(ISERROR(SEARCH("INVESTIMENTO",E100)))</formula>
    </cfRule>
    <cfRule type="containsText" dxfId="956" priority="67773" operator="containsText" text="Despesas">
      <formula>NOT(ISERROR(SEARCH("Despesas",E100)))</formula>
    </cfRule>
    <cfRule type="containsText" dxfId="955" priority="67774" operator="containsText" text="Receitas">
      <formula>NOT(ISERROR(SEARCH("Receitas",E100)))</formula>
    </cfRule>
  </conditionalFormatting>
  <conditionalFormatting sqref="E101:E102">
    <cfRule type="containsText" dxfId="954" priority="67739" operator="containsText" text="ENDIVIDAMENTO">
      <formula>NOT(ISERROR(SEARCH("ENDIVIDAMENTO",E101)))</formula>
    </cfRule>
    <cfRule type="containsText" dxfId="953" priority="67740" operator="containsText" text="IMPOSTOS">
      <formula>NOT(ISERROR(SEARCH("IMPOSTOS",E101)))</formula>
    </cfRule>
    <cfRule type="containsText" dxfId="952" priority="67741" operator="containsText" text="INVESTIMENTO">
      <formula>NOT(ISERROR(SEARCH("INVESTIMENTO",E101)))</formula>
    </cfRule>
    <cfRule type="containsText" dxfId="951" priority="67742" operator="containsText" text="Despesas">
      <formula>NOT(ISERROR(SEARCH("Despesas",E101)))</formula>
    </cfRule>
    <cfRule type="containsText" dxfId="950" priority="67743" operator="containsText" text="Receitas">
      <formula>NOT(ISERROR(SEARCH("Receitas",E101)))</formula>
    </cfRule>
    <cfRule type="containsText" dxfId="949" priority="67746" operator="containsText" text="ENDIVIDAMENTO">
      <formula>NOT(ISERROR(SEARCH("ENDIVIDAMENTO",E101)))</formula>
    </cfRule>
    <cfRule type="containsText" dxfId="948" priority="67747" operator="containsText" text="IMPOSTOS">
      <formula>NOT(ISERROR(SEARCH("IMPOSTOS",E101)))</formula>
    </cfRule>
    <cfRule type="containsText" dxfId="947" priority="67748" operator="containsText" text="INVESTIMENTO">
      <formula>NOT(ISERROR(SEARCH("INVESTIMENTO",E101)))</formula>
    </cfRule>
    <cfRule type="containsText" dxfId="946" priority="67749" operator="containsText" text="Despesas">
      <formula>NOT(ISERROR(SEARCH("Despesas",E101)))</formula>
    </cfRule>
    <cfRule type="containsText" dxfId="945" priority="67750" operator="containsText" text="Receitas">
      <formula>NOT(ISERROR(SEARCH("Receitas",E101)))</formula>
    </cfRule>
  </conditionalFormatting>
  <conditionalFormatting sqref="E103">
    <cfRule type="containsText" dxfId="944" priority="67715" operator="containsText" text="ENDIVIDAMENTO">
      <formula>NOT(ISERROR(SEARCH("ENDIVIDAMENTO",E103)))</formula>
    </cfRule>
    <cfRule type="containsText" dxfId="943" priority="67716" operator="containsText" text="IMPOSTOS">
      <formula>NOT(ISERROR(SEARCH("IMPOSTOS",E103)))</formula>
    </cfRule>
    <cfRule type="containsText" dxfId="942" priority="67717" operator="containsText" text="INVESTIMENTO">
      <formula>NOT(ISERROR(SEARCH("INVESTIMENTO",E103)))</formula>
    </cfRule>
    <cfRule type="containsText" dxfId="941" priority="67718" operator="containsText" text="Despesas">
      <formula>NOT(ISERROR(SEARCH("Despesas",E103)))</formula>
    </cfRule>
    <cfRule type="containsText" dxfId="940" priority="67719" operator="containsText" text="Receitas">
      <formula>NOT(ISERROR(SEARCH("Receitas",E103)))</formula>
    </cfRule>
    <cfRule type="containsText" dxfId="939" priority="67722" operator="containsText" text="ENDIVIDAMENTO">
      <formula>NOT(ISERROR(SEARCH("ENDIVIDAMENTO",E103)))</formula>
    </cfRule>
    <cfRule type="containsText" dxfId="938" priority="67723" operator="containsText" text="IMPOSTOS">
      <formula>NOT(ISERROR(SEARCH("IMPOSTOS",E103)))</formula>
    </cfRule>
    <cfRule type="containsText" dxfId="937" priority="67724" operator="containsText" text="INVESTIMENTO">
      <formula>NOT(ISERROR(SEARCH("INVESTIMENTO",E103)))</formula>
    </cfRule>
    <cfRule type="containsText" dxfId="936" priority="67725" operator="containsText" text="Despesas">
      <formula>NOT(ISERROR(SEARCH("Despesas",E103)))</formula>
    </cfRule>
    <cfRule type="containsText" dxfId="935" priority="67726" operator="containsText" text="Receitas">
      <formula>NOT(ISERROR(SEARCH("Receitas",E103)))</formula>
    </cfRule>
  </conditionalFormatting>
  <conditionalFormatting sqref="E108">
    <cfRule type="containsText" dxfId="934" priority="67595" operator="containsText" text="ENDIVIDAMENTO">
      <formula>NOT(ISERROR(SEARCH("ENDIVIDAMENTO",E108)))</formula>
    </cfRule>
    <cfRule type="containsText" dxfId="933" priority="67596" operator="containsText" text="IMPOSTOS">
      <formula>NOT(ISERROR(SEARCH("IMPOSTOS",E108)))</formula>
    </cfRule>
    <cfRule type="containsText" dxfId="932" priority="67597" operator="containsText" text="INVESTIMENTO">
      <formula>NOT(ISERROR(SEARCH("INVESTIMENTO",E108)))</formula>
    </cfRule>
    <cfRule type="containsText" dxfId="931" priority="67598" operator="containsText" text="Despesas">
      <formula>NOT(ISERROR(SEARCH("Despesas",E108)))</formula>
    </cfRule>
    <cfRule type="containsText" dxfId="930" priority="67599" operator="containsText" text="Receitas">
      <formula>NOT(ISERROR(SEARCH("Receitas",E108)))</formula>
    </cfRule>
    <cfRule type="containsText" dxfId="929" priority="67602" operator="containsText" text="ENDIVIDAMENTO">
      <formula>NOT(ISERROR(SEARCH("ENDIVIDAMENTO",E108)))</formula>
    </cfRule>
    <cfRule type="containsText" dxfId="928" priority="67603" operator="containsText" text="IMPOSTOS">
      <formula>NOT(ISERROR(SEARCH("IMPOSTOS",E108)))</formula>
    </cfRule>
    <cfRule type="containsText" dxfId="927" priority="67604" operator="containsText" text="INVESTIMENTO">
      <formula>NOT(ISERROR(SEARCH("INVESTIMENTO",E108)))</formula>
    </cfRule>
    <cfRule type="containsText" dxfId="926" priority="67605" operator="containsText" text="Despesas">
      <formula>NOT(ISERROR(SEARCH("Despesas",E108)))</formula>
    </cfRule>
    <cfRule type="containsText" dxfId="925" priority="67606" operator="containsText" text="Receitas">
      <formula>NOT(ISERROR(SEARCH("Receitas",E108)))</formula>
    </cfRule>
  </conditionalFormatting>
  <conditionalFormatting sqref="E104">
    <cfRule type="containsText" dxfId="924" priority="67667" operator="containsText" text="ENDIVIDAMENTO">
      <formula>NOT(ISERROR(SEARCH("ENDIVIDAMENTO",E104)))</formula>
    </cfRule>
    <cfRule type="containsText" dxfId="923" priority="67668" operator="containsText" text="IMPOSTOS">
      <formula>NOT(ISERROR(SEARCH("IMPOSTOS",E104)))</formula>
    </cfRule>
    <cfRule type="containsText" dxfId="922" priority="67669" operator="containsText" text="INVESTIMENTO">
      <formula>NOT(ISERROR(SEARCH("INVESTIMENTO",E104)))</formula>
    </cfRule>
    <cfRule type="containsText" dxfId="921" priority="67670" operator="containsText" text="Despesas">
      <formula>NOT(ISERROR(SEARCH("Despesas",E104)))</formula>
    </cfRule>
    <cfRule type="containsText" dxfId="920" priority="67671" operator="containsText" text="Receitas">
      <formula>NOT(ISERROR(SEARCH("Receitas",E104)))</formula>
    </cfRule>
    <cfRule type="containsText" dxfId="919" priority="67674" operator="containsText" text="ENDIVIDAMENTO">
      <formula>NOT(ISERROR(SEARCH("ENDIVIDAMENTO",E104)))</formula>
    </cfRule>
    <cfRule type="containsText" dxfId="918" priority="67675" operator="containsText" text="IMPOSTOS">
      <formula>NOT(ISERROR(SEARCH("IMPOSTOS",E104)))</formula>
    </cfRule>
    <cfRule type="containsText" dxfId="917" priority="67676" operator="containsText" text="INVESTIMENTO">
      <formula>NOT(ISERROR(SEARCH("INVESTIMENTO",E104)))</formula>
    </cfRule>
    <cfRule type="containsText" dxfId="916" priority="67677" operator="containsText" text="Despesas">
      <formula>NOT(ISERROR(SEARCH("Despesas",E104)))</formula>
    </cfRule>
    <cfRule type="containsText" dxfId="915" priority="67678" operator="containsText" text="Receitas">
      <formula>NOT(ISERROR(SEARCH("Receitas",E104)))</formula>
    </cfRule>
  </conditionalFormatting>
  <conditionalFormatting sqref="E106">
    <cfRule type="containsText" dxfId="914" priority="67643" operator="containsText" text="ENDIVIDAMENTO">
      <formula>NOT(ISERROR(SEARCH("ENDIVIDAMENTO",E106)))</formula>
    </cfRule>
    <cfRule type="containsText" dxfId="913" priority="67644" operator="containsText" text="IMPOSTOS">
      <formula>NOT(ISERROR(SEARCH("IMPOSTOS",E106)))</formula>
    </cfRule>
    <cfRule type="containsText" dxfId="912" priority="67645" operator="containsText" text="INVESTIMENTO">
      <formula>NOT(ISERROR(SEARCH("INVESTIMENTO",E106)))</formula>
    </cfRule>
    <cfRule type="containsText" dxfId="911" priority="67646" operator="containsText" text="Despesas">
      <formula>NOT(ISERROR(SEARCH("Despesas",E106)))</formula>
    </cfRule>
    <cfRule type="containsText" dxfId="910" priority="67647" operator="containsText" text="Receitas">
      <formula>NOT(ISERROR(SEARCH("Receitas",E106)))</formula>
    </cfRule>
    <cfRule type="containsText" dxfId="909" priority="67650" operator="containsText" text="ENDIVIDAMENTO">
      <formula>NOT(ISERROR(SEARCH("ENDIVIDAMENTO",E106)))</formula>
    </cfRule>
    <cfRule type="containsText" dxfId="908" priority="67651" operator="containsText" text="IMPOSTOS">
      <formula>NOT(ISERROR(SEARCH("IMPOSTOS",E106)))</formula>
    </cfRule>
    <cfRule type="containsText" dxfId="907" priority="67652" operator="containsText" text="INVESTIMENTO">
      <formula>NOT(ISERROR(SEARCH("INVESTIMENTO",E106)))</formula>
    </cfRule>
    <cfRule type="containsText" dxfId="906" priority="67653" operator="containsText" text="Despesas">
      <formula>NOT(ISERROR(SEARCH("Despesas",E106)))</formula>
    </cfRule>
    <cfRule type="containsText" dxfId="905" priority="67654" operator="containsText" text="Receitas">
      <formula>NOT(ISERROR(SEARCH("Receitas",E106)))</formula>
    </cfRule>
  </conditionalFormatting>
  <conditionalFormatting sqref="E107">
    <cfRule type="containsText" dxfId="904" priority="67619" operator="containsText" text="ENDIVIDAMENTO">
      <formula>NOT(ISERROR(SEARCH("ENDIVIDAMENTO",E107)))</formula>
    </cfRule>
    <cfRule type="containsText" dxfId="903" priority="67620" operator="containsText" text="IMPOSTOS">
      <formula>NOT(ISERROR(SEARCH("IMPOSTOS",E107)))</formula>
    </cfRule>
    <cfRule type="containsText" dxfId="902" priority="67621" operator="containsText" text="INVESTIMENTO">
      <formula>NOT(ISERROR(SEARCH("INVESTIMENTO",E107)))</formula>
    </cfRule>
    <cfRule type="containsText" dxfId="901" priority="67622" operator="containsText" text="Despesas">
      <formula>NOT(ISERROR(SEARCH("Despesas",E107)))</formula>
    </cfRule>
    <cfRule type="containsText" dxfId="900" priority="67623" operator="containsText" text="Receitas">
      <formula>NOT(ISERROR(SEARCH("Receitas",E107)))</formula>
    </cfRule>
    <cfRule type="containsText" dxfId="899" priority="67626" operator="containsText" text="ENDIVIDAMENTO">
      <formula>NOT(ISERROR(SEARCH("ENDIVIDAMENTO",E107)))</formula>
    </cfRule>
    <cfRule type="containsText" dxfId="898" priority="67627" operator="containsText" text="IMPOSTOS">
      <formula>NOT(ISERROR(SEARCH("IMPOSTOS",E107)))</formula>
    </cfRule>
    <cfRule type="containsText" dxfId="897" priority="67628" operator="containsText" text="INVESTIMENTO">
      <formula>NOT(ISERROR(SEARCH("INVESTIMENTO",E107)))</formula>
    </cfRule>
    <cfRule type="containsText" dxfId="896" priority="67629" operator="containsText" text="Despesas">
      <formula>NOT(ISERROR(SEARCH("Despesas",E107)))</formula>
    </cfRule>
    <cfRule type="containsText" dxfId="895" priority="67630" operator="containsText" text="Receitas">
      <formula>NOT(ISERROR(SEARCH("Receitas",E107)))</formula>
    </cfRule>
  </conditionalFormatting>
  <conditionalFormatting sqref="E110">
    <cfRule type="containsText" dxfId="894" priority="67547" operator="containsText" text="ENDIVIDAMENTO">
      <formula>NOT(ISERROR(SEARCH("ENDIVIDAMENTO",E110)))</formula>
    </cfRule>
    <cfRule type="containsText" dxfId="893" priority="67548" operator="containsText" text="IMPOSTOS">
      <formula>NOT(ISERROR(SEARCH("IMPOSTOS",E110)))</formula>
    </cfRule>
    <cfRule type="containsText" dxfId="892" priority="67549" operator="containsText" text="INVESTIMENTO">
      <formula>NOT(ISERROR(SEARCH("INVESTIMENTO",E110)))</formula>
    </cfRule>
    <cfRule type="containsText" dxfId="891" priority="67550" operator="containsText" text="Despesas">
      <formula>NOT(ISERROR(SEARCH("Despesas",E110)))</formula>
    </cfRule>
    <cfRule type="containsText" dxfId="890" priority="67551" operator="containsText" text="Receitas">
      <formula>NOT(ISERROR(SEARCH("Receitas",E110)))</formula>
    </cfRule>
    <cfRule type="containsText" dxfId="889" priority="67554" operator="containsText" text="ENDIVIDAMENTO">
      <formula>NOT(ISERROR(SEARCH("ENDIVIDAMENTO",E110)))</formula>
    </cfRule>
    <cfRule type="containsText" dxfId="888" priority="67555" operator="containsText" text="IMPOSTOS">
      <formula>NOT(ISERROR(SEARCH("IMPOSTOS",E110)))</formula>
    </cfRule>
    <cfRule type="containsText" dxfId="887" priority="67556" operator="containsText" text="INVESTIMENTO">
      <formula>NOT(ISERROR(SEARCH("INVESTIMENTO",E110)))</formula>
    </cfRule>
    <cfRule type="containsText" dxfId="886" priority="67557" operator="containsText" text="Despesas">
      <formula>NOT(ISERROR(SEARCH("Despesas",E110)))</formula>
    </cfRule>
    <cfRule type="containsText" dxfId="885" priority="67558" operator="containsText" text="Receitas">
      <formula>NOT(ISERROR(SEARCH("Receitas",E110)))</formula>
    </cfRule>
  </conditionalFormatting>
  <conditionalFormatting sqref="E111">
    <cfRule type="containsText" dxfId="884" priority="67523" operator="containsText" text="ENDIVIDAMENTO">
      <formula>NOT(ISERROR(SEARCH("ENDIVIDAMENTO",E111)))</formula>
    </cfRule>
    <cfRule type="containsText" dxfId="883" priority="67524" operator="containsText" text="IMPOSTOS">
      <formula>NOT(ISERROR(SEARCH("IMPOSTOS",E111)))</formula>
    </cfRule>
    <cfRule type="containsText" dxfId="882" priority="67525" operator="containsText" text="INVESTIMENTO">
      <formula>NOT(ISERROR(SEARCH("INVESTIMENTO",E111)))</formula>
    </cfRule>
    <cfRule type="containsText" dxfId="881" priority="67526" operator="containsText" text="Despesas">
      <formula>NOT(ISERROR(SEARCH("Despesas",E111)))</formula>
    </cfRule>
    <cfRule type="containsText" dxfId="880" priority="67527" operator="containsText" text="Receitas">
      <formula>NOT(ISERROR(SEARCH("Receitas",E111)))</formula>
    </cfRule>
    <cfRule type="containsText" dxfId="879" priority="67530" operator="containsText" text="ENDIVIDAMENTO">
      <formula>NOT(ISERROR(SEARCH("ENDIVIDAMENTO",E111)))</formula>
    </cfRule>
    <cfRule type="containsText" dxfId="878" priority="67531" operator="containsText" text="IMPOSTOS">
      <formula>NOT(ISERROR(SEARCH("IMPOSTOS",E111)))</formula>
    </cfRule>
    <cfRule type="containsText" dxfId="877" priority="67532" operator="containsText" text="INVESTIMENTO">
      <formula>NOT(ISERROR(SEARCH("INVESTIMENTO",E111)))</formula>
    </cfRule>
    <cfRule type="containsText" dxfId="876" priority="67533" operator="containsText" text="Despesas">
      <formula>NOT(ISERROR(SEARCH("Despesas",E111)))</formula>
    </cfRule>
    <cfRule type="containsText" dxfId="875" priority="67534" operator="containsText" text="Receitas">
      <formula>NOT(ISERROR(SEARCH("Receitas",E111)))</formula>
    </cfRule>
  </conditionalFormatting>
  <conditionalFormatting sqref="E112">
    <cfRule type="containsText" dxfId="874" priority="67499" operator="containsText" text="ENDIVIDAMENTO">
      <formula>NOT(ISERROR(SEARCH("ENDIVIDAMENTO",E112)))</formula>
    </cfRule>
    <cfRule type="containsText" dxfId="873" priority="67500" operator="containsText" text="IMPOSTOS">
      <formula>NOT(ISERROR(SEARCH("IMPOSTOS",E112)))</formula>
    </cfRule>
    <cfRule type="containsText" dxfId="872" priority="67501" operator="containsText" text="INVESTIMENTO">
      <formula>NOT(ISERROR(SEARCH("INVESTIMENTO",E112)))</formula>
    </cfRule>
    <cfRule type="containsText" dxfId="871" priority="67502" operator="containsText" text="Despesas">
      <formula>NOT(ISERROR(SEARCH("Despesas",E112)))</formula>
    </cfRule>
    <cfRule type="containsText" dxfId="870" priority="67503" operator="containsText" text="Receitas">
      <formula>NOT(ISERROR(SEARCH("Receitas",E112)))</formula>
    </cfRule>
    <cfRule type="containsText" dxfId="869" priority="67506" operator="containsText" text="ENDIVIDAMENTO">
      <formula>NOT(ISERROR(SEARCH("ENDIVIDAMENTO",E112)))</formula>
    </cfRule>
    <cfRule type="containsText" dxfId="868" priority="67507" operator="containsText" text="IMPOSTOS">
      <formula>NOT(ISERROR(SEARCH("IMPOSTOS",E112)))</formula>
    </cfRule>
    <cfRule type="containsText" dxfId="867" priority="67508" operator="containsText" text="INVESTIMENTO">
      <formula>NOT(ISERROR(SEARCH("INVESTIMENTO",E112)))</formula>
    </cfRule>
    <cfRule type="containsText" dxfId="866" priority="67509" operator="containsText" text="Despesas">
      <formula>NOT(ISERROR(SEARCH("Despesas",E112)))</formula>
    </cfRule>
    <cfRule type="containsText" dxfId="865" priority="67510" operator="containsText" text="Receitas">
      <formula>NOT(ISERROR(SEARCH("Receitas",E112)))</formula>
    </cfRule>
  </conditionalFormatting>
  <conditionalFormatting sqref="E114:E115">
    <cfRule type="containsText" dxfId="864" priority="67475" operator="containsText" text="ENDIVIDAMENTO">
      <formula>NOT(ISERROR(SEARCH("ENDIVIDAMENTO",E114)))</formula>
    </cfRule>
    <cfRule type="containsText" dxfId="863" priority="67476" operator="containsText" text="IMPOSTOS">
      <formula>NOT(ISERROR(SEARCH("IMPOSTOS",E114)))</formula>
    </cfRule>
    <cfRule type="containsText" dxfId="862" priority="67477" operator="containsText" text="INVESTIMENTO">
      <formula>NOT(ISERROR(SEARCH("INVESTIMENTO",E114)))</formula>
    </cfRule>
    <cfRule type="containsText" dxfId="861" priority="67478" operator="containsText" text="Despesas">
      <formula>NOT(ISERROR(SEARCH("Despesas",E114)))</formula>
    </cfRule>
    <cfRule type="containsText" dxfId="860" priority="67479" operator="containsText" text="Receitas">
      <formula>NOT(ISERROR(SEARCH("Receitas",E114)))</formula>
    </cfRule>
    <cfRule type="containsText" dxfId="859" priority="67482" operator="containsText" text="ENDIVIDAMENTO">
      <formula>NOT(ISERROR(SEARCH("ENDIVIDAMENTO",E114)))</formula>
    </cfRule>
    <cfRule type="containsText" dxfId="858" priority="67483" operator="containsText" text="IMPOSTOS">
      <formula>NOT(ISERROR(SEARCH("IMPOSTOS",E114)))</formula>
    </cfRule>
    <cfRule type="containsText" dxfId="857" priority="67484" operator="containsText" text="INVESTIMENTO">
      <formula>NOT(ISERROR(SEARCH("INVESTIMENTO",E114)))</formula>
    </cfRule>
    <cfRule type="containsText" dxfId="856" priority="67485" operator="containsText" text="Despesas">
      <formula>NOT(ISERROR(SEARCH("Despesas",E114)))</formula>
    </cfRule>
    <cfRule type="containsText" dxfId="855" priority="67486" operator="containsText" text="Receitas">
      <formula>NOT(ISERROR(SEARCH("Receitas",E114)))</formula>
    </cfRule>
  </conditionalFormatting>
  <conditionalFormatting sqref="E116">
    <cfRule type="containsText" dxfId="854" priority="67451" operator="containsText" text="ENDIVIDAMENTO">
      <formula>NOT(ISERROR(SEARCH("ENDIVIDAMENTO",E116)))</formula>
    </cfRule>
    <cfRule type="containsText" dxfId="853" priority="67452" operator="containsText" text="IMPOSTOS">
      <formula>NOT(ISERROR(SEARCH("IMPOSTOS",E116)))</formula>
    </cfRule>
    <cfRule type="containsText" dxfId="852" priority="67453" operator="containsText" text="INVESTIMENTO">
      <formula>NOT(ISERROR(SEARCH("INVESTIMENTO",E116)))</formula>
    </cfRule>
    <cfRule type="containsText" dxfId="851" priority="67454" operator="containsText" text="Despesas">
      <formula>NOT(ISERROR(SEARCH("Despesas",E116)))</formula>
    </cfRule>
    <cfRule type="containsText" dxfId="850" priority="67455" operator="containsText" text="Receitas">
      <formula>NOT(ISERROR(SEARCH("Receitas",E116)))</formula>
    </cfRule>
    <cfRule type="containsText" dxfId="849" priority="67458" operator="containsText" text="ENDIVIDAMENTO">
      <formula>NOT(ISERROR(SEARCH("ENDIVIDAMENTO",E116)))</formula>
    </cfRule>
    <cfRule type="containsText" dxfId="848" priority="67459" operator="containsText" text="IMPOSTOS">
      <formula>NOT(ISERROR(SEARCH("IMPOSTOS",E116)))</formula>
    </cfRule>
    <cfRule type="containsText" dxfId="847" priority="67460" operator="containsText" text="INVESTIMENTO">
      <formula>NOT(ISERROR(SEARCH("INVESTIMENTO",E116)))</formula>
    </cfRule>
    <cfRule type="containsText" dxfId="846" priority="67461" operator="containsText" text="Despesas">
      <formula>NOT(ISERROR(SEARCH("Despesas",E116)))</formula>
    </cfRule>
    <cfRule type="containsText" dxfId="845" priority="67462" operator="containsText" text="Receitas">
      <formula>NOT(ISERROR(SEARCH("Receitas",E116)))</formula>
    </cfRule>
  </conditionalFormatting>
  <conditionalFormatting sqref="E118">
    <cfRule type="containsText" dxfId="844" priority="64903" operator="containsText" text="ENDIVIDAMENTO">
      <formula>NOT(ISERROR(SEARCH("ENDIVIDAMENTO",E118)))</formula>
    </cfRule>
    <cfRule type="containsText" dxfId="843" priority="64904" operator="containsText" text="IMPOSTOS">
      <formula>NOT(ISERROR(SEARCH("IMPOSTOS",E118)))</formula>
    </cfRule>
    <cfRule type="containsText" dxfId="842" priority="64905" operator="containsText" text="INVESTIMENTO">
      <formula>NOT(ISERROR(SEARCH("INVESTIMENTO",E118)))</formula>
    </cfRule>
    <cfRule type="containsText" dxfId="841" priority="64906" operator="containsText" text="Despesas">
      <formula>NOT(ISERROR(SEARCH("Despesas",E118)))</formula>
    </cfRule>
    <cfRule type="containsText" dxfId="840" priority="64907" operator="containsText" text="Receitas">
      <formula>NOT(ISERROR(SEARCH("Receitas",E118)))</formula>
    </cfRule>
    <cfRule type="containsText" dxfId="839" priority="64910" operator="containsText" text="ENDIVIDAMENTO">
      <formula>NOT(ISERROR(SEARCH("ENDIVIDAMENTO",E118)))</formula>
    </cfRule>
    <cfRule type="containsText" dxfId="838" priority="64911" operator="containsText" text="IMPOSTOS">
      <formula>NOT(ISERROR(SEARCH("IMPOSTOS",E118)))</formula>
    </cfRule>
    <cfRule type="containsText" dxfId="837" priority="64912" operator="containsText" text="INVESTIMENTO">
      <formula>NOT(ISERROR(SEARCH("INVESTIMENTO",E118)))</formula>
    </cfRule>
    <cfRule type="containsText" dxfId="836" priority="64913" operator="containsText" text="Despesas">
      <formula>NOT(ISERROR(SEARCH("Despesas",E118)))</formula>
    </cfRule>
    <cfRule type="containsText" dxfId="835" priority="64914" operator="containsText" text="Receitas">
      <formula>NOT(ISERROR(SEARCH("Receitas",E118)))</formula>
    </cfRule>
  </conditionalFormatting>
  <conditionalFormatting sqref="E69:E70">
    <cfRule type="containsText" dxfId="834" priority="64711" operator="containsText" text="ENDIVIDAMENTO">
      <formula>NOT(ISERROR(SEARCH("ENDIVIDAMENTO",E69)))</formula>
    </cfRule>
    <cfRule type="containsText" dxfId="833" priority="64712" operator="containsText" text="IMPOSTOS">
      <formula>NOT(ISERROR(SEARCH("IMPOSTOS",E69)))</formula>
    </cfRule>
    <cfRule type="containsText" dxfId="832" priority="64713" operator="containsText" text="INVESTIMENTO">
      <formula>NOT(ISERROR(SEARCH("INVESTIMENTO",E69)))</formula>
    </cfRule>
    <cfRule type="containsText" dxfId="831" priority="64714" operator="containsText" text="Despesas">
      <formula>NOT(ISERROR(SEARCH("Despesas",E69)))</formula>
    </cfRule>
    <cfRule type="containsText" dxfId="830" priority="64715" operator="containsText" text="Receitas">
      <formula>NOT(ISERROR(SEARCH("Receitas",E69)))</formula>
    </cfRule>
    <cfRule type="containsText" dxfId="829" priority="64718" operator="containsText" text="ENDIVIDAMENTO">
      <formula>NOT(ISERROR(SEARCH("ENDIVIDAMENTO",E69)))</formula>
    </cfRule>
    <cfRule type="containsText" dxfId="828" priority="64719" operator="containsText" text="IMPOSTOS">
      <formula>NOT(ISERROR(SEARCH("IMPOSTOS",E69)))</formula>
    </cfRule>
    <cfRule type="containsText" dxfId="827" priority="64720" operator="containsText" text="INVESTIMENTO">
      <formula>NOT(ISERROR(SEARCH("INVESTIMENTO",E69)))</formula>
    </cfRule>
    <cfRule type="containsText" dxfId="826" priority="64721" operator="containsText" text="Despesas">
      <formula>NOT(ISERROR(SEARCH("Despesas",E69)))</formula>
    </cfRule>
    <cfRule type="containsText" dxfId="825" priority="64722" operator="containsText" text="Receitas">
      <formula>NOT(ISERROR(SEARCH("Receitas",E69)))</formula>
    </cfRule>
  </conditionalFormatting>
  <conditionalFormatting sqref="E71">
    <cfRule type="containsText" dxfId="824" priority="64687" operator="containsText" text="ENDIVIDAMENTO">
      <formula>NOT(ISERROR(SEARCH("ENDIVIDAMENTO",E71)))</formula>
    </cfRule>
    <cfRule type="containsText" dxfId="823" priority="64688" operator="containsText" text="IMPOSTOS">
      <formula>NOT(ISERROR(SEARCH("IMPOSTOS",E71)))</formula>
    </cfRule>
    <cfRule type="containsText" dxfId="822" priority="64689" operator="containsText" text="INVESTIMENTO">
      <formula>NOT(ISERROR(SEARCH("INVESTIMENTO",E71)))</formula>
    </cfRule>
    <cfRule type="containsText" dxfId="821" priority="64690" operator="containsText" text="Despesas">
      <formula>NOT(ISERROR(SEARCH("Despesas",E71)))</formula>
    </cfRule>
    <cfRule type="containsText" dxfId="820" priority="64691" operator="containsText" text="Receitas">
      <formula>NOT(ISERROR(SEARCH("Receitas",E71)))</formula>
    </cfRule>
    <cfRule type="containsText" dxfId="819" priority="64694" operator="containsText" text="ENDIVIDAMENTO">
      <formula>NOT(ISERROR(SEARCH("ENDIVIDAMENTO",E71)))</formula>
    </cfRule>
    <cfRule type="containsText" dxfId="818" priority="64695" operator="containsText" text="IMPOSTOS">
      <formula>NOT(ISERROR(SEARCH("IMPOSTOS",E71)))</formula>
    </cfRule>
    <cfRule type="containsText" dxfId="817" priority="64696" operator="containsText" text="INVESTIMENTO">
      <formula>NOT(ISERROR(SEARCH("INVESTIMENTO",E71)))</formula>
    </cfRule>
    <cfRule type="containsText" dxfId="816" priority="64697" operator="containsText" text="Despesas">
      <formula>NOT(ISERROR(SEARCH("Despesas",E71)))</formula>
    </cfRule>
    <cfRule type="containsText" dxfId="815" priority="64698" operator="containsText" text="Receitas">
      <formula>NOT(ISERROR(SEARCH("Receitas",E71)))</formula>
    </cfRule>
  </conditionalFormatting>
  <conditionalFormatting sqref="E119">
    <cfRule type="containsText" dxfId="814" priority="59403" operator="containsText" text="ENDIVIDAMENTO">
      <formula>NOT(ISERROR(SEARCH("ENDIVIDAMENTO",E119)))</formula>
    </cfRule>
    <cfRule type="containsText" dxfId="813" priority="59404" operator="containsText" text="IMPOSTOS">
      <formula>NOT(ISERROR(SEARCH("IMPOSTOS",E119)))</formula>
    </cfRule>
    <cfRule type="containsText" dxfId="812" priority="59405" operator="containsText" text="INVESTIMENTO">
      <formula>NOT(ISERROR(SEARCH("INVESTIMENTO",E119)))</formula>
    </cfRule>
    <cfRule type="containsText" dxfId="811" priority="59406" operator="containsText" text="Despesas">
      <formula>NOT(ISERROR(SEARCH("Despesas",E119)))</formula>
    </cfRule>
    <cfRule type="containsText" dxfId="810" priority="59407" operator="containsText" text="Receitas">
      <formula>NOT(ISERROR(SEARCH("Receitas",E119)))</formula>
    </cfRule>
    <cfRule type="containsText" dxfId="809" priority="59410" operator="containsText" text="ENDIVIDAMENTO">
      <formula>NOT(ISERROR(SEARCH("ENDIVIDAMENTO",E119)))</formula>
    </cfRule>
    <cfRule type="containsText" dxfId="808" priority="59411" operator="containsText" text="IMPOSTOS">
      <formula>NOT(ISERROR(SEARCH("IMPOSTOS",E119)))</formula>
    </cfRule>
    <cfRule type="containsText" dxfId="807" priority="59412" operator="containsText" text="INVESTIMENTO">
      <formula>NOT(ISERROR(SEARCH("INVESTIMENTO",E119)))</formula>
    </cfRule>
    <cfRule type="containsText" dxfId="806" priority="59413" operator="containsText" text="Despesas">
      <formula>NOT(ISERROR(SEARCH("Despesas",E119)))</formula>
    </cfRule>
    <cfRule type="containsText" dxfId="805" priority="59414" operator="containsText" text="Receitas">
      <formula>NOT(ISERROR(SEARCH("Receitas",E119)))</formula>
    </cfRule>
  </conditionalFormatting>
  <conditionalFormatting sqref="E121">
    <cfRule type="containsText" dxfId="804" priority="56921" operator="containsText" text="ENDIVIDAMENTO">
      <formula>NOT(ISERROR(SEARCH("ENDIVIDAMENTO",E121)))</formula>
    </cfRule>
    <cfRule type="containsText" dxfId="803" priority="56922" operator="containsText" text="IMPOSTOS">
      <formula>NOT(ISERROR(SEARCH("IMPOSTOS",E121)))</formula>
    </cfRule>
    <cfRule type="containsText" dxfId="802" priority="56923" operator="containsText" text="INVESTIMENTO">
      <formula>NOT(ISERROR(SEARCH("INVESTIMENTO",E121)))</formula>
    </cfRule>
    <cfRule type="containsText" dxfId="801" priority="56924" operator="containsText" text="Despesas">
      <formula>NOT(ISERROR(SEARCH("Despesas",E121)))</formula>
    </cfRule>
    <cfRule type="containsText" dxfId="800" priority="56925" operator="containsText" text="Receitas">
      <formula>NOT(ISERROR(SEARCH("Receitas",E121)))</formula>
    </cfRule>
    <cfRule type="containsText" dxfId="799" priority="56926" operator="containsText" text="ENDIVIDAMENTO">
      <formula>NOT(ISERROR(SEARCH("ENDIVIDAMENTO",E121)))</formula>
    </cfRule>
    <cfRule type="containsText" dxfId="798" priority="56927" operator="containsText" text="IMPOSTOS">
      <formula>NOT(ISERROR(SEARCH("IMPOSTOS",E121)))</formula>
    </cfRule>
    <cfRule type="containsText" dxfId="797" priority="56928" operator="containsText" text="INVESTIMENTO">
      <formula>NOT(ISERROR(SEARCH("INVESTIMENTO",E121)))</formula>
    </cfRule>
    <cfRule type="containsText" dxfId="796" priority="56929" operator="containsText" text="Despesas">
      <formula>NOT(ISERROR(SEARCH("Despesas",E121)))</formula>
    </cfRule>
    <cfRule type="containsText" dxfId="795" priority="56930" operator="containsText" text="Receitas">
      <formula>NOT(ISERROR(SEARCH("Receitas",E121)))</formula>
    </cfRule>
  </conditionalFormatting>
  <conditionalFormatting sqref="E98">
    <cfRule type="containsText" dxfId="794" priority="51391" operator="containsText" text="ENDIVIDAMENTO">
      <formula>NOT(ISERROR(SEARCH("ENDIVIDAMENTO",E98)))</formula>
    </cfRule>
    <cfRule type="containsText" dxfId="793" priority="51392" operator="containsText" text="IMPOSTOS">
      <formula>NOT(ISERROR(SEARCH("IMPOSTOS",E98)))</formula>
    </cfRule>
    <cfRule type="containsText" dxfId="792" priority="51393" operator="containsText" text="INVESTIMENTO">
      <formula>NOT(ISERROR(SEARCH("INVESTIMENTO",E98)))</formula>
    </cfRule>
    <cfRule type="containsText" dxfId="791" priority="51394" operator="containsText" text="Despesas">
      <formula>NOT(ISERROR(SEARCH("Despesas",E98)))</formula>
    </cfRule>
    <cfRule type="containsText" dxfId="790" priority="51395" operator="containsText" text="Receitas">
      <formula>NOT(ISERROR(SEARCH("Receitas",E98)))</formula>
    </cfRule>
    <cfRule type="containsText" dxfId="789" priority="51396" operator="containsText" text="ENDIVIDAMENTO">
      <formula>NOT(ISERROR(SEARCH("ENDIVIDAMENTO",E98)))</formula>
    </cfRule>
    <cfRule type="containsText" dxfId="788" priority="51397" operator="containsText" text="IMPOSTOS">
      <formula>NOT(ISERROR(SEARCH("IMPOSTOS",E98)))</formula>
    </cfRule>
    <cfRule type="containsText" dxfId="787" priority="51398" operator="containsText" text="INVESTIMENTO">
      <formula>NOT(ISERROR(SEARCH("INVESTIMENTO",E98)))</formula>
    </cfRule>
    <cfRule type="containsText" dxfId="786" priority="51399" operator="containsText" text="Despesas">
      <formula>NOT(ISERROR(SEARCH("Despesas",E98)))</formula>
    </cfRule>
    <cfRule type="containsText" dxfId="785" priority="51400" operator="containsText" text="Receitas">
      <formula>NOT(ISERROR(SEARCH("Receitas",E98)))</formula>
    </cfRule>
  </conditionalFormatting>
  <conditionalFormatting sqref="E146">
    <cfRule type="containsText" dxfId="784" priority="28436" operator="containsText" text="ENDIVIDAMENTO">
      <formula>NOT(ISERROR(SEARCH("ENDIVIDAMENTO",E146)))</formula>
    </cfRule>
    <cfRule type="containsText" dxfId="783" priority="28437" operator="containsText" text="IMPOSTOS">
      <formula>NOT(ISERROR(SEARCH("IMPOSTOS",E146)))</formula>
    </cfRule>
    <cfRule type="containsText" dxfId="782" priority="28438" operator="containsText" text="INVESTIMENTO">
      <formula>NOT(ISERROR(SEARCH("INVESTIMENTO",E146)))</formula>
    </cfRule>
    <cfRule type="containsText" dxfId="781" priority="28439" operator="containsText" text="Despesas">
      <formula>NOT(ISERROR(SEARCH("Despesas",E146)))</formula>
    </cfRule>
    <cfRule type="containsText" dxfId="780" priority="28440" operator="containsText" text="Receitas">
      <formula>NOT(ISERROR(SEARCH("Receitas",E146)))</formula>
    </cfRule>
    <cfRule type="containsText" dxfId="779" priority="28441" operator="containsText" text="ENDIVIDAMENTO">
      <formula>NOT(ISERROR(SEARCH("ENDIVIDAMENTO",E146)))</formula>
    </cfRule>
    <cfRule type="containsText" dxfId="778" priority="28442" operator="containsText" text="IMPOSTOS">
      <formula>NOT(ISERROR(SEARCH("IMPOSTOS",E146)))</formula>
    </cfRule>
    <cfRule type="containsText" dxfId="777" priority="28443" operator="containsText" text="INVESTIMENTO">
      <formula>NOT(ISERROR(SEARCH("INVESTIMENTO",E146)))</formula>
    </cfRule>
    <cfRule type="containsText" dxfId="776" priority="28444" operator="containsText" text="Despesas">
      <formula>NOT(ISERROR(SEARCH("Despesas",E146)))</formula>
    </cfRule>
    <cfRule type="containsText" dxfId="775" priority="28445" operator="containsText" text="Receitas">
      <formula>NOT(ISERROR(SEARCH("Receitas",E146)))</formula>
    </cfRule>
  </conditionalFormatting>
  <conditionalFormatting sqref="E149:E150">
    <cfRule type="containsText" dxfId="774" priority="27414" operator="containsText" text="ENDIVIDAMENTO">
      <formula>NOT(ISERROR(SEARCH("ENDIVIDAMENTO",E149)))</formula>
    </cfRule>
    <cfRule type="containsText" dxfId="773" priority="27415" operator="containsText" text="IMPOSTOS">
      <formula>NOT(ISERROR(SEARCH("IMPOSTOS",E149)))</formula>
    </cfRule>
    <cfRule type="containsText" dxfId="772" priority="27416" operator="containsText" text="INVESTIMENTO">
      <formula>NOT(ISERROR(SEARCH("INVESTIMENTO",E149)))</formula>
    </cfRule>
    <cfRule type="containsText" dxfId="771" priority="27417" operator="containsText" text="Despesas">
      <formula>NOT(ISERROR(SEARCH("Despesas",E149)))</formula>
    </cfRule>
    <cfRule type="containsText" dxfId="770" priority="27418" operator="containsText" text="Receitas">
      <formula>NOT(ISERROR(SEARCH("Receitas",E149)))</formula>
    </cfRule>
    <cfRule type="containsText" dxfId="769" priority="27419" operator="containsText" text="ENDIVIDAMENTO">
      <formula>NOT(ISERROR(SEARCH("ENDIVIDAMENTO",E149)))</formula>
    </cfRule>
    <cfRule type="containsText" dxfId="768" priority="27420" operator="containsText" text="IMPOSTOS">
      <formula>NOT(ISERROR(SEARCH("IMPOSTOS",E149)))</formula>
    </cfRule>
    <cfRule type="containsText" dxfId="767" priority="27421" operator="containsText" text="INVESTIMENTO">
      <formula>NOT(ISERROR(SEARCH("INVESTIMENTO",E149)))</formula>
    </cfRule>
    <cfRule type="containsText" dxfId="766" priority="27422" operator="containsText" text="Despesas">
      <formula>NOT(ISERROR(SEARCH("Despesas",E149)))</formula>
    </cfRule>
    <cfRule type="containsText" dxfId="765" priority="27423" operator="containsText" text="Receitas">
      <formula>NOT(ISERROR(SEARCH("Receitas",E149)))</formula>
    </cfRule>
  </conditionalFormatting>
  <conditionalFormatting sqref="E153">
    <cfRule type="containsText" dxfId="764" priority="27120" operator="containsText" text="ENDIVIDAMENTO">
      <formula>NOT(ISERROR(SEARCH("ENDIVIDAMENTO",E153)))</formula>
    </cfRule>
    <cfRule type="containsText" dxfId="763" priority="27121" operator="containsText" text="IMPOSTOS">
      <formula>NOT(ISERROR(SEARCH("IMPOSTOS",E153)))</formula>
    </cfRule>
    <cfRule type="containsText" dxfId="762" priority="27122" operator="containsText" text="INVESTIMENTO">
      <formula>NOT(ISERROR(SEARCH("INVESTIMENTO",E153)))</formula>
    </cfRule>
    <cfRule type="containsText" dxfId="761" priority="27123" operator="containsText" text="Despesas">
      <formula>NOT(ISERROR(SEARCH("Despesas",E153)))</formula>
    </cfRule>
    <cfRule type="containsText" dxfId="760" priority="27124" operator="containsText" text="Receitas">
      <formula>NOT(ISERROR(SEARCH("Receitas",E153)))</formula>
    </cfRule>
    <cfRule type="containsText" dxfId="759" priority="27125" operator="containsText" text="ENDIVIDAMENTO">
      <formula>NOT(ISERROR(SEARCH("ENDIVIDAMENTO",E153)))</formula>
    </cfRule>
    <cfRule type="containsText" dxfId="758" priority="27126" operator="containsText" text="IMPOSTOS">
      <formula>NOT(ISERROR(SEARCH("IMPOSTOS",E153)))</formula>
    </cfRule>
    <cfRule type="containsText" dxfId="757" priority="27127" operator="containsText" text="INVESTIMENTO">
      <formula>NOT(ISERROR(SEARCH("INVESTIMENTO",E153)))</formula>
    </cfRule>
    <cfRule type="containsText" dxfId="756" priority="27128" operator="containsText" text="Despesas">
      <formula>NOT(ISERROR(SEARCH("Despesas",E153)))</formula>
    </cfRule>
    <cfRule type="containsText" dxfId="755" priority="27129" operator="containsText" text="Receitas">
      <formula>NOT(ISERROR(SEARCH("Receitas",E153)))</formula>
    </cfRule>
  </conditionalFormatting>
  <conditionalFormatting sqref="E157">
    <cfRule type="containsText" dxfId="754" priority="26952" operator="containsText" text="ENDIVIDAMENTO">
      <formula>NOT(ISERROR(SEARCH("ENDIVIDAMENTO",E157)))</formula>
    </cfRule>
    <cfRule type="containsText" dxfId="753" priority="26953" operator="containsText" text="IMPOSTOS">
      <formula>NOT(ISERROR(SEARCH("IMPOSTOS",E157)))</formula>
    </cfRule>
    <cfRule type="containsText" dxfId="752" priority="26954" operator="containsText" text="INVESTIMENTO">
      <formula>NOT(ISERROR(SEARCH("INVESTIMENTO",E157)))</formula>
    </cfRule>
    <cfRule type="containsText" dxfId="751" priority="26955" operator="containsText" text="Despesas">
      <formula>NOT(ISERROR(SEARCH("Despesas",E157)))</formula>
    </cfRule>
    <cfRule type="containsText" dxfId="750" priority="26956" operator="containsText" text="Receitas">
      <formula>NOT(ISERROR(SEARCH("Receitas",E157)))</formula>
    </cfRule>
    <cfRule type="containsText" dxfId="749" priority="26957" operator="containsText" text="ENDIVIDAMENTO">
      <formula>NOT(ISERROR(SEARCH("ENDIVIDAMENTO",E157)))</formula>
    </cfRule>
    <cfRule type="containsText" dxfId="748" priority="26958" operator="containsText" text="IMPOSTOS">
      <formula>NOT(ISERROR(SEARCH("IMPOSTOS",E157)))</formula>
    </cfRule>
    <cfRule type="containsText" dxfId="747" priority="26959" operator="containsText" text="INVESTIMENTO">
      <formula>NOT(ISERROR(SEARCH("INVESTIMENTO",E157)))</formula>
    </cfRule>
    <cfRule type="containsText" dxfId="746" priority="26960" operator="containsText" text="Despesas">
      <formula>NOT(ISERROR(SEARCH("Despesas",E157)))</formula>
    </cfRule>
    <cfRule type="containsText" dxfId="745" priority="26961" operator="containsText" text="Receitas">
      <formula>NOT(ISERROR(SEARCH("Receitas",E157)))</formula>
    </cfRule>
  </conditionalFormatting>
  <conditionalFormatting sqref="E158">
    <cfRule type="containsText" dxfId="744" priority="26938" operator="containsText" text="ENDIVIDAMENTO">
      <formula>NOT(ISERROR(SEARCH("ENDIVIDAMENTO",E158)))</formula>
    </cfRule>
    <cfRule type="containsText" dxfId="743" priority="26939" operator="containsText" text="IMPOSTOS">
      <formula>NOT(ISERROR(SEARCH("IMPOSTOS",E158)))</formula>
    </cfRule>
    <cfRule type="containsText" dxfId="742" priority="26940" operator="containsText" text="INVESTIMENTO">
      <formula>NOT(ISERROR(SEARCH("INVESTIMENTO",E158)))</formula>
    </cfRule>
    <cfRule type="containsText" dxfId="741" priority="26941" operator="containsText" text="Despesas">
      <formula>NOT(ISERROR(SEARCH("Despesas",E158)))</formula>
    </cfRule>
    <cfRule type="containsText" dxfId="740" priority="26942" operator="containsText" text="Receitas">
      <formula>NOT(ISERROR(SEARCH("Receitas",E158)))</formula>
    </cfRule>
    <cfRule type="containsText" dxfId="739" priority="26943" operator="containsText" text="ENDIVIDAMENTO">
      <formula>NOT(ISERROR(SEARCH("ENDIVIDAMENTO",E158)))</formula>
    </cfRule>
    <cfRule type="containsText" dxfId="738" priority="26944" operator="containsText" text="IMPOSTOS">
      <formula>NOT(ISERROR(SEARCH("IMPOSTOS",E158)))</formula>
    </cfRule>
    <cfRule type="containsText" dxfId="737" priority="26945" operator="containsText" text="INVESTIMENTO">
      <formula>NOT(ISERROR(SEARCH("INVESTIMENTO",E158)))</formula>
    </cfRule>
    <cfRule type="containsText" dxfId="736" priority="26946" operator="containsText" text="Despesas">
      <formula>NOT(ISERROR(SEARCH("Despesas",E158)))</formula>
    </cfRule>
    <cfRule type="containsText" dxfId="735" priority="26947" operator="containsText" text="Receitas">
      <formula>NOT(ISERROR(SEARCH("Receitas",E158)))</formula>
    </cfRule>
  </conditionalFormatting>
  <conditionalFormatting sqref="E158">
    <cfRule type="containsText" dxfId="734" priority="26924" operator="containsText" text="ENDIVIDAMENTO">
      <formula>NOT(ISERROR(SEARCH("ENDIVIDAMENTO",E158)))</formula>
    </cfRule>
    <cfRule type="containsText" dxfId="733" priority="26925" operator="containsText" text="IMPOSTOS">
      <formula>NOT(ISERROR(SEARCH("IMPOSTOS",E158)))</formula>
    </cfRule>
    <cfRule type="containsText" dxfId="732" priority="26926" operator="containsText" text="INVESTIMENTO">
      <formula>NOT(ISERROR(SEARCH("INVESTIMENTO",E158)))</formula>
    </cfRule>
    <cfRule type="containsText" dxfId="731" priority="26927" operator="containsText" text="Despesas">
      <formula>NOT(ISERROR(SEARCH("Despesas",E158)))</formula>
    </cfRule>
    <cfRule type="containsText" dxfId="730" priority="26928" operator="containsText" text="Receitas">
      <formula>NOT(ISERROR(SEARCH("Receitas",E158)))</formula>
    </cfRule>
    <cfRule type="containsText" dxfId="729" priority="26929" operator="containsText" text="ENDIVIDAMENTO">
      <formula>NOT(ISERROR(SEARCH("ENDIVIDAMENTO",E158)))</formula>
    </cfRule>
    <cfRule type="containsText" dxfId="728" priority="26930" operator="containsText" text="IMPOSTOS">
      <formula>NOT(ISERROR(SEARCH("IMPOSTOS",E158)))</formula>
    </cfRule>
    <cfRule type="containsText" dxfId="727" priority="26931" operator="containsText" text="INVESTIMENTO">
      <formula>NOT(ISERROR(SEARCH("INVESTIMENTO",E158)))</formula>
    </cfRule>
    <cfRule type="containsText" dxfId="726" priority="26932" operator="containsText" text="Despesas">
      <formula>NOT(ISERROR(SEARCH("Despesas",E158)))</formula>
    </cfRule>
    <cfRule type="containsText" dxfId="725" priority="26933" operator="containsText" text="Receitas">
      <formula>NOT(ISERROR(SEARCH("Receitas",E158)))</formula>
    </cfRule>
  </conditionalFormatting>
  <conditionalFormatting sqref="E162">
    <cfRule type="containsText" dxfId="724" priority="26782" operator="containsText" text="ENDIVIDAMENTO">
      <formula>NOT(ISERROR(SEARCH("ENDIVIDAMENTO",E162)))</formula>
    </cfRule>
    <cfRule type="containsText" dxfId="723" priority="26783" operator="containsText" text="IMPOSTOS">
      <formula>NOT(ISERROR(SEARCH("IMPOSTOS",E162)))</formula>
    </cfRule>
    <cfRule type="containsText" dxfId="722" priority="26784" operator="containsText" text="INVESTIMENTO">
      <formula>NOT(ISERROR(SEARCH("INVESTIMENTO",E162)))</formula>
    </cfRule>
    <cfRule type="containsText" dxfId="721" priority="26785" operator="containsText" text="Despesas">
      <formula>NOT(ISERROR(SEARCH("Despesas",E162)))</formula>
    </cfRule>
    <cfRule type="containsText" dxfId="720" priority="26786" operator="containsText" text="Receitas">
      <formula>NOT(ISERROR(SEARCH("Receitas",E162)))</formula>
    </cfRule>
    <cfRule type="containsText" dxfId="719" priority="26787" operator="containsText" text="ENDIVIDAMENTO">
      <formula>NOT(ISERROR(SEARCH("ENDIVIDAMENTO",E162)))</formula>
    </cfRule>
    <cfRule type="containsText" dxfId="718" priority="26788" operator="containsText" text="IMPOSTOS">
      <formula>NOT(ISERROR(SEARCH("IMPOSTOS",E162)))</formula>
    </cfRule>
    <cfRule type="containsText" dxfId="717" priority="26789" operator="containsText" text="INVESTIMENTO">
      <formula>NOT(ISERROR(SEARCH("INVESTIMENTO",E162)))</formula>
    </cfRule>
    <cfRule type="containsText" dxfId="716" priority="26790" operator="containsText" text="Despesas">
      <formula>NOT(ISERROR(SEARCH("Despesas",E162)))</formula>
    </cfRule>
    <cfRule type="containsText" dxfId="715" priority="26791" operator="containsText" text="Receitas">
      <formula>NOT(ISERROR(SEARCH("Receitas",E162)))</formula>
    </cfRule>
  </conditionalFormatting>
  <conditionalFormatting sqref="E164">
    <cfRule type="containsText" dxfId="714" priority="26738" operator="containsText" text="ENDIVIDAMENTO">
      <formula>NOT(ISERROR(SEARCH("ENDIVIDAMENTO",E164)))</formula>
    </cfRule>
    <cfRule type="containsText" dxfId="713" priority="26739" operator="containsText" text="IMPOSTOS">
      <formula>NOT(ISERROR(SEARCH("IMPOSTOS",E164)))</formula>
    </cfRule>
    <cfRule type="containsText" dxfId="712" priority="26740" operator="containsText" text="INVESTIMENTO">
      <formula>NOT(ISERROR(SEARCH("INVESTIMENTO",E164)))</formula>
    </cfRule>
    <cfRule type="containsText" dxfId="711" priority="26741" operator="containsText" text="Despesas">
      <formula>NOT(ISERROR(SEARCH("Despesas",E164)))</formula>
    </cfRule>
    <cfRule type="containsText" dxfId="710" priority="26742" operator="containsText" text="Receitas">
      <formula>NOT(ISERROR(SEARCH("Receitas",E164)))</formula>
    </cfRule>
    <cfRule type="containsText" dxfId="709" priority="26743" operator="containsText" text="ENDIVIDAMENTO">
      <formula>NOT(ISERROR(SEARCH("ENDIVIDAMENTO",E164)))</formula>
    </cfRule>
    <cfRule type="containsText" dxfId="708" priority="26744" operator="containsText" text="IMPOSTOS">
      <formula>NOT(ISERROR(SEARCH("IMPOSTOS",E164)))</formula>
    </cfRule>
    <cfRule type="containsText" dxfId="707" priority="26745" operator="containsText" text="INVESTIMENTO">
      <formula>NOT(ISERROR(SEARCH("INVESTIMENTO",E164)))</formula>
    </cfRule>
    <cfRule type="containsText" dxfId="706" priority="26746" operator="containsText" text="Despesas">
      <formula>NOT(ISERROR(SEARCH("Despesas",E164)))</formula>
    </cfRule>
    <cfRule type="containsText" dxfId="705" priority="26747" operator="containsText" text="Receitas">
      <formula>NOT(ISERROR(SEARCH("Receitas",E164)))</formula>
    </cfRule>
  </conditionalFormatting>
  <conditionalFormatting sqref="E177">
    <cfRule type="containsText" dxfId="704" priority="26658" operator="containsText" text="ENDIVIDAMENTO">
      <formula>NOT(ISERROR(SEARCH("ENDIVIDAMENTO",E177)))</formula>
    </cfRule>
    <cfRule type="containsText" dxfId="703" priority="26659" operator="containsText" text="IMPOSTOS">
      <formula>NOT(ISERROR(SEARCH("IMPOSTOS",E177)))</formula>
    </cfRule>
    <cfRule type="containsText" dxfId="702" priority="26660" operator="containsText" text="INVESTIMENTO">
      <formula>NOT(ISERROR(SEARCH("INVESTIMENTO",E177)))</formula>
    </cfRule>
    <cfRule type="containsText" dxfId="701" priority="26661" operator="containsText" text="Despesas">
      <formula>NOT(ISERROR(SEARCH("Despesas",E177)))</formula>
    </cfRule>
    <cfRule type="containsText" dxfId="700" priority="26662" operator="containsText" text="Receitas">
      <formula>NOT(ISERROR(SEARCH("Receitas",E177)))</formula>
    </cfRule>
    <cfRule type="containsText" dxfId="699" priority="26663" operator="containsText" text="ENDIVIDAMENTO">
      <formula>NOT(ISERROR(SEARCH("ENDIVIDAMENTO",E177)))</formula>
    </cfRule>
    <cfRule type="containsText" dxfId="698" priority="26664" operator="containsText" text="IMPOSTOS">
      <formula>NOT(ISERROR(SEARCH("IMPOSTOS",E177)))</formula>
    </cfRule>
    <cfRule type="containsText" dxfId="697" priority="26665" operator="containsText" text="INVESTIMENTO">
      <formula>NOT(ISERROR(SEARCH("INVESTIMENTO",E177)))</formula>
    </cfRule>
    <cfRule type="containsText" dxfId="696" priority="26666" operator="containsText" text="Despesas">
      <formula>NOT(ISERROR(SEARCH("Despesas",E177)))</formula>
    </cfRule>
    <cfRule type="containsText" dxfId="695" priority="26667" operator="containsText" text="Receitas">
      <formula>NOT(ISERROR(SEARCH("Receitas",E177)))</formula>
    </cfRule>
  </conditionalFormatting>
  <conditionalFormatting sqref="E188">
    <cfRule type="containsText" dxfId="694" priority="26636" operator="containsText" text="ENDIVIDAMENTO">
      <formula>NOT(ISERROR(SEARCH("ENDIVIDAMENTO",E188)))</formula>
    </cfRule>
    <cfRule type="containsText" dxfId="693" priority="26637" operator="containsText" text="IMPOSTOS">
      <formula>NOT(ISERROR(SEARCH("IMPOSTOS",E188)))</formula>
    </cfRule>
    <cfRule type="containsText" dxfId="692" priority="26638" operator="containsText" text="INVESTIMENTO">
      <formula>NOT(ISERROR(SEARCH("INVESTIMENTO",E188)))</formula>
    </cfRule>
    <cfRule type="containsText" dxfId="691" priority="26639" operator="containsText" text="Despesas">
      <formula>NOT(ISERROR(SEARCH("Despesas",E188)))</formula>
    </cfRule>
    <cfRule type="containsText" dxfId="690" priority="26640" operator="containsText" text="Receitas">
      <formula>NOT(ISERROR(SEARCH("Receitas",E188)))</formula>
    </cfRule>
    <cfRule type="containsText" dxfId="689" priority="26641" operator="containsText" text="ENDIVIDAMENTO">
      <formula>NOT(ISERROR(SEARCH("ENDIVIDAMENTO",E188)))</formula>
    </cfRule>
    <cfRule type="containsText" dxfId="688" priority="26642" operator="containsText" text="IMPOSTOS">
      <formula>NOT(ISERROR(SEARCH("IMPOSTOS",E188)))</formula>
    </cfRule>
    <cfRule type="containsText" dxfId="687" priority="26643" operator="containsText" text="INVESTIMENTO">
      <formula>NOT(ISERROR(SEARCH("INVESTIMENTO",E188)))</formula>
    </cfRule>
    <cfRule type="containsText" dxfId="686" priority="26644" operator="containsText" text="Despesas">
      <formula>NOT(ISERROR(SEARCH("Despesas",E188)))</formula>
    </cfRule>
    <cfRule type="containsText" dxfId="685" priority="26645" operator="containsText" text="Receitas">
      <formula>NOT(ISERROR(SEARCH("Receitas",E188)))</formula>
    </cfRule>
  </conditionalFormatting>
  <conditionalFormatting sqref="E191">
    <cfRule type="containsText" dxfId="684" priority="26614" operator="containsText" text="ENDIVIDAMENTO">
      <formula>NOT(ISERROR(SEARCH("ENDIVIDAMENTO",E191)))</formula>
    </cfRule>
    <cfRule type="containsText" dxfId="683" priority="26615" operator="containsText" text="IMPOSTOS">
      <formula>NOT(ISERROR(SEARCH("IMPOSTOS",E191)))</formula>
    </cfRule>
    <cfRule type="containsText" dxfId="682" priority="26616" operator="containsText" text="INVESTIMENTO">
      <formula>NOT(ISERROR(SEARCH("INVESTIMENTO",E191)))</formula>
    </cfRule>
    <cfRule type="containsText" dxfId="681" priority="26617" operator="containsText" text="Despesas">
      <formula>NOT(ISERROR(SEARCH("Despesas",E191)))</formula>
    </cfRule>
    <cfRule type="containsText" dxfId="680" priority="26618" operator="containsText" text="Receitas">
      <formula>NOT(ISERROR(SEARCH("Receitas",E191)))</formula>
    </cfRule>
    <cfRule type="containsText" dxfId="679" priority="26619" operator="containsText" text="ENDIVIDAMENTO">
      <formula>NOT(ISERROR(SEARCH("ENDIVIDAMENTO",E191)))</formula>
    </cfRule>
    <cfRule type="containsText" dxfId="678" priority="26620" operator="containsText" text="IMPOSTOS">
      <formula>NOT(ISERROR(SEARCH("IMPOSTOS",E191)))</formula>
    </cfRule>
    <cfRule type="containsText" dxfId="677" priority="26621" operator="containsText" text="INVESTIMENTO">
      <formula>NOT(ISERROR(SEARCH("INVESTIMENTO",E191)))</formula>
    </cfRule>
    <cfRule type="containsText" dxfId="676" priority="26622" operator="containsText" text="Despesas">
      <formula>NOT(ISERROR(SEARCH("Despesas",E191)))</formula>
    </cfRule>
    <cfRule type="containsText" dxfId="675" priority="26623" operator="containsText" text="Receitas">
      <formula>NOT(ISERROR(SEARCH("Receitas",E191)))</formula>
    </cfRule>
  </conditionalFormatting>
  <conditionalFormatting sqref="E196">
    <cfRule type="containsText" dxfId="674" priority="26592" operator="containsText" text="ENDIVIDAMENTO">
      <formula>NOT(ISERROR(SEARCH("ENDIVIDAMENTO",E196)))</formula>
    </cfRule>
    <cfRule type="containsText" dxfId="673" priority="26593" operator="containsText" text="IMPOSTOS">
      <formula>NOT(ISERROR(SEARCH("IMPOSTOS",E196)))</formula>
    </cfRule>
    <cfRule type="containsText" dxfId="672" priority="26594" operator="containsText" text="INVESTIMENTO">
      <formula>NOT(ISERROR(SEARCH("INVESTIMENTO",E196)))</formula>
    </cfRule>
    <cfRule type="containsText" dxfId="671" priority="26595" operator="containsText" text="Despesas">
      <formula>NOT(ISERROR(SEARCH("Despesas",E196)))</formula>
    </cfRule>
    <cfRule type="containsText" dxfId="670" priority="26596" operator="containsText" text="Receitas">
      <formula>NOT(ISERROR(SEARCH("Receitas",E196)))</formula>
    </cfRule>
    <cfRule type="containsText" dxfId="669" priority="26597" operator="containsText" text="ENDIVIDAMENTO">
      <formula>NOT(ISERROR(SEARCH("ENDIVIDAMENTO",E196)))</formula>
    </cfRule>
    <cfRule type="containsText" dxfId="668" priority="26598" operator="containsText" text="IMPOSTOS">
      <formula>NOT(ISERROR(SEARCH("IMPOSTOS",E196)))</formula>
    </cfRule>
    <cfRule type="containsText" dxfId="667" priority="26599" operator="containsText" text="INVESTIMENTO">
      <formula>NOT(ISERROR(SEARCH("INVESTIMENTO",E196)))</formula>
    </cfRule>
    <cfRule type="containsText" dxfId="666" priority="26600" operator="containsText" text="Despesas">
      <formula>NOT(ISERROR(SEARCH("Despesas",E196)))</formula>
    </cfRule>
    <cfRule type="containsText" dxfId="665" priority="26601" operator="containsText" text="Receitas">
      <formula>NOT(ISERROR(SEARCH("Receitas",E196)))</formula>
    </cfRule>
  </conditionalFormatting>
  <conditionalFormatting sqref="E201">
    <cfRule type="containsText" dxfId="664" priority="26516" operator="containsText" text="ENDIVIDAMENTO">
      <formula>NOT(ISERROR(SEARCH("ENDIVIDAMENTO",E201)))</formula>
    </cfRule>
    <cfRule type="containsText" dxfId="663" priority="26517" operator="containsText" text="IMPOSTOS">
      <formula>NOT(ISERROR(SEARCH("IMPOSTOS",E201)))</formula>
    </cfRule>
    <cfRule type="containsText" dxfId="662" priority="26518" operator="containsText" text="INVESTIMENTO">
      <formula>NOT(ISERROR(SEARCH("INVESTIMENTO",E201)))</formula>
    </cfRule>
    <cfRule type="containsText" dxfId="661" priority="26519" operator="containsText" text="Despesas">
      <formula>NOT(ISERROR(SEARCH("Despesas",E201)))</formula>
    </cfRule>
    <cfRule type="containsText" dxfId="660" priority="26520" operator="containsText" text="Receitas">
      <formula>NOT(ISERROR(SEARCH("Receitas",E201)))</formula>
    </cfRule>
    <cfRule type="containsText" dxfId="659" priority="26521" operator="containsText" text="ENDIVIDAMENTO">
      <formula>NOT(ISERROR(SEARCH("ENDIVIDAMENTO",E201)))</formula>
    </cfRule>
    <cfRule type="containsText" dxfId="658" priority="26522" operator="containsText" text="IMPOSTOS">
      <formula>NOT(ISERROR(SEARCH("IMPOSTOS",E201)))</formula>
    </cfRule>
    <cfRule type="containsText" dxfId="657" priority="26523" operator="containsText" text="INVESTIMENTO">
      <formula>NOT(ISERROR(SEARCH("INVESTIMENTO",E201)))</formula>
    </cfRule>
    <cfRule type="containsText" dxfId="656" priority="26524" operator="containsText" text="Despesas">
      <formula>NOT(ISERROR(SEARCH("Despesas",E201)))</formula>
    </cfRule>
    <cfRule type="containsText" dxfId="655" priority="26525" operator="containsText" text="Receitas">
      <formula>NOT(ISERROR(SEARCH("Receitas",E201)))</formula>
    </cfRule>
  </conditionalFormatting>
  <conditionalFormatting sqref="E204">
    <cfRule type="containsText" dxfId="654" priority="26414" operator="containsText" text="ENDIVIDAMENTO">
      <formula>NOT(ISERROR(SEARCH("ENDIVIDAMENTO",E204)))</formula>
    </cfRule>
    <cfRule type="containsText" dxfId="653" priority="26415" operator="containsText" text="IMPOSTOS">
      <formula>NOT(ISERROR(SEARCH("IMPOSTOS",E204)))</formula>
    </cfRule>
    <cfRule type="containsText" dxfId="652" priority="26416" operator="containsText" text="INVESTIMENTO">
      <formula>NOT(ISERROR(SEARCH("INVESTIMENTO",E204)))</formula>
    </cfRule>
    <cfRule type="containsText" dxfId="651" priority="26417" operator="containsText" text="Despesas">
      <formula>NOT(ISERROR(SEARCH("Despesas",E204)))</formula>
    </cfRule>
    <cfRule type="containsText" dxfId="650" priority="26418" operator="containsText" text="Receitas">
      <formula>NOT(ISERROR(SEARCH("Receitas",E204)))</formula>
    </cfRule>
    <cfRule type="containsText" dxfId="649" priority="26419" operator="containsText" text="ENDIVIDAMENTO">
      <formula>NOT(ISERROR(SEARCH("ENDIVIDAMENTO",E204)))</formula>
    </cfRule>
    <cfRule type="containsText" dxfId="648" priority="26420" operator="containsText" text="IMPOSTOS">
      <formula>NOT(ISERROR(SEARCH("IMPOSTOS",E204)))</formula>
    </cfRule>
    <cfRule type="containsText" dxfId="647" priority="26421" operator="containsText" text="INVESTIMENTO">
      <formula>NOT(ISERROR(SEARCH("INVESTIMENTO",E204)))</formula>
    </cfRule>
    <cfRule type="containsText" dxfId="646" priority="26422" operator="containsText" text="Despesas">
      <formula>NOT(ISERROR(SEARCH("Despesas",E204)))</formula>
    </cfRule>
    <cfRule type="containsText" dxfId="645" priority="26423" operator="containsText" text="Receitas">
      <formula>NOT(ISERROR(SEARCH("Receitas",E204)))</formula>
    </cfRule>
  </conditionalFormatting>
  <conditionalFormatting sqref="E205:E206">
    <cfRule type="containsText" dxfId="644" priority="26392" operator="containsText" text="ENDIVIDAMENTO">
      <formula>NOT(ISERROR(SEARCH("ENDIVIDAMENTO",E205)))</formula>
    </cfRule>
    <cfRule type="containsText" dxfId="643" priority="26393" operator="containsText" text="IMPOSTOS">
      <formula>NOT(ISERROR(SEARCH("IMPOSTOS",E205)))</formula>
    </cfRule>
    <cfRule type="containsText" dxfId="642" priority="26394" operator="containsText" text="INVESTIMENTO">
      <formula>NOT(ISERROR(SEARCH("INVESTIMENTO",E205)))</formula>
    </cfRule>
    <cfRule type="containsText" dxfId="641" priority="26395" operator="containsText" text="Despesas">
      <formula>NOT(ISERROR(SEARCH("Despesas",E205)))</formula>
    </cfRule>
    <cfRule type="containsText" dxfId="640" priority="26396" operator="containsText" text="Receitas">
      <formula>NOT(ISERROR(SEARCH("Receitas",E205)))</formula>
    </cfRule>
    <cfRule type="containsText" dxfId="639" priority="26397" operator="containsText" text="ENDIVIDAMENTO">
      <formula>NOT(ISERROR(SEARCH("ENDIVIDAMENTO",E205)))</formula>
    </cfRule>
    <cfRule type="containsText" dxfId="638" priority="26398" operator="containsText" text="IMPOSTOS">
      <formula>NOT(ISERROR(SEARCH("IMPOSTOS",E205)))</formula>
    </cfRule>
    <cfRule type="containsText" dxfId="637" priority="26399" operator="containsText" text="INVESTIMENTO">
      <formula>NOT(ISERROR(SEARCH("INVESTIMENTO",E205)))</formula>
    </cfRule>
    <cfRule type="containsText" dxfId="636" priority="26400" operator="containsText" text="Despesas">
      <formula>NOT(ISERROR(SEARCH("Despesas",E205)))</formula>
    </cfRule>
    <cfRule type="containsText" dxfId="635" priority="26401" operator="containsText" text="Receitas">
      <formula>NOT(ISERROR(SEARCH("Receitas",E205)))</formula>
    </cfRule>
  </conditionalFormatting>
  <conditionalFormatting sqref="E207:E212">
    <cfRule type="containsText" dxfId="634" priority="26362" operator="containsText" text="ENDIVIDAMENTO">
      <formula>NOT(ISERROR(SEARCH("ENDIVIDAMENTO",E207)))</formula>
    </cfRule>
    <cfRule type="containsText" dxfId="633" priority="26363" operator="containsText" text="IMPOSTOS">
      <formula>NOT(ISERROR(SEARCH("IMPOSTOS",E207)))</formula>
    </cfRule>
    <cfRule type="containsText" dxfId="632" priority="26364" operator="containsText" text="INVESTIMENTO">
      <formula>NOT(ISERROR(SEARCH("INVESTIMENTO",E207)))</formula>
    </cfRule>
    <cfRule type="containsText" dxfId="631" priority="26365" operator="containsText" text="Despesas">
      <formula>NOT(ISERROR(SEARCH("Despesas",E207)))</formula>
    </cfRule>
    <cfRule type="containsText" dxfId="630" priority="26366" operator="containsText" text="Receitas">
      <formula>NOT(ISERROR(SEARCH("Receitas",E207)))</formula>
    </cfRule>
    <cfRule type="containsText" dxfId="629" priority="26367" operator="containsText" text="ENDIVIDAMENTO">
      <formula>NOT(ISERROR(SEARCH("ENDIVIDAMENTO",E207)))</formula>
    </cfRule>
    <cfRule type="containsText" dxfId="628" priority="26368" operator="containsText" text="IMPOSTOS">
      <formula>NOT(ISERROR(SEARCH("IMPOSTOS",E207)))</formula>
    </cfRule>
    <cfRule type="containsText" dxfId="627" priority="26369" operator="containsText" text="INVESTIMENTO">
      <formula>NOT(ISERROR(SEARCH("INVESTIMENTO",E207)))</formula>
    </cfRule>
    <cfRule type="containsText" dxfId="626" priority="26370" operator="containsText" text="Despesas">
      <formula>NOT(ISERROR(SEARCH("Despesas",E207)))</formula>
    </cfRule>
    <cfRule type="containsText" dxfId="625" priority="26371" operator="containsText" text="Receitas">
      <formula>NOT(ISERROR(SEARCH("Receitas",E207)))</formula>
    </cfRule>
  </conditionalFormatting>
  <conditionalFormatting sqref="E222">
    <cfRule type="containsText" dxfId="624" priority="26348" operator="containsText" text="ENDIVIDAMENTO">
      <formula>NOT(ISERROR(SEARCH("ENDIVIDAMENTO",E222)))</formula>
    </cfRule>
    <cfRule type="containsText" dxfId="623" priority="26349" operator="containsText" text="IMPOSTOS">
      <formula>NOT(ISERROR(SEARCH("IMPOSTOS",E222)))</formula>
    </cfRule>
    <cfRule type="containsText" dxfId="622" priority="26350" operator="containsText" text="INVESTIMENTO">
      <formula>NOT(ISERROR(SEARCH("INVESTIMENTO",E222)))</formula>
    </cfRule>
    <cfRule type="containsText" dxfId="621" priority="26351" operator="containsText" text="Despesas">
      <formula>NOT(ISERROR(SEARCH("Despesas",E222)))</formula>
    </cfRule>
    <cfRule type="containsText" dxfId="620" priority="26352" operator="containsText" text="Receitas">
      <formula>NOT(ISERROR(SEARCH("Receitas",E222)))</formula>
    </cfRule>
    <cfRule type="containsText" dxfId="619" priority="26353" operator="containsText" text="ENDIVIDAMENTO">
      <formula>NOT(ISERROR(SEARCH("ENDIVIDAMENTO",E222)))</formula>
    </cfRule>
    <cfRule type="containsText" dxfId="618" priority="26354" operator="containsText" text="IMPOSTOS">
      <formula>NOT(ISERROR(SEARCH("IMPOSTOS",E222)))</formula>
    </cfRule>
    <cfRule type="containsText" dxfId="617" priority="26355" operator="containsText" text="INVESTIMENTO">
      <formula>NOT(ISERROR(SEARCH("INVESTIMENTO",E222)))</formula>
    </cfRule>
    <cfRule type="containsText" dxfId="616" priority="26356" operator="containsText" text="Despesas">
      <formula>NOT(ISERROR(SEARCH("Despesas",E222)))</formula>
    </cfRule>
    <cfRule type="containsText" dxfId="615" priority="26357" operator="containsText" text="Receitas">
      <formula>NOT(ISERROR(SEARCH("Receitas",E222)))</formula>
    </cfRule>
  </conditionalFormatting>
  <conditionalFormatting sqref="E223">
    <cfRule type="containsText" dxfId="614" priority="26326" operator="containsText" text="ENDIVIDAMENTO">
      <formula>NOT(ISERROR(SEARCH("ENDIVIDAMENTO",E223)))</formula>
    </cfRule>
    <cfRule type="containsText" dxfId="613" priority="26327" operator="containsText" text="IMPOSTOS">
      <formula>NOT(ISERROR(SEARCH("IMPOSTOS",E223)))</formula>
    </cfRule>
    <cfRule type="containsText" dxfId="612" priority="26328" operator="containsText" text="INVESTIMENTO">
      <formula>NOT(ISERROR(SEARCH("INVESTIMENTO",E223)))</formula>
    </cfRule>
    <cfRule type="containsText" dxfId="611" priority="26329" operator="containsText" text="Despesas">
      <formula>NOT(ISERROR(SEARCH("Despesas",E223)))</formula>
    </cfRule>
    <cfRule type="containsText" dxfId="610" priority="26330" operator="containsText" text="Receitas">
      <formula>NOT(ISERROR(SEARCH("Receitas",E223)))</formula>
    </cfRule>
    <cfRule type="containsText" dxfId="609" priority="26331" operator="containsText" text="ENDIVIDAMENTO">
      <formula>NOT(ISERROR(SEARCH("ENDIVIDAMENTO",E223)))</formula>
    </cfRule>
    <cfRule type="containsText" dxfId="608" priority="26332" operator="containsText" text="IMPOSTOS">
      <formula>NOT(ISERROR(SEARCH("IMPOSTOS",E223)))</formula>
    </cfRule>
    <cfRule type="containsText" dxfId="607" priority="26333" operator="containsText" text="INVESTIMENTO">
      <formula>NOT(ISERROR(SEARCH("INVESTIMENTO",E223)))</formula>
    </cfRule>
    <cfRule type="containsText" dxfId="606" priority="26334" operator="containsText" text="Despesas">
      <formula>NOT(ISERROR(SEARCH("Despesas",E223)))</formula>
    </cfRule>
    <cfRule type="containsText" dxfId="605" priority="26335" operator="containsText" text="Receitas">
      <formula>NOT(ISERROR(SEARCH("Receitas",E223)))</formula>
    </cfRule>
  </conditionalFormatting>
  <conditionalFormatting sqref="E227">
    <cfRule type="containsText" dxfId="604" priority="26304" operator="containsText" text="ENDIVIDAMENTO">
      <formula>NOT(ISERROR(SEARCH("ENDIVIDAMENTO",E227)))</formula>
    </cfRule>
    <cfRule type="containsText" dxfId="603" priority="26305" operator="containsText" text="IMPOSTOS">
      <formula>NOT(ISERROR(SEARCH("IMPOSTOS",E227)))</formula>
    </cfRule>
    <cfRule type="containsText" dxfId="602" priority="26306" operator="containsText" text="INVESTIMENTO">
      <formula>NOT(ISERROR(SEARCH("INVESTIMENTO",E227)))</formula>
    </cfRule>
    <cfRule type="containsText" dxfId="601" priority="26307" operator="containsText" text="Despesas">
      <formula>NOT(ISERROR(SEARCH("Despesas",E227)))</formula>
    </cfRule>
    <cfRule type="containsText" dxfId="600" priority="26308" operator="containsText" text="Receitas">
      <formula>NOT(ISERROR(SEARCH("Receitas",E227)))</formula>
    </cfRule>
    <cfRule type="containsText" dxfId="599" priority="26309" operator="containsText" text="ENDIVIDAMENTO">
      <formula>NOT(ISERROR(SEARCH("ENDIVIDAMENTO",E227)))</formula>
    </cfRule>
    <cfRule type="containsText" dxfId="598" priority="26310" operator="containsText" text="IMPOSTOS">
      <formula>NOT(ISERROR(SEARCH("IMPOSTOS",E227)))</formula>
    </cfRule>
    <cfRule type="containsText" dxfId="597" priority="26311" operator="containsText" text="INVESTIMENTO">
      <formula>NOT(ISERROR(SEARCH("INVESTIMENTO",E227)))</formula>
    </cfRule>
    <cfRule type="containsText" dxfId="596" priority="26312" operator="containsText" text="Despesas">
      <formula>NOT(ISERROR(SEARCH("Despesas",E227)))</formula>
    </cfRule>
    <cfRule type="containsText" dxfId="595" priority="26313" operator="containsText" text="Receitas">
      <formula>NOT(ISERROR(SEARCH("Receitas",E227)))</formula>
    </cfRule>
  </conditionalFormatting>
  <conditionalFormatting sqref="E240">
    <cfRule type="containsText" dxfId="594" priority="26276" operator="containsText" text="ENDIVIDAMENTO">
      <formula>NOT(ISERROR(SEARCH("ENDIVIDAMENTO",E240)))</formula>
    </cfRule>
    <cfRule type="containsText" dxfId="593" priority="26277" operator="containsText" text="IMPOSTOS">
      <formula>NOT(ISERROR(SEARCH("IMPOSTOS",E240)))</formula>
    </cfRule>
    <cfRule type="containsText" dxfId="592" priority="26278" operator="containsText" text="INVESTIMENTO">
      <formula>NOT(ISERROR(SEARCH("INVESTIMENTO",E240)))</formula>
    </cfRule>
    <cfRule type="containsText" dxfId="591" priority="26279" operator="containsText" text="Despesas">
      <formula>NOT(ISERROR(SEARCH("Despesas",E240)))</formula>
    </cfRule>
    <cfRule type="containsText" dxfId="590" priority="26280" operator="containsText" text="Receitas">
      <formula>NOT(ISERROR(SEARCH("Receitas",E240)))</formula>
    </cfRule>
    <cfRule type="containsText" dxfId="589" priority="26281" operator="containsText" text="ENDIVIDAMENTO">
      <formula>NOT(ISERROR(SEARCH("ENDIVIDAMENTO",E240)))</formula>
    </cfRule>
    <cfRule type="containsText" dxfId="588" priority="26282" operator="containsText" text="IMPOSTOS">
      <formula>NOT(ISERROR(SEARCH("IMPOSTOS",E240)))</formula>
    </cfRule>
    <cfRule type="containsText" dxfId="587" priority="26283" operator="containsText" text="INVESTIMENTO">
      <formula>NOT(ISERROR(SEARCH("INVESTIMENTO",E240)))</formula>
    </cfRule>
    <cfRule type="containsText" dxfId="586" priority="26284" operator="containsText" text="Despesas">
      <formula>NOT(ISERROR(SEARCH("Despesas",E240)))</formula>
    </cfRule>
    <cfRule type="containsText" dxfId="585" priority="26285" operator="containsText" text="Receitas">
      <formula>NOT(ISERROR(SEARCH("Receitas",E240)))</formula>
    </cfRule>
  </conditionalFormatting>
  <conditionalFormatting sqref="E241">
    <cfRule type="containsText" dxfId="584" priority="26246" operator="containsText" text="ENDIVIDAMENTO">
      <formula>NOT(ISERROR(SEARCH("ENDIVIDAMENTO",E241)))</formula>
    </cfRule>
    <cfRule type="containsText" dxfId="583" priority="26247" operator="containsText" text="IMPOSTOS">
      <formula>NOT(ISERROR(SEARCH("IMPOSTOS",E241)))</formula>
    </cfRule>
    <cfRule type="containsText" dxfId="582" priority="26248" operator="containsText" text="INVESTIMENTO">
      <formula>NOT(ISERROR(SEARCH("INVESTIMENTO",E241)))</formula>
    </cfRule>
    <cfRule type="containsText" dxfId="581" priority="26249" operator="containsText" text="Despesas">
      <formula>NOT(ISERROR(SEARCH("Despesas",E241)))</formula>
    </cfRule>
    <cfRule type="containsText" dxfId="580" priority="26250" operator="containsText" text="Receitas">
      <formula>NOT(ISERROR(SEARCH("Receitas",E241)))</formula>
    </cfRule>
    <cfRule type="containsText" dxfId="579" priority="26251" operator="containsText" text="ENDIVIDAMENTO">
      <formula>NOT(ISERROR(SEARCH("ENDIVIDAMENTO",E241)))</formula>
    </cfRule>
    <cfRule type="containsText" dxfId="578" priority="26252" operator="containsText" text="IMPOSTOS">
      <formula>NOT(ISERROR(SEARCH("IMPOSTOS",E241)))</formula>
    </cfRule>
    <cfRule type="containsText" dxfId="577" priority="26253" operator="containsText" text="INVESTIMENTO">
      <formula>NOT(ISERROR(SEARCH("INVESTIMENTO",E241)))</formula>
    </cfRule>
    <cfRule type="containsText" dxfId="576" priority="26254" operator="containsText" text="Despesas">
      <formula>NOT(ISERROR(SEARCH("Despesas",E241)))</formula>
    </cfRule>
    <cfRule type="containsText" dxfId="575" priority="26255" operator="containsText" text="Receitas">
      <formula>NOT(ISERROR(SEARCH("Receitas",E241)))</formula>
    </cfRule>
  </conditionalFormatting>
  <conditionalFormatting sqref="E267:E268">
    <cfRule type="containsText" dxfId="574" priority="26224" operator="containsText" text="ENDIVIDAMENTO">
      <formula>NOT(ISERROR(SEARCH("ENDIVIDAMENTO",E267)))</formula>
    </cfRule>
    <cfRule type="containsText" dxfId="573" priority="26225" operator="containsText" text="IMPOSTOS">
      <formula>NOT(ISERROR(SEARCH("IMPOSTOS",E267)))</formula>
    </cfRule>
    <cfRule type="containsText" dxfId="572" priority="26226" operator="containsText" text="INVESTIMENTO">
      <formula>NOT(ISERROR(SEARCH("INVESTIMENTO",E267)))</formula>
    </cfRule>
    <cfRule type="containsText" dxfId="571" priority="26227" operator="containsText" text="Despesas">
      <formula>NOT(ISERROR(SEARCH("Despesas",E267)))</formula>
    </cfRule>
    <cfRule type="containsText" dxfId="570" priority="26228" operator="containsText" text="Receitas">
      <formula>NOT(ISERROR(SEARCH("Receitas",E267)))</formula>
    </cfRule>
    <cfRule type="containsText" dxfId="569" priority="26229" operator="containsText" text="ENDIVIDAMENTO">
      <formula>NOT(ISERROR(SEARCH("ENDIVIDAMENTO",E267)))</formula>
    </cfRule>
    <cfRule type="containsText" dxfId="568" priority="26230" operator="containsText" text="IMPOSTOS">
      <formula>NOT(ISERROR(SEARCH("IMPOSTOS",E267)))</formula>
    </cfRule>
    <cfRule type="containsText" dxfId="567" priority="26231" operator="containsText" text="INVESTIMENTO">
      <formula>NOT(ISERROR(SEARCH("INVESTIMENTO",E267)))</formula>
    </cfRule>
    <cfRule type="containsText" dxfId="566" priority="26232" operator="containsText" text="Despesas">
      <formula>NOT(ISERROR(SEARCH("Despesas",E267)))</formula>
    </cfRule>
    <cfRule type="containsText" dxfId="565" priority="26233" operator="containsText" text="Receitas">
      <formula>NOT(ISERROR(SEARCH("Receitas",E267)))</formula>
    </cfRule>
  </conditionalFormatting>
  <conditionalFormatting sqref="E329">
    <cfRule type="containsText" dxfId="564" priority="26200" operator="containsText" text="ENDIVIDAMENTO">
      <formula>NOT(ISERROR(SEARCH("ENDIVIDAMENTO",E329)))</formula>
    </cfRule>
    <cfRule type="containsText" dxfId="563" priority="26201" operator="containsText" text="IMPOSTOS">
      <formula>NOT(ISERROR(SEARCH("IMPOSTOS",E329)))</formula>
    </cfRule>
    <cfRule type="containsText" dxfId="562" priority="26202" operator="containsText" text="INVESTIMENTO">
      <formula>NOT(ISERROR(SEARCH("INVESTIMENTO",E329)))</formula>
    </cfRule>
    <cfRule type="containsText" dxfId="561" priority="26203" operator="containsText" text="Despesas">
      <formula>NOT(ISERROR(SEARCH("Despesas",E329)))</formula>
    </cfRule>
    <cfRule type="containsText" dxfId="560" priority="26204" operator="containsText" text="Receitas">
      <formula>NOT(ISERROR(SEARCH("Receitas",E329)))</formula>
    </cfRule>
    <cfRule type="containsText" dxfId="559" priority="26205" operator="containsText" text="ENDIVIDAMENTO">
      <formula>NOT(ISERROR(SEARCH("ENDIVIDAMENTO",E329)))</formula>
    </cfRule>
    <cfRule type="containsText" dxfId="558" priority="26206" operator="containsText" text="IMPOSTOS">
      <formula>NOT(ISERROR(SEARCH("IMPOSTOS",E329)))</formula>
    </cfRule>
    <cfRule type="containsText" dxfId="557" priority="26207" operator="containsText" text="INVESTIMENTO">
      <formula>NOT(ISERROR(SEARCH("INVESTIMENTO",E329)))</formula>
    </cfRule>
    <cfRule type="containsText" dxfId="556" priority="26208" operator="containsText" text="Despesas">
      <formula>NOT(ISERROR(SEARCH("Despesas",E329)))</formula>
    </cfRule>
    <cfRule type="containsText" dxfId="555" priority="26209" operator="containsText" text="Receitas">
      <formula>NOT(ISERROR(SEARCH("Receitas",E329)))</formula>
    </cfRule>
  </conditionalFormatting>
  <conditionalFormatting sqref="E328">
    <cfRule type="containsText" dxfId="554" priority="26190" operator="containsText" text="ENDIVIDAMENTO">
      <formula>NOT(ISERROR(SEARCH("ENDIVIDAMENTO",E328)))</formula>
    </cfRule>
    <cfRule type="containsText" dxfId="553" priority="26191" operator="containsText" text="IMPOSTOS">
      <formula>NOT(ISERROR(SEARCH("IMPOSTOS",E328)))</formula>
    </cfRule>
    <cfRule type="containsText" dxfId="552" priority="26192" operator="containsText" text="INVESTIMENTO">
      <formula>NOT(ISERROR(SEARCH("INVESTIMENTO",E328)))</formula>
    </cfRule>
    <cfRule type="containsText" dxfId="551" priority="26193" operator="containsText" text="Despesas">
      <formula>NOT(ISERROR(SEARCH("Despesas",E328)))</formula>
    </cfRule>
    <cfRule type="containsText" dxfId="550" priority="26194" operator="containsText" text="Receitas">
      <formula>NOT(ISERROR(SEARCH("Receitas",E328)))</formula>
    </cfRule>
    <cfRule type="containsText" dxfId="549" priority="26195" operator="containsText" text="ENDIVIDAMENTO">
      <formula>NOT(ISERROR(SEARCH("ENDIVIDAMENTO",E328)))</formula>
    </cfRule>
    <cfRule type="containsText" dxfId="548" priority="26196" operator="containsText" text="IMPOSTOS">
      <formula>NOT(ISERROR(SEARCH("IMPOSTOS",E328)))</formula>
    </cfRule>
    <cfRule type="containsText" dxfId="547" priority="26197" operator="containsText" text="INVESTIMENTO">
      <formula>NOT(ISERROR(SEARCH("INVESTIMENTO",E328)))</formula>
    </cfRule>
    <cfRule type="containsText" dxfId="546" priority="26198" operator="containsText" text="Despesas">
      <formula>NOT(ISERROR(SEARCH("Despesas",E328)))</formula>
    </cfRule>
    <cfRule type="containsText" dxfId="545" priority="26199" operator="containsText" text="Receitas">
      <formula>NOT(ISERROR(SEARCH("Receitas",E328)))</formula>
    </cfRule>
  </conditionalFormatting>
  <conditionalFormatting sqref="E346">
    <cfRule type="containsText" dxfId="544" priority="26158" operator="containsText" text="ENDIVIDAMENTO">
      <formula>NOT(ISERROR(SEARCH("ENDIVIDAMENTO",E346)))</formula>
    </cfRule>
    <cfRule type="containsText" dxfId="543" priority="26159" operator="containsText" text="IMPOSTOS">
      <formula>NOT(ISERROR(SEARCH("IMPOSTOS",E346)))</formula>
    </cfRule>
    <cfRule type="containsText" dxfId="542" priority="26160" operator="containsText" text="INVESTIMENTO">
      <formula>NOT(ISERROR(SEARCH("INVESTIMENTO",E346)))</formula>
    </cfRule>
    <cfRule type="containsText" dxfId="541" priority="26161" operator="containsText" text="Despesas">
      <formula>NOT(ISERROR(SEARCH("Despesas",E346)))</formula>
    </cfRule>
    <cfRule type="containsText" dxfId="540" priority="26162" operator="containsText" text="Receitas">
      <formula>NOT(ISERROR(SEARCH("Receitas",E346)))</formula>
    </cfRule>
    <cfRule type="containsText" dxfId="539" priority="26163" operator="containsText" text="ENDIVIDAMENTO">
      <formula>NOT(ISERROR(SEARCH("ENDIVIDAMENTO",E346)))</formula>
    </cfRule>
    <cfRule type="containsText" dxfId="538" priority="26164" operator="containsText" text="IMPOSTOS">
      <formula>NOT(ISERROR(SEARCH("IMPOSTOS",E346)))</formula>
    </cfRule>
    <cfRule type="containsText" dxfId="537" priority="26165" operator="containsText" text="INVESTIMENTO">
      <formula>NOT(ISERROR(SEARCH("INVESTIMENTO",E346)))</formula>
    </cfRule>
    <cfRule type="containsText" dxfId="536" priority="26166" operator="containsText" text="Despesas">
      <formula>NOT(ISERROR(SEARCH("Despesas",E346)))</formula>
    </cfRule>
    <cfRule type="containsText" dxfId="535" priority="26167" operator="containsText" text="Receitas">
      <formula>NOT(ISERROR(SEARCH("Receitas",E346)))</formula>
    </cfRule>
  </conditionalFormatting>
  <conditionalFormatting sqref="E345">
    <cfRule type="containsText" dxfId="534" priority="26148" operator="containsText" text="ENDIVIDAMENTO">
      <formula>NOT(ISERROR(SEARCH("ENDIVIDAMENTO",E345)))</formula>
    </cfRule>
    <cfRule type="containsText" dxfId="533" priority="26149" operator="containsText" text="IMPOSTOS">
      <formula>NOT(ISERROR(SEARCH("IMPOSTOS",E345)))</formula>
    </cfRule>
    <cfRule type="containsText" dxfId="532" priority="26150" operator="containsText" text="INVESTIMENTO">
      <formula>NOT(ISERROR(SEARCH("INVESTIMENTO",E345)))</formula>
    </cfRule>
    <cfRule type="containsText" dxfId="531" priority="26151" operator="containsText" text="Despesas">
      <formula>NOT(ISERROR(SEARCH("Despesas",E345)))</formula>
    </cfRule>
    <cfRule type="containsText" dxfId="530" priority="26152" operator="containsText" text="Receitas">
      <formula>NOT(ISERROR(SEARCH("Receitas",E345)))</formula>
    </cfRule>
    <cfRule type="containsText" dxfId="529" priority="26153" operator="containsText" text="ENDIVIDAMENTO">
      <formula>NOT(ISERROR(SEARCH("ENDIVIDAMENTO",E345)))</formula>
    </cfRule>
    <cfRule type="containsText" dxfId="528" priority="26154" operator="containsText" text="IMPOSTOS">
      <formula>NOT(ISERROR(SEARCH("IMPOSTOS",E345)))</formula>
    </cfRule>
    <cfRule type="containsText" dxfId="527" priority="26155" operator="containsText" text="INVESTIMENTO">
      <formula>NOT(ISERROR(SEARCH("INVESTIMENTO",E345)))</formula>
    </cfRule>
    <cfRule type="containsText" dxfId="526" priority="26156" operator="containsText" text="Despesas">
      <formula>NOT(ISERROR(SEARCH("Despesas",E345)))</formula>
    </cfRule>
    <cfRule type="containsText" dxfId="525" priority="26157" operator="containsText" text="Receitas">
      <formula>NOT(ISERROR(SEARCH("Receitas",E345)))</formula>
    </cfRule>
  </conditionalFormatting>
  <conditionalFormatting sqref="E352:E358">
    <cfRule type="containsText" dxfId="524" priority="26126" operator="containsText" text="ENDIVIDAMENTO">
      <formula>NOT(ISERROR(SEARCH("ENDIVIDAMENTO",E352)))</formula>
    </cfRule>
    <cfRule type="containsText" dxfId="523" priority="26127" operator="containsText" text="IMPOSTOS">
      <formula>NOT(ISERROR(SEARCH("IMPOSTOS",E352)))</formula>
    </cfRule>
    <cfRule type="containsText" dxfId="522" priority="26128" operator="containsText" text="INVESTIMENTO">
      <formula>NOT(ISERROR(SEARCH("INVESTIMENTO",E352)))</formula>
    </cfRule>
    <cfRule type="containsText" dxfId="521" priority="26129" operator="containsText" text="Despesas">
      <formula>NOT(ISERROR(SEARCH("Despesas",E352)))</formula>
    </cfRule>
    <cfRule type="containsText" dxfId="520" priority="26130" operator="containsText" text="Receitas">
      <formula>NOT(ISERROR(SEARCH("Receitas",E352)))</formula>
    </cfRule>
    <cfRule type="containsText" dxfId="519" priority="26131" operator="containsText" text="ENDIVIDAMENTO">
      <formula>NOT(ISERROR(SEARCH("ENDIVIDAMENTO",E352)))</formula>
    </cfRule>
    <cfRule type="containsText" dxfId="518" priority="26132" operator="containsText" text="IMPOSTOS">
      <formula>NOT(ISERROR(SEARCH("IMPOSTOS",E352)))</formula>
    </cfRule>
    <cfRule type="containsText" dxfId="517" priority="26133" operator="containsText" text="INVESTIMENTO">
      <formula>NOT(ISERROR(SEARCH("INVESTIMENTO",E352)))</formula>
    </cfRule>
    <cfRule type="containsText" dxfId="516" priority="26134" operator="containsText" text="Despesas">
      <formula>NOT(ISERROR(SEARCH("Despesas",E352)))</formula>
    </cfRule>
    <cfRule type="containsText" dxfId="515" priority="26135" operator="containsText" text="Receitas">
      <formula>NOT(ISERROR(SEARCH("Receitas",E352)))</formula>
    </cfRule>
  </conditionalFormatting>
  <conditionalFormatting sqref="E360:E361">
    <cfRule type="containsText" dxfId="514" priority="26112" operator="containsText" text="ENDIVIDAMENTO">
      <formula>NOT(ISERROR(SEARCH("ENDIVIDAMENTO",E360)))</formula>
    </cfRule>
    <cfRule type="containsText" dxfId="513" priority="26113" operator="containsText" text="IMPOSTOS">
      <formula>NOT(ISERROR(SEARCH("IMPOSTOS",E360)))</formula>
    </cfRule>
    <cfRule type="containsText" dxfId="512" priority="26114" operator="containsText" text="INVESTIMENTO">
      <formula>NOT(ISERROR(SEARCH("INVESTIMENTO",E360)))</formula>
    </cfRule>
    <cfRule type="containsText" dxfId="511" priority="26115" operator="containsText" text="Despesas">
      <formula>NOT(ISERROR(SEARCH("Despesas",E360)))</formula>
    </cfRule>
    <cfRule type="containsText" dxfId="510" priority="26116" operator="containsText" text="Receitas">
      <formula>NOT(ISERROR(SEARCH("Receitas",E360)))</formula>
    </cfRule>
    <cfRule type="containsText" dxfId="509" priority="26117" operator="containsText" text="ENDIVIDAMENTO">
      <formula>NOT(ISERROR(SEARCH("ENDIVIDAMENTO",E360)))</formula>
    </cfRule>
    <cfRule type="containsText" dxfId="508" priority="26118" operator="containsText" text="IMPOSTOS">
      <formula>NOT(ISERROR(SEARCH("IMPOSTOS",E360)))</formula>
    </cfRule>
    <cfRule type="containsText" dxfId="507" priority="26119" operator="containsText" text="INVESTIMENTO">
      <formula>NOT(ISERROR(SEARCH("INVESTIMENTO",E360)))</formula>
    </cfRule>
    <cfRule type="containsText" dxfId="506" priority="26120" operator="containsText" text="Despesas">
      <formula>NOT(ISERROR(SEARCH("Despesas",E360)))</formula>
    </cfRule>
    <cfRule type="containsText" dxfId="505" priority="26121" operator="containsText" text="Receitas">
      <formula>NOT(ISERROR(SEARCH("Receitas",E360)))</formula>
    </cfRule>
  </conditionalFormatting>
  <conditionalFormatting sqref="E373:E375">
    <cfRule type="containsText" dxfId="504" priority="26084" operator="containsText" text="ENDIVIDAMENTO">
      <formula>NOT(ISERROR(SEARCH("ENDIVIDAMENTO",E373)))</formula>
    </cfRule>
    <cfRule type="containsText" dxfId="503" priority="26085" operator="containsText" text="IMPOSTOS">
      <formula>NOT(ISERROR(SEARCH("IMPOSTOS",E373)))</formula>
    </cfRule>
    <cfRule type="containsText" dxfId="502" priority="26086" operator="containsText" text="INVESTIMENTO">
      <formula>NOT(ISERROR(SEARCH("INVESTIMENTO",E373)))</formula>
    </cfRule>
    <cfRule type="containsText" dxfId="501" priority="26087" operator="containsText" text="Despesas">
      <formula>NOT(ISERROR(SEARCH("Despesas",E373)))</formula>
    </cfRule>
    <cfRule type="containsText" dxfId="500" priority="26088" operator="containsText" text="Receitas">
      <formula>NOT(ISERROR(SEARCH("Receitas",E373)))</formula>
    </cfRule>
    <cfRule type="containsText" dxfId="499" priority="26089" operator="containsText" text="ENDIVIDAMENTO">
      <formula>NOT(ISERROR(SEARCH("ENDIVIDAMENTO",E373)))</formula>
    </cfRule>
    <cfRule type="containsText" dxfId="498" priority="26090" operator="containsText" text="IMPOSTOS">
      <formula>NOT(ISERROR(SEARCH("IMPOSTOS",E373)))</formula>
    </cfRule>
    <cfRule type="containsText" dxfId="497" priority="26091" operator="containsText" text="INVESTIMENTO">
      <formula>NOT(ISERROR(SEARCH("INVESTIMENTO",E373)))</formula>
    </cfRule>
    <cfRule type="containsText" dxfId="496" priority="26092" operator="containsText" text="Despesas">
      <formula>NOT(ISERROR(SEARCH("Despesas",E373)))</formula>
    </cfRule>
    <cfRule type="containsText" dxfId="495" priority="26093" operator="containsText" text="Receitas">
      <formula>NOT(ISERROR(SEARCH("Receitas",E373)))</formula>
    </cfRule>
  </conditionalFormatting>
  <conditionalFormatting sqref="E376:E382">
    <cfRule type="containsText" dxfId="494" priority="26070" operator="containsText" text="ENDIVIDAMENTO">
      <formula>NOT(ISERROR(SEARCH("ENDIVIDAMENTO",E376)))</formula>
    </cfRule>
    <cfRule type="containsText" dxfId="493" priority="26071" operator="containsText" text="IMPOSTOS">
      <formula>NOT(ISERROR(SEARCH("IMPOSTOS",E376)))</formula>
    </cfRule>
    <cfRule type="containsText" dxfId="492" priority="26072" operator="containsText" text="INVESTIMENTO">
      <formula>NOT(ISERROR(SEARCH("INVESTIMENTO",E376)))</formula>
    </cfRule>
    <cfRule type="containsText" dxfId="491" priority="26073" operator="containsText" text="Despesas">
      <formula>NOT(ISERROR(SEARCH("Despesas",E376)))</formula>
    </cfRule>
    <cfRule type="containsText" dxfId="490" priority="26074" operator="containsText" text="Receitas">
      <formula>NOT(ISERROR(SEARCH("Receitas",E376)))</formula>
    </cfRule>
    <cfRule type="containsText" dxfId="489" priority="26075" operator="containsText" text="ENDIVIDAMENTO">
      <formula>NOT(ISERROR(SEARCH("ENDIVIDAMENTO",E376)))</formula>
    </cfRule>
    <cfRule type="containsText" dxfId="488" priority="26076" operator="containsText" text="IMPOSTOS">
      <formula>NOT(ISERROR(SEARCH("IMPOSTOS",E376)))</formula>
    </cfRule>
    <cfRule type="containsText" dxfId="487" priority="26077" operator="containsText" text="INVESTIMENTO">
      <formula>NOT(ISERROR(SEARCH("INVESTIMENTO",E376)))</formula>
    </cfRule>
    <cfRule type="containsText" dxfId="486" priority="26078" operator="containsText" text="Despesas">
      <formula>NOT(ISERROR(SEARCH("Despesas",E376)))</formula>
    </cfRule>
    <cfRule type="containsText" dxfId="485" priority="26079" operator="containsText" text="Receitas">
      <formula>NOT(ISERROR(SEARCH("Receitas",E376)))</formula>
    </cfRule>
  </conditionalFormatting>
  <conditionalFormatting sqref="E438:E440">
    <cfRule type="containsText" dxfId="484" priority="26000" operator="containsText" text="ENDIVIDAMENTO">
      <formula>NOT(ISERROR(SEARCH("ENDIVIDAMENTO",E438)))</formula>
    </cfRule>
    <cfRule type="containsText" dxfId="483" priority="26001" operator="containsText" text="IMPOSTOS">
      <formula>NOT(ISERROR(SEARCH("IMPOSTOS",E438)))</formula>
    </cfRule>
    <cfRule type="containsText" dxfId="482" priority="26002" operator="containsText" text="INVESTIMENTO">
      <formula>NOT(ISERROR(SEARCH("INVESTIMENTO",E438)))</formula>
    </cfRule>
    <cfRule type="containsText" dxfId="481" priority="26003" operator="containsText" text="Despesas">
      <formula>NOT(ISERROR(SEARCH("Despesas",E438)))</formula>
    </cfRule>
    <cfRule type="containsText" dxfId="480" priority="26004" operator="containsText" text="Receitas">
      <formula>NOT(ISERROR(SEARCH("Receitas",E438)))</formula>
    </cfRule>
    <cfRule type="containsText" dxfId="479" priority="26005" operator="containsText" text="ENDIVIDAMENTO">
      <formula>NOT(ISERROR(SEARCH("ENDIVIDAMENTO",E438)))</formula>
    </cfRule>
    <cfRule type="containsText" dxfId="478" priority="26006" operator="containsText" text="IMPOSTOS">
      <formula>NOT(ISERROR(SEARCH("IMPOSTOS",E438)))</formula>
    </cfRule>
    <cfRule type="containsText" dxfId="477" priority="26007" operator="containsText" text="INVESTIMENTO">
      <formula>NOT(ISERROR(SEARCH("INVESTIMENTO",E438)))</formula>
    </cfRule>
    <cfRule type="containsText" dxfId="476" priority="26008" operator="containsText" text="Despesas">
      <formula>NOT(ISERROR(SEARCH("Despesas",E438)))</formula>
    </cfRule>
    <cfRule type="containsText" dxfId="475" priority="26009" operator="containsText" text="Receitas">
      <formula>NOT(ISERROR(SEARCH("Receitas",E438)))</formula>
    </cfRule>
  </conditionalFormatting>
  <conditionalFormatting sqref="P5:P1252">
    <cfRule type="cellIs" dxfId="474" priority="18467" operator="equal">
      <formula>"Pago"</formula>
    </cfRule>
    <cfRule type="containsText" dxfId="473" priority="18468" operator="containsText" text="Prazo - Menos de 1 mês">
      <formula>NOT(ISERROR(SEARCH("Prazo - Menos de 1 mês",P5)))</formula>
    </cfRule>
    <cfRule type="containsText" dxfId="472" priority="18469" operator="containsText" text="Prazo - Menos de 15 dias">
      <formula>NOT(ISERROR(SEARCH("Prazo - Menos de 15 dias",P5)))</formula>
    </cfRule>
    <cfRule type="containsText" dxfId="471" priority="18470" operator="containsText" text="Prazo - Menos de 10 dias">
      <formula>NOT(ISERROR(SEARCH("Prazo - Menos de 10 dias",P5)))</formula>
    </cfRule>
    <cfRule type="containsText" dxfId="470" priority="18471" operator="containsText" text="Prazo - Mais de 1 mês">
      <formula>NOT(ISERROR(SEARCH("Prazo - Mais de 1 mês",P5)))</formula>
    </cfRule>
    <cfRule type="cellIs" priority="18472" operator="equal">
      <formula>""</formula>
    </cfRule>
    <cfRule type="containsText" dxfId="469" priority="18473" operator="containsText" text="Hoje">
      <formula>NOT(ISERROR(SEARCH("Hoje",P5)))</formula>
    </cfRule>
    <cfRule type="containsText" dxfId="468" priority="18474" operator="containsText" text="Venceu">
      <formula>NOT(ISERROR(SEARCH("Venceu",P5)))</formula>
    </cfRule>
  </conditionalFormatting>
  <conditionalFormatting sqref="E66">
    <cfRule type="containsText" dxfId="467" priority="265" operator="containsText" text="ENDIVIDAMENTO">
      <formula>NOT(ISERROR(SEARCH("ENDIVIDAMENTO",E66)))</formula>
    </cfRule>
    <cfRule type="containsText" dxfId="466" priority="266" operator="containsText" text="IMPOSTOS">
      <formula>NOT(ISERROR(SEARCH("IMPOSTOS",E66)))</formula>
    </cfRule>
    <cfRule type="containsText" dxfId="465" priority="267" operator="containsText" text="INVESTIMENTO">
      <formula>NOT(ISERROR(SEARCH("INVESTIMENTO",E66)))</formula>
    </cfRule>
    <cfRule type="containsText" dxfId="464" priority="268" operator="containsText" text="Despesas">
      <formula>NOT(ISERROR(SEARCH("Despesas",E66)))</formula>
    </cfRule>
    <cfRule type="containsText" dxfId="463" priority="269" operator="containsText" text="Receitas">
      <formula>NOT(ISERROR(SEARCH("Receitas",E66)))</formula>
    </cfRule>
    <cfRule type="containsText" dxfId="462" priority="270" operator="containsText" text="ENDIVIDAMENTO">
      <formula>NOT(ISERROR(SEARCH("ENDIVIDAMENTO",E66)))</formula>
    </cfRule>
    <cfRule type="containsText" dxfId="461" priority="271" operator="containsText" text="IMPOSTOS">
      <formula>NOT(ISERROR(SEARCH("IMPOSTOS",E66)))</formula>
    </cfRule>
    <cfRule type="containsText" dxfId="460" priority="272" operator="containsText" text="INVESTIMENTO">
      <formula>NOT(ISERROR(SEARCH("INVESTIMENTO",E66)))</formula>
    </cfRule>
    <cfRule type="containsText" dxfId="459" priority="273" operator="containsText" text="Despesas">
      <formula>NOT(ISERROR(SEARCH("Despesas",E66)))</formula>
    </cfRule>
    <cfRule type="containsText" dxfId="458" priority="274" operator="containsText" text="Receitas">
      <formula>NOT(ISERROR(SEARCH("Receitas",E66)))</formula>
    </cfRule>
  </conditionalFormatting>
  <conditionalFormatting sqref="E92">
    <cfRule type="containsText" dxfId="457" priority="251" operator="containsText" text="ENDIVIDAMENTO">
      <formula>NOT(ISERROR(SEARCH("ENDIVIDAMENTO",E92)))</formula>
    </cfRule>
    <cfRule type="containsText" dxfId="456" priority="252" operator="containsText" text="IMPOSTOS">
      <formula>NOT(ISERROR(SEARCH("IMPOSTOS",E92)))</formula>
    </cfRule>
    <cfRule type="containsText" dxfId="455" priority="253" operator="containsText" text="INVESTIMENTO">
      <formula>NOT(ISERROR(SEARCH("INVESTIMENTO",E92)))</formula>
    </cfRule>
    <cfRule type="containsText" dxfId="454" priority="254" operator="containsText" text="Despesas">
      <formula>NOT(ISERROR(SEARCH("Despesas",E92)))</formula>
    </cfRule>
    <cfRule type="containsText" dxfId="453" priority="255" operator="containsText" text="Receitas">
      <formula>NOT(ISERROR(SEARCH("Receitas",E92)))</formula>
    </cfRule>
    <cfRule type="containsText" dxfId="452" priority="256" operator="containsText" text="ENDIVIDAMENTO">
      <formula>NOT(ISERROR(SEARCH("ENDIVIDAMENTO",E92)))</formula>
    </cfRule>
    <cfRule type="containsText" dxfId="451" priority="257" operator="containsText" text="IMPOSTOS">
      <formula>NOT(ISERROR(SEARCH("IMPOSTOS",E92)))</formula>
    </cfRule>
    <cfRule type="containsText" dxfId="450" priority="258" operator="containsText" text="INVESTIMENTO">
      <formula>NOT(ISERROR(SEARCH("INVESTIMENTO",E92)))</formula>
    </cfRule>
    <cfRule type="containsText" dxfId="449" priority="259" operator="containsText" text="Despesas">
      <formula>NOT(ISERROR(SEARCH("Despesas",E92)))</formula>
    </cfRule>
    <cfRule type="containsText" dxfId="448" priority="260" operator="containsText" text="Receitas">
      <formula>NOT(ISERROR(SEARCH("Receitas",E92)))</formula>
    </cfRule>
  </conditionalFormatting>
  <conditionalFormatting sqref="E109">
    <cfRule type="containsText" dxfId="447" priority="237" operator="containsText" text="ENDIVIDAMENTO">
      <formula>NOT(ISERROR(SEARCH("ENDIVIDAMENTO",E109)))</formula>
    </cfRule>
    <cfRule type="containsText" dxfId="446" priority="238" operator="containsText" text="IMPOSTOS">
      <formula>NOT(ISERROR(SEARCH("IMPOSTOS",E109)))</formula>
    </cfRule>
    <cfRule type="containsText" dxfId="445" priority="239" operator="containsText" text="INVESTIMENTO">
      <formula>NOT(ISERROR(SEARCH("INVESTIMENTO",E109)))</formula>
    </cfRule>
    <cfRule type="containsText" dxfId="444" priority="240" operator="containsText" text="Despesas">
      <formula>NOT(ISERROR(SEARCH("Despesas",E109)))</formula>
    </cfRule>
    <cfRule type="containsText" dxfId="443" priority="241" operator="containsText" text="Receitas">
      <formula>NOT(ISERROR(SEARCH("Receitas",E109)))</formula>
    </cfRule>
    <cfRule type="containsText" dxfId="442" priority="242" operator="containsText" text="ENDIVIDAMENTO">
      <formula>NOT(ISERROR(SEARCH("ENDIVIDAMENTO",E109)))</formula>
    </cfRule>
    <cfRule type="containsText" dxfId="441" priority="243" operator="containsText" text="IMPOSTOS">
      <formula>NOT(ISERROR(SEARCH("IMPOSTOS",E109)))</formula>
    </cfRule>
    <cfRule type="containsText" dxfId="440" priority="244" operator="containsText" text="INVESTIMENTO">
      <formula>NOT(ISERROR(SEARCH("INVESTIMENTO",E109)))</formula>
    </cfRule>
    <cfRule type="containsText" dxfId="439" priority="245" operator="containsText" text="Despesas">
      <formula>NOT(ISERROR(SEARCH("Despesas",E109)))</formula>
    </cfRule>
    <cfRule type="containsText" dxfId="438" priority="246" operator="containsText" text="Receitas">
      <formula>NOT(ISERROR(SEARCH("Receitas",E109)))</formula>
    </cfRule>
  </conditionalFormatting>
  <conditionalFormatting sqref="E113">
    <cfRule type="containsText" dxfId="437" priority="223" operator="containsText" text="ENDIVIDAMENTO">
      <formula>NOT(ISERROR(SEARCH("ENDIVIDAMENTO",E113)))</formula>
    </cfRule>
    <cfRule type="containsText" dxfId="436" priority="224" operator="containsText" text="IMPOSTOS">
      <formula>NOT(ISERROR(SEARCH("IMPOSTOS",E113)))</formula>
    </cfRule>
    <cfRule type="containsText" dxfId="435" priority="225" operator="containsText" text="INVESTIMENTO">
      <formula>NOT(ISERROR(SEARCH("INVESTIMENTO",E113)))</formula>
    </cfRule>
    <cfRule type="containsText" dxfId="434" priority="226" operator="containsText" text="Despesas">
      <formula>NOT(ISERROR(SEARCH("Despesas",E113)))</formula>
    </cfRule>
    <cfRule type="containsText" dxfId="433" priority="227" operator="containsText" text="Receitas">
      <formula>NOT(ISERROR(SEARCH("Receitas",E113)))</formula>
    </cfRule>
    <cfRule type="containsText" dxfId="432" priority="228" operator="containsText" text="ENDIVIDAMENTO">
      <formula>NOT(ISERROR(SEARCH("ENDIVIDAMENTO",E113)))</formula>
    </cfRule>
    <cfRule type="containsText" dxfId="431" priority="229" operator="containsText" text="IMPOSTOS">
      <formula>NOT(ISERROR(SEARCH("IMPOSTOS",E113)))</formula>
    </cfRule>
    <cfRule type="containsText" dxfId="430" priority="230" operator="containsText" text="INVESTIMENTO">
      <formula>NOT(ISERROR(SEARCH("INVESTIMENTO",E113)))</formula>
    </cfRule>
    <cfRule type="containsText" dxfId="429" priority="231" operator="containsText" text="Despesas">
      <formula>NOT(ISERROR(SEARCH("Despesas",E113)))</formula>
    </cfRule>
    <cfRule type="containsText" dxfId="428" priority="232" operator="containsText" text="Receitas">
      <formula>NOT(ISERROR(SEARCH("Receitas",E113)))</formula>
    </cfRule>
  </conditionalFormatting>
  <dataValidations count="5">
    <dataValidation type="list" allowBlank="1" showInputMessage="1" showErrorMessage="1" sqref="E1:E3" xr:uid="{117E1459-8720-4161-A688-50E746D15643}">
      <formula1>INDIRECT(AB1)</formula1>
    </dataValidation>
    <dataValidation type="list" allowBlank="1" showInputMessage="1" showErrorMessage="1" sqref="U5:U1252" xr:uid="{285CFD3D-BABB-441E-B7C7-A557542BD1D4}">
      <formula1>"FIXO,VARIÁVEL"</formula1>
    </dataValidation>
    <dataValidation type="list" allowBlank="1" showInputMessage="1" showErrorMessage="1" sqref="E5:E1252" xr:uid="{C04482BE-25E1-4386-A191-D37100EFF591}">
      <formula1>Plano_de_contas</formula1>
    </dataValidation>
    <dataValidation type="list" allowBlank="1" showInputMessage="1" showErrorMessage="1" sqref="I5:I1252" xr:uid="{C388B3BE-CDAA-4651-AE6F-C2D98F7BE337}">
      <formula1>IF(V5="Receita",LISTA_CLIENTES,LISTA_FORNECEDORES)</formula1>
    </dataValidation>
    <dataValidation type="list" allowBlank="1" showInputMessage="1" showErrorMessage="1" sqref="F4:F1252" xr:uid="{A3D34A6C-47F6-4FEA-A058-E4C61962CBE3}">
      <formula1>INDIRECT(Y4)</formula1>
    </dataValidation>
  </dataValidations>
  <pageMargins left="0.511811024" right="0.511811024" top="0.78740157499999996" bottom="0.78740157499999996" header="0.31496062000000002" footer="0.31496062000000002"/>
  <pageSetup paperSize="7" scale="43" orientation="landscape" horizontalDpi="200" verticalDpi="200" r:id="rId1"/>
  <ignoredErrors>
    <ignoredError sqref="T4 F4" listDataValidation="1"/>
  </ignoredError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8478" operator="containsText" id="{6667445B-2231-4CE2-A826-038EC6D35BC9}">
            <xm:f>NOT(ISERROR(SEARCH(Apoio!$J$16,E4)))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28479" operator="containsText" id="{8A5EBF04-D510-4144-A21D-A61ACA3EDC13}">
            <xm:f>NOT(ISERROR(SEARCH(Apoio!$J$7,E4)))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486" operator="containsText" id="{10427712-529B-4028-A96D-8A00C49FD2B2}">
            <xm:f>NOT(ISERROR(SEARCH(Apoio!$J$7,E4)))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28" operator="containsText" id="{A2A2FF39-CAA8-4E33-86F5-19E027AD2ADA}">
            <xm:f>NOT(ISERROR(SEARCH(Apoio!$J$16,E4)))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E59:E60 E117 E115 E213:E221 E224:E226 E451:E453 E202:E203 E197:E200 E192:E195 E189:E190 E178:E187 E163 E151:E156 E120 E46:E51 E41:E44 E147:E148 E4:E39 E105 E122:E145 E159:E161 E165:E176 E253:E266 E269:E315</xm:sqref>
        </x14:conditionalFormatting>
        <x14:conditionalFormatting xmlns:xm="http://schemas.microsoft.com/office/excel/2006/main">
          <x14:cfRule type="containsText" priority="120936" operator="containsText" id="{EF48BC56-BECF-42EC-A036-0784D86C4799}">
            <xm:f>NOT(ISERROR(SEARCH(Apoio!$J$16,E40)))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20937" operator="containsText" id="{700C4F5D-09ED-4083-9DB6-78326239E7F4}">
            <xm:f>NOT(ISERROR(SEARCH(Apoio!$J$7,E40)))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0944" operator="containsText" id="{8F029112-899A-4B8A-BF3B-5EE58581A44B}">
            <xm:f>NOT(ISERROR(SEARCH(Apoio!$J$7,E40)))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29" operator="containsText" id="{CE1730D1-239B-409D-9970-7A68C60A3C8E}">
            <xm:f>NOT(ISERROR(SEARCH(Apoio!$J$16,E40)))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E40</xm:sqref>
        </x14:conditionalFormatting>
        <x14:conditionalFormatting xmlns:xm="http://schemas.microsoft.com/office/excel/2006/main">
          <x14:cfRule type="containsText" priority="116584" operator="containsText" id="{CA5938E7-4E07-42FD-9013-F4C8172D1012}">
            <xm:f>NOT(ISERROR(SEARCH(Apoio!$J$16,E45)))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6585" operator="containsText" id="{2EC147DF-6EC5-4CC5-8EF9-30011627C2AE}">
            <xm:f>NOT(ISERROR(SEARCH(Apoio!$J$7,E45)))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6592" operator="containsText" id="{2FB8DBD2-777B-41A1-8F2F-E3E3E7F6BC51}">
            <xm:f>NOT(ISERROR(SEARCH(Apoio!$J$7,E45)))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30" operator="containsText" id="{51B12F54-C693-4B00-A341-EF34831D9624}">
            <xm:f>NOT(ISERROR(SEARCH(Apoio!$J$16,E45)))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E45</xm:sqref>
        </x14:conditionalFormatting>
        <x14:conditionalFormatting xmlns:xm="http://schemas.microsoft.com/office/excel/2006/main">
          <x14:cfRule type="containsText" priority="105706" operator="containsText" id="{45798065-A2EE-4459-89F2-730243354D4E}">
            <xm:f>NOT(ISERROR(SEARCH(Apoio!$J$16,E52)))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5707" operator="containsText" id="{75BC6B40-751C-44F4-B354-D68F88CD0548}">
            <xm:f>NOT(ISERROR(SEARCH(Apoio!$J$7,E52)))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5714" operator="containsText" id="{3C9C3527-AFB2-44D1-BDEF-DFEA77F61590}">
            <xm:f>NOT(ISERROR(SEARCH(Apoio!$J$7,E52)))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31" operator="containsText" id="{8947C45F-C21A-4454-91A4-BFAE9F1EAF32}">
            <xm:f>NOT(ISERROR(SEARCH(Apoio!$J$16,E52)))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E52:E53</xm:sqref>
        </x14:conditionalFormatting>
        <x14:conditionalFormatting xmlns:xm="http://schemas.microsoft.com/office/excel/2006/main">
          <x14:cfRule type="containsText" priority="95940" operator="containsText" id="{C0B91C80-5AE6-420F-8BFC-04998370CEAD}">
            <xm:f>NOT(ISERROR(SEARCH(Apoio!$J$16,E54)))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5941" operator="containsText" id="{36A5B027-2CB8-431C-9E18-F668743D6426}">
            <xm:f>NOT(ISERROR(SEARCH(Apoio!$J$7,E54)))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5948" operator="containsText" id="{4D46C9D8-964A-41A5-97E9-3B306B270E15}">
            <xm:f>NOT(ISERROR(SEARCH(Apoio!$J$7,E54)))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32" operator="containsText" id="{6E427167-28A7-426D-A9EF-297053FEFE8A}">
            <xm:f>NOT(ISERROR(SEARCH(Apoio!$J$16,E54)))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E54</xm:sqref>
        </x14:conditionalFormatting>
        <x14:conditionalFormatting xmlns:xm="http://schemas.microsoft.com/office/excel/2006/main">
          <x14:cfRule type="containsText" priority="95916" operator="containsText" id="{382C2F1B-DD42-40EF-BE32-3149235B126A}">
            <xm:f>NOT(ISERROR(SEARCH(Apoio!$J$16,E55)))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5917" operator="containsText" id="{26F8BEFF-EC9B-4D56-B201-BB33D4478DE5}">
            <xm:f>NOT(ISERROR(SEARCH(Apoio!$J$7,E55)))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5924" operator="containsText" id="{E83D8957-3CDC-4D13-80F3-31DE2873A2D2}">
            <xm:f>NOT(ISERROR(SEARCH(Apoio!$J$7,E55)))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33" operator="containsText" id="{5C772215-BAD4-427B-BB7B-DE935B25CB3F}">
            <xm:f>NOT(ISERROR(SEARCH(Apoio!$J$16,E55)))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86418" operator="containsText" id="{FC413772-B1A3-4EA7-A261-5CEF53BAC049}">
            <xm:f>NOT(ISERROR(SEARCH(Apoio!$J$16,E56)))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86419" operator="containsText" id="{F3A629AD-2C10-4C80-9390-1B0692BC099B}">
            <xm:f>NOT(ISERROR(SEARCH(Apoio!$J$7,E56)))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86426" operator="containsText" id="{F30F21DD-6159-4462-AA23-FF9EE4B3E146}">
            <xm:f>NOT(ISERROR(SEARCH(Apoio!$J$7,E56)))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34" operator="containsText" id="{AC6354B5-ECAD-49EA-A985-54DCDFB75C5C}">
            <xm:f>NOT(ISERROR(SEARCH(Apoio!$J$16,E56)))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E56</xm:sqref>
        </x14:conditionalFormatting>
        <x14:conditionalFormatting xmlns:xm="http://schemas.microsoft.com/office/excel/2006/main">
          <x14:cfRule type="containsText" priority="69456" operator="containsText" id="{11B05F43-42F7-4E09-B1AC-F0E420022A9D}">
            <xm:f>NOT(ISERROR(SEARCH(Apoio!$J$16,E57)))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9457" operator="containsText" id="{B1935C77-27F6-4466-B90B-523C273FF967}">
            <xm:f>NOT(ISERROR(SEARCH(Apoio!$J$7,E57)))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9464" operator="containsText" id="{BDD1E5F5-DA1A-4155-A543-F34B89C711CB}">
            <xm:f>NOT(ISERROR(SEARCH(Apoio!$J$7,E57)))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35" operator="containsText" id="{9B793E88-28B3-46F1-9190-AE26BA161372}">
            <xm:f>NOT(ISERROR(SEARCH(Apoio!$J$16,E57)))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containsText" priority="68648" operator="containsText" id="{E36AC636-ACC5-43D3-AEB0-1A9C462BC7F4}">
            <xm:f>NOT(ISERROR(SEARCH(Apoio!$J$16,E58)))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649" operator="containsText" id="{A1F633EB-0EE9-4188-B52E-E28677E5DFE9}">
            <xm:f>NOT(ISERROR(SEARCH(Apoio!$J$7,E58)))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656" operator="containsText" id="{661285BA-59FD-476F-9F99-0C51BA039D2C}">
            <xm:f>NOT(ISERROR(SEARCH(Apoio!$J$7,E58)))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36" operator="containsText" id="{93C27B92-F06B-47AD-9C8F-DF81A56843E4}">
            <xm:f>NOT(ISERROR(SEARCH(Apoio!$J$16,E58)))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E58</xm:sqref>
        </x14:conditionalFormatting>
        <x14:conditionalFormatting xmlns:xm="http://schemas.microsoft.com/office/excel/2006/main">
          <x14:cfRule type="containsText" priority="68600" operator="containsText" id="{99CE50B1-24FB-4400-9DB0-C9E99E011E39}">
            <xm:f>NOT(ISERROR(SEARCH(Apoio!$J$16,E61)))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601" operator="containsText" id="{5486BD4D-7C4F-4368-B79F-4B732CE0FAE1}">
            <xm:f>NOT(ISERROR(SEARCH(Apoio!$J$7,E61)))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608" operator="containsText" id="{AAF16023-73D8-48D3-8F18-FD5074C57D09}">
            <xm:f>NOT(ISERROR(SEARCH(Apoio!$J$7,E61)))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37" operator="containsText" id="{A1B0B0C8-70C9-4AC8-85BA-FFAC0AF65870}">
            <xm:f>NOT(ISERROR(SEARCH(Apoio!$J$16,E61)))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E61</xm:sqref>
        </x14:conditionalFormatting>
        <x14:conditionalFormatting xmlns:xm="http://schemas.microsoft.com/office/excel/2006/main">
          <x14:cfRule type="containsText" priority="68528" operator="containsText" id="{A44FE66A-26A4-496C-9D36-29C88B93AD8E}">
            <xm:f>NOT(ISERROR(SEARCH(Apoio!$J$16,E62)))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529" operator="containsText" id="{3959B8DC-F172-4EB8-9443-60F57E040C0D}">
            <xm:f>NOT(ISERROR(SEARCH(Apoio!$J$7,E62)))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536" operator="containsText" id="{72659965-2300-4993-963D-A30CDD41504C}">
            <xm:f>NOT(ISERROR(SEARCH(Apoio!$J$7,E62)))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38" operator="containsText" id="{4B786CEE-075B-42F6-8F88-E7574DBBB2B6}">
            <xm:f>NOT(ISERROR(SEARCH(Apoio!$J$16,E62)))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E62</xm:sqref>
        </x14:conditionalFormatting>
        <x14:conditionalFormatting xmlns:xm="http://schemas.microsoft.com/office/excel/2006/main">
          <x14:cfRule type="containsText" priority="68504" operator="containsText" id="{C3BBD0D3-0CF9-40D4-82C5-6FE1C8C2D596}">
            <xm:f>NOT(ISERROR(SEARCH(Apoio!$J$16,E63)))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505" operator="containsText" id="{7B9E629E-80D7-4BB3-9919-F227C360F7DB}">
            <xm:f>NOT(ISERROR(SEARCH(Apoio!$J$7,E63)))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512" operator="containsText" id="{50F0E28F-F081-4F92-90B4-63C6302E7592}">
            <xm:f>NOT(ISERROR(SEARCH(Apoio!$J$7,E63)))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39" operator="containsText" id="{0483B685-D582-43A1-A20F-840ACF20E3BA}">
            <xm:f>NOT(ISERROR(SEARCH(Apoio!$J$16,E63)))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E63</xm:sqref>
        </x14:conditionalFormatting>
        <x14:conditionalFormatting xmlns:xm="http://schemas.microsoft.com/office/excel/2006/main">
          <x14:cfRule type="containsText" priority="68480" operator="containsText" id="{D59930C9-00B3-4DA1-8934-6D13A438EDBF}">
            <xm:f>NOT(ISERROR(SEARCH(Apoio!$J$16,E64)))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481" operator="containsText" id="{BF2F5C55-E361-4771-AAB6-2AE557885725}">
            <xm:f>NOT(ISERROR(SEARCH(Apoio!$J$7,E64)))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488" operator="containsText" id="{DECCA20A-E8F1-44AF-B291-8F3338CCDD15}">
            <xm:f>NOT(ISERROR(SEARCH(Apoio!$J$7,E64)))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40" operator="containsText" id="{34D8BA00-B600-407B-8F20-D6C36DE65988}">
            <xm:f>NOT(ISERROR(SEARCH(Apoio!$J$16,E64)))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E64</xm:sqref>
        </x14:conditionalFormatting>
        <x14:conditionalFormatting xmlns:xm="http://schemas.microsoft.com/office/excel/2006/main">
          <x14:cfRule type="containsText" priority="68456" operator="containsText" id="{8BF96FC9-1731-4AE6-90CD-E8176D368C62}">
            <xm:f>NOT(ISERROR(SEARCH(Apoio!$J$16,E65)))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457" operator="containsText" id="{635803A7-569C-4A85-AD6C-D471DF7D9F12}">
            <xm:f>NOT(ISERROR(SEARCH(Apoio!$J$7,E65)))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464" operator="containsText" id="{CEE140D6-5DB2-473B-9B4D-DCC6CF2B7C78}">
            <xm:f>NOT(ISERROR(SEARCH(Apoio!$J$7,E65)))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41" operator="containsText" id="{76EC9A51-5FF1-4CBD-BACE-9749D978DEB6}">
            <xm:f>NOT(ISERROR(SEARCH(Apoio!$J$16,E65)))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E65</xm:sqref>
        </x14:conditionalFormatting>
        <x14:conditionalFormatting xmlns:xm="http://schemas.microsoft.com/office/excel/2006/main">
          <x14:cfRule type="containsText" priority="68408" operator="containsText" id="{AF8ACA8D-9130-42C6-96F9-83B4AB3059CF}">
            <xm:f>NOT(ISERROR(SEARCH(Apoio!$J$16,E67)))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409" operator="containsText" id="{BB9BC873-6AA9-40BF-B22F-9CE8089ABF32}">
            <xm:f>NOT(ISERROR(SEARCH(Apoio!$J$7,E67)))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416" operator="containsText" id="{3C02A124-A7F6-4C85-A591-CAA5CD2A6D5B}">
            <xm:f>NOT(ISERROR(SEARCH(Apoio!$J$7,E67)))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42" operator="containsText" id="{199BFD4C-2AE0-4240-9F3C-8FD1EAF4A398}">
            <xm:f>NOT(ISERROR(SEARCH(Apoio!$J$16,E67)))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E67:E68</xm:sqref>
        </x14:conditionalFormatting>
        <x14:conditionalFormatting xmlns:xm="http://schemas.microsoft.com/office/excel/2006/main">
          <x14:cfRule type="containsText" priority="68384" operator="containsText" id="{D8A4979E-EAE1-4CAF-8939-FA2EC558E7BC}">
            <xm:f>NOT(ISERROR(SEARCH(Apoio!$J$16,E72)))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385" operator="containsText" id="{3F871B08-71F4-493B-9AE0-26A8187541C1}">
            <xm:f>NOT(ISERROR(SEARCH(Apoio!$J$7,E72)))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392" operator="containsText" id="{E35A36ED-4C69-4331-8372-B9CA849F1A13}">
            <xm:f>NOT(ISERROR(SEARCH(Apoio!$J$7,E72)))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43" operator="containsText" id="{7C553984-313A-4DD2-959E-6E6D33263420}">
            <xm:f>NOT(ISERROR(SEARCH(Apoio!$J$16,E72)))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E72</xm:sqref>
        </x14:conditionalFormatting>
        <x14:conditionalFormatting xmlns:xm="http://schemas.microsoft.com/office/excel/2006/main">
          <x14:cfRule type="containsText" priority="68360" operator="containsText" id="{06EB72E1-AA65-4E82-83AD-DA374E445F13}">
            <xm:f>NOT(ISERROR(SEARCH(Apoio!$J$16,E73)))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361" operator="containsText" id="{19E049F3-DF8F-4C64-92A1-7DA3AFB98C48}">
            <xm:f>NOT(ISERROR(SEARCH(Apoio!$J$7,E73)))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368" operator="containsText" id="{8F421834-25DA-41CA-B0A0-3C6993525650}">
            <xm:f>NOT(ISERROR(SEARCH(Apoio!$J$7,E73)))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44" operator="containsText" id="{99624F80-2484-46B1-B229-7564092305BC}">
            <xm:f>NOT(ISERROR(SEARCH(Apoio!$J$16,E73)))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E73</xm:sqref>
        </x14:conditionalFormatting>
        <x14:conditionalFormatting xmlns:xm="http://schemas.microsoft.com/office/excel/2006/main">
          <x14:cfRule type="containsText" priority="68336" operator="containsText" id="{F3156C46-8584-4A64-ABA4-D7F3F529A776}">
            <xm:f>NOT(ISERROR(SEARCH(Apoio!$J$16,E74)))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337" operator="containsText" id="{CFCBF96D-7ADD-4AE9-ACB2-8E88ADA3BC04}">
            <xm:f>NOT(ISERROR(SEARCH(Apoio!$J$7,E74)))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344" operator="containsText" id="{30F158B5-B6C3-4799-BE00-54CFB1E35726}">
            <xm:f>NOT(ISERROR(SEARCH(Apoio!$J$7,E74)))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45" operator="containsText" id="{51B1953C-7255-4696-BF0B-ADBD25236413}">
            <xm:f>NOT(ISERROR(SEARCH(Apoio!$J$16,E74)))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E74</xm:sqref>
        </x14:conditionalFormatting>
        <x14:conditionalFormatting xmlns:xm="http://schemas.microsoft.com/office/excel/2006/main">
          <x14:cfRule type="containsText" priority="68312" operator="containsText" id="{3A6ADC04-B8F9-4642-91C4-1708232A4BFF}">
            <xm:f>NOT(ISERROR(SEARCH(Apoio!$J$16,E75)))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313" operator="containsText" id="{C184E3B1-BCD1-4545-B03F-E0E9F6DBCF93}">
            <xm:f>NOT(ISERROR(SEARCH(Apoio!$J$7,E75)))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320" operator="containsText" id="{3850DA94-15C3-4511-8914-2B0E7B04DEED}">
            <xm:f>NOT(ISERROR(SEARCH(Apoio!$J$7,E75)))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46" operator="containsText" id="{878ADF19-D249-43D0-9708-F4498F3C1B68}">
            <xm:f>NOT(ISERROR(SEARCH(Apoio!$J$16,E75)))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E75</xm:sqref>
        </x14:conditionalFormatting>
        <x14:conditionalFormatting xmlns:xm="http://schemas.microsoft.com/office/excel/2006/main">
          <x14:cfRule type="containsText" priority="68288" operator="containsText" id="{F10FA1F0-4C20-4AEB-A39B-C17EB29BB818}">
            <xm:f>NOT(ISERROR(SEARCH(Apoio!$J$16,E76)))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289" operator="containsText" id="{92962672-67A0-4821-BD0F-FC23D9625446}">
            <xm:f>NOT(ISERROR(SEARCH(Apoio!$J$7,E76)))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296" operator="containsText" id="{A8A395D6-992F-4ECB-8F75-E0802908EA15}">
            <xm:f>NOT(ISERROR(SEARCH(Apoio!$J$7,E76)))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47" operator="containsText" id="{D4BDF73B-35A4-4D71-9E08-2A28E3DFBA79}">
            <xm:f>NOT(ISERROR(SEARCH(Apoio!$J$16,E76)))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E76</xm:sqref>
        </x14:conditionalFormatting>
        <x14:conditionalFormatting xmlns:xm="http://schemas.microsoft.com/office/excel/2006/main">
          <x14:cfRule type="containsText" priority="68264" operator="containsText" id="{071D4DF7-5E20-4311-BA61-BB3B1589E99B}">
            <xm:f>NOT(ISERROR(SEARCH(Apoio!$J$16,E77)))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265" operator="containsText" id="{C17507FE-1DB6-4D47-B426-101A1568F055}">
            <xm:f>NOT(ISERROR(SEARCH(Apoio!$J$7,E77)))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272" operator="containsText" id="{007EEB9A-3CD0-4092-A7D0-52BD466BB325}">
            <xm:f>NOT(ISERROR(SEARCH(Apoio!$J$7,E77)))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48" operator="containsText" id="{D625AF15-9A33-4FDC-8F06-0AC3F0C02FA6}">
            <xm:f>NOT(ISERROR(SEARCH(Apoio!$J$16,E77)))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E77</xm:sqref>
        </x14:conditionalFormatting>
        <x14:conditionalFormatting xmlns:xm="http://schemas.microsoft.com/office/excel/2006/main">
          <x14:cfRule type="containsText" priority="68240" operator="containsText" id="{798A762B-C0B3-4F73-AD6F-130FBE566B12}">
            <xm:f>NOT(ISERROR(SEARCH(Apoio!$J$16,E78)))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241" operator="containsText" id="{3D55E2D5-EE8A-4169-AD01-1243D798F0DF}">
            <xm:f>NOT(ISERROR(SEARCH(Apoio!$J$7,E78)))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248" operator="containsText" id="{028EC32C-4E14-4412-A55C-154EA2AE9493}">
            <xm:f>NOT(ISERROR(SEARCH(Apoio!$J$7,E78)))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49" operator="containsText" id="{84224752-868F-4DD7-82F7-25BFC0E0EF14}">
            <xm:f>NOT(ISERROR(SEARCH(Apoio!$J$16,E78)))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E78</xm:sqref>
        </x14:conditionalFormatting>
        <x14:conditionalFormatting xmlns:xm="http://schemas.microsoft.com/office/excel/2006/main">
          <x14:cfRule type="containsText" priority="68208" operator="containsText" id="{4A7037DB-5D50-44C1-98F0-4C5EF6A4161B}">
            <xm:f>NOT(ISERROR(SEARCH(Apoio!$J$16,E79)))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209" operator="containsText" id="{8B0895C1-5E24-4562-A8C1-0594E3D08B3A}">
            <xm:f>NOT(ISERROR(SEARCH(Apoio!$J$7,E79)))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216" operator="containsText" id="{423731C6-AABF-4324-8A0D-B3EBD79BE3E4}">
            <xm:f>NOT(ISERROR(SEARCH(Apoio!$J$7,E79)))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50" operator="containsText" id="{84AA654D-BDB6-46A2-BB58-E5DB549694E1}">
            <xm:f>NOT(ISERROR(SEARCH(Apoio!$J$16,E79)))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E79:E81</xm:sqref>
        </x14:conditionalFormatting>
        <x14:conditionalFormatting xmlns:xm="http://schemas.microsoft.com/office/excel/2006/main">
          <x14:cfRule type="containsText" priority="68176" operator="containsText" id="{775CFDF5-BFF5-4F13-A595-F0F0F09A3D5F}">
            <xm:f>NOT(ISERROR(SEARCH(Apoio!$J$16,E82)))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177" operator="containsText" id="{192EEF46-89D2-4DF3-A85E-94A88F52895B}">
            <xm:f>NOT(ISERROR(SEARCH(Apoio!$J$7,E82)))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184" operator="containsText" id="{D5D24E13-4A79-4C2C-92A9-BF03AE3CE9DC}">
            <xm:f>NOT(ISERROR(SEARCH(Apoio!$J$7,E82)))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51" operator="containsText" id="{36978602-5B6E-47D2-8DD5-D039E550DFBF}">
            <xm:f>NOT(ISERROR(SEARCH(Apoio!$J$16,E82)))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E82</xm:sqref>
        </x14:conditionalFormatting>
        <x14:conditionalFormatting xmlns:xm="http://schemas.microsoft.com/office/excel/2006/main">
          <x14:cfRule type="containsText" priority="68152" operator="containsText" id="{3ECDAD77-E039-41EC-A10B-BF7B634ED2D5}">
            <xm:f>NOT(ISERROR(SEARCH(Apoio!$J$16,E83)))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153" operator="containsText" id="{09CC2719-E118-437B-B6CA-D775F598396E}">
            <xm:f>NOT(ISERROR(SEARCH(Apoio!$J$7,E83)))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160" operator="containsText" id="{A18275EA-03F1-4901-B87E-3FD49A4791C2}">
            <xm:f>NOT(ISERROR(SEARCH(Apoio!$J$7,E83)))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52" operator="containsText" id="{1A76C1F4-076D-4E7B-AA64-58C1EE2E54DF}">
            <xm:f>NOT(ISERROR(SEARCH(Apoio!$J$16,E83)))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E83</xm:sqref>
        </x14:conditionalFormatting>
        <x14:conditionalFormatting xmlns:xm="http://schemas.microsoft.com/office/excel/2006/main">
          <x14:cfRule type="containsText" priority="68128" operator="containsText" id="{63DF7F98-AB36-444D-A50E-6AF587915706}">
            <xm:f>NOT(ISERROR(SEARCH(Apoio!$J$16,E84)))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129" operator="containsText" id="{75FA80C8-D17D-4568-9907-053AE1F6CDC1}">
            <xm:f>NOT(ISERROR(SEARCH(Apoio!$J$7,E84)))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136" operator="containsText" id="{EEBFE744-60A9-4BEC-B53E-B078B7654654}">
            <xm:f>NOT(ISERROR(SEARCH(Apoio!$J$7,E84)))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53" operator="containsText" id="{E0C02D1C-5695-4A90-9B1C-71E9CEBAB02D}">
            <xm:f>NOT(ISERROR(SEARCH(Apoio!$J$16,E84)))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E84</xm:sqref>
        </x14:conditionalFormatting>
        <x14:conditionalFormatting xmlns:xm="http://schemas.microsoft.com/office/excel/2006/main">
          <x14:cfRule type="containsText" priority="68104" operator="containsText" id="{E9E707C4-FE24-47AD-95B6-2FB2695B4D3D}">
            <xm:f>NOT(ISERROR(SEARCH(Apoio!$J$16,E85)))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105" operator="containsText" id="{C046971B-6E82-4D70-B1CA-AEE648F34D5D}">
            <xm:f>NOT(ISERROR(SEARCH(Apoio!$J$7,E85)))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112" operator="containsText" id="{72F31E75-05AD-4D07-8852-869A7992B511}">
            <xm:f>NOT(ISERROR(SEARCH(Apoio!$J$7,E85)))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54" operator="containsText" id="{2B22B5A5-A742-4C4B-9A5F-752136E2B7E9}">
            <xm:f>NOT(ISERROR(SEARCH(Apoio!$J$16,E85)))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E85</xm:sqref>
        </x14:conditionalFormatting>
        <x14:conditionalFormatting xmlns:xm="http://schemas.microsoft.com/office/excel/2006/main">
          <x14:cfRule type="containsText" priority="68080" operator="containsText" id="{30241D4E-AA23-43E5-9B57-157CE637485E}">
            <xm:f>NOT(ISERROR(SEARCH(Apoio!$J$16,E86)))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081" operator="containsText" id="{562C19EF-B36D-4032-9FE3-16A2DCDC100F}">
            <xm:f>NOT(ISERROR(SEARCH(Apoio!$J$7,E86)))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088" operator="containsText" id="{1F7A70E4-3486-44FA-B6C5-9FA5C1D0AE44}">
            <xm:f>NOT(ISERROR(SEARCH(Apoio!$J$7,E86)))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55" operator="containsText" id="{974EF5DD-F859-497A-A30B-1F2FFC7BA7B1}">
            <xm:f>NOT(ISERROR(SEARCH(Apoio!$J$16,E86)))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E86</xm:sqref>
        </x14:conditionalFormatting>
        <x14:conditionalFormatting xmlns:xm="http://schemas.microsoft.com/office/excel/2006/main">
          <x14:cfRule type="containsText" priority="68056" operator="containsText" id="{1CD96692-1293-4F82-9C6E-DCE9B741B252}">
            <xm:f>NOT(ISERROR(SEARCH(Apoio!$J$16,E87)))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057" operator="containsText" id="{D33646BF-8DC6-4901-8A84-7555EFDA3CD7}">
            <xm:f>NOT(ISERROR(SEARCH(Apoio!$J$7,E87)))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064" operator="containsText" id="{87509220-E765-4851-BE70-619CEA1A65F7}">
            <xm:f>NOT(ISERROR(SEARCH(Apoio!$J$7,E87)))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56" operator="containsText" id="{A00961A3-350D-4393-B3C1-693690B1E693}">
            <xm:f>NOT(ISERROR(SEARCH(Apoio!$J$16,E87)))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E87</xm:sqref>
        </x14:conditionalFormatting>
        <x14:conditionalFormatting xmlns:xm="http://schemas.microsoft.com/office/excel/2006/main">
          <x14:cfRule type="containsText" priority="68024" operator="containsText" id="{8ED17A87-D03C-446E-9838-E6DF9FB16A7E}">
            <xm:f>NOT(ISERROR(SEARCH(Apoio!$J$16,E88)))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025" operator="containsText" id="{22BE9B83-03F7-4D4A-8392-44313D47A3D4}">
            <xm:f>NOT(ISERROR(SEARCH(Apoio!$J$7,E88)))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032" operator="containsText" id="{CA8256DC-B1AF-4EAD-ABDC-CAFA46D6A1EF}">
            <xm:f>NOT(ISERROR(SEARCH(Apoio!$J$7,E88)))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57" operator="containsText" id="{8ECF5EDD-9BCD-4F72-B0F1-3527A34244AF}">
            <xm:f>NOT(ISERROR(SEARCH(Apoio!$J$16,E88)))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E88</xm:sqref>
        </x14:conditionalFormatting>
        <x14:conditionalFormatting xmlns:xm="http://schemas.microsoft.com/office/excel/2006/main">
          <x14:cfRule type="containsText" priority="68000" operator="containsText" id="{4DDF1125-5836-4755-9347-62D65E9C49E4}">
            <xm:f>NOT(ISERROR(SEARCH(Apoio!$J$16,E89)))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8001" operator="containsText" id="{A3D64173-2574-475A-8D5C-1722FEE5CFFA}">
            <xm:f>NOT(ISERROR(SEARCH(Apoio!$J$7,E89)))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8008" operator="containsText" id="{D2C5BB3D-B951-40E1-BD3E-27D60BD2F3EC}">
            <xm:f>NOT(ISERROR(SEARCH(Apoio!$J$7,E89)))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58" operator="containsText" id="{60FFFD7F-CA4D-4835-9000-97C887199147}">
            <xm:f>NOT(ISERROR(SEARCH(Apoio!$J$16,E89)))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E89</xm:sqref>
        </x14:conditionalFormatting>
        <x14:conditionalFormatting xmlns:xm="http://schemas.microsoft.com/office/excel/2006/main">
          <x14:cfRule type="containsText" priority="67976" operator="containsText" id="{402C7C21-BC35-4D36-B1C0-5556E034D9AC}">
            <xm:f>NOT(ISERROR(SEARCH(Apoio!$J$16,E90)))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977" operator="containsText" id="{E14A4725-096E-40C2-ADF6-F1D39F875B8D}">
            <xm:f>NOT(ISERROR(SEARCH(Apoio!$J$7,E90)))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984" operator="containsText" id="{2A543ADD-23F7-4FCA-96CC-DACC37185867}">
            <xm:f>NOT(ISERROR(SEARCH(Apoio!$J$7,E90)))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59" operator="containsText" id="{CCF0B5FB-9703-4294-96E1-BD7301CB26F7}">
            <xm:f>NOT(ISERROR(SEARCH(Apoio!$J$16,E90)))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E90</xm:sqref>
        </x14:conditionalFormatting>
        <x14:conditionalFormatting xmlns:xm="http://schemas.microsoft.com/office/excel/2006/main">
          <x14:cfRule type="containsText" priority="67952" operator="containsText" id="{02DF9ABA-69F6-4FEA-AE91-2EB912DDD860}">
            <xm:f>NOT(ISERROR(SEARCH(Apoio!$J$16,E91)))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953" operator="containsText" id="{E7640D26-A07B-4875-99CE-D69CC27E21B8}">
            <xm:f>NOT(ISERROR(SEARCH(Apoio!$J$7,E91)))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960" operator="containsText" id="{A4B469EF-22B1-4C85-B9D1-CFF674D627CA}">
            <xm:f>NOT(ISERROR(SEARCH(Apoio!$J$7,E91)))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60" operator="containsText" id="{1A4FF36B-A570-4931-80ED-3B785E1962C6}">
            <xm:f>NOT(ISERROR(SEARCH(Apoio!$J$16,E91)))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E91</xm:sqref>
        </x14:conditionalFormatting>
        <x14:conditionalFormatting xmlns:xm="http://schemas.microsoft.com/office/excel/2006/main">
          <x14:cfRule type="containsText" priority="67904" operator="containsText" id="{78EC3727-7BAB-4D47-B545-1985A7D196A0}">
            <xm:f>NOT(ISERROR(SEARCH(Apoio!$J$16,E93)))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905" operator="containsText" id="{4AFF3AB8-1F01-4332-9C1E-04E6116859B5}">
            <xm:f>NOT(ISERROR(SEARCH(Apoio!$J$7,E93)))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912" operator="containsText" id="{DAC892EF-BD9A-462D-A1FA-D53996393A46}">
            <xm:f>NOT(ISERROR(SEARCH(Apoio!$J$7,E93)))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62" operator="containsText" id="{15C96E60-ED50-498C-A77E-826B47F0820F}">
            <xm:f>NOT(ISERROR(SEARCH(Apoio!$J$16,E93)))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E93</xm:sqref>
        </x14:conditionalFormatting>
        <x14:conditionalFormatting xmlns:xm="http://schemas.microsoft.com/office/excel/2006/main">
          <x14:cfRule type="containsText" priority="67880" operator="containsText" id="{2AFF9D18-DE12-4F36-AEC3-3CFD36BDC9D0}">
            <xm:f>NOT(ISERROR(SEARCH(Apoio!$J$16,E94)))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881" operator="containsText" id="{5BB35A9C-8768-40C3-A1AC-98B357839CD8}">
            <xm:f>NOT(ISERROR(SEARCH(Apoio!$J$7,E94)))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888" operator="containsText" id="{099BBB70-0DEA-440B-ADF1-F634ECB9792F}">
            <xm:f>NOT(ISERROR(SEARCH(Apoio!$J$7,E94)))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63" operator="containsText" id="{40758E61-3DDA-419A-9124-6E77CE85B9B5}">
            <xm:f>NOT(ISERROR(SEARCH(Apoio!$J$16,E94)))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E94</xm:sqref>
        </x14:conditionalFormatting>
        <x14:conditionalFormatting xmlns:xm="http://schemas.microsoft.com/office/excel/2006/main">
          <x14:cfRule type="containsText" priority="67856" operator="containsText" id="{95AE8A19-834D-4E31-8AC1-39C62750BFBF}">
            <xm:f>NOT(ISERROR(SEARCH(Apoio!$J$16,E95)))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857" operator="containsText" id="{0247DD3F-B36B-42F6-8811-F2CD5CE43784}">
            <xm:f>NOT(ISERROR(SEARCH(Apoio!$J$7,E95)))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864" operator="containsText" id="{35FDBF28-5FBA-4FBE-A2A6-E94D31F41506}">
            <xm:f>NOT(ISERROR(SEARCH(Apoio!$J$7,E95)))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64" operator="containsText" id="{CA0C33F6-2425-4008-93FD-93605706BB7A}">
            <xm:f>NOT(ISERROR(SEARCH(Apoio!$J$16,E95)))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E95</xm:sqref>
        </x14:conditionalFormatting>
        <x14:conditionalFormatting xmlns:xm="http://schemas.microsoft.com/office/excel/2006/main">
          <x14:cfRule type="containsText" priority="67832" operator="containsText" id="{8AD9D8E3-1841-4878-9BD0-C9A512B73289}">
            <xm:f>NOT(ISERROR(SEARCH(Apoio!$J$16,E96)))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833" operator="containsText" id="{C45740B8-E684-4D9D-9AB0-8BEF26BD17F5}">
            <xm:f>NOT(ISERROR(SEARCH(Apoio!$J$7,E96)))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840" operator="containsText" id="{30E0FE03-4BD6-4E3E-9375-47F18E6B5EBB}">
            <xm:f>NOT(ISERROR(SEARCH(Apoio!$J$7,E96)))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65" operator="containsText" id="{A0F459F6-B610-462C-84FA-DC9D6D79DE89}">
            <xm:f>NOT(ISERROR(SEARCH(Apoio!$J$16,E96)))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E96</xm:sqref>
        </x14:conditionalFormatting>
        <x14:conditionalFormatting xmlns:xm="http://schemas.microsoft.com/office/excel/2006/main">
          <x14:cfRule type="containsText" priority="67808" operator="containsText" id="{51E8816B-3E94-4E38-AA3F-73318AFE98E7}">
            <xm:f>NOT(ISERROR(SEARCH(Apoio!$J$16,E97)))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809" operator="containsText" id="{4429884D-7DB1-4F71-8531-851FD41019B2}">
            <xm:f>NOT(ISERROR(SEARCH(Apoio!$J$7,E97)))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816" operator="containsText" id="{61197CC9-C452-4F8B-9336-E7375C258D27}">
            <xm:f>NOT(ISERROR(SEARCH(Apoio!$J$7,E97)))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66" operator="containsText" id="{5B2D58E7-5A3F-4104-85A9-0951772AC8D4}">
            <xm:f>NOT(ISERROR(SEARCH(Apoio!$J$16,E97)))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E97</xm:sqref>
        </x14:conditionalFormatting>
        <x14:conditionalFormatting xmlns:xm="http://schemas.microsoft.com/office/excel/2006/main">
          <x14:cfRule type="containsText" priority="67784" operator="containsText" id="{B83F3BF0-8585-48F0-8558-318073D26B7D}">
            <xm:f>NOT(ISERROR(SEARCH(Apoio!$J$16,E99)))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785" operator="containsText" id="{22C76431-3EB1-4C86-9D80-6811A53B2B42}">
            <xm:f>NOT(ISERROR(SEARCH(Apoio!$J$7,E99)))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792" operator="containsText" id="{D6247EB2-E5F1-40E8-A0E0-438FB9E33C96}">
            <xm:f>NOT(ISERROR(SEARCH(Apoio!$J$7,E99)))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67" operator="containsText" id="{8A8007F4-4415-49CF-ACDE-7E79F934E3F4}">
            <xm:f>NOT(ISERROR(SEARCH(Apoio!$J$16,E99)))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E99</xm:sqref>
        </x14:conditionalFormatting>
        <x14:conditionalFormatting xmlns:xm="http://schemas.microsoft.com/office/excel/2006/main">
          <x14:cfRule type="containsText" priority="67760" operator="containsText" id="{C7443C4E-E747-433A-B79B-D2641731203F}">
            <xm:f>NOT(ISERROR(SEARCH(Apoio!$J$16,E100)))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761" operator="containsText" id="{E3D638E8-0BF2-42FB-8B57-C5470C281520}">
            <xm:f>NOT(ISERROR(SEARCH(Apoio!$J$7,E100)))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768" operator="containsText" id="{E47E8938-E4D4-4B13-B9C5-38F8EF7F7FD1}">
            <xm:f>NOT(ISERROR(SEARCH(Apoio!$J$7,E100)))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68" operator="containsText" id="{A9F522A2-6139-4A8A-8074-220D0BCA2902}">
            <xm:f>NOT(ISERROR(SEARCH(Apoio!$J$16,E100)))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E100</xm:sqref>
        </x14:conditionalFormatting>
        <x14:conditionalFormatting xmlns:xm="http://schemas.microsoft.com/office/excel/2006/main">
          <x14:cfRule type="containsText" priority="67736" operator="containsText" id="{09D1204E-EE51-43A3-89CD-2CB15CB8A3F2}">
            <xm:f>NOT(ISERROR(SEARCH(Apoio!$J$16,E101)))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737" operator="containsText" id="{5C5CF177-1E8B-46C5-9D6A-233256C019E3}">
            <xm:f>NOT(ISERROR(SEARCH(Apoio!$J$7,E101)))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744" operator="containsText" id="{23AF130B-4F41-4650-92D6-A7F6D43A62FF}">
            <xm:f>NOT(ISERROR(SEARCH(Apoio!$J$7,E101)))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69" operator="containsText" id="{11AEC38C-62D1-4B13-BBCF-3A3362CE5A11}">
            <xm:f>NOT(ISERROR(SEARCH(Apoio!$J$16,E101)))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E101:E102</xm:sqref>
        </x14:conditionalFormatting>
        <x14:conditionalFormatting xmlns:xm="http://schemas.microsoft.com/office/excel/2006/main">
          <x14:cfRule type="containsText" priority="67712" operator="containsText" id="{728FFADF-C9D1-4F6B-B930-EC7077F250E0}">
            <xm:f>NOT(ISERROR(SEARCH(Apoio!$J$16,E103)))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713" operator="containsText" id="{58348855-2708-4D3E-BEB5-5CEFB10DA60C}">
            <xm:f>NOT(ISERROR(SEARCH(Apoio!$J$7,E103)))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720" operator="containsText" id="{0AF7A22D-28B4-4671-BB8F-6405C2394607}">
            <xm:f>NOT(ISERROR(SEARCH(Apoio!$J$7,E103)))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70" operator="containsText" id="{FED98CD4-4334-4E4E-8BE5-A481E6CF06DA}">
            <xm:f>NOT(ISERROR(SEARCH(Apoio!$J$16,E103)))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E103</xm:sqref>
        </x14:conditionalFormatting>
        <x14:conditionalFormatting xmlns:xm="http://schemas.microsoft.com/office/excel/2006/main">
          <x14:cfRule type="containsText" priority="67592" operator="containsText" id="{1618B238-F2EF-445D-918C-585E326F79E2}">
            <xm:f>NOT(ISERROR(SEARCH(Apoio!$J$16,E108)))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593" operator="containsText" id="{310C25B5-F90B-46D9-B1A4-240785376F78}">
            <xm:f>NOT(ISERROR(SEARCH(Apoio!$J$7,E108)))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600" operator="containsText" id="{151C01DA-0AFF-438C-AE6A-FCCC5C6DF0BC}">
            <xm:f>NOT(ISERROR(SEARCH(Apoio!$J$7,E108)))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71" operator="containsText" id="{D0ECE632-5766-4D10-A5B6-AFB6D49F4A46}">
            <xm:f>NOT(ISERROR(SEARCH(Apoio!$J$16,E108)))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E108</xm:sqref>
        </x14:conditionalFormatting>
        <x14:conditionalFormatting xmlns:xm="http://schemas.microsoft.com/office/excel/2006/main">
          <x14:cfRule type="containsText" priority="67664" operator="containsText" id="{66DF3F54-932C-45DB-B19D-16F5860A4134}">
            <xm:f>NOT(ISERROR(SEARCH(Apoio!$J$16,E104)))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665" operator="containsText" id="{5B96834C-AC87-4084-9D72-697DB9591B3A}">
            <xm:f>NOT(ISERROR(SEARCH(Apoio!$J$7,E104)))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672" operator="containsText" id="{070096D5-FEFF-48E8-A365-0A45AB77ABCD}">
            <xm:f>NOT(ISERROR(SEARCH(Apoio!$J$7,E104)))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72" operator="containsText" id="{41229754-E29D-4CF4-8CB2-53212A3BCD26}">
            <xm:f>NOT(ISERROR(SEARCH(Apoio!$J$16,E104)))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E104</xm:sqref>
        </x14:conditionalFormatting>
        <x14:conditionalFormatting xmlns:xm="http://schemas.microsoft.com/office/excel/2006/main">
          <x14:cfRule type="containsText" priority="67640" operator="containsText" id="{AB1C980F-DB88-41BB-81E1-0433A463B7FD}">
            <xm:f>NOT(ISERROR(SEARCH(Apoio!$J$16,E106)))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641" operator="containsText" id="{29E29D5F-FED1-485E-AB20-B1D3FAF869AA}">
            <xm:f>NOT(ISERROR(SEARCH(Apoio!$J$7,E106)))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648" operator="containsText" id="{E76DB398-909E-4B87-88CD-2D233D388B8F}">
            <xm:f>NOT(ISERROR(SEARCH(Apoio!$J$7,E106)))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73" operator="containsText" id="{72037D69-17B4-41F3-B5DC-7E7DB9E0A701}">
            <xm:f>NOT(ISERROR(SEARCH(Apoio!$J$16,E106)))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E106</xm:sqref>
        </x14:conditionalFormatting>
        <x14:conditionalFormatting xmlns:xm="http://schemas.microsoft.com/office/excel/2006/main">
          <x14:cfRule type="containsText" priority="67616" operator="containsText" id="{6A3618D7-BD50-4F03-A70A-BC829C0D34BD}">
            <xm:f>NOT(ISERROR(SEARCH(Apoio!$J$16,E107)))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617" operator="containsText" id="{74FFAF3B-E1BA-4AA2-A8AA-FE5AD2FE1213}">
            <xm:f>NOT(ISERROR(SEARCH(Apoio!$J$7,E107)))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624" operator="containsText" id="{280A8FA5-0CEB-4A9E-8807-F285BBBD4C7E}">
            <xm:f>NOT(ISERROR(SEARCH(Apoio!$J$7,E107)))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74" operator="containsText" id="{9D3CCC40-2536-4EED-B1AC-D60DEC9F68DA}">
            <xm:f>NOT(ISERROR(SEARCH(Apoio!$J$16,E107)))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containsText" priority="67544" operator="containsText" id="{1FED5349-22EB-4B68-8A02-BA884A03EA4C}">
            <xm:f>NOT(ISERROR(SEARCH(Apoio!$J$16,E110)))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545" operator="containsText" id="{93130C09-ECC4-465A-B96B-262CC9747FE3}">
            <xm:f>NOT(ISERROR(SEARCH(Apoio!$J$7,E110)))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552" operator="containsText" id="{44711089-B688-414D-9545-4BD4BF405986}">
            <xm:f>NOT(ISERROR(SEARCH(Apoio!$J$7,E110)))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76" operator="containsText" id="{CA0AE9EC-88DA-41F4-B1E5-458A4FB311DC}">
            <xm:f>NOT(ISERROR(SEARCH(Apoio!$J$16,E110)))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E110</xm:sqref>
        </x14:conditionalFormatting>
        <x14:conditionalFormatting xmlns:xm="http://schemas.microsoft.com/office/excel/2006/main">
          <x14:cfRule type="containsText" priority="67520" operator="containsText" id="{2FA771F3-0A8B-43A6-873C-7F44047F1998}">
            <xm:f>NOT(ISERROR(SEARCH(Apoio!$J$16,E111)))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521" operator="containsText" id="{9FEB3C39-F66F-4B23-8C74-2A590C9B64AF}">
            <xm:f>NOT(ISERROR(SEARCH(Apoio!$J$7,E111)))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528" operator="containsText" id="{27926FE3-A401-4020-9688-58C65B32A515}">
            <xm:f>NOT(ISERROR(SEARCH(Apoio!$J$7,E111)))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77" operator="containsText" id="{FB4A868B-B12F-4B45-914B-A79B69034EA5}">
            <xm:f>NOT(ISERROR(SEARCH(Apoio!$J$16,E111)))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E111</xm:sqref>
        </x14:conditionalFormatting>
        <x14:conditionalFormatting xmlns:xm="http://schemas.microsoft.com/office/excel/2006/main">
          <x14:cfRule type="containsText" priority="67496" operator="containsText" id="{0A735F15-097F-43D7-B1D8-C9B8ABB1192C}">
            <xm:f>NOT(ISERROR(SEARCH(Apoio!$J$16,E112)))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497" operator="containsText" id="{3D8C0CA0-9D3A-4AF1-8529-87E3061BFB1C}">
            <xm:f>NOT(ISERROR(SEARCH(Apoio!$J$7,E112)))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504" operator="containsText" id="{E91757F5-5DB5-43BB-A894-160DFF35E71F}">
            <xm:f>NOT(ISERROR(SEARCH(Apoio!$J$7,E112)))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78" operator="containsText" id="{AC4D30F2-09B3-4B92-88FD-3E4BDDBB816B}">
            <xm:f>NOT(ISERROR(SEARCH(Apoio!$J$16,E112)))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E112</xm:sqref>
        </x14:conditionalFormatting>
        <x14:conditionalFormatting xmlns:xm="http://schemas.microsoft.com/office/excel/2006/main">
          <x14:cfRule type="containsText" priority="67472" operator="containsText" id="{4878976B-AEB9-42AE-9C45-B56A9701864F}">
            <xm:f>NOT(ISERROR(SEARCH(Apoio!$J$16,E114)))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473" operator="containsText" id="{7AAF371B-6817-473B-A162-FE0675B8EC0A}">
            <xm:f>NOT(ISERROR(SEARCH(Apoio!$J$7,E114)))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480" operator="containsText" id="{88DF99E6-47B2-44B1-BCC3-BA9BFCD02B41}">
            <xm:f>NOT(ISERROR(SEARCH(Apoio!$J$7,E114)))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79" operator="containsText" id="{421389E5-C843-4B58-9F7D-E970B37C3038}">
            <xm:f>NOT(ISERROR(SEARCH(Apoio!$J$16,E114)))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E114:E115</xm:sqref>
        </x14:conditionalFormatting>
        <x14:conditionalFormatting xmlns:xm="http://schemas.microsoft.com/office/excel/2006/main">
          <x14:cfRule type="containsText" priority="67448" operator="containsText" id="{DE45701B-E17C-43F8-9358-F4F74352B2D2}">
            <xm:f>NOT(ISERROR(SEARCH(Apoio!$J$16,E116)))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7449" operator="containsText" id="{5F1762E9-C7ED-483B-91D0-56FDAD042662}">
            <xm:f>NOT(ISERROR(SEARCH(Apoio!$J$7,E116)))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7456" operator="containsText" id="{4D8D6CC2-95C5-447A-B124-D4A512122F4B}">
            <xm:f>NOT(ISERROR(SEARCH(Apoio!$J$7,E116)))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80" operator="containsText" id="{4DBC38DF-AB92-4F21-AC63-EE1F453E2311}">
            <xm:f>NOT(ISERROR(SEARCH(Apoio!$J$16,E116)))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E116</xm:sqref>
        </x14:conditionalFormatting>
        <x14:conditionalFormatting xmlns:xm="http://schemas.microsoft.com/office/excel/2006/main">
          <x14:cfRule type="containsText" priority="64900" operator="containsText" id="{42A11258-FD3C-4F6F-B3ED-F752EB4E8958}">
            <xm:f>NOT(ISERROR(SEARCH(Apoio!$J$16,E118)))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4901" operator="containsText" id="{7845EAB7-B5C0-4D1C-90B7-2EEA116759B3}">
            <xm:f>NOT(ISERROR(SEARCH(Apoio!$J$7,E118)))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4908" operator="containsText" id="{A4F510E1-8ECA-4101-ACD1-0F0B882C26F7}">
            <xm:f>NOT(ISERROR(SEARCH(Apoio!$J$7,E118)))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82" operator="containsText" id="{25F20054-5C75-497E-BE3B-D73C3ECD2A80}">
            <xm:f>NOT(ISERROR(SEARCH(Apoio!$J$16,E118)))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E118</xm:sqref>
        </x14:conditionalFormatting>
        <x14:conditionalFormatting xmlns:xm="http://schemas.microsoft.com/office/excel/2006/main">
          <x14:cfRule type="containsText" priority="64708" operator="containsText" id="{45C54661-3DD1-4EB9-B7C1-0CC6AF471EA9}">
            <xm:f>NOT(ISERROR(SEARCH(Apoio!$J$16,E69)))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4709" operator="containsText" id="{59A6A23A-A226-4414-9B90-5F339F8C555B}">
            <xm:f>NOT(ISERROR(SEARCH(Apoio!$J$7,E69)))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4716" operator="containsText" id="{21DB9420-E558-46F4-B750-66D79609452F}">
            <xm:f>NOT(ISERROR(SEARCH(Apoio!$J$7,E69)))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83" operator="containsText" id="{8D22C407-E9FF-4C5B-BFC4-05FEF02AA488}">
            <xm:f>NOT(ISERROR(SEARCH(Apoio!$J$16,E69)))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E69:E70</xm:sqref>
        </x14:conditionalFormatting>
        <x14:conditionalFormatting xmlns:xm="http://schemas.microsoft.com/office/excel/2006/main">
          <x14:cfRule type="containsText" priority="64684" operator="containsText" id="{CFC06CD9-BB03-4A32-8450-95EDD9022AF7}">
            <xm:f>NOT(ISERROR(SEARCH(Apoio!$J$16,E71)))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4685" operator="containsText" id="{1622BDB9-AACF-4D70-A702-2EDDC83728FF}">
            <xm:f>NOT(ISERROR(SEARCH(Apoio!$J$7,E71)))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4692" operator="containsText" id="{BB95C804-9627-44AD-B22D-B82AFB258C64}">
            <xm:f>NOT(ISERROR(SEARCH(Apoio!$J$7,E71)))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84" operator="containsText" id="{B031D664-A08C-423F-A393-BBAF4242A606}">
            <xm:f>NOT(ISERROR(SEARCH(Apoio!$J$16,E71)))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E71</xm:sqref>
        </x14:conditionalFormatting>
        <x14:conditionalFormatting xmlns:xm="http://schemas.microsoft.com/office/excel/2006/main">
          <x14:cfRule type="containsText" priority="59400" operator="containsText" id="{CC024E75-7C0E-4297-B037-27D013BB1304}">
            <xm:f>NOT(ISERROR(SEARCH(Apoio!$J$16,E119)))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59401" operator="containsText" id="{286A024A-F549-4C42-8900-C51284523831}">
            <xm:f>NOT(ISERROR(SEARCH(Apoio!$J$7,E119)))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9408" operator="containsText" id="{70C516C3-C481-449E-A895-BDCF104EC5EF}">
            <xm:f>NOT(ISERROR(SEARCH(Apoio!$J$7,E119)))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8585" operator="containsText" id="{BB9C3123-9B64-4517-A2FD-207510E8A285}">
            <xm:f>NOT(ISERROR(SEARCH(Apoio!$J$16,E119)))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E119</xm:sqref>
        </x14:conditionalFormatting>
        <x14:conditionalFormatting xmlns:xm="http://schemas.microsoft.com/office/excel/2006/main">
          <x14:cfRule type="containsText" priority="56916" operator="containsText" id="{54851A51-4257-41F1-9AB8-8E824C8F0C38}">
            <xm:f>NOT(ISERROR(SEARCH(Apoio!$J$16,E121)))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56917" operator="containsText" id="{F43EC3CB-0D7A-46B2-8FC2-FD9E7B4C864B}">
            <xm:f>NOT(ISERROR(SEARCH(Apoio!$J$7,E121)))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6918" operator="containsText" id="{D7FD6B5E-7168-4BD1-99D1-BD4D91CD1063}">
            <xm:f>NOT(ISERROR(SEARCH(Apoio!$J$16,E121)))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56919" operator="containsText" id="{43F886C4-030B-4114-BDDB-37F5F97A7CCB}">
            <xm:f>NOT(ISERROR(SEARCH(Apoio!$J$7,E121)))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E121 E242:E252 E228:E239 E347:E351 E316:E327 E359 E330:E344 E441:E450 E362:E372 E383:E437 E454:E1252</xm:sqref>
        </x14:conditionalFormatting>
        <x14:conditionalFormatting xmlns:xm="http://schemas.microsoft.com/office/excel/2006/main">
          <x14:cfRule type="containsText" priority="51386" operator="containsText" id="{EF5B5E83-2451-4583-95B5-F1E65E51059B}">
            <xm:f>NOT(ISERROR(SEARCH(Apoio!$J$16,E98)))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51387" operator="containsText" id="{0E84EA63-B92B-4E19-9FE8-C0A1DA711CC3}">
            <xm:f>NOT(ISERROR(SEARCH(Apoio!$J$7,E98)))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1388" operator="containsText" id="{E302F192-E3F1-4E33-9873-17DE25EBB642}">
            <xm:f>NOT(ISERROR(SEARCH(Apoio!$J$16,E98)))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51389" operator="containsText" id="{E4F91282-BB43-4BBD-BC36-DDD517D9EE43}">
            <xm:f>NOT(ISERROR(SEARCH(Apoio!$J$7,E98)))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E98</xm:sqref>
        </x14:conditionalFormatting>
        <x14:conditionalFormatting xmlns:xm="http://schemas.microsoft.com/office/excel/2006/main">
          <x14:cfRule type="containsText" priority="28432" operator="containsText" id="{A73E81F3-3FE5-4413-84D2-828389C96C66}">
            <xm:f>NOT(ISERROR(SEARCH(Apoio!$J$16,E146)))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8433" operator="containsText" id="{2499230F-1316-4AAF-B861-83BCB2D7B211}">
            <xm:f>NOT(ISERROR(SEARCH(Apoio!$J$7,E146)))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8434" operator="containsText" id="{AE79595E-0A18-4C98-89A2-3D278874831B}">
            <xm:f>NOT(ISERROR(SEARCH(Apoio!$J$16,E146)))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8435" operator="containsText" id="{38A3A0E5-771D-44DE-8B48-FE9F6FFF3931}">
            <xm:f>NOT(ISERROR(SEARCH(Apoio!$J$7,E146)))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E146</xm:sqref>
        </x14:conditionalFormatting>
        <x14:conditionalFormatting xmlns:xm="http://schemas.microsoft.com/office/excel/2006/main">
          <x14:cfRule type="containsText" priority="27410" operator="containsText" id="{492C90FF-AE33-4653-A35B-ED9832E74EFC}">
            <xm:f>NOT(ISERROR(SEARCH(Apoio!$J$16,E149)))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7411" operator="containsText" id="{AF00038E-85C8-4945-9366-B74F3FA7E4E3}">
            <xm:f>NOT(ISERROR(SEARCH(Apoio!$J$7,E149)))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7412" operator="containsText" id="{3D354CA2-92C2-4644-9F6B-22A4B7EE236A}">
            <xm:f>NOT(ISERROR(SEARCH(Apoio!$J$16,E149)))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7413" operator="containsText" id="{E1F3BCFF-DB30-4BCE-8FD6-56DF2E6C8251}">
            <xm:f>NOT(ISERROR(SEARCH(Apoio!$J$7,E149)))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E149:E150</xm:sqref>
        </x14:conditionalFormatting>
        <x14:conditionalFormatting xmlns:xm="http://schemas.microsoft.com/office/excel/2006/main">
          <x14:cfRule type="containsText" priority="27116" operator="containsText" id="{D216674D-9AC2-496C-8C8F-FC28424C04F9}">
            <xm:f>NOT(ISERROR(SEARCH(Apoio!$J$16,E153)))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7117" operator="containsText" id="{B7A1599B-5BDC-460D-A888-5C9AE4F68952}">
            <xm:f>NOT(ISERROR(SEARCH(Apoio!$J$7,E153)))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7118" operator="containsText" id="{F067706E-C7D1-465F-AC47-922B460A4335}">
            <xm:f>NOT(ISERROR(SEARCH(Apoio!$J$16,E153)))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7119" operator="containsText" id="{DA807BD8-B18C-4A57-A0D9-6F72C87F7A72}">
            <xm:f>NOT(ISERROR(SEARCH(Apoio!$J$7,E153)))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E153</xm:sqref>
        </x14:conditionalFormatting>
        <x14:conditionalFormatting xmlns:xm="http://schemas.microsoft.com/office/excel/2006/main">
          <x14:cfRule type="containsText" priority="26948" operator="containsText" id="{039E7F28-E203-4473-BD8A-4D543AB62655}">
            <xm:f>NOT(ISERROR(SEARCH(Apoio!$J$16,E157)))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949" operator="containsText" id="{DF3BC758-1846-4B92-986E-689AA43F1C24}">
            <xm:f>NOT(ISERROR(SEARCH(Apoio!$J$7,E157)))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950" operator="containsText" id="{89D75DC3-BEF2-46AC-8DCD-4C7E597B3382}">
            <xm:f>NOT(ISERROR(SEARCH(Apoio!$J$16,E157)))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951" operator="containsText" id="{98110AE9-9D48-4B73-A4D1-A02FC8095430}">
            <xm:f>NOT(ISERROR(SEARCH(Apoio!$J$7,E157)))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E157</xm:sqref>
        </x14:conditionalFormatting>
        <x14:conditionalFormatting xmlns:xm="http://schemas.microsoft.com/office/excel/2006/main">
          <x14:cfRule type="containsText" priority="26934" operator="containsText" id="{80B7BAB3-8B84-490C-8FD8-C889A5B297F2}">
            <xm:f>NOT(ISERROR(SEARCH(Apoio!$J$16,E158)))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935" operator="containsText" id="{CAD0D7B9-9FBA-40D0-A4EF-8A1F89C7C083}">
            <xm:f>NOT(ISERROR(SEARCH(Apoio!$J$7,E158)))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936" operator="containsText" id="{10CC3E3D-7F3C-47CF-90C9-82CA0B2B7409}">
            <xm:f>NOT(ISERROR(SEARCH(Apoio!$J$16,E158)))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937" operator="containsText" id="{32337E9F-F10B-49A8-8E4F-09CCC0A7DED9}">
            <xm:f>NOT(ISERROR(SEARCH(Apoio!$J$7,E158)))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E158</xm:sqref>
        </x14:conditionalFormatting>
        <x14:conditionalFormatting xmlns:xm="http://schemas.microsoft.com/office/excel/2006/main">
          <x14:cfRule type="containsText" priority="26920" operator="containsText" id="{456E887C-5D1A-40EF-9680-2BDC011D4C5D}">
            <xm:f>NOT(ISERROR(SEARCH(Apoio!$J$16,E158)))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921" operator="containsText" id="{7F4576AA-2188-47E3-B00F-F7530F5911B1}">
            <xm:f>NOT(ISERROR(SEARCH(Apoio!$J$7,E158)))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922" operator="containsText" id="{5B50F879-0570-4074-AB10-FAD30CD7399E}">
            <xm:f>NOT(ISERROR(SEARCH(Apoio!$J$16,E158)))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923" operator="containsText" id="{CE05F19D-C7AE-4690-ADE3-2BEAE6DF98C9}">
            <xm:f>NOT(ISERROR(SEARCH(Apoio!$J$7,E158)))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E158</xm:sqref>
        </x14:conditionalFormatting>
        <x14:conditionalFormatting xmlns:xm="http://schemas.microsoft.com/office/excel/2006/main">
          <x14:cfRule type="containsText" priority="26778" operator="containsText" id="{58988820-4A9D-4EF6-8DCF-E5CAB7284E6A}">
            <xm:f>NOT(ISERROR(SEARCH(Apoio!$J$16,E162)))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779" operator="containsText" id="{E57972E5-3254-4F77-9696-76909F7A6A5D}">
            <xm:f>NOT(ISERROR(SEARCH(Apoio!$J$7,E162)))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780" operator="containsText" id="{6D7B050B-BC55-4DB4-BBD1-07BDFFFC1087}">
            <xm:f>NOT(ISERROR(SEARCH(Apoio!$J$16,E162)))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781" operator="containsText" id="{56BA8B34-01C1-4977-AE8E-BF50C7C7AFD9}">
            <xm:f>NOT(ISERROR(SEARCH(Apoio!$J$7,E162)))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E162</xm:sqref>
        </x14:conditionalFormatting>
        <x14:conditionalFormatting xmlns:xm="http://schemas.microsoft.com/office/excel/2006/main">
          <x14:cfRule type="containsText" priority="26734" operator="containsText" id="{C75ACE39-32ED-4A0D-B4B6-FF3BE48A910D}">
            <xm:f>NOT(ISERROR(SEARCH(Apoio!$J$16,E164)))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735" operator="containsText" id="{3780606E-4A88-4C33-B804-23125EB9278A}">
            <xm:f>NOT(ISERROR(SEARCH(Apoio!$J$7,E164)))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736" operator="containsText" id="{60E68500-9C93-4567-AF26-ED5A329716A4}">
            <xm:f>NOT(ISERROR(SEARCH(Apoio!$J$16,E164)))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737" operator="containsText" id="{51F07C94-B037-4380-A8F1-37FDEA5C99CE}">
            <xm:f>NOT(ISERROR(SEARCH(Apoio!$J$7,E164)))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E164</xm:sqref>
        </x14:conditionalFormatting>
        <x14:conditionalFormatting xmlns:xm="http://schemas.microsoft.com/office/excel/2006/main">
          <x14:cfRule type="containsText" priority="26646" operator="containsText" id="{91B4400A-6BA8-4E10-A398-8C0E392DF545}">
            <xm:f>NOT(ISERROR(SEARCH(Apoio!$J$16,E177)))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647" operator="containsText" id="{64187664-4707-400A-9B9E-637AC52349E3}">
            <xm:f>NOT(ISERROR(SEARCH(Apoio!$J$7,E177)))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648" operator="containsText" id="{F2478B45-E0C1-4721-A8B2-E85D01D6B1C5}">
            <xm:f>NOT(ISERROR(SEARCH(Apoio!$J$16,E177)))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649" operator="containsText" id="{ED9B1A86-0151-44BF-8521-8DB2BBC533DE}">
            <xm:f>NOT(ISERROR(SEARCH(Apoio!$J$7,E177)))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E177</xm:sqref>
        </x14:conditionalFormatting>
        <x14:conditionalFormatting xmlns:xm="http://schemas.microsoft.com/office/excel/2006/main">
          <x14:cfRule type="containsText" priority="26624" operator="containsText" id="{07C50F5B-ACB8-4637-9391-D1147ACFEAC6}">
            <xm:f>NOT(ISERROR(SEARCH(Apoio!$J$16,E188)))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625" operator="containsText" id="{FB351235-E15F-4187-9F7E-548075C11B7F}">
            <xm:f>NOT(ISERROR(SEARCH(Apoio!$J$7,E188)))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626" operator="containsText" id="{63B83EE8-0E2B-48E7-9AEA-05A5B425381C}">
            <xm:f>NOT(ISERROR(SEARCH(Apoio!$J$16,E188)))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627" operator="containsText" id="{9AB27A2C-F680-4830-BC02-B3DCBF122AFB}">
            <xm:f>NOT(ISERROR(SEARCH(Apoio!$J$7,E188)))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E188</xm:sqref>
        </x14:conditionalFormatting>
        <x14:conditionalFormatting xmlns:xm="http://schemas.microsoft.com/office/excel/2006/main">
          <x14:cfRule type="containsText" priority="26602" operator="containsText" id="{BAF38A9A-B69B-4EB5-9ED8-F0158DB97439}">
            <xm:f>NOT(ISERROR(SEARCH(Apoio!$J$16,E191)))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603" operator="containsText" id="{5EC1B6F8-501D-45F2-9452-49421D0F98A2}">
            <xm:f>NOT(ISERROR(SEARCH(Apoio!$J$7,E191)))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604" operator="containsText" id="{3BA230E2-52DD-4EF6-BC0F-450523C3768C}">
            <xm:f>NOT(ISERROR(SEARCH(Apoio!$J$16,E191)))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605" operator="containsText" id="{24683594-4402-490A-9D41-9C959E586881}">
            <xm:f>NOT(ISERROR(SEARCH(Apoio!$J$7,E191)))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E191</xm:sqref>
        </x14:conditionalFormatting>
        <x14:conditionalFormatting xmlns:xm="http://schemas.microsoft.com/office/excel/2006/main">
          <x14:cfRule type="containsText" priority="26562" operator="containsText" id="{B0C39C78-C7DD-42CE-9A73-86237FBF6FAC}">
            <xm:f>NOT(ISERROR(SEARCH(Apoio!$J$16,E196)))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563" operator="containsText" id="{9AD65881-7E92-4472-918C-4CF9B6A697FC}">
            <xm:f>NOT(ISERROR(SEARCH(Apoio!$J$7,E196)))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564" operator="containsText" id="{45C7ADF9-79F4-4F8F-8255-82230037CB34}">
            <xm:f>NOT(ISERROR(SEARCH(Apoio!$J$16,E196)))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565" operator="containsText" id="{273489A3-FDE3-4958-9B15-A95F8BB7091B}">
            <xm:f>NOT(ISERROR(SEARCH(Apoio!$J$7,E196)))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E196</xm:sqref>
        </x14:conditionalFormatting>
        <x14:conditionalFormatting xmlns:xm="http://schemas.microsoft.com/office/excel/2006/main">
          <x14:cfRule type="containsText" priority="26512" operator="containsText" id="{C51A1E41-9295-4C69-8724-940B4136A32C}">
            <xm:f>NOT(ISERROR(SEARCH(Apoio!$J$16,E201)))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513" operator="containsText" id="{0CF0B585-4331-4EA9-972A-0F38C229D3A3}">
            <xm:f>NOT(ISERROR(SEARCH(Apoio!$J$7,E201)))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514" operator="containsText" id="{51C53747-931A-479F-9A13-0A69BD5D579A}">
            <xm:f>NOT(ISERROR(SEARCH(Apoio!$J$16,E201)))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515" operator="containsText" id="{36609628-B9BC-45FC-B559-369D2DE340BC}">
            <xm:f>NOT(ISERROR(SEARCH(Apoio!$J$7,E201)))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402" operator="containsText" id="{22046D62-28F0-46CA-BF88-FE50CC7166D1}">
            <xm:f>NOT(ISERROR(SEARCH(Apoio!$J$16,E204)))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403" operator="containsText" id="{316C8457-2BC5-49D9-A5F6-FB294CD54D0B}">
            <xm:f>NOT(ISERROR(SEARCH(Apoio!$J$7,E204)))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404" operator="containsText" id="{5BC6A4EF-755A-490B-BF21-6C0DBFD3B380}">
            <xm:f>NOT(ISERROR(SEARCH(Apoio!$J$16,E204)))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405" operator="containsText" id="{BEDF1CC5-A197-443C-BA9C-5E3E57DFE708}">
            <xm:f>NOT(ISERROR(SEARCH(Apoio!$J$7,E204)))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E204</xm:sqref>
        </x14:conditionalFormatting>
        <x14:conditionalFormatting xmlns:xm="http://schemas.microsoft.com/office/excel/2006/main">
          <x14:cfRule type="containsText" priority="26380" operator="containsText" id="{A5F6F82B-20E3-4A2B-A2A5-4C2A69B3B947}">
            <xm:f>NOT(ISERROR(SEARCH(Apoio!$J$16,E205)))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381" operator="containsText" id="{18682355-3AD9-4BB8-9AB5-EA639EECADFF}">
            <xm:f>NOT(ISERROR(SEARCH(Apoio!$J$7,E205)))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382" operator="containsText" id="{965408DE-589F-4CAF-93D1-062116053FE2}">
            <xm:f>NOT(ISERROR(SEARCH(Apoio!$J$16,E205)))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383" operator="containsText" id="{F223DD5A-B620-4FAA-A86C-E1D4C53B9499}">
            <xm:f>NOT(ISERROR(SEARCH(Apoio!$J$7,E205)))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E205:E206</xm:sqref>
        </x14:conditionalFormatting>
        <x14:conditionalFormatting xmlns:xm="http://schemas.microsoft.com/office/excel/2006/main">
          <x14:cfRule type="containsText" priority="26358" operator="containsText" id="{DF1D1E6C-F61F-4156-AED8-29213749D1B4}">
            <xm:f>NOT(ISERROR(SEARCH(Apoio!$J$16,E207)))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359" operator="containsText" id="{DB57C6A7-AEEB-4CA9-97E8-C1A1B697DEE9}">
            <xm:f>NOT(ISERROR(SEARCH(Apoio!$J$7,E207)))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360" operator="containsText" id="{821E0BAC-B136-45CA-9B5A-54F0793866EE}">
            <xm:f>NOT(ISERROR(SEARCH(Apoio!$J$16,E207)))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361" operator="containsText" id="{BA107415-5D9A-46DB-AD2F-C40A1D1B8B37}">
            <xm:f>NOT(ISERROR(SEARCH(Apoio!$J$7,E207)))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E207:E212</xm:sqref>
        </x14:conditionalFormatting>
        <x14:conditionalFormatting xmlns:xm="http://schemas.microsoft.com/office/excel/2006/main">
          <x14:cfRule type="containsText" priority="26336" operator="containsText" id="{F41398BD-9D08-458C-BC4E-BD478674211B}">
            <xm:f>NOT(ISERROR(SEARCH(Apoio!$J$16,E222)))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337" operator="containsText" id="{069F8156-431D-4241-9329-63D4280D74FD}">
            <xm:f>NOT(ISERROR(SEARCH(Apoio!$J$7,E222)))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338" operator="containsText" id="{DAE9884D-5C9B-4B02-B312-8A0615322D62}">
            <xm:f>NOT(ISERROR(SEARCH(Apoio!$J$16,E222)))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339" operator="containsText" id="{7B43331A-8DD9-4AF8-8FAF-B9446A6BEE88}">
            <xm:f>NOT(ISERROR(SEARCH(Apoio!$J$7,E222)))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E222</xm:sqref>
        </x14:conditionalFormatting>
        <x14:conditionalFormatting xmlns:xm="http://schemas.microsoft.com/office/excel/2006/main">
          <x14:cfRule type="containsText" priority="26314" operator="containsText" id="{E57BA278-1F09-4F67-A715-512AF3DAA7BB}">
            <xm:f>NOT(ISERROR(SEARCH(Apoio!$J$16,E223)))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315" operator="containsText" id="{A43F7310-5838-4EB7-BD1C-4DA246DC4192}">
            <xm:f>NOT(ISERROR(SEARCH(Apoio!$J$7,E223)))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316" operator="containsText" id="{F61E730E-60FE-49E5-8AA8-031D0AFFF30D}">
            <xm:f>NOT(ISERROR(SEARCH(Apoio!$J$16,E223)))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317" operator="containsText" id="{C1F83E2D-3CAD-46E5-82B4-5DF35820ABE3}">
            <xm:f>NOT(ISERROR(SEARCH(Apoio!$J$7,E223)))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E223</xm:sqref>
        </x14:conditionalFormatting>
        <x14:conditionalFormatting xmlns:xm="http://schemas.microsoft.com/office/excel/2006/main">
          <x14:cfRule type="containsText" priority="26272" operator="containsText" id="{B2F8630B-C606-4024-8E15-19C161DB446B}">
            <xm:f>NOT(ISERROR(SEARCH(Apoio!$J$16,E227)))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273" operator="containsText" id="{A7E05CC5-857F-4847-AE95-90476F6C589A}">
            <xm:f>NOT(ISERROR(SEARCH(Apoio!$J$7,E227)))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274" operator="containsText" id="{A2A3B606-73E7-4D0A-AE4F-9DA771B6C333}">
            <xm:f>NOT(ISERROR(SEARCH(Apoio!$J$16,E227)))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275" operator="containsText" id="{0EBB68B2-AF74-48E7-A776-ACC561C3537C}">
            <xm:f>NOT(ISERROR(SEARCH(Apoio!$J$7,E227)))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E227</xm:sqref>
        </x14:conditionalFormatting>
        <x14:conditionalFormatting xmlns:xm="http://schemas.microsoft.com/office/excel/2006/main">
          <x14:cfRule type="containsText" priority="26264" operator="containsText" id="{3BE5D008-8163-44CE-8097-5960F9B87A2D}">
            <xm:f>NOT(ISERROR(SEARCH(Apoio!$J$16,E240)))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265" operator="containsText" id="{7231C95E-DDAE-4C9A-8169-AD5B88E7ADE8}">
            <xm:f>NOT(ISERROR(SEARCH(Apoio!$J$7,E240)))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266" operator="containsText" id="{E8EBB5E2-6E58-4D1F-B99F-6399242A7080}">
            <xm:f>NOT(ISERROR(SEARCH(Apoio!$J$16,E240)))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267" operator="containsText" id="{181425E8-8B3A-4B9E-8480-CCE3E31EB291}">
            <xm:f>NOT(ISERROR(SEARCH(Apoio!$J$7,E240)))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E240</xm:sqref>
        </x14:conditionalFormatting>
        <x14:conditionalFormatting xmlns:xm="http://schemas.microsoft.com/office/excel/2006/main">
          <x14:cfRule type="containsText" priority="26242" operator="containsText" id="{E3F2B761-1D2A-4DF3-AE7F-FC187BCA2D3A}">
            <xm:f>NOT(ISERROR(SEARCH(Apoio!$J$16,E241)))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243" operator="containsText" id="{CBD5DB59-8B12-4CEC-8373-BD7BCD7C61B6}">
            <xm:f>NOT(ISERROR(SEARCH(Apoio!$J$7,E241)))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244" operator="containsText" id="{A88548FE-EA9C-422A-888E-E0EC02FA027A}">
            <xm:f>NOT(ISERROR(SEARCH(Apoio!$J$16,E241)))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245" operator="containsText" id="{3FDB4E2F-0A9A-4116-9E63-317C80017564}">
            <xm:f>NOT(ISERROR(SEARCH(Apoio!$J$7,E241)))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E241</xm:sqref>
        </x14:conditionalFormatting>
        <x14:conditionalFormatting xmlns:xm="http://schemas.microsoft.com/office/excel/2006/main">
          <x14:cfRule type="containsText" priority="26220" operator="containsText" id="{F21B2F39-F654-4AD9-AF51-ABB6D22A3130}">
            <xm:f>NOT(ISERROR(SEARCH(Apoio!$J$16,E267)))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221" operator="containsText" id="{C1C6D3E3-D977-40F2-9ADB-445A276EAB12}">
            <xm:f>NOT(ISERROR(SEARCH(Apoio!$J$7,E267)))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222" operator="containsText" id="{6FE5ACC4-211F-4A77-8E5A-7E200462EF98}">
            <xm:f>NOT(ISERROR(SEARCH(Apoio!$J$16,E267)))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223" operator="containsText" id="{1163A2EB-AD54-48A0-934E-4345040FEC17}">
            <xm:f>NOT(ISERROR(SEARCH(Apoio!$J$7,E267)))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E267:E268</xm:sqref>
        </x14:conditionalFormatting>
        <x14:conditionalFormatting xmlns:xm="http://schemas.microsoft.com/office/excel/2006/main">
          <x14:cfRule type="containsText" priority="26182" operator="containsText" id="{3D52FFC0-E75A-47CA-A0F0-878AD91EAECB}">
            <xm:f>NOT(ISERROR(SEARCH(Apoio!$J$16,E329)))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183" operator="containsText" id="{6547A9C7-6D41-4870-AA2E-CA93FAA1AF3E}">
            <xm:f>NOT(ISERROR(SEARCH(Apoio!$J$7,E329)))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184" operator="containsText" id="{78AEE173-DED3-4621-8881-009C5D285AFB}">
            <xm:f>NOT(ISERROR(SEARCH(Apoio!$J$16,E329)))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185" operator="containsText" id="{D0C1D088-ECF4-45AD-8B6B-D49F72076181}">
            <xm:f>NOT(ISERROR(SEARCH(Apoio!$J$7,E329)))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E329</xm:sqref>
        </x14:conditionalFormatting>
        <x14:conditionalFormatting xmlns:xm="http://schemas.microsoft.com/office/excel/2006/main">
          <x14:cfRule type="containsText" priority="26178" operator="containsText" id="{8DF8D73C-B05B-4531-8EE0-6FBE86D33EFB}">
            <xm:f>NOT(ISERROR(SEARCH(Apoio!$J$16,E328)))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179" operator="containsText" id="{E7F8A721-6F9F-41DD-A9E9-58AF18A4D5F5}">
            <xm:f>NOT(ISERROR(SEARCH(Apoio!$J$7,E328)))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180" operator="containsText" id="{F272773D-9A69-448C-90E6-1A61921C019B}">
            <xm:f>NOT(ISERROR(SEARCH(Apoio!$J$16,E328)))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181" operator="containsText" id="{091BF685-A707-443D-A4F0-9191FAADF987}">
            <xm:f>NOT(ISERROR(SEARCH(Apoio!$J$7,E328)))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6140" operator="containsText" id="{32FEE9F0-30E9-46F0-8835-B8AB973B81C4}">
            <xm:f>NOT(ISERROR(SEARCH(Apoio!$J$16,E346)))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141" operator="containsText" id="{C7ADACDD-5012-4E60-A46B-1717CCC62067}">
            <xm:f>NOT(ISERROR(SEARCH(Apoio!$J$7,E346)))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142" operator="containsText" id="{EBFBDE3D-2006-4F7F-A806-712711C72E20}">
            <xm:f>NOT(ISERROR(SEARCH(Apoio!$J$16,E346)))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143" operator="containsText" id="{6F14DE93-DD18-4526-B3DF-8736344765C5}">
            <xm:f>NOT(ISERROR(SEARCH(Apoio!$J$7,E346)))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136" operator="containsText" id="{A534CB4D-5A38-4787-AE7B-0FBC4169EF67}">
            <xm:f>NOT(ISERROR(SEARCH(Apoio!$J$16,E345)))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137" operator="containsText" id="{03234596-9862-46D4-AB8C-A5ADFA3D50FD}">
            <xm:f>NOT(ISERROR(SEARCH(Apoio!$J$7,E345)))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138" operator="containsText" id="{51C59A1B-AEAC-4872-9522-E18761EB6F97}">
            <xm:f>NOT(ISERROR(SEARCH(Apoio!$J$16,E345)))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139" operator="containsText" id="{70D09D6E-17C7-4AC9-943C-34623277C6F2}">
            <xm:f>NOT(ISERROR(SEARCH(Apoio!$J$7,E345)))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E345</xm:sqref>
        </x14:conditionalFormatting>
        <x14:conditionalFormatting xmlns:xm="http://schemas.microsoft.com/office/excel/2006/main">
          <x14:cfRule type="containsText" priority="26122" operator="containsText" id="{1F26E38F-3A0B-4A17-931F-64913F6C2461}">
            <xm:f>NOT(ISERROR(SEARCH(Apoio!$J$16,E352)))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123" operator="containsText" id="{EC364A03-F706-42D4-93B2-B193851DD7CE}">
            <xm:f>NOT(ISERROR(SEARCH(Apoio!$J$7,E352)))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124" operator="containsText" id="{085F7A16-959A-490C-A356-2B2BCA0FA911}">
            <xm:f>NOT(ISERROR(SEARCH(Apoio!$J$16,E352)))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125" operator="containsText" id="{5D1576E3-B32C-42B2-A33A-0C75120BE67A}">
            <xm:f>NOT(ISERROR(SEARCH(Apoio!$J$7,E352)))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E352:E358</xm:sqref>
        </x14:conditionalFormatting>
        <x14:conditionalFormatting xmlns:xm="http://schemas.microsoft.com/office/excel/2006/main">
          <x14:cfRule type="containsText" priority="26108" operator="containsText" id="{DA6BABEB-0289-4D79-AE57-47F61043D788}">
            <xm:f>NOT(ISERROR(SEARCH(Apoio!$J$16,E360)))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109" operator="containsText" id="{473CCE9F-6991-4E7F-81F5-E7B7FCEB2869}">
            <xm:f>NOT(ISERROR(SEARCH(Apoio!$J$7,E360)))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110" operator="containsText" id="{6A929A74-C491-44F5-9060-92B7E68943C5}">
            <xm:f>NOT(ISERROR(SEARCH(Apoio!$J$16,E360)))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111" operator="containsText" id="{36F6212C-DE2A-443D-B9CB-E4BFBF0F4FF3}">
            <xm:f>NOT(ISERROR(SEARCH(Apoio!$J$7,E360)))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E360:E361</xm:sqref>
        </x14:conditionalFormatting>
        <x14:conditionalFormatting xmlns:xm="http://schemas.microsoft.com/office/excel/2006/main">
          <x14:cfRule type="containsText" priority="26080" operator="containsText" id="{3CE4F39B-9FF7-4901-A998-782525BE24C3}">
            <xm:f>NOT(ISERROR(SEARCH(Apoio!$J$16,E373)))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081" operator="containsText" id="{2627321E-E2A4-43C0-8E46-5EB2686B3A28}">
            <xm:f>NOT(ISERROR(SEARCH(Apoio!$J$7,E373)))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082" operator="containsText" id="{1F620E74-4513-4013-9D36-C3B1C418FD9E}">
            <xm:f>NOT(ISERROR(SEARCH(Apoio!$J$16,E373)))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083" operator="containsText" id="{AE00719E-9B81-4594-86D8-27ABC8793649}">
            <xm:f>NOT(ISERROR(SEARCH(Apoio!$J$7,E373)))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E373:E375</xm:sqref>
        </x14:conditionalFormatting>
        <x14:conditionalFormatting xmlns:xm="http://schemas.microsoft.com/office/excel/2006/main">
          <x14:cfRule type="containsText" priority="26066" operator="containsText" id="{FCF95F75-4BEB-4E8C-92C7-48D15327271F}">
            <xm:f>NOT(ISERROR(SEARCH(Apoio!$J$16,E376)))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067" operator="containsText" id="{4D639978-4085-4255-8D4E-B1151D26FAA8}">
            <xm:f>NOT(ISERROR(SEARCH(Apoio!$J$7,E376)))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068" operator="containsText" id="{A954CAE9-2051-4924-A4D5-C146DA6571E1}">
            <xm:f>NOT(ISERROR(SEARCH(Apoio!$J$16,E376)))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069" operator="containsText" id="{5EA804FF-D724-43F2-B115-49D486F420F5}">
            <xm:f>NOT(ISERROR(SEARCH(Apoio!$J$7,E376)))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E376:E382</xm:sqref>
        </x14:conditionalFormatting>
        <x14:conditionalFormatting xmlns:xm="http://schemas.microsoft.com/office/excel/2006/main">
          <x14:cfRule type="containsText" priority="25996" operator="containsText" id="{77C82650-18BD-47D4-B5C3-46CE6E090DA0}">
            <xm:f>NOT(ISERROR(SEARCH(Apoio!$J$16,E438)))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5997" operator="containsText" id="{C05765EC-E075-4DB4-AB8A-E3FB23690E2D}">
            <xm:f>NOT(ISERROR(SEARCH(Apoio!$J$7,E438)))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5998" operator="containsText" id="{222C5BDB-362C-47D4-9F72-B828893383E3}">
            <xm:f>NOT(ISERROR(SEARCH(Apoio!$J$16,E438)))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5999" operator="containsText" id="{274CE507-AFB4-4969-A6EE-416AF5B67E3A}">
            <xm:f>NOT(ISERROR(SEARCH(Apoio!$J$7,E438)))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E438:E440</xm:sqref>
        </x14:conditionalFormatting>
        <x14:conditionalFormatting xmlns:xm="http://schemas.microsoft.com/office/excel/2006/main">
          <x14:cfRule type="containsText" priority="261" operator="containsText" id="{6F934D79-FE77-4734-8903-F85407EB3447}">
            <xm:f>NOT(ISERROR(SEARCH(Apoio!$J$16,E66)))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62" operator="containsText" id="{74A01A21-4138-4204-A1BF-AD48DFCD2C2D}">
            <xm:f>NOT(ISERROR(SEARCH(Apoio!$J$7,E66)))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3" operator="containsText" id="{99092289-67B7-4EA4-AC5D-0BB277B11628}">
            <xm:f>NOT(ISERROR(SEARCH(Apoio!$J$7,E66)))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64" operator="containsText" id="{B83CC7C3-4479-4455-9064-AC20B98EAB6D}">
            <xm:f>NOT(ISERROR(SEARCH(Apoio!$J$16,E66)))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E66</xm:sqref>
        </x14:conditionalFormatting>
        <x14:conditionalFormatting xmlns:xm="http://schemas.microsoft.com/office/excel/2006/main">
          <x14:cfRule type="containsText" priority="247" operator="containsText" id="{5E93961F-7A21-4FF1-B8CC-A85578727600}">
            <xm:f>NOT(ISERROR(SEARCH(Apoio!$J$16,E92)))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48" operator="containsText" id="{9CC360F3-C588-48E3-9753-D5F23698E66A}">
            <xm:f>NOT(ISERROR(SEARCH(Apoio!$J$7,E92)))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49" operator="containsText" id="{42601D92-61B0-4206-B811-71104FB352A1}">
            <xm:f>NOT(ISERROR(SEARCH(Apoio!$J$7,E92)))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50" operator="containsText" id="{2D4D3CDB-65AA-4C4C-A320-D3C20E8172C5}">
            <xm:f>NOT(ISERROR(SEARCH(Apoio!$J$16,E92)))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E92</xm:sqref>
        </x14:conditionalFormatting>
        <x14:conditionalFormatting xmlns:xm="http://schemas.microsoft.com/office/excel/2006/main">
          <x14:cfRule type="containsText" priority="233" operator="containsText" id="{8729CC6A-05A1-4DCA-853A-0BFEB96DFBA4}">
            <xm:f>NOT(ISERROR(SEARCH(Apoio!$J$16,E109)))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34" operator="containsText" id="{BBE87CB9-4DFF-411C-A87C-3CA816687BB3}">
            <xm:f>NOT(ISERROR(SEARCH(Apoio!$J$7,E109)))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35" operator="containsText" id="{B471F362-175E-4C55-80DF-6D4016B79E18}">
            <xm:f>NOT(ISERROR(SEARCH(Apoio!$J$7,E109)))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36" operator="containsText" id="{85975F38-B136-42A4-8B40-A3E2F823AFF7}">
            <xm:f>NOT(ISERROR(SEARCH(Apoio!$J$16,E109)))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E109</xm:sqref>
        </x14:conditionalFormatting>
        <x14:conditionalFormatting xmlns:xm="http://schemas.microsoft.com/office/excel/2006/main">
          <x14:cfRule type="containsText" priority="219" operator="containsText" id="{54468A43-C769-4C22-884A-4AA5289252E2}">
            <xm:f>NOT(ISERROR(SEARCH(Apoio!$J$16,E113)))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20" operator="containsText" id="{8844542C-0695-4C7C-BB0C-8CAFC1FB2191}">
            <xm:f>NOT(ISERROR(SEARCH(Apoio!$J$7,E113)))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21" operator="containsText" id="{607843D4-CE4A-431F-A6A3-8F9712B2163F}">
            <xm:f>NOT(ISERROR(SEARCH(Apoio!$J$7,E113)))</xm:f>
            <xm:f>Apoio!$J$7</xm:f>
            <x14:dxf>
              <font>
                <b val="0"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22" operator="containsText" id="{CBB4E115-B504-44D7-A8D8-C021AF31263C}">
            <xm:f>NOT(ISERROR(SEARCH(Apoio!$J$16,E113)))</xm:f>
            <xm:f>Apoio!$J$16</xm:f>
            <x14:dxf>
              <font>
                <b val="0"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E113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B9B64C67-A650-48C1-BBC5-A79DF0F1921F}">
          <x14:formula1>
            <xm:f>'CAD_BANCOS'!$F$5:$F$7</xm:f>
          </x14:formula1>
          <xm:sqref>T3:T4 U3</xm:sqref>
        </x14:dataValidation>
        <x14:dataValidation type="list" allowBlank="1" showInputMessage="1" showErrorMessage="1" xr:uid="{FD8C2393-2CB6-4EDF-BFC2-C0BECBCCE123}">
          <x14:formula1>
            <xm:f>'CAD_BANCOS'!$P$5:$P$13</xm:f>
          </x14:formula1>
          <xm:sqref>S5:S1252</xm:sqref>
        </x14:dataValidation>
        <x14:dataValidation type="list" allowBlank="1" showInputMessage="1" showErrorMessage="1" xr:uid="{55B99DE5-E79D-4234-BEA5-6B95F218B878}">
          <x14:formula1>
            <xm:f>'CAD_BANCOS'!$F$5:$F$10</xm:f>
          </x14:formula1>
          <xm:sqref>T5:T1252</xm:sqref>
        </x14:dataValidation>
        <x14:dataValidation type="list" allowBlank="1" showInputMessage="1" showErrorMessage="1" xr:uid="{3BAC8D73-F479-494F-8115-8A69AB7C8A30}">
          <x14:formula1>
            <xm:f>CAD_EMP!$D$5</xm:f>
          </x14:formula1>
          <xm:sqref>C5:C1252</xm:sqref>
        </x14:dataValidation>
        <x14:dataValidation type="list" allowBlank="1" showInputMessage="1" showErrorMessage="1" xr:uid="{6EF7281C-B373-4DA6-8CE2-C72E735D312D}">
          <x14:formula1>
            <xm:f>CAD_CC!$B$5:$B$7</xm:f>
          </x14:formula1>
          <xm:sqref>D5:D1252</xm:sqref>
        </x14:dataValidation>
        <x14:dataValidation type="list" allowBlank="1" showInputMessage="1" showErrorMessage="1" xr:uid="{1A5B68F5-E7C4-424C-84CD-1BF580ECDDBD}">
          <x14:formula1>
            <xm:f>'CAD_BANCOS'!$M$5:$M$50</xm:f>
          </x14:formula1>
          <xm:sqref>R5:R1252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51">
    <tabColor rgb="FF001C54"/>
  </sheetPr>
  <dimension ref="A1:Q50"/>
  <sheetViews>
    <sheetView showGridLines="0" zoomScaleNormal="100" workbookViewId="0">
      <pane xSplit="2" ySplit="7" topLeftCell="C8" activePane="bottomRight" state="frozen"/>
      <selection activeCell="M5468" sqref="M5468"/>
      <selection pane="topRight" activeCell="M5468" sqref="M5468"/>
      <selection pane="bottomLeft" activeCell="M5468" sqref="M5468"/>
      <selection pane="bottomRight"/>
    </sheetView>
  </sheetViews>
  <sheetFormatPr defaultColWidth="9.1796875" defaultRowHeight="15.05" customHeight="1" x14ac:dyDescent="0.35"/>
  <cols>
    <col min="1" max="1" width="0.7265625" style="10" customWidth="1"/>
    <col min="2" max="2" width="21.7265625" style="20" customWidth="1"/>
    <col min="3" max="3" width="19.1796875" style="10" customWidth="1"/>
    <col min="4" max="4" width="14.7265625" style="10" bestFit="1" customWidth="1"/>
    <col min="5" max="6" width="14.81640625" style="10" bestFit="1" customWidth="1"/>
    <col min="7" max="7" width="15.453125" style="10" bestFit="1" customWidth="1"/>
    <col min="8" max="8" width="17.453125" style="45" customWidth="1"/>
    <col min="9" max="9" width="14.81640625" style="10" bestFit="1" customWidth="1"/>
    <col min="10" max="12" width="14.1796875" style="10" customWidth="1"/>
    <col min="13" max="13" width="15.7265625" style="10" bestFit="1" customWidth="1"/>
    <col min="14" max="15" width="16" style="10" bestFit="1" customWidth="1"/>
    <col min="16" max="16" width="1.54296875" style="10" customWidth="1"/>
    <col min="17" max="16384" width="9.1796875" style="10"/>
  </cols>
  <sheetData>
    <row r="1" spans="1:17" s="31" customFormat="1" ht="24.75" customHeight="1" x14ac:dyDescent="0.35">
      <c r="B1" s="59"/>
      <c r="H1" s="380"/>
    </row>
    <row r="2" spans="1:17" s="33" customFormat="1" ht="20.100000000000001" customHeight="1" x14ac:dyDescent="0.35">
      <c r="B2" s="390"/>
      <c r="H2" s="381"/>
    </row>
    <row r="3" spans="1:17" s="26" customFormat="1" ht="3.75" customHeight="1" x14ac:dyDescent="0.35">
      <c r="A3" s="307"/>
      <c r="B3" s="62"/>
      <c r="H3" s="382"/>
    </row>
    <row r="4" spans="1:17" s="26" customFormat="1" ht="14.5" x14ac:dyDescent="0.35">
      <c r="A4" s="307"/>
      <c r="B4" s="388" t="s">
        <v>2</v>
      </c>
      <c r="C4" s="257" t="s">
        <v>1103</v>
      </c>
      <c r="D4" s="550" t="s">
        <v>2030</v>
      </c>
      <c r="E4" s="549"/>
      <c r="H4" s="382"/>
    </row>
    <row r="5" spans="1:17" s="26" customFormat="1" ht="3.75" customHeight="1" x14ac:dyDescent="0.35">
      <c r="A5" s="307"/>
      <c r="B5" s="62"/>
      <c r="H5" s="382"/>
    </row>
    <row r="6" spans="1:17" ht="15.05" customHeight="1" x14ac:dyDescent="0.35">
      <c r="B6" s="391" t="s">
        <v>1621</v>
      </c>
      <c r="C6" s="388" t="s">
        <v>2032</v>
      </c>
      <c r="D6" s="363"/>
      <c r="E6"/>
      <c r="F6"/>
      <c r="G6"/>
      <c r="H6"/>
      <c r="I6"/>
      <c r="J6"/>
      <c r="K6"/>
      <c r="L6"/>
      <c r="M6"/>
      <c r="N6"/>
      <c r="O6"/>
      <c r="P6"/>
      <c r="Q6"/>
    </row>
    <row r="7" spans="1:17" ht="15.05" customHeight="1" x14ac:dyDescent="0.35">
      <c r="B7" s="388" t="s">
        <v>1584</v>
      </c>
      <c r="C7" s="363" t="s">
        <v>2009</v>
      </c>
      <c r="D7" s="363" t="s">
        <v>1167</v>
      </c>
      <c r="E7"/>
      <c r="F7"/>
      <c r="G7"/>
      <c r="H7"/>
      <c r="I7"/>
      <c r="J7"/>
      <c r="K7"/>
      <c r="L7"/>
      <c r="M7"/>
      <c r="N7"/>
      <c r="O7"/>
      <c r="P7"/>
      <c r="Q7"/>
    </row>
    <row r="8" spans="1:17" ht="15.05" customHeight="1" x14ac:dyDescent="0.35">
      <c r="B8" s="363" t="s">
        <v>1093</v>
      </c>
      <c r="C8" s="409">
        <v>57089.729999999901</v>
      </c>
      <c r="D8" s="409">
        <v>57089.729999999901</v>
      </c>
      <c r="E8"/>
      <c r="F8"/>
      <c r="G8"/>
      <c r="H8"/>
      <c r="I8"/>
      <c r="J8"/>
      <c r="K8"/>
      <c r="L8"/>
      <c r="M8"/>
      <c r="N8"/>
      <c r="O8"/>
      <c r="P8"/>
      <c r="Q8"/>
    </row>
    <row r="9" spans="1:17" ht="15.05" customHeight="1" x14ac:dyDescent="0.35">
      <c r="B9" s="363" t="s">
        <v>1094</v>
      </c>
      <c r="C9" s="409">
        <v>404.6</v>
      </c>
      <c r="D9" s="409">
        <v>404.6</v>
      </c>
      <c r="E9"/>
      <c r="F9"/>
      <c r="G9"/>
      <c r="H9"/>
      <c r="I9"/>
      <c r="J9"/>
      <c r="K9"/>
      <c r="L9"/>
      <c r="M9"/>
      <c r="N9"/>
      <c r="O9"/>
      <c r="P9"/>
      <c r="Q9"/>
    </row>
    <row r="10" spans="1:17" ht="15.05" customHeight="1" x14ac:dyDescent="0.35">
      <c r="B10" s="257" t="s">
        <v>1167</v>
      </c>
      <c r="C10" s="409">
        <v>57494.3299999999</v>
      </c>
      <c r="D10" s="409">
        <v>57494.3299999999</v>
      </c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 ht="15.05" customHeight="1" x14ac:dyDescent="0.3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 ht="15.05" customHeight="1" x14ac:dyDescent="0.35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 ht="15.05" customHeight="1" x14ac:dyDescent="0.35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 ht="15.05" customHeight="1" x14ac:dyDescent="0.3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7" ht="15.05" customHeight="1" x14ac:dyDescent="0.3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7" ht="15.05" customHeight="1" x14ac:dyDescent="0.3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2:17" ht="15.05" customHeight="1" x14ac:dyDescent="0.3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2:17" ht="15.05" customHeight="1" x14ac:dyDescent="0.3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2:17" ht="15.05" customHeight="1" x14ac:dyDescent="0.3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2:17" ht="15.05" customHeight="1" x14ac:dyDescent="0.3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2:17" ht="15.05" customHeight="1" x14ac:dyDescent="0.3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2:17" ht="15.05" customHeight="1" x14ac:dyDescent="0.3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2:17" ht="15.05" customHeight="1" x14ac:dyDescent="0.3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2:17" ht="15.05" customHeight="1" x14ac:dyDescent="0.3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2:17" ht="15.05" customHeight="1" x14ac:dyDescent="0.3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2:17" s="385" customFormat="1" ht="14.5" x14ac:dyDescent="0.3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2:17" s="385" customFormat="1" ht="14.5" x14ac:dyDescent="0.3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2:17" s="385" customFormat="1" ht="14.5" x14ac:dyDescent="0.3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2:17" s="389" customFormat="1" ht="14.5" x14ac:dyDescent="0.3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2:17" s="389" customFormat="1" ht="14.5" x14ac:dyDescent="0.3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2:17" s="389" customFormat="1" ht="14.5" x14ac:dyDescent="0.3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2:17" s="389" customFormat="1" ht="14.5" x14ac:dyDescent="0.3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2:17" s="389" customFormat="1" ht="14.5" x14ac:dyDescent="0.3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2:17" s="389" customFormat="1" ht="14.5" x14ac:dyDescent="0.3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2:17" s="389" customFormat="1" ht="14.5" x14ac:dyDescent="0.3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2:17" s="389" customFormat="1" ht="14.5" x14ac:dyDescent="0.3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2:17" s="389" customFormat="1" ht="14.5" x14ac:dyDescent="0.3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2:17" s="389" customFormat="1" ht="14.5" x14ac:dyDescent="0.3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2:17" s="389" customFormat="1" ht="14.5" x14ac:dyDescent="0.3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2:17" s="389" customFormat="1" ht="14.5" x14ac:dyDescent="0.3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2:17" ht="15.05" customHeight="1" x14ac:dyDescent="0.3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2:17" ht="15.05" customHeight="1" x14ac:dyDescent="0.3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2:17" ht="15.05" customHeight="1" x14ac:dyDescent="0.3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2:17" ht="15.05" customHeight="1" x14ac:dyDescent="0.3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2:17" ht="15.05" customHeight="1" x14ac:dyDescent="0.3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2:17" ht="15.05" customHeight="1" x14ac:dyDescent="0.3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2:17" ht="15.05" customHeight="1" x14ac:dyDescent="0.3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2:17" ht="15.05" customHeight="1" x14ac:dyDescent="0.3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2:17" ht="15.05" customHeight="1" x14ac:dyDescent="0.3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2:17" ht="15.05" customHeight="1" x14ac:dyDescent="0.3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</sheetData>
  <sheetProtection sort="0" autoFilter="0" pivotTables="0"/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7" r:id="rId5" name="Button 1">
              <controlPr defaultSize="0" autoFill="0" autoPict="0" macro="[0]!Atualizar">
                <anchor>
                  <from>
                    <xdr:col>7</xdr:col>
                    <xdr:colOff>65784</xdr:colOff>
                    <xdr:row>3</xdr:row>
                    <xdr:rowOff>26314</xdr:rowOff>
                  </from>
                  <to>
                    <xdr:col>8</xdr:col>
                    <xdr:colOff>315764</xdr:colOff>
                    <xdr:row>5</xdr:row>
                    <xdr:rowOff>92098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52">
    <tabColor rgb="FF001C54"/>
  </sheetPr>
  <dimension ref="A1:P39"/>
  <sheetViews>
    <sheetView showGridLines="0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R9" sqref="R9"/>
    </sheetView>
  </sheetViews>
  <sheetFormatPr defaultColWidth="9.1796875" defaultRowHeight="15.05" customHeight="1" x14ac:dyDescent="0.35"/>
  <cols>
    <col min="1" max="1" width="0.7265625" style="10" customWidth="1"/>
    <col min="2" max="2" width="16.1796875" style="20" customWidth="1"/>
    <col min="3" max="3" width="14.1796875" style="10" customWidth="1"/>
    <col min="4" max="6" width="14.26953125" style="10" bestFit="1" customWidth="1"/>
    <col min="7" max="10" width="14.1796875" style="10" customWidth="1"/>
    <col min="11" max="11" width="14" style="10" customWidth="1"/>
    <col min="12" max="12" width="14.1796875" style="10" customWidth="1"/>
    <col min="13" max="13" width="16.7265625" style="10" customWidth="1"/>
    <col min="14" max="14" width="14.26953125" style="10" bestFit="1" customWidth="1"/>
    <col min="15" max="15" width="16" style="10" bestFit="1" customWidth="1"/>
    <col min="16" max="16" width="2.81640625" style="10" customWidth="1"/>
    <col min="17" max="16384" width="9.1796875" style="10"/>
  </cols>
  <sheetData>
    <row r="1" spans="1:16" s="31" customFormat="1" ht="24.75" customHeight="1" x14ac:dyDescent="0.35">
      <c r="B1" s="59"/>
    </row>
    <row r="2" spans="1:16" s="33" customFormat="1" ht="20.100000000000001" customHeight="1" x14ac:dyDescent="0.35">
      <c r="B2" s="390"/>
    </row>
    <row r="3" spans="1:16" s="26" customFormat="1" ht="3.75" customHeight="1" x14ac:dyDescent="0.35">
      <c r="A3" s="307"/>
      <c r="B3" s="62"/>
    </row>
    <row r="4" spans="1:16" s="26" customFormat="1" ht="14.5" x14ac:dyDescent="0.35">
      <c r="A4" s="307"/>
      <c r="B4" s="388" t="s">
        <v>2</v>
      </c>
      <c r="C4" s="257" t="s">
        <v>1103</v>
      </c>
      <c r="D4" s="550" t="s">
        <v>2030</v>
      </c>
      <c r="E4" s="394"/>
    </row>
    <row r="5" spans="1:16" s="26" customFormat="1" ht="14.5" x14ac:dyDescent="0.35">
      <c r="A5" s="307"/>
      <c r="B5" s="388" t="s">
        <v>1187</v>
      </c>
      <c r="C5" s="363" t="s">
        <v>2009</v>
      </c>
      <c r="D5" s="550" t="s">
        <v>2031</v>
      </c>
      <c r="E5" s="394"/>
    </row>
    <row r="6" spans="1:16" s="26" customFormat="1" ht="3.75" customHeight="1" x14ac:dyDescent="0.35">
      <c r="A6" s="307"/>
      <c r="B6" s="62"/>
    </row>
    <row r="7" spans="1:16" ht="15.05" customHeight="1" x14ac:dyDescent="0.35">
      <c r="B7" s="391" t="s">
        <v>1591</v>
      </c>
      <c r="C7" s="388" t="s">
        <v>1590</v>
      </c>
      <c r="D7" s="363"/>
      <c r="E7" s="363"/>
      <c r="F7"/>
      <c r="G7"/>
      <c r="H7"/>
      <c r="I7"/>
      <c r="J7"/>
      <c r="K7"/>
      <c r="L7"/>
      <c r="M7"/>
      <c r="N7"/>
      <c r="O7"/>
      <c r="P7"/>
    </row>
    <row r="8" spans="1:16" ht="15.05" customHeight="1" x14ac:dyDescent="0.35">
      <c r="B8" s="391" t="s">
        <v>1584</v>
      </c>
      <c r="C8" s="363" t="s">
        <v>1093</v>
      </c>
      <c r="D8" s="363" t="s">
        <v>1094</v>
      </c>
      <c r="E8" s="363" t="s">
        <v>1167</v>
      </c>
      <c r="F8"/>
      <c r="G8"/>
      <c r="H8"/>
      <c r="I8"/>
      <c r="J8"/>
      <c r="K8"/>
      <c r="L8"/>
      <c r="M8"/>
      <c r="N8"/>
      <c r="O8"/>
      <c r="P8"/>
    </row>
    <row r="9" spans="1:16" ht="15.05" customHeight="1" x14ac:dyDescent="0.35">
      <c r="B9" s="363" t="s">
        <v>1564</v>
      </c>
      <c r="C9" s="409">
        <v>22067.449999999993</v>
      </c>
      <c r="D9" s="409">
        <v>7421.1200000000026</v>
      </c>
      <c r="E9" s="409">
        <v>29488.569999999996</v>
      </c>
      <c r="F9"/>
      <c r="G9"/>
      <c r="H9"/>
      <c r="I9"/>
      <c r="J9"/>
      <c r="K9"/>
      <c r="L9"/>
      <c r="M9"/>
      <c r="N9"/>
      <c r="O9"/>
      <c r="P9"/>
    </row>
    <row r="10" spans="1:16" ht="15.05" customHeight="1" x14ac:dyDescent="0.35">
      <c r="B10" s="363" t="s">
        <v>1564</v>
      </c>
      <c r="C10" s="409">
        <v>22067.449999999993</v>
      </c>
      <c r="D10" s="409">
        <v>7421.1200000000026</v>
      </c>
      <c r="E10" s="409">
        <v>29488.569999999996</v>
      </c>
      <c r="F10"/>
      <c r="G10"/>
      <c r="H10"/>
      <c r="I10"/>
      <c r="J10"/>
      <c r="K10"/>
      <c r="L10"/>
      <c r="M10"/>
      <c r="N10"/>
      <c r="O10"/>
      <c r="P10"/>
    </row>
    <row r="11" spans="1:16" ht="15.05" customHeight="1" x14ac:dyDescent="0.35">
      <c r="B11" s="257" t="s">
        <v>1167</v>
      </c>
      <c r="C11" s="409">
        <v>22067.449999999993</v>
      </c>
      <c r="D11" s="409">
        <v>7421.1200000000026</v>
      </c>
      <c r="E11" s="409">
        <v>29488.569999999996</v>
      </c>
      <c r="F11"/>
      <c r="G11"/>
      <c r="H11"/>
      <c r="I11"/>
      <c r="J11"/>
      <c r="K11"/>
      <c r="L11"/>
      <c r="M11"/>
      <c r="N11"/>
      <c r="O11"/>
      <c r="P11"/>
    </row>
    <row r="12" spans="1:16" ht="15.05" customHeight="1" x14ac:dyDescent="0.35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</row>
    <row r="13" spans="1:16" ht="15.05" customHeight="1" x14ac:dyDescent="0.35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16" ht="15.05" customHeight="1" x14ac:dyDescent="0.3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16" ht="15.05" customHeight="1" x14ac:dyDescent="0.3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ht="15.05" customHeight="1" x14ac:dyDescent="0.3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2:16" ht="15.05" customHeight="1" x14ac:dyDescent="0.3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2:16" ht="15.05" customHeight="1" x14ac:dyDescent="0.3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2:16" ht="15.05" customHeight="1" x14ac:dyDescent="0.3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2:16" ht="15.05" customHeight="1" x14ac:dyDescent="0.3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2:16" ht="15.05" customHeight="1" x14ac:dyDescent="0.3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2:16" ht="15.05" customHeight="1" x14ac:dyDescent="0.3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2:16" ht="15.05" customHeight="1" x14ac:dyDescent="0.3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2:16" ht="15.05" customHeight="1" x14ac:dyDescent="0.3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2:16" ht="15.05" customHeight="1" x14ac:dyDescent="0.3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2:16" ht="15.05" customHeight="1" x14ac:dyDescent="0.3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2:16" s="385" customFormat="1" ht="17" customHeight="1" x14ac:dyDescent="0.3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2:16" s="385" customFormat="1" ht="17" customHeight="1" x14ac:dyDescent="0.3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2:16" s="385" customFormat="1" ht="17" customHeight="1" x14ac:dyDescent="0.3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2:16" s="389" customFormat="1" ht="17" customHeight="1" x14ac:dyDescent="0.3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2:16" s="385" customFormat="1" ht="17" customHeight="1" x14ac:dyDescent="0.3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2:16" s="392" customFormat="1" ht="17" customHeight="1" x14ac:dyDescent="0.3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2:16" ht="15.05" customHeight="1" x14ac:dyDescent="0.35">
      <c r="B33"/>
      <c r="C33" s="387"/>
      <c r="D33" s="387"/>
      <c r="E33" s="387"/>
      <c r="F33" s="387"/>
      <c r="G33" s="387"/>
      <c r="H33" s="387"/>
      <c r="I33" s="387"/>
      <c r="J33" s="387"/>
      <c r="K33" s="387"/>
      <c r="L33" s="387"/>
      <c r="M33"/>
      <c r="N33"/>
      <c r="O33"/>
      <c r="P33"/>
    </row>
    <row r="34" spans="2:16" ht="15.05" customHeight="1" x14ac:dyDescent="0.3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2:16" ht="15.05" customHeight="1" x14ac:dyDescent="0.3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2:16" ht="15.05" customHeight="1" x14ac:dyDescent="0.3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2:16" ht="15.05" customHeight="1" x14ac:dyDescent="0.3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2:16" ht="15.05" customHeight="1" x14ac:dyDescent="0.3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2:16" ht="15.05" customHeight="1" x14ac:dyDescent="0.3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</sheetData>
  <sheetProtection sort="0" autoFilter="0" pivotTables="0"/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3" r:id="rId5" name="Button 3">
              <controlPr defaultSize="0" autoFill="0" autoPict="0" macro="[0]!Atualizar">
                <anchor>
                  <from>
                    <xdr:col>9</xdr:col>
                    <xdr:colOff>46049</xdr:colOff>
                    <xdr:row>3</xdr:row>
                    <xdr:rowOff>26314</xdr:rowOff>
                  </from>
                  <to>
                    <xdr:col>10</xdr:col>
                    <xdr:colOff>506538</xdr:colOff>
                    <xdr:row>4</xdr:row>
                    <xdr:rowOff>144725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30">
    <tabColor rgb="FF001C54"/>
  </sheetPr>
  <dimension ref="A1:O117"/>
  <sheetViews>
    <sheetView showGridLines="0" zoomScaleNormal="100" workbookViewId="0">
      <pane xSplit="2" ySplit="8" topLeftCell="C9" activePane="bottomRight" state="frozen"/>
      <selection activeCell="G40" sqref="G40"/>
      <selection pane="topRight" activeCell="G40" sqref="G40"/>
      <selection pane="bottomLeft" activeCell="G40" sqref="G40"/>
      <selection pane="bottomRight" activeCell="N11" sqref="N11"/>
    </sheetView>
  </sheetViews>
  <sheetFormatPr defaultColWidth="9.1796875" defaultRowHeight="15.05" customHeight="1" x14ac:dyDescent="0.35"/>
  <cols>
    <col min="1" max="1" width="0.7265625" style="9" customWidth="1"/>
    <col min="2" max="2" width="38.26953125" style="9" bestFit="1" customWidth="1"/>
    <col min="3" max="7" width="16" style="9" customWidth="1"/>
    <col min="8" max="8" width="14.453125" style="9" customWidth="1"/>
    <col min="9" max="10" width="16" style="9" customWidth="1"/>
    <col min="11" max="11" width="15.453125" style="9" bestFit="1" customWidth="1"/>
    <col min="12" max="12" width="14.26953125" style="9" bestFit="1" customWidth="1"/>
    <col min="13" max="13" width="15.26953125" style="9" bestFit="1" customWidth="1"/>
    <col min="14" max="15" width="16" style="9" bestFit="1" customWidth="1"/>
    <col min="16" max="16384" width="9.1796875" style="9"/>
  </cols>
  <sheetData>
    <row r="1" spans="1:15" s="13" customFormat="1" ht="24.75" customHeight="1" x14ac:dyDescent="0.35"/>
    <row r="2" spans="1:15" s="16" customFormat="1" ht="20.100000000000001" customHeight="1" x14ac:dyDescent="0.35"/>
    <row r="3" spans="1:15" s="8" customFormat="1" ht="3.75" customHeight="1" x14ac:dyDescent="0.35">
      <c r="A3" s="7"/>
    </row>
    <row r="4" spans="1:15" s="8" customFormat="1" ht="14.5" x14ac:dyDescent="0.35">
      <c r="A4" s="7"/>
      <c r="B4" s="374" t="s">
        <v>1142</v>
      </c>
      <c r="C4" s="1" t="s">
        <v>1042</v>
      </c>
      <c r="D4" s="550" t="s">
        <v>2033</v>
      </c>
      <c r="E4" s="394"/>
    </row>
    <row r="5" spans="1:15" ht="14.5" x14ac:dyDescent="0.35">
      <c r="B5" s="374" t="s">
        <v>1187</v>
      </c>
      <c r="C5" s="1" t="s">
        <v>2009</v>
      </c>
      <c r="D5" s="550" t="s">
        <v>2031</v>
      </c>
      <c r="E5" s="394"/>
    </row>
    <row r="6" spans="1:15" s="8" customFormat="1" ht="3.75" customHeight="1" x14ac:dyDescent="0.35">
      <c r="A6" s="7"/>
    </row>
    <row r="7" spans="1:15" ht="15.05" customHeight="1" x14ac:dyDescent="0.35">
      <c r="B7" s="374" t="s">
        <v>1557</v>
      </c>
      <c r="C7" s="374" t="s">
        <v>1512</v>
      </c>
      <c r="D7" s="1"/>
      <c r="E7" s="1"/>
      <c r="F7"/>
      <c r="G7"/>
      <c r="H7"/>
      <c r="I7"/>
      <c r="J7"/>
      <c r="K7"/>
      <c r="L7"/>
      <c r="M7"/>
      <c r="N7"/>
      <c r="O7"/>
    </row>
    <row r="8" spans="1:15" s="10" customFormat="1" ht="15.05" customHeight="1" x14ac:dyDescent="0.35">
      <c r="B8" s="551" t="s">
        <v>2034</v>
      </c>
      <c r="C8" s="4" t="s">
        <v>1093</v>
      </c>
      <c r="D8" s="4" t="s">
        <v>1094</v>
      </c>
      <c r="E8" s="4" t="s">
        <v>1167</v>
      </c>
      <c r="F8" s="363"/>
      <c r="G8" s="363"/>
      <c r="H8" s="363"/>
      <c r="I8" s="363"/>
      <c r="J8" s="363"/>
      <c r="K8" s="363"/>
      <c r="L8" s="363"/>
      <c r="M8" s="363"/>
      <c r="N8" s="363"/>
      <c r="O8" s="363"/>
    </row>
    <row r="9" spans="1:15" ht="15.05" customHeight="1" x14ac:dyDescent="0.35">
      <c r="B9" s="1" t="s">
        <v>1144</v>
      </c>
      <c r="C9" s="384">
        <v>12624.57</v>
      </c>
      <c r="D9" s="384">
        <v>2500</v>
      </c>
      <c r="E9" s="384">
        <v>15124.57</v>
      </c>
      <c r="F9"/>
      <c r="G9"/>
      <c r="H9"/>
      <c r="I9"/>
      <c r="J9"/>
      <c r="K9"/>
      <c r="L9"/>
      <c r="M9"/>
      <c r="N9"/>
      <c r="O9"/>
    </row>
    <row r="10" spans="1:15" ht="15.05" customHeight="1" x14ac:dyDescent="0.35">
      <c r="B10" s="434" t="s">
        <v>1489</v>
      </c>
      <c r="C10" s="384">
        <v>11158.75</v>
      </c>
      <c r="D10" s="384"/>
      <c r="E10" s="384">
        <v>11158.75</v>
      </c>
      <c r="F10"/>
      <c r="G10"/>
      <c r="H10"/>
      <c r="I10"/>
      <c r="J10"/>
      <c r="K10"/>
      <c r="L10"/>
      <c r="M10"/>
      <c r="N10"/>
      <c r="O10"/>
    </row>
    <row r="11" spans="1:15" ht="15.05" customHeight="1" x14ac:dyDescent="0.35">
      <c r="B11" s="434" t="s">
        <v>1488</v>
      </c>
      <c r="C11" s="384">
        <v>143.82</v>
      </c>
      <c r="D11" s="384"/>
      <c r="E11" s="384">
        <v>143.82</v>
      </c>
      <c r="F11"/>
      <c r="G11"/>
      <c r="H11"/>
      <c r="I11"/>
      <c r="J11"/>
      <c r="K11"/>
      <c r="L11"/>
      <c r="M11"/>
      <c r="N11"/>
      <c r="O11"/>
    </row>
    <row r="12" spans="1:15" ht="15.05" customHeight="1" x14ac:dyDescent="0.35">
      <c r="B12" s="434" t="s">
        <v>1487</v>
      </c>
      <c r="C12" s="384">
        <v>1300</v>
      </c>
      <c r="D12" s="384">
        <v>1300</v>
      </c>
      <c r="E12" s="384">
        <v>2600</v>
      </c>
      <c r="F12"/>
      <c r="G12"/>
      <c r="H12"/>
      <c r="I12"/>
      <c r="J12"/>
      <c r="K12"/>
      <c r="L12"/>
      <c r="M12"/>
      <c r="N12"/>
      <c r="O12"/>
    </row>
    <row r="13" spans="1:15" ht="15.05" customHeight="1" x14ac:dyDescent="0.35">
      <c r="B13" s="434" t="s">
        <v>1814</v>
      </c>
      <c r="C13" s="384"/>
      <c r="D13" s="384">
        <v>1200</v>
      </c>
      <c r="E13" s="384">
        <v>1200</v>
      </c>
      <c r="F13"/>
      <c r="G13"/>
      <c r="H13"/>
      <c r="I13"/>
      <c r="J13"/>
      <c r="K13"/>
      <c r="L13"/>
      <c r="M13"/>
      <c r="N13"/>
      <c r="O13"/>
    </row>
    <row r="14" spans="1:15" ht="15.05" customHeight="1" x14ac:dyDescent="0.35">
      <c r="B14" s="434" t="s">
        <v>1461</v>
      </c>
      <c r="C14" s="384">
        <v>22</v>
      </c>
      <c r="D14" s="384"/>
      <c r="E14" s="384">
        <v>22</v>
      </c>
      <c r="F14"/>
      <c r="G14"/>
      <c r="H14"/>
      <c r="I14"/>
      <c r="J14"/>
      <c r="K14"/>
      <c r="L14"/>
      <c r="M14"/>
      <c r="N14"/>
      <c r="O14"/>
    </row>
    <row r="15" spans="1:15" ht="15.05" customHeight="1" x14ac:dyDescent="0.35">
      <c r="B15" s="1" t="s">
        <v>228</v>
      </c>
      <c r="C15" s="384">
        <v>10749.080000000002</v>
      </c>
      <c r="D15" s="384">
        <v>2867.5299999999997</v>
      </c>
      <c r="E15" s="384">
        <v>13616.61</v>
      </c>
      <c r="F15"/>
      <c r="G15"/>
      <c r="H15"/>
      <c r="I15"/>
      <c r="J15"/>
      <c r="K15"/>
      <c r="L15"/>
      <c r="M15"/>
      <c r="N15"/>
      <c r="O15"/>
    </row>
    <row r="16" spans="1:15" ht="15.05" customHeight="1" x14ac:dyDescent="0.35">
      <c r="B16" s="434" t="s">
        <v>1492</v>
      </c>
      <c r="C16" s="384">
        <v>2406.11</v>
      </c>
      <c r="D16" s="384">
        <v>2867.5299999999997</v>
      </c>
      <c r="E16" s="384">
        <v>5273.6399999999994</v>
      </c>
      <c r="F16"/>
      <c r="G16"/>
      <c r="H16"/>
      <c r="I16"/>
      <c r="J16"/>
      <c r="K16"/>
      <c r="L16"/>
      <c r="M16"/>
      <c r="N16"/>
      <c r="O16"/>
    </row>
    <row r="17" spans="2:15" ht="15.05" customHeight="1" x14ac:dyDescent="0.35">
      <c r="B17" s="434" t="s">
        <v>1511</v>
      </c>
      <c r="C17" s="384">
        <v>2149.52</v>
      </c>
      <c r="D17" s="384"/>
      <c r="E17" s="384">
        <v>2149.52</v>
      </c>
      <c r="F17"/>
      <c r="G17"/>
      <c r="H17"/>
      <c r="I17"/>
      <c r="J17"/>
      <c r="K17"/>
      <c r="L17"/>
      <c r="M17"/>
      <c r="N17"/>
      <c r="O17"/>
    </row>
    <row r="18" spans="2:15" ht="15.05" customHeight="1" x14ac:dyDescent="0.35">
      <c r="B18" s="434" t="s">
        <v>1818</v>
      </c>
      <c r="C18" s="384">
        <v>4875</v>
      </c>
      <c r="D18" s="384"/>
      <c r="E18" s="384">
        <v>4875</v>
      </c>
      <c r="F18"/>
      <c r="G18"/>
      <c r="H18"/>
      <c r="I18"/>
      <c r="J18"/>
      <c r="K18"/>
      <c r="L18"/>
      <c r="M18"/>
      <c r="N18"/>
      <c r="O18"/>
    </row>
    <row r="19" spans="2:15" ht="15.05" customHeight="1" x14ac:dyDescent="0.35">
      <c r="B19" s="434" t="s">
        <v>1825</v>
      </c>
      <c r="C19" s="384">
        <v>1318.45</v>
      </c>
      <c r="D19" s="384"/>
      <c r="E19" s="384">
        <v>1318.45</v>
      </c>
      <c r="F19"/>
      <c r="G19"/>
      <c r="H19"/>
      <c r="I19"/>
      <c r="J19"/>
      <c r="K19"/>
      <c r="L19"/>
      <c r="M19"/>
      <c r="N19"/>
      <c r="O19"/>
    </row>
    <row r="20" spans="2:15" ht="15.05" customHeight="1" x14ac:dyDescent="0.35">
      <c r="B20" s="1" t="s">
        <v>1167</v>
      </c>
      <c r="C20" s="384">
        <v>23373.65</v>
      </c>
      <c r="D20" s="384">
        <v>5367.53</v>
      </c>
      <c r="E20" s="384">
        <v>28741.18</v>
      </c>
      <c r="F20"/>
      <c r="G20"/>
      <c r="H20"/>
      <c r="I20"/>
      <c r="J20"/>
      <c r="K20"/>
      <c r="L20"/>
      <c r="M20"/>
      <c r="N20"/>
      <c r="O20"/>
    </row>
    <row r="21" spans="2:15" ht="15.05" customHeight="1" x14ac:dyDescent="0.35"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2:15" ht="15.05" customHeight="1" x14ac:dyDescent="0.35"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2:15" ht="15.05" customHeight="1" x14ac:dyDescent="0.35"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2:15" ht="15.05" customHeight="1" x14ac:dyDescent="0.35"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2:15" ht="15.05" customHeight="1" x14ac:dyDescent="0.35"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2:15" ht="15.05" customHeight="1" x14ac:dyDescent="0.35"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2:15" ht="15.05" customHeight="1" x14ac:dyDescent="0.35"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2:15" ht="15.05" customHeight="1" x14ac:dyDescent="0.35"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2:15" ht="15.05" customHeight="1" x14ac:dyDescent="0.35"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2:15" ht="15.05" customHeight="1" x14ac:dyDescent="0.35">
      <c r="B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2:15" ht="15.05" customHeight="1" x14ac:dyDescent="0.35"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2:15" ht="15.05" customHeight="1" x14ac:dyDescent="0.35"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2:15" ht="15.05" customHeight="1" x14ac:dyDescent="0.35">
      <c r="B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2:15" ht="15.05" customHeight="1" x14ac:dyDescent="0.35">
      <c r="B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2:15" ht="15.05" customHeight="1" x14ac:dyDescent="0.35">
      <c r="B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2:15" ht="15.05" customHeight="1" x14ac:dyDescent="0.35">
      <c r="B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2:15" ht="15.05" customHeight="1" x14ac:dyDescent="0.35">
      <c r="B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2:15" ht="15.05" customHeight="1" x14ac:dyDescent="0.35">
      <c r="B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2:15" ht="15.05" customHeight="1" x14ac:dyDescent="0.35">
      <c r="B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2:15" ht="15.05" customHeight="1" x14ac:dyDescent="0.35"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2:15" ht="15.05" customHeight="1" x14ac:dyDescent="0.35">
      <c r="B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2:15" ht="15.05" customHeight="1" x14ac:dyDescent="0.35">
      <c r="B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2:15" ht="15.05" customHeight="1" x14ac:dyDescent="0.35">
      <c r="B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2:15" ht="15.05" customHeight="1" x14ac:dyDescent="0.35">
      <c r="B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2:15" ht="15.05" customHeight="1" x14ac:dyDescent="0.35"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2:15" ht="15.05" customHeight="1" x14ac:dyDescent="0.35"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2:15" ht="15.05" customHeight="1" x14ac:dyDescent="0.35"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2:15" ht="15.05" customHeight="1" x14ac:dyDescent="0.35"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2:15" ht="15.05" customHeight="1" x14ac:dyDescent="0.35"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2:15" ht="15.05" customHeight="1" x14ac:dyDescent="0.35"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2:15" ht="15.05" customHeight="1" x14ac:dyDescent="0.35"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2:15" ht="15.05" customHeight="1" x14ac:dyDescent="0.35"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2:15" ht="15.05" customHeight="1" x14ac:dyDescent="0.35"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2:15" ht="15.05" customHeight="1" x14ac:dyDescent="0.35"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2:15" ht="15.05" customHeight="1" x14ac:dyDescent="0.35"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2:15" ht="15.05" customHeight="1" x14ac:dyDescent="0.35"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2:15" ht="15.05" customHeight="1" x14ac:dyDescent="0.35"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2:15" ht="15.05" customHeight="1" x14ac:dyDescent="0.35"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2:15" ht="15.05" customHeight="1" x14ac:dyDescent="0.35"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2:15" ht="15.05" customHeight="1" x14ac:dyDescent="0.35"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2:15" ht="15.05" customHeight="1" x14ac:dyDescent="0.35"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2:15" ht="15.05" customHeight="1" x14ac:dyDescent="0.35"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2:15" ht="15.05" customHeight="1" x14ac:dyDescent="0.35"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2:15" ht="15.05" customHeight="1" x14ac:dyDescent="0.35"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2:15" ht="15.05" customHeight="1" x14ac:dyDescent="0.35"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2:15" ht="15.05" customHeight="1" x14ac:dyDescent="0.35"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2:15" ht="15.05" customHeight="1" x14ac:dyDescent="0.35"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2:15" ht="15.05" customHeight="1" x14ac:dyDescent="0.35"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2:15" ht="15.05" customHeight="1" x14ac:dyDescent="0.35"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2:15" ht="15.05" customHeight="1" x14ac:dyDescent="0.35"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2:15" ht="15.05" customHeight="1" x14ac:dyDescent="0.35"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2:15" ht="15.05" customHeight="1" x14ac:dyDescent="0.35"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2:15" ht="15.05" customHeight="1" x14ac:dyDescent="0.35"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2:15" ht="15.05" customHeight="1" x14ac:dyDescent="0.35"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2:15" ht="15.05" customHeight="1" x14ac:dyDescent="0.35"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2:15" ht="15.05" customHeight="1" x14ac:dyDescent="0.35"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2:15" ht="15.05" customHeight="1" x14ac:dyDescent="0.35"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2:15" ht="15.05" customHeight="1" x14ac:dyDescent="0.35"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2:15" ht="15.05" customHeight="1" x14ac:dyDescent="0.35"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2:15" ht="15.05" customHeight="1" x14ac:dyDescent="0.35"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2:15" ht="15.05" customHeight="1" x14ac:dyDescent="0.35"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2:15" ht="15.05" customHeight="1" x14ac:dyDescent="0.35"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2:15" ht="15.05" customHeight="1" x14ac:dyDescent="0.35"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2:15" ht="15.05" customHeight="1" x14ac:dyDescent="0.35"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2:15" ht="15.05" customHeight="1" x14ac:dyDescent="0.35"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2:15" ht="15.05" customHeight="1" x14ac:dyDescent="0.35"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2:15" ht="15.05" customHeight="1" x14ac:dyDescent="0.35"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2:15" ht="15.05" customHeight="1" x14ac:dyDescent="0.35"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2:15" ht="15.05" customHeight="1" x14ac:dyDescent="0.35"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2:15" ht="15.05" customHeight="1" x14ac:dyDescent="0.35"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2:15" ht="15.05" customHeight="1" x14ac:dyDescent="0.35"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2:15" ht="15.05" customHeight="1" x14ac:dyDescent="0.35"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2:15" ht="15.05" customHeight="1" x14ac:dyDescent="0.35"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2:15" ht="15.05" customHeight="1" x14ac:dyDescent="0.35"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2:15" ht="15.05" customHeight="1" x14ac:dyDescent="0.35"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2:15" ht="15.05" customHeight="1" x14ac:dyDescent="0.35"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2:15" ht="15.05" customHeight="1" x14ac:dyDescent="0.35"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2:15" ht="15.05" customHeight="1" x14ac:dyDescent="0.35"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2:15" ht="15.05" customHeight="1" x14ac:dyDescent="0.35"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2:15" ht="15.05" customHeight="1" x14ac:dyDescent="0.3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2:15" ht="15.05" customHeight="1" x14ac:dyDescent="0.3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2:15" ht="15.05" customHeight="1" x14ac:dyDescent="0.3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2:15" ht="15.05" customHeight="1" x14ac:dyDescent="0.3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2:15" ht="15.05" customHeight="1" x14ac:dyDescent="0.3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2:15" ht="15.05" customHeight="1" x14ac:dyDescent="0.3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2:15" ht="15.05" customHeight="1" x14ac:dyDescent="0.3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2:15" ht="15.05" customHeight="1" x14ac:dyDescent="0.3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2:15" ht="15.05" customHeight="1" x14ac:dyDescent="0.3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2:15" ht="15.05" customHeight="1" x14ac:dyDescent="0.3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2:15" ht="15.05" customHeight="1" x14ac:dyDescent="0.3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2:15" ht="15.05" customHeight="1" x14ac:dyDescent="0.3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2:15" ht="15.05" customHeight="1" x14ac:dyDescent="0.3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2:15" ht="15.05" customHeight="1" x14ac:dyDescent="0.3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2:15" ht="15.05" customHeight="1" x14ac:dyDescent="0.3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2:15" ht="15.05" customHeight="1" x14ac:dyDescent="0.3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2:15" ht="15.05" customHeight="1" x14ac:dyDescent="0.3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2:15" ht="15.05" customHeight="1" x14ac:dyDescent="0.3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</sheetData>
  <sheetProtection sort="0" autoFilter="0" pivotTables="0"/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466" r:id="rId5" name="Button 2">
              <controlPr defaultSize="0" autoFill="0" autoPict="0" macro="[0]!Atualizar">
                <anchor>
                  <from>
                    <xdr:col>6</xdr:col>
                    <xdr:colOff>940714</xdr:colOff>
                    <xdr:row>3</xdr:row>
                    <xdr:rowOff>26314</xdr:rowOff>
                  </from>
                  <to>
                    <xdr:col>8</xdr:col>
                    <xdr:colOff>315764</xdr:colOff>
                    <xdr:row>4</xdr:row>
                    <xdr:rowOff>144725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8">
    <tabColor rgb="FF001C54"/>
  </sheetPr>
  <dimension ref="A1:CRV394"/>
  <sheetViews>
    <sheetView showGridLines="0" zoomScaleNormal="100" zoomScaleSheetLayoutView="67" workbookViewId="0">
      <pane xSplit="1" ySplit="6" topLeftCell="B7" activePane="bottomRight" state="frozen"/>
      <selection activeCell="E8" sqref="E8"/>
      <selection pane="topRight" activeCell="E8" sqref="E8"/>
      <selection pane="bottomLeft" activeCell="E8" sqref="E8"/>
      <selection pane="bottomRight" activeCell="V9" sqref="V9"/>
    </sheetView>
  </sheetViews>
  <sheetFormatPr defaultColWidth="9.1796875" defaultRowHeight="30.05" customHeight="1" x14ac:dyDescent="0.35"/>
  <cols>
    <col min="1" max="1" width="0.7265625" style="9" customWidth="1"/>
    <col min="2" max="2" width="5" style="57" customWidth="1"/>
    <col min="3" max="4" width="16.26953125" style="41" customWidth="1"/>
    <col min="5" max="5" width="20.54296875" style="41" bestFit="1" customWidth="1"/>
    <col min="6" max="6" width="1" style="9" customWidth="1"/>
    <col min="7" max="7" width="5" style="57" customWidth="1"/>
    <col min="8" max="9" width="16.26953125" style="41" customWidth="1"/>
    <col min="10" max="10" width="20.54296875" style="41" bestFit="1" customWidth="1"/>
    <col min="11" max="11" width="1" style="9" customWidth="1"/>
    <col min="12" max="12" width="5" style="57" customWidth="1"/>
    <col min="13" max="13" width="16.26953125" style="41" customWidth="1"/>
    <col min="14" max="14" width="14" style="41" customWidth="1"/>
    <col min="15" max="15" width="21.453125" style="41" customWidth="1"/>
    <col min="16" max="16" width="11.54296875" style="9" customWidth="1"/>
    <col min="17" max="17" width="11.453125" style="111" hidden="1" customWidth="1"/>
    <col min="18" max="18" width="3" style="111" hidden="1" customWidth="1"/>
    <col min="19" max="25" width="9.1796875" style="9"/>
    <col min="26" max="26" width="23.453125" style="9" bestFit="1" customWidth="1"/>
    <col min="27" max="27" width="19.54296875" style="9" bestFit="1" customWidth="1"/>
    <col min="28" max="28" width="12.7265625" style="9" bestFit="1" customWidth="1"/>
    <col min="29" max="29" width="13.1796875" style="9" bestFit="1" customWidth="1"/>
    <col min="30" max="30" width="15.7265625" style="9" bestFit="1" customWidth="1"/>
    <col min="31" max="31" width="9.26953125" style="9" bestFit="1" customWidth="1"/>
    <col min="32" max="32" width="7.81640625" style="9" bestFit="1" customWidth="1"/>
    <col min="33" max="33" width="6.7265625" style="9" bestFit="1" customWidth="1"/>
    <col min="34" max="34" width="7.81640625" style="9" bestFit="1" customWidth="1"/>
    <col min="35" max="35" width="6.7265625" style="9" bestFit="1" customWidth="1"/>
    <col min="36" max="36" width="7.81640625" style="9" bestFit="1" customWidth="1"/>
    <col min="37" max="37" width="9.26953125" style="9" bestFit="1" customWidth="1"/>
    <col min="38" max="38" width="7.81640625" style="9" bestFit="1" customWidth="1"/>
    <col min="39" max="39" width="8.26953125" style="9" bestFit="1" customWidth="1"/>
    <col min="40" max="40" width="7.81640625" style="9" bestFit="1" customWidth="1"/>
    <col min="41" max="41" width="9.26953125" style="9" bestFit="1" customWidth="1"/>
    <col min="42" max="42" width="7.81640625" style="9" bestFit="1" customWidth="1"/>
    <col min="43" max="43" width="9.26953125" style="9" bestFit="1" customWidth="1"/>
    <col min="44" max="44" width="7.81640625" style="9" bestFit="1" customWidth="1"/>
    <col min="45" max="45" width="8.26953125" style="9" bestFit="1" customWidth="1"/>
    <col min="46" max="46" width="7.1796875" style="9" bestFit="1" customWidth="1"/>
    <col min="47" max="47" width="9.26953125" style="9" bestFit="1" customWidth="1"/>
    <col min="48" max="48" width="7.1796875" style="9" bestFit="1" customWidth="1"/>
    <col min="49" max="49" width="9.26953125" style="9" bestFit="1" customWidth="1"/>
    <col min="50" max="50" width="7.81640625" style="9" bestFit="1" customWidth="1"/>
    <col min="51" max="51" width="9.26953125" style="9" bestFit="1" customWidth="1"/>
    <col min="52" max="53" width="7.81640625" style="9" bestFit="1" customWidth="1"/>
    <col min="54" max="54" width="8.26953125" style="9" bestFit="1" customWidth="1"/>
    <col min="55" max="55" width="7.81640625" style="9" bestFit="1" customWidth="1"/>
    <col min="56" max="56" width="8.26953125" style="9" bestFit="1" customWidth="1"/>
    <col min="57" max="57" width="7.81640625" style="9" bestFit="1" customWidth="1"/>
    <col min="58" max="58" width="8.26953125" style="9" bestFit="1" customWidth="1"/>
    <col min="59" max="59" width="7.1796875" style="9" bestFit="1" customWidth="1"/>
    <col min="60" max="60" width="9.26953125" style="9" bestFit="1" customWidth="1"/>
    <col min="61" max="61" width="7.1796875" style="9" bestFit="1" customWidth="1"/>
    <col min="62" max="62" width="8.26953125" style="9" bestFit="1" customWidth="1"/>
    <col min="63" max="63" width="7.81640625" style="9" bestFit="1" customWidth="1"/>
    <col min="64" max="64" width="6.7265625" style="9" bestFit="1" customWidth="1"/>
    <col min="65" max="65" width="7.1796875" style="9" bestFit="1" customWidth="1"/>
    <col min="66" max="66" width="9.26953125" style="9" bestFit="1" customWidth="1"/>
    <col min="67" max="67" width="7.1796875" style="9" bestFit="1" customWidth="1"/>
    <col min="68" max="68" width="7.7265625" style="9" bestFit="1" customWidth="1"/>
    <col min="69" max="69" width="8" style="9" bestFit="1" customWidth="1"/>
    <col min="70" max="70" width="10.26953125" style="9" bestFit="1" customWidth="1"/>
    <col min="71" max="71" width="7.81640625" style="9" bestFit="1" customWidth="1"/>
    <col min="72" max="72" width="9.26953125" style="9" bestFit="1" customWidth="1"/>
    <col min="73" max="73" width="8" style="9" bestFit="1" customWidth="1"/>
    <col min="74" max="74" width="10.26953125" style="9" bestFit="1" customWidth="1"/>
    <col min="75" max="75" width="8" style="9" bestFit="1" customWidth="1"/>
    <col min="76" max="76" width="10.26953125" style="9" bestFit="1" customWidth="1"/>
    <col min="77" max="77" width="8" style="9" bestFit="1" customWidth="1"/>
    <col min="78" max="78" width="10.26953125" style="9" bestFit="1" customWidth="1"/>
    <col min="79" max="79" width="7.81640625" style="9" bestFit="1" customWidth="1"/>
    <col min="80" max="80" width="7.7265625" style="9" bestFit="1" customWidth="1"/>
    <col min="81" max="81" width="7.81640625" style="9" bestFit="1" customWidth="1"/>
    <col min="82" max="82" width="7.7265625" style="9" bestFit="1" customWidth="1"/>
    <col min="83" max="83" width="8" style="9" bestFit="1" customWidth="1"/>
    <col min="84" max="84" width="10.26953125" style="9" bestFit="1" customWidth="1"/>
    <col min="85" max="85" width="8" style="9" bestFit="1" customWidth="1"/>
    <col min="86" max="86" width="10.26953125" style="9" bestFit="1" customWidth="1"/>
    <col min="87" max="87" width="8" style="9" bestFit="1" customWidth="1"/>
    <col min="88" max="88" width="10.26953125" style="9" bestFit="1" customWidth="1"/>
    <col min="89" max="89" width="7.81640625" style="9" bestFit="1" customWidth="1"/>
    <col min="90" max="90" width="9.26953125" style="9" bestFit="1" customWidth="1"/>
    <col min="91" max="91" width="8" style="9" bestFit="1" customWidth="1"/>
    <col min="92" max="92" width="10.26953125" style="9" bestFit="1" customWidth="1"/>
    <col min="93" max="94" width="7.81640625" style="9" bestFit="1" customWidth="1"/>
    <col min="95" max="95" width="7.7265625" style="9" bestFit="1" customWidth="1"/>
    <col min="96" max="96" width="7.81640625" style="9" bestFit="1" customWidth="1"/>
    <col min="97" max="97" width="7.7265625" style="9" bestFit="1" customWidth="1"/>
    <col min="98" max="98" width="8" style="9" bestFit="1" customWidth="1"/>
    <col min="99" max="99" width="10.26953125" style="9" bestFit="1" customWidth="1"/>
    <col min="100" max="100" width="7.1796875" style="9" bestFit="1" customWidth="1"/>
    <col min="101" max="101" width="9.26953125" style="9" bestFit="1" customWidth="1"/>
    <col min="102" max="102" width="8" style="9" bestFit="1" customWidth="1"/>
    <col min="103" max="103" width="10.26953125" style="9" bestFit="1" customWidth="1"/>
    <col min="104" max="104" width="7.81640625" style="9" bestFit="1" customWidth="1"/>
    <col min="105" max="105" width="7.7265625" style="9" bestFit="1" customWidth="1"/>
    <col min="106" max="106" width="7.81640625" style="9" bestFit="1" customWidth="1"/>
    <col min="107" max="107" width="9.26953125" style="9" bestFit="1" customWidth="1"/>
    <col min="108" max="108" width="8" style="9" bestFit="1" customWidth="1"/>
    <col min="109" max="109" width="10.26953125" style="9" bestFit="1" customWidth="1"/>
    <col min="110" max="110" width="8" style="9" bestFit="1" customWidth="1"/>
    <col min="111" max="111" width="10.26953125" style="9" bestFit="1" customWidth="1"/>
    <col min="112" max="112" width="7.81640625" style="9" bestFit="1" customWidth="1"/>
    <col min="113" max="113" width="9.26953125" style="9" bestFit="1" customWidth="1"/>
    <col min="114" max="114" width="7.81640625" style="9" bestFit="1" customWidth="1"/>
    <col min="115" max="115" width="7.7265625" style="9" bestFit="1" customWidth="1"/>
    <col min="116" max="116" width="8" style="9" bestFit="1" customWidth="1"/>
    <col min="117" max="117" width="10.26953125" style="9" bestFit="1" customWidth="1"/>
    <col min="118" max="118" width="8" style="9" bestFit="1" customWidth="1"/>
    <col min="119" max="119" width="10.26953125" style="9" bestFit="1" customWidth="1"/>
    <col min="120" max="120" width="8" style="9" bestFit="1" customWidth="1"/>
    <col min="121" max="121" width="10.26953125" style="9" bestFit="1" customWidth="1"/>
    <col min="122" max="122" width="8" style="9" bestFit="1" customWidth="1"/>
    <col min="123" max="123" width="10.26953125" style="9" bestFit="1" customWidth="1"/>
    <col min="124" max="124" width="7.81640625" style="9" bestFit="1" customWidth="1"/>
    <col min="125" max="125" width="7.7265625" style="9" bestFit="1" customWidth="1"/>
    <col min="126" max="126" width="8" style="9" bestFit="1" customWidth="1"/>
    <col min="127" max="127" width="10.26953125" style="9" bestFit="1" customWidth="1"/>
    <col min="128" max="128" width="8" style="9" bestFit="1" customWidth="1"/>
    <col min="129" max="129" width="10.26953125" style="9" bestFit="1" customWidth="1"/>
    <col min="130" max="130" width="7.81640625" style="9" bestFit="1" customWidth="1"/>
    <col min="131" max="131" width="9.26953125" style="9" bestFit="1" customWidth="1"/>
    <col min="132" max="132" width="8" style="9" bestFit="1" customWidth="1"/>
    <col min="133" max="133" width="10.26953125" style="9" bestFit="1" customWidth="1"/>
    <col min="134" max="134" width="7.1796875" style="9" bestFit="1" customWidth="1"/>
    <col min="135" max="135" width="9.26953125" style="9" bestFit="1" customWidth="1"/>
    <col min="136" max="136" width="8" style="9" bestFit="1" customWidth="1"/>
    <col min="137" max="137" width="10.26953125" style="9" bestFit="1" customWidth="1"/>
    <col min="138" max="138" width="7.81640625" style="9" bestFit="1" customWidth="1"/>
    <col min="139" max="139" width="9.26953125" style="9" bestFit="1" customWidth="1"/>
    <col min="140" max="140" width="7.81640625" style="9" bestFit="1" customWidth="1"/>
    <col min="141" max="141" width="9.26953125" style="9" bestFit="1" customWidth="1"/>
    <col min="142" max="142" width="7.81640625" style="9" bestFit="1" customWidth="1"/>
    <col min="143" max="143" width="7.7265625" style="9" bestFit="1" customWidth="1"/>
    <col min="144" max="144" width="8" style="9" bestFit="1" customWidth="1"/>
    <col min="145" max="145" width="10.26953125" style="9" bestFit="1" customWidth="1"/>
    <col min="146" max="146" width="8" style="9" bestFit="1" customWidth="1"/>
    <col min="147" max="147" width="10.26953125" style="9" bestFit="1" customWidth="1"/>
    <col min="148" max="148" width="7.81640625" style="9" bestFit="1" customWidth="1"/>
    <col min="149" max="149" width="9.26953125" style="9" bestFit="1" customWidth="1"/>
    <col min="150" max="150" width="8" style="9" bestFit="1" customWidth="1"/>
    <col min="151" max="151" width="10.26953125" style="9" bestFit="1" customWidth="1"/>
    <col min="152" max="152" width="8" style="9" bestFit="1" customWidth="1"/>
    <col min="153" max="153" width="10.26953125" style="9" bestFit="1" customWidth="1"/>
    <col min="154" max="154" width="8" style="9" bestFit="1" customWidth="1"/>
    <col min="155" max="155" width="10.26953125" style="9" bestFit="1" customWidth="1"/>
    <col min="156" max="156" width="8" style="9" bestFit="1" customWidth="1"/>
    <col min="157" max="157" width="10.26953125" style="9" bestFit="1" customWidth="1"/>
    <col min="158" max="158" width="8" style="9" bestFit="1" customWidth="1"/>
    <col min="159" max="159" width="10.26953125" style="9" bestFit="1" customWidth="1"/>
    <col min="160" max="160" width="8" style="9" bestFit="1" customWidth="1"/>
    <col min="161" max="161" width="10.26953125" style="9" bestFit="1" customWidth="1"/>
    <col min="162" max="162" width="7.81640625" style="9" bestFit="1" customWidth="1"/>
    <col min="163" max="163" width="7.7265625" style="9" bestFit="1" customWidth="1"/>
    <col min="164" max="164" width="7.1796875" style="9" bestFit="1" customWidth="1"/>
    <col min="165" max="165" width="9.26953125" style="9" bestFit="1" customWidth="1"/>
    <col min="166" max="166" width="8" style="9" bestFit="1" customWidth="1"/>
    <col min="167" max="167" width="10.26953125" style="9" bestFit="1" customWidth="1"/>
    <col min="168" max="168" width="8" style="9" bestFit="1" customWidth="1"/>
    <col min="169" max="169" width="10.26953125" style="9" bestFit="1" customWidth="1"/>
    <col min="170" max="170" width="8" style="9" bestFit="1" customWidth="1"/>
    <col min="171" max="171" width="10.26953125" style="9" bestFit="1" customWidth="1"/>
    <col min="172" max="172" width="8" style="9" bestFit="1" customWidth="1"/>
    <col min="173" max="173" width="10.26953125" style="9" bestFit="1" customWidth="1"/>
    <col min="174" max="175" width="7.81640625" style="9" bestFit="1" customWidth="1"/>
    <col min="176" max="176" width="9.26953125" style="9" bestFit="1" customWidth="1"/>
    <col min="177" max="177" width="8" style="9" bestFit="1" customWidth="1"/>
    <col min="178" max="178" width="10.26953125" style="9" bestFit="1" customWidth="1"/>
    <col min="179" max="179" width="7.81640625" style="9" bestFit="1" customWidth="1"/>
    <col min="180" max="180" width="7.7265625" style="9" bestFit="1" customWidth="1"/>
    <col min="181" max="181" width="8" style="9" bestFit="1" customWidth="1"/>
    <col min="182" max="182" width="10.26953125" style="9" bestFit="1" customWidth="1"/>
    <col min="183" max="183" width="8" style="9" bestFit="1" customWidth="1"/>
    <col min="184" max="184" width="10.26953125" style="9" bestFit="1" customWidth="1"/>
    <col min="185" max="185" width="8" style="9" bestFit="1" customWidth="1"/>
    <col min="186" max="186" width="10.26953125" style="9" bestFit="1" customWidth="1"/>
    <col min="187" max="187" width="8" style="9" bestFit="1" customWidth="1"/>
    <col min="188" max="188" width="10.26953125" style="9" bestFit="1" customWidth="1"/>
    <col min="189" max="189" width="8" style="9" bestFit="1" customWidth="1"/>
    <col min="190" max="190" width="10.26953125" style="9" bestFit="1" customWidth="1"/>
    <col min="191" max="192" width="7.81640625" style="9" bestFit="1" customWidth="1"/>
    <col min="193" max="193" width="9.26953125" style="9" bestFit="1" customWidth="1"/>
    <col min="194" max="194" width="8" style="9" bestFit="1" customWidth="1"/>
    <col min="195" max="195" width="10.26953125" style="9" bestFit="1" customWidth="1"/>
    <col min="196" max="196" width="8" style="9" bestFit="1" customWidth="1"/>
    <col min="197" max="197" width="10.26953125" style="9" bestFit="1" customWidth="1"/>
    <col min="198" max="198" width="7.81640625" style="9" bestFit="1" customWidth="1"/>
    <col min="199" max="199" width="9.26953125" style="9" bestFit="1" customWidth="1"/>
    <col min="200" max="201" width="8" style="9" bestFit="1" customWidth="1"/>
    <col min="202" max="202" width="10.26953125" style="9" bestFit="1" customWidth="1"/>
    <col min="203" max="203" width="8" style="9" bestFit="1" customWidth="1"/>
    <col min="204" max="204" width="10.26953125" style="9" bestFit="1" customWidth="1"/>
    <col min="205" max="205" width="8" style="9" bestFit="1" customWidth="1"/>
    <col min="206" max="206" width="10.26953125" style="9" bestFit="1" customWidth="1"/>
    <col min="207" max="207" width="8" style="9" bestFit="1" customWidth="1"/>
    <col min="208" max="208" width="10.26953125" style="9" bestFit="1" customWidth="1"/>
    <col min="209" max="209" width="7.1796875" style="9" bestFit="1" customWidth="1"/>
    <col min="210" max="210" width="9.26953125" style="9" bestFit="1" customWidth="1"/>
    <col min="211" max="211" width="7.81640625" style="9" bestFit="1" customWidth="1"/>
    <col min="212" max="212" width="7.7265625" style="9" bestFit="1" customWidth="1"/>
    <col min="213" max="213" width="8" style="9" bestFit="1" customWidth="1"/>
    <col min="214" max="214" width="10.26953125" style="9" bestFit="1" customWidth="1"/>
    <col min="215" max="215" width="7.81640625" style="9" bestFit="1" customWidth="1"/>
    <col min="216" max="216" width="9.26953125" style="9" bestFit="1" customWidth="1"/>
    <col min="217" max="217" width="8" style="9" bestFit="1" customWidth="1"/>
    <col min="218" max="218" width="10.26953125" style="9" bestFit="1" customWidth="1"/>
    <col min="219" max="219" width="7.1796875" style="9" bestFit="1" customWidth="1"/>
    <col min="220" max="220" width="9.26953125" style="9" bestFit="1" customWidth="1"/>
    <col min="221" max="221" width="8" style="9" bestFit="1" customWidth="1"/>
    <col min="222" max="222" width="10.26953125" style="9" bestFit="1" customWidth="1"/>
    <col min="223" max="223" width="8" style="9" bestFit="1" customWidth="1"/>
    <col min="224" max="224" width="10.26953125" style="9" bestFit="1" customWidth="1"/>
    <col min="225" max="225" width="8" style="9" bestFit="1" customWidth="1"/>
    <col min="226" max="226" width="10.26953125" style="9" bestFit="1" customWidth="1"/>
    <col min="227" max="227" width="7.1796875" style="9" bestFit="1" customWidth="1"/>
    <col min="228" max="228" width="9.26953125" style="9" bestFit="1" customWidth="1"/>
    <col min="229" max="229" width="7.81640625" style="9" bestFit="1" customWidth="1"/>
    <col min="230" max="230" width="7.7265625" style="9" bestFit="1" customWidth="1"/>
    <col min="231" max="231" width="8" style="9" bestFit="1" customWidth="1"/>
    <col min="232" max="232" width="10.26953125" style="9" bestFit="1" customWidth="1"/>
    <col min="233" max="233" width="8" style="9" bestFit="1" customWidth="1"/>
    <col min="234" max="234" width="10.26953125" style="9" bestFit="1" customWidth="1"/>
    <col min="235" max="235" width="7.1796875" style="9" bestFit="1" customWidth="1"/>
    <col min="236" max="236" width="9.26953125" style="9" bestFit="1" customWidth="1"/>
    <col min="237" max="237" width="8" style="9" bestFit="1" customWidth="1"/>
    <col min="238" max="238" width="10.26953125" style="9" bestFit="1" customWidth="1"/>
    <col min="239" max="239" width="8" style="9" bestFit="1" customWidth="1"/>
    <col min="240" max="240" width="10.26953125" style="9" bestFit="1" customWidth="1"/>
    <col min="241" max="241" width="8" style="9" bestFit="1" customWidth="1"/>
    <col min="242" max="242" width="10.26953125" style="9" bestFit="1" customWidth="1"/>
    <col min="243" max="243" width="8" style="9" bestFit="1" customWidth="1"/>
    <col min="244" max="244" width="10.26953125" style="9" bestFit="1" customWidth="1"/>
    <col min="245" max="245" width="8" style="9" bestFit="1" customWidth="1"/>
    <col min="246" max="246" width="10.26953125" style="9" bestFit="1" customWidth="1"/>
    <col min="247" max="247" width="8" style="9" bestFit="1" customWidth="1"/>
    <col min="248" max="248" width="10.26953125" style="9" bestFit="1" customWidth="1"/>
    <col min="249" max="249" width="7.1796875" style="9" bestFit="1" customWidth="1"/>
    <col min="250" max="250" width="9.26953125" style="9" bestFit="1" customWidth="1"/>
    <col min="251" max="251" width="8" style="9" bestFit="1" customWidth="1"/>
    <col min="252" max="252" width="10.26953125" style="9" bestFit="1" customWidth="1"/>
    <col min="253" max="253" width="7.81640625" style="9" bestFit="1" customWidth="1"/>
    <col min="254" max="254" width="7.7265625" style="9" bestFit="1" customWidth="1"/>
    <col min="255" max="255" width="8" style="9" bestFit="1" customWidth="1"/>
    <col min="256" max="256" width="10.26953125" style="9" bestFit="1" customWidth="1"/>
    <col min="257" max="257" width="8" style="9" bestFit="1" customWidth="1"/>
    <col min="258" max="258" width="10.26953125" style="9" bestFit="1" customWidth="1"/>
    <col min="259" max="259" width="8" style="9" bestFit="1" customWidth="1"/>
    <col min="260" max="260" width="10.26953125" style="9" bestFit="1" customWidth="1"/>
    <col min="261" max="261" width="8" style="9" bestFit="1" customWidth="1"/>
    <col min="262" max="262" width="10.26953125" style="9" bestFit="1" customWidth="1"/>
    <col min="263" max="263" width="8" style="9" bestFit="1" customWidth="1"/>
    <col min="264" max="264" width="10.26953125" style="9" bestFit="1" customWidth="1"/>
    <col min="265" max="265" width="7.1796875" style="9" bestFit="1" customWidth="1"/>
    <col min="266" max="266" width="9.26953125" style="9" bestFit="1" customWidth="1"/>
    <col min="267" max="267" width="8" style="9" bestFit="1" customWidth="1"/>
    <col min="268" max="268" width="10.26953125" style="9" bestFit="1" customWidth="1"/>
    <col min="269" max="269" width="7.81640625" style="9" bestFit="1" customWidth="1"/>
    <col min="270" max="270" width="9.26953125" style="9" bestFit="1" customWidth="1"/>
    <col min="271" max="271" width="8" style="9" bestFit="1" customWidth="1"/>
    <col min="272" max="272" width="10.26953125" style="9" bestFit="1" customWidth="1"/>
    <col min="273" max="273" width="7.1796875" style="9" bestFit="1" customWidth="1"/>
    <col min="274" max="274" width="9.26953125" style="9" bestFit="1" customWidth="1"/>
    <col min="275" max="275" width="8" style="9" bestFit="1" customWidth="1"/>
    <col min="276" max="276" width="10.26953125" style="9" bestFit="1" customWidth="1"/>
    <col min="277" max="277" width="7.81640625" style="9" bestFit="1" customWidth="1"/>
    <col min="278" max="278" width="7.7265625" style="9" bestFit="1" customWidth="1"/>
    <col min="279" max="279" width="8" style="9" bestFit="1" customWidth="1"/>
    <col min="280" max="280" width="10.26953125" style="9" bestFit="1" customWidth="1"/>
    <col min="281" max="281" width="8" style="9" bestFit="1" customWidth="1"/>
    <col min="282" max="282" width="10.26953125" style="9" bestFit="1" customWidth="1"/>
    <col min="283" max="283" width="8" style="9" bestFit="1" customWidth="1"/>
    <col min="284" max="284" width="10.26953125" style="9" bestFit="1" customWidth="1"/>
    <col min="285" max="285" width="7.1796875" style="9" bestFit="1" customWidth="1"/>
    <col min="286" max="286" width="9.26953125" style="9" bestFit="1" customWidth="1"/>
    <col min="287" max="287" width="8" style="9" bestFit="1" customWidth="1"/>
    <col min="288" max="288" width="10.26953125" style="9" bestFit="1" customWidth="1"/>
    <col min="289" max="289" width="7.1796875" style="9" bestFit="1" customWidth="1"/>
    <col min="290" max="290" width="9.26953125" style="9" bestFit="1" customWidth="1"/>
    <col min="291" max="291" width="7.81640625" style="9" bestFit="1" customWidth="1"/>
    <col min="292" max="292" width="7.7265625" style="9" bestFit="1" customWidth="1"/>
    <col min="293" max="293" width="8" style="9" bestFit="1" customWidth="1"/>
    <col min="294" max="294" width="10.26953125" style="9" bestFit="1" customWidth="1"/>
    <col min="295" max="295" width="8" style="9" bestFit="1" customWidth="1"/>
    <col min="296" max="296" width="10.26953125" style="9" bestFit="1" customWidth="1"/>
    <col min="297" max="297" width="7.81640625" style="9" bestFit="1" customWidth="1"/>
    <col min="298" max="298" width="9.26953125" style="9" bestFit="1" customWidth="1"/>
    <col min="299" max="299" width="8" style="9" bestFit="1" customWidth="1"/>
    <col min="300" max="300" width="10.26953125" style="9" bestFit="1" customWidth="1"/>
    <col min="301" max="301" width="7.1796875" style="9" bestFit="1" customWidth="1"/>
    <col min="302" max="302" width="9.26953125" style="9" bestFit="1" customWidth="1"/>
    <col min="303" max="303" width="8" style="9" bestFit="1" customWidth="1"/>
    <col min="304" max="304" width="10.26953125" style="9" bestFit="1" customWidth="1"/>
    <col min="305" max="305" width="7.1796875" style="9" bestFit="1" customWidth="1"/>
    <col min="306" max="306" width="9.26953125" style="9" bestFit="1" customWidth="1"/>
    <col min="307" max="308" width="7.81640625" style="9" bestFit="1" customWidth="1"/>
    <col min="309" max="309" width="9.26953125" style="9" bestFit="1" customWidth="1"/>
    <col min="310" max="310" width="7.81640625" style="9" bestFit="1" customWidth="1"/>
    <col min="311" max="311" width="7.7265625" style="9" bestFit="1" customWidth="1"/>
    <col min="312" max="312" width="7.1796875" style="9" bestFit="1" customWidth="1"/>
    <col min="313" max="313" width="9.26953125" style="9" bestFit="1" customWidth="1"/>
    <col min="314" max="314" width="7.1796875" style="9" bestFit="1" customWidth="1"/>
    <col min="315" max="315" width="9.26953125" style="9" bestFit="1" customWidth="1"/>
    <col min="316" max="316" width="8" style="9" bestFit="1" customWidth="1"/>
    <col min="317" max="317" width="10.26953125" style="9" bestFit="1" customWidth="1"/>
    <col min="318" max="318" width="7.81640625" style="9" bestFit="1" customWidth="1"/>
    <col min="319" max="319" width="9.26953125" style="9" bestFit="1" customWidth="1"/>
    <col min="320" max="320" width="8" style="9" bestFit="1" customWidth="1"/>
    <col min="321" max="321" width="10.26953125" style="9" bestFit="1" customWidth="1"/>
    <col min="322" max="322" width="7.81640625" style="9" bestFit="1" customWidth="1"/>
    <col min="323" max="323" width="7.7265625" style="9" bestFit="1" customWidth="1"/>
    <col min="324" max="324" width="7.1796875" style="9" bestFit="1" customWidth="1"/>
    <col min="325" max="325" width="9.26953125" style="9" bestFit="1" customWidth="1"/>
    <col min="326" max="326" width="8" style="9" bestFit="1" customWidth="1"/>
    <col min="327" max="327" width="10.26953125" style="9" bestFit="1" customWidth="1"/>
    <col min="328" max="328" width="7.1796875" style="9" bestFit="1" customWidth="1"/>
    <col min="329" max="329" width="9.26953125" style="9" bestFit="1" customWidth="1"/>
    <col min="330" max="330" width="7.81640625" style="9" bestFit="1" customWidth="1"/>
    <col min="331" max="331" width="9.26953125" style="9" bestFit="1" customWidth="1"/>
    <col min="332" max="332" width="8" style="9" bestFit="1" customWidth="1"/>
    <col min="333" max="333" width="10.26953125" style="9" bestFit="1" customWidth="1"/>
    <col min="334" max="334" width="7.1796875" style="9" bestFit="1" customWidth="1"/>
    <col min="335" max="335" width="9.26953125" style="9" bestFit="1" customWidth="1"/>
    <col min="336" max="336" width="8" style="9" bestFit="1" customWidth="1"/>
    <col min="337" max="337" width="10.26953125" style="9" bestFit="1" customWidth="1"/>
    <col min="338" max="338" width="8" style="9" bestFit="1" customWidth="1"/>
    <col min="339" max="339" width="10.26953125" style="9" bestFit="1" customWidth="1"/>
    <col min="340" max="340" width="8" style="9" bestFit="1" customWidth="1"/>
    <col min="341" max="341" width="10.26953125" style="9" bestFit="1" customWidth="1"/>
    <col min="342" max="342" width="7.81640625" style="9" bestFit="1" customWidth="1"/>
    <col min="343" max="343" width="7.7265625" style="9" bestFit="1" customWidth="1"/>
    <col min="344" max="344" width="8" style="9" bestFit="1" customWidth="1"/>
    <col min="345" max="345" width="10.26953125" style="9" bestFit="1" customWidth="1"/>
    <col min="346" max="346" width="8" style="9" bestFit="1" customWidth="1"/>
    <col min="347" max="347" width="10.26953125" style="9" bestFit="1" customWidth="1"/>
    <col min="348" max="348" width="7.1796875" style="9" bestFit="1" customWidth="1"/>
    <col min="349" max="349" width="9.26953125" style="9" bestFit="1" customWidth="1"/>
    <col min="350" max="350" width="8" style="9" bestFit="1" customWidth="1"/>
    <col min="351" max="351" width="10.26953125" style="9" bestFit="1" customWidth="1"/>
    <col min="352" max="352" width="8" style="9" bestFit="1" customWidth="1"/>
    <col min="353" max="353" width="10.26953125" style="9" bestFit="1" customWidth="1"/>
    <col min="354" max="354" width="8" style="9" bestFit="1" customWidth="1"/>
    <col min="355" max="355" width="10.26953125" style="9" bestFit="1" customWidth="1"/>
    <col min="356" max="356" width="8" style="9" bestFit="1" customWidth="1"/>
    <col min="357" max="357" width="10.26953125" style="9" bestFit="1" customWidth="1"/>
    <col min="358" max="358" width="8" style="9" bestFit="1" customWidth="1"/>
    <col min="359" max="359" width="10.26953125" style="9" bestFit="1" customWidth="1"/>
    <col min="360" max="360" width="8" style="9" bestFit="1" customWidth="1"/>
    <col min="361" max="361" width="10.26953125" style="9" bestFit="1" customWidth="1"/>
    <col min="362" max="362" width="8" style="9" bestFit="1" customWidth="1"/>
    <col min="363" max="363" width="10.26953125" style="9" bestFit="1" customWidth="1"/>
    <col min="364" max="364" width="8" style="9" bestFit="1" customWidth="1"/>
    <col min="365" max="365" width="10.26953125" style="9" bestFit="1" customWidth="1"/>
    <col min="366" max="366" width="8" style="9" bestFit="1" customWidth="1"/>
    <col min="367" max="367" width="10.26953125" style="9" bestFit="1" customWidth="1"/>
    <col min="368" max="368" width="7.1796875" style="9" bestFit="1" customWidth="1"/>
    <col min="369" max="369" width="9.26953125" style="9" bestFit="1" customWidth="1"/>
    <col min="370" max="370" width="7.81640625" style="9" bestFit="1" customWidth="1"/>
    <col min="371" max="371" width="7.7265625" style="9" bestFit="1" customWidth="1"/>
    <col min="372" max="372" width="8" style="9" bestFit="1" customWidth="1"/>
    <col min="373" max="373" width="10.26953125" style="9" bestFit="1" customWidth="1"/>
    <col min="374" max="374" width="8" style="9" bestFit="1" customWidth="1"/>
    <col min="375" max="375" width="10.26953125" style="9" bestFit="1" customWidth="1"/>
    <col min="376" max="376" width="8" style="9" bestFit="1" customWidth="1"/>
    <col min="377" max="377" width="10.26953125" style="9" bestFit="1" customWidth="1"/>
    <col min="378" max="378" width="7.81640625" style="9" bestFit="1" customWidth="1"/>
    <col min="379" max="379" width="9.26953125" style="9" bestFit="1" customWidth="1"/>
    <col min="380" max="380" width="7.81640625" style="9" bestFit="1" customWidth="1"/>
    <col min="381" max="381" width="9.26953125" style="9" bestFit="1" customWidth="1"/>
    <col min="382" max="382" width="7.81640625" style="9" bestFit="1" customWidth="1"/>
    <col min="383" max="383" width="7.7265625" style="9" bestFit="1" customWidth="1"/>
    <col min="384" max="384" width="8" style="9" bestFit="1" customWidth="1"/>
    <col min="385" max="385" width="10.26953125" style="9" bestFit="1" customWidth="1"/>
    <col min="386" max="386" width="8" style="9" bestFit="1" customWidth="1"/>
    <col min="387" max="387" width="10.26953125" style="9" bestFit="1" customWidth="1"/>
    <col min="388" max="388" width="7.1796875" style="9" bestFit="1" customWidth="1"/>
    <col min="389" max="389" width="9.26953125" style="9" bestFit="1" customWidth="1"/>
    <col min="390" max="390" width="8" style="9" bestFit="1" customWidth="1"/>
    <col min="391" max="391" width="10.26953125" style="9" bestFit="1" customWidth="1"/>
    <col min="392" max="392" width="8" style="9" bestFit="1" customWidth="1"/>
    <col min="393" max="393" width="10.26953125" style="9" bestFit="1" customWidth="1"/>
    <col min="394" max="394" width="7.1796875" style="9" bestFit="1" customWidth="1"/>
    <col min="395" max="395" width="7.7265625" style="9" bestFit="1" customWidth="1"/>
    <col min="396" max="396" width="7.81640625" style="9" bestFit="1" customWidth="1"/>
    <col min="397" max="397" width="9.26953125" style="9" bestFit="1" customWidth="1"/>
    <col min="398" max="398" width="8" style="9" bestFit="1" customWidth="1"/>
    <col min="399" max="399" width="10.26953125" style="9" bestFit="1" customWidth="1"/>
    <col min="400" max="400" width="7.1796875" style="9" bestFit="1" customWidth="1"/>
    <col min="401" max="401" width="9.26953125" style="9" bestFit="1" customWidth="1"/>
    <col min="402" max="402" width="8" style="9" bestFit="1" customWidth="1"/>
    <col min="403" max="403" width="10.26953125" style="9" bestFit="1" customWidth="1"/>
    <col min="404" max="404" width="7.81640625" style="9" bestFit="1" customWidth="1"/>
    <col min="405" max="405" width="7.7265625" style="9" bestFit="1" customWidth="1"/>
    <col min="406" max="406" width="8" style="9" bestFit="1" customWidth="1"/>
    <col min="407" max="407" width="10.26953125" style="9" bestFit="1" customWidth="1"/>
    <col min="408" max="408" width="8" style="9" bestFit="1" customWidth="1"/>
    <col min="409" max="409" width="10.26953125" style="9" bestFit="1" customWidth="1"/>
    <col min="410" max="410" width="8" style="9" bestFit="1" customWidth="1"/>
    <col min="411" max="411" width="10.26953125" style="9" bestFit="1" customWidth="1"/>
    <col min="412" max="412" width="8" style="9" bestFit="1" customWidth="1"/>
    <col min="413" max="413" width="10.26953125" style="9" bestFit="1" customWidth="1"/>
    <col min="414" max="414" width="8" style="9" bestFit="1" customWidth="1"/>
    <col min="415" max="415" width="10.26953125" style="9" bestFit="1" customWidth="1"/>
    <col min="416" max="416" width="7.81640625" style="9" bestFit="1" customWidth="1"/>
    <col min="417" max="417" width="7.7265625" style="9" bestFit="1" customWidth="1"/>
    <col min="418" max="418" width="7.81640625" style="9" bestFit="1" customWidth="1"/>
    <col min="419" max="419" width="9.26953125" style="9" bestFit="1" customWidth="1"/>
    <col min="420" max="420" width="7.81640625" style="9" bestFit="1" customWidth="1"/>
    <col min="421" max="421" width="7.7265625" style="9" bestFit="1" customWidth="1"/>
    <col min="422" max="422" width="8" style="9" bestFit="1" customWidth="1"/>
    <col min="423" max="423" width="10.26953125" style="9" bestFit="1" customWidth="1"/>
    <col min="424" max="424" width="7.81640625" style="9" bestFit="1" customWidth="1"/>
    <col min="425" max="425" width="9.26953125" style="9" bestFit="1" customWidth="1"/>
    <col min="426" max="426" width="8" style="9" bestFit="1" customWidth="1"/>
    <col min="427" max="427" width="10.26953125" style="9" bestFit="1" customWidth="1"/>
    <col min="428" max="428" width="7.1796875" style="9" bestFit="1" customWidth="1"/>
    <col min="429" max="429" width="9.26953125" style="9" bestFit="1" customWidth="1"/>
    <col min="430" max="430" width="8" style="9" bestFit="1" customWidth="1"/>
    <col min="431" max="431" width="10.26953125" style="9" bestFit="1" customWidth="1"/>
    <col min="432" max="432" width="7.81640625" style="9" bestFit="1" customWidth="1"/>
    <col min="433" max="433" width="7.7265625" style="9" bestFit="1" customWidth="1"/>
    <col min="434" max="434" width="8" style="9" bestFit="1" customWidth="1"/>
    <col min="435" max="435" width="10.26953125" style="9" bestFit="1" customWidth="1"/>
    <col min="436" max="436" width="8" style="9" bestFit="1" customWidth="1"/>
    <col min="437" max="437" width="10.26953125" style="9" bestFit="1" customWidth="1"/>
    <col min="438" max="438" width="7.1796875" style="9" bestFit="1" customWidth="1"/>
    <col min="439" max="439" width="9.26953125" style="9" bestFit="1" customWidth="1"/>
    <col min="440" max="440" width="8" style="9" bestFit="1" customWidth="1"/>
    <col min="441" max="441" width="10.26953125" style="9" bestFit="1" customWidth="1"/>
    <col min="442" max="442" width="8" style="9" bestFit="1" customWidth="1"/>
    <col min="443" max="443" width="10.26953125" style="9" bestFit="1" customWidth="1"/>
    <col min="444" max="444" width="7.1796875" style="9" bestFit="1" customWidth="1"/>
    <col min="445" max="445" width="9.26953125" style="9" bestFit="1" customWidth="1"/>
    <col min="446" max="446" width="7.81640625" style="9" bestFit="1" customWidth="1"/>
    <col min="447" max="447" width="7.7265625" style="9" bestFit="1" customWidth="1"/>
    <col min="448" max="448" width="7.1796875" style="9" bestFit="1" customWidth="1"/>
    <col min="449" max="449" width="9.26953125" style="9" bestFit="1" customWidth="1"/>
    <col min="450" max="450" width="8" style="9" bestFit="1" customWidth="1"/>
    <col min="451" max="451" width="10.26953125" style="9" bestFit="1" customWidth="1"/>
    <col min="452" max="452" width="8" style="9" bestFit="1" customWidth="1"/>
    <col min="453" max="453" width="10.26953125" style="9" bestFit="1" customWidth="1"/>
    <col min="454" max="454" width="7.81640625" style="9" bestFit="1" customWidth="1"/>
    <col min="455" max="455" width="7.7265625" style="9" bestFit="1" customWidth="1"/>
    <col min="456" max="456" width="8" style="9" bestFit="1" customWidth="1"/>
    <col min="457" max="457" width="10.26953125" style="9" bestFit="1" customWidth="1"/>
    <col min="458" max="458" width="7.81640625" style="9" bestFit="1" customWidth="1"/>
    <col min="459" max="459" width="9.26953125" style="9" bestFit="1" customWidth="1"/>
    <col min="460" max="460" width="8" style="9" bestFit="1" customWidth="1"/>
    <col min="461" max="461" width="10.26953125" style="9" bestFit="1" customWidth="1"/>
    <col min="462" max="462" width="8" style="9" bestFit="1" customWidth="1"/>
    <col min="463" max="463" width="10.26953125" style="9" bestFit="1" customWidth="1"/>
    <col min="464" max="464" width="8" style="9" bestFit="1" customWidth="1"/>
    <col min="465" max="465" width="10.26953125" style="9" bestFit="1" customWidth="1"/>
    <col min="466" max="466" width="8" style="9" bestFit="1" customWidth="1"/>
    <col min="467" max="467" width="10.26953125" style="9" bestFit="1" customWidth="1"/>
    <col min="468" max="468" width="7.81640625" style="9" bestFit="1" customWidth="1"/>
    <col min="469" max="469" width="7.7265625" style="9" bestFit="1" customWidth="1"/>
    <col min="470" max="470" width="8" style="9" bestFit="1" customWidth="1"/>
    <col min="471" max="471" width="10.26953125" style="9" bestFit="1" customWidth="1"/>
    <col min="472" max="472" width="7.1796875" style="9" bestFit="1" customWidth="1"/>
    <col min="473" max="473" width="9.26953125" style="9" bestFit="1" customWidth="1"/>
    <col min="474" max="474" width="8" style="9" bestFit="1" customWidth="1"/>
    <col min="475" max="475" width="10.26953125" style="9" bestFit="1" customWidth="1"/>
    <col min="476" max="476" width="8" style="9" bestFit="1" customWidth="1"/>
    <col min="477" max="477" width="10.26953125" style="9" bestFit="1" customWidth="1"/>
    <col min="478" max="478" width="7.1796875" style="9" bestFit="1" customWidth="1"/>
    <col min="479" max="479" width="9.26953125" style="9" bestFit="1" customWidth="1"/>
    <col min="480" max="480" width="8" style="9" bestFit="1" customWidth="1"/>
    <col min="481" max="481" width="10.26953125" style="9" bestFit="1" customWidth="1"/>
    <col min="482" max="482" width="8" style="9" bestFit="1" customWidth="1"/>
    <col min="483" max="483" width="10.26953125" style="9" bestFit="1" customWidth="1"/>
    <col min="484" max="484" width="7.81640625" style="9" bestFit="1" customWidth="1"/>
    <col min="485" max="485" width="9.26953125" style="9" bestFit="1" customWidth="1"/>
    <col min="486" max="486" width="9" style="9" bestFit="1" customWidth="1"/>
    <col min="487" max="487" width="11.26953125" style="9" bestFit="1" customWidth="1"/>
    <col min="488" max="488" width="7.81640625" style="9" bestFit="1" customWidth="1"/>
    <col min="489" max="489" width="7.7265625" style="9" bestFit="1" customWidth="1"/>
    <col min="490" max="490" width="7.1796875" style="9" bestFit="1" customWidth="1"/>
    <col min="491" max="491" width="9.26953125" style="9" bestFit="1" customWidth="1"/>
    <col min="492" max="492" width="8" style="9" bestFit="1" customWidth="1"/>
    <col min="493" max="493" width="10.26953125" style="9" bestFit="1" customWidth="1"/>
    <col min="494" max="494" width="8" style="9" bestFit="1" customWidth="1"/>
    <col min="495" max="495" width="10.26953125" style="9" bestFit="1" customWidth="1"/>
    <col min="496" max="496" width="7.1796875" style="9" bestFit="1" customWidth="1"/>
    <col min="497" max="497" width="9.26953125" style="9" bestFit="1" customWidth="1"/>
    <col min="498" max="498" width="8" style="9" bestFit="1" customWidth="1"/>
    <col min="499" max="499" width="10.26953125" style="9" bestFit="1" customWidth="1"/>
    <col min="500" max="500" width="8" style="9" bestFit="1" customWidth="1"/>
    <col min="501" max="501" width="10.26953125" style="9" bestFit="1" customWidth="1"/>
    <col min="502" max="502" width="8" style="9" bestFit="1" customWidth="1"/>
    <col min="503" max="503" width="10.26953125" style="9" bestFit="1" customWidth="1"/>
    <col min="504" max="504" width="7.81640625" style="9" bestFit="1" customWidth="1"/>
    <col min="505" max="505" width="7.7265625" style="9" bestFit="1" customWidth="1"/>
    <col min="506" max="506" width="8" style="9" bestFit="1" customWidth="1"/>
    <col min="507" max="507" width="10.26953125" style="9" bestFit="1" customWidth="1"/>
    <col min="508" max="508" width="7.81640625" style="9" bestFit="1" customWidth="1"/>
    <col min="509" max="509" width="9.26953125" style="9" bestFit="1" customWidth="1"/>
    <col min="510" max="510" width="7.81640625" style="9" bestFit="1" customWidth="1"/>
    <col min="511" max="511" width="9.26953125" style="9" bestFit="1" customWidth="1"/>
    <col min="512" max="512" width="8" style="9" bestFit="1" customWidth="1"/>
    <col min="513" max="513" width="10.26953125" style="9" bestFit="1" customWidth="1"/>
    <col min="514" max="514" width="8" style="9" bestFit="1" customWidth="1"/>
    <col min="515" max="515" width="10.26953125" style="9" bestFit="1" customWidth="1"/>
    <col min="516" max="516" width="8" style="9" bestFit="1" customWidth="1"/>
    <col min="517" max="517" width="10.26953125" style="9" bestFit="1" customWidth="1"/>
    <col min="518" max="518" width="7.81640625" style="9" bestFit="1" customWidth="1"/>
    <col min="519" max="519" width="7.7265625" style="9" bestFit="1" customWidth="1"/>
    <col min="520" max="520" width="8" style="9" bestFit="1" customWidth="1"/>
    <col min="521" max="521" width="10.26953125" style="9" bestFit="1" customWidth="1"/>
    <col min="522" max="522" width="7.81640625" style="9" bestFit="1" customWidth="1"/>
    <col min="523" max="523" width="9.26953125" style="9" bestFit="1" customWidth="1"/>
    <col min="524" max="524" width="7.1796875" style="9" bestFit="1" customWidth="1"/>
    <col min="525" max="525" width="9.26953125" style="9" bestFit="1" customWidth="1"/>
    <col min="526" max="526" width="8" style="9" bestFit="1" customWidth="1"/>
    <col min="527" max="527" width="10.26953125" style="9" bestFit="1" customWidth="1"/>
    <col min="528" max="528" width="8" style="9" bestFit="1" customWidth="1"/>
    <col min="529" max="529" width="10.26953125" style="9" bestFit="1" customWidth="1"/>
    <col min="530" max="530" width="8" style="9" bestFit="1" customWidth="1"/>
    <col min="531" max="531" width="10.26953125" style="9" bestFit="1" customWidth="1"/>
    <col min="532" max="532" width="8" style="9" bestFit="1" customWidth="1"/>
    <col min="533" max="533" width="10.26953125" style="9" bestFit="1" customWidth="1"/>
    <col min="534" max="534" width="7.81640625" style="9" bestFit="1" customWidth="1"/>
    <col min="535" max="535" width="9.26953125" style="9" bestFit="1" customWidth="1"/>
    <col min="536" max="536" width="7.81640625" style="9" bestFit="1" customWidth="1"/>
    <col min="537" max="537" width="7.7265625" style="9" bestFit="1" customWidth="1"/>
    <col min="538" max="538" width="7.81640625" style="9" bestFit="1" customWidth="1"/>
    <col min="539" max="539" width="9.26953125" style="9" bestFit="1" customWidth="1"/>
    <col min="540" max="540" width="8" style="9" bestFit="1" customWidth="1"/>
    <col min="541" max="541" width="10.26953125" style="9" bestFit="1" customWidth="1"/>
    <col min="542" max="542" width="8" style="9" bestFit="1" customWidth="1"/>
    <col min="543" max="543" width="10.26953125" style="9" bestFit="1" customWidth="1"/>
    <col min="544" max="544" width="7.1796875" style="9" bestFit="1" customWidth="1"/>
    <col min="545" max="545" width="9.26953125" style="9" bestFit="1" customWidth="1"/>
    <col min="546" max="546" width="7.81640625" style="9" bestFit="1" customWidth="1"/>
    <col min="547" max="547" width="9.26953125" style="9" bestFit="1" customWidth="1"/>
    <col min="548" max="548" width="8" style="9" bestFit="1" customWidth="1"/>
    <col min="549" max="549" width="10.26953125" style="9" bestFit="1" customWidth="1"/>
    <col min="550" max="550" width="8" style="9" bestFit="1" customWidth="1"/>
    <col min="551" max="551" width="10.26953125" style="9" bestFit="1" customWidth="1"/>
    <col min="552" max="552" width="8" style="9" bestFit="1" customWidth="1"/>
    <col min="553" max="553" width="10.26953125" style="9" bestFit="1" customWidth="1"/>
    <col min="554" max="554" width="8" style="9" bestFit="1" customWidth="1"/>
    <col min="555" max="555" width="10.26953125" style="9" bestFit="1" customWidth="1"/>
    <col min="556" max="556" width="7.1796875" style="9" bestFit="1" customWidth="1"/>
    <col min="557" max="557" width="9.26953125" style="9" bestFit="1" customWidth="1"/>
    <col min="558" max="558" width="8" style="9" bestFit="1" customWidth="1"/>
    <col min="559" max="559" width="10.26953125" style="9" bestFit="1" customWidth="1"/>
    <col min="560" max="560" width="8" style="9" bestFit="1" customWidth="1"/>
    <col min="561" max="561" width="10.26953125" style="9" bestFit="1" customWidth="1"/>
    <col min="562" max="562" width="8" style="9" bestFit="1" customWidth="1"/>
    <col min="563" max="563" width="10.26953125" style="9" bestFit="1" customWidth="1"/>
    <col min="564" max="564" width="7.81640625" style="9" bestFit="1" customWidth="1"/>
    <col min="565" max="565" width="7.7265625" style="9" bestFit="1" customWidth="1"/>
    <col min="566" max="566" width="8" style="9" bestFit="1" customWidth="1"/>
    <col min="567" max="567" width="10.26953125" style="9" bestFit="1" customWidth="1"/>
    <col min="568" max="568" width="7.1796875" style="9" bestFit="1" customWidth="1"/>
    <col min="569" max="569" width="9.26953125" style="9" bestFit="1" customWidth="1"/>
    <col min="570" max="570" width="8" style="9" bestFit="1" customWidth="1"/>
    <col min="571" max="571" width="10.26953125" style="9" bestFit="1" customWidth="1"/>
    <col min="572" max="572" width="7.81640625" style="9" bestFit="1" customWidth="1"/>
    <col min="573" max="573" width="9.26953125" style="9" bestFit="1" customWidth="1"/>
    <col min="574" max="574" width="7.1796875" style="9" bestFit="1" customWidth="1"/>
    <col min="575" max="575" width="9.26953125" style="9" bestFit="1" customWidth="1"/>
    <col min="576" max="576" width="8" style="9" bestFit="1" customWidth="1"/>
    <col min="577" max="577" width="10.26953125" style="9" bestFit="1" customWidth="1"/>
    <col min="578" max="578" width="7.1796875" style="9" bestFit="1" customWidth="1"/>
    <col min="579" max="579" width="9.26953125" style="9" bestFit="1" customWidth="1"/>
    <col min="580" max="580" width="7.81640625" style="9" bestFit="1" customWidth="1"/>
    <col min="581" max="581" width="7.7265625" style="9" bestFit="1" customWidth="1"/>
    <col min="582" max="582" width="8" style="9" bestFit="1" customWidth="1"/>
    <col min="583" max="583" width="10.26953125" style="9" bestFit="1" customWidth="1"/>
    <col min="584" max="584" width="7.81640625" style="9" bestFit="1" customWidth="1"/>
    <col min="585" max="585" width="9.26953125" style="9" bestFit="1" customWidth="1"/>
    <col min="586" max="586" width="8" style="9" bestFit="1" customWidth="1"/>
    <col min="587" max="587" width="10.26953125" style="9" bestFit="1" customWidth="1"/>
    <col min="588" max="588" width="8" style="9" bestFit="1" customWidth="1"/>
    <col min="589" max="589" width="10.26953125" style="9" bestFit="1" customWidth="1"/>
    <col min="590" max="590" width="8" style="9" bestFit="1" customWidth="1"/>
    <col min="591" max="591" width="10.26953125" style="9" bestFit="1" customWidth="1"/>
    <col min="592" max="592" width="7.1796875" style="9" bestFit="1" customWidth="1"/>
    <col min="593" max="593" width="9.26953125" style="9" bestFit="1" customWidth="1"/>
    <col min="594" max="594" width="8" style="9" bestFit="1" customWidth="1"/>
    <col min="595" max="595" width="10.26953125" style="9" bestFit="1" customWidth="1"/>
    <col min="596" max="596" width="7.81640625" style="9" bestFit="1" customWidth="1"/>
    <col min="597" max="597" width="9.26953125" style="9" bestFit="1" customWidth="1"/>
    <col min="598" max="598" width="7.1796875" style="9" bestFit="1" customWidth="1"/>
    <col min="599" max="599" width="9.26953125" style="9" bestFit="1" customWidth="1"/>
    <col min="600" max="600" width="8" style="9" bestFit="1" customWidth="1"/>
    <col min="601" max="601" width="10.26953125" style="9" bestFit="1" customWidth="1"/>
    <col min="602" max="602" width="7.1796875" style="9" bestFit="1" customWidth="1"/>
    <col min="603" max="603" width="9.26953125" style="9" bestFit="1" customWidth="1"/>
    <col min="604" max="604" width="7.81640625" style="9" bestFit="1" customWidth="1"/>
    <col min="605" max="605" width="8.7265625" style="9" bestFit="1" customWidth="1"/>
    <col min="606" max="606" width="9" style="9" bestFit="1" customWidth="1"/>
    <col min="607" max="607" width="11.26953125" style="9" bestFit="1" customWidth="1"/>
    <col min="608" max="608" width="9" style="9" bestFit="1" customWidth="1"/>
    <col min="609" max="609" width="11.26953125" style="9" bestFit="1" customWidth="1"/>
    <col min="610" max="610" width="8" style="9" bestFit="1" customWidth="1"/>
    <col min="611" max="611" width="10.26953125" style="9" bestFit="1" customWidth="1"/>
    <col min="612" max="612" width="9" style="9" bestFit="1" customWidth="1"/>
    <col min="613" max="613" width="11.26953125" style="9" bestFit="1" customWidth="1"/>
    <col min="614" max="614" width="7.81640625" style="9" bestFit="1" customWidth="1"/>
    <col min="615" max="615" width="8.7265625" style="9" bestFit="1" customWidth="1"/>
    <col min="616" max="616" width="9" style="9" bestFit="1" customWidth="1"/>
    <col min="617" max="617" width="11.26953125" style="9" bestFit="1" customWidth="1"/>
    <col min="618" max="618" width="8" style="9" bestFit="1" customWidth="1"/>
    <col min="619" max="619" width="10.26953125" style="9" bestFit="1" customWidth="1"/>
    <col min="620" max="620" width="9" style="9" bestFit="1" customWidth="1"/>
    <col min="621" max="621" width="11.26953125" style="9" bestFit="1" customWidth="1"/>
    <col min="622" max="622" width="8" style="9" bestFit="1" customWidth="1"/>
    <col min="623" max="623" width="10.26953125" style="9" bestFit="1" customWidth="1"/>
    <col min="624" max="624" width="9" style="9" bestFit="1" customWidth="1"/>
    <col min="625" max="625" width="11.26953125" style="9" bestFit="1" customWidth="1"/>
    <col min="626" max="626" width="9" style="9" bestFit="1" customWidth="1"/>
    <col min="627" max="627" width="11.26953125" style="9" bestFit="1" customWidth="1"/>
    <col min="628" max="628" width="8" style="9" bestFit="1" customWidth="1"/>
    <col min="629" max="629" width="10.26953125" style="9" bestFit="1" customWidth="1"/>
    <col min="630" max="630" width="7.81640625" style="9" bestFit="1" customWidth="1"/>
    <col min="631" max="631" width="8.7265625" style="9" bestFit="1" customWidth="1"/>
    <col min="632" max="632" width="9" style="9" bestFit="1" customWidth="1"/>
    <col min="633" max="633" width="11.26953125" style="9" bestFit="1" customWidth="1"/>
    <col min="634" max="634" width="7.81640625" style="9" bestFit="1" customWidth="1"/>
    <col min="635" max="635" width="8.7265625" style="9" bestFit="1" customWidth="1"/>
    <col min="636" max="636" width="9" style="9" bestFit="1" customWidth="1"/>
    <col min="637" max="637" width="11.26953125" style="9" bestFit="1" customWidth="1"/>
    <col min="638" max="638" width="9" style="9" bestFit="1" customWidth="1"/>
    <col min="639" max="639" width="11.26953125" style="9" bestFit="1" customWidth="1"/>
    <col min="640" max="640" width="9" style="9" bestFit="1" customWidth="1"/>
    <col min="641" max="641" width="11.26953125" style="9" bestFit="1" customWidth="1"/>
    <col min="642" max="642" width="9" style="9" bestFit="1" customWidth="1"/>
    <col min="643" max="643" width="11.26953125" style="9" bestFit="1" customWidth="1"/>
    <col min="644" max="644" width="7.81640625" style="9" bestFit="1" customWidth="1"/>
    <col min="645" max="645" width="8.7265625" style="9" bestFit="1" customWidth="1"/>
    <col min="646" max="646" width="8" style="9" bestFit="1" customWidth="1"/>
    <col min="647" max="647" width="10.26953125" style="9" bestFit="1" customWidth="1"/>
    <col min="648" max="648" width="8" style="9" bestFit="1" customWidth="1"/>
    <col min="649" max="649" width="10.26953125" style="9" bestFit="1" customWidth="1"/>
    <col min="650" max="650" width="9" style="9" bestFit="1" customWidth="1"/>
    <col min="651" max="651" width="11.26953125" style="9" bestFit="1" customWidth="1"/>
    <col min="652" max="652" width="9" style="9" bestFit="1" customWidth="1"/>
    <col min="653" max="653" width="11.26953125" style="9" bestFit="1" customWidth="1"/>
    <col min="654" max="654" width="9" style="9" bestFit="1" customWidth="1"/>
    <col min="655" max="655" width="11.26953125" style="9" bestFit="1" customWidth="1"/>
    <col min="656" max="656" width="9" style="9" bestFit="1" customWidth="1"/>
    <col min="657" max="657" width="11.26953125" style="9" bestFit="1" customWidth="1"/>
    <col min="658" max="658" width="9" style="9" bestFit="1" customWidth="1"/>
    <col min="659" max="659" width="11.26953125" style="9" bestFit="1" customWidth="1"/>
    <col min="660" max="660" width="9" style="9" bestFit="1" customWidth="1"/>
    <col min="661" max="661" width="11.26953125" style="9" bestFit="1" customWidth="1"/>
    <col min="662" max="662" width="9" style="9" bestFit="1" customWidth="1"/>
    <col min="663" max="663" width="11.26953125" style="9" bestFit="1" customWidth="1"/>
    <col min="664" max="664" width="9" style="9" bestFit="1" customWidth="1"/>
    <col min="665" max="665" width="11.26953125" style="9" bestFit="1" customWidth="1"/>
    <col min="666" max="666" width="9" style="9" bestFit="1" customWidth="1"/>
    <col min="667" max="667" width="11.26953125" style="9" bestFit="1" customWidth="1"/>
    <col min="668" max="668" width="9" style="9" bestFit="1" customWidth="1"/>
    <col min="669" max="669" width="11.26953125" style="9" bestFit="1" customWidth="1"/>
    <col min="670" max="670" width="9" style="9" bestFit="1" customWidth="1"/>
    <col min="671" max="671" width="11.26953125" style="9" bestFit="1" customWidth="1"/>
    <col min="672" max="672" width="8" style="9" bestFit="1" customWidth="1"/>
    <col min="673" max="673" width="10.26953125" style="9" bestFit="1" customWidth="1"/>
    <col min="674" max="674" width="8" style="9" bestFit="1" customWidth="1"/>
    <col min="675" max="675" width="10.26953125" style="9" bestFit="1" customWidth="1"/>
    <col min="676" max="676" width="8" style="9" bestFit="1" customWidth="1"/>
    <col min="677" max="677" width="10.26953125" style="9" bestFit="1" customWidth="1"/>
    <col min="678" max="678" width="7.81640625" style="9" bestFit="1" customWidth="1"/>
    <col min="679" max="679" width="8.7265625" style="9" bestFit="1" customWidth="1"/>
    <col min="680" max="680" width="9" style="9" bestFit="1" customWidth="1"/>
    <col min="681" max="681" width="11.26953125" style="9" bestFit="1" customWidth="1"/>
    <col min="682" max="682" width="8" style="9" bestFit="1" customWidth="1"/>
    <col min="683" max="683" width="10.26953125" style="9" bestFit="1" customWidth="1"/>
    <col min="684" max="684" width="8" style="9" bestFit="1" customWidth="1"/>
    <col min="685" max="685" width="10.26953125" style="9" bestFit="1" customWidth="1"/>
    <col min="686" max="686" width="9" style="9" bestFit="1" customWidth="1"/>
    <col min="687" max="687" width="11.26953125" style="9" bestFit="1" customWidth="1"/>
    <col min="688" max="688" width="7.81640625" style="9" bestFit="1" customWidth="1"/>
    <col min="689" max="689" width="8.7265625" style="9" bestFit="1" customWidth="1"/>
    <col min="690" max="691" width="9" style="9" bestFit="1" customWidth="1"/>
    <col min="692" max="692" width="11.26953125" style="9" bestFit="1" customWidth="1"/>
    <col min="693" max="693" width="9" style="9" bestFit="1" customWidth="1"/>
    <col min="694" max="694" width="11.26953125" style="9" bestFit="1" customWidth="1"/>
    <col min="695" max="695" width="9" style="9" bestFit="1" customWidth="1"/>
    <col min="696" max="696" width="11.26953125" style="9" bestFit="1" customWidth="1"/>
    <col min="697" max="697" width="7.81640625" style="9" bestFit="1" customWidth="1"/>
    <col min="698" max="698" width="8.7265625" style="9" bestFit="1" customWidth="1"/>
    <col min="699" max="699" width="8" style="9" bestFit="1" customWidth="1"/>
    <col min="700" max="700" width="10.26953125" style="9" bestFit="1" customWidth="1"/>
    <col min="701" max="701" width="7.81640625" style="9" bestFit="1" customWidth="1"/>
    <col min="702" max="702" width="8.7265625" style="9" bestFit="1" customWidth="1"/>
    <col min="703" max="703" width="7.81640625" style="9" bestFit="1" customWidth="1"/>
    <col min="704" max="704" width="8.7265625" style="9" bestFit="1" customWidth="1"/>
    <col min="705" max="705" width="9" style="9" bestFit="1" customWidth="1"/>
    <col min="706" max="706" width="11.26953125" style="9" bestFit="1" customWidth="1"/>
    <col min="707" max="707" width="9" style="9" bestFit="1" customWidth="1"/>
    <col min="708" max="708" width="11.26953125" style="9" bestFit="1" customWidth="1"/>
    <col min="709" max="709" width="8" style="9" bestFit="1" customWidth="1"/>
    <col min="710" max="710" width="10.26953125" style="9" bestFit="1" customWidth="1"/>
    <col min="711" max="711" width="9" style="9" bestFit="1" customWidth="1"/>
    <col min="712" max="712" width="11.26953125" style="9" bestFit="1" customWidth="1"/>
    <col min="713" max="713" width="8" style="9" bestFit="1" customWidth="1"/>
    <col min="714" max="714" width="10.26953125" style="9" bestFit="1" customWidth="1"/>
    <col min="715" max="715" width="8" style="9" bestFit="1" customWidth="1"/>
    <col min="716" max="716" width="10.26953125" style="9" bestFit="1" customWidth="1"/>
    <col min="717" max="717" width="9" style="9" bestFit="1" customWidth="1"/>
    <col min="718" max="718" width="11.26953125" style="9" bestFit="1" customWidth="1"/>
    <col min="719" max="719" width="8" style="9" bestFit="1" customWidth="1"/>
    <col min="720" max="720" width="10.26953125" style="9" bestFit="1" customWidth="1"/>
    <col min="721" max="721" width="7.81640625" style="9" bestFit="1" customWidth="1"/>
    <col min="722" max="722" width="8.7265625" style="9" bestFit="1" customWidth="1"/>
    <col min="723" max="723" width="9" style="9" bestFit="1" customWidth="1"/>
    <col min="724" max="724" width="11.26953125" style="9" bestFit="1" customWidth="1"/>
    <col min="725" max="725" width="9" style="9" bestFit="1" customWidth="1"/>
    <col min="726" max="726" width="11.26953125" style="9" bestFit="1" customWidth="1"/>
    <col min="727" max="727" width="9" style="9" bestFit="1" customWidth="1"/>
    <col min="728" max="728" width="11.26953125" style="9" bestFit="1" customWidth="1"/>
    <col min="729" max="729" width="7.81640625" style="9" bestFit="1" customWidth="1"/>
    <col min="730" max="730" width="8.7265625" style="9" bestFit="1" customWidth="1"/>
    <col min="731" max="731" width="8" style="9" bestFit="1" customWidth="1"/>
    <col min="732" max="732" width="10.26953125" style="9" bestFit="1" customWidth="1"/>
    <col min="733" max="733" width="9" style="9" bestFit="1" customWidth="1"/>
    <col min="734" max="734" width="11.26953125" style="9" bestFit="1" customWidth="1"/>
    <col min="735" max="735" width="9" style="9" bestFit="1" customWidth="1"/>
    <col min="736" max="736" width="11.26953125" style="9" bestFit="1" customWidth="1"/>
    <col min="737" max="737" width="9" style="9" bestFit="1" customWidth="1"/>
    <col min="738" max="738" width="11.26953125" style="9" bestFit="1" customWidth="1"/>
    <col min="739" max="740" width="9" style="9" bestFit="1" customWidth="1"/>
    <col min="741" max="741" width="11.26953125" style="9" bestFit="1" customWidth="1"/>
    <col min="742" max="742" width="9" style="9" bestFit="1" customWidth="1"/>
    <col min="743" max="743" width="11.26953125" style="9" bestFit="1" customWidth="1"/>
    <col min="744" max="744" width="9" style="9" bestFit="1" customWidth="1"/>
    <col min="745" max="745" width="11.26953125" style="9" bestFit="1" customWidth="1"/>
    <col min="746" max="746" width="7.81640625" style="9" bestFit="1" customWidth="1"/>
    <col min="747" max="747" width="8.7265625" style="9" bestFit="1" customWidth="1"/>
    <col min="748" max="748" width="9" style="9" bestFit="1" customWidth="1"/>
    <col min="749" max="749" width="11.26953125" style="9" bestFit="1" customWidth="1"/>
    <col min="750" max="750" width="7.81640625" style="9" bestFit="1" customWidth="1"/>
    <col min="751" max="751" width="8.7265625" style="9" bestFit="1" customWidth="1"/>
    <col min="752" max="752" width="9" style="9" bestFit="1" customWidth="1"/>
    <col min="753" max="753" width="11.26953125" style="9" bestFit="1" customWidth="1"/>
    <col min="754" max="754" width="9" style="9" bestFit="1" customWidth="1"/>
    <col min="755" max="755" width="11.26953125" style="9" bestFit="1" customWidth="1"/>
    <col min="756" max="756" width="9" style="9" bestFit="1" customWidth="1"/>
    <col min="757" max="757" width="11.26953125" style="9" bestFit="1" customWidth="1"/>
    <col min="758" max="758" width="8" style="9" bestFit="1" customWidth="1"/>
    <col min="759" max="759" width="10.26953125" style="9" bestFit="1" customWidth="1"/>
    <col min="760" max="760" width="8" style="9" bestFit="1" customWidth="1"/>
    <col min="761" max="761" width="10.26953125" style="9" bestFit="1" customWidth="1"/>
    <col min="762" max="762" width="7.81640625" style="9" bestFit="1" customWidth="1"/>
    <col min="763" max="763" width="8.7265625" style="9" bestFit="1" customWidth="1"/>
    <col min="764" max="764" width="9" style="9" bestFit="1" customWidth="1"/>
    <col min="765" max="765" width="11.26953125" style="9" bestFit="1" customWidth="1"/>
    <col min="766" max="766" width="9" style="9" bestFit="1" customWidth="1"/>
    <col min="767" max="767" width="11.26953125" style="9" bestFit="1" customWidth="1"/>
    <col min="768" max="768" width="9" style="9" bestFit="1" customWidth="1"/>
    <col min="769" max="769" width="11.26953125" style="9" bestFit="1" customWidth="1"/>
    <col min="770" max="770" width="9" style="9" bestFit="1" customWidth="1"/>
    <col min="771" max="771" width="11.26953125" style="9" bestFit="1" customWidth="1"/>
    <col min="772" max="772" width="8" style="9" bestFit="1" customWidth="1"/>
    <col min="773" max="773" width="10.26953125" style="9" bestFit="1" customWidth="1"/>
    <col min="774" max="774" width="9" style="9" bestFit="1" customWidth="1"/>
    <col min="775" max="775" width="11.26953125" style="9" bestFit="1" customWidth="1"/>
    <col min="776" max="776" width="9" style="9" bestFit="1" customWidth="1"/>
    <col min="777" max="777" width="11.26953125" style="9" bestFit="1" customWidth="1"/>
    <col min="778" max="778" width="9" style="9" bestFit="1" customWidth="1"/>
    <col min="779" max="779" width="11.26953125" style="9" bestFit="1" customWidth="1"/>
    <col min="780" max="780" width="8" style="9" bestFit="1" customWidth="1"/>
    <col min="781" max="781" width="10.26953125" style="9" bestFit="1" customWidth="1"/>
    <col min="782" max="782" width="9" style="9" bestFit="1" customWidth="1"/>
    <col min="783" max="783" width="11.26953125" style="9" bestFit="1" customWidth="1"/>
    <col min="784" max="784" width="7.81640625" style="9" bestFit="1" customWidth="1"/>
    <col min="785" max="785" width="8.7265625" style="9" bestFit="1" customWidth="1"/>
    <col min="786" max="786" width="9" style="9" bestFit="1" customWidth="1"/>
    <col min="787" max="787" width="11.26953125" style="9" bestFit="1" customWidth="1"/>
    <col min="788" max="788" width="9" style="9" bestFit="1" customWidth="1"/>
    <col min="789" max="789" width="11.26953125" style="9" bestFit="1" customWidth="1"/>
    <col min="790" max="790" width="9" style="9" bestFit="1" customWidth="1"/>
    <col min="791" max="791" width="11.26953125" style="9" bestFit="1" customWidth="1"/>
    <col min="792" max="792" width="8" style="9" bestFit="1" customWidth="1"/>
    <col min="793" max="793" width="10.26953125" style="9" bestFit="1" customWidth="1"/>
    <col min="794" max="794" width="8" style="9" bestFit="1" customWidth="1"/>
    <col min="795" max="795" width="10.26953125" style="9" bestFit="1" customWidth="1"/>
    <col min="796" max="796" width="9" style="9" bestFit="1" customWidth="1"/>
    <col min="797" max="797" width="11.26953125" style="9" bestFit="1" customWidth="1"/>
    <col min="798" max="798" width="8" style="9" bestFit="1" customWidth="1"/>
    <col min="799" max="799" width="10.26953125" style="9" bestFit="1" customWidth="1"/>
    <col min="800" max="800" width="7.81640625" style="9" bestFit="1" customWidth="1"/>
    <col min="801" max="801" width="8.7265625" style="9" bestFit="1" customWidth="1"/>
    <col min="802" max="802" width="9" style="9" bestFit="1" customWidth="1"/>
    <col min="803" max="803" width="11.26953125" style="9" bestFit="1" customWidth="1"/>
    <col min="804" max="804" width="8" style="9" bestFit="1" customWidth="1"/>
    <col min="805" max="805" width="10.26953125" style="9" bestFit="1" customWidth="1"/>
    <col min="806" max="806" width="9" style="9" bestFit="1" customWidth="1"/>
    <col min="807" max="807" width="11.26953125" style="9" bestFit="1" customWidth="1"/>
    <col min="808" max="808" width="9" style="9" bestFit="1" customWidth="1"/>
    <col min="809" max="809" width="11.26953125" style="9" bestFit="1" customWidth="1"/>
    <col min="810" max="810" width="9" style="9" bestFit="1" customWidth="1"/>
    <col min="811" max="811" width="11.26953125" style="9" bestFit="1" customWidth="1"/>
    <col min="812" max="812" width="8" style="9" bestFit="1" customWidth="1"/>
    <col min="813" max="813" width="10.26953125" style="9" bestFit="1" customWidth="1"/>
    <col min="814" max="814" width="7.1796875" style="9" bestFit="1" customWidth="1"/>
    <col min="815" max="815" width="8.7265625" style="9" bestFit="1" customWidth="1"/>
    <col min="816" max="816" width="9" style="9" bestFit="1" customWidth="1"/>
    <col min="817" max="817" width="11.26953125" style="9" bestFit="1" customWidth="1"/>
    <col min="818" max="818" width="8" style="9" bestFit="1" customWidth="1"/>
    <col min="819" max="819" width="10.26953125" style="9" bestFit="1" customWidth="1"/>
    <col min="820" max="820" width="9" style="9" bestFit="1" customWidth="1"/>
    <col min="821" max="821" width="11.26953125" style="9" bestFit="1" customWidth="1"/>
    <col min="822" max="822" width="8" style="9" bestFit="1" customWidth="1"/>
    <col min="823" max="823" width="10.26953125" style="9" bestFit="1" customWidth="1"/>
    <col min="824" max="824" width="7.81640625" style="9" bestFit="1" customWidth="1"/>
    <col min="825" max="825" width="8.7265625" style="9" bestFit="1" customWidth="1"/>
    <col min="826" max="826" width="8" style="9" bestFit="1" customWidth="1"/>
    <col min="827" max="827" width="10.26953125" style="9" bestFit="1" customWidth="1"/>
    <col min="828" max="828" width="9" style="9" bestFit="1" customWidth="1"/>
    <col min="829" max="829" width="11.26953125" style="9" bestFit="1" customWidth="1"/>
    <col min="830" max="830" width="9" style="9" bestFit="1" customWidth="1"/>
    <col min="831" max="831" width="11.26953125" style="9" bestFit="1" customWidth="1"/>
    <col min="832" max="832" width="7.81640625" style="9" bestFit="1" customWidth="1"/>
    <col min="833" max="833" width="8.7265625" style="9" bestFit="1" customWidth="1"/>
    <col min="834" max="834" width="9" style="9" bestFit="1" customWidth="1"/>
    <col min="835" max="835" width="11.26953125" style="9" bestFit="1" customWidth="1"/>
    <col min="836" max="836" width="9" style="9" bestFit="1" customWidth="1"/>
    <col min="837" max="837" width="11.26953125" style="9" bestFit="1" customWidth="1"/>
    <col min="838" max="838" width="9" style="9" bestFit="1" customWidth="1"/>
    <col min="839" max="839" width="11.26953125" style="9" bestFit="1" customWidth="1"/>
    <col min="840" max="840" width="9" style="9" bestFit="1" customWidth="1"/>
    <col min="841" max="841" width="11.26953125" style="9" bestFit="1" customWidth="1"/>
    <col min="842" max="842" width="9" style="9" bestFit="1" customWidth="1"/>
    <col min="843" max="843" width="11.26953125" style="9" bestFit="1" customWidth="1"/>
    <col min="844" max="844" width="7.81640625" style="9" bestFit="1" customWidth="1"/>
    <col min="845" max="845" width="8.7265625" style="9" bestFit="1" customWidth="1"/>
    <col min="846" max="846" width="8" style="9" bestFit="1" customWidth="1"/>
    <col min="847" max="847" width="10.26953125" style="9" bestFit="1" customWidth="1"/>
    <col min="848" max="848" width="8" style="9" bestFit="1" customWidth="1"/>
    <col min="849" max="849" width="10.26953125" style="9" bestFit="1" customWidth="1"/>
    <col min="850" max="850" width="9" style="9" bestFit="1" customWidth="1"/>
    <col min="851" max="851" width="11.26953125" style="9" bestFit="1" customWidth="1"/>
    <col min="852" max="852" width="9" style="9" bestFit="1" customWidth="1"/>
    <col min="853" max="853" width="11.26953125" style="9" bestFit="1" customWidth="1"/>
    <col min="854" max="854" width="8" style="9" bestFit="1" customWidth="1"/>
    <col min="855" max="855" width="10.26953125" style="9" bestFit="1" customWidth="1"/>
    <col min="856" max="856" width="9" style="9" bestFit="1" customWidth="1"/>
    <col min="857" max="857" width="11.26953125" style="9" bestFit="1" customWidth="1"/>
    <col min="858" max="858" width="9" style="9" bestFit="1" customWidth="1"/>
    <col min="859" max="859" width="11.26953125" style="9" bestFit="1" customWidth="1"/>
    <col min="860" max="860" width="9" style="9" bestFit="1" customWidth="1"/>
    <col min="861" max="861" width="11.26953125" style="9" bestFit="1" customWidth="1"/>
    <col min="862" max="862" width="9" style="9" bestFit="1" customWidth="1"/>
    <col min="863" max="863" width="11.26953125" style="9" bestFit="1" customWidth="1"/>
    <col min="864" max="864" width="9" style="9" bestFit="1" customWidth="1"/>
    <col min="865" max="865" width="11.26953125" style="9" bestFit="1" customWidth="1"/>
    <col min="866" max="866" width="7.81640625" style="9" bestFit="1" customWidth="1"/>
    <col min="867" max="867" width="8.7265625" style="9" bestFit="1" customWidth="1"/>
    <col min="868" max="868" width="7.81640625" style="9" bestFit="1" customWidth="1"/>
    <col min="869" max="869" width="8.7265625" style="9" bestFit="1" customWidth="1"/>
    <col min="870" max="870" width="9" style="9" bestFit="1" customWidth="1"/>
    <col min="871" max="871" width="11.26953125" style="9" bestFit="1" customWidth="1"/>
    <col min="872" max="872" width="9" style="9" bestFit="1" customWidth="1"/>
    <col min="873" max="873" width="11.26953125" style="9" bestFit="1" customWidth="1"/>
    <col min="874" max="874" width="9" style="9" bestFit="1" customWidth="1"/>
    <col min="875" max="875" width="11.26953125" style="9" bestFit="1" customWidth="1"/>
    <col min="876" max="876" width="8" style="9" bestFit="1" customWidth="1"/>
    <col min="877" max="877" width="10.26953125" style="9" bestFit="1" customWidth="1"/>
    <col min="878" max="878" width="7.81640625" style="9" bestFit="1" customWidth="1"/>
    <col min="879" max="879" width="8.7265625" style="9" bestFit="1" customWidth="1"/>
    <col min="880" max="880" width="9" style="9" bestFit="1" customWidth="1"/>
    <col min="881" max="881" width="11.26953125" style="9" bestFit="1" customWidth="1"/>
    <col min="882" max="882" width="9" style="9" bestFit="1" customWidth="1"/>
    <col min="883" max="883" width="11.26953125" style="9" bestFit="1" customWidth="1"/>
    <col min="884" max="884" width="9" style="9" bestFit="1" customWidth="1"/>
    <col min="885" max="885" width="11.26953125" style="9" bestFit="1" customWidth="1"/>
    <col min="886" max="886" width="9" style="9" bestFit="1" customWidth="1"/>
    <col min="887" max="887" width="11.26953125" style="9" bestFit="1" customWidth="1"/>
    <col min="888" max="888" width="9" style="9" bestFit="1" customWidth="1"/>
    <col min="889" max="889" width="11.26953125" style="9" bestFit="1" customWidth="1"/>
    <col min="890" max="890" width="7.81640625" style="9" bestFit="1" customWidth="1"/>
    <col min="891" max="891" width="8.7265625" style="9" bestFit="1" customWidth="1"/>
    <col min="892" max="892" width="9" style="9" bestFit="1" customWidth="1"/>
    <col min="893" max="893" width="11.26953125" style="9" bestFit="1" customWidth="1"/>
    <col min="894" max="894" width="9" style="9" bestFit="1" customWidth="1"/>
    <col min="895" max="895" width="11.26953125" style="9" bestFit="1" customWidth="1"/>
    <col min="896" max="896" width="8" style="9" bestFit="1" customWidth="1"/>
    <col min="897" max="897" width="10.26953125" style="9" bestFit="1" customWidth="1"/>
    <col min="898" max="898" width="7.81640625" style="9" bestFit="1" customWidth="1"/>
    <col min="899" max="899" width="8.7265625" style="9" bestFit="1" customWidth="1"/>
    <col min="900" max="900" width="7.81640625" style="9" bestFit="1" customWidth="1"/>
    <col min="901" max="901" width="8.7265625" style="9" bestFit="1" customWidth="1"/>
    <col min="902" max="902" width="7.81640625" style="9" bestFit="1" customWidth="1"/>
    <col min="903" max="903" width="8.7265625" style="9" bestFit="1" customWidth="1"/>
    <col min="904" max="904" width="9" style="9" bestFit="1" customWidth="1"/>
    <col min="905" max="905" width="11.26953125" style="9" bestFit="1" customWidth="1"/>
    <col min="906" max="906" width="9" style="9" bestFit="1" customWidth="1"/>
    <col min="907" max="907" width="11.26953125" style="9" bestFit="1" customWidth="1"/>
    <col min="908" max="908" width="8" style="9" bestFit="1" customWidth="1"/>
    <col min="909" max="909" width="10.26953125" style="9" bestFit="1" customWidth="1"/>
    <col min="910" max="910" width="9" style="9" bestFit="1" customWidth="1"/>
    <col min="911" max="911" width="11.26953125" style="9" bestFit="1" customWidth="1"/>
    <col min="912" max="912" width="7.81640625" style="9" bestFit="1" customWidth="1"/>
    <col min="913" max="913" width="8.7265625" style="9" bestFit="1" customWidth="1"/>
    <col min="914" max="914" width="8" style="9" bestFit="1" customWidth="1"/>
    <col min="915" max="915" width="10.26953125" style="9" bestFit="1" customWidth="1"/>
    <col min="916" max="916" width="8" style="9" bestFit="1" customWidth="1"/>
    <col min="917" max="917" width="10.26953125" style="9" bestFit="1" customWidth="1"/>
    <col min="918" max="918" width="9" style="9" bestFit="1" customWidth="1"/>
    <col min="919" max="919" width="11.26953125" style="9" bestFit="1" customWidth="1"/>
    <col min="920" max="920" width="9" style="9" bestFit="1" customWidth="1"/>
    <col min="921" max="921" width="11.26953125" style="9" bestFit="1" customWidth="1"/>
    <col min="922" max="922" width="9" style="9" bestFit="1" customWidth="1"/>
    <col min="923" max="923" width="11.26953125" style="9" bestFit="1" customWidth="1"/>
    <col min="924" max="924" width="9" style="9" bestFit="1" customWidth="1"/>
    <col min="925" max="925" width="11.26953125" style="9" bestFit="1" customWidth="1"/>
    <col min="926" max="926" width="8" style="9" bestFit="1" customWidth="1"/>
    <col min="927" max="927" width="10.26953125" style="9" bestFit="1" customWidth="1"/>
    <col min="928" max="928" width="8" style="9" bestFit="1" customWidth="1"/>
    <col min="929" max="929" width="10.26953125" style="9" bestFit="1" customWidth="1"/>
    <col min="930" max="930" width="8" style="9" bestFit="1" customWidth="1"/>
    <col min="931" max="931" width="10.26953125" style="9" bestFit="1" customWidth="1"/>
    <col min="932" max="932" width="8" style="9" bestFit="1" customWidth="1"/>
    <col min="933" max="933" width="10.26953125" style="9" bestFit="1" customWidth="1"/>
    <col min="934" max="934" width="9" style="9" bestFit="1" customWidth="1"/>
    <col min="935" max="935" width="11.26953125" style="9" bestFit="1" customWidth="1"/>
    <col min="936" max="936" width="7.81640625" style="9" bestFit="1" customWidth="1"/>
    <col min="937" max="937" width="8.7265625" style="9" bestFit="1" customWidth="1"/>
    <col min="938" max="938" width="8" style="9" bestFit="1" customWidth="1"/>
    <col min="939" max="939" width="10.26953125" style="9" bestFit="1" customWidth="1"/>
    <col min="940" max="940" width="7.81640625" style="9" bestFit="1" customWidth="1"/>
    <col min="941" max="941" width="8.7265625" style="9" bestFit="1" customWidth="1"/>
    <col min="942" max="942" width="9" style="9" bestFit="1" customWidth="1"/>
    <col min="943" max="943" width="11.26953125" style="9" bestFit="1" customWidth="1"/>
    <col min="944" max="944" width="9" style="9" bestFit="1" customWidth="1"/>
    <col min="945" max="945" width="11.26953125" style="9" bestFit="1" customWidth="1"/>
    <col min="946" max="946" width="8" style="9" bestFit="1" customWidth="1"/>
    <col min="947" max="947" width="10.26953125" style="9" bestFit="1" customWidth="1"/>
    <col min="948" max="948" width="7.81640625" style="9" bestFit="1" customWidth="1"/>
    <col min="949" max="949" width="8.7265625" style="9" bestFit="1" customWidth="1"/>
    <col min="950" max="950" width="7.81640625" style="9" bestFit="1" customWidth="1"/>
    <col min="951" max="951" width="8.7265625" style="9" bestFit="1" customWidth="1"/>
    <col min="952" max="952" width="9" style="9" bestFit="1" customWidth="1"/>
    <col min="953" max="953" width="11.26953125" style="9" bestFit="1" customWidth="1"/>
    <col min="954" max="954" width="7.81640625" style="9" bestFit="1" customWidth="1"/>
    <col min="955" max="955" width="8.7265625" style="9" bestFit="1" customWidth="1"/>
    <col min="956" max="956" width="9" style="9" bestFit="1" customWidth="1"/>
    <col min="957" max="957" width="11.26953125" style="9" bestFit="1" customWidth="1"/>
    <col min="958" max="958" width="9" style="9" bestFit="1" customWidth="1"/>
    <col min="959" max="959" width="11.26953125" style="9" bestFit="1" customWidth="1"/>
    <col min="960" max="960" width="7.1796875" style="9" bestFit="1" customWidth="1"/>
    <col min="961" max="961" width="8.7265625" style="9" bestFit="1" customWidth="1"/>
    <col min="962" max="962" width="8" style="9" bestFit="1" customWidth="1"/>
    <col min="963" max="963" width="10.26953125" style="9" bestFit="1" customWidth="1"/>
    <col min="964" max="964" width="8" style="9" bestFit="1" customWidth="1"/>
    <col min="965" max="965" width="10.26953125" style="9" bestFit="1" customWidth="1"/>
    <col min="966" max="966" width="8" style="9" bestFit="1" customWidth="1"/>
    <col min="967" max="967" width="10.26953125" style="9" bestFit="1" customWidth="1"/>
    <col min="968" max="968" width="8" style="9" bestFit="1" customWidth="1"/>
    <col min="969" max="969" width="10.26953125" style="9" bestFit="1" customWidth="1"/>
    <col min="970" max="970" width="9" style="9" bestFit="1" customWidth="1"/>
    <col min="971" max="971" width="11.26953125" style="9" bestFit="1" customWidth="1"/>
    <col min="972" max="972" width="9" style="9" bestFit="1" customWidth="1"/>
    <col min="973" max="973" width="11.26953125" style="9" bestFit="1" customWidth="1"/>
    <col min="974" max="974" width="9" style="9" bestFit="1" customWidth="1"/>
    <col min="975" max="975" width="11.26953125" style="9" bestFit="1" customWidth="1"/>
    <col min="976" max="976" width="8" style="9" bestFit="1" customWidth="1"/>
    <col min="977" max="977" width="10.26953125" style="9" bestFit="1" customWidth="1"/>
    <col min="978" max="978" width="9" style="9" bestFit="1" customWidth="1"/>
    <col min="979" max="979" width="11.26953125" style="9" bestFit="1" customWidth="1"/>
    <col min="980" max="980" width="8" style="9" bestFit="1" customWidth="1"/>
    <col min="981" max="981" width="10.26953125" style="9" bestFit="1" customWidth="1"/>
    <col min="982" max="982" width="9" style="9" bestFit="1" customWidth="1"/>
    <col min="983" max="983" width="11.26953125" style="9" bestFit="1" customWidth="1"/>
    <col min="984" max="984" width="7.81640625" style="9" bestFit="1" customWidth="1"/>
    <col min="985" max="985" width="8.7265625" style="9" bestFit="1" customWidth="1"/>
    <col min="986" max="986" width="9" style="9" bestFit="1" customWidth="1"/>
    <col min="987" max="987" width="11.26953125" style="9" bestFit="1" customWidth="1"/>
    <col min="988" max="988" width="9" style="9" bestFit="1" customWidth="1"/>
    <col min="989" max="989" width="11.26953125" style="9" bestFit="1" customWidth="1"/>
    <col min="990" max="990" width="8" style="9" bestFit="1" customWidth="1"/>
    <col min="991" max="991" width="10.26953125" style="9" bestFit="1" customWidth="1"/>
    <col min="992" max="992" width="8" style="9" bestFit="1" customWidth="1"/>
    <col min="993" max="993" width="10.26953125" style="9" bestFit="1" customWidth="1"/>
    <col min="994" max="994" width="7.81640625" style="9" bestFit="1" customWidth="1"/>
    <col min="995" max="995" width="8.7265625" style="9" bestFit="1" customWidth="1"/>
    <col min="996" max="996" width="8" style="9" bestFit="1" customWidth="1"/>
    <col min="997" max="997" width="10.26953125" style="9" bestFit="1" customWidth="1"/>
    <col min="998" max="998" width="9" style="9" bestFit="1" customWidth="1"/>
    <col min="999" max="999" width="11.26953125" style="9" bestFit="1" customWidth="1"/>
    <col min="1000" max="1000" width="9" style="9" bestFit="1" customWidth="1"/>
    <col min="1001" max="1001" width="11.26953125" style="9" bestFit="1" customWidth="1"/>
    <col min="1002" max="1002" width="9" style="9" bestFit="1" customWidth="1"/>
    <col min="1003" max="1003" width="11.26953125" style="9" bestFit="1" customWidth="1"/>
    <col min="1004" max="1004" width="9" style="9" bestFit="1" customWidth="1"/>
    <col min="1005" max="1005" width="11.26953125" style="9" bestFit="1" customWidth="1"/>
    <col min="1006" max="1006" width="8" style="9" bestFit="1" customWidth="1"/>
    <col min="1007" max="1007" width="10.26953125" style="9" bestFit="1" customWidth="1"/>
    <col min="1008" max="1008" width="9" style="9" bestFit="1" customWidth="1"/>
    <col min="1009" max="1009" width="11.26953125" style="9" bestFit="1" customWidth="1"/>
    <col min="1010" max="1010" width="7.81640625" style="9" bestFit="1" customWidth="1"/>
    <col min="1011" max="1011" width="8.7265625" style="9" bestFit="1" customWidth="1"/>
    <col min="1012" max="1012" width="7.81640625" style="9" bestFit="1" customWidth="1"/>
    <col min="1013" max="1013" width="8.7265625" style="9" bestFit="1" customWidth="1"/>
    <col min="1014" max="1014" width="8" style="9" bestFit="1" customWidth="1"/>
    <col min="1015" max="1015" width="10.26953125" style="9" bestFit="1" customWidth="1"/>
    <col min="1016" max="1016" width="9" style="9" bestFit="1" customWidth="1"/>
    <col min="1017" max="1017" width="11.26953125" style="9" bestFit="1" customWidth="1"/>
    <col min="1018" max="1018" width="9" style="9" bestFit="1" customWidth="1"/>
    <col min="1019" max="1019" width="11.26953125" style="9" bestFit="1" customWidth="1"/>
    <col min="1020" max="1020" width="9" style="9" bestFit="1" customWidth="1"/>
    <col min="1021" max="1021" width="11.26953125" style="9" bestFit="1" customWidth="1"/>
    <col min="1022" max="1022" width="9" style="9" bestFit="1" customWidth="1"/>
    <col min="1023" max="1023" width="11.26953125" style="9" bestFit="1" customWidth="1"/>
    <col min="1024" max="1024" width="8" style="9" bestFit="1" customWidth="1"/>
    <col min="1025" max="1025" width="10.26953125" style="9" bestFit="1" customWidth="1"/>
    <col min="1026" max="1026" width="9" style="9" bestFit="1" customWidth="1"/>
    <col min="1027" max="1027" width="11.26953125" style="9" bestFit="1" customWidth="1"/>
    <col min="1028" max="1028" width="9" style="9" bestFit="1" customWidth="1"/>
    <col min="1029" max="1029" width="11.26953125" style="9" bestFit="1" customWidth="1"/>
    <col min="1030" max="1030" width="7.81640625" style="9" bestFit="1" customWidth="1"/>
    <col min="1031" max="1031" width="8.7265625" style="9" bestFit="1" customWidth="1"/>
    <col min="1032" max="1032" width="9" style="9" bestFit="1" customWidth="1"/>
    <col min="1033" max="1033" width="11.26953125" style="9" bestFit="1" customWidth="1"/>
    <col min="1034" max="1034" width="8" style="9" bestFit="1" customWidth="1"/>
    <col min="1035" max="1035" width="10.26953125" style="9" bestFit="1" customWidth="1"/>
    <col min="1036" max="1036" width="8" style="9" bestFit="1" customWidth="1"/>
    <col min="1037" max="1037" width="10.26953125" style="9" bestFit="1" customWidth="1"/>
    <col min="1038" max="1038" width="9" style="9" bestFit="1" customWidth="1"/>
    <col min="1039" max="1039" width="11.26953125" style="9" bestFit="1" customWidth="1"/>
    <col min="1040" max="1040" width="9" style="9" bestFit="1" customWidth="1"/>
    <col min="1041" max="1041" width="11.26953125" style="9" bestFit="1" customWidth="1"/>
    <col min="1042" max="1042" width="9" style="9" bestFit="1" customWidth="1"/>
    <col min="1043" max="1043" width="11.26953125" style="9" bestFit="1" customWidth="1"/>
    <col min="1044" max="1044" width="7.81640625" style="9" bestFit="1" customWidth="1"/>
    <col min="1045" max="1045" width="8.7265625" style="9" bestFit="1" customWidth="1"/>
    <col min="1046" max="1046" width="9" style="9" bestFit="1" customWidth="1"/>
    <col min="1047" max="1047" width="11.26953125" style="9" bestFit="1" customWidth="1"/>
    <col min="1048" max="1048" width="9" style="9" bestFit="1" customWidth="1"/>
    <col min="1049" max="1049" width="11.26953125" style="9" bestFit="1" customWidth="1"/>
    <col min="1050" max="1050" width="9" style="9" bestFit="1" customWidth="1"/>
    <col min="1051" max="1051" width="11.26953125" style="9" bestFit="1" customWidth="1"/>
    <col min="1052" max="1052" width="9" style="9" bestFit="1" customWidth="1"/>
    <col min="1053" max="1053" width="11.26953125" style="9" bestFit="1" customWidth="1"/>
    <col min="1054" max="1054" width="8" style="9" bestFit="1" customWidth="1"/>
    <col min="1055" max="1055" width="10.26953125" style="9" bestFit="1" customWidth="1"/>
    <col min="1056" max="1056" width="9" style="9" bestFit="1" customWidth="1"/>
    <col min="1057" max="1057" width="11.26953125" style="9" bestFit="1" customWidth="1"/>
    <col min="1058" max="1058" width="9" style="9" bestFit="1" customWidth="1"/>
    <col min="1059" max="1059" width="11.26953125" style="9" bestFit="1" customWidth="1"/>
    <col min="1060" max="1060" width="7.81640625" style="9" bestFit="1" customWidth="1"/>
    <col min="1061" max="1061" width="8.7265625" style="9" bestFit="1" customWidth="1"/>
    <col min="1062" max="1062" width="9" style="9" bestFit="1" customWidth="1"/>
    <col min="1063" max="1063" width="11.26953125" style="9" bestFit="1" customWidth="1"/>
    <col min="1064" max="1064" width="9" style="9" bestFit="1" customWidth="1"/>
    <col min="1065" max="1065" width="11.26953125" style="9" bestFit="1" customWidth="1"/>
    <col min="1066" max="1066" width="9" style="9" bestFit="1" customWidth="1"/>
    <col min="1067" max="1067" width="11.26953125" style="9" bestFit="1" customWidth="1"/>
    <col min="1068" max="1068" width="8" style="9" bestFit="1" customWidth="1"/>
    <col min="1069" max="1069" width="10.26953125" style="9" bestFit="1" customWidth="1"/>
    <col min="1070" max="1070" width="9" style="9" bestFit="1" customWidth="1"/>
    <col min="1071" max="1071" width="11.26953125" style="9" bestFit="1" customWidth="1"/>
    <col min="1072" max="1072" width="9" style="9" bestFit="1" customWidth="1"/>
    <col min="1073" max="1073" width="11.26953125" style="9" bestFit="1" customWidth="1"/>
    <col min="1074" max="1074" width="9" style="9" bestFit="1" customWidth="1"/>
    <col min="1075" max="1075" width="11.26953125" style="9" bestFit="1" customWidth="1"/>
    <col min="1076" max="1076" width="8" style="9" bestFit="1" customWidth="1"/>
    <col min="1077" max="1077" width="10.26953125" style="9" bestFit="1" customWidth="1"/>
    <col min="1078" max="1078" width="9" style="9" bestFit="1" customWidth="1"/>
    <col min="1079" max="1079" width="11.26953125" style="9" bestFit="1" customWidth="1"/>
    <col min="1080" max="1080" width="8" style="9" bestFit="1" customWidth="1"/>
    <col min="1081" max="1081" width="10.26953125" style="9" bestFit="1" customWidth="1"/>
    <col min="1082" max="1082" width="7.81640625" style="9" bestFit="1" customWidth="1"/>
    <col min="1083" max="1083" width="8.7265625" style="9" bestFit="1" customWidth="1"/>
    <col min="1084" max="1084" width="8" style="9" bestFit="1" customWidth="1"/>
    <col min="1085" max="1085" width="10.26953125" style="9" bestFit="1" customWidth="1"/>
    <col min="1086" max="1086" width="9" style="9" bestFit="1" customWidth="1"/>
    <col min="1087" max="1087" width="11.26953125" style="9" bestFit="1" customWidth="1"/>
    <col min="1088" max="1088" width="8" style="9" bestFit="1" customWidth="1"/>
    <col min="1089" max="1089" width="10.26953125" style="9" bestFit="1" customWidth="1"/>
    <col min="1090" max="1090" width="9" style="9" bestFit="1" customWidth="1"/>
    <col min="1091" max="1091" width="11.26953125" style="9" bestFit="1" customWidth="1"/>
    <col min="1092" max="1092" width="9" style="9" bestFit="1" customWidth="1"/>
    <col min="1093" max="1093" width="11.26953125" style="9" bestFit="1" customWidth="1"/>
    <col min="1094" max="1094" width="9" style="9" bestFit="1" customWidth="1"/>
    <col min="1095" max="1095" width="11.26953125" style="9" bestFit="1" customWidth="1"/>
    <col min="1096" max="1096" width="9" style="9" bestFit="1" customWidth="1"/>
    <col min="1097" max="1097" width="11.26953125" style="9" bestFit="1" customWidth="1"/>
    <col min="1098" max="1098" width="8" style="9" bestFit="1" customWidth="1"/>
    <col min="1099" max="1099" width="10.26953125" style="9" bestFit="1" customWidth="1"/>
    <col min="1100" max="1100" width="9" style="9" bestFit="1" customWidth="1"/>
    <col min="1101" max="1101" width="11.26953125" style="9" bestFit="1" customWidth="1"/>
    <col min="1102" max="1102" width="9" style="9" bestFit="1" customWidth="1"/>
    <col min="1103" max="1103" width="11.26953125" style="9" bestFit="1" customWidth="1"/>
    <col min="1104" max="1104" width="7.81640625" style="9" bestFit="1" customWidth="1"/>
    <col min="1105" max="1105" width="8.7265625" style="9" bestFit="1" customWidth="1"/>
    <col min="1106" max="1106" width="9" style="9" bestFit="1" customWidth="1"/>
    <col min="1107" max="1107" width="11.26953125" style="9" bestFit="1" customWidth="1"/>
    <col min="1108" max="1108" width="9" style="9" bestFit="1" customWidth="1"/>
    <col min="1109" max="1109" width="11.26953125" style="9" bestFit="1" customWidth="1"/>
    <col min="1110" max="1110" width="8" style="9" bestFit="1" customWidth="1"/>
    <col min="1111" max="1111" width="10.26953125" style="9" bestFit="1" customWidth="1"/>
    <col min="1112" max="1112" width="9" style="9" bestFit="1" customWidth="1"/>
    <col min="1113" max="1113" width="11.26953125" style="9" bestFit="1" customWidth="1"/>
    <col min="1114" max="1114" width="9" style="9" bestFit="1" customWidth="1"/>
    <col min="1115" max="1115" width="11.26953125" style="9" bestFit="1" customWidth="1"/>
    <col min="1116" max="1116" width="9" style="9" bestFit="1" customWidth="1"/>
    <col min="1117" max="1117" width="11.26953125" style="9" bestFit="1" customWidth="1"/>
    <col min="1118" max="1118" width="8" style="9" bestFit="1" customWidth="1"/>
    <col min="1119" max="1119" width="10.26953125" style="9" bestFit="1" customWidth="1"/>
    <col min="1120" max="1120" width="7.81640625" style="9" bestFit="1" customWidth="1"/>
    <col min="1121" max="1121" width="8.7265625" style="9" bestFit="1" customWidth="1"/>
    <col min="1122" max="1122" width="9" style="9" bestFit="1" customWidth="1"/>
    <col min="1123" max="1123" width="11.26953125" style="9" bestFit="1" customWidth="1"/>
    <col min="1124" max="1124" width="9" style="9" bestFit="1" customWidth="1"/>
    <col min="1125" max="1125" width="11.26953125" style="9" bestFit="1" customWidth="1"/>
    <col min="1126" max="1126" width="9" style="9" bestFit="1" customWidth="1"/>
    <col min="1127" max="1127" width="11.26953125" style="9" bestFit="1" customWidth="1"/>
    <col min="1128" max="1128" width="9" style="9" bestFit="1" customWidth="1"/>
    <col min="1129" max="1129" width="11.26953125" style="9" bestFit="1" customWidth="1"/>
    <col min="1130" max="1130" width="9" style="9" bestFit="1" customWidth="1"/>
    <col min="1131" max="1131" width="11.26953125" style="9" bestFit="1" customWidth="1"/>
    <col min="1132" max="1132" width="9" style="9" bestFit="1" customWidth="1"/>
    <col min="1133" max="1133" width="11.26953125" style="9" bestFit="1" customWidth="1"/>
    <col min="1134" max="1134" width="9" style="9" bestFit="1" customWidth="1"/>
    <col min="1135" max="1135" width="11.26953125" style="9" bestFit="1" customWidth="1"/>
    <col min="1136" max="1136" width="7.81640625" style="9" bestFit="1" customWidth="1"/>
    <col min="1137" max="1137" width="8.7265625" style="9" bestFit="1" customWidth="1"/>
    <col min="1138" max="1138" width="8" style="9" bestFit="1" customWidth="1"/>
    <col min="1139" max="1139" width="10.26953125" style="9" bestFit="1" customWidth="1"/>
    <col min="1140" max="1140" width="8" style="9" bestFit="1" customWidth="1"/>
    <col min="1141" max="1141" width="10.26953125" style="9" bestFit="1" customWidth="1"/>
    <col min="1142" max="1142" width="7.81640625" style="9" bestFit="1" customWidth="1"/>
    <col min="1143" max="1143" width="8.7265625" style="9" bestFit="1" customWidth="1"/>
    <col min="1144" max="1144" width="8" style="9" bestFit="1" customWidth="1"/>
    <col min="1145" max="1145" width="10.26953125" style="9" bestFit="1" customWidth="1"/>
    <col min="1146" max="1146" width="9" style="9" bestFit="1" customWidth="1"/>
    <col min="1147" max="1147" width="11.26953125" style="9" bestFit="1" customWidth="1"/>
    <col min="1148" max="1148" width="9" style="9" bestFit="1" customWidth="1"/>
    <col min="1149" max="1149" width="11.26953125" style="9" bestFit="1" customWidth="1"/>
    <col min="1150" max="1150" width="9" style="9" bestFit="1" customWidth="1"/>
    <col min="1151" max="1151" width="11.26953125" style="9" bestFit="1" customWidth="1"/>
    <col min="1152" max="1152" width="8" style="9" bestFit="1" customWidth="1"/>
    <col min="1153" max="1153" width="10.26953125" style="9" bestFit="1" customWidth="1"/>
    <col min="1154" max="1154" width="8" style="9" bestFit="1" customWidth="1"/>
    <col min="1155" max="1155" width="10.26953125" style="9" bestFit="1" customWidth="1"/>
    <col min="1156" max="1156" width="8" style="9" bestFit="1" customWidth="1"/>
    <col min="1157" max="1157" width="10.26953125" style="9" bestFit="1" customWidth="1"/>
    <col min="1158" max="1158" width="8" style="9" bestFit="1" customWidth="1"/>
    <col min="1159" max="1159" width="10.26953125" style="9" bestFit="1" customWidth="1"/>
    <col min="1160" max="1160" width="8" style="9" bestFit="1" customWidth="1"/>
    <col min="1161" max="1161" width="10.26953125" style="9" bestFit="1" customWidth="1"/>
    <col min="1162" max="1162" width="9" style="9" bestFit="1" customWidth="1"/>
    <col min="1163" max="1163" width="11.26953125" style="9" bestFit="1" customWidth="1"/>
    <col min="1164" max="1164" width="9" style="9" bestFit="1" customWidth="1"/>
    <col min="1165" max="1165" width="11.26953125" style="9" bestFit="1" customWidth="1"/>
    <col min="1166" max="1166" width="7.81640625" style="9" bestFit="1" customWidth="1"/>
    <col min="1167" max="1167" width="8.7265625" style="9" bestFit="1" customWidth="1"/>
    <col min="1168" max="1168" width="8" style="9" bestFit="1" customWidth="1"/>
    <col min="1169" max="1169" width="10.26953125" style="9" bestFit="1" customWidth="1"/>
    <col min="1170" max="1170" width="8" style="9" bestFit="1" customWidth="1"/>
    <col min="1171" max="1171" width="10.26953125" style="9" bestFit="1" customWidth="1"/>
    <col min="1172" max="1172" width="9" style="9" bestFit="1" customWidth="1"/>
    <col min="1173" max="1173" width="11.26953125" style="9" bestFit="1" customWidth="1"/>
    <col min="1174" max="1174" width="9" style="9" bestFit="1" customWidth="1"/>
    <col min="1175" max="1175" width="11.26953125" style="9" bestFit="1" customWidth="1"/>
    <col min="1176" max="1176" width="7.81640625" style="9" bestFit="1" customWidth="1"/>
    <col min="1177" max="1177" width="8.7265625" style="9" bestFit="1" customWidth="1"/>
    <col min="1178" max="1178" width="9" style="9" bestFit="1" customWidth="1"/>
    <col min="1179" max="1179" width="11.26953125" style="9" bestFit="1" customWidth="1"/>
    <col min="1180" max="1180" width="9" style="9" bestFit="1" customWidth="1"/>
    <col min="1181" max="1181" width="11.26953125" style="9" bestFit="1" customWidth="1"/>
    <col min="1182" max="1182" width="7.81640625" style="9" bestFit="1" customWidth="1"/>
    <col min="1183" max="1183" width="8.7265625" style="9" bestFit="1" customWidth="1"/>
    <col min="1184" max="1184" width="8" style="9" bestFit="1" customWidth="1"/>
    <col min="1185" max="1185" width="10.26953125" style="9" bestFit="1" customWidth="1"/>
    <col min="1186" max="1186" width="9" style="9" bestFit="1" customWidth="1"/>
    <col min="1187" max="1187" width="11.26953125" style="9" bestFit="1" customWidth="1"/>
    <col min="1188" max="1188" width="9" style="9" bestFit="1" customWidth="1"/>
    <col min="1189" max="1189" width="11.26953125" style="9" bestFit="1" customWidth="1"/>
    <col min="1190" max="1190" width="9" style="9" bestFit="1" customWidth="1"/>
    <col min="1191" max="1191" width="11.26953125" style="9" bestFit="1" customWidth="1"/>
    <col min="1192" max="1192" width="7.81640625" style="9" bestFit="1" customWidth="1"/>
    <col min="1193" max="1193" width="8.7265625" style="9" bestFit="1" customWidth="1"/>
    <col min="1194" max="1194" width="9" style="9" bestFit="1" customWidth="1"/>
    <col min="1195" max="1195" width="11.26953125" style="9" bestFit="1" customWidth="1"/>
    <col min="1196" max="1196" width="9" style="9" bestFit="1" customWidth="1"/>
    <col min="1197" max="1197" width="11.26953125" style="9" bestFit="1" customWidth="1"/>
    <col min="1198" max="1198" width="9" style="9" bestFit="1" customWidth="1"/>
    <col min="1199" max="1199" width="11.26953125" style="9" bestFit="1" customWidth="1"/>
    <col min="1200" max="1200" width="7.81640625" style="9" bestFit="1" customWidth="1"/>
    <col min="1201" max="1201" width="8.7265625" style="9" bestFit="1" customWidth="1"/>
    <col min="1202" max="1202" width="9" style="9" bestFit="1" customWidth="1"/>
    <col min="1203" max="1203" width="11.26953125" style="9" bestFit="1" customWidth="1"/>
    <col min="1204" max="1204" width="9" style="9" bestFit="1" customWidth="1"/>
    <col min="1205" max="1205" width="11.26953125" style="9" bestFit="1" customWidth="1"/>
    <col min="1206" max="1206" width="8" style="9" bestFit="1" customWidth="1"/>
    <col min="1207" max="1207" width="10.26953125" style="9" bestFit="1" customWidth="1"/>
    <col min="1208" max="1208" width="7.81640625" style="9" bestFit="1" customWidth="1"/>
    <col min="1209" max="1209" width="8.7265625" style="9" bestFit="1" customWidth="1"/>
    <col min="1210" max="1210" width="9" style="9" bestFit="1" customWidth="1"/>
    <col min="1211" max="1211" width="11.26953125" style="9" bestFit="1" customWidth="1"/>
    <col min="1212" max="1212" width="9" style="9" bestFit="1" customWidth="1"/>
    <col min="1213" max="1213" width="11.26953125" style="9" bestFit="1" customWidth="1"/>
    <col min="1214" max="1214" width="8" style="9" bestFit="1" customWidth="1"/>
    <col min="1215" max="1215" width="10.26953125" style="9" bestFit="1" customWidth="1"/>
    <col min="1216" max="1216" width="8" style="9" bestFit="1" customWidth="1"/>
    <col min="1217" max="1217" width="10.26953125" style="9" bestFit="1" customWidth="1"/>
    <col min="1218" max="1218" width="9" style="9" bestFit="1" customWidth="1"/>
    <col min="1219" max="1219" width="11.26953125" style="9" bestFit="1" customWidth="1"/>
    <col min="1220" max="1220" width="8" style="9" bestFit="1" customWidth="1"/>
    <col min="1221" max="1221" width="10.26953125" style="9" bestFit="1" customWidth="1"/>
    <col min="1222" max="1222" width="8" style="9" bestFit="1" customWidth="1"/>
    <col min="1223" max="1223" width="10.26953125" style="9" bestFit="1" customWidth="1"/>
    <col min="1224" max="1224" width="9" style="9" bestFit="1" customWidth="1"/>
    <col min="1225" max="1225" width="11.26953125" style="9" bestFit="1" customWidth="1"/>
    <col min="1226" max="1226" width="8" style="9" bestFit="1" customWidth="1"/>
    <col min="1227" max="1227" width="10.26953125" style="9" bestFit="1" customWidth="1"/>
    <col min="1228" max="1228" width="8" style="9" bestFit="1" customWidth="1"/>
    <col min="1229" max="1229" width="10.26953125" style="9" bestFit="1" customWidth="1"/>
    <col min="1230" max="1230" width="9" style="9" bestFit="1" customWidth="1"/>
    <col min="1231" max="1231" width="11.26953125" style="9" bestFit="1" customWidth="1"/>
    <col min="1232" max="1232" width="8" style="9" bestFit="1" customWidth="1"/>
    <col min="1233" max="1233" width="10.26953125" style="9" bestFit="1" customWidth="1"/>
    <col min="1234" max="1234" width="9" style="9" bestFit="1" customWidth="1"/>
    <col min="1235" max="1235" width="11.26953125" style="9" bestFit="1" customWidth="1"/>
    <col min="1236" max="1236" width="7.81640625" style="9" bestFit="1" customWidth="1"/>
    <col min="1237" max="1237" width="8.7265625" style="9" bestFit="1" customWidth="1"/>
    <col min="1238" max="1238" width="9" style="9" bestFit="1" customWidth="1"/>
    <col min="1239" max="1239" width="11.26953125" style="9" bestFit="1" customWidth="1"/>
    <col min="1240" max="1240" width="9" style="9" bestFit="1" customWidth="1"/>
    <col min="1241" max="1241" width="11.26953125" style="9" bestFit="1" customWidth="1"/>
    <col min="1242" max="1242" width="9" style="9" bestFit="1" customWidth="1"/>
    <col min="1243" max="1243" width="11.26953125" style="9" bestFit="1" customWidth="1"/>
    <col min="1244" max="1244" width="9" style="9" bestFit="1" customWidth="1"/>
    <col min="1245" max="1245" width="11.26953125" style="9" bestFit="1" customWidth="1"/>
    <col min="1246" max="1246" width="14" style="9" bestFit="1" customWidth="1"/>
    <col min="1247" max="1247" width="21.54296875" style="9" bestFit="1" customWidth="1"/>
    <col min="1248" max="1248" width="14" style="9" bestFit="1" customWidth="1"/>
    <col min="1249" max="1249" width="21.54296875" style="9" bestFit="1" customWidth="1"/>
    <col min="1250" max="1250" width="8" style="9" bestFit="1" customWidth="1"/>
    <col min="1251" max="1251" width="10.26953125" style="9" bestFit="1" customWidth="1"/>
    <col min="1252" max="1252" width="7.81640625" style="9" bestFit="1" customWidth="1"/>
    <col min="1253" max="1253" width="8.7265625" style="9" bestFit="1" customWidth="1"/>
    <col min="1254" max="1254" width="8" style="9" bestFit="1" customWidth="1"/>
    <col min="1255" max="1255" width="10.26953125" style="9" bestFit="1" customWidth="1"/>
    <col min="1256" max="1256" width="8" style="9" bestFit="1" customWidth="1"/>
    <col min="1257" max="1257" width="10.26953125" style="9" bestFit="1" customWidth="1"/>
    <col min="1258" max="1258" width="9" style="9" bestFit="1" customWidth="1"/>
    <col min="1259" max="1259" width="11.26953125" style="9" bestFit="1" customWidth="1"/>
    <col min="1260" max="1260" width="8" style="9" bestFit="1" customWidth="1"/>
    <col min="1261" max="1261" width="10.26953125" style="9" bestFit="1" customWidth="1"/>
    <col min="1262" max="1262" width="7.81640625" style="9" bestFit="1" customWidth="1"/>
    <col min="1263" max="1263" width="8.7265625" style="9" bestFit="1" customWidth="1"/>
    <col min="1264" max="1264" width="9" style="9" bestFit="1" customWidth="1"/>
    <col min="1265" max="1265" width="11.26953125" style="9" bestFit="1" customWidth="1"/>
    <col min="1266" max="1266" width="8" style="9" bestFit="1" customWidth="1"/>
    <col min="1267" max="1267" width="10.26953125" style="9" bestFit="1" customWidth="1"/>
    <col min="1268" max="1268" width="9" style="9" bestFit="1" customWidth="1"/>
    <col min="1269" max="1269" width="11.26953125" style="9" bestFit="1" customWidth="1"/>
    <col min="1270" max="1270" width="8" style="9" bestFit="1" customWidth="1"/>
    <col min="1271" max="1271" width="10.26953125" style="9" bestFit="1" customWidth="1"/>
    <col min="1272" max="1272" width="9" style="9" bestFit="1" customWidth="1"/>
    <col min="1273" max="1273" width="11.26953125" style="9" bestFit="1" customWidth="1"/>
    <col min="1274" max="1274" width="7.1796875" style="9" bestFit="1" customWidth="1"/>
    <col min="1275" max="1275" width="8.7265625" style="9" bestFit="1" customWidth="1"/>
    <col min="1276" max="1276" width="9" style="9" bestFit="1" customWidth="1"/>
    <col min="1277" max="1277" width="11.26953125" style="9" bestFit="1" customWidth="1"/>
    <col min="1278" max="1278" width="8" style="9" bestFit="1" customWidth="1"/>
    <col min="1279" max="1279" width="10.26953125" style="9" bestFit="1" customWidth="1"/>
    <col min="1280" max="1280" width="9" style="9" bestFit="1" customWidth="1"/>
    <col min="1281" max="1281" width="11.26953125" style="9" bestFit="1" customWidth="1"/>
    <col min="1282" max="1282" width="8" style="9" bestFit="1" customWidth="1"/>
    <col min="1283" max="1283" width="10.26953125" style="9" bestFit="1" customWidth="1"/>
    <col min="1284" max="1284" width="7.1796875" style="9" bestFit="1" customWidth="1"/>
    <col min="1285" max="1285" width="8.7265625" style="9" bestFit="1" customWidth="1"/>
    <col min="1286" max="1286" width="8" style="9" bestFit="1" customWidth="1"/>
    <col min="1287" max="1287" width="10.26953125" style="9" bestFit="1" customWidth="1"/>
    <col min="1288" max="1288" width="9" style="9" bestFit="1" customWidth="1"/>
    <col min="1289" max="1289" width="11.26953125" style="9" bestFit="1" customWidth="1"/>
    <col min="1290" max="1290" width="7.1796875" style="9" bestFit="1" customWidth="1"/>
    <col min="1291" max="1291" width="8.7265625" style="9" bestFit="1" customWidth="1"/>
    <col min="1292" max="1292" width="9" style="9" bestFit="1" customWidth="1"/>
    <col min="1293" max="1293" width="11.26953125" style="9" bestFit="1" customWidth="1"/>
    <col min="1294" max="1294" width="8" style="9" bestFit="1" customWidth="1"/>
    <col min="1295" max="1295" width="10.26953125" style="9" bestFit="1" customWidth="1"/>
    <col min="1296" max="1296" width="9" style="9" bestFit="1" customWidth="1"/>
    <col min="1297" max="1297" width="11.26953125" style="9" bestFit="1" customWidth="1"/>
    <col min="1298" max="1298" width="7.81640625" style="9" bestFit="1" customWidth="1"/>
    <col min="1299" max="1299" width="8.7265625" style="9" bestFit="1" customWidth="1"/>
    <col min="1300" max="1300" width="9" style="9" bestFit="1" customWidth="1"/>
    <col min="1301" max="1301" width="11.26953125" style="9" bestFit="1" customWidth="1"/>
    <col min="1302" max="1302" width="9" style="9" bestFit="1" customWidth="1"/>
    <col min="1303" max="1303" width="11.26953125" style="9" bestFit="1" customWidth="1"/>
    <col min="1304" max="1304" width="9" style="9" bestFit="1" customWidth="1"/>
    <col min="1305" max="1305" width="11.26953125" style="9" bestFit="1" customWidth="1"/>
    <col min="1306" max="1306" width="7.81640625" style="9" bestFit="1" customWidth="1"/>
    <col min="1307" max="1307" width="8.7265625" style="9" bestFit="1" customWidth="1"/>
    <col min="1308" max="1308" width="9" style="9" bestFit="1" customWidth="1"/>
    <col min="1309" max="1309" width="11.26953125" style="9" bestFit="1" customWidth="1"/>
    <col min="1310" max="1310" width="9" style="9" bestFit="1" customWidth="1"/>
    <col min="1311" max="1311" width="11.26953125" style="9" bestFit="1" customWidth="1"/>
    <col min="1312" max="1312" width="8" style="9" bestFit="1" customWidth="1"/>
    <col min="1313" max="1313" width="10.26953125" style="9" bestFit="1" customWidth="1"/>
    <col min="1314" max="1314" width="8" style="9" bestFit="1" customWidth="1"/>
    <col min="1315" max="1315" width="10.26953125" style="9" bestFit="1" customWidth="1"/>
    <col min="1316" max="1316" width="9" style="9" bestFit="1" customWidth="1"/>
    <col min="1317" max="1317" width="11.26953125" style="9" bestFit="1" customWidth="1"/>
    <col min="1318" max="1318" width="8" style="9" bestFit="1" customWidth="1"/>
    <col min="1319" max="1319" width="10.26953125" style="9" bestFit="1" customWidth="1"/>
    <col min="1320" max="1320" width="8" style="9" bestFit="1" customWidth="1"/>
    <col min="1321" max="1321" width="10.26953125" style="9" bestFit="1" customWidth="1"/>
    <col min="1322" max="1322" width="9" style="9" bestFit="1" customWidth="1"/>
    <col min="1323" max="1323" width="11.26953125" style="9" bestFit="1" customWidth="1"/>
    <col min="1324" max="1324" width="9" style="9" bestFit="1" customWidth="1"/>
    <col min="1325" max="1325" width="11.26953125" style="9" bestFit="1" customWidth="1"/>
    <col min="1326" max="1326" width="8" style="9" bestFit="1" customWidth="1"/>
    <col min="1327" max="1327" width="10.26953125" style="9" bestFit="1" customWidth="1"/>
    <col min="1328" max="1328" width="9" style="9" bestFit="1" customWidth="1"/>
    <col min="1329" max="1329" width="11.26953125" style="9" bestFit="1" customWidth="1"/>
    <col min="1330" max="1330" width="9" style="9" bestFit="1" customWidth="1"/>
    <col min="1331" max="1331" width="11.26953125" style="9" bestFit="1" customWidth="1"/>
    <col min="1332" max="1332" width="8" style="9" bestFit="1" customWidth="1"/>
    <col min="1333" max="1333" width="10.26953125" style="9" bestFit="1" customWidth="1"/>
    <col min="1334" max="1334" width="8" style="9" bestFit="1" customWidth="1"/>
    <col min="1335" max="1335" width="10.26953125" style="9" bestFit="1" customWidth="1"/>
    <col min="1336" max="1336" width="8" style="9" bestFit="1" customWidth="1"/>
    <col min="1337" max="1337" width="10.26953125" style="9" bestFit="1" customWidth="1"/>
    <col min="1338" max="1338" width="9" style="9" bestFit="1" customWidth="1"/>
    <col min="1339" max="1339" width="11.26953125" style="9" bestFit="1" customWidth="1"/>
    <col min="1340" max="1340" width="9" style="9" bestFit="1" customWidth="1"/>
    <col min="1341" max="1341" width="11.26953125" style="9" bestFit="1" customWidth="1"/>
    <col min="1342" max="1342" width="8" style="9" bestFit="1" customWidth="1"/>
    <col min="1343" max="1343" width="10.26953125" style="9" bestFit="1" customWidth="1"/>
    <col min="1344" max="1344" width="9" style="9" bestFit="1" customWidth="1"/>
    <col min="1345" max="1345" width="11.26953125" style="9" bestFit="1" customWidth="1"/>
    <col min="1346" max="1346" width="9" style="9" bestFit="1" customWidth="1"/>
    <col min="1347" max="1347" width="11.26953125" style="9" bestFit="1" customWidth="1"/>
    <col min="1348" max="1348" width="9" style="9" bestFit="1" customWidth="1"/>
    <col min="1349" max="1349" width="11.26953125" style="9" bestFit="1" customWidth="1"/>
    <col min="1350" max="1350" width="9" style="9" bestFit="1" customWidth="1"/>
    <col min="1351" max="1351" width="11.26953125" style="9" bestFit="1" customWidth="1"/>
    <col min="1352" max="1352" width="9" style="9" bestFit="1" customWidth="1"/>
    <col min="1353" max="1353" width="11.26953125" style="9" bestFit="1" customWidth="1"/>
    <col min="1354" max="1354" width="9" style="9" bestFit="1" customWidth="1"/>
    <col min="1355" max="1355" width="11.26953125" style="9" bestFit="1" customWidth="1"/>
    <col min="1356" max="1356" width="9" style="9" bestFit="1" customWidth="1"/>
    <col min="1357" max="1357" width="11.26953125" style="9" bestFit="1" customWidth="1"/>
    <col min="1358" max="1358" width="8" style="9" bestFit="1" customWidth="1"/>
    <col min="1359" max="1359" width="10.26953125" style="9" bestFit="1" customWidth="1"/>
    <col min="1360" max="1360" width="9" style="9" bestFit="1" customWidth="1"/>
    <col min="1361" max="1361" width="11.26953125" style="9" bestFit="1" customWidth="1"/>
    <col min="1362" max="1362" width="8" style="9" bestFit="1" customWidth="1"/>
    <col min="1363" max="1363" width="10.26953125" style="9" bestFit="1" customWidth="1"/>
    <col min="1364" max="1364" width="9" style="9" bestFit="1" customWidth="1"/>
    <col min="1365" max="1365" width="11.26953125" style="9" bestFit="1" customWidth="1"/>
    <col min="1366" max="1366" width="8" style="9" bestFit="1" customWidth="1"/>
    <col min="1367" max="1367" width="10.26953125" style="9" bestFit="1" customWidth="1"/>
    <col min="1368" max="1368" width="9" style="9" bestFit="1" customWidth="1"/>
    <col min="1369" max="1369" width="11.26953125" style="9" bestFit="1" customWidth="1"/>
    <col min="1370" max="1370" width="9" style="9" bestFit="1" customWidth="1"/>
    <col min="1371" max="1371" width="11.26953125" style="9" bestFit="1" customWidth="1"/>
    <col min="1372" max="1372" width="8" style="9" bestFit="1" customWidth="1"/>
    <col min="1373" max="1373" width="10.26953125" style="9" bestFit="1" customWidth="1"/>
    <col min="1374" max="1374" width="8" style="9" bestFit="1" customWidth="1"/>
    <col min="1375" max="1375" width="10.26953125" style="9" bestFit="1" customWidth="1"/>
    <col min="1376" max="1376" width="7.81640625" style="9" bestFit="1" customWidth="1"/>
    <col min="1377" max="1377" width="8.7265625" style="9" bestFit="1" customWidth="1"/>
    <col min="1378" max="1378" width="9" style="9" bestFit="1" customWidth="1"/>
    <col min="1379" max="1379" width="11.26953125" style="9" bestFit="1" customWidth="1"/>
    <col min="1380" max="1380" width="9" style="9" bestFit="1" customWidth="1"/>
    <col min="1381" max="1381" width="11.26953125" style="9" bestFit="1" customWidth="1"/>
    <col min="1382" max="1382" width="7.81640625" style="9" bestFit="1" customWidth="1"/>
    <col min="1383" max="1383" width="8.7265625" style="9" bestFit="1" customWidth="1"/>
    <col min="1384" max="1384" width="8" style="9" bestFit="1" customWidth="1"/>
    <col min="1385" max="1385" width="10.26953125" style="9" bestFit="1" customWidth="1"/>
    <col min="1386" max="1386" width="8" style="9" bestFit="1" customWidth="1"/>
    <col min="1387" max="1387" width="10.26953125" style="9" bestFit="1" customWidth="1"/>
    <col min="1388" max="1388" width="9" style="9" bestFit="1" customWidth="1"/>
    <col min="1389" max="1389" width="11.26953125" style="9" bestFit="1" customWidth="1"/>
    <col min="1390" max="1390" width="9" style="9" bestFit="1" customWidth="1"/>
    <col min="1391" max="1391" width="11.26953125" style="9" bestFit="1" customWidth="1"/>
    <col min="1392" max="1392" width="9" style="9" bestFit="1" customWidth="1"/>
    <col min="1393" max="1393" width="11.26953125" style="9" bestFit="1" customWidth="1"/>
    <col min="1394" max="1394" width="9" style="9" bestFit="1" customWidth="1"/>
    <col min="1395" max="1395" width="11.26953125" style="9" bestFit="1" customWidth="1"/>
    <col min="1396" max="1396" width="7.81640625" style="9" bestFit="1" customWidth="1"/>
    <col min="1397" max="1397" width="8.7265625" style="9" bestFit="1" customWidth="1"/>
    <col min="1398" max="1398" width="9" style="9" bestFit="1" customWidth="1"/>
    <col min="1399" max="1399" width="11.26953125" style="9" bestFit="1" customWidth="1"/>
    <col min="1400" max="1400" width="9" style="9" bestFit="1" customWidth="1"/>
    <col min="1401" max="1401" width="11.26953125" style="9" bestFit="1" customWidth="1"/>
    <col min="1402" max="1402" width="8" style="9" bestFit="1" customWidth="1"/>
    <col min="1403" max="1403" width="10.26953125" style="9" bestFit="1" customWidth="1"/>
    <col min="1404" max="1404" width="8" style="9" bestFit="1" customWidth="1"/>
    <col min="1405" max="1405" width="10.26953125" style="9" bestFit="1" customWidth="1"/>
    <col min="1406" max="1406" width="9" style="9" bestFit="1" customWidth="1"/>
    <col min="1407" max="1407" width="11.26953125" style="9" bestFit="1" customWidth="1"/>
    <col min="1408" max="1408" width="9" style="9" bestFit="1" customWidth="1"/>
    <col min="1409" max="1409" width="11.26953125" style="9" bestFit="1" customWidth="1"/>
    <col min="1410" max="1410" width="9" style="9" bestFit="1" customWidth="1"/>
    <col min="1411" max="1411" width="11.26953125" style="9" bestFit="1" customWidth="1"/>
    <col min="1412" max="1412" width="7.81640625" style="9" bestFit="1" customWidth="1"/>
    <col min="1413" max="1413" width="8.7265625" style="9" bestFit="1" customWidth="1"/>
    <col min="1414" max="1414" width="9" style="9" bestFit="1" customWidth="1"/>
    <col min="1415" max="1415" width="11.26953125" style="9" bestFit="1" customWidth="1"/>
    <col min="1416" max="1416" width="9" style="9" bestFit="1" customWidth="1"/>
    <col min="1417" max="1417" width="11.26953125" style="9" bestFit="1" customWidth="1"/>
    <col min="1418" max="1418" width="8" style="9" bestFit="1" customWidth="1"/>
    <col min="1419" max="1419" width="10.26953125" style="9" bestFit="1" customWidth="1"/>
    <col min="1420" max="1420" width="9" style="9" bestFit="1" customWidth="1"/>
    <col min="1421" max="1421" width="11.26953125" style="9" bestFit="1" customWidth="1"/>
    <col min="1422" max="1422" width="8" style="9" bestFit="1" customWidth="1"/>
    <col min="1423" max="1423" width="10.26953125" style="9" bestFit="1" customWidth="1"/>
    <col min="1424" max="1424" width="9" style="9" bestFit="1" customWidth="1"/>
    <col min="1425" max="1425" width="11.26953125" style="9" bestFit="1" customWidth="1"/>
    <col min="1426" max="1426" width="9" style="9" bestFit="1" customWidth="1"/>
    <col min="1427" max="1427" width="11.26953125" style="9" bestFit="1" customWidth="1"/>
    <col min="1428" max="1428" width="9" style="9" bestFit="1" customWidth="1"/>
    <col min="1429" max="1429" width="11.26953125" style="9" bestFit="1" customWidth="1"/>
    <col min="1430" max="1430" width="8" style="9" bestFit="1" customWidth="1"/>
    <col min="1431" max="1431" width="10.26953125" style="9" bestFit="1" customWidth="1"/>
    <col min="1432" max="1432" width="9" style="9" bestFit="1" customWidth="1"/>
    <col min="1433" max="1433" width="11.26953125" style="9" bestFit="1" customWidth="1"/>
    <col min="1434" max="1434" width="9" style="9" bestFit="1" customWidth="1"/>
    <col min="1435" max="1435" width="11.26953125" style="9" bestFit="1" customWidth="1"/>
    <col min="1436" max="1436" width="8" style="9" bestFit="1" customWidth="1"/>
    <col min="1437" max="1437" width="10.26953125" style="9" bestFit="1" customWidth="1"/>
    <col min="1438" max="1438" width="8" style="9" bestFit="1" customWidth="1"/>
    <col min="1439" max="1439" width="10.26953125" style="9" bestFit="1" customWidth="1"/>
    <col min="1440" max="1440" width="9" style="9" bestFit="1" customWidth="1"/>
    <col min="1441" max="1441" width="11.26953125" style="9" bestFit="1" customWidth="1"/>
    <col min="1442" max="1442" width="8" style="9" bestFit="1" customWidth="1"/>
    <col min="1443" max="1443" width="10.26953125" style="9" bestFit="1" customWidth="1"/>
    <col min="1444" max="1444" width="9" style="9" bestFit="1" customWidth="1"/>
    <col min="1445" max="1445" width="11.26953125" style="9" bestFit="1" customWidth="1"/>
    <col min="1446" max="1446" width="9" style="9" bestFit="1" customWidth="1"/>
    <col min="1447" max="1447" width="11.26953125" style="9" bestFit="1" customWidth="1"/>
    <col min="1448" max="1448" width="8" style="9" bestFit="1" customWidth="1"/>
    <col min="1449" max="1449" width="10.26953125" style="9" bestFit="1" customWidth="1"/>
    <col min="1450" max="1450" width="7.1796875" style="9" bestFit="1" customWidth="1"/>
    <col min="1451" max="1451" width="8.7265625" style="9" bestFit="1" customWidth="1"/>
    <col min="1452" max="1452" width="9" style="9" bestFit="1" customWidth="1"/>
    <col min="1453" max="1453" width="11.26953125" style="9" bestFit="1" customWidth="1"/>
    <col min="1454" max="1454" width="8" style="9" bestFit="1" customWidth="1"/>
    <col min="1455" max="1455" width="10.26953125" style="9" bestFit="1" customWidth="1"/>
    <col min="1456" max="1456" width="9" style="9" bestFit="1" customWidth="1"/>
    <col min="1457" max="1457" width="11.26953125" style="9" bestFit="1" customWidth="1"/>
    <col min="1458" max="1458" width="8" style="9" bestFit="1" customWidth="1"/>
    <col min="1459" max="1459" width="10.26953125" style="9" bestFit="1" customWidth="1"/>
    <col min="1460" max="1460" width="8" style="9" bestFit="1" customWidth="1"/>
    <col min="1461" max="1461" width="10.26953125" style="9" bestFit="1" customWidth="1"/>
    <col min="1462" max="1462" width="9" style="9" bestFit="1" customWidth="1"/>
    <col min="1463" max="1463" width="11.26953125" style="9" bestFit="1" customWidth="1"/>
    <col min="1464" max="1464" width="9" style="9" bestFit="1" customWidth="1"/>
    <col min="1465" max="1465" width="11.26953125" style="9" bestFit="1" customWidth="1"/>
    <col min="1466" max="1466" width="8" style="9" bestFit="1" customWidth="1"/>
    <col min="1467" max="1467" width="10.26953125" style="9" bestFit="1" customWidth="1"/>
    <col min="1468" max="1468" width="9" style="9" bestFit="1" customWidth="1"/>
    <col min="1469" max="1469" width="11.26953125" style="9" bestFit="1" customWidth="1"/>
    <col min="1470" max="1470" width="9" style="9" bestFit="1" customWidth="1"/>
    <col min="1471" max="1471" width="11.26953125" style="9" bestFit="1" customWidth="1"/>
    <col min="1472" max="1472" width="9" style="9" bestFit="1" customWidth="1"/>
    <col min="1473" max="1473" width="11.26953125" style="9" bestFit="1" customWidth="1"/>
    <col min="1474" max="1474" width="8" style="9" bestFit="1" customWidth="1"/>
    <col min="1475" max="1475" width="10.26953125" style="9" bestFit="1" customWidth="1"/>
    <col min="1476" max="1476" width="7.81640625" style="9" bestFit="1" customWidth="1"/>
    <col min="1477" max="1477" width="8.7265625" style="9" bestFit="1" customWidth="1"/>
    <col min="1478" max="1478" width="7.81640625" style="9" bestFit="1" customWidth="1"/>
    <col min="1479" max="1479" width="8.7265625" style="9" bestFit="1" customWidth="1"/>
    <col min="1480" max="1480" width="7.1796875" style="9" bestFit="1" customWidth="1"/>
    <col min="1481" max="1481" width="8.7265625" style="9" bestFit="1" customWidth="1"/>
    <col min="1482" max="1482" width="9" style="9" bestFit="1" customWidth="1"/>
    <col min="1483" max="1483" width="11.26953125" style="9" bestFit="1" customWidth="1"/>
    <col min="1484" max="1484" width="8" style="9" bestFit="1" customWidth="1"/>
    <col min="1485" max="1485" width="10.26953125" style="9" bestFit="1" customWidth="1"/>
    <col min="1486" max="1486" width="9" style="9" bestFit="1" customWidth="1"/>
    <col min="1487" max="1487" width="11.26953125" style="9" bestFit="1" customWidth="1"/>
    <col min="1488" max="1488" width="9" style="9" bestFit="1" customWidth="1"/>
    <col min="1489" max="1489" width="11.26953125" style="9" bestFit="1" customWidth="1"/>
    <col min="1490" max="1490" width="8" style="9" bestFit="1" customWidth="1"/>
    <col min="1491" max="1491" width="10.26953125" style="9" bestFit="1" customWidth="1"/>
    <col min="1492" max="1492" width="7.81640625" style="9" bestFit="1" customWidth="1"/>
    <col min="1493" max="1493" width="8.7265625" style="9" bestFit="1" customWidth="1"/>
    <col min="1494" max="1494" width="8" style="9" bestFit="1" customWidth="1"/>
    <col min="1495" max="1495" width="10.26953125" style="9" bestFit="1" customWidth="1"/>
    <col min="1496" max="1496" width="8" style="9" bestFit="1" customWidth="1"/>
    <col min="1497" max="1497" width="10.26953125" style="9" bestFit="1" customWidth="1"/>
    <col min="1498" max="1498" width="9" style="9" bestFit="1" customWidth="1"/>
    <col min="1499" max="1499" width="11.26953125" style="9" bestFit="1" customWidth="1"/>
    <col min="1500" max="1500" width="9" style="9" bestFit="1" customWidth="1"/>
    <col min="1501" max="1501" width="11.26953125" style="9" bestFit="1" customWidth="1"/>
    <col min="1502" max="1502" width="9" style="9" bestFit="1" customWidth="1"/>
    <col min="1503" max="1503" width="11.26953125" style="9" bestFit="1" customWidth="1"/>
    <col min="1504" max="1504" width="9" style="9" bestFit="1" customWidth="1"/>
    <col min="1505" max="1505" width="11.26953125" style="9" bestFit="1" customWidth="1"/>
    <col min="1506" max="1506" width="8" style="9" bestFit="1" customWidth="1"/>
    <col min="1507" max="1507" width="10.26953125" style="9" bestFit="1" customWidth="1"/>
    <col min="1508" max="1508" width="9" style="9" bestFit="1" customWidth="1"/>
    <col min="1509" max="1509" width="11.26953125" style="9" bestFit="1" customWidth="1"/>
    <col min="1510" max="1510" width="9" style="9" bestFit="1" customWidth="1"/>
    <col min="1511" max="1511" width="11.26953125" style="9" bestFit="1" customWidth="1"/>
    <col min="1512" max="1512" width="9" style="9" bestFit="1" customWidth="1"/>
    <col min="1513" max="1513" width="11.26953125" style="9" bestFit="1" customWidth="1"/>
    <col min="1514" max="1514" width="9" style="9" bestFit="1" customWidth="1"/>
    <col min="1515" max="1515" width="11.26953125" style="9" bestFit="1" customWidth="1"/>
    <col min="1516" max="1516" width="9" style="9" bestFit="1" customWidth="1"/>
    <col min="1517" max="1517" width="11.26953125" style="9" bestFit="1" customWidth="1"/>
    <col min="1518" max="1518" width="9" style="9" bestFit="1" customWidth="1"/>
    <col min="1519" max="1519" width="11.26953125" style="9" bestFit="1" customWidth="1"/>
    <col min="1520" max="1520" width="7.1796875" style="9" bestFit="1" customWidth="1"/>
    <col min="1521" max="1521" width="8.7265625" style="9" bestFit="1" customWidth="1"/>
    <col min="1522" max="1522" width="8" style="9" bestFit="1" customWidth="1"/>
    <col min="1523" max="1523" width="10.26953125" style="9" bestFit="1" customWidth="1"/>
    <col min="1524" max="1524" width="9" style="9" bestFit="1" customWidth="1"/>
    <col min="1525" max="1525" width="11.26953125" style="9" bestFit="1" customWidth="1"/>
    <col min="1526" max="1526" width="8" style="9" bestFit="1" customWidth="1"/>
    <col min="1527" max="1527" width="10.26953125" style="9" bestFit="1" customWidth="1"/>
    <col min="1528" max="1528" width="9" style="9" bestFit="1" customWidth="1"/>
    <col min="1529" max="1529" width="11.26953125" style="9" bestFit="1" customWidth="1"/>
    <col min="1530" max="1530" width="9" style="9" bestFit="1" customWidth="1"/>
    <col min="1531" max="1531" width="11.26953125" style="9" bestFit="1" customWidth="1"/>
    <col min="1532" max="1532" width="8" style="9" bestFit="1" customWidth="1"/>
    <col min="1533" max="1533" width="10.26953125" style="9" bestFit="1" customWidth="1"/>
    <col min="1534" max="1534" width="8" style="9" bestFit="1" customWidth="1"/>
    <col min="1535" max="1535" width="10.26953125" style="9" bestFit="1" customWidth="1"/>
    <col min="1536" max="1536" width="9" style="9" bestFit="1" customWidth="1"/>
    <col min="1537" max="1537" width="11.26953125" style="9" bestFit="1" customWidth="1"/>
    <col min="1538" max="1538" width="8" style="9" bestFit="1" customWidth="1"/>
    <col min="1539" max="1539" width="10.26953125" style="9" bestFit="1" customWidth="1"/>
    <col min="1540" max="1540" width="9" style="9" bestFit="1" customWidth="1"/>
    <col min="1541" max="1541" width="11.26953125" style="9" bestFit="1" customWidth="1"/>
    <col min="1542" max="1542" width="8" style="9" bestFit="1" customWidth="1"/>
    <col min="1543" max="1543" width="10.26953125" style="9" bestFit="1" customWidth="1"/>
    <col min="1544" max="1544" width="9" style="9" bestFit="1" customWidth="1"/>
    <col min="1545" max="1545" width="11.26953125" style="9" bestFit="1" customWidth="1"/>
    <col min="1546" max="1546" width="9" style="9" bestFit="1" customWidth="1"/>
    <col min="1547" max="1547" width="11.26953125" style="9" bestFit="1" customWidth="1"/>
    <col min="1548" max="1548" width="9" style="9" bestFit="1" customWidth="1"/>
    <col min="1549" max="1549" width="11.26953125" style="9" bestFit="1" customWidth="1"/>
    <col min="1550" max="1550" width="7.81640625" style="9" bestFit="1" customWidth="1"/>
    <col min="1551" max="1551" width="8.7265625" style="9" bestFit="1" customWidth="1"/>
    <col min="1552" max="1552" width="9" style="9" bestFit="1" customWidth="1"/>
    <col min="1553" max="1553" width="11.26953125" style="9" bestFit="1" customWidth="1"/>
    <col min="1554" max="1554" width="9" style="9" bestFit="1" customWidth="1"/>
    <col min="1555" max="1555" width="11.26953125" style="9" bestFit="1" customWidth="1"/>
    <col min="1556" max="1556" width="9" style="9" bestFit="1" customWidth="1"/>
    <col min="1557" max="1557" width="11.26953125" style="9" bestFit="1" customWidth="1"/>
    <col min="1558" max="1558" width="9" style="9" bestFit="1" customWidth="1"/>
    <col min="1559" max="1559" width="11.26953125" style="9" bestFit="1" customWidth="1"/>
    <col min="1560" max="1560" width="9" style="9" bestFit="1" customWidth="1"/>
    <col min="1561" max="1561" width="11.26953125" style="9" bestFit="1" customWidth="1"/>
    <col min="1562" max="1562" width="9" style="9" bestFit="1" customWidth="1"/>
    <col min="1563" max="1563" width="11.26953125" style="9" bestFit="1" customWidth="1"/>
    <col min="1564" max="1564" width="8" style="9" bestFit="1" customWidth="1"/>
    <col min="1565" max="1565" width="10.26953125" style="9" bestFit="1" customWidth="1"/>
    <col min="1566" max="1566" width="9" style="9" bestFit="1" customWidth="1"/>
    <col min="1567" max="1567" width="11.26953125" style="9" bestFit="1" customWidth="1"/>
    <col min="1568" max="1568" width="7.81640625" style="9" bestFit="1" customWidth="1"/>
    <col min="1569" max="1569" width="8.7265625" style="9" bestFit="1" customWidth="1"/>
    <col min="1570" max="1570" width="8" style="9" bestFit="1" customWidth="1"/>
    <col min="1571" max="1571" width="10.26953125" style="9" bestFit="1" customWidth="1"/>
    <col min="1572" max="1572" width="9" style="9" bestFit="1" customWidth="1"/>
    <col min="1573" max="1573" width="11.26953125" style="9" bestFit="1" customWidth="1"/>
    <col min="1574" max="1574" width="8" style="9" bestFit="1" customWidth="1"/>
    <col min="1575" max="1575" width="10.26953125" style="9" bestFit="1" customWidth="1"/>
    <col min="1576" max="1576" width="8" style="9" bestFit="1" customWidth="1"/>
    <col min="1577" max="1577" width="10.26953125" style="9" bestFit="1" customWidth="1"/>
    <col min="1578" max="1578" width="9" style="9" bestFit="1" customWidth="1"/>
    <col min="1579" max="1579" width="11.26953125" style="9" bestFit="1" customWidth="1"/>
    <col min="1580" max="1580" width="9" style="9" bestFit="1" customWidth="1"/>
    <col min="1581" max="1581" width="11.26953125" style="9" bestFit="1" customWidth="1"/>
    <col min="1582" max="1582" width="7.81640625" style="9" bestFit="1" customWidth="1"/>
    <col min="1583" max="1583" width="8.7265625" style="9" bestFit="1" customWidth="1"/>
    <col min="1584" max="1584" width="8" style="9" bestFit="1" customWidth="1"/>
    <col min="1585" max="1585" width="10.26953125" style="9" bestFit="1" customWidth="1"/>
    <col min="1586" max="1586" width="9" style="9" bestFit="1" customWidth="1"/>
    <col min="1587" max="1587" width="11.26953125" style="9" bestFit="1" customWidth="1"/>
    <col min="1588" max="1588" width="9" style="9" bestFit="1" customWidth="1"/>
    <col min="1589" max="1589" width="11.26953125" style="9" bestFit="1" customWidth="1"/>
    <col min="1590" max="1590" width="9" style="9" bestFit="1" customWidth="1"/>
    <col min="1591" max="1591" width="11.26953125" style="9" bestFit="1" customWidth="1"/>
    <col min="1592" max="1592" width="8" style="9" bestFit="1" customWidth="1"/>
    <col min="1593" max="1593" width="10.26953125" style="9" bestFit="1" customWidth="1"/>
    <col min="1594" max="1594" width="8" style="9" bestFit="1" customWidth="1"/>
    <col min="1595" max="1595" width="10.26953125" style="9" bestFit="1" customWidth="1"/>
    <col min="1596" max="1596" width="9" style="9" bestFit="1" customWidth="1"/>
    <col min="1597" max="1597" width="11.26953125" style="9" bestFit="1" customWidth="1"/>
    <col min="1598" max="1598" width="9" style="9" bestFit="1" customWidth="1"/>
    <col min="1599" max="1599" width="11.26953125" style="9" bestFit="1" customWidth="1"/>
    <col min="1600" max="1600" width="9" style="9" bestFit="1" customWidth="1"/>
    <col min="1601" max="1601" width="11.26953125" style="9" bestFit="1" customWidth="1"/>
    <col min="1602" max="1602" width="9" style="9" bestFit="1" customWidth="1"/>
    <col min="1603" max="1603" width="11.26953125" style="9" bestFit="1" customWidth="1"/>
    <col min="1604" max="1604" width="9" style="9" bestFit="1" customWidth="1"/>
    <col min="1605" max="1605" width="11.26953125" style="9" bestFit="1" customWidth="1"/>
    <col min="1606" max="1606" width="8" style="9" bestFit="1" customWidth="1"/>
    <col min="1607" max="1607" width="10.26953125" style="9" bestFit="1" customWidth="1"/>
    <col min="1608" max="1608" width="9" style="9" bestFit="1" customWidth="1"/>
    <col min="1609" max="1609" width="11.26953125" style="9" bestFit="1" customWidth="1"/>
    <col min="1610" max="1610" width="8" style="9" bestFit="1" customWidth="1"/>
    <col min="1611" max="1611" width="10.26953125" style="9" bestFit="1" customWidth="1"/>
    <col min="1612" max="1612" width="9" style="9" bestFit="1" customWidth="1"/>
    <col min="1613" max="1613" width="11.26953125" style="9" bestFit="1" customWidth="1"/>
    <col min="1614" max="1614" width="8" style="9" bestFit="1" customWidth="1"/>
    <col min="1615" max="1615" width="10.26953125" style="9" bestFit="1" customWidth="1"/>
    <col min="1616" max="1616" width="8" style="9" bestFit="1" customWidth="1"/>
    <col min="1617" max="1617" width="10.26953125" style="9" bestFit="1" customWidth="1"/>
    <col min="1618" max="1618" width="8" style="9" bestFit="1" customWidth="1"/>
    <col min="1619" max="1619" width="10.26953125" style="9" bestFit="1" customWidth="1"/>
    <col min="1620" max="1620" width="8" style="9" bestFit="1" customWidth="1"/>
    <col min="1621" max="1621" width="10.26953125" style="9" bestFit="1" customWidth="1"/>
    <col min="1622" max="1622" width="8" style="9" bestFit="1" customWidth="1"/>
    <col min="1623" max="1623" width="10.26953125" style="9" bestFit="1" customWidth="1"/>
    <col min="1624" max="1624" width="9" style="9" bestFit="1" customWidth="1"/>
    <col min="1625" max="1625" width="11.26953125" style="9" bestFit="1" customWidth="1"/>
    <col min="1626" max="1626" width="7.81640625" style="9" bestFit="1" customWidth="1"/>
    <col min="1627" max="1627" width="8.7265625" style="9" bestFit="1" customWidth="1"/>
    <col min="1628" max="1628" width="8" style="9" bestFit="1" customWidth="1"/>
    <col min="1629" max="1629" width="10.26953125" style="9" bestFit="1" customWidth="1"/>
    <col min="1630" max="1630" width="9" style="9" bestFit="1" customWidth="1"/>
    <col min="1631" max="1631" width="11.26953125" style="9" bestFit="1" customWidth="1"/>
    <col min="1632" max="1632" width="9" style="9" bestFit="1" customWidth="1"/>
    <col min="1633" max="1633" width="11.26953125" style="9" bestFit="1" customWidth="1"/>
    <col min="1634" max="1634" width="8" style="9" bestFit="1" customWidth="1"/>
    <col min="1635" max="1635" width="10.26953125" style="9" bestFit="1" customWidth="1"/>
    <col min="1636" max="1636" width="9" style="9" bestFit="1" customWidth="1"/>
    <col min="1637" max="1637" width="11.26953125" style="9" bestFit="1" customWidth="1"/>
    <col min="1638" max="1638" width="8" style="9" bestFit="1" customWidth="1"/>
    <col min="1639" max="1639" width="10.26953125" style="9" bestFit="1" customWidth="1"/>
    <col min="1640" max="1640" width="9" style="9" bestFit="1" customWidth="1"/>
    <col min="1641" max="1641" width="11.26953125" style="9" bestFit="1" customWidth="1"/>
    <col min="1642" max="1642" width="9" style="9" bestFit="1" customWidth="1"/>
    <col min="1643" max="1643" width="11.26953125" style="9" bestFit="1" customWidth="1"/>
    <col min="1644" max="1644" width="9" style="9" bestFit="1" customWidth="1"/>
    <col min="1645" max="1645" width="11.26953125" style="9" bestFit="1" customWidth="1"/>
    <col min="1646" max="1646" width="9" style="9" bestFit="1" customWidth="1"/>
    <col min="1647" max="1647" width="11.26953125" style="9" bestFit="1" customWidth="1"/>
    <col min="1648" max="1648" width="7.81640625" style="9" bestFit="1" customWidth="1"/>
    <col min="1649" max="1649" width="8.7265625" style="9" bestFit="1" customWidth="1"/>
    <col min="1650" max="1650" width="8" style="9" bestFit="1" customWidth="1"/>
    <col min="1651" max="1651" width="10.26953125" style="9" bestFit="1" customWidth="1"/>
    <col min="1652" max="1652" width="8" style="9" bestFit="1" customWidth="1"/>
    <col min="1653" max="1653" width="10.26953125" style="9" bestFit="1" customWidth="1"/>
    <col min="1654" max="1655" width="7.81640625" style="9" bestFit="1" customWidth="1"/>
    <col min="1656" max="1656" width="8.7265625" style="9" bestFit="1" customWidth="1"/>
    <col min="1657" max="1657" width="9" style="9" bestFit="1" customWidth="1"/>
    <col min="1658" max="1658" width="11.26953125" style="9" bestFit="1" customWidth="1"/>
    <col min="1659" max="1659" width="7.81640625" style="9" bestFit="1" customWidth="1"/>
    <col min="1660" max="1660" width="8.7265625" style="9" bestFit="1" customWidth="1"/>
    <col min="1661" max="1661" width="7.81640625" style="9" bestFit="1" customWidth="1"/>
    <col min="1662" max="1662" width="8.7265625" style="9" bestFit="1" customWidth="1"/>
    <col min="1663" max="1663" width="9" style="9" bestFit="1" customWidth="1"/>
    <col min="1664" max="1664" width="11.26953125" style="9" bestFit="1" customWidth="1"/>
    <col min="1665" max="1665" width="8" style="9" bestFit="1" customWidth="1"/>
    <col min="1666" max="1666" width="10.26953125" style="9" bestFit="1" customWidth="1"/>
    <col min="1667" max="1667" width="8" style="9" bestFit="1" customWidth="1"/>
    <col min="1668" max="1668" width="10.26953125" style="9" bestFit="1" customWidth="1"/>
    <col min="1669" max="1669" width="8" style="9" bestFit="1" customWidth="1"/>
    <col min="1670" max="1670" width="10.26953125" style="9" bestFit="1" customWidth="1"/>
    <col min="1671" max="1671" width="9" style="9" bestFit="1" customWidth="1"/>
    <col min="1672" max="1672" width="11.26953125" style="9" bestFit="1" customWidth="1"/>
    <col min="1673" max="1673" width="8" style="9" bestFit="1" customWidth="1"/>
    <col min="1674" max="1674" width="10.26953125" style="9" bestFit="1" customWidth="1"/>
    <col min="1675" max="1675" width="8" style="9" bestFit="1" customWidth="1"/>
    <col min="1676" max="1676" width="10.26953125" style="9" bestFit="1" customWidth="1"/>
    <col min="1677" max="1677" width="9" style="9" bestFit="1" customWidth="1"/>
    <col min="1678" max="1678" width="11.26953125" style="9" bestFit="1" customWidth="1"/>
    <col min="1679" max="1679" width="8" style="9" bestFit="1" customWidth="1"/>
    <col min="1680" max="1680" width="10.26953125" style="9" bestFit="1" customWidth="1"/>
    <col min="1681" max="1681" width="9" style="9" bestFit="1" customWidth="1"/>
    <col min="1682" max="1682" width="11.26953125" style="9" bestFit="1" customWidth="1"/>
    <col min="1683" max="1683" width="9" style="9" bestFit="1" customWidth="1"/>
    <col min="1684" max="1684" width="11.26953125" style="9" bestFit="1" customWidth="1"/>
    <col min="1685" max="1685" width="9" style="9" bestFit="1" customWidth="1"/>
    <col min="1686" max="1686" width="11.26953125" style="9" bestFit="1" customWidth="1"/>
    <col min="1687" max="1687" width="7.81640625" style="9" bestFit="1" customWidth="1"/>
    <col min="1688" max="1688" width="8.7265625" style="9" bestFit="1" customWidth="1"/>
    <col min="1689" max="1689" width="7.81640625" style="9" bestFit="1" customWidth="1"/>
    <col min="1690" max="1690" width="8.7265625" style="9" bestFit="1" customWidth="1"/>
    <col min="1691" max="1691" width="9" style="9" bestFit="1" customWidth="1"/>
    <col min="1692" max="1692" width="11.26953125" style="9" bestFit="1" customWidth="1"/>
    <col min="1693" max="1693" width="9" style="9" bestFit="1" customWidth="1"/>
    <col min="1694" max="1694" width="11.26953125" style="9" bestFit="1" customWidth="1"/>
    <col min="1695" max="1695" width="9" style="9" bestFit="1" customWidth="1"/>
    <col min="1696" max="1696" width="11.26953125" style="9" bestFit="1" customWidth="1"/>
    <col min="1697" max="1697" width="9" style="9" bestFit="1" customWidth="1"/>
    <col min="1698" max="1698" width="11.26953125" style="9" bestFit="1" customWidth="1"/>
    <col min="1699" max="1699" width="9" style="9" bestFit="1" customWidth="1"/>
    <col min="1700" max="1700" width="11.26953125" style="9" bestFit="1" customWidth="1"/>
    <col min="1701" max="1701" width="8" style="9" bestFit="1" customWidth="1"/>
    <col min="1702" max="1702" width="10.26953125" style="9" bestFit="1" customWidth="1"/>
    <col min="1703" max="1703" width="9" style="9" bestFit="1" customWidth="1"/>
    <col min="1704" max="1704" width="11.26953125" style="9" bestFit="1" customWidth="1"/>
    <col min="1705" max="1705" width="7.81640625" style="9" bestFit="1" customWidth="1"/>
    <col min="1706" max="1706" width="8.7265625" style="9" bestFit="1" customWidth="1"/>
    <col min="1707" max="1707" width="8" style="9" bestFit="1" customWidth="1"/>
    <col min="1708" max="1708" width="10.26953125" style="9" bestFit="1" customWidth="1"/>
    <col min="1709" max="1709" width="7.81640625" style="9" bestFit="1" customWidth="1"/>
    <col min="1710" max="1710" width="8.7265625" style="9" bestFit="1" customWidth="1"/>
    <col min="1711" max="1711" width="8" style="9" bestFit="1" customWidth="1"/>
    <col min="1712" max="1712" width="10.26953125" style="9" bestFit="1" customWidth="1"/>
    <col min="1713" max="1713" width="9" style="9" bestFit="1" customWidth="1"/>
    <col min="1714" max="1714" width="11.26953125" style="9" bestFit="1" customWidth="1"/>
    <col min="1715" max="1715" width="9" style="9" bestFit="1" customWidth="1"/>
    <col min="1716" max="1716" width="11.26953125" style="9" bestFit="1" customWidth="1"/>
    <col min="1717" max="1717" width="8" style="9" bestFit="1" customWidth="1"/>
    <col min="1718" max="1718" width="10.26953125" style="9" bestFit="1" customWidth="1"/>
    <col min="1719" max="1719" width="9" style="9" bestFit="1" customWidth="1"/>
    <col min="1720" max="1720" width="11.26953125" style="9" bestFit="1" customWidth="1"/>
    <col min="1721" max="1721" width="7.81640625" style="9" bestFit="1" customWidth="1"/>
    <col min="1722" max="1722" width="8.7265625" style="9" bestFit="1" customWidth="1"/>
    <col min="1723" max="1723" width="9" style="9" bestFit="1" customWidth="1"/>
    <col min="1724" max="1724" width="11.26953125" style="9" bestFit="1" customWidth="1"/>
    <col min="1725" max="1725" width="8" style="9" bestFit="1" customWidth="1"/>
    <col min="1726" max="1726" width="10.26953125" style="9" bestFit="1" customWidth="1"/>
    <col min="1727" max="1727" width="9" style="9" bestFit="1" customWidth="1"/>
    <col min="1728" max="1728" width="11.26953125" style="9" bestFit="1" customWidth="1"/>
    <col min="1729" max="1729" width="8" style="9" bestFit="1" customWidth="1"/>
    <col min="1730" max="1730" width="10.26953125" style="9" bestFit="1" customWidth="1"/>
    <col min="1731" max="1731" width="9" style="9" bestFit="1" customWidth="1"/>
    <col min="1732" max="1732" width="11.26953125" style="9" bestFit="1" customWidth="1"/>
    <col min="1733" max="1733" width="9" style="9" bestFit="1" customWidth="1"/>
    <col min="1734" max="1734" width="11.26953125" style="9" bestFit="1" customWidth="1"/>
    <col min="1735" max="1735" width="8" style="9" bestFit="1" customWidth="1"/>
    <col min="1736" max="1736" width="10.26953125" style="9" bestFit="1" customWidth="1"/>
    <col min="1737" max="1737" width="9" style="9" bestFit="1" customWidth="1"/>
    <col min="1738" max="1738" width="11.26953125" style="9" bestFit="1" customWidth="1"/>
    <col min="1739" max="1739" width="8" style="9" bestFit="1" customWidth="1"/>
    <col min="1740" max="1740" width="10.26953125" style="9" bestFit="1" customWidth="1"/>
    <col min="1741" max="1741" width="8" style="9" bestFit="1" customWidth="1"/>
    <col min="1742" max="1742" width="10.26953125" style="9" bestFit="1" customWidth="1"/>
    <col min="1743" max="1743" width="9" style="9" bestFit="1" customWidth="1"/>
    <col min="1744" max="1744" width="11.26953125" style="9" bestFit="1" customWidth="1"/>
    <col min="1745" max="1745" width="9" style="9" bestFit="1" customWidth="1"/>
    <col min="1746" max="1746" width="11.26953125" style="9" bestFit="1" customWidth="1"/>
    <col min="1747" max="1747" width="9" style="9" bestFit="1" customWidth="1"/>
    <col min="1748" max="1748" width="11.26953125" style="9" bestFit="1" customWidth="1"/>
    <col min="1749" max="1749" width="7.81640625" style="9" bestFit="1" customWidth="1"/>
    <col min="1750" max="1750" width="8.7265625" style="9" bestFit="1" customWidth="1"/>
    <col min="1751" max="1751" width="9" style="9" bestFit="1" customWidth="1"/>
    <col min="1752" max="1752" width="11.26953125" style="9" bestFit="1" customWidth="1"/>
    <col min="1753" max="1753" width="9" style="9" bestFit="1" customWidth="1"/>
    <col min="1754" max="1754" width="11.26953125" style="9" bestFit="1" customWidth="1"/>
    <col min="1755" max="1755" width="9" style="9" bestFit="1" customWidth="1"/>
    <col min="1756" max="1756" width="11.26953125" style="9" bestFit="1" customWidth="1"/>
    <col min="1757" max="1757" width="9" style="9" bestFit="1" customWidth="1"/>
    <col min="1758" max="1758" width="11.26953125" style="9" bestFit="1" customWidth="1"/>
    <col min="1759" max="1759" width="9" style="9" bestFit="1" customWidth="1"/>
    <col min="1760" max="1760" width="11.26953125" style="9" bestFit="1" customWidth="1"/>
    <col min="1761" max="1761" width="8" style="9" bestFit="1" customWidth="1"/>
    <col min="1762" max="1762" width="10.26953125" style="9" bestFit="1" customWidth="1"/>
    <col min="1763" max="1763" width="9" style="9" bestFit="1" customWidth="1"/>
    <col min="1764" max="1764" width="11.26953125" style="9" bestFit="1" customWidth="1"/>
    <col min="1765" max="1765" width="8" style="9" bestFit="1" customWidth="1"/>
    <col min="1766" max="1766" width="10.26953125" style="9" bestFit="1" customWidth="1"/>
    <col min="1767" max="1767" width="9" style="9" bestFit="1" customWidth="1"/>
    <col min="1768" max="1768" width="11.26953125" style="9" bestFit="1" customWidth="1"/>
    <col min="1769" max="1769" width="9" style="9" bestFit="1" customWidth="1"/>
    <col min="1770" max="1770" width="11.26953125" style="9" bestFit="1" customWidth="1"/>
    <col min="1771" max="1771" width="9" style="9" bestFit="1" customWidth="1"/>
    <col min="1772" max="1772" width="11.26953125" style="9" bestFit="1" customWidth="1"/>
    <col min="1773" max="1773" width="8" style="9" bestFit="1" customWidth="1"/>
    <col min="1774" max="1774" width="10.26953125" style="9" bestFit="1" customWidth="1"/>
    <col min="1775" max="1775" width="8" style="9" bestFit="1" customWidth="1"/>
    <col min="1776" max="1776" width="10.26953125" style="9" bestFit="1" customWidth="1"/>
    <col min="1777" max="1777" width="8" style="9" bestFit="1" customWidth="1"/>
    <col min="1778" max="1778" width="10.26953125" style="9" bestFit="1" customWidth="1"/>
    <col min="1779" max="1779" width="9" style="9" bestFit="1" customWidth="1"/>
    <col min="1780" max="1780" width="11.26953125" style="9" bestFit="1" customWidth="1"/>
    <col min="1781" max="1781" width="8" style="9" bestFit="1" customWidth="1"/>
    <col min="1782" max="1782" width="10.26953125" style="9" bestFit="1" customWidth="1"/>
    <col min="1783" max="1783" width="9" style="9" bestFit="1" customWidth="1"/>
    <col min="1784" max="1784" width="11.26953125" style="9" bestFit="1" customWidth="1"/>
    <col min="1785" max="1785" width="8" style="9" bestFit="1" customWidth="1"/>
    <col min="1786" max="1786" width="10.26953125" style="9" bestFit="1" customWidth="1"/>
    <col min="1787" max="1787" width="9" style="9" bestFit="1" customWidth="1"/>
    <col min="1788" max="1788" width="11.26953125" style="9" bestFit="1" customWidth="1"/>
    <col min="1789" max="1789" width="9" style="9" bestFit="1" customWidth="1"/>
    <col min="1790" max="1790" width="11.26953125" style="9" bestFit="1" customWidth="1"/>
    <col min="1791" max="1791" width="9" style="9" bestFit="1" customWidth="1"/>
    <col min="1792" max="1792" width="11.26953125" style="9" bestFit="1" customWidth="1"/>
    <col min="1793" max="1793" width="9" style="9" bestFit="1" customWidth="1"/>
    <col min="1794" max="1794" width="11.26953125" style="9" bestFit="1" customWidth="1"/>
    <col min="1795" max="1795" width="9" style="9" bestFit="1" customWidth="1"/>
    <col min="1796" max="1796" width="11.26953125" style="9" bestFit="1" customWidth="1"/>
    <col min="1797" max="1797" width="9" style="9" bestFit="1" customWidth="1"/>
    <col min="1798" max="1798" width="11.26953125" style="9" bestFit="1" customWidth="1"/>
    <col min="1799" max="1799" width="8" style="9" bestFit="1" customWidth="1"/>
    <col min="1800" max="1800" width="10.26953125" style="9" bestFit="1" customWidth="1"/>
    <col min="1801" max="1801" width="9" style="9" bestFit="1" customWidth="1"/>
    <col min="1802" max="1802" width="11.26953125" style="9" bestFit="1" customWidth="1"/>
    <col min="1803" max="1803" width="8" style="9" bestFit="1" customWidth="1"/>
    <col min="1804" max="1804" width="10.26953125" style="9" bestFit="1" customWidth="1"/>
    <col min="1805" max="1805" width="9" style="9" bestFit="1" customWidth="1"/>
    <col min="1806" max="1806" width="11.26953125" style="9" bestFit="1" customWidth="1"/>
    <col min="1807" max="1807" width="9" style="9" bestFit="1" customWidth="1"/>
    <col min="1808" max="1808" width="11.26953125" style="9" bestFit="1" customWidth="1"/>
    <col min="1809" max="1809" width="7.81640625" style="9" bestFit="1" customWidth="1"/>
    <col min="1810" max="1810" width="8.7265625" style="9" bestFit="1" customWidth="1"/>
    <col min="1811" max="1811" width="7.81640625" style="9" bestFit="1" customWidth="1"/>
    <col min="1812" max="1812" width="8.7265625" style="9" bestFit="1" customWidth="1"/>
    <col min="1813" max="1813" width="9" style="9" bestFit="1" customWidth="1"/>
    <col min="1814" max="1814" width="11.26953125" style="9" bestFit="1" customWidth="1"/>
    <col min="1815" max="1815" width="9" style="9" bestFit="1" customWidth="1"/>
    <col min="1816" max="1816" width="11.26953125" style="9" bestFit="1" customWidth="1"/>
    <col min="1817" max="1817" width="9" style="9" bestFit="1" customWidth="1"/>
    <col min="1818" max="1818" width="11.26953125" style="9" bestFit="1" customWidth="1"/>
    <col min="1819" max="1819" width="9" style="9" bestFit="1" customWidth="1"/>
    <col min="1820" max="1820" width="11.26953125" style="9" bestFit="1" customWidth="1"/>
    <col min="1821" max="1821" width="7.81640625" style="9" bestFit="1" customWidth="1"/>
    <col min="1822" max="1822" width="8.7265625" style="9" bestFit="1" customWidth="1"/>
    <col min="1823" max="1823" width="7.1796875" style="9" bestFit="1" customWidth="1"/>
    <col min="1824" max="1824" width="8.7265625" style="9" bestFit="1" customWidth="1"/>
    <col min="1825" max="1825" width="9" style="9" bestFit="1" customWidth="1"/>
    <col min="1826" max="1826" width="11.26953125" style="9" bestFit="1" customWidth="1"/>
    <col min="1827" max="1827" width="9" style="9" bestFit="1" customWidth="1"/>
    <col min="1828" max="1828" width="11.26953125" style="9" bestFit="1" customWidth="1"/>
    <col min="1829" max="1829" width="9" style="9" bestFit="1" customWidth="1"/>
    <col min="1830" max="1830" width="11.26953125" style="9" bestFit="1" customWidth="1"/>
    <col min="1831" max="1831" width="9" style="9" bestFit="1" customWidth="1"/>
    <col min="1832" max="1832" width="11.26953125" style="9" bestFit="1" customWidth="1"/>
    <col min="1833" max="1833" width="9" style="9" bestFit="1" customWidth="1"/>
    <col min="1834" max="1834" width="11.26953125" style="9" bestFit="1" customWidth="1"/>
    <col min="1835" max="1835" width="9" style="9" bestFit="1" customWidth="1"/>
    <col min="1836" max="1836" width="11.26953125" style="9" bestFit="1" customWidth="1"/>
    <col min="1837" max="1837" width="9" style="9" bestFit="1" customWidth="1"/>
    <col min="1838" max="1838" width="11.26953125" style="9" bestFit="1" customWidth="1"/>
    <col min="1839" max="1839" width="7.81640625" style="9" bestFit="1" customWidth="1"/>
    <col min="1840" max="1840" width="8.7265625" style="9" bestFit="1" customWidth="1"/>
    <col min="1841" max="1841" width="9" style="9" bestFit="1" customWidth="1"/>
    <col min="1842" max="1842" width="11.26953125" style="9" bestFit="1" customWidth="1"/>
    <col min="1843" max="1843" width="9" style="9" bestFit="1" customWidth="1"/>
    <col min="1844" max="1844" width="11.26953125" style="9" bestFit="1" customWidth="1"/>
    <col min="1845" max="1845" width="8" style="9" bestFit="1" customWidth="1"/>
    <col min="1846" max="1846" width="10.26953125" style="9" bestFit="1" customWidth="1"/>
    <col min="1847" max="1847" width="9" style="9" bestFit="1" customWidth="1"/>
    <col min="1848" max="1848" width="11.26953125" style="9" bestFit="1" customWidth="1"/>
    <col min="1849" max="1849" width="9" style="9" bestFit="1" customWidth="1"/>
    <col min="1850" max="1850" width="11.26953125" style="9" bestFit="1" customWidth="1"/>
    <col min="1851" max="1851" width="8" style="9" bestFit="1" customWidth="1"/>
    <col min="1852" max="1852" width="10.26953125" style="9" bestFit="1" customWidth="1"/>
    <col min="1853" max="1853" width="9" style="9" bestFit="1" customWidth="1"/>
    <col min="1854" max="1854" width="11.26953125" style="9" bestFit="1" customWidth="1"/>
    <col min="1855" max="1855" width="8" style="9" bestFit="1" customWidth="1"/>
    <col min="1856" max="1856" width="10.26953125" style="9" bestFit="1" customWidth="1"/>
    <col min="1857" max="1857" width="9" style="9" bestFit="1" customWidth="1"/>
    <col min="1858" max="1858" width="11.26953125" style="9" bestFit="1" customWidth="1"/>
    <col min="1859" max="1859" width="8" style="9" bestFit="1" customWidth="1"/>
    <col min="1860" max="1860" width="10.26953125" style="9" bestFit="1" customWidth="1"/>
    <col min="1861" max="1861" width="9" style="9" bestFit="1" customWidth="1"/>
    <col min="1862" max="1862" width="11.26953125" style="9" bestFit="1" customWidth="1"/>
    <col min="1863" max="1863" width="9" style="9" bestFit="1" customWidth="1"/>
    <col min="1864" max="1864" width="11.26953125" style="9" bestFit="1" customWidth="1"/>
    <col min="1865" max="1865" width="9" style="9" bestFit="1" customWidth="1"/>
    <col min="1866" max="1866" width="11.26953125" style="9" bestFit="1" customWidth="1"/>
    <col min="1867" max="1867" width="9" style="9" bestFit="1" customWidth="1"/>
    <col min="1868" max="1868" width="11.26953125" style="9" bestFit="1" customWidth="1"/>
    <col min="1869" max="1869" width="9" style="9" bestFit="1" customWidth="1"/>
    <col min="1870" max="1870" width="11.26953125" style="9" bestFit="1" customWidth="1"/>
    <col min="1871" max="1871" width="9" style="9" bestFit="1" customWidth="1"/>
    <col min="1872" max="1872" width="11.26953125" style="9" bestFit="1" customWidth="1"/>
    <col min="1873" max="1873" width="9" style="9" bestFit="1" customWidth="1"/>
    <col min="1874" max="1874" width="11.26953125" style="9" bestFit="1" customWidth="1"/>
    <col min="1875" max="1875" width="7.81640625" style="9" bestFit="1" customWidth="1"/>
    <col min="1876" max="1876" width="8.7265625" style="9" bestFit="1" customWidth="1"/>
    <col min="1877" max="1877" width="9" style="9" bestFit="1" customWidth="1"/>
    <col min="1878" max="1878" width="11.26953125" style="9" bestFit="1" customWidth="1"/>
    <col min="1879" max="1879" width="9" style="9" bestFit="1" customWidth="1"/>
    <col min="1880" max="1880" width="11.26953125" style="9" bestFit="1" customWidth="1"/>
    <col min="1881" max="1881" width="9" style="9" bestFit="1" customWidth="1"/>
    <col min="1882" max="1882" width="11.26953125" style="9" bestFit="1" customWidth="1"/>
    <col min="1883" max="1883" width="9" style="9" bestFit="1" customWidth="1"/>
    <col min="1884" max="1884" width="11.26953125" style="9" bestFit="1" customWidth="1"/>
    <col min="1885" max="1885" width="8" style="9" bestFit="1" customWidth="1"/>
    <col min="1886" max="1886" width="10.26953125" style="9" bestFit="1" customWidth="1"/>
    <col min="1887" max="1887" width="7.81640625" style="9" bestFit="1" customWidth="1"/>
    <col min="1888" max="1888" width="8.7265625" style="9" bestFit="1" customWidth="1"/>
    <col min="1889" max="1889" width="9" style="9" bestFit="1" customWidth="1"/>
    <col min="1890" max="1890" width="11.26953125" style="9" bestFit="1" customWidth="1"/>
    <col min="1891" max="1891" width="9" style="9" bestFit="1" customWidth="1"/>
    <col min="1892" max="1892" width="11.26953125" style="9" bestFit="1" customWidth="1"/>
    <col min="1893" max="1893" width="9" style="9" bestFit="1" customWidth="1"/>
    <col min="1894" max="1894" width="11.26953125" style="9" bestFit="1" customWidth="1"/>
    <col min="1895" max="1895" width="9" style="9" bestFit="1" customWidth="1"/>
    <col min="1896" max="1896" width="11.26953125" style="9" bestFit="1" customWidth="1"/>
    <col min="1897" max="1897" width="7.81640625" style="9" bestFit="1" customWidth="1"/>
    <col min="1898" max="1898" width="8.7265625" style="9" bestFit="1" customWidth="1"/>
    <col min="1899" max="1899" width="9" style="9" bestFit="1" customWidth="1"/>
    <col min="1900" max="1900" width="11.26953125" style="9" bestFit="1" customWidth="1"/>
    <col min="1901" max="1901" width="9" style="9" bestFit="1" customWidth="1"/>
    <col min="1902" max="1902" width="11.26953125" style="9" bestFit="1" customWidth="1"/>
    <col min="1903" max="1903" width="9" style="9" bestFit="1" customWidth="1"/>
    <col min="1904" max="1904" width="11.26953125" style="9" bestFit="1" customWidth="1"/>
    <col min="1905" max="1905" width="8" style="9" bestFit="1" customWidth="1"/>
    <col min="1906" max="1906" width="10.26953125" style="9" bestFit="1" customWidth="1"/>
    <col min="1907" max="1907" width="7.81640625" style="9" bestFit="1" customWidth="1"/>
    <col min="1908" max="1908" width="8.7265625" style="9" bestFit="1" customWidth="1"/>
    <col min="1909" max="1909" width="9" style="9" bestFit="1" customWidth="1"/>
    <col min="1910" max="1910" width="11.26953125" style="9" bestFit="1" customWidth="1"/>
    <col min="1911" max="1911" width="9" style="9" bestFit="1" customWidth="1"/>
    <col min="1912" max="1912" width="11.26953125" style="9" bestFit="1" customWidth="1"/>
    <col min="1913" max="1913" width="9" style="9" bestFit="1" customWidth="1"/>
    <col min="1914" max="1914" width="11.26953125" style="9" bestFit="1" customWidth="1"/>
    <col min="1915" max="1915" width="9" style="9" bestFit="1" customWidth="1"/>
    <col min="1916" max="1916" width="11.26953125" style="9" bestFit="1" customWidth="1"/>
    <col min="1917" max="1917" width="9" style="9" bestFit="1" customWidth="1"/>
    <col min="1918" max="1918" width="11.26953125" style="9" bestFit="1" customWidth="1"/>
    <col min="1919" max="1919" width="7.1796875" style="9" bestFit="1" customWidth="1"/>
    <col min="1920" max="1920" width="8.7265625" style="9" bestFit="1" customWidth="1"/>
    <col min="1921" max="1921" width="9" style="9" bestFit="1" customWidth="1"/>
    <col min="1922" max="1922" width="11.26953125" style="9" bestFit="1" customWidth="1"/>
    <col min="1923" max="1923" width="9" style="9" bestFit="1" customWidth="1"/>
    <col min="1924" max="1924" width="11.26953125" style="9" bestFit="1" customWidth="1"/>
    <col min="1925" max="1925" width="9" style="9" bestFit="1" customWidth="1"/>
    <col min="1926" max="1926" width="11.26953125" style="9" bestFit="1" customWidth="1"/>
    <col min="1927" max="1928" width="7.81640625" style="9" bestFit="1" customWidth="1"/>
    <col min="1929" max="1929" width="9.7265625" style="9" bestFit="1" customWidth="1"/>
    <col min="1930" max="1930" width="10" style="9" bestFit="1" customWidth="1"/>
    <col min="1931" max="1931" width="12.26953125" style="9" bestFit="1" customWidth="1"/>
    <col min="1932" max="1932" width="10" style="9" bestFit="1" customWidth="1"/>
    <col min="1933" max="1933" width="12.26953125" style="9" bestFit="1" customWidth="1"/>
    <col min="1934" max="1934" width="10" style="9" bestFit="1" customWidth="1"/>
    <col min="1935" max="1935" width="12.26953125" style="9" bestFit="1" customWidth="1"/>
    <col min="1936" max="1936" width="10" style="9" bestFit="1" customWidth="1"/>
    <col min="1937" max="1937" width="12.26953125" style="9" bestFit="1" customWidth="1"/>
    <col min="1938" max="1938" width="10" style="9" bestFit="1" customWidth="1"/>
    <col min="1939" max="1939" width="12.26953125" style="9" bestFit="1" customWidth="1"/>
    <col min="1940" max="1940" width="9" style="9" bestFit="1" customWidth="1"/>
    <col min="1941" max="1941" width="11.26953125" style="9" bestFit="1" customWidth="1"/>
    <col min="1942" max="1942" width="7.81640625" style="9" bestFit="1" customWidth="1"/>
    <col min="1943" max="1943" width="9.7265625" style="9" bestFit="1" customWidth="1"/>
    <col min="1944" max="1944" width="9" style="9" bestFit="1" customWidth="1"/>
    <col min="1945" max="1945" width="11.26953125" style="9" bestFit="1" customWidth="1"/>
    <col min="1946" max="1946" width="9" style="9" bestFit="1" customWidth="1"/>
    <col min="1947" max="1947" width="11.26953125" style="9" bestFit="1" customWidth="1"/>
    <col min="1948" max="1948" width="10" style="9" bestFit="1" customWidth="1"/>
    <col min="1949" max="1949" width="12.26953125" style="9" bestFit="1" customWidth="1"/>
    <col min="1950" max="1950" width="10" style="9" bestFit="1" customWidth="1"/>
    <col min="1951" max="1951" width="12.26953125" style="9" bestFit="1" customWidth="1"/>
    <col min="1952" max="1952" width="10" style="9" bestFit="1" customWidth="1"/>
    <col min="1953" max="1953" width="12.26953125" style="9" bestFit="1" customWidth="1"/>
    <col min="1954" max="1954" width="7.81640625" style="9" bestFit="1" customWidth="1"/>
    <col min="1955" max="1955" width="9.7265625" style="9" bestFit="1" customWidth="1"/>
    <col min="1956" max="1956" width="10" style="9" bestFit="1" customWidth="1"/>
    <col min="1957" max="1957" width="12.26953125" style="9" bestFit="1" customWidth="1"/>
    <col min="1958" max="1958" width="10" style="9" bestFit="1" customWidth="1"/>
    <col min="1959" max="1959" width="12.26953125" style="9" bestFit="1" customWidth="1"/>
    <col min="1960" max="1960" width="10" style="9" bestFit="1" customWidth="1"/>
    <col min="1961" max="1961" width="12.26953125" style="9" bestFit="1" customWidth="1"/>
    <col min="1962" max="1962" width="7.81640625" style="9" bestFit="1" customWidth="1"/>
    <col min="1963" max="1963" width="9.7265625" style="9" bestFit="1" customWidth="1"/>
    <col min="1964" max="1964" width="10" style="9" bestFit="1" customWidth="1"/>
    <col min="1965" max="1965" width="12.26953125" style="9" bestFit="1" customWidth="1"/>
    <col min="1966" max="1966" width="10" style="9" bestFit="1" customWidth="1"/>
    <col min="1967" max="1967" width="12.26953125" style="9" bestFit="1" customWidth="1"/>
    <col min="1968" max="1968" width="10" style="9" bestFit="1" customWidth="1"/>
    <col min="1969" max="1969" width="12.26953125" style="9" bestFit="1" customWidth="1"/>
    <col min="1970" max="1970" width="10" style="9" bestFit="1" customWidth="1"/>
    <col min="1971" max="1971" width="12.26953125" style="9" bestFit="1" customWidth="1"/>
    <col min="1972" max="1972" width="10" style="9" bestFit="1" customWidth="1"/>
    <col min="1973" max="1973" width="12.26953125" style="9" bestFit="1" customWidth="1"/>
    <col min="1974" max="1974" width="10" style="9" bestFit="1" customWidth="1"/>
    <col min="1975" max="1975" width="12.26953125" style="9" bestFit="1" customWidth="1"/>
    <col min="1976" max="1976" width="9" style="9" bestFit="1" customWidth="1"/>
    <col min="1977" max="1977" width="11.26953125" style="9" bestFit="1" customWidth="1"/>
    <col min="1978" max="1978" width="10" style="9" bestFit="1" customWidth="1"/>
    <col min="1979" max="1979" width="12.26953125" style="9" bestFit="1" customWidth="1"/>
    <col min="1980" max="1980" width="10" style="9" bestFit="1" customWidth="1"/>
    <col min="1981" max="1981" width="12.26953125" style="9" bestFit="1" customWidth="1"/>
    <col min="1982" max="1982" width="9" style="9" bestFit="1" customWidth="1"/>
    <col min="1983" max="1983" width="11.26953125" style="9" bestFit="1" customWidth="1"/>
    <col min="1984" max="1984" width="10" style="9" bestFit="1" customWidth="1"/>
    <col min="1985" max="1985" width="12.26953125" style="9" bestFit="1" customWidth="1"/>
    <col min="1986" max="1986" width="7.81640625" style="9" bestFit="1" customWidth="1"/>
    <col min="1987" max="1987" width="9.7265625" style="9" bestFit="1" customWidth="1"/>
    <col min="1988" max="1988" width="10" style="9" bestFit="1" customWidth="1"/>
    <col min="1989" max="1989" width="12.26953125" style="9" bestFit="1" customWidth="1"/>
    <col min="1990" max="1990" width="9" style="9" bestFit="1" customWidth="1"/>
    <col min="1991" max="1991" width="11.26953125" style="9" bestFit="1" customWidth="1"/>
    <col min="1992" max="1992" width="10" style="9" bestFit="1" customWidth="1"/>
    <col min="1993" max="1993" width="12.26953125" style="9" bestFit="1" customWidth="1"/>
    <col min="1994" max="1994" width="9" style="9" bestFit="1" customWidth="1"/>
    <col min="1995" max="1995" width="11.26953125" style="9" bestFit="1" customWidth="1"/>
    <col min="1996" max="1996" width="10" style="9" bestFit="1" customWidth="1"/>
    <col min="1997" max="1997" width="12.26953125" style="9" bestFit="1" customWidth="1"/>
    <col min="1998" max="1998" width="10" style="9" bestFit="1" customWidth="1"/>
    <col min="1999" max="1999" width="12.26953125" style="9" bestFit="1" customWidth="1"/>
    <col min="2000" max="2000" width="10" style="9" bestFit="1" customWidth="1"/>
    <col min="2001" max="2001" width="12.26953125" style="9" bestFit="1" customWidth="1"/>
    <col min="2002" max="2002" width="7.81640625" style="9" bestFit="1" customWidth="1"/>
    <col min="2003" max="2003" width="9.7265625" style="9" bestFit="1" customWidth="1"/>
    <col min="2004" max="2004" width="7.81640625" style="9" bestFit="1" customWidth="1"/>
    <col min="2005" max="2005" width="9.7265625" style="9" bestFit="1" customWidth="1"/>
    <col min="2006" max="2006" width="10" style="9" bestFit="1" customWidth="1"/>
    <col min="2007" max="2007" width="12.26953125" style="9" bestFit="1" customWidth="1"/>
    <col min="2008" max="2008" width="10" style="9" bestFit="1" customWidth="1"/>
    <col min="2009" max="2009" width="12.26953125" style="9" bestFit="1" customWidth="1"/>
    <col min="2010" max="2010" width="7.81640625" style="9" bestFit="1" customWidth="1"/>
    <col min="2011" max="2011" width="9.7265625" style="9" bestFit="1" customWidth="1"/>
    <col min="2012" max="2012" width="10" style="9" bestFit="1" customWidth="1"/>
    <col min="2013" max="2013" width="12.26953125" style="9" bestFit="1" customWidth="1"/>
    <col min="2014" max="2014" width="10" style="9" bestFit="1" customWidth="1"/>
    <col min="2015" max="2015" width="12.26953125" style="9" bestFit="1" customWidth="1"/>
    <col min="2016" max="2016" width="10" style="9" bestFit="1" customWidth="1"/>
    <col min="2017" max="2017" width="12.26953125" style="9" bestFit="1" customWidth="1"/>
    <col min="2018" max="2018" width="10" style="9" bestFit="1" customWidth="1"/>
    <col min="2019" max="2019" width="12.26953125" style="9" bestFit="1" customWidth="1"/>
    <col min="2020" max="2020" width="10" style="9" bestFit="1" customWidth="1"/>
    <col min="2021" max="2021" width="12.26953125" style="9" bestFit="1" customWidth="1"/>
    <col min="2022" max="2022" width="10" style="9" bestFit="1" customWidth="1"/>
    <col min="2023" max="2023" width="12.26953125" style="9" bestFit="1" customWidth="1"/>
    <col min="2024" max="2024" width="9" style="9" bestFit="1" customWidth="1"/>
    <col min="2025" max="2025" width="11.26953125" style="9" bestFit="1" customWidth="1"/>
    <col min="2026" max="2026" width="9" style="9" bestFit="1" customWidth="1"/>
    <col min="2027" max="2027" width="11.26953125" style="9" bestFit="1" customWidth="1"/>
    <col min="2028" max="2028" width="10" style="9" bestFit="1" customWidth="1"/>
    <col min="2029" max="2029" width="12.26953125" style="9" bestFit="1" customWidth="1"/>
    <col min="2030" max="2030" width="10" style="9" bestFit="1" customWidth="1"/>
    <col min="2031" max="2031" width="12.26953125" style="9" bestFit="1" customWidth="1"/>
    <col min="2032" max="2032" width="10" style="9" bestFit="1" customWidth="1"/>
    <col min="2033" max="2033" width="12.26953125" style="9" bestFit="1" customWidth="1"/>
    <col min="2034" max="2034" width="10" style="9" bestFit="1" customWidth="1"/>
    <col min="2035" max="2035" width="12.26953125" style="9" bestFit="1" customWidth="1"/>
    <col min="2036" max="2036" width="9" style="9" bestFit="1" customWidth="1"/>
    <col min="2037" max="2037" width="11.26953125" style="9" bestFit="1" customWidth="1"/>
    <col min="2038" max="2038" width="7.81640625" style="9" bestFit="1" customWidth="1"/>
    <col min="2039" max="2039" width="9.7265625" style="9" bestFit="1" customWidth="1"/>
    <col min="2040" max="2040" width="10" style="9" bestFit="1" customWidth="1"/>
    <col min="2041" max="2041" width="12.26953125" style="9" bestFit="1" customWidth="1"/>
    <col min="2042" max="2042" width="10" style="9" bestFit="1" customWidth="1"/>
    <col min="2043" max="2043" width="12.26953125" style="9" bestFit="1" customWidth="1"/>
    <col min="2044" max="2044" width="7.81640625" style="9" bestFit="1" customWidth="1"/>
    <col min="2045" max="2045" width="9.7265625" style="9" bestFit="1" customWidth="1"/>
    <col min="2046" max="2046" width="7.81640625" style="9" bestFit="1" customWidth="1"/>
    <col min="2047" max="2047" width="9.7265625" style="9" bestFit="1" customWidth="1"/>
    <col min="2048" max="2048" width="7.81640625" style="9" bestFit="1" customWidth="1"/>
    <col min="2049" max="2049" width="9.7265625" style="9" bestFit="1" customWidth="1"/>
    <col min="2050" max="2050" width="10" style="9" bestFit="1" customWidth="1"/>
    <col min="2051" max="2051" width="12.26953125" style="9" bestFit="1" customWidth="1"/>
    <col min="2052" max="2052" width="9" style="9" bestFit="1" customWidth="1"/>
    <col min="2053" max="2053" width="11.26953125" style="9" bestFit="1" customWidth="1"/>
    <col min="2054" max="2054" width="10" style="9" bestFit="1" customWidth="1"/>
    <col min="2055" max="2055" width="12.26953125" style="9" bestFit="1" customWidth="1"/>
    <col min="2056" max="2056" width="9" style="9" bestFit="1" customWidth="1"/>
    <col min="2057" max="2057" width="11.26953125" style="9" bestFit="1" customWidth="1"/>
    <col min="2058" max="2058" width="10" style="9" bestFit="1" customWidth="1"/>
    <col min="2059" max="2059" width="12.26953125" style="9" bestFit="1" customWidth="1"/>
    <col min="2060" max="2060" width="10" style="9" bestFit="1" customWidth="1"/>
    <col min="2061" max="2061" width="12.26953125" style="9" bestFit="1" customWidth="1"/>
    <col min="2062" max="2062" width="9" style="9" bestFit="1" customWidth="1"/>
    <col min="2063" max="2063" width="11.26953125" style="9" bestFit="1" customWidth="1"/>
    <col min="2064" max="2064" width="10" style="9" bestFit="1" customWidth="1"/>
    <col min="2065" max="2065" width="12.26953125" style="9" bestFit="1" customWidth="1"/>
    <col min="2066" max="2066" width="9" style="9" bestFit="1" customWidth="1"/>
    <col min="2067" max="2067" width="11.26953125" style="9" bestFit="1" customWidth="1"/>
    <col min="2068" max="2068" width="10" style="9" bestFit="1" customWidth="1"/>
    <col min="2069" max="2069" width="12.26953125" style="9" bestFit="1" customWidth="1"/>
    <col min="2070" max="2070" width="10" style="9" bestFit="1" customWidth="1"/>
    <col min="2071" max="2071" width="12.26953125" style="9" bestFit="1" customWidth="1"/>
    <col min="2072" max="2072" width="10" style="9" bestFit="1" customWidth="1"/>
    <col min="2073" max="2073" width="12.26953125" style="9" bestFit="1" customWidth="1"/>
    <col min="2074" max="2074" width="10" style="9" bestFit="1" customWidth="1"/>
    <col min="2075" max="2075" width="12.26953125" style="9" bestFit="1" customWidth="1"/>
    <col min="2076" max="2076" width="10" style="9" bestFit="1" customWidth="1"/>
    <col min="2077" max="2077" width="12.26953125" style="9" bestFit="1" customWidth="1"/>
    <col min="2078" max="2078" width="10" style="9" bestFit="1" customWidth="1"/>
    <col min="2079" max="2079" width="12.26953125" style="9" bestFit="1" customWidth="1"/>
    <col min="2080" max="2080" width="7.81640625" style="9" bestFit="1" customWidth="1"/>
    <col min="2081" max="2081" width="9.7265625" style="9" bestFit="1" customWidth="1"/>
    <col min="2082" max="2082" width="10" style="9" bestFit="1" customWidth="1"/>
    <col min="2083" max="2083" width="12.26953125" style="9" bestFit="1" customWidth="1"/>
    <col min="2084" max="2084" width="10" style="9" bestFit="1" customWidth="1"/>
    <col min="2085" max="2085" width="12.26953125" style="9" bestFit="1" customWidth="1"/>
    <col min="2086" max="2086" width="7.81640625" style="9" bestFit="1" customWidth="1"/>
    <col min="2087" max="2087" width="9.7265625" style="9" bestFit="1" customWidth="1"/>
    <col min="2088" max="2088" width="10" style="9" bestFit="1" customWidth="1"/>
    <col min="2089" max="2089" width="12.26953125" style="9" bestFit="1" customWidth="1"/>
    <col min="2090" max="2090" width="10" style="9" bestFit="1" customWidth="1"/>
    <col min="2091" max="2091" width="12.26953125" style="9" bestFit="1" customWidth="1"/>
    <col min="2092" max="2092" width="10" style="9" bestFit="1" customWidth="1"/>
    <col min="2093" max="2093" width="12.26953125" style="9" bestFit="1" customWidth="1"/>
    <col min="2094" max="2094" width="10" style="9" bestFit="1" customWidth="1"/>
    <col min="2095" max="2095" width="12.26953125" style="9" bestFit="1" customWidth="1"/>
    <col min="2096" max="2096" width="10" style="9" bestFit="1" customWidth="1"/>
    <col min="2097" max="2097" width="12.26953125" style="9" bestFit="1" customWidth="1"/>
    <col min="2098" max="2098" width="10" style="9" bestFit="1" customWidth="1"/>
    <col min="2099" max="2099" width="12.26953125" style="9" bestFit="1" customWidth="1"/>
    <col min="2100" max="2100" width="10" style="9" bestFit="1" customWidth="1"/>
    <col min="2101" max="2101" width="12.26953125" style="9" bestFit="1" customWidth="1"/>
    <col min="2102" max="2102" width="10" style="9" bestFit="1" customWidth="1"/>
    <col min="2103" max="2103" width="12.26953125" style="9" bestFit="1" customWidth="1"/>
    <col min="2104" max="2104" width="10" style="9" bestFit="1" customWidth="1"/>
    <col min="2105" max="2105" width="12.26953125" style="9" bestFit="1" customWidth="1"/>
    <col min="2106" max="2106" width="10" style="9" bestFit="1" customWidth="1"/>
    <col min="2107" max="2107" width="12.26953125" style="9" bestFit="1" customWidth="1"/>
    <col min="2108" max="2108" width="10" style="9" bestFit="1" customWidth="1"/>
    <col min="2109" max="2109" width="12.26953125" style="9" bestFit="1" customWidth="1"/>
    <col min="2110" max="2110" width="10" style="9" bestFit="1" customWidth="1"/>
    <col min="2111" max="2111" width="12.26953125" style="9" bestFit="1" customWidth="1"/>
    <col min="2112" max="2112" width="10" style="9" bestFit="1" customWidth="1"/>
    <col min="2113" max="2113" width="12.26953125" style="9" bestFit="1" customWidth="1"/>
    <col min="2114" max="2114" width="9" style="9" bestFit="1" customWidth="1"/>
    <col min="2115" max="2115" width="11.26953125" style="9" bestFit="1" customWidth="1"/>
    <col min="2116" max="2116" width="10" style="9" bestFit="1" customWidth="1"/>
    <col min="2117" max="2117" width="12.26953125" style="9" bestFit="1" customWidth="1"/>
    <col min="2118" max="2118" width="10" style="9" bestFit="1" customWidth="1"/>
    <col min="2119" max="2119" width="12.26953125" style="9" bestFit="1" customWidth="1"/>
    <col min="2120" max="2120" width="10" style="9" bestFit="1" customWidth="1"/>
    <col min="2121" max="2121" width="12.26953125" style="9" bestFit="1" customWidth="1"/>
    <col min="2122" max="2122" width="7.81640625" style="9" bestFit="1" customWidth="1"/>
    <col min="2123" max="2123" width="9.7265625" style="9" bestFit="1" customWidth="1"/>
    <col min="2124" max="2124" width="10" style="9" bestFit="1" customWidth="1"/>
    <col min="2125" max="2125" width="12.26953125" style="9" bestFit="1" customWidth="1"/>
    <col min="2126" max="2126" width="10" style="9" bestFit="1" customWidth="1"/>
    <col min="2127" max="2127" width="12.26953125" style="9" bestFit="1" customWidth="1"/>
    <col min="2128" max="2128" width="10" style="9" bestFit="1" customWidth="1"/>
    <col min="2129" max="2129" width="12.26953125" style="9" bestFit="1" customWidth="1"/>
    <col min="2130" max="2130" width="10" style="9" bestFit="1" customWidth="1"/>
    <col min="2131" max="2131" width="12.26953125" style="9" bestFit="1" customWidth="1"/>
    <col min="2132" max="2132" width="10" style="9" bestFit="1" customWidth="1"/>
    <col min="2133" max="2133" width="12.26953125" style="9" bestFit="1" customWidth="1"/>
    <col min="2134" max="2134" width="10" style="9" bestFit="1" customWidth="1"/>
    <col min="2135" max="2135" width="12.26953125" style="9" bestFit="1" customWidth="1"/>
    <col min="2136" max="2137" width="7.81640625" style="9" bestFit="1" customWidth="1"/>
    <col min="2138" max="2138" width="9.7265625" style="9" bestFit="1" customWidth="1"/>
    <col min="2139" max="2139" width="10" style="9" bestFit="1" customWidth="1"/>
    <col min="2140" max="2140" width="12.26953125" style="9" bestFit="1" customWidth="1"/>
    <col min="2141" max="2141" width="10" style="9" bestFit="1" customWidth="1"/>
    <col min="2142" max="2142" width="12.26953125" style="9" bestFit="1" customWidth="1"/>
    <col min="2143" max="2143" width="10" style="9" bestFit="1" customWidth="1"/>
    <col min="2144" max="2144" width="12.26953125" style="9" bestFit="1" customWidth="1"/>
    <col min="2145" max="2145" width="9" style="9" bestFit="1" customWidth="1"/>
    <col min="2146" max="2146" width="11.26953125" style="9" bestFit="1" customWidth="1"/>
    <col min="2147" max="2147" width="10" style="9" bestFit="1" customWidth="1"/>
    <col min="2148" max="2148" width="12.26953125" style="9" bestFit="1" customWidth="1"/>
    <col min="2149" max="2149" width="10" style="9" bestFit="1" customWidth="1"/>
    <col min="2150" max="2150" width="12.26953125" style="9" bestFit="1" customWidth="1"/>
    <col min="2151" max="2151" width="9" style="9" bestFit="1" customWidth="1"/>
    <col min="2152" max="2152" width="11.26953125" style="9" bestFit="1" customWidth="1"/>
    <col min="2153" max="2153" width="10" style="9" bestFit="1" customWidth="1"/>
    <col min="2154" max="2154" width="12.26953125" style="9" bestFit="1" customWidth="1"/>
    <col min="2155" max="2155" width="10" style="9" bestFit="1" customWidth="1"/>
    <col min="2156" max="2156" width="12.26953125" style="9" bestFit="1" customWidth="1"/>
    <col min="2157" max="2157" width="10" style="9" bestFit="1" customWidth="1"/>
    <col min="2158" max="2158" width="12.26953125" style="9" bestFit="1" customWidth="1"/>
    <col min="2159" max="2159" width="10" style="9" bestFit="1" customWidth="1"/>
    <col min="2160" max="2160" width="12.26953125" style="9" bestFit="1" customWidth="1"/>
    <col min="2161" max="2161" width="10" style="9" bestFit="1" customWidth="1"/>
    <col min="2162" max="2162" width="12.26953125" style="9" bestFit="1" customWidth="1"/>
    <col min="2163" max="2163" width="10" style="9" bestFit="1" customWidth="1"/>
    <col min="2164" max="2164" width="12.26953125" style="9" bestFit="1" customWidth="1"/>
    <col min="2165" max="2165" width="10" style="9" bestFit="1" customWidth="1"/>
    <col min="2166" max="2166" width="12.26953125" style="9" bestFit="1" customWidth="1"/>
    <col min="2167" max="2167" width="9" style="9" bestFit="1" customWidth="1"/>
    <col min="2168" max="2168" width="11.26953125" style="9" bestFit="1" customWidth="1"/>
    <col min="2169" max="2169" width="9" style="9" bestFit="1" customWidth="1"/>
    <col min="2170" max="2170" width="11.26953125" style="9" bestFit="1" customWidth="1"/>
    <col min="2171" max="2171" width="10" style="9" bestFit="1" customWidth="1"/>
    <col min="2172" max="2172" width="12.26953125" style="9" bestFit="1" customWidth="1"/>
    <col min="2173" max="2173" width="10" style="9" bestFit="1" customWidth="1"/>
    <col min="2174" max="2174" width="12.26953125" style="9" bestFit="1" customWidth="1"/>
    <col min="2175" max="2175" width="10" style="9" bestFit="1" customWidth="1"/>
    <col min="2176" max="2176" width="12.26953125" style="9" bestFit="1" customWidth="1"/>
    <col min="2177" max="2177" width="10" style="9" bestFit="1" customWidth="1"/>
    <col min="2178" max="2178" width="12.26953125" style="9" bestFit="1" customWidth="1"/>
    <col min="2179" max="2179" width="10" style="9" bestFit="1" customWidth="1"/>
    <col min="2180" max="2180" width="12.26953125" style="9" bestFit="1" customWidth="1"/>
    <col min="2181" max="2181" width="10" style="9" bestFit="1" customWidth="1"/>
    <col min="2182" max="2182" width="12.26953125" style="9" bestFit="1" customWidth="1"/>
    <col min="2183" max="2183" width="10" style="9" bestFit="1" customWidth="1"/>
    <col min="2184" max="2184" width="12.26953125" style="9" bestFit="1" customWidth="1"/>
    <col min="2185" max="2185" width="10" style="9" bestFit="1" customWidth="1"/>
    <col min="2186" max="2186" width="12.26953125" style="9" bestFit="1" customWidth="1"/>
    <col min="2187" max="2187" width="10" style="9" bestFit="1" customWidth="1"/>
    <col min="2188" max="2188" width="12.26953125" style="9" bestFit="1" customWidth="1"/>
    <col min="2189" max="2189" width="10" style="9" bestFit="1" customWidth="1"/>
    <col min="2190" max="2190" width="12.26953125" style="9" bestFit="1" customWidth="1"/>
    <col min="2191" max="2191" width="10" style="9" bestFit="1" customWidth="1"/>
    <col min="2192" max="2192" width="12.26953125" style="9" bestFit="1" customWidth="1"/>
    <col min="2193" max="2193" width="10" style="9" bestFit="1" customWidth="1"/>
    <col min="2194" max="2194" width="12.26953125" style="9" bestFit="1" customWidth="1"/>
    <col min="2195" max="2195" width="10" style="9" bestFit="1" customWidth="1"/>
    <col min="2196" max="2196" width="12.26953125" style="9" bestFit="1" customWidth="1"/>
    <col min="2197" max="2197" width="10" style="9" bestFit="1" customWidth="1"/>
    <col min="2198" max="2198" width="12.26953125" style="9" bestFit="1" customWidth="1"/>
    <col min="2199" max="2199" width="10" style="9" bestFit="1" customWidth="1"/>
    <col min="2200" max="2200" width="12.26953125" style="9" bestFit="1" customWidth="1"/>
    <col min="2201" max="2201" width="10" style="9" bestFit="1" customWidth="1"/>
    <col min="2202" max="2202" width="12.26953125" style="9" bestFit="1" customWidth="1"/>
    <col min="2203" max="2203" width="10" style="9" bestFit="1" customWidth="1"/>
    <col min="2204" max="2204" width="12.26953125" style="9" bestFit="1" customWidth="1"/>
    <col min="2205" max="2205" width="10" style="9" bestFit="1" customWidth="1"/>
    <col min="2206" max="2206" width="12.26953125" style="9" bestFit="1" customWidth="1"/>
    <col min="2207" max="2207" width="7.81640625" style="9" bestFit="1" customWidth="1"/>
    <col min="2208" max="2208" width="9.7265625" style="9" bestFit="1" customWidth="1"/>
    <col min="2209" max="2209" width="10" style="9" bestFit="1" customWidth="1"/>
    <col min="2210" max="2210" width="12.26953125" style="9" bestFit="1" customWidth="1"/>
    <col min="2211" max="2211" width="10" style="9" bestFit="1" customWidth="1"/>
    <col min="2212" max="2212" width="12.26953125" style="9" bestFit="1" customWidth="1"/>
    <col min="2213" max="2213" width="10" style="9" bestFit="1" customWidth="1"/>
    <col min="2214" max="2214" width="12.26953125" style="9" bestFit="1" customWidth="1"/>
    <col min="2215" max="2215" width="10" style="9" bestFit="1" customWidth="1"/>
    <col min="2216" max="2216" width="12.26953125" style="9" bestFit="1" customWidth="1"/>
    <col min="2217" max="2217" width="10" style="9" bestFit="1" customWidth="1"/>
    <col min="2218" max="2218" width="12.26953125" style="9" bestFit="1" customWidth="1"/>
    <col min="2219" max="2219" width="10" style="9" bestFit="1" customWidth="1"/>
    <col min="2220" max="2220" width="12.26953125" style="9" bestFit="1" customWidth="1"/>
    <col min="2221" max="2221" width="10" style="9" bestFit="1" customWidth="1"/>
    <col min="2222" max="2222" width="12.26953125" style="9" bestFit="1" customWidth="1"/>
    <col min="2223" max="2223" width="10" style="9" bestFit="1" customWidth="1"/>
    <col min="2224" max="2224" width="12.26953125" style="9" bestFit="1" customWidth="1"/>
    <col min="2225" max="2225" width="10" style="9" bestFit="1" customWidth="1"/>
    <col min="2226" max="2226" width="12.26953125" style="9" bestFit="1" customWidth="1"/>
    <col min="2227" max="2227" width="10" style="9" bestFit="1" customWidth="1"/>
    <col min="2228" max="2228" width="12.26953125" style="9" bestFit="1" customWidth="1"/>
    <col min="2229" max="2229" width="10" style="9" bestFit="1" customWidth="1"/>
    <col min="2230" max="2230" width="12.26953125" style="9" bestFit="1" customWidth="1"/>
    <col min="2231" max="2231" width="10" style="9" bestFit="1" customWidth="1"/>
    <col min="2232" max="2232" width="12.26953125" style="9" bestFit="1" customWidth="1"/>
    <col min="2233" max="2233" width="10" style="9" bestFit="1" customWidth="1"/>
    <col min="2234" max="2234" width="12.26953125" style="9" bestFit="1" customWidth="1"/>
    <col min="2235" max="2235" width="7.81640625" style="9" bestFit="1" customWidth="1"/>
    <col min="2236" max="2236" width="9.7265625" style="9" bestFit="1" customWidth="1"/>
    <col min="2237" max="2237" width="10" style="9" bestFit="1" customWidth="1"/>
    <col min="2238" max="2238" width="12.26953125" style="9" bestFit="1" customWidth="1"/>
    <col min="2239" max="2239" width="10" style="9" bestFit="1" customWidth="1"/>
    <col min="2240" max="2240" width="12.26953125" style="9" bestFit="1" customWidth="1"/>
    <col min="2241" max="2241" width="10" style="9" bestFit="1" customWidth="1"/>
    <col min="2242" max="2242" width="12.26953125" style="9" bestFit="1" customWidth="1"/>
    <col min="2243" max="2243" width="10" style="9" bestFit="1" customWidth="1"/>
    <col min="2244" max="2244" width="12.26953125" style="9" bestFit="1" customWidth="1"/>
    <col min="2245" max="2245" width="7.81640625" style="9" bestFit="1" customWidth="1"/>
    <col min="2246" max="2246" width="9.7265625" style="9" bestFit="1" customWidth="1"/>
    <col min="2247" max="2247" width="10" style="9" bestFit="1" customWidth="1"/>
    <col min="2248" max="2248" width="12.26953125" style="9" bestFit="1" customWidth="1"/>
    <col min="2249" max="2249" width="10" style="9" bestFit="1" customWidth="1"/>
    <col min="2250" max="2250" width="12.26953125" style="9" bestFit="1" customWidth="1"/>
    <col min="2251" max="2251" width="10" style="9" bestFit="1" customWidth="1"/>
    <col min="2252" max="2252" width="12.26953125" style="9" bestFit="1" customWidth="1"/>
    <col min="2253" max="2253" width="7.1796875" style="9" bestFit="1" customWidth="1"/>
    <col min="2254" max="2254" width="9.7265625" style="9" bestFit="1" customWidth="1"/>
    <col min="2255" max="2255" width="10" style="9" bestFit="1" customWidth="1"/>
    <col min="2256" max="2256" width="12.26953125" style="9" bestFit="1" customWidth="1"/>
    <col min="2257" max="2257" width="9" style="9" bestFit="1" customWidth="1"/>
    <col min="2258" max="2258" width="11.26953125" style="9" bestFit="1" customWidth="1"/>
    <col min="2259" max="2259" width="10" style="9" bestFit="1" customWidth="1"/>
    <col min="2260" max="2260" width="12.26953125" style="9" bestFit="1" customWidth="1"/>
    <col min="2261" max="2261" width="10" style="9" bestFit="1" customWidth="1"/>
    <col min="2262" max="2262" width="12.26953125" style="9" bestFit="1" customWidth="1"/>
    <col min="2263" max="2263" width="10" style="9" bestFit="1" customWidth="1"/>
    <col min="2264" max="2264" width="12.26953125" style="9" bestFit="1" customWidth="1"/>
    <col min="2265" max="2265" width="10" style="9" bestFit="1" customWidth="1"/>
    <col min="2266" max="2266" width="12.26953125" style="9" bestFit="1" customWidth="1"/>
    <col min="2267" max="2267" width="10" style="9" bestFit="1" customWidth="1"/>
    <col min="2268" max="2268" width="12.26953125" style="9" bestFit="1" customWidth="1"/>
    <col min="2269" max="2269" width="10" style="9" bestFit="1" customWidth="1"/>
    <col min="2270" max="2270" width="12.26953125" style="9" bestFit="1" customWidth="1"/>
    <col min="2271" max="2271" width="10" style="9" bestFit="1" customWidth="1"/>
    <col min="2272" max="2272" width="12.26953125" style="9" bestFit="1" customWidth="1"/>
    <col min="2273" max="2273" width="10" style="9" bestFit="1" customWidth="1"/>
    <col min="2274" max="2274" width="12.26953125" style="9" bestFit="1" customWidth="1"/>
    <col min="2275" max="2275" width="10" style="9" bestFit="1" customWidth="1"/>
    <col min="2276" max="2276" width="12.26953125" style="9" bestFit="1" customWidth="1"/>
    <col min="2277" max="2277" width="10" style="9" bestFit="1" customWidth="1"/>
    <col min="2278" max="2278" width="12.26953125" style="9" bestFit="1" customWidth="1"/>
    <col min="2279" max="2279" width="10" style="9" bestFit="1" customWidth="1"/>
    <col min="2280" max="2280" width="12.26953125" style="9" bestFit="1" customWidth="1"/>
    <col min="2281" max="2281" width="10" style="9" bestFit="1" customWidth="1"/>
    <col min="2282" max="2282" width="12.26953125" style="9" bestFit="1" customWidth="1"/>
    <col min="2283" max="2283" width="10" style="9" bestFit="1" customWidth="1"/>
    <col min="2284" max="2284" width="12.26953125" style="9" bestFit="1" customWidth="1"/>
    <col min="2285" max="2285" width="7.81640625" style="9" bestFit="1" customWidth="1"/>
    <col min="2286" max="2286" width="9.7265625" style="9" bestFit="1" customWidth="1"/>
    <col min="2287" max="2287" width="10" style="9" bestFit="1" customWidth="1"/>
    <col min="2288" max="2288" width="12.26953125" style="9" bestFit="1" customWidth="1"/>
    <col min="2289" max="2289" width="10" style="9" bestFit="1" customWidth="1"/>
    <col min="2290" max="2290" width="12.26953125" style="9" bestFit="1" customWidth="1"/>
    <col min="2291" max="2291" width="10" style="9" bestFit="1" customWidth="1"/>
    <col min="2292" max="2292" width="12.26953125" style="9" bestFit="1" customWidth="1"/>
    <col min="2293" max="2293" width="10" style="9" bestFit="1" customWidth="1"/>
    <col min="2294" max="2294" width="12.26953125" style="9" bestFit="1" customWidth="1"/>
    <col min="2295" max="2295" width="9" style="9" bestFit="1" customWidth="1"/>
    <col min="2296" max="2296" width="11.26953125" style="9" bestFit="1" customWidth="1"/>
    <col min="2297" max="2297" width="9" style="9" bestFit="1" customWidth="1"/>
    <col min="2298" max="2298" width="11.26953125" style="9" bestFit="1" customWidth="1"/>
    <col min="2299" max="2299" width="10" style="9" bestFit="1" customWidth="1"/>
    <col min="2300" max="2300" width="12.26953125" style="9" bestFit="1" customWidth="1"/>
    <col min="2301" max="2301" width="10" style="9" bestFit="1" customWidth="1"/>
    <col min="2302" max="2302" width="12.26953125" style="9" bestFit="1" customWidth="1"/>
    <col min="2303" max="2303" width="10" style="9" bestFit="1" customWidth="1"/>
    <col min="2304" max="2304" width="12.26953125" style="9" bestFit="1" customWidth="1"/>
    <col min="2305" max="2305" width="10" style="9" bestFit="1" customWidth="1"/>
    <col min="2306" max="2306" width="12.26953125" style="9" bestFit="1" customWidth="1"/>
    <col min="2307" max="2308" width="7.81640625" style="9" bestFit="1" customWidth="1"/>
    <col min="2309" max="2309" width="9.7265625" style="9" bestFit="1" customWidth="1"/>
    <col min="2310" max="2310" width="10" style="9" bestFit="1" customWidth="1"/>
    <col min="2311" max="2311" width="12.26953125" style="9" bestFit="1" customWidth="1"/>
    <col min="2312" max="2312" width="10" style="9" bestFit="1" customWidth="1"/>
    <col min="2313" max="2313" width="12.26953125" style="9" bestFit="1" customWidth="1"/>
    <col min="2314" max="2314" width="7.81640625" style="9" bestFit="1" customWidth="1"/>
    <col min="2315" max="2315" width="9.7265625" style="9" bestFit="1" customWidth="1"/>
    <col min="2316" max="2316" width="10" style="9" bestFit="1" customWidth="1"/>
    <col min="2317" max="2317" width="12.26953125" style="9" bestFit="1" customWidth="1"/>
    <col min="2318" max="2318" width="10" style="9" bestFit="1" customWidth="1"/>
    <col min="2319" max="2319" width="12.26953125" style="9" bestFit="1" customWidth="1"/>
    <col min="2320" max="2320" width="10" style="9" bestFit="1" customWidth="1"/>
    <col min="2321" max="2321" width="12.26953125" style="9" bestFit="1" customWidth="1"/>
    <col min="2322" max="2322" width="10" style="9" bestFit="1" customWidth="1"/>
    <col min="2323" max="2323" width="12.26953125" style="9" bestFit="1" customWidth="1"/>
    <col min="2324" max="2324" width="10" style="9" bestFit="1" customWidth="1"/>
    <col min="2325" max="2325" width="12.26953125" style="9" bestFit="1" customWidth="1"/>
    <col min="2326" max="2326" width="10" style="9" bestFit="1" customWidth="1"/>
    <col min="2327" max="2327" width="12.26953125" style="9" bestFit="1" customWidth="1"/>
    <col min="2328" max="2328" width="10" style="9" bestFit="1" customWidth="1"/>
    <col min="2329" max="2329" width="12.26953125" style="9" bestFit="1" customWidth="1"/>
    <col min="2330" max="2330" width="7.81640625" style="9" bestFit="1" customWidth="1"/>
    <col min="2331" max="2331" width="9.7265625" style="9" bestFit="1" customWidth="1"/>
    <col min="2332" max="2332" width="10" style="9" bestFit="1" customWidth="1"/>
    <col min="2333" max="2333" width="12.26953125" style="9" bestFit="1" customWidth="1"/>
    <col min="2334" max="2334" width="10" style="9" bestFit="1" customWidth="1"/>
    <col min="2335" max="2335" width="12.26953125" style="9" bestFit="1" customWidth="1"/>
    <col min="2336" max="2336" width="10" style="9" bestFit="1" customWidth="1"/>
    <col min="2337" max="2337" width="12.26953125" style="9" bestFit="1" customWidth="1"/>
    <col min="2338" max="2338" width="10" style="9" bestFit="1" customWidth="1"/>
    <col min="2339" max="2339" width="12.26953125" style="9" bestFit="1" customWidth="1"/>
    <col min="2340" max="2340" width="7.81640625" style="9" bestFit="1" customWidth="1"/>
    <col min="2341" max="2341" width="9.7265625" style="9" bestFit="1" customWidth="1"/>
    <col min="2342" max="2342" width="10" style="9" bestFit="1" customWidth="1"/>
    <col min="2343" max="2343" width="12.26953125" style="9" bestFit="1" customWidth="1"/>
    <col min="2344" max="2344" width="10" style="9" bestFit="1" customWidth="1"/>
    <col min="2345" max="2345" width="12.26953125" style="9" bestFit="1" customWidth="1"/>
    <col min="2346" max="2346" width="10" style="9" bestFit="1" customWidth="1"/>
    <col min="2347" max="2347" width="12.26953125" style="9" bestFit="1" customWidth="1"/>
    <col min="2348" max="2348" width="10" style="9" bestFit="1" customWidth="1"/>
    <col min="2349" max="2349" width="12.26953125" style="9" bestFit="1" customWidth="1"/>
    <col min="2350" max="2350" width="10" style="9" bestFit="1" customWidth="1"/>
    <col min="2351" max="2351" width="12.26953125" style="9" bestFit="1" customWidth="1"/>
    <col min="2352" max="2352" width="10" style="9" bestFit="1" customWidth="1"/>
    <col min="2353" max="2353" width="12.26953125" style="9" bestFit="1" customWidth="1"/>
    <col min="2354" max="2354" width="10" style="9" bestFit="1" customWidth="1"/>
    <col min="2355" max="2355" width="12.26953125" style="9" bestFit="1" customWidth="1"/>
    <col min="2356" max="2356" width="10" style="9" bestFit="1" customWidth="1"/>
    <col min="2357" max="2357" width="12.26953125" style="9" bestFit="1" customWidth="1"/>
    <col min="2358" max="2358" width="10" style="9" bestFit="1" customWidth="1"/>
    <col min="2359" max="2359" width="12.26953125" style="9" bestFit="1" customWidth="1"/>
    <col min="2360" max="2360" width="10" style="9" bestFit="1" customWidth="1"/>
    <col min="2361" max="2361" width="12.26953125" style="9" bestFit="1" customWidth="1"/>
    <col min="2362" max="2362" width="10" style="9" bestFit="1" customWidth="1"/>
    <col min="2363" max="2363" width="12.26953125" style="9" bestFit="1" customWidth="1"/>
    <col min="2364" max="2364" width="10" style="9" bestFit="1" customWidth="1"/>
    <col min="2365" max="2365" width="12.26953125" style="9" bestFit="1" customWidth="1"/>
    <col min="2366" max="2366" width="7.1796875" style="9" bestFit="1" customWidth="1"/>
    <col min="2367" max="2367" width="9.7265625" style="9" bestFit="1" customWidth="1"/>
    <col min="2368" max="2368" width="10" style="9" bestFit="1" customWidth="1"/>
    <col min="2369" max="2369" width="12.26953125" style="9" bestFit="1" customWidth="1"/>
    <col min="2370" max="2370" width="10" style="9" bestFit="1" customWidth="1"/>
    <col min="2371" max="2371" width="12.26953125" style="9" bestFit="1" customWidth="1"/>
    <col min="2372" max="2372" width="10" style="9" bestFit="1" customWidth="1"/>
    <col min="2373" max="2373" width="12.26953125" style="9" bestFit="1" customWidth="1"/>
    <col min="2374" max="2374" width="7.81640625" style="9" bestFit="1" customWidth="1"/>
    <col min="2375" max="2375" width="9.7265625" style="9" bestFit="1" customWidth="1"/>
    <col min="2376" max="2376" width="10" style="9" bestFit="1" customWidth="1"/>
    <col min="2377" max="2377" width="12.26953125" style="9" bestFit="1" customWidth="1"/>
    <col min="2378" max="2378" width="10" style="9" bestFit="1" customWidth="1"/>
    <col min="2379" max="2379" width="12.26953125" style="9" bestFit="1" customWidth="1"/>
    <col min="2380" max="2380" width="10" style="9" bestFit="1" customWidth="1"/>
    <col min="2381" max="2381" width="12.26953125" style="9" bestFit="1" customWidth="1"/>
    <col min="2382" max="2382" width="10" style="9" bestFit="1" customWidth="1"/>
    <col min="2383" max="2383" width="12.26953125" style="9" bestFit="1" customWidth="1"/>
    <col min="2384" max="2384" width="10" style="9" bestFit="1" customWidth="1"/>
    <col min="2385" max="2385" width="12.26953125" style="9" bestFit="1" customWidth="1"/>
    <col min="2386" max="2386" width="10" style="9" bestFit="1" customWidth="1"/>
    <col min="2387" max="2387" width="12.26953125" style="9" bestFit="1" customWidth="1"/>
    <col min="2388" max="2388" width="10" style="9" bestFit="1" customWidth="1"/>
    <col min="2389" max="2389" width="12.26953125" style="9" bestFit="1" customWidth="1"/>
    <col min="2390" max="2390" width="10" style="9" bestFit="1" customWidth="1"/>
    <col min="2391" max="2391" width="12.26953125" style="9" bestFit="1" customWidth="1"/>
    <col min="2392" max="2392" width="10" style="9" bestFit="1" customWidth="1"/>
    <col min="2393" max="2393" width="12.26953125" style="9" bestFit="1" customWidth="1"/>
    <col min="2394" max="2394" width="10" style="9" bestFit="1" customWidth="1"/>
    <col min="2395" max="2395" width="12.26953125" style="9" bestFit="1" customWidth="1"/>
    <col min="2396" max="2396" width="10" style="9" bestFit="1" customWidth="1"/>
    <col min="2397" max="2397" width="12.26953125" style="9" bestFit="1" customWidth="1"/>
    <col min="2398" max="2398" width="10" style="9" bestFit="1" customWidth="1"/>
    <col min="2399" max="2399" width="12.26953125" style="9" bestFit="1" customWidth="1"/>
    <col min="2400" max="2400" width="10" style="9" bestFit="1" customWidth="1"/>
    <col min="2401" max="2401" width="12.26953125" style="9" bestFit="1" customWidth="1"/>
    <col min="2402" max="2403" width="9" style="9" bestFit="1" customWidth="1"/>
    <col min="2404" max="2404" width="11.26953125" style="9" bestFit="1" customWidth="1"/>
    <col min="2405" max="2405" width="10" style="9" bestFit="1" customWidth="1"/>
    <col min="2406" max="2406" width="12.26953125" style="9" bestFit="1" customWidth="1"/>
    <col min="2407" max="2407" width="7.81640625" style="9" bestFit="1" customWidth="1"/>
    <col min="2408" max="2408" width="9.7265625" style="9" bestFit="1" customWidth="1"/>
    <col min="2409" max="2409" width="10" style="9" bestFit="1" customWidth="1"/>
    <col min="2410" max="2410" width="12.26953125" style="9" bestFit="1" customWidth="1"/>
    <col min="2411" max="2411" width="10" style="9" bestFit="1" customWidth="1"/>
    <col min="2412" max="2412" width="12.26953125" style="9" bestFit="1" customWidth="1"/>
    <col min="2413" max="2413" width="10" style="9" bestFit="1" customWidth="1"/>
    <col min="2414" max="2414" width="12.26953125" style="9" bestFit="1" customWidth="1"/>
    <col min="2415" max="2415" width="10" style="9" bestFit="1" customWidth="1"/>
    <col min="2416" max="2416" width="12.26953125" style="9" bestFit="1" customWidth="1"/>
    <col min="2417" max="2417" width="10" style="9" bestFit="1" customWidth="1"/>
    <col min="2418" max="2418" width="12.26953125" style="9" bestFit="1" customWidth="1"/>
    <col min="2419" max="2419" width="10" style="9" bestFit="1" customWidth="1"/>
    <col min="2420" max="2420" width="12.26953125" style="9" bestFit="1" customWidth="1"/>
    <col min="2421" max="2421" width="10" style="9" bestFit="1" customWidth="1"/>
    <col min="2422" max="2422" width="12.26953125" style="9" bestFit="1" customWidth="1"/>
    <col min="2423" max="2423" width="10" style="9" bestFit="1" customWidth="1"/>
    <col min="2424" max="2424" width="12.26953125" style="9" bestFit="1" customWidth="1"/>
    <col min="2425" max="2425" width="10" style="9" bestFit="1" customWidth="1"/>
    <col min="2426" max="2426" width="12.26953125" style="9" bestFit="1" customWidth="1"/>
    <col min="2427" max="2427" width="10" style="9" bestFit="1" customWidth="1"/>
    <col min="2428" max="2428" width="12.26953125" style="9" bestFit="1" customWidth="1"/>
    <col min="2429" max="2429" width="10" style="9" bestFit="1" customWidth="1"/>
    <col min="2430" max="2430" width="12.26953125" style="9" bestFit="1" customWidth="1"/>
    <col min="2431" max="2431" width="10" style="9" bestFit="1" customWidth="1"/>
    <col min="2432" max="2432" width="12.26953125" style="9" bestFit="1" customWidth="1"/>
    <col min="2433" max="2433" width="7.1796875" style="9" bestFit="1" customWidth="1"/>
    <col min="2434" max="2434" width="9.7265625" style="9" bestFit="1" customWidth="1"/>
    <col min="2435" max="2435" width="10" style="9" bestFit="1" customWidth="1"/>
    <col min="2436" max="2436" width="12.26953125" style="9" bestFit="1" customWidth="1"/>
    <col min="2437" max="2437" width="10" style="9" bestFit="1" customWidth="1"/>
    <col min="2438" max="2438" width="12.26953125" style="9" bestFit="1" customWidth="1"/>
    <col min="2439" max="2439" width="10" style="9" bestFit="1" customWidth="1"/>
    <col min="2440" max="2440" width="12.26953125" style="9" bestFit="1" customWidth="1"/>
    <col min="2441" max="2441" width="10" style="9" bestFit="1" customWidth="1"/>
    <col min="2442" max="2442" width="12.26953125" style="9" bestFit="1" customWidth="1"/>
    <col min="2443" max="2443" width="10" style="9" bestFit="1" customWidth="1"/>
    <col min="2444" max="2444" width="12.26953125" style="9" bestFit="1" customWidth="1"/>
    <col min="2445" max="2445" width="10" style="9" bestFit="1" customWidth="1"/>
    <col min="2446" max="2446" width="12.26953125" style="9" bestFit="1" customWidth="1"/>
    <col min="2447" max="2447" width="9" style="9" bestFit="1" customWidth="1"/>
    <col min="2448" max="2448" width="11.26953125" style="9" bestFit="1" customWidth="1"/>
    <col min="2449" max="2449" width="7.81640625" style="9" bestFit="1" customWidth="1"/>
    <col min="2450" max="2450" width="9.7265625" style="9" bestFit="1" customWidth="1"/>
    <col min="2451" max="2451" width="10" style="9" bestFit="1" customWidth="1"/>
    <col min="2452" max="2452" width="12.26953125" style="9" bestFit="1" customWidth="1"/>
    <col min="2453" max="2453" width="10" style="9" bestFit="1" customWidth="1"/>
    <col min="2454" max="2454" width="12.26953125" style="9" bestFit="1" customWidth="1"/>
    <col min="2455" max="2455" width="10" style="9" bestFit="1" customWidth="1"/>
    <col min="2456" max="2456" width="12.26953125" style="9" bestFit="1" customWidth="1"/>
    <col min="2457" max="2457" width="9" style="9" bestFit="1" customWidth="1"/>
    <col min="2458" max="2458" width="11.26953125" style="9" bestFit="1" customWidth="1"/>
    <col min="2459" max="2459" width="10" style="9" bestFit="1" customWidth="1"/>
    <col min="2460" max="2460" width="12.26953125" style="9" bestFit="1" customWidth="1"/>
    <col min="2461" max="2461" width="10" style="9" bestFit="1" customWidth="1"/>
    <col min="2462" max="2462" width="12.26953125" style="9" bestFit="1" customWidth="1"/>
    <col min="2463" max="2463" width="10" style="9" bestFit="1" customWidth="1"/>
    <col min="2464" max="2464" width="12.26953125" style="9" bestFit="1" customWidth="1"/>
    <col min="2465" max="2465" width="8" style="9" bestFit="1" customWidth="1"/>
    <col min="2466" max="2466" width="10.7265625" style="9" bestFit="1" customWidth="1"/>
    <col min="2467" max="2467" width="11" style="9" bestFit="1" customWidth="1"/>
    <col min="2468" max="2468" width="13.26953125" style="9" bestFit="1" customWidth="1"/>
    <col min="2469" max="2469" width="8" style="9" bestFit="1" customWidth="1"/>
    <col min="2470" max="2470" width="10.7265625" style="9" bestFit="1" customWidth="1"/>
    <col min="2471" max="2471" width="11" style="9" bestFit="1" customWidth="1"/>
    <col min="2472" max="2472" width="13.26953125" style="9" bestFit="1" customWidth="1"/>
    <col min="2473" max="2473" width="11" style="9" bestFit="1" customWidth="1"/>
    <col min="2474" max="2474" width="13.26953125" style="9" bestFit="1" customWidth="1"/>
    <col min="2475" max="2475" width="11" style="9" bestFit="1" customWidth="1"/>
    <col min="2476" max="2476" width="13.26953125" style="9" bestFit="1" customWidth="1"/>
    <col min="2477" max="2477" width="11" style="9" bestFit="1" customWidth="1"/>
    <col min="2478" max="2478" width="13.26953125" style="9" bestFit="1" customWidth="1"/>
    <col min="2479" max="2479" width="11" style="9" bestFit="1" customWidth="1"/>
    <col min="2480" max="2480" width="13.26953125" style="9" bestFit="1" customWidth="1"/>
    <col min="2481" max="2481" width="11" style="9" bestFit="1" customWidth="1"/>
    <col min="2482" max="2482" width="13.26953125" style="9" bestFit="1" customWidth="1"/>
    <col min="2483" max="2483" width="10" style="9" bestFit="1" customWidth="1"/>
    <col min="2484" max="2484" width="12.26953125" style="9" bestFit="1" customWidth="1"/>
    <col min="2485" max="2485" width="11" style="9" bestFit="1" customWidth="1"/>
    <col min="2486" max="2486" width="13.26953125" style="9" bestFit="1" customWidth="1"/>
    <col min="2487" max="2487" width="11" style="9" bestFit="1" customWidth="1"/>
    <col min="2488" max="2488" width="13.26953125" style="9" bestFit="1" customWidth="1"/>
    <col min="2489" max="2489" width="11" style="9" bestFit="1" customWidth="1"/>
    <col min="2490" max="2490" width="13.26953125" style="9" bestFit="1" customWidth="1"/>
    <col min="2491" max="2491" width="11" style="9" bestFit="1" customWidth="1"/>
    <col min="2492" max="2492" width="13.26953125" style="9" bestFit="1" customWidth="1"/>
    <col min="2493" max="2493" width="11" style="9" bestFit="1" customWidth="1"/>
    <col min="2494" max="2494" width="13.26953125" style="9" bestFit="1" customWidth="1"/>
    <col min="2495" max="2495" width="10" style="9" bestFit="1" customWidth="1"/>
    <col min="2496" max="2496" width="12.26953125" style="9" bestFit="1" customWidth="1"/>
    <col min="2497" max="2497" width="11" style="9" bestFit="1" customWidth="1"/>
    <col min="2498" max="2498" width="13.26953125" style="9" bestFit="1" customWidth="1"/>
    <col min="2499" max="2499" width="11" style="9" bestFit="1" customWidth="1"/>
    <col min="2500" max="2500" width="13.26953125" style="9" bestFit="1" customWidth="1"/>
    <col min="2501" max="2501" width="8" style="9" bestFit="1" customWidth="1"/>
    <col min="2502" max="2502" width="10.7265625" style="9" bestFit="1" customWidth="1"/>
    <col min="2503" max="2503" width="11" style="9" bestFit="1" customWidth="1"/>
    <col min="2504" max="2504" width="13.26953125" style="9" bestFit="1" customWidth="1"/>
    <col min="2505" max="2505" width="11" style="9" bestFit="1" customWidth="1"/>
    <col min="2506" max="2506" width="13.26953125" style="9" bestFit="1" customWidth="1"/>
    <col min="2507" max="2507" width="11" style="9" bestFit="1" customWidth="1"/>
    <col min="2508" max="2508" width="13.26953125" style="9" bestFit="1" customWidth="1"/>
    <col min="2509" max="2509" width="8" style="9" bestFit="1" customWidth="1"/>
    <col min="2510" max="2510" width="10.7265625" style="9" bestFit="1" customWidth="1"/>
    <col min="2511" max="2511" width="11" style="9" bestFit="1" customWidth="1"/>
    <col min="2512" max="2512" width="13.26953125" style="9" bestFit="1" customWidth="1"/>
    <col min="2513" max="2513" width="12" style="9" bestFit="1" customWidth="1"/>
    <col min="2514" max="2514" width="14.26953125" style="9" bestFit="1" customWidth="1"/>
    <col min="2515" max="2516" width="8.7265625" style="9" bestFit="1" customWidth="1"/>
    <col min="2517" max="2517" width="11.26953125" style="9" bestFit="1" customWidth="1"/>
    <col min="2518" max="2518" width="10" style="9" bestFit="1" customWidth="1"/>
    <col min="2519" max="16384" width="9.1796875" style="9"/>
  </cols>
  <sheetData>
    <row r="1" spans="1:2518" s="13" customFormat="1" ht="25" customHeight="1" x14ac:dyDescent="0.35">
      <c r="B1" s="51"/>
      <c r="C1" s="36"/>
      <c r="D1" s="36"/>
      <c r="E1" s="36"/>
      <c r="G1" s="51"/>
      <c r="H1" s="36"/>
      <c r="I1" s="36"/>
      <c r="J1" s="36"/>
      <c r="L1" s="51"/>
      <c r="M1" s="36"/>
      <c r="N1" s="36"/>
      <c r="O1" s="36"/>
      <c r="Q1" s="115"/>
      <c r="R1" s="115"/>
    </row>
    <row r="2" spans="1:2518" s="16" customFormat="1" ht="20.100000000000001" customHeight="1" x14ac:dyDescent="0.35">
      <c r="B2" s="52"/>
      <c r="C2" s="37"/>
      <c r="D2" s="37"/>
      <c r="E2" s="37"/>
      <c r="G2" s="52"/>
      <c r="H2" s="37"/>
      <c r="I2" s="37"/>
      <c r="J2" s="37"/>
      <c r="L2" s="52"/>
      <c r="M2" s="37"/>
      <c r="N2" s="37"/>
      <c r="O2" s="37"/>
      <c r="Q2" s="117"/>
      <c r="R2" s="117"/>
    </row>
    <row r="3" spans="1:2518" s="8" customFormat="1" ht="3.75" customHeight="1" thickBot="1" x14ac:dyDescent="0.4">
      <c r="A3" s="7"/>
      <c r="B3" s="53"/>
      <c r="C3" s="38"/>
      <c r="D3" s="38"/>
      <c r="E3" s="38"/>
      <c r="G3" s="53"/>
      <c r="H3" s="38"/>
      <c r="I3" s="38"/>
      <c r="J3" s="38"/>
      <c r="L3" s="53"/>
      <c r="M3" s="38"/>
      <c r="N3" s="38"/>
      <c r="O3" s="38"/>
      <c r="Q3" s="125"/>
      <c r="R3" s="125"/>
    </row>
    <row r="4" spans="1:2518" s="8" customFormat="1" ht="19.55" customHeight="1" thickTop="1" thickBot="1" x14ac:dyDescent="0.4">
      <c r="A4" s="7"/>
      <c r="B4" s="593" t="s">
        <v>1190</v>
      </c>
      <c r="C4" s="593"/>
      <c r="D4" s="125" t="str">
        <f>IF(VLOOKUP(Apoio!$O$13,ANO[],2,0)="TOTAL ANO","*",VLOOKUP(Apoio!$O$13,ANO[],2,0))</f>
        <v>*</v>
      </c>
      <c r="E4" s="125" t="str">
        <f>IF(VLOOKUP(Apoio!$O$5,Mês[],2,0)="TOTAL MESES","*",VLOOKUP(Apoio!$O$5,Mês[],2,0))</f>
        <v>*</v>
      </c>
      <c r="F4" s="124"/>
      <c r="G4" s="124" t="str">
        <f>IF(VLOOKUP(Apoio!$O$7,EMPRESA[],2,0)="TOTAL EMPRESA","*",VLOOKUP(Apoio!$O$7,EMPRESA[],2,0))</f>
        <v>CENTRO CULTURAL FRANCO-BRASILEIRO ALIANCA FRANCESA DE GOIAS</v>
      </c>
      <c r="H4" s="124" t="str">
        <f>IF(VLOOKUP(Apoio!$O$8,CENTROS_CUSTOS[],2,0)="TOTAL CENTRO DE CUSTOS","*",VLOOKUP(Apoio!$O$8,CENTROS_CUSTOS[],2,0))</f>
        <v>*</v>
      </c>
      <c r="I4" s="594" t="s">
        <v>1195</v>
      </c>
      <c r="J4" s="594"/>
      <c r="K4" s="9"/>
      <c r="L4" s="595" t="str">
        <f>IF($Q$6="","Sem preenchimento suficiente para fazer análises","O melhor resultado do mês de "&amp; $E$4 &amp;" aconteceu no dia "&amp;$Q$6)</f>
        <v>O melhor resultado do mês de * aconteceu no dia 6</v>
      </c>
      <c r="M4" s="596"/>
      <c r="N4" s="596"/>
      <c r="O4" s="596"/>
      <c r="Q4" s="124"/>
      <c r="R4" s="124"/>
    </row>
    <row r="5" spans="1:2518" s="8" customFormat="1" ht="3.75" customHeight="1" thickTop="1" thickBot="1" x14ac:dyDescent="0.4">
      <c r="A5" s="7"/>
      <c r="B5" s="53"/>
      <c r="D5" s="38"/>
      <c r="E5" s="38"/>
      <c r="G5" s="53"/>
      <c r="H5" s="38"/>
      <c r="I5" s="38"/>
      <c r="J5" s="38"/>
      <c r="K5" s="9"/>
      <c r="L5" s="53"/>
      <c r="M5" s="38"/>
      <c r="N5" s="38"/>
      <c r="O5" s="38"/>
      <c r="Q5" s="124"/>
      <c r="R5" s="124"/>
    </row>
    <row r="6" spans="1:2518" ht="30.05" customHeight="1" thickTop="1" thickBot="1" x14ac:dyDescent="0.4">
      <c r="B6" s="54" t="s">
        <v>1140</v>
      </c>
      <c r="C6" s="54" t="s">
        <v>1141</v>
      </c>
      <c r="D6" s="54" t="s">
        <v>1142</v>
      </c>
      <c r="E6" s="54" t="s">
        <v>1143</v>
      </c>
      <c r="G6"/>
      <c r="H6"/>
      <c r="I6"/>
      <c r="J6"/>
      <c r="K6"/>
      <c r="L6"/>
      <c r="M6"/>
      <c r="N6"/>
      <c r="O6"/>
      <c r="P6"/>
      <c r="Q6" s="111">
        <f>IF(LARGE($Q$7:$Q$37,1)=0,"",VLOOKUP(LARGE($Q$7:$Q$37,1),$Q$7:$R$37,2,0))</f>
        <v>6</v>
      </c>
      <c r="AA6" s="365"/>
    </row>
    <row r="7" spans="1:2518" ht="15.05" thickTop="1" x14ac:dyDescent="0.35">
      <c r="B7" s="55">
        <v>1</v>
      </c>
      <c r="C7" s="122">
        <f>SUMIFS(LANÇ_MOV[VALOR LÍQUIDO],LANÇ_MOV[RECEITA OU DESPESA],REL_RES_DIA!$C$6,LANÇ_MOV[DIA PAGAMENTO],B7,LANÇ_MOV[ANO PAGAMENTO],REL_RES_DIA!$D$4,LANÇ_MOV[MÊS PGTO],$E$4,LANÇ_MOV[EMPRESA],$G$4,LANÇ_MOV[CENTRO DE CUSTOS],$H$4)</f>
        <v>425.38</v>
      </c>
      <c r="D7" s="122">
        <f>SUMIFS(LANÇ_MOV[VALOR LÍQUIDO],LANÇ_MOV[RECEITA OU DESPESA],REL_RES_DIA!$D$6,LANÇ_MOV[DIA PAGAMENTO],B7,LANÇ_MOV[ANO PAGAMENTO],REL_RES_DIA!$D$4,LANÇ_MOV[MÊS PGTO],$E$4,LANÇ_MOV[EMPRESA],$G$4,LANÇ_MOV[CENTRO DE CUSTOS],$H$4)</f>
        <v>330</v>
      </c>
      <c r="E7" s="123">
        <f>C7-D7</f>
        <v>95.38</v>
      </c>
      <c r="G7"/>
      <c r="H7"/>
      <c r="I7"/>
      <c r="J7"/>
      <c r="K7"/>
      <c r="L7"/>
      <c r="M7"/>
      <c r="N7"/>
      <c r="O7"/>
      <c r="P7"/>
      <c r="Q7" s="235">
        <f t="shared" ref="Q7:Q17" si="0">E7</f>
        <v>95.38</v>
      </c>
      <c r="R7" s="236">
        <v>1</v>
      </c>
      <c r="Z7"/>
      <c r="AA7"/>
    </row>
    <row r="8" spans="1:2518" ht="14.5" x14ac:dyDescent="0.35">
      <c r="B8" s="56">
        <f>B7+1</f>
        <v>2</v>
      </c>
      <c r="C8" s="122">
        <f>SUMIFS(LANÇ_MOV[VALOR LÍQUIDO],LANÇ_MOV[RECEITA OU DESPESA],REL_RES_DIA!$C$6,LANÇ_MOV[DIA PAGAMENTO],B8,LANÇ_MOV[ANO PAGAMENTO],REL_RES_DIA!$D$4,LANÇ_MOV[MÊS PGTO],$E$4,LANÇ_MOV[EMPRESA],$G$4,LANÇ_MOV[CENTRO DE CUSTOS],$H$4)</f>
        <v>725.73</v>
      </c>
      <c r="D8" s="122">
        <f>SUMIFS(LANÇ_MOV[VALOR LÍQUIDO],LANÇ_MOV[RECEITA OU DESPESA],REL_RES_DIA!$D$6,LANÇ_MOV[DIA PAGAMENTO],B8,LANÇ_MOV[ANO PAGAMENTO],REL_RES_DIA!$D$4,LANÇ_MOV[MÊS PGTO],$E$4,LANÇ_MOV[EMPRESA],$G$4,LANÇ_MOV[CENTRO DE CUSTOS],$H$4)</f>
        <v>916.15</v>
      </c>
      <c r="E8" s="123">
        <f t="shared" ref="E8:E37" si="1">C8-D8</f>
        <v>-190.41999999999996</v>
      </c>
      <c r="G8"/>
      <c r="H8"/>
      <c r="I8"/>
      <c r="J8"/>
      <c r="K8"/>
      <c r="L8"/>
      <c r="M8"/>
      <c r="N8"/>
      <c r="O8"/>
      <c r="P8"/>
      <c r="Q8" s="235">
        <f t="shared" si="0"/>
        <v>-190.41999999999996</v>
      </c>
      <c r="R8" s="236">
        <v>2</v>
      </c>
    </row>
    <row r="9" spans="1:2518" ht="14.5" x14ac:dyDescent="0.35">
      <c r="B9" s="56">
        <f t="shared" ref="B9:B17" si="2">B8+1</f>
        <v>3</v>
      </c>
      <c r="C9" s="122">
        <f>SUMIFS(LANÇ_MOV[VALOR LÍQUIDO],LANÇ_MOV[RECEITA OU DESPESA],REL_RES_DIA!$C$6,LANÇ_MOV[DIA PAGAMENTO],B9,LANÇ_MOV[ANO PAGAMENTO],REL_RES_DIA!$D$4,LANÇ_MOV[MÊS PGTO],$E$4,LANÇ_MOV[EMPRESA],$G$4,LANÇ_MOV[CENTRO DE CUSTOS],$H$4)</f>
        <v>2073.5299999999997</v>
      </c>
      <c r="D9" s="122">
        <f>SUMIFS(LANÇ_MOV[VALOR LÍQUIDO],LANÇ_MOV[RECEITA OU DESPESA],REL_RES_DIA!$D$6,LANÇ_MOV[DIA PAGAMENTO],B9,LANÇ_MOV[ANO PAGAMENTO],REL_RES_DIA!$D$4,LANÇ_MOV[MÊS PGTO],$E$4,LANÇ_MOV[EMPRESA],$G$4,LANÇ_MOV[CENTRO DE CUSTOS],$H$4)</f>
        <v>64</v>
      </c>
      <c r="E9" s="123">
        <f t="shared" si="1"/>
        <v>2009.5299999999997</v>
      </c>
      <c r="G9"/>
      <c r="H9"/>
      <c r="I9"/>
      <c r="J9"/>
      <c r="K9"/>
      <c r="L9"/>
      <c r="M9"/>
      <c r="N9"/>
      <c r="O9"/>
      <c r="P9"/>
      <c r="Q9" s="235">
        <f t="shared" si="0"/>
        <v>2009.5299999999997</v>
      </c>
      <c r="R9" s="236">
        <v>3</v>
      </c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  <c r="AOD9"/>
      <c r="AOE9"/>
      <c r="AOF9"/>
      <c r="AOG9"/>
      <c r="AOH9"/>
      <c r="AOI9"/>
      <c r="AOJ9"/>
      <c r="AOK9"/>
      <c r="AOL9"/>
      <c r="AOM9"/>
      <c r="AON9"/>
      <c r="AOO9"/>
      <c r="AOP9"/>
      <c r="AOQ9"/>
      <c r="AOR9"/>
      <c r="AOS9"/>
      <c r="AOT9"/>
      <c r="AOU9"/>
      <c r="AOV9"/>
      <c r="AOW9"/>
      <c r="AOX9"/>
      <c r="AOY9"/>
      <c r="AOZ9"/>
      <c r="APA9"/>
      <c r="APB9"/>
      <c r="APC9"/>
      <c r="APD9"/>
      <c r="APE9"/>
      <c r="APF9"/>
      <c r="APG9"/>
      <c r="APH9"/>
      <c r="API9"/>
      <c r="APJ9"/>
      <c r="APK9"/>
      <c r="APL9"/>
      <c r="APM9"/>
      <c r="APN9"/>
      <c r="APO9"/>
      <c r="APP9"/>
      <c r="APQ9"/>
      <c r="APR9"/>
      <c r="APS9"/>
      <c r="APT9"/>
      <c r="APU9"/>
      <c r="APV9"/>
      <c r="APW9"/>
      <c r="APX9"/>
      <c r="APY9"/>
      <c r="APZ9"/>
      <c r="AQA9"/>
      <c r="AQB9"/>
      <c r="AQC9"/>
      <c r="AQD9"/>
      <c r="AQE9"/>
      <c r="AQF9"/>
      <c r="AQG9"/>
      <c r="AQH9"/>
      <c r="AQI9"/>
      <c r="AQJ9"/>
      <c r="AQK9"/>
      <c r="AQL9"/>
      <c r="AQM9"/>
      <c r="AQN9"/>
      <c r="AQO9"/>
      <c r="AQP9"/>
      <c r="AQQ9"/>
      <c r="AQR9"/>
      <c r="AQS9"/>
      <c r="AQT9"/>
      <c r="AQU9"/>
      <c r="AQV9"/>
      <c r="AQW9"/>
      <c r="AQX9"/>
      <c r="AQY9"/>
      <c r="AQZ9"/>
      <c r="ARA9"/>
      <c r="ARB9"/>
      <c r="ARC9"/>
      <c r="ARD9"/>
      <c r="ARE9"/>
      <c r="ARF9"/>
      <c r="ARG9"/>
      <c r="ARH9"/>
      <c r="ARI9"/>
      <c r="ARJ9"/>
      <c r="ARK9"/>
      <c r="ARL9"/>
      <c r="ARM9"/>
      <c r="ARN9"/>
      <c r="ARO9"/>
      <c r="ARP9"/>
      <c r="ARQ9"/>
      <c r="ARR9"/>
      <c r="ARS9"/>
      <c r="ART9"/>
      <c r="ARU9"/>
      <c r="ARV9"/>
      <c r="ARW9"/>
      <c r="ARX9"/>
      <c r="ARY9"/>
      <c r="ARZ9"/>
      <c r="ASA9"/>
      <c r="ASB9"/>
      <c r="ASC9"/>
      <c r="ASD9"/>
      <c r="ASE9"/>
      <c r="ASF9"/>
      <c r="ASG9"/>
      <c r="ASH9"/>
      <c r="ASI9"/>
      <c r="ASJ9"/>
      <c r="ASK9"/>
      <c r="ASL9"/>
      <c r="ASM9"/>
      <c r="ASN9"/>
      <c r="ASO9"/>
      <c r="ASP9"/>
      <c r="ASQ9"/>
      <c r="ASR9"/>
      <c r="ASS9"/>
      <c r="AST9"/>
      <c r="ASU9"/>
      <c r="ASV9"/>
      <c r="ASW9"/>
      <c r="ASX9"/>
      <c r="ASY9"/>
      <c r="ASZ9"/>
      <c r="ATA9"/>
      <c r="ATB9"/>
      <c r="ATC9"/>
      <c r="ATD9"/>
      <c r="ATE9"/>
      <c r="ATF9"/>
      <c r="ATG9"/>
      <c r="ATH9"/>
      <c r="ATI9"/>
      <c r="ATJ9"/>
      <c r="ATK9"/>
      <c r="ATL9"/>
      <c r="ATM9"/>
      <c r="ATN9"/>
      <c r="ATO9"/>
      <c r="ATP9"/>
      <c r="ATQ9"/>
      <c r="ATR9"/>
      <c r="ATS9"/>
      <c r="ATT9"/>
      <c r="ATU9"/>
      <c r="ATV9"/>
      <c r="ATW9"/>
      <c r="ATX9"/>
      <c r="ATY9"/>
      <c r="ATZ9"/>
      <c r="AUA9"/>
      <c r="AUB9"/>
      <c r="AUC9"/>
      <c r="AUD9"/>
      <c r="AUE9"/>
      <c r="AUF9"/>
      <c r="AUG9"/>
      <c r="AUH9"/>
      <c r="AUI9"/>
      <c r="AUJ9"/>
      <c r="AUK9"/>
      <c r="AUL9"/>
      <c r="AUM9"/>
      <c r="AUN9"/>
      <c r="AUO9"/>
      <c r="AUP9"/>
      <c r="AUQ9"/>
      <c r="AUR9"/>
      <c r="AUS9"/>
      <c r="AUT9"/>
      <c r="AUU9"/>
      <c r="AUV9"/>
      <c r="AUW9"/>
      <c r="AUX9"/>
      <c r="AUY9"/>
      <c r="AUZ9"/>
      <c r="AVA9"/>
      <c r="AVB9"/>
      <c r="AVC9"/>
      <c r="AVD9"/>
      <c r="AVE9"/>
      <c r="AVF9"/>
      <c r="AVG9"/>
      <c r="AVH9"/>
      <c r="AVI9"/>
      <c r="AVJ9"/>
      <c r="AVK9"/>
      <c r="AVL9"/>
      <c r="AVM9"/>
      <c r="AVN9"/>
      <c r="AVO9"/>
      <c r="AVP9"/>
      <c r="AVQ9"/>
      <c r="AVR9"/>
      <c r="AVS9"/>
      <c r="AVT9"/>
      <c r="AVU9"/>
      <c r="AVV9"/>
      <c r="AVW9"/>
      <c r="AVX9"/>
      <c r="AVY9"/>
      <c r="AVZ9"/>
      <c r="AWA9"/>
      <c r="AWB9"/>
      <c r="AWC9"/>
      <c r="AWD9"/>
      <c r="AWE9"/>
      <c r="AWF9"/>
      <c r="AWG9"/>
      <c r="AWH9"/>
      <c r="AWI9"/>
      <c r="AWJ9"/>
      <c r="AWK9"/>
      <c r="AWL9"/>
      <c r="AWM9"/>
      <c r="AWN9"/>
      <c r="AWO9"/>
      <c r="AWP9"/>
      <c r="AWQ9"/>
      <c r="AWR9"/>
      <c r="AWS9"/>
      <c r="AWT9"/>
      <c r="AWU9"/>
      <c r="AWV9"/>
      <c r="AWW9"/>
      <c r="AWX9"/>
      <c r="AWY9"/>
      <c r="AWZ9"/>
      <c r="AXA9"/>
      <c r="AXB9"/>
      <c r="AXC9"/>
      <c r="AXD9"/>
      <c r="AXE9"/>
      <c r="AXF9"/>
      <c r="AXG9"/>
      <c r="AXH9"/>
      <c r="AXI9"/>
      <c r="AXJ9"/>
      <c r="AXK9"/>
      <c r="AXL9"/>
      <c r="AXM9"/>
      <c r="AXN9"/>
      <c r="AXO9"/>
      <c r="AXP9"/>
      <c r="AXQ9"/>
      <c r="AXR9"/>
      <c r="AXS9"/>
      <c r="AXT9"/>
      <c r="AXU9"/>
      <c r="AXV9"/>
      <c r="AXW9"/>
      <c r="AXX9"/>
      <c r="AXY9"/>
      <c r="AXZ9"/>
      <c r="AYA9"/>
      <c r="AYB9"/>
      <c r="AYC9"/>
      <c r="AYD9"/>
      <c r="AYE9"/>
      <c r="AYF9"/>
      <c r="AYG9"/>
      <c r="AYH9"/>
      <c r="AYI9"/>
      <c r="AYJ9"/>
      <c r="AYK9"/>
      <c r="AYL9"/>
      <c r="AYM9"/>
      <c r="AYN9"/>
      <c r="AYO9"/>
      <c r="AYP9"/>
      <c r="AYQ9"/>
      <c r="AYR9"/>
      <c r="AYS9"/>
      <c r="AYT9"/>
      <c r="AYU9"/>
      <c r="AYV9"/>
      <c r="AYW9"/>
      <c r="AYX9"/>
      <c r="AYY9"/>
      <c r="AYZ9"/>
      <c r="AZA9"/>
      <c r="AZB9"/>
      <c r="AZC9"/>
      <c r="AZD9"/>
      <c r="AZE9"/>
      <c r="AZF9"/>
      <c r="AZG9"/>
      <c r="AZH9"/>
      <c r="AZI9"/>
      <c r="AZJ9"/>
      <c r="AZK9"/>
      <c r="AZL9"/>
      <c r="AZM9"/>
      <c r="AZN9"/>
      <c r="AZO9"/>
      <c r="AZP9"/>
      <c r="AZQ9"/>
      <c r="AZR9"/>
      <c r="AZS9"/>
      <c r="AZT9"/>
      <c r="AZU9"/>
      <c r="AZV9"/>
      <c r="AZW9"/>
      <c r="AZX9"/>
      <c r="AZY9"/>
      <c r="AZZ9"/>
      <c r="BAA9"/>
      <c r="BAB9"/>
      <c r="BAC9"/>
      <c r="BAD9"/>
      <c r="BAE9"/>
      <c r="BAF9"/>
      <c r="BAG9"/>
      <c r="BAH9"/>
      <c r="BAI9"/>
      <c r="BAJ9"/>
      <c r="BAK9"/>
      <c r="BAL9"/>
      <c r="BAM9"/>
      <c r="BAN9"/>
      <c r="BAO9"/>
      <c r="BAP9"/>
      <c r="BAQ9"/>
      <c r="BAR9"/>
      <c r="BAS9"/>
      <c r="BAT9"/>
      <c r="BAU9"/>
      <c r="BAV9"/>
      <c r="BAW9"/>
      <c r="BAX9"/>
      <c r="BAY9"/>
      <c r="BAZ9"/>
      <c r="BBA9"/>
      <c r="BBB9"/>
      <c r="BBC9"/>
      <c r="BBD9"/>
      <c r="BBE9"/>
      <c r="BBF9"/>
      <c r="BBG9"/>
      <c r="BBH9"/>
      <c r="BBI9"/>
      <c r="BBJ9"/>
      <c r="BBK9"/>
      <c r="BBL9"/>
      <c r="BBM9"/>
      <c r="BBN9"/>
      <c r="BBO9"/>
      <c r="BBP9"/>
      <c r="BBQ9"/>
      <c r="BBR9"/>
      <c r="BBS9"/>
      <c r="BBT9"/>
      <c r="BBU9"/>
      <c r="BBV9"/>
      <c r="BBW9"/>
      <c r="BBX9"/>
      <c r="BBY9"/>
      <c r="BBZ9"/>
      <c r="BCA9"/>
      <c r="BCB9"/>
      <c r="BCC9"/>
      <c r="BCD9"/>
      <c r="BCE9"/>
      <c r="BCF9"/>
      <c r="BCG9"/>
      <c r="BCH9"/>
      <c r="BCI9"/>
      <c r="BCJ9"/>
      <c r="BCK9"/>
      <c r="BCL9"/>
      <c r="BCM9"/>
      <c r="BCN9"/>
      <c r="BCO9"/>
      <c r="BCP9"/>
      <c r="BCQ9"/>
      <c r="BCR9"/>
      <c r="BCS9"/>
      <c r="BCT9"/>
      <c r="BCU9"/>
      <c r="BCV9"/>
      <c r="BCW9"/>
      <c r="BCX9"/>
      <c r="BCY9"/>
      <c r="BCZ9"/>
      <c r="BDA9"/>
      <c r="BDB9"/>
      <c r="BDC9"/>
      <c r="BDD9"/>
      <c r="BDE9"/>
      <c r="BDF9"/>
      <c r="BDG9"/>
      <c r="BDH9"/>
      <c r="BDI9"/>
      <c r="BDJ9"/>
      <c r="BDK9"/>
      <c r="BDL9"/>
      <c r="BDM9"/>
      <c r="BDN9"/>
      <c r="BDO9"/>
      <c r="BDP9"/>
      <c r="BDQ9"/>
      <c r="BDR9"/>
      <c r="BDS9"/>
      <c r="BDT9"/>
      <c r="BDU9"/>
      <c r="BDV9"/>
      <c r="BDW9"/>
      <c r="BDX9"/>
      <c r="BDY9"/>
      <c r="BDZ9"/>
      <c r="BEA9"/>
      <c r="BEB9"/>
      <c r="BEC9"/>
      <c r="BED9"/>
      <c r="BEE9"/>
      <c r="BEF9"/>
      <c r="BEG9"/>
      <c r="BEH9"/>
      <c r="BEI9"/>
      <c r="BEJ9"/>
      <c r="BEK9"/>
      <c r="BEL9"/>
      <c r="BEM9"/>
      <c r="BEN9"/>
      <c r="BEO9"/>
      <c r="BEP9"/>
      <c r="BEQ9"/>
      <c r="BER9"/>
      <c r="BES9"/>
      <c r="BET9"/>
      <c r="BEU9"/>
      <c r="BEV9"/>
      <c r="BEW9"/>
      <c r="BEX9"/>
      <c r="BEY9"/>
      <c r="BEZ9"/>
      <c r="BFA9"/>
      <c r="BFB9"/>
      <c r="BFC9"/>
      <c r="BFD9"/>
      <c r="BFE9"/>
      <c r="BFF9"/>
      <c r="BFG9"/>
      <c r="BFH9"/>
      <c r="BFI9"/>
      <c r="BFJ9"/>
      <c r="BFK9"/>
      <c r="BFL9"/>
      <c r="BFM9"/>
      <c r="BFN9"/>
      <c r="BFO9"/>
      <c r="BFP9"/>
      <c r="BFQ9"/>
      <c r="BFR9"/>
      <c r="BFS9"/>
      <c r="BFT9"/>
      <c r="BFU9"/>
      <c r="BFV9"/>
      <c r="BFW9"/>
      <c r="BFX9"/>
      <c r="BFY9"/>
      <c r="BFZ9"/>
      <c r="BGA9"/>
      <c r="BGB9"/>
      <c r="BGC9"/>
      <c r="BGD9"/>
      <c r="BGE9"/>
      <c r="BGF9"/>
      <c r="BGG9"/>
      <c r="BGH9"/>
      <c r="BGI9"/>
      <c r="BGJ9"/>
      <c r="BGK9"/>
      <c r="BGL9"/>
      <c r="BGM9"/>
      <c r="BGN9"/>
      <c r="BGO9"/>
      <c r="BGP9"/>
      <c r="BGQ9"/>
      <c r="BGR9"/>
      <c r="BGS9"/>
      <c r="BGT9"/>
      <c r="BGU9"/>
      <c r="BGV9"/>
      <c r="BGW9"/>
      <c r="BGX9"/>
      <c r="BGY9"/>
      <c r="BGZ9"/>
      <c r="BHA9"/>
      <c r="BHB9"/>
      <c r="BHC9"/>
      <c r="BHD9"/>
      <c r="BHE9"/>
      <c r="BHF9"/>
      <c r="BHG9"/>
      <c r="BHH9"/>
      <c r="BHI9"/>
      <c r="BHJ9"/>
      <c r="BHK9"/>
      <c r="BHL9"/>
      <c r="BHM9"/>
      <c r="BHN9"/>
      <c r="BHO9"/>
      <c r="BHP9"/>
      <c r="BHQ9"/>
      <c r="BHR9"/>
      <c r="BHS9"/>
      <c r="BHT9"/>
      <c r="BHU9"/>
      <c r="BHV9"/>
      <c r="BHW9"/>
      <c r="BHX9"/>
      <c r="BHY9"/>
      <c r="BHZ9"/>
      <c r="BIA9"/>
      <c r="BIB9"/>
      <c r="BIC9"/>
      <c r="BID9"/>
      <c r="BIE9"/>
      <c r="BIF9"/>
      <c r="BIG9"/>
      <c r="BIH9"/>
      <c r="BII9"/>
      <c r="BIJ9"/>
      <c r="BIK9"/>
      <c r="BIL9"/>
      <c r="BIM9"/>
      <c r="BIN9"/>
      <c r="BIO9"/>
      <c r="BIP9"/>
      <c r="BIQ9"/>
      <c r="BIR9"/>
      <c r="BIS9"/>
      <c r="BIT9"/>
      <c r="BIU9"/>
      <c r="BIV9"/>
      <c r="BIW9"/>
      <c r="BIX9"/>
      <c r="BIY9"/>
      <c r="BIZ9"/>
      <c r="BJA9"/>
      <c r="BJB9"/>
      <c r="BJC9"/>
      <c r="BJD9"/>
      <c r="BJE9"/>
      <c r="BJF9"/>
      <c r="BJG9"/>
      <c r="BJH9"/>
      <c r="BJI9"/>
      <c r="BJJ9"/>
      <c r="BJK9"/>
      <c r="BJL9"/>
      <c r="BJM9"/>
      <c r="BJN9"/>
      <c r="BJO9"/>
      <c r="BJP9"/>
      <c r="BJQ9"/>
      <c r="BJR9"/>
      <c r="BJS9"/>
      <c r="BJT9"/>
      <c r="BJU9"/>
      <c r="BJV9"/>
      <c r="BJW9"/>
      <c r="BJX9"/>
      <c r="BJY9"/>
      <c r="BJZ9"/>
      <c r="BKA9"/>
      <c r="BKB9"/>
      <c r="BKC9"/>
      <c r="BKD9"/>
      <c r="BKE9"/>
      <c r="BKF9"/>
      <c r="BKG9"/>
      <c r="BKH9"/>
      <c r="BKI9"/>
      <c r="BKJ9"/>
      <c r="BKK9"/>
      <c r="BKL9"/>
      <c r="BKM9"/>
      <c r="BKN9"/>
      <c r="BKO9"/>
      <c r="BKP9"/>
      <c r="BKQ9"/>
      <c r="BKR9"/>
      <c r="BKS9"/>
      <c r="BKT9"/>
      <c r="BKU9"/>
      <c r="BKV9"/>
      <c r="BKW9"/>
      <c r="BKX9"/>
      <c r="BKY9"/>
      <c r="BKZ9"/>
      <c r="BLA9"/>
      <c r="BLB9"/>
      <c r="BLC9"/>
      <c r="BLD9"/>
      <c r="BLE9"/>
      <c r="BLF9"/>
      <c r="BLG9"/>
      <c r="BLH9"/>
      <c r="BLI9"/>
      <c r="BLJ9"/>
      <c r="BLK9"/>
      <c r="BLL9"/>
      <c r="BLM9"/>
      <c r="BLN9"/>
      <c r="BLO9"/>
      <c r="BLP9"/>
      <c r="BLQ9"/>
      <c r="BLR9"/>
      <c r="BLS9"/>
      <c r="BLT9"/>
      <c r="BLU9"/>
      <c r="BLV9"/>
      <c r="BLW9"/>
      <c r="BLX9"/>
      <c r="BLY9"/>
      <c r="BLZ9"/>
      <c r="BMA9"/>
      <c r="BMB9"/>
      <c r="BMC9"/>
      <c r="BMD9"/>
      <c r="BME9"/>
      <c r="BMF9"/>
      <c r="BMG9"/>
      <c r="BMH9"/>
      <c r="BMI9"/>
      <c r="BMJ9"/>
      <c r="BMK9"/>
      <c r="BML9"/>
      <c r="BMM9"/>
      <c r="BMN9"/>
      <c r="BMO9"/>
      <c r="BMP9"/>
      <c r="BMQ9"/>
      <c r="BMR9"/>
      <c r="BMS9"/>
      <c r="BMT9"/>
      <c r="BMU9"/>
      <c r="BMV9"/>
      <c r="BMW9"/>
      <c r="BMX9"/>
      <c r="BMY9"/>
      <c r="BMZ9"/>
      <c r="BNA9"/>
      <c r="BNB9"/>
      <c r="BNC9"/>
      <c r="BND9"/>
      <c r="BNE9"/>
      <c r="BNF9"/>
      <c r="BNG9"/>
      <c r="BNH9"/>
      <c r="BNI9"/>
      <c r="BNJ9"/>
      <c r="BNK9"/>
      <c r="BNL9"/>
      <c r="BNM9"/>
      <c r="BNN9"/>
      <c r="BNO9"/>
      <c r="BNP9"/>
      <c r="BNQ9"/>
      <c r="BNR9"/>
      <c r="BNS9"/>
      <c r="BNT9"/>
      <c r="BNU9"/>
      <c r="BNV9"/>
      <c r="BNW9"/>
      <c r="BNX9"/>
      <c r="BNY9"/>
      <c r="BNZ9"/>
      <c r="BOA9"/>
      <c r="BOB9"/>
      <c r="BOC9"/>
      <c r="BOD9"/>
      <c r="BOE9"/>
      <c r="BOF9"/>
      <c r="BOG9"/>
      <c r="BOH9"/>
      <c r="BOI9"/>
      <c r="BOJ9"/>
      <c r="BOK9"/>
      <c r="BOL9"/>
      <c r="BOM9"/>
      <c r="BON9"/>
      <c r="BOO9"/>
      <c r="BOP9"/>
      <c r="BOQ9"/>
      <c r="BOR9"/>
      <c r="BOS9"/>
      <c r="BOT9"/>
      <c r="BOU9"/>
      <c r="BOV9"/>
      <c r="BOW9"/>
      <c r="BOX9"/>
      <c r="BOY9"/>
      <c r="BOZ9"/>
      <c r="BPA9"/>
      <c r="BPB9"/>
      <c r="BPC9"/>
      <c r="BPD9"/>
      <c r="BPE9"/>
      <c r="BPF9"/>
      <c r="BPG9"/>
      <c r="BPH9"/>
      <c r="BPI9"/>
      <c r="BPJ9"/>
      <c r="BPK9"/>
      <c r="BPL9"/>
      <c r="BPM9"/>
      <c r="BPN9"/>
      <c r="BPO9"/>
      <c r="BPP9"/>
      <c r="BPQ9"/>
      <c r="BPR9"/>
      <c r="BPS9"/>
      <c r="BPT9"/>
      <c r="BPU9"/>
      <c r="BPV9"/>
      <c r="BPW9"/>
      <c r="BPX9"/>
      <c r="BPY9"/>
      <c r="BPZ9"/>
      <c r="BQA9"/>
      <c r="BQB9"/>
      <c r="BQC9"/>
      <c r="BQD9"/>
      <c r="BQE9"/>
      <c r="BQF9"/>
      <c r="BQG9"/>
      <c r="BQH9"/>
      <c r="BQI9"/>
      <c r="BQJ9"/>
      <c r="BQK9"/>
      <c r="BQL9"/>
      <c r="BQM9"/>
      <c r="BQN9"/>
      <c r="BQO9"/>
      <c r="BQP9"/>
      <c r="BQQ9"/>
      <c r="BQR9"/>
      <c r="BQS9"/>
      <c r="BQT9"/>
      <c r="BQU9"/>
      <c r="BQV9"/>
      <c r="BQW9"/>
      <c r="BQX9"/>
      <c r="BQY9"/>
      <c r="BQZ9"/>
      <c r="BRA9"/>
      <c r="BRB9"/>
      <c r="BRC9"/>
      <c r="BRD9"/>
      <c r="BRE9"/>
      <c r="BRF9"/>
      <c r="BRG9"/>
      <c r="BRH9"/>
      <c r="BRI9"/>
      <c r="BRJ9"/>
      <c r="BRK9"/>
      <c r="BRL9"/>
      <c r="BRM9"/>
      <c r="BRN9"/>
      <c r="BRO9"/>
      <c r="BRP9"/>
      <c r="BRQ9"/>
      <c r="BRR9"/>
      <c r="BRS9"/>
      <c r="BRT9"/>
      <c r="BRU9"/>
      <c r="BRV9"/>
      <c r="BRW9"/>
      <c r="BRX9"/>
      <c r="BRY9"/>
      <c r="BRZ9"/>
      <c r="BSA9"/>
      <c r="BSB9"/>
      <c r="BSC9"/>
      <c r="BSD9"/>
      <c r="BSE9"/>
      <c r="BSF9"/>
      <c r="BSG9"/>
      <c r="BSH9"/>
      <c r="BSI9"/>
      <c r="BSJ9"/>
      <c r="BSK9"/>
      <c r="BSL9"/>
      <c r="BSM9"/>
      <c r="BSN9"/>
      <c r="BSO9"/>
      <c r="BSP9"/>
      <c r="BSQ9"/>
      <c r="BSR9"/>
      <c r="BSS9"/>
      <c r="BST9"/>
      <c r="BSU9"/>
      <c r="BSV9"/>
      <c r="BSW9"/>
      <c r="BSX9"/>
      <c r="BSY9"/>
      <c r="BSZ9"/>
      <c r="BTA9"/>
      <c r="BTB9"/>
      <c r="BTC9"/>
      <c r="BTD9"/>
      <c r="BTE9"/>
      <c r="BTF9"/>
      <c r="BTG9"/>
      <c r="BTH9"/>
      <c r="BTI9"/>
      <c r="BTJ9"/>
      <c r="BTK9"/>
      <c r="BTL9"/>
      <c r="BTM9"/>
      <c r="BTN9"/>
      <c r="BTO9"/>
      <c r="BTP9"/>
      <c r="BTQ9"/>
      <c r="BTR9"/>
      <c r="BTS9"/>
      <c r="BTT9"/>
      <c r="BTU9"/>
      <c r="BTV9"/>
      <c r="BTW9"/>
      <c r="BTX9"/>
      <c r="BTY9"/>
      <c r="BTZ9"/>
      <c r="BUA9"/>
      <c r="BUB9"/>
      <c r="BUC9"/>
      <c r="BUD9"/>
      <c r="BUE9"/>
      <c r="BUF9"/>
      <c r="BUG9"/>
      <c r="BUH9"/>
      <c r="BUI9"/>
      <c r="BUJ9"/>
      <c r="BUK9"/>
      <c r="BUL9"/>
      <c r="BUM9"/>
      <c r="BUN9"/>
      <c r="BUO9"/>
      <c r="BUP9"/>
      <c r="BUQ9"/>
      <c r="BUR9"/>
      <c r="BUS9"/>
      <c r="BUT9"/>
      <c r="BUU9"/>
      <c r="BUV9"/>
      <c r="BUW9"/>
      <c r="BUX9"/>
      <c r="BUY9"/>
      <c r="BUZ9"/>
      <c r="BVA9"/>
      <c r="BVB9"/>
      <c r="BVC9"/>
      <c r="BVD9"/>
      <c r="BVE9"/>
      <c r="BVF9"/>
      <c r="BVG9"/>
      <c r="BVH9"/>
      <c r="BVI9"/>
      <c r="BVJ9"/>
      <c r="BVK9"/>
      <c r="BVL9"/>
      <c r="BVM9"/>
      <c r="BVN9"/>
      <c r="BVO9"/>
      <c r="BVP9"/>
      <c r="BVQ9"/>
      <c r="BVR9"/>
      <c r="BVS9"/>
      <c r="BVT9"/>
      <c r="BVU9"/>
      <c r="BVV9"/>
      <c r="BVW9"/>
      <c r="BVX9"/>
      <c r="BVY9"/>
      <c r="BVZ9"/>
      <c r="BWA9"/>
      <c r="BWB9"/>
      <c r="BWC9"/>
      <c r="BWD9"/>
      <c r="BWE9"/>
      <c r="BWF9"/>
      <c r="BWG9"/>
      <c r="BWH9"/>
      <c r="BWI9"/>
      <c r="BWJ9"/>
      <c r="BWK9"/>
      <c r="BWL9"/>
      <c r="BWM9"/>
      <c r="BWN9"/>
      <c r="BWO9"/>
      <c r="BWP9"/>
      <c r="BWQ9"/>
      <c r="BWR9"/>
      <c r="BWS9"/>
      <c r="BWT9"/>
      <c r="BWU9"/>
      <c r="BWV9"/>
      <c r="BWW9"/>
      <c r="BWX9"/>
      <c r="BWY9"/>
      <c r="BWZ9"/>
      <c r="BXA9"/>
      <c r="BXB9"/>
      <c r="BXC9"/>
      <c r="BXD9"/>
      <c r="BXE9"/>
      <c r="BXF9"/>
      <c r="BXG9"/>
      <c r="BXH9"/>
      <c r="BXI9"/>
      <c r="BXJ9"/>
      <c r="BXK9"/>
      <c r="BXL9"/>
      <c r="BXM9"/>
      <c r="BXN9"/>
      <c r="BXO9"/>
      <c r="BXP9"/>
      <c r="BXQ9"/>
      <c r="BXR9"/>
      <c r="BXS9"/>
      <c r="BXT9"/>
      <c r="BXU9"/>
      <c r="BXV9"/>
      <c r="BXW9"/>
      <c r="BXX9"/>
      <c r="BXY9"/>
      <c r="BXZ9"/>
      <c r="BYA9"/>
      <c r="BYB9"/>
      <c r="BYC9"/>
      <c r="BYD9"/>
      <c r="BYE9"/>
      <c r="BYF9"/>
      <c r="BYG9"/>
      <c r="BYH9"/>
      <c r="BYI9"/>
      <c r="BYJ9"/>
      <c r="BYK9"/>
      <c r="BYL9"/>
      <c r="BYM9"/>
      <c r="BYN9"/>
      <c r="BYO9"/>
      <c r="BYP9"/>
      <c r="BYQ9"/>
      <c r="BYR9"/>
      <c r="BYS9"/>
      <c r="BYT9"/>
      <c r="BYU9"/>
      <c r="BYV9"/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/>
      <c r="CQG9"/>
      <c r="CQH9"/>
      <c r="CQI9"/>
      <c r="CQJ9"/>
      <c r="CQK9"/>
      <c r="CQL9"/>
      <c r="CQM9"/>
      <c r="CQN9"/>
      <c r="CQO9"/>
      <c r="CQP9"/>
      <c r="CQQ9"/>
      <c r="CQR9"/>
      <c r="CQS9"/>
      <c r="CQT9"/>
      <c r="CQU9"/>
      <c r="CQV9"/>
      <c r="CQW9"/>
      <c r="CQX9"/>
      <c r="CQY9"/>
      <c r="CQZ9"/>
      <c r="CRA9"/>
      <c r="CRB9"/>
      <c r="CRC9"/>
      <c r="CRD9"/>
      <c r="CRE9"/>
      <c r="CRF9"/>
      <c r="CRG9"/>
      <c r="CRH9"/>
      <c r="CRI9"/>
      <c r="CRJ9"/>
      <c r="CRK9"/>
      <c r="CRL9"/>
      <c r="CRM9"/>
      <c r="CRN9"/>
      <c r="CRO9"/>
      <c r="CRP9"/>
      <c r="CRQ9"/>
      <c r="CRR9"/>
      <c r="CRS9"/>
      <c r="CRT9"/>
      <c r="CRU9"/>
      <c r="CRV9"/>
    </row>
    <row r="10" spans="1:2518" ht="14.5" x14ac:dyDescent="0.35">
      <c r="B10" s="56">
        <f t="shared" si="2"/>
        <v>4</v>
      </c>
      <c r="C10" s="122">
        <f>SUMIFS(LANÇ_MOV[VALOR LÍQUIDO],LANÇ_MOV[RECEITA OU DESPESA],REL_RES_DIA!$C$6,LANÇ_MOV[DIA PAGAMENTO],B10,LANÇ_MOV[ANO PAGAMENTO],REL_RES_DIA!$D$4,LANÇ_MOV[MÊS PGTO],$E$4,LANÇ_MOV[EMPRESA],$G$4,LANÇ_MOV[CENTRO DE CUSTOS],$H$4)</f>
        <v>564.89</v>
      </c>
      <c r="D10" s="122">
        <f>SUMIFS(LANÇ_MOV[VALOR LÍQUIDO],LANÇ_MOV[RECEITA OU DESPESA],REL_RES_DIA!$D$6,LANÇ_MOV[DIA PAGAMENTO],B10,LANÇ_MOV[ANO PAGAMENTO],REL_RES_DIA!$D$4,LANÇ_MOV[MÊS PGTO],$E$4,LANÇ_MOV[EMPRESA],$G$4,LANÇ_MOV[CENTRO DE CUSTOS],$H$4)</f>
        <v>100</v>
      </c>
      <c r="E10" s="123">
        <f t="shared" si="1"/>
        <v>464.89</v>
      </c>
      <c r="G10"/>
      <c r="H10"/>
      <c r="I10"/>
      <c r="J10"/>
      <c r="K10"/>
      <c r="L10"/>
      <c r="M10"/>
      <c r="N10"/>
      <c r="O10"/>
      <c r="P10"/>
      <c r="Q10" s="235">
        <f t="shared" si="0"/>
        <v>464.89</v>
      </c>
      <c r="R10" s="236">
        <v>4</v>
      </c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  <c r="ATF10"/>
      <c r="ATG10"/>
      <c r="ATH10"/>
      <c r="ATI10"/>
      <c r="ATJ10"/>
      <c r="ATK10"/>
      <c r="ATL10"/>
      <c r="ATM10"/>
      <c r="ATN10"/>
      <c r="ATO10"/>
      <c r="ATP10"/>
      <c r="ATQ10"/>
      <c r="ATR10"/>
      <c r="ATS10"/>
      <c r="ATT10"/>
      <c r="ATU10"/>
      <c r="ATV10"/>
      <c r="ATW10"/>
      <c r="ATX10"/>
      <c r="ATY10"/>
      <c r="ATZ10"/>
      <c r="AUA10"/>
      <c r="AUB10"/>
      <c r="AUC10"/>
      <c r="AUD10"/>
      <c r="AUE10"/>
      <c r="AUF10"/>
      <c r="AUG10"/>
      <c r="AUH10"/>
      <c r="AUI10"/>
      <c r="AUJ10"/>
      <c r="AUK10"/>
      <c r="AUL10"/>
      <c r="AUM10"/>
      <c r="AUN10"/>
      <c r="AUO10"/>
      <c r="AUP10"/>
      <c r="AUQ10"/>
      <c r="AUR10"/>
      <c r="AUS10"/>
      <c r="AUT10"/>
      <c r="AUU10"/>
      <c r="AUV10"/>
      <c r="AUW10"/>
      <c r="AUX10"/>
      <c r="AUY10"/>
      <c r="AUZ10"/>
      <c r="AVA10"/>
      <c r="AVB10"/>
      <c r="AVC10"/>
      <c r="AVD10"/>
      <c r="AVE10"/>
      <c r="AVF10"/>
      <c r="AVG10"/>
      <c r="AVH10"/>
      <c r="AVI10"/>
      <c r="AVJ10"/>
      <c r="AVK10"/>
      <c r="AVL10"/>
      <c r="AVM10"/>
      <c r="AVN10"/>
      <c r="AVO10"/>
      <c r="AVP10"/>
      <c r="AVQ10"/>
      <c r="AVR10"/>
      <c r="AVS10"/>
      <c r="AVT10"/>
      <c r="AVU10"/>
      <c r="AVV10"/>
      <c r="AVW10"/>
      <c r="AVX10"/>
      <c r="AVY10"/>
      <c r="AVZ10"/>
      <c r="AWA10"/>
      <c r="AWB10"/>
      <c r="AWC10"/>
      <c r="AWD10"/>
      <c r="AWE10"/>
      <c r="AWF10"/>
      <c r="AWG10"/>
      <c r="AWH10"/>
      <c r="AWI10"/>
      <c r="AWJ10"/>
      <c r="AWK10"/>
      <c r="AWL10"/>
      <c r="AWM10"/>
      <c r="AWN10"/>
      <c r="AWO10"/>
      <c r="AWP10"/>
      <c r="AWQ10"/>
      <c r="AWR10"/>
      <c r="AWS10"/>
      <c r="AWT10"/>
      <c r="AWU10"/>
      <c r="AWV10"/>
      <c r="AWW10"/>
      <c r="AWX10"/>
      <c r="AWY10"/>
      <c r="AWZ10"/>
      <c r="AXA10"/>
      <c r="AXB10"/>
      <c r="AXC10"/>
      <c r="AXD10"/>
      <c r="AXE10"/>
      <c r="AXF10"/>
      <c r="AXG10"/>
      <c r="AXH10"/>
      <c r="AXI10"/>
      <c r="AXJ10"/>
      <c r="AXK10"/>
      <c r="AXL10"/>
      <c r="AXM10"/>
      <c r="AXN10"/>
      <c r="AXO10"/>
      <c r="AXP10"/>
      <c r="AXQ10"/>
      <c r="AXR10"/>
      <c r="AXS10"/>
      <c r="AXT10"/>
      <c r="AXU10"/>
      <c r="AXV10"/>
      <c r="AXW10"/>
      <c r="AXX10"/>
      <c r="AXY10"/>
      <c r="AXZ10"/>
      <c r="AYA10"/>
      <c r="AYB10"/>
      <c r="AYC10"/>
      <c r="AYD10"/>
      <c r="AYE10"/>
      <c r="AYF10"/>
      <c r="AYG10"/>
      <c r="AYH10"/>
      <c r="AYI10"/>
      <c r="AYJ10"/>
      <c r="AYK10"/>
      <c r="AYL10"/>
      <c r="AYM10"/>
      <c r="AYN10"/>
      <c r="AYO10"/>
      <c r="AYP10"/>
      <c r="AYQ10"/>
      <c r="AYR10"/>
      <c r="AYS10"/>
      <c r="AYT10"/>
      <c r="AYU10"/>
      <c r="AYV10"/>
      <c r="AYW10"/>
      <c r="AYX10"/>
      <c r="AYY10"/>
      <c r="AYZ10"/>
      <c r="AZA10"/>
      <c r="AZB10"/>
      <c r="AZC10"/>
      <c r="AZD10"/>
      <c r="AZE10"/>
      <c r="AZF10"/>
      <c r="AZG10"/>
      <c r="AZH10"/>
      <c r="AZI10"/>
      <c r="AZJ10"/>
      <c r="AZK10"/>
      <c r="AZL10"/>
      <c r="AZM10"/>
      <c r="AZN10"/>
      <c r="AZO10"/>
      <c r="AZP10"/>
      <c r="AZQ10"/>
      <c r="AZR10"/>
      <c r="AZS10"/>
      <c r="AZT10"/>
      <c r="AZU10"/>
      <c r="AZV10"/>
      <c r="AZW10"/>
      <c r="AZX10"/>
      <c r="AZY10"/>
      <c r="AZZ10"/>
      <c r="BAA10"/>
      <c r="BAB10"/>
      <c r="BAC10"/>
      <c r="BAD10"/>
      <c r="BAE10"/>
      <c r="BAF10"/>
      <c r="BAG10"/>
      <c r="BAH10"/>
      <c r="BAI10"/>
      <c r="BAJ10"/>
      <c r="BAK10"/>
      <c r="BAL10"/>
      <c r="BAM10"/>
      <c r="BAN10"/>
      <c r="BAO10"/>
      <c r="BAP10"/>
      <c r="BAQ10"/>
      <c r="BAR10"/>
      <c r="BAS10"/>
      <c r="BAT10"/>
      <c r="BAU10"/>
      <c r="BAV10"/>
      <c r="BAW10"/>
      <c r="BAX10"/>
      <c r="BAY10"/>
      <c r="BAZ10"/>
      <c r="BBA10"/>
      <c r="BBB10"/>
      <c r="BBC10"/>
      <c r="BBD10"/>
      <c r="BBE10"/>
      <c r="BBF10"/>
      <c r="BBG10"/>
      <c r="BBH10"/>
      <c r="BBI10"/>
      <c r="BBJ10"/>
      <c r="BBK10"/>
      <c r="BBL10"/>
      <c r="BBM10"/>
      <c r="BBN10"/>
      <c r="BBO10"/>
      <c r="BBP10"/>
      <c r="BBQ10"/>
      <c r="BBR10"/>
      <c r="BBS10"/>
      <c r="BBT10"/>
      <c r="BBU10"/>
      <c r="BBV10"/>
      <c r="BBW10"/>
      <c r="BBX10"/>
      <c r="BBY10"/>
      <c r="BBZ10"/>
      <c r="BCA10"/>
      <c r="BCB10"/>
      <c r="BCC10"/>
      <c r="BCD10"/>
      <c r="BCE10"/>
      <c r="BCF10"/>
      <c r="BCG10"/>
      <c r="BCH10"/>
      <c r="BCI10"/>
      <c r="BCJ10"/>
      <c r="BCK10"/>
      <c r="BCL10"/>
      <c r="BCM10"/>
      <c r="BCN10"/>
      <c r="BCO10"/>
      <c r="BCP10"/>
      <c r="BCQ10"/>
      <c r="BCR10"/>
      <c r="BCS10"/>
      <c r="BCT10"/>
      <c r="BCU10"/>
      <c r="BCV10"/>
      <c r="BCW10"/>
      <c r="BCX10"/>
      <c r="BCY10"/>
      <c r="BCZ10"/>
      <c r="BDA10"/>
      <c r="BDB10"/>
      <c r="BDC10"/>
      <c r="BDD10"/>
      <c r="BDE10"/>
      <c r="BDF10"/>
      <c r="BDG10"/>
      <c r="BDH10"/>
      <c r="BDI10"/>
      <c r="BDJ10"/>
      <c r="BDK10"/>
      <c r="BDL10"/>
      <c r="BDM10"/>
      <c r="BDN10"/>
      <c r="BDO10"/>
      <c r="BDP10"/>
      <c r="BDQ10"/>
      <c r="BDR10"/>
      <c r="BDS10"/>
      <c r="BDT10"/>
      <c r="BDU10"/>
      <c r="BDV10"/>
      <c r="BDW10"/>
      <c r="BDX10"/>
      <c r="BDY10"/>
      <c r="BDZ10"/>
      <c r="BEA10"/>
      <c r="BEB10"/>
      <c r="BEC10"/>
      <c r="BED10"/>
      <c r="BEE10"/>
      <c r="BEF10"/>
      <c r="BEG10"/>
      <c r="BEH10"/>
      <c r="BEI10"/>
      <c r="BEJ10"/>
      <c r="BEK10"/>
      <c r="BEL10"/>
      <c r="BEM10"/>
      <c r="BEN10"/>
      <c r="BEO10"/>
      <c r="BEP10"/>
      <c r="BEQ10"/>
      <c r="BER10"/>
      <c r="BES10"/>
      <c r="BET10"/>
      <c r="BEU10"/>
      <c r="BEV10"/>
      <c r="BEW10"/>
      <c r="BEX10"/>
      <c r="BEY10"/>
      <c r="BEZ10"/>
      <c r="BFA10"/>
      <c r="BFB10"/>
      <c r="BFC10"/>
      <c r="BFD10"/>
      <c r="BFE10"/>
      <c r="BFF10"/>
      <c r="BFG10"/>
      <c r="BFH10"/>
      <c r="BFI10"/>
      <c r="BFJ10"/>
      <c r="BFK10"/>
      <c r="BFL10"/>
      <c r="BFM10"/>
      <c r="BFN10"/>
      <c r="BFO10"/>
      <c r="BFP10"/>
      <c r="BFQ10"/>
      <c r="BFR10"/>
      <c r="BFS10"/>
      <c r="BFT10"/>
      <c r="BFU10"/>
      <c r="BFV10"/>
      <c r="BFW10"/>
      <c r="BFX10"/>
      <c r="BFY10"/>
      <c r="BFZ10"/>
      <c r="BGA10"/>
      <c r="BGB10"/>
      <c r="BGC10"/>
      <c r="BGD10"/>
      <c r="BGE10"/>
      <c r="BGF10"/>
      <c r="BGG10"/>
      <c r="BGH10"/>
      <c r="BGI10"/>
      <c r="BGJ10"/>
      <c r="BGK10"/>
      <c r="BGL10"/>
      <c r="BGM10"/>
      <c r="BGN10"/>
      <c r="BGO10"/>
      <c r="BGP10"/>
      <c r="BGQ10"/>
      <c r="BGR10"/>
      <c r="BGS10"/>
      <c r="BGT10"/>
      <c r="BGU10"/>
      <c r="BGV10"/>
      <c r="BGW10"/>
      <c r="BGX10"/>
      <c r="BGY10"/>
      <c r="BGZ10"/>
      <c r="BHA10"/>
      <c r="BHB10"/>
      <c r="BHC10"/>
      <c r="BHD10"/>
      <c r="BHE10"/>
      <c r="BHF10"/>
      <c r="BHG10"/>
      <c r="BHH10"/>
      <c r="BHI10"/>
      <c r="BHJ10"/>
      <c r="BHK10"/>
      <c r="BHL10"/>
      <c r="BHM10"/>
      <c r="BHN10"/>
      <c r="BHO10"/>
      <c r="BHP10"/>
      <c r="BHQ10"/>
      <c r="BHR10"/>
      <c r="BHS10"/>
      <c r="BHT10"/>
      <c r="BHU10"/>
      <c r="BHV10"/>
      <c r="BHW10"/>
      <c r="BHX10"/>
      <c r="BHY10"/>
      <c r="BHZ10"/>
      <c r="BIA10"/>
      <c r="BIB10"/>
      <c r="BIC10"/>
      <c r="BID10"/>
      <c r="BIE10"/>
      <c r="BIF10"/>
      <c r="BIG10"/>
      <c r="BIH10"/>
      <c r="BII10"/>
      <c r="BIJ10"/>
      <c r="BIK10"/>
      <c r="BIL10"/>
      <c r="BIM10"/>
      <c r="BIN10"/>
      <c r="BIO10"/>
      <c r="BIP10"/>
      <c r="BIQ10"/>
      <c r="BIR10"/>
      <c r="BIS10"/>
      <c r="BIT10"/>
      <c r="BIU10"/>
      <c r="BIV10"/>
      <c r="BIW10"/>
      <c r="BIX10"/>
      <c r="BIY10"/>
      <c r="BIZ10"/>
      <c r="BJA10"/>
      <c r="BJB10"/>
      <c r="BJC10"/>
      <c r="BJD10"/>
      <c r="BJE10"/>
      <c r="BJF10"/>
      <c r="BJG10"/>
      <c r="BJH10"/>
      <c r="BJI10"/>
      <c r="BJJ10"/>
      <c r="BJK10"/>
      <c r="BJL10"/>
      <c r="BJM10"/>
      <c r="BJN10"/>
      <c r="BJO10"/>
      <c r="BJP10"/>
      <c r="BJQ10"/>
      <c r="BJR10"/>
      <c r="BJS10"/>
      <c r="BJT10"/>
      <c r="BJU10"/>
      <c r="BJV10"/>
      <c r="BJW10"/>
      <c r="BJX10"/>
      <c r="BJY10"/>
      <c r="BJZ10"/>
      <c r="BKA10"/>
      <c r="BKB10"/>
      <c r="BKC10"/>
      <c r="BKD10"/>
      <c r="BKE10"/>
      <c r="BKF10"/>
      <c r="BKG10"/>
      <c r="BKH10"/>
      <c r="BKI10"/>
      <c r="BKJ10"/>
      <c r="BKK10"/>
      <c r="BKL10"/>
      <c r="BKM10"/>
      <c r="BKN10"/>
      <c r="BKO10"/>
      <c r="BKP10"/>
      <c r="BKQ10"/>
      <c r="BKR10"/>
      <c r="BKS10"/>
      <c r="BKT10"/>
      <c r="BKU10"/>
      <c r="BKV10"/>
      <c r="BKW10"/>
      <c r="BKX10"/>
      <c r="BKY10"/>
      <c r="BKZ10"/>
      <c r="BLA10"/>
      <c r="BLB10"/>
      <c r="BLC10"/>
      <c r="BLD10"/>
      <c r="BLE10"/>
      <c r="BLF10"/>
      <c r="BLG10"/>
      <c r="BLH10"/>
      <c r="BLI10"/>
      <c r="BLJ10"/>
      <c r="BLK10"/>
      <c r="BLL10"/>
      <c r="BLM10"/>
      <c r="BLN10"/>
      <c r="BLO10"/>
      <c r="BLP10"/>
      <c r="BLQ10"/>
      <c r="BLR10"/>
      <c r="BLS10"/>
      <c r="BLT10"/>
      <c r="BLU10"/>
      <c r="BLV10"/>
      <c r="BLW10"/>
      <c r="BLX10"/>
      <c r="BLY10"/>
      <c r="BLZ10"/>
      <c r="BMA10"/>
      <c r="BMB10"/>
      <c r="BMC10"/>
      <c r="BMD10"/>
      <c r="BME10"/>
      <c r="BMF10"/>
      <c r="BMG10"/>
      <c r="BMH10"/>
      <c r="BMI10"/>
      <c r="BMJ10"/>
      <c r="BMK10"/>
      <c r="BML10"/>
      <c r="BMM10"/>
      <c r="BMN10"/>
      <c r="BMO10"/>
      <c r="BMP10"/>
      <c r="BMQ10"/>
      <c r="BMR10"/>
      <c r="BMS10"/>
      <c r="BMT10"/>
      <c r="BMU10"/>
      <c r="BMV10"/>
      <c r="BMW10"/>
      <c r="BMX10"/>
      <c r="BMY10"/>
      <c r="BMZ10"/>
      <c r="BNA10"/>
      <c r="BNB10"/>
      <c r="BNC10"/>
      <c r="BND10"/>
      <c r="BNE10"/>
      <c r="BNF10"/>
      <c r="BNG10"/>
      <c r="BNH10"/>
      <c r="BNI10"/>
      <c r="BNJ10"/>
      <c r="BNK10"/>
      <c r="BNL10"/>
      <c r="BNM10"/>
      <c r="BNN10"/>
      <c r="BNO10"/>
      <c r="BNP10"/>
      <c r="BNQ10"/>
      <c r="BNR10"/>
      <c r="BNS10"/>
      <c r="BNT10"/>
      <c r="BNU10"/>
      <c r="BNV10"/>
      <c r="BNW10"/>
      <c r="BNX10"/>
      <c r="BNY10"/>
      <c r="BNZ10"/>
      <c r="BOA10"/>
      <c r="BOB10"/>
      <c r="BOC10"/>
      <c r="BOD10"/>
      <c r="BOE10"/>
      <c r="BOF10"/>
      <c r="BOG10"/>
      <c r="BOH10"/>
      <c r="BOI10"/>
      <c r="BOJ10"/>
      <c r="BOK10"/>
      <c r="BOL10"/>
      <c r="BOM10"/>
      <c r="BON10"/>
      <c r="BOO10"/>
      <c r="BOP10"/>
      <c r="BOQ10"/>
      <c r="BOR10"/>
      <c r="BOS10"/>
      <c r="BOT10"/>
      <c r="BOU10"/>
      <c r="BOV10"/>
      <c r="BOW10"/>
      <c r="BOX10"/>
      <c r="BOY10"/>
      <c r="BOZ10"/>
      <c r="BPA10"/>
      <c r="BPB10"/>
      <c r="BPC10"/>
      <c r="BPD10"/>
      <c r="BPE10"/>
      <c r="BPF10"/>
      <c r="BPG10"/>
      <c r="BPH10"/>
      <c r="BPI10"/>
      <c r="BPJ10"/>
      <c r="BPK10"/>
      <c r="BPL10"/>
      <c r="BPM10"/>
      <c r="BPN10"/>
      <c r="BPO10"/>
      <c r="BPP10"/>
      <c r="BPQ10"/>
      <c r="BPR10"/>
      <c r="BPS10"/>
      <c r="BPT10"/>
      <c r="BPU10"/>
      <c r="BPV10"/>
      <c r="BPW10"/>
      <c r="BPX10"/>
      <c r="BPY10"/>
      <c r="BPZ10"/>
      <c r="BQA10"/>
      <c r="BQB10"/>
      <c r="BQC10"/>
      <c r="BQD10"/>
      <c r="BQE10"/>
      <c r="BQF10"/>
      <c r="BQG10"/>
      <c r="BQH10"/>
      <c r="BQI10"/>
      <c r="BQJ10"/>
      <c r="BQK10"/>
      <c r="BQL10"/>
      <c r="BQM10"/>
      <c r="BQN10"/>
      <c r="BQO10"/>
      <c r="BQP10"/>
      <c r="BQQ10"/>
      <c r="BQR10"/>
      <c r="BQS10"/>
      <c r="BQT10"/>
      <c r="BQU10"/>
      <c r="BQV10"/>
      <c r="BQW10"/>
      <c r="BQX10"/>
      <c r="BQY10"/>
      <c r="BQZ10"/>
      <c r="BRA10"/>
      <c r="BRB10"/>
      <c r="BRC10"/>
      <c r="BRD10"/>
      <c r="BRE10"/>
      <c r="BRF10"/>
      <c r="BRG10"/>
      <c r="BRH10"/>
      <c r="BRI10"/>
      <c r="BRJ10"/>
      <c r="BRK10"/>
      <c r="BRL10"/>
      <c r="BRM10"/>
      <c r="BRN10"/>
      <c r="BRO10"/>
      <c r="BRP10"/>
      <c r="BRQ10"/>
      <c r="BRR10"/>
      <c r="BRS10"/>
      <c r="BRT10"/>
      <c r="BRU10"/>
      <c r="BRV10"/>
      <c r="BRW10"/>
      <c r="BRX10"/>
      <c r="BRY10"/>
      <c r="BRZ10"/>
      <c r="BSA10"/>
      <c r="BSB10"/>
      <c r="BSC10"/>
      <c r="BSD10"/>
      <c r="BSE10"/>
      <c r="BSF10"/>
      <c r="BSG10"/>
      <c r="BSH10"/>
      <c r="BSI10"/>
      <c r="BSJ10"/>
      <c r="BSK10"/>
      <c r="BSL10"/>
      <c r="BSM10"/>
      <c r="BSN10"/>
      <c r="BSO10"/>
      <c r="BSP10"/>
      <c r="BSQ10"/>
      <c r="BSR10"/>
      <c r="BSS10"/>
      <c r="BST10"/>
      <c r="BSU10"/>
      <c r="BSV10"/>
      <c r="BSW10"/>
      <c r="BSX10"/>
      <c r="BSY10"/>
      <c r="BSZ10"/>
      <c r="BTA10"/>
      <c r="BTB10"/>
      <c r="BTC10"/>
      <c r="BTD10"/>
      <c r="BTE10"/>
      <c r="BTF10"/>
      <c r="BTG10"/>
      <c r="BTH10"/>
      <c r="BTI10"/>
      <c r="BTJ10"/>
      <c r="BTK10"/>
      <c r="BTL10"/>
      <c r="BTM10"/>
      <c r="BTN10"/>
      <c r="BTO10"/>
      <c r="BTP10"/>
      <c r="BTQ10"/>
      <c r="BTR10"/>
      <c r="BTS10"/>
      <c r="BTT10"/>
      <c r="BTU10"/>
      <c r="BTV10"/>
      <c r="BTW10"/>
      <c r="BTX10"/>
      <c r="BTY10"/>
      <c r="BTZ10"/>
      <c r="BUA10"/>
      <c r="BUB10"/>
      <c r="BUC10"/>
      <c r="BUD10"/>
      <c r="BUE10"/>
      <c r="BUF10"/>
      <c r="BUG10"/>
      <c r="BUH10"/>
      <c r="BUI10"/>
      <c r="BUJ10"/>
      <c r="BUK10"/>
      <c r="BUL10"/>
      <c r="BUM10"/>
      <c r="BUN10"/>
      <c r="BUO10"/>
      <c r="BUP10"/>
      <c r="BUQ10"/>
      <c r="BUR10"/>
      <c r="BUS10"/>
      <c r="BUT10"/>
      <c r="BUU10"/>
      <c r="BUV10"/>
      <c r="BUW10"/>
      <c r="BUX10"/>
      <c r="BUY10"/>
      <c r="BUZ10"/>
      <c r="BVA10"/>
      <c r="BVB10"/>
      <c r="BVC10"/>
      <c r="BVD10"/>
      <c r="BVE10"/>
      <c r="BVF10"/>
      <c r="BVG10"/>
      <c r="BVH10"/>
      <c r="BVI10"/>
      <c r="BVJ10"/>
      <c r="BVK10"/>
      <c r="BVL10"/>
      <c r="BVM10"/>
      <c r="BVN10"/>
      <c r="BVO10"/>
      <c r="BVP10"/>
      <c r="BVQ10"/>
      <c r="BVR10"/>
      <c r="BVS10"/>
      <c r="BVT10"/>
      <c r="BVU10"/>
      <c r="BVV10"/>
      <c r="BVW10"/>
      <c r="BVX10"/>
      <c r="BVY10"/>
      <c r="BVZ10"/>
      <c r="BWA10"/>
      <c r="BWB10"/>
      <c r="BWC10"/>
      <c r="BWD10"/>
      <c r="BWE10"/>
      <c r="BWF10"/>
      <c r="BWG10"/>
      <c r="BWH10"/>
      <c r="BWI10"/>
      <c r="BWJ10"/>
      <c r="BWK10"/>
      <c r="BWL10"/>
      <c r="BWM10"/>
      <c r="BWN10"/>
      <c r="BWO10"/>
      <c r="BWP10"/>
      <c r="BWQ10"/>
      <c r="BWR10"/>
      <c r="BWS10"/>
      <c r="BWT10"/>
      <c r="BWU10"/>
      <c r="BWV10"/>
      <c r="BWW10"/>
      <c r="BWX10"/>
      <c r="BWY10"/>
      <c r="BWZ10"/>
      <c r="BXA10"/>
      <c r="BXB10"/>
      <c r="BXC10"/>
      <c r="BXD10"/>
      <c r="BXE10"/>
      <c r="BXF10"/>
      <c r="BXG10"/>
      <c r="BXH10"/>
      <c r="BXI10"/>
      <c r="BXJ10"/>
      <c r="BXK10"/>
      <c r="BXL10"/>
      <c r="BXM10"/>
      <c r="BXN10"/>
      <c r="BXO10"/>
      <c r="BXP10"/>
      <c r="BXQ10"/>
      <c r="BXR10"/>
      <c r="BXS10"/>
      <c r="BXT10"/>
      <c r="BXU10"/>
      <c r="BXV10"/>
      <c r="BXW10"/>
      <c r="BXX10"/>
      <c r="BXY10"/>
      <c r="BXZ10"/>
      <c r="BYA10"/>
      <c r="BYB10"/>
      <c r="BYC10"/>
      <c r="BYD10"/>
      <c r="BYE10"/>
      <c r="BYF10"/>
      <c r="BYG10"/>
      <c r="BYH10"/>
      <c r="BYI10"/>
      <c r="BYJ10"/>
      <c r="BYK10"/>
      <c r="BYL10"/>
      <c r="BYM10"/>
      <c r="BYN10"/>
      <c r="BYO10"/>
      <c r="BYP10"/>
      <c r="BYQ10"/>
      <c r="BYR10"/>
      <c r="BYS10"/>
      <c r="BYT10"/>
      <c r="BYU10"/>
      <c r="BYV10"/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/>
      <c r="CQI10"/>
      <c r="CQJ10"/>
      <c r="CQK10"/>
      <c r="CQL10"/>
      <c r="CQM10"/>
      <c r="CQN10"/>
      <c r="CQO10"/>
      <c r="CQP10"/>
      <c r="CQQ10"/>
      <c r="CQR10"/>
      <c r="CQS10"/>
      <c r="CQT10"/>
      <c r="CQU10"/>
      <c r="CQV10"/>
      <c r="CQW10"/>
      <c r="CQX10"/>
      <c r="CQY10"/>
      <c r="CQZ10"/>
      <c r="CRA10"/>
      <c r="CRB10"/>
      <c r="CRC10"/>
      <c r="CRD10"/>
      <c r="CRE10"/>
      <c r="CRF10"/>
      <c r="CRG10"/>
      <c r="CRH10"/>
      <c r="CRI10"/>
      <c r="CRJ10"/>
      <c r="CRK10"/>
      <c r="CRL10"/>
      <c r="CRM10"/>
      <c r="CRN10"/>
      <c r="CRO10"/>
      <c r="CRP10"/>
      <c r="CRQ10"/>
      <c r="CRR10"/>
      <c r="CRS10"/>
      <c r="CRT10"/>
      <c r="CRU10"/>
      <c r="CRV10"/>
    </row>
    <row r="11" spans="1:2518" ht="14.5" x14ac:dyDescent="0.35">
      <c r="B11" s="56">
        <f t="shared" si="2"/>
        <v>5</v>
      </c>
      <c r="C11" s="122">
        <f>SUMIFS(LANÇ_MOV[VALOR LÍQUIDO],LANÇ_MOV[RECEITA OU DESPESA],REL_RES_DIA!$C$6,LANÇ_MOV[DIA PAGAMENTO],B11,LANÇ_MOV[ANO PAGAMENTO],REL_RES_DIA!$D$4,LANÇ_MOV[MÊS PGTO],$E$4,LANÇ_MOV[EMPRESA],$G$4,LANÇ_MOV[CENTRO DE CUSTOS],$H$4)</f>
        <v>0</v>
      </c>
      <c r="D11" s="122">
        <f>SUMIFS(LANÇ_MOV[VALOR LÍQUIDO],LANÇ_MOV[RECEITA OU DESPESA],REL_RES_DIA!$D$6,LANÇ_MOV[DIA PAGAMENTO],B11,LANÇ_MOV[ANO PAGAMENTO],REL_RES_DIA!$D$4,LANÇ_MOV[MÊS PGTO],$E$4,LANÇ_MOV[EMPRESA],$G$4,LANÇ_MOV[CENTRO DE CUSTOS],$H$4)</f>
        <v>4067.5299999999997</v>
      </c>
      <c r="E11" s="123">
        <f t="shared" si="1"/>
        <v>-4067.5299999999997</v>
      </c>
      <c r="G11"/>
      <c r="H11"/>
      <c r="I11"/>
      <c r="J11"/>
      <c r="K11"/>
      <c r="L11"/>
      <c r="M11"/>
      <c r="N11"/>
      <c r="O11"/>
      <c r="P11"/>
      <c r="Q11" s="235">
        <f t="shared" si="0"/>
        <v>-4067.5299999999997</v>
      </c>
      <c r="R11" s="236">
        <v>5</v>
      </c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  <c r="AML11"/>
      <c r="AMM11"/>
      <c r="AMN11"/>
      <c r="AMO11"/>
      <c r="AMP11"/>
      <c r="AMQ11"/>
      <c r="AMR11"/>
      <c r="AMS11"/>
      <c r="AMT11"/>
      <c r="AMU11"/>
      <c r="AMV11"/>
      <c r="AMW11"/>
      <c r="AMX11"/>
      <c r="AMY11"/>
      <c r="AMZ11"/>
      <c r="ANA11"/>
      <c r="ANB11"/>
      <c r="ANC11"/>
      <c r="AND11"/>
      <c r="ANE11"/>
      <c r="ANF11"/>
      <c r="ANG11"/>
      <c r="ANH11"/>
      <c r="ANI11"/>
      <c r="ANJ11"/>
      <c r="ANK11"/>
      <c r="ANL11"/>
      <c r="ANM11"/>
      <c r="ANN11"/>
      <c r="ANO11"/>
      <c r="ANP11"/>
      <c r="ANQ11"/>
      <c r="ANR11"/>
      <c r="ANS11"/>
      <c r="ANT11"/>
      <c r="ANU11"/>
      <c r="ANV11"/>
      <c r="ANW11"/>
      <c r="ANX11"/>
      <c r="ANY11"/>
      <c r="ANZ11"/>
      <c r="AOA11"/>
      <c r="AOB11"/>
      <c r="AOC11"/>
      <c r="AOD11"/>
      <c r="AOE11"/>
      <c r="AOF11"/>
      <c r="AOG11"/>
      <c r="AOH11"/>
      <c r="AOI11"/>
      <c r="AOJ11"/>
      <c r="AOK11"/>
      <c r="AOL11"/>
      <c r="AOM11"/>
      <c r="AON11"/>
      <c r="AOO11"/>
      <c r="AOP11"/>
      <c r="AOQ11"/>
      <c r="AOR11"/>
      <c r="AOS11"/>
      <c r="AOT11"/>
      <c r="AOU11"/>
      <c r="AOV11"/>
      <c r="AOW11"/>
      <c r="AOX11"/>
      <c r="AOY11"/>
      <c r="AOZ11"/>
      <c r="APA11"/>
      <c r="APB11"/>
      <c r="APC11"/>
      <c r="APD11"/>
      <c r="APE11"/>
      <c r="APF11"/>
      <c r="APG11"/>
      <c r="APH11"/>
      <c r="API11"/>
      <c r="APJ11"/>
      <c r="APK11"/>
      <c r="APL11"/>
      <c r="APM11"/>
      <c r="APN11"/>
      <c r="APO11"/>
      <c r="APP11"/>
      <c r="APQ11"/>
      <c r="APR11"/>
      <c r="APS11"/>
      <c r="APT11"/>
      <c r="APU11"/>
      <c r="APV11"/>
      <c r="APW11"/>
      <c r="APX11"/>
      <c r="APY11"/>
      <c r="APZ11"/>
      <c r="AQA11"/>
      <c r="AQB11"/>
      <c r="AQC11"/>
      <c r="AQD11"/>
      <c r="AQE11"/>
      <c r="AQF11"/>
      <c r="AQG11"/>
      <c r="AQH11"/>
      <c r="AQI11"/>
      <c r="AQJ11"/>
      <c r="AQK11"/>
      <c r="AQL11"/>
      <c r="AQM11"/>
      <c r="AQN11"/>
      <c r="AQO11"/>
      <c r="AQP11"/>
      <c r="AQQ11"/>
      <c r="AQR11"/>
      <c r="AQS11"/>
      <c r="AQT11"/>
      <c r="AQU11"/>
      <c r="AQV11"/>
      <c r="AQW11"/>
      <c r="AQX11"/>
      <c r="AQY11"/>
      <c r="AQZ11"/>
      <c r="ARA11"/>
      <c r="ARB11"/>
      <c r="ARC11"/>
      <c r="ARD11"/>
      <c r="ARE11"/>
      <c r="ARF11"/>
      <c r="ARG11"/>
      <c r="ARH11"/>
      <c r="ARI11"/>
      <c r="ARJ11"/>
      <c r="ARK11"/>
      <c r="ARL11"/>
      <c r="ARM11"/>
      <c r="ARN11"/>
      <c r="ARO11"/>
      <c r="ARP11"/>
      <c r="ARQ11"/>
      <c r="ARR11"/>
      <c r="ARS11"/>
      <c r="ART11"/>
      <c r="ARU11"/>
      <c r="ARV11"/>
      <c r="ARW11"/>
      <c r="ARX11"/>
      <c r="ARY11"/>
      <c r="ARZ11"/>
      <c r="ASA11"/>
      <c r="ASB11"/>
      <c r="ASC11"/>
      <c r="ASD11"/>
      <c r="ASE11"/>
      <c r="ASF11"/>
      <c r="ASG11"/>
      <c r="ASH11"/>
      <c r="ASI11"/>
      <c r="ASJ11"/>
      <c r="ASK11"/>
      <c r="ASL11"/>
      <c r="ASM11"/>
      <c r="ASN11"/>
      <c r="ASO11"/>
      <c r="ASP11"/>
      <c r="ASQ11"/>
      <c r="ASR11"/>
      <c r="ASS11"/>
      <c r="AST11"/>
      <c r="ASU11"/>
      <c r="ASV11"/>
      <c r="ASW11"/>
      <c r="ASX11"/>
      <c r="ASY11"/>
      <c r="ASZ11"/>
      <c r="ATA11"/>
      <c r="ATB11"/>
      <c r="ATC11"/>
      <c r="ATD11"/>
      <c r="ATE11"/>
      <c r="ATF11"/>
      <c r="ATG11"/>
      <c r="ATH11"/>
      <c r="ATI11"/>
      <c r="ATJ11"/>
      <c r="ATK11"/>
      <c r="ATL11"/>
      <c r="ATM11"/>
      <c r="ATN11"/>
      <c r="ATO11"/>
      <c r="ATP11"/>
      <c r="ATQ11"/>
      <c r="ATR11"/>
      <c r="ATS11"/>
      <c r="ATT11"/>
      <c r="ATU11"/>
      <c r="ATV11"/>
      <c r="ATW11"/>
      <c r="ATX11"/>
      <c r="ATY11"/>
      <c r="ATZ11"/>
      <c r="AUA11"/>
      <c r="AUB11"/>
      <c r="AUC11"/>
      <c r="AUD11"/>
      <c r="AUE11"/>
      <c r="AUF11"/>
      <c r="AUG11"/>
      <c r="AUH11"/>
      <c r="AUI11"/>
      <c r="AUJ11"/>
      <c r="AUK11"/>
      <c r="AUL11"/>
      <c r="AUM11"/>
      <c r="AUN11"/>
      <c r="AUO11"/>
      <c r="AUP11"/>
      <c r="AUQ11"/>
      <c r="AUR11"/>
      <c r="AUS11"/>
      <c r="AUT11"/>
      <c r="AUU11"/>
      <c r="AUV11"/>
      <c r="AUW11"/>
      <c r="AUX11"/>
      <c r="AUY11"/>
      <c r="AUZ11"/>
      <c r="AVA11"/>
      <c r="AVB11"/>
      <c r="AVC11"/>
      <c r="AVD11"/>
      <c r="AVE11"/>
      <c r="AVF11"/>
      <c r="AVG11"/>
      <c r="AVH11"/>
      <c r="AVI11"/>
      <c r="AVJ11"/>
      <c r="AVK11"/>
      <c r="AVL11"/>
      <c r="AVM11"/>
      <c r="AVN11"/>
      <c r="AVO11"/>
      <c r="AVP11"/>
      <c r="AVQ11"/>
      <c r="AVR11"/>
      <c r="AVS11"/>
      <c r="AVT11"/>
      <c r="AVU11"/>
      <c r="AVV11"/>
      <c r="AVW11"/>
      <c r="AVX11"/>
      <c r="AVY11"/>
      <c r="AVZ11"/>
      <c r="AWA11"/>
      <c r="AWB11"/>
      <c r="AWC11"/>
      <c r="AWD11"/>
      <c r="AWE11"/>
      <c r="AWF11"/>
      <c r="AWG11"/>
      <c r="AWH11"/>
      <c r="AWI11"/>
      <c r="AWJ11"/>
      <c r="AWK11"/>
      <c r="AWL11"/>
      <c r="AWM11"/>
      <c r="AWN11"/>
      <c r="AWO11"/>
      <c r="AWP11"/>
      <c r="AWQ11"/>
      <c r="AWR11"/>
      <c r="AWS11"/>
      <c r="AWT11"/>
      <c r="AWU11"/>
      <c r="AWV11"/>
      <c r="AWW11"/>
      <c r="AWX11"/>
      <c r="AWY11"/>
      <c r="AWZ11"/>
      <c r="AXA11"/>
      <c r="AXB11"/>
      <c r="AXC11"/>
      <c r="AXD11"/>
      <c r="AXE11"/>
      <c r="AXF11"/>
      <c r="AXG11"/>
      <c r="AXH11"/>
      <c r="AXI11"/>
      <c r="AXJ11"/>
      <c r="AXK11"/>
      <c r="AXL11"/>
      <c r="AXM11"/>
      <c r="AXN11"/>
      <c r="AXO11"/>
      <c r="AXP11"/>
      <c r="AXQ11"/>
      <c r="AXR11"/>
      <c r="AXS11"/>
      <c r="AXT11"/>
      <c r="AXU11"/>
      <c r="AXV11"/>
      <c r="AXW11"/>
      <c r="AXX11"/>
      <c r="AXY11"/>
      <c r="AXZ11"/>
      <c r="AYA11"/>
      <c r="AYB11"/>
      <c r="AYC11"/>
      <c r="AYD11"/>
      <c r="AYE11"/>
      <c r="AYF11"/>
      <c r="AYG11"/>
      <c r="AYH11"/>
      <c r="AYI11"/>
      <c r="AYJ11"/>
      <c r="AYK11"/>
      <c r="AYL11"/>
      <c r="AYM11"/>
      <c r="AYN11"/>
      <c r="AYO11"/>
      <c r="AYP11"/>
      <c r="AYQ11"/>
      <c r="AYR11"/>
      <c r="AYS11"/>
      <c r="AYT11"/>
      <c r="AYU11"/>
      <c r="AYV11"/>
      <c r="AYW11"/>
      <c r="AYX11"/>
      <c r="AYY11"/>
      <c r="AYZ11"/>
      <c r="AZA11"/>
      <c r="AZB11"/>
      <c r="AZC11"/>
      <c r="AZD11"/>
      <c r="AZE11"/>
      <c r="AZF11"/>
      <c r="AZG11"/>
      <c r="AZH11"/>
      <c r="AZI11"/>
      <c r="AZJ11"/>
      <c r="AZK11"/>
      <c r="AZL11"/>
      <c r="AZM11"/>
      <c r="AZN11"/>
      <c r="AZO11"/>
      <c r="AZP11"/>
      <c r="AZQ11"/>
      <c r="AZR11"/>
      <c r="AZS11"/>
      <c r="AZT11"/>
      <c r="AZU11"/>
      <c r="AZV11"/>
      <c r="AZW11"/>
      <c r="AZX11"/>
      <c r="AZY11"/>
      <c r="AZZ11"/>
      <c r="BAA11"/>
      <c r="BAB11"/>
      <c r="BAC11"/>
      <c r="BAD11"/>
      <c r="BAE11"/>
      <c r="BAF11"/>
      <c r="BAG11"/>
      <c r="BAH11"/>
      <c r="BAI11"/>
      <c r="BAJ11"/>
      <c r="BAK11"/>
      <c r="BAL11"/>
      <c r="BAM11"/>
      <c r="BAN11"/>
      <c r="BAO11"/>
      <c r="BAP11"/>
      <c r="BAQ11"/>
      <c r="BAR11"/>
      <c r="BAS11"/>
      <c r="BAT11"/>
      <c r="BAU11"/>
      <c r="BAV11"/>
      <c r="BAW11"/>
      <c r="BAX11"/>
      <c r="BAY11"/>
      <c r="BAZ11"/>
      <c r="BBA11"/>
      <c r="BBB11"/>
      <c r="BBC11"/>
      <c r="BBD11"/>
      <c r="BBE11"/>
      <c r="BBF11"/>
      <c r="BBG11"/>
      <c r="BBH11"/>
      <c r="BBI11"/>
      <c r="BBJ11"/>
      <c r="BBK11"/>
      <c r="BBL11"/>
      <c r="BBM11"/>
      <c r="BBN11"/>
      <c r="BBO11"/>
      <c r="BBP11"/>
      <c r="BBQ11"/>
      <c r="BBR11"/>
      <c r="BBS11"/>
      <c r="BBT11"/>
      <c r="BBU11"/>
      <c r="BBV11"/>
      <c r="BBW11"/>
      <c r="BBX11"/>
      <c r="BBY11"/>
      <c r="BBZ11"/>
      <c r="BCA11"/>
      <c r="BCB11"/>
      <c r="BCC11"/>
      <c r="BCD11"/>
      <c r="BCE11"/>
      <c r="BCF11"/>
      <c r="BCG11"/>
      <c r="BCH11"/>
      <c r="BCI11"/>
      <c r="BCJ11"/>
      <c r="BCK11"/>
      <c r="BCL11"/>
      <c r="BCM11"/>
      <c r="BCN11"/>
      <c r="BCO11"/>
      <c r="BCP11"/>
      <c r="BCQ11"/>
      <c r="BCR11"/>
      <c r="BCS11"/>
      <c r="BCT11"/>
      <c r="BCU11"/>
      <c r="BCV11"/>
      <c r="BCW11"/>
      <c r="BCX11"/>
      <c r="BCY11"/>
      <c r="BCZ11"/>
      <c r="BDA11"/>
      <c r="BDB11"/>
      <c r="BDC11"/>
      <c r="BDD11"/>
      <c r="BDE11"/>
      <c r="BDF11"/>
      <c r="BDG11"/>
      <c r="BDH11"/>
      <c r="BDI11"/>
      <c r="BDJ11"/>
      <c r="BDK11"/>
      <c r="BDL11"/>
      <c r="BDM11"/>
      <c r="BDN11"/>
      <c r="BDO11"/>
      <c r="BDP11"/>
      <c r="BDQ11"/>
      <c r="BDR11"/>
      <c r="BDS11"/>
      <c r="BDT11"/>
      <c r="BDU11"/>
      <c r="BDV11"/>
      <c r="BDW11"/>
      <c r="BDX11"/>
      <c r="BDY11"/>
      <c r="BDZ11"/>
      <c r="BEA11"/>
      <c r="BEB11"/>
      <c r="BEC11"/>
      <c r="BED11"/>
      <c r="BEE11"/>
      <c r="BEF11"/>
      <c r="BEG11"/>
      <c r="BEH11"/>
      <c r="BEI11"/>
      <c r="BEJ11"/>
      <c r="BEK11"/>
      <c r="BEL11"/>
      <c r="BEM11"/>
      <c r="BEN11"/>
      <c r="BEO11"/>
      <c r="BEP11"/>
      <c r="BEQ11"/>
      <c r="BER11"/>
      <c r="BES11"/>
      <c r="BET11"/>
      <c r="BEU11"/>
      <c r="BEV11"/>
      <c r="BEW11"/>
      <c r="BEX11"/>
      <c r="BEY11"/>
      <c r="BEZ11"/>
      <c r="BFA11"/>
      <c r="BFB11"/>
      <c r="BFC11"/>
      <c r="BFD11"/>
      <c r="BFE11"/>
      <c r="BFF11"/>
      <c r="BFG11"/>
      <c r="BFH11"/>
      <c r="BFI11"/>
      <c r="BFJ11"/>
      <c r="BFK11"/>
      <c r="BFL11"/>
      <c r="BFM11"/>
      <c r="BFN11"/>
      <c r="BFO11"/>
      <c r="BFP11"/>
      <c r="BFQ11"/>
      <c r="BFR11"/>
      <c r="BFS11"/>
      <c r="BFT11"/>
      <c r="BFU11"/>
      <c r="BFV11"/>
      <c r="BFW11"/>
      <c r="BFX11"/>
      <c r="BFY11"/>
      <c r="BFZ11"/>
      <c r="BGA11"/>
      <c r="BGB11"/>
      <c r="BGC11"/>
      <c r="BGD11"/>
      <c r="BGE11"/>
      <c r="BGF11"/>
      <c r="BGG11"/>
      <c r="BGH11"/>
      <c r="BGI11"/>
      <c r="BGJ11"/>
      <c r="BGK11"/>
      <c r="BGL11"/>
      <c r="BGM11"/>
      <c r="BGN11"/>
      <c r="BGO11"/>
      <c r="BGP11"/>
      <c r="BGQ11"/>
      <c r="BGR11"/>
      <c r="BGS11"/>
      <c r="BGT11"/>
      <c r="BGU11"/>
      <c r="BGV11"/>
      <c r="BGW11"/>
      <c r="BGX11"/>
      <c r="BGY11"/>
      <c r="BGZ11"/>
      <c r="BHA11"/>
      <c r="BHB11"/>
      <c r="BHC11"/>
      <c r="BHD11"/>
      <c r="BHE11"/>
      <c r="BHF11"/>
      <c r="BHG11"/>
      <c r="BHH11"/>
      <c r="BHI11"/>
      <c r="BHJ11"/>
      <c r="BHK11"/>
      <c r="BHL11"/>
      <c r="BHM11"/>
      <c r="BHN11"/>
      <c r="BHO11"/>
      <c r="BHP11"/>
      <c r="BHQ11"/>
      <c r="BHR11"/>
      <c r="BHS11"/>
      <c r="BHT11"/>
      <c r="BHU11"/>
      <c r="BHV11"/>
      <c r="BHW11"/>
      <c r="BHX11"/>
      <c r="BHY11"/>
      <c r="BHZ11"/>
      <c r="BIA11"/>
      <c r="BIB11"/>
      <c r="BIC11"/>
      <c r="BID11"/>
      <c r="BIE11"/>
      <c r="BIF11"/>
      <c r="BIG11"/>
      <c r="BIH11"/>
      <c r="BII11"/>
      <c r="BIJ11"/>
      <c r="BIK11"/>
      <c r="BIL11"/>
      <c r="BIM11"/>
      <c r="BIN11"/>
      <c r="BIO11"/>
      <c r="BIP11"/>
      <c r="BIQ11"/>
      <c r="BIR11"/>
      <c r="BIS11"/>
      <c r="BIT11"/>
      <c r="BIU11"/>
      <c r="BIV11"/>
      <c r="BIW11"/>
      <c r="BIX11"/>
      <c r="BIY11"/>
      <c r="BIZ11"/>
      <c r="BJA11"/>
      <c r="BJB11"/>
      <c r="BJC11"/>
      <c r="BJD11"/>
      <c r="BJE11"/>
      <c r="BJF11"/>
      <c r="BJG11"/>
      <c r="BJH11"/>
      <c r="BJI11"/>
      <c r="BJJ11"/>
      <c r="BJK11"/>
      <c r="BJL11"/>
      <c r="BJM11"/>
      <c r="BJN11"/>
      <c r="BJO11"/>
      <c r="BJP11"/>
      <c r="BJQ11"/>
      <c r="BJR11"/>
      <c r="BJS11"/>
      <c r="BJT11"/>
      <c r="BJU11"/>
      <c r="BJV11"/>
      <c r="BJW11"/>
      <c r="BJX11"/>
      <c r="BJY11"/>
      <c r="BJZ11"/>
      <c r="BKA11"/>
      <c r="BKB11"/>
      <c r="BKC11"/>
      <c r="BKD11"/>
      <c r="BKE11"/>
      <c r="BKF11"/>
      <c r="BKG11"/>
      <c r="BKH11"/>
      <c r="BKI11"/>
      <c r="BKJ11"/>
      <c r="BKK11"/>
      <c r="BKL11"/>
      <c r="BKM11"/>
      <c r="BKN11"/>
      <c r="BKO11"/>
      <c r="BKP11"/>
      <c r="BKQ11"/>
      <c r="BKR11"/>
      <c r="BKS11"/>
      <c r="BKT11"/>
      <c r="BKU11"/>
      <c r="BKV11"/>
      <c r="BKW11"/>
      <c r="BKX11"/>
      <c r="BKY11"/>
      <c r="BKZ11"/>
      <c r="BLA11"/>
      <c r="BLB11"/>
      <c r="BLC11"/>
      <c r="BLD11"/>
      <c r="BLE11"/>
      <c r="BLF11"/>
      <c r="BLG11"/>
      <c r="BLH11"/>
      <c r="BLI11"/>
      <c r="BLJ11"/>
      <c r="BLK11"/>
      <c r="BLL11"/>
      <c r="BLM11"/>
      <c r="BLN11"/>
      <c r="BLO11"/>
      <c r="BLP11"/>
      <c r="BLQ11"/>
      <c r="BLR11"/>
      <c r="BLS11"/>
      <c r="BLT11"/>
      <c r="BLU11"/>
      <c r="BLV11"/>
      <c r="BLW11"/>
      <c r="BLX11"/>
      <c r="BLY11"/>
      <c r="BLZ11"/>
      <c r="BMA11"/>
      <c r="BMB11"/>
      <c r="BMC11"/>
      <c r="BMD11"/>
      <c r="BME11"/>
      <c r="BMF11"/>
      <c r="BMG11"/>
      <c r="BMH11"/>
      <c r="BMI11"/>
      <c r="BMJ11"/>
      <c r="BMK11"/>
      <c r="BML11"/>
      <c r="BMM11"/>
      <c r="BMN11"/>
      <c r="BMO11"/>
      <c r="BMP11"/>
      <c r="BMQ11"/>
      <c r="BMR11"/>
      <c r="BMS11"/>
      <c r="BMT11"/>
      <c r="BMU11"/>
      <c r="BMV11"/>
      <c r="BMW11"/>
      <c r="BMX11"/>
      <c r="BMY11"/>
      <c r="BMZ11"/>
      <c r="BNA11"/>
      <c r="BNB11"/>
      <c r="BNC11"/>
      <c r="BND11"/>
      <c r="BNE11"/>
      <c r="BNF11"/>
      <c r="BNG11"/>
      <c r="BNH11"/>
      <c r="BNI11"/>
      <c r="BNJ11"/>
      <c r="BNK11"/>
      <c r="BNL11"/>
      <c r="BNM11"/>
      <c r="BNN11"/>
      <c r="BNO11"/>
      <c r="BNP11"/>
      <c r="BNQ11"/>
      <c r="BNR11"/>
      <c r="BNS11"/>
      <c r="BNT11"/>
      <c r="BNU11"/>
      <c r="BNV11"/>
      <c r="BNW11"/>
      <c r="BNX11"/>
      <c r="BNY11"/>
      <c r="BNZ11"/>
      <c r="BOA11"/>
      <c r="BOB11"/>
      <c r="BOC11"/>
      <c r="BOD11"/>
      <c r="BOE11"/>
      <c r="BOF11"/>
      <c r="BOG11"/>
      <c r="BOH11"/>
      <c r="BOI11"/>
      <c r="BOJ11"/>
      <c r="BOK11"/>
      <c r="BOL11"/>
      <c r="BOM11"/>
      <c r="BON11"/>
      <c r="BOO11"/>
      <c r="BOP11"/>
      <c r="BOQ11"/>
      <c r="BOR11"/>
      <c r="BOS11"/>
      <c r="BOT11"/>
      <c r="BOU11"/>
      <c r="BOV11"/>
      <c r="BOW11"/>
      <c r="BOX11"/>
      <c r="BOY11"/>
      <c r="BOZ11"/>
      <c r="BPA11"/>
      <c r="BPB11"/>
      <c r="BPC11"/>
      <c r="BPD11"/>
      <c r="BPE11"/>
      <c r="BPF11"/>
      <c r="BPG11"/>
      <c r="BPH11"/>
      <c r="BPI11"/>
      <c r="BPJ11"/>
      <c r="BPK11"/>
      <c r="BPL11"/>
      <c r="BPM11"/>
      <c r="BPN11"/>
      <c r="BPO11"/>
      <c r="BPP11"/>
      <c r="BPQ11"/>
      <c r="BPR11"/>
      <c r="BPS11"/>
      <c r="BPT11"/>
      <c r="BPU11"/>
      <c r="BPV11"/>
      <c r="BPW11"/>
      <c r="BPX11"/>
      <c r="BPY11"/>
      <c r="BPZ11"/>
      <c r="BQA11"/>
      <c r="BQB11"/>
      <c r="BQC11"/>
      <c r="BQD11"/>
      <c r="BQE11"/>
      <c r="BQF11"/>
      <c r="BQG11"/>
      <c r="BQH11"/>
      <c r="BQI11"/>
      <c r="BQJ11"/>
      <c r="BQK11"/>
      <c r="BQL11"/>
      <c r="BQM11"/>
      <c r="BQN11"/>
      <c r="BQO11"/>
      <c r="BQP11"/>
      <c r="BQQ11"/>
      <c r="BQR11"/>
      <c r="BQS11"/>
      <c r="BQT11"/>
      <c r="BQU11"/>
      <c r="BQV11"/>
      <c r="BQW11"/>
      <c r="BQX11"/>
      <c r="BQY11"/>
      <c r="BQZ11"/>
      <c r="BRA11"/>
      <c r="BRB11"/>
      <c r="BRC11"/>
      <c r="BRD11"/>
      <c r="BRE11"/>
      <c r="BRF11"/>
      <c r="BRG11"/>
      <c r="BRH11"/>
      <c r="BRI11"/>
      <c r="BRJ11"/>
      <c r="BRK11"/>
      <c r="BRL11"/>
      <c r="BRM11"/>
      <c r="BRN11"/>
      <c r="BRO11"/>
      <c r="BRP11"/>
      <c r="BRQ11"/>
      <c r="BRR11"/>
      <c r="BRS11"/>
      <c r="BRT11"/>
      <c r="BRU11"/>
      <c r="BRV11"/>
      <c r="BRW11"/>
      <c r="BRX11"/>
      <c r="BRY11"/>
      <c r="BRZ11"/>
      <c r="BSA11"/>
      <c r="BSB11"/>
      <c r="BSC11"/>
      <c r="BSD11"/>
      <c r="BSE11"/>
      <c r="BSF11"/>
      <c r="BSG11"/>
      <c r="BSH11"/>
      <c r="BSI11"/>
      <c r="BSJ11"/>
      <c r="BSK11"/>
      <c r="BSL11"/>
      <c r="BSM11"/>
      <c r="BSN11"/>
      <c r="BSO11"/>
      <c r="BSP11"/>
      <c r="BSQ11"/>
      <c r="BSR11"/>
      <c r="BSS11"/>
      <c r="BST11"/>
      <c r="BSU11"/>
      <c r="BSV11"/>
      <c r="BSW11"/>
      <c r="BSX11"/>
      <c r="BSY11"/>
      <c r="BSZ11"/>
      <c r="BTA11"/>
      <c r="BTB11"/>
      <c r="BTC11"/>
      <c r="BTD11"/>
      <c r="BTE11"/>
      <c r="BTF11"/>
      <c r="BTG11"/>
      <c r="BTH11"/>
      <c r="BTI11"/>
      <c r="BTJ11"/>
      <c r="BTK11"/>
      <c r="BTL11"/>
      <c r="BTM11"/>
      <c r="BTN11"/>
      <c r="BTO11"/>
      <c r="BTP11"/>
      <c r="BTQ11"/>
      <c r="BTR11"/>
      <c r="BTS11"/>
      <c r="BTT11"/>
      <c r="BTU11"/>
      <c r="BTV11"/>
      <c r="BTW11"/>
      <c r="BTX11"/>
      <c r="BTY11"/>
      <c r="BTZ11"/>
      <c r="BUA11"/>
      <c r="BUB11"/>
      <c r="BUC11"/>
      <c r="BUD11"/>
      <c r="BUE11"/>
      <c r="BUF11"/>
      <c r="BUG11"/>
      <c r="BUH11"/>
      <c r="BUI11"/>
      <c r="BUJ11"/>
      <c r="BUK11"/>
      <c r="BUL11"/>
      <c r="BUM11"/>
      <c r="BUN11"/>
      <c r="BUO11"/>
      <c r="BUP11"/>
      <c r="BUQ11"/>
      <c r="BUR11"/>
      <c r="BUS11"/>
      <c r="BUT11"/>
      <c r="BUU11"/>
      <c r="BUV11"/>
      <c r="BUW11"/>
      <c r="BUX11"/>
      <c r="BUY11"/>
      <c r="BUZ11"/>
      <c r="BVA11"/>
      <c r="BVB11"/>
      <c r="BVC11"/>
      <c r="BVD11"/>
      <c r="BVE11"/>
      <c r="BVF11"/>
      <c r="BVG11"/>
      <c r="BVH11"/>
      <c r="BVI11"/>
      <c r="BVJ11"/>
      <c r="BVK11"/>
      <c r="BVL11"/>
      <c r="BVM11"/>
      <c r="BVN11"/>
      <c r="BVO11"/>
      <c r="BVP11"/>
      <c r="BVQ11"/>
      <c r="BVR11"/>
      <c r="BVS11"/>
      <c r="BVT11"/>
      <c r="BVU11"/>
      <c r="BVV11"/>
      <c r="BVW11"/>
      <c r="BVX11"/>
      <c r="BVY11"/>
      <c r="BVZ11"/>
      <c r="BWA11"/>
      <c r="BWB11"/>
      <c r="BWC11"/>
      <c r="BWD11"/>
      <c r="BWE11"/>
      <c r="BWF11"/>
      <c r="BWG11"/>
      <c r="BWH11"/>
      <c r="BWI11"/>
      <c r="BWJ11"/>
      <c r="BWK11"/>
      <c r="BWL11"/>
      <c r="BWM11"/>
      <c r="BWN11"/>
      <c r="BWO11"/>
      <c r="BWP11"/>
      <c r="BWQ11"/>
      <c r="BWR11"/>
      <c r="BWS11"/>
      <c r="BWT11"/>
      <c r="BWU11"/>
      <c r="BWV11"/>
      <c r="BWW11"/>
      <c r="BWX11"/>
      <c r="BWY11"/>
      <c r="BWZ11"/>
      <c r="BXA11"/>
      <c r="BXB11"/>
      <c r="BXC11"/>
      <c r="BXD11"/>
      <c r="BXE11"/>
      <c r="BXF11"/>
      <c r="BXG11"/>
      <c r="BXH11"/>
      <c r="BXI11"/>
      <c r="BXJ11"/>
      <c r="BXK11"/>
      <c r="BXL11"/>
      <c r="BXM11"/>
      <c r="BXN11"/>
      <c r="BXO11"/>
      <c r="BXP11"/>
      <c r="BXQ11"/>
      <c r="BXR11"/>
      <c r="BXS11"/>
      <c r="BXT11"/>
      <c r="BXU11"/>
      <c r="BXV11"/>
      <c r="BXW11"/>
      <c r="BXX11"/>
      <c r="BXY11"/>
      <c r="BXZ11"/>
      <c r="BYA11"/>
      <c r="BYB11"/>
      <c r="BYC11"/>
      <c r="BYD11"/>
      <c r="BYE11"/>
      <c r="BYF11"/>
      <c r="BYG11"/>
      <c r="BYH11"/>
      <c r="BYI11"/>
      <c r="BYJ11"/>
      <c r="BYK11"/>
      <c r="BYL11"/>
      <c r="BYM11"/>
      <c r="BYN11"/>
      <c r="BYO11"/>
      <c r="BYP11"/>
      <c r="BYQ11"/>
      <c r="BYR11"/>
      <c r="BYS11"/>
      <c r="BYT11"/>
      <c r="BYU11"/>
      <c r="BYV11"/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/>
      <c r="CQG11"/>
      <c r="CQH11"/>
      <c r="CQI11"/>
      <c r="CQJ11"/>
      <c r="CQK11"/>
      <c r="CQL11"/>
      <c r="CQM11"/>
      <c r="CQN11"/>
      <c r="CQO11"/>
      <c r="CQP11"/>
      <c r="CQQ11"/>
      <c r="CQR11"/>
      <c r="CQS11"/>
      <c r="CQT11"/>
      <c r="CQU11"/>
      <c r="CQV11"/>
      <c r="CQW11"/>
      <c r="CQX11"/>
      <c r="CQY11"/>
      <c r="CQZ11"/>
      <c r="CRA11"/>
      <c r="CRB11"/>
      <c r="CRC11"/>
      <c r="CRD11"/>
      <c r="CRE11"/>
      <c r="CRF11"/>
      <c r="CRG11"/>
      <c r="CRH11"/>
      <c r="CRI11"/>
      <c r="CRJ11"/>
      <c r="CRK11"/>
      <c r="CRL11"/>
      <c r="CRM11"/>
      <c r="CRN11"/>
      <c r="CRO11"/>
      <c r="CRP11"/>
      <c r="CRQ11"/>
      <c r="CRR11"/>
      <c r="CRS11"/>
      <c r="CRT11"/>
      <c r="CRU11"/>
      <c r="CRV11"/>
    </row>
    <row r="12" spans="1:2518" ht="14.5" x14ac:dyDescent="0.35">
      <c r="B12" s="56">
        <f t="shared" si="2"/>
        <v>6</v>
      </c>
      <c r="C12" s="122">
        <f>SUMIFS(LANÇ_MOV[VALOR LÍQUIDO],LANÇ_MOV[RECEITA OU DESPESA],REL_RES_DIA!$C$6,LANÇ_MOV[DIA PAGAMENTO],B12,LANÇ_MOV[ANO PAGAMENTO],REL_RES_DIA!$D$4,LANÇ_MOV[MÊS PGTO],$E$4,LANÇ_MOV[EMPRESA],$G$4,LANÇ_MOV[CENTRO DE CUSTOS],$H$4)</f>
        <v>4769.2700000000004</v>
      </c>
      <c r="D12" s="122">
        <f>SUMIFS(LANÇ_MOV[VALOR LÍQUIDO],LANÇ_MOV[RECEITA OU DESPESA],REL_RES_DIA!$D$6,LANÇ_MOV[DIA PAGAMENTO],B12,LANÇ_MOV[ANO PAGAMENTO],REL_RES_DIA!$D$4,LANÇ_MOV[MÊS PGTO],$E$4,LANÇ_MOV[EMPRESA],$G$4,LANÇ_MOV[CENTRO DE CUSTOS],$H$4)</f>
        <v>1489.96</v>
      </c>
      <c r="E12" s="123">
        <f t="shared" si="1"/>
        <v>3279.3100000000004</v>
      </c>
      <c r="G12"/>
      <c r="H12"/>
      <c r="I12"/>
      <c r="J12"/>
      <c r="K12"/>
      <c r="L12"/>
      <c r="M12"/>
      <c r="N12"/>
      <c r="O12"/>
      <c r="P12"/>
      <c r="Q12" s="235">
        <f t="shared" si="0"/>
        <v>3279.3100000000004</v>
      </c>
      <c r="R12" s="236">
        <v>6</v>
      </c>
      <c r="Z12"/>
      <c r="AA12"/>
      <c r="AB12"/>
      <c r="AC12"/>
    </row>
    <row r="13" spans="1:2518" ht="14.5" x14ac:dyDescent="0.35">
      <c r="B13" s="56">
        <f t="shared" si="2"/>
        <v>7</v>
      </c>
      <c r="C13" s="122">
        <f>SUMIFS(LANÇ_MOV[VALOR LÍQUIDO],LANÇ_MOV[RECEITA OU DESPESA],REL_RES_DIA!$C$6,LANÇ_MOV[DIA PAGAMENTO],B13,LANÇ_MOV[ANO PAGAMENTO],REL_RES_DIA!$D$4,LANÇ_MOV[MÊS PGTO],$E$4,LANÇ_MOV[EMPRESA],$G$4,LANÇ_MOV[CENTRO DE CUSTOS],$H$4)</f>
        <v>1980.7600000000002</v>
      </c>
      <c r="D13" s="122">
        <f>SUMIFS(LANÇ_MOV[VALOR LÍQUIDO],LANÇ_MOV[RECEITA OU DESPESA],REL_RES_DIA!$D$6,LANÇ_MOV[DIA PAGAMENTO],B13,LANÇ_MOV[ANO PAGAMENTO],REL_RES_DIA!$D$4,LANÇ_MOV[MÊS PGTO],$E$4,LANÇ_MOV[EMPRESA],$G$4,LANÇ_MOV[CENTRO DE CUSTOS],$H$4)</f>
        <v>220</v>
      </c>
      <c r="E13" s="123">
        <f t="shared" si="1"/>
        <v>1760.7600000000002</v>
      </c>
      <c r="G13"/>
      <c r="H13"/>
      <c r="I13"/>
      <c r="J13"/>
      <c r="K13"/>
      <c r="L13"/>
      <c r="M13"/>
      <c r="N13"/>
      <c r="O13"/>
      <c r="P13"/>
      <c r="Q13" s="235">
        <f t="shared" si="0"/>
        <v>1760.7600000000002</v>
      </c>
      <c r="R13" s="236">
        <v>7</v>
      </c>
      <c r="Z13"/>
      <c r="AA13"/>
      <c r="AB13"/>
      <c r="AC13"/>
    </row>
    <row r="14" spans="1:2518" ht="14.5" x14ac:dyDescent="0.35">
      <c r="B14" s="56">
        <f t="shared" si="2"/>
        <v>8</v>
      </c>
      <c r="C14" s="122">
        <f>SUMIFS(LANÇ_MOV[VALOR LÍQUIDO],LANÇ_MOV[RECEITA OU DESPESA],REL_RES_DIA!$C$6,LANÇ_MOV[DIA PAGAMENTO],B14,LANÇ_MOV[ANO PAGAMENTO],REL_RES_DIA!$D$4,LANÇ_MOV[MÊS PGTO],$E$4,LANÇ_MOV[EMPRESA],$G$4,LANÇ_MOV[CENTRO DE CUSTOS],$H$4)</f>
        <v>710.7</v>
      </c>
      <c r="D14" s="122">
        <f>SUMIFS(LANÇ_MOV[VALOR LÍQUIDO],LANÇ_MOV[RECEITA OU DESPESA],REL_RES_DIA!$D$6,LANÇ_MOV[DIA PAGAMENTO],B14,LANÇ_MOV[ANO PAGAMENTO],REL_RES_DIA!$D$4,LANÇ_MOV[MÊS PGTO],$E$4,LANÇ_MOV[EMPRESA],$G$4,LANÇ_MOV[CENTRO DE CUSTOS],$H$4)</f>
        <v>0</v>
      </c>
      <c r="E14" s="123">
        <f t="shared" si="1"/>
        <v>710.7</v>
      </c>
      <c r="G14"/>
      <c r="H14"/>
      <c r="I14"/>
      <c r="J14"/>
      <c r="K14"/>
      <c r="L14"/>
      <c r="M14"/>
      <c r="N14"/>
      <c r="O14"/>
      <c r="P14"/>
      <c r="Q14" s="235">
        <f t="shared" si="0"/>
        <v>710.7</v>
      </c>
      <c r="R14" s="236">
        <v>8</v>
      </c>
      <c r="Z14"/>
      <c r="AA14"/>
      <c r="AB14"/>
      <c r="AC14"/>
    </row>
    <row r="15" spans="1:2518" ht="14.5" x14ac:dyDescent="0.35">
      <c r="B15" s="56">
        <f t="shared" si="2"/>
        <v>9</v>
      </c>
      <c r="C15" s="122">
        <f>SUMIFS(LANÇ_MOV[VALOR LÍQUIDO],LANÇ_MOV[RECEITA OU DESPESA],REL_RES_DIA!$C$6,LANÇ_MOV[DIA PAGAMENTO],B15,LANÇ_MOV[ANO PAGAMENTO],REL_RES_DIA!$D$4,LANÇ_MOV[MÊS PGTO],$E$4,LANÇ_MOV[EMPRESA],$G$4,LANÇ_MOV[CENTRO DE CUSTOS],$H$4)</f>
        <v>2658.7799999999997</v>
      </c>
      <c r="D15" s="122">
        <f>SUMIFS(LANÇ_MOV[VALOR LÍQUIDO],LANÇ_MOV[RECEITA OU DESPESA],REL_RES_DIA!$D$6,LANÇ_MOV[DIA PAGAMENTO],B15,LANÇ_MOV[ANO PAGAMENTO],REL_RES_DIA!$D$4,LANÇ_MOV[MÊS PGTO],$E$4,LANÇ_MOV[EMPRESA],$G$4,LANÇ_MOV[CENTRO DE CUSTOS],$H$4)</f>
        <v>2000</v>
      </c>
      <c r="E15" s="123">
        <f t="shared" si="1"/>
        <v>658.77999999999975</v>
      </c>
      <c r="G15"/>
      <c r="H15"/>
      <c r="I15"/>
      <c r="J15"/>
      <c r="K15"/>
      <c r="L15"/>
      <c r="M15"/>
      <c r="N15"/>
      <c r="O15"/>
      <c r="P15"/>
      <c r="Q15" s="235">
        <f t="shared" si="0"/>
        <v>658.77999999999975</v>
      </c>
      <c r="R15" s="236">
        <v>9</v>
      </c>
      <c r="Z15"/>
      <c r="AA15"/>
      <c r="AB15"/>
      <c r="AC15"/>
    </row>
    <row r="16" spans="1:2518" ht="14.5" x14ac:dyDescent="0.35">
      <c r="B16" s="56">
        <f t="shared" si="2"/>
        <v>10</v>
      </c>
      <c r="C16" s="122">
        <f>SUMIFS(LANÇ_MOV[VALOR LÍQUIDO],LANÇ_MOV[RECEITA OU DESPESA],REL_RES_DIA!$C$6,LANÇ_MOV[DIA PAGAMENTO],B16,LANÇ_MOV[ANO PAGAMENTO],REL_RES_DIA!$D$4,LANÇ_MOV[MÊS PGTO],$E$4,LANÇ_MOV[EMPRESA],$G$4,LANÇ_MOV[CENTRO DE CUSTOS],$H$4)</f>
        <v>8297.8100000000013</v>
      </c>
      <c r="D16" s="122">
        <f>SUMIFS(LANÇ_MOV[VALOR LÍQUIDO],LANÇ_MOV[RECEITA OU DESPESA],REL_RES_DIA!$D$6,LANÇ_MOV[DIA PAGAMENTO],B16,LANÇ_MOV[ANO PAGAMENTO],REL_RES_DIA!$D$4,LANÇ_MOV[MÊS PGTO],$E$4,LANÇ_MOV[EMPRESA],$G$4,LANÇ_MOV[CENTRO DE CUSTOS],$H$4)</f>
        <v>5918.45</v>
      </c>
      <c r="E16" s="123">
        <f t="shared" si="1"/>
        <v>2379.3600000000015</v>
      </c>
      <c r="G16"/>
      <c r="H16"/>
      <c r="I16"/>
      <c r="J16"/>
      <c r="K16"/>
      <c r="L16"/>
      <c r="M16"/>
      <c r="N16"/>
      <c r="O16"/>
      <c r="P16"/>
      <c r="Q16" s="235">
        <f t="shared" si="0"/>
        <v>2379.3600000000015</v>
      </c>
      <c r="R16" s="236">
        <v>10</v>
      </c>
      <c r="Z16"/>
      <c r="AA16"/>
      <c r="AB16"/>
      <c r="AC16"/>
    </row>
    <row r="17" spans="2:29" ht="14.5" x14ac:dyDescent="0.35">
      <c r="B17" s="56">
        <f t="shared" si="2"/>
        <v>11</v>
      </c>
      <c r="C17" s="122">
        <f>SUMIFS(LANÇ_MOV[VALOR LÍQUIDO],LANÇ_MOV[RECEITA OU DESPESA],REL_RES_DIA!$C$6,LANÇ_MOV[DIA PAGAMENTO],B17,LANÇ_MOV[ANO PAGAMENTO],REL_RES_DIA!$D$4,LANÇ_MOV[MÊS PGTO],$E$4,LANÇ_MOV[EMPRESA],$G$4,LANÇ_MOV[CENTRO DE CUSTOS],$H$4)</f>
        <v>740.27</v>
      </c>
      <c r="D17" s="122">
        <f>SUMIFS(LANÇ_MOV[VALOR LÍQUIDO],LANÇ_MOV[RECEITA OU DESPESA],REL_RES_DIA!$D$6,LANÇ_MOV[DIA PAGAMENTO],B17,LANÇ_MOV[ANO PAGAMENTO],REL_RES_DIA!$D$4,LANÇ_MOV[MÊS PGTO],$E$4,LANÇ_MOV[EMPRESA],$G$4,LANÇ_MOV[CENTRO DE CUSTOS],$H$4)</f>
        <v>0</v>
      </c>
      <c r="E17" s="123">
        <f t="shared" si="1"/>
        <v>740.27</v>
      </c>
      <c r="G17"/>
      <c r="H17"/>
      <c r="I17"/>
      <c r="J17"/>
      <c r="K17"/>
      <c r="L17"/>
      <c r="M17"/>
      <c r="N17"/>
      <c r="O17"/>
      <c r="P17"/>
      <c r="Q17" s="235">
        <f t="shared" si="0"/>
        <v>740.27</v>
      </c>
      <c r="R17" s="236">
        <v>11</v>
      </c>
      <c r="Z17"/>
      <c r="AA17"/>
      <c r="AB17"/>
      <c r="AC17"/>
    </row>
    <row r="18" spans="2:29" ht="14.5" x14ac:dyDescent="0.35">
      <c r="B18" s="56">
        <f>B17+1</f>
        <v>12</v>
      </c>
      <c r="C18" s="122">
        <f>SUMIFS(LANÇ_MOV[VALOR LÍQUIDO],LANÇ_MOV[RECEITA OU DESPESA],REL_RES_DIA!$C$6,LANÇ_MOV[DIA PAGAMENTO],B18,LANÇ_MOV[ANO PAGAMENTO],REL_RES_DIA!$D$4,LANÇ_MOV[MÊS PGTO],$E$4,LANÇ_MOV[EMPRESA],$G$4,LANÇ_MOV[CENTRO DE CUSTOS],$H$4)</f>
        <v>357.36</v>
      </c>
      <c r="D18" s="122">
        <f>SUMIFS(LANÇ_MOV[VALOR LÍQUIDO],LANÇ_MOV[RECEITA OU DESPESA],REL_RES_DIA!$D$6,LANÇ_MOV[DIA PAGAMENTO],B18,LANÇ_MOV[ANO PAGAMENTO],REL_RES_DIA!$D$4,LANÇ_MOV[MÊS PGTO],$E$4,LANÇ_MOV[EMPRESA],$G$4,LANÇ_MOV[CENTRO DE CUSTOS],$H$4)</f>
        <v>0</v>
      </c>
      <c r="E18" s="123">
        <f t="shared" si="1"/>
        <v>357.36</v>
      </c>
      <c r="G18"/>
      <c r="H18"/>
      <c r="I18"/>
      <c r="J18"/>
      <c r="K18"/>
      <c r="L18"/>
      <c r="M18"/>
      <c r="N18"/>
      <c r="O18"/>
      <c r="P18"/>
      <c r="Q18" s="235">
        <f t="shared" ref="Q18:Q28" si="3">E18</f>
        <v>357.36</v>
      </c>
      <c r="R18" s="236">
        <v>12</v>
      </c>
      <c r="Z18"/>
      <c r="AA18"/>
      <c r="AB18"/>
      <c r="AC18"/>
    </row>
    <row r="19" spans="2:29" ht="14.5" x14ac:dyDescent="0.35">
      <c r="B19" s="56">
        <f>B18+1</f>
        <v>13</v>
      </c>
      <c r="C19" s="122">
        <f>SUMIFS(LANÇ_MOV[VALOR LÍQUIDO],LANÇ_MOV[RECEITA OU DESPESA],REL_RES_DIA!$C$6,LANÇ_MOV[DIA PAGAMENTO],B19,LANÇ_MOV[ANO PAGAMENTO],REL_RES_DIA!$D$4,LANÇ_MOV[MÊS PGTO],$E$4,LANÇ_MOV[EMPRESA],$G$4,LANÇ_MOV[CENTRO DE CUSTOS],$H$4)</f>
        <v>2015.3</v>
      </c>
      <c r="D19" s="122">
        <f>SUMIFS(LANÇ_MOV[VALOR LÍQUIDO],LANÇ_MOV[RECEITA OU DESPESA],REL_RES_DIA!$D$6,LANÇ_MOV[DIA PAGAMENTO],B19,LANÇ_MOV[ANO PAGAMENTO],REL_RES_DIA!$D$4,LANÇ_MOV[MÊS PGTO],$E$4,LANÇ_MOV[EMPRESA],$G$4,LANÇ_MOV[CENTRO DE CUSTOS],$H$4)</f>
        <v>0</v>
      </c>
      <c r="E19" s="123">
        <f t="shared" si="1"/>
        <v>2015.3</v>
      </c>
      <c r="G19"/>
      <c r="H19"/>
      <c r="I19"/>
      <c r="J19"/>
      <c r="K19"/>
      <c r="L19"/>
      <c r="M19"/>
      <c r="N19"/>
      <c r="O19"/>
      <c r="P19"/>
      <c r="Q19" s="235">
        <f t="shared" si="3"/>
        <v>2015.3</v>
      </c>
      <c r="R19" s="236">
        <v>13</v>
      </c>
      <c r="Z19"/>
      <c r="AA19"/>
      <c r="AB19"/>
      <c r="AC19"/>
    </row>
    <row r="20" spans="2:29" ht="14.5" x14ac:dyDescent="0.35">
      <c r="B20" s="56">
        <f t="shared" ref="B20:B28" si="4">B19+1</f>
        <v>14</v>
      </c>
      <c r="C20" s="122">
        <f>SUMIFS(LANÇ_MOV[VALOR LÍQUIDO],LANÇ_MOV[RECEITA OU DESPESA],REL_RES_DIA!$C$6,LANÇ_MOV[DIA PAGAMENTO],B20,LANÇ_MOV[ANO PAGAMENTO],REL_RES_DIA!$D$4,LANÇ_MOV[MÊS PGTO],$E$4,LANÇ_MOV[EMPRESA],$G$4,LANÇ_MOV[CENTRO DE CUSTOS],$H$4)</f>
        <v>0</v>
      </c>
      <c r="D20" s="122">
        <f>SUMIFS(LANÇ_MOV[VALOR LÍQUIDO],LANÇ_MOV[RECEITA OU DESPESA],REL_RES_DIA!$D$6,LANÇ_MOV[DIA PAGAMENTO],B20,LANÇ_MOV[ANO PAGAMENTO],REL_RES_DIA!$D$4,LANÇ_MOV[MÊS PGTO],$E$4,LANÇ_MOV[EMPRESA],$G$4,LANÇ_MOV[CENTRO DE CUSTOS],$H$4)</f>
        <v>0</v>
      </c>
      <c r="E20" s="123">
        <f t="shared" si="1"/>
        <v>0</v>
      </c>
      <c r="G20"/>
      <c r="H20"/>
      <c r="I20"/>
      <c r="J20"/>
      <c r="K20"/>
      <c r="L20"/>
      <c r="M20"/>
      <c r="N20"/>
      <c r="O20"/>
      <c r="P20"/>
      <c r="Q20" s="235">
        <f t="shared" si="3"/>
        <v>0</v>
      </c>
      <c r="R20" s="236">
        <v>14</v>
      </c>
      <c r="Z20"/>
      <c r="AA20"/>
      <c r="AB20"/>
      <c r="AC20"/>
    </row>
    <row r="21" spans="2:29" ht="14.5" x14ac:dyDescent="0.35">
      <c r="B21" s="56">
        <f t="shared" si="4"/>
        <v>15</v>
      </c>
      <c r="C21" s="122">
        <f>SUMIFS(LANÇ_MOV[VALOR LÍQUIDO],LANÇ_MOV[RECEITA OU DESPESA],REL_RES_DIA!$C$6,LANÇ_MOV[DIA PAGAMENTO],B21,LANÇ_MOV[ANO PAGAMENTO],REL_RES_DIA!$D$4,LANÇ_MOV[MÊS PGTO],$E$4,LANÇ_MOV[EMPRESA],$G$4,LANÇ_MOV[CENTRO DE CUSTOS],$H$4)</f>
        <v>3350.08</v>
      </c>
      <c r="D21" s="122">
        <f>SUMIFS(LANÇ_MOV[VALOR LÍQUIDO],LANÇ_MOV[RECEITA OU DESPESA],REL_RES_DIA!$D$6,LANÇ_MOV[DIA PAGAMENTO],B21,LANÇ_MOV[ANO PAGAMENTO],REL_RES_DIA!$D$4,LANÇ_MOV[MÊS PGTO],$E$4,LANÇ_MOV[EMPRESA],$G$4,LANÇ_MOV[CENTRO DE CUSTOS],$H$4)</f>
        <v>143.82</v>
      </c>
      <c r="E21" s="123">
        <f t="shared" si="1"/>
        <v>3206.2599999999998</v>
      </c>
      <c r="G21"/>
      <c r="H21"/>
      <c r="I21"/>
      <c r="J21"/>
      <c r="K21"/>
      <c r="L21"/>
      <c r="M21"/>
      <c r="N21"/>
      <c r="O21"/>
      <c r="P21"/>
      <c r="Q21" s="235">
        <f t="shared" si="3"/>
        <v>3206.2599999999998</v>
      </c>
      <c r="R21" s="236">
        <v>15</v>
      </c>
      <c r="Z21"/>
      <c r="AA21"/>
      <c r="AB21"/>
      <c r="AC21"/>
    </row>
    <row r="22" spans="2:29" ht="14.5" x14ac:dyDescent="0.35">
      <c r="B22" s="56">
        <f t="shared" si="4"/>
        <v>16</v>
      </c>
      <c r="C22" s="122">
        <f>SUMIFS(LANÇ_MOV[VALOR LÍQUIDO],LANÇ_MOV[RECEITA OU DESPESA],REL_RES_DIA!$C$6,LANÇ_MOV[DIA PAGAMENTO],B22,LANÇ_MOV[ANO PAGAMENTO],REL_RES_DIA!$D$4,LANÇ_MOV[MÊS PGTO],$E$4,LANÇ_MOV[EMPRESA],$G$4,LANÇ_MOV[CENTRO DE CUSTOS],$H$4)</f>
        <v>2837.35</v>
      </c>
      <c r="D22" s="122">
        <f>SUMIFS(LANÇ_MOV[VALOR LÍQUIDO],LANÇ_MOV[RECEITA OU DESPESA],REL_RES_DIA!$D$6,LANÇ_MOV[DIA PAGAMENTO],B22,LANÇ_MOV[ANO PAGAMENTO],REL_RES_DIA!$D$4,LANÇ_MOV[MÊS PGTO],$E$4,LANÇ_MOV[EMPRESA],$G$4,LANÇ_MOV[CENTRO DE CUSTOS],$H$4)</f>
        <v>0</v>
      </c>
      <c r="E22" s="123">
        <f t="shared" si="1"/>
        <v>2837.35</v>
      </c>
      <c r="G22"/>
      <c r="H22"/>
      <c r="I22"/>
      <c r="J22"/>
      <c r="K22"/>
      <c r="L22"/>
      <c r="M22"/>
      <c r="N22"/>
      <c r="O22"/>
      <c r="P22"/>
      <c r="Q22" s="235">
        <f t="shared" si="3"/>
        <v>2837.35</v>
      </c>
      <c r="R22" s="236">
        <v>16</v>
      </c>
      <c r="Z22"/>
      <c r="AA22"/>
      <c r="AB22"/>
      <c r="AC22"/>
    </row>
    <row r="23" spans="2:29" ht="14.5" x14ac:dyDescent="0.35">
      <c r="B23" s="56">
        <f t="shared" si="4"/>
        <v>17</v>
      </c>
      <c r="C23" s="122">
        <f>SUMIFS(LANÇ_MOV[VALOR LÍQUIDO],LANÇ_MOV[RECEITA OU DESPESA],REL_RES_DIA!$C$6,LANÇ_MOV[DIA PAGAMENTO],B23,LANÇ_MOV[ANO PAGAMENTO],REL_RES_DIA!$D$4,LANÇ_MOV[MÊS PGTO],$E$4,LANÇ_MOV[EMPRESA],$G$4,LANÇ_MOV[CENTRO DE CUSTOS],$H$4)</f>
        <v>0</v>
      </c>
      <c r="D23" s="122">
        <f>SUMIFS(LANÇ_MOV[VALOR LÍQUIDO],LANÇ_MOV[RECEITA OU DESPESA],REL_RES_DIA!$D$6,LANÇ_MOV[DIA PAGAMENTO],B23,LANÇ_MOV[ANO PAGAMENTO],REL_RES_DIA!$D$4,LANÇ_MOV[MÊS PGTO],$E$4,LANÇ_MOV[EMPRESA],$G$4,LANÇ_MOV[CENTRO DE CUSTOS],$H$4)</f>
        <v>0</v>
      </c>
      <c r="E23" s="123">
        <f t="shared" si="1"/>
        <v>0</v>
      </c>
      <c r="G23"/>
      <c r="H23"/>
      <c r="I23"/>
      <c r="J23"/>
      <c r="K23"/>
      <c r="L23"/>
      <c r="M23"/>
      <c r="N23"/>
      <c r="O23"/>
      <c r="P23"/>
      <c r="Q23" s="235">
        <f t="shared" si="3"/>
        <v>0</v>
      </c>
      <c r="R23" s="236">
        <v>17</v>
      </c>
      <c r="Z23"/>
      <c r="AA23"/>
      <c r="AB23"/>
      <c r="AC23"/>
    </row>
    <row r="24" spans="2:29" ht="14.5" x14ac:dyDescent="0.35">
      <c r="B24" s="56">
        <f t="shared" si="4"/>
        <v>18</v>
      </c>
      <c r="C24" s="122">
        <f>SUMIFS(LANÇ_MOV[VALOR LÍQUIDO],LANÇ_MOV[RECEITA OU DESPESA],REL_RES_DIA!$C$6,LANÇ_MOV[DIA PAGAMENTO],B24,LANÇ_MOV[ANO PAGAMENTO],REL_RES_DIA!$D$4,LANÇ_MOV[MÊS PGTO],$E$4,LANÇ_MOV[EMPRESA],$G$4,LANÇ_MOV[CENTRO DE CUSTOS],$H$4)</f>
        <v>0</v>
      </c>
      <c r="D24" s="122">
        <f>SUMIFS(LANÇ_MOV[VALOR LÍQUIDO],LANÇ_MOV[RECEITA OU DESPESA],REL_RES_DIA!$D$6,LANÇ_MOV[DIA PAGAMENTO],B24,LANÇ_MOV[ANO PAGAMENTO],REL_RES_DIA!$D$4,LANÇ_MOV[MÊS PGTO],$E$4,LANÇ_MOV[EMPRESA],$G$4,LANÇ_MOV[CENTRO DE CUSTOS],$H$4)</f>
        <v>0</v>
      </c>
      <c r="E24" s="123">
        <f t="shared" si="1"/>
        <v>0</v>
      </c>
      <c r="G24"/>
      <c r="H24"/>
      <c r="I24"/>
      <c r="J24"/>
      <c r="K24"/>
      <c r="L24"/>
      <c r="M24"/>
      <c r="N24"/>
      <c r="O24"/>
      <c r="P24"/>
      <c r="Q24" s="235">
        <f t="shared" si="3"/>
        <v>0</v>
      </c>
      <c r="R24" s="236">
        <v>18</v>
      </c>
      <c r="Z24"/>
      <c r="AA24"/>
      <c r="AB24"/>
      <c r="AC24"/>
    </row>
    <row r="25" spans="2:29" ht="14.5" x14ac:dyDescent="0.35">
      <c r="B25" s="56">
        <f t="shared" si="4"/>
        <v>19</v>
      </c>
      <c r="C25" s="122">
        <f>SUMIFS(LANÇ_MOV[VALOR LÍQUIDO],LANÇ_MOV[RECEITA OU DESPESA],REL_RES_DIA!$C$6,LANÇ_MOV[DIA PAGAMENTO],B25,LANÇ_MOV[ANO PAGAMENTO],REL_RES_DIA!$D$4,LANÇ_MOV[MÊS PGTO],$E$4,LANÇ_MOV[EMPRESA],$G$4,LANÇ_MOV[CENTRO DE CUSTOS],$H$4)</f>
        <v>0</v>
      </c>
      <c r="D25" s="122">
        <f>SUMIFS(LANÇ_MOV[VALOR LÍQUIDO],LANÇ_MOV[RECEITA OU DESPESA],REL_RES_DIA!$D$6,LANÇ_MOV[DIA PAGAMENTO],B25,LANÇ_MOV[ANO PAGAMENTO],REL_RES_DIA!$D$4,LANÇ_MOV[MÊS PGTO],$E$4,LANÇ_MOV[EMPRESA],$G$4,LANÇ_MOV[CENTRO DE CUSTOS],$H$4)</f>
        <v>0</v>
      </c>
      <c r="E25" s="123">
        <f t="shared" si="1"/>
        <v>0</v>
      </c>
      <c r="G25"/>
      <c r="H25"/>
      <c r="I25"/>
      <c r="J25"/>
      <c r="K25"/>
      <c r="L25"/>
      <c r="M25"/>
      <c r="N25"/>
      <c r="O25"/>
      <c r="P25"/>
      <c r="Q25" s="235">
        <f t="shared" si="3"/>
        <v>0</v>
      </c>
      <c r="R25" s="236">
        <v>19</v>
      </c>
      <c r="Z25"/>
      <c r="AA25"/>
      <c r="AB25"/>
      <c r="AC25"/>
    </row>
    <row r="26" spans="2:29" ht="14.5" x14ac:dyDescent="0.35">
      <c r="B26" s="56">
        <f t="shared" si="4"/>
        <v>20</v>
      </c>
      <c r="C26" s="122">
        <f>SUMIFS(LANÇ_MOV[VALOR LÍQUIDO],LANÇ_MOV[RECEITA OU DESPESA],REL_RES_DIA!$C$6,LANÇ_MOV[DIA PAGAMENTO],B26,LANÇ_MOV[ANO PAGAMENTO],REL_RES_DIA!$D$4,LANÇ_MOV[MÊS PGTO],$E$4,LANÇ_MOV[EMPRESA],$G$4,LANÇ_MOV[CENTRO DE CUSTOS],$H$4)</f>
        <v>0</v>
      </c>
      <c r="D26" s="122">
        <f>SUMIFS(LANÇ_MOV[VALOR LÍQUIDO],LANÇ_MOV[RECEITA OU DESPESA],REL_RES_DIA!$D$6,LANÇ_MOV[DIA PAGAMENTO],B26,LANÇ_MOV[ANO PAGAMENTO],REL_RES_DIA!$D$4,LANÇ_MOV[MÊS PGTO],$E$4,LANÇ_MOV[EMPRESA],$G$4,LANÇ_MOV[CENTRO DE CUSTOS],$H$4)</f>
        <v>0</v>
      </c>
      <c r="E26" s="123">
        <f t="shared" si="1"/>
        <v>0</v>
      </c>
      <c r="G26"/>
      <c r="H26"/>
      <c r="I26"/>
      <c r="J26"/>
      <c r="K26"/>
      <c r="L26"/>
      <c r="M26"/>
      <c r="N26"/>
      <c r="O26"/>
      <c r="P26"/>
      <c r="Q26" s="235">
        <f t="shared" si="3"/>
        <v>0</v>
      </c>
      <c r="R26" s="236">
        <v>20</v>
      </c>
      <c r="Z26"/>
      <c r="AA26"/>
      <c r="AB26"/>
      <c r="AC26"/>
    </row>
    <row r="27" spans="2:29" ht="14.5" x14ac:dyDescent="0.35">
      <c r="B27" s="56">
        <f t="shared" si="4"/>
        <v>21</v>
      </c>
      <c r="C27" s="122">
        <f>SUMIFS(LANÇ_MOV[VALOR LÍQUIDO],LANÇ_MOV[RECEITA OU DESPESA],REL_RES_DIA!$C$6,LANÇ_MOV[DIA PAGAMENTO],B27,LANÇ_MOV[ANO PAGAMENTO],REL_RES_DIA!$D$4,LANÇ_MOV[MÊS PGTO],$E$4,LANÇ_MOV[EMPRESA],$G$4,LANÇ_MOV[CENTRO DE CUSTOS],$H$4)</f>
        <v>0</v>
      </c>
      <c r="D27" s="122">
        <f>SUMIFS(LANÇ_MOV[VALOR LÍQUIDO],LANÇ_MOV[RECEITA OU DESPESA],REL_RES_DIA!$D$6,LANÇ_MOV[DIA PAGAMENTO],B27,LANÇ_MOV[ANO PAGAMENTO],REL_RES_DIA!$D$4,LANÇ_MOV[MÊS PGTO],$E$4,LANÇ_MOV[EMPRESA],$G$4,LANÇ_MOV[CENTRO DE CUSTOS],$H$4)</f>
        <v>8466.75</v>
      </c>
      <c r="E27" s="123">
        <f t="shared" si="1"/>
        <v>-8466.75</v>
      </c>
      <c r="G27"/>
      <c r="H27"/>
      <c r="I27"/>
      <c r="J27"/>
      <c r="K27"/>
      <c r="L27"/>
      <c r="M27"/>
      <c r="N27"/>
      <c r="O27"/>
      <c r="P27"/>
      <c r="Q27" s="235">
        <f t="shared" si="3"/>
        <v>-8466.75</v>
      </c>
      <c r="R27" s="236">
        <v>21</v>
      </c>
      <c r="Z27"/>
      <c r="AA27"/>
      <c r="AB27"/>
      <c r="AC27"/>
    </row>
    <row r="28" spans="2:29" ht="14.5" x14ac:dyDescent="0.35">
      <c r="B28" s="56">
        <f t="shared" si="4"/>
        <v>22</v>
      </c>
      <c r="C28" s="122">
        <f>SUMIFS(LANÇ_MOV[VALOR LÍQUIDO],LANÇ_MOV[RECEITA OU DESPESA],REL_RES_DIA!$C$6,LANÇ_MOV[DIA PAGAMENTO],B28,LANÇ_MOV[ANO PAGAMENTO],REL_RES_DIA!$D$4,LANÇ_MOV[MÊS PGTO],$E$4,LANÇ_MOV[EMPRESA],$G$4,LANÇ_MOV[CENTRO DE CUSTOS],$H$4)</f>
        <v>0.5</v>
      </c>
      <c r="D28" s="122">
        <f>SUMIFS(LANÇ_MOV[VALOR LÍQUIDO],LANÇ_MOV[RECEITA OU DESPESA],REL_RES_DIA!$D$6,LANÇ_MOV[DIA PAGAMENTO],B28,LANÇ_MOV[ANO PAGAMENTO],REL_RES_DIA!$D$4,LANÇ_MOV[MÊS PGTO],$E$4,LANÇ_MOV[EMPRESA],$G$4,LANÇ_MOV[CENTRO DE CUSTOS],$H$4)</f>
        <v>5024.5199999999995</v>
      </c>
      <c r="E28" s="123">
        <f t="shared" si="1"/>
        <v>-5024.0199999999995</v>
      </c>
      <c r="G28"/>
      <c r="H28"/>
      <c r="I28"/>
      <c r="J28"/>
      <c r="K28"/>
      <c r="L28"/>
      <c r="M28"/>
      <c r="N28"/>
      <c r="O28"/>
      <c r="P28"/>
      <c r="Q28" s="235">
        <f t="shared" si="3"/>
        <v>-5024.0199999999995</v>
      </c>
      <c r="R28" s="236">
        <v>22</v>
      </c>
      <c r="Z28"/>
      <c r="AA28"/>
      <c r="AB28"/>
      <c r="AC28"/>
    </row>
    <row r="29" spans="2:29" ht="14.5" x14ac:dyDescent="0.35">
      <c r="B29" s="56">
        <f>B28+1</f>
        <v>23</v>
      </c>
      <c r="C29" s="122">
        <f>SUMIFS(LANÇ_MOV[VALOR LÍQUIDO],LANÇ_MOV[RECEITA OU DESPESA],REL_RES_DIA!$C$6,LANÇ_MOV[DIA PAGAMENTO],B29,LANÇ_MOV[ANO PAGAMENTO],REL_RES_DIA!$D$4,LANÇ_MOV[MÊS PGTO],$E$4,LANÇ_MOV[EMPRESA],$G$4,LANÇ_MOV[CENTRO DE CUSTOS],$H$4)</f>
        <v>0</v>
      </c>
      <c r="D29" s="122">
        <f>SUMIFS(LANÇ_MOV[VALOR LÍQUIDO],LANÇ_MOV[RECEITA OU DESPESA],REL_RES_DIA!$D$6,LANÇ_MOV[DIA PAGAMENTO],B29,LANÇ_MOV[ANO PAGAMENTO],REL_RES_DIA!$D$4,LANÇ_MOV[MÊS PGTO],$E$4,LANÇ_MOV[EMPRESA],$G$4,LANÇ_MOV[CENTRO DE CUSTOS],$H$4)</f>
        <v>0</v>
      </c>
      <c r="E29" s="123">
        <f t="shared" si="1"/>
        <v>0</v>
      </c>
      <c r="G29"/>
      <c r="H29"/>
      <c r="I29"/>
      <c r="J29"/>
      <c r="K29"/>
      <c r="L29"/>
      <c r="M29"/>
      <c r="N29"/>
      <c r="O29"/>
      <c r="P29"/>
      <c r="Q29" s="235">
        <f t="shared" ref="Q29:Q37" si="5">E29</f>
        <v>0</v>
      </c>
      <c r="R29" s="236">
        <v>23</v>
      </c>
      <c r="Z29"/>
      <c r="AA29"/>
      <c r="AB29"/>
      <c r="AC29"/>
    </row>
    <row r="30" spans="2:29" ht="14.5" x14ac:dyDescent="0.35">
      <c r="B30" s="56">
        <f>B29+1</f>
        <v>24</v>
      </c>
      <c r="C30" s="122">
        <f>SUMIFS(LANÇ_MOV[VALOR LÍQUIDO],LANÇ_MOV[RECEITA OU DESPESA],REL_RES_DIA!$C$6,LANÇ_MOV[DIA PAGAMENTO],B30,LANÇ_MOV[ANO PAGAMENTO],REL_RES_DIA!$D$4,LANÇ_MOV[MÊS PGTO],$E$4,LANÇ_MOV[EMPRESA],$G$4,LANÇ_MOV[CENTRO DE CUSTOS],$H$4)</f>
        <v>0</v>
      </c>
      <c r="D30" s="122">
        <f>SUMIFS(LANÇ_MOV[VALOR LÍQUIDO],LANÇ_MOV[RECEITA OU DESPESA],REL_RES_DIA!$D$6,LANÇ_MOV[DIA PAGAMENTO],B30,LANÇ_MOV[ANO PAGAMENTO],REL_RES_DIA!$D$4,LANÇ_MOV[MÊS PGTO],$E$4,LANÇ_MOV[EMPRESA],$G$4,LANÇ_MOV[CENTRO DE CUSTOS],$H$4)</f>
        <v>0</v>
      </c>
      <c r="E30" s="123">
        <f t="shared" si="1"/>
        <v>0</v>
      </c>
      <c r="G30"/>
      <c r="H30"/>
      <c r="I30"/>
      <c r="J30"/>
      <c r="K30"/>
      <c r="L30"/>
      <c r="M30"/>
      <c r="N30"/>
      <c r="O30"/>
      <c r="P30"/>
      <c r="Q30" s="235">
        <f t="shared" si="5"/>
        <v>0</v>
      </c>
      <c r="R30" s="236">
        <v>24</v>
      </c>
      <c r="Z30"/>
      <c r="AA30"/>
      <c r="AB30"/>
      <c r="AC30"/>
    </row>
    <row r="31" spans="2:29" ht="14.5" x14ac:dyDescent="0.35">
      <c r="B31" s="56">
        <f t="shared" ref="B31:B37" si="6">B30+1</f>
        <v>25</v>
      </c>
      <c r="C31" s="122">
        <f>SUMIFS(LANÇ_MOV[VALOR LÍQUIDO],LANÇ_MOV[RECEITA OU DESPESA],REL_RES_DIA!$C$6,LANÇ_MOV[DIA PAGAMENTO],B31,LANÇ_MOV[ANO PAGAMENTO],REL_RES_DIA!$D$4,LANÇ_MOV[MÊS PGTO],$E$4,LANÇ_MOV[EMPRESA],$G$4,LANÇ_MOV[CENTRO DE CUSTOS],$H$4)</f>
        <v>1230.02</v>
      </c>
      <c r="D31" s="122">
        <f>SUMIFS(LANÇ_MOV[VALOR LÍQUIDO],LANÇ_MOV[RECEITA OU DESPESA],REL_RES_DIA!$D$6,LANÇ_MOV[DIA PAGAMENTO],B31,LANÇ_MOV[ANO PAGAMENTO],REL_RES_DIA!$D$4,LANÇ_MOV[MÊS PGTO],$E$4,LANÇ_MOV[EMPRESA],$G$4,LANÇ_MOV[CENTRO DE CUSTOS],$H$4)</f>
        <v>0</v>
      </c>
      <c r="E31" s="123">
        <f t="shared" si="1"/>
        <v>1230.02</v>
      </c>
      <c r="G31"/>
      <c r="H31"/>
      <c r="I31"/>
      <c r="J31"/>
      <c r="K31"/>
      <c r="L31"/>
      <c r="M31"/>
      <c r="N31"/>
      <c r="O31"/>
      <c r="P31"/>
      <c r="Q31" s="235">
        <f t="shared" si="5"/>
        <v>1230.02</v>
      </c>
      <c r="R31" s="236">
        <v>25</v>
      </c>
      <c r="Z31"/>
      <c r="AA31"/>
      <c r="AB31"/>
      <c r="AC31"/>
    </row>
    <row r="32" spans="2:29" ht="14.5" x14ac:dyDescent="0.35">
      <c r="B32" s="56">
        <f t="shared" si="6"/>
        <v>26</v>
      </c>
      <c r="C32" s="122">
        <f>SUMIFS(LANÇ_MOV[VALOR LÍQUIDO],LANÇ_MOV[RECEITA OU DESPESA],REL_RES_DIA!$C$6,LANÇ_MOV[DIA PAGAMENTO],B32,LANÇ_MOV[ANO PAGAMENTO],REL_RES_DIA!$D$4,LANÇ_MOV[MÊS PGTO],$E$4,LANÇ_MOV[EMPRESA],$G$4,LANÇ_MOV[CENTRO DE CUSTOS],$H$4)</f>
        <v>0</v>
      </c>
      <c r="D32" s="122">
        <f>SUMIFS(LANÇ_MOV[VALOR LÍQUIDO],LANÇ_MOV[RECEITA OU DESPESA],REL_RES_DIA!$D$6,LANÇ_MOV[DIA PAGAMENTO],B32,LANÇ_MOV[ANO PAGAMENTO],REL_RES_DIA!$D$4,LANÇ_MOV[MÊS PGTO],$E$4,LANÇ_MOV[EMPRESA],$G$4,LANÇ_MOV[CENTRO DE CUSTOS],$H$4)</f>
        <v>0</v>
      </c>
      <c r="E32" s="123">
        <f t="shared" si="1"/>
        <v>0</v>
      </c>
      <c r="G32"/>
      <c r="H32"/>
      <c r="I32"/>
      <c r="J32"/>
      <c r="K32"/>
      <c r="L32"/>
      <c r="M32"/>
      <c r="N32"/>
      <c r="O32"/>
      <c r="P32"/>
      <c r="Q32" s="235">
        <f t="shared" si="5"/>
        <v>0</v>
      </c>
      <c r="R32" s="236">
        <v>26</v>
      </c>
      <c r="Z32"/>
      <c r="AA32"/>
      <c r="AB32"/>
      <c r="AC32"/>
    </row>
    <row r="33" spans="2:29" ht="14.5" x14ac:dyDescent="0.35">
      <c r="B33" s="56">
        <f t="shared" si="6"/>
        <v>27</v>
      </c>
      <c r="C33" s="122">
        <f>SUMIFS(LANÇ_MOV[VALOR LÍQUIDO],LANÇ_MOV[RECEITA OU DESPESA],REL_RES_DIA!$C$6,LANÇ_MOV[DIA PAGAMENTO],B33,LANÇ_MOV[ANO PAGAMENTO],REL_RES_DIA!$D$4,LANÇ_MOV[MÊS PGTO],$E$4,LANÇ_MOV[EMPRESA],$G$4,LANÇ_MOV[CENTRO DE CUSTOS],$H$4)</f>
        <v>0</v>
      </c>
      <c r="D33" s="122">
        <f>SUMIFS(LANÇ_MOV[VALOR LÍQUIDO],LANÇ_MOV[RECEITA OU DESPESA],REL_RES_DIA!$D$6,LANÇ_MOV[DIA PAGAMENTO],B33,LANÇ_MOV[ANO PAGAMENTO],REL_RES_DIA!$D$4,LANÇ_MOV[MÊS PGTO],$E$4,LANÇ_MOV[EMPRESA],$G$4,LANÇ_MOV[CENTRO DE CUSTOS],$H$4)</f>
        <v>0</v>
      </c>
      <c r="E33" s="123">
        <f t="shared" si="1"/>
        <v>0</v>
      </c>
      <c r="G33"/>
      <c r="H33"/>
      <c r="I33"/>
      <c r="J33"/>
      <c r="K33"/>
      <c r="L33"/>
      <c r="M33"/>
      <c r="N33"/>
      <c r="O33"/>
      <c r="P33"/>
      <c r="Q33" s="235">
        <f t="shared" si="5"/>
        <v>0</v>
      </c>
      <c r="R33" s="236">
        <v>27</v>
      </c>
      <c r="Z33"/>
      <c r="AA33"/>
      <c r="AB33"/>
      <c r="AC33"/>
    </row>
    <row r="34" spans="2:29" ht="14.5" x14ac:dyDescent="0.35">
      <c r="B34" s="56">
        <f t="shared" si="6"/>
        <v>28</v>
      </c>
      <c r="C34" s="122">
        <f>SUMIFS(LANÇ_MOV[VALOR LÍQUIDO],LANÇ_MOV[RECEITA OU DESPESA],REL_RES_DIA!$C$6,LANÇ_MOV[DIA PAGAMENTO],B34,LANÇ_MOV[ANO PAGAMENTO],REL_RES_DIA!$D$4,LANÇ_MOV[MÊS PGTO],$E$4,LANÇ_MOV[EMPRESA],$G$4,LANÇ_MOV[CENTRO DE CUSTOS],$H$4)</f>
        <v>0</v>
      </c>
      <c r="D34" s="122">
        <f>SUMIFS(LANÇ_MOV[VALOR LÍQUIDO],LANÇ_MOV[RECEITA OU DESPESA],REL_RES_DIA!$D$6,LANÇ_MOV[DIA PAGAMENTO],B34,LANÇ_MOV[ANO PAGAMENTO],REL_RES_DIA!$D$4,LANÇ_MOV[MÊS PGTO],$E$4,LANÇ_MOV[EMPRESA],$G$4,LANÇ_MOV[CENTRO DE CUSTOS],$H$4)</f>
        <v>0</v>
      </c>
      <c r="E34" s="123">
        <f t="shared" si="1"/>
        <v>0</v>
      </c>
      <c r="G34"/>
      <c r="H34"/>
      <c r="I34"/>
      <c r="J34"/>
      <c r="K34"/>
      <c r="L34"/>
      <c r="M34"/>
      <c r="N34"/>
      <c r="O34"/>
      <c r="P34"/>
      <c r="Q34" s="235">
        <f t="shared" si="5"/>
        <v>0</v>
      </c>
      <c r="R34" s="236">
        <v>28</v>
      </c>
      <c r="Z34"/>
      <c r="AA34"/>
      <c r="AB34"/>
      <c r="AC34"/>
    </row>
    <row r="35" spans="2:29" ht="14.5" x14ac:dyDescent="0.35">
      <c r="B35" s="56">
        <f t="shared" si="6"/>
        <v>29</v>
      </c>
      <c r="C35" s="122">
        <f>SUMIFS(LANÇ_MOV[VALOR LÍQUIDO],LANÇ_MOV[RECEITA OU DESPESA],REL_RES_DIA!$C$6,LANÇ_MOV[DIA PAGAMENTO],B35,LANÇ_MOV[ANO PAGAMENTO],REL_RES_DIA!$D$4,LANÇ_MOV[MÊS PGTO],$E$4,LANÇ_MOV[EMPRESA],$G$4,LANÇ_MOV[CENTRO DE CUSTOS],$H$4)</f>
        <v>0</v>
      </c>
      <c r="D35" s="122">
        <f>SUMIFS(LANÇ_MOV[VALOR LÍQUIDO],LANÇ_MOV[RECEITA OU DESPESA],REL_RES_DIA!$D$6,LANÇ_MOV[DIA PAGAMENTO],B35,LANÇ_MOV[ANO PAGAMENTO],REL_RES_DIA!$D$4,LANÇ_MOV[MÊS PGTO],$E$4,LANÇ_MOV[EMPRESA],$G$4,LANÇ_MOV[CENTRO DE CUSTOS],$H$4)</f>
        <v>0</v>
      </c>
      <c r="E35" s="123">
        <f t="shared" si="1"/>
        <v>0</v>
      </c>
      <c r="G35"/>
      <c r="H35"/>
      <c r="I35"/>
      <c r="J35"/>
      <c r="K35"/>
      <c r="L35"/>
      <c r="M35"/>
      <c r="N35"/>
      <c r="O35"/>
      <c r="P35"/>
      <c r="Q35" s="235">
        <f t="shared" si="5"/>
        <v>0</v>
      </c>
      <c r="R35" s="236">
        <v>29</v>
      </c>
      <c r="Z35"/>
      <c r="AA35"/>
      <c r="AB35"/>
      <c r="AC35"/>
    </row>
    <row r="36" spans="2:29" ht="14.5" x14ac:dyDescent="0.35">
      <c r="B36" s="56">
        <f t="shared" si="6"/>
        <v>30</v>
      </c>
      <c r="C36" s="122">
        <f>SUMIFS(LANÇ_MOV[VALOR LÍQUIDO],LANÇ_MOV[RECEITA OU DESPESA],REL_RES_DIA!$C$6,LANÇ_MOV[DIA PAGAMENTO],B36,LANÇ_MOV[ANO PAGAMENTO],REL_RES_DIA!$D$4,LANÇ_MOV[MÊS PGTO],$E$4,LANÇ_MOV[EMPRESA],$G$4,LANÇ_MOV[CENTRO DE CUSTOS],$H$4)</f>
        <v>0</v>
      </c>
      <c r="D36" s="122">
        <f>SUMIFS(LANÇ_MOV[VALOR LÍQUIDO],LANÇ_MOV[RECEITA OU DESPESA],REL_RES_DIA!$D$6,LANÇ_MOV[DIA PAGAMENTO],B36,LANÇ_MOV[ANO PAGAMENTO],REL_RES_DIA!$D$4,LANÇ_MOV[MÊS PGTO],$E$4,LANÇ_MOV[EMPRESA],$G$4,LANÇ_MOV[CENTRO DE CUSTOS],$H$4)</f>
        <v>0</v>
      </c>
      <c r="E36" s="123">
        <f t="shared" si="1"/>
        <v>0</v>
      </c>
      <c r="G36"/>
      <c r="H36"/>
      <c r="I36"/>
      <c r="J36"/>
      <c r="K36"/>
      <c r="L36"/>
      <c r="M36"/>
      <c r="N36"/>
      <c r="O36"/>
      <c r="P36"/>
      <c r="Q36" s="235">
        <f t="shared" si="5"/>
        <v>0</v>
      </c>
      <c r="R36" s="236">
        <v>30</v>
      </c>
      <c r="Z36"/>
      <c r="AA36"/>
      <c r="AB36"/>
      <c r="AC36"/>
    </row>
    <row r="37" spans="2:29" ht="15.05" thickBot="1" x14ac:dyDescent="0.4">
      <c r="B37" s="56">
        <f t="shared" si="6"/>
        <v>31</v>
      </c>
      <c r="C37" s="122">
        <f>SUMIFS(LANÇ_MOV[VALOR LÍQUIDO],LANÇ_MOV[RECEITA OU DESPESA],REL_RES_DIA!$C$6,LANÇ_MOV[DIA PAGAMENTO],B37,LANÇ_MOV[ANO PAGAMENTO],REL_RES_DIA!$D$4,LANÇ_MOV[MÊS PGTO],$E$4,LANÇ_MOV[EMPRESA],$G$4,LANÇ_MOV[CENTRO DE CUSTOS],$H$4)</f>
        <v>0</v>
      </c>
      <c r="D37" s="122">
        <f>SUMIFS(LANÇ_MOV[VALOR LÍQUIDO],LANÇ_MOV[RECEITA OU DESPESA],REL_RES_DIA!$D$6,LANÇ_MOV[DIA PAGAMENTO],B37,LANÇ_MOV[ANO PAGAMENTO],REL_RES_DIA!$D$4,LANÇ_MOV[MÊS PGTO],$E$4,LANÇ_MOV[EMPRESA],$G$4,LANÇ_MOV[CENTRO DE CUSTOS],$H$4)</f>
        <v>0</v>
      </c>
      <c r="E37" s="123">
        <f t="shared" si="1"/>
        <v>0</v>
      </c>
      <c r="G37"/>
      <c r="H37"/>
      <c r="I37"/>
      <c r="J37"/>
      <c r="K37"/>
      <c r="L37"/>
      <c r="M37"/>
      <c r="N37"/>
      <c r="O37"/>
      <c r="P37"/>
      <c r="Q37" s="235">
        <f t="shared" si="5"/>
        <v>0</v>
      </c>
      <c r="R37" s="236">
        <v>31</v>
      </c>
      <c r="Z37"/>
      <c r="AA37"/>
      <c r="AB37"/>
      <c r="AC37"/>
    </row>
    <row r="38" spans="2:29" ht="15.05" thickTop="1" x14ac:dyDescent="0.35">
      <c r="B38" s="317" t="s">
        <v>1043</v>
      </c>
      <c r="C38" s="318">
        <f>SUBTOTAL(109,C7:C37)</f>
        <v>32737.73</v>
      </c>
      <c r="D38" s="318">
        <f>SUBTOTAL(109,D7:D37)</f>
        <v>28741.18</v>
      </c>
      <c r="E38" s="318">
        <f>C38-D38</f>
        <v>3996.5499999999993</v>
      </c>
      <c r="H38"/>
      <c r="I38"/>
      <c r="Z38"/>
      <c r="AA38"/>
      <c r="AB38"/>
      <c r="AC38"/>
    </row>
    <row r="39" spans="2:29" ht="14.5" x14ac:dyDescent="0.35">
      <c r="Z39"/>
      <c r="AA39"/>
      <c r="AB39"/>
      <c r="AC39"/>
    </row>
    <row r="40" spans="2:29" ht="14.5" x14ac:dyDescent="0.35">
      <c r="Z40"/>
      <c r="AA40"/>
      <c r="AB40"/>
      <c r="AC40"/>
    </row>
    <row r="41" spans="2:29" ht="14.5" x14ac:dyDescent="0.35">
      <c r="Z41"/>
      <c r="AA41"/>
      <c r="AB41"/>
      <c r="AC41"/>
    </row>
    <row r="42" spans="2:29" ht="14.5" x14ac:dyDescent="0.35">
      <c r="Z42"/>
      <c r="AA42"/>
      <c r="AB42"/>
      <c r="AC42"/>
    </row>
    <row r="43" spans="2:29" ht="14.5" x14ac:dyDescent="0.35">
      <c r="Z43"/>
      <c r="AA43"/>
      <c r="AB43"/>
      <c r="AC43"/>
    </row>
    <row r="44" spans="2:29" ht="14.5" x14ac:dyDescent="0.35">
      <c r="Z44"/>
      <c r="AA44"/>
      <c r="AB44"/>
      <c r="AC44"/>
    </row>
    <row r="45" spans="2:29" ht="14.5" x14ac:dyDescent="0.35">
      <c r="Z45"/>
      <c r="AA45"/>
      <c r="AB45"/>
      <c r="AC45"/>
    </row>
    <row r="46" spans="2:29" ht="14.5" x14ac:dyDescent="0.35">
      <c r="Z46"/>
      <c r="AA46"/>
      <c r="AB46"/>
      <c r="AC46"/>
    </row>
    <row r="47" spans="2:29" ht="14.5" x14ac:dyDescent="0.35">
      <c r="Z47"/>
      <c r="AA47"/>
      <c r="AB47"/>
      <c r="AC47"/>
    </row>
    <row r="48" spans="2:29" ht="14.5" x14ac:dyDescent="0.35">
      <c r="Z48"/>
      <c r="AA48"/>
      <c r="AB48"/>
      <c r="AC48"/>
    </row>
    <row r="49" spans="26:29" ht="14.5" x14ac:dyDescent="0.35">
      <c r="Z49"/>
      <c r="AA49"/>
      <c r="AB49"/>
      <c r="AC49"/>
    </row>
    <row r="50" spans="26:29" ht="14.5" x14ac:dyDescent="0.35">
      <c r="Z50"/>
      <c r="AA50"/>
      <c r="AB50"/>
      <c r="AC50"/>
    </row>
    <row r="51" spans="26:29" ht="14.5" x14ac:dyDescent="0.35">
      <c r="Z51"/>
      <c r="AA51"/>
      <c r="AB51"/>
      <c r="AC51"/>
    </row>
    <row r="52" spans="26:29" ht="14.5" x14ac:dyDescent="0.35">
      <c r="Z52"/>
      <c r="AA52"/>
      <c r="AB52"/>
      <c r="AC52"/>
    </row>
    <row r="53" spans="26:29" ht="14.5" x14ac:dyDescent="0.35">
      <c r="Z53"/>
      <c r="AA53"/>
      <c r="AB53"/>
      <c r="AC53"/>
    </row>
    <row r="54" spans="26:29" ht="14.5" x14ac:dyDescent="0.35">
      <c r="Z54"/>
      <c r="AA54"/>
      <c r="AB54"/>
      <c r="AC54"/>
    </row>
    <row r="55" spans="26:29" ht="14.5" x14ac:dyDescent="0.35">
      <c r="Z55"/>
      <c r="AA55"/>
      <c r="AB55"/>
      <c r="AC55"/>
    </row>
    <row r="56" spans="26:29" ht="14.5" x14ac:dyDescent="0.35">
      <c r="Z56"/>
      <c r="AA56"/>
      <c r="AB56"/>
      <c r="AC56"/>
    </row>
    <row r="57" spans="26:29" ht="14.5" x14ac:dyDescent="0.35">
      <c r="Z57"/>
      <c r="AA57"/>
      <c r="AB57"/>
      <c r="AC57"/>
    </row>
    <row r="58" spans="26:29" ht="14.5" x14ac:dyDescent="0.35">
      <c r="Z58"/>
      <c r="AA58"/>
      <c r="AB58"/>
      <c r="AC58"/>
    </row>
    <row r="59" spans="26:29" ht="14.5" x14ac:dyDescent="0.35">
      <c r="Z59"/>
      <c r="AA59"/>
      <c r="AB59"/>
      <c r="AC59"/>
    </row>
    <row r="60" spans="26:29" ht="14.5" x14ac:dyDescent="0.35">
      <c r="Z60"/>
      <c r="AA60"/>
      <c r="AB60"/>
      <c r="AC60"/>
    </row>
    <row r="61" spans="26:29" ht="14.5" x14ac:dyDescent="0.35">
      <c r="Z61"/>
      <c r="AA61"/>
      <c r="AB61"/>
      <c r="AC61"/>
    </row>
    <row r="62" spans="26:29" ht="14.5" x14ac:dyDescent="0.35">
      <c r="Z62"/>
      <c r="AA62"/>
      <c r="AB62"/>
      <c r="AC62"/>
    </row>
    <row r="63" spans="26:29" ht="14.5" x14ac:dyDescent="0.35">
      <c r="Z63"/>
      <c r="AA63"/>
      <c r="AB63"/>
      <c r="AC63"/>
    </row>
    <row r="64" spans="26:29" ht="14.5" x14ac:dyDescent="0.35">
      <c r="Z64"/>
      <c r="AA64"/>
      <c r="AB64"/>
      <c r="AC64"/>
    </row>
    <row r="65" spans="26:29" ht="14.5" x14ac:dyDescent="0.35">
      <c r="Z65"/>
      <c r="AA65"/>
      <c r="AB65"/>
      <c r="AC65"/>
    </row>
    <row r="66" spans="26:29" ht="14.5" x14ac:dyDescent="0.35">
      <c r="Z66"/>
      <c r="AA66"/>
      <c r="AB66"/>
      <c r="AC66"/>
    </row>
    <row r="67" spans="26:29" ht="14.5" x14ac:dyDescent="0.35">
      <c r="Z67"/>
      <c r="AA67"/>
      <c r="AB67"/>
      <c r="AC67"/>
    </row>
    <row r="68" spans="26:29" ht="14.5" x14ac:dyDescent="0.35">
      <c r="Z68"/>
      <c r="AA68"/>
      <c r="AB68"/>
      <c r="AC68"/>
    </row>
    <row r="69" spans="26:29" ht="14.5" x14ac:dyDescent="0.35">
      <c r="Z69"/>
      <c r="AA69"/>
      <c r="AB69"/>
      <c r="AC69"/>
    </row>
    <row r="70" spans="26:29" ht="14.5" x14ac:dyDescent="0.35">
      <c r="Z70"/>
      <c r="AA70"/>
      <c r="AB70"/>
      <c r="AC70"/>
    </row>
    <row r="71" spans="26:29" ht="14.5" x14ac:dyDescent="0.35">
      <c r="Z71"/>
      <c r="AA71"/>
      <c r="AB71"/>
      <c r="AC71"/>
    </row>
    <row r="72" spans="26:29" ht="14.5" x14ac:dyDescent="0.35">
      <c r="Z72"/>
      <c r="AA72"/>
      <c r="AB72"/>
      <c r="AC72"/>
    </row>
    <row r="73" spans="26:29" ht="14.5" x14ac:dyDescent="0.35">
      <c r="Z73"/>
      <c r="AA73"/>
      <c r="AB73"/>
      <c r="AC73"/>
    </row>
    <row r="74" spans="26:29" ht="14.5" x14ac:dyDescent="0.35">
      <c r="Z74"/>
      <c r="AA74"/>
      <c r="AB74"/>
      <c r="AC74"/>
    </row>
    <row r="75" spans="26:29" ht="14.5" x14ac:dyDescent="0.35">
      <c r="Z75"/>
      <c r="AA75"/>
      <c r="AB75"/>
      <c r="AC75"/>
    </row>
    <row r="76" spans="26:29" ht="14.5" x14ac:dyDescent="0.35">
      <c r="Z76"/>
      <c r="AA76"/>
      <c r="AB76"/>
      <c r="AC76"/>
    </row>
    <row r="77" spans="26:29" ht="14.5" x14ac:dyDescent="0.35">
      <c r="Z77"/>
      <c r="AA77"/>
      <c r="AB77"/>
      <c r="AC77"/>
    </row>
    <row r="78" spans="26:29" ht="14.5" x14ac:dyDescent="0.35">
      <c r="Z78"/>
      <c r="AA78"/>
      <c r="AB78"/>
      <c r="AC78"/>
    </row>
    <row r="79" spans="26:29" ht="14.5" x14ac:dyDescent="0.35">
      <c r="Z79"/>
      <c r="AA79"/>
      <c r="AB79"/>
      <c r="AC79"/>
    </row>
    <row r="80" spans="26:29" ht="14.5" x14ac:dyDescent="0.35">
      <c r="Z80"/>
      <c r="AA80"/>
      <c r="AB80"/>
      <c r="AC80"/>
    </row>
    <row r="81" spans="26:29" ht="14.5" x14ac:dyDescent="0.35">
      <c r="Z81"/>
      <c r="AA81"/>
      <c r="AB81"/>
      <c r="AC81"/>
    </row>
    <row r="82" spans="26:29" ht="14.5" x14ac:dyDescent="0.35">
      <c r="Z82"/>
      <c r="AA82"/>
      <c r="AB82"/>
      <c r="AC82"/>
    </row>
    <row r="83" spans="26:29" ht="14.5" x14ac:dyDescent="0.35">
      <c r="Z83"/>
      <c r="AA83"/>
      <c r="AB83"/>
      <c r="AC83"/>
    </row>
    <row r="84" spans="26:29" ht="14.5" x14ac:dyDescent="0.35">
      <c r="Z84"/>
      <c r="AA84"/>
      <c r="AB84"/>
      <c r="AC84"/>
    </row>
    <row r="85" spans="26:29" ht="14.5" x14ac:dyDescent="0.35">
      <c r="Z85"/>
      <c r="AA85"/>
      <c r="AB85"/>
      <c r="AC85"/>
    </row>
    <row r="86" spans="26:29" ht="14.5" x14ac:dyDescent="0.35">
      <c r="Z86"/>
      <c r="AA86"/>
      <c r="AB86"/>
      <c r="AC86"/>
    </row>
    <row r="87" spans="26:29" ht="14.5" x14ac:dyDescent="0.35">
      <c r="Z87"/>
      <c r="AA87"/>
      <c r="AB87"/>
      <c r="AC87"/>
    </row>
    <row r="88" spans="26:29" ht="14.5" x14ac:dyDescent="0.35">
      <c r="Z88"/>
      <c r="AA88"/>
      <c r="AB88"/>
      <c r="AC88"/>
    </row>
    <row r="89" spans="26:29" ht="14.5" x14ac:dyDescent="0.35">
      <c r="Z89"/>
      <c r="AA89"/>
      <c r="AB89"/>
      <c r="AC89"/>
    </row>
    <row r="90" spans="26:29" ht="14.5" x14ac:dyDescent="0.35">
      <c r="Z90"/>
      <c r="AA90"/>
      <c r="AB90"/>
      <c r="AC90"/>
    </row>
    <row r="91" spans="26:29" ht="14.5" x14ac:dyDescent="0.35">
      <c r="Z91"/>
      <c r="AA91"/>
      <c r="AB91"/>
      <c r="AC91"/>
    </row>
    <row r="92" spans="26:29" ht="14.5" x14ac:dyDescent="0.35">
      <c r="Z92"/>
      <c r="AA92"/>
      <c r="AB92"/>
      <c r="AC92"/>
    </row>
    <row r="93" spans="26:29" ht="14.5" x14ac:dyDescent="0.35">
      <c r="Z93"/>
      <c r="AA93"/>
      <c r="AB93"/>
      <c r="AC93"/>
    </row>
    <row r="94" spans="26:29" ht="14.5" x14ac:dyDescent="0.35">
      <c r="Z94"/>
      <c r="AA94"/>
      <c r="AB94"/>
      <c r="AC94"/>
    </row>
    <row r="95" spans="26:29" ht="14.5" x14ac:dyDescent="0.35">
      <c r="Z95"/>
      <c r="AA95"/>
      <c r="AB95"/>
      <c r="AC95"/>
    </row>
    <row r="96" spans="26:29" ht="14.5" x14ac:dyDescent="0.35">
      <c r="Z96"/>
      <c r="AA96"/>
      <c r="AB96"/>
      <c r="AC96"/>
    </row>
    <row r="97" spans="26:29" ht="14.5" x14ac:dyDescent="0.35">
      <c r="Z97"/>
      <c r="AA97"/>
      <c r="AB97"/>
      <c r="AC97"/>
    </row>
    <row r="98" spans="26:29" ht="14.5" x14ac:dyDescent="0.35">
      <c r="Z98"/>
      <c r="AA98"/>
      <c r="AB98"/>
      <c r="AC98"/>
    </row>
    <row r="99" spans="26:29" ht="14.5" x14ac:dyDescent="0.35">
      <c r="Z99"/>
      <c r="AA99"/>
      <c r="AB99"/>
      <c r="AC99"/>
    </row>
    <row r="100" spans="26:29" ht="14.5" x14ac:dyDescent="0.35">
      <c r="Z100"/>
      <c r="AA100"/>
      <c r="AB100"/>
      <c r="AC100"/>
    </row>
    <row r="101" spans="26:29" ht="14.5" x14ac:dyDescent="0.35">
      <c r="Z101"/>
      <c r="AA101"/>
      <c r="AB101"/>
      <c r="AC101"/>
    </row>
    <row r="102" spans="26:29" ht="14.5" x14ac:dyDescent="0.35">
      <c r="Z102"/>
      <c r="AA102"/>
      <c r="AB102"/>
      <c r="AC102"/>
    </row>
    <row r="103" spans="26:29" ht="14.5" x14ac:dyDescent="0.35">
      <c r="Z103"/>
      <c r="AA103"/>
      <c r="AB103"/>
      <c r="AC103"/>
    </row>
    <row r="104" spans="26:29" ht="14.5" x14ac:dyDescent="0.35">
      <c r="Z104"/>
      <c r="AA104"/>
      <c r="AB104"/>
      <c r="AC104"/>
    </row>
    <row r="105" spans="26:29" ht="14.5" x14ac:dyDescent="0.35">
      <c r="Z105"/>
      <c r="AA105"/>
      <c r="AB105"/>
      <c r="AC105"/>
    </row>
    <row r="106" spans="26:29" ht="14.5" x14ac:dyDescent="0.35">
      <c r="Z106"/>
      <c r="AA106"/>
      <c r="AB106"/>
      <c r="AC106"/>
    </row>
    <row r="107" spans="26:29" ht="14.5" x14ac:dyDescent="0.35">
      <c r="Z107"/>
      <c r="AA107"/>
      <c r="AB107"/>
      <c r="AC107"/>
    </row>
    <row r="108" spans="26:29" ht="14.5" x14ac:dyDescent="0.35">
      <c r="Z108"/>
      <c r="AA108"/>
      <c r="AB108"/>
      <c r="AC108"/>
    </row>
    <row r="109" spans="26:29" ht="14.5" x14ac:dyDescent="0.35">
      <c r="Z109"/>
      <c r="AA109"/>
      <c r="AB109"/>
      <c r="AC109"/>
    </row>
    <row r="110" spans="26:29" ht="14.5" x14ac:dyDescent="0.35">
      <c r="Z110"/>
      <c r="AA110"/>
      <c r="AB110"/>
      <c r="AC110"/>
    </row>
    <row r="111" spans="26:29" ht="14.5" x14ac:dyDescent="0.35">
      <c r="Z111"/>
      <c r="AA111"/>
      <c r="AB111"/>
      <c r="AC111"/>
    </row>
    <row r="112" spans="26:29" ht="14.5" x14ac:dyDescent="0.35">
      <c r="Z112"/>
      <c r="AA112"/>
      <c r="AB112"/>
      <c r="AC112"/>
    </row>
    <row r="113" spans="26:29" ht="14.5" x14ac:dyDescent="0.35">
      <c r="Z113"/>
      <c r="AA113"/>
      <c r="AB113"/>
      <c r="AC113"/>
    </row>
    <row r="114" spans="26:29" ht="14.5" x14ac:dyDescent="0.35">
      <c r="Z114"/>
      <c r="AA114"/>
      <c r="AB114"/>
      <c r="AC114"/>
    </row>
    <row r="115" spans="26:29" ht="14.5" x14ac:dyDescent="0.35">
      <c r="Z115"/>
      <c r="AA115"/>
      <c r="AB115"/>
      <c r="AC115"/>
    </row>
    <row r="116" spans="26:29" ht="14.5" x14ac:dyDescent="0.35">
      <c r="Z116"/>
      <c r="AA116"/>
      <c r="AB116"/>
      <c r="AC116"/>
    </row>
    <row r="117" spans="26:29" ht="14.5" x14ac:dyDescent="0.35">
      <c r="Z117"/>
      <c r="AA117"/>
      <c r="AB117"/>
      <c r="AC117"/>
    </row>
    <row r="118" spans="26:29" ht="14.5" x14ac:dyDescent="0.35">
      <c r="Z118"/>
      <c r="AA118"/>
      <c r="AB118"/>
      <c r="AC118"/>
    </row>
    <row r="119" spans="26:29" ht="14.5" x14ac:dyDescent="0.35">
      <c r="Z119"/>
      <c r="AA119"/>
      <c r="AB119"/>
      <c r="AC119"/>
    </row>
    <row r="120" spans="26:29" ht="14.5" x14ac:dyDescent="0.35">
      <c r="Z120"/>
      <c r="AA120"/>
      <c r="AB120"/>
      <c r="AC120"/>
    </row>
    <row r="121" spans="26:29" ht="14.5" x14ac:dyDescent="0.35">
      <c r="Z121"/>
      <c r="AA121"/>
      <c r="AB121"/>
      <c r="AC121"/>
    </row>
    <row r="122" spans="26:29" ht="14.5" x14ac:dyDescent="0.35">
      <c r="Z122"/>
      <c r="AA122"/>
      <c r="AB122"/>
      <c r="AC122"/>
    </row>
    <row r="123" spans="26:29" ht="14.5" x14ac:dyDescent="0.35">
      <c r="Z123"/>
      <c r="AA123"/>
      <c r="AB123"/>
      <c r="AC123"/>
    </row>
    <row r="124" spans="26:29" ht="14.5" x14ac:dyDescent="0.35">
      <c r="Z124"/>
      <c r="AA124"/>
      <c r="AB124"/>
      <c r="AC124"/>
    </row>
    <row r="125" spans="26:29" ht="14.5" x14ac:dyDescent="0.35">
      <c r="Z125"/>
      <c r="AA125"/>
      <c r="AB125"/>
      <c r="AC125"/>
    </row>
    <row r="126" spans="26:29" ht="14.5" x14ac:dyDescent="0.35">
      <c r="Z126"/>
      <c r="AA126"/>
      <c r="AB126"/>
      <c r="AC126"/>
    </row>
    <row r="127" spans="26:29" ht="14.5" x14ac:dyDescent="0.35">
      <c r="Z127"/>
      <c r="AA127"/>
      <c r="AB127"/>
      <c r="AC127"/>
    </row>
    <row r="128" spans="26:29" ht="14.5" x14ac:dyDescent="0.35">
      <c r="Z128"/>
      <c r="AA128"/>
      <c r="AB128"/>
      <c r="AC128"/>
    </row>
    <row r="129" spans="26:29" ht="14.5" x14ac:dyDescent="0.35">
      <c r="Z129"/>
      <c r="AA129"/>
      <c r="AB129"/>
      <c r="AC129"/>
    </row>
    <row r="130" spans="26:29" ht="14.5" x14ac:dyDescent="0.35">
      <c r="Z130"/>
      <c r="AA130"/>
      <c r="AB130"/>
      <c r="AC130"/>
    </row>
    <row r="131" spans="26:29" ht="14.5" x14ac:dyDescent="0.35">
      <c r="Z131"/>
      <c r="AA131"/>
      <c r="AB131"/>
      <c r="AC131"/>
    </row>
    <row r="132" spans="26:29" ht="14.5" x14ac:dyDescent="0.35">
      <c r="Z132"/>
      <c r="AA132"/>
      <c r="AB132"/>
      <c r="AC132"/>
    </row>
    <row r="133" spans="26:29" ht="14.5" x14ac:dyDescent="0.35">
      <c r="Z133"/>
      <c r="AA133"/>
      <c r="AB133"/>
      <c r="AC133"/>
    </row>
    <row r="134" spans="26:29" ht="14.5" x14ac:dyDescent="0.35">
      <c r="Z134"/>
      <c r="AA134"/>
      <c r="AB134"/>
      <c r="AC134"/>
    </row>
    <row r="135" spans="26:29" ht="14.5" x14ac:dyDescent="0.35">
      <c r="Z135"/>
      <c r="AA135"/>
      <c r="AB135"/>
      <c r="AC135"/>
    </row>
    <row r="136" spans="26:29" ht="14.5" x14ac:dyDescent="0.35">
      <c r="Z136"/>
      <c r="AA136"/>
      <c r="AB136"/>
      <c r="AC136"/>
    </row>
    <row r="137" spans="26:29" ht="14.5" x14ac:dyDescent="0.35">
      <c r="Z137"/>
      <c r="AA137"/>
      <c r="AB137"/>
      <c r="AC137"/>
    </row>
    <row r="138" spans="26:29" ht="14.5" x14ac:dyDescent="0.35">
      <c r="Z138"/>
      <c r="AA138"/>
      <c r="AB138"/>
      <c r="AC138"/>
    </row>
    <row r="139" spans="26:29" ht="14.5" x14ac:dyDescent="0.35">
      <c r="Z139"/>
      <c r="AA139"/>
      <c r="AB139"/>
      <c r="AC139"/>
    </row>
    <row r="140" spans="26:29" ht="14.5" x14ac:dyDescent="0.35">
      <c r="Z140"/>
      <c r="AA140"/>
      <c r="AB140"/>
      <c r="AC140"/>
    </row>
    <row r="141" spans="26:29" ht="14.5" x14ac:dyDescent="0.35">
      <c r="Z141"/>
      <c r="AA141"/>
      <c r="AB141"/>
      <c r="AC141"/>
    </row>
    <row r="142" spans="26:29" ht="14.5" x14ac:dyDescent="0.35">
      <c r="Z142"/>
      <c r="AA142"/>
      <c r="AB142"/>
      <c r="AC142"/>
    </row>
    <row r="143" spans="26:29" ht="14.5" x14ac:dyDescent="0.35">
      <c r="Z143"/>
      <c r="AA143"/>
      <c r="AB143"/>
      <c r="AC143"/>
    </row>
    <row r="144" spans="26:29" ht="14.5" x14ac:dyDescent="0.35">
      <c r="Z144"/>
      <c r="AA144"/>
      <c r="AB144"/>
      <c r="AC144"/>
    </row>
    <row r="145" spans="26:29" ht="14.5" x14ac:dyDescent="0.35">
      <c r="Z145"/>
      <c r="AA145"/>
      <c r="AB145"/>
      <c r="AC145"/>
    </row>
    <row r="146" spans="26:29" ht="14.5" x14ac:dyDescent="0.35">
      <c r="Z146"/>
      <c r="AA146"/>
      <c r="AB146"/>
      <c r="AC146"/>
    </row>
    <row r="147" spans="26:29" ht="14.5" x14ac:dyDescent="0.35">
      <c r="Z147"/>
      <c r="AA147"/>
      <c r="AB147"/>
      <c r="AC147"/>
    </row>
    <row r="148" spans="26:29" ht="14.5" x14ac:dyDescent="0.35">
      <c r="Z148"/>
      <c r="AA148"/>
      <c r="AB148"/>
      <c r="AC148"/>
    </row>
    <row r="149" spans="26:29" ht="14.5" x14ac:dyDescent="0.35">
      <c r="Z149"/>
      <c r="AA149"/>
      <c r="AB149"/>
      <c r="AC149"/>
    </row>
    <row r="150" spans="26:29" ht="14.5" x14ac:dyDescent="0.35">
      <c r="Z150"/>
      <c r="AA150"/>
      <c r="AB150"/>
      <c r="AC150"/>
    </row>
    <row r="151" spans="26:29" ht="14.5" x14ac:dyDescent="0.35">
      <c r="Z151"/>
      <c r="AA151"/>
      <c r="AB151"/>
      <c r="AC151"/>
    </row>
    <row r="152" spans="26:29" ht="14.5" x14ac:dyDescent="0.35">
      <c r="Z152"/>
      <c r="AA152"/>
      <c r="AB152"/>
      <c r="AC152"/>
    </row>
    <row r="153" spans="26:29" ht="14.5" x14ac:dyDescent="0.35">
      <c r="Z153"/>
      <c r="AA153"/>
      <c r="AB153"/>
      <c r="AC153"/>
    </row>
    <row r="154" spans="26:29" ht="14.5" x14ac:dyDescent="0.35">
      <c r="Z154"/>
      <c r="AA154"/>
      <c r="AB154"/>
      <c r="AC154"/>
    </row>
    <row r="155" spans="26:29" ht="14.5" x14ac:dyDescent="0.35">
      <c r="Z155"/>
      <c r="AA155"/>
      <c r="AB155"/>
      <c r="AC155"/>
    </row>
    <row r="156" spans="26:29" ht="14.5" x14ac:dyDescent="0.35">
      <c r="Z156"/>
      <c r="AA156"/>
      <c r="AB156"/>
      <c r="AC156"/>
    </row>
    <row r="157" spans="26:29" ht="14.5" x14ac:dyDescent="0.35">
      <c r="Z157"/>
      <c r="AA157"/>
      <c r="AB157"/>
      <c r="AC157"/>
    </row>
    <row r="158" spans="26:29" ht="14.5" x14ac:dyDescent="0.35">
      <c r="Z158"/>
      <c r="AA158"/>
      <c r="AB158"/>
      <c r="AC158"/>
    </row>
    <row r="159" spans="26:29" ht="14.5" x14ac:dyDescent="0.35">
      <c r="Z159"/>
      <c r="AA159"/>
      <c r="AB159"/>
      <c r="AC159"/>
    </row>
    <row r="160" spans="26:29" ht="14.5" x14ac:dyDescent="0.35">
      <c r="Z160"/>
      <c r="AA160"/>
      <c r="AB160"/>
      <c r="AC160"/>
    </row>
    <row r="161" spans="26:29" ht="14.5" x14ac:dyDescent="0.35">
      <c r="Z161"/>
      <c r="AA161"/>
      <c r="AB161"/>
      <c r="AC161"/>
    </row>
    <row r="162" spans="26:29" ht="14.5" x14ac:dyDescent="0.35">
      <c r="Z162"/>
      <c r="AA162"/>
      <c r="AB162"/>
      <c r="AC162"/>
    </row>
    <row r="163" spans="26:29" ht="14.5" x14ac:dyDescent="0.35">
      <c r="Z163"/>
      <c r="AA163"/>
      <c r="AB163"/>
      <c r="AC163"/>
    </row>
    <row r="164" spans="26:29" ht="14.5" x14ac:dyDescent="0.35">
      <c r="Z164"/>
      <c r="AA164"/>
      <c r="AB164"/>
      <c r="AC164"/>
    </row>
    <row r="165" spans="26:29" ht="14.5" x14ac:dyDescent="0.35">
      <c r="Z165"/>
      <c r="AA165"/>
      <c r="AB165"/>
      <c r="AC165"/>
    </row>
    <row r="166" spans="26:29" ht="14.5" x14ac:dyDescent="0.35">
      <c r="Z166"/>
      <c r="AA166"/>
      <c r="AB166"/>
      <c r="AC166"/>
    </row>
    <row r="167" spans="26:29" ht="14.5" x14ac:dyDescent="0.35">
      <c r="Z167"/>
      <c r="AA167"/>
      <c r="AB167"/>
      <c r="AC167"/>
    </row>
    <row r="168" spans="26:29" ht="14.5" x14ac:dyDescent="0.35">
      <c r="Z168"/>
      <c r="AA168"/>
      <c r="AB168"/>
      <c r="AC168"/>
    </row>
    <row r="169" spans="26:29" ht="14.5" x14ac:dyDescent="0.35">
      <c r="Z169"/>
      <c r="AA169"/>
      <c r="AB169"/>
      <c r="AC169"/>
    </row>
    <row r="170" spans="26:29" ht="14.5" x14ac:dyDescent="0.35">
      <c r="Z170"/>
      <c r="AA170"/>
      <c r="AB170"/>
      <c r="AC170"/>
    </row>
    <row r="171" spans="26:29" ht="14.5" x14ac:dyDescent="0.35">
      <c r="Z171"/>
      <c r="AA171"/>
      <c r="AB171"/>
      <c r="AC171"/>
    </row>
    <row r="172" spans="26:29" ht="14.5" x14ac:dyDescent="0.35">
      <c r="Z172"/>
      <c r="AA172"/>
      <c r="AB172"/>
      <c r="AC172"/>
    </row>
    <row r="173" spans="26:29" ht="14.5" x14ac:dyDescent="0.35">
      <c r="Z173"/>
      <c r="AA173"/>
      <c r="AB173"/>
      <c r="AC173"/>
    </row>
    <row r="174" spans="26:29" ht="14.5" x14ac:dyDescent="0.35">
      <c r="Z174"/>
      <c r="AA174"/>
      <c r="AB174"/>
      <c r="AC174"/>
    </row>
    <row r="175" spans="26:29" ht="14.5" x14ac:dyDescent="0.35">
      <c r="Z175"/>
      <c r="AA175"/>
      <c r="AB175"/>
      <c r="AC175"/>
    </row>
    <row r="176" spans="26:29" ht="14.5" x14ac:dyDescent="0.35">
      <c r="Z176"/>
      <c r="AA176"/>
      <c r="AB176"/>
      <c r="AC176"/>
    </row>
    <row r="177" spans="26:29" ht="14.5" x14ac:dyDescent="0.35">
      <c r="Z177"/>
      <c r="AA177"/>
      <c r="AB177"/>
      <c r="AC177"/>
    </row>
    <row r="178" spans="26:29" ht="14.5" x14ac:dyDescent="0.35">
      <c r="Z178"/>
      <c r="AA178"/>
      <c r="AB178"/>
      <c r="AC178"/>
    </row>
    <row r="179" spans="26:29" ht="14.5" x14ac:dyDescent="0.35">
      <c r="Z179"/>
      <c r="AA179"/>
      <c r="AB179"/>
      <c r="AC179"/>
    </row>
    <row r="180" spans="26:29" ht="14.5" x14ac:dyDescent="0.35">
      <c r="Z180"/>
      <c r="AA180"/>
      <c r="AB180"/>
      <c r="AC180"/>
    </row>
    <row r="181" spans="26:29" ht="14.5" x14ac:dyDescent="0.35">
      <c r="Z181"/>
      <c r="AA181"/>
      <c r="AB181"/>
      <c r="AC181"/>
    </row>
    <row r="182" spans="26:29" ht="14.5" x14ac:dyDescent="0.35">
      <c r="Z182"/>
      <c r="AA182"/>
      <c r="AB182"/>
      <c r="AC182"/>
    </row>
    <row r="183" spans="26:29" ht="14.5" x14ac:dyDescent="0.35">
      <c r="Z183"/>
      <c r="AA183"/>
      <c r="AB183"/>
      <c r="AC183"/>
    </row>
    <row r="184" spans="26:29" ht="14.5" x14ac:dyDescent="0.35">
      <c r="Z184"/>
      <c r="AA184"/>
      <c r="AB184"/>
      <c r="AC184"/>
    </row>
    <row r="185" spans="26:29" ht="14.5" x14ac:dyDescent="0.35">
      <c r="Z185"/>
      <c r="AA185"/>
      <c r="AB185"/>
      <c r="AC185"/>
    </row>
    <row r="186" spans="26:29" ht="14.5" x14ac:dyDescent="0.35">
      <c r="Z186"/>
      <c r="AA186"/>
      <c r="AB186"/>
      <c r="AC186"/>
    </row>
    <row r="187" spans="26:29" ht="14.5" x14ac:dyDescent="0.35">
      <c r="Z187"/>
      <c r="AA187"/>
      <c r="AB187"/>
      <c r="AC187"/>
    </row>
    <row r="188" spans="26:29" ht="14.5" x14ac:dyDescent="0.35">
      <c r="Z188"/>
      <c r="AA188"/>
      <c r="AB188"/>
      <c r="AC188"/>
    </row>
    <row r="189" spans="26:29" ht="14.5" x14ac:dyDescent="0.35">
      <c r="Z189"/>
      <c r="AA189"/>
      <c r="AB189"/>
      <c r="AC189"/>
    </row>
    <row r="190" spans="26:29" ht="14.5" x14ac:dyDescent="0.35">
      <c r="Z190"/>
      <c r="AA190"/>
      <c r="AB190"/>
      <c r="AC190"/>
    </row>
    <row r="191" spans="26:29" ht="14.5" x14ac:dyDescent="0.35">
      <c r="Z191"/>
      <c r="AA191"/>
      <c r="AB191"/>
      <c r="AC191"/>
    </row>
    <row r="192" spans="26:29" ht="14.5" x14ac:dyDescent="0.35">
      <c r="Z192"/>
      <c r="AA192"/>
      <c r="AB192"/>
      <c r="AC192"/>
    </row>
    <row r="193" spans="26:29" ht="14.5" x14ac:dyDescent="0.35">
      <c r="Z193"/>
      <c r="AA193"/>
      <c r="AB193"/>
      <c r="AC193"/>
    </row>
    <row r="194" spans="26:29" ht="14.5" x14ac:dyDescent="0.35">
      <c r="Z194"/>
      <c r="AA194"/>
      <c r="AB194"/>
      <c r="AC194"/>
    </row>
    <row r="195" spans="26:29" ht="14.5" x14ac:dyDescent="0.35">
      <c r="Z195"/>
      <c r="AA195"/>
      <c r="AB195"/>
      <c r="AC195"/>
    </row>
    <row r="196" spans="26:29" ht="14.5" x14ac:dyDescent="0.35">
      <c r="Z196"/>
      <c r="AA196"/>
      <c r="AB196"/>
      <c r="AC196"/>
    </row>
    <row r="197" spans="26:29" ht="14.5" x14ac:dyDescent="0.35">
      <c r="Z197"/>
      <c r="AA197"/>
      <c r="AB197"/>
      <c r="AC197"/>
    </row>
    <row r="198" spans="26:29" ht="14.5" x14ac:dyDescent="0.35">
      <c r="Z198"/>
      <c r="AA198"/>
      <c r="AB198"/>
      <c r="AC198"/>
    </row>
    <row r="199" spans="26:29" ht="14.5" x14ac:dyDescent="0.35">
      <c r="Z199"/>
      <c r="AA199"/>
      <c r="AB199"/>
      <c r="AC199"/>
    </row>
    <row r="200" spans="26:29" ht="14.5" x14ac:dyDescent="0.35">
      <c r="Z200"/>
      <c r="AA200"/>
      <c r="AB200"/>
      <c r="AC200"/>
    </row>
    <row r="201" spans="26:29" ht="14.5" x14ac:dyDescent="0.35">
      <c r="Z201"/>
      <c r="AA201"/>
      <c r="AB201"/>
      <c r="AC201"/>
    </row>
    <row r="202" spans="26:29" ht="14.5" x14ac:dyDescent="0.35">
      <c r="Z202"/>
      <c r="AA202"/>
      <c r="AB202"/>
      <c r="AC202"/>
    </row>
    <row r="203" spans="26:29" ht="14.5" x14ac:dyDescent="0.35">
      <c r="Z203"/>
      <c r="AA203"/>
      <c r="AB203"/>
      <c r="AC203"/>
    </row>
    <row r="204" spans="26:29" ht="14.5" x14ac:dyDescent="0.35">
      <c r="Z204"/>
      <c r="AA204"/>
      <c r="AB204"/>
      <c r="AC204"/>
    </row>
    <row r="205" spans="26:29" ht="14.5" x14ac:dyDescent="0.35">
      <c r="Z205"/>
      <c r="AA205"/>
      <c r="AB205"/>
      <c r="AC205"/>
    </row>
    <row r="206" spans="26:29" ht="14.5" x14ac:dyDescent="0.35">
      <c r="Z206"/>
      <c r="AA206"/>
      <c r="AB206"/>
      <c r="AC206"/>
    </row>
    <row r="207" spans="26:29" ht="14.5" x14ac:dyDescent="0.35">
      <c r="Z207"/>
      <c r="AA207"/>
      <c r="AB207"/>
      <c r="AC207"/>
    </row>
    <row r="208" spans="26:29" ht="14.5" x14ac:dyDescent="0.35">
      <c r="Z208"/>
      <c r="AA208"/>
      <c r="AB208"/>
      <c r="AC208"/>
    </row>
    <row r="209" spans="26:29" ht="14.5" x14ac:dyDescent="0.35">
      <c r="Z209"/>
      <c r="AA209"/>
      <c r="AB209"/>
      <c r="AC209"/>
    </row>
    <row r="210" spans="26:29" ht="14.5" x14ac:dyDescent="0.35">
      <c r="Z210"/>
      <c r="AA210"/>
      <c r="AB210"/>
      <c r="AC210"/>
    </row>
    <row r="211" spans="26:29" ht="14.5" x14ac:dyDescent="0.35">
      <c r="Z211"/>
      <c r="AA211"/>
      <c r="AB211"/>
      <c r="AC211"/>
    </row>
    <row r="212" spans="26:29" ht="14.5" x14ac:dyDescent="0.35">
      <c r="Z212"/>
      <c r="AA212"/>
      <c r="AB212"/>
      <c r="AC212"/>
    </row>
    <row r="213" spans="26:29" ht="14.5" x14ac:dyDescent="0.35">
      <c r="Z213"/>
      <c r="AA213"/>
      <c r="AB213"/>
      <c r="AC213"/>
    </row>
    <row r="214" spans="26:29" ht="14.5" x14ac:dyDescent="0.35">
      <c r="Z214"/>
      <c r="AA214"/>
      <c r="AB214"/>
      <c r="AC214"/>
    </row>
    <row r="215" spans="26:29" ht="14.5" x14ac:dyDescent="0.35">
      <c r="Z215"/>
      <c r="AA215"/>
      <c r="AB215"/>
      <c r="AC215"/>
    </row>
    <row r="216" spans="26:29" ht="14.5" x14ac:dyDescent="0.35">
      <c r="Z216"/>
      <c r="AA216"/>
      <c r="AB216"/>
      <c r="AC216"/>
    </row>
    <row r="217" spans="26:29" ht="14.5" x14ac:dyDescent="0.35">
      <c r="Z217"/>
      <c r="AA217"/>
      <c r="AB217"/>
      <c r="AC217"/>
    </row>
    <row r="218" spans="26:29" ht="14.5" x14ac:dyDescent="0.35">
      <c r="Z218"/>
      <c r="AA218"/>
      <c r="AB218"/>
      <c r="AC218"/>
    </row>
    <row r="219" spans="26:29" ht="14.5" x14ac:dyDescent="0.35">
      <c r="Z219"/>
      <c r="AA219"/>
      <c r="AB219"/>
      <c r="AC219"/>
    </row>
    <row r="220" spans="26:29" ht="14.5" x14ac:dyDescent="0.35">
      <c r="Z220"/>
      <c r="AA220"/>
      <c r="AB220"/>
      <c r="AC220"/>
    </row>
    <row r="221" spans="26:29" ht="14.5" x14ac:dyDescent="0.35">
      <c r="Z221"/>
      <c r="AA221"/>
      <c r="AB221"/>
      <c r="AC221"/>
    </row>
    <row r="222" spans="26:29" ht="14.5" x14ac:dyDescent="0.35">
      <c r="Z222"/>
      <c r="AA222"/>
      <c r="AB222"/>
      <c r="AC222"/>
    </row>
    <row r="223" spans="26:29" ht="14.5" x14ac:dyDescent="0.35">
      <c r="Z223"/>
      <c r="AA223"/>
      <c r="AB223"/>
      <c r="AC223"/>
    </row>
    <row r="224" spans="26:29" ht="14.5" x14ac:dyDescent="0.35">
      <c r="Z224"/>
      <c r="AA224"/>
      <c r="AB224"/>
      <c r="AC224"/>
    </row>
    <row r="225" spans="26:29" ht="14.5" x14ac:dyDescent="0.35">
      <c r="Z225"/>
      <c r="AA225"/>
      <c r="AB225"/>
      <c r="AC225"/>
    </row>
    <row r="226" spans="26:29" ht="14.5" x14ac:dyDescent="0.35">
      <c r="Z226"/>
      <c r="AA226"/>
      <c r="AB226"/>
      <c r="AC226"/>
    </row>
    <row r="227" spans="26:29" ht="14.5" x14ac:dyDescent="0.35">
      <c r="Z227"/>
      <c r="AA227"/>
      <c r="AB227"/>
      <c r="AC227"/>
    </row>
    <row r="228" spans="26:29" ht="14.5" x14ac:dyDescent="0.35">
      <c r="Z228"/>
      <c r="AA228"/>
      <c r="AB228"/>
      <c r="AC228"/>
    </row>
    <row r="229" spans="26:29" ht="14.5" x14ac:dyDescent="0.35">
      <c r="Z229"/>
      <c r="AA229"/>
      <c r="AB229"/>
      <c r="AC229"/>
    </row>
    <row r="230" spans="26:29" ht="14.5" x14ac:dyDescent="0.35">
      <c r="Z230"/>
      <c r="AA230"/>
      <c r="AB230"/>
      <c r="AC230"/>
    </row>
    <row r="231" spans="26:29" ht="14.5" x14ac:dyDescent="0.35">
      <c r="Z231"/>
      <c r="AA231"/>
      <c r="AB231"/>
      <c r="AC231"/>
    </row>
    <row r="232" spans="26:29" ht="14.5" x14ac:dyDescent="0.35">
      <c r="Z232"/>
      <c r="AA232"/>
      <c r="AB232"/>
      <c r="AC232"/>
    </row>
    <row r="233" spans="26:29" ht="14.5" x14ac:dyDescent="0.35">
      <c r="Z233"/>
      <c r="AA233"/>
      <c r="AB233"/>
      <c r="AC233"/>
    </row>
    <row r="234" spans="26:29" ht="14.5" x14ac:dyDescent="0.35">
      <c r="Z234"/>
      <c r="AA234"/>
      <c r="AB234"/>
      <c r="AC234"/>
    </row>
    <row r="235" spans="26:29" ht="14.5" x14ac:dyDescent="0.35">
      <c r="Z235"/>
      <c r="AA235"/>
      <c r="AB235"/>
      <c r="AC235"/>
    </row>
    <row r="236" spans="26:29" ht="14.5" x14ac:dyDescent="0.35">
      <c r="Z236"/>
      <c r="AA236"/>
      <c r="AB236"/>
      <c r="AC236"/>
    </row>
    <row r="237" spans="26:29" ht="14.5" x14ac:dyDescent="0.35">
      <c r="Z237"/>
      <c r="AA237"/>
      <c r="AB237"/>
      <c r="AC237"/>
    </row>
    <row r="238" spans="26:29" ht="14.5" x14ac:dyDescent="0.35">
      <c r="Z238"/>
      <c r="AA238"/>
      <c r="AB238"/>
      <c r="AC238"/>
    </row>
    <row r="239" spans="26:29" ht="14.5" x14ac:dyDescent="0.35">
      <c r="Z239"/>
      <c r="AA239"/>
      <c r="AB239"/>
      <c r="AC239"/>
    </row>
    <row r="240" spans="26:29" ht="14.5" x14ac:dyDescent="0.35">
      <c r="Z240"/>
      <c r="AA240"/>
      <c r="AB240"/>
      <c r="AC240"/>
    </row>
    <row r="241" spans="26:29" ht="14.5" x14ac:dyDescent="0.35">
      <c r="Z241"/>
      <c r="AA241"/>
      <c r="AB241"/>
      <c r="AC241"/>
    </row>
    <row r="242" spans="26:29" ht="14.5" x14ac:dyDescent="0.35">
      <c r="Z242"/>
      <c r="AA242"/>
      <c r="AB242"/>
      <c r="AC242"/>
    </row>
    <row r="243" spans="26:29" ht="14.5" x14ac:dyDescent="0.35">
      <c r="Z243"/>
      <c r="AA243"/>
      <c r="AB243"/>
      <c r="AC243"/>
    </row>
    <row r="244" spans="26:29" ht="14.5" x14ac:dyDescent="0.35">
      <c r="Z244"/>
      <c r="AA244"/>
      <c r="AB244"/>
      <c r="AC244"/>
    </row>
    <row r="245" spans="26:29" ht="14.5" x14ac:dyDescent="0.35">
      <c r="Z245"/>
      <c r="AA245"/>
      <c r="AB245"/>
      <c r="AC245"/>
    </row>
    <row r="246" spans="26:29" ht="14.5" x14ac:dyDescent="0.35">
      <c r="Z246"/>
      <c r="AA246"/>
      <c r="AB246"/>
      <c r="AC246"/>
    </row>
    <row r="247" spans="26:29" ht="14.5" x14ac:dyDescent="0.35">
      <c r="Z247"/>
      <c r="AA247"/>
      <c r="AB247"/>
      <c r="AC247"/>
    </row>
    <row r="248" spans="26:29" ht="14.5" x14ac:dyDescent="0.35">
      <c r="Z248"/>
      <c r="AA248"/>
      <c r="AB248"/>
      <c r="AC248"/>
    </row>
    <row r="249" spans="26:29" ht="14.5" x14ac:dyDescent="0.35">
      <c r="Z249"/>
      <c r="AA249"/>
      <c r="AB249"/>
      <c r="AC249"/>
    </row>
    <row r="250" spans="26:29" ht="14.5" x14ac:dyDescent="0.35">
      <c r="Z250"/>
      <c r="AA250"/>
      <c r="AB250"/>
      <c r="AC250"/>
    </row>
    <row r="251" spans="26:29" ht="14.5" x14ac:dyDescent="0.35">
      <c r="Z251"/>
      <c r="AA251"/>
      <c r="AB251"/>
      <c r="AC251"/>
    </row>
    <row r="252" spans="26:29" ht="14.5" x14ac:dyDescent="0.35">
      <c r="Z252"/>
      <c r="AA252"/>
      <c r="AB252"/>
      <c r="AC252"/>
    </row>
    <row r="253" spans="26:29" ht="14.5" x14ac:dyDescent="0.35">
      <c r="Z253"/>
      <c r="AA253"/>
      <c r="AB253"/>
      <c r="AC253"/>
    </row>
    <row r="254" spans="26:29" ht="14.5" x14ac:dyDescent="0.35">
      <c r="Z254"/>
      <c r="AA254"/>
      <c r="AB254"/>
      <c r="AC254"/>
    </row>
    <row r="255" spans="26:29" ht="14.5" x14ac:dyDescent="0.35">
      <c r="Z255"/>
      <c r="AA255"/>
      <c r="AB255"/>
      <c r="AC255"/>
    </row>
    <row r="256" spans="26:29" ht="14.5" x14ac:dyDescent="0.35">
      <c r="Z256"/>
      <c r="AA256"/>
      <c r="AB256"/>
      <c r="AC256"/>
    </row>
    <row r="257" spans="26:29" ht="14.5" x14ac:dyDescent="0.35">
      <c r="Z257"/>
      <c r="AA257"/>
      <c r="AB257"/>
      <c r="AC257"/>
    </row>
    <row r="258" spans="26:29" ht="14.5" x14ac:dyDescent="0.35">
      <c r="Z258"/>
      <c r="AA258"/>
      <c r="AB258"/>
      <c r="AC258"/>
    </row>
    <row r="259" spans="26:29" ht="14.5" x14ac:dyDescent="0.35">
      <c r="Z259"/>
      <c r="AA259"/>
      <c r="AB259"/>
      <c r="AC259"/>
    </row>
    <row r="260" spans="26:29" ht="14.5" x14ac:dyDescent="0.35">
      <c r="Z260"/>
      <c r="AA260"/>
      <c r="AB260"/>
      <c r="AC260"/>
    </row>
    <row r="261" spans="26:29" ht="14.5" x14ac:dyDescent="0.35">
      <c r="Z261"/>
      <c r="AA261"/>
      <c r="AB261"/>
      <c r="AC261"/>
    </row>
    <row r="262" spans="26:29" ht="14.5" x14ac:dyDescent="0.35">
      <c r="Z262"/>
      <c r="AA262"/>
      <c r="AB262"/>
      <c r="AC262"/>
    </row>
    <row r="263" spans="26:29" ht="14.5" x14ac:dyDescent="0.35">
      <c r="Z263"/>
      <c r="AA263"/>
      <c r="AB263"/>
      <c r="AC263"/>
    </row>
    <row r="264" spans="26:29" ht="14.5" x14ac:dyDescent="0.35">
      <c r="Z264"/>
      <c r="AA264"/>
      <c r="AB264"/>
      <c r="AC264"/>
    </row>
    <row r="265" spans="26:29" ht="14.5" x14ac:dyDescent="0.35">
      <c r="Z265"/>
      <c r="AA265"/>
      <c r="AB265"/>
      <c r="AC265"/>
    </row>
    <row r="266" spans="26:29" ht="14.5" x14ac:dyDescent="0.35">
      <c r="Z266"/>
      <c r="AA266"/>
      <c r="AB266"/>
      <c r="AC266"/>
    </row>
    <row r="267" spans="26:29" ht="14.5" x14ac:dyDescent="0.35">
      <c r="Z267"/>
      <c r="AA267"/>
      <c r="AB267"/>
      <c r="AC267"/>
    </row>
    <row r="268" spans="26:29" ht="14.5" x14ac:dyDescent="0.35">
      <c r="Z268"/>
      <c r="AA268"/>
      <c r="AB268"/>
      <c r="AC268"/>
    </row>
    <row r="269" spans="26:29" ht="14.5" x14ac:dyDescent="0.35">
      <c r="Z269"/>
      <c r="AA269"/>
      <c r="AB269"/>
      <c r="AC269"/>
    </row>
    <row r="270" spans="26:29" ht="14.5" x14ac:dyDescent="0.35">
      <c r="Z270"/>
      <c r="AA270"/>
      <c r="AB270"/>
      <c r="AC270"/>
    </row>
    <row r="271" spans="26:29" ht="14.5" x14ac:dyDescent="0.35">
      <c r="Z271"/>
      <c r="AA271"/>
      <c r="AB271"/>
      <c r="AC271"/>
    </row>
    <row r="272" spans="26:29" ht="14.5" x14ac:dyDescent="0.35">
      <c r="Z272"/>
      <c r="AA272"/>
      <c r="AB272"/>
      <c r="AC272"/>
    </row>
    <row r="273" spans="26:29" ht="14.5" x14ac:dyDescent="0.35">
      <c r="Z273"/>
      <c r="AA273"/>
      <c r="AB273"/>
      <c r="AC273"/>
    </row>
    <row r="274" spans="26:29" ht="14.5" x14ac:dyDescent="0.35">
      <c r="Z274"/>
      <c r="AA274"/>
      <c r="AB274"/>
      <c r="AC274"/>
    </row>
    <row r="275" spans="26:29" ht="14.5" x14ac:dyDescent="0.35">
      <c r="Z275"/>
      <c r="AA275"/>
      <c r="AB275"/>
      <c r="AC275"/>
    </row>
    <row r="276" spans="26:29" ht="14.5" x14ac:dyDescent="0.35">
      <c r="Z276"/>
      <c r="AA276"/>
      <c r="AB276"/>
      <c r="AC276"/>
    </row>
    <row r="277" spans="26:29" ht="14.5" x14ac:dyDescent="0.35">
      <c r="Z277"/>
      <c r="AA277"/>
      <c r="AB277"/>
      <c r="AC277"/>
    </row>
    <row r="278" spans="26:29" ht="14.5" x14ac:dyDescent="0.35">
      <c r="Z278"/>
      <c r="AA278"/>
      <c r="AB278"/>
      <c r="AC278"/>
    </row>
    <row r="279" spans="26:29" ht="14.5" x14ac:dyDescent="0.35">
      <c r="Z279"/>
      <c r="AA279"/>
      <c r="AB279"/>
      <c r="AC279"/>
    </row>
    <row r="280" spans="26:29" ht="14.5" x14ac:dyDescent="0.35">
      <c r="Z280"/>
      <c r="AA280"/>
      <c r="AB280"/>
      <c r="AC280"/>
    </row>
    <row r="281" spans="26:29" ht="14.5" x14ac:dyDescent="0.35">
      <c r="Z281"/>
      <c r="AA281"/>
      <c r="AB281"/>
      <c r="AC281"/>
    </row>
    <row r="282" spans="26:29" ht="14.5" x14ac:dyDescent="0.35">
      <c r="Z282"/>
      <c r="AA282"/>
      <c r="AB282"/>
      <c r="AC282"/>
    </row>
    <row r="283" spans="26:29" ht="14.5" x14ac:dyDescent="0.35">
      <c r="Z283"/>
      <c r="AA283"/>
      <c r="AB283"/>
      <c r="AC283"/>
    </row>
    <row r="284" spans="26:29" ht="14.5" x14ac:dyDescent="0.35">
      <c r="Z284"/>
      <c r="AA284"/>
      <c r="AB284"/>
      <c r="AC284"/>
    </row>
    <row r="285" spans="26:29" ht="14.5" x14ac:dyDescent="0.35">
      <c r="Z285"/>
      <c r="AA285"/>
      <c r="AB285"/>
      <c r="AC285"/>
    </row>
    <row r="286" spans="26:29" ht="14.5" x14ac:dyDescent="0.35">
      <c r="Z286"/>
      <c r="AA286"/>
      <c r="AB286"/>
      <c r="AC286"/>
    </row>
    <row r="287" spans="26:29" ht="14.5" x14ac:dyDescent="0.35">
      <c r="Z287"/>
      <c r="AA287"/>
      <c r="AB287"/>
      <c r="AC287"/>
    </row>
    <row r="288" spans="26:29" ht="14.5" x14ac:dyDescent="0.35">
      <c r="Z288"/>
      <c r="AA288"/>
      <c r="AB288"/>
      <c r="AC288"/>
    </row>
    <row r="289" spans="26:29" ht="14.5" x14ac:dyDescent="0.35">
      <c r="Z289"/>
      <c r="AA289"/>
      <c r="AB289"/>
      <c r="AC289"/>
    </row>
    <row r="290" spans="26:29" ht="14.5" x14ac:dyDescent="0.35">
      <c r="Z290"/>
      <c r="AA290"/>
      <c r="AB290"/>
      <c r="AC290"/>
    </row>
    <row r="291" spans="26:29" ht="14.5" x14ac:dyDescent="0.35">
      <c r="Z291"/>
      <c r="AA291"/>
      <c r="AB291"/>
      <c r="AC291"/>
    </row>
    <row r="292" spans="26:29" ht="14.5" x14ac:dyDescent="0.35">
      <c r="Z292"/>
      <c r="AA292"/>
      <c r="AB292"/>
      <c r="AC292"/>
    </row>
    <row r="293" spans="26:29" ht="14.5" x14ac:dyDescent="0.35">
      <c r="Z293"/>
      <c r="AA293"/>
      <c r="AB293"/>
      <c r="AC293"/>
    </row>
    <row r="294" spans="26:29" ht="14.5" x14ac:dyDescent="0.35">
      <c r="Z294"/>
      <c r="AA294"/>
      <c r="AB294"/>
      <c r="AC294"/>
    </row>
    <row r="295" spans="26:29" ht="14.5" x14ac:dyDescent="0.35">
      <c r="Z295"/>
      <c r="AA295"/>
      <c r="AB295"/>
      <c r="AC295"/>
    </row>
    <row r="296" spans="26:29" ht="14.5" x14ac:dyDescent="0.35">
      <c r="Z296"/>
      <c r="AA296"/>
      <c r="AB296"/>
      <c r="AC296"/>
    </row>
    <row r="297" spans="26:29" ht="14.5" x14ac:dyDescent="0.35">
      <c r="Z297"/>
      <c r="AA297"/>
      <c r="AB297"/>
      <c r="AC297"/>
    </row>
    <row r="298" spans="26:29" ht="14.5" x14ac:dyDescent="0.35">
      <c r="Z298"/>
      <c r="AA298"/>
      <c r="AB298"/>
      <c r="AC298"/>
    </row>
    <row r="299" spans="26:29" ht="14.5" x14ac:dyDescent="0.35">
      <c r="Z299"/>
      <c r="AA299"/>
      <c r="AB299"/>
      <c r="AC299"/>
    </row>
    <row r="300" spans="26:29" ht="14.5" x14ac:dyDescent="0.35">
      <c r="Z300"/>
      <c r="AA300"/>
      <c r="AB300"/>
      <c r="AC300"/>
    </row>
    <row r="301" spans="26:29" ht="14.5" x14ac:dyDescent="0.35">
      <c r="Z301"/>
      <c r="AA301"/>
      <c r="AB301"/>
      <c r="AC301"/>
    </row>
    <row r="302" spans="26:29" ht="14.5" x14ac:dyDescent="0.35">
      <c r="Z302"/>
      <c r="AA302"/>
      <c r="AB302"/>
      <c r="AC302"/>
    </row>
    <row r="303" spans="26:29" ht="14.5" x14ac:dyDescent="0.35">
      <c r="Z303"/>
      <c r="AA303"/>
      <c r="AB303"/>
      <c r="AC303"/>
    </row>
    <row r="304" spans="26:29" ht="14.5" x14ac:dyDescent="0.35">
      <c r="Z304"/>
      <c r="AA304"/>
      <c r="AB304"/>
      <c r="AC304"/>
    </row>
    <row r="305" spans="26:29" ht="14.5" x14ac:dyDescent="0.35">
      <c r="Z305"/>
      <c r="AA305"/>
      <c r="AB305"/>
      <c r="AC305"/>
    </row>
    <row r="306" spans="26:29" ht="14.5" x14ac:dyDescent="0.35">
      <c r="Z306"/>
      <c r="AA306"/>
      <c r="AB306"/>
      <c r="AC306"/>
    </row>
    <row r="307" spans="26:29" ht="14.5" x14ac:dyDescent="0.35">
      <c r="Z307"/>
      <c r="AA307"/>
      <c r="AB307"/>
      <c r="AC307"/>
    </row>
    <row r="308" spans="26:29" ht="14.5" x14ac:dyDescent="0.35">
      <c r="Z308"/>
      <c r="AA308"/>
      <c r="AB308"/>
      <c r="AC308"/>
    </row>
    <row r="309" spans="26:29" ht="14.5" x14ac:dyDescent="0.35">
      <c r="Z309"/>
      <c r="AA309"/>
      <c r="AB309"/>
      <c r="AC309"/>
    </row>
    <row r="310" spans="26:29" ht="14.5" x14ac:dyDescent="0.35">
      <c r="Z310"/>
      <c r="AA310"/>
      <c r="AB310"/>
      <c r="AC310"/>
    </row>
    <row r="311" spans="26:29" ht="14.5" x14ac:dyDescent="0.35">
      <c r="Z311"/>
      <c r="AA311"/>
      <c r="AB311"/>
      <c r="AC311"/>
    </row>
    <row r="312" spans="26:29" ht="14.5" x14ac:dyDescent="0.35">
      <c r="Z312"/>
      <c r="AA312"/>
      <c r="AB312"/>
      <c r="AC312"/>
    </row>
    <row r="313" spans="26:29" ht="14.5" x14ac:dyDescent="0.35">
      <c r="Z313"/>
      <c r="AA313"/>
      <c r="AB313"/>
      <c r="AC313"/>
    </row>
    <row r="314" spans="26:29" ht="14.5" x14ac:dyDescent="0.35">
      <c r="Z314"/>
      <c r="AA314"/>
      <c r="AB314"/>
      <c r="AC314"/>
    </row>
    <row r="315" spans="26:29" ht="14.5" x14ac:dyDescent="0.35">
      <c r="Z315"/>
      <c r="AA315"/>
      <c r="AB315"/>
      <c r="AC315"/>
    </row>
    <row r="316" spans="26:29" ht="14.5" x14ac:dyDescent="0.35">
      <c r="Z316"/>
      <c r="AA316"/>
      <c r="AB316"/>
      <c r="AC316"/>
    </row>
    <row r="317" spans="26:29" ht="14.5" x14ac:dyDescent="0.35">
      <c r="Z317"/>
      <c r="AA317"/>
      <c r="AB317"/>
      <c r="AC317"/>
    </row>
    <row r="318" spans="26:29" ht="14.5" x14ac:dyDescent="0.35">
      <c r="Z318"/>
      <c r="AA318"/>
      <c r="AB318"/>
      <c r="AC318"/>
    </row>
    <row r="319" spans="26:29" ht="14.5" x14ac:dyDescent="0.35">
      <c r="Z319"/>
      <c r="AA319"/>
      <c r="AB319"/>
      <c r="AC319"/>
    </row>
    <row r="320" spans="26:29" ht="14.5" x14ac:dyDescent="0.35">
      <c r="Z320"/>
      <c r="AA320"/>
      <c r="AB320"/>
      <c r="AC320"/>
    </row>
    <row r="321" spans="26:29" ht="14.5" x14ac:dyDescent="0.35">
      <c r="Z321"/>
      <c r="AA321"/>
      <c r="AB321"/>
      <c r="AC321"/>
    </row>
    <row r="322" spans="26:29" ht="14.5" x14ac:dyDescent="0.35">
      <c r="Z322"/>
      <c r="AA322"/>
      <c r="AB322"/>
      <c r="AC322"/>
    </row>
    <row r="323" spans="26:29" ht="14.5" x14ac:dyDescent="0.35">
      <c r="Z323"/>
      <c r="AA323"/>
      <c r="AB323"/>
      <c r="AC323"/>
    </row>
    <row r="324" spans="26:29" ht="14.5" x14ac:dyDescent="0.35">
      <c r="Z324"/>
      <c r="AA324"/>
      <c r="AB324"/>
      <c r="AC324"/>
    </row>
    <row r="325" spans="26:29" ht="14.5" x14ac:dyDescent="0.35">
      <c r="Z325"/>
      <c r="AA325"/>
      <c r="AB325"/>
      <c r="AC325"/>
    </row>
    <row r="326" spans="26:29" ht="14.5" x14ac:dyDescent="0.35">
      <c r="Z326"/>
      <c r="AA326"/>
      <c r="AB326"/>
      <c r="AC326"/>
    </row>
    <row r="327" spans="26:29" ht="14.5" x14ac:dyDescent="0.35">
      <c r="Z327"/>
      <c r="AA327"/>
      <c r="AB327"/>
      <c r="AC327"/>
    </row>
    <row r="328" spans="26:29" ht="14.5" x14ac:dyDescent="0.35">
      <c r="Z328"/>
      <c r="AA328"/>
      <c r="AB328"/>
      <c r="AC328"/>
    </row>
    <row r="329" spans="26:29" ht="14.5" x14ac:dyDescent="0.35">
      <c r="Z329"/>
      <c r="AA329"/>
      <c r="AB329"/>
      <c r="AC329"/>
    </row>
    <row r="330" spans="26:29" ht="14.5" x14ac:dyDescent="0.35">
      <c r="Z330"/>
      <c r="AA330"/>
      <c r="AB330"/>
      <c r="AC330"/>
    </row>
    <row r="331" spans="26:29" ht="14.5" x14ac:dyDescent="0.35">
      <c r="Z331"/>
      <c r="AA331"/>
      <c r="AB331"/>
      <c r="AC331"/>
    </row>
    <row r="332" spans="26:29" ht="14.5" x14ac:dyDescent="0.35">
      <c r="Z332"/>
      <c r="AA332"/>
      <c r="AB332"/>
      <c r="AC332"/>
    </row>
    <row r="333" spans="26:29" ht="14.5" x14ac:dyDescent="0.35">
      <c r="Z333"/>
      <c r="AA333"/>
      <c r="AB333"/>
      <c r="AC333"/>
    </row>
    <row r="334" spans="26:29" ht="14.5" x14ac:dyDescent="0.35">
      <c r="Z334"/>
      <c r="AA334"/>
      <c r="AB334"/>
      <c r="AC334"/>
    </row>
    <row r="335" spans="26:29" ht="14.5" x14ac:dyDescent="0.35">
      <c r="Z335"/>
      <c r="AA335"/>
      <c r="AB335"/>
      <c r="AC335"/>
    </row>
    <row r="336" spans="26:29" ht="14.5" x14ac:dyDescent="0.35">
      <c r="Z336"/>
      <c r="AA336"/>
      <c r="AB336"/>
      <c r="AC336"/>
    </row>
    <row r="337" spans="26:29" ht="14.5" x14ac:dyDescent="0.35">
      <c r="Z337"/>
      <c r="AA337"/>
      <c r="AB337"/>
      <c r="AC337"/>
    </row>
    <row r="338" spans="26:29" ht="14.5" x14ac:dyDescent="0.35">
      <c r="Z338"/>
      <c r="AA338"/>
      <c r="AB338"/>
      <c r="AC338"/>
    </row>
    <row r="339" spans="26:29" ht="14.5" x14ac:dyDescent="0.35">
      <c r="Z339"/>
      <c r="AA339"/>
      <c r="AB339"/>
      <c r="AC339"/>
    </row>
    <row r="340" spans="26:29" ht="14.5" x14ac:dyDescent="0.35">
      <c r="Z340"/>
      <c r="AA340"/>
      <c r="AB340"/>
      <c r="AC340"/>
    </row>
    <row r="341" spans="26:29" ht="14.5" x14ac:dyDescent="0.35">
      <c r="Z341"/>
      <c r="AA341"/>
      <c r="AB341"/>
      <c r="AC341"/>
    </row>
    <row r="342" spans="26:29" ht="14.5" x14ac:dyDescent="0.35">
      <c r="Z342"/>
      <c r="AA342"/>
      <c r="AB342"/>
      <c r="AC342"/>
    </row>
    <row r="343" spans="26:29" ht="14.5" x14ac:dyDescent="0.35">
      <c r="Z343"/>
      <c r="AA343"/>
      <c r="AB343"/>
      <c r="AC343"/>
    </row>
    <row r="344" spans="26:29" ht="14.5" x14ac:dyDescent="0.35">
      <c r="Z344"/>
      <c r="AA344"/>
      <c r="AB344"/>
      <c r="AC344"/>
    </row>
    <row r="345" spans="26:29" ht="14.5" x14ac:dyDescent="0.35">
      <c r="Z345"/>
      <c r="AA345"/>
      <c r="AB345"/>
      <c r="AC345"/>
    </row>
    <row r="346" spans="26:29" ht="14.5" x14ac:dyDescent="0.35">
      <c r="Z346"/>
      <c r="AA346"/>
      <c r="AB346"/>
      <c r="AC346"/>
    </row>
    <row r="347" spans="26:29" ht="14.5" x14ac:dyDescent="0.35">
      <c r="Z347"/>
      <c r="AA347"/>
      <c r="AB347"/>
      <c r="AC347"/>
    </row>
    <row r="348" spans="26:29" ht="14.5" x14ac:dyDescent="0.35">
      <c r="Z348"/>
      <c r="AA348"/>
      <c r="AB348"/>
      <c r="AC348"/>
    </row>
    <row r="349" spans="26:29" ht="14.5" x14ac:dyDescent="0.35">
      <c r="Z349"/>
      <c r="AA349"/>
      <c r="AB349"/>
      <c r="AC349"/>
    </row>
    <row r="350" spans="26:29" ht="14.5" x14ac:dyDescent="0.35">
      <c r="Z350"/>
      <c r="AA350"/>
      <c r="AB350"/>
      <c r="AC350"/>
    </row>
    <row r="351" spans="26:29" ht="14.5" x14ac:dyDescent="0.35">
      <c r="Z351"/>
      <c r="AA351"/>
      <c r="AB351"/>
      <c r="AC351"/>
    </row>
    <row r="352" spans="26:29" ht="14.5" x14ac:dyDescent="0.35">
      <c r="Z352"/>
      <c r="AA352"/>
      <c r="AB352"/>
      <c r="AC352"/>
    </row>
    <row r="353" spans="26:29" ht="14.5" x14ac:dyDescent="0.35">
      <c r="Z353"/>
      <c r="AA353"/>
      <c r="AB353"/>
      <c r="AC353"/>
    </row>
    <row r="354" spans="26:29" ht="14.5" x14ac:dyDescent="0.35">
      <c r="Z354"/>
      <c r="AA354"/>
      <c r="AB354"/>
      <c r="AC354"/>
    </row>
    <row r="355" spans="26:29" ht="14.5" x14ac:dyDescent="0.35">
      <c r="Z355"/>
      <c r="AA355"/>
      <c r="AB355"/>
      <c r="AC355"/>
    </row>
    <row r="356" spans="26:29" ht="14.5" x14ac:dyDescent="0.35">
      <c r="Z356"/>
      <c r="AA356"/>
      <c r="AB356"/>
      <c r="AC356"/>
    </row>
    <row r="357" spans="26:29" ht="14.5" x14ac:dyDescent="0.35">
      <c r="Z357"/>
      <c r="AA357"/>
      <c r="AB357"/>
      <c r="AC357"/>
    </row>
    <row r="358" spans="26:29" ht="14.5" x14ac:dyDescent="0.35">
      <c r="Z358"/>
      <c r="AA358"/>
      <c r="AB358"/>
      <c r="AC358"/>
    </row>
    <row r="359" spans="26:29" ht="14.5" x14ac:dyDescent="0.35">
      <c r="Z359"/>
      <c r="AA359"/>
      <c r="AB359"/>
      <c r="AC359"/>
    </row>
    <row r="360" spans="26:29" ht="14.5" x14ac:dyDescent="0.35">
      <c r="Z360"/>
      <c r="AA360"/>
      <c r="AB360"/>
      <c r="AC360"/>
    </row>
    <row r="361" spans="26:29" ht="14.5" x14ac:dyDescent="0.35">
      <c r="Z361"/>
      <c r="AA361"/>
      <c r="AB361"/>
      <c r="AC361"/>
    </row>
    <row r="362" spans="26:29" ht="14.5" x14ac:dyDescent="0.35">
      <c r="Z362"/>
      <c r="AA362"/>
      <c r="AB362"/>
      <c r="AC362"/>
    </row>
    <row r="363" spans="26:29" ht="14.5" x14ac:dyDescent="0.35">
      <c r="Z363"/>
      <c r="AA363"/>
      <c r="AB363"/>
      <c r="AC363"/>
    </row>
    <row r="364" spans="26:29" ht="14.5" x14ac:dyDescent="0.35">
      <c r="Z364"/>
      <c r="AA364"/>
      <c r="AB364"/>
      <c r="AC364"/>
    </row>
    <row r="365" spans="26:29" ht="14.5" x14ac:dyDescent="0.35">
      <c r="Z365"/>
      <c r="AA365"/>
      <c r="AB365"/>
      <c r="AC365"/>
    </row>
    <row r="366" spans="26:29" ht="14.5" x14ac:dyDescent="0.35">
      <c r="Z366"/>
      <c r="AA366"/>
      <c r="AB366"/>
      <c r="AC366"/>
    </row>
    <row r="367" spans="26:29" ht="14.5" x14ac:dyDescent="0.35">
      <c r="Z367"/>
      <c r="AA367"/>
      <c r="AB367"/>
      <c r="AC367"/>
    </row>
    <row r="368" spans="26:29" ht="14.5" x14ac:dyDescent="0.35">
      <c r="Z368"/>
      <c r="AA368"/>
      <c r="AB368"/>
      <c r="AC368"/>
    </row>
    <row r="369" spans="26:29" ht="14.5" x14ac:dyDescent="0.35">
      <c r="Z369"/>
      <c r="AA369"/>
      <c r="AB369"/>
      <c r="AC369"/>
    </row>
    <row r="370" spans="26:29" ht="14.5" x14ac:dyDescent="0.35">
      <c r="Z370"/>
      <c r="AA370"/>
      <c r="AB370"/>
      <c r="AC370"/>
    </row>
    <row r="371" spans="26:29" ht="14.5" x14ac:dyDescent="0.35">
      <c r="Z371"/>
      <c r="AA371"/>
      <c r="AB371"/>
      <c r="AC371"/>
    </row>
    <row r="372" spans="26:29" ht="14.5" x14ac:dyDescent="0.35">
      <c r="Z372"/>
      <c r="AA372"/>
      <c r="AB372"/>
      <c r="AC372"/>
    </row>
    <row r="373" spans="26:29" ht="14.5" x14ac:dyDescent="0.35">
      <c r="Z373"/>
      <c r="AA373"/>
      <c r="AB373"/>
      <c r="AC373"/>
    </row>
    <row r="374" spans="26:29" ht="14.5" x14ac:dyDescent="0.35">
      <c r="Z374"/>
      <c r="AA374"/>
      <c r="AB374"/>
      <c r="AC374"/>
    </row>
    <row r="375" spans="26:29" ht="14.5" x14ac:dyDescent="0.35">
      <c r="Z375"/>
      <c r="AA375"/>
      <c r="AB375"/>
      <c r="AC375"/>
    </row>
    <row r="376" spans="26:29" ht="14.5" x14ac:dyDescent="0.35">
      <c r="Z376"/>
      <c r="AA376"/>
      <c r="AB376"/>
      <c r="AC376"/>
    </row>
    <row r="377" spans="26:29" ht="14.5" x14ac:dyDescent="0.35">
      <c r="Z377"/>
      <c r="AA377"/>
      <c r="AB377"/>
      <c r="AC377"/>
    </row>
    <row r="378" spans="26:29" ht="14.5" x14ac:dyDescent="0.35">
      <c r="Z378"/>
      <c r="AA378"/>
      <c r="AB378"/>
      <c r="AC378"/>
    </row>
    <row r="379" spans="26:29" ht="14.5" x14ac:dyDescent="0.35">
      <c r="Z379"/>
      <c r="AA379"/>
      <c r="AB379"/>
      <c r="AC379"/>
    </row>
    <row r="380" spans="26:29" ht="14.5" x14ac:dyDescent="0.35">
      <c r="Z380"/>
      <c r="AA380"/>
      <c r="AB380"/>
      <c r="AC380"/>
    </row>
    <row r="381" spans="26:29" ht="14.5" x14ac:dyDescent="0.35">
      <c r="Z381"/>
      <c r="AA381"/>
      <c r="AB381"/>
      <c r="AC381"/>
    </row>
    <row r="382" spans="26:29" ht="14.5" x14ac:dyDescent="0.35">
      <c r="Z382"/>
      <c r="AA382"/>
      <c r="AB382"/>
      <c r="AC382"/>
    </row>
    <row r="383" spans="26:29" ht="14.5" x14ac:dyDescent="0.35">
      <c r="Z383"/>
      <c r="AA383"/>
      <c r="AB383"/>
      <c r="AC383"/>
    </row>
    <row r="384" spans="26:29" ht="14.5" x14ac:dyDescent="0.35">
      <c r="Z384"/>
      <c r="AA384"/>
      <c r="AB384"/>
      <c r="AC384"/>
    </row>
    <row r="385" spans="26:29" ht="14.5" x14ac:dyDescent="0.35">
      <c r="Z385"/>
      <c r="AA385"/>
      <c r="AB385"/>
      <c r="AC385"/>
    </row>
    <row r="386" spans="26:29" ht="14.5" x14ac:dyDescent="0.35">
      <c r="Z386"/>
      <c r="AA386"/>
      <c r="AB386"/>
      <c r="AC386"/>
    </row>
    <row r="387" spans="26:29" ht="14.5" x14ac:dyDescent="0.35">
      <c r="Z387"/>
      <c r="AA387"/>
      <c r="AB387"/>
      <c r="AC387"/>
    </row>
    <row r="388" spans="26:29" ht="14.5" x14ac:dyDescent="0.35">
      <c r="Z388"/>
      <c r="AA388"/>
      <c r="AB388"/>
      <c r="AC388"/>
    </row>
    <row r="389" spans="26:29" ht="14.5" x14ac:dyDescent="0.35">
      <c r="Z389"/>
      <c r="AA389"/>
      <c r="AB389"/>
      <c r="AC389"/>
    </row>
    <row r="390" spans="26:29" ht="14.5" x14ac:dyDescent="0.35">
      <c r="Z390"/>
      <c r="AA390"/>
      <c r="AB390"/>
      <c r="AC390"/>
    </row>
    <row r="391" spans="26:29" ht="14.5" x14ac:dyDescent="0.35">
      <c r="Z391"/>
      <c r="AA391"/>
      <c r="AB391"/>
      <c r="AC391"/>
    </row>
    <row r="392" spans="26:29" ht="14.5" x14ac:dyDescent="0.35">
      <c r="Z392"/>
      <c r="AA392"/>
      <c r="AB392"/>
      <c r="AC392"/>
    </row>
    <row r="393" spans="26:29" ht="14.5" x14ac:dyDescent="0.35">
      <c r="Z393"/>
      <c r="AA393"/>
      <c r="AB393"/>
      <c r="AC393"/>
    </row>
    <row r="394" spans="26:29" ht="14.5" x14ac:dyDescent="0.35">
      <c r="Z394"/>
      <c r="AA394"/>
      <c r="AB394"/>
      <c r="AC394"/>
    </row>
  </sheetData>
  <sheetProtection sort="0" autoFilter="0" pivotTables="0"/>
  <mergeCells count="3">
    <mergeCell ref="B4:C4"/>
    <mergeCell ref="I4:J4"/>
    <mergeCell ref="L4:O4"/>
  </mergeCells>
  <conditionalFormatting sqref="E7:E8 E38">
    <cfRule type="cellIs" dxfId="59" priority="5" operator="greaterThan">
      <formula>0</formula>
    </cfRule>
    <cfRule type="cellIs" dxfId="58" priority="6" operator="lessThan">
      <formula>0</formula>
    </cfRule>
  </conditionalFormatting>
  <conditionalFormatting sqref="E9:E37">
    <cfRule type="cellIs" dxfId="57" priority="3" operator="greaterThan">
      <formula>0</formula>
    </cfRule>
    <cfRule type="cellIs" dxfId="56" priority="4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1"/>
  <ignoredErrors>
    <ignoredError sqref="B8:B17" unlockedFormula="1"/>
    <ignoredError sqref="F8:F17" unlockedFormula="1" calculatedColumn="1"/>
    <ignoredError sqref="F7 C38:D38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Drop Down 7">
              <controlPr defaultSize="0" autoLine="0" autoPict="0">
                <anchor moveWithCells="1">
                  <from>
                    <xdr:col>2</xdr:col>
                    <xdr:colOff>388127</xdr:colOff>
                    <xdr:row>3</xdr:row>
                    <xdr:rowOff>0</xdr:rowOff>
                  </from>
                  <to>
                    <xdr:col>3</xdr:col>
                    <xdr:colOff>157882</xdr:colOff>
                    <xdr:row>3</xdr:row>
                    <xdr:rowOff>230245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5" name="Drop Down 8">
              <controlPr defaultSize="0" autoLine="0" autoPict="0">
                <anchor moveWithCells="1">
                  <from>
                    <xdr:col>3</xdr:col>
                    <xdr:colOff>177617</xdr:colOff>
                    <xdr:row>3</xdr:row>
                    <xdr:rowOff>0</xdr:rowOff>
                  </from>
                  <to>
                    <xdr:col>3</xdr:col>
                    <xdr:colOff>1144645</xdr:colOff>
                    <xdr:row>3</xdr:row>
                    <xdr:rowOff>230245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6" name="Drop Down 9">
              <controlPr defaultSize="0" autoLine="0" autoPict="0">
                <anchor moveWithCells="1">
                  <from>
                    <xdr:col>3</xdr:col>
                    <xdr:colOff>1170958</xdr:colOff>
                    <xdr:row>3</xdr:row>
                    <xdr:rowOff>0</xdr:rowOff>
                  </from>
                  <to>
                    <xdr:col>4</xdr:col>
                    <xdr:colOff>1466987</xdr:colOff>
                    <xdr:row>3</xdr:row>
                    <xdr:rowOff>230245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7" name="Drop Down 10">
              <controlPr defaultSize="0" autoLine="0" autoPict="0">
                <anchor moveWithCells="1">
                  <from>
                    <xdr:col>4</xdr:col>
                    <xdr:colOff>1466987</xdr:colOff>
                    <xdr:row>3</xdr:row>
                    <xdr:rowOff>0</xdr:rowOff>
                  </from>
                  <to>
                    <xdr:col>7</xdr:col>
                    <xdr:colOff>993341</xdr:colOff>
                    <xdr:row>3</xdr:row>
                    <xdr:rowOff>230245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9">
    <tabColor rgb="FF001C54"/>
  </sheetPr>
  <dimension ref="A1:AW105"/>
  <sheetViews>
    <sheetView showGridLines="0" zoomScaleNormal="100" workbookViewId="0">
      <pane xSplit="2" ySplit="6" topLeftCell="C7" activePane="bottomRight" state="frozen"/>
      <selection activeCell="E8" sqref="E8"/>
      <selection pane="topRight" activeCell="E8" sqref="E8"/>
      <selection pane="bottomLeft" activeCell="E8" sqref="E8"/>
      <selection pane="bottomRight" activeCell="Q7" sqref="Q7"/>
    </sheetView>
  </sheetViews>
  <sheetFormatPr defaultColWidth="9.1796875" defaultRowHeight="20.100000000000001" customHeight="1" x14ac:dyDescent="0.35"/>
  <cols>
    <col min="1" max="1" width="0.7265625" style="9" customWidth="1"/>
    <col min="2" max="2" width="31.7265625" style="10" customWidth="1"/>
    <col min="3" max="10" width="13.1796875" style="41" customWidth="1"/>
    <col min="11" max="11" width="16.1796875" style="41" customWidth="1"/>
    <col min="12" max="13" width="13.1796875" style="41" customWidth="1"/>
    <col min="14" max="14" width="14.1796875" style="41" customWidth="1"/>
    <col min="15" max="15" width="18" style="15" bestFit="1" customWidth="1"/>
    <col min="16" max="16" width="9.1796875" style="9"/>
    <col min="17" max="17" width="11.1796875" style="9" bestFit="1" customWidth="1"/>
    <col min="18" max="16384" width="9.1796875" style="9"/>
  </cols>
  <sheetData>
    <row r="1" spans="1:15" s="13" customFormat="1" ht="25" customHeight="1" x14ac:dyDescent="0.35">
      <c r="B1" s="31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14"/>
    </row>
    <row r="2" spans="1:15" s="16" customFormat="1" ht="20.100000000000001" customHeight="1" x14ac:dyDescent="0.35">
      <c r="B2" s="33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17"/>
    </row>
    <row r="3" spans="1:15" s="8" customFormat="1" ht="3.75" customHeight="1" x14ac:dyDescent="0.35">
      <c r="A3" s="7"/>
      <c r="B3" s="26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12"/>
    </row>
    <row r="4" spans="1:15" ht="19.55" customHeight="1" x14ac:dyDescent="0.35">
      <c r="A4" s="210"/>
      <c r="B4" s="306" t="str">
        <f>IF(VLOOKUP(Apoio!$O$13,ANO[],2,0)="TOTAL ANO","*",VLOOKUP(Apoio!$O$13,ANO[],2,0))</f>
        <v>*</v>
      </c>
      <c r="C4" s="306" t="str">
        <f>IF(VLOOKUP(Apoio!$O$7,EMPRESA[],2,0)="TOTAL EMPRESA","*",VLOOKUP(Apoio!$O$7,EMPRESA[],2,0))</f>
        <v>CENTRO CULTURAL FRANCO-BRASILEIRO ALIANCA FRANCESA DE GOIAS</v>
      </c>
      <c r="D4" s="249" t="str">
        <f>IF(VLOOKUP(Apoio!$O$8,CENTROS_CUSTOS[],2,0)="TOTAL CENTRO DE CUSTOS","*",VLOOKUP(Apoio!$O$8,CENTROS_CUSTOS[],2,0))</f>
        <v>*</v>
      </c>
      <c r="E4" s="234"/>
      <c r="F4" s="234"/>
    </row>
    <row r="5" spans="1:15" s="8" customFormat="1" ht="3.75" customHeight="1" thickBot="1" x14ac:dyDescent="0.4">
      <c r="A5" s="7"/>
      <c r="B5" s="26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12"/>
    </row>
    <row r="6" spans="1:15" ht="24.75" customHeight="1" thickTop="1" x14ac:dyDescent="0.35">
      <c r="B6" s="268" t="s">
        <v>1062</v>
      </c>
      <c r="C6" s="40" t="s">
        <v>1084</v>
      </c>
      <c r="D6" s="40" t="s">
        <v>1085</v>
      </c>
      <c r="E6" s="40" t="s">
        <v>1086</v>
      </c>
      <c r="F6" s="40" t="s">
        <v>1087</v>
      </c>
      <c r="G6" s="40" t="s">
        <v>1088</v>
      </c>
      <c r="H6" s="40" t="s">
        <v>1089</v>
      </c>
      <c r="I6" s="40" t="s">
        <v>1090</v>
      </c>
      <c r="J6" s="40" t="s">
        <v>1091</v>
      </c>
      <c r="K6" s="40" t="s">
        <v>1092</v>
      </c>
      <c r="L6" s="40" t="s">
        <v>1093</v>
      </c>
      <c r="M6" s="40" t="s">
        <v>1094</v>
      </c>
      <c r="N6" s="40" t="s">
        <v>1095</v>
      </c>
      <c r="O6" s="40" t="s">
        <v>1198</v>
      </c>
    </row>
    <row r="7" spans="1:15" s="41" customFormat="1" ht="24.6" customHeight="1" x14ac:dyDescent="0.35">
      <c r="B7" s="42" t="s">
        <v>1040</v>
      </c>
      <c r="C7" s="433"/>
      <c r="D7" s="118">
        <f t="shared" ref="D7:N7" si="0">C13</f>
        <v>0</v>
      </c>
      <c r="E7" s="118">
        <f t="shared" si="0"/>
        <v>0</v>
      </c>
      <c r="F7" s="118">
        <f t="shared" si="0"/>
        <v>0</v>
      </c>
      <c r="G7" s="118">
        <f t="shared" si="0"/>
        <v>0</v>
      </c>
      <c r="H7" s="118">
        <f t="shared" si="0"/>
        <v>0</v>
      </c>
      <c r="I7" s="118">
        <f t="shared" si="0"/>
        <v>0</v>
      </c>
      <c r="J7" s="118">
        <f>I13</f>
        <v>0</v>
      </c>
      <c r="K7" s="118">
        <f t="shared" si="0"/>
        <v>0</v>
      </c>
      <c r="L7" s="118">
        <f t="shared" si="0"/>
        <v>0</v>
      </c>
      <c r="M7" s="118">
        <f t="shared" si="0"/>
        <v>1391.6500000000015</v>
      </c>
      <c r="N7" s="119">
        <f t="shared" si="0"/>
        <v>3996.5500000000011</v>
      </c>
      <c r="O7" s="43">
        <f>N13</f>
        <v>3996.5500000000011</v>
      </c>
    </row>
    <row r="8" spans="1:15" s="41" customFormat="1" ht="24.6" customHeight="1" x14ac:dyDescent="0.35">
      <c r="B8" s="44" t="s">
        <v>4</v>
      </c>
      <c r="C8" s="118">
        <f>SUMIFS(LANÇ_MOV[VALOR LÍQUIDO],LANÇ_MOV[RECEITA OU DESPESA],"Receita",LANÇ_MOV[MÊS PAGAMENTO CORRESPONDENTE],C$6,LANÇ_MOV[ANO PAGAMENTO],$B$4,LANÇ_MOV[EMPRESA],$C$4,LANÇ_MOV[CENTRO DE CUSTOS],$D$4)-C9</f>
        <v>0</v>
      </c>
      <c r="D8" s="118">
        <f>SUMIFS(LANÇ_MOV[VALOR LÍQUIDO],LANÇ_MOV[RECEITA OU DESPESA],"Receita",LANÇ_MOV[MÊS PAGAMENTO CORRESPONDENTE],D$6,LANÇ_MOV[ANO PAGAMENTO],$B$4,LANÇ_MOV[EMPRESA],$C$4,LANÇ_MOV[CENTRO DE CUSTOS],$D$4)-D9</f>
        <v>0</v>
      </c>
      <c r="E8" s="118">
        <f>SUMIFS(LANÇ_MOV[VALOR LÍQUIDO],LANÇ_MOV[RECEITA OU DESPESA],"Receita",LANÇ_MOV[MÊS PAGAMENTO CORRESPONDENTE],E$6,LANÇ_MOV[ANO PAGAMENTO],$B$4,LANÇ_MOV[EMPRESA],$C$4,LANÇ_MOV[CENTRO DE CUSTOS],$D$4)-E9</f>
        <v>0</v>
      </c>
      <c r="F8" s="118">
        <f>SUMIFS(LANÇ_MOV[VALOR LÍQUIDO],LANÇ_MOV[RECEITA OU DESPESA],"Receita",LANÇ_MOV[MÊS PAGAMENTO CORRESPONDENTE],F$6,LANÇ_MOV[ANO PAGAMENTO],$B$4,LANÇ_MOV[EMPRESA],$C$4,LANÇ_MOV[CENTRO DE CUSTOS],$D$4)-F9</f>
        <v>0</v>
      </c>
      <c r="G8" s="118">
        <f>SUMIFS(LANÇ_MOV[VALOR LÍQUIDO],LANÇ_MOV[RECEITA OU DESPESA],"Receita",LANÇ_MOV[MÊS PAGAMENTO CORRESPONDENTE],G$6,LANÇ_MOV[ANO PAGAMENTO],$B$4,LANÇ_MOV[EMPRESA],$C$4,LANÇ_MOV[CENTRO DE CUSTOS],$D$4)-G9</f>
        <v>0</v>
      </c>
      <c r="H8" s="118">
        <f>SUMIFS(LANÇ_MOV[VALOR LÍQUIDO],LANÇ_MOV[RECEITA OU DESPESA],"Receita",LANÇ_MOV[MÊS PAGAMENTO CORRESPONDENTE],H$6,LANÇ_MOV[ANO PAGAMENTO],$B$4,LANÇ_MOV[EMPRESA],$C$4,LANÇ_MOV[CENTRO DE CUSTOS],$D$4)-H9</f>
        <v>0</v>
      </c>
      <c r="I8" s="118">
        <f>SUMIFS(LANÇ_MOV[VALOR LÍQUIDO],LANÇ_MOV[RECEITA OU DESPESA],"Receita",LANÇ_MOV[MÊS PAGAMENTO CORRESPONDENTE],I$6,LANÇ_MOV[ANO PAGAMENTO],$B$4,LANÇ_MOV[EMPRESA],$C$4,LANÇ_MOV[CENTRO DE CUSTOS],$D$4)-I9</f>
        <v>0</v>
      </c>
      <c r="J8" s="118">
        <f>SUMIFS(LANÇ_MOV[VALOR LÍQUIDO],LANÇ_MOV[RECEITA OU DESPESA],"Receita",LANÇ_MOV[MÊS PAGAMENTO CORRESPONDENTE],J$6,LANÇ_MOV[ANO PAGAMENTO],$B$4,LANÇ_MOV[EMPRESA],$C$4,LANÇ_MOV[CENTRO DE CUSTOS],$D$4)-J9</f>
        <v>0</v>
      </c>
      <c r="K8" s="118">
        <f>SUMIFS(LANÇ_MOV[VALOR LÍQUIDO],LANÇ_MOV[RECEITA OU DESPESA],"Receita",LANÇ_MOV[MÊS PAGAMENTO CORRESPONDENTE],K$6,LANÇ_MOV[ANO PAGAMENTO],$B$4,LANÇ_MOV[EMPRESA],$C$4,LANÇ_MOV[CENTRO DE CUSTOS],$D$4)-K9</f>
        <v>0</v>
      </c>
      <c r="L8" s="118">
        <f>SUMIFS(LANÇ_MOV[VALOR LÍQUIDO],LANÇ_MOV[RECEITA OU DESPESA],"Receita",LANÇ_MOV[MÊS PAGAMENTO CORRESPONDENTE],L$6,LANÇ_MOV[ANO PAGAMENTO],$B$4,LANÇ_MOV[EMPRESA],$C$4,LANÇ_MOV[CENTRO DE CUSTOS],$D$4)-L9</f>
        <v>24765.300000000003</v>
      </c>
      <c r="M8" s="118">
        <f>SUMIFS(LANÇ_MOV[VALOR LÍQUIDO],LANÇ_MOV[RECEITA OU DESPESA],"Receita",LANÇ_MOV[MÊS PAGAMENTO CORRESPONDENTE],M$6,LANÇ_MOV[ANO PAGAMENTO],$B$4,LANÇ_MOV[EMPRESA],$C$4,LANÇ_MOV[CENTRO DE CUSTOS],$D$4)-M9</f>
        <v>7972.4299999999994</v>
      </c>
      <c r="N8" s="118">
        <f>SUMIFS(LANÇ_MOV[VALOR LÍQUIDO],LANÇ_MOV[RECEITA OU DESPESA],"Receita",LANÇ_MOV[MÊS PAGAMENTO CORRESPONDENTE],N$6,LANÇ_MOV[ANO PAGAMENTO],$B$4,LANÇ_MOV[EMPRESA],$C$4,LANÇ_MOV[CENTRO DE CUSTOS],$D$4)-N9</f>
        <v>0</v>
      </c>
      <c r="O8" s="39">
        <f>SUM(C8:N8)</f>
        <v>32737.730000000003</v>
      </c>
    </row>
    <row r="9" spans="1:15" s="490" customFormat="1" ht="24.6" customHeight="1" x14ac:dyDescent="0.35">
      <c r="B9" s="491" t="s">
        <v>1562</v>
      </c>
      <c r="C9" s="492">
        <f>SUMIFS(LANÇ_MOV[VALOR LÍQUIDO],LANÇ_MOV[RECEITA OU DESPESA],"Receita",LANÇ_MOV[CONTAS],'REL_FC'!$B9,LANÇ_MOV[MÊS PAGAMENTO CORRESPONDENTE],C$6,LANÇ_MOV[ANO PAGAMENTO],$B$4,LANÇ_MOV[EMPRESA],$C$4,LANÇ_MOV[CENTRO DE CUSTOS],$D$4)</f>
        <v>0</v>
      </c>
      <c r="D9" s="492">
        <f>SUMIFS(LANÇ_MOV[VALOR LÍQUIDO],LANÇ_MOV[RECEITA OU DESPESA],"Receita",LANÇ_MOV[CONTAS],'REL_FC'!$B9,LANÇ_MOV[MÊS PAGAMENTO CORRESPONDENTE],D$6,LANÇ_MOV[ANO PAGAMENTO],$B$4,LANÇ_MOV[EMPRESA],$C$4,LANÇ_MOV[CENTRO DE CUSTOS],$D$4)</f>
        <v>0</v>
      </c>
      <c r="E9" s="492">
        <f>SUMIFS(LANÇ_MOV[VALOR LÍQUIDO],LANÇ_MOV[RECEITA OU DESPESA],"Receita",LANÇ_MOV[CONTAS],'REL_FC'!$B9,LANÇ_MOV[MÊS PAGAMENTO CORRESPONDENTE],E$6,LANÇ_MOV[ANO PAGAMENTO],$B$4,LANÇ_MOV[EMPRESA],$C$4,LANÇ_MOV[CENTRO DE CUSTOS],$D$4)</f>
        <v>0</v>
      </c>
      <c r="F9" s="492">
        <f>SUMIFS(LANÇ_MOV[VALOR LÍQUIDO],LANÇ_MOV[RECEITA OU DESPESA],"Receita",LANÇ_MOV[CONTAS],'REL_FC'!$B9,LANÇ_MOV[MÊS PAGAMENTO CORRESPONDENTE],F$6,LANÇ_MOV[ANO PAGAMENTO],$B$4,LANÇ_MOV[EMPRESA],$C$4,LANÇ_MOV[CENTRO DE CUSTOS],$D$4)</f>
        <v>0</v>
      </c>
      <c r="G9" s="492">
        <f>SUMIFS(LANÇ_MOV[VALOR LÍQUIDO],LANÇ_MOV[RECEITA OU DESPESA],"Receita",LANÇ_MOV[CONTAS],'REL_FC'!$B9,LANÇ_MOV[MÊS PAGAMENTO CORRESPONDENTE],G$6,LANÇ_MOV[ANO PAGAMENTO],$B$4,LANÇ_MOV[EMPRESA],$C$4,LANÇ_MOV[CENTRO DE CUSTOS],$D$4)</f>
        <v>0</v>
      </c>
      <c r="H9" s="492">
        <f>SUMIFS(LANÇ_MOV[VALOR LÍQUIDO],LANÇ_MOV[RECEITA OU DESPESA],"Receita",LANÇ_MOV[CONTAS],'REL_FC'!$B9,LANÇ_MOV[MÊS PAGAMENTO CORRESPONDENTE],H$6,LANÇ_MOV[ANO PAGAMENTO],$B$4,LANÇ_MOV[EMPRESA],$C$4,LANÇ_MOV[CENTRO DE CUSTOS],$D$4)</f>
        <v>0</v>
      </c>
      <c r="I9" s="492">
        <f>SUMIFS(LANÇ_MOV[VALOR LÍQUIDO],LANÇ_MOV[RECEITA OU DESPESA],"Receita",LANÇ_MOV[CONTAS],'REL_FC'!$B9,LANÇ_MOV[MÊS PAGAMENTO CORRESPONDENTE],I$6,LANÇ_MOV[ANO PAGAMENTO],$B$4,LANÇ_MOV[EMPRESA],$C$4,LANÇ_MOV[CENTRO DE CUSTOS],$D$4)</f>
        <v>0</v>
      </c>
      <c r="J9" s="492">
        <f>SUMIFS(LANÇ_MOV[VALOR LÍQUIDO],LANÇ_MOV[RECEITA OU DESPESA],"Receita",LANÇ_MOV[CONTAS],'REL_FC'!$B9,LANÇ_MOV[MÊS PAGAMENTO CORRESPONDENTE],J$6,LANÇ_MOV[ANO PAGAMENTO],$B$4,LANÇ_MOV[EMPRESA],$C$4,LANÇ_MOV[CENTRO DE CUSTOS],$D$4)</f>
        <v>0</v>
      </c>
      <c r="K9" s="492">
        <f>SUMIFS(LANÇ_MOV[VALOR LÍQUIDO],LANÇ_MOV[RECEITA OU DESPESA],"Receita",LANÇ_MOV[CONTAS],'REL_FC'!$B9,LANÇ_MOV[MÊS PAGAMENTO CORRESPONDENTE],K$6,LANÇ_MOV[ANO PAGAMENTO],$B$4,LANÇ_MOV[EMPRESA],$C$4,LANÇ_MOV[CENTRO DE CUSTOS],$D$4)</f>
        <v>0</v>
      </c>
      <c r="L9" s="492">
        <f>SUMIFS(LANÇ_MOV[VALOR LÍQUIDO],LANÇ_MOV[RECEITA OU DESPESA],"Receita",LANÇ_MOV[CONTAS],'REL_FC'!$B9,LANÇ_MOV[MÊS PAGAMENTO CORRESPONDENTE],L$6,LANÇ_MOV[ANO PAGAMENTO],$B$4,LANÇ_MOV[EMPRESA],$C$4,LANÇ_MOV[CENTRO DE CUSTOS],$D$4)</f>
        <v>0</v>
      </c>
      <c r="M9" s="492">
        <f>SUMIFS(LANÇ_MOV[VALOR LÍQUIDO],LANÇ_MOV[RECEITA OU DESPESA],"Receita",LANÇ_MOV[CONTAS],'REL_FC'!$B9,LANÇ_MOV[MÊS PAGAMENTO CORRESPONDENTE],M$6,LANÇ_MOV[ANO PAGAMENTO],$B$4,LANÇ_MOV[EMPRESA],$C$4,LANÇ_MOV[CENTRO DE CUSTOS],$D$4)</f>
        <v>0</v>
      </c>
      <c r="N9" s="492">
        <f>SUMIFS(LANÇ_MOV[VALOR LÍQUIDO],LANÇ_MOV[RECEITA OU DESPESA],"Receita",LANÇ_MOV[CONTAS],'REL_FC'!$B9,LANÇ_MOV[MÊS PAGAMENTO CORRESPONDENTE],N$6,LANÇ_MOV[ANO PAGAMENTO],$B$4,LANÇ_MOV[EMPRESA],$C$4,LANÇ_MOV[CENTRO DE CUSTOS],$D$4)</f>
        <v>0</v>
      </c>
      <c r="O9" s="493">
        <f>SUM(C9:N9)</f>
        <v>0</v>
      </c>
    </row>
    <row r="10" spans="1:15" s="41" customFormat="1" ht="24.6" customHeight="1" x14ac:dyDescent="0.35">
      <c r="B10" s="44" t="s">
        <v>5</v>
      </c>
      <c r="C10" s="118">
        <f>SUMIFS(LANÇ_MOV[VALOR LÍQUIDO],LANÇ_MOV[RECEITA OU DESPESA],"Despesa",LANÇ_MOV[MÊS PAGAMENTO CORRESPONDENTE],C$6,LANÇ_MOV[ANO PAGAMENTO],$B$4,LANÇ_MOV[EMPRESA],$C$4,LANÇ_MOV[CENTRO DE CUSTOS],$D$4)-C11</f>
        <v>0</v>
      </c>
      <c r="D10" s="118">
        <f>SUMIFS(LANÇ_MOV[VALOR LÍQUIDO],LANÇ_MOV[RECEITA OU DESPESA],"Despesa",LANÇ_MOV[MÊS PAGAMENTO CORRESPONDENTE],D$6,LANÇ_MOV[ANO PAGAMENTO],$B$4,LANÇ_MOV[EMPRESA],$C$4,LANÇ_MOV[CENTRO DE CUSTOS],$D$4)-D11</f>
        <v>0</v>
      </c>
      <c r="E10" s="118">
        <f>SUMIFS(LANÇ_MOV[VALOR LÍQUIDO],LANÇ_MOV[RECEITA OU DESPESA],"Despesa",LANÇ_MOV[MÊS PAGAMENTO CORRESPONDENTE],E$6,LANÇ_MOV[ANO PAGAMENTO],$B$4,LANÇ_MOV[EMPRESA],$C$4,LANÇ_MOV[CENTRO DE CUSTOS],$D$4)-E11</f>
        <v>0</v>
      </c>
      <c r="F10" s="118">
        <f>SUMIFS(LANÇ_MOV[VALOR LÍQUIDO],LANÇ_MOV[RECEITA OU DESPESA],"Despesa",LANÇ_MOV[MÊS PAGAMENTO CORRESPONDENTE],F$6,LANÇ_MOV[ANO PAGAMENTO],$B$4,LANÇ_MOV[EMPRESA],$C$4,LANÇ_MOV[CENTRO DE CUSTOS],$D$4)-F11</f>
        <v>0</v>
      </c>
      <c r="G10" s="118">
        <f>SUMIFS(LANÇ_MOV[VALOR LÍQUIDO],LANÇ_MOV[RECEITA OU DESPESA],"Despesa",LANÇ_MOV[MÊS PAGAMENTO CORRESPONDENTE],G$6,LANÇ_MOV[ANO PAGAMENTO],$B$4,LANÇ_MOV[EMPRESA],$C$4,LANÇ_MOV[CENTRO DE CUSTOS],$D$4)-G11</f>
        <v>0</v>
      </c>
      <c r="H10" s="118">
        <f>SUMIFS(LANÇ_MOV[VALOR LÍQUIDO],LANÇ_MOV[RECEITA OU DESPESA],"Despesa",LANÇ_MOV[MÊS PAGAMENTO CORRESPONDENTE],H$6,LANÇ_MOV[ANO PAGAMENTO],$B$4,LANÇ_MOV[EMPRESA],$C$4,LANÇ_MOV[CENTRO DE CUSTOS],$D$4)-H11</f>
        <v>0</v>
      </c>
      <c r="I10" s="118">
        <f>SUMIFS(LANÇ_MOV[VALOR LÍQUIDO],LANÇ_MOV[RECEITA OU DESPESA],"Despesa",LANÇ_MOV[MÊS PAGAMENTO CORRESPONDENTE],I$6,LANÇ_MOV[ANO PAGAMENTO],$B$4,LANÇ_MOV[EMPRESA],$C$4,LANÇ_MOV[CENTRO DE CUSTOS],$D$4)-I11</f>
        <v>0</v>
      </c>
      <c r="J10" s="118">
        <f>SUMIFS(LANÇ_MOV[VALOR LÍQUIDO],LANÇ_MOV[RECEITA OU DESPESA],"Despesa",LANÇ_MOV[MÊS PAGAMENTO CORRESPONDENTE],J$6,LANÇ_MOV[ANO PAGAMENTO],$B$4,LANÇ_MOV[EMPRESA],$C$4,LANÇ_MOV[CENTRO DE CUSTOS],$D$4)-J11</f>
        <v>0</v>
      </c>
      <c r="K10" s="118">
        <f>SUMIFS(LANÇ_MOV[VALOR LÍQUIDO],LANÇ_MOV[RECEITA OU DESPESA],"Despesa",LANÇ_MOV[MÊS PAGAMENTO CORRESPONDENTE],K$6,LANÇ_MOV[ANO PAGAMENTO],$B$4,LANÇ_MOV[EMPRESA],$C$4,LANÇ_MOV[CENTRO DE CUSTOS],$D$4)-K11</f>
        <v>0</v>
      </c>
      <c r="L10" s="118">
        <f>SUMIFS(LANÇ_MOV[VALOR LÍQUIDO],LANÇ_MOV[RECEITA OU DESPESA],"Despesa",LANÇ_MOV[MÊS PAGAMENTO CORRESPONDENTE],L$6,LANÇ_MOV[ANO PAGAMENTO],$B$4,LANÇ_MOV[EMPRESA],$C$4,LANÇ_MOV[CENTRO DE CUSTOS],$D$4)-L11</f>
        <v>23373.65</v>
      </c>
      <c r="M10" s="118">
        <f>SUMIFS(LANÇ_MOV[VALOR LÍQUIDO],LANÇ_MOV[RECEITA OU DESPESA],"Despesa",LANÇ_MOV[MÊS PAGAMENTO CORRESPONDENTE],M$6,LANÇ_MOV[ANO PAGAMENTO],$B$4,LANÇ_MOV[EMPRESA],$C$4,LANÇ_MOV[CENTRO DE CUSTOS],$D$4)-M11</f>
        <v>5367.53</v>
      </c>
      <c r="N10" s="118">
        <f>SUMIFS(LANÇ_MOV[VALOR LÍQUIDO],LANÇ_MOV[RECEITA OU DESPESA],"Despesa",LANÇ_MOV[MÊS PAGAMENTO CORRESPONDENTE],N$6,LANÇ_MOV[ANO PAGAMENTO],$B$4,LANÇ_MOV[EMPRESA],$C$4,LANÇ_MOV[CENTRO DE CUSTOS],$D$4)-N11</f>
        <v>0</v>
      </c>
      <c r="O10" s="39">
        <f>SUM(C10:N10)</f>
        <v>28741.18</v>
      </c>
    </row>
    <row r="11" spans="1:15" s="490" customFormat="1" ht="24.6" customHeight="1" x14ac:dyDescent="0.35">
      <c r="B11" s="491" t="s">
        <v>1562</v>
      </c>
      <c r="C11" s="492">
        <f>SUMIFS(LANÇ_MOV[VALOR LÍQUIDO],LANÇ_MOV[RECEITA OU DESPESA],"Despesa",LANÇ_MOV[CONTAS],'REL_FC'!$B11,LANÇ_MOV[MÊS PAGAMENTO CORRESPONDENTE],C$6,LANÇ_MOV[ANO PAGAMENTO],$B$4,LANÇ_MOV[EMPRESA],$C$4,LANÇ_MOV[CENTRO DE CUSTOS],$D$4)</f>
        <v>0</v>
      </c>
      <c r="D11" s="492">
        <f>SUMIFS(LANÇ_MOV[VALOR LÍQUIDO],LANÇ_MOV[RECEITA OU DESPESA],"Despesa",LANÇ_MOV[CONTAS],'REL_FC'!$B11,LANÇ_MOV[MÊS PAGAMENTO CORRESPONDENTE],D$6,LANÇ_MOV[ANO PAGAMENTO],$B$4,LANÇ_MOV[EMPRESA],$C$4,LANÇ_MOV[CENTRO DE CUSTOS],$D$4)</f>
        <v>0</v>
      </c>
      <c r="E11" s="492">
        <f>SUMIFS(LANÇ_MOV[VALOR LÍQUIDO],LANÇ_MOV[RECEITA OU DESPESA],"Despesa",LANÇ_MOV[CONTAS],'REL_FC'!$B11,LANÇ_MOV[MÊS PAGAMENTO CORRESPONDENTE],E$6,LANÇ_MOV[ANO PAGAMENTO],$B$4,LANÇ_MOV[EMPRESA],$C$4,LANÇ_MOV[CENTRO DE CUSTOS],$D$4)</f>
        <v>0</v>
      </c>
      <c r="F11" s="492">
        <f>SUMIFS(LANÇ_MOV[VALOR LÍQUIDO],LANÇ_MOV[RECEITA OU DESPESA],"Despesa",LANÇ_MOV[CONTAS],'REL_FC'!$B11,LANÇ_MOV[MÊS PAGAMENTO CORRESPONDENTE],F$6,LANÇ_MOV[ANO PAGAMENTO],$B$4,LANÇ_MOV[EMPRESA],$C$4,LANÇ_MOV[CENTRO DE CUSTOS],$D$4)</f>
        <v>0</v>
      </c>
      <c r="G11" s="492">
        <f>SUMIFS(LANÇ_MOV[VALOR LÍQUIDO],LANÇ_MOV[RECEITA OU DESPESA],"Despesa",LANÇ_MOV[CONTAS],'REL_FC'!$B11,LANÇ_MOV[MÊS PAGAMENTO CORRESPONDENTE],G$6,LANÇ_MOV[ANO PAGAMENTO],$B$4,LANÇ_MOV[EMPRESA],$C$4,LANÇ_MOV[CENTRO DE CUSTOS],$D$4)</f>
        <v>0</v>
      </c>
      <c r="H11" s="492">
        <f>SUMIFS(LANÇ_MOV[VALOR LÍQUIDO],LANÇ_MOV[RECEITA OU DESPESA],"Despesa",LANÇ_MOV[CONTAS],'REL_FC'!$B11,LANÇ_MOV[MÊS PAGAMENTO CORRESPONDENTE],H$6,LANÇ_MOV[ANO PAGAMENTO],$B$4,LANÇ_MOV[EMPRESA],$C$4,LANÇ_MOV[CENTRO DE CUSTOS],$D$4)</f>
        <v>0</v>
      </c>
      <c r="I11" s="492">
        <f>SUMIFS(LANÇ_MOV[VALOR LÍQUIDO],LANÇ_MOV[RECEITA OU DESPESA],"Despesa",LANÇ_MOV[CONTAS],'REL_FC'!$B11,LANÇ_MOV[MÊS PAGAMENTO CORRESPONDENTE],I$6,LANÇ_MOV[ANO PAGAMENTO],$B$4,LANÇ_MOV[EMPRESA],$C$4,LANÇ_MOV[CENTRO DE CUSTOS],$D$4)</f>
        <v>0</v>
      </c>
      <c r="J11" s="492">
        <f>SUMIFS(LANÇ_MOV[VALOR LÍQUIDO],LANÇ_MOV[RECEITA OU DESPESA],"Despesa",LANÇ_MOV[CONTAS],'REL_FC'!$B11,LANÇ_MOV[MÊS PAGAMENTO CORRESPONDENTE],J$6,LANÇ_MOV[ANO PAGAMENTO],$B$4,LANÇ_MOV[EMPRESA],$C$4,LANÇ_MOV[CENTRO DE CUSTOS],$D$4)</f>
        <v>0</v>
      </c>
      <c r="K11" s="492">
        <f>SUMIFS(LANÇ_MOV[VALOR LÍQUIDO],LANÇ_MOV[RECEITA OU DESPESA],"Despesa",LANÇ_MOV[CONTAS],'REL_FC'!$B11,LANÇ_MOV[MÊS PAGAMENTO CORRESPONDENTE],K$6,LANÇ_MOV[ANO PAGAMENTO],$B$4,LANÇ_MOV[EMPRESA],$C$4,LANÇ_MOV[CENTRO DE CUSTOS],$D$4)</f>
        <v>0</v>
      </c>
      <c r="L11" s="492">
        <f>SUMIFS(LANÇ_MOV[VALOR LÍQUIDO],LANÇ_MOV[RECEITA OU DESPESA],"Despesa",LANÇ_MOV[CONTAS],'REL_FC'!$B11,LANÇ_MOV[MÊS PAGAMENTO CORRESPONDENTE],L$6,LANÇ_MOV[ANO PAGAMENTO],$B$4,LANÇ_MOV[EMPRESA],$C$4,LANÇ_MOV[CENTRO DE CUSTOS],$D$4)</f>
        <v>0</v>
      </c>
      <c r="M11" s="492">
        <f>SUMIFS(LANÇ_MOV[VALOR LÍQUIDO],LANÇ_MOV[RECEITA OU DESPESA],"Despesa",LANÇ_MOV[CONTAS],'REL_FC'!$B11,LANÇ_MOV[MÊS PAGAMENTO CORRESPONDENTE],M$6,LANÇ_MOV[ANO PAGAMENTO],$B$4,LANÇ_MOV[EMPRESA],$C$4,LANÇ_MOV[CENTRO DE CUSTOS],$D$4)</f>
        <v>0</v>
      </c>
      <c r="N11" s="492">
        <f>SUMIFS(LANÇ_MOV[VALOR LÍQUIDO],LANÇ_MOV[RECEITA OU DESPESA],"Despesa",LANÇ_MOV[CONTAS],'REL_FC'!$B11,LANÇ_MOV[MÊS PAGAMENTO CORRESPONDENTE],N$6,LANÇ_MOV[ANO PAGAMENTO],$B$4,LANÇ_MOV[EMPRESA],$C$4,LANÇ_MOV[CENTRO DE CUSTOS],$D$4)</f>
        <v>0</v>
      </c>
      <c r="O11" s="493">
        <f>SUM(C11:N11)</f>
        <v>0</v>
      </c>
    </row>
    <row r="12" spans="1:15" s="41" customFormat="1" ht="24.6" customHeight="1" x14ac:dyDescent="0.35">
      <c r="B12" s="44" t="s">
        <v>1056</v>
      </c>
      <c r="C12" s="118">
        <f>C8-C10</f>
        <v>0</v>
      </c>
      <c r="D12" s="118">
        <f t="shared" ref="D12:N12" si="1">D8-D10</f>
        <v>0</v>
      </c>
      <c r="E12" s="118">
        <f t="shared" si="1"/>
        <v>0</v>
      </c>
      <c r="F12" s="118">
        <f t="shared" si="1"/>
        <v>0</v>
      </c>
      <c r="G12" s="118">
        <f t="shared" si="1"/>
        <v>0</v>
      </c>
      <c r="H12" s="118">
        <f t="shared" si="1"/>
        <v>0</v>
      </c>
      <c r="I12" s="118">
        <f t="shared" si="1"/>
        <v>0</v>
      </c>
      <c r="J12" s="118">
        <f t="shared" si="1"/>
        <v>0</v>
      </c>
      <c r="K12" s="118">
        <f t="shared" si="1"/>
        <v>0</v>
      </c>
      <c r="L12" s="118">
        <f t="shared" si="1"/>
        <v>1391.6500000000015</v>
      </c>
      <c r="M12" s="118">
        <f t="shared" si="1"/>
        <v>2604.8999999999996</v>
      </c>
      <c r="N12" s="118">
        <f t="shared" si="1"/>
        <v>0</v>
      </c>
      <c r="O12" s="39">
        <f>SUM(C12:N12)</f>
        <v>3996.5500000000011</v>
      </c>
    </row>
    <row r="13" spans="1:15" s="41" customFormat="1" ht="24.6" customHeight="1" x14ac:dyDescent="0.35">
      <c r="B13" s="44" t="s">
        <v>1038</v>
      </c>
      <c r="C13" s="118">
        <f>C7+C12</f>
        <v>0</v>
      </c>
      <c r="D13" s="118">
        <f t="shared" ref="D13:N13" si="2">D7+D12</f>
        <v>0</v>
      </c>
      <c r="E13" s="118">
        <f t="shared" si="2"/>
        <v>0</v>
      </c>
      <c r="F13" s="118">
        <f t="shared" si="2"/>
        <v>0</v>
      </c>
      <c r="G13" s="118">
        <f t="shared" si="2"/>
        <v>0</v>
      </c>
      <c r="H13" s="118">
        <f t="shared" si="2"/>
        <v>0</v>
      </c>
      <c r="I13" s="118">
        <f t="shared" si="2"/>
        <v>0</v>
      </c>
      <c r="J13" s="118">
        <f t="shared" si="2"/>
        <v>0</v>
      </c>
      <c r="K13" s="118">
        <f t="shared" si="2"/>
        <v>0</v>
      </c>
      <c r="L13" s="118">
        <f t="shared" si="2"/>
        <v>1391.6500000000015</v>
      </c>
      <c r="M13" s="118">
        <f t="shared" si="2"/>
        <v>3996.5500000000011</v>
      </c>
      <c r="N13" s="119">
        <f t="shared" si="2"/>
        <v>3996.5500000000011</v>
      </c>
      <c r="O13" s="43">
        <f>N13</f>
        <v>3996.5500000000011</v>
      </c>
    </row>
    <row r="14" spans="1:15" s="45" customFormat="1" ht="24.6" customHeight="1" x14ac:dyDescent="0.35">
      <c r="B14" s="178" t="s">
        <v>1057</v>
      </c>
      <c r="C14" s="174" t="str">
        <f>IFERROR((C12/C8),"-")</f>
        <v>-</v>
      </c>
      <c r="D14" s="174" t="str">
        <f t="shared" ref="D14:N14" si="3">IFERROR((D12/D8),"-")</f>
        <v>-</v>
      </c>
      <c r="E14" s="174" t="str">
        <f t="shared" si="3"/>
        <v>-</v>
      </c>
      <c r="F14" s="174" t="str">
        <f t="shared" si="3"/>
        <v>-</v>
      </c>
      <c r="G14" s="174" t="str">
        <f t="shared" si="3"/>
        <v>-</v>
      </c>
      <c r="H14" s="174" t="str">
        <f t="shared" si="3"/>
        <v>-</v>
      </c>
      <c r="I14" s="174" t="str">
        <f t="shared" si="3"/>
        <v>-</v>
      </c>
      <c r="J14" s="174" t="str">
        <f t="shared" si="3"/>
        <v>-</v>
      </c>
      <c r="K14" s="174" t="str">
        <f t="shared" si="3"/>
        <v>-</v>
      </c>
      <c r="L14" s="174">
        <f t="shared" si="3"/>
        <v>5.6193545000464411E-2</v>
      </c>
      <c r="M14" s="174">
        <f t="shared" si="3"/>
        <v>0.32673852263362613</v>
      </c>
      <c r="N14" s="175" t="str">
        <f t="shared" si="3"/>
        <v>-</v>
      </c>
      <c r="O14" s="46">
        <f>IFERROR(AVERAGE(C14:N14),0)</f>
        <v>0.19146603381704527</v>
      </c>
    </row>
    <row r="15" spans="1:15" s="8" customFormat="1" ht="3.75" customHeight="1" x14ac:dyDescent="0.35">
      <c r="A15" s="7"/>
      <c r="B15" s="26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12"/>
    </row>
    <row r="16" spans="1:15" s="1" customFormat="1" ht="15.8" customHeight="1" x14ac:dyDescent="0.4">
      <c r="B16" s="47" t="s">
        <v>1139</v>
      </c>
      <c r="O16" s="48"/>
    </row>
    <row r="17" spans="1:49" s="8" customFormat="1" ht="3.75" customHeight="1" thickBot="1" x14ac:dyDescent="0.4">
      <c r="A17" s="7"/>
      <c r="B17" s="26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12"/>
    </row>
    <row r="18" spans="1:49" s="41" customFormat="1" ht="24.6" customHeight="1" thickTop="1" thickBot="1" x14ac:dyDescent="0.4">
      <c r="B18" s="177" t="s">
        <v>1058</v>
      </c>
      <c r="C18" s="120">
        <f>SUMIFS(LANÇ_MOV[VALOR LÍQUIDO],LANÇ_MOV[RECEITA OU DESPESA],"Receita",LANÇ_MOV[PAGO OU NÃO],"Não Pago",LANÇ_MOV[MÊS VENCIMENTO CORRESPONDENTE],C$6,LANÇ_MOV[ANO VENCIMENTO],$B$4,LANÇ_MOV[EMPRESA],$C$4,LANÇ_MOV[CENTRO DE CUSTOS],$D$4)</f>
        <v>7771.7500000000018</v>
      </c>
      <c r="D18" s="120">
        <f>SUMIFS(LANÇ_MOV[VALOR LÍQUIDO],LANÇ_MOV[RECEITA OU DESPESA],"Receita",LANÇ_MOV[PAGO OU NÃO],"Não Pago",LANÇ_MOV[MÊS VENCIMENTO CORRESPONDENTE],D$6,LANÇ_MOV[ANO VENCIMENTO],$B$4,LANÇ_MOV[EMPRESA],$C$4,LANÇ_MOV[CENTRO DE CUSTOS],$D$4)</f>
        <v>1076.08</v>
      </c>
      <c r="E18" s="120">
        <f>SUMIFS(LANÇ_MOV[VALOR LÍQUIDO],LANÇ_MOV[RECEITA OU DESPESA],"Receita",LANÇ_MOV[PAGO OU NÃO],"Não Pago",LANÇ_MOV[MÊS VENCIMENTO CORRESPONDENTE],E$6,LANÇ_MOV[ANO VENCIMENTO],$B$4,LANÇ_MOV[EMPRESA],$C$4,LANÇ_MOV[CENTRO DE CUSTOS],$D$4)</f>
        <v>350.35</v>
      </c>
      <c r="F18" s="120">
        <f>SUMIFS(LANÇ_MOV[VALOR LÍQUIDO],LANÇ_MOV[RECEITA OU DESPESA],"Receita",LANÇ_MOV[PAGO OU NÃO],"Não Pago",LANÇ_MOV[MÊS VENCIMENTO CORRESPONDENTE],F$6,LANÇ_MOV[ANO VENCIMENTO],$B$4,LANÇ_MOV[EMPRESA],$C$4,LANÇ_MOV[CENTRO DE CUSTOS],$D$4)</f>
        <v>0</v>
      </c>
      <c r="G18" s="120">
        <f>SUMIFS(LANÇ_MOV[VALOR LÍQUIDO],LANÇ_MOV[RECEITA OU DESPESA],"Receita",LANÇ_MOV[PAGO OU NÃO],"Não Pago",LANÇ_MOV[MÊS VENCIMENTO CORRESPONDENTE],G$6,LANÇ_MOV[ANO VENCIMENTO],$B$4,LANÇ_MOV[EMPRESA],$C$4,LANÇ_MOV[CENTRO DE CUSTOS],$D$4)</f>
        <v>0</v>
      </c>
      <c r="H18" s="120">
        <f>SUMIFS(LANÇ_MOV[VALOR LÍQUIDO],LANÇ_MOV[RECEITA OU DESPESA],"Receita",LANÇ_MOV[PAGO OU NÃO],"Não Pago",LANÇ_MOV[MÊS VENCIMENTO CORRESPONDENTE],H$6,LANÇ_MOV[ANO VENCIMENTO],$B$4,LANÇ_MOV[EMPRESA],$C$4,LANÇ_MOV[CENTRO DE CUSTOS],$D$4)</f>
        <v>0</v>
      </c>
      <c r="I18" s="120">
        <f>SUMIFS(LANÇ_MOV[VALOR LÍQUIDO],LANÇ_MOV[RECEITA OU DESPESA],"Receita",LANÇ_MOV[PAGO OU NÃO],"Não Pago",LANÇ_MOV[MÊS VENCIMENTO CORRESPONDENTE],I$6,LANÇ_MOV[ANO VENCIMENTO],$B$4,LANÇ_MOV[EMPRESA],$C$4,LANÇ_MOV[CENTRO DE CUSTOS],$D$4)</f>
        <v>0</v>
      </c>
      <c r="J18" s="120">
        <f>SUMIFS(LANÇ_MOV[VALOR LÍQUIDO],LANÇ_MOV[RECEITA OU DESPESA],"Receita",LANÇ_MOV[PAGO OU NÃO],"Não Pago",LANÇ_MOV[MÊS VENCIMENTO CORRESPONDENTE],J$6,LANÇ_MOV[ANO VENCIMENTO],$B$4,LANÇ_MOV[EMPRESA],$C$4,LANÇ_MOV[CENTRO DE CUSTOS],$D$4)</f>
        <v>0</v>
      </c>
      <c r="K18" s="120">
        <f>SUMIFS(LANÇ_MOV[VALOR LÍQUIDO],LANÇ_MOV[RECEITA OU DESPESA],"Receita",LANÇ_MOV[PAGO OU NÃO],"Não Pago",LANÇ_MOV[MÊS VENCIMENTO CORRESPONDENTE],K$6,LANÇ_MOV[ANO VENCIMENTO],$B$4,LANÇ_MOV[EMPRESA],$C$4,LANÇ_MOV[CENTRO DE CUSTOS],$D$4)</f>
        <v>0</v>
      </c>
      <c r="L18" s="120">
        <f>SUMIFS(LANÇ_MOV[VALOR LÍQUIDO],LANÇ_MOV[RECEITA OU DESPESA],"Receita",LANÇ_MOV[PAGO OU NÃO],"Não Pago",LANÇ_MOV[MÊS VENCIMENTO CORRESPONDENTE],L$6,LANÇ_MOV[ANO VENCIMENTO],$B$4,LANÇ_MOV[EMPRESA],$C$4,LANÇ_MOV[CENTRO DE CUSTOS],$D$4)</f>
        <v>2170.3199999999997</v>
      </c>
      <c r="M18" s="120">
        <f>SUMIFS(LANÇ_MOV[VALOR LÍQUIDO],LANÇ_MOV[RECEITA OU DESPESA],"Receita",LANÇ_MOV[PAGO OU NÃO],"Não Pago",LANÇ_MOV[MÊS VENCIMENTO CORRESPONDENTE],M$6,LANÇ_MOV[ANO VENCIMENTO],$B$4,LANÇ_MOV[EMPRESA],$C$4,LANÇ_MOV[CENTRO DE CUSTOS],$D$4)</f>
        <v>6287.9900000000007</v>
      </c>
      <c r="N18" s="120">
        <f>SUMIFS(LANÇ_MOV[VALOR LÍQUIDO],LANÇ_MOV[RECEITA OU DESPESA],"Receita",LANÇ_MOV[PAGO OU NÃO],"Não Pago",LANÇ_MOV[MÊS VENCIMENTO CORRESPONDENTE],N$6,LANÇ_MOV[ANO VENCIMENTO],$B$4,LANÇ_MOV[EMPRESA],$C$4,LANÇ_MOV[CENTRO DE CUSTOS],$D$4)</f>
        <v>9944.6700000000019</v>
      </c>
      <c r="O18" s="39">
        <f>SUM(C18:N18)</f>
        <v>27601.160000000003</v>
      </c>
    </row>
    <row r="19" spans="1:49" s="41" customFormat="1" ht="24.6" customHeight="1" thickTop="1" thickBot="1" x14ac:dyDescent="0.4">
      <c r="B19" s="49" t="s">
        <v>1059</v>
      </c>
      <c r="C19" s="120">
        <f>SUMIFS(LANÇ_MOV[VALOR LÍQUIDO],LANÇ_MOV[RECEITA OU DESPESA],"Despesa",LANÇ_MOV[PAGO OU NÃO],"Não Pago",LANÇ_MOV[MÊS VENCIMENTO CORRESPONDENTE],C$6,LANÇ_MOV[ANO VENCIMENTO],$B$4,LANÇ_MOV[EMPRESA],$C$4,LANÇ_MOV[CENTRO DE CUSTOS],$D$4)</f>
        <v>29065.859999999997</v>
      </c>
      <c r="D19" s="120">
        <f>SUMIFS(LANÇ_MOV[VALOR LÍQUIDO],LANÇ_MOV[RECEITA OU DESPESA],"Despesa",LANÇ_MOV[PAGO OU NÃO],"Não Pago",LANÇ_MOV[MÊS VENCIMENTO CORRESPONDENTE],D$6,LANÇ_MOV[ANO VENCIMENTO],$B$4,LANÇ_MOV[EMPRESA],$C$4,LANÇ_MOV[CENTRO DE CUSTOS],$D$4)</f>
        <v>149301.79</v>
      </c>
      <c r="E19" s="120">
        <f>SUMIFS(LANÇ_MOV[VALOR LÍQUIDO],LANÇ_MOV[RECEITA OU DESPESA],"Despesa",LANÇ_MOV[PAGO OU NÃO],"Não Pago",LANÇ_MOV[MÊS VENCIMENTO CORRESPONDENTE],E$6,LANÇ_MOV[ANO VENCIMENTO],$B$4,LANÇ_MOV[EMPRESA],$C$4,LANÇ_MOV[CENTRO DE CUSTOS],$D$4)</f>
        <v>216043.14</v>
      </c>
      <c r="F19" s="120">
        <f>SUMIFS(LANÇ_MOV[VALOR LÍQUIDO],LANÇ_MOV[RECEITA OU DESPESA],"Despesa",LANÇ_MOV[PAGO OU NÃO],"Não Pago",LANÇ_MOV[MÊS VENCIMENTO CORRESPONDENTE],F$6,LANÇ_MOV[ANO VENCIMENTO],$B$4,LANÇ_MOV[EMPRESA],$C$4,LANÇ_MOV[CENTRO DE CUSTOS],$D$4)</f>
        <v>393364.24</v>
      </c>
      <c r="G19" s="120">
        <f>SUMIFS(LANÇ_MOV[VALOR LÍQUIDO],LANÇ_MOV[RECEITA OU DESPESA],"Despesa",LANÇ_MOV[PAGO OU NÃO],"Não Pago",LANÇ_MOV[MÊS VENCIMENTO CORRESPONDENTE],G$6,LANÇ_MOV[ANO VENCIMENTO],$B$4,LANÇ_MOV[EMPRESA],$C$4,LANÇ_MOV[CENTRO DE CUSTOS],$D$4)</f>
        <v>750522.83</v>
      </c>
      <c r="H19" s="120">
        <f>SUMIFS(LANÇ_MOV[VALOR LÍQUIDO],LANÇ_MOV[RECEITA OU DESPESA],"Despesa",LANÇ_MOV[PAGO OU NÃO],"Não Pago",LANÇ_MOV[MÊS VENCIMENTO CORRESPONDENTE],H$6,LANÇ_MOV[ANO VENCIMENTO],$B$4,LANÇ_MOV[EMPRESA],$C$4,LANÇ_MOV[CENTRO DE CUSTOS],$D$4)</f>
        <v>79935.41</v>
      </c>
      <c r="I19" s="120">
        <f>SUMIFS(LANÇ_MOV[VALOR LÍQUIDO],LANÇ_MOV[RECEITA OU DESPESA],"Despesa",LANÇ_MOV[PAGO OU NÃO],"Não Pago",LANÇ_MOV[MÊS VENCIMENTO CORRESPONDENTE],I$6,LANÇ_MOV[ANO VENCIMENTO],$B$4,LANÇ_MOV[EMPRESA],$C$4,LANÇ_MOV[CENTRO DE CUSTOS],$D$4)</f>
        <v>28264.5</v>
      </c>
      <c r="J19" s="120">
        <f>SUMIFS(LANÇ_MOV[VALOR LÍQUIDO],LANÇ_MOV[RECEITA OU DESPESA],"Despesa",LANÇ_MOV[PAGO OU NÃO],"Não Pago",LANÇ_MOV[MÊS VENCIMENTO CORRESPONDENTE],J$6,LANÇ_MOV[ANO VENCIMENTO],$B$4,LANÇ_MOV[EMPRESA],$C$4,LANÇ_MOV[CENTRO DE CUSTOS],$D$4)</f>
        <v>52659.770000000004</v>
      </c>
      <c r="K19" s="120">
        <f>SUMIFS(LANÇ_MOV[VALOR LÍQUIDO],LANÇ_MOV[RECEITA OU DESPESA],"Despesa",LANÇ_MOV[PAGO OU NÃO],"Não Pago",LANÇ_MOV[MÊS VENCIMENTO CORRESPONDENTE],K$6,LANÇ_MOV[ANO VENCIMENTO],$B$4,LANÇ_MOV[EMPRESA],$C$4,LANÇ_MOV[CENTRO DE CUSTOS],$D$4)</f>
        <v>25012.829999999998</v>
      </c>
      <c r="L19" s="120">
        <f>SUMIFS(LANÇ_MOV[VALOR LÍQUIDO],LANÇ_MOV[RECEITA OU DESPESA],"Despesa",LANÇ_MOV[PAGO OU NÃO],"Não Pago",LANÇ_MOV[MÊS VENCIMENTO CORRESPONDENTE],L$6,LANÇ_MOV[ANO VENCIMENTO],$B$4,LANÇ_MOV[EMPRESA],$C$4,LANÇ_MOV[CENTRO DE CUSTOS],$D$4)</f>
        <v>36825.1</v>
      </c>
      <c r="M19" s="120">
        <f>SUMIFS(LANÇ_MOV[VALOR LÍQUIDO],LANÇ_MOV[RECEITA OU DESPESA],"Despesa",LANÇ_MOV[PAGO OU NÃO],"Não Pago",LANÇ_MOV[MÊS VENCIMENTO CORRESPONDENTE],M$6,LANÇ_MOV[ANO VENCIMENTO],$B$4,LANÇ_MOV[EMPRESA],$C$4,LANÇ_MOV[CENTRO DE CUSTOS],$D$4)</f>
        <v>224087.77</v>
      </c>
      <c r="N19" s="120">
        <f>SUMIFS(LANÇ_MOV[VALOR LÍQUIDO],LANÇ_MOV[RECEITA OU DESPESA],"Despesa",LANÇ_MOV[PAGO OU NÃO],"Não Pago",LANÇ_MOV[MÊS VENCIMENTO CORRESPONDENTE],N$6,LANÇ_MOV[ANO VENCIMENTO],$B$4,LANÇ_MOV[EMPRESA],$C$4,LANÇ_MOV[CENTRO DE CUSTOS],$D$4)</f>
        <v>143590.71</v>
      </c>
      <c r="O19" s="166">
        <f>SUM(C19:N19)</f>
        <v>2128673.9500000002</v>
      </c>
    </row>
    <row r="20" spans="1:49" s="41" customFormat="1" ht="32.25" customHeight="1" thickTop="1" thickBot="1" x14ac:dyDescent="0.4">
      <c r="B20" s="50" t="s">
        <v>1060</v>
      </c>
      <c r="C20" s="176">
        <f>C18-C19</f>
        <v>-21294.109999999993</v>
      </c>
      <c r="D20" s="176">
        <f t="shared" ref="D20:N20" si="4">D18-D19</f>
        <v>-148225.71000000002</v>
      </c>
      <c r="E20" s="176">
        <f t="shared" si="4"/>
        <v>-215692.79</v>
      </c>
      <c r="F20" s="176">
        <f t="shared" si="4"/>
        <v>-393364.24</v>
      </c>
      <c r="G20" s="176">
        <f t="shared" si="4"/>
        <v>-750522.83</v>
      </c>
      <c r="H20" s="176">
        <f t="shared" si="4"/>
        <v>-79935.41</v>
      </c>
      <c r="I20" s="176">
        <f t="shared" si="4"/>
        <v>-28264.5</v>
      </c>
      <c r="J20" s="176">
        <f t="shared" si="4"/>
        <v>-52659.770000000004</v>
      </c>
      <c r="K20" s="176">
        <f t="shared" si="4"/>
        <v>-25012.829999999998</v>
      </c>
      <c r="L20" s="176">
        <f t="shared" si="4"/>
        <v>-34654.78</v>
      </c>
      <c r="M20" s="176">
        <f t="shared" si="4"/>
        <v>-217799.78</v>
      </c>
      <c r="N20" s="176">
        <f t="shared" si="4"/>
        <v>-133646.03999999998</v>
      </c>
      <c r="O20" s="39">
        <f>O18-O19</f>
        <v>-2101072.79</v>
      </c>
    </row>
    <row r="21" spans="1:49" ht="30.05" customHeight="1" thickTop="1" x14ac:dyDescent="0.35"/>
    <row r="22" spans="1:49" ht="30.05" customHeight="1" x14ac:dyDescent="0.35"/>
    <row r="23" spans="1:49" ht="20.100000000000001" customHeight="1" x14ac:dyDescent="0.35">
      <c r="B23" s="254" t="s">
        <v>1187</v>
      </c>
      <c r="C23" t="s">
        <v>2010</v>
      </c>
      <c r="D23" s="1"/>
      <c r="E23" s="1"/>
    </row>
    <row r="24" spans="1:49" s="110" customFormat="1" ht="3.65" customHeight="1" x14ac:dyDescent="0.35">
      <c r="A24" s="7"/>
      <c r="F24" s="8"/>
      <c r="G24" s="8"/>
      <c r="H24" s="8"/>
      <c r="I24" s="8"/>
      <c r="J24" s="8"/>
      <c r="K24" s="8"/>
      <c r="L24" s="8"/>
      <c r="M24" s="8"/>
      <c r="N24" s="8"/>
      <c r="O24" s="383"/>
      <c r="P24" s="383"/>
      <c r="R24" s="111"/>
      <c r="S24" s="210"/>
      <c r="T24" s="210"/>
      <c r="U24" s="210"/>
      <c r="V24" s="210"/>
      <c r="W24" s="210"/>
      <c r="X24" s="210"/>
      <c r="Y24" s="210"/>
      <c r="Z24" s="210"/>
      <c r="AA24" s="210"/>
      <c r="AB24" s="210"/>
      <c r="AC24" s="210"/>
      <c r="AD24" s="210"/>
      <c r="AE24" s="210"/>
      <c r="AF24" s="210"/>
      <c r="AG24" s="210"/>
      <c r="AH24" s="210"/>
      <c r="AI24" s="210"/>
      <c r="AJ24" s="210"/>
      <c r="AK24" s="210"/>
      <c r="AL24" s="210"/>
      <c r="AM24" s="210"/>
      <c r="AN24" s="210"/>
      <c r="AO24" s="210"/>
      <c r="AP24" s="210"/>
      <c r="AQ24" s="210"/>
      <c r="AR24" s="210"/>
      <c r="AS24" s="210"/>
      <c r="AT24" s="210"/>
      <c r="AU24" s="210"/>
      <c r="AV24" s="210"/>
      <c r="AW24" s="210"/>
    </row>
    <row r="25" spans="1:49" ht="14.5" x14ac:dyDescent="0.35">
      <c r="B25" s="254" t="s">
        <v>1557</v>
      </c>
      <c r="C25" s="254" t="s">
        <v>1555</v>
      </c>
      <c r="D25"/>
      <c r="E25"/>
      <c r="F25"/>
      <c r="G25"/>
      <c r="H25"/>
      <c r="I25"/>
      <c r="J25"/>
      <c r="K25"/>
      <c r="L25"/>
      <c r="M25"/>
    </row>
    <row r="26" spans="1:49" ht="14.5" x14ac:dyDescent="0.35">
      <c r="B26" s="388" t="s">
        <v>1169</v>
      </c>
      <c r="C26"/>
      <c r="D26" t="s">
        <v>1093</v>
      </c>
      <c r="E26" t="s">
        <v>1094</v>
      </c>
      <c r="F26" s="363" t="s">
        <v>1167</v>
      </c>
      <c r="G26"/>
      <c r="H26"/>
      <c r="I26"/>
      <c r="J26"/>
      <c r="K26"/>
      <c r="L26"/>
      <c r="M26"/>
    </row>
    <row r="27" spans="1:49" ht="14.5" x14ac:dyDescent="0.35">
      <c r="B27" s="257" t="s">
        <v>1064</v>
      </c>
      <c r="C27" s="387">
        <v>0</v>
      </c>
      <c r="D27" s="387"/>
      <c r="E27" s="387"/>
      <c r="F27" s="387">
        <v>0</v>
      </c>
      <c r="G27"/>
      <c r="H27"/>
      <c r="I27"/>
      <c r="J27"/>
      <c r="K27"/>
      <c r="L27"/>
      <c r="M27"/>
    </row>
    <row r="28" spans="1:49" ht="14.5" x14ac:dyDescent="0.35">
      <c r="B28" s="398" t="s">
        <v>1654</v>
      </c>
      <c r="C28" s="387">
        <v>0</v>
      </c>
      <c r="D28" s="387"/>
      <c r="E28" s="387"/>
      <c r="F28" s="387">
        <v>0</v>
      </c>
      <c r="G28"/>
      <c r="H28"/>
      <c r="I28"/>
      <c r="J28"/>
      <c r="K28"/>
      <c r="L28"/>
      <c r="M28"/>
    </row>
    <row r="29" spans="1:49" ht="14.5" x14ac:dyDescent="0.35">
      <c r="B29" s="396" t="s">
        <v>1654</v>
      </c>
      <c r="C29" s="387">
        <v>0</v>
      </c>
      <c r="D29" s="387"/>
      <c r="E29" s="387"/>
      <c r="F29" s="387">
        <v>0</v>
      </c>
      <c r="G29"/>
      <c r="H29"/>
      <c r="I29"/>
      <c r="J29"/>
      <c r="K29"/>
      <c r="L29"/>
      <c r="M29"/>
    </row>
    <row r="30" spans="1:49" ht="14.5" x14ac:dyDescent="0.35">
      <c r="B30" s="257" t="s">
        <v>1042</v>
      </c>
      <c r="C30" s="387">
        <v>2128673.9499999997</v>
      </c>
      <c r="D30" s="387">
        <v>23373.65</v>
      </c>
      <c r="E30" s="387">
        <v>5367.53</v>
      </c>
      <c r="F30" s="387">
        <v>2157415.13</v>
      </c>
      <c r="G30"/>
      <c r="H30"/>
      <c r="I30"/>
      <c r="J30"/>
      <c r="K30"/>
      <c r="L30"/>
      <c r="M30"/>
    </row>
    <row r="31" spans="1:49" ht="14.5" x14ac:dyDescent="0.35">
      <c r="B31" s="398" t="s">
        <v>1144</v>
      </c>
      <c r="C31" s="387">
        <v>58761.83</v>
      </c>
      <c r="D31" s="387">
        <v>12624.57</v>
      </c>
      <c r="E31" s="387">
        <v>2500</v>
      </c>
      <c r="F31" s="387">
        <v>73886.400000000009</v>
      </c>
      <c r="G31"/>
      <c r="H31"/>
      <c r="I31"/>
      <c r="J31"/>
      <c r="K31"/>
      <c r="L31"/>
      <c r="M31"/>
    </row>
    <row r="32" spans="1:49" ht="14.5" x14ac:dyDescent="0.35">
      <c r="B32" s="396" t="s">
        <v>1489</v>
      </c>
      <c r="C32" s="387"/>
      <c r="D32" s="387">
        <v>11158.75</v>
      </c>
      <c r="E32" s="387"/>
      <c r="F32" s="387">
        <v>11158.75</v>
      </c>
      <c r="G32"/>
      <c r="H32"/>
      <c r="I32"/>
      <c r="J32"/>
      <c r="K32"/>
      <c r="L32"/>
      <c r="M32"/>
    </row>
    <row r="33" spans="2:13" ht="14.5" x14ac:dyDescent="0.35">
      <c r="B33" s="396" t="s">
        <v>1488</v>
      </c>
      <c r="C33" s="387">
        <v>1026</v>
      </c>
      <c r="D33" s="387">
        <v>143.82</v>
      </c>
      <c r="E33" s="387"/>
      <c r="F33" s="387">
        <v>1169.82</v>
      </c>
      <c r="G33"/>
      <c r="H33"/>
      <c r="I33"/>
      <c r="J33"/>
      <c r="K33"/>
      <c r="L33"/>
      <c r="M33"/>
    </row>
    <row r="34" spans="2:13" ht="14.5" x14ac:dyDescent="0.35">
      <c r="B34" s="396" t="s">
        <v>1813</v>
      </c>
      <c r="C34" s="387">
        <v>9866.08</v>
      </c>
      <c r="D34" s="387"/>
      <c r="E34" s="387"/>
      <c r="F34" s="387">
        <v>9866.08</v>
      </c>
      <c r="G34"/>
      <c r="H34"/>
      <c r="I34"/>
      <c r="J34"/>
      <c r="K34"/>
      <c r="L34"/>
      <c r="M34"/>
    </row>
    <row r="35" spans="2:13" ht="14.5" x14ac:dyDescent="0.35">
      <c r="B35" s="396" t="s">
        <v>1530</v>
      </c>
      <c r="C35" s="387">
        <v>10618.050000000003</v>
      </c>
      <c r="D35" s="387"/>
      <c r="E35" s="387"/>
      <c r="F35" s="387">
        <v>10618.050000000003</v>
      </c>
      <c r="G35"/>
      <c r="H35"/>
      <c r="I35"/>
      <c r="J35"/>
      <c r="K35"/>
      <c r="L35"/>
      <c r="M35"/>
    </row>
    <row r="36" spans="2:13" ht="14.5" x14ac:dyDescent="0.35">
      <c r="B36" s="396" t="s">
        <v>1552</v>
      </c>
      <c r="C36" s="387">
        <v>1400</v>
      </c>
      <c r="D36" s="387"/>
      <c r="E36" s="387"/>
      <c r="F36" s="387">
        <v>1400</v>
      </c>
      <c r="G36"/>
      <c r="H36"/>
      <c r="I36"/>
      <c r="J36"/>
      <c r="K36"/>
      <c r="L36"/>
      <c r="M36"/>
    </row>
    <row r="37" spans="2:13" ht="14.5" x14ac:dyDescent="0.35">
      <c r="B37" s="396" t="s">
        <v>1487</v>
      </c>
      <c r="C37" s="387">
        <v>18200</v>
      </c>
      <c r="D37" s="387">
        <v>1300</v>
      </c>
      <c r="E37" s="387">
        <v>1300</v>
      </c>
      <c r="F37" s="387">
        <v>20800</v>
      </c>
      <c r="G37"/>
      <c r="H37"/>
      <c r="I37"/>
      <c r="J37"/>
      <c r="K37"/>
      <c r="L37"/>
      <c r="M37"/>
    </row>
    <row r="38" spans="2:13" ht="14.5" x14ac:dyDescent="0.35">
      <c r="B38" s="396" t="s">
        <v>1814</v>
      </c>
      <c r="C38" s="387">
        <v>16800</v>
      </c>
      <c r="D38" s="387"/>
      <c r="E38" s="387">
        <v>1200</v>
      </c>
      <c r="F38" s="387">
        <v>18000</v>
      </c>
      <c r="G38"/>
      <c r="H38"/>
      <c r="I38"/>
      <c r="J38"/>
      <c r="K38"/>
      <c r="L38"/>
      <c r="M38"/>
    </row>
    <row r="39" spans="2:13" ht="14.5" x14ac:dyDescent="0.35">
      <c r="B39" s="396" t="s">
        <v>1812</v>
      </c>
      <c r="C39" s="387">
        <v>851.7</v>
      </c>
      <c r="D39" s="387"/>
      <c r="E39" s="387"/>
      <c r="F39" s="387">
        <v>851.7</v>
      </c>
      <c r="G39"/>
      <c r="H39"/>
      <c r="I39"/>
      <c r="J39"/>
      <c r="K39"/>
      <c r="L39"/>
      <c r="M39"/>
    </row>
    <row r="40" spans="2:13" ht="14.5" x14ac:dyDescent="0.35">
      <c r="B40" s="396" t="s">
        <v>1461</v>
      </c>
      <c r="C40" s="387"/>
      <c r="D40" s="387">
        <v>22</v>
      </c>
      <c r="E40" s="387"/>
      <c r="F40" s="387">
        <v>22</v>
      </c>
      <c r="G40"/>
      <c r="H40"/>
      <c r="I40"/>
      <c r="J40"/>
      <c r="K40"/>
      <c r="L40"/>
      <c r="M40"/>
    </row>
    <row r="41" spans="2:13" ht="14.5" x14ac:dyDescent="0.35">
      <c r="B41" s="398" t="s">
        <v>228</v>
      </c>
      <c r="C41" s="387">
        <v>202201.51</v>
      </c>
      <c r="D41" s="387">
        <v>10749.080000000002</v>
      </c>
      <c r="E41" s="387">
        <v>2867.5299999999997</v>
      </c>
      <c r="F41" s="387">
        <v>215818.12</v>
      </c>
      <c r="G41"/>
      <c r="H41"/>
      <c r="I41"/>
      <c r="J41"/>
      <c r="K41"/>
      <c r="L41"/>
      <c r="M41"/>
    </row>
    <row r="42" spans="2:13" ht="14.5" x14ac:dyDescent="0.35">
      <c r="B42" s="396" t="s">
        <v>1492</v>
      </c>
      <c r="C42" s="387">
        <v>39294.869999999995</v>
      </c>
      <c r="D42" s="387">
        <v>2406.11</v>
      </c>
      <c r="E42" s="387">
        <v>2867.5299999999997</v>
      </c>
      <c r="F42" s="387">
        <v>44568.509999999995</v>
      </c>
      <c r="G42"/>
      <c r="H42"/>
      <c r="I42"/>
      <c r="J42"/>
      <c r="K42"/>
      <c r="L42"/>
      <c r="M42"/>
    </row>
    <row r="43" spans="2:13" ht="14.5" x14ac:dyDescent="0.35">
      <c r="B43" s="396" t="s">
        <v>1641</v>
      </c>
      <c r="C43" s="387">
        <v>5000</v>
      </c>
      <c r="D43" s="387"/>
      <c r="E43" s="387"/>
      <c r="F43" s="387">
        <v>5000</v>
      </c>
      <c r="G43"/>
      <c r="H43"/>
      <c r="I43"/>
      <c r="J43"/>
      <c r="K43"/>
      <c r="L43"/>
      <c r="M43"/>
    </row>
    <row r="44" spans="2:13" ht="14.5" x14ac:dyDescent="0.35">
      <c r="B44" s="396" t="s">
        <v>1642</v>
      </c>
      <c r="C44" s="387">
        <v>5000</v>
      </c>
      <c r="D44" s="387"/>
      <c r="E44" s="387"/>
      <c r="F44" s="387">
        <v>5000</v>
      </c>
      <c r="G44"/>
      <c r="H44"/>
      <c r="I44"/>
      <c r="J44"/>
      <c r="K44"/>
      <c r="L44"/>
      <c r="M44"/>
    </row>
    <row r="45" spans="2:13" ht="14.5" x14ac:dyDescent="0.35">
      <c r="B45" s="396" t="s">
        <v>1511</v>
      </c>
      <c r="C45" s="387">
        <v>13664.2</v>
      </c>
      <c r="D45" s="387">
        <v>2149.52</v>
      </c>
      <c r="E45" s="387"/>
      <c r="F45" s="387">
        <v>15813.720000000001</v>
      </c>
      <c r="G45"/>
      <c r="H45"/>
      <c r="I45"/>
      <c r="J45"/>
      <c r="K45"/>
      <c r="L45"/>
      <c r="M45"/>
    </row>
    <row r="46" spans="2:13" ht="14.5" x14ac:dyDescent="0.35">
      <c r="B46" s="396" t="s">
        <v>1822</v>
      </c>
      <c r="C46" s="387">
        <v>47742.44</v>
      </c>
      <c r="D46" s="387"/>
      <c r="E46" s="387"/>
      <c r="F46" s="387">
        <v>47742.44</v>
      </c>
      <c r="G46"/>
      <c r="H46"/>
      <c r="I46"/>
      <c r="J46"/>
      <c r="K46"/>
      <c r="L46"/>
      <c r="M46"/>
    </row>
    <row r="47" spans="2:13" ht="14.5" x14ac:dyDescent="0.35">
      <c r="B47" s="396" t="s">
        <v>1818</v>
      </c>
      <c r="C47" s="387">
        <v>91500</v>
      </c>
      <c r="D47" s="387">
        <v>4875</v>
      </c>
      <c r="E47" s="387"/>
      <c r="F47" s="387">
        <v>96375</v>
      </c>
      <c r="G47"/>
      <c r="H47"/>
      <c r="I47"/>
      <c r="J47"/>
      <c r="K47"/>
      <c r="L47"/>
      <c r="M47"/>
    </row>
    <row r="48" spans="2:13" ht="14.5" x14ac:dyDescent="0.35">
      <c r="B48" s="396" t="s">
        <v>1825</v>
      </c>
      <c r="C48" s="387"/>
      <c r="D48" s="387">
        <v>1318.45</v>
      </c>
      <c r="E48" s="387"/>
      <c r="F48" s="387">
        <v>1318.45</v>
      </c>
      <c r="G48"/>
      <c r="H48"/>
      <c r="I48"/>
      <c r="J48"/>
      <c r="K48"/>
      <c r="L48"/>
      <c r="M48"/>
    </row>
    <row r="49" spans="2:13" ht="14.5" x14ac:dyDescent="0.35">
      <c r="B49" s="398" t="s">
        <v>1440</v>
      </c>
      <c r="C49" s="387">
        <v>1867710.6099999999</v>
      </c>
      <c r="D49" s="387"/>
      <c r="E49" s="387"/>
      <c r="F49" s="387">
        <v>1867710.6099999999</v>
      </c>
      <c r="G49"/>
      <c r="H49"/>
      <c r="I49"/>
      <c r="J49"/>
      <c r="K49"/>
      <c r="L49"/>
      <c r="M49"/>
    </row>
    <row r="50" spans="2:13" ht="14.5" x14ac:dyDescent="0.35">
      <c r="B50" s="396" t="s">
        <v>1654</v>
      </c>
      <c r="C50" s="387">
        <v>449249.44</v>
      </c>
      <c r="D50" s="387"/>
      <c r="E50" s="387"/>
      <c r="F50" s="387">
        <v>449249.44</v>
      </c>
      <c r="G50"/>
      <c r="H50"/>
      <c r="I50"/>
      <c r="J50"/>
      <c r="K50"/>
      <c r="L50"/>
      <c r="M50"/>
    </row>
    <row r="51" spans="2:13" ht="14.5" x14ac:dyDescent="0.35">
      <c r="B51" s="396" t="s">
        <v>1844</v>
      </c>
      <c r="C51" s="387">
        <v>8127.1399999999985</v>
      </c>
      <c r="D51" s="387"/>
      <c r="E51" s="387"/>
      <c r="F51" s="387">
        <v>8127.1399999999985</v>
      </c>
      <c r="G51"/>
      <c r="H51"/>
      <c r="I51"/>
      <c r="J51"/>
      <c r="K51"/>
      <c r="L51"/>
      <c r="M51"/>
    </row>
    <row r="52" spans="2:13" ht="14.5" x14ac:dyDescent="0.35">
      <c r="B52" s="396" t="s">
        <v>1847</v>
      </c>
      <c r="C52" s="387">
        <v>5424.35</v>
      </c>
      <c r="D52" s="387"/>
      <c r="E52" s="387"/>
      <c r="F52" s="387">
        <v>5424.35</v>
      </c>
      <c r="G52"/>
      <c r="H52"/>
      <c r="I52"/>
      <c r="J52"/>
      <c r="K52"/>
      <c r="L52"/>
      <c r="M52"/>
    </row>
    <row r="53" spans="2:13" ht="14.5" x14ac:dyDescent="0.35">
      <c r="B53" s="396" t="s">
        <v>1842</v>
      </c>
      <c r="C53" s="387">
        <v>1128.3499999999999</v>
      </c>
      <c r="D53" s="387"/>
      <c r="E53" s="387"/>
      <c r="F53" s="387">
        <v>1128.3499999999999</v>
      </c>
      <c r="G53"/>
      <c r="H53"/>
      <c r="I53"/>
      <c r="J53"/>
      <c r="K53"/>
      <c r="L53"/>
      <c r="M53"/>
    </row>
    <row r="54" spans="2:13" ht="14.5" x14ac:dyDescent="0.35">
      <c r="B54" s="396" t="s">
        <v>1839</v>
      </c>
      <c r="C54" s="387">
        <v>16171.809999999998</v>
      </c>
      <c r="D54" s="387"/>
      <c r="E54" s="387"/>
      <c r="F54" s="387">
        <v>16171.809999999998</v>
      </c>
      <c r="G54"/>
      <c r="H54"/>
      <c r="I54"/>
      <c r="J54"/>
      <c r="K54"/>
      <c r="L54"/>
      <c r="M54"/>
    </row>
    <row r="55" spans="2:13" ht="14.5" x14ac:dyDescent="0.35">
      <c r="B55" s="396" t="s">
        <v>1838</v>
      </c>
      <c r="C55" s="387">
        <v>36442.230000000003</v>
      </c>
      <c r="D55" s="387"/>
      <c r="E55" s="387"/>
      <c r="F55" s="387">
        <v>36442.230000000003</v>
      </c>
      <c r="G55"/>
      <c r="H55"/>
      <c r="I55"/>
      <c r="J55"/>
      <c r="K55"/>
      <c r="L55"/>
      <c r="M55"/>
    </row>
    <row r="56" spans="2:13" ht="14.5" x14ac:dyDescent="0.35">
      <c r="B56" s="396" t="s">
        <v>1840</v>
      </c>
      <c r="C56" s="387">
        <v>7808.3699999999981</v>
      </c>
      <c r="D56" s="387"/>
      <c r="E56" s="387"/>
      <c r="F56" s="387">
        <v>7808.3699999999981</v>
      </c>
      <c r="G56"/>
      <c r="H56"/>
      <c r="I56"/>
      <c r="J56"/>
      <c r="K56"/>
      <c r="L56"/>
      <c r="M56"/>
    </row>
    <row r="57" spans="2:13" ht="14.5" x14ac:dyDescent="0.35">
      <c r="B57" s="396" t="s">
        <v>1843</v>
      </c>
      <c r="C57" s="387">
        <v>29601.840000000004</v>
      </c>
      <c r="D57" s="387"/>
      <c r="E57" s="387"/>
      <c r="F57" s="387">
        <v>29601.840000000004</v>
      </c>
      <c r="G57"/>
      <c r="H57"/>
      <c r="I57"/>
      <c r="J57"/>
      <c r="K57"/>
      <c r="L57"/>
      <c r="M57"/>
    </row>
    <row r="58" spans="2:13" ht="14.5" x14ac:dyDescent="0.35">
      <c r="B58" s="396" t="s">
        <v>1846</v>
      </c>
      <c r="C58" s="387">
        <v>2570.21</v>
      </c>
      <c r="D58" s="387"/>
      <c r="E58" s="387"/>
      <c r="F58" s="387">
        <v>2570.21</v>
      </c>
      <c r="G58"/>
      <c r="H58"/>
      <c r="I58"/>
      <c r="J58"/>
      <c r="K58"/>
      <c r="L58"/>
      <c r="M58"/>
    </row>
    <row r="59" spans="2:13" ht="14.5" x14ac:dyDescent="0.35">
      <c r="B59" s="396" t="s">
        <v>1602</v>
      </c>
      <c r="C59" s="387">
        <v>4577.8500000000004</v>
      </c>
      <c r="D59" s="387"/>
      <c r="E59" s="387"/>
      <c r="F59" s="387">
        <v>4577.8500000000004</v>
      </c>
      <c r="G59"/>
      <c r="H59"/>
      <c r="I59"/>
      <c r="J59"/>
      <c r="K59"/>
      <c r="L59"/>
      <c r="M59"/>
    </row>
    <row r="60" spans="2:13" ht="14.5" x14ac:dyDescent="0.35">
      <c r="B60" s="396" t="s">
        <v>1851</v>
      </c>
      <c r="C60" s="387">
        <v>761.40000000000009</v>
      </c>
      <c r="D60" s="387"/>
      <c r="E60" s="387"/>
      <c r="F60" s="387">
        <v>761.40000000000009</v>
      </c>
      <c r="G60"/>
      <c r="H60"/>
      <c r="I60"/>
      <c r="J60"/>
      <c r="K60"/>
      <c r="L60"/>
      <c r="M60"/>
    </row>
    <row r="61" spans="2:13" ht="14.5" x14ac:dyDescent="0.35">
      <c r="B61" s="396" t="s">
        <v>1852</v>
      </c>
      <c r="C61" s="387">
        <v>210.6</v>
      </c>
      <c r="D61" s="387"/>
      <c r="E61" s="387"/>
      <c r="F61" s="387">
        <v>210.6</v>
      </c>
      <c r="G61"/>
      <c r="H61"/>
      <c r="I61"/>
      <c r="J61"/>
      <c r="K61"/>
      <c r="L61"/>
      <c r="M61"/>
    </row>
    <row r="62" spans="2:13" ht="14.5" x14ac:dyDescent="0.35">
      <c r="B62" s="396" t="s">
        <v>1853</v>
      </c>
      <c r="C62" s="387">
        <v>499.98</v>
      </c>
      <c r="D62" s="387"/>
      <c r="E62" s="387"/>
      <c r="F62" s="387">
        <v>499.98</v>
      </c>
      <c r="G62"/>
      <c r="H62"/>
      <c r="I62"/>
      <c r="J62"/>
      <c r="K62"/>
      <c r="L62"/>
      <c r="M62"/>
    </row>
    <row r="63" spans="2:13" ht="14.5" x14ac:dyDescent="0.35">
      <c r="B63" s="396" t="s">
        <v>1508</v>
      </c>
      <c r="C63" s="387">
        <v>6783.0099999999993</v>
      </c>
      <c r="D63" s="387"/>
      <c r="E63" s="387"/>
      <c r="F63" s="387">
        <v>6783.0099999999993</v>
      </c>
      <c r="G63"/>
      <c r="H63"/>
      <c r="I63"/>
      <c r="J63"/>
      <c r="K63"/>
      <c r="L63"/>
      <c r="M63"/>
    </row>
    <row r="64" spans="2:13" ht="14.5" x14ac:dyDescent="0.35">
      <c r="B64" s="396" t="s">
        <v>1845</v>
      </c>
      <c r="C64" s="387">
        <v>54617.37</v>
      </c>
      <c r="D64" s="387"/>
      <c r="E64" s="387"/>
      <c r="F64" s="387">
        <v>54617.37</v>
      </c>
      <c r="G64"/>
      <c r="H64"/>
      <c r="I64"/>
      <c r="J64"/>
      <c r="K64"/>
      <c r="L64"/>
      <c r="M64"/>
    </row>
    <row r="65" spans="2:13" ht="14.5" x14ac:dyDescent="0.35">
      <c r="B65" s="396" t="s">
        <v>1831</v>
      </c>
      <c r="C65" s="387">
        <v>1147.08</v>
      </c>
      <c r="D65" s="387"/>
      <c r="E65" s="387"/>
      <c r="F65" s="387">
        <v>1147.08</v>
      </c>
      <c r="G65"/>
      <c r="H65"/>
      <c r="I65"/>
      <c r="J65"/>
      <c r="K65"/>
      <c r="L65"/>
      <c r="M65"/>
    </row>
    <row r="66" spans="2:13" ht="14.5" x14ac:dyDescent="0.35">
      <c r="B66" s="396" t="s">
        <v>1830</v>
      </c>
      <c r="C66" s="387">
        <v>4853.95</v>
      </c>
      <c r="D66" s="387"/>
      <c r="E66" s="387"/>
      <c r="F66" s="387">
        <v>4853.95</v>
      </c>
      <c r="G66"/>
      <c r="H66"/>
      <c r="I66"/>
      <c r="J66"/>
      <c r="K66"/>
      <c r="L66"/>
      <c r="M66"/>
    </row>
    <row r="67" spans="2:13" ht="14.5" x14ac:dyDescent="0.35">
      <c r="B67" s="396" t="s">
        <v>1849</v>
      </c>
      <c r="C67" s="387">
        <v>12332.44</v>
      </c>
      <c r="D67" s="387"/>
      <c r="E67" s="387"/>
      <c r="F67" s="387">
        <v>12332.44</v>
      </c>
      <c r="G67"/>
      <c r="H67"/>
      <c r="I67"/>
      <c r="J67"/>
      <c r="K67"/>
      <c r="L67"/>
      <c r="M67"/>
    </row>
    <row r="68" spans="2:13" ht="14.5" x14ac:dyDescent="0.35">
      <c r="B68" s="396" t="s">
        <v>1835</v>
      </c>
      <c r="C68" s="387">
        <v>3699.3099999999995</v>
      </c>
      <c r="D68" s="387"/>
      <c r="E68" s="387"/>
      <c r="F68" s="387">
        <v>3699.3099999999995</v>
      </c>
      <c r="G68"/>
      <c r="H68"/>
      <c r="I68"/>
      <c r="J68"/>
      <c r="K68"/>
      <c r="L68"/>
      <c r="M68"/>
    </row>
    <row r="69" spans="2:13" ht="14.5" x14ac:dyDescent="0.35">
      <c r="B69" s="396" t="s">
        <v>1834</v>
      </c>
      <c r="C69" s="387">
        <v>41918.660000000003</v>
      </c>
      <c r="D69" s="387"/>
      <c r="E69" s="387"/>
      <c r="F69" s="387">
        <v>41918.660000000003</v>
      </c>
      <c r="G69"/>
      <c r="H69"/>
      <c r="I69"/>
      <c r="J69"/>
      <c r="K69"/>
      <c r="L69"/>
      <c r="M69"/>
    </row>
    <row r="70" spans="2:13" ht="14.5" x14ac:dyDescent="0.35">
      <c r="B70" s="396" t="s">
        <v>1837</v>
      </c>
      <c r="C70" s="387">
        <v>23450</v>
      </c>
      <c r="D70" s="387"/>
      <c r="E70" s="387"/>
      <c r="F70" s="387">
        <v>23450</v>
      </c>
      <c r="G70"/>
      <c r="H70"/>
      <c r="I70"/>
      <c r="J70"/>
      <c r="K70"/>
      <c r="L70"/>
      <c r="M70"/>
    </row>
    <row r="71" spans="2:13" ht="14.5" x14ac:dyDescent="0.35">
      <c r="B71" s="396" t="s">
        <v>1836</v>
      </c>
      <c r="C71" s="387">
        <v>111049.9</v>
      </c>
      <c r="D71" s="387"/>
      <c r="E71" s="387"/>
      <c r="F71" s="387">
        <v>111049.9</v>
      </c>
      <c r="G71"/>
      <c r="H71"/>
      <c r="I71"/>
      <c r="J71"/>
      <c r="K71"/>
      <c r="L71"/>
      <c r="M71"/>
    </row>
    <row r="72" spans="2:13" ht="14.5" x14ac:dyDescent="0.35">
      <c r="B72" s="396" t="s">
        <v>1833</v>
      </c>
      <c r="C72" s="387">
        <v>2465.98</v>
      </c>
      <c r="D72" s="387"/>
      <c r="E72" s="387"/>
      <c r="F72" s="387">
        <v>2465.98</v>
      </c>
      <c r="G72"/>
      <c r="H72"/>
      <c r="I72"/>
      <c r="J72"/>
      <c r="K72"/>
      <c r="L72"/>
      <c r="M72"/>
    </row>
    <row r="73" spans="2:13" ht="14.5" x14ac:dyDescent="0.35">
      <c r="B73" s="396" t="s">
        <v>1832</v>
      </c>
      <c r="C73" s="387">
        <v>246661.03</v>
      </c>
      <c r="D73" s="387"/>
      <c r="E73" s="387"/>
      <c r="F73" s="387">
        <v>246661.03</v>
      </c>
      <c r="G73"/>
      <c r="H73"/>
      <c r="I73"/>
      <c r="J73"/>
      <c r="K73"/>
      <c r="L73"/>
      <c r="M73"/>
    </row>
    <row r="74" spans="2:13" ht="14.5" x14ac:dyDescent="0.35">
      <c r="B74" s="396" t="s">
        <v>1850</v>
      </c>
      <c r="C74" s="387">
        <v>168502.29</v>
      </c>
      <c r="D74" s="387"/>
      <c r="E74" s="387"/>
      <c r="F74" s="387">
        <v>168502.29</v>
      </c>
      <c r="G74"/>
      <c r="H74"/>
      <c r="I74"/>
      <c r="J74"/>
      <c r="K74"/>
      <c r="L74"/>
      <c r="M74"/>
    </row>
    <row r="75" spans="2:13" ht="14.5" x14ac:dyDescent="0.35">
      <c r="B75" s="396" t="s">
        <v>1848</v>
      </c>
      <c r="C75" s="387">
        <v>627656.02</v>
      </c>
      <c r="D75" s="387"/>
      <c r="E75" s="387"/>
      <c r="F75" s="387">
        <v>627656.02</v>
      </c>
      <c r="G75"/>
      <c r="H75"/>
      <c r="I75"/>
      <c r="J75"/>
      <c r="K75"/>
      <c r="L75"/>
      <c r="M75"/>
    </row>
    <row r="76" spans="2:13" ht="14.5" x14ac:dyDescent="0.35">
      <c r="B76" s="257" t="s">
        <v>1041</v>
      </c>
      <c r="C76" s="387">
        <v>28005.760000000009</v>
      </c>
      <c r="D76" s="387">
        <v>24765.300000000003</v>
      </c>
      <c r="E76" s="387">
        <v>7972.4299999999994</v>
      </c>
      <c r="F76" s="387">
        <v>60743.490000000005</v>
      </c>
      <c r="G76"/>
      <c r="H76"/>
      <c r="I76"/>
      <c r="J76"/>
      <c r="K76"/>
      <c r="L76"/>
      <c r="M76"/>
    </row>
    <row r="77" spans="2:13" ht="14.5" x14ac:dyDescent="0.35">
      <c r="B77" s="398" t="s">
        <v>1103</v>
      </c>
      <c r="C77" s="387">
        <v>28005.760000000009</v>
      </c>
      <c r="D77" s="387">
        <v>22067.45</v>
      </c>
      <c r="E77" s="387">
        <v>7421.12</v>
      </c>
      <c r="F77" s="387">
        <v>57494.330000000009</v>
      </c>
      <c r="G77"/>
      <c r="H77"/>
      <c r="I77"/>
      <c r="J77"/>
      <c r="K77"/>
      <c r="L77"/>
      <c r="M77"/>
    </row>
    <row r="78" spans="2:13" ht="14.5" x14ac:dyDescent="0.35">
      <c r="B78" s="396" t="s">
        <v>1654</v>
      </c>
      <c r="C78" s="387">
        <v>0</v>
      </c>
      <c r="D78" s="387"/>
      <c r="E78" s="387"/>
      <c r="F78" s="387">
        <v>0</v>
      </c>
      <c r="G78"/>
      <c r="H78"/>
      <c r="I78"/>
      <c r="J78"/>
      <c r="K78"/>
      <c r="L78"/>
      <c r="M78"/>
    </row>
    <row r="79" spans="2:13" ht="14.5" x14ac:dyDescent="0.35">
      <c r="B79" s="396" t="s">
        <v>1785</v>
      </c>
      <c r="C79" s="387">
        <v>28005.760000000009</v>
      </c>
      <c r="D79" s="387">
        <v>22067.45</v>
      </c>
      <c r="E79" s="387">
        <v>7421.12</v>
      </c>
      <c r="F79" s="387">
        <v>57494.330000000009</v>
      </c>
      <c r="G79"/>
      <c r="H79"/>
      <c r="I79"/>
      <c r="J79"/>
      <c r="K79"/>
      <c r="L79"/>
      <c r="M79"/>
    </row>
    <row r="80" spans="2:13" ht="14.5" x14ac:dyDescent="0.35">
      <c r="B80" s="398" t="s">
        <v>1441</v>
      </c>
      <c r="C80" s="387"/>
      <c r="D80" s="387">
        <v>2697.85</v>
      </c>
      <c r="E80" s="387">
        <v>551.30999999999995</v>
      </c>
      <c r="F80" s="387">
        <v>3249.1600000000003</v>
      </c>
      <c r="G80"/>
      <c r="H80"/>
      <c r="I80"/>
      <c r="J80"/>
      <c r="K80"/>
      <c r="L80"/>
      <c r="M80"/>
    </row>
    <row r="81" spans="2:13" ht="14.5" x14ac:dyDescent="0.35">
      <c r="B81" s="396" t="s">
        <v>1654</v>
      </c>
      <c r="C81" s="387"/>
      <c r="D81" s="387">
        <v>2040.72</v>
      </c>
      <c r="E81" s="387">
        <v>230</v>
      </c>
      <c r="F81" s="387">
        <v>2270.7200000000003</v>
      </c>
      <c r="G81"/>
      <c r="H81"/>
      <c r="I81"/>
      <c r="J81"/>
      <c r="K81"/>
      <c r="L81"/>
      <c r="M81"/>
    </row>
    <row r="82" spans="2:13" ht="14.5" x14ac:dyDescent="0.35">
      <c r="B82" s="396" t="s">
        <v>1502</v>
      </c>
      <c r="C82" s="387"/>
      <c r="D82" s="387">
        <v>657.1099999999999</v>
      </c>
      <c r="E82" s="387">
        <v>321.27</v>
      </c>
      <c r="F82" s="387">
        <v>978.37999999999988</v>
      </c>
      <c r="G82"/>
      <c r="H82"/>
      <c r="I82"/>
      <c r="J82"/>
      <c r="K82"/>
      <c r="L82"/>
      <c r="M82"/>
    </row>
    <row r="83" spans="2:13" ht="14.5" x14ac:dyDescent="0.35">
      <c r="B83" s="396" t="s">
        <v>1789</v>
      </c>
      <c r="C83" s="387"/>
      <c r="D83" s="387">
        <v>0.02</v>
      </c>
      <c r="E83" s="387">
        <v>0.04</v>
      </c>
      <c r="F83" s="387">
        <v>0.06</v>
      </c>
      <c r="G83"/>
      <c r="H83"/>
      <c r="I83"/>
      <c r="J83"/>
      <c r="K83"/>
      <c r="L83"/>
      <c r="M83"/>
    </row>
    <row r="84" spans="2:13" ht="14.5" x14ac:dyDescent="0.35">
      <c r="B84"/>
      <c r="C84"/>
      <c r="D84"/>
      <c r="E84"/>
      <c r="F84"/>
      <c r="G84"/>
      <c r="H84"/>
      <c r="I84"/>
      <c r="J84"/>
      <c r="K84"/>
      <c r="L84"/>
      <c r="M84"/>
    </row>
    <row r="85" spans="2:13" ht="14.5" x14ac:dyDescent="0.35">
      <c r="B85"/>
      <c r="C85"/>
      <c r="D85"/>
      <c r="E85"/>
      <c r="F85"/>
      <c r="G85"/>
      <c r="H85"/>
      <c r="I85"/>
      <c r="J85"/>
      <c r="K85"/>
      <c r="L85"/>
      <c r="M85"/>
    </row>
    <row r="86" spans="2:13" ht="14.5" x14ac:dyDescent="0.35">
      <c r="B86"/>
      <c r="C86"/>
      <c r="D86"/>
      <c r="E86"/>
      <c r="F86"/>
      <c r="G86"/>
      <c r="H86"/>
      <c r="I86"/>
      <c r="J86"/>
      <c r="K86"/>
      <c r="L86"/>
      <c r="M86"/>
    </row>
    <row r="87" spans="2:13" ht="14.5" x14ac:dyDescent="0.35">
      <c r="B87"/>
      <c r="C87"/>
      <c r="D87"/>
      <c r="E87"/>
      <c r="F87"/>
      <c r="G87"/>
      <c r="H87"/>
      <c r="I87"/>
      <c r="J87"/>
      <c r="K87"/>
      <c r="L87"/>
      <c r="M87"/>
    </row>
    <row r="88" spans="2:13" ht="14.5" x14ac:dyDescent="0.35">
      <c r="B88"/>
      <c r="C88"/>
      <c r="D88"/>
      <c r="E88"/>
      <c r="F88"/>
      <c r="G88"/>
      <c r="H88"/>
      <c r="I88"/>
      <c r="J88"/>
      <c r="K88"/>
      <c r="L88"/>
      <c r="M88"/>
    </row>
    <row r="89" spans="2:13" ht="14.5" x14ac:dyDescent="0.35">
      <c r="B89"/>
      <c r="C89"/>
      <c r="D89"/>
      <c r="E89"/>
      <c r="F89"/>
      <c r="G89"/>
      <c r="H89"/>
      <c r="I89"/>
      <c r="J89"/>
      <c r="K89"/>
      <c r="L89"/>
      <c r="M89"/>
    </row>
    <row r="90" spans="2:13" ht="14.5" x14ac:dyDescent="0.35">
      <c r="B90"/>
      <c r="C90"/>
      <c r="D90"/>
      <c r="E90"/>
      <c r="F90"/>
      <c r="G90"/>
      <c r="H90"/>
      <c r="I90"/>
      <c r="J90"/>
      <c r="K90"/>
      <c r="L90"/>
      <c r="M90"/>
    </row>
    <row r="91" spans="2:13" ht="14.5" x14ac:dyDescent="0.35">
      <c r="B91"/>
      <c r="C91"/>
      <c r="D91"/>
      <c r="E91"/>
      <c r="F91"/>
      <c r="G91"/>
      <c r="H91"/>
      <c r="I91"/>
      <c r="J91"/>
      <c r="K91"/>
      <c r="L91"/>
      <c r="M91"/>
    </row>
    <row r="92" spans="2:13" ht="14.5" x14ac:dyDescent="0.35">
      <c r="B92"/>
      <c r="C92"/>
      <c r="D92"/>
      <c r="E92"/>
      <c r="F92"/>
      <c r="G92"/>
      <c r="H92"/>
      <c r="I92"/>
      <c r="J92"/>
      <c r="K92"/>
      <c r="L92"/>
      <c r="M92"/>
    </row>
    <row r="93" spans="2:13" ht="14.5" x14ac:dyDescent="0.35">
      <c r="B93"/>
      <c r="C93"/>
      <c r="D93"/>
      <c r="E93"/>
      <c r="F93"/>
      <c r="G93"/>
      <c r="H93"/>
      <c r="I93"/>
      <c r="J93"/>
      <c r="K93"/>
      <c r="L93"/>
      <c r="M93"/>
    </row>
    <row r="94" spans="2:13" ht="14.5" x14ac:dyDescent="0.35">
      <c r="B94"/>
      <c r="C94"/>
      <c r="D94"/>
      <c r="E94"/>
      <c r="F94"/>
      <c r="G94"/>
      <c r="H94"/>
      <c r="I94"/>
      <c r="J94"/>
      <c r="K94"/>
      <c r="L94"/>
      <c r="M94"/>
    </row>
    <row r="95" spans="2:13" ht="14.5" x14ac:dyDescent="0.35">
      <c r="B95"/>
      <c r="C95"/>
      <c r="D95"/>
      <c r="E95"/>
      <c r="F95"/>
      <c r="G95"/>
      <c r="H95"/>
      <c r="I95"/>
      <c r="J95"/>
      <c r="K95"/>
      <c r="L95"/>
      <c r="M95"/>
    </row>
    <row r="96" spans="2:13" ht="14.5" x14ac:dyDescent="0.35">
      <c r="B96"/>
      <c r="C96"/>
      <c r="D96"/>
      <c r="E96"/>
      <c r="F96"/>
      <c r="G96"/>
      <c r="H96"/>
      <c r="I96"/>
      <c r="J96"/>
      <c r="K96"/>
      <c r="L96"/>
      <c r="M96"/>
    </row>
    <row r="97" spans="2:13" ht="14.5" x14ac:dyDescent="0.35">
      <c r="B97"/>
      <c r="C97"/>
      <c r="D97"/>
      <c r="E97"/>
      <c r="F97"/>
      <c r="G97"/>
      <c r="H97"/>
      <c r="I97"/>
      <c r="J97"/>
      <c r="K97"/>
      <c r="L97"/>
      <c r="M97"/>
    </row>
    <row r="98" spans="2:13" ht="14.5" x14ac:dyDescent="0.35">
      <c r="B98"/>
      <c r="C98"/>
      <c r="D98"/>
      <c r="E98"/>
      <c r="F98"/>
      <c r="G98"/>
      <c r="H98"/>
      <c r="I98"/>
      <c r="J98"/>
      <c r="K98"/>
      <c r="L98"/>
      <c r="M98"/>
    </row>
    <row r="99" spans="2:13" ht="14.5" x14ac:dyDescent="0.35">
      <c r="B99"/>
      <c r="C99"/>
      <c r="D99"/>
      <c r="E99"/>
      <c r="F99"/>
      <c r="G99"/>
      <c r="H99"/>
      <c r="I99"/>
      <c r="J99"/>
      <c r="K99"/>
      <c r="L99"/>
      <c r="M99"/>
    </row>
    <row r="100" spans="2:13" ht="14.5" x14ac:dyDescent="0.35">
      <c r="B100"/>
      <c r="C100"/>
      <c r="D100"/>
      <c r="E100"/>
      <c r="F100"/>
      <c r="G100"/>
      <c r="H100"/>
      <c r="I100"/>
      <c r="J100"/>
      <c r="K100"/>
      <c r="L100"/>
      <c r="M100"/>
    </row>
    <row r="101" spans="2:13" ht="14.5" x14ac:dyDescent="0.35">
      <c r="B101"/>
      <c r="C101"/>
      <c r="D101"/>
      <c r="E101"/>
      <c r="F101"/>
      <c r="G101"/>
      <c r="H101"/>
      <c r="I101"/>
      <c r="J101"/>
      <c r="K101"/>
      <c r="L101"/>
      <c r="M101"/>
    </row>
    <row r="102" spans="2:13" ht="14.5" x14ac:dyDescent="0.35">
      <c r="B102"/>
      <c r="C102"/>
      <c r="D102"/>
      <c r="E102"/>
      <c r="F102"/>
      <c r="G102"/>
      <c r="H102"/>
      <c r="I102"/>
      <c r="J102"/>
      <c r="K102"/>
      <c r="L102"/>
      <c r="M102"/>
    </row>
    <row r="103" spans="2:13" ht="14.5" x14ac:dyDescent="0.35">
      <c r="B103"/>
      <c r="C103"/>
      <c r="D103"/>
      <c r="E103"/>
      <c r="F103"/>
      <c r="G103"/>
      <c r="H103"/>
      <c r="I103"/>
      <c r="J103"/>
      <c r="K103"/>
      <c r="L103"/>
      <c r="M103"/>
    </row>
    <row r="104" spans="2:13" ht="14.5" x14ac:dyDescent="0.35">
      <c r="B104"/>
      <c r="C104"/>
      <c r="D104"/>
      <c r="E104"/>
      <c r="F104"/>
      <c r="G104"/>
      <c r="H104"/>
      <c r="I104"/>
      <c r="J104"/>
      <c r="K104"/>
      <c r="L104"/>
      <c r="M104"/>
    </row>
    <row r="105" spans="2:13" ht="14.5" x14ac:dyDescent="0.35">
      <c r="B105"/>
      <c r="C105"/>
      <c r="D105"/>
      <c r="E105"/>
      <c r="F105"/>
      <c r="G105"/>
      <c r="H105"/>
      <c r="I105"/>
      <c r="J105"/>
      <c r="K105"/>
      <c r="L105"/>
      <c r="M105"/>
    </row>
  </sheetData>
  <sheetProtection sort="0" autoFilter="0" pivotTables="0"/>
  <conditionalFormatting sqref="O20">
    <cfRule type="cellIs" dxfId="55" priority="5" operator="greaterThan">
      <formula>0</formula>
    </cfRule>
    <cfRule type="cellIs" dxfId="54" priority="6" operator="lessThan">
      <formula>0</formula>
    </cfRule>
  </conditionalFormatting>
  <conditionalFormatting sqref="C12:O13 C20:O20">
    <cfRule type="cellIs" dxfId="53" priority="7" operator="greaterThan">
      <formula>0</formula>
    </cfRule>
    <cfRule type="cellIs" dxfId="52" priority="8" operator="lessThan">
      <formula>0</formula>
    </cfRule>
  </conditionalFormatting>
  <conditionalFormatting sqref="C14:O14">
    <cfRule type="cellIs" dxfId="51" priority="3" operator="lessThan">
      <formula>0</formula>
    </cfRule>
    <cfRule type="cellIs" dxfId="50" priority="4" operator="greaterThan">
      <formula>0</formula>
    </cfRule>
  </conditionalFormatting>
  <conditionalFormatting sqref="O24:P24">
    <cfRule type="cellIs" dxfId="49" priority="1" operator="greaterThan">
      <formula>0</formula>
    </cfRule>
    <cfRule type="cellIs" dxfId="48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2"/>
  <ignoredErrors>
    <ignoredError sqref="O7 O13:O14" calculatedColumn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2" r:id="rId5" name="Drop Down 6">
              <controlPr defaultSize="0" autoLine="0" autoPict="0">
                <anchor moveWithCells="1">
                  <from>
                    <xdr:col>0</xdr:col>
                    <xdr:colOff>39471</xdr:colOff>
                    <xdr:row>2</xdr:row>
                    <xdr:rowOff>39471</xdr:rowOff>
                  </from>
                  <to>
                    <xdr:col>1</xdr:col>
                    <xdr:colOff>901243</xdr:colOff>
                    <xdr:row>3</xdr:row>
                    <xdr:rowOff>223666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6" name="Drop Down 7">
              <controlPr defaultSize="0" autoLine="0" autoPict="0">
                <anchor moveWithCells="1">
                  <from>
                    <xdr:col>2</xdr:col>
                    <xdr:colOff>111833</xdr:colOff>
                    <xdr:row>2</xdr:row>
                    <xdr:rowOff>39471</xdr:rowOff>
                  </from>
                  <to>
                    <xdr:col>3</xdr:col>
                    <xdr:colOff>624950</xdr:colOff>
                    <xdr:row>3</xdr:row>
                    <xdr:rowOff>223666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7" name="Drop Down 8">
              <controlPr defaultSize="0" autoLine="0" autoPict="0">
                <anchor moveWithCells="1">
                  <from>
                    <xdr:col>1</xdr:col>
                    <xdr:colOff>907822</xdr:colOff>
                    <xdr:row>2</xdr:row>
                    <xdr:rowOff>39471</xdr:rowOff>
                  </from>
                  <to>
                    <xdr:col>2</xdr:col>
                    <xdr:colOff>111833</xdr:colOff>
                    <xdr:row>3</xdr:row>
                    <xdr:rowOff>223666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8" name="Button 9">
              <controlPr defaultSize="0" autoFill="0" autoPict="0" macro="[0]!Atualizar">
                <anchor moveWithCells="1" sizeWithCells="1">
                  <from>
                    <xdr:col>3</xdr:col>
                    <xdr:colOff>355235</xdr:colOff>
                    <xdr:row>21</xdr:row>
                    <xdr:rowOff>315764</xdr:rowOff>
                  </from>
                  <to>
                    <xdr:col>5</xdr:col>
                    <xdr:colOff>6578</xdr:colOff>
                    <xdr:row>22</xdr:row>
                    <xdr:rowOff>236823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47">
    <tabColor rgb="FF001C54"/>
  </sheetPr>
  <dimension ref="A1:P775"/>
  <sheetViews>
    <sheetView showGridLines="0" zoomScaleNormal="100" workbookViewId="0">
      <pane xSplit="2" ySplit="9" topLeftCell="C10" activePane="bottomRight" state="frozen"/>
      <selection pane="topRight"/>
      <selection pane="bottomLeft"/>
      <selection pane="bottomRight" activeCell="R8" sqref="R8"/>
    </sheetView>
  </sheetViews>
  <sheetFormatPr defaultColWidth="9.1796875" defaultRowHeight="15.05" customHeight="1" x14ac:dyDescent="0.35"/>
  <cols>
    <col min="1" max="1" width="0.7265625" style="111" customWidth="1"/>
    <col min="2" max="2" width="24.26953125" style="20" customWidth="1"/>
    <col min="3" max="3" width="15.1796875" style="408" customWidth="1"/>
    <col min="4" max="4" width="16.453125" style="408" customWidth="1"/>
    <col min="5" max="5" width="16" style="408" customWidth="1"/>
    <col min="6" max="6" width="14.453125" style="420" customWidth="1"/>
    <col min="7" max="7" width="14.81640625" style="10" customWidth="1"/>
    <col min="8" max="8" width="15.26953125" style="10" customWidth="1"/>
    <col min="9" max="9" width="12.453125" style="10" customWidth="1"/>
    <col min="10" max="10" width="12" style="10" customWidth="1"/>
    <col min="11" max="11" width="12.54296875" style="10" customWidth="1"/>
    <col min="12" max="12" width="13.453125" style="10" customWidth="1"/>
    <col min="13" max="16384" width="9.1796875" style="10"/>
  </cols>
  <sheetData>
    <row r="1" spans="1:16" s="31" customFormat="1" ht="25" customHeight="1" x14ac:dyDescent="0.35">
      <c r="A1" s="115"/>
      <c r="B1" s="59"/>
      <c r="C1" s="276"/>
      <c r="D1" s="276"/>
      <c r="E1" s="276"/>
      <c r="F1" s="417"/>
    </row>
    <row r="2" spans="1:16" s="33" customFormat="1" ht="19.55" customHeight="1" x14ac:dyDescent="0.35">
      <c r="A2" s="117"/>
      <c r="B2" s="390"/>
      <c r="C2" s="277"/>
      <c r="D2" s="277"/>
      <c r="E2" s="277"/>
      <c r="F2" s="418"/>
    </row>
    <row r="3" spans="1:16" s="26" customFormat="1" ht="3.75" customHeight="1" x14ac:dyDescent="0.35">
      <c r="A3" s="307"/>
      <c r="B3" s="62"/>
      <c r="C3" s="278"/>
      <c r="D3" s="278"/>
      <c r="E3" s="278"/>
      <c r="F3" s="278"/>
      <c r="G3" s="278"/>
      <c r="H3" s="278"/>
      <c r="I3" s="278"/>
      <c r="J3" s="53"/>
    </row>
    <row r="4" spans="1:16" s="26" customFormat="1" ht="14.5" x14ac:dyDescent="0.35">
      <c r="A4" s="125"/>
      <c r="B4" s="255" t="s">
        <v>1219</v>
      </c>
      <c r="C4" s="10" t="s">
        <v>2036</v>
      </c>
      <c r="D4" s="550" t="s">
        <v>2035</v>
      </c>
      <c r="E4" s="394"/>
      <c r="F4" s="419"/>
    </row>
    <row r="5" spans="1:16" s="26" customFormat="1" ht="14.5" x14ac:dyDescent="0.35">
      <c r="A5" s="125"/>
      <c r="B5" s="255" t="s">
        <v>1141</v>
      </c>
      <c r="C5" s="10" t="s">
        <v>1041</v>
      </c>
      <c r="D5" s="550" t="s">
        <v>2037</v>
      </c>
      <c r="E5" s="394"/>
      <c r="F5" s="419"/>
      <c r="G5" s="278"/>
    </row>
    <row r="6" spans="1:16" s="26" customFormat="1" ht="14.5" x14ac:dyDescent="0.35">
      <c r="A6" s="125"/>
      <c r="B6" s="255" t="s">
        <v>1186</v>
      </c>
      <c r="C6" s="10" t="s">
        <v>2009</v>
      </c>
      <c r="D6" s="550" t="s">
        <v>2031</v>
      </c>
      <c r="E6" s="394"/>
      <c r="F6" s="419"/>
    </row>
    <row r="7" spans="1:16" s="26" customFormat="1" ht="3.75" customHeight="1" x14ac:dyDescent="0.35">
      <c r="A7" s="125"/>
      <c r="D7" s="278"/>
      <c r="E7" s="278"/>
      <c r="F7" s="419"/>
    </row>
    <row r="8" spans="1:16" ht="29.05" x14ac:dyDescent="0.35">
      <c r="B8" s="275" t="s">
        <v>1557</v>
      </c>
      <c r="C8" s="255" t="s">
        <v>1168</v>
      </c>
      <c r="D8" s="10"/>
      <c r="E8" s="10"/>
      <c r="F8" s="10"/>
      <c r="G8"/>
      <c r="H8"/>
      <c r="I8"/>
      <c r="J8"/>
      <c r="K8"/>
      <c r="L8"/>
      <c r="M8"/>
      <c r="N8"/>
      <c r="O8"/>
      <c r="P8"/>
    </row>
    <row r="9" spans="1:16" ht="14.5" x14ac:dyDescent="0.35">
      <c r="B9" s="275" t="s">
        <v>1222</v>
      </c>
      <c r="C9" s="10" t="s">
        <v>1093</v>
      </c>
      <c r="D9" s="10" t="s">
        <v>1094</v>
      </c>
      <c r="E9" s="10" t="s">
        <v>1095</v>
      </c>
      <c r="F9" s="10" t="s">
        <v>1167</v>
      </c>
      <c r="G9"/>
      <c r="H9"/>
      <c r="I9"/>
      <c r="J9"/>
      <c r="K9"/>
      <c r="L9"/>
      <c r="M9"/>
      <c r="N9"/>
      <c r="O9"/>
      <c r="P9"/>
    </row>
    <row r="10" spans="1:16" ht="29.05" x14ac:dyDescent="0.35">
      <c r="B10" s="20" t="s">
        <v>1713</v>
      </c>
      <c r="C10" s="369">
        <v>325.32</v>
      </c>
      <c r="D10" s="369">
        <v>325.32</v>
      </c>
      <c r="E10" s="369">
        <v>325.32</v>
      </c>
      <c r="F10" s="369">
        <v>975.96</v>
      </c>
      <c r="G10"/>
      <c r="H10"/>
      <c r="I10"/>
      <c r="J10"/>
      <c r="K10"/>
      <c r="L10"/>
      <c r="M10"/>
      <c r="N10"/>
      <c r="O10"/>
      <c r="P10"/>
    </row>
    <row r="11" spans="1:16" ht="14.5" x14ac:dyDescent="0.35">
      <c r="B11" s="20" t="s">
        <v>1698</v>
      </c>
      <c r="C11" s="369"/>
      <c r="D11" s="369"/>
      <c r="E11" s="369">
        <v>375.38</v>
      </c>
      <c r="F11" s="369">
        <v>375.38</v>
      </c>
      <c r="G11"/>
      <c r="H11"/>
      <c r="I11"/>
      <c r="J11"/>
      <c r="K11"/>
      <c r="L11"/>
      <c r="M11"/>
      <c r="N11"/>
      <c r="O11"/>
      <c r="P11"/>
    </row>
    <row r="12" spans="1:16" ht="29.05" x14ac:dyDescent="0.35">
      <c r="B12" s="20" t="s">
        <v>1691</v>
      </c>
      <c r="C12" s="369">
        <v>615</v>
      </c>
      <c r="D12" s="369">
        <v>615</v>
      </c>
      <c r="E12" s="369">
        <v>615</v>
      </c>
      <c r="F12" s="369">
        <v>1845</v>
      </c>
      <c r="G12"/>
      <c r="H12"/>
      <c r="I12"/>
      <c r="J12"/>
      <c r="K12"/>
      <c r="L12"/>
      <c r="M12"/>
      <c r="N12"/>
      <c r="O12"/>
      <c r="P12"/>
    </row>
    <row r="13" spans="1:16" ht="29.05" x14ac:dyDescent="0.35">
      <c r="B13" s="20" t="s">
        <v>1676</v>
      </c>
      <c r="C13" s="369">
        <v>1230</v>
      </c>
      <c r="D13" s="369"/>
      <c r="E13" s="369"/>
      <c r="F13" s="369">
        <v>1230</v>
      </c>
      <c r="G13"/>
      <c r="H13"/>
      <c r="I13"/>
      <c r="J13"/>
      <c r="K13"/>
      <c r="L13"/>
      <c r="M13"/>
      <c r="N13"/>
      <c r="O13"/>
      <c r="P13"/>
    </row>
    <row r="14" spans="1:16" ht="29.05" x14ac:dyDescent="0.35">
      <c r="B14" s="20" t="s">
        <v>1673</v>
      </c>
      <c r="C14" s="369"/>
      <c r="D14" s="369">
        <v>375.38</v>
      </c>
      <c r="E14" s="369">
        <v>375.38</v>
      </c>
      <c r="F14" s="369">
        <v>750.76</v>
      </c>
      <c r="G14"/>
      <c r="H14"/>
      <c r="I14"/>
      <c r="J14"/>
      <c r="K14"/>
      <c r="L14"/>
      <c r="M14"/>
      <c r="N14"/>
      <c r="O14"/>
      <c r="P14"/>
    </row>
    <row r="15" spans="1:16" ht="29.05" x14ac:dyDescent="0.35">
      <c r="B15" s="20" t="s">
        <v>1708</v>
      </c>
      <c r="C15" s="369"/>
      <c r="D15" s="369"/>
      <c r="E15" s="369">
        <v>350.35</v>
      </c>
      <c r="F15" s="369">
        <v>350.35</v>
      </c>
      <c r="G15"/>
      <c r="H15"/>
      <c r="I15"/>
      <c r="J15"/>
      <c r="K15"/>
      <c r="L15"/>
      <c r="M15"/>
      <c r="N15"/>
      <c r="O15"/>
      <c r="P15"/>
    </row>
    <row r="16" spans="1:16" ht="29.05" x14ac:dyDescent="0.35">
      <c r="B16" s="20" t="s">
        <v>1669</v>
      </c>
      <c r="C16" s="369"/>
      <c r="D16" s="369"/>
      <c r="E16" s="369">
        <v>375.38</v>
      </c>
      <c r="F16" s="369">
        <v>375.38</v>
      </c>
      <c r="G16"/>
      <c r="H16"/>
      <c r="I16"/>
      <c r="J16"/>
      <c r="K16"/>
      <c r="L16"/>
      <c r="M16"/>
      <c r="N16"/>
      <c r="O16"/>
      <c r="P16"/>
    </row>
    <row r="17" spans="2:16" ht="14.5" x14ac:dyDescent="0.35">
      <c r="B17" s="20" t="s">
        <v>1672</v>
      </c>
      <c r="C17" s="369"/>
      <c r="D17" s="369"/>
      <c r="E17" s="369">
        <v>375.38</v>
      </c>
      <c r="F17" s="369">
        <v>375.38</v>
      </c>
      <c r="G17"/>
      <c r="H17"/>
      <c r="I17"/>
      <c r="J17"/>
      <c r="K17"/>
      <c r="L17"/>
      <c r="M17"/>
      <c r="N17"/>
      <c r="O17"/>
      <c r="P17"/>
    </row>
    <row r="18" spans="2:16" ht="14.5" x14ac:dyDescent="0.35">
      <c r="B18" s="20" t="s">
        <v>1721</v>
      </c>
      <c r="C18" s="369"/>
      <c r="D18" s="369"/>
      <c r="E18" s="369">
        <v>350.35</v>
      </c>
      <c r="F18" s="369">
        <v>350.35</v>
      </c>
      <c r="G18"/>
      <c r="H18"/>
      <c r="I18"/>
      <c r="J18"/>
      <c r="K18"/>
      <c r="L18"/>
      <c r="M18"/>
      <c r="N18"/>
      <c r="O18"/>
      <c r="P18"/>
    </row>
    <row r="19" spans="2:16" ht="29.05" x14ac:dyDescent="0.35">
      <c r="B19" s="20" t="s">
        <v>1685</v>
      </c>
      <c r="C19" s="369"/>
      <c r="D19" s="369"/>
      <c r="E19" s="369">
        <v>375.38</v>
      </c>
      <c r="F19" s="369">
        <v>375.38</v>
      </c>
      <c r="G19"/>
      <c r="H19"/>
      <c r="I19"/>
      <c r="J19"/>
      <c r="K19"/>
      <c r="L19"/>
      <c r="M19"/>
      <c r="N19"/>
      <c r="O19"/>
      <c r="P19"/>
    </row>
    <row r="20" spans="2:16" ht="14.5" x14ac:dyDescent="0.35">
      <c r="B20" s="20" t="s">
        <v>1990</v>
      </c>
      <c r="C20" s="369"/>
      <c r="D20" s="369">
        <v>200.2</v>
      </c>
      <c r="E20" s="369">
        <v>200.2</v>
      </c>
      <c r="F20" s="369">
        <v>400.4</v>
      </c>
      <c r="G20"/>
      <c r="H20"/>
      <c r="I20"/>
      <c r="J20"/>
      <c r="K20"/>
      <c r="L20"/>
      <c r="M20"/>
      <c r="N20"/>
      <c r="O20"/>
      <c r="P20"/>
    </row>
    <row r="21" spans="2:16" ht="29.05" x14ac:dyDescent="0.35">
      <c r="B21" s="20" t="s">
        <v>1720</v>
      </c>
      <c r="C21" s="369"/>
      <c r="D21" s="369">
        <v>350.35</v>
      </c>
      <c r="E21" s="369">
        <v>350.35</v>
      </c>
      <c r="F21" s="369">
        <v>700.7</v>
      </c>
      <c r="G21"/>
      <c r="H21"/>
      <c r="I21"/>
      <c r="J21"/>
      <c r="K21"/>
      <c r="L21"/>
      <c r="M21"/>
      <c r="N21"/>
      <c r="O21"/>
      <c r="P21"/>
    </row>
    <row r="22" spans="2:16" ht="14.5" x14ac:dyDescent="0.35">
      <c r="B22" s="20" t="s">
        <v>1680</v>
      </c>
      <c r="C22" s="369"/>
      <c r="D22" s="369">
        <v>375.38</v>
      </c>
      <c r="E22" s="369">
        <v>375.38</v>
      </c>
      <c r="F22" s="369">
        <v>750.76</v>
      </c>
      <c r="G22"/>
      <c r="H22"/>
      <c r="I22"/>
      <c r="J22"/>
      <c r="K22"/>
      <c r="L22"/>
      <c r="M22"/>
      <c r="N22"/>
      <c r="O22"/>
      <c r="P22"/>
    </row>
    <row r="23" spans="2:16" ht="29.05" x14ac:dyDescent="0.35">
      <c r="B23" s="20" t="s">
        <v>1701</v>
      </c>
      <c r="C23" s="369"/>
      <c r="D23" s="369"/>
      <c r="E23" s="369">
        <v>350.35</v>
      </c>
      <c r="F23" s="369">
        <v>350.35</v>
      </c>
      <c r="G23"/>
      <c r="H23"/>
      <c r="I23"/>
      <c r="J23"/>
      <c r="K23"/>
      <c r="L23"/>
      <c r="M23"/>
      <c r="N23"/>
      <c r="O23"/>
      <c r="P23"/>
    </row>
    <row r="24" spans="2:16" ht="14.5" x14ac:dyDescent="0.35">
      <c r="B24" s="20" t="s">
        <v>1722</v>
      </c>
      <c r="C24" s="369"/>
      <c r="D24" s="369"/>
      <c r="E24" s="369">
        <v>350.35</v>
      </c>
      <c r="F24" s="369">
        <v>350.35</v>
      </c>
      <c r="G24"/>
      <c r="H24"/>
      <c r="I24"/>
      <c r="J24"/>
      <c r="K24"/>
      <c r="L24"/>
      <c r="M24"/>
      <c r="N24"/>
      <c r="O24"/>
      <c r="P24"/>
    </row>
    <row r="25" spans="2:16" ht="14.5" x14ac:dyDescent="0.35">
      <c r="B25" s="20" t="s">
        <v>1719</v>
      </c>
      <c r="C25" s="369"/>
      <c r="D25" s="369">
        <v>350.35</v>
      </c>
      <c r="E25" s="369">
        <v>350.35</v>
      </c>
      <c r="F25" s="369">
        <v>700.7</v>
      </c>
      <c r="G25"/>
      <c r="H25"/>
      <c r="I25"/>
      <c r="J25"/>
      <c r="K25"/>
      <c r="L25"/>
      <c r="M25"/>
      <c r="N25"/>
      <c r="O25"/>
      <c r="P25"/>
    </row>
    <row r="26" spans="2:16" ht="29.05" x14ac:dyDescent="0.35">
      <c r="B26" s="20" t="s">
        <v>1686</v>
      </c>
      <c r="C26" s="369"/>
      <c r="D26" s="369"/>
      <c r="E26" s="369">
        <v>378.38</v>
      </c>
      <c r="F26" s="369">
        <v>378.38</v>
      </c>
      <c r="G26"/>
      <c r="H26"/>
      <c r="I26"/>
      <c r="J26"/>
      <c r="K26"/>
      <c r="L26"/>
      <c r="M26"/>
      <c r="N26"/>
      <c r="O26"/>
      <c r="P26"/>
    </row>
    <row r="27" spans="2:16" ht="14.5" x14ac:dyDescent="0.35">
      <c r="B27" s="20" t="s">
        <v>1689</v>
      </c>
      <c r="C27" s="369"/>
      <c r="D27" s="369">
        <v>350.35</v>
      </c>
      <c r="E27" s="369">
        <v>350.35</v>
      </c>
      <c r="F27" s="369">
        <v>700.7</v>
      </c>
      <c r="G27"/>
      <c r="H27"/>
      <c r="I27"/>
      <c r="J27"/>
      <c r="K27"/>
      <c r="L27"/>
      <c r="M27"/>
      <c r="N27"/>
      <c r="O27"/>
      <c r="P27"/>
    </row>
    <row r="28" spans="2:16" ht="14.5" x14ac:dyDescent="0.35">
      <c r="B28" s="20" t="s">
        <v>1727</v>
      </c>
      <c r="C28" s="369"/>
      <c r="D28" s="369">
        <v>375.38</v>
      </c>
      <c r="E28" s="369">
        <v>375.38</v>
      </c>
      <c r="F28" s="369">
        <v>750.76</v>
      </c>
      <c r="G28"/>
      <c r="H28"/>
      <c r="I28"/>
      <c r="J28"/>
      <c r="K28"/>
      <c r="L28"/>
      <c r="M28"/>
      <c r="N28"/>
      <c r="O28"/>
      <c r="P28"/>
    </row>
    <row r="29" spans="2:16" ht="14.5" x14ac:dyDescent="0.35">
      <c r="B29" s="20" t="s">
        <v>1735</v>
      </c>
      <c r="C29" s="369"/>
      <c r="D29" s="369">
        <v>375.38</v>
      </c>
      <c r="E29" s="369">
        <v>375.38</v>
      </c>
      <c r="F29" s="369">
        <v>750.76</v>
      </c>
      <c r="G29"/>
      <c r="H29"/>
      <c r="I29"/>
      <c r="J29"/>
      <c r="K29"/>
      <c r="L29"/>
      <c r="M29"/>
      <c r="N29"/>
      <c r="O29"/>
      <c r="P29"/>
    </row>
    <row r="30" spans="2:16" ht="29.05" x14ac:dyDescent="0.35">
      <c r="B30" s="20" t="s">
        <v>1704</v>
      </c>
      <c r="C30" s="369"/>
      <c r="D30" s="369">
        <v>375.38</v>
      </c>
      <c r="E30" s="369">
        <v>375.38</v>
      </c>
      <c r="F30" s="369">
        <v>750.76</v>
      </c>
      <c r="G30"/>
      <c r="H30"/>
      <c r="I30"/>
      <c r="J30"/>
      <c r="K30"/>
      <c r="L30"/>
      <c r="M30"/>
      <c r="N30"/>
      <c r="O30"/>
      <c r="P30"/>
    </row>
    <row r="31" spans="2:16" ht="14.5" x14ac:dyDescent="0.35">
      <c r="B31" s="20" t="s">
        <v>1728</v>
      </c>
      <c r="C31" s="369"/>
      <c r="D31" s="369">
        <v>350.35</v>
      </c>
      <c r="E31" s="369">
        <v>350.35</v>
      </c>
      <c r="F31" s="369">
        <v>700.7</v>
      </c>
      <c r="G31"/>
      <c r="H31"/>
      <c r="I31"/>
      <c r="J31"/>
      <c r="K31"/>
      <c r="L31"/>
      <c r="M31"/>
      <c r="N31"/>
      <c r="O31"/>
      <c r="P31"/>
    </row>
    <row r="32" spans="2:16" ht="14.5" x14ac:dyDescent="0.35">
      <c r="B32" s="20" t="s">
        <v>1731</v>
      </c>
      <c r="C32" s="369"/>
      <c r="D32" s="369"/>
      <c r="E32" s="369">
        <v>375.38</v>
      </c>
      <c r="F32" s="369">
        <v>375.38</v>
      </c>
      <c r="G32"/>
      <c r="H32"/>
      <c r="I32"/>
      <c r="J32"/>
      <c r="K32"/>
      <c r="L32"/>
      <c r="M32"/>
      <c r="N32"/>
      <c r="O32"/>
      <c r="P32"/>
    </row>
    <row r="33" spans="2:16" ht="14.5" x14ac:dyDescent="0.35">
      <c r="B33" s="20" t="s">
        <v>1709</v>
      </c>
      <c r="C33" s="369"/>
      <c r="D33" s="369">
        <v>350.35</v>
      </c>
      <c r="E33" s="369">
        <v>350.35</v>
      </c>
      <c r="F33" s="369">
        <v>700.7</v>
      </c>
      <c r="G33"/>
      <c r="H33"/>
      <c r="I33"/>
      <c r="J33"/>
      <c r="K33"/>
      <c r="L33"/>
      <c r="M33"/>
      <c r="N33"/>
      <c r="O33"/>
      <c r="P33"/>
    </row>
    <row r="34" spans="2:16" ht="29.05" x14ac:dyDescent="0.35">
      <c r="B34" s="20" t="s">
        <v>1705</v>
      </c>
      <c r="C34" s="369"/>
      <c r="D34" s="369">
        <v>357.36</v>
      </c>
      <c r="E34" s="369">
        <v>357.36</v>
      </c>
      <c r="F34" s="369">
        <v>714.72</v>
      </c>
      <c r="G34"/>
      <c r="H34"/>
      <c r="I34"/>
      <c r="J34"/>
      <c r="K34"/>
      <c r="L34"/>
      <c r="M34"/>
      <c r="N34"/>
      <c r="O34"/>
      <c r="P34"/>
    </row>
    <row r="35" spans="2:16" ht="29.05" x14ac:dyDescent="0.35">
      <c r="B35" s="20" t="s">
        <v>1718</v>
      </c>
      <c r="C35" s="369"/>
      <c r="D35" s="369">
        <v>375.3</v>
      </c>
      <c r="E35" s="369">
        <v>375.3</v>
      </c>
      <c r="F35" s="369">
        <v>750.6</v>
      </c>
      <c r="G35"/>
      <c r="H35"/>
      <c r="I35"/>
      <c r="J35"/>
      <c r="K35"/>
      <c r="L35"/>
      <c r="M35"/>
      <c r="N35"/>
      <c r="O35"/>
      <c r="P35"/>
    </row>
    <row r="36" spans="2:16" ht="14.5" x14ac:dyDescent="0.35">
      <c r="B36" s="20" t="s">
        <v>1729</v>
      </c>
      <c r="C36" s="369"/>
      <c r="D36" s="369">
        <v>428.83</v>
      </c>
      <c r="E36" s="369">
        <v>428.83</v>
      </c>
      <c r="F36" s="369">
        <v>857.66</v>
      </c>
      <c r="G36"/>
      <c r="H36"/>
      <c r="I36"/>
      <c r="J36"/>
      <c r="K36"/>
      <c r="L36"/>
      <c r="M36"/>
      <c r="N36"/>
      <c r="O36"/>
      <c r="P36"/>
    </row>
    <row r="37" spans="2:16" ht="29.05" x14ac:dyDescent="0.35">
      <c r="B37" s="20" t="s">
        <v>1700</v>
      </c>
      <c r="C37" s="369"/>
      <c r="D37" s="369">
        <v>357.33</v>
      </c>
      <c r="E37" s="369">
        <v>357.33</v>
      </c>
      <c r="F37" s="369">
        <v>714.66</v>
      </c>
      <c r="G37"/>
      <c r="H37"/>
      <c r="I37"/>
      <c r="J37"/>
      <c r="K37"/>
      <c r="L37"/>
      <c r="M37"/>
      <c r="N37"/>
      <c r="O37"/>
      <c r="P37"/>
    </row>
    <row r="38" spans="2:16" ht="14.5" x14ac:dyDescent="0.35">
      <c r="B38" s="20" t="s">
        <v>1167</v>
      </c>
      <c r="C38" s="369">
        <v>2170.3199999999997</v>
      </c>
      <c r="D38" s="369">
        <v>6287.9900000000007</v>
      </c>
      <c r="E38" s="369">
        <v>9944.6700000000019</v>
      </c>
      <c r="F38" s="369">
        <v>18402.980000000003</v>
      </c>
      <c r="G38"/>
      <c r="H38"/>
      <c r="I38"/>
      <c r="J38"/>
      <c r="K38"/>
      <c r="L38"/>
      <c r="M38"/>
      <c r="N38"/>
      <c r="O38"/>
      <c r="P38"/>
    </row>
    <row r="39" spans="2:16" ht="14.5" x14ac:dyDescent="0.35">
      <c r="B39" s="257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2:16" ht="14.5" x14ac:dyDescent="0.3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2:16" ht="14.5" x14ac:dyDescent="0.3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2:16" ht="14.5" x14ac:dyDescent="0.3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2:16" ht="14.5" x14ac:dyDescent="0.3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2:16" ht="14.5" x14ac:dyDescent="0.3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2:16" ht="14.5" x14ac:dyDescent="0.3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2:16" ht="14.5" x14ac:dyDescent="0.3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2:16" ht="14.5" x14ac:dyDescent="0.3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2:16" ht="14.5" x14ac:dyDescent="0.3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2:16" ht="14.5" x14ac:dyDescent="0.3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2:16" ht="14.5" x14ac:dyDescent="0.3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2:16" ht="14.5" x14ac:dyDescent="0.3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2:16" ht="14.5" x14ac:dyDescent="0.3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2:16" ht="14.5" x14ac:dyDescent="0.3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2:16" ht="14.5" x14ac:dyDescent="0.3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2:16" ht="14.5" x14ac:dyDescent="0.3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2:16" ht="14.5" x14ac:dyDescent="0.3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2:16" ht="14.5" x14ac:dyDescent="0.3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2:16" ht="14.5" x14ac:dyDescent="0.3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2:16" ht="14.5" x14ac:dyDescent="0.3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2:16" ht="14.5" x14ac:dyDescent="0.3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2:16" ht="14.5" x14ac:dyDescent="0.3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2:16" ht="14.5" x14ac:dyDescent="0.3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2:16" ht="14.5" x14ac:dyDescent="0.3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2:16" ht="14.5" x14ac:dyDescent="0.3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2:16" ht="14.5" x14ac:dyDescent="0.3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2:16" ht="14.5" x14ac:dyDescent="0.3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2:16" ht="14.5" x14ac:dyDescent="0.3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2:16" ht="14.5" x14ac:dyDescent="0.3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2:16" ht="14.5" x14ac:dyDescent="0.3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2:16" ht="14.5" x14ac:dyDescent="0.3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2:16" ht="14.5" x14ac:dyDescent="0.3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2:16" ht="14.5" x14ac:dyDescent="0.3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2:16" ht="14.5" x14ac:dyDescent="0.3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2:16" ht="14.5" x14ac:dyDescent="0.3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2:16" ht="14.5" x14ac:dyDescent="0.3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2:16" ht="14.5" x14ac:dyDescent="0.3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2:16" ht="14.5" x14ac:dyDescent="0.3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2:16" ht="14.5" x14ac:dyDescent="0.3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2:16" ht="14.5" x14ac:dyDescent="0.3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2:16" ht="14.5" x14ac:dyDescent="0.3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2:16" ht="14.5" x14ac:dyDescent="0.3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2:16" ht="14.5" x14ac:dyDescent="0.3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2:16" ht="14.5" x14ac:dyDescent="0.3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2:16" ht="14.5" x14ac:dyDescent="0.3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2:16" ht="14.5" x14ac:dyDescent="0.3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2:16" ht="14.5" x14ac:dyDescent="0.3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2:16" ht="14.5" x14ac:dyDescent="0.3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2:16" ht="14.5" x14ac:dyDescent="0.3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2:16" ht="14.5" x14ac:dyDescent="0.3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2:16" ht="14.5" x14ac:dyDescent="0.3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2:16" ht="14.5" x14ac:dyDescent="0.3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2:16" ht="14.5" x14ac:dyDescent="0.3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2:16" ht="14.5" x14ac:dyDescent="0.3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2:16" ht="14.5" x14ac:dyDescent="0.35">
      <c r="B94" s="257"/>
      <c r="C94" s="363"/>
      <c r="D94" s="363"/>
      <c r="E94" s="363"/>
      <c r="F94" s="363"/>
    </row>
    <row r="95" spans="2:16" ht="14.5" x14ac:dyDescent="0.35">
      <c r="B95" s="257"/>
      <c r="C95" s="363"/>
      <c r="D95" s="363"/>
      <c r="E95" s="363"/>
      <c r="F95" s="363"/>
    </row>
    <row r="96" spans="2:16" ht="14.5" x14ac:dyDescent="0.35">
      <c r="B96" s="257"/>
      <c r="C96" s="363"/>
      <c r="D96" s="363"/>
      <c r="E96" s="363"/>
      <c r="F96" s="363"/>
    </row>
    <row r="97" spans="2:6" ht="14.5" x14ac:dyDescent="0.35">
      <c r="B97" s="257"/>
      <c r="C97" s="363"/>
      <c r="D97" s="363"/>
      <c r="E97" s="363"/>
      <c r="F97" s="363"/>
    </row>
    <row r="98" spans="2:6" ht="14.5" x14ac:dyDescent="0.35">
      <c r="B98" s="257"/>
      <c r="C98" s="363"/>
      <c r="D98" s="363"/>
      <c r="E98" s="363"/>
      <c r="F98" s="363"/>
    </row>
    <row r="99" spans="2:6" ht="14.5" x14ac:dyDescent="0.35">
      <c r="B99" s="257"/>
      <c r="C99" s="363"/>
      <c r="D99" s="363"/>
      <c r="E99" s="363"/>
      <c r="F99" s="363"/>
    </row>
    <row r="100" spans="2:6" ht="14.5" x14ac:dyDescent="0.35">
      <c r="B100" s="257"/>
      <c r="C100" s="363"/>
      <c r="D100" s="363"/>
      <c r="E100" s="363"/>
      <c r="F100" s="363"/>
    </row>
    <row r="101" spans="2:6" ht="14.5" x14ac:dyDescent="0.35">
      <c r="B101" s="257"/>
      <c r="C101" s="363"/>
      <c r="D101" s="363"/>
      <c r="E101" s="363"/>
      <c r="F101" s="363"/>
    </row>
    <row r="102" spans="2:6" ht="14.5" x14ac:dyDescent="0.35">
      <c r="B102" s="257"/>
      <c r="C102" s="363"/>
      <c r="D102" s="363"/>
      <c r="E102" s="363"/>
      <c r="F102" s="363"/>
    </row>
    <row r="103" spans="2:6" ht="14.5" x14ac:dyDescent="0.35">
      <c r="B103" s="257"/>
      <c r="C103" s="363"/>
      <c r="D103" s="363"/>
      <c r="E103" s="363"/>
      <c r="F103" s="363"/>
    </row>
    <row r="104" spans="2:6" ht="14.5" x14ac:dyDescent="0.35">
      <c r="B104" s="257"/>
      <c r="C104" s="363"/>
      <c r="D104" s="363"/>
      <c r="E104" s="363"/>
      <c r="F104" s="363"/>
    </row>
    <row r="105" spans="2:6" ht="14.5" x14ac:dyDescent="0.35">
      <c r="B105" s="257"/>
      <c r="C105" s="363"/>
      <c r="D105" s="363"/>
      <c r="E105" s="363"/>
      <c r="F105" s="363"/>
    </row>
    <row r="106" spans="2:6" ht="14.5" x14ac:dyDescent="0.35">
      <c r="B106" s="257"/>
      <c r="C106" s="363"/>
      <c r="D106" s="363"/>
      <c r="E106" s="363"/>
      <c r="F106" s="363"/>
    </row>
    <row r="107" spans="2:6" ht="14.5" x14ac:dyDescent="0.35">
      <c r="B107" s="257"/>
      <c r="C107" s="363"/>
      <c r="D107" s="363"/>
      <c r="E107" s="363"/>
      <c r="F107" s="363"/>
    </row>
    <row r="108" spans="2:6" ht="14.5" x14ac:dyDescent="0.35">
      <c r="B108" s="257"/>
      <c r="C108" s="363"/>
      <c r="D108" s="363"/>
      <c r="E108" s="363"/>
      <c r="F108" s="363"/>
    </row>
    <row r="109" spans="2:6" ht="14.5" x14ac:dyDescent="0.35">
      <c r="B109" s="257"/>
      <c r="C109" s="363"/>
      <c r="D109" s="363"/>
      <c r="E109" s="363"/>
      <c r="F109" s="363"/>
    </row>
    <row r="110" spans="2:6" ht="14.5" x14ac:dyDescent="0.35">
      <c r="B110" s="257"/>
      <c r="C110" s="363"/>
      <c r="D110" s="363"/>
      <c r="E110" s="363"/>
      <c r="F110" s="363"/>
    </row>
    <row r="111" spans="2:6" ht="14.5" x14ac:dyDescent="0.35">
      <c r="B111" s="257"/>
      <c r="C111" s="363"/>
      <c r="D111" s="363"/>
      <c r="E111" s="363"/>
      <c r="F111" s="363"/>
    </row>
    <row r="112" spans="2:6" ht="14.5" x14ac:dyDescent="0.35">
      <c r="B112" s="257"/>
      <c r="C112" s="363"/>
      <c r="D112" s="363"/>
      <c r="E112" s="363"/>
      <c r="F112" s="363"/>
    </row>
    <row r="113" spans="2:6" ht="14.5" x14ac:dyDescent="0.35">
      <c r="B113" s="257"/>
      <c r="C113" s="363"/>
      <c r="D113" s="363"/>
      <c r="E113" s="363"/>
      <c r="F113" s="363"/>
    </row>
    <row r="114" spans="2:6" ht="14.5" x14ac:dyDescent="0.35">
      <c r="B114" s="257"/>
      <c r="C114" s="363"/>
      <c r="D114" s="363"/>
      <c r="E114" s="363"/>
      <c r="F114" s="363"/>
    </row>
    <row r="115" spans="2:6" ht="14.5" x14ac:dyDescent="0.35">
      <c r="B115" s="257"/>
      <c r="C115" s="363"/>
      <c r="D115" s="363"/>
      <c r="E115" s="363"/>
      <c r="F115" s="363"/>
    </row>
    <row r="116" spans="2:6" ht="14.5" x14ac:dyDescent="0.35">
      <c r="B116" s="257"/>
      <c r="C116" s="363"/>
      <c r="D116" s="363"/>
      <c r="E116" s="363"/>
      <c r="F116" s="363"/>
    </row>
    <row r="117" spans="2:6" ht="14.5" x14ac:dyDescent="0.35">
      <c r="B117" s="257"/>
      <c r="C117" s="363"/>
      <c r="D117" s="363"/>
      <c r="E117" s="363"/>
      <c r="F117" s="363"/>
    </row>
    <row r="118" spans="2:6" ht="14.5" x14ac:dyDescent="0.35">
      <c r="B118" s="257"/>
      <c r="C118" s="363"/>
      <c r="D118" s="363"/>
      <c r="E118" s="363"/>
      <c r="F118" s="363"/>
    </row>
    <row r="119" spans="2:6" ht="14.5" x14ac:dyDescent="0.35">
      <c r="B119" s="257"/>
      <c r="C119" s="363"/>
      <c r="D119" s="363"/>
      <c r="E119" s="363"/>
      <c r="F119" s="363"/>
    </row>
    <row r="120" spans="2:6" ht="14.5" x14ac:dyDescent="0.35">
      <c r="B120" s="257"/>
      <c r="C120" s="363"/>
      <c r="D120" s="363"/>
      <c r="E120" s="363"/>
      <c r="F120" s="363"/>
    </row>
    <row r="121" spans="2:6" ht="14.5" x14ac:dyDescent="0.35">
      <c r="B121" s="257"/>
      <c r="C121" s="363"/>
      <c r="D121" s="363"/>
      <c r="E121" s="363"/>
      <c r="F121" s="363"/>
    </row>
    <row r="122" spans="2:6" ht="14.5" x14ac:dyDescent="0.35">
      <c r="B122" s="257"/>
      <c r="C122" s="363"/>
      <c r="D122" s="363"/>
      <c r="E122" s="363"/>
      <c r="F122" s="363"/>
    </row>
    <row r="123" spans="2:6" ht="14.5" x14ac:dyDescent="0.35">
      <c r="B123" s="257"/>
      <c r="C123" s="363"/>
      <c r="D123" s="363"/>
      <c r="E123" s="363"/>
      <c r="F123" s="363"/>
    </row>
    <row r="124" spans="2:6" ht="14.5" x14ac:dyDescent="0.35">
      <c r="B124" s="257"/>
      <c r="C124" s="363"/>
      <c r="D124" s="363"/>
      <c r="E124" s="363"/>
      <c r="F124" s="363"/>
    </row>
    <row r="125" spans="2:6" ht="14.5" x14ac:dyDescent="0.35">
      <c r="B125" s="257"/>
      <c r="C125" s="363"/>
      <c r="D125" s="363"/>
      <c r="E125" s="363"/>
      <c r="F125" s="363"/>
    </row>
    <row r="126" spans="2:6" ht="14.5" x14ac:dyDescent="0.35">
      <c r="B126" s="257"/>
      <c r="C126" s="363"/>
      <c r="D126" s="363"/>
      <c r="E126" s="363"/>
      <c r="F126" s="363"/>
    </row>
    <row r="127" spans="2:6" ht="14.5" x14ac:dyDescent="0.35">
      <c r="B127" s="257"/>
      <c r="C127" s="363"/>
      <c r="D127" s="363"/>
      <c r="E127" s="363"/>
      <c r="F127" s="363"/>
    </row>
    <row r="128" spans="2:6" ht="14.5" x14ac:dyDescent="0.35">
      <c r="B128" s="257"/>
      <c r="C128" s="363"/>
      <c r="D128" s="363"/>
      <c r="E128" s="363"/>
      <c r="F128" s="363"/>
    </row>
    <row r="129" spans="2:6" ht="14.5" x14ac:dyDescent="0.35">
      <c r="B129" s="257"/>
      <c r="C129" s="363"/>
      <c r="D129" s="363"/>
      <c r="E129" s="363"/>
      <c r="F129" s="363"/>
    </row>
    <row r="130" spans="2:6" ht="14.5" x14ac:dyDescent="0.35">
      <c r="B130" s="257"/>
      <c r="C130" s="363"/>
      <c r="D130" s="363"/>
      <c r="E130" s="363"/>
      <c r="F130" s="363"/>
    </row>
    <row r="131" spans="2:6" ht="14.5" x14ac:dyDescent="0.35">
      <c r="B131" s="257"/>
      <c r="C131" s="363"/>
      <c r="D131" s="363"/>
      <c r="E131" s="363"/>
      <c r="F131" s="363"/>
    </row>
    <row r="132" spans="2:6" ht="14.5" x14ac:dyDescent="0.35">
      <c r="B132" s="257"/>
      <c r="C132" s="363"/>
      <c r="D132" s="363"/>
      <c r="E132" s="363"/>
      <c r="F132" s="363"/>
    </row>
    <row r="133" spans="2:6" ht="14.5" x14ac:dyDescent="0.35">
      <c r="B133" s="257"/>
      <c r="C133" s="363"/>
      <c r="D133" s="363"/>
      <c r="E133" s="363"/>
      <c r="F133" s="363"/>
    </row>
    <row r="134" spans="2:6" ht="14.5" x14ac:dyDescent="0.35">
      <c r="B134" s="257"/>
      <c r="C134" s="363"/>
      <c r="D134" s="363"/>
      <c r="E134" s="363"/>
      <c r="F134" s="363"/>
    </row>
    <row r="135" spans="2:6" ht="14.5" x14ac:dyDescent="0.35">
      <c r="B135" s="257"/>
      <c r="C135" s="363"/>
      <c r="D135" s="363"/>
      <c r="E135" s="363"/>
      <c r="F135" s="363"/>
    </row>
    <row r="136" spans="2:6" ht="14.5" x14ac:dyDescent="0.35">
      <c r="B136" s="257"/>
      <c r="C136" s="363"/>
      <c r="D136" s="363"/>
      <c r="E136" s="363"/>
      <c r="F136" s="363"/>
    </row>
    <row r="137" spans="2:6" ht="14.5" x14ac:dyDescent="0.35">
      <c r="B137" s="257"/>
      <c r="C137" s="363"/>
      <c r="D137" s="363"/>
      <c r="E137" s="363"/>
      <c r="F137" s="363"/>
    </row>
    <row r="138" spans="2:6" ht="14.5" x14ac:dyDescent="0.35">
      <c r="B138" s="257"/>
      <c r="C138" s="363"/>
      <c r="D138" s="363"/>
      <c r="E138" s="363"/>
      <c r="F138" s="363"/>
    </row>
    <row r="139" spans="2:6" ht="14.5" x14ac:dyDescent="0.35">
      <c r="B139" s="257"/>
      <c r="C139" s="363"/>
      <c r="D139" s="363"/>
      <c r="E139" s="363"/>
      <c r="F139" s="363"/>
    </row>
    <row r="140" spans="2:6" ht="14.5" x14ac:dyDescent="0.35">
      <c r="B140" s="257"/>
      <c r="C140" s="363"/>
      <c r="D140" s="363"/>
      <c r="E140" s="363"/>
      <c r="F140" s="363"/>
    </row>
    <row r="141" spans="2:6" ht="14.5" x14ac:dyDescent="0.35">
      <c r="B141" s="257"/>
      <c r="C141" s="363"/>
      <c r="D141" s="363"/>
      <c r="E141" s="363"/>
      <c r="F141" s="363"/>
    </row>
    <row r="142" spans="2:6" ht="14.5" x14ac:dyDescent="0.35">
      <c r="B142" s="257"/>
      <c r="C142" s="363"/>
      <c r="D142" s="363"/>
      <c r="E142" s="363"/>
      <c r="F142" s="363"/>
    </row>
    <row r="143" spans="2:6" ht="14.5" x14ac:dyDescent="0.35">
      <c r="B143" s="257"/>
      <c r="C143" s="363"/>
      <c r="D143" s="363"/>
      <c r="E143" s="363"/>
      <c r="F143" s="363"/>
    </row>
    <row r="144" spans="2:6" ht="14.5" x14ac:dyDescent="0.35">
      <c r="B144" s="257"/>
      <c r="C144" s="363"/>
      <c r="D144" s="363"/>
      <c r="E144" s="363"/>
      <c r="F144" s="363"/>
    </row>
    <row r="145" spans="2:6" ht="14.5" x14ac:dyDescent="0.35">
      <c r="B145" s="257"/>
      <c r="C145" s="363"/>
      <c r="D145" s="363"/>
      <c r="E145" s="363"/>
      <c r="F145" s="363"/>
    </row>
    <row r="146" spans="2:6" ht="14.5" x14ac:dyDescent="0.35">
      <c r="B146" s="257"/>
      <c r="C146" s="363"/>
      <c r="D146" s="363"/>
      <c r="E146" s="363"/>
      <c r="F146" s="363"/>
    </row>
    <row r="147" spans="2:6" ht="14.5" x14ac:dyDescent="0.35">
      <c r="B147" s="257"/>
      <c r="C147" s="363"/>
      <c r="D147" s="363"/>
      <c r="E147" s="363"/>
      <c r="F147" s="363"/>
    </row>
    <row r="148" spans="2:6" ht="14.5" x14ac:dyDescent="0.35">
      <c r="B148" s="257"/>
      <c r="C148" s="363"/>
      <c r="D148" s="363"/>
      <c r="E148" s="363"/>
      <c r="F148" s="363"/>
    </row>
    <row r="149" spans="2:6" ht="14.5" x14ac:dyDescent="0.35">
      <c r="B149" s="257"/>
      <c r="C149" s="363"/>
      <c r="D149" s="363"/>
      <c r="E149" s="363"/>
      <c r="F149" s="363"/>
    </row>
    <row r="150" spans="2:6" ht="14.5" x14ac:dyDescent="0.35">
      <c r="B150" s="257"/>
      <c r="C150" s="363"/>
      <c r="D150" s="363"/>
      <c r="E150" s="363"/>
      <c r="F150" s="363"/>
    </row>
    <row r="151" spans="2:6" ht="14.5" x14ac:dyDescent="0.35">
      <c r="B151" s="257"/>
      <c r="C151" s="363"/>
      <c r="D151" s="363"/>
      <c r="E151" s="363"/>
      <c r="F151" s="363"/>
    </row>
    <row r="152" spans="2:6" ht="14.5" x14ac:dyDescent="0.35">
      <c r="B152" s="257"/>
      <c r="C152" s="363"/>
      <c r="D152" s="363"/>
      <c r="E152" s="363"/>
      <c r="F152" s="363"/>
    </row>
    <row r="153" spans="2:6" ht="14.5" x14ac:dyDescent="0.35">
      <c r="B153" s="257"/>
      <c r="C153" s="363"/>
      <c r="D153" s="363"/>
      <c r="E153" s="363"/>
      <c r="F153" s="363"/>
    </row>
    <row r="154" spans="2:6" ht="14.5" x14ac:dyDescent="0.35">
      <c r="B154" s="257"/>
      <c r="C154" s="363"/>
      <c r="D154" s="363"/>
      <c r="E154" s="363"/>
      <c r="F154" s="363"/>
    </row>
    <row r="155" spans="2:6" ht="14.5" x14ac:dyDescent="0.35">
      <c r="B155" s="257"/>
      <c r="C155" s="363"/>
      <c r="D155" s="363"/>
      <c r="E155" s="363"/>
      <c r="F155" s="363"/>
    </row>
    <row r="156" spans="2:6" ht="14.5" x14ac:dyDescent="0.35">
      <c r="B156" s="257"/>
      <c r="C156" s="363"/>
      <c r="D156" s="363"/>
      <c r="E156" s="363"/>
      <c r="F156" s="363"/>
    </row>
    <row r="157" spans="2:6" ht="14.5" x14ac:dyDescent="0.35">
      <c r="B157" s="257"/>
      <c r="C157" s="363"/>
      <c r="D157" s="363"/>
      <c r="E157" s="363"/>
      <c r="F157" s="363"/>
    </row>
    <row r="158" spans="2:6" ht="14.5" x14ac:dyDescent="0.35">
      <c r="B158" s="257"/>
      <c r="C158" s="363"/>
      <c r="D158" s="363"/>
      <c r="E158" s="363"/>
      <c r="F158" s="363"/>
    </row>
    <row r="159" spans="2:6" ht="14.5" x14ac:dyDescent="0.35">
      <c r="B159" s="257"/>
      <c r="C159" s="363"/>
      <c r="D159" s="363"/>
      <c r="E159" s="363"/>
      <c r="F159" s="363"/>
    </row>
    <row r="160" spans="2:6" ht="14.5" x14ac:dyDescent="0.35">
      <c r="B160" s="257"/>
      <c r="C160" s="363"/>
      <c r="D160" s="363"/>
      <c r="E160" s="363"/>
      <c r="F160" s="363"/>
    </row>
    <row r="161" spans="2:6" ht="14.5" x14ac:dyDescent="0.35">
      <c r="B161" s="257"/>
      <c r="C161" s="363"/>
      <c r="D161" s="363"/>
      <c r="E161" s="363"/>
      <c r="F161" s="363"/>
    </row>
    <row r="162" spans="2:6" ht="14.5" x14ac:dyDescent="0.35">
      <c r="B162" s="257"/>
      <c r="C162" s="363"/>
      <c r="D162" s="363"/>
      <c r="E162" s="363"/>
      <c r="F162" s="363"/>
    </row>
    <row r="163" spans="2:6" ht="14.5" x14ac:dyDescent="0.35">
      <c r="B163" s="257"/>
      <c r="C163" s="363"/>
      <c r="D163" s="363"/>
      <c r="E163" s="363"/>
      <c r="F163" s="363"/>
    </row>
    <row r="164" spans="2:6" ht="14.5" x14ac:dyDescent="0.35">
      <c r="B164" s="257"/>
      <c r="C164" s="363"/>
      <c r="D164" s="363"/>
      <c r="E164" s="363"/>
      <c r="F164" s="363"/>
    </row>
    <row r="165" spans="2:6" ht="14.5" x14ac:dyDescent="0.35">
      <c r="B165" s="257"/>
      <c r="C165" s="363"/>
      <c r="D165" s="363"/>
      <c r="E165" s="363"/>
      <c r="F165" s="363"/>
    </row>
    <row r="166" spans="2:6" ht="14.5" x14ac:dyDescent="0.35">
      <c r="B166" s="257"/>
      <c r="C166" s="363"/>
      <c r="D166" s="363"/>
      <c r="E166" s="363"/>
      <c r="F166" s="363"/>
    </row>
    <row r="167" spans="2:6" ht="14.5" x14ac:dyDescent="0.35">
      <c r="B167" s="257"/>
      <c r="C167" s="363"/>
      <c r="D167" s="363"/>
      <c r="E167" s="363"/>
      <c r="F167" s="363"/>
    </row>
    <row r="168" spans="2:6" ht="14.5" x14ac:dyDescent="0.35">
      <c r="B168" s="257"/>
      <c r="C168" s="363"/>
      <c r="D168" s="363"/>
      <c r="E168" s="363"/>
      <c r="F168" s="363"/>
    </row>
    <row r="169" spans="2:6" ht="14.5" x14ac:dyDescent="0.35">
      <c r="B169" s="257"/>
      <c r="C169" s="363"/>
      <c r="D169" s="363"/>
      <c r="E169" s="363"/>
      <c r="F169" s="363"/>
    </row>
    <row r="170" spans="2:6" ht="14.5" x14ac:dyDescent="0.35">
      <c r="B170" s="257"/>
      <c r="C170" s="363"/>
      <c r="D170" s="363"/>
      <c r="E170" s="363"/>
      <c r="F170" s="363"/>
    </row>
    <row r="171" spans="2:6" ht="14.5" x14ac:dyDescent="0.35">
      <c r="B171" s="257"/>
      <c r="C171" s="363"/>
      <c r="D171" s="363"/>
      <c r="E171" s="363"/>
      <c r="F171" s="363"/>
    </row>
    <row r="172" spans="2:6" ht="14.5" x14ac:dyDescent="0.35">
      <c r="B172" s="257"/>
      <c r="C172" s="363"/>
      <c r="D172" s="363"/>
      <c r="E172" s="363"/>
      <c r="F172" s="363"/>
    </row>
    <row r="173" spans="2:6" ht="14.5" x14ac:dyDescent="0.35">
      <c r="B173" s="257"/>
      <c r="C173" s="363"/>
      <c r="D173" s="363"/>
      <c r="E173" s="363"/>
      <c r="F173" s="363"/>
    </row>
    <row r="174" spans="2:6" ht="14.5" x14ac:dyDescent="0.35">
      <c r="B174" s="257"/>
      <c r="C174" s="363"/>
      <c r="D174" s="363"/>
      <c r="E174" s="363"/>
      <c r="F174" s="363"/>
    </row>
    <row r="175" spans="2:6" ht="14.5" x14ac:dyDescent="0.35">
      <c r="B175" s="257"/>
      <c r="C175" s="363"/>
      <c r="D175" s="363"/>
      <c r="E175" s="363"/>
      <c r="F175" s="363"/>
    </row>
    <row r="176" spans="2:6" ht="14.5" x14ac:dyDescent="0.35">
      <c r="B176" s="257"/>
      <c r="C176" s="363"/>
      <c r="D176" s="363"/>
      <c r="E176" s="363"/>
      <c r="F176" s="363"/>
    </row>
    <row r="177" spans="2:6" ht="14.5" x14ac:dyDescent="0.35">
      <c r="B177" s="257"/>
      <c r="C177" s="363"/>
      <c r="D177" s="363"/>
      <c r="E177" s="363"/>
      <c r="F177" s="363"/>
    </row>
    <row r="178" spans="2:6" ht="14.5" x14ac:dyDescent="0.35">
      <c r="B178" s="257"/>
      <c r="C178" s="363"/>
      <c r="D178" s="363"/>
      <c r="E178" s="363"/>
      <c r="F178" s="363"/>
    </row>
    <row r="179" spans="2:6" ht="14.5" x14ac:dyDescent="0.35">
      <c r="B179" s="257"/>
      <c r="C179" s="363"/>
      <c r="D179" s="363"/>
      <c r="E179" s="363"/>
      <c r="F179" s="363"/>
    </row>
    <row r="180" spans="2:6" ht="14.5" x14ac:dyDescent="0.35">
      <c r="B180" s="257"/>
      <c r="C180" s="363"/>
      <c r="D180" s="363"/>
      <c r="E180" s="363"/>
      <c r="F180" s="363"/>
    </row>
    <row r="181" spans="2:6" ht="14.5" x14ac:dyDescent="0.35">
      <c r="B181" s="257"/>
      <c r="C181" s="363"/>
      <c r="D181" s="363"/>
      <c r="E181" s="363"/>
      <c r="F181" s="363"/>
    </row>
    <row r="182" spans="2:6" ht="14.5" x14ac:dyDescent="0.35">
      <c r="B182" s="257"/>
      <c r="C182" s="363"/>
      <c r="D182" s="363"/>
      <c r="E182" s="363"/>
      <c r="F182" s="363"/>
    </row>
    <row r="183" spans="2:6" ht="14.5" x14ac:dyDescent="0.35">
      <c r="B183" s="257"/>
      <c r="C183" s="363"/>
      <c r="D183" s="363"/>
      <c r="E183" s="363"/>
      <c r="F183" s="363"/>
    </row>
    <row r="184" spans="2:6" ht="14.5" x14ac:dyDescent="0.35">
      <c r="B184" s="257"/>
      <c r="C184" s="363"/>
      <c r="D184" s="363"/>
      <c r="E184" s="363"/>
      <c r="F184" s="363"/>
    </row>
    <row r="185" spans="2:6" ht="14.5" x14ac:dyDescent="0.35">
      <c r="B185" s="257"/>
      <c r="C185" s="363"/>
      <c r="D185" s="363"/>
      <c r="E185" s="363"/>
      <c r="F185" s="363"/>
    </row>
    <row r="186" spans="2:6" ht="14.5" x14ac:dyDescent="0.35">
      <c r="B186" s="257"/>
      <c r="C186" s="363"/>
      <c r="D186" s="363"/>
      <c r="E186" s="363"/>
      <c r="F186" s="363"/>
    </row>
    <row r="187" spans="2:6" ht="14.5" x14ac:dyDescent="0.35">
      <c r="B187" s="257"/>
      <c r="C187" s="363"/>
      <c r="D187" s="363"/>
      <c r="E187" s="363"/>
      <c r="F187" s="363"/>
    </row>
    <row r="188" spans="2:6" ht="14.5" x14ac:dyDescent="0.35">
      <c r="B188" s="257"/>
      <c r="C188" s="363"/>
      <c r="D188" s="363"/>
      <c r="E188" s="363"/>
      <c r="F188" s="363"/>
    </row>
    <row r="189" spans="2:6" ht="14.5" x14ac:dyDescent="0.35">
      <c r="B189" s="257"/>
      <c r="C189" s="363"/>
      <c r="D189" s="363"/>
      <c r="E189" s="363"/>
      <c r="F189" s="363"/>
    </row>
    <row r="190" spans="2:6" ht="14.5" x14ac:dyDescent="0.35">
      <c r="B190" s="257"/>
      <c r="C190" s="363"/>
      <c r="D190" s="363"/>
      <c r="E190" s="363"/>
      <c r="F190" s="363"/>
    </row>
    <row r="191" spans="2:6" ht="14.5" x14ac:dyDescent="0.35">
      <c r="B191" s="257"/>
      <c r="C191" s="363"/>
      <c r="D191" s="363"/>
      <c r="E191" s="363"/>
      <c r="F191" s="363"/>
    </row>
    <row r="192" spans="2:6" ht="14.5" x14ac:dyDescent="0.35">
      <c r="B192" s="257"/>
      <c r="C192" s="363"/>
      <c r="D192" s="363"/>
      <c r="E192" s="363"/>
      <c r="F192" s="363"/>
    </row>
    <row r="193" spans="2:6" ht="14.5" x14ac:dyDescent="0.35">
      <c r="B193" s="257"/>
      <c r="C193" s="363"/>
      <c r="D193" s="363"/>
      <c r="E193" s="363"/>
      <c r="F193" s="363"/>
    </row>
    <row r="194" spans="2:6" ht="14.5" x14ac:dyDescent="0.35">
      <c r="B194" s="257"/>
      <c r="C194" s="363"/>
      <c r="D194" s="363"/>
      <c r="E194" s="363"/>
      <c r="F194" s="363"/>
    </row>
    <row r="195" spans="2:6" ht="14.5" x14ac:dyDescent="0.35">
      <c r="B195" s="257"/>
      <c r="C195" s="363"/>
      <c r="D195" s="363"/>
      <c r="E195" s="363"/>
      <c r="F195" s="363"/>
    </row>
    <row r="196" spans="2:6" ht="14.5" x14ac:dyDescent="0.35">
      <c r="B196" s="257"/>
      <c r="C196" s="363"/>
      <c r="D196" s="363"/>
      <c r="E196" s="363"/>
      <c r="F196" s="363"/>
    </row>
    <row r="197" spans="2:6" ht="14.5" x14ac:dyDescent="0.35">
      <c r="B197" s="257"/>
      <c r="C197" s="363"/>
      <c r="D197" s="363"/>
      <c r="E197" s="363"/>
      <c r="F197" s="363"/>
    </row>
    <row r="198" spans="2:6" ht="14.5" x14ac:dyDescent="0.35">
      <c r="B198" s="257"/>
      <c r="C198" s="363"/>
      <c r="D198" s="363"/>
      <c r="E198" s="363"/>
      <c r="F198" s="363"/>
    </row>
    <row r="199" spans="2:6" ht="14.5" x14ac:dyDescent="0.35">
      <c r="B199" s="257"/>
      <c r="C199" s="363"/>
      <c r="D199" s="363"/>
      <c r="E199" s="363"/>
      <c r="F199" s="363"/>
    </row>
    <row r="200" spans="2:6" ht="14.5" x14ac:dyDescent="0.35">
      <c r="B200" s="257"/>
      <c r="C200" s="363"/>
      <c r="D200" s="363"/>
      <c r="E200" s="363"/>
      <c r="F200" s="363"/>
    </row>
    <row r="201" spans="2:6" ht="14.5" x14ac:dyDescent="0.35">
      <c r="B201" s="257"/>
      <c r="C201" s="363"/>
      <c r="D201" s="363"/>
      <c r="E201" s="363"/>
      <c r="F201" s="363"/>
    </row>
    <row r="202" spans="2:6" ht="14.5" x14ac:dyDescent="0.35">
      <c r="B202" s="257"/>
      <c r="C202" s="363"/>
      <c r="D202" s="363"/>
      <c r="E202" s="363"/>
      <c r="F202" s="363"/>
    </row>
    <row r="203" spans="2:6" ht="14.5" x14ac:dyDescent="0.35">
      <c r="B203" s="257"/>
      <c r="C203" s="363"/>
      <c r="D203" s="363"/>
      <c r="E203" s="363"/>
      <c r="F203" s="363"/>
    </row>
    <row r="204" spans="2:6" ht="14.5" x14ac:dyDescent="0.35">
      <c r="B204" s="257"/>
      <c r="C204" s="363"/>
      <c r="D204" s="363"/>
      <c r="E204" s="363"/>
      <c r="F204" s="363"/>
    </row>
    <row r="205" spans="2:6" ht="14.5" x14ac:dyDescent="0.35">
      <c r="B205" s="257"/>
      <c r="C205" s="363"/>
      <c r="D205" s="363"/>
      <c r="E205" s="363"/>
      <c r="F205" s="363"/>
    </row>
    <row r="206" spans="2:6" ht="14.5" x14ac:dyDescent="0.35">
      <c r="B206" s="257"/>
      <c r="C206" s="363"/>
      <c r="D206" s="363"/>
      <c r="E206" s="363"/>
      <c r="F206" s="363"/>
    </row>
    <row r="207" spans="2:6" ht="14.5" x14ac:dyDescent="0.35">
      <c r="B207" s="257"/>
      <c r="C207" s="363"/>
      <c r="D207" s="363"/>
      <c r="E207" s="363"/>
      <c r="F207" s="363"/>
    </row>
    <row r="208" spans="2:6" ht="14.5" x14ac:dyDescent="0.35">
      <c r="B208" s="257"/>
      <c r="C208" s="363"/>
      <c r="D208" s="363"/>
      <c r="E208" s="363"/>
      <c r="F208" s="363"/>
    </row>
    <row r="209" spans="2:6" ht="14.5" x14ac:dyDescent="0.35">
      <c r="B209" s="257"/>
      <c r="C209" s="363"/>
      <c r="D209" s="363"/>
      <c r="E209" s="363"/>
      <c r="F209" s="363"/>
    </row>
    <row r="210" spans="2:6" ht="14.5" x14ac:dyDescent="0.35">
      <c r="B210" s="257"/>
      <c r="C210" s="363"/>
      <c r="D210" s="363"/>
      <c r="E210" s="363"/>
      <c r="F210" s="363"/>
    </row>
    <row r="211" spans="2:6" ht="14.5" x14ac:dyDescent="0.35">
      <c r="B211" s="257"/>
      <c r="C211" s="363"/>
      <c r="D211" s="363"/>
      <c r="E211" s="363"/>
      <c r="F211" s="363"/>
    </row>
    <row r="212" spans="2:6" ht="14.5" x14ac:dyDescent="0.35">
      <c r="B212" s="257"/>
      <c r="C212" s="363"/>
      <c r="D212" s="363"/>
      <c r="E212" s="363"/>
      <c r="F212" s="363"/>
    </row>
    <row r="213" spans="2:6" ht="14.5" x14ac:dyDescent="0.35">
      <c r="B213" s="257"/>
      <c r="C213" s="363"/>
      <c r="D213" s="363"/>
      <c r="E213" s="363"/>
      <c r="F213" s="363"/>
    </row>
    <row r="214" spans="2:6" ht="14.5" x14ac:dyDescent="0.35">
      <c r="B214" s="257"/>
      <c r="C214" s="363"/>
      <c r="D214" s="363"/>
      <c r="E214" s="363"/>
      <c r="F214" s="363"/>
    </row>
    <row r="215" spans="2:6" ht="14.5" x14ac:dyDescent="0.35">
      <c r="B215" s="257"/>
      <c r="C215" s="363"/>
      <c r="D215" s="363"/>
      <c r="E215" s="363"/>
      <c r="F215" s="363"/>
    </row>
    <row r="216" spans="2:6" ht="14.5" x14ac:dyDescent="0.35">
      <c r="B216" s="257"/>
      <c r="C216" s="363"/>
      <c r="D216" s="363"/>
      <c r="E216" s="363"/>
      <c r="F216" s="363"/>
    </row>
    <row r="217" spans="2:6" ht="14.5" x14ac:dyDescent="0.35">
      <c r="B217" s="257"/>
      <c r="C217" s="363"/>
      <c r="D217" s="363"/>
      <c r="E217" s="363"/>
      <c r="F217" s="363"/>
    </row>
    <row r="218" spans="2:6" ht="14.5" x14ac:dyDescent="0.35">
      <c r="B218" s="257"/>
      <c r="C218" s="363"/>
      <c r="D218" s="363"/>
      <c r="E218" s="363"/>
      <c r="F218" s="363"/>
    </row>
    <row r="219" spans="2:6" ht="14.5" x14ac:dyDescent="0.35">
      <c r="B219" s="257"/>
      <c r="C219" s="363"/>
      <c r="D219" s="363"/>
      <c r="E219" s="363"/>
      <c r="F219" s="363"/>
    </row>
    <row r="220" spans="2:6" ht="14.5" x14ac:dyDescent="0.35">
      <c r="B220" s="257"/>
      <c r="C220" s="363"/>
      <c r="D220" s="363"/>
      <c r="E220" s="363"/>
      <c r="F220" s="363"/>
    </row>
    <row r="221" spans="2:6" ht="14.5" x14ac:dyDescent="0.35">
      <c r="B221" s="257"/>
      <c r="C221" s="363"/>
      <c r="D221" s="363"/>
      <c r="E221" s="363"/>
      <c r="F221" s="363"/>
    </row>
    <row r="222" spans="2:6" ht="14.5" x14ac:dyDescent="0.35">
      <c r="B222" s="257"/>
      <c r="C222" s="363"/>
      <c r="D222" s="363"/>
      <c r="E222" s="363"/>
      <c r="F222" s="363"/>
    </row>
    <row r="223" spans="2:6" ht="14.5" x14ac:dyDescent="0.35">
      <c r="B223" s="257"/>
      <c r="C223" s="363"/>
      <c r="D223" s="363"/>
      <c r="E223" s="363"/>
      <c r="F223" s="363"/>
    </row>
    <row r="224" spans="2:6" ht="14.5" x14ac:dyDescent="0.35">
      <c r="B224" s="257"/>
      <c r="C224" s="363"/>
      <c r="D224" s="363"/>
      <c r="E224" s="363"/>
      <c r="F224" s="363"/>
    </row>
    <row r="225" spans="2:6" ht="14.5" x14ac:dyDescent="0.35">
      <c r="B225" s="257"/>
      <c r="C225" s="363"/>
      <c r="D225" s="363"/>
      <c r="E225" s="363"/>
      <c r="F225" s="363"/>
    </row>
    <row r="226" spans="2:6" ht="14.5" x14ac:dyDescent="0.35">
      <c r="B226" s="257"/>
      <c r="C226" s="363"/>
      <c r="D226" s="363"/>
      <c r="E226" s="363"/>
      <c r="F226" s="363"/>
    </row>
    <row r="227" spans="2:6" ht="14.5" x14ac:dyDescent="0.35">
      <c r="B227" s="257"/>
      <c r="C227" s="363"/>
      <c r="D227" s="363"/>
      <c r="E227" s="363"/>
      <c r="F227" s="363"/>
    </row>
    <row r="228" spans="2:6" ht="14.5" x14ac:dyDescent="0.35">
      <c r="B228" s="257"/>
      <c r="C228" s="363"/>
      <c r="D228" s="363"/>
      <c r="E228" s="363"/>
      <c r="F228" s="363"/>
    </row>
    <row r="229" spans="2:6" ht="14.5" x14ac:dyDescent="0.35">
      <c r="B229" s="257"/>
      <c r="C229" s="363"/>
      <c r="D229" s="363"/>
      <c r="E229" s="363"/>
      <c r="F229" s="363"/>
    </row>
    <row r="230" spans="2:6" ht="14.5" x14ac:dyDescent="0.35">
      <c r="B230" s="257"/>
      <c r="C230" s="363"/>
      <c r="D230" s="363"/>
      <c r="E230" s="363"/>
      <c r="F230" s="363"/>
    </row>
    <row r="231" spans="2:6" ht="14.5" x14ac:dyDescent="0.35">
      <c r="B231" s="257"/>
      <c r="C231" s="363"/>
      <c r="D231" s="363"/>
      <c r="E231" s="363"/>
      <c r="F231" s="363"/>
    </row>
    <row r="232" spans="2:6" ht="14.5" x14ac:dyDescent="0.35">
      <c r="B232" s="257"/>
      <c r="C232" s="363"/>
      <c r="D232" s="363"/>
      <c r="E232" s="363"/>
      <c r="F232" s="363"/>
    </row>
    <row r="233" spans="2:6" ht="14.5" x14ac:dyDescent="0.35">
      <c r="B233" s="257"/>
      <c r="C233" s="363"/>
      <c r="D233" s="363"/>
      <c r="E233" s="363"/>
      <c r="F233" s="363"/>
    </row>
    <row r="234" spans="2:6" ht="14.5" x14ac:dyDescent="0.35">
      <c r="B234" s="257"/>
      <c r="C234" s="363"/>
      <c r="D234" s="363"/>
      <c r="E234" s="363"/>
      <c r="F234" s="363"/>
    </row>
    <row r="235" spans="2:6" ht="14.5" x14ac:dyDescent="0.35">
      <c r="B235" s="257"/>
      <c r="C235" s="363"/>
      <c r="D235" s="363"/>
      <c r="E235" s="363"/>
      <c r="F235" s="363"/>
    </row>
    <row r="236" spans="2:6" ht="14.5" x14ac:dyDescent="0.35">
      <c r="B236" s="257"/>
      <c r="C236" s="363"/>
      <c r="D236" s="363"/>
      <c r="E236" s="363"/>
      <c r="F236" s="363"/>
    </row>
    <row r="237" spans="2:6" ht="14.5" x14ac:dyDescent="0.35">
      <c r="B237" s="257"/>
      <c r="C237" s="363"/>
      <c r="D237" s="363"/>
      <c r="E237" s="363"/>
      <c r="F237" s="363"/>
    </row>
    <row r="238" spans="2:6" ht="14.5" x14ac:dyDescent="0.35">
      <c r="B238" s="257"/>
      <c r="C238" s="363"/>
      <c r="D238" s="363"/>
      <c r="E238" s="363"/>
      <c r="F238" s="363"/>
    </row>
    <row r="239" spans="2:6" ht="14.5" x14ac:dyDescent="0.35">
      <c r="B239" s="257"/>
      <c r="C239" s="363"/>
      <c r="D239" s="363"/>
      <c r="E239" s="363"/>
      <c r="F239" s="363"/>
    </row>
    <row r="240" spans="2:6" ht="14.5" x14ac:dyDescent="0.35">
      <c r="B240" s="257"/>
      <c r="C240" s="363"/>
      <c r="D240" s="363"/>
      <c r="E240" s="363"/>
      <c r="F240" s="363"/>
    </row>
    <row r="241" spans="2:6" ht="14.5" x14ac:dyDescent="0.35">
      <c r="B241" s="257"/>
      <c r="C241" s="363"/>
      <c r="D241" s="363"/>
      <c r="E241" s="363"/>
      <c r="F241" s="363"/>
    </row>
    <row r="242" spans="2:6" ht="14.5" x14ac:dyDescent="0.35">
      <c r="B242" s="257"/>
      <c r="C242" s="363"/>
      <c r="D242" s="363"/>
      <c r="E242" s="363"/>
      <c r="F242" s="363"/>
    </row>
    <row r="243" spans="2:6" ht="14.5" x14ac:dyDescent="0.35">
      <c r="B243" s="257"/>
      <c r="C243" s="363"/>
      <c r="D243" s="363"/>
      <c r="E243" s="363"/>
      <c r="F243" s="363"/>
    </row>
    <row r="244" spans="2:6" ht="14.5" x14ac:dyDescent="0.35">
      <c r="B244" s="257"/>
      <c r="C244" s="363"/>
      <c r="D244" s="363"/>
      <c r="E244" s="363"/>
      <c r="F244" s="363"/>
    </row>
    <row r="245" spans="2:6" ht="14.5" x14ac:dyDescent="0.35">
      <c r="B245" s="257"/>
      <c r="C245" s="363"/>
      <c r="D245" s="363"/>
      <c r="E245" s="363"/>
      <c r="F245" s="363"/>
    </row>
    <row r="246" spans="2:6" ht="14.5" x14ac:dyDescent="0.35">
      <c r="B246" s="257"/>
      <c r="C246" s="363"/>
      <c r="D246" s="363"/>
      <c r="E246" s="363"/>
      <c r="F246" s="363"/>
    </row>
    <row r="247" spans="2:6" ht="14.5" x14ac:dyDescent="0.35">
      <c r="B247" s="257"/>
      <c r="C247" s="363"/>
      <c r="D247" s="363"/>
      <c r="E247" s="363"/>
      <c r="F247" s="363"/>
    </row>
    <row r="248" spans="2:6" ht="14.5" x14ac:dyDescent="0.35">
      <c r="B248" s="257"/>
      <c r="C248" s="363"/>
      <c r="D248" s="363"/>
      <c r="E248" s="363"/>
      <c r="F248" s="363"/>
    </row>
    <row r="249" spans="2:6" ht="14.5" x14ac:dyDescent="0.35">
      <c r="B249" s="257"/>
      <c r="C249" s="363"/>
      <c r="D249" s="363"/>
      <c r="E249" s="363"/>
      <c r="F249" s="363"/>
    </row>
    <row r="250" spans="2:6" ht="14.5" x14ac:dyDescent="0.35">
      <c r="B250" s="257"/>
      <c r="C250" s="363"/>
      <c r="D250" s="363"/>
      <c r="E250" s="363"/>
      <c r="F250" s="363"/>
    </row>
    <row r="251" spans="2:6" ht="14.5" x14ac:dyDescent="0.35">
      <c r="B251" s="257"/>
      <c r="C251" s="363"/>
      <c r="D251" s="363"/>
      <c r="E251" s="363"/>
      <c r="F251" s="363"/>
    </row>
    <row r="252" spans="2:6" ht="14.5" x14ac:dyDescent="0.35">
      <c r="B252" s="257"/>
      <c r="C252" s="363"/>
      <c r="D252" s="363"/>
      <c r="E252" s="363"/>
      <c r="F252" s="363"/>
    </row>
    <row r="253" spans="2:6" ht="14.5" x14ac:dyDescent="0.35">
      <c r="B253" s="257"/>
      <c r="C253" s="363"/>
      <c r="D253" s="363"/>
      <c r="E253" s="363"/>
      <c r="F253" s="363"/>
    </row>
    <row r="254" spans="2:6" ht="14.5" x14ac:dyDescent="0.35">
      <c r="B254" s="257"/>
      <c r="C254" s="363"/>
      <c r="D254" s="363"/>
      <c r="E254" s="363"/>
      <c r="F254" s="363"/>
    </row>
    <row r="255" spans="2:6" ht="14.5" x14ac:dyDescent="0.35">
      <c r="B255" s="257"/>
      <c r="C255" s="363"/>
      <c r="D255" s="363"/>
      <c r="E255" s="363"/>
      <c r="F255" s="363"/>
    </row>
    <row r="256" spans="2:6" ht="14.5" x14ac:dyDescent="0.35">
      <c r="B256" s="257"/>
      <c r="C256" s="363"/>
      <c r="D256" s="363"/>
      <c r="E256" s="363"/>
      <c r="F256" s="363"/>
    </row>
    <row r="257" spans="2:6" ht="14.5" x14ac:dyDescent="0.35">
      <c r="B257" s="257"/>
      <c r="C257" s="363"/>
      <c r="D257" s="363"/>
      <c r="E257" s="363"/>
      <c r="F257" s="363"/>
    </row>
    <row r="258" spans="2:6" ht="14.5" x14ac:dyDescent="0.35">
      <c r="B258" s="257"/>
      <c r="C258" s="363"/>
      <c r="D258" s="363"/>
      <c r="E258" s="363"/>
      <c r="F258" s="363"/>
    </row>
    <row r="259" spans="2:6" ht="14.5" x14ac:dyDescent="0.35">
      <c r="B259" s="257"/>
      <c r="C259" s="363"/>
      <c r="D259" s="363"/>
      <c r="E259" s="363"/>
      <c r="F259" s="363"/>
    </row>
    <row r="260" spans="2:6" ht="14.5" x14ac:dyDescent="0.35">
      <c r="B260" s="257"/>
      <c r="C260" s="363"/>
      <c r="D260" s="363"/>
      <c r="E260" s="363"/>
      <c r="F260" s="363"/>
    </row>
    <row r="261" spans="2:6" ht="14.5" x14ac:dyDescent="0.35">
      <c r="B261" s="257"/>
      <c r="C261" s="363"/>
      <c r="D261" s="363"/>
      <c r="E261" s="363"/>
      <c r="F261" s="363"/>
    </row>
    <row r="262" spans="2:6" ht="14.5" x14ac:dyDescent="0.35">
      <c r="B262" s="257"/>
      <c r="C262" s="363"/>
      <c r="D262" s="363"/>
      <c r="E262" s="363"/>
      <c r="F262" s="363"/>
    </row>
    <row r="263" spans="2:6" ht="14.5" x14ac:dyDescent="0.35">
      <c r="B263" s="257"/>
      <c r="C263" s="363"/>
      <c r="D263" s="363"/>
      <c r="E263" s="363"/>
      <c r="F263" s="363"/>
    </row>
    <row r="264" spans="2:6" ht="14.5" x14ac:dyDescent="0.35">
      <c r="B264" s="257"/>
      <c r="C264" s="363"/>
      <c r="D264" s="363"/>
      <c r="E264" s="363"/>
      <c r="F264" s="363"/>
    </row>
    <row r="265" spans="2:6" ht="14.5" x14ac:dyDescent="0.35">
      <c r="B265" s="257"/>
      <c r="C265" s="363"/>
      <c r="D265" s="363"/>
      <c r="E265" s="363"/>
      <c r="F265" s="363"/>
    </row>
    <row r="266" spans="2:6" ht="14.5" x14ac:dyDescent="0.35">
      <c r="B266" s="257"/>
      <c r="C266" s="363"/>
      <c r="D266" s="363"/>
      <c r="E266" s="363"/>
      <c r="F266" s="363"/>
    </row>
    <row r="267" spans="2:6" ht="14.5" x14ac:dyDescent="0.35">
      <c r="B267" s="257"/>
      <c r="C267" s="363"/>
      <c r="D267" s="363"/>
      <c r="E267" s="363"/>
      <c r="F267" s="363"/>
    </row>
    <row r="268" spans="2:6" ht="14.5" x14ac:dyDescent="0.35">
      <c r="B268" s="257"/>
      <c r="C268" s="363"/>
      <c r="D268" s="363"/>
      <c r="E268" s="363"/>
      <c r="F268" s="363"/>
    </row>
    <row r="269" spans="2:6" ht="14.5" x14ac:dyDescent="0.35">
      <c r="B269" s="257"/>
      <c r="C269" s="363"/>
      <c r="D269" s="363"/>
      <c r="E269" s="363"/>
      <c r="F269" s="363"/>
    </row>
    <row r="270" spans="2:6" ht="14.5" x14ac:dyDescent="0.35">
      <c r="B270" s="257"/>
      <c r="C270" s="363"/>
      <c r="D270" s="363"/>
      <c r="E270" s="363"/>
      <c r="F270" s="363"/>
    </row>
    <row r="271" spans="2:6" ht="14.5" x14ac:dyDescent="0.35">
      <c r="B271" s="257"/>
      <c r="C271" s="363"/>
      <c r="D271" s="363"/>
      <c r="E271" s="363"/>
      <c r="F271" s="363"/>
    </row>
    <row r="272" spans="2:6" ht="14.5" x14ac:dyDescent="0.35">
      <c r="B272" s="257"/>
      <c r="C272" s="363"/>
      <c r="D272" s="363"/>
      <c r="E272" s="363"/>
      <c r="F272" s="363"/>
    </row>
    <row r="273" spans="2:6" ht="14.5" x14ac:dyDescent="0.35">
      <c r="B273" s="257"/>
      <c r="C273" s="363"/>
      <c r="D273" s="363"/>
      <c r="E273" s="363"/>
      <c r="F273" s="363"/>
    </row>
    <row r="274" spans="2:6" ht="14.5" x14ac:dyDescent="0.35">
      <c r="B274" s="257"/>
      <c r="C274" s="363"/>
      <c r="D274" s="363"/>
      <c r="E274" s="363"/>
      <c r="F274" s="363"/>
    </row>
    <row r="275" spans="2:6" ht="14.5" x14ac:dyDescent="0.35">
      <c r="B275" s="257"/>
      <c r="C275" s="363"/>
      <c r="D275" s="363"/>
      <c r="E275" s="363"/>
      <c r="F275" s="363"/>
    </row>
    <row r="276" spans="2:6" ht="14.5" x14ac:dyDescent="0.35">
      <c r="B276" s="257"/>
      <c r="C276" s="363"/>
      <c r="D276" s="363"/>
      <c r="E276" s="363"/>
      <c r="F276" s="363"/>
    </row>
    <row r="277" spans="2:6" ht="14.5" x14ac:dyDescent="0.35">
      <c r="B277" s="257"/>
      <c r="C277" s="363"/>
      <c r="D277" s="363"/>
      <c r="E277" s="363"/>
      <c r="F277" s="363"/>
    </row>
    <row r="278" spans="2:6" ht="14.5" x14ac:dyDescent="0.35">
      <c r="B278" s="257"/>
      <c r="C278" s="363"/>
      <c r="D278" s="363"/>
      <c r="E278" s="363"/>
      <c r="F278" s="363"/>
    </row>
    <row r="279" spans="2:6" ht="14.5" x14ac:dyDescent="0.35">
      <c r="B279" s="257"/>
      <c r="C279" s="363"/>
      <c r="D279" s="363"/>
      <c r="E279" s="363"/>
      <c r="F279" s="363"/>
    </row>
    <row r="280" spans="2:6" ht="14.5" x14ac:dyDescent="0.35">
      <c r="B280" s="257"/>
      <c r="C280" s="363"/>
      <c r="D280" s="363"/>
      <c r="E280" s="363"/>
      <c r="F280" s="363"/>
    </row>
    <row r="281" spans="2:6" ht="14.5" x14ac:dyDescent="0.35">
      <c r="B281" s="257"/>
      <c r="C281" s="363"/>
      <c r="D281" s="363"/>
      <c r="E281" s="363"/>
      <c r="F281" s="363"/>
    </row>
    <row r="282" spans="2:6" ht="14.5" x14ac:dyDescent="0.35">
      <c r="B282" s="257"/>
      <c r="C282" s="363"/>
      <c r="D282" s="363"/>
      <c r="E282" s="363"/>
      <c r="F282" s="363"/>
    </row>
    <row r="283" spans="2:6" ht="14.5" x14ac:dyDescent="0.35">
      <c r="B283" s="257"/>
      <c r="C283" s="363"/>
      <c r="D283" s="363"/>
      <c r="E283" s="363"/>
      <c r="F283" s="363"/>
    </row>
    <row r="284" spans="2:6" ht="14.5" x14ac:dyDescent="0.35">
      <c r="B284" s="257"/>
      <c r="C284" s="363"/>
      <c r="D284" s="363"/>
      <c r="E284" s="363"/>
      <c r="F284" s="363"/>
    </row>
    <row r="285" spans="2:6" ht="14.5" x14ac:dyDescent="0.35">
      <c r="B285" s="257"/>
      <c r="C285" s="363"/>
      <c r="D285" s="363"/>
      <c r="E285" s="363"/>
      <c r="F285" s="363"/>
    </row>
    <row r="286" spans="2:6" ht="14.5" x14ac:dyDescent="0.35">
      <c r="B286" s="257"/>
      <c r="C286" s="363"/>
      <c r="D286" s="363"/>
      <c r="E286" s="363"/>
      <c r="F286" s="363"/>
    </row>
    <row r="287" spans="2:6" ht="14.5" x14ac:dyDescent="0.35">
      <c r="B287" s="257"/>
      <c r="C287" s="363"/>
      <c r="D287" s="363"/>
      <c r="E287" s="363"/>
      <c r="F287" s="363"/>
    </row>
    <row r="288" spans="2:6" ht="14.5" x14ac:dyDescent="0.35">
      <c r="B288" s="257"/>
      <c r="C288" s="363"/>
      <c r="D288" s="363"/>
      <c r="E288" s="363"/>
      <c r="F288" s="363"/>
    </row>
    <row r="289" spans="2:6" ht="14.5" x14ac:dyDescent="0.35">
      <c r="B289" s="257"/>
      <c r="C289" s="363"/>
      <c r="D289" s="363"/>
      <c r="E289" s="363"/>
      <c r="F289" s="363"/>
    </row>
    <row r="290" spans="2:6" ht="14.5" x14ac:dyDescent="0.35">
      <c r="B290" s="257"/>
      <c r="C290" s="363"/>
      <c r="D290" s="363"/>
      <c r="E290" s="363"/>
      <c r="F290" s="363"/>
    </row>
    <row r="291" spans="2:6" ht="14.5" x14ac:dyDescent="0.35">
      <c r="B291" s="257"/>
      <c r="C291" s="363"/>
      <c r="D291" s="363"/>
      <c r="E291" s="363"/>
      <c r="F291" s="363"/>
    </row>
    <row r="292" spans="2:6" ht="14.5" x14ac:dyDescent="0.35">
      <c r="B292" s="257"/>
      <c r="C292" s="363"/>
      <c r="D292" s="363"/>
      <c r="E292" s="363"/>
      <c r="F292" s="363"/>
    </row>
    <row r="293" spans="2:6" ht="14.5" x14ac:dyDescent="0.35">
      <c r="B293" s="257"/>
      <c r="C293" s="363"/>
      <c r="D293" s="363"/>
      <c r="E293" s="363"/>
      <c r="F293" s="363"/>
    </row>
    <row r="294" spans="2:6" ht="14.5" x14ac:dyDescent="0.35">
      <c r="B294" s="257"/>
      <c r="C294" s="363"/>
      <c r="D294" s="363"/>
      <c r="E294" s="363"/>
      <c r="F294" s="363"/>
    </row>
    <row r="295" spans="2:6" ht="14.5" x14ac:dyDescent="0.35">
      <c r="B295" s="257"/>
      <c r="C295" s="363"/>
      <c r="D295" s="363"/>
      <c r="E295" s="363"/>
      <c r="F295" s="363"/>
    </row>
    <row r="296" spans="2:6" ht="14.5" x14ac:dyDescent="0.35">
      <c r="B296" s="257"/>
      <c r="C296" s="363"/>
      <c r="D296" s="363"/>
      <c r="E296" s="363"/>
      <c r="F296" s="363"/>
    </row>
    <row r="297" spans="2:6" ht="14.5" x14ac:dyDescent="0.35">
      <c r="B297" s="257"/>
      <c r="C297" s="363"/>
      <c r="D297" s="363"/>
      <c r="E297" s="363"/>
      <c r="F297" s="363"/>
    </row>
    <row r="298" spans="2:6" ht="14.5" x14ac:dyDescent="0.35">
      <c r="B298" s="257"/>
      <c r="C298" s="363"/>
      <c r="D298" s="363"/>
      <c r="E298" s="363"/>
      <c r="F298" s="363"/>
    </row>
    <row r="299" spans="2:6" ht="14.5" x14ac:dyDescent="0.35">
      <c r="B299" s="257"/>
      <c r="C299" s="363"/>
      <c r="D299" s="363"/>
      <c r="E299" s="363"/>
      <c r="F299" s="363"/>
    </row>
    <row r="300" spans="2:6" ht="14.5" x14ac:dyDescent="0.35">
      <c r="B300" s="257"/>
      <c r="C300" s="363"/>
      <c r="D300" s="363"/>
      <c r="E300" s="363"/>
      <c r="F300" s="363"/>
    </row>
    <row r="301" spans="2:6" ht="14.5" x14ac:dyDescent="0.35">
      <c r="B301" s="257"/>
      <c r="C301" s="363"/>
      <c r="D301" s="363"/>
      <c r="E301" s="363"/>
      <c r="F301" s="363"/>
    </row>
    <row r="302" spans="2:6" ht="14.5" x14ac:dyDescent="0.35">
      <c r="B302" s="257"/>
      <c r="C302" s="363"/>
      <c r="D302" s="363"/>
      <c r="E302" s="363"/>
      <c r="F302" s="363"/>
    </row>
    <row r="303" spans="2:6" ht="14.5" x14ac:dyDescent="0.35">
      <c r="B303" s="257"/>
      <c r="C303" s="363"/>
      <c r="D303" s="363"/>
      <c r="E303" s="363"/>
      <c r="F303" s="363"/>
    </row>
    <row r="304" spans="2:6" ht="14.5" x14ac:dyDescent="0.35">
      <c r="B304" s="257"/>
      <c r="C304" s="363"/>
      <c r="D304" s="363"/>
      <c r="E304" s="363"/>
      <c r="F304" s="363"/>
    </row>
    <row r="305" spans="2:6" ht="14.5" x14ac:dyDescent="0.35">
      <c r="B305" s="257"/>
      <c r="C305" s="363"/>
      <c r="D305" s="363"/>
      <c r="E305" s="363"/>
      <c r="F305" s="363"/>
    </row>
    <row r="306" spans="2:6" ht="14.5" x14ac:dyDescent="0.35">
      <c r="B306" s="257"/>
      <c r="C306" s="363"/>
      <c r="D306" s="363"/>
      <c r="E306" s="363"/>
      <c r="F306" s="363"/>
    </row>
    <row r="307" spans="2:6" ht="14.5" x14ac:dyDescent="0.35">
      <c r="B307" s="257"/>
      <c r="C307" s="363"/>
      <c r="D307" s="363"/>
      <c r="E307" s="363"/>
      <c r="F307" s="363"/>
    </row>
    <row r="308" spans="2:6" ht="14.5" x14ac:dyDescent="0.35">
      <c r="B308" s="257"/>
      <c r="C308" s="363"/>
      <c r="D308" s="363"/>
      <c r="E308" s="363"/>
      <c r="F308" s="363"/>
    </row>
    <row r="309" spans="2:6" ht="14.5" x14ac:dyDescent="0.35">
      <c r="B309" s="257"/>
      <c r="C309" s="363"/>
      <c r="D309" s="363"/>
      <c r="E309" s="363"/>
      <c r="F309" s="363"/>
    </row>
    <row r="310" spans="2:6" ht="14.5" x14ac:dyDescent="0.35">
      <c r="B310" s="257"/>
      <c r="C310" s="363"/>
      <c r="D310" s="363"/>
      <c r="E310" s="363"/>
      <c r="F310" s="363"/>
    </row>
    <row r="311" spans="2:6" ht="14.5" x14ac:dyDescent="0.35">
      <c r="B311" s="257"/>
      <c r="C311" s="363"/>
      <c r="D311" s="363"/>
      <c r="E311" s="363"/>
      <c r="F311" s="363"/>
    </row>
    <row r="312" spans="2:6" ht="14.5" x14ac:dyDescent="0.35">
      <c r="B312" s="257"/>
      <c r="C312" s="363"/>
      <c r="D312" s="363"/>
      <c r="E312" s="363"/>
      <c r="F312" s="363"/>
    </row>
    <row r="313" spans="2:6" ht="14.5" x14ac:dyDescent="0.35">
      <c r="B313" s="257"/>
      <c r="C313" s="363"/>
      <c r="D313" s="363"/>
      <c r="E313" s="363"/>
      <c r="F313" s="363"/>
    </row>
    <row r="314" spans="2:6" ht="14.5" x14ac:dyDescent="0.35">
      <c r="B314" s="257"/>
      <c r="C314" s="363"/>
      <c r="D314" s="363"/>
      <c r="E314" s="363"/>
      <c r="F314" s="363"/>
    </row>
    <row r="315" spans="2:6" ht="14.5" x14ac:dyDescent="0.35">
      <c r="B315" s="257"/>
      <c r="C315" s="363"/>
      <c r="D315" s="363"/>
      <c r="E315" s="363"/>
      <c r="F315" s="363"/>
    </row>
    <row r="316" spans="2:6" ht="14.5" x14ac:dyDescent="0.35">
      <c r="B316" s="257"/>
      <c r="C316" s="363"/>
      <c r="D316" s="363"/>
      <c r="E316" s="363"/>
      <c r="F316" s="363"/>
    </row>
    <row r="317" spans="2:6" ht="14.5" x14ac:dyDescent="0.35">
      <c r="B317" s="257"/>
      <c r="C317" s="363"/>
      <c r="D317" s="363"/>
      <c r="E317" s="363"/>
      <c r="F317" s="363"/>
    </row>
    <row r="318" spans="2:6" ht="14.5" x14ac:dyDescent="0.35">
      <c r="B318" s="257"/>
      <c r="C318" s="363"/>
      <c r="D318" s="363"/>
      <c r="E318" s="363"/>
      <c r="F318" s="363"/>
    </row>
    <row r="319" spans="2:6" ht="14.5" x14ac:dyDescent="0.35">
      <c r="B319" s="257"/>
      <c r="C319" s="363"/>
      <c r="D319" s="363"/>
      <c r="E319" s="363"/>
      <c r="F319" s="363"/>
    </row>
    <row r="320" spans="2:6" ht="14.5" x14ac:dyDescent="0.35">
      <c r="B320" s="257"/>
      <c r="C320" s="363"/>
      <c r="D320" s="363"/>
      <c r="E320" s="363"/>
      <c r="F320" s="363"/>
    </row>
    <row r="321" spans="2:6" ht="14.5" x14ac:dyDescent="0.35">
      <c r="B321" s="257"/>
      <c r="C321" s="363"/>
      <c r="D321" s="363"/>
      <c r="E321" s="363"/>
      <c r="F321" s="363"/>
    </row>
    <row r="322" spans="2:6" ht="14.5" x14ac:dyDescent="0.35">
      <c r="B322" s="257"/>
      <c r="C322" s="363"/>
      <c r="D322" s="363"/>
      <c r="E322" s="363"/>
      <c r="F322" s="363"/>
    </row>
    <row r="323" spans="2:6" ht="14.5" x14ac:dyDescent="0.35">
      <c r="B323" s="257"/>
      <c r="C323" s="363"/>
      <c r="D323" s="363"/>
      <c r="E323" s="363"/>
      <c r="F323" s="363"/>
    </row>
    <row r="324" spans="2:6" ht="14.5" x14ac:dyDescent="0.35">
      <c r="B324" s="257"/>
      <c r="C324" s="363"/>
      <c r="D324" s="363"/>
      <c r="E324" s="363"/>
      <c r="F324" s="363"/>
    </row>
    <row r="325" spans="2:6" ht="14.5" x14ac:dyDescent="0.35">
      <c r="B325" s="257"/>
      <c r="C325" s="363"/>
      <c r="D325" s="363"/>
      <c r="E325" s="363"/>
      <c r="F325" s="363"/>
    </row>
    <row r="326" spans="2:6" ht="14.5" x14ac:dyDescent="0.35">
      <c r="B326" s="257"/>
      <c r="C326" s="363"/>
      <c r="D326" s="363"/>
      <c r="E326" s="363"/>
      <c r="F326" s="363"/>
    </row>
    <row r="327" spans="2:6" ht="14.5" x14ac:dyDescent="0.35">
      <c r="B327" s="257"/>
      <c r="C327" s="363"/>
      <c r="D327" s="363"/>
      <c r="E327" s="363"/>
      <c r="F327" s="363"/>
    </row>
    <row r="328" spans="2:6" ht="14.5" x14ac:dyDescent="0.35">
      <c r="B328" s="257"/>
      <c r="C328" s="363"/>
      <c r="D328" s="363"/>
      <c r="E328" s="363"/>
      <c r="F328" s="363"/>
    </row>
    <row r="329" spans="2:6" ht="14.5" x14ac:dyDescent="0.35">
      <c r="B329" s="257"/>
      <c r="C329" s="363"/>
      <c r="D329" s="363"/>
      <c r="E329" s="363"/>
      <c r="F329" s="363"/>
    </row>
    <row r="330" spans="2:6" ht="14.5" x14ac:dyDescent="0.35">
      <c r="B330" s="257"/>
      <c r="C330" s="363"/>
      <c r="D330" s="363"/>
      <c r="E330" s="363"/>
      <c r="F330" s="363"/>
    </row>
    <row r="331" spans="2:6" ht="14.5" x14ac:dyDescent="0.35">
      <c r="B331" s="257"/>
      <c r="C331" s="363"/>
      <c r="D331" s="363"/>
      <c r="E331" s="363"/>
      <c r="F331" s="363"/>
    </row>
    <row r="332" spans="2:6" ht="14.5" x14ac:dyDescent="0.35">
      <c r="B332" s="257"/>
      <c r="C332" s="363"/>
      <c r="D332" s="363"/>
      <c r="E332" s="363"/>
      <c r="F332" s="363"/>
    </row>
    <row r="333" spans="2:6" ht="14.5" x14ac:dyDescent="0.35">
      <c r="B333" s="257"/>
      <c r="C333" s="363"/>
      <c r="D333" s="363"/>
      <c r="E333" s="363"/>
      <c r="F333" s="363"/>
    </row>
    <row r="334" spans="2:6" ht="14.5" x14ac:dyDescent="0.35">
      <c r="B334" s="257"/>
      <c r="C334" s="363"/>
      <c r="D334" s="363"/>
      <c r="E334" s="363"/>
      <c r="F334" s="363"/>
    </row>
    <row r="335" spans="2:6" ht="14.5" x14ac:dyDescent="0.35">
      <c r="B335" s="257"/>
      <c r="C335" s="363"/>
      <c r="D335" s="363"/>
      <c r="E335" s="363"/>
      <c r="F335" s="363"/>
    </row>
    <row r="336" spans="2:6" ht="14.5" x14ac:dyDescent="0.35">
      <c r="B336" s="257"/>
      <c r="C336" s="363"/>
      <c r="D336" s="363"/>
      <c r="E336" s="363"/>
      <c r="F336" s="363"/>
    </row>
    <row r="337" spans="2:6" ht="14.5" x14ac:dyDescent="0.35">
      <c r="B337" s="257"/>
      <c r="C337" s="363"/>
      <c r="D337" s="363"/>
      <c r="E337" s="363"/>
      <c r="F337" s="363"/>
    </row>
    <row r="338" spans="2:6" ht="14.5" x14ac:dyDescent="0.35">
      <c r="B338" s="257"/>
      <c r="C338" s="363"/>
      <c r="D338" s="363"/>
      <c r="E338" s="363"/>
      <c r="F338" s="363"/>
    </row>
    <row r="339" spans="2:6" ht="14.5" x14ac:dyDescent="0.35">
      <c r="B339" s="257"/>
      <c r="C339" s="363"/>
      <c r="D339" s="363"/>
      <c r="E339" s="363"/>
      <c r="F339" s="363"/>
    </row>
    <row r="340" spans="2:6" ht="14.5" x14ac:dyDescent="0.35">
      <c r="B340" s="257"/>
      <c r="C340" s="363"/>
      <c r="D340" s="363"/>
      <c r="E340" s="363"/>
      <c r="F340" s="363"/>
    </row>
    <row r="341" spans="2:6" ht="14.5" x14ac:dyDescent="0.35">
      <c r="B341" s="257"/>
      <c r="C341" s="363"/>
      <c r="D341" s="363"/>
      <c r="E341" s="363"/>
      <c r="F341" s="363"/>
    </row>
    <row r="342" spans="2:6" ht="14.5" x14ac:dyDescent="0.35">
      <c r="B342" s="257"/>
      <c r="C342" s="363"/>
      <c r="D342" s="363"/>
      <c r="E342" s="363"/>
      <c r="F342" s="363"/>
    </row>
    <row r="343" spans="2:6" ht="14.5" x14ac:dyDescent="0.35">
      <c r="B343" s="257"/>
      <c r="C343" s="363"/>
      <c r="D343" s="363"/>
      <c r="E343" s="363"/>
      <c r="F343" s="363"/>
    </row>
    <row r="344" spans="2:6" ht="14.5" x14ac:dyDescent="0.35">
      <c r="B344" s="257"/>
      <c r="C344" s="363"/>
      <c r="D344" s="363"/>
      <c r="E344" s="363"/>
      <c r="F344" s="363"/>
    </row>
    <row r="345" spans="2:6" ht="14.5" x14ac:dyDescent="0.35">
      <c r="B345" s="257"/>
      <c r="C345" s="363"/>
      <c r="D345" s="363"/>
      <c r="E345" s="363"/>
      <c r="F345" s="363"/>
    </row>
    <row r="346" spans="2:6" ht="14.5" x14ac:dyDescent="0.35">
      <c r="B346" s="257"/>
      <c r="C346" s="363"/>
      <c r="D346" s="363"/>
      <c r="E346" s="363"/>
      <c r="F346" s="363"/>
    </row>
    <row r="347" spans="2:6" ht="14.5" x14ac:dyDescent="0.35">
      <c r="B347" s="257"/>
      <c r="C347" s="363"/>
      <c r="D347" s="363"/>
      <c r="E347" s="363"/>
      <c r="F347" s="363"/>
    </row>
    <row r="348" spans="2:6" ht="14.5" x14ac:dyDescent="0.35">
      <c r="B348" s="257"/>
      <c r="C348" s="363"/>
      <c r="D348" s="363"/>
      <c r="E348" s="363"/>
      <c r="F348" s="363"/>
    </row>
    <row r="349" spans="2:6" ht="14.5" x14ac:dyDescent="0.35">
      <c r="B349" s="257"/>
      <c r="C349" s="363"/>
      <c r="D349" s="363"/>
      <c r="E349" s="363"/>
      <c r="F349" s="363"/>
    </row>
    <row r="350" spans="2:6" ht="14.5" x14ac:dyDescent="0.35">
      <c r="B350" s="257"/>
      <c r="C350" s="363"/>
      <c r="D350" s="363"/>
      <c r="E350" s="363"/>
      <c r="F350" s="363"/>
    </row>
    <row r="351" spans="2:6" ht="14.5" x14ac:dyDescent="0.35">
      <c r="B351" s="257"/>
      <c r="C351" s="363"/>
      <c r="D351" s="363"/>
      <c r="E351" s="363"/>
      <c r="F351" s="363"/>
    </row>
    <row r="352" spans="2:6" ht="14.5" x14ac:dyDescent="0.35">
      <c r="B352" s="257"/>
      <c r="C352" s="363"/>
      <c r="D352" s="363"/>
      <c r="E352" s="363"/>
      <c r="F352" s="363"/>
    </row>
    <row r="353" spans="2:6" ht="14.5" x14ac:dyDescent="0.35">
      <c r="B353" s="257"/>
      <c r="C353" s="363"/>
      <c r="D353" s="363"/>
      <c r="E353" s="363"/>
      <c r="F353" s="363"/>
    </row>
    <row r="354" spans="2:6" ht="14.5" x14ac:dyDescent="0.35">
      <c r="B354" s="257"/>
      <c r="C354" s="363"/>
      <c r="D354" s="363"/>
      <c r="E354" s="363"/>
      <c r="F354" s="363"/>
    </row>
    <row r="355" spans="2:6" ht="14.5" x14ac:dyDescent="0.35">
      <c r="B355" s="257"/>
      <c r="C355" s="363"/>
      <c r="D355" s="363"/>
      <c r="E355" s="363"/>
      <c r="F355" s="363"/>
    </row>
    <row r="356" spans="2:6" ht="14.5" x14ac:dyDescent="0.35">
      <c r="B356" s="257"/>
      <c r="C356" s="363"/>
      <c r="D356" s="363"/>
      <c r="E356" s="363"/>
      <c r="F356" s="363"/>
    </row>
    <row r="357" spans="2:6" ht="14.5" x14ac:dyDescent="0.35">
      <c r="B357" s="257"/>
      <c r="C357" s="363"/>
      <c r="D357" s="363"/>
      <c r="E357" s="363"/>
      <c r="F357" s="363"/>
    </row>
    <row r="358" spans="2:6" ht="14.5" x14ac:dyDescent="0.35">
      <c r="B358" s="257"/>
      <c r="C358" s="363"/>
      <c r="D358" s="363"/>
      <c r="E358" s="363"/>
      <c r="F358" s="363"/>
    </row>
    <row r="359" spans="2:6" ht="14.5" x14ac:dyDescent="0.35">
      <c r="B359" s="257"/>
      <c r="C359" s="363"/>
      <c r="D359" s="363"/>
      <c r="E359" s="363"/>
      <c r="F359" s="363"/>
    </row>
    <row r="360" spans="2:6" ht="14.5" x14ac:dyDescent="0.35">
      <c r="B360" s="257"/>
      <c r="C360" s="363"/>
      <c r="D360" s="363"/>
      <c r="E360" s="363"/>
      <c r="F360" s="363"/>
    </row>
    <row r="361" spans="2:6" ht="14.5" x14ac:dyDescent="0.35">
      <c r="B361" s="257"/>
      <c r="C361" s="363"/>
      <c r="D361" s="363"/>
      <c r="E361" s="363"/>
      <c r="F361" s="363"/>
    </row>
    <row r="362" spans="2:6" ht="14.5" x14ac:dyDescent="0.35">
      <c r="B362" s="257"/>
      <c r="C362" s="363"/>
      <c r="D362" s="363"/>
      <c r="E362" s="363"/>
      <c r="F362" s="363"/>
    </row>
    <row r="363" spans="2:6" ht="14.5" x14ac:dyDescent="0.35">
      <c r="B363" s="257"/>
      <c r="C363" s="363"/>
      <c r="D363" s="363"/>
      <c r="E363" s="363"/>
      <c r="F363" s="363"/>
    </row>
    <row r="364" spans="2:6" ht="14.5" x14ac:dyDescent="0.35">
      <c r="B364" s="257"/>
      <c r="C364" s="363"/>
      <c r="D364" s="363"/>
      <c r="E364" s="363"/>
      <c r="F364" s="363"/>
    </row>
    <row r="365" spans="2:6" ht="14.5" x14ac:dyDescent="0.35">
      <c r="B365" s="257"/>
      <c r="C365" s="363"/>
      <c r="D365" s="363"/>
      <c r="E365" s="363"/>
      <c r="F365" s="363"/>
    </row>
    <row r="366" spans="2:6" ht="14.5" x14ac:dyDescent="0.35">
      <c r="B366" s="257"/>
      <c r="C366" s="363"/>
      <c r="D366" s="363"/>
      <c r="E366" s="363"/>
      <c r="F366" s="363"/>
    </row>
    <row r="367" spans="2:6" ht="14.5" x14ac:dyDescent="0.35">
      <c r="B367" s="257"/>
      <c r="C367" s="363"/>
      <c r="D367" s="363"/>
      <c r="E367" s="363"/>
      <c r="F367" s="363"/>
    </row>
    <row r="368" spans="2:6" ht="14.5" x14ac:dyDescent="0.35">
      <c r="B368" s="257"/>
      <c r="C368" s="363"/>
      <c r="D368" s="363"/>
      <c r="E368" s="363"/>
      <c r="F368" s="363"/>
    </row>
    <row r="369" spans="2:6" ht="14.5" x14ac:dyDescent="0.35">
      <c r="B369" s="257"/>
      <c r="C369" s="363"/>
      <c r="D369" s="363"/>
      <c r="E369" s="363"/>
      <c r="F369" s="363"/>
    </row>
    <row r="370" spans="2:6" ht="14.5" x14ac:dyDescent="0.35">
      <c r="B370" s="257"/>
      <c r="C370" s="363"/>
      <c r="D370" s="363"/>
      <c r="E370" s="363"/>
      <c r="F370" s="363"/>
    </row>
    <row r="371" spans="2:6" ht="14.5" x14ac:dyDescent="0.35">
      <c r="B371" s="257"/>
      <c r="C371" s="363"/>
      <c r="D371" s="363"/>
      <c r="E371" s="363"/>
      <c r="F371" s="363"/>
    </row>
    <row r="372" spans="2:6" ht="14.5" x14ac:dyDescent="0.35">
      <c r="B372" s="257"/>
      <c r="C372" s="363"/>
      <c r="D372" s="363"/>
      <c r="E372" s="363"/>
      <c r="F372" s="363"/>
    </row>
    <row r="373" spans="2:6" ht="14.5" x14ac:dyDescent="0.35">
      <c r="B373" s="257"/>
      <c r="C373" s="363"/>
      <c r="D373" s="363"/>
      <c r="E373" s="363"/>
      <c r="F373" s="363"/>
    </row>
    <row r="374" spans="2:6" ht="14.5" x14ac:dyDescent="0.35">
      <c r="B374" s="257"/>
      <c r="C374" s="363"/>
      <c r="D374" s="363"/>
      <c r="E374" s="363"/>
      <c r="F374" s="363"/>
    </row>
    <row r="375" spans="2:6" ht="14.5" x14ac:dyDescent="0.35">
      <c r="B375" s="257"/>
      <c r="C375" s="363"/>
      <c r="D375" s="363"/>
      <c r="E375" s="363"/>
      <c r="F375" s="363"/>
    </row>
    <row r="376" spans="2:6" ht="14.5" x14ac:dyDescent="0.35">
      <c r="B376" s="257"/>
      <c r="C376" s="363"/>
      <c r="D376" s="363"/>
      <c r="E376" s="363"/>
      <c r="F376" s="363"/>
    </row>
    <row r="377" spans="2:6" ht="14.5" x14ac:dyDescent="0.35">
      <c r="B377" s="257"/>
      <c r="C377" s="363"/>
      <c r="D377" s="363"/>
      <c r="E377" s="363"/>
      <c r="F377" s="363"/>
    </row>
    <row r="378" spans="2:6" ht="14.5" x14ac:dyDescent="0.35">
      <c r="B378" s="257"/>
      <c r="C378" s="363"/>
      <c r="D378" s="363"/>
      <c r="E378" s="363"/>
      <c r="F378" s="363"/>
    </row>
    <row r="379" spans="2:6" ht="14.5" x14ac:dyDescent="0.35">
      <c r="B379" s="257"/>
      <c r="C379" s="363"/>
      <c r="D379" s="363"/>
      <c r="E379" s="363"/>
      <c r="F379" s="363"/>
    </row>
    <row r="380" spans="2:6" ht="14.5" x14ac:dyDescent="0.35">
      <c r="B380" s="257"/>
      <c r="C380" s="363"/>
      <c r="D380" s="363"/>
      <c r="E380" s="363"/>
      <c r="F380" s="363"/>
    </row>
    <row r="381" spans="2:6" ht="14.5" x14ac:dyDescent="0.35">
      <c r="B381" s="257"/>
      <c r="C381" s="363"/>
      <c r="D381" s="363"/>
      <c r="E381" s="363"/>
      <c r="F381" s="363"/>
    </row>
    <row r="382" spans="2:6" ht="14.5" x14ac:dyDescent="0.35">
      <c r="B382" s="257"/>
      <c r="C382" s="363"/>
      <c r="D382" s="363"/>
      <c r="E382" s="363"/>
      <c r="F382" s="363"/>
    </row>
    <row r="383" spans="2:6" ht="14.5" x14ac:dyDescent="0.35">
      <c r="B383" s="257"/>
      <c r="C383" s="363"/>
      <c r="D383" s="363"/>
      <c r="E383" s="363"/>
      <c r="F383" s="363"/>
    </row>
    <row r="384" spans="2:6" ht="14.5" x14ac:dyDescent="0.35">
      <c r="B384" s="257"/>
      <c r="C384" s="363"/>
      <c r="D384" s="363"/>
      <c r="E384" s="363"/>
      <c r="F384" s="363"/>
    </row>
    <row r="385" spans="2:6" ht="14.5" x14ac:dyDescent="0.35">
      <c r="B385" s="257"/>
      <c r="C385" s="363"/>
      <c r="D385" s="363"/>
      <c r="E385" s="363"/>
      <c r="F385" s="363"/>
    </row>
    <row r="386" spans="2:6" ht="14.5" x14ac:dyDescent="0.35">
      <c r="B386" s="257"/>
      <c r="C386" s="363"/>
      <c r="D386" s="363"/>
      <c r="E386" s="363"/>
      <c r="F386" s="363"/>
    </row>
    <row r="387" spans="2:6" ht="14.5" x14ac:dyDescent="0.35">
      <c r="B387" s="257"/>
      <c r="C387" s="363"/>
      <c r="D387" s="363"/>
      <c r="E387" s="363"/>
      <c r="F387" s="363"/>
    </row>
    <row r="388" spans="2:6" ht="14.5" x14ac:dyDescent="0.35">
      <c r="B388" s="257"/>
      <c r="C388" s="363"/>
      <c r="D388" s="363"/>
      <c r="E388" s="363"/>
      <c r="F388" s="363"/>
    </row>
    <row r="389" spans="2:6" ht="14.5" x14ac:dyDescent="0.35">
      <c r="B389" s="257"/>
      <c r="C389" s="363"/>
      <c r="D389" s="363"/>
      <c r="E389" s="363"/>
      <c r="F389" s="363"/>
    </row>
    <row r="390" spans="2:6" ht="14.5" x14ac:dyDescent="0.35">
      <c r="B390" s="257"/>
      <c r="C390" s="363"/>
      <c r="D390" s="363"/>
      <c r="E390" s="363"/>
      <c r="F390" s="363"/>
    </row>
    <row r="391" spans="2:6" ht="14.5" x14ac:dyDescent="0.35">
      <c r="B391" s="257"/>
      <c r="C391" s="363"/>
      <c r="D391" s="363"/>
      <c r="E391" s="363"/>
      <c r="F391" s="363"/>
    </row>
    <row r="392" spans="2:6" ht="14.5" x14ac:dyDescent="0.35">
      <c r="B392" s="257"/>
      <c r="C392" s="363"/>
      <c r="D392" s="363"/>
      <c r="E392" s="363"/>
      <c r="F392" s="363"/>
    </row>
    <row r="393" spans="2:6" ht="14.5" x14ac:dyDescent="0.35">
      <c r="B393" s="257"/>
      <c r="C393" s="363"/>
      <c r="D393" s="363"/>
      <c r="E393" s="363"/>
      <c r="F393" s="363"/>
    </row>
    <row r="394" spans="2:6" ht="14.5" x14ac:dyDescent="0.35">
      <c r="B394" s="257"/>
      <c r="C394" s="363"/>
      <c r="D394" s="363"/>
      <c r="E394" s="363"/>
      <c r="F394" s="363"/>
    </row>
    <row r="395" spans="2:6" ht="14.5" x14ac:dyDescent="0.35">
      <c r="B395" s="257"/>
      <c r="C395" s="363"/>
      <c r="D395" s="363"/>
      <c r="E395" s="363"/>
      <c r="F395" s="363"/>
    </row>
    <row r="396" spans="2:6" ht="14.5" x14ac:dyDescent="0.35">
      <c r="B396" s="257"/>
      <c r="C396" s="363"/>
      <c r="D396" s="363"/>
      <c r="E396" s="363"/>
      <c r="F396" s="363"/>
    </row>
    <row r="397" spans="2:6" ht="14.5" x14ac:dyDescent="0.35">
      <c r="B397" s="257"/>
      <c r="C397" s="363"/>
      <c r="D397" s="363"/>
      <c r="E397" s="363"/>
      <c r="F397" s="363"/>
    </row>
    <row r="398" spans="2:6" ht="14.5" x14ac:dyDescent="0.35">
      <c r="B398" s="257"/>
      <c r="C398" s="363"/>
      <c r="D398" s="363"/>
      <c r="E398" s="363"/>
      <c r="F398" s="363"/>
    </row>
    <row r="399" spans="2:6" ht="14.5" x14ac:dyDescent="0.35">
      <c r="B399" s="257"/>
      <c r="C399" s="363"/>
      <c r="D399" s="363"/>
      <c r="E399" s="363"/>
      <c r="F399" s="363"/>
    </row>
    <row r="400" spans="2:6" ht="14.5" x14ac:dyDescent="0.35">
      <c r="B400" s="257"/>
      <c r="C400" s="363"/>
      <c r="D400" s="363"/>
      <c r="E400" s="363"/>
      <c r="F400" s="363"/>
    </row>
    <row r="401" spans="2:6" ht="14.5" x14ac:dyDescent="0.35">
      <c r="B401" s="257"/>
      <c r="C401" s="363"/>
      <c r="D401" s="363"/>
      <c r="E401" s="363"/>
      <c r="F401" s="363"/>
    </row>
    <row r="402" spans="2:6" ht="14.5" x14ac:dyDescent="0.35">
      <c r="B402" s="257"/>
      <c r="C402" s="363"/>
      <c r="D402" s="363"/>
      <c r="E402" s="363"/>
      <c r="F402" s="363"/>
    </row>
    <row r="403" spans="2:6" ht="14.5" x14ac:dyDescent="0.35">
      <c r="B403" s="257"/>
      <c r="C403" s="363"/>
      <c r="D403" s="363"/>
      <c r="E403" s="363"/>
      <c r="F403" s="363"/>
    </row>
    <row r="404" spans="2:6" ht="14.5" x14ac:dyDescent="0.35">
      <c r="B404" s="257"/>
      <c r="C404" s="363"/>
      <c r="D404" s="363"/>
      <c r="E404" s="363"/>
      <c r="F404" s="363"/>
    </row>
    <row r="405" spans="2:6" ht="14.5" x14ac:dyDescent="0.35">
      <c r="B405" s="257"/>
      <c r="C405" s="363"/>
      <c r="D405" s="363"/>
      <c r="E405" s="363"/>
      <c r="F405" s="363"/>
    </row>
    <row r="406" spans="2:6" ht="14.5" x14ac:dyDescent="0.35">
      <c r="B406" s="257"/>
      <c r="C406" s="363"/>
      <c r="D406" s="363"/>
      <c r="E406" s="363"/>
      <c r="F406" s="363"/>
    </row>
    <row r="407" spans="2:6" ht="14.5" x14ac:dyDescent="0.35">
      <c r="B407" s="257"/>
      <c r="C407" s="363"/>
      <c r="D407" s="363"/>
      <c r="E407" s="363"/>
      <c r="F407" s="363"/>
    </row>
    <row r="408" spans="2:6" ht="14.5" x14ac:dyDescent="0.35">
      <c r="B408" s="257"/>
      <c r="C408" s="363"/>
      <c r="D408" s="363"/>
      <c r="E408" s="363"/>
      <c r="F408" s="363"/>
    </row>
    <row r="409" spans="2:6" ht="14.5" x14ac:dyDescent="0.35">
      <c r="B409" s="257"/>
      <c r="C409" s="363"/>
      <c r="D409" s="363"/>
      <c r="E409" s="363"/>
      <c r="F409" s="363"/>
    </row>
    <row r="410" spans="2:6" ht="14.5" x14ac:dyDescent="0.35">
      <c r="B410" s="257"/>
      <c r="C410" s="363"/>
      <c r="D410" s="363"/>
      <c r="E410" s="363"/>
      <c r="F410" s="363"/>
    </row>
    <row r="411" spans="2:6" ht="14.5" x14ac:dyDescent="0.35">
      <c r="B411" s="257"/>
      <c r="C411" s="363"/>
      <c r="D411" s="363"/>
      <c r="E411" s="363"/>
      <c r="F411" s="363"/>
    </row>
    <row r="412" spans="2:6" ht="14.5" x14ac:dyDescent="0.35">
      <c r="B412" s="257"/>
      <c r="C412" s="363"/>
      <c r="D412" s="363"/>
      <c r="E412" s="363"/>
      <c r="F412" s="363"/>
    </row>
    <row r="413" spans="2:6" ht="14.5" x14ac:dyDescent="0.35">
      <c r="B413" s="257"/>
      <c r="C413" s="363"/>
      <c r="D413" s="363"/>
      <c r="E413" s="363"/>
      <c r="F413" s="363"/>
    </row>
    <row r="414" spans="2:6" ht="14.5" x14ac:dyDescent="0.35">
      <c r="B414" s="257"/>
      <c r="C414" s="363"/>
      <c r="D414" s="363"/>
      <c r="E414" s="363"/>
      <c r="F414" s="363"/>
    </row>
    <row r="415" spans="2:6" ht="14.5" x14ac:dyDescent="0.35">
      <c r="B415" s="257"/>
      <c r="C415" s="363"/>
      <c r="D415" s="363"/>
      <c r="E415" s="363"/>
      <c r="F415" s="363"/>
    </row>
    <row r="416" spans="2:6" ht="14.5" x14ac:dyDescent="0.35">
      <c r="B416" s="257"/>
      <c r="C416" s="363"/>
      <c r="D416" s="363"/>
      <c r="E416" s="363"/>
      <c r="F416" s="363"/>
    </row>
    <row r="417" spans="2:6" ht="14.5" x14ac:dyDescent="0.35">
      <c r="B417" s="257"/>
      <c r="C417" s="363"/>
      <c r="D417" s="363"/>
      <c r="E417" s="363"/>
      <c r="F417" s="363"/>
    </row>
    <row r="418" spans="2:6" ht="14.5" x14ac:dyDescent="0.35">
      <c r="B418" s="257"/>
      <c r="C418" s="363"/>
      <c r="D418" s="363"/>
      <c r="E418" s="363"/>
      <c r="F418" s="363"/>
    </row>
    <row r="419" spans="2:6" ht="14.5" x14ac:dyDescent="0.35">
      <c r="B419" s="257"/>
      <c r="C419" s="363"/>
      <c r="D419" s="363"/>
      <c r="E419" s="363"/>
      <c r="F419" s="363"/>
    </row>
    <row r="420" spans="2:6" ht="14.5" x14ac:dyDescent="0.35">
      <c r="B420" s="257"/>
      <c r="C420" s="363"/>
      <c r="D420" s="363"/>
      <c r="E420" s="363"/>
      <c r="F420" s="363"/>
    </row>
    <row r="421" spans="2:6" ht="14.5" x14ac:dyDescent="0.35">
      <c r="B421" s="257"/>
      <c r="C421" s="363"/>
      <c r="D421" s="363"/>
      <c r="E421" s="363"/>
      <c r="F421" s="363"/>
    </row>
    <row r="422" spans="2:6" ht="14.5" x14ac:dyDescent="0.35">
      <c r="B422" s="257"/>
      <c r="C422" s="363"/>
      <c r="D422" s="363"/>
      <c r="E422" s="363"/>
      <c r="F422" s="363"/>
    </row>
    <row r="423" spans="2:6" ht="14.5" x14ac:dyDescent="0.35">
      <c r="B423" s="257"/>
      <c r="C423" s="363"/>
      <c r="D423" s="363"/>
      <c r="E423" s="363"/>
      <c r="F423" s="363"/>
    </row>
    <row r="424" spans="2:6" ht="14.5" x14ac:dyDescent="0.35">
      <c r="B424" s="257"/>
      <c r="C424" s="363"/>
      <c r="D424" s="363"/>
      <c r="E424" s="363"/>
      <c r="F424" s="363"/>
    </row>
    <row r="425" spans="2:6" ht="14.5" x14ac:dyDescent="0.35">
      <c r="B425" s="257"/>
      <c r="C425" s="363"/>
      <c r="D425" s="363"/>
      <c r="E425" s="363"/>
      <c r="F425" s="363"/>
    </row>
    <row r="426" spans="2:6" ht="14.5" x14ac:dyDescent="0.35">
      <c r="B426" s="257"/>
      <c r="C426" s="363"/>
      <c r="D426" s="363"/>
      <c r="E426" s="363"/>
      <c r="F426" s="363"/>
    </row>
    <row r="427" spans="2:6" ht="14.5" x14ac:dyDescent="0.35">
      <c r="B427" s="257"/>
      <c r="C427" s="363"/>
      <c r="D427" s="363"/>
      <c r="E427" s="363"/>
      <c r="F427" s="363"/>
    </row>
    <row r="428" spans="2:6" ht="14.5" x14ac:dyDescent="0.35">
      <c r="B428" s="257"/>
      <c r="C428" s="363"/>
      <c r="D428" s="363"/>
      <c r="E428" s="363"/>
      <c r="F428" s="363"/>
    </row>
    <row r="429" spans="2:6" ht="14.5" x14ac:dyDescent="0.35">
      <c r="B429" s="257"/>
      <c r="C429" s="363"/>
      <c r="D429" s="363"/>
      <c r="E429" s="363"/>
      <c r="F429" s="363"/>
    </row>
    <row r="430" spans="2:6" ht="14.5" x14ac:dyDescent="0.35">
      <c r="B430" s="257"/>
      <c r="C430" s="363"/>
      <c r="D430" s="363"/>
      <c r="E430" s="363"/>
      <c r="F430" s="363"/>
    </row>
    <row r="431" spans="2:6" ht="14.5" x14ac:dyDescent="0.35">
      <c r="B431" s="257"/>
      <c r="C431" s="363"/>
      <c r="D431" s="363"/>
      <c r="E431" s="363"/>
      <c r="F431" s="363"/>
    </row>
    <row r="432" spans="2:6" ht="14.5" x14ac:dyDescent="0.35">
      <c r="B432" s="257"/>
      <c r="C432" s="363"/>
      <c r="D432" s="363"/>
      <c r="E432" s="363"/>
      <c r="F432" s="363"/>
    </row>
    <row r="433" spans="2:6" ht="14.5" x14ac:dyDescent="0.35">
      <c r="B433" s="257"/>
      <c r="C433" s="363"/>
      <c r="D433" s="363"/>
      <c r="E433" s="363"/>
      <c r="F433" s="363"/>
    </row>
    <row r="434" spans="2:6" ht="14.5" x14ac:dyDescent="0.35">
      <c r="B434" s="257"/>
      <c r="C434" s="363"/>
      <c r="D434" s="363"/>
      <c r="E434" s="363"/>
      <c r="F434" s="363"/>
    </row>
    <row r="435" spans="2:6" ht="14.5" x14ac:dyDescent="0.35">
      <c r="B435" s="257"/>
      <c r="C435" s="363"/>
      <c r="D435" s="363"/>
      <c r="E435" s="363"/>
      <c r="F435" s="363"/>
    </row>
    <row r="436" spans="2:6" ht="14.5" x14ac:dyDescent="0.35">
      <c r="B436" s="257"/>
      <c r="C436" s="363"/>
      <c r="D436" s="363"/>
      <c r="E436" s="363"/>
      <c r="F436" s="363"/>
    </row>
    <row r="437" spans="2:6" ht="14.5" x14ac:dyDescent="0.35">
      <c r="B437" s="257"/>
      <c r="C437" s="363"/>
      <c r="D437" s="363"/>
      <c r="E437" s="363"/>
      <c r="F437" s="363"/>
    </row>
    <row r="438" spans="2:6" ht="14.5" x14ac:dyDescent="0.35">
      <c r="B438" s="257"/>
      <c r="C438" s="363"/>
      <c r="D438" s="363"/>
      <c r="E438" s="363"/>
      <c r="F438" s="363"/>
    </row>
    <row r="439" spans="2:6" ht="14.5" x14ac:dyDescent="0.35">
      <c r="B439" s="257"/>
      <c r="C439" s="363"/>
      <c r="D439" s="363"/>
      <c r="E439" s="363"/>
      <c r="F439" s="363"/>
    </row>
    <row r="440" spans="2:6" ht="14.5" x14ac:dyDescent="0.35">
      <c r="B440" s="257"/>
      <c r="C440" s="363"/>
      <c r="D440" s="363"/>
      <c r="E440" s="363"/>
      <c r="F440" s="363"/>
    </row>
    <row r="441" spans="2:6" ht="14.5" x14ac:dyDescent="0.35">
      <c r="B441" s="257"/>
      <c r="C441" s="363"/>
      <c r="D441" s="363"/>
      <c r="E441" s="363"/>
      <c r="F441" s="363"/>
    </row>
    <row r="442" spans="2:6" ht="14.5" x14ac:dyDescent="0.35">
      <c r="B442" s="257"/>
      <c r="C442" s="363"/>
      <c r="D442" s="363"/>
      <c r="E442" s="363"/>
      <c r="F442" s="363"/>
    </row>
    <row r="443" spans="2:6" ht="14.5" x14ac:dyDescent="0.35">
      <c r="B443" s="257"/>
      <c r="C443" s="363"/>
      <c r="D443" s="363"/>
      <c r="E443" s="363"/>
      <c r="F443" s="363"/>
    </row>
    <row r="444" spans="2:6" ht="14.5" x14ac:dyDescent="0.35">
      <c r="B444" s="257"/>
      <c r="C444" s="363"/>
      <c r="D444" s="363"/>
      <c r="E444" s="363"/>
      <c r="F444" s="363"/>
    </row>
    <row r="445" spans="2:6" ht="14.5" x14ac:dyDescent="0.35">
      <c r="B445" s="257"/>
      <c r="C445" s="363"/>
      <c r="D445" s="363"/>
      <c r="E445" s="363"/>
      <c r="F445" s="363"/>
    </row>
    <row r="446" spans="2:6" ht="14.5" x14ac:dyDescent="0.35">
      <c r="B446" s="257"/>
      <c r="C446" s="363"/>
      <c r="D446" s="363"/>
      <c r="E446" s="363"/>
      <c r="F446" s="363"/>
    </row>
    <row r="447" spans="2:6" ht="14.5" x14ac:dyDescent="0.35">
      <c r="B447" s="257"/>
      <c r="C447" s="363"/>
      <c r="D447" s="363"/>
      <c r="E447" s="363"/>
      <c r="F447" s="363"/>
    </row>
    <row r="448" spans="2:6" ht="14.5" x14ac:dyDescent="0.35">
      <c r="B448" s="257"/>
      <c r="C448" s="363"/>
      <c r="D448" s="363"/>
      <c r="E448" s="363"/>
      <c r="F448" s="363"/>
    </row>
    <row r="449" spans="2:6" ht="14.5" x14ac:dyDescent="0.35">
      <c r="B449" s="257"/>
      <c r="C449" s="363"/>
      <c r="D449" s="363"/>
      <c r="E449" s="363"/>
      <c r="F449" s="363"/>
    </row>
    <row r="450" spans="2:6" ht="14.5" x14ac:dyDescent="0.35">
      <c r="B450" s="257"/>
      <c r="C450" s="363"/>
      <c r="D450" s="363"/>
      <c r="E450" s="363"/>
      <c r="F450" s="363"/>
    </row>
    <row r="451" spans="2:6" ht="14.5" x14ac:dyDescent="0.35">
      <c r="B451" s="257"/>
      <c r="C451" s="363"/>
      <c r="D451" s="363"/>
      <c r="E451" s="363"/>
      <c r="F451" s="363"/>
    </row>
    <row r="452" spans="2:6" ht="14.5" x14ac:dyDescent="0.35">
      <c r="B452" s="257"/>
      <c r="C452" s="363"/>
      <c r="D452" s="363"/>
      <c r="E452" s="363"/>
      <c r="F452" s="363"/>
    </row>
    <row r="453" spans="2:6" ht="14.5" x14ac:dyDescent="0.35">
      <c r="B453" s="257"/>
      <c r="C453" s="363"/>
      <c r="D453" s="363"/>
      <c r="E453" s="363"/>
      <c r="F453" s="363"/>
    </row>
    <row r="454" spans="2:6" ht="14.5" x14ac:dyDescent="0.35">
      <c r="B454" s="257"/>
      <c r="C454" s="363"/>
      <c r="D454" s="363"/>
      <c r="E454" s="363"/>
      <c r="F454" s="363"/>
    </row>
    <row r="455" spans="2:6" ht="14.5" x14ac:dyDescent="0.35">
      <c r="B455" s="257"/>
      <c r="C455" s="363"/>
      <c r="D455" s="363"/>
      <c r="E455" s="363"/>
      <c r="F455" s="363"/>
    </row>
    <row r="456" spans="2:6" ht="14.5" x14ac:dyDescent="0.35">
      <c r="B456" s="257"/>
      <c r="C456" s="363"/>
      <c r="D456" s="363"/>
      <c r="E456" s="363"/>
      <c r="F456" s="363"/>
    </row>
    <row r="457" spans="2:6" ht="14.5" x14ac:dyDescent="0.35">
      <c r="B457" s="257"/>
      <c r="C457" s="363"/>
      <c r="D457" s="363"/>
      <c r="E457" s="363"/>
      <c r="F457" s="363"/>
    </row>
    <row r="458" spans="2:6" ht="14.5" x14ac:dyDescent="0.35">
      <c r="B458" s="257"/>
      <c r="C458" s="363"/>
      <c r="D458" s="363"/>
      <c r="E458" s="363"/>
      <c r="F458" s="363"/>
    </row>
    <row r="459" spans="2:6" ht="14.5" x14ac:dyDescent="0.35">
      <c r="B459" s="257"/>
      <c r="C459" s="363"/>
      <c r="D459" s="363"/>
      <c r="E459" s="363"/>
      <c r="F459" s="363"/>
    </row>
    <row r="460" spans="2:6" ht="14.5" x14ac:dyDescent="0.35">
      <c r="B460" s="257"/>
      <c r="C460" s="363"/>
      <c r="D460" s="363"/>
      <c r="E460" s="363"/>
      <c r="F460" s="363"/>
    </row>
    <row r="461" spans="2:6" ht="14.5" x14ac:dyDescent="0.35">
      <c r="B461" s="257"/>
      <c r="C461" s="363"/>
      <c r="D461" s="363"/>
      <c r="E461" s="363"/>
      <c r="F461" s="363"/>
    </row>
    <row r="462" spans="2:6" ht="14.5" x14ac:dyDescent="0.35">
      <c r="B462" s="257"/>
      <c r="C462" s="363"/>
      <c r="D462" s="363"/>
      <c r="E462" s="363"/>
      <c r="F462" s="363"/>
    </row>
    <row r="463" spans="2:6" ht="14.5" x14ac:dyDescent="0.35">
      <c r="B463" s="257"/>
      <c r="C463" s="363"/>
      <c r="D463" s="363"/>
      <c r="E463" s="363"/>
      <c r="F463" s="363"/>
    </row>
    <row r="464" spans="2:6" ht="14.5" x14ac:dyDescent="0.35">
      <c r="B464" s="257"/>
      <c r="C464" s="363"/>
      <c r="D464" s="363"/>
      <c r="E464" s="363"/>
      <c r="F464" s="363"/>
    </row>
    <row r="465" spans="2:6" ht="14.5" x14ac:dyDescent="0.35">
      <c r="B465" s="257"/>
      <c r="C465" s="363"/>
      <c r="D465" s="363"/>
      <c r="E465" s="363"/>
      <c r="F465" s="363"/>
    </row>
    <row r="466" spans="2:6" ht="14.5" x14ac:dyDescent="0.35">
      <c r="B466" s="257"/>
      <c r="C466" s="363"/>
      <c r="D466" s="363"/>
      <c r="E466" s="363"/>
      <c r="F466" s="363"/>
    </row>
    <row r="467" spans="2:6" ht="14.5" x14ac:dyDescent="0.35">
      <c r="B467" s="257"/>
      <c r="C467" s="363"/>
      <c r="D467" s="363"/>
      <c r="E467" s="363"/>
      <c r="F467" s="363"/>
    </row>
    <row r="468" spans="2:6" ht="14.5" x14ac:dyDescent="0.35">
      <c r="B468" s="257"/>
      <c r="C468" s="363"/>
      <c r="D468" s="363"/>
      <c r="E468" s="363"/>
      <c r="F468" s="363"/>
    </row>
    <row r="469" spans="2:6" ht="14.5" x14ac:dyDescent="0.35">
      <c r="B469" s="257"/>
      <c r="C469" s="363"/>
      <c r="D469" s="363"/>
      <c r="E469" s="363"/>
      <c r="F469" s="363"/>
    </row>
    <row r="470" spans="2:6" ht="14.5" x14ac:dyDescent="0.35">
      <c r="B470" s="257"/>
      <c r="C470" s="363"/>
      <c r="D470" s="363"/>
      <c r="E470" s="363"/>
      <c r="F470" s="363"/>
    </row>
    <row r="471" spans="2:6" ht="14.5" x14ac:dyDescent="0.35">
      <c r="B471" s="257"/>
      <c r="C471" s="363"/>
      <c r="D471" s="363"/>
      <c r="E471" s="363"/>
      <c r="F471" s="363"/>
    </row>
    <row r="472" spans="2:6" ht="14.5" x14ac:dyDescent="0.35">
      <c r="B472" s="257"/>
      <c r="C472" s="363"/>
      <c r="D472" s="363"/>
      <c r="E472" s="363"/>
      <c r="F472" s="363"/>
    </row>
    <row r="473" spans="2:6" ht="14.5" x14ac:dyDescent="0.35">
      <c r="B473" s="257"/>
      <c r="C473" s="363"/>
      <c r="D473" s="363"/>
      <c r="E473" s="363"/>
      <c r="F473" s="363"/>
    </row>
    <row r="474" spans="2:6" ht="14.5" x14ac:dyDescent="0.35">
      <c r="B474" s="257"/>
      <c r="C474" s="363"/>
      <c r="D474" s="363"/>
      <c r="E474" s="363"/>
      <c r="F474" s="363"/>
    </row>
    <row r="475" spans="2:6" ht="14.5" x14ac:dyDescent="0.35">
      <c r="B475" s="257"/>
      <c r="C475" s="363"/>
      <c r="D475" s="363"/>
      <c r="E475" s="363"/>
      <c r="F475" s="363"/>
    </row>
    <row r="476" spans="2:6" ht="14.5" x14ac:dyDescent="0.35">
      <c r="B476" s="257"/>
      <c r="C476" s="363"/>
      <c r="D476" s="363"/>
      <c r="E476" s="363"/>
      <c r="F476" s="363"/>
    </row>
    <row r="477" spans="2:6" ht="14.5" x14ac:dyDescent="0.35">
      <c r="B477" s="257"/>
      <c r="C477" s="363"/>
      <c r="D477" s="363"/>
      <c r="E477" s="363"/>
      <c r="F477" s="363"/>
    </row>
    <row r="478" spans="2:6" ht="14.5" x14ac:dyDescent="0.35">
      <c r="B478" s="257"/>
      <c r="C478" s="363"/>
      <c r="D478" s="363"/>
      <c r="E478" s="363"/>
      <c r="F478" s="363"/>
    </row>
    <row r="479" spans="2:6" ht="14.5" x14ac:dyDescent="0.35">
      <c r="B479" s="257"/>
      <c r="C479" s="363"/>
      <c r="D479" s="363"/>
      <c r="E479" s="363"/>
      <c r="F479" s="363"/>
    </row>
    <row r="480" spans="2:6" ht="14.5" x14ac:dyDescent="0.35">
      <c r="B480" s="257"/>
      <c r="C480" s="363"/>
      <c r="D480" s="363"/>
      <c r="E480" s="363"/>
      <c r="F480" s="363"/>
    </row>
    <row r="481" spans="2:6" ht="14.5" x14ac:dyDescent="0.35">
      <c r="B481" s="257"/>
      <c r="C481" s="363"/>
      <c r="D481" s="363"/>
      <c r="E481" s="363"/>
      <c r="F481" s="363"/>
    </row>
    <row r="482" spans="2:6" ht="14.5" x14ac:dyDescent="0.35">
      <c r="B482" s="257"/>
      <c r="C482" s="363"/>
      <c r="D482" s="363"/>
      <c r="E482" s="363"/>
      <c r="F482" s="363"/>
    </row>
    <row r="483" spans="2:6" ht="14.5" x14ac:dyDescent="0.35">
      <c r="B483" s="257"/>
      <c r="C483" s="363"/>
      <c r="D483" s="363"/>
      <c r="E483" s="363"/>
      <c r="F483" s="363"/>
    </row>
    <row r="484" spans="2:6" ht="14.5" x14ac:dyDescent="0.35">
      <c r="B484" s="257"/>
      <c r="C484" s="363"/>
      <c r="D484" s="363"/>
      <c r="E484" s="363"/>
      <c r="F484" s="363"/>
    </row>
    <row r="485" spans="2:6" ht="14.5" x14ac:dyDescent="0.35">
      <c r="B485" s="257"/>
      <c r="C485" s="363"/>
      <c r="D485" s="363"/>
      <c r="E485" s="363"/>
      <c r="F485" s="363"/>
    </row>
    <row r="486" spans="2:6" ht="14.5" x14ac:dyDescent="0.35">
      <c r="B486" s="257"/>
      <c r="C486" s="363"/>
      <c r="D486" s="363"/>
      <c r="E486" s="363"/>
      <c r="F486" s="363"/>
    </row>
    <row r="487" spans="2:6" ht="14.5" x14ac:dyDescent="0.35">
      <c r="B487" s="257"/>
      <c r="C487" s="363"/>
      <c r="D487" s="363"/>
      <c r="E487" s="363"/>
      <c r="F487" s="363"/>
    </row>
    <row r="488" spans="2:6" ht="14.5" x14ac:dyDescent="0.35">
      <c r="B488" s="257"/>
      <c r="C488" s="363"/>
      <c r="D488" s="363"/>
      <c r="E488" s="363"/>
      <c r="F488" s="363"/>
    </row>
    <row r="489" spans="2:6" ht="14.5" x14ac:dyDescent="0.35">
      <c r="B489" s="257"/>
      <c r="C489" s="363"/>
      <c r="D489" s="363"/>
      <c r="E489" s="363"/>
      <c r="F489" s="363"/>
    </row>
    <row r="490" spans="2:6" ht="14.5" x14ac:dyDescent="0.35">
      <c r="B490" s="257"/>
      <c r="C490" s="363"/>
      <c r="D490" s="363"/>
      <c r="E490" s="363"/>
      <c r="F490" s="363"/>
    </row>
    <row r="491" spans="2:6" ht="14.5" x14ac:dyDescent="0.35">
      <c r="B491" s="257"/>
      <c r="C491" s="363"/>
      <c r="D491" s="363"/>
      <c r="E491" s="363"/>
      <c r="F491" s="363"/>
    </row>
    <row r="492" spans="2:6" ht="14.5" x14ac:dyDescent="0.35">
      <c r="B492" s="257"/>
      <c r="C492" s="363"/>
      <c r="D492" s="363"/>
      <c r="E492" s="363"/>
      <c r="F492" s="363"/>
    </row>
    <row r="493" spans="2:6" ht="14.5" x14ac:dyDescent="0.35">
      <c r="B493" s="257"/>
      <c r="C493" s="363"/>
      <c r="D493" s="363"/>
      <c r="E493" s="363"/>
      <c r="F493" s="363"/>
    </row>
    <row r="494" spans="2:6" ht="14.5" x14ac:dyDescent="0.35">
      <c r="B494" s="257"/>
      <c r="C494" s="363"/>
      <c r="D494" s="363"/>
      <c r="E494" s="363"/>
      <c r="F494" s="363"/>
    </row>
    <row r="495" spans="2:6" ht="14.5" x14ac:dyDescent="0.35">
      <c r="B495" s="257"/>
      <c r="C495" s="363"/>
      <c r="D495" s="363"/>
      <c r="E495" s="363"/>
      <c r="F495" s="363"/>
    </row>
    <row r="496" spans="2:6" ht="14.5" x14ac:dyDescent="0.35">
      <c r="B496" s="257"/>
      <c r="C496" s="363"/>
      <c r="D496" s="363"/>
      <c r="E496" s="363"/>
      <c r="F496" s="363"/>
    </row>
    <row r="497" spans="2:6" ht="14.5" x14ac:dyDescent="0.35">
      <c r="B497" s="257"/>
      <c r="C497" s="363"/>
      <c r="D497" s="363"/>
      <c r="E497" s="363"/>
      <c r="F497" s="363"/>
    </row>
    <row r="498" spans="2:6" ht="14.5" x14ac:dyDescent="0.35">
      <c r="B498" s="257"/>
      <c r="C498" s="363"/>
      <c r="D498" s="363"/>
      <c r="E498" s="363"/>
      <c r="F498" s="363"/>
    </row>
    <row r="499" spans="2:6" ht="14.5" x14ac:dyDescent="0.35">
      <c r="B499" s="257"/>
      <c r="C499" s="363"/>
      <c r="D499" s="363"/>
      <c r="E499" s="363"/>
      <c r="F499" s="363"/>
    </row>
    <row r="500" spans="2:6" ht="14.5" x14ac:dyDescent="0.35">
      <c r="B500" s="257"/>
      <c r="C500" s="363"/>
      <c r="D500" s="363"/>
      <c r="E500" s="363"/>
      <c r="F500" s="363"/>
    </row>
    <row r="501" spans="2:6" ht="14.5" x14ac:dyDescent="0.35">
      <c r="B501" s="257"/>
      <c r="C501" s="363"/>
      <c r="D501" s="363"/>
      <c r="E501" s="363"/>
      <c r="F501" s="363"/>
    </row>
    <row r="502" spans="2:6" ht="14.5" x14ac:dyDescent="0.35">
      <c r="B502" s="257"/>
      <c r="C502" s="363"/>
      <c r="D502" s="363"/>
      <c r="E502" s="363"/>
      <c r="F502" s="363"/>
    </row>
    <row r="503" spans="2:6" ht="14.5" x14ac:dyDescent="0.35">
      <c r="B503" s="257"/>
      <c r="C503" s="363"/>
      <c r="D503" s="363"/>
      <c r="E503" s="363"/>
      <c r="F503" s="363"/>
    </row>
    <row r="504" spans="2:6" ht="14.5" x14ac:dyDescent="0.35">
      <c r="B504" s="257"/>
      <c r="C504" s="363"/>
      <c r="D504" s="363"/>
      <c r="E504" s="363"/>
      <c r="F504" s="363"/>
    </row>
    <row r="505" spans="2:6" ht="14.5" x14ac:dyDescent="0.35">
      <c r="B505" s="257"/>
      <c r="C505" s="363"/>
      <c r="D505" s="363"/>
      <c r="E505" s="363"/>
      <c r="F505" s="363"/>
    </row>
    <row r="506" spans="2:6" ht="14.5" x14ac:dyDescent="0.35">
      <c r="B506" s="257"/>
      <c r="C506" s="363"/>
      <c r="D506" s="363"/>
      <c r="E506" s="363"/>
      <c r="F506" s="363"/>
    </row>
    <row r="507" spans="2:6" ht="14.5" x14ac:dyDescent="0.35">
      <c r="B507" s="257"/>
      <c r="C507" s="363"/>
      <c r="D507" s="363"/>
      <c r="E507" s="363"/>
      <c r="F507" s="363"/>
    </row>
    <row r="508" spans="2:6" ht="14.5" x14ac:dyDescent="0.35">
      <c r="B508" s="257"/>
      <c r="C508" s="363"/>
      <c r="D508" s="363"/>
      <c r="E508" s="363"/>
      <c r="F508" s="363"/>
    </row>
    <row r="509" spans="2:6" ht="14.5" x14ac:dyDescent="0.35">
      <c r="B509" s="257"/>
      <c r="C509" s="363"/>
      <c r="D509" s="363"/>
      <c r="E509" s="363"/>
      <c r="F509" s="363"/>
    </row>
    <row r="510" spans="2:6" ht="14.5" x14ac:dyDescent="0.35">
      <c r="B510" s="257"/>
      <c r="C510" s="363"/>
      <c r="D510" s="363"/>
      <c r="E510" s="363"/>
      <c r="F510" s="363"/>
    </row>
    <row r="511" spans="2:6" ht="14.5" x14ac:dyDescent="0.35">
      <c r="B511" s="257"/>
      <c r="C511" s="363"/>
      <c r="D511" s="363"/>
      <c r="E511" s="363"/>
      <c r="F511" s="363"/>
    </row>
    <row r="512" spans="2:6" ht="14.5" x14ac:dyDescent="0.35">
      <c r="B512" s="257"/>
      <c r="C512" s="363"/>
      <c r="D512" s="363"/>
      <c r="E512" s="363"/>
      <c r="F512" s="363"/>
    </row>
    <row r="513" spans="2:6" ht="14.5" x14ac:dyDescent="0.35">
      <c r="B513" s="257"/>
      <c r="C513" s="363"/>
      <c r="D513" s="363"/>
      <c r="E513" s="363"/>
      <c r="F513" s="363"/>
    </row>
    <row r="514" spans="2:6" ht="14.5" x14ac:dyDescent="0.35">
      <c r="B514" s="257"/>
      <c r="C514" s="363"/>
      <c r="D514" s="363"/>
      <c r="E514" s="363"/>
      <c r="F514" s="363"/>
    </row>
    <row r="515" spans="2:6" ht="14.5" x14ac:dyDescent="0.35">
      <c r="B515" s="257"/>
      <c r="C515" s="363"/>
      <c r="D515" s="363"/>
      <c r="E515" s="363"/>
      <c r="F515" s="363"/>
    </row>
    <row r="516" spans="2:6" ht="14.5" x14ac:dyDescent="0.35">
      <c r="B516" s="257"/>
      <c r="C516" s="363"/>
      <c r="D516" s="363"/>
      <c r="E516" s="363"/>
      <c r="F516" s="363"/>
    </row>
    <row r="517" spans="2:6" ht="14.5" x14ac:dyDescent="0.35">
      <c r="B517" s="257"/>
      <c r="C517" s="363"/>
      <c r="D517" s="363"/>
      <c r="E517" s="363"/>
      <c r="F517" s="363"/>
    </row>
    <row r="518" spans="2:6" ht="14.5" x14ac:dyDescent="0.35">
      <c r="B518" s="257"/>
      <c r="C518" s="363"/>
      <c r="D518" s="363"/>
      <c r="E518" s="363"/>
      <c r="F518" s="363"/>
    </row>
    <row r="519" spans="2:6" ht="14.5" x14ac:dyDescent="0.35">
      <c r="B519" s="257"/>
      <c r="C519" s="363"/>
      <c r="D519" s="363"/>
      <c r="E519" s="363"/>
      <c r="F519" s="363"/>
    </row>
    <row r="520" spans="2:6" ht="14.5" x14ac:dyDescent="0.35">
      <c r="B520" s="257"/>
      <c r="C520" s="363"/>
      <c r="D520" s="363"/>
      <c r="E520" s="363"/>
      <c r="F520" s="363"/>
    </row>
    <row r="521" spans="2:6" ht="14.5" x14ac:dyDescent="0.35">
      <c r="B521" s="257"/>
      <c r="C521" s="363"/>
      <c r="D521" s="363"/>
      <c r="E521" s="363"/>
      <c r="F521" s="363"/>
    </row>
    <row r="522" spans="2:6" ht="14.5" x14ac:dyDescent="0.35">
      <c r="B522" s="257"/>
      <c r="C522" s="363"/>
      <c r="D522" s="363"/>
      <c r="E522" s="363"/>
      <c r="F522" s="363"/>
    </row>
    <row r="523" spans="2:6" ht="14.5" x14ac:dyDescent="0.35">
      <c r="B523" s="257"/>
      <c r="C523" s="363"/>
      <c r="D523" s="363"/>
      <c r="E523" s="363"/>
      <c r="F523" s="363"/>
    </row>
    <row r="524" spans="2:6" ht="14.5" x14ac:dyDescent="0.35">
      <c r="B524" s="257"/>
      <c r="C524" s="363"/>
      <c r="D524" s="363"/>
      <c r="E524" s="363"/>
      <c r="F524" s="363"/>
    </row>
    <row r="525" spans="2:6" ht="14.5" x14ac:dyDescent="0.35">
      <c r="B525" s="257"/>
      <c r="C525" s="363"/>
      <c r="D525" s="363"/>
      <c r="E525" s="363"/>
      <c r="F525" s="363"/>
    </row>
    <row r="526" spans="2:6" ht="14.5" x14ac:dyDescent="0.35">
      <c r="B526" s="257"/>
      <c r="C526" s="363"/>
      <c r="D526" s="363"/>
      <c r="E526" s="363"/>
      <c r="F526" s="363"/>
    </row>
    <row r="527" spans="2:6" ht="14.5" x14ac:dyDescent="0.35">
      <c r="B527" s="257"/>
      <c r="C527" s="363"/>
      <c r="D527" s="363"/>
      <c r="E527" s="363"/>
      <c r="F527" s="363"/>
    </row>
    <row r="528" spans="2:6" ht="14.5" x14ac:dyDescent="0.35">
      <c r="B528" s="257"/>
      <c r="C528" s="363"/>
      <c r="D528" s="363"/>
      <c r="E528" s="363"/>
      <c r="F528" s="363"/>
    </row>
    <row r="529" spans="2:6" ht="14.5" x14ac:dyDescent="0.35">
      <c r="B529" s="257"/>
      <c r="C529" s="363"/>
      <c r="D529" s="363"/>
      <c r="E529" s="363"/>
      <c r="F529" s="363"/>
    </row>
    <row r="530" spans="2:6" ht="14.5" x14ac:dyDescent="0.35">
      <c r="B530" s="257"/>
      <c r="C530" s="363"/>
      <c r="D530" s="363"/>
      <c r="E530" s="363"/>
      <c r="F530" s="363"/>
    </row>
    <row r="531" spans="2:6" ht="14.5" x14ac:dyDescent="0.35">
      <c r="B531" s="257"/>
      <c r="C531" s="363"/>
      <c r="D531" s="363"/>
      <c r="E531" s="363"/>
      <c r="F531" s="363"/>
    </row>
    <row r="532" spans="2:6" ht="14.5" x14ac:dyDescent="0.35">
      <c r="B532" s="257"/>
      <c r="C532" s="363"/>
      <c r="D532" s="363"/>
      <c r="E532" s="363"/>
      <c r="F532" s="363"/>
    </row>
    <row r="533" spans="2:6" ht="14.5" x14ac:dyDescent="0.35">
      <c r="B533" s="257"/>
      <c r="C533" s="363"/>
      <c r="D533" s="363"/>
      <c r="E533" s="363"/>
      <c r="F533" s="363"/>
    </row>
    <row r="534" spans="2:6" ht="14.5" x14ac:dyDescent="0.35">
      <c r="B534" s="257"/>
      <c r="C534" s="363"/>
      <c r="D534" s="363"/>
      <c r="E534" s="363"/>
      <c r="F534" s="363"/>
    </row>
    <row r="535" spans="2:6" ht="14.5" x14ac:dyDescent="0.35">
      <c r="B535" s="257"/>
      <c r="C535" s="363"/>
      <c r="D535" s="363"/>
      <c r="E535" s="363"/>
      <c r="F535" s="363"/>
    </row>
    <row r="536" spans="2:6" ht="14.5" x14ac:dyDescent="0.35">
      <c r="B536" s="257"/>
      <c r="C536" s="363"/>
      <c r="D536" s="363"/>
      <c r="E536" s="363"/>
      <c r="F536" s="363"/>
    </row>
    <row r="537" spans="2:6" ht="14.5" x14ac:dyDescent="0.35">
      <c r="B537" s="257"/>
      <c r="C537" s="363"/>
      <c r="D537" s="363"/>
      <c r="E537" s="363"/>
      <c r="F537" s="363"/>
    </row>
    <row r="538" spans="2:6" ht="14.5" x14ac:dyDescent="0.35">
      <c r="B538" s="257"/>
      <c r="C538" s="363"/>
      <c r="D538" s="363"/>
      <c r="E538" s="363"/>
      <c r="F538" s="363"/>
    </row>
    <row r="539" spans="2:6" ht="14.5" x14ac:dyDescent="0.35">
      <c r="B539" s="257"/>
      <c r="C539" s="363"/>
      <c r="D539" s="363"/>
      <c r="E539" s="363"/>
      <c r="F539" s="363"/>
    </row>
    <row r="540" spans="2:6" ht="14.5" x14ac:dyDescent="0.35">
      <c r="B540" s="257"/>
      <c r="C540" s="363"/>
      <c r="D540" s="363"/>
      <c r="E540" s="363"/>
      <c r="F540" s="363"/>
    </row>
    <row r="541" spans="2:6" ht="14.5" x14ac:dyDescent="0.35">
      <c r="B541" s="257"/>
      <c r="C541" s="363"/>
      <c r="D541" s="363"/>
      <c r="E541" s="363"/>
      <c r="F541" s="363"/>
    </row>
    <row r="542" spans="2:6" ht="14.5" x14ac:dyDescent="0.35">
      <c r="B542" s="257"/>
      <c r="C542" s="363"/>
      <c r="D542" s="363"/>
      <c r="E542" s="363"/>
      <c r="F542" s="363"/>
    </row>
    <row r="543" spans="2:6" ht="14.5" x14ac:dyDescent="0.35">
      <c r="B543" s="257"/>
      <c r="C543" s="363"/>
      <c r="D543" s="363"/>
      <c r="E543" s="363"/>
      <c r="F543" s="363"/>
    </row>
    <row r="544" spans="2:6" ht="14.5" x14ac:dyDescent="0.35">
      <c r="B544" s="257"/>
      <c r="C544" s="363"/>
      <c r="D544" s="363"/>
      <c r="E544" s="363"/>
      <c r="F544" s="363"/>
    </row>
    <row r="545" spans="2:6" ht="14.5" x14ac:dyDescent="0.35">
      <c r="B545" s="257"/>
      <c r="C545" s="363"/>
      <c r="D545" s="363"/>
      <c r="E545" s="363"/>
      <c r="F545" s="363"/>
    </row>
    <row r="546" spans="2:6" ht="14.5" x14ac:dyDescent="0.35">
      <c r="B546" s="257"/>
      <c r="C546" s="363"/>
      <c r="D546" s="363"/>
      <c r="E546" s="363"/>
      <c r="F546" s="363"/>
    </row>
    <row r="547" spans="2:6" ht="14.5" x14ac:dyDescent="0.35">
      <c r="B547" s="257"/>
      <c r="C547" s="363"/>
      <c r="D547" s="363"/>
      <c r="E547" s="363"/>
      <c r="F547" s="363"/>
    </row>
    <row r="548" spans="2:6" ht="14.5" x14ac:dyDescent="0.35">
      <c r="B548" s="257"/>
      <c r="C548" s="363"/>
      <c r="D548" s="363"/>
      <c r="E548" s="363"/>
      <c r="F548" s="363"/>
    </row>
    <row r="549" spans="2:6" ht="14.5" x14ac:dyDescent="0.35">
      <c r="B549" s="257"/>
      <c r="C549" s="363"/>
      <c r="D549" s="363"/>
      <c r="E549" s="363"/>
      <c r="F549" s="363"/>
    </row>
    <row r="550" spans="2:6" ht="14.5" x14ac:dyDescent="0.35">
      <c r="B550" s="257"/>
      <c r="C550" s="363"/>
      <c r="D550" s="363"/>
      <c r="E550" s="363"/>
      <c r="F550" s="363"/>
    </row>
    <row r="551" spans="2:6" ht="14.5" x14ac:dyDescent="0.35">
      <c r="B551" s="257"/>
      <c r="C551" s="363"/>
      <c r="D551" s="363"/>
      <c r="E551" s="363"/>
      <c r="F551" s="363"/>
    </row>
    <row r="552" spans="2:6" ht="14.5" x14ac:dyDescent="0.35">
      <c r="B552" s="257"/>
      <c r="C552" s="363"/>
      <c r="D552" s="363"/>
      <c r="E552" s="363"/>
      <c r="F552" s="363"/>
    </row>
    <row r="553" spans="2:6" ht="14.5" x14ac:dyDescent="0.35">
      <c r="B553" s="257"/>
      <c r="C553" s="363"/>
      <c r="D553" s="363"/>
      <c r="E553" s="363"/>
      <c r="F553" s="363"/>
    </row>
    <row r="554" spans="2:6" ht="14.5" x14ac:dyDescent="0.35">
      <c r="B554" s="257"/>
      <c r="C554" s="363"/>
      <c r="D554" s="363"/>
      <c r="E554" s="363"/>
      <c r="F554" s="363"/>
    </row>
    <row r="555" spans="2:6" ht="14.5" x14ac:dyDescent="0.35">
      <c r="B555" s="257"/>
      <c r="C555" s="363"/>
      <c r="D555" s="363"/>
      <c r="E555" s="363"/>
      <c r="F555" s="363"/>
    </row>
    <row r="556" spans="2:6" ht="14.5" x14ac:dyDescent="0.35">
      <c r="B556" s="257"/>
      <c r="C556" s="363"/>
      <c r="D556" s="363"/>
      <c r="E556" s="363"/>
      <c r="F556" s="363"/>
    </row>
    <row r="557" spans="2:6" ht="14.5" x14ac:dyDescent="0.35">
      <c r="B557" s="257"/>
      <c r="C557" s="363"/>
      <c r="D557" s="363"/>
      <c r="E557" s="363"/>
      <c r="F557" s="363"/>
    </row>
    <row r="558" spans="2:6" ht="14.5" x14ac:dyDescent="0.35">
      <c r="B558" s="257"/>
      <c r="C558" s="363"/>
      <c r="D558" s="363"/>
      <c r="E558" s="363"/>
      <c r="F558" s="363"/>
    </row>
    <row r="559" spans="2:6" ht="14.5" x14ac:dyDescent="0.35">
      <c r="B559" s="257"/>
      <c r="C559" s="363"/>
      <c r="D559" s="363"/>
      <c r="E559" s="363"/>
      <c r="F559" s="363"/>
    </row>
    <row r="560" spans="2:6" ht="14.5" x14ac:dyDescent="0.35">
      <c r="B560" s="257"/>
      <c r="C560" s="363"/>
      <c r="D560" s="363"/>
      <c r="E560" s="363"/>
      <c r="F560" s="363"/>
    </row>
    <row r="561" spans="2:6" ht="14.5" x14ac:dyDescent="0.35">
      <c r="B561" s="257"/>
      <c r="C561" s="363"/>
      <c r="D561" s="363"/>
      <c r="E561" s="363"/>
      <c r="F561" s="363"/>
    </row>
    <row r="562" spans="2:6" ht="14.5" x14ac:dyDescent="0.35">
      <c r="B562" s="257"/>
      <c r="C562" s="363"/>
      <c r="D562" s="363"/>
      <c r="E562" s="363"/>
      <c r="F562" s="363"/>
    </row>
    <row r="563" spans="2:6" ht="14.5" x14ac:dyDescent="0.35">
      <c r="B563" s="257"/>
      <c r="C563" s="363"/>
      <c r="D563" s="363"/>
      <c r="E563" s="363"/>
      <c r="F563" s="363"/>
    </row>
    <row r="564" spans="2:6" ht="14.5" x14ac:dyDescent="0.35">
      <c r="B564" s="257"/>
      <c r="C564" s="363"/>
      <c r="D564" s="363"/>
      <c r="E564" s="363"/>
      <c r="F564" s="363"/>
    </row>
    <row r="565" spans="2:6" ht="14.5" x14ac:dyDescent="0.35">
      <c r="B565" s="257"/>
      <c r="C565" s="363"/>
      <c r="D565" s="363"/>
      <c r="E565" s="363"/>
      <c r="F565" s="363"/>
    </row>
    <row r="566" spans="2:6" ht="14.5" x14ac:dyDescent="0.35">
      <c r="B566" s="257"/>
      <c r="C566" s="363"/>
      <c r="D566" s="363"/>
      <c r="E566" s="363"/>
      <c r="F566" s="363"/>
    </row>
    <row r="567" spans="2:6" ht="14.5" x14ac:dyDescent="0.35">
      <c r="B567" s="257"/>
      <c r="C567" s="363"/>
      <c r="D567" s="363"/>
      <c r="E567" s="363"/>
      <c r="F567" s="363"/>
    </row>
    <row r="568" spans="2:6" ht="14.5" x14ac:dyDescent="0.35">
      <c r="B568" s="257"/>
      <c r="C568" s="363"/>
      <c r="D568" s="363"/>
      <c r="E568" s="363"/>
      <c r="F568" s="363"/>
    </row>
    <row r="569" spans="2:6" ht="14.5" x14ac:dyDescent="0.35">
      <c r="B569" s="257"/>
      <c r="C569" s="363"/>
      <c r="D569" s="363"/>
      <c r="E569" s="363"/>
      <c r="F569" s="363"/>
    </row>
    <row r="570" spans="2:6" ht="14.5" x14ac:dyDescent="0.35">
      <c r="B570" s="257"/>
      <c r="C570" s="363"/>
      <c r="D570" s="363"/>
      <c r="E570" s="363"/>
      <c r="F570" s="363"/>
    </row>
    <row r="571" spans="2:6" ht="14.5" x14ac:dyDescent="0.35">
      <c r="B571" s="257"/>
      <c r="C571" s="363"/>
      <c r="D571" s="363"/>
      <c r="E571" s="363"/>
      <c r="F571" s="363"/>
    </row>
    <row r="572" spans="2:6" ht="14.5" x14ac:dyDescent="0.35">
      <c r="B572" s="257"/>
      <c r="C572" s="363"/>
      <c r="D572" s="363"/>
      <c r="E572" s="363"/>
      <c r="F572" s="363"/>
    </row>
    <row r="573" spans="2:6" ht="14.5" x14ac:dyDescent="0.35">
      <c r="B573" s="257"/>
      <c r="C573" s="363"/>
      <c r="D573" s="363"/>
      <c r="E573" s="363"/>
      <c r="F573" s="363"/>
    </row>
    <row r="574" spans="2:6" ht="14.5" x14ac:dyDescent="0.35">
      <c r="B574" s="257"/>
      <c r="C574" s="363"/>
      <c r="D574" s="363"/>
      <c r="E574" s="363"/>
      <c r="F574" s="363"/>
    </row>
    <row r="575" spans="2:6" ht="14.5" x14ac:dyDescent="0.35">
      <c r="B575" s="257"/>
      <c r="C575" s="363"/>
      <c r="D575" s="363"/>
      <c r="E575" s="363"/>
      <c r="F575" s="363"/>
    </row>
    <row r="576" spans="2:6" ht="14.5" x14ac:dyDescent="0.35">
      <c r="B576" s="257"/>
      <c r="C576" s="363"/>
      <c r="D576" s="363"/>
      <c r="E576" s="363"/>
      <c r="F576" s="363"/>
    </row>
    <row r="577" spans="2:6" ht="14.5" x14ac:dyDescent="0.35">
      <c r="B577" s="257"/>
      <c r="C577" s="363"/>
      <c r="D577" s="363"/>
      <c r="E577" s="363"/>
      <c r="F577" s="363"/>
    </row>
    <row r="578" spans="2:6" ht="14.5" x14ac:dyDescent="0.35">
      <c r="B578" s="257"/>
      <c r="C578" s="363"/>
      <c r="D578" s="363"/>
      <c r="E578" s="363"/>
      <c r="F578" s="363"/>
    </row>
    <row r="579" spans="2:6" ht="14.5" x14ac:dyDescent="0.35">
      <c r="B579" s="257"/>
      <c r="C579" s="363"/>
      <c r="D579" s="363"/>
      <c r="E579" s="363"/>
      <c r="F579" s="363"/>
    </row>
    <row r="580" spans="2:6" ht="14.5" x14ac:dyDescent="0.35">
      <c r="B580" s="257"/>
      <c r="C580" s="363"/>
      <c r="D580" s="363"/>
      <c r="E580" s="363"/>
      <c r="F580" s="363"/>
    </row>
    <row r="581" spans="2:6" ht="14.5" x14ac:dyDescent="0.35">
      <c r="B581" s="257"/>
      <c r="C581" s="363"/>
      <c r="D581" s="363"/>
      <c r="E581" s="363"/>
      <c r="F581" s="363"/>
    </row>
    <row r="582" spans="2:6" ht="14.5" x14ac:dyDescent="0.35">
      <c r="B582" s="257"/>
      <c r="C582" s="363"/>
      <c r="D582" s="363"/>
      <c r="E582" s="363"/>
      <c r="F582" s="363"/>
    </row>
    <row r="583" spans="2:6" ht="14.5" x14ac:dyDescent="0.35">
      <c r="B583" s="257"/>
      <c r="C583" s="363"/>
      <c r="D583" s="363"/>
      <c r="E583" s="363"/>
      <c r="F583" s="363"/>
    </row>
    <row r="584" spans="2:6" ht="14.5" x14ac:dyDescent="0.35">
      <c r="B584" s="257"/>
      <c r="C584" s="363"/>
      <c r="D584" s="363"/>
      <c r="E584" s="363"/>
      <c r="F584" s="363"/>
    </row>
    <row r="585" spans="2:6" ht="14.5" x14ac:dyDescent="0.35">
      <c r="B585" s="257"/>
      <c r="C585" s="363"/>
      <c r="D585" s="363"/>
      <c r="E585" s="363"/>
      <c r="F585" s="363"/>
    </row>
    <row r="586" spans="2:6" ht="14.5" x14ac:dyDescent="0.35">
      <c r="B586" s="257"/>
      <c r="C586" s="363"/>
      <c r="D586" s="363"/>
      <c r="E586" s="363"/>
      <c r="F586" s="363"/>
    </row>
    <row r="587" spans="2:6" ht="14.5" x14ac:dyDescent="0.35">
      <c r="B587" s="257"/>
      <c r="C587" s="363"/>
      <c r="D587" s="363"/>
      <c r="E587" s="363"/>
      <c r="F587" s="363"/>
    </row>
    <row r="588" spans="2:6" ht="14.5" x14ac:dyDescent="0.35">
      <c r="B588" s="257"/>
      <c r="C588" s="363"/>
      <c r="D588" s="363"/>
      <c r="E588" s="363"/>
      <c r="F588" s="363"/>
    </row>
    <row r="589" spans="2:6" ht="14.5" x14ac:dyDescent="0.35">
      <c r="B589" s="257"/>
      <c r="C589" s="363"/>
      <c r="D589" s="363"/>
      <c r="E589" s="363"/>
      <c r="F589" s="363"/>
    </row>
    <row r="590" spans="2:6" ht="14.5" x14ac:dyDescent="0.35">
      <c r="B590" s="257"/>
      <c r="C590" s="363"/>
      <c r="D590" s="363"/>
      <c r="E590" s="363"/>
      <c r="F590" s="363"/>
    </row>
    <row r="591" spans="2:6" ht="14.5" x14ac:dyDescent="0.35">
      <c r="B591" s="257"/>
      <c r="C591" s="363"/>
      <c r="D591" s="363"/>
      <c r="E591" s="363"/>
      <c r="F591" s="363"/>
    </row>
    <row r="592" spans="2:6" ht="14.5" x14ac:dyDescent="0.35">
      <c r="B592" s="257"/>
      <c r="C592" s="363"/>
      <c r="D592" s="363"/>
      <c r="E592" s="363"/>
      <c r="F592" s="363"/>
    </row>
    <row r="593" spans="2:6" ht="14.5" x14ac:dyDescent="0.35">
      <c r="B593" s="257"/>
      <c r="C593" s="363"/>
      <c r="D593" s="363"/>
      <c r="E593" s="363"/>
      <c r="F593" s="363"/>
    </row>
    <row r="594" spans="2:6" ht="14.5" x14ac:dyDescent="0.35">
      <c r="B594" s="257"/>
      <c r="C594" s="363"/>
      <c r="D594" s="363"/>
      <c r="E594" s="363"/>
      <c r="F594" s="363"/>
    </row>
    <row r="595" spans="2:6" ht="14.5" x14ac:dyDescent="0.35">
      <c r="B595" s="257"/>
      <c r="C595" s="363"/>
      <c r="D595" s="363"/>
      <c r="E595" s="363"/>
      <c r="F595" s="363"/>
    </row>
    <row r="596" spans="2:6" ht="14.5" x14ac:dyDescent="0.35">
      <c r="B596" s="257"/>
      <c r="C596" s="363"/>
      <c r="D596" s="363"/>
      <c r="E596" s="363"/>
      <c r="F596" s="363"/>
    </row>
    <row r="597" spans="2:6" ht="14.5" x14ac:dyDescent="0.35">
      <c r="B597" s="257"/>
      <c r="C597" s="363"/>
      <c r="D597" s="363"/>
      <c r="E597" s="363"/>
      <c r="F597" s="363"/>
    </row>
    <row r="598" spans="2:6" ht="14.5" x14ac:dyDescent="0.35">
      <c r="B598" s="257"/>
      <c r="C598" s="363"/>
      <c r="D598" s="363"/>
      <c r="E598" s="363"/>
      <c r="F598" s="363"/>
    </row>
    <row r="599" spans="2:6" ht="14.5" x14ac:dyDescent="0.35">
      <c r="B599" s="257"/>
      <c r="C599" s="363"/>
      <c r="D599" s="363"/>
      <c r="E599" s="363"/>
      <c r="F599" s="363"/>
    </row>
    <row r="600" spans="2:6" ht="14.5" x14ac:dyDescent="0.35">
      <c r="B600" s="257"/>
      <c r="C600" s="363"/>
      <c r="D600" s="363"/>
      <c r="E600" s="363"/>
      <c r="F600" s="363"/>
    </row>
    <row r="601" spans="2:6" ht="14.5" x14ac:dyDescent="0.35">
      <c r="B601" s="257"/>
      <c r="C601" s="363"/>
      <c r="D601" s="363"/>
      <c r="E601" s="363"/>
      <c r="F601" s="363"/>
    </row>
    <row r="602" spans="2:6" ht="14.5" x14ac:dyDescent="0.35">
      <c r="B602" s="257"/>
      <c r="C602" s="363"/>
      <c r="D602" s="363"/>
      <c r="E602" s="363"/>
      <c r="F602" s="363"/>
    </row>
    <row r="603" spans="2:6" ht="14.5" x14ac:dyDescent="0.35">
      <c r="B603" s="257"/>
      <c r="C603" s="363"/>
      <c r="D603" s="363"/>
      <c r="E603" s="363"/>
      <c r="F603" s="363"/>
    </row>
    <row r="604" spans="2:6" ht="14.5" x14ac:dyDescent="0.35">
      <c r="B604" s="257"/>
      <c r="C604" s="363"/>
      <c r="D604" s="363"/>
      <c r="E604" s="363"/>
      <c r="F604" s="363"/>
    </row>
    <row r="605" spans="2:6" ht="14.5" x14ac:dyDescent="0.35">
      <c r="B605" s="257"/>
      <c r="C605" s="363"/>
      <c r="D605" s="363"/>
      <c r="E605" s="363"/>
      <c r="F605" s="363"/>
    </row>
    <row r="606" spans="2:6" ht="14.5" x14ac:dyDescent="0.35">
      <c r="B606" s="257"/>
      <c r="C606" s="363"/>
      <c r="D606" s="363"/>
      <c r="E606" s="363"/>
      <c r="F606" s="363"/>
    </row>
    <row r="607" spans="2:6" ht="14.5" x14ac:dyDescent="0.35">
      <c r="B607" s="257"/>
      <c r="C607" s="363"/>
      <c r="D607" s="363"/>
      <c r="E607" s="363"/>
      <c r="F607" s="363"/>
    </row>
    <row r="608" spans="2:6" ht="14.5" x14ac:dyDescent="0.35">
      <c r="B608" s="257"/>
      <c r="C608" s="363"/>
      <c r="D608" s="363"/>
      <c r="E608" s="363"/>
      <c r="F608" s="363"/>
    </row>
    <row r="609" spans="2:6" ht="14.5" x14ac:dyDescent="0.35">
      <c r="B609" s="257"/>
      <c r="C609" s="363"/>
      <c r="D609" s="363"/>
      <c r="E609" s="363"/>
      <c r="F609" s="363"/>
    </row>
    <row r="610" spans="2:6" ht="14.5" x14ac:dyDescent="0.35">
      <c r="B610" s="257"/>
      <c r="C610" s="363"/>
      <c r="D610" s="363"/>
      <c r="E610" s="363"/>
      <c r="F610" s="363"/>
    </row>
    <row r="611" spans="2:6" ht="14.5" x14ac:dyDescent="0.35">
      <c r="B611" s="257"/>
      <c r="C611" s="363"/>
      <c r="D611" s="363"/>
      <c r="E611" s="363"/>
      <c r="F611" s="363"/>
    </row>
    <row r="612" spans="2:6" ht="14.5" x14ac:dyDescent="0.35">
      <c r="B612" s="257"/>
      <c r="C612" s="363"/>
      <c r="D612" s="363"/>
      <c r="E612" s="363"/>
      <c r="F612" s="363"/>
    </row>
    <row r="613" spans="2:6" ht="14.5" x14ac:dyDescent="0.35">
      <c r="B613" s="257"/>
      <c r="C613" s="363"/>
      <c r="D613" s="363"/>
      <c r="E613" s="363"/>
      <c r="F613" s="363"/>
    </row>
    <row r="614" spans="2:6" ht="14.5" x14ac:dyDescent="0.35">
      <c r="B614" s="257"/>
      <c r="C614" s="363"/>
      <c r="D614" s="363"/>
      <c r="E614" s="363"/>
      <c r="F614" s="363"/>
    </row>
    <row r="615" spans="2:6" ht="14.5" x14ac:dyDescent="0.35">
      <c r="B615" s="257"/>
      <c r="C615" s="363"/>
      <c r="D615" s="363"/>
      <c r="E615" s="363"/>
      <c r="F615" s="363"/>
    </row>
    <row r="616" spans="2:6" ht="14.5" x14ac:dyDescent="0.35">
      <c r="B616" s="257"/>
      <c r="C616" s="363"/>
      <c r="D616" s="363"/>
      <c r="E616" s="363"/>
      <c r="F616" s="363"/>
    </row>
    <row r="617" spans="2:6" ht="14.5" x14ac:dyDescent="0.35">
      <c r="B617" s="257"/>
      <c r="C617" s="363"/>
      <c r="D617" s="363"/>
      <c r="E617" s="363"/>
      <c r="F617" s="363"/>
    </row>
    <row r="618" spans="2:6" ht="14.5" x14ac:dyDescent="0.35">
      <c r="B618" s="257"/>
      <c r="C618" s="363"/>
      <c r="D618" s="363"/>
      <c r="E618" s="363"/>
      <c r="F618" s="363"/>
    </row>
    <row r="619" spans="2:6" ht="14.5" x14ac:dyDescent="0.35">
      <c r="B619" s="257"/>
      <c r="C619" s="363"/>
      <c r="D619" s="363"/>
      <c r="E619" s="363"/>
      <c r="F619" s="363"/>
    </row>
    <row r="620" spans="2:6" ht="14.5" x14ac:dyDescent="0.35">
      <c r="B620" s="257"/>
      <c r="C620" s="363"/>
      <c r="D620" s="363"/>
      <c r="E620" s="363"/>
      <c r="F620" s="363"/>
    </row>
    <row r="621" spans="2:6" ht="14.5" x14ac:dyDescent="0.35">
      <c r="B621" s="257"/>
      <c r="C621" s="363"/>
      <c r="D621" s="363"/>
      <c r="E621" s="363"/>
      <c r="F621" s="363"/>
    </row>
    <row r="622" spans="2:6" ht="14.5" x14ac:dyDescent="0.35">
      <c r="B622" s="257"/>
      <c r="C622" s="363"/>
      <c r="D622" s="363"/>
      <c r="E622" s="363"/>
      <c r="F622" s="363"/>
    </row>
    <row r="623" spans="2:6" ht="14.5" x14ac:dyDescent="0.35">
      <c r="B623" s="257"/>
      <c r="C623" s="363"/>
      <c r="D623" s="363"/>
      <c r="E623" s="363"/>
      <c r="F623" s="363"/>
    </row>
    <row r="624" spans="2:6" ht="14.5" x14ac:dyDescent="0.35">
      <c r="B624" s="257"/>
      <c r="C624" s="363"/>
      <c r="D624" s="363"/>
      <c r="E624" s="363"/>
      <c r="F624" s="363"/>
    </row>
    <row r="625" spans="2:6" ht="14.5" x14ac:dyDescent="0.35">
      <c r="B625" s="257"/>
      <c r="C625" s="363"/>
      <c r="D625" s="363"/>
      <c r="E625" s="363"/>
      <c r="F625" s="363"/>
    </row>
    <row r="626" spans="2:6" ht="14.5" x14ac:dyDescent="0.35">
      <c r="B626" s="257"/>
      <c r="C626" s="363"/>
      <c r="D626" s="363"/>
      <c r="E626" s="363"/>
      <c r="F626" s="363"/>
    </row>
    <row r="627" spans="2:6" ht="14.5" x14ac:dyDescent="0.35">
      <c r="B627" s="257"/>
      <c r="C627" s="363"/>
      <c r="D627" s="363"/>
      <c r="E627" s="363"/>
      <c r="F627" s="363"/>
    </row>
    <row r="628" spans="2:6" ht="14.5" x14ac:dyDescent="0.35">
      <c r="B628" s="257"/>
      <c r="C628" s="363"/>
      <c r="D628" s="363"/>
      <c r="E628" s="363"/>
      <c r="F628" s="363"/>
    </row>
    <row r="629" spans="2:6" ht="14.5" x14ac:dyDescent="0.35">
      <c r="B629" s="257"/>
      <c r="C629" s="363"/>
      <c r="D629" s="363"/>
      <c r="E629" s="363"/>
      <c r="F629" s="363"/>
    </row>
    <row r="630" spans="2:6" ht="14.5" x14ac:dyDescent="0.35">
      <c r="B630" s="257"/>
      <c r="C630" s="363"/>
      <c r="D630" s="363"/>
      <c r="E630" s="363"/>
      <c r="F630" s="363"/>
    </row>
    <row r="631" spans="2:6" ht="14.5" x14ac:dyDescent="0.35">
      <c r="B631" s="257"/>
      <c r="C631" s="363"/>
      <c r="D631" s="363"/>
      <c r="E631" s="363"/>
      <c r="F631" s="363"/>
    </row>
    <row r="632" spans="2:6" ht="14.5" x14ac:dyDescent="0.35">
      <c r="B632" s="257"/>
      <c r="C632" s="363"/>
      <c r="D632" s="363"/>
      <c r="E632" s="363"/>
      <c r="F632" s="363"/>
    </row>
    <row r="633" spans="2:6" ht="14.5" x14ac:dyDescent="0.35">
      <c r="B633" s="257"/>
      <c r="C633" s="363"/>
      <c r="D633" s="363"/>
      <c r="E633" s="363"/>
      <c r="F633" s="363"/>
    </row>
    <row r="634" spans="2:6" ht="14.5" x14ac:dyDescent="0.35">
      <c r="B634" s="257"/>
      <c r="C634" s="363"/>
      <c r="D634" s="363"/>
      <c r="E634" s="363"/>
      <c r="F634" s="363"/>
    </row>
    <row r="635" spans="2:6" ht="14.5" x14ac:dyDescent="0.35">
      <c r="B635" s="257"/>
      <c r="C635" s="363"/>
      <c r="D635" s="363"/>
      <c r="E635" s="363"/>
      <c r="F635" s="363"/>
    </row>
    <row r="636" spans="2:6" ht="14.5" x14ac:dyDescent="0.35">
      <c r="B636" s="257"/>
      <c r="C636" s="363"/>
      <c r="D636" s="363"/>
      <c r="E636" s="363"/>
      <c r="F636" s="363"/>
    </row>
    <row r="637" spans="2:6" ht="14.5" x14ac:dyDescent="0.35">
      <c r="B637" s="257"/>
      <c r="C637" s="363"/>
      <c r="D637" s="363"/>
      <c r="E637" s="363"/>
      <c r="F637" s="363"/>
    </row>
    <row r="638" spans="2:6" ht="14.5" x14ac:dyDescent="0.35">
      <c r="B638" s="257"/>
      <c r="C638" s="363"/>
      <c r="D638" s="363"/>
      <c r="E638" s="363"/>
      <c r="F638" s="363"/>
    </row>
    <row r="639" spans="2:6" ht="14.5" x14ac:dyDescent="0.35">
      <c r="B639" s="257"/>
      <c r="C639" s="363"/>
      <c r="D639" s="363"/>
      <c r="E639" s="363"/>
      <c r="F639" s="363"/>
    </row>
    <row r="640" spans="2:6" ht="14.5" x14ac:dyDescent="0.35">
      <c r="B640" s="257"/>
      <c r="C640" s="363"/>
      <c r="D640" s="363"/>
      <c r="E640" s="363"/>
      <c r="F640" s="363"/>
    </row>
    <row r="641" spans="2:6" ht="14.5" x14ac:dyDescent="0.35">
      <c r="B641" s="257"/>
      <c r="C641" s="363"/>
      <c r="D641" s="363"/>
      <c r="E641" s="363"/>
      <c r="F641" s="363"/>
    </row>
    <row r="642" spans="2:6" ht="14.5" x14ac:dyDescent="0.35">
      <c r="B642" s="257"/>
      <c r="C642" s="363"/>
      <c r="D642" s="363"/>
      <c r="E642" s="363"/>
      <c r="F642" s="363"/>
    </row>
    <row r="643" spans="2:6" ht="14.5" x14ac:dyDescent="0.35">
      <c r="B643" s="257"/>
      <c r="C643" s="363"/>
      <c r="D643" s="363"/>
      <c r="E643" s="363"/>
      <c r="F643" s="363"/>
    </row>
    <row r="644" spans="2:6" ht="14.5" x14ac:dyDescent="0.35">
      <c r="B644" s="257"/>
      <c r="C644" s="363"/>
      <c r="D644" s="363"/>
      <c r="E644" s="363"/>
      <c r="F644" s="363"/>
    </row>
    <row r="645" spans="2:6" ht="14.5" x14ac:dyDescent="0.35">
      <c r="B645" s="257"/>
      <c r="C645" s="363"/>
      <c r="D645" s="363"/>
      <c r="E645" s="363"/>
      <c r="F645" s="363"/>
    </row>
    <row r="646" spans="2:6" ht="14.5" x14ac:dyDescent="0.35">
      <c r="B646" s="257"/>
      <c r="C646" s="363"/>
      <c r="D646" s="363"/>
      <c r="E646" s="363"/>
      <c r="F646" s="363"/>
    </row>
    <row r="647" spans="2:6" ht="14.5" x14ac:dyDescent="0.35">
      <c r="B647" s="257"/>
      <c r="C647" s="363"/>
      <c r="D647" s="363"/>
      <c r="E647" s="363"/>
      <c r="F647" s="363"/>
    </row>
    <row r="648" spans="2:6" ht="14.5" x14ac:dyDescent="0.35">
      <c r="B648" s="257"/>
      <c r="C648" s="363"/>
      <c r="D648" s="363"/>
      <c r="E648" s="363"/>
      <c r="F648" s="363"/>
    </row>
    <row r="649" spans="2:6" ht="14.5" x14ac:dyDescent="0.35">
      <c r="B649" s="257"/>
      <c r="C649" s="363"/>
      <c r="D649" s="363"/>
      <c r="E649" s="363"/>
      <c r="F649" s="363"/>
    </row>
    <row r="650" spans="2:6" ht="14.5" x14ac:dyDescent="0.35">
      <c r="B650" s="257"/>
      <c r="C650" s="363"/>
      <c r="D650" s="363"/>
      <c r="E650" s="363"/>
      <c r="F650" s="363"/>
    </row>
    <row r="651" spans="2:6" ht="14.5" x14ac:dyDescent="0.35">
      <c r="B651" s="257"/>
      <c r="C651" s="363"/>
      <c r="D651" s="363"/>
      <c r="E651" s="363"/>
      <c r="F651" s="363"/>
    </row>
    <row r="652" spans="2:6" ht="14.5" x14ac:dyDescent="0.35">
      <c r="B652" s="257"/>
      <c r="C652" s="363"/>
      <c r="D652" s="363"/>
      <c r="E652" s="363"/>
      <c r="F652" s="363"/>
    </row>
    <row r="653" spans="2:6" ht="14.5" x14ac:dyDescent="0.35">
      <c r="B653" s="257"/>
      <c r="C653" s="363"/>
      <c r="D653" s="363"/>
      <c r="E653" s="363"/>
      <c r="F653" s="363"/>
    </row>
    <row r="654" spans="2:6" ht="14.5" x14ac:dyDescent="0.35">
      <c r="B654" s="257"/>
      <c r="C654" s="363"/>
      <c r="D654" s="363"/>
      <c r="E654" s="363"/>
      <c r="F654" s="363"/>
    </row>
    <row r="655" spans="2:6" ht="14.5" x14ac:dyDescent="0.35">
      <c r="B655" s="257"/>
      <c r="C655" s="363"/>
      <c r="D655" s="363"/>
      <c r="E655" s="363"/>
      <c r="F655" s="363"/>
    </row>
    <row r="656" spans="2:6" ht="14.5" x14ac:dyDescent="0.35">
      <c r="B656" s="257"/>
      <c r="C656" s="363"/>
      <c r="D656" s="363"/>
      <c r="E656" s="363"/>
      <c r="F656" s="363"/>
    </row>
    <row r="657" spans="2:6" ht="14.5" x14ac:dyDescent="0.35">
      <c r="B657" s="257"/>
      <c r="C657" s="363"/>
      <c r="D657" s="363"/>
      <c r="E657" s="363"/>
      <c r="F657" s="363"/>
    </row>
    <row r="658" spans="2:6" ht="14.5" x14ac:dyDescent="0.35">
      <c r="B658" s="257"/>
      <c r="C658" s="363"/>
      <c r="D658" s="363"/>
      <c r="E658" s="363"/>
      <c r="F658" s="363"/>
    </row>
    <row r="659" spans="2:6" ht="14.5" x14ac:dyDescent="0.35">
      <c r="B659" s="257"/>
      <c r="C659" s="363"/>
      <c r="D659" s="363"/>
      <c r="E659" s="363"/>
      <c r="F659" s="363"/>
    </row>
    <row r="660" spans="2:6" ht="14.5" x14ac:dyDescent="0.35">
      <c r="B660" s="257"/>
      <c r="C660" s="363"/>
      <c r="D660" s="363"/>
      <c r="E660" s="363"/>
      <c r="F660" s="363"/>
    </row>
    <row r="661" spans="2:6" ht="14.5" x14ac:dyDescent="0.35">
      <c r="B661" s="257"/>
      <c r="C661" s="363"/>
      <c r="D661" s="363"/>
      <c r="E661" s="363"/>
      <c r="F661" s="363"/>
    </row>
    <row r="662" spans="2:6" ht="14.5" x14ac:dyDescent="0.35">
      <c r="B662" s="257"/>
      <c r="C662" s="363"/>
      <c r="D662" s="363"/>
      <c r="E662" s="363"/>
      <c r="F662" s="363"/>
    </row>
    <row r="663" spans="2:6" ht="14.5" x14ac:dyDescent="0.35">
      <c r="B663" s="257"/>
      <c r="C663" s="363"/>
      <c r="D663" s="363"/>
      <c r="E663" s="363"/>
      <c r="F663" s="363"/>
    </row>
    <row r="664" spans="2:6" ht="14.5" x14ac:dyDescent="0.35">
      <c r="B664" s="257"/>
      <c r="C664" s="363"/>
      <c r="D664" s="363"/>
      <c r="E664" s="363"/>
      <c r="F664" s="363"/>
    </row>
    <row r="665" spans="2:6" ht="14.5" x14ac:dyDescent="0.35">
      <c r="B665" s="257"/>
      <c r="C665" s="363"/>
      <c r="D665" s="363"/>
      <c r="E665" s="363"/>
      <c r="F665" s="363"/>
    </row>
    <row r="666" spans="2:6" ht="14.5" x14ac:dyDescent="0.35">
      <c r="B666" s="257"/>
      <c r="C666" s="363"/>
      <c r="D666" s="363"/>
      <c r="E666" s="363"/>
      <c r="F666" s="363"/>
    </row>
    <row r="667" spans="2:6" ht="14.5" x14ac:dyDescent="0.35">
      <c r="B667" s="257"/>
      <c r="C667" s="363"/>
      <c r="D667" s="363"/>
      <c r="E667" s="363"/>
      <c r="F667" s="363"/>
    </row>
    <row r="668" spans="2:6" ht="14.5" x14ac:dyDescent="0.35">
      <c r="B668" s="257"/>
      <c r="C668" s="363"/>
      <c r="D668" s="363"/>
      <c r="E668" s="363"/>
      <c r="F668" s="363"/>
    </row>
    <row r="669" spans="2:6" ht="14.5" x14ac:dyDescent="0.35">
      <c r="B669" s="257"/>
      <c r="C669" s="363"/>
      <c r="D669" s="363"/>
      <c r="E669" s="363"/>
      <c r="F669" s="363"/>
    </row>
    <row r="670" spans="2:6" ht="14.5" x14ac:dyDescent="0.35">
      <c r="B670" s="257"/>
      <c r="C670" s="363"/>
      <c r="D670" s="363"/>
      <c r="E670" s="363"/>
      <c r="F670" s="363"/>
    </row>
    <row r="671" spans="2:6" ht="14.5" x14ac:dyDescent="0.35">
      <c r="B671" s="257"/>
      <c r="C671" s="363"/>
      <c r="D671" s="363"/>
      <c r="E671" s="363"/>
      <c r="F671" s="363"/>
    </row>
    <row r="672" spans="2:6" ht="14.5" x14ac:dyDescent="0.35">
      <c r="B672" s="257"/>
      <c r="C672" s="363"/>
      <c r="D672" s="363"/>
      <c r="E672" s="363"/>
      <c r="F672" s="363"/>
    </row>
    <row r="673" spans="2:6" ht="14.5" x14ac:dyDescent="0.35">
      <c r="B673" s="257"/>
      <c r="C673" s="363"/>
      <c r="D673" s="363"/>
      <c r="E673" s="363"/>
      <c r="F673" s="363"/>
    </row>
    <row r="674" spans="2:6" ht="14.5" x14ac:dyDescent="0.35">
      <c r="B674" s="257"/>
      <c r="C674" s="363"/>
      <c r="D674" s="363"/>
      <c r="E674" s="363"/>
      <c r="F674" s="363"/>
    </row>
    <row r="675" spans="2:6" ht="14.5" x14ac:dyDescent="0.35">
      <c r="B675" s="257"/>
      <c r="C675" s="363"/>
      <c r="D675" s="363"/>
      <c r="E675" s="363"/>
      <c r="F675" s="363"/>
    </row>
    <row r="676" spans="2:6" ht="14.5" x14ac:dyDescent="0.35">
      <c r="B676" s="257"/>
      <c r="C676" s="363"/>
      <c r="D676" s="363"/>
      <c r="E676" s="363"/>
      <c r="F676" s="363"/>
    </row>
    <row r="677" spans="2:6" ht="14.5" x14ac:dyDescent="0.35">
      <c r="B677" s="257"/>
      <c r="C677" s="363"/>
      <c r="D677" s="363"/>
      <c r="E677" s="363"/>
      <c r="F677" s="363"/>
    </row>
    <row r="678" spans="2:6" ht="14.5" x14ac:dyDescent="0.35">
      <c r="B678" s="257"/>
      <c r="C678" s="363"/>
      <c r="D678" s="363"/>
      <c r="E678" s="363"/>
      <c r="F678" s="363"/>
    </row>
    <row r="679" spans="2:6" ht="14.5" x14ac:dyDescent="0.35">
      <c r="B679" s="257"/>
      <c r="C679" s="363"/>
      <c r="D679" s="363"/>
      <c r="E679" s="363"/>
      <c r="F679" s="363"/>
    </row>
    <row r="680" spans="2:6" ht="14.5" x14ac:dyDescent="0.35">
      <c r="B680" s="257"/>
      <c r="C680" s="363"/>
      <c r="D680" s="363"/>
      <c r="E680" s="363"/>
      <c r="F680" s="363"/>
    </row>
    <row r="681" spans="2:6" ht="14.5" x14ac:dyDescent="0.35">
      <c r="B681" s="257"/>
      <c r="C681" s="363"/>
      <c r="D681" s="363"/>
      <c r="E681" s="363"/>
      <c r="F681" s="363"/>
    </row>
    <row r="682" spans="2:6" ht="14.5" x14ac:dyDescent="0.35">
      <c r="B682" s="257"/>
      <c r="C682" s="363"/>
      <c r="D682" s="363"/>
      <c r="E682" s="363"/>
      <c r="F682" s="363"/>
    </row>
    <row r="683" spans="2:6" ht="14.5" x14ac:dyDescent="0.35">
      <c r="B683" s="257"/>
      <c r="C683" s="363"/>
      <c r="D683" s="363"/>
      <c r="E683" s="363"/>
      <c r="F683" s="363"/>
    </row>
    <row r="684" spans="2:6" ht="14.5" x14ac:dyDescent="0.35">
      <c r="B684" s="257"/>
      <c r="C684" s="363"/>
      <c r="D684" s="363"/>
      <c r="E684" s="363"/>
      <c r="F684" s="363"/>
    </row>
    <row r="685" spans="2:6" ht="14.5" x14ac:dyDescent="0.35">
      <c r="B685" s="257"/>
      <c r="C685" s="363"/>
      <c r="D685" s="363"/>
      <c r="E685" s="363"/>
      <c r="F685" s="363"/>
    </row>
    <row r="686" spans="2:6" ht="14.5" x14ac:dyDescent="0.35">
      <c r="B686" s="257"/>
      <c r="C686" s="363"/>
      <c r="D686" s="363"/>
      <c r="E686" s="363"/>
      <c r="F686" s="363"/>
    </row>
    <row r="687" spans="2:6" ht="14.5" x14ac:dyDescent="0.35">
      <c r="B687" s="257"/>
      <c r="C687" s="363"/>
      <c r="D687" s="363"/>
      <c r="E687" s="363"/>
      <c r="F687" s="363"/>
    </row>
    <row r="688" spans="2:6" ht="14.5" x14ac:dyDescent="0.35">
      <c r="B688" s="257"/>
      <c r="C688" s="363"/>
      <c r="D688" s="363"/>
      <c r="E688" s="363"/>
      <c r="F688" s="363"/>
    </row>
    <row r="689" spans="2:6" ht="14.5" x14ac:dyDescent="0.35">
      <c r="B689" s="257"/>
      <c r="C689" s="363"/>
      <c r="D689" s="363"/>
      <c r="E689" s="363"/>
      <c r="F689" s="363"/>
    </row>
    <row r="690" spans="2:6" ht="14.5" x14ac:dyDescent="0.35">
      <c r="B690" s="257"/>
      <c r="C690" s="363"/>
      <c r="D690" s="363"/>
      <c r="E690" s="363"/>
      <c r="F690" s="363"/>
    </row>
    <row r="691" spans="2:6" ht="14.5" x14ac:dyDescent="0.35">
      <c r="B691" s="257"/>
      <c r="C691" s="363"/>
      <c r="D691" s="363"/>
      <c r="E691" s="363"/>
      <c r="F691" s="363"/>
    </row>
    <row r="692" spans="2:6" ht="14.5" x14ac:dyDescent="0.35">
      <c r="B692" s="257"/>
      <c r="C692" s="363"/>
      <c r="D692" s="363"/>
      <c r="E692" s="363"/>
      <c r="F692" s="363"/>
    </row>
    <row r="693" spans="2:6" ht="14.5" x14ac:dyDescent="0.35">
      <c r="B693" s="257"/>
      <c r="C693" s="363"/>
      <c r="D693" s="363"/>
      <c r="E693" s="363"/>
      <c r="F693" s="363"/>
    </row>
    <row r="694" spans="2:6" ht="14.5" x14ac:dyDescent="0.35">
      <c r="B694" s="257"/>
      <c r="C694" s="363"/>
      <c r="D694" s="363"/>
      <c r="E694" s="363"/>
      <c r="F694" s="363"/>
    </row>
    <row r="695" spans="2:6" ht="14.5" x14ac:dyDescent="0.35">
      <c r="B695" s="257"/>
      <c r="C695" s="363"/>
      <c r="D695" s="363"/>
      <c r="E695" s="363"/>
      <c r="F695" s="363"/>
    </row>
    <row r="696" spans="2:6" ht="14.5" x14ac:dyDescent="0.35">
      <c r="B696" s="257"/>
      <c r="C696" s="363"/>
      <c r="D696" s="363"/>
      <c r="E696" s="363"/>
      <c r="F696" s="363"/>
    </row>
    <row r="697" spans="2:6" ht="14.5" x14ac:dyDescent="0.35">
      <c r="B697" s="257"/>
      <c r="C697" s="363"/>
      <c r="D697" s="363"/>
      <c r="E697" s="363"/>
      <c r="F697" s="363"/>
    </row>
    <row r="698" spans="2:6" ht="14.5" x14ac:dyDescent="0.35">
      <c r="B698" s="257"/>
      <c r="C698" s="363"/>
      <c r="D698" s="363"/>
      <c r="E698" s="363"/>
      <c r="F698" s="363"/>
    </row>
    <row r="699" spans="2:6" ht="14.5" x14ac:dyDescent="0.35">
      <c r="B699" s="257"/>
      <c r="C699" s="363"/>
      <c r="D699" s="363"/>
      <c r="E699" s="363"/>
      <c r="F699" s="363"/>
    </row>
    <row r="700" spans="2:6" ht="14.5" x14ac:dyDescent="0.35">
      <c r="B700" s="257"/>
      <c r="C700" s="363"/>
      <c r="D700" s="363"/>
      <c r="E700" s="363"/>
      <c r="F700" s="363"/>
    </row>
    <row r="701" spans="2:6" ht="14.5" x14ac:dyDescent="0.35">
      <c r="B701" s="257"/>
      <c r="C701" s="363"/>
      <c r="D701" s="363"/>
      <c r="E701" s="363"/>
      <c r="F701" s="363"/>
    </row>
    <row r="702" spans="2:6" ht="14.5" x14ac:dyDescent="0.35">
      <c r="B702" s="257"/>
      <c r="C702" s="363"/>
      <c r="D702" s="363"/>
      <c r="E702" s="363"/>
      <c r="F702" s="363"/>
    </row>
    <row r="703" spans="2:6" ht="14.5" x14ac:dyDescent="0.35">
      <c r="B703" s="257"/>
      <c r="C703" s="363"/>
      <c r="D703" s="363"/>
      <c r="E703" s="363"/>
      <c r="F703" s="363"/>
    </row>
    <row r="704" spans="2:6" ht="14.5" x14ac:dyDescent="0.35">
      <c r="B704" s="257"/>
      <c r="C704" s="363"/>
      <c r="D704" s="363"/>
      <c r="E704" s="363"/>
      <c r="F704" s="363"/>
    </row>
    <row r="705" spans="2:6" ht="14.5" x14ac:dyDescent="0.35">
      <c r="B705" s="257"/>
      <c r="C705" s="363"/>
      <c r="D705" s="363"/>
      <c r="E705" s="363"/>
      <c r="F705" s="363"/>
    </row>
    <row r="706" spans="2:6" ht="14.5" x14ac:dyDescent="0.35">
      <c r="B706" s="257"/>
      <c r="C706" s="363"/>
      <c r="D706" s="363"/>
      <c r="E706" s="363"/>
      <c r="F706" s="363"/>
    </row>
    <row r="707" spans="2:6" ht="14.5" x14ac:dyDescent="0.35">
      <c r="B707" s="257"/>
      <c r="C707" s="363"/>
      <c r="D707" s="363"/>
      <c r="E707" s="363"/>
      <c r="F707" s="363"/>
    </row>
    <row r="708" spans="2:6" ht="14.5" x14ac:dyDescent="0.35">
      <c r="B708" s="257"/>
      <c r="C708" s="363"/>
      <c r="D708" s="363"/>
      <c r="E708" s="363"/>
      <c r="F708" s="363"/>
    </row>
    <row r="709" spans="2:6" ht="14.5" x14ac:dyDescent="0.35">
      <c r="B709" s="257"/>
      <c r="C709" s="363"/>
      <c r="D709" s="363"/>
      <c r="E709" s="363"/>
      <c r="F709" s="363"/>
    </row>
    <row r="710" spans="2:6" ht="14.5" x14ac:dyDescent="0.35">
      <c r="B710" s="257"/>
      <c r="C710" s="363"/>
      <c r="D710" s="363"/>
      <c r="E710" s="363"/>
      <c r="F710" s="363"/>
    </row>
    <row r="711" spans="2:6" ht="14.5" x14ac:dyDescent="0.35">
      <c r="B711" s="257"/>
      <c r="C711" s="363"/>
      <c r="D711" s="363"/>
      <c r="E711" s="363"/>
      <c r="F711" s="363"/>
    </row>
    <row r="712" spans="2:6" ht="14.5" x14ac:dyDescent="0.35">
      <c r="B712" s="257"/>
      <c r="C712" s="363"/>
      <c r="D712" s="363"/>
      <c r="E712" s="363"/>
      <c r="F712" s="363"/>
    </row>
    <row r="713" spans="2:6" ht="14.5" x14ac:dyDescent="0.35">
      <c r="B713" s="257"/>
      <c r="C713" s="363"/>
      <c r="D713" s="363"/>
      <c r="E713" s="363"/>
      <c r="F713" s="363"/>
    </row>
    <row r="714" spans="2:6" ht="14.5" x14ac:dyDescent="0.35">
      <c r="B714" s="257"/>
      <c r="C714" s="363"/>
      <c r="D714" s="363"/>
      <c r="E714" s="363"/>
      <c r="F714" s="363"/>
    </row>
    <row r="715" spans="2:6" ht="14.5" x14ac:dyDescent="0.35">
      <c r="B715" s="257"/>
      <c r="C715" s="363"/>
      <c r="D715" s="363"/>
      <c r="E715" s="363"/>
      <c r="F715" s="363"/>
    </row>
    <row r="716" spans="2:6" ht="14.5" x14ac:dyDescent="0.35">
      <c r="B716" s="257"/>
      <c r="C716" s="363"/>
      <c r="D716" s="363"/>
      <c r="E716" s="363"/>
      <c r="F716" s="363"/>
    </row>
    <row r="717" spans="2:6" ht="14.5" x14ac:dyDescent="0.35">
      <c r="B717" s="257"/>
      <c r="C717" s="363"/>
      <c r="D717" s="363"/>
      <c r="E717" s="363"/>
      <c r="F717" s="363"/>
    </row>
    <row r="718" spans="2:6" ht="14.5" x14ac:dyDescent="0.35">
      <c r="B718" s="257"/>
      <c r="C718" s="363"/>
      <c r="D718" s="363"/>
      <c r="E718" s="363"/>
      <c r="F718" s="363"/>
    </row>
    <row r="719" spans="2:6" ht="14.5" x14ac:dyDescent="0.35">
      <c r="B719" s="257"/>
      <c r="C719" s="363"/>
      <c r="D719" s="363"/>
      <c r="E719" s="363"/>
      <c r="F719" s="363"/>
    </row>
    <row r="720" spans="2:6" ht="14.5" x14ac:dyDescent="0.35">
      <c r="B720" s="257"/>
      <c r="C720" s="363"/>
      <c r="D720" s="363"/>
      <c r="E720" s="363"/>
      <c r="F720" s="363"/>
    </row>
    <row r="721" spans="2:6" ht="14.5" x14ac:dyDescent="0.35">
      <c r="B721" s="257"/>
      <c r="C721" s="363"/>
      <c r="D721" s="363"/>
      <c r="E721" s="363"/>
      <c r="F721" s="363"/>
    </row>
    <row r="722" spans="2:6" ht="14.5" x14ac:dyDescent="0.35">
      <c r="B722" s="257"/>
      <c r="C722" s="363"/>
      <c r="D722" s="363"/>
      <c r="E722" s="363"/>
      <c r="F722" s="363"/>
    </row>
    <row r="723" spans="2:6" ht="14.5" x14ac:dyDescent="0.35">
      <c r="B723" s="257"/>
      <c r="C723" s="363"/>
      <c r="D723" s="363"/>
      <c r="E723" s="363"/>
      <c r="F723" s="363"/>
    </row>
    <row r="724" spans="2:6" ht="14.5" x14ac:dyDescent="0.35">
      <c r="B724" s="257"/>
      <c r="C724" s="363"/>
      <c r="D724" s="363"/>
      <c r="E724" s="363"/>
      <c r="F724" s="363"/>
    </row>
    <row r="725" spans="2:6" ht="14.5" x14ac:dyDescent="0.35">
      <c r="B725" s="257"/>
      <c r="C725" s="363"/>
      <c r="D725" s="363"/>
      <c r="E725" s="363"/>
      <c r="F725" s="363"/>
    </row>
    <row r="726" spans="2:6" ht="14.5" x14ac:dyDescent="0.35">
      <c r="B726" s="257"/>
      <c r="C726" s="363"/>
      <c r="D726" s="363"/>
      <c r="E726" s="363"/>
      <c r="F726" s="363"/>
    </row>
    <row r="727" spans="2:6" ht="14.5" x14ac:dyDescent="0.35">
      <c r="B727" s="257"/>
      <c r="C727" s="363"/>
      <c r="D727" s="363"/>
      <c r="E727" s="363"/>
      <c r="F727" s="363"/>
    </row>
    <row r="728" spans="2:6" ht="14.5" x14ac:dyDescent="0.35">
      <c r="B728" s="257"/>
      <c r="C728" s="363"/>
      <c r="D728" s="363"/>
      <c r="E728" s="363"/>
      <c r="F728" s="363"/>
    </row>
    <row r="729" spans="2:6" ht="14.5" x14ac:dyDescent="0.35">
      <c r="B729" s="257"/>
      <c r="C729" s="363"/>
      <c r="D729" s="363"/>
      <c r="E729" s="363"/>
      <c r="F729" s="363"/>
    </row>
    <row r="730" spans="2:6" ht="14.5" x14ac:dyDescent="0.35">
      <c r="B730" s="257"/>
      <c r="C730" s="363"/>
      <c r="D730" s="363"/>
      <c r="E730" s="363"/>
      <c r="F730" s="363"/>
    </row>
    <row r="731" spans="2:6" ht="14.5" x14ac:dyDescent="0.35">
      <c r="B731" s="257"/>
      <c r="C731" s="363"/>
      <c r="D731" s="363"/>
      <c r="E731" s="363"/>
      <c r="F731" s="363"/>
    </row>
    <row r="732" spans="2:6" ht="14.5" x14ac:dyDescent="0.35">
      <c r="B732" s="257"/>
      <c r="C732" s="363"/>
      <c r="D732" s="363"/>
      <c r="E732" s="363"/>
      <c r="F732" s="363"/>
    </row>
    <row r="733" spans="2:6" ht="14.5" x14ac:dyDescent="0.35">
      <c r="B733" s="257"/>
      <c r="C733" s="363"/>
      <c r="D733" s="363"/>
      <c r="E733" s="363"/>
      <c r="F733" s="363"/>
    </row>
    <row r="734" spans="2:6" ht="14.5" x14ac:dyDescent="0.35">
      <c r="B734" s="257"/>
      <c r="C734" s="363"/>
      <c r="D734" s="363"/>
      <c r="E734" s="363"/>
      <c r="F734" s="363"/>
    </row>
    <row r="735" spans="2:6" ht="14.5" x14ac:dyDescent="0.35">
      <c r="B735" s="257"/>
      <c r="C735" s="363"/>
      <c r="D735" s="363"/>
      <c r="E735" s="363"/>
      <c r="F735" s="363"/>
    </row>
    <row r="736" spans="2:6" ht="14.5" x14ac:dyDescent="0.35">
      <c r="B736" s="257"/>
      <c r="C736" s="363"/>
      <c r="D736" s="363"/>
      <c r="E736" s="363"/>
      <c r="F736" s="363"/>
    </row>
    <row r="737" spans="2:6" ht="14.5" x14ac:dyDescent="0.35">
      <c r="B737" s="257"/>
      <c r="C737" s="363"/>
      <c r="D737" s="363"/>
      <c r="E737" s="363"/>
      <c r="F737" s="363"/>
    </row>
    <row r="738" spans="2:6" ht="14.5" x14ac:dyDescent="0.35">
      <c r="B738" s="257"/>
      <c r="C738" s="363"/>
      <c r="D738" s="363"/>
      <c r="E738" s="363"/>
      <c r="F738" s="363"/>
    </row>
    <row r="739" spans="2:6" ht="14.5" x14ac:dyDescent="0.35">
      <c r="B739" s="257"/>
      <c r="C739" s="363"/>
      <c r="D739" s="363"/>
      <c r="E739" s="363"/>
      <c r="F739" s="363"/>
    </row>
    <row r="740" spans="2:6" ht="14.5" x14ac:dyDescent="0.35">
      <c r="B740" s="257"/>
      <c r="C740" s="363"/>
      <c r="D740" s="363"/>
      <c r="E740" s="363"/>
      <c r="F740" s="363"/>
    </row>
    <row r="741" spans="2:6" ht="14.5" x14ac:dyDescent="0.35">
      <c r="B741" s="257"/>
      <c r="C741" s="363"/>
      <c r="D741" s="363"/>
      <c r="E741" s="363"/>
      <c r="F741" s="363"/>
    </row>
    <row r="742" spans="2:6" ht="14.5" x14ac:dyDescent="0.35">
      <c r="B742" s="257"/>
      <c r="C742" s="363"/>
      <c r="D742" s="363"/>
      <c r="E742" s="363"/>
      <c r="F742" s="363"/>
    </row>
    <row r="743" spans="2:6" ht="14.5" x14ac:dyDescent="0.35">
      <c r="B743" s="257"/>
      <c r="C743" s="363"/>
      <c r="D743" s="363"/>
      <c r="E743" s="363"/>
      <c r="F743" s="363"/>
    </row>
    <row r="744" spans="2:6" ht="14.5" x14ac:dyDescent="0.35">
      <c r="B744" s="257"/>
      <c r="C744" s="363"/>
      <c r="D744" s="363"/>
      <c r="E744" s="363"/>
      <c r="F744" s="363"/>
    </row>
    <row r="745" spans="2:6" ht="14.5" x14ac:dyDescent="0.35">
      <c r="B745" s="257"/>
      <c r="C745" s="363"/>
      <c r="D745" s="363"/>
      <c r="E745" s="363"/>
      <c r="F745" s="363"/>
    </row>
    <row r="746" spans="2:6" ht="14.5" x14ac:dyDescent="0.35">
      <c r="B746" s="257"/>
      <c r="C746" s="363"/>
      <c r="D746" s="363"/>
      <c r="E746" s="363"/>
      <c r="F746" s="363"/>
    </row>
    <row r="747" spans="2:6" ht="14.5" x14ac:dyDescent="0.35">
      <c r="B747" s="257"/>
      <c r="C747" s="363"/>
      <c r="D747" s="363"/>
      <c r="E747" s="363"/>
      <c r="F747" s="363"/>
    </row>
    <row r="748" spans="2:6" ht="14.5" x14ac:dyDescent="0.35">
      <c r="B748" s="257"/>
      <c r="C748" s="363"/>
      <c r="D748" s="363"/>
      <c r="E748" s="363"/>
      <c r="F748" s="363"/>
    </row>
    <row r="749" spans="2:6" ht="14.5" x14ac:dyDescent="0.35">
      <c r="B749" s="257"/>
      <c r="C749" s="363"/>
      <c r="D749" s="363"/>
      <c r="E749" s="363"/>
      <c r="F749" s="363"/>
    </row>
    <row r="750" spans="2:6" ht="14.5" x14ac:dyDescent="0.35">
      <c r="B750" s="257"/>
      <c r="C750" s="363"/>
      <c r="D750" s="363"/>
      <c r="E750" s="363"/>
      <c r="F750" s="363"/>
    </row>
    <row r="751" spans="2:6" ht="14.5" x14ac:dyDescent="0.35">
      <c r="B751" s="257"/>
      <c r="C751" s="363"/>
      <c r="D751" s="363"/>
      <c r="E751" s="363"/>
      <c r="F751" s="363"/>
    </row>
    <row r="752" spans="2:6" ht="14.5" x14ac:dyDescent="0.35">
      <c r="B752" s="257"/>
      <c r="C752" s="363"/>
      <c r="D752" s="363"/>
      <c r="E752" s="363"/>
      <c r="F752" s="363"/>
    </row>
    <row r="753" spans="2:6" ht="14.5" x14ac:dyDescent="0.35">
      <c r="B753" s="257"/>
      <c r="C753" s="363"/>
      <c r="D753" s="363"/>
      <c r="E753" s="363"/>
      <c r="F753" s="363"/>
    </row>
    <row r="754" spans="2:6" ht="14.5" x14ac:dyDescent="0.35">
      <c r="B754" s="257"/>
      <c r="C754" s="363"/>
      <c r="D754" s="363"/>
      <c r="E754" s="363"/>
      <c r="F754" s="363"/>
    </row>
    <row r="755" spans="2:6" ht="14.5" x14ac:dyDescent="0.35">
      <c r="B755" s="257"/>
      <c r="C755" s="363"/>
      <c r="D755" s="363"/>
      <c r="E755" s="363"/>
      <c r="F755" s="363"/>
    </row>
    <row r="756" spans="2:6" ht="14.5" x14ac:dyDescent="0.35">
      <c r="B756" s="257"/>
      <c r="C756" s="363"/>
      <c r="D756" s="363"/>
      <c r="E756" s="363"/>
      <c r="F756" s="363"/>
    </row>
    <row r="757" spans="2:6" ht="14.5" x14ac:dyDescent="0.35">
      <c r="B757" s="257"/>
      <c r="C757" s="363"/>
      <c r="D757" s="363"/>
      <c r="E757" s="363"/>
      <c r="F757" s="363"/>
    </row>
    <row r="758" spans="2:6" ht="14.5" x14ac:dyDescent="0.35">
      <c r="B758" s="257"/>
      <c r="C758" s="363"/>
      <c r="D758" s="363"/>
      <c r="E758" s="363"/>
      <c r="F758" s="363"/>
    </row>
    <row r="759" spans="2:6" ht="14.5" x14ac:dyDescent="0.35">
      <c r="B759" s="257"/>
      <c r="C759" s="363"/>
      <c r="D759" s="363"/>
      <c r="E759" s="363"/>
      <c r="F759" s="363"/>
    </row>
    <row r="760" spans="2:6" ht="14.5" x14ac:dyDescent="0.35">
      <c r="B760" s="257"/>
      <c r="C760" s="363"/>
      <c r="D760" s="363"/>
      <c r="E760" s="363"/>
      <c r="F760" s="363"/>
    </row>
    <row r="761" spans="2:6" ht="14.5" x14ac:dyDescent="0.35">
      <c r="B761" s="257"/>
      <c r="C761" s="363"/>
      <c r="D761" s="363"/>
      <c r="E761" s="363"/>
      <c r="F761" s="363"/>
    </row>
    <row r="762" spans="2:6" ht="14.5" x14ac:dyDescent="0.35">
      <c r="B762" s="257"/>
      <c r="C762" s="363"/>
      <c r="D762" s="363"/>
      <c r="E762" s="363"/>
      <c r="F762" s="363"/>
    </row>
    <row r="763" spans="2:6" ht="14.5" x14ac:dyDescent="0.35">
      <c r="B763" s="257"/>
      <c r="C763" s="363"/>
      <c r="D763" s="363"/>
      <c r="E763" s="363"/>
      <c r="F763" s="363"/>
    </row>
    <row r="764" spans="2:6" ht="14.5" x14ac:dyDescent="0.35">
      <c r="B764" s="257"/>
      <c r="C764" s="363"/>
      <c r="D764" s="363"/>
      <c r="E764" s="363"/>
      <c r="F764" s="363"/>
    </row>
    <row r="765" spans="2:6" ht="14.5" x14ac:dyDescent="0.35">
      <c r="B765" s="257"/>
      <c r="C765" s="363"/>
      <c r="D765" s="363"/>
      <c r="E765" s="363"/>
      <c r="F765" s="363"/>
    </row>
    <row r="766" spans="2:6" ht="14.5" x14ac:dyDescent="0.35">
      <c r="B766" s="257"/>
      <c r="C766" s="363"/>
      <c r="D766" s="363"/>
      <c r="E766" s="363"/>
      <c r="F766" s="363"/>
    </row>
    <row r="767" spans="2:6" ht="14.5" x14ac:dyDescent="0.35">
      <c r="B767" s="257"/>
      <c r="C767" s="363"/>
      <c r="D767" s="363"/>
      <c r="E767" s="363"/>
      <c r="F767" s="363"/>
    </row>
    <row r="768" spans="2:6" ht="14.5" x14ac:dyDescent="0.35">
      <c r="B768" s="257"/>
      <c r="C768" s="363"/>
      <c r="D768" s="363"/>
      <c r="E768" s="363"/>
      <c r="F768" s="363"/>
    </row>
    <row r="769" spans="2:6" ht="14.5" x14ac:dyDescent="0.35">
      <c r="B769" s="257"/>
      <c r="C769" s="363"/>
      <c r="D769" s="363"/>
      <c r="E769" s="363"/>
      <c r="F769" s="363"/>
    </row>
    <row r="770" spans="2:6" ht="14.5" x14ac:dyDescent="0.35">
      <c r="B770" s="257"/>
      <c r="C770" s="363"/>
      <c r="D770" s="363"/>
      <c r="E770" s="363"/>
      <c r="F770" s="363"/>
    </row>
    <row r="771" spans="2:6" ht="14.5" x14ac:dyDescent="0.35">
      <c r="B771" s="257"/>
      <c r="C771" s="363"/>
      <c r="D771" s="363"/>
      <c r="E771" s="363"/>
      <c r="F771" s="363"/>
    </row>
    <row r="772" spans="2:6" ht="14.5" x14ac:dyDescent="0.35">
      <c r="B772" s="257"/>
      <c r="C772" s="363"/>
      <c r="D772" s="363"/>
      <c r="E772" s="363"/>
      <c r="F772" s="363"/>
    </row>
    <row r="773" spans="2:6" ht="14.5" x14ac:dyDescent="0.35">
      <c r="B773" s="257"/>
      <c r="C773" s="363"/>
      <c r="D773" s="363"/>
      <c r="E773" s="363"/>
      <c r="F773" s="363"/>
    </row>
    <row r="774" spans="2:6" ht="14.5" x14ac:dyDescent="0.35">
      <c r="B774" s="257"/>
      <c r="C774" s="363"/>
      <c r="D774" s="363"/>
      <c r="E774" s="363"/>
      <c r="F774" s="363"/>
    </row>
    <row r="775" spans="2:6" ht="14.5" x14ac:dyDescent="0.35">
      <c r="B775" s="257"/>
      <c r="C775" s="363"/>
      <c r="D775" s="363"/>
      <c r="E775" s="363"/>
      <c r="F775" s="363"/>
    </row>
  </sheetData>
  <sheetProtection sort="0" autoFilter="0" pivotTables="0"/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6" r:id="rId5" name="Button 6">
              <controlPr defaultSize="0" autoFill="0" autoPict="0" macro="[0]!Atualizar">
                <anchor>
                  <from>
                    <xdr:col>7</xdr:col>
                    <xdr:colOff>1006498</xdr:colOff>
                    <xdr:row>3</xdr:row>
                    <xdr:rowOff>26314</xdr:rowOff>
                  </from>
                  <to>
                    <xdr:col>9</xdr:col>
                    <xdr:colOff>559165</xdr:colOff>
                    <xdr:row>4</xdr:row>
                    <xdr:rowOff>144725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35">
    <tabColor rgb="FF001C54"/>
  </sheetPr>
  <dimension ref="A1:CS774"/>
  <sheetViews>
    <sheetView showGridLines="0" zoomScaleNormal="10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P4" sqref="P4"/>
    </sheetView>
  </sheetViews>
  <sheetFormatPr defaultColWidth="9.1796875" defaultRowHeight="19.95" customHeight="1" x14ac:dyDescent="0.35"/>
  <cols>
    <col min="1" max="1" width="0.7265625" style="110" customWidth="1"/>
    <col min="2" max="2" width="47.26953125" style="10" customWidth="1"/>
    <col min="3" max="5" width="13.7265625" style="211" customWidth="1"/>
    <col min="6" max="6" width="13.7265625" style="192" customWidth="1"/>
    <col min="7" max="7" width="13.7265625" style="9" customWidth="1"/>
    <col min="8" max="8" width="13.7265625" style="192" customWidth="1"/>
    <col min="9" max="13" width="13.7265625" style="9" customWidth="1"/>
    <col min="14" max="14" width="13.26953125" style="9" bestFit="1" customWidth="1"/>
    <col min="15" max="15" width="14" style="9" bestFit="1" customWidth="1"/>
    <col min="16" max="16" width="13.7265625" style="9" customWidth="1"/>
    <col min="17" max="28" width="14" style="9" bestFit="1" customWidth="1"/>
    <col min="29" max="73" width="9.1796875" style="9"/>
    <col min="74" max="75" width="14" style="9" bestFit="1" customWidth="1"/>
    <col min="76" max="87" width="9.1796875" style="9"/>
    <col min="88" max="88" width="13.26953125" style="9" bestFit="1" customWidth="1"/>
    <col min="89" max="94" width="9.1796875" style="9"/>
    <col min="95" max="95" width="14.81640625" style="9" bestFit="1" customWidth="1"/>
    <col min="96" max="16384" width="9.1796875" style="9"/>
  </cols>
  <sheetData>
    <row r="1" spans="1:97" s="13" customFormat="1" ht="25" customHeight="1" x14ac:dyDescent="0.35">
      <c r="A1" s="114"/>
      <c r="B1" s="31"/>
      <c r="C1" s="58"/>
      <c r="D1" s="58"/>
      <c r="E1" s="58"/>
      <c r="F1" s="126"/>
      <c r="H1" s="126"/>
    </row>
    <row r="2" spans="1:97" s="16" customFormat="1" ht="19.55" customHeight="1" x14ac:dyDescent="0.35">
      <c r="A2" s="116"/>
      <c r="B2" s="33"/>
      <c r="C2" s="60"/>
      <c r="D2" s="60"/>
      <c r="E2" s="60"/>
      <c r="F2" s="127"/>
      <c r="H2" s="127"/>
    </row>
    <row r="3" spans="1:97" s="8" customFormat="1" ht="3.75" customHeight="1" x14ac:dyDescent="0.35">
      <c r="A3" s="7"/>
      <c r="B3" s="26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12"/>
    </row>
    <row r="4" spans="1:97" s="8" customFormat="1" ht="14.5" x14ac:dyDescent="0.35">
      <c r="A4" s="124"/>
      <c r="B4" s="256" t="s">
        <v>1219</v>
      </c>
      <c r="C4" s="9" t="s">
        <v>2036</v>
      </c>
      <c r="D4" s="550" t="s">
        <v>2035</v>
      </c>
      <c r="E4" s="394"/>
      <c r="F4" s="128"/>
      <c r="H4" s="128"/>
    </row>
    <row r="5" spans="1:97" s="8" customFormat="1" ht="14.5" x14ac:dyDescent="0.35">
      <c r="A5" s="124"/>
      <c r="B5" s="256" t="s">
        <v>1142</v>
      </c>
      <c r="C5" s="9" t="s">
        <v>1042</v>
      </c>
      <c r="D5" s="550" t="s">
        <v>2033</v>
      </c>
      <c r="E5" s="394"/>
      <c r="F5" s="173"/>
      <c r="G5" s="173"/>
      <c r="H5" s="173"/>
      <c r="I5" s="173"/>
      <c r="J5" s="173"/>
      <c r="K5" s="394"/>
      <c r="M5" s="394"/>
    </row>
    <row r="6" spans="1:97" s="8" customFormat="1" ht="3.75" customHeight="1" x14ac:dyDescent="0.35">
      <c r="A6" s="124"/>
      <c r="B6" s="62"/>
      <c r="C6" s="61"/>
      <c r="D6" s="61"/>
      <c r="E6" s="61"/>
      <c r="F6" s="128"/>
      <c r="H6" s="128"/>
    </row>
    <row r="7" spans="1:97" s="10" customFormat="1" ht="29.05" x14ac:dyDescent="0.35">
      <c r="A7" s="111"/>
      <c r="B7" s="256" t="s">
        <v>1512</v>
      </c>
      <c r="C7" s="256" t="s">
        <v>1186</v>
      </c>
      <c r="D7" s="275" t="s">
        <v>1168</v>
      </c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/>
      <c r="CS7"/>
    </row>
    <row r="8" spans="1:97" s="10" customFormat="1" ht="14.5" x14ac:dyDescent="0.35">
      <c r="A8" s="111"/>
      <c r="B8" s="9"/>
      <c r="C8" s="10" t="s">
        <v>2009</v>
      </c>
      <c r="D8" s="10" t="s">
        <v>2009</v>
      </c>
      <c r="E8" s="10" t="s">
        <v>2009</v>
      </c>
      <c r="F8" s="10" t="s">
        <v>2009</v>
      </c>
      <c r="G8" s="10" t="s">
        <v>2009</v>
      </c>
      <c r="H8" s="10" t="s">
        <v>2009</v>
      </c>
      <c r="I8" s="10" t="s">
        <v>2009</v>
      </c>
      <c r="J8" s="10" t="s">
        <v>2009</v>
      </c>
      <c r="K8" s="10" t="s">
        <v>2009</v>
      </c>
      <c r="L8" s="10" t="s">
        <v>2011</v>
      </c>
      <c r="M8" s="10" t="s">
        <v>2012</v>
      </c>
      <c r="N8" s="10" t="s">
        <v>2012</v>
      </c>
      <c r="O8" s="10" t="s">
        <v>2012</v>
      </c>
      <c r="P8" s="10" t="s">
        <v>2012</v>
      </c>
      <c r="Q8" s="10" t="s">
        <v>2012</v>
      </c>
      <c r="R8" s="10" t="s">
        <v>2012</v>
      </c>
      <c r="S8" s="10" t="s">
        <v>2012</v>
      </c>
      <c r="T8" s="10" t="s">
        <v>2012</v>
      </c>
      <c r="U8" s="10" t="s">
        <v>2012</v>
      </c>
      <c r="V8" s="10" t="s">
        <v>2012</v>
      </c>
      <c r="W8" s="10" t="s">
        <v>2012</v>
      </c>
      <c r="X8" s="10" t="s">
        <v>2012</v>
      </c>
      <c r="Y8" s="10" t="s">
        <v>2013</v>
      </c>
      <c r="Z8" s="10" t="s">
        <v>2014</v>
      </c>
      <c r="AA8" s="10" t="s">
        <v>2014</v>
      </c>
      <c r="AB8" s="10" t="s">
        <v>2014</v>
      </c>
      <c r="AC8" s="10" t="s">
        <v>2014</v>
      </c>
      <c r="AD8" s="10" t="s">
        <v>2014</v>
      </c>
      <c r="AE8" s="10" t="s">
        <v>2014</v>
      </c>
      <c r="AF8" s="10" t="s">
        <v>2014</v>
      </c>
      <c r="AG8" s="10" t="s">
        <v>2014</v>
      </c>
      <c r="AH8" s="10" t="s">
        <v>2014</v>
      </c>
      <c r="AI8" s="10" t="s">
        <v>2014</v>
      </c>
      <c r="AJ8" s="10" t="s">
        <v>2014</v>
      </c>
      <c r="AK8" s="10" t="s">
        <v>2014</v>
      </c>
      <c r="AL8" s="10" t="s">
        <v>2015</v>
      </c>
      <c r="AM8" s="10" t="s">
        <v>2016</v>
      </c>
      <c r="AN8" s="10" t="s">
        <v>2016</v>
      </c>
      <c r="AO8" s="10" t="s">
        <v>2016</v>
      </c>
      <c r="AP8" s="10" t="s">
        <v>2016</v>
      </c>
      <c r="AQ8" s="10" t="s">
        <v>2016</v>
      </c>
      <c r="AR8" s="10" t="s">
        <v>2016</v>
      </c>
      <c r="AS8" s="10" t="s">
        <v>2016</v>
      </c>
      <c r="AT8" s="10" t="s">
        <v>2016</v>
      </c>
      <c r="AU8" s="10" t="s">
        <v>2016</v>
      </c>
      <c r="AV8" s="10" t="s">
        <v>2016</v>
      </c>
      <c r="AW8" s="10" t="s">
        <v>2016</v>
      </c>
      <c r="AX8" s="10" t="s">
        <v>2016</v>
      </c>
      <c r="AY8" s="10" t="s">
        <v>2017</v>
      </c>
      <c r="AZ8" s="10" t="s">
        <v>2018</v>
      </c>
      <c r="BA8" s="10" t="s">
        <v>2018</v>
      </c>
      <c r="BB8" s="10" t="s">
        <v>2018</v>
      </c>
      <c r="BC8" s="10" t="s">
        <v>2018</v>
      </c>
      <c r="BD8" s="10" t="s">
        <v>2018</v>
      </c>
      <c r="BE8" s="10" t="s">
        <v>2018</v>
      </c>
      <c r="BF8" s="10" t="s">
        <v>2018</v>
      </c>
      <c r="BG8" s="10" t="s">
        <v>2019</v>
      </c>
      <c r="BH8" s="10" t="s">
        <v>2020</v>
      </c>
      <c r="BI8" s="10" t="s">
        <v>2020</v>
      </c>
      <c r="BJ8" s="10" t="s">
        <v>2020</v>
      </c>
      <c r="BK8" s="10" t="s">
        <v>2020</v>
      </c>
      <c r="BL8" s="10" t="s">
        <v>2021</v>
      </c>
      <c r="BM8" s="10" t="s">
        <v>2022</v>
      </c>
      <c r="BN8" s="10" t="s">
        <v>2022</v>
      </c>
      <c r="BO8" s="10" t="s">
        <v>2022</v>
      </c>
      <c r="BP8" s="10" t="s">
        <v>2022</v>
      </c>
      <c r="BQ8" s="10" t="s">
        <v>2022</v>
      </c>
      <c r="BR8" s="10" t="s">
        <v>2022</v>
      </c>
      <c r="BS8" s="10" t="s">
        <v>2022</v>
      </c>
      <c r="BT8" s="10" t="s">
        <v>2022</v>
      </c>
      <c r="BU8" s="10" t="s">
        <v>2022</v>
      </c>
      <c r="BV8" s="10" t="s">
        <v>2022</v>
      </c>
      <c r="BW8" s="10" t="s">
        <v>2022</v>
      </c>
      <c r="BX8" s="10" t="s">
        <v>2023</v>
      </c>
      <c r="BY8" s="10" t="s">
        <v>2024</v>
      </c>
      <c r="BZ8" s="10" t="s">
        <v>2024</v>
      </c>
      <c r="CA8" s="10" t="s">
        <v>2024</v>
      </c>
      <c r="CB8" s="10" t="s">
        <v>2024</v>
      </c>
      <c r="CC8" s="10" t="s">
        <v>2024</v>
      </c>
      <c r="CD8" s="10" t="s">
        <v>2024</v>
      </c>
      <c r="CE8" s="10" t="s">
        <v>2024</v>
      </c>
      <c r="CF8" s="10" t="s">
        <v>2024</v>
      </c>
      <c r="CG8" s="10" t="s">
        <v>2024</v>
      </c>
      <c r="CH8" s="10" t="s">
        <v>2024</v>
      </c>
      <c r="CI8" s="10" t="s">
        <v>2024</v>
      </c>
      <c r="CJ8" s="10" t="s">
        <v>2025</v>
      </c>
      <c r="CK8" s="10" t="s">
        <v>2026</v>
      </c>
      <c r="CL8" s="10" t="s">
        <v>2026</v>
      </c>
      <c r="CM8" s="10" t="s">
        <v>2026</v>
      </c>
      <c r="CN8" s="10" t="s">
        <v>2027</v>
      </c>
      <c r="CO8" s="10" t="s">
        <v>2028</v>
      </c>
      <c r="CP8" s="10" t="s">
        <v>2029</v>
      </c>
      <c r="CQ8" s="10" t="s">
        <v>1167</v>
      </c>
      <c r="CR8"/>
      <c r="CS8"/>
    </row>
    <row r="9" spans="1:97" s="10" customFormat="1" ht="29.05" x14ac:dyDescent="0.35">
      <c r="A9" s="111"/>
      <c r="B9" s="255" t="s">
        <v>1223</v>
      </c>
      <c r="C9" s="20" t="s">
        <v>1093</v>
      </c>
      <c r="D9" s="20" t="s">
        <v>1094</v>
      </c>
      <c r="E9" s="20" t="s">
        <v>1095</v>
      </c>
      <c r="F9" s="20" t="s">
        <v>1084</v>
      </c>
      <c r="G9" s="20" t="s">
        <v>1085</v>
      </c>
      <c r="H9" s="20" t="s">
        <v>1086</v>
      </c>
      <c r="I9" s="20" t="s">
        <v>1087</v>
      </c>
      <c r="J9" s="20" t="s">
        <v>1088</v>
      </c>
      <c r="K9" s="20" t="s">
        <v>1091</v>
      </c>
      <c r="M9" s="20" t="s">
        <v>1093</v>
      </c>
      <c r="N9" s="20" t="s">
        <v>1094</v>
      </c>
      <c r="O9" s="20" t="s">
        <v>1095</v>
      </c>
      <c r="P9" s="20" t="s">
        <v>1084</v>
      </c>
      <c r="Q9" s="20" t="s">
        <v>1085</v>
      </c>
      <c r="R9" s="20" t="s">
        <v>1086</v>
      </c>
      <c r="S9" s="20" t="s">
        <v>1087</v>
      </c>
      <c r="T9" s="20" t="s">
        <v>1088</v>
      </c>
      <c r="U9" s="20" t="s">
        <v>1089</v>
      </c>
      <c r="V9" s="20" t="s">
        <v>1090</v>
      </c>
      <c r="W9" s="20" t="s">
        <v>1091</v>
      </c>
      <c r="X9" s="20" t="s">
        <v>1092</v>
      </c>
      <c r="Z9" s="20" t="s">
        <v>1093</v>
      </c>
      <c r="AA9" s="20" t="s">
        <v>1094</v>
      </c>
      <c r="AB9" s="20" t="s">
        <v>1095</v>
      </c>
      <c r="AC9" s="20" t="s">
        <v>1084</v>
      </c>
      <c r="AD9" s="20" t="s">
        <v>1085</v>
      </c>
      <c r="AE9" s="20" t="s">
        <v>1086</v>
      </c>
      <c r="AF9" s="20" t="s">
        <v>1087</v>
      </c>
      <c r="AG9" s="20" t="s">
        <v>1088</v>
      </c>
      <c r="AH9" s="20" t="s">
        <v>1089</v>
      </c>
      <c r="AI9" s="20" t="s">
        <v>1090</v>
      </c>
      <c r="AJ9" s="20" t="s">
        <v>1091</v>
      </c>
      <c r="AK9" s="20" t="s">
        <v>1092</v>
      </c>
      <c r="AM9" s="20" t="s">
        <v>1093</v>
      </c>
      <c r="AN9" s="20" t="s">
        <v>1094</v>
      </c>
      <c r="AO9" s="20" t="s">
        <v>1095</v>
      </c>
      <c r="AP9" s="20" t="s">
        <v>1084</v>
      </c>
      <c r="AQ9" s="20" t="s">
        <v>1085</v>
      </c>
      <c r="AR9" s="20" t="s">
        <v>1086</v>
      </c>
      <c r="AS9" s="20" t="s">
        <v>1087</v>
      </c>
      <c r="AT9" s="20" t="s">
        <v>1088</v>
      </c>
      <c r="AU9" s="20" t="s">
        <v>1089</v>
      </c>
      <c r="AV9" s="20" t="s">
        <v>1090</v>
      </c>
      <c r="AW9" s="20" t="s">
        <v>1091</v>
      </c>
      <c r="AX9" s="20" t="s">
        <v>1092</v>
      </c>
      <c r="AZ9" s="20" t="s">
        <v>1084</v>
      </c>
      <c r="BA9" s="20" t="s">
        <v>1085</v>
      </c>
      <c r="BB9" s="20" t="s">
        <v>1086</v>
      </c>
      <c r="BC9" s="20" t="s">
        <v>1087</v>
      </c>
      <c r="BD9" s="20" t="s">
        <v>1088</v>
      </c>
      <c r="BE9" s="20" t="s">
        <v>1089</v>
      </c>
      <c r="BF9" s="20" t="s">
        <v>1090</v>
      </c>
      <c r="BH9" s="20" t="s">
        <v>1094</v>
      </c>
      <c r="BI9" s="20" t="s">
        <v>1084</v>
      </c>
      <c r="BJ9" s="20" t="s">
        <v>1087</v>
      </c>
      <c r="BK9" s="20" t="s">
        <v>1090</v>
      </c>
      <c r="BM9" s="20" t="s">
        <v>1093</v>
      </c>
      <c r="BN9" s="20" t="s">
        <v>1094</v>
      </c>
      <c r="BO9" s="20" t="s">
        <v>1095</v>
      </c>
      <c r="BP9" s="20" t="s">
        <v>1084</v>
      </c>
      <c r="BQ9" s="20" t="s">
        <v>1085</v>
      </c>
      <c r="BR9" s="20" t="s">
        <v>1086</v>
      </c>
      <c r="BS9" s="20" t="s">
        <v>1087</v>
      </c>
      <c r="BT9" s="20" t="s">
        <v>1088</v>
      </c>
      <c r="BU9" s="20" t="s">
        <v>1090</v>
      </c>
      <c r="BV9" s="20" t="s">
        <v>1091</v>
      </c>
      <c r="BW9" s="20" t="s">
        <v>1092</v>
      </c>
      <c r="BY9" s="20" t="s">
        <v>1093</v>
      </c>
      <c r="BZ9" s="20" t="s">
        <v>1094</v>
      </c>
      <c r="CA9" s="20" t="s">
        <v>1095</v>
      </c>
      <c r="CB9" s="20" t="s">
        <v>1084</v>
      </c>
      <c r="CC9" s="20" t="s">
        <v>1085</v>
      </c>
      <c r="CD9" s="20" t="s">
        <v>1086</v>
      </c>
      <c r="CE9" s="20" t="s">
        <v>1087</v>
      </c>
      <c r="CF9" s="20" t="s">
        <v>1088</v>
      </c>
      <c r="CG9" s="20" t="s">
        <v>1089</v>
      </c>
      <c r="CH9" s="20" t="s">
        <v>1090</v>
      </c>
      <c r="CI9" s="20" t="s">
        <v>1091</v>
      </c>
      <c r="CK9" s="20" t="s">
        <v>1087</v>
      </c>
      <c r="CL9" s="20" t="s">
        <v>1088</v>
      </c>
      <c r="CM9" s="20" t="s">
        <v>1090</v>
      </c>
      <c r="CO9" s="20" t="s">
        <v>1088</v>
      </c>
      <c r="CR9"/>
      <c r="CS9"/>
    </row>
    <row r="10" spans="1:97" ht="14.5" x14ac:dyDescent="0.35">
      <c r="B10" s="9" t="s">
        <v>1738</v>
      </c>
      <c r="C10" s="366"/>
      <c r="D10" s="366">
        <v>1500</v>
      </c>
      <c r="E10" s="366">
        <v>4500</v>
      </c>
      <c r="F10" s="366"/>
      <c r="G10" s="366"/>
      <c r="H10" s="366"/>
      <c r="I10" s="366"/>
      <c r="J10" s="366"/>
      <c r="K10" s="366"/>
      <c r="L10" s="366">
        <v>6000</v>
      </c>
      <c r="M10" s="366">
        <v>1500</v>
      </c>
      <c r="N10" s="366">
        <v>3000</v>
      </c>
      <c r="O10" s="366">
        <v>3000</v>
      </c>
      <c r="P10" s="366">
        <v>1500</v>
      </c>
      <c r="Q10" s="366">
        <v>1500</v>
      </c>
      <c r="R10" s="366">
        <v>1500</v>
      </c>
      <c r="S10" s="366">
        <v>1500</v>
      </c>
      <c r="T10" s="366">
        <v>1500</v>
      </c>
      <c r="U10" s="366">
        <v>1500</v>
      </c>
      <c r="V10" s="366">
        <v>1500</v>
      </c>
      <c r="W10" s="366">
        <v>1500</v>
      </c>
      <c r="X10" s="366">
        <v>1500</v>
      </c>
      <c r="Y10" s="366">
        <v>21000</v>
      </c>
      <c r="Z10" s="366"/>
      <c r="AA10" s="366"/>
      <c r="AB10" s="366"/>
      <c r="AC10" s="366"/>
      <c r="AD10" s="366"/>
      <c r="AE10" s="366"/>
      <c r="AF10" s="366"/>
      <c r="AG10" s="366"/>
      <c r="AH10" s="366"/>
      <c r="AI10" s="366"/>
      <c r="AJ10" s="366"/>
      <c r="AK10" s="366"/>
      <c r="AL10" s="366"/>
      <c r="AM10" s="366"/>
      <c r="AN10" s="366"/>
      <c r="AO10" s="366"/>
      <c r="AP10" s="366"/>
      <c r="AQ10" s="366"/>
      <c r="AR10" s="366"/>
      <c r="AS10" s="366"/>
      <c r="AT10" s="366"/>
      <c r="AU10" s="366"/>
      <c r="AV10" s="366"/>
      <c r="AW10" s="366"/>
      <c r="AX10" s="366"/>
      <c r="AY10" s="366"/>
      <c r="AZ10" s="366"/>
      <c r="BA10" s="366"/>
      <c r="BB10" s="366"/>
      <c r="BC10" s="366"/>
      <c r="BD10" s="366"/>
      <c r="BE10" s="366"/>
      <c r="BF10" s="366"/>
      <c r="BG10" s="366"/>
      <c r="BH10" s="366"/>
      <c r="BI10" s="366"/>
      <c r="BJ10" s="366"/>
      <c r="BK10" s="366"/>
      <c r="BL10" s="366"/>
      <c r="BM10" s="366"/>
      <c r="BN10" s="366"/>
      <c r="BO10" s="366"/>
      <c r="BP10" s="366"/>
      <c r="BQ10" s="366"/>
      <c r="BR10" s="366"/>
      <c r="BS10" s="366"/>
      <c r="BT10" s="366"/>
      <c r="BU10" s="366"/>
      <c r="BV10" s="366"/>
      <c r="BW10" s="366"/>
      <c r="BX10" s="366"/>
      <c r="BY10" s="366"/>
      <c r="BZ10" s="366"/>
      <c r="CA10" s="366"/>
      <c r="CB10" s="366"/>
      <c r="CC10" s="366"/>
      <c r="CD10" s="366"/>
      <c r="CE10" s="366"/>
      <c r="CF10" s="366"/>
      <c r="CG10" s="366"/>
      <c r="CH10" s="366"/>
      <c r="CI10" s="366"/>
      <c r="CJ10" s="366"/>
      <c r="CK10" s="366"/>
      <c r="CL10" s="366"/>
      <c r="CM10" s="366"/>
      <c r="CN10" s="366"/>
      <c r="CO10" s="366"/>
      <c r="CP10" s="366"/>
      <c r="CQ10" s="366">
        <v>27000</v>
      </c>
      <c r="CR10"/>
      <c r="CS10"/>
    </row>
    <row r="11" spans="1:97" ht="14.5" x14ac:dyDescent="0.35">
      <c r="B11" s="9" t="s">
        <v>1744</v>
      </c>
      <c r="C11" s="366"/>
      <c r="D11" s="366"/>
      <c r="E11" s="366">
        <v>2600</v>
      </c>
      <c r="F11" s="366"/>
      <c r="G11" s="366"/>
      <c r="H11" s="366"/>
      <c r="I11" s="366"/>
      <c r="J11" s="366"/>
      <c r="K11" s="366"/>
      <c r="L11" s="366">
        <v>2600</v>
      </c>
      <c r="M11" s="366">
        <v>1300</v>
      </c>
      <c r="N11" s="366">
        <v>1300</v>
      </c>
      <c r="O11" s="366">
        <v>2600</v>
      </c>
      <c r="P11" s="366">
        <v>1300</v>
      </c>
      <c r="Q11" s="366">
        <v>1300</v>
      </c>
      <c r="R11" s="366">
        <v>1300</v>
      </c>
      <c r="S11" s="366">
        <v>1300</v>
      </c>
      <c r="T11" s="366">
        <v>1300</v>
      </c>
      <c r="U11" s="366"/>
      <c r="V11" s="366">
        <v>1300</v>
      </c>
      <c r="W11" s="366">
        <v>1300</v>
      </c>
      <c r="X11" s="366">
        <v>1300</v>
      </c>
      <c r="Y11" s="366">
        <v>15600</v>
      </c>
      <c r="Z11" s="366"/>
      <c r="AA11" s="366"/>
      <c r="AB11" s="366"/>
      <c r="AC11" s="366"/>
      <c r="AD11" s="366"/>
      <c r="AE11" s="366"/>
      <c r="AF11" s="366"/>
      <c r="AG11" s="366"/>
      <c r="AH11" s="366"/>
      <c r="AI11" s="366"/>
      <c r="AJ11" s="366"/>
      <c r="AK11" s="366"/>
      <c r="AL11" s="366"/>
      <c r="AM11" s="366"/>
      <c r="AN11" s="366"/>
      <c r="AO11" s="366"/>
      <c r="AP11" s="366"/>
      <c r="AQ11" s="366"/>
      <c r="AR11" s="366"/>
      <c r="AS11" s="366"/>
      <c r="AT11" s="366"/>
      <c r="AU11" s="366"/>
      <c r="AV11" s="366"/>
      <c r="AW11" s="366"/>
      <c r="AX11" s="366"/>
      <c r="AY11" s="366"/>
      <c r="AZ11" s="366"/>
      <c r="BA11" s="366"/>
      <c r="BB11" s="366"/>
      <c r="BC11" s="366"/>
      <c r="BD11" s="366"/>
      <c r="BE11" s="366"/>
      <c r="BF11" s="366"/>
      <c r="BG11" s="366"/>
      <c r="BH11" s="366"/>
      <c r="BI11" s="366"/>
      <c r="BJ11" s="366"/>
      <c r="BK11" s="366"/>
      <c r="BL11" s="366"/>
      <c r="BM11" s="366"/>
      <c r="BN11" s="366"/>
      <c r="BO11" s="366"/>
      <c r="BP11" s="366"/>
      <c r="BQ11" s="366"/>
      <c r="BR11" s="366"/>
      <c r="BS11" s="366"/>
      <c r="BT11" s="366"/>
      <c r="BU11" s="366"/>
      <c r="BV11" s="366"/>
      <c r="BW11" s="366"/>
      <c r="BX11" s="366"/>
      <c r="BY11" s="366"/>
      <c r="BZ11" s="366"/>
      <c r="CA11" s="366"/>
      <c r="CB11" s="366"/>
      <c r="CC11" s="366"/>
      <c r="CD11" s="366"/>
      <c r="CE11" s="366"/>
      <c r="CF11" s="366"/>
      <c r="CG11" s="366"/>
      <c r="CH11" s="366"/>
      <c r="CI11" s="366"/>
      <c r="CJ11" s="366"/>
      <c r="CK11" s="366"/>
      <c r="CL11" s="366"/>
      <c r="CM11" s="366"/>
      <c r="CN11" s="366"/>
      <c r="CO11" s="366"/>
      <c r="CP11" s="366"/>
      <c r="CQ11" s="366">
        <v>18200</v>
      </c>
      <c r="CR11"/>
      <c r="CS11"/>
    </row>
    <row r="12" spans="1:97" ht="14.5" x14ac:dyDescent="0.35">
      <c r="B12" s="9" t="s">
        <v>1759</v>
      </c>
      <c r="C12" s="366">
        <v>628.26</v>
      </c>
      <c r="D12" s="366">
        <v>3235.94</v>
      </c>
      <c r="E12" s="366">
        <v>700</v>
      </c>
      <c r="F12" s="366"/>
      <c r="G12" s="366"/>
      <c r="H12" s="366"/>
      <c r="I12" s="366"/>
      <c r="J12" s="366"/>
      <c r="K12" s="366"/>
      <c r="L12" s="366">
        <v>4564.2</v>
      </c>
      <c r="M12" s="366">
        <v>700</v>
      </c>
      <c r="N12" s="366">
        <v>700</v>
      </c>
      <c r="O12" s="366">
        <v>700</v>
      </c>
      <c r="P12" s="366">
        <v>1400</v>
      </c>
      <c r="Q12" s="366">
        <v>1400</v>
      </c>
      <c r="R12" s="366">
        <v>700</v>
      </c>
      <c r="S12" s="366">
        <v>1400</v>
      </c>
      <c r="T12" s="366"/>
      <c r="U12" s="366"/>
      <c r="V12" s="366">
        <v>700</v>
      </c>
      <c r="W12" s="366">
        <v>700</v>
      </c>
      <c r="X12" s="366">
        <v>700</v>
      </c>
      <c r="Y12" s="366">
        <v>9100</v>
      </c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366"/>
      <c r="AZ12" s="366"/>
      <c r="BA12" s="366"/>
      <c r="BB12" s="366"/>
      <c r="BC12" s="366"/>
      <c r="BD12" s="366"/>
      <c r="BE12" s="366"/>
      <c r="BF12" s="366"/>
      <c r="BG12" s="366"/>
      <c r="BH12" s="366"/>
      <c r="BI12" s="366"/>
      <c r="BJ12" s="366"/>
      <c r="BK12" s="366"/>
      <c r="BL12" s="366"/>
      <c r="BM12" s="366"/>
      <c r="BN12" s="366"/>
      <c r="BO12" s="366"/>
      <c r="BP12" s="366"/>
      <c r="BQ12" s="366"/>
      <c r="BR12" s="366"/>
      <c r="BS12" s="366"/>
      <c r="BT12" s="366"/>
      <c r="BU12" s="366"/>
      <c r="BV12" s="366"/>
      <c r="BW12" s="366"/>
      <c r="BX12" s="366"/>
      <c r="BY12" s="366"/>
      <c r="BZ12" s="366"/>
      <c r="CA12" s="366"/>
      <c r="CB12" s="366"/>
      <c r="CC12" s="366"/>
      <c r="CD12" s="366"/>
      <c r="CE12" s="366"/>
      <c r="CF12" s="366"/>
      <c r="CG12" s="366"/>
      <c r="CH12" s="366"/>
      <c r="CI12" s="366"/>
      <c r="CJ12" s="366"/>
      <c r="CK12" s="366"/>
      <c r="CL12" s="366"/>
      <c r="CM12" s="366"/>
      <c r="CN12" s="366"/>
      <c r="CO12" s="366"/>
      <c r="CP12" s="366"/>
      <c r="CQ12" s="366">
        <v>13664.2</v>
      </c>
      <c r="CR12"/>
      <c r="CS12"/>
    </row>
    <row r="13" spans="1:97" ht="14.5" x14ac:dyDescent="0.35">
      <c r="B13" s="9" t="s">
        <v>1771</v>
      </c>
      <c r="C13" s="366"/>
      <c r="D13" s="366">
        <v>4162.2299999999996</v>
      </c>
      <c r="E13" s="366"/>
      <c r="F13" s="366"/>
      <c r="G13" s="366"/>
      <c r="H13" s="366"/>
      <c r="I13" s="366"/>
      <c r="J13" s="366"/>
      <c r="K13" s="366"/>
      <c r="L13" s="366">
        <v>4162.2299999999996</v>
      </c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366"/>
      <c r="AZ13" s="366"/>
      <c r="BA13" s="366"/>
      <c r="BB13" s="366"/>
      <c r="BC13" s="366"/>
      <c r="BD13" s="366"/>
      <c r="BE13" s="366"/>
      <c r="BF13" s="366"/>
      <c r="BG13" s="366"/>
      <c r="BH13" s="366"/>
      <c r="BI13" s="366"/>
      <c r="BJ13" s="366"/>
      <c r="BK13" s="366"/>
      <c r="BL13" s="366"/>
      <c r="BM13" s="366"/>
      <c r="BN13" s="366"/>
      <c r="BO13" s="366"/>
      <c r="BP13" s="366"/>
      <c r="BQ13" s="366"/>
      <c r="BR13" s="366"/>
      <c r="BS13" s="366"/>
      <c r="BT13" s="366"/>
      <c r="BU13" s="366"/>
      <c r="BV13" s="366"/>
      <c r="BW13" s="366"/>
      <c r="BX13" s="366"/>
      <c r="BY13" s="366"/>
      <c r="BZ13" s="366"/>
      <c r="CA13" s="366"/>
      <c r="CB13" s="366"/>
      <c r="CC13" s="366"/>
      <c r="CD13" s="366"/>
      <c r="CE13" s="366"/>
      <c r="CF13" s="366"/>
      <c r="CG13" s="366"/>
      <c r="CH13" s="366"/>
      <c r="CI13" s="366"/>
      <c r="CJ13" s="366"/>
      <c r="CK13" s="366"/>
      <c r="CL13" s="366"/>
      <c r="CM13" s="366"/>
      <c r="CN13" s="366"/>
      <c r="CO13" s="366"/>
      <c r="CP13" s="366"/>
      <c r="CQ13" s="366">
        <v>4162.2299999999996</v>
      </c>
      <c r="CR13"/>
      <c r="CS13"/>
    </row>
    <row r="14" spans="1:97" ht="14.5" x14ac:dyDescent="0.35">
      <c r="B14" s="9" t="s">
        <v>1746</v>
      </c>
      <c r="C14" s="366"/>
      <c r="D14" s="366">
        <v>85.5</v>
      </c>
      <c r="E14" s="366">
        <v>85.5</v>
      </c>
      <c r="F14" s="366"/>
      <c r="G14" s="366"/>
      <c r="H14" s="366"/>
      <c r="I14" s="366"/>
      <c r="J14" s="366"/>
      <c r="K14" s="366"/>
      <c r="L14" s="366">
        <v>171</v>
      </c>
      <c r="M14" s="366">
        <v>85.5</v>
      </c>
      <c r="N14" s="366"/>
      <c r="O14" s="366"/>
      <c r="P14" s="366">
        <v>85.5</v>
      </c>
      <c r="Q14" s="366">
        <v>85.5</v>
      </c>
      <c r="R14" s="366">
        <v>85.5</v>
      </c>
      <c r="S14" s="366">
        <v>85.5</v>
      </c>
      <c r="T14" s="366">
        <v>85.5</v>
      </c>
      <c r="U14" s="366">
        <v>85.5</v>
      </c>
      <c r="V14" s="366">
        <v>85.5</v>
      </c>
      <c r="W14" s="366">
        <v>85.5</v>
      </c>
      <c r="X14" s="366">
        <v>85.5</v>
      </c>
      <c r="Y14" s="366">
        <v>855</v>
      </c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366"/>
      <c r="AZ14" s="366"/>
      <c r="BA14" s="366"/>
      <c r="BB14" s="366"/>
      <c r="BC14" s="366"/>
      <c r="BD14" s="366"/>
      <c r="BE14" s="366"/>
      <c r="BF14" s="366"/>
      <c r="BG14" s="366"/>
      <c r="BH14" s="366"/>
      <c r="BI14" s="366"/>
      <c r="BJ14" s="366"/>
      <c r="BK14" s="366"/>
      <c r="BL14" s="366"/>
      <c r="BM14" s="366"/>
      <c r="BN14" s="366"/>
      <c r="BO14" s="366"/>
      <c r="BP14" s="366"/>
      <c r="BQ14" s="366"/>
      <c r="BR14" s="366"/>
      <c r="BS14" s="366"/>
      <c r="BT14" s="366"/>
      <c r="BU14" s="366"/>
      <c r="BV14" s="366"/>
      <c r="BW14" s="366"/>
      <c r="BX14" s="366"/>
      <c r="BY14" s="366"/>
      <c r="BZ14" s="366"/>
      <c r="CA14" s="366"/>
      <c r="CB14" s="366"/>
      <c r="CC14" s="366"/>
      <c r="CD14" s="366"/>
      <c r="CE14" s="366"/>
      <c r="CF14" s="366"/>
      <c r="CG14" s="366"/>
      <c r="CH14" s="366"/>
      <c r="CI14" s="366"/>
      <c r="CJ14" s="366"/>
      <c r="CK14" s="366"/>
      <c r="CL14" s="366"/>
      <c r="CM14" s="366"/>
      <c r="CN14" s="366"/>
      <c r="CO14" s="366"/>
      <c r="CP14" s="366"/>
      <c r="CQ14" s="366">
        <v>1026</v>
      </c>
      <c r="CR14"/>
      <c r="CS14"/>
    </row>
    <row r="15" spans="1:97" ht="29.05" x14ac:dyDescent="0.35">
      <c r="B15" s="9" t="s">
        <v>1770</v>
      </c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366"/>
      <c r="AZ15" s="366"/>
      <c r="BA15" s="366"/>
      <c r="BB15" s="366"/>
      <c r="BC15" s="366"/>
      <c r="BD15" s="366"/>
      <c r="BE15" s="366"/>
      <c r="BF15" s="366"/>
      <c r="BG15" s="366"/>
      <c r="BH15" s="366"/>
      <c r="BI15" s="366"/>
      <c r="BJ15" s="366"/>
      <c r="BK15" s="366"/>
      <c r="BL15" s="366"/>
      <c r="BM15" s="366"/>
      <c r="BN15" s="366"/>
      <c r="BO15" s="366"/>
      <c r="BP15" s="366"/>
      <c r="BQ15" s="366"/>
      <c r="BR15" s="366"/>
      <c r="BS15" s="366"/>
      <c r="BT15" s="366">
        <v>69755.69</v>
      </c>
      <c r="BU15" s="366"/>
      <c r="BV15" s="366"/>
      <c r="BW15" s="366"/>
      <c r="BX15" s="366">
        <v>69755.69</v>
      </c>
      <c r="BY15" s="366"/>
      <c r="BZ15" s="366"/>
      <c r="CA15" s="366"/>
      <c r="CB15" s="366"/>
      <c r="CC15" s="366"/>
      <c r="CD15" s="366"/>
      <c r="CE15" s="366"/>
      <c r="CF15" s="366"/>
      <c r="CG15" s="366"/>
      <c r="CH15" s="366"/>
      <c r="CI15" s="366"/>
      <c r="CJ15" s="366"/>
      <c r="CK15" s="366"/>
      <c r="CL15" s="366"/>
      <c r="CM15" s="366"/>
      <c r="CN15" s="366"/>
      <c r="CO15" s="366"/>
      <c r="CP15" s="366"/>
      <c r="CQ15" s="366">
        <v>69755.69</v>
      </c>
      <c r="CR15"/>
      <c r="CS15"/>
    </row>
    <row r="16" spans="1:97" ht="14.5" x14ac:dyDescent="0.35">
      <c r="B16" s="9" t="s">
        <v>1747</v>
      </c>
      <c r="C16" s="366"/>
      <c r="D16" s="366">
        <v>875</v>
      </c>
      <c r="E16" s="366">
        <v>875</v>
      </c>
      <c r="F16" s="366"/>
      <c r="G16" s="366"/>
      <c r="H16" s="366"/>
      <c r="I16" s="366"/>
      <c r="J16" s="366"/>
      <c r="K16" s="366"/>
      <c r="L16" s="366">
        <v>1750</v>
      </c>
      <c r="M16" s="366"/>
      <c r="N16" s="366"/>
      <c r="O16" s="366"/>
      <c r="P16" s="366">
        <v>875</v>
      </c>
      <c r="Q16" s="366">
        <v>875</v>
      </c>
      <c r="R16" s="366"/>
      <c r="S16" s="366"/>
      <c r="T16" s="366"/>
      <c r="U16" s="366"/>
      <c r="V16" s="366"/>
      <c r="W16" s="366"/>
      <c r="X16" s="366"/>
      <c r="Y16" s="366">
        <v>1750</v>
      </c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366"/>
      <c r="AZ16" s="366"/>
      <c r="BA16" s="366"/>
      <c r="BB16" s="366"/>
      <c r="BC16" s="366"/>
      <c r="BD16" s="366"/>
      <c r="BE16" s="366"/>
      <c r="BF16" s="366"/>
      <c r="BG16" s="366"/>
      <c r="BH16" s="366"/>
      <c r="BI16" s="366"/>
      <c r="BJ16" s="366"/>
      <c r="BK16" s="366"/>
      <c r="BL16" s="366"/>
      <c r="BM16" s="366"/>
      <c r="BN16" s="366"/>
      <c r="BO16" s="366"/>
      <c r="BP16" s="366"/>
      <c r="BQ16" s="366"/>
      <c r="BR16" s="366"/>
      <c r="BS16" s="366"/>
      <c r="BT16" s="366"/>
      <c r="BU16" s="366"/>
      <c r="BV16" s="366"/>
      <c r="BW16" s="366"/>
      <c r="BX16" s="366"/>
      <c r="BY16" s="366"/>
      <c r="BZ16" s="366"/>
      <c r="CA16" s="366"/>
      <c r="CB16" s="366"/>
      <c r="CC16" s="366"/>
      <c r="CD16" s="366"/>
      <c r="CE16" s="366"/>
      <c r="CF16" s="366"/>
      <c r="CG16" s="366"/>
      <c r="CH16" s="366"/>
      <c r="CI16" s="366"/>
      <c r="CJ16" s="366"/>
      <c r="CK16" s="366"/>
      <c r="CL16" s="366"/>
      <c r="CM16" s="366"/>
      <c r="CN16" s="366"/>
      <c r="CO16" s="366"/>
      <c r="CP16" s="366"/>
      <c r="CQ16" s="366">
        <v>3500</v>
      </c>
      <c r="CR16"/>
      <c r="CS16"/>
    </row>
    <row r="17" spans="2:97" ht="14.5" x14ac:dyDescent="0.35">
      <c r="B17" s="9" t="s">
        <v>1769</v>
      </c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366"/>
      <c r="AZ17" s="366"/>
      <c r="BA17" s="366"/>
      <c r="BB17" s="366"/>
      <c r="BC17" s="366"/>
      <c r="BD17" s="366"/>
      <c r="BE17" s="366"/>
      <c r="BF17" s="366"/>
      <c r="BG17" s="366"/>
      <c r="BH17" s="366"/>
      <c r="BI17" s="366"/>
      <c r="BJ17" s="366"/>
      <c r="BK17" s="366"/>
      <c r="BL17" s="366"/>
      <c r="BM17" s="366"/>
      <c r="BN17" s="366"/>
      <c r="BO17" s="366"/>
      <c r="BP17" s="366"/>
      <c r="BQ17" s="366"/>
      <c r="BR17" s="366"/>
      <c r="BS17" s="366"/>
      <c r="BT17" s="366"/>
      <c r="BU17" s="366"/>
      <c r="BV17" s="366"/>
      <c r="BW17" s="366"/>
      <c r="BX17" s="366"/>
      <c r="BY17" s="366"/>
      <c r="BZ17" s="366"/>
      <c r="CA17" s="366"/>
      <c r="CB17" s="366"/>
      <c r="CC17" s="366"/>
      <c r="CD17" s="366">
        <v>98746.6</v>
      </c>
      <c r="CE17" s="366"/>
      <c r="CF17" s="366"/>
      <c r="CG17" s="366"/>
      <c r="CH17" s="366"/>
      <c r="CI17" s="366"/>
      <c r="CJ17" s="366">
        <v>98746.6</v>
      </c>
      <c r="CK17" s="366"/>
      <c r="CL17" s="366"/>
      <c r="CM17" s="366"/>
      <c r="CN17" s="366"/>
      <c r="CO17" s="366"/>
      <c r="CP17" s="366"/>
      <c r="CQ17" s="366">
        <v>98746.6</v>
      </c>
      <c r="CR17"/>
      <c r="CS17"/>
    </row>
    <row r="18" spans="2:97" ht="14.5" x14ac:dyDescent="0.35">
      <c r="B18" s="9" t="s">
        <v>1761</v>
      </c>
      <c r="C18" s="366"/>
      <c r="D18" s="366">
        <v>704.72</v>
      </c>
      <c r="E18" s="366">
        <v>704.72</v>
      </c>
      <c r="F18" s="366"/>
      <c r="G18" s="366"/>
      <c r="H18" s="366"/>
      <c r="I18" s="366"/>
      <c r="J18" s="366"/>
      <c r="K18" s="366"/>
      <c r="L18" s="366">
        <v>1409.44</v>
      </c>
      <c r="M18" s="366">
        <v>704.72</v>
      </c>
      <c r="N18" s="366">
        <v>704.72</v>
      </c>
      <c r="O18" s="366">
        <v>704.72</v>
      </c>
      <c r="P18" s="366">
        <v>704.72</v>
      </c>
      <c r="Q18" s="366">
        <v>704.72</v>
      </c>
      <c r="R18" s="366">
        <v>704.72</v>
      </c>
      <c r="S18" s="366">
        <v>704.72</v>
      </c>
      <c r="T18" s="366">
        <v>704.72</v>
      </c>
      <c r="U18" s="366">
        <v>704.72</v>
      </c>
      <c r="V18" s="366">
        <v>704.72</v>
      </c>
      <c r="W18" s="366">
        <v>704.72</v>
      </c>
      <c r="X18" s="366">
        <v>704.72</v>
      </c>
      <c r="Y18" s="366">
        <v>8456.6400000000012</v>
      </c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AY18" s="366"/>
      <c r="AZ18" s="366"/>
      <c r="BA18" s="366"/>
      <c r="BB18" s="366"/>
      <c r="BC18" s="366"/>
      <c r="BD18" s="366"/>
      <c r="BE18" s="366"/>
      <c r="BF18" s="366"/>
      <c r="BG18" s="366"/>
      <c r="BH18" s="366"/>
      <c r="BI18" s="366"/>
      <c r="BJ18" s="366"/>
      <c r="BK18" s="366"/>
      <c r="BL18" s="366"/>
      <c r="BM18" s="366"/>
      <c r="BN18" s="366"/>
      <c r="BO18" s="366"/>
      <c r="BP18" s="366"/>
      <c r="BQ18" s="366"/>
      <c r="BR18" s="366"/>
      <c r="BS18" s="366"/>
      <c r="BT18" s="366"/>
      <c r="BU18" s="366"/>
      <c r="BV18" s="366"/>
      <c r="BW18" s="366"/>
      <c r="BX18" s="366"/>
      <c r="BY18" s="366"/>
      <c r="BZ18" s="366"/>
      <c r="CA18" s="366"/>
      <c r="CB18" s="366"/>
      <c r="CC18" s="366"/>
      <c r="CD18" s="366"/>
      <c r="CE18" s="366"/>
      <c r="CF18" s="366"/>
      <c r="CG18" s="366"/>
      <c r="CH18" s="366"/>
      <c r="CI18" s="366"/>
      <c r="CJ18" s="366"/>
      <c r="CK18" s="366"/>
      <c r="CL18" s="366"/>
      <c r="CM18" s="366"/>
      <c r="CN18" s="366"/>
      <c r="CO18" s="366"/>
      <c r="CP18" s="366"/>
      <c r="CQ18" s="366">
        <v>9866.08</v>
      </c>
      <c r="CR18"/>
      <c r="CS18"/>
    </row>
    <row r="19" spans="2:97" ht="29.05" x14ac:dyDescent="0.35">
      <c r="B19" s="9" t="s">
        <v>1749</v>
      </c>
      <c r="C19" s="366"/>
      <c r="D19" s="366">
        <v>1200</v>
      </c>
      <c r="E19" s="366">
        <v>1200</v>
      </c>
      <c r="F19" s="366"/>
      <c r="G19" s="366"/>
      <c r="H19" s="366"/>
      <c r="I19" s="366"/>
      <c r="J19" s="366"/>
      <c r="K19" s="366"/>
      <c r="L19" s="366">
        <v>2400</v>
      </c>
      <c r="M19" s="366">
        <v>1200</v>
      </c>
      <c r="N19" s="366">
        <v>1200</v>
      </c>
      <c r="O19" s="366">
        <v>1200</v>
      </c>
      <c r="P19" s="366">
        <v>1200</v>
      </c>
      <c r="Q19" s="366">
        <v>1200</v>
      </c>
      <c r="R19" s="366">
        <v>1200</v>
      </c>
      <c r="S19" s="366">
        <v>1200</v>
      </c>
      <c r="T19" s="366">
        <v>1200</v>
      </c>
      <c r="U19" s="366">
        <v>1200</v>
      </c>
      <c r="V19" s="366">
        <v>1200</v>
      </c>
      <c r="W19" s="366">
        <v>1200</v>
      </c>
      <c r="X19" s="366">
        <v>1200</v>
      </c>
      <c r="Y19" s="366">
        <v>14400</v>
      </c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AY19" s="366"/>
      <c r="AZ19" s="366"/>
      <c r="BA19" s="366"/>
      <c r="BB19" s="366"/>
      <c r="BC19" s="366"/>
      <c r="BD19" s="366"/>
      <c r="BE19" s="366"/>
      <c r="BF19" s="366"/>
      <c r="BG19" s="366"/>
      <c r="BH19" s="366"/>
      <c r="BI19" s="366"/>
      <c r="BJ19" s="366"/>
      <c r="BK19" s="366"/>
      <c r="BL19" s="366"/>
      <c r="BM19" s="366"/>
      <c r="BN19" s="366"/>
      <c r="BO19" s="366"/>
      <c r="BP19" s="366"/>
      <c r="BQ19" s="366"/>
      <c r="BR19" s="366"/>
      <c r="BS19" s="366"/>
      <c r="BT19" s="366"/>
      <c r="BU19" s="366"/>
      <c r="BV19" s="366"/>
      <c r="BW19" s="366"/>
      <c r="BX19" s="366"/>
      <c r="BY19" s="366"/>
      <c r="BZ19" s="366"/>
      <c r="CA19" s="366"/>
      <c r="CB19" s="366"/>
      <c r="CC19" s="366"/>
      <c r="CD19" s="366"/>
      <c r="CE19" s="366"/>
      <c r="CF19" s="366"/>
      <c r="CG19" s="366"/>
      <c r="CH19" s="366"/>
      <c r="CI19" s="366"/>
      <c r="CJ19" s="366"/>
      <c r="CK19" s="366"/>
      <c r="CL19" s="366"/>
      <c r="CM19" s="366"/>
      <c r="CN19" s="366"/>
      <c r="CO19" s="366"/>
      <c r="CP19" s="366"/>
      <c r="CQ19" s="366">
        <v>16800</v>
      </c>
      <c r="CR19"/>
      <c r="CS19"/>
    </row>
    <row r="20" spans="2:97" ht="14.5" x14ac:dyDescent="0.35">
      <c r="B20" s="9" t="s">
        <v>1768</v>
      </c>
      <c r="C20" s="366"/>
      <c r="D20" s="366"/>
      <c r="E20" s="366">
        <v>170.34</v>
      </c>
      <c r="F20" s="366"/>
      <c r="G20" s="366"/>
      <c r="H20" s="366"/>
      <c r="I20" s="366"/>
      <c r="J20" s="366"/>
      <c r="K20" s="366"/>
      <c r="L20" s="366">
        <v>170.34</v>
      </c>
      <c r="M20" s="366"/>
      <c r="N20" s="366"/>
      <c r="O20" s="366">
        <v>170.34</v>
      </c>
      <c r="P20" s="366"/>
      <c r="Q20" s="366"/>
      <c r="R20" s="366">
        <v>170.34</v>
      </c>
      <c r="S20" s="366"/>
      <c r="T20" s="366"/>
      <c r="U20" s="366">
        <v>170.34</v>
      </c>
      <c r="V20" s="366"/>
      <c r="W20" s="366"/>
      <c r="X20" s="366">
        <v>170.34</v>
      </c>
      <c r="Y20" s="366">
        <v>681.36</v>
      </c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AY20" s="366"/>
      <c r="AZ20" s="366"/>
      <c r="BA20" s="366"/>
      <c r="BB20" s="366"/>
      <c r="BC20" s="366"/>
      <c r="BD20" s="366"/>
      <c r="BE20" s="366"/>
      <c r="BF20" s="366"/>
      <c r="BG20" s="366"/>
      <c r="BH20" s="366"/>
      <c r="BI20" s="366"/>
      <c r="BJ20" s="366"/>
      <c r="BK20" s="366"/>
      <c r="BL20" s="366"/>
      <c r="BM20" s="366"/>
      <c r="BN20" s="366"/>
      <c r="BO20" s="366"/>
      <c r="BP20" s="366"/>
      <c r="BQ20" s="366"/>
      <c r="BR20" s="366"/>
      <c r="BS20" s="366"/>
      <c r="BT20" s="366"/>
      <c r="BU20" s="366"/>
      <c r="BV20" s="366"/>
      <c r="BW20" s="366"/>
      <c r="BX20" s="366"/>
      <c r="BY20" s="366"/>
      <c r="BZ20" s="366"/>
      <c r="CA20" s="366"/>
      <c r="CB20" s="366"/>
      <c r="CC20" s="366"/>
      <c r="CD20" s="366"/>
      <c r="CE20" s="366"/>
      <c r="CF20" s="366"/>
      <c r="CG20" s="366"/>
      <c r="CH20" s="366"/>
      <c r="CI20" s="366"/>
      <c r="CJ20" s="366"/>
      <c r="CK20" s="366"/>
      <c r="CL20" s="366"/>
      <c r="CM20" s="366"/>
      <c r="CN20" s="366"/>
      <c r="CO20" s="366"/>
      <c r="CP20" s="366"/>
      <c r="CQ20" s="366">
        <v>851.7</v>
      </c>
      <c r="CR20"/>
      <c r="CS20"/>
    </row>
    <row r="21" spans="2:97" ht="14.5" x14ac:dyDescent="0.35">
      <c r="B21" s="9" t="s">
        <v>1772</v>
      </c>
      <c r="C21" s="366"/>
      <c r="D21" s="366">
        <v>132.63999999999999</v>
      </c>
      <c r="E21" s="366"/>
      <c r="F21" s="366"/>
      <c r="G21" s="366"/>
      <c r="H21" s="366"/>
      <c r="I21" s="366"/>
      <c r="J21" s="366"/>
      <c r="K21" s="366"/>
      <c r="L21" s="366">
        <v>132.63999999999999</v>
      </c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AY21" s="366"/>
      <c r="AZ21" s="366"/>
      <c r="BA21" s="366"/>
      <c r="BB21" s="366"/>
      <c r="BC21" s="366"/>
      <c r="BD21" s="366"/>
      <c r="BE21" s="366"/>
      <c r="BF21" s="366"/>
      <c r="BG21" s="366"/>
      <c r="BH21" s="366"/>
      <c r="BI21" s="366"/>
      <c r="BJ21" s="366"/>
      <c r="BK21" s="366"/>
      <c r="BL21" s="366"/>
      <c r="BM21" s="366"/>
      <c r="BN21" s="366"/>
      <c r="BO21" s="366"/>
      <c r="BP21" s="366"/>
      <c r="BQ21" s="366"/>
      <c r="BR21" s="366"/>
      <c r="BS21" s="366"/>
      <c r="BT21" s="366"/>
      <c r="BU21" s="366"/>
      <c r="BV21" s="366"/>
      <c r="BW21" s="366"/>
      <c r="BX21" s="366"/>
      <c r="BY21" s="366"/>
      <c r="BZ21" s="366"/>
      <c r="CA21" s="366"/>
      <c r="CB21" s="366"/>
      <c r="CC21" s="366"/>
      <c r="CD21" s="366"/>
      <c r="CE21" s="366"/>
      <c r="CF21" s="366"/>
      <c r="CG21" s="366"/>
      <c r="CH21" s="366"/>
      <c r="CI21" s="366"/>
      <c r="CJ21" s="366"/>
      <c r="CK21" s="366"/>
      <c r="CL21" s="366"/>
      <c r="CM21" s="366"/>
      <c r="CN21" s="366"/>
      <c r="CO21" s="366"/>
      <c r="CP21" s="366"/>
      <c r="CQ21" s="366">
        <v>132.63999999999999</v>
      </c>
      <c r="CR21"/>
      <c r="CS21"/>
    </row>
    <row r="22" spans="2:97" ht="14.5" x14ac:dyDescent="0.35">
      <c r="B22" s="9" t="s">
        <v>1752</v>
      </c>
      <c r="C22" s="366"/>
      <c r="D22" s="366"/>
      <c r="E22" s="366">
        <v>2000</v>
      </c>
      <c r="F22" s="366"/>
      <c r="G22" s="366"/>
      <c r="H22" s="366"/>
      <c r="I22" s="366"/>
      <c r="J22" s="366"/>
      <c r="K22" s="366"/>
      <c r="L22" s="366">
        <v>2000</v>
      </c>
      <c r="M22" s="366">
        <v>2000</v>
      </c>
      <c r="N22" s="366">
        <v>2000</v>
      </c>
      <c r="O22" s="366">
        <v>2000</v>
      </c>
      <c r="P22" s="366">
        <v>2000</v>
      </c>
      <c r="Q22" s="366">
        <v>2000</v>
      </c>
      <c r="R22" s="366">
        <v>2000</v>
      </c>
      <c r="S22" s="366">
        <v>2000</v>
      </c>
      <c r="T22" s="366">
        <v>2000</v>
      </c>
      <c r="U22" s="366">
        <v>2000</v>
      </c>
      <c r="V22" s="366">
        <v>2000</v>
      </c>
      <c r="W22" s="366">
        <v>2000</v>
      </c>
      <c r="X22" s="366">
        <v>2000</v>
      </c>
      <c r="Y22" s="366">
        <v>24000</v>
      </c>
      <c r="Z22" s="366">
        <v>2000</v>
      </c>
      <c r="AA22" s="366">
        <v>2000</v>
      </c>
      <c r="AB22" s="366">
        <v>2000</v>
      </c>
      <c r="AC22" s="366">
        <v>2000</v>
      </c>
      <c r="AD22" s="366">
        <v>2000</v>
      </c>
      <c r="AE22" s="366">
        <v>2000</v>
      </c>
      <c r="AF22" s="366">
        <v>2000</v>
      </c>
      <c r="AG22" s="366">
        <v>2000</v>
      </c>
      <c r="AH22" s="366">
        <v>2000</v>
      </c>
      <c r="AI22" s="366">
        <v>2000</v>
      </c>
      <c r="AJ22" s="366">
        <v>2000</v>
      </c>
      <c r="AK22" s="366">
        <v>2000</v>
      </c>
      <c r="AL22" s="366">
        <v>24000</v>
      </c>
      <c r="AM22" s="366">
        <v>2000</v>
      </c>
      <c r="AN22" s="366">
        <v>2000</v>
      </c>
      <c r="AO22" s="366">
        <v>2000</v>
      </c>
      <c r="AP22" s="366">
        <v>2000</v>
      </c>
      <c r="AQ22" s="366">
        <v>2000</v>
      </c>
      <c r="AR22" s="366">
        <v>2000</v>
      </c>
      <c r="AS22" s="366">
        <v>2000</v>
      </c>
      <c r="AT22" s="366">
        <v>2000</v>
      </c>
      <c r="AU22" s="366">
        <v>2000</v>
      </c>
      <c r="AV22" s="366">
        <v>2000</v>
      </c>
      <c r="AW22" s="366">
        <v>2000</v>
      </c>
      <c r="AX22" s="366">
        <v>2000</v>
      </c>
      <c r="AY22" s="366">
        <v>24000</v>
      </c>
      <c r="AZ22" s="366">
        <v>2000</v>
      </c>
      <c r="BA22" s="366">
        <v>2000</v>
      </c>
      <c r="BB22" s="366">
        <v>2000</v>
      </c>
      <c r="BC22" s="366">
        <v>2000</v>
      </c>
      <c r="BD22" s="366">
        <v>2000</v>
      </c>
      <c r="BE22" s="366">
        <v>2000</v>
      </c>
      <c r="BF22" s="366">
        <v>2000</v>
      </c>
      <c r="BG22" s="366">
        <v>14000</v>
      </c>
      <c r="BH22" s="366"/>
      <c r="BI22" s="366"/>
      <c r="BJ22" s="366"/>
      <c r="BK22" s="366"/>
      <c r="BL22" s="366"/>
      <c r="BM22" s="366"/>
      <c r="BN22" s="366"/>
      <c r="BO22" s="366"/>
      <c r="BP22" s="366"/>
      <c r="BQ22" s="366"/>
      <c r="BR22" s="366"/>
      <c r="BS22" s="366"/>
      <c r="BT22" s="366"/>
      <c r="BU22" s="366"/>
      <c r="BV22" s="366"/>
      <c r="BW22" s="366"/>
      <c r="BX22" s="366"/>
      <c r="BY22" s="366"/>
      <c r="BZ22" s="366"/>
      <c r="CA22" s="366"/>
      <c r="CB22" s="366"/>
      <c r="CC22" s="366"/>
      <c r="CD22" s="366"/>
      <c r="CE22" s="366"/>
      <c r="CF22" s="366"/>
      <c r="CG22" s="366"/>
      <c r="CH22" s="366"/>
      <c r="CI22" s="366"/>
      <c r="CJ22" s="366"/>
      <c r="CK22" s="366"/>
      <c r="CL22" s="366"/>
      <c r="CM22" s="366"/>
      <c r="CN22" s="366"/>
      <c r="CO22" s="366"/>
      <c r="CP22" s="366"/>
      <c r="CQ22" s="366">
        <v>88000</v>
      </c>
      <c r="CR22"/>
      <c r="CS22"/>
    </row>
    <row r="23" spans="2:97" ht="14.5" x14ac:dyDescent="0.35">
      <c r="B23" s="9" t="s">
        <v>1774</v>
      </c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AY23" s="366"/>
      <c r="AZ23" s="366"/>
      <c r="BA23" s="366"/>
      <c r="BB23" s="366"/>
      <c r="BC23" s="366"/>
      <c r="BD23" s="366"/>
      <c r="BE23" s="366"/>
      <c r="BF23" s="366"/>
      <c r="BG23" s="366"/>
      <c r="BH23" s="366"/>
      <c r="BI23" s="366"/>
      <c r="BJ23" s="366"/>
      <c r="BK23" s="366"/>
      <c r="BL23" s="366"/>
      <c r="BM23" s="366"/>
      <c r="BN23" s="366"/>
      <c r="BO23" s="366"/>
      <c r="BP23" s="366"/>
      <c r="BQ23" s="366"/>
      <c r="BR23" s="366"/>
      <c r="BS23" s="366"/>
      <c r="BT23" s="366"/>
      <c r="BU23" s="366"/>
      <c r="BV23" s="366"/>
      <c r="BW23" s="366"/>
      <c r="BX23" s="366"/>
      <c r="BY23" s="366"/>
      <c r="BZ23" s="366"/>
      <c r="CA23" s="366"/>
      <c r="CB23" s="366"/>
      <c r="CC23" s="366"/>
      <c r="CD23" s="366"/>
      <c r="CE23" s="366"/>
      <c r="CF23" s="366"/>
      <c r="CG23" s="366"/>
      <c r="CH23" s="366"/>
      <c r="CI23" s="366"/>
      <c r="CJ23" s="366"/>
      <c r="CK23" s="366">
        <v>1181.17</v>
      </c>
      <c r="CL23" s="366"/>
      <c r="CM23" s="366"/>
      <c r="CN23" s="366">
        <v>1181.17</v>
      </c>
      <c r="CO23" s="366"/>
      <c r="CP23" s="366"/>
      <c r="CQ23" s="366">
        <v>1181.17</v>
      </c>
      <c r="CR23"/>
      <c r="CS23"/>
    </row>
    <row r="24" spans="2:97" ht="14.5" x14ac:dyDescent="0.35">
      <c r="B24" s="9" t="s">
        <v>1764</v>
      </c>
      <c r="C24" s="366">
        <v>707.87</v>
      </c>
      <c r="D24" s="366">
        <v>707.87</v>
      </c>
      <c r="E24" s="366">
        <v>707.87</v>
      </c>
      <c r="F24" s="366"/>
      <c r="G24" s="366"/>
      <c r="H24" s="366"/>
      <c r="I24" s="366"/>
      <c r="J24" s="366"/>
      <c r="K24" s="366"/>
      <c r="L24" s="366">
        <v>2123.61</v>
      </c>
      <c r="M24" s="366">
        <v>707.87</v>
      </c>
      <c r="N24" s="366">
        <v>707.87</v>
      </c>
      <c r="O24" s="366">
        <v>707.87</v>
      </c>
      <c r="P24" s="366">
        <v>707.87</v>
      </c>
      <c r="Q24" s="366">
        <v>707.87</v>
      </c>
      <c r="R24" s="366">
        <v>707.87</v>
      </c>
      <c r="S24" s="366">
        <v>707.87</v>
      </c>
      <c r="T24" s="366">
        <v>707.87</v>
      </c>
      <c r="U24" s="366">
        <v>707.87</v>
      </c>
      <c r="V24" s="366">
        <v>707.87</v>
      </c>
      <c r="W24" s="366">
        <v>707.87</v>
      </c>
      <c r="X24" s="366">
        <v>707.87</v>
      </c>
      <c r="Y24" s="366">
        <v>8494.44</v>
      </c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AY24" s="366"/>
      <c r="AZ24" s="366"/>
      <c r="BA24" s="366"/>
      <c r="BB24" s="366"/>
      <c r="BC24" s="366"/>
      <c r="BD24" s="366"/>
      <c r="BE24" s="366"/>
      <c r="BF24" s="366"/>
      <c r="BG24" s="366"/>
      <c r="BH24" s="366"/>
      <c r="BI24" s="366"/>
      <c r="BJ24" s="366"/>
      <c r="BK24" s="366"/>
      <c r="BL24" s="366"/>
      <c r="BM24" s="366"/>
      <c r="BN24" s="366"/>
      <c r="BO24" s="366"/>
      <c r="BP24" s="366"/>
      <c r="BQ24" s="366"/>
      <c r="BR24" s="366"/>
      <c r="BS24" s="366"/>
      <c r="BT24" s="366"/>
      <c r="BU24" s="366"/>
      <c r="BV24" s="366"/>
      <c r="BW24" s="366"/>
      <c r="BX24" s="366"/>
      <c r="BY24" s="366"/>
      <c r="BZ24" s="366"/>
      <c r="CA24" s="366"/>
      <c r="CB24" s="366"/>
      <c r="CC24" s="366"/>
      <c r="CD24" s="366"/>
      <c r="CE24" s="366"/>
      <c r="CF24" s="366"/>
      <c r="CG24" s="366"/>
      <c r="CH24" s="366"/>
      <c r="CI24" s="366"/>
      <c r="CJ24" s="366"/>
      <c r="CK24" s="366"/>
      <c r="CL24" s="366"/>
      <c r="CM24" s="366"/>
      <c r="CN24" s="366"/>
      <c r="CO24" s="366"/>
      <c r="CP24" s="366"/>
      <c r="CQ24" s="366">
        <v>10618.050000000003</v>
      </c>
      <c r="CR24"/>
      <c r="CS24"/>
    </row>
    <row r="25" spans="2:97" ht="14.5" x14ac:dyDescent="0.35">
      <c r="B25" s="9" t="s">
        <v>1760</v>
      </c>
      <c r="C25" s="366">
        <v>3023.92</v>
      </c>
      <c r="D25" s="366">
        <v>3118.52</v>
      </c>
      <c r="E25" s="366">
        <v>3200</v>
      </c>
      <c r="F25" s="366">
        <v>6536.7000000000007</v>
      </c>
      <c r="G25" s="366">
        <v>5282.65</v>
      </c>
      <c r="H25" s="366">
        <v>5547.79</v>
      </c>
      <c r="I25" s="366">
        <v>2997.8500000000008</v>
      </c>
      <c r="J25" s="366">
        <v>115085.08</v>
      </c>
      <c r="K25" s="366">
        <v>29601.840000000004</v>
      </c>
      <c r="L25" s="366">
        <v>174394.35</v>
      </c>
      <c r="M25" s="366">
        <v>3200</v>
      </c>
      <c r="N25" s="366">
        <v>3200</v>
      </c>
      <c r="O25" s="366">
        <v>3200</v>
      </c>
      <c r="P25" s="366">
        <v>3200</v>
      </c>
      <c r="Q25" s="366">
        <v>3200</v>
      </c>
      <c r="R25" s="366">
        <v>3200</v>
      </c>
      <c r="S25" s="366">
        <v>3200</v>
      </c>
      <c r="T25" s="366">
        <v>3200</v>
      </c>
      <c r="U25" s="366">
        <v>3200</v>
      </c>
      <c r="V25" s="366">
        <v>3200</v>
      </c>
      <c r="W25" s="366">
        <v>3200</v>
      </c>
      <c r="X25" s="366">
        <v>3200</v>
      </c>
      <c r="Y25" s="366">
        <v>38400</v>
      </c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AY25" s="366"/>
      <c r="AZ25" s="366"/>
      <c r="BA25" s="366"/>
      <c r="BB25" s="366"/>
      <c r="BC25" s="366"/>
      <c r="BD25" s="366"/>
      <c r="BE25" s="366"/>
      <c r="BF25" s="366"/>
      <c r="BG25" s="366"/>
      <c r="BH25" s="366">
        <v>1042.8</v>
      </c>
      <c r="BI25" s="366"/>
      <c r="BJ25" s="366"/>
      <c r="BK25" s="366"/>
      <c r="BL25" s="366">
        <v>1042.8</v>
      </c>
      <c r="BM25" s="366">
        <v>7863.5800000000008</v>
      </c>
      <c r="BN25" s="366">
        <v>186192.82</v>
      </c>
      <c r="BO25" s="366">
        <v>10142.520000000002</v>
      </c>
      <c r="BP25" s="366"/>
      <c r="BQ25" s="366">
        <v>122448.48</v>
      </c>
      <c r="BR25" s="366"/>
      <c r="BS25" s="366"/>
      <c r="BT25" s="366"/>
      <c r="BU25" s="366">
        <v>7181.95</v>
      </c>
      <c r="BV25" s="366">
        <v>5416.5</v>
      </c>
      <c r="BW25" s="366">
        <v>7854.12</v>
      </c>
      <c r="BX25" s="366">
        <v>347099.97</v>
      </c>
      <c r="BY25" s="366">
        <v>6977.3899999999994</v>
      </c>
      <c r="BZ25" s="366"/>
      <c r="CA25" s="366"/>
      <c r="CB25" s="366"/>
      <c r="CC25" s="366">
        <v>1128.3499999999999</v>
      </c>
      <c r="CD25" s="366">
        <v>92353.54</v>
      </c>
      <c r="CE25" s="366"/>
      <c r="CF25" s="366">
        <v>449249.44</v>
      </c>
      <c r="CG25" s="366">
        <v>62270.189999999995</v>
      </c>
      <c r="CH25" s="366"/>
      <c r="CI25" s="366"/>
      <c r="CJ25" s="366">
        <v>611978.90999999992</v>
      </c>
      <c r="CK25" s="366"/>
      <c r="CL25" s="366"/>
      <c r="CM25" s="366"/>
      <c r="CN25" s="366"/>
      <c r="CO25" s="366">
        <v>0</v>
      </c>
      <c r="CP25" s="366">
        <v>0</v>
      </c>
      <c r="CQ25" s="366">
        <v>1172916.03</v>
      </c>
      <c r="CR25"/>
      <c r="CS25"/>
    </row>
    <row r="26" spans="2:97" ht="14.5" x14ac:dyDescent="0.35">
      <c r="B26" s="9" t="s">
        <v>1758</v>
      </c>
      <c r="C26" s="366"/>
      <c r="D26" s="366">
        <v>1000</v>
      </c>
      <c r="E26" s="366">
        <v>3000</v>
      </c>
      <c r="F26" s="366"/>
      <c r="G26" s="366"/>
      <c r="H26" s="366"/>
      <c r="I26" s="366"/>
      <c r="J26" s="366"/>
      <c r="K26" s="366"/>
      <c r="L26" s="366">
        <v>4000</v>
      </c>
      <c r="M26" s="366">
        <v>1000</v>
      </c>
      <c r="N26" s="366">
        <v>2000</v>
      </c>
      <c r="O26" s="366">
        <v>2000</v>
      </c>
      <c r="P26" s="366">
        <v>1000</v>
      </c>
      <c r="Q26" s="366">
        <v>1000</v>
      </c>
      <c r="R26" s="366">
        <v>1000</v>
      </c>
      <c r="S26" s="366">
        <v>1000</v>
      </c>
      <c r="T26" s="366">
        <v>1000</v>
      </c>
      <c r="U26" s="366">
        <v>1000</v>
      </c>
      <c r="V26" s="366">
        <v>1000</v>
      </c>
      <c r="W26" s="366">
        <v>1000</v>
      </c>
      <c r="X26" s="366">
        <v>1000</v>
      </c>
      <c r="Y26" s="366">
        <v>14000</v>
      </c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AY26" s="366"/>
      <c r="AZ26" s="366"/>
      <c r="BA26" s="366"/>
      <c r="BB26" s="366"/>
      <c r="BC26" s="366"/>
      <c r="BD26" s="366"/>
      <c r="BE26" s="366"/>
      <c r="BF26" s="366"/>
      <c r="BG26" s="366"/>
      <c r="BH26" s="366"/>
      <c r="BI26" s="366"/>
      <c r="BJ26" s="366"/>
      <c r="BK26" s="366"/>
      <c r="BL26" s="366"/>
      <c r="BM26" s="366"/>
      <c r="BN26" s="366"/>
      <c r="BO26" s="366"/>
      <c r="BP26" s="366"/>
      <c r="BQ26" s="366"/>
      <c r="BR26" s="366"/>
      <c r="BS26" s="366"/>
      <c r="BT26" s="366"/>
      <c r="BU26" s="366"/>
      <c r="BV26" s="366"/>
      <c r="BW26" s="366"/>
      <c r="BX26" s="366"/>
      <c r="BY26" s="366"/>
      <c r="BZ26" s="366"/>
      <c r="CA26" s="366"/>
      <c r="CB26" s="366"/>
      <c r="CC26" s="366"/>
      <c r="CD26" s="366"/>
      <c r="CE26" s="366"/>
      <c r="CF26" s="366"/>
      <c r="CG26" s="366"/>
      <c r="CH26" s="366"/>
      <c r="CI26" s="366"/>
      <c r="CJ26" s="366"/>
      <c r="CK26" s="366"/>
      <c r="CL26" s="366"/>
      <c r="CM26" s="366"/>
      <c r="CN26" s="366"/>
      <c r="CO26" s="366"/>
      <c r="CP26" s="366"/>
      <c r="CQ26" s="366">
        <v>18000</v>
      </c>
      <c r="CR26"/>
      <c r="CS26"/>
    </row>
    <row r="27" spans="2:97" ht="14.5" x14ac:dyDescent="0.35">
      <c r="B27" s="9" t="s">
        <v>1767</v>
      </c>
      <c r="C27" s="366"/>
      <c r="D27" s="366">
        <v>100</v>
      </c>
      <c r="E27" s="366">
        <v>100</v>
      </c>
      <c r="F27" s="366"/>
      <c r="G27" s="366"/>
      <c r="H27" s="366"/>
      <c r="I27" s="366"/>
      <c r="J27" s="366"/>
      <c r="K27" s="366"/>
      <c r="L27" s="366">
        <v>200</v>
      </c>
      <c r="M27" s="366">
        <v>100</v>
      </c>
      <c r="N27" s="366">
        <v>100</v>
      </c>
      <c r="O27" s="366">
        <v>100</v>
      </c>
      <c r="P27" s="366">
        <v>100</v>
      </c>
      <c r="Q27" s="366">
        <v>100</v>
      </c>
      <c r="R27" s="366">
        <v>100</v>
      </c>
      <c r="S27" s="366">
        <v>100</v>
      </c>
      <c r="T27" s="366">
        <v>100</v>
      </c>
      <c r="U27" s="366">
        <v>100</v>
      </c>
      <c r="V27" s="366">
        <v>100</v>
      </c>
      <c r="W27" s="366">
        <v>100</v>
      </c>
      <c r="X27" s="366">
        <v>100</v>
      </c>
      <c r="Y27" s="366">
        <v>1200</v>
      </c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AY27" s="366"/>
      <c r="AZ27" s="366"/>
      <c r="BA27" s="366"/>
      <c r="BB27" s="366"/>
      <c r="BC27" s="366"/>
      <c r="BD27" s="366"/>
      <c r="BE27" s="366"/>
      <c r="BF27" s="366"/>
      <c r="BG27" s="366"/>
      <c r="BH27" s="366"/>
      <c r="BI27" s="366"/>
      <c r="BJ27" s="366"/>
      <c r="BK27" s="366"/>
      <c r="BL27" s="366"/>
      <c r="BM27" s="366"/>
      <c r="BN27" s="366"/>
      <c r="BO27" s="366"/>
      <c r="BP27" s="366"/>
      <c r="BQ27" s="366"/>
      <c r="BR27" s="366"/>
      <c r="BS27" s="366"/>
      <c r="BT27" s="366"/>
      <c r="BU27" s="366"/>
      <c r="BV27" s="366"/>
      <c r="BW27" s="366"/>
      <c r="BX27" s="366"/>
      <c r="BY27" s="366"/>
      <c r="BZ27" s="366"/>
      <c r="CA27" s="366"/>
      <c r="CB27" s="366"/>
      <c r="CC27" s="366"/>
      <c r="CD27" s="366"/>
      <c r="CE27" s="366"/>
      <c r="CF27" s="366"/>
      <c r="CG27" s="366"/>
      <c r="CH27" s="366"/>
      <c r="CI27" s="366"/>
      <c r="CJ27" s="366"/>
      <c r="CK27" s="366"/>
      <c r="CL27" s="366"/>
      <c r="CM27" s="366"/>
      <c r="CN27" s="366"/>
      <c r="CO27" s="366"/>
      <c r="CP27" s="366"/>
      <c r="CQ27" s="366">
        <v>1400</v>
      </c>
      <c r="CR27"/>
      <c r="CS27"/>
    </row>
    <row r="28" spans="2:97" ht="14.5" x14ac:dyDescent="0.35">
      <c r="B28" s="9" t="s">
        <v>1654</v>
      </c>
      <c r="C28" s="366"/>
      <c r="D28" s="366"/>
      <c r="E28" s="366"/>
      <c r="F28" s="366"/>
      <c r="G28" s="366"/>
      <c r="H28" s="366"/>
      <c r="I28" s="366"/>
      <c r="J28" s="366">
        <v>97251.6</v>
      </c>
      <c r="K28" s="366"/>
      <c r="L28" s="366">
        <v>97251.6</v>
      </c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AY28" s="366"/>
      <c r="AZ28" s="366"/>
      <c r="BA28" s="366"/>
      <c r="BB28" s="366"/>
      <c r="BC28" s="366"/>
      <c r="BD28" s="366"/>
      <c r="BE28" s="366"/>
      <c r="BF28" s="366"/>
      <c r="BG28" s="366"/>
      <c r="BH28" s="366"/>
      <c r="BI28" s="366">
        <v>1962.22</v>
      </c>
      <c r="BJ28" s="366">
        <v>369266.04</v>
      </c>
      <c r="BK28" s="366">
        <v>710.58</v>
      </c>
      <c r="BL28" s="366">
        <v>371938.83999999997</v>
      </c>
      <c r="BM28" s="366">
        <v>485.92</v>
      </c>
      <c r="BN28" s="366">
        <v>482.22</v>
      </c>
      <c r="BO28" s="366">
        <v>477.86</v>
      </c>
      <c r="BP28" s="366">
        <v>275.92</v>
      </c>
      <c r="BQ28" s="366">
        <v>369.22</v>
      </c>
      <c r="BR28" s="366">
        <v>366.46</v>
      </c>
      <c r="BS28" s="366">
        <v>363.49</v>
      </c>
      <c r="BT28" s="366">
        <v>360.71</v>
      </c>
      <c r="BU28" s="366">
        <v>495.28</v>
      </c>
      <c r="BV28" s="366">
        <v>492.22</v>
      </c>
      <c r="BW28" s="366">
        <v>490.28</v>
      </c>
      <c r="BX28" s="366">
        <v>4659.58</v>
      </c>
      <c r="BY28" s="366">
        <v>640.07000000000005</v>
      </c>
      <c r="BZ28" s="366">
        <v>634.91999999999996</v>
      </c>
      <c r="CA28" s="366">
        <v>92743.969999999987</v>
      </c>
      <c r="CB28" s="366">
        <v>217.93</v>
      </c>
      <c r="CC28" s="366"/>
      <c r="CD28" s="366">
        <v>360.32</v>
      </c>
      <c r="CE28" s="366">
        <v>357.6</v>
      </c>
      <c r="CF28" s="366">
        <v>354.27</v>
      </c>
      <c r="CG28" s="366">
        <v>996.79</v>
      </c>
      <c r="CH28" s="366">
        <v>657.51</v>
      </c>
      <c r="CI28" s="366">
        <v>651.12</v>
      </c>
      <c r="CJ28" s="366">
        <v>97614.499999999985</v>
      </c>
      <c r="CK28" s="366"/>
      <c r="CL28" s="366">
        <v>667.95</v>
      </c>
      <c r="CM28" s="366">
        <v>721.09</v>
      </c>
      <c r="CN28" s="366">
        <v>1389.04</v>
      </c>
      <c r="CO28" s="366"/>
      <c r="CP28" s="366"/>
      <c r="CQ28" s="366">
        <v>572853.55999999994</v>
      </c>
      <c r="CR28"/>
      <c r="CS28"/>
    </row>
    <row r="29" spans="2:97" ht="14.5" x14ac:dyDescent="0.35">
      <c r="B29" s="9" t="s">
        <v>1167</v>
      </c>
      <c r="C29" s="366">
        <v>4360.05</v>
      </c>
      <c r="D29" s="366">
        <v>16822.419999999998</v>
      </c>
      <c r="E29" s="366">
        <v>19843.43</v>
      </c>
      <c r="F29" s="366">
        <v>6536.7000000000007</v>
      </c>
      <c r="G29" s="366">
        <v>5282.65</v>
      </c>
      <c r="H29" s="366">
        <v>5547.79</v>
      </c>
      <c r="I29" s="366">
        <v>2997.8500000000008</v>
      </c>
      <c r="J29" s="366">
        <v>212336.68</v>
      </c>
      <c r="K29" s="366">
        <v>29601.840000000004</v>
      </c>
      <c r="L29" s="366">
        <v>303329.41000000003</v>
      </c>
      <c r="M29" s="366">
        <v>12498.09</v>
      </c>
      <c r="N29" s="366">
        <v>14912.590000000002</v>
      </c>
      <c r="O29" s="366">
        <v>16382.930000000002</v>
      </c>
      <c r="P29" s="366">
        <v>14073.090000000002</v>
      </c>
      <c r="Q29" s="366">
        <v>14073.090000000002</v>
      </c>
      <c r="R29" s="366">
        <v>12668.43</v>
      </c>
      <c r="S29" s="366">
        <v>13198.09</v>
      </c>
      <c r="T29" s="366">
        <v>11798.09</v>
      </c>
      <c r="U29" s="366">
        <v>10668.43</v>
      </c>
      <c r="V29" s="366">
        <v>12498.09</v>
      </c>
      <c r="W29" s="366">
        <v>12498.09</v>
      </c>
      <c r="X29" s="366">
        <v>12668.43</v>
      </c>
      <c r="Y29" s="366">
        <v>157937.44</v>
      </c>
      <c r="Z29" s="366">
        <v>2000</v>
      </c>
      <c r="AA29" s="366">
        <v>2000</v>
      </c>
      <c r="AB29" s="366">
        <v>2000</v>
      </c>
      <c r="AC29" s="366">
        <v>2000</v>
      </c>
      <c r="AD29" s="366">
        <v>2000</v>
      </c>
      <c r="AE29" s="366">
        <v>2000</v>
      </c>
      <c r="AF29" s="366">
        <v>2000</v>
      </c>
      <c r="AG29" s="366">
        <v>2000</v>
      </c>
      <c r="AH29" s="366">
        <v>2000</v>
      </c>
      <c r="AI29" s="366">
        <v>2000</v>
      </c>
      <c r="AJ29" s="366">
        <v>2000</v>
      </c>
      <c r="AK29" s="366">
        <v>2000</v>
      </c>
      <c r="AL29" s="366">
        <v>24000</v>
      </c>
      <c r="AM29" s="366">
        <v>2000</v>
      </c>
      <c r="AN29" s="366">
        <v>2000</v>
      </c>
      <c r="AO29" s="366">
        <v>2000</v>
      </c>
      <c r="AP29" s="366">
        <v>2000</v>
      </c>
      <c r="AQ29" s="366">
        <v>2000</v>
      </c>
      <c r="AR29" s="366">
        <v>2000</v>
      </c>
      <c r="AS29" s="366">
        <v>2000</v>
      </c>
      <c r="AT29" s="366">
        <v>2000</v>
      </c>
      <c r="AU29" s="366">
        <v>2000</v>
      </c>
      <c r="AV29" s="366">
        <v>2000</v>
      </c>
      <c r="AW29" s="366">
        <v>2000</v>
      </c>
      <c r="AX29" s="366">
        <v>2000</v>
      </c>
      <c r="AY29" s="366">
        <v>24000</v>
      </c>
      <c r="AZ29" s="366">
        <v>2000</v>
      </c>
      <c r="BA29" s="366">
        <v>2000</v>
      </c>
      <c r="BB29" s="366">
        <v>2000</v>
      </c>
      <c r="BC29" s="366">
        <v>2000</v>
      </c>
      <c r="BD29" s="366">
        <v>2000</v>
      </c>
      <c r="BE29" s="366">
        <v>2000</v>
      </c>
      <c r="BF29" s="366">
        <v>2000</v>
      </c>
      <c r="BG29" s="366">
        <v>14000</v>
      </c>
      <c r="BH29" s="366">
        <v>1042.8</v>
      </c>
      <c r="BI29" s="366">
        <v>1962.22</v>
      </c>
      <c r="BJ29" s="366">
        <v>369266.04</v>
      </c>
      <c r="BK29" s="366">
        <v>710.58</v>
      </c>
      <c r="BL29" s="366">
        <v>372981.63999999996</v>
      </c>
      <c r="BM29" s="366">
        <v>8349.5</v>
      </c>
      <c r="BN29" s="366">
        <v>186675.04</v>
      </c>
      <c r="BO29" s="366">
        <v>10620.380000000003</v>
      </c>
      <c r="BP29" s="366">
        <v>275.92</v>
      </c>
      <c r="BQ29" s="366">
        <v>122817.7</v>
      </c>
      <c r="BR29" s="366">
        <v>366.46</v>
      </c>
      <c r="BS29" s="366">
        <v>363.49</v>
      </c>
      <c r="BT29" s="366">
        <v>70116.400000000009</v>
      </c>
      <c r="BU29" s="366">
        <v>7677.23</v>
      </c>
      <c r="BV29" s="366">
        <v>5908.72</v>
      </c>
      <c r="BW29" s="366">
        <v>8344.4</v>
      </c>
      <c r="BX29" s="366">
        <v>421515.24</v>
      </c>
      <c r="BY29" s="366">
        <v>7617.4599999999991</v>
      </c>
      <c r="BZ29" s="366">
        <v>634.91999999999996</v>
      </c>
      <c r="CA29" s="366">
        <v>92743.969999999987</v>
      </c>
      <c r="CB29" s="366">
        <v>217.93</v>
      </c>
      <c r="CC29" s="366">
        <v>1128.3499999999999</v>
      </c>
      <c r="CD29" s="366">
        <v>191460.46000000002</v>
      </c>
      <c r="CE29" s="366">
        <v>357.6</v>
      </c>
      <c r="CF29" s="366">
        <v>449603.71</v>
      </c>
      <c r="CG29" s="366">
        <v>63266.979999999996</v>
      </c>
      <c r="CH29" s="366">
        <v>657.51</v>
      </c>
      <c r="CI29" s="366">
        <v>651.12</v>
      </c>
      <c r="CJ29" s="366">
        <v>808340.00999999989</v>
      </c>
      <c r="CK29" s="366">
        <v>1181.17</v>
      </c>
      <c r="CL29" s="366">
        <v>667.95</v>
      </c>
      <c r="CM29" s="366">
        <v>721.09</v>
      </c>
      <c r="CN29" s="366">
        <v>2570.21</v>
      </c>
      <c r="CO29" s="366">
        <v>0</v>
      </c>
      <c r="CP29" s="366">
        <v>0</v>
      </c>
      <c r="CQ29" s="395">
        <v>2128673.9500000002</v>
      </c>
      <c r="CR29"/>
      <c r="CS29"/>
    </row>
    <row r="30" spans="2:97" ht="14.5" x14ac:dyDescent="0.3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</row>
    <row r="31" spans="2:97" ht="14.5" x14ac:dyDescent="0.3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</row>
    <row r="32" spans="2:97" ht="14.5" x14ac:dyDescent="0.3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</row>
    <row r="33" spans="2:97" ht="14.5" x14ac:dyDescent="0.3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</row>
    <row r="34" spans="2:97" ht="14.5" x14ac:dyDescent="0.3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</row>
    <row r="35" spans="2:97" ht="14.5" x14ac:dyDescent="0.3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</row>
    <row r="36" spans="2:97" ht="14.5" x14ac:dyDescent="0.3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</row>
    <row r="37" spans="2:97" ht="14.5" x14ac:dyDescent="0.3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</row>
    <row r="38" spans="2:97" ht="14.5" x14ac:dyDescent="0.3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</row>
    <row r="39" spans="2:97" ht="14.5" x14ac:dyDescent="0.3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</row>
    <row r="40" spans="2:97" ht="14.5" x14ac:dyDescent="0.3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</row>
    <row r="41" spans="2:97" ht="14.5" x14ac:dyDescent="0.3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</row>
    <row r="42" spans="2:97" ht="14.5" x14ac:dyDescent="0.3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</row>
    <row r="43" spans="2:97" ht="14.5" x14ac:dyDescent="0.3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</row>
    <row r="44" spans="2:97" ht="14.5" x14ac:dyDescent="0.3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</row>
    <row r="45" spans="2:97" ht="14.5" x14ac:dyDescent="0.3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</row>
    <row r="46" spans="2:97" ht="14.5" x14ac:dyDescent="0.3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</row>
    <row r="47" spans="2:97" ht="14.5" x14ac:dyDescent="0.3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</row>
    <row r="48" spans="2:97" ht="14.5" x14ac:dyDescent="0.3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</row>
    <row r="49" spans="2:97" ht="14.5" x14ac:dyDescent="0.3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</row>
    <row r="50" spans="2:97" ht="14.5" x14ac:dyDescent="0.3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</row>
    <row r="51" spans="2:97" ht="14.5" x14ac:dyDescent="0.3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</row>
    <row r="52" spans="2:97" ht="14.5" x14ac:dyDescent="0.3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</row>
    <row r="53" spans="2:97" ht="14.5" x14ac:dyDescent="0.3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</row>
    <row r="54" spans="2:97" ht="14.5" x14ac:dyDescent="0.3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</row>
    <row r="55" spans="2:97" ht="14.5" x14ac:dyDescent="0.3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</row>
    <row r="56" spans="2:97" ht="14.5" x14ac:dyDescent="0.3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</row>
    <row r="57" spans="2:97" ht="14.5" x14ac:dyDescent="0.3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</row>
    <row r="58" spans="2:97" ht="14.5" x14ac:dyDescent="0.3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</row>
    <row r="59" spans="2:97" ht="14.5" x14ac:dyDescent="0.3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</row>
    <row r="60" spans="2:97" ht="14.5" x14ac:dyDescent="0.3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</row>
    <row r="61" spans="2:97" ht="14.5" x14ac:dyDescent="0.3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</row>
    <row r="62" spans="2:97" ht="14.5" x14ac:dyDescent="0.3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</row>
    <row r="63" spans="2:97" ht="14.5" x14ac:dyDescent="0.3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</row>
    <row r="64" spans="2:97" ht="14.5" x14ac:dyDescent="0.3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</row>
    <row r="65" spans="2:97" ht="14.5" x14ac:dyDescent="0.3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</row>
    <row r="66" spans="2:97" ht="14.5" x14ac:dyDescent="0.3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</row>
    <row r="67" spans="2:97" ht="14.5" x14ac:dyDescent="0.3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</row>
    <row r="68" spans="2:97" ht="14.5" x14ac:dyDescent="0.3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</row>
    <row r="69" spans="2:97" ht="14.5" x14ac:dyDescent="0.3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</row>
    <row r="70" spans="2:97" ht="14.5" x14ac:dyDescent="0.3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</row>
    <row r="71" spans="2:97" ht="14.5" x14ac:dyDescent="0.3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</row>
    <row r="72" spans="2:97" ht="14.5" x14ac:dyDescent="0.3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</row>
    <row r="73" spans="2:97" ht="14.5" x14ac:dyDescent="0.3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</row>
    <row r="74" spans="2:97" ht="14.5" x14ac:dyDescent="0.3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</row>
    <row r="75" spans="2:97" ht="14.5" x14ac:dyDescent="0.3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</row>
    <row r="76" spans="2:97" ht="14.5" x14ac:dyDescent="0.3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</row>
    <row r="77" spans="2:97" ht="14.5" x14ac:dyDescent="0.3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</row>
    <row r="78" spans="2:97" ht="14.5" x14ac:dyDescent="0.3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</row>
    <row r="79" spans="2:97" ht="14.5" x14ac:dyDescent="0.3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</row>
    <row r="80" spans="2:97" ht="14.5" x14ac:dyDescent="0.3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</row>
    <row r="81" spans="2:97" ht="14.5" x14ac:dyDescent="0.3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</row>
    <row r="82" spans="2:97" ht="14.5" x14ac:dyDescent="0.3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</row>
    <row r="83" spans="2:97" ht="14.5" x14ac:dyDescent="0.3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</row>
    <row r="84" spans="2:97" ht="14.5" x14ac:dyDescent="0.3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</row>
    <row r="85" spans="2:97" ht="14.5" x14ac:dyDescent="0.3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</row>
    <row r="86" spans="2:97" ht="14.5" x14ac:dyDescent="0.3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</row>
    <row r="87" spans="2:97" ht="14.5" x14ac:dyDescent="0.3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</row>
    <row r="88" spans="2:97" ht="14.5" x14ac:dyDescent="0.3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</row>
    <row r="89" spans="2:97" ht="14.5" x14ac:dyDescent="0.3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</row>
    <row r="90" spans="2:97" ht="14.5" x14ac:dyDescent="0.3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</row>
    <row r="91" spans="2:97" ht="14.5" x14ac:dyDescent="0.3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</row>
    <row r="92" spans="2:97" ht="14.5" x14ac:dyDescent="0.3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</row>
    <row r="93" spans="2:97" ht="14.5" x14ac:dyDescent="0.3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</row>
    <row r="94" spans="2:97" ht="19.95" customHeight="1" x14ac:dyDescent="0.35">
      <c r="B94" s="1"/>
      <c r="C94" s="1"/>
      <c r="D94" s="1"/>
      <c r="E94" s="1"/>
      <c r="F94" s="1"/>
      <c r="G94" s="1"/>
      <c r="H94" s="1"/>
    </row>
    <row r="95" spans="2:97" ht="19.95" customHeight="1" x14ac:dyDescent="0.35">
      <c r="B95" s="1"/>
      <c r="C95" s="1"/>
      <c r="D95" s="1"/>
      <c r="E95" s="1"/>
      <c r="F95" s="1"/>
      <c r="G95" s="1"/>
      <c r="H95" s="1"/>
    </row>
    <row r="96" spans="2:97" ht="19.95" customHeight="1" x14ac:dyDescent="0.35">
      <c r="B96" s="1"/>
      <c r="C96" s="1"/>
      <c r="D96" s="1"/>
      <c r="E96" s="1"/>
      <c r="F96" s="1"/>
      <c r="G96" s="1"/>
      <c r="H96" s="1"/>
    </row>
    <row r="97" spans="2:8" ht="19.95" customHeight="1" x14ac:dyDescent="0.35">
      <c r="B97" s="1"/>
      <c r="C97" s="1"/>
      <c r="D97" s="1"/>
      <c r="E97" s="1"/>
      <c r="F97" s="1"/>
      <c r="G97" s="1"/>
      <c r="H97" s="1"/>
    </row>
    <row r="98" spans="2:8" ht="19.95" customHeight="1" x14ac:dyDescent="0.35">
      <c r="B98" s="1"/>
      <c r="C98" s="1"/>
      <c r="D98" s="1"/>
      <c r="E98" s="1"/>
      <c r="F98" s="1"/>
      <c r="G98" s="1"/>
      <c r="H98" s="1"/>
    </row>
    <row r="99" spans="2:8" ht="19.95" customHeight="1" x14ac:dyDescent="0.35">
      <c r="B99" s="1"/>
      <c r="C99" s="1"/>
      <c r="D99" s="1"/>
      <c r="E99" s="1"/>
      <c r="F99" s="1"/>
      <c r="G99" s="1"/>
      <c r="H99" s="1"/>
    </row>
    <row r="100" spans="2:8" ht="19.95" customHeight="1" x14ac:dyDescent="0.35">
      <c r="B100" s="1"/>
      <c r="C100" s="1"/>
      <c r="D100" s="1"/>
      <c r="E100" s="1"/>
      <c r="F100" s="1"/>
      <c r="G100" s="1"/>
      <c r="H100" s="1"/>
    </row>
    <row r="101" spans="2:8" ht="19.95" customHeight="1" x14ac:dyDescent="0.35">
      <c r="B101" s="1"/>
      <c r="C101" s="1"/>
      <c r="D101" s="1"/>
      <c r="E101" s="1"/>
      <c r="F101" s="1"/>
      <c r="G101" s="1"/>
      <c r="H101" s="1"/>
    </row>
    <row r="102" spans="2:8" ht="19.95" customHeight="1" x14ac:dyDescent="0.35">
      <c r="B102" s="1"/>
      <c r="C102" s="1"/>
      <c r="D102" s="1"/>
      <c r="E102" s="1"/>
      <c r="F102" s="1"/>
      <c r="G102" s="1"/>
      <c r="H102" s="1"/>
    </row>
    <row r="103" spans="2:8" ht="19.95" customHeight="1" x14ac:dyDescent="0.35">
      <c r="B103" s="1"/>
      <c r="C103" s="1"/>
      <c r="D103" s="1"/>
      <c r="E103" s="1"/>
      <c r="F103" s="1"/>
      <c r="G103" s="1"/>
      <c r="H103" s="1"/>
    </row>
    <row r="104" spans="2:8" ht="19.95" customHeight="1" x14ac:dyDescent="0.35">
      <c r="B104" s="1"/>
      <c r="C104" s="1"/>
      <c r="D104" s="1"/>
      <c r="E104" s="1"/>
      <c r="F104" s="1"/>
      <c r="G104" s="1"/>
      <c r="H104" s="1"/>
    </row>
    <row r="105" spans="2:8" ht="19.95" customHeight="1" x14ac:dyDescent="0.35">
      <c r="B105" s="1"/>
      <c r="C105" s="1"/>
      <c r="D105" s="1"/>
      <c r="E105" s="1"/>
      <c r="F105" s="1"/>
      <c r="G105" s="1"/>
      <c r="H105" s="1"/>
    </row>
    <row r="106" spans="2:8" ht="19.95" customHeight="1" x14ac:dyDescent="0.35">
      <c r="B106" s="1"/>
      <c r="C106" s="1"/>
      <c r="D106" s="1"/>
      <c r="E106" s="1"/>
      <c r="F106" s="1"/>
      <c r="G106" s="1"/>
      <c r="H106" s="1"/>
    </row>
    <row r="107" spans="2:8" ht="19.95" customHeight="1" x14ac:dyDescent="0.35">
      <c r="B107" s="1"/>
      <c r="C107" s="1"/>
      <c r="D107" s="1"/>
      <c r="E107" s="1"/>
      <c r="F107" s="1"/>
      <c r="G107" s="1"/>
      <c r="H107" s="1"/>
    </row>
    <row r="108" spans="2:8" ht="19.95" customHeight="1" x14ac:dyDescent="0.35">
      <c r="B108" s="1"/>
      <c r="C108" s="1"/>
      <c r="D108" s="1"/>
      <c r="E108" s="1"/>
      <c r="F108" s="1"/>
      <c r="G108" s="1"/>
      <c r="H108" s="1"/>
    </row>
    <row r="109" spans="2:8" ht="19.95" customHeight="1" x14ac:dyDescent="0.35">
      <c r="B109" s="1"/>
      <c r="C109" s="1"/>
      <c r="D109" s="1"/>
      <c r="E109" s="1"/>
      <c r="F109" s="1"/>
      <c r="G109" s="1"/>
      <c r="H109" s="1"/>
    </row>
    <row r="110" spans="2:8" ht="19.95" customHeight="1" x14ac:dyDescent="0.35">
      <c r="B110" s="1"/>
      <c r="C110" s="1"/>
      <c r="D110" s="1"/>
      <c r="E110" s="1"/>
      <c r="F110" s="1"/>
      <c r="G110" s="1"/>
      <c r="H110" s="1"/>
    </row>
    <row r="111" spans="2:8" ht="19.95" customHeight="1" x14ac:dyDescent="0.35">
      <c r="B111" s="1"/>
      <c r="C111" s="1"/>
      <c r="D111" s="1"/>
      <c r="E111" s="1"/>
      <c r="F111" s="1"/>
      <c r="G111" s="1"/>
      <c r="H111" s="1"/>
    </row>
    <row r="112" spans="2:8" ht="19.95" customHeight="1" x14ac:dyDescent="0.35">
      <c r="B112" s="1"/>
      <c r="C112" s="1"/>
      <c r="D112" s="1"/>
      <c r="E112" s="1"/>
      <c r="F112" s="1"/>
      <c r="G112" s="1"/>
      <c r="H112" s="1"/>
    </row>
    <row r="113" spans="2:8" ht="19.95" customHeight="1" x14ac:dyDescent="0.35">
      <c r="B113" s="1"/>
      <c r="C113" s="1"/>
      <c r="D113" s="1"/>
      <c r="E113" s="1"/>
      <c r="F113" s="1"/>
      <c r="G113" s="1"/>
      <c r="H113" s="1"/>
    </row>
    <row r="114" spans="2:8" ht="19.95" customHeight="1" x14ac:dyDescent="0.35">
      <c r="B114" s="1"/>
      <c r="C114" s="1"/>
      <c r="D114" s="1"/>
      <c r="E114" s="1"/>
      <c r="F114" s="1"/>
      <c r="G114" s="1"/>
      <c r="H114" s="1"/>
    </row>
    <row r="115" spans="2:8" ht="19.95" customHeight="1" x14ac:dyDescent="0.35">
      <c r="B115" s="1"/>
      <c r="C115" s="1"/>
      <c r="D115" s="1"/>
      <c r="E115" s="1"/>
      <c r="F115" s="1"/>
      <c r="G115" s="1"/>
      <c r="H115" s="1"/>
    </row>
    <row r="116" spans="2:8" ht="19.95" customHeight="1" x14ac:dyDescent="0.35">
      <c r="B116" s="1"/>
      <c r="C116" s="1"/>
      <c r="D116" s="1"/>
      <c r="E116" s="1"/>
      <c r="F116" s="1"/>
      <c r="G116" s="1"/>
      <c r="H116" s="1"/>
    </row>
    <row r="117" spans="2:8" ht="19.95" customHeight="1" x14ac:dyDescent="0.35">
      <c r="B117" s="1"/>
      <c r="C117" s="1"/>
      <c r="D117" s="1"/>
      <c r="E117" s="1"/>
      <c r="F117" s="1"/>
      <c r="G117" s="1"/>
      <c r="H117" s="1"/>
    </row>
    <row r="118" spans="2:8" ht="19.95" customHeight="1" x14ac:dyDescent="0.35">
      <c r="B118" s="1"/>
      <c r="C118" s="1"/>
      <c r="D118" s="1"/>
      <c r="E118" s="1"/>
      <c r="F118" s="1"/>
      <c r="G118" s="1"/>
      <c r="H118" s="1"/>
    </row>
    <row r="119" spans="2:8" ht="19.95" customHeight="1" x14ac:dyDescent="0.35">
      <c r="B119" s="1"/>
      <c r="C119" s="1"/>
      <c r="D119" s="1"/>
      <c r="E119" s="1"/>
      <c r="F119" s="1"/>
      <c r="G119" s="1"/>
      <c r="H119" s="1"/>
    </row>
    <row r="120" spans="2:8" ht="19.95" customHeight="1" x14ac:dyDescent="0.35">
      <c r="B120" s="1"/>
      <c r="C120" s="1"/>
      <c r="D120" s="1"/>
      <c r="E120" s="1"/>
      <c r="F120" s="1"/>
      <c r="G120" s="1"/>
      <c r="H120" s="1"/>
    </row>
    <row r="121" spans="2:8" ht="19.95" customHeight="1" x14ac:dyDescent="0.35">
      <c r="B121" s="1"/>
      <c r="C121" s="1"/>
      <c r="D121" s="1"/>
      <c r="E121" s="1"/>
      <c r="F121" s="1"/>
      <c r="G121" s="1"/>
      <c r="H121" s="1"/>
    </row>
    <row r="122" spans="2:8" ht="19.95" customHeight="1" x14ac:dyDescent="0.35">
      <c r="B122" s="1"/>
      <c r="C122" s="1"/>
      <c r="D122" s="1"/>
      <c r="E122" s="1"/>
      <c r="F122" s="1"/>
      <c r="G122" s="1"/>
      <c r="H122" s="1"/>
    </row>
    <row r="123" spans="2:8" ht="19.95" customHeight="1" x14ac:dyDescent="0.35">
      <c r="B123" s="1"/>
      <c r="C123" s="1"/>
      <c r="D123" s="1"/>
      <c r="E123" s="1"/>
      <c r="F123" s="1"/>
      <c r="G123" s="1"/>
      <c r="H123" s="1"/>
    </row>
    <row r="124" spans="2:8" ht="19.95" customHeight="1" x14ac:dyDescent="0.35">
      <c r="B124" s="1"/>
      <c r="C124" s="1"/>
      <c r="D124" s="1"/>
      <c r="E124" s="1"/>
      <c r="F124" s="1"/>
      <c r="G124" s="1"/>
      <c r="H124" s="1"/>
    </row>
    <row r="125" spans="2:8" ht="19.95" customHeight="1" x14ac:dyDescent="0.35">
      <c r="B125" s="1"/>
      <c r="C125" s="1"/>
      <c r="D125" s="1"/>
      <c r="E125" s="1"/>
      <c r="F125" s="1"/>
      <c r="G125" s="1"/>
      <c r="H125" s="1"/>
    </row>
    <row r="126" spans="2:8" ht="19.95" customHeight="1" x14ac:dyDescent="0.35">
      <c r="B126" s="1"/>
      <c r="C126" s="1"/>
      <c r="D126" s="1"/>
      <c r="E126" s="1"/>
      <c r="F126" s="1"/>
      <c r="G126" s="1"/>
      <c r="H126" s="1"/>
    </row>
    <row r="127" spans="2:8" ht="19.95" customHeight="1" x14ac:dyDescent="0.35">
      <c r="B127" s="1"/>
      <c r="C127" s="1"/>
      <c r="D127" s="1"/>
      <c r="E127" s="1"/>
      <c r="F127" s="1"/>
      <c r="G127" s="1"/>
      <c r="H127" s="1"/>
    </row>
    <row r="128" spans="2:8" ht="19.95" customHeight="1" x14ac:dyDescent="0.35">
      <c r="B128" s="1"/>
      <c r="C128" s="1"/>
      <c r="D128" s="1"/>
      <c r="E128" s="1"/>
      <c r="F128" s="1"/>
      <c r="G128" s="1"/>
      <c r="H128" s="1"/>
    </row>
    <row r="129" spans="2:8" ht="19.95" customHeight="1" x14ac:dyDescent="0.35">
      <c r="B129" s="1"/>
      <c r="C129" s="1"/>
      <c r="D129" s="1"/>
      <c r="E129" s="1"/>
      <c r="F129" s="1"/>
      <c r="G129" s="1"/>
      <c r="H129" s="1"/>
    </row>
    <row r="130" spans="2:8" ht="19.95" customHeight="1" x14ac:dyDescent="0.35">
      <c r="B130" s="1"/>
      <c r="C130" s="1"/>
      <c r="D130" s="1"/>
      <c r="E130" s="1"/>
      <c r="F130" s="1"/>
      <c r="G130" s="1"/>
      <c r="H130" s="1"/>
    </row>
    <row r="131" spans="2:8" ht="19.95" customHeight="1" x14ac:dyDescent="0.35">
      <c r="B131" s="1"/>
      <c r="C131" s="1"/>
      <c r="D131" s="1"/>
      <c r="E131" s="1"/>
      <c r="F131" s="1"/>
      <c r="G131" s="1"/>
      <c r="H131" s="1"/>
    </row>
    <row r="132" spans="2:8" ht="19.95" customHeight="1" x14ac:dyDescent="0.35">
      <c r="B132" s="1"/>
      <c r="C132" s="1"/>
      <c r="D132" s="1"/>
      <c r="E132" s="1"/>
      <c r="F132" s="1"/>
      <c r="G132" s="1"/>
      <c r="H132" s="1"/>
    </row>
    <row r="133" spans="2:8" ht="19.95" customHeight="1" x14ac:dyDescent="0.35">
      <c r="B133" s="1"/>
      <c r="C133" s="1"/>
      <c r="D133" s="1"/>
      <c r="E133" s="1"/>
      <c r="F133" s="1"/>
      <c r="G133" s="1"/>
      <c r="H133" s="1"/>
    </row>
    <row r="134" spans="2:8" ht="19.95" customHeight="1" x14ac:dyDescent="0.35">
      <c r="B134" s="1"/>
      <c r="C134" s="1"/>
      <c r="D134" s="1"/>
      <c r="E134" s="1"/>
      <c r="F134" s="1"/>
      <c r="G134" s="1"/>
      <c r="H134" s="1"/>
    </row>
    <row r="135" spans="2:8" ht="19.95" customHeight="1" x14ac:dyDescent="0.35">
      <c r="B135" s="1"/>
      <c r="C135" s="1"/>
      <c r="D135" s="1"/>
      <c r="E135" s="1"/>
      <c r="F135" s="1"/>
      <c r="G135" s="1"/>
      <c r="H135" s="1"/>
    </row>
    <row r="136" spans="2:8" ht="19.95" customHeight="1" x14ac:dyDescent="0.35">
      <c r="B136" s="1"/>
      <c r="C136" s="1"/>
      <c r="D136" s="1"/>
      <c r="E136" s="1"/>
      <c r="F136" s="1"/>
      <c r="G136" s="1"/>
      <c r="H136" s="1"/>
    </row>
    <row r="137" spans="2:8" ht="19.95" customHeight="1" x14ac:dyDescent="0.35">
      <c r="B137" s="1"/>
      <c r="C137" s="1"/>
      <c r="D137" s="1"/>
      <c r="E137" s="1"/>
      <c r="F137" s="1"/>
      <c r="G137" s="1"/>
      <c r="H137" s="1"/>
    </row>
    <row r="138" spans="2:8" ht="19.95" customHeight="1" x14ac:dyDescent="0.35">
      <c r="B138" s="1"/>
      <c r="C138" s="1"/>
      <c r="D138" s="1"/>
      <c r="E138" s="1"/>
      <c r="F138" s="1"/>
      <c r="G138" s="1"/>
      <c r="H138" s="1"/>
    </row>
    <row r="139" spans="2:8" ht="19.95" customHeight="1" x14ac:dyDescent="0.35">
      <c r="B139" s="1"/>
      <c r="C139" s="1"/>
      <c r="D139" s="1"/>
      <c r="E139" s="1"/>
      <c r="F139" s="1"/>
      <c r="G139" s="1"/>
      <c r="H139" s="1"/>
    </row>
    <row r="140" spans="2:8" ht="19.95" customHeight="1" x14ac:dyDescent="0.35">
      <c r="B140" s="1"/>
      <c r="C140" s="1"/>
      <c r="D140" s="1"/>
      <c r="E140" s="1"/>
      <c r="F140" s="1"/>
      <c r="G140" s="1"/>
      <c r="H140" s="1"/>
    </row>
    <row r="141" spans="2:8" ht="19.95" customHeight="1" x14ac:dyDescent="0.35">
      <c r="B141" s="1"/>
      <c r="C141" s="1"/>
      <c r="D141" s="1"/>
      <c r="E141" s="1"/>
      <c r="F141" s="1"/>
      <c r="G141" s="1"/>
      <c r="H141" s="1"/>
    </row>
    <row r="142" spans="2:8" ht="19.95" customHeight="1" x14ac:dyDescent="0.35">
      <c r="B142" s="1"/>
      <c r="C142" s="1"/>
      <c r="D142" s="1"/>
      <c r="E142" s="1"/>
      <c r="F142" s="1"/>
      <c r="G142" s="1"/>
      <c r="H142" s="1"/>
    </row>
    <row r="143" spans="2:8" ht="19.95" customHeight="1" x14ac:dyDescent="0.35">
      <c r="B143" s="1"/>
      <c r="C143" s="1"/>
      <c r="D143" s="1"/>
      <c r="E143" s="1"/>
      <c r="F143" s="1"/>
      <c r="G143" s="1"/>
      <c r="H143" s="1"/>
    </row>
    <row r="144" spans="2:8" ht="19.95" customHeight="1" x14ac:dyDescent="0.35">
      <c r="B144" s="1"/>
      <c r="C144" s="1"/>
      <c r="D144" s="1"/>
      <c r="E144" s="1"/>
      <c r="F144" s="1"/>
      <c r="G144" s="1"/>
      <c r="H144" s="1"/>
    </row>
    <row r="145" spans="2:8" ht="19.95" customHeight="1" x14ac:dyDescent="0.35">
      <c r="B145" s="1"/>
      <c r="C145" s="1"/>
      <c r="D145" s="1"/>
      <c r="E145" s="1"/>
      <c r="F145" s="1"/>
      <c r="G145" s="1"/>
      <c r="H145" s="1"/>
    </row>
    <row r="146" spans="2:8" ht="19.95" customHeight="1" x14ac:dyDescent="0.35">
      <c r="B146" s="1"/>
      <c r="C146" s="1"/>
      <c r="D146" s="1"/>
      <c r="E146" s="1"/>
      <c r="F146" s="1"/>
      <c r="G146" s="1"/>
      <c r="H146" s="1"/>
    </row>
    <row r="147" spans="2:8" ht="19.95" customHeight="1" x14ac:dyDescent="0.35">
      <c r="B147" s="1"/>
      <c r="C147" s="1"/>
      <c r="D147" s="1"/>
      <c r="E147" s="1"/>
      <c r="F147" s="1"/>
      <c r="G147" s="1"/>
      <c r="H147" s="1"/>
    </row>
    <row r="148" spans="2:8" ht="19.95" customHeight="1" x14ac:dyDescent="0.35">
      <c r="B148" s="1"/>
      <c r="C148" s="1"/>
      <c r="D148" s="1"/>
      <c r="E148" s="1"/>
      <c r="F148" s="1"/>
      <c r="G148" s="1"/>
      <c r="H148" s="1"/>
    </row>
    <row r="149" spans="2:8" ht="19.95" customHeight="1" x14ac:dyDescent="0.35">
      <c r="B149" s="1"/>
      <c r="C149" s="1"/>
      <c r="D149" s="1"/>
      <c r="E149" s="1"/>
      <c r="F149" s="1"/>
      <c r="G149" s="1"/>
      <c r="H149" s="1"/>
    </row>
    <row r="150" spans="2:8" ht="19.95" customHeight="1" x14ac:dyDescent="0.35">
      <c r="B150" s="1"/>
      <c r="C150" s="1"/>
      <c r="D150" s="1"/>
      <c r="E150" s="1"/>
      <c r="F150" s="1"/>
      <c r="G150" s="1"/>
      <c r="H150" s="1"/>
    </row>
    <row r="151" spans="2:8" ht="19.95" customHeight="1" x14ac:dyDescent="0.35">
      <c r="B151" s="1"/>
      <c r="C151" s="1"/>
      <c r="D151" s="1"/>
      <c r="E151" s="1"/>
      <c r="F151" s="1"/>
      <c r="G151" s="1"/>
      <c r="H151" s="1"/>
    </row>
    <row r="152" spans="2:8" ht="19.95" customHeight="1" x14ac:dyDescent="0.35">
      <c r="B152" s="1"/>
      <c r="C152" s="1"/>
      <c r="D152" s="1"/>
      <c r="E152" s="1"/>
      <c r="F152" s="1"/>
      <c r="G152" s="1"/>
      <c r="H152" s="1"/>
    </row>
    <row r="153" spans="2:8" ht="19.95" customHeight="1" x14ac:dyDescent="0.35">
      <c r="B153" s="1"/>
      <c r="C153" s="1"/>
      <c r="D153" s="1"/>
      <c r="E153" s="1"/>
      <c r="F153" s="1"/>
      <c r="G153" s="1"/>
      <c r="H153" s="1"/>
    </row>
    <row r="154" spans="2:8" ht="19.95" customHeight="1" x14ac:dyDescent="0.35">
      <c r="B154" s="1"/>
      <c r="C154" s="1"/>
      <c r="D154" s="1"/>
      <c r="E154" s="1"/>
      <c r="F154" s="1"/>
      <c r="G154" s="1"/>
      <c r="H154" s="1"/>
    </row>
    <row r="155" spans="2:8" ht="19.95" customHeight="1" x14ac:dyDescent="0.35">
      <c r="B155" s="1"/>
      <c r="C155" s="1"/>
      <c r="D155" s="1"/>
      <c r="E155" s="1"/>
      <c r="F155" s="1"/>
      <c r="G155" s="1"/>
      <c r="H155" s="1"/>
    </row>
    <row r="156" spans="2:8" ht="19.95" customHeight="1" x14ac:dyDescent="0.35">
      <c r="B156" s="1"/>
      <c r="C156" s="1"/>
      <c r="D156" s="1"/>
      <c r="E156" s="1"/>
      <c r="F156" s="1"/>
      <c r="G156" s="1"/>
      <c r="H156" s="1"/>
    </row>
    <row r="157" spans="2:8" ht="19.95" customHeight="1" x14ac:dyDescent="0.35">
      <c r="B157" s="1"/>
      <c r="C157" s="1"/>
      <c r="D157" s="1"/>
      <c r="E157" s="1"/>
      <c r="F157" s="1"/>
      <c r="G157" s="1"/>
      <c r="H157" s="1"/>
    </row>
    <row r="158" spans="2:8" ht="19.95" customHeight="1" x14ac:dyDescent="0.35">
      <c r="B158" s="1"/>
      <c r="C158" s="1"/>
      <c r="D158" s="1"/>
      <c r="E158" s="1"/>
      <c r="F158" s="1"/>
      <c r="G158" s="1"/>
      <c r="H158" s="1"/>
    </row>
    <row r="159" spans="2:8" ht="19.95" customHeight="1" x14ac:dyDescent="0.35">
      <c r="B159" s="1"/>
      <c r="C159" s="1"/>
      <c r="D159" s="1"/>
      <c r="E159" s="1"/>
      <c r="F159" s="1"/>
      <c r="G159" s="1"/>
      <c r="H159" s="1"/>
    </row>
    <row r="160" spans="2:8" ht="19.95" customHeight="1" x14ac:dyDescent="0.35">
      <c r="B160" s="1"/>
      <c r="C160" s="1"/>
      <c r="D160" s="1"/>
      <c r="E160" s="1"/>
      <c r="F160" s="1"/>
      <c r="G160" s="1"/>
      <c r="H160" s="1"/>
    </row>
    <row r="161" spans="2:8" ht="19.95" customHeight="1" x14ac:dyDescent="0.35">
      <c r="B161" s="1"/>
      <c r="C161" s="1"/>
      <c r="D161" s="1"/>
      <c r="E161" s="1"/>
      <c r="F161" s="1"/>
      <c r="G161" s="1"/>
      <c r="H161" s="1"/>
    </row>
    <row r="162" spans="2:8" ht="19.95" customHeight="1" x14ac:dyDescent="0.35">
      <c r="B162" s="1"/>
      <c r="C162" s="1"/>
      <c r="D162" s="1"/>
      <c r="E162" s="1"/>
      <c r="F162" s="1"/>
      <c r="G162" s="1"/>
      <c r="H162" s="1"/>
    </row>
    <row r="163" spans="2:8" ht="19.95" customHeight="1" x14ac:dyDescent="0.35">
      <c r="B163" s="1"/>
      <c r="C163" s="1"/>
      <c r="D163" s="1"/>
      <c r="E163" s="1"/>
      <c r="F163" s="1"/>
      <c r="G163" s="1"/>
      <c r="H163" s="1"/>
    </row>
    <row r="164" spans="2:8" ht="19.95" customHeight="1" x14ac:dyDescent="0.35">
      <c r="B164" s="1"/>
      <c r="C164" s="1"/>
      <c r="D164" s="1"/>
      <c r="E164" s="1"/>
      <c r="F164" s="1"/>
      <c r="G164" s="1"/>
      <c r="H164" s="1"/>
    </row>
    <row r="165" spans="2:8" ht="19.95" customHeight="1" x14ac:dyDescent="0.35">
      <c r="B165" s="1"/>
      <c r="C165" s="1"/>
      <c r="D165" s="1"/>
      <c r="E165" s="1"/>
      <c r="F165" s="1"/>
      <c r="G165" s="1"/>
      <c r="H165" s="1"/>
    </row>
    <row r="166" spans="2:8" ht="19.95" customHeight="1" x14ac:dyDescent="0.35">
      <c r="B166" s="1"/>
      <c r="C166" s="1"/>
      <c r="D166" s="1"/>
      <c r="E166" s="1"/>
      <c r="F166" s="1"/>
      <c r="G166" s="1"/>
      <c r="H166" s="1"/>
    </row>
    <row r="167" spans="2:8" ht="19.95" customHeight="1" x14ac:dyDescent="0.35">
      <c r="B167" s="1"/>
      <c r="C167" s="1"/>
      <c r="D167" s="1"/>
      <c r="E167" s="1"/>
      <c r="F167" s="1"/>
      <c r="G167" s="1"/>
      <c r="H167" s="1"/>
    </row>
    <row r="168" spans="2:8" ht="19.95" customHeight="1" x14ac:dyDescent="0.35">
      <c r="B168" s="1"/>
      <c r="C168" s="1"/>
      <c r="D168" s="1"/>
      <c r="E168" s="1"/>
      <c r="F168" s="1"/>
      <c r="G168" s="1"/>
      <c r="H168" s="1"/>
    </row>
    <row r="169" spans="2:8" ht="19.95" customHeight="1" x14ac:dyDescent="0.35">
      <c r="B169" s="1"/>
      <c r="C169" s="1"/>
      <c r="D169" s="1"/>
      <c r="E169" s="1"/>
      <c r="F169" s="1"/>
      <c r="G169" s="1"/>
      <c r="H169" s="1"/>
    </row>
    <row r="170" spans="2:8" ht="19.95" customHeight="1" x14ac:dyDescent="0.35">
      <c r="B170" s="1"/>
      <c r="C170" s="1"/>
      <c r="D170" s="1"/>
      <c r="E170" s="1"/>
      <c r="F170" s="1"/>
      <c r="G170" s="1"/>
      <c r="H170" s="1"/>
    </row>
    <row r="171" spans="2:8" ht="19.95" customHeight="1" x14ac:dyDescent="0.35">
      <c r="B171" s="1"/>
      <c r="C171" s="1"/>
      <c r="D171" s="1"/>
      <c r="E171" s="1"/>
      <c r="F171" s="1"/>
      <c r="G171" s="1"/>
      <c r="H171" s="1"/>
    </row>
    <row r="172" spans="2:8" ht="19.95" customHeight="1" x14ac:dyDescent="0.35">
      <c r="B172" s="1"/>
      <c r="C172" s="1"/>
      <c r="D172" s="1"/>
      <c r="E172" s="1"/>
      <c r="F172" s="1"/>
      <c r="G172" s="1"/>
      <c r="H172" s="1"/>
    </row>
    <row r="173" spans="2:8" ht="19.95" customHeight="1" x14ac:dyDescent="0.35">
      <c r="B173" s="1"/>
      <c r="C173" s="1"/>
      <c r="D173" s="1"/>
      <c r="E173" s="1"/>
      <c r="F173" s="1"/>
      <c r="G173" s="1"/>
      <c r="H173" s="1"/>
    </row>
    <row r="174" spans="2:8" ht="19.95" customHeight="1" x14ac:dyDescent="0.35">
      <c r="B174" s="1"/>
      <c r="C174" s="1"/>
      <c r="D174" s="1"/>
      <c r="E174" s="1"/>
      <c r="F174" s="1"/>
      <c r="G174" s="1"/>
      <c r="H174" s="1"/>
    </row>
    <row r="175" spans="2:8" ht="19.95" customHeight="1" x14ac:dyDescent="0.35">
      <c r="B175" s="1"/>
      <c r="C175" s="1"/>
      <c r="D175" s="1"/>
      <c r="E175" s="1"/>
      <c r="F175" s="1"/>
      <c r="G175" s="1"/>
      <c r="H175" s="1"/>
    </row>
    <row r="176" spans="2:8" ht="19.95" customHeight="1" x14ac:dyDescent="0.35">
      <c r="B176" s="1"/>
      <c r="C176" s="1"/>
      <c r="D176" s="1"/>
      <c r="E176" s="1"/>
      <c r="F176" s="1"/>
      <c r="G176" s="1"/>
      <c r="H176" s="1"/>
    </row>
    <row r="177" spans="2:8" ht="19.95" customHeight="1" x14ac:dyDescent="0.35">
      <c r="B177" s="1"/>
      <c r="C177" s="1"/>
      <c r="D177" s="1"/>
      <c r="E177" s="1"/>
      <c r="F177" s="1"/>
      <c r="G177" s="1"/>
      <c r="H177" s="1"/>
    </row>
    <row r="178" spans="2:8" ht="19.95" customHeight="1" x14ac:dyDescent="0.35">
      <c r="B178" s="1"/>
      <c r="C178" s="1"/>
      <c r="D178" s="1"/>
      <c r="E178" s="1"/>
      <c r="F178" s="1"/>
      <c r="G178" s="1"/>
      <c r="H178" s="1"/>
    </row>
    <row r="179" spans="2:8" ht="19.95" customHeight="1" x14ac:dyDescent="0.35">
      <c r="B179" s="1"/>
      <c r="C179" s="1"/>
      <c r="D179" s="1"/>
      <c r="E179" s="1"/>
      <c r="F179" s="1"/>
      <c r="G179" s="1"/>
      <c r="H179" s="1"/>
    </row>
    <row r="180" spans="2:8" ht="19.95" customHeight="1" x14ac:dyDescent="0.35">
      <c r="B180" s="1"/>
      <c r="C180" s="1"/>
      <c r="D180" s="1"/>
      <c r="E180" s="1"/>
      <c r="F180" s="1"/>
      <c r="G180" s="1"/>
      <c r="H180" s="1"/>
    </row>
    <row r="181" spans="2:8" ht="19.95" customHeight="1" x14ac:dyDescent="0.35">
      <c r="B181" s="1"/>
      <c r="C181" s="1"/>
      <c r="D181" s="1"/>
      <c r="E181" s="1"/>
      <c r="F181" s="1"/>
      <c r="G181" s="1"/>
      <c r="H181" s="1"/>
    </row>
    <row r="182" spans="2:8" ht="19.95" customHeight="1" x14ac:dyDescent="0.35">
      <c r="B182" s="1"/>
      <c r="C182" s="1"/>
      <c r="D182" s="1"/>
      <c r="E182" s="1"/>
      <c r="F182" s="1"/>
      <c r="G182" s="1"/>
      <c r="H182" s="1"/>
    </row>
    <row r="183" spans="2:8" ht="19.95" customHeight="1" x14ac:dyDescent="0.35">
      <c r="B183" s="1"/>
      <c r="C183" s="1"/>
      <c r="D183" s="1"/>
      <c r="E183" s="1"/>
      <c r="F183" s="1"/>
      <c r="G183" s="1"/>
      <c r="H183" s="1"/>
    </row>
    <row r="184" spans="2:8" ht="19.95" customHeight="1" x14ac:dyDescent="0.35">
      <c r="B184" s="1"/>
      <c r="C184" s="1"/>
      <c r="D184" s="1"/>
      <c r="E184" s="1"/>
      <c r="F184" s="1"/>
      <c r="G184" s="1"/>
      <c r="H184" s="1"/>
    </row>
    <row r="185" spans="2:8" ht="19.95" customHeight="1" x14ac:dyDescent="0.35">
      <c r="B185" s="1"/>
      <c r="C185" s="1"/>
      <c r="D185" s="1"/>
      <c r="E185" s="1"/>
      <c r="F185" s="1"/>
      <c r="G185" s="1"/>
      <c r="H185" s="1"/>
    </row>
    <row r="186" spans="2:8" ht="19.95" customHeight="1" x14ac:dyDescent="0.35">
      <c r="B186" s="1"/>
      <c r="C186" s="1"/>
      <c r="D186" s="1"/>
      <c r="E186" s="1"/>
      <c r="F186" s="1"/>
      <c r="G186" s="1"/>
      <c r="H186" s="1"/>
    </row>
    <row r="187" spans="2:8" ht="19.95" customHeight="1" x14ac:dyDescent="0.35">
      <c r="B187" s="1"/>
      <c r="C187" s="1"/>
      <c r="D187" s="1"/>
      <c r="E187" s="1"/>
      <c r="F187" s="1"/>
      <c r="G187" s="1"/>
      <c r="H187" s="1"/>
    </row>
    <row r="188" spans="2:8" ht="19.95" customHeight="1" x14ac:dyDescent="0.35">
      <c r="B188" s="1"/>
      <c r="C188" s="1"/>
      <c r="D188" s="1"/>
      <c r="E188" s="1"/>
      <c r="F188" s="1"/>
      <c r="G188" s="1"/>
      <c r="H188" s="1"/>
    </row>
    <row r="189" spans="2:8" ht="19.95" customHeight="1" x14ac:dyDescent="0.35">
      <c r="B189" s="1"/>
      <c r="C189" s="1"/>
      <c r="D189" s="1"/>
      <c r="E189" s="1"/>
      <c r="F189" s="1"/>
      <c r="G189" s="1"/>
      <c r="H189" s="1"/>
    </row>
    <row r="190" spans="2:8" ht="19.95" customHeight="1" x14ac:dyDescent="0.35">
      <c r="B190" s="1"/>
      <c r="C190" s="1"/>
      <c r="D190" s="1"/>
      <c r="E190" s="1"/>
      <c r="F190" s="1"/>
      <c r="G190" s="1"/>
      <c r="H190" s="1"/>
    </row>
    <row r="191" spans="2:8" ht="19.95" customHeight="1" x14ac:dyDescent="0.35">
      <c r="B191" s="1"/>
      <c r="C191" s="1"/>
      <c r="D191" s="1"/>
      <c r="E191" s="1"/>
      <c r="F191" s="1"/>
      <c r="G191" s="1"/>
      <c r="H191" s="1"/>
    </row>
    <row r="192" spans="2:8" ht="19.95" customHeight="1" x14ac:dyDescent="0.35">
      <c r="B192" s="1"/>
      <c r="C192" s="1"/>
      <c r="D192" s="1"/>
      <c r="E192" s="1"/>
      <c r="F192" s="1"/>
      <c r="G192" s="1"/>
      <c r="H192" s="1"/>
    </row>
    <row r="193" spans="2:8" ht="19.95" customHeight="1" x14ac:dyDescent="0.35">
      <c r="B193" s="1"/>
      <c r="C193" s="1"/>
      <c r="D193" s="1"/>
      <c r="E193" s="1"/>
      <c r="F193" s="1"/>
      <c r="G193" s="1"/>
      <c r="H193" s="1"/>
    </row>
    <row r="194" spans="2:8" ht="19.95" customHeight="1" x14ac:dyDescent="0.35">
      <c r="B194" s="1"/>
      <c r="C194" s="1"/>
      <c r="D194" s="1"/>
      <c r="E194" s="1"/>
      <c r="F194" s="1"/>
      <c r="G194" s="1"/>
      <c r="H194" s="1"/>
    </row>
    <row r="195" spans="2:8" ht="19.95" customHeight="1" x14ac:dyDescent="0.35">
      <c r="B195" s="1"/>
      <c r="C195" s="1"/>
      <c r="D195" s="1"/>
      <c r="E195" s="1"/>
      <c r="F195" s="1"/>
      <c r="G195" s="1"/>
      <c r="H195" s="1"/>
    </row>
    <row r="196" spans="2:8" ht="19.95" customHeight="1" x14ac:dyDescent="0.35">
      <c r="B196" s="1"/>
      <c r="C196" s="1"/>
      <c r="D196" s="1"/>
      <c r="E196" s="1"/>
      <c r="F196" s="1"/>
      <c r="G196" s="1"/>
      <c r="H196" s="1"/>
    </row>
    <row r="197" spans="2:8" ht="19.95" customHeight="1" x14ac:dyDescent="0.35">
      <c r="B197" s="1"/>
      <c r="C197" s="1"/>
      <c r="D197" s="1"/>
      <c r="E197" s="1"/>
      <c r="F197" s="1"/>
      <c r="G197" s="1"/>
      <c r="H197" s="1"/>
    </row>
    <row r="198" spans="2:8" ht="19.95" customHeight="1" x14ac:dyDescent="0.35">
      <c r="B198" s="1"/>
      <c r="C198" s="1"/>
      <c r="D198" s="1"/>
      <c r="E198" s="1"/>
      <c r="F198" s="1"/>
      <c r="G198" s="1"/>
      <c r="H198" s="1"/>
    </row>
    <row r="199" spans="2:8" ht="19.95" customHeight="1" x14ac:dyDescent="0.35">
      <c r="B199" s="1"/>
      <c r="C199" s="1"/>
      <c r="D199" s="1"/>
      <c r="E199" s="1"/>
      <c r="F199" s="1"/>
      <c r="G199" s="1"/>
      <c r="H199" s="1"/>
    </row>
    <row r="200" spans="2:8" ht="19.95" customHeight="1" x14ac:dyDescent="0.35">
      <c r="B200" s="1"/>
      <c r="C200" s="1"/>
      <c r="D200" s="1"/>
      <c r="E200" s="1"/>
      <c r="F200" s="1"/>
      <c r="G200" s="1"/>
      <c r="H200" s="1"/>
    </row>
    <row r="201" spans="2:8" ht="19.95" customHeight="1" x14ac:dyDescent="0.35">
      <c r="B201" s="1"/>
      <c r="C201" s="1"/>
      <c r="D201" s="1"/>
      <c r="E201" s="1"/>
      <c r="F201" s="1"/>
      <c r="G201" s="1"/>
      <c r="H201" s="1"/>
    </row>
    <row r="202" spans="2:8" ht="19.95" customHeight="1" x14ac:dyDescent="0.35">
      <c r="B202" s="1"/>
      <c r="C202" s="1"/>
      <c r="D202" s="1"/>
      <c r="E202" s="1"/>
      <c r="F202" s="1"/>
      <c r="G202" s="1"/>
      <c r="H202" s="1"/>
    </row>
    <row r="203" spans="2:8" ht="19.95" customHeight="1" x14ac:dyDescent="0.35">
      <c r="B203" s="1"/>
      <c r="C203" s="1"/>
      <c r="D203" s="1"/>
      <c r="E203" s="1"/>
      <c r="F203" s="1"/>
      <c r="G203" s="1"/>
      <c r="H203" s="1"/>
    </row>
    <row r="204" spans="2:8" ht="19.95" customHeight="1" x14ac:dyDescent="0.35">
      <c r="B204" s="1"/>
      <c r="C204" s="1"/>
      <c r="D204" s="1"/>
      <c r="E204" s="1"/>
      <c r="F204" s="1"/>
      <c r="G204" s="1"/>
      <c r="H204" s="1"/>
    </row>
    <row r="205" spans="2:8" ht="19.95" customHeight="1" x14ac:dyDescent="0.35">
      <c r="B205" s="1"/>
      <c r="C205" s="1"/>
      <c r="D205" s="1"/>
      <c r="E205" s="1"/>
      <c r="F205" s="1"/>
      <c r="G205" s="1"/>
      <c r="H205" s="1"/>
    </row>
    <row r="206" spans="2:8" ht="19.95" customHeight="1" x14ac:dyDescent="0.35">
      <c r="B206" s="1"/>
      <c r="C206" s="1"/>
      <c r="D206" s="1"/>
      <c r="E206" s="1"/>
      <c r="F206" s="1"/>
      <c r="G206" s="1"/>
      <c r="H206" s="1"/>
    </row>
    <row r="207" spans="2:8" ht="19.95" customHeight="1" x14ac:dyDescent="0.35">
      <c r="B207" s="1"/>
      <c r="C207" s="1"/>
      <c r="D207" s="1"/>
      <c r="E207" s="1"/>
      <c r="F207" s="1"/>
      <c r="G207" s="1"/>
      <c r="H207" s="1"/>
    </row>
    <row r="208" spans="2:8" ht="19.95" customHeight="1" x14ac:dyDescent="0.35">
      <c r="B208" s="1"/>
      <c r="C208" s="1"/>
      <c r="D208" s="1"/>
      <c r="E208" s="1"/>
      <c r="F208" s="1"/>
      <c r="G208" s="1"/>
      <c r="H208" s="1"/>
    </row>
    <row r="209" spans="2:8" ht="19.95" customHeight="1" x14ac:dyDescent="0.35">
      <c r="B209" s="1"/>
      <c r="C209" s="1"/>
      <c r="D209" s="1"/>
      <c r="E209" s="1"/>
      <c r="F209" s="1"/>
      <c r="G209" s="1"/>
      <c r="H209" s="1"/>
    </row>
    <row r="210" spans="2:8" ht="19.95" customHeight="1" x14ac:dyDescent="0.35">
      <c r="B210" s="1"/>
      <c r="C210" s="1"/>
      <c r="D210" s="1"/>
      <c r="E210" s="1"/>
      <c r="F210" s="1"/>
      <c r="G210" s="1"/>
      <c r="H210" s="1"/>
    </row>
    <row r="211" spans="2:8" ht="19.95" customHeight="1" x14ac:dyDescent="0.35">
      <c r="B211" s="1"/>
      <c r="C211" s="1"/>
      <c r="D211" s="1"/>
      <c r="E211" s="1"/>
      <c r="F211" s="1"/>
      <c r="G211" s="1"/>
      <c r="H211" s="1"/>
    </row>
    <row r="212" spans="2:8" ht="19.95" customHeight="1" x14ac:dyDescent="0.35">
      <c r="B212" s="1"/>
      <c r="C212" s="1"/>
      <c r="D212" s="1"/>
      <c r="E212" s="1"/>
      <c r="F212" s="1"/>
      <c r="G212" s="1"/>
      <c r="H212" s="1"/>
    </row>
    <row r="213" spans="2:8" ht="19.95" customHeight="1" x14ac:dyDescent="0.35">
      <c r="B213" s="1"/>
      <c r="C213" s="1"/>
      <c r="D213" s="1"/>
      <c r="E213" s="1"/>
      <c r="F213" s="1"/>
      <c r="G213" s="1"/>
      <c r="H213" s="1"/>
    </row>
    <row r="214" spans="2:8" ht="19.95" customHeight="1" x14ac:dyDescent="0.35">
      <c r="B214" s="1"/>
      <c r="C214" s="1"/>
      <c r="D214" s="1"/>
      <c r="E214" s="1"/>
      <c r="F214" s="1"/>
      <c r="G214" s="1"/>
      <c r="H214" s="1"/>
    </row>
    <row r="215" spans="2:8" ht="19.95" customHeight="1" x14ac:dyDescent="0.35">
      <c r="B215" s="1"/>
      <c r="C215" s="1"/>
      <c r="D215" s="1"/>
      <c r="E215" s="1"/>
      <c r="F215" s="1"/>
      <c r="G215" s="1"/>
      <c r="H215" s="1"/>
    </row>
    <row r="216" spans="2:8" ht="19.95" customHeight="1" x14ac:dyDescent="0.35">
      <c r="B216" s="1"/>
      <c r="C216" s="1"/>
      <c r="D216" s="1"/>
      <c r="E216" s="1"/>
      <c r="F216" s="1"/>
      <c r="G216" s="1"/>
      <c r="H216" s="1"/>
    </row>
    <row r="217" spans="2:8" ht="19.95" customHeight="1" x14ac:dyDescent="0.35">
      <c r="B217" s="1"/>
      <c r="C217" s="1"/>
      <c r="D217" s="1"/>
      <c r="E217" s="1"/>
      <c r="F217" s="1"/>
      <c r="G217" s="1"/>
      <c r="H217" s="1"/>
    </row>
    <row r="218" spans="2:8" ht="19.95" customHeight="1" x14ac:dyDescent="0.35">
      <c r="B218" s="1"/>
      <c r="C218" s="1"/>
      <c r="D218" s="1"/>
      <c r="E218" s="1"/>
      <c r="F218" s="1"/>
      <c r="G218" s="1"/>
      <c r="H218" s="1"/>
    </row>
    <row r="219" spans="2:8" ht="19.95" customHeight="1" x14ac:dyDescent="0.35">
      <c r="B219" s="1"/>
      <c r="C219" s="1"/>
      <c r="D219" s="1"/>
      <c r="E219" s="1"/>
      <c r="F219" s="1"/>
      <c r="G219" s="1"/>
      <c r="H219" s="1"/>
    </row>
    <row r="220" spans="2:8" ht="19.95" customHeight="1" x14ac:dyDescent="0.35">
      <c r="B220" s="1"/>
      <c r="C220" s="1"/>
      <c r="D220" s="1"/>
      <c r="E220" s="1"/>
      <c r="F220" s="1"/>
      <c r="G220" s="1"/>
      <c r="H220" s="1"/>
    </row>
    <row r="221" spans="2:8" ht="19.95" customHeight="1" x14ac:dyDescent="0.35">
      <c r="B221" s="1"/>
      <c r="C221" s="1"/>
      <c r="D221" s="1"/>
      <c r="E221" s="1"/>
      <c r="F221" s="1"/>
      <c r="G221" s="1"/>
      <c r="H221" s="1"/>
    </row>
    <row r="222" spans="2:8" ht="19.95" customHeight="1" x14ac:dyDescent="0.35">
      <c r="B222" s="1"/>
      <c r="C222" s="1"/>
      <c r="D222" s="1"/>
      <c r="E222" s="1"/>
      <c r="F222" s="1"/>
      <c r="G222" s="1"/>
      <c r="H222" s="1"/>
    </row>
    <row r="223" spans="2:8" ht="19.95" customHeight="1" x14ac:dyDescent="0.35">
      <c r="B223" s="1"/>
      <c r="C223" s="1"/>
      <c r="D223" s="1"/>
      <c r="E223" s="1"/>
      <c r="F223" s="1"/>
      <c r="G223" s="1"/>
      <c r="H223" s="1"/>
    </row>
    <row r="224" spans="2:8" ht="19.95" customHeight="1" x14ac:dyDescent="0.35">
      <c r="B224" s="1"/>
      <c r="C224" s="1"/>
      <c r="D224" s="1"/>
      <c r="E224" s="1"/>
      <c r="F224" s="1"/>
      <c r="G224" s="1"/>
      <c r="H224" s="1"/>
    </row>
    <row r="225" spans="2:8" ht="19.95" customHeight="1" x14ac:dyDescent="0.35">
      <c r="B225" s="1"/>
      <c r="C225" s="1"/>
      <c r="D225" s="1"/>
      <c r="E225" s="1"/>
      <c r="F225" s="1"/>
      <c r="G225" s="1"/>
      <c r="H225" s="1"/>
    </row>
    <row r="226" spans="2:8" ht="19.95" customHeight="1" x14ac:dyDescent="0.35">
      <c r="B226" s="1"/>
      <c r="C226" s="1"/>
      <c r="D226" s="1"/>
      <c r="E226" s="1"/>
      <c r="F226" s="1"/>
      <c r="G226" s="1"/>
      <c r="H226" s="1"/>
    </row>
    <row r="227" spans="2:8" ht="19.95" customHeight="1" x14ac:dyDescent="0.35">
      <c r="B227" s="1"/>
      <c r="C227" s="1"/>
      <c r="D227" s="1"/>
      <c r="E227" s="1"/>
      <c r="F227" s="1"/>
      <c r="G227" s="1"/>
      <c r="H227" s="1"/>
    </row>
    <row r="228" spans="2:8" ht="19.95" customHeight="1" x14ac:dyDescent="0.35">
      <c r="B228" s="1"/>
      <c r="C228" s="1"/>
      <c r="D228" s="1"/>
      <c r="E228" s="1"/>
      <c r="F228" s="1"/>
      <c r="G228" s="1"/>
      <c r="H228" s="1"/>
    </row>
    <row r="229" spans="2:8" ht="19.95" customHeight="1" x14ac:dyDescent="0.35">
      <c r="B229" s="1"/>
      <c r="C229" s="1"/>
      <c r="D229" s="1"/>
      <c r="E229" s="1"/>
      <c r="F229" s="1"/>
      <c r="G229" s="1"/>
      <c r="H229" s="1"/>
    </row>
    <row r="230" spans="2:8" ht="19.95" customHeight="1" x14ac:dyDescent="0.35">
      <c r="B230" s="1"/>
      <c r="C230" s="1"/>
      <c r="D230" s="1"/>
      <c r="E230" s="1"/>
      <c r="F230" s="1"/>
      <c r="G230" s="1"/>
      <c r="H230" s="1"/>
    </row>
    <row r="231" spans="2:8" ht="19.95" customHeight="1" x14ac:dyDescent="0.35">
      <c r="B231" s="1"/>
      <c r="C231" s="1"/>
      <c r="D231" s="1"/>
      <c r="E231" s="1"/>
      <c r="F231" s="1"/>
      <c r="G231" s="1"/>
      <c r="H231" s="1"/>
    </row>
    <row r="232" spans="2:8" ht="19.95" customHeight="1" x14ac:dyDescent="0.35">
      <c r="B232" s="1"/>
      <c r="C232" s="1"/>
      <c r="D232" s="1"/>
      <c r="E232" s="1"/>
      <c r="F232" s="1"/>
      <c r="G232" s="1"/>
      <c r="H232" s="1"/>
    </row>
    <row r="233" spans="2:8" ht="19.95" customHeight="1" x14ac:dyDescent="0.35">
      <c r="B233" s="1"/>
      <c r="C233" s="1"/>
      <c r="D233" s="1"/>
      <c r="E233" s="1"/>
      <c r="F233" s="1"/>
      <c r="G233" s="1"/>
      <c r="H233" s="1"/>
    </row>
    <row r="234" spans="2:8" ht="19.95" customHeight="1" x14ac:dyDescent="0.35">
      <c r="B234" s="1"/>
      <c r="C234" s="1"/>
      <c r="D234" s="1"/>
      <c r="E234" s="1"/>
      <c r="F234" s="1"/>
      <c r="G234" s="1"/>
      <c r="H234" s="1"/>
    </row>
    <row r="235" spans="2:8" ht="19.95" customHeight="1" x14ac:dyDescent="0.35">
      <c r="B235" s="1"/>
      <c r="C235" s="1"/>
      <c r="D235" s="1"/>
      <c r="E235" s="1"/>
      <c r="F235" s="1"/>
      <c r="G235" s="1"/>
      <c r="H235" s="1"/>
    </row>
    <row r="236" spans="2:8" ht="19.95" customHeight="1" x14ac:dyDescent="0.35">
      <c r="B236" s="1"/>
      <c r="C236" s="1"/>
      <c r="D236" s="1"/>
      <c r="E236" s="1"/>
      <c r="F236" s="1"/>
      <c r="G236" s="1"/>
      <c r="H236" s="1"/>
    </row>
    <row r="237" spans="2:8" ht="19.95" customHeight="1" x14ac:dyDescent="0.35">
      <c r="B237" s="1"/>
      <c r="C237" s="1"/>
      <c r="D237" s="1"/>
      <c r="E237" s="1"/>
      <c r="F237" s="1"/>
      <c r="G237" s="1"/>
      <c r="H237" s="1"/>
    </row>
    <row r="238" spans="2:8" ht="19.95" customHeight="1" x14ac:dyDescent="0.35">
      <c r="B238" s="1"/>
      <c r="C238" s="1"/>
      <c r="D238" s="1"/>
      <c r="E238" s="1"/>
      <c r="F238" s="1"/>
      <c r="G238" s="1"/>
      <c r="H238" s="1"/>
    </row>
    <row r="239" spans="2:8" ht="19.95" customHeight="1" x14ac:dyDescent="0.35">
      <c r="B239" s="1"/>
      <c r="C239" s="1"/>
      <c r="D239" s="1"/>
      <c r="E239" s="1"/>
      <c r="F239" s="1"/>
      <c r="G239" s="1"/>
      <c r="H239" s="1"/>
    </row>
    <row r="240" spans="2:8" ht="19.95" customHeight="1" x14ac:dyDescent="0.35">
      <c r="B240" s="1"/>
      <c r="C240" s="1"/>
      <c r="D240" s="1"/>
      <c r="E240" s="1"/>
      <c r="F240" s="1"/>
      <c r="G240" s="1"/>
      <c r="H240" s="1"/>
    </row>
    <row r="241" spans="2:8" ht="19.95" customHeight="1" x14ac:dyDescent="0.35">
      <c r="B241" s="1"/>
      <c r="C241" s="1"/>
      <c r="D241" s="1"/>
      <c r="E241" s="1"/>
      <c r="F241" s="1"/>
      <c r="G241" s="1"/>
      <c r="H241" s="1"/>
    </row>
    <row r="242" spans="2:8" ht="19.95" customHeight="1" x14ac:dyDescent="0.35">
      <c r="B242" s="1"/>
      <c r="C242" s="1"/>
      <c r="D242" s="1"/>
      <c r="E242" s="1"/>
      <c r="F242" s="1"/>
      <c r="G242" s="1"/>
      <c r="H242" s="1"/>
    </row>
    <row r="243" spans="2:8" ht="19.95" customHeight="1" x14ac:dyDescent="0.35">
      <c r="B243" s="1"/>
      <c r="C243" s="1"/>
      <c r="D243" s="1"/>
      <c r="E243" s="1"/>
      <c r="F243" s="1"/>
      <c r="G243" s="1"/>
      <c r="H243" s="1"/>
    </row>
    <row r="244" spans="2:8" ht="19.95" customHeight="1" x14ac:dyDescent="0.35">
      <c r="B244" s="1"/>
      <c r="C244" s="1"/>
      <c r="D244" s="1"/>
      <c r="E244" s="1"/>
      <c r="F244" s="1"/>
      <c r="G244" s="1"/>
      <c r="H244" s="1"/>
    </row>
    <row r="245" spans="2:8" ht="19.95" customHeight="1" x14ac:dyDescent="0.35">
      <c r="B245" s="1"/>
      <c r="C245" s="1"/>
      <c r="D245" s="1"/>
      <c r="E245" s="1"/>
      <c r="F245" s="1"/>
      <c r="G245" s="1"/>
      <c r="H245" s="1"/>
    </row>
    <row r="246" spans="2:8" ht="19.95" customHeight="1" x14ac:dyDescent="0.35">
      <c r="B246" s="1"/>
      <c r="C246" s="1"/>
      <c r="D246" s="1"/>
      <c r="E246" s="1"/>
      <c r="F246" s="1"/>
      <c r="G246" s="1"/>
      <c r="H246" s="1"/>
    </row>
    <row r="247" spans="2:8" ht="19.95" customHeight="1" x14ac:dyDescent="0.35">
      <c r="B247" s="1"/>
      <c r="C247" s="1"/>
      <c r="D247" s="1"/>
      <c r="E247" s="1"/>
      <c r="F247" s="1"/>
      <c r="G247" s="1"/>
      <c r="H247" s="1"/>
    </row>
    <row r="248" spans="2:8" ht="19.95" customHeight="1" x14ac:dyDescent="0.35">
      <c r="B248" s="1"/>
      <c r="C248" s="1"/>
      <c r="D248" s="1"/>
      <c r="E248" s="1"/>
      <c r="F248" s="1"/>
      <c r="G248" s="1"/>
      <c r="H248" s="1"/>
    </row>
    <row r="249" spans="2:8" ht="19.95" customHeight="1" x14ac:dyDescent="0.35">
      <c r="B249" s="1"/>
      <c r="C249" s="1"/>
      <c r="D249" s="1"/>
      <c r="E249" s="1"/>
      <c r="F249" s="1"/>
      <c r="G249" s="1"/>
      <c r="H249" s="1"/>
    </row>
    <row r="250" spans="2:8" ht="19.95" customHeight="1" x14ac:dyDescent="0.35">
      <c r="B250" s="1"/>
      <c r="C250" s="1"/>
      <c r="D250" s="1"/>
      <c r="E250" s="1"/>
      <c r="F250" s="1"/>
      <c r="G250" s="1"/>
      <c r="H250" s="1"/>
    </row>
    <row r="251" spans="2:8" ht="19.95" customHeight="1" x14ac:dyDescent="0.35">
      <c r="B251" s="1"/>
      <c r="C251" s="1"/>
      <c r="D251" s="1"/>
      <c r="E251" s="1"/>
      <c r="F251" s="1"/>
      <c r="G251" s="1"/>
      <c r="H251" s="1"/>
    </row>
    <row r="252" spans="2:8" ht="19.95" customHeight="1" x14ac:dyDescent="0.35">
      <c r="B252" s="1"/>
      <c r="C252" s="1"/>
      <c r="D252" s="1"/>
      <c r="E252" s="1"/>
      <c r="F252" s="1"/>
      <c r="G252" s="1"/>
      <c r="H252" s="1"/>
    </row>
    <row r="253" spans="2:8" ht="19.95" customHeight="1" x14ac:dyDescent="0.35">
      <c r="B253" s="1"/>
      <c r="C253" s="1"/>
      <c r="D253" s="1"/>
      <c r="E253" s="1"/>
      <c r="F253" s="1"/>
      <c r="G253" s="1"/>
      <c r="H253" s="1"/>
    </row>
    <row r="254" spans="2:8" ht="19.95" customHeight="1" x14ac:dyDescent="0.35">
      <c r="B254" s="1"/>
      <c r="C254" s="1"/>
      <c r="D254" s="1"/>
      <c r="E254" s="1"/>
      <c r="F254" s="1"/>
      <c r="G254" s="1"/>
      <c r="H254" s="1"/>
    </row>
    <row r="255" spans="2:8" ht="19.95" customHeight="1" x14ac:dyDescent="0.35">
      <c r="B255" s="1"/>
      <c r="C255" s="1"/>
      <c r="D255" s="1"/>
      <c r="E255" s="1"/>
      <c r="F255" s="1"/>
      <c r="G255" s="1"/>
      <c r="H255" s="1"/>
    </row>
    <row r="256" spans="2:8" ht="19.95" customHeight="1" x14ac:dyDescent="0.35">
      <c r="B256" s="1"/>
      <c r="C256" s="1"/>
      <c r="D256" s="1"/>
      <c r="E256" s="1"/>
      <c r="F256" s="1"/>
      <c r="G256" s="1"/>
      <c r="H256" s="1"/>
    </row>
    <row r="257" spans="2:8" ht="19.95" customHeight="1" x14ac:dyDescent="0.35">
      <c r="B257" s="1"/>
      <c r="C257" s="1"/>
      <c r="D257" s="1"/>
      <c r="E257" s="1"/>
      <c r="F257" s="1"/>
      <c r="G257" s="1"/>
      <c r="H257" s="1"/>
    </row>
    <row r="258" spans="2:8" ht="19.95" customHeight="1" x14ac:dyDescent="0.35">
      <c r="B258" s="1"/>
      <c r="C258" s="1"/>
      <c r="D258" s="1"/>
      <c r="E258" s="1"/>
      <c r="F258" s="1"/>
      <c r="G258" s="1"/>
      <c r="H258" s="1"/>
    </row>
    <row r="259" spans="2:8" ht="19.95" customHeight="1" x14ac:dyDescent="0.35">
      <c r="B259" s="1"/>
      <c r="C259" s="1"/>
      <c r="D259" s="1"/>
      <c r="E259" s="1"/>
      <c r="F259" s="1"/>
      <c r="G259" s="1"/>
      <c r="H259" s="1"/>
    </row>
    <row r="260" spans="2:8" ht="19.95" customHeight="1" x14ac:dyDescent="0.35">
      <c r="B260" s="1"/>
      <c r="C260" s="1"/>
      <c r="D260" s="1"/>
      <c r="E260" s="1"/>
      <c r="F260" s="1"/>
      <c r="G260" s="1"/>
      <c r="H260" s="1"/>
    </row>
    <row r="261" spans="2:8" ht="19.95" customHeight="1" x14ac:dyDescent="0.35">
      <c r="B261" s="1"/>
      <c r="C261" s="1"/>
      <c r="D261" s="1"/>
      <c r="E261" s="1"/>
      <c r="F261" s="1"/>
      <c r="G261" s="1"/>
      <c r="H261" s="1"/>
    </row>
    <row r="262" spans="2:8" ht="19.95" customHeight="1" x14ac:dyDescent="0.35">
      <c r="B262" s="1"/>
      <c r="C262" s="1"/>
      <c r="D262" s="1"/>
      <c r="E262" s="1"/>
      <c r="F262" s="1"/>
      <c r="G262" s="1"/>
      <c r="H262" s="1"/>
    </row>
    <row r="263" spans="2:8" ht="19.95" customHeight="1" x14ac:dyDescent="0.35">
      <c r="B263" s="1"/>
      <c r="C263" s="1"/>
      <c r="D263" s="1"/>
      <c r="E263" s="1"/>
      <c r="F263" s="1"/>
      <c r="G263" s="1"/>
      <c r="H263" s="1"/>
    </row>
    <row r="264" spans="2:8" ht="19.95" customHeight="1" x14ac:dyDescent="0.35">
      <c r="B264" s="1"/>
      <c r="C264" s="1"/>
      <c r="D264" s="1"/>
      <c r="E264" s="1"/>
      <c r="F264" s="1"/>
      <c r="G264" s="1"/>
      <c r="H264" s="1"/>
    </row>
    <row r="265" spans="2:8" ht="19.95" customHeight="1" x14ac:dyDescent="0.35">
      <c r="B265" s="1"/>
      <c r="C265" s="1"/>
      <c r="D265" s="1"/>
      <c r="E265" s="1"/>
      <c r="F265" s="1"/>
      <c r="G265" s="1"/>
      <c r="H265" s="1"/>
    </row>
    <row r="266" spans="2:8" ht="19.95" customHeight="1" x14ac:dyDescent="0.35">
      <c r="B266" s="1"/>
      <c r="C266" s="1"/>
      <c r="D266" s="1"/>
      <c r="E266" s="1"/>
      <c r="F266" s="1"/>
      <c r="G266" s="1"/>
      <c r="H266" s="1"/>
    </row>
    <row r="267" spans="2:8" ht="19.95" customHeight="1" x14ac:dyDescent="0.35">
      <c r="B267" s="1"/>
      <c r="C267" s="1"/>
      <c r="D267" s="1"/>
      <c r="E267" s="1"/>
      <c r="F267" s="1"/>
      <c r="G267" s="1"/>
      <c r="H267" s="1"/>
    </row>
    <row r="268" spans="2:8" ht="19.95" customHeight="1" x14ac:dyDescent="0.35">
      <c r="B268" s="1"/>
      <c r="C268" s="1"/>
      <c r="D268" s="1"/>
      <c r="E268" s="1"/>
      <c r="F268" s="1"/>
      <c r="G268" s="1"/>
      <c r="H268" s="1"/>
    </row>
    <row r="269" spans="2:8" ht="19.95" customHeight="1" x14ac:dyDescent="0.35">
      <c r="B269" s="1"/>
      <c r="C269" s="1"/>
      <c r="D269" s="1"/>
      <c r="E269" s="1"/>
      <c r="F269" s="1"/>
      <c r="G269" s="1"/>
      <c r="H269" s="1"/>
    </row>
    <row r="270" spans="2:8" ht="19.95" customHeight="1" x14ac:dyDescent="0.35">
      <c r="B270" s="1"/>
      <c r="C270" s="1"/>
      <c r="D270" s="1"/>
      <c r="E270" s="1"/>
      <c r="F270" s="1"/>
      <c r="G270" s="1"/>
      <c r="H270" s="1"/>
    </row>
    <row r="271" spans="2:8" ht="19.95" customHeight="1" x14ac:dyDescent="0.35">
      <c r="B271" s="1"/>
      <c r="C271" s="1"/>
      <c r="D271" s="1"/>
      <c r="E271" s="1"/>
      <c r="F271" s="1"/>
      <c r="G271" s="1"/>
      <c r="H271" s="1"/>
    </row>
    <row r="272" spans="2:8" ht="19.95" customHeight="1" x14ac:dyDescent="0.35">
      <c r="B272" s="1"/>
      <c r="C272" s="1"/>
      <c r="D272" s="1"/>
      <c r="E272" s="1"/>
      <c r="F272" s="1"/>
      <c r="G272" s="1"/>
      <c r="H272" s="1"/>
    </row>
    <row r="273" spans="2:8" ht="19.95" customHeight="1" x14ac:dyDescent="0.35">
      <c r="B273" s="1"/>
      <c r="C273" s="1"/>
      <c r="D273" s="1"/>
      <c r="E273" s="1"/>
      <c r="F273" s="1"/>
      <c r="G273" s="1"/>
      <c r="H273" s="1"/>
    </row>
    <row r="274" spans="2:8" ht="19.95" customHeight="1" x14ac:dyDescent="0.35">
      <c r="B274" s="1"/>
      <c r="C274" s="1"/>
      <c r="D274" s="1"/>
      <c r="E274" s="1"/>
      <c r="F274" s="1"/>
      <c r="G274" s="1"/>
      <c r="H274" s="1"/>
    </row>
    <row r="275" spans="2:8" ht="19.95" customHeight="1" x14ac:dyDescent="0.35">
      <c r="B275" s="1"/>
      <c r="C275" s="1"/>
      <c r="D275" s="1"/>
      <c r="E275" s="1"/>
      <c r="F275" s="1"/>
      <c r="G275" s="1"/>
      <c r="H275" s="1"/>
    </row>
    <row r="276" spans="2:8" ht="19.95" customHeight="1" x14ac:dyDescent="0.35">
      <c r="B276" s="1"/>
      <c r="C276" s="1"/>
      <c r="D276" s="1"/>
      <c r="E276" s="1"/>
      <c r="F276" s="1"/>
      <c r="G276" s="1"/>
      <c r="H276" s="1"/>
    </row>
    <row r="277" spans="2:8" ht="19.95" customHeight="1" x14ac:dyDescent="0.35">
      <c r="B277" s="1"/>
      <c r="C277" s="1"/>
      <c r="D277" s="1"/>
      <c r="E277" s="1"/>
      <c r="F277" s="1"/>
      <c r="G277" s="1"/>
      <c r="H277" s="1"/>
    </row>
    <row r="278" spans="2:8" ht="19.95" customHeight="1" x14ac:dyDescent="0.35">
      <c r="B278" s="1"/>
      <c r="C278" s="1"/>
      <c r="D278" s="1"/>
      <c r="E278" s="1"/>
      <c r="F278" s="1"/>
      <c r="G278" s="1"/>
      <c r="H278" s="1"/>
    </row>
    <row r="279" spans="2:8" ht="19.95" customHeight="1" x14ac:dyDescent="0.35">
      <c r="B279" s="1"/>
      <c r="C279" s="1"/>
      <c r="D279" s="1"/>
      <c r="E279" s="1"/>
      <c r="F279" s="1"/>
      <c r="G279" s="1"/>
      <c r="H279" s="1"/>
    </row>
    <row r="280" spans="2:8" ht="19.95" customHeight="1" x14ac:dyDescent="0.35">
      <c r="B280" s="1"/>
      <c r="C280" s="1"/>
      <c r="D280" s="1"/>
      <c r="E280" s="1"/>
      <c r="F280" s="1"/>
      <c r="G280" s="1"/>
      <c r="H280" s="1"/>
    </row>
    <row r="281" spans="2:8" ht="19.95" customHeight="1" x14ac:dyDescent="0.35">
      <c r="B281" s="1"/>
      <c r="C281" s="1"/>
      <c r="D281" s="1"/>
      <c r="E281" s="1"/>
      <c r="F281" s="1"/>
      <c r="G281" s="1"/>
      <c r="H281" s="1"/>
    </row>
    <row r="282" spans="2:8" ht="19.95" customHeight="1" x14ac:dyDescent="0.35">
      <c r="B282" s="1"/>
      <c r="C282" s="1"/>
      <c r="D282" s="1"/>
      <c r="E282" s="1"/>
      <c r="F282" s="1"/>
      <c r="G282" s="1"/>
      <c r="H282" s="1"/>
    </row>
    <row r="283" spans="2:8" ht="19.95" customHeight="1" x14ac:dyDescent="0.35">
      <c r="B283" s="1"/>
      <c r="C283" s="1"/>
      <c r="D283" s="1"/>
      <c r="E283" s="1"/>
      <c r="F283" s="1"/>
      <c r="G283" s="1"/>
      <c r="H283" s="1"/>
    </row>
    <row r="284" spans="2:8" ht="19.95" customHeight="1" x14ac:dyDescent="0.35">
      <c r="B284" s="1"/>
      <c r="C284" s="1"/>
      <c r="D284" s="1"/>
      <c r="E284" s="1"/>
      <c r="F284" s="1"/>
      <c r="G284" s="1"/>
      <c r="H284" s="1"/>
    </row>
    <row r="285" spans="2:8" ht="19.95" customHeight="1" x14ac:dyDescent="0.35">
      <c r="B285" s="1"/>
      <c r="C285" s="1"/>
      <c r="D285" s="1"/>
      <c r="E285" s="1"/>
      <c r="F285" s="1"/>
      <c r="G285" s="1"/>
      <c r="H285" s="1"/>
    </row>
    <row r="286" spans="2:8" ht="19.95" customHeight="1" x14ac:dyDescent="0.35">
      <c r="B286" s="1"/>
      <c r="C286" s="1"/>
      <c r="D286" s="1"/>
      <c r="E286" s="1"/>
      <c r="F286" s="1"/>
      <c r="G286" s="1"/>
      <c r="H286" s="1"/>
    </row>
    <row r="287" spans="2:8" ht="19.95" customHeight="1" x14ac:dyDescent="0.35">
      <c r="B287" s="1"/>
      <c r="C287" s="1"/>
      <c r="D287" s="1"/>
      <c r="E287" s="1"/>
      <c r="F287" s="1"/>
      <c r="G287" s="1"/>
      <c r="H287" s="1"/>
    </row>
    <row r="288" spans="2:8" ht="19.95" customHeight="1" x14ac:dyDescent="0.35">
      <c r="B288" s="1"/>
      <c r="C288" s="1"/>
      <c r="D288" s="1"/>
      <c r="E288" s="1"/>
      <c r="F288" s="1"/>
      <c r="G288" s="1"/>
      <c r="H288" s="1"/>
    </row>
    <row r="289" spans="2:8" ht="19.95" customHeight="1" x14ac:dyDescent="0.35">
      <c r="B289" s="1"/>
      <c r="C289" s="1"/>
      <c r="D289" s="1"/>
      <c r="E289" s="1"/>
      <c r="F289" s="1"/>
      <c r="G289" s="1"/>
      <c r="H289" s="1"/>
    </row>
    <row r="290" spans="2:8" ht="19.95" customHeight="1" x14ac:dyDescent="0.35">
      <c r="B290" s="1"/>
      <c r="C290" s="1"/>
      <c r="D290" s="1"/>
      <c r="E290" s="1"/>
      <c r="F290" s="1"/>
      <c r="G290" s="1"/>
      <c r="H290" s="1"/>
    </row>
    <row r="291" spans="2:8" ht="19.95" customHeight="1" x14ac:dyDescent="0.35">
      <c r="B291" s="1"/>
      <c r="C291" s="1"/>
      <c r="D291" s="1"/>
      <c r="E291" s="1"/>
      <c r="F291" s="1"/>
      <c r="G291" s="1"/>
      <c r="H291" s="1"/>
    </row>
    <row r="292" spans="2:8" ht="19.95" customHeight="1" x14ac:dyDescent="0.35">
      <c r="B292" s="1"/>
      <c r="C292" s="1"/>
      <c r="D292" s="1"/>
      <c r="E292" s="1"/>
      <c r="F292" s="1"/>
      <c r="G292" s="1"/>
      <c r="H292" s="1"/>
    </row>
    <row r="293" spans="2:8" ht="19.95" customHeight="1" x14ac:dyDescent="0.35">
      <c r="B293" s="1"/>
      <c r="C293" s="1"/>
      <c r="D293" s="1"/>
      <c r="E293" s="1"/>
      <c r="F293" s="1"/>
      <c r="G293" s="1"/>
      <c r="H293" s="1"/>
    </row>
    <row r="294" spans="2:8" ht="19.95" customHeight="1" x14ac:dyDescent="0.35">
      <c r="B294" s="1"/>
      <c r="C294" s="1"/>
      <c r="D294" s="1"/>
      <c r="E294" s="1"/>
      <c r="F294" s="1"/>
      <c r="G294" s="1"/>
      <c r="H294" s="1"/>
    </row>
    <row r="295" spans="2:8" ht="19.95" customHeight="1" x14ac:dyDescent="0.35">
      <c r="B295" s="1"/>
      <c r="C295" s="1"/>
      <c r="D295" s="1"/>
      <c r="E295" s="1"/>
      <c r="F295" s="1"/>
      <c r="G295" s="1"/>
      <c r="H295" s="1"/>
    </row>
    <row r="296" spans="2:8" ht="19.95" customHeight="1" x14ac:dyDescent="0.35">
      <c r="B296" s="1"/>
      <c r="C296" s="1"/>
      <c r="D296" s="1"/>
      <c r="E296" s="1"/>
      <c r="F296" s="1"/>
      <c r="G296" s="1"/>
      <c r="H296" s="1"/>
    </row>
    <row r="297" spans="2:8" ht="19.95" customHeight="1" x14ac:dyDescent="0.35">
      <c r="B297" s="1"/>
      <c r="C297" s="1"/>
      <c r="D297" s="1"/>
      <c r="E297" s="1"/>
      <c r="F297" s="1"/>
      <c r="G297" s="1"/>
      <c r="H297" s="1"/>
    </row>
    <row r="298" spans="2:8" ht="19.95" customHeight="1" x14ac:dyDescent="0.35">
      <c r="B298" s="1"/>
      <c r="C298" s="1"/>
      <c r="D298" s="1"/>
      <c r="E298" s="1"/>
      <c r="F298" s="1"/>
      <c r="G298" s="1"/>
      <c r="H298" s="1"/>
    </row>
    <row r="299" spans="2:8" ht="19.95" customHeight="1" x14ac:dyDescent="0.35">
      <c r="B299" s="1"/>
      <c r="C299" s="1"/>
      <c r="D299" s="1"/>
      <c r="E299" s="1"/>
      <c r="F299" s="1"/>
      <c r="G299" s="1"/>
      <c r="H299" s="1"/>
    </row>
    <row r="300" spans="2:8" ht="19.95" customHeight="1" x14ac:dyDescent="0.35">
      <c r="B300" s="1"/>
      <c r="C300" s="1"/>
      <c r="D300" s="1"/>
      <c r="E300" s="1"/>
      <c r="F300" s="1"/>
      <c r="G300" s="1"/>
      <c r="H300" s="1"/>
    </row>
    <row r="301" spans="2:8" ht="19.95" customHeight="1" x14ac:dyDescent="0.35">
      <c r="B301" s="1"/>
      <c r="C301" s="1"/>
      <c r="D301" s="1"/>
      <c r="E301" s="1"/>
      <c r="F301" s="1"/>
      <c r="G301" s="1"/>
      <c r="H301" s="1"/>
    </row>
    <row r="302" spans="2:8" ht="19.95" customHeight="1" x14ac:dyDescent="0.35">
      <c r="B302" s="1"/>
      <c r="C302" s="1"/>
      <c r="D302" s="1"/>
      <c r="E302" s="1"/>
      <c r="F302" s="1"/>
      <c r="G302" s="1"/>
      <c r="H302" s="1"/>
    </row>
    <row r="303" spans="2:8" ht="19.95" customHeight="1" x14ac:dyDescent="0.35">
      <c r="B303" s="1"/>
      <c r="C303" s="1"/>
      <c r="D303" s="1"/>
      <c r="E303" s="1"/>
      <c r="F303" s="1"/>
      <c r="G303" s="1"/>
      <c r="H303" s="1"/>
    </row>
    <row r="304" spans="2:8" ht="19.95" customHeight="1" x14ac:dyDescent="0.35">
      <c r="B304" s="1"/>
      <c r="C304" s="1"/>
      <c r="D304" s="1"/>
      <c r="E304" s="1"/>
      <c r="F304" s="1"/>
      <c r="G304" s="1"/>
      <c r="H304" s="1"/>
    </row>
    <row r="305" spans="2:8" ht="19.95" customHeight="1" x14ac:dyDescent="0.35">
      <c r="B305" s="1"/>
      <c r="C305" s="1"/>
      <c r="D305" s="1"/>
      <c r="E305" s="1"/>
      <c r="F305" s="1"/>
      <c r="G305" s="1"/>
      <c r="H305" s="1"/>
    </row>
    <row r="306" spans="2:8" ht="19.95" customHeight="1" x14ac:dyDescent="0.35">
      <c r="B306" s="1"/>
      <c r="C306" s="1"/>
      <c r="D306" s="1"/>
      <c r="E306" s="1"/>
      <c r="F306" s="1"/>
      <c r="G306" s="1"/>
      <c r="H306" s="1"/>
    </row>
    <row r="307" spans="2:8" ht="19.95" customHeight="1" x14ac:dyDescent="0.35">
      <c r="B307" s="1"/>
      <c r="C307" s="1"/>
      <c r="D307" s="1"/>
      <c r="E307" s="1"/>
      <c r="F307" s="1"/>
      <c r="G307" s="1"/>
      <c r="H307" s="1"/>
    </row>
    <row r="308" spans="2:8" ht="19.95" customHeight="1" x14ac:dyDescent="0.35">
      <c r="B308" s="1"/>
      <c r="C308" s="1"/>
      <c r="D308" s="1"/>
      <c r="E308" s="1"/>
      <c r="F308" s="1"/>
      <c r="G308" s="1"/>
      <c r="H308" s="1"/>
    </row>
    <row r="309" spans="2:8" ht="19.95" customHeight="1" x14ac:dyDescent="0.35">
      <c r="B309" s="1"/>
      <c r="C309" s="1"/>
      <c r="D309" s="1"/>
      <c r="E309" s="1"/>
      <c r="F309" s="1"/>
      <c r="G309" s="1"/>
      <c r="H309" s="1"/>
    </row>
    <row r="310" spans="2:8" ht="19.95" customHeight="1" x14ac:dyDescent="0.35">
      <c r="B310" s="1"/>
      <c r="C310" s="1"/>
      <c r="D310" s="1"/>
      <c r="E310" s="1"/>
      <c r="F310" s="1"/>
      <c r="G310" s="1"/>
      <c r="H310" s="1"/>
    </row>
    <row r="311" spans="2:8" ht="19.95" customHeight="1" x14ac:dyDescent="0.35">
      <c r="B311" s="1"/>
      <c r="C311" s="1"/>
      <c r="D311" s="1"/>
      <c r="E311" s="1"/>
      <c r="F311" s="1"/>
      <c r="G311" s="1"/>
      <c r="H311" s="1"/>
    </row>
    <row r="312" spans="2:8" ht="19.95" customHeight="1" x14ac:dyDescent="0.35">
      <c r="B312" s="1"/>
      <c r="C312" s="1"/>
      <c r="D312" s="1"/>
      <c r="E312" s="1"/>
      <c r="F312" s="1"/>
      <c r="G312" s="1"/>
      <c r="H312" s="1"/>
    </row>
    <row r="313" spans="2:8" ht="19.95" customHeight="1" x14ac:dyDescent="0.35">
      <c r="B313" s="1"/>
      <c r="C313" s="1"/>
      <c r="D313" s="1"/>
      <c r="E313" s="1"/>
      <c r="F313" s="1"/>
      <c r="G313" s="1"/>
      <c r="H313" s="1"/>
    </row>
    <row r="314" spans="2:8" ht="19.95" customHeight="1" x14ac:dyDescent="0.35">
      <c r="B314" s="1"/>
      <c r="C314" s="1"/>
      <c r="D314" s="1"/>
      <c r="E314" s="1"/>
      <c r="F314" s="1"/>
      <c r="G314" s="1"/>
      <c r="H314" s="1"/>
    </row>
    <row r="315" spans="2:8" ht="19.95" customHeight="1" x14ac:dyDescent="0.35">
      <c r="B315" s="1"/>
      <c r="C315" s="1"/>
      <c r="D315" s="1"/>
      <c r="E315" s="1"/>
      <c r="F315" s="1"/>
      <c r="G315" s="1"/>
      <c r="H315" s="1"/>
    </row>
    <row r="316" spans="2:8" ht="19.95" customHeight="1" x14ac:dyDescent="0.35">
      <c r="B316" s="1"/>
      <c r="C316" s="1"/>
      <c r="D316" s="1"/>
      <c r="E316" s="1"/>
      <c r="F316" s="1"/>
      <c r="G316" s="1"/>
      <c r="H316" s="1"/>
    </row>
    <row r="317" spans="2:8" ht="19.95" customHeight="1" x14ac:dyDescent="0.35">
      <c r="B317" s="1"/>
      <c r="C317" s="1"/>
      <c r="D317" s="1"/>
      <c r="E317" s="1"/>
      <c r="F317" s="1"/>
      <c r="G317" s="1"/>
      <c r="H317" s="1"/>
    </row>
    <row r="318" spans="2:8" ht="19.95" customHeight="1" x14ac:dyDescent="0.35">
      <c r="B318" s="1"/>
      <c r="C318" s="1"/>
      <c r="D318" s="1"/>
      <c r="E318" s="1"/>
      <c r="F318" s="1"/>
      <c r="G318" s="1"/>
      <c r="H318" s="1"/>
    </row>
    <row r="319" spans="2:8" ht="19.95" customHeight="1" x14ac:dyDescent="0.35">
      <c r="B319" s="1"/>
      <c r="C319" s="1"/>
      <c r="D319" s="1"/>
      <c r="E319" s="1"/>
      <c r="F319" s="1"/>
      <c r="G319" s="1"/>
      <c r="H319" s="1"/>
    </row>
    <row r="320" spans="2:8" ht="19.95" customHeight="1" x14ac:dyDescent="0.35">
      <c r="B320" s="1"/>
      <c r="C320" s="1"/>
      <c r="D320" s="1"/>
      <c r="E320" s="1"/>
      <c r="F320" s="1"/>
      <c r="G320" s="1"/>
      <c r="H320" s="1"/>
    </row>
    <row r="321" spans="2:8" ht="19.95" customHeight="1" x14ac:dyDescent="0.35">
      <c r="B321" s="1"/>
      <c r="C321" s="1"/>
      <c r="D321" s="1"/>
      <c r="E321" s="1"/>
      <c r="F321" s="1"/>
      <c r="G321" s="1"/>
      <c r="H321" s="1"/>
    </row>
    <row r="322" spans="2:8" ht="19.95" customHeight="1" x14ac:dyDescent="0.35">
      <c r="B322" s="1"/>
      <c r="C322" s="1"/>
      <c r="D322" s="1"/>
      <c r="E322" s="1"/>
      <c r="F322" s="1"/>
      <c r="G322" s="1"/>
      <c r="H322" s="1"/>
    </row>
    <row r="323" spans="2:8" ht="19.95" customHeight="1" x14ac:dyDescent="0.35">
      <c r="B323" s="1"/>
      <c r="C323" s="1"/>
      <c r="D323" s="1"/>
      <c r="E323" s="1"/>
      <c r="F323" s="1"/>
      <c r="G323" s="1"/>
      <c r="H323" s="1"/>
    </row>
    <row r="324" spans="2:8" ht="19.95" customHeight="1" x14ac:dyDescent="0.35">
      <c r="B324" s="1"/>
      <c r="C324" s="1"/>
      <c r="D324" s="1"/>
      <c r="E324" s="1"/>
      <c r="F324" s="1"/>
      <c r="G324" s="1"/>
      <c r="H324" s="1"/>
    </row>
    <row r="325" spans="2:8" ht="19.95" customHeight="1" x14ac:dyDescent="0.35">
      <c r="B325" s="1"/>
      <c r="C325" s="1"/>
      <c r="D325" s="1"/>
      <c r="E325" s="1"/>
      <c r="F325" s="1"/>
      <c r="G325" s="1"/>
      <c r="H325" s="1"/>
    </row>
    <row r="326" spans="2:8" ht="19.95" customHeight="1" x14ac:dyDescent="0.35">
      <c r="B326" s="1"/>
      <c r="C326" s="1"/>
      <c r="D326" s="1"/>
      <c r="E326" s="1"/>
      <c r="F326" s="1"/>
      <c r="G326" s="1"/>
      <c r="H326" s="1"/>
    </row>
    <row r="327" spans="2:8" ht="19.95" customHeight="1" x14ac:dyDescent="0.35">
      <c r="B327" s="1"/>
      <c r="C327" s="1"/>
      <c r="D327" s="1"/>
      <c r="E327" s="1"/>
      <c r="F327" s="1"/>
      <c r="G327" s="1"/>
      <c r="H327" s="1"/>
    </row>
    <row r="328" spans="2:8" ht="19.95" customHeight="1" x14ac:dyDescent="0.35">
      <c r="B328" s="1"/>
      <c r="C328" s="1"/>
      <c r="D328" s="1"/>
      <c r="E328" s="1"/>
      <c r="F328" s="1"/>
      <c r="G328" s="1"/>
      <c r="H328" s="1"/>
    </row>
    <row r="329" spans="2:8" ht="19.95" customHeight="1" x14ac:dyDescent="0.35">
      <c r="B329" s="1"/>
      <c r="C329" s="1"/>
      <c r="D329" s="1"/>
      <c r="E329" s="1"/>
      <c r="F329" s="1"/>
      <c r="G329" s="1"/>
      <c r="H329" s="1"/>
    </row>
    <row r="330" spans="2:8" ht="19.95" customHeight="1" x14ac:dyDescent="0.35">
      <c r="B330" s="1"/>
      <c r="C330" s="1"/>
      <c r="D330" s="1"/>
      <c r="E330" s="1"/>
      <c r="F330" s="1"/>
      <c r="G330" s="1"/>
      <c r="H330" s="1"/>
    </row>
    <row r="331" spans="2:8" ht="19.95" customHeight="1" x14ac:dyDescent="0.35">
      <c r="B331" s="1"/>
      <c r="C331" s="1"/>
      <c r="D331" s="1"/>
      <c r="E331" s="1"/>
      <c r="F331" s="1"/>
      <c r="G331" s="1"/>
      <c r="H331" s="1"/>
    </row>
    <row r="332" spans="2:8" ht="19.95" customHeight="1" x14ac:dyDescent="0.35">
      <c r="B332" s="1"/>
      <c r="C332" s="1"/>
      <c r="D332" s="1"/>
      <c r="E332" s="1"/>
      <c r="F332" s="1"/>
      <c r="G332" s="1"/>
      <c r="H332" s="1"/>
    </row>
    <row r="333" spans="2:8" ht="19.95" customHeight="1" x14ac:dyDescent="0.35">
      <c r="B333" s="1"/>
      <c r="C333" s="1"/>
      <c r="D333" s="1"/>
      <c r="E333" s="1"/>
      <c r="F333" s="1"/>
      <c r="G333" s="1"/>
      <c r="H333" s="1"/>
    </row>
    <row r="334" spans="2:8" ht="19.95" customHeight="1" x14ac:dyDescent="0.35">
      <c r="B334" s="1"/>
      <c r="C334" s="1"/>
      <c r="D334" s="1"/>
      <c r="E334" s="1"/>
      <c r="F334" s="1"/>
      <c r="G334" s="1"/>
      <c r="H334" s="1"/>
    </row>
    <row r="335" spans="2:8" ht="19.95" customHeight="1" x14ac:dyDescent="0.35">
      <c r="B335" s="1"/>
      <c r="C335" s="1"/>
      <c r="D335" s="1"/>
      <c r="E335" s="1"/>
      <c r="F335" s="1"/>
      <c r="G335" s="1"/>
      <c r="H335" s="1"/>
    </row>
    <row r="336" spans="2:8" ht="19.95" customHeight="1" x14ac:dyDescent="0.35">
      <c r="B336" s="1"/>
      <c r="C336" s="1"/>
      <c r="D336" s="1"/>
      <c r="E336" s="1"/>
      <c r="F336" s="1"/>
      <c r="G336" s="1"/>
      <c r="H336" s="1"/>
    </row>
    <row r="337" spans="2:8" ht="19.95" customHeight="1" x14ac:dyDescent="0.35">
      <c r="B337" s="1"/>
      <c r="C337" s="1"/>
      <c r="D337" s="1"/>
      <c r="E337" s="1"/>
      <c r="F337" s="1"/>
      <c r="G337" s="1"/>
      <c r="H337" s="1"/>
    </row>
    <row r="338" spans="2:8" ht="19.95" customHeight="1" x14ac:dyDescent="0.35">
      <c r="B338" s="1"/>
      <c r="C338" s="1"/>
      <c r="D338" s="1"/>
      <c r="E338" s="1"/>
      <c r="F338" s="1"/>
      <c r="G338" s="1"/>
      <c r="H338" s="1"/>
    </row>
    <row r="339" spans="2:8" ht="19.95" customHeight="1" x14ac:dyDescent="0.35">
      <c r="B339" s="1"/>
      <c r="C339" s="1"/>
      <c r="D339" s="1"/>
      <c r="E339" s="1"/>
      <c r="F339" s="1"/>
      <c r="G339" s="1"/>
      <c r="H339" s="1"/>
    </row>
    <row r="340" spans="2:8" ht="19.95" customHeight="1" x14ac:dyDescent="0.35">
      <c r="B340" s="1"/>
      <c r="C340" s="1"/>
      <c r="D340" s="1"/>
      <c r="E340" s="1"/>
      <c r="F340" s="1"/>
      <c r="G340" s="1"/>
      <c r="H340" s="1"/>
    </row>
    <row r="341" spans="2:8" ht="19.95" customHeight="1" x14ac:dyDescent="0.35">
      <c r="B341" s="1"/>
      <c r="C341" s="1"/>
      <c r="D341" s="1"/>
      <c r="E341" s="1"/>
      <c r="F341" s="1"/>
      <c r="G341" s="1"/>
      <c r="H341" s="1"/>
    </row>
    <row r="342" spans="2:8" ht="19.95" customHeight="1" x14ac:dyDescent="0.35">
      <c r="B342" s="1"/>
      <c r="C342" s="1"/>
      <c r="D342" s="1"/>
      <c r="E342" s="1"/>
      <c r="F342" s="1"/>
      <c r="G342" s="1"/>
      <c r="H342" s="1"/>
    </row>
    <row r="343" spans="2:8" ht="19.95" customHeight="1" x14ac:dyDescent="0.35">
      <c r="B343" s="1"/>
      <c r="C343" s="1"/>
      <c r="D343" s="1"/>
      <c r="E343" s="1"/>
      <c r="F343" s="1"/>
      <c r="G343" s="1"/>
      <c r="H343" s="1"/>
    </row>
    <row r="344" spans="2:8" ht="19.95" customHeight="1" x14ac:dyDescent="0.35">
      <c r="B344" s="1"/>
      <c r="C344" s="1"/>
      <c r="D344" s="1"/>
      <c r="E344" s="1"/>
      <c r="F344" s="1"/>
      <c r="G344" s="1"/>
      <c r="H344" s="1"/>
    </row>
    <row r="345" spans="2:8" ht="19.95" customHeight="1" x14ac:dyDescent="0.35">
      <c r="B345" s="1"/>
      <c r="C345" s="1"/>
      <c r="D345" s="1"/>
      <c r="E345" s="1"/>
      <c r="F345" s="1"/>
      <c r="G345" s="1"/>
      <c r="H345" s="1"/>
    </row>
    <row r="346" spans="2:8" ht="19.95" customHeight="1" x14ac:dyDescent="0.35">
      <c r="B346" s="1"/>
      <c r="C346" s="1"/>
      <c r="D346" s="1"/>
      <c r="E346" s="1"/>
      <c r="F346" s="1"/>
      <c r="G346" s="1"/>
      <c r="H346" s="1"/>
    </row>
    <row r="347" spans="2:8" ht="19.95" customHeight="1" x14ac:dyDescent="0.35">
      <c r="B347" s="1"/>
      <c r="C347" s="1"/>
      <c r="D347" s="1"/>
      <c r="E347" s="1"/>
      <c r="F347" s="1"/>
      <c r="G347" s="1"/>
      <c r="H347" s="1"/>
    </row>
    <row r="348" spans="2:8" ht="19.95" customHeight="1" x14ac:dyDescent="0.35">
      <c r="B348" s="1"/>
      <c r="C348" s="1"/>
      <c r="D348" s="1"/>
      <c r="E348" s="1"/>
      <c r="F348" s="1"/>
      <c r="G348" s="1"/>
      <c r="H348" s="1"/>
    </row>
    <row r="349" spans="2:8" ht="19.95" customHeight="1" x14ac:dyDescent="0.35">
      <c r="B349" s="1"/>
      <c r="C349" s="1"/>
      <c r="D349" s="1"/>
      <c r="E349" s="1"/>
      <c r="F349" s="1"/>
      <c r="G349" s="1"/>
      <c r="H349" s="1"/>
    </row>
    <row r="350" spans="2:8" ht="19.95" customHeight="1" x14ac:dyDescent="0.35">
      <c r="B350" s="1"/>
      <c r="C350" s="1"/>
      <c r="D350" s="1"/>
      <c r="E350" s="1"/>
      <c r="F350" s="1"/>
      <c r="G350" s="1"/>
      <c r="H350" s="1"/>
    </row>
    <row r="351" spans="2:8" ht="19.95" customHeight="1" x14ac:dyDescent="0.35">
      <c r="B351" s="1"/>
      <c r="C351" s="1"/>
      <c r="D351" s="1"/>
      <c r="E351" s="1"/>
      <c r="F351" s="1"/>
      <c r="G351" s="1"/>
      <c r="H351" s="1"/>
    </row>
    <row r="352" spans="2:8" ht="19.95" customHeight="1" x14ac:dyDescent="0.35">
      <c r="B352" s="1"/>
      <c r="C352" s="1"/>
      <c r="D352" s="1"/>
      <c r="E352" s="1"/>
      <c r="F352" s="1"/>
      <c r="G352" s="1"/>
      <c r="H352" s="1"/>
    </row>
    <row r="353" spans="2:8" ht="19.95" customHeight="1" x14ac:dyDescent="0.35">
      <c r="B353" s="1"/>
      <c r="C353" s="1"/>
      <c r="D353" s="1"/>
      <c r="E353" s="1"/>
      <c r="F353" s="1"/>
      <c r="G353" s="1"/>
      <c r="H353" s="1"/>
    </row>
    <row r="354" spans="2:8" ht="19.95" customHeight="1" x14ac:dyDescent="0.35">
      <c r="B354" s="1"/>
      <c r="C354" s="1"/>
      <c r="D354" s="1"/>
      <c r="E354" s="1"/>
      <c r="F354" s="1"/>
      <c r="G354" s="1"/>
      <c r="H354" s="1"/>
    </row>
    <row r="355" spans="2:8" ht="19.95" customHeight="1" x14ac:dyDescent="0.35">
      <c r="B355" s="1"/>
      <c r="C355" s="1"/>
      <c r="D355" s="1"/>
      <c r="E355" s="1"/>
      <c r="F355" s="1"/>
      <c r="G355" s="1"/>
      <c r="H355" s="1"/>
    </row>
    <row r="356" spans="2:8" ht="19.95" customHeight="1" x14ac:dyDescent="0.35">
      <c r="B356" s="1"/>
      <c r="C356" s="1"/>
      <c r="D356" s="1"/>
      <c r="E356" s="1"/>
      <c r="F356" s="1"/>
      <c r="G356" s="1"/>
      <c r="H356" s="1"/>
    </row>
    <row r="357" spans="2:8" ht="19.95" customHeight="1" x14ac:dyDescent="0.35">
      <c r="B357" s="1"/>
      <c r="C357" s="1"/>
      <c r="D357" s="1"/>
      <c r="E357" s="1"/>
      <c r="F357" s="1"/>
      <c r="G357" s="1"/>
      <c r="H357" s="1"/>
    </row>
    <row r="358" spans="2:8" ht="19.95" customHeight="1" x14ac:dyDescent="0.35">
      <c r="B358" s="1"/>
      <c r="C358" s="1"/>
      <c r="D358" s="1"/>
      <c r="E358" s="1"/>
      <c r="F358" s="1"/>
      <c r="G358" s="1"/>
      <c r="H358" s="1"/>
    </row>
    <row r="359" spans="2:8" ht="19.95" customHeight="1" x14ac:dyDescent="0.35">
      <c r="B359" s="1"/>
      <c r="C359" s="1"/>
      <c r="D359" s="1"/>
      <c r="E359" s="1"/>
      <c r="F359" s="1"/>
      <c r="G359" s="1"/>
      <c r="H359" s="1"/>
    </row>
    <row r="360" spans="2:8" ht="19.95" customHeight="1" x14ac:dyDescent="0.35">
      <c r="B360" s="1"/>
      <c r="C360" s="1"/>
      <c r="D360" s="1"/>
      <c r="E360" s="1"/>
      <c r="F360" s="1"/>
      <c r="G360" s="1"/>
      <c r="H360" s="1"/>
    </row>
    <row r="361" spans="2:8" ht="19.95" customHeight="1" x14ac:dyDescent="0.35">
      <c r="B361" s="1"/>
      <c r="C361" s="1"/>
      <c r="D361" s="1"/>
      <c r="E361" s="1"/>
      <c r="F361" s="1"/>
      <c r="G361" s="1"/>
      <c r="H361" s="1"/>
    </row>
    <row r="362" spans="2:8" ht="19.95" customHeight="1" x14ac:dyDescent="0.35">
      <c r="B362" s="1"/>
      <c r="C362" s="1"/>
      <c r="D362" s="1"/>
      <c r="E362" s="1"/>
      <c r="F362" s="1"/>
      <c r="G362" s="1"/>
      <c r="H362" s="1"/>
    </row>
    <row r="363" spans="2:8" ht="19.95" customHeight="1" x14ac:dyDescent="0.35">
      <c r="B363" s="1"/>
      <c r="C363" s="1"/>
      <c r="D363" s="1"/>
      <c r="E363" s="1"/>
      <c r="F363" s="1"/>
      <c r="G363" s="1"/>
      <c r="H363" s="1"/>
    </row>
    <row r="364" spans="2:8" ht="19.95" customHeight="1" x14ac:dyDescent="0.35">
      <c r="B364" s="1"/>
      <c r="C364" s="1"/>
      <c r="D364" s="1"/>
      <c r="E364" s="1"/>
      <c r="F364" s="1"/>
      <c r="G364" s="1"/>
      <c r="H364" s="1"/>
    </row>
    <row r="365" spans="2:8" ht="19.95" customHeight="1" x14ac:dyDescent="0.35">
      <c r="B365" s="1"/>
      <c r="C365" s="1"/>
      <c r="D365" s="1"/>
      <c r="E365" s="1"/>
      <c r="F365" s="1"/>
      <c r="G365" s="1"/>
      <c r="H365" s="1"/>
    </row>
    <row r="366" spans="2:8" ht="19.95" customHeight="1" x14ac:dyDescent="0.35">
      <c r="B366" s="1"/>
      <c r="C366" s="1"/>
      <c r="D366" s="1"/>
      <c r="E366" s="1"/>
      <c r="F366" s="1"/>
      <c r="G366" s="1"/>
      <c r="H366" s="1"/>
    </row>
    <row r="367" spans="2:8" ht="19.95" customHeight="1" x14ac:dyDescent="0.35">
      <c r="B367" s="1"/>
      <c r="C367" s="1"/>
      <c r="D367" s="1"/>
      <c r="E367" s="1"/>
      <c r="F367" s="1"/>
      <c r="G367" s="1"/>
      <c r="H367" s="1"/>
    </row>
    <row r="368" spans="2:8" ht="19.95" customHeight="1" x14ac:dyDescent="0.35">
      <c r="B368" s="1"/>
      <c r="C368" s="1"/>
      <c r="D368" s="1"/>
      <c r="E368" s="1"/>
      <c r="F368" s="1"/>
      <c r="G368" s="1"/>
      <c r="H368" s="1"/>
    </row>
    <row r="369" spans="2:8" ht="19.95" customHeight="1" x14ac:dyDescent="0.35">
      <c r="B369" s="1"/>
      <c r="C369" s="1"/>
      <c r="D369" s="1"/>
      <c r="E369" s="1"/>
      <c r="F369" s="1"/>
      <c r="G369" s="1"/>
      <c r="H369" s="1"/>
    </row>
    <row r="370" spans="2:8" ht="19.95" customHeight="1" x14ac:dyDescent="0.35">
      <c r="B370" s="1"/>
      <c r="C370" s="1"/>
      <c r="D370" s="1"/>
      <c r="E370" s="1"/>
      <c r="F370" s="1"/>
      <c r="G370" s="1"/>
      <c r="H370" s="1"/>
    </row>
    <row r="371" spans="2:8" ht="19.95" customHeight="1" x14ac:dyDescent="0.35">
      <c r="B371" s="1"/>
      <c r="C371" s="1"/>
      <c r="D371" s="1"/>
      <c r="E371" s="1"/>
      <c r="F371" s="1"/>
      <c r="G371" s="1"/>
      <c r="H371" s="1"/>
    </row>
    <row r="372" spans="2:8" ht="19.95" customHeight="1" x14ac:dyDescent="0.35">
      <c r="B372" s="1"/>
      <c r="C372" s="1"/>
      <c r="D372" s="1"/>
      <c r="E372" s="1"/>
      <c r="F372" s="1"/>
      <c r="G372" s="1"/>
      <c r="H372" s="1"/>
    </row>
    <row r="373" spans="2:8" ht="19.95" customHeight="1" x14ac:dyDescent="0.35">
      <c r="B373" s="1"/>
      <c r="C373" s="1"/>
      <c r="D373" s="1"/>
      <c r="E373" s="1"/>
      <c r="F373" s="1"/>
      <c r="G373" s="1"/>
      <c r="H373" s="1"/>
    </row>
    <row r="374" spans="2:8" ht="19.95" customHeight="1" x14ac:dyDescent="0.35">
      <c r="B374" s="1"/>
      <c r="C374" s="1"/>
      <c r="D374" s="1"/>
      <c r="E374" s="1"/>
      <c r="F374" s="1"/>
      <c r="G374" s="1"/>
      <c r="H374" s="1"/>
    </row>
    <row r="375" spans="2:8" ht="19.95" customHeight="1" x14ac:dyDescent="0.35">
      <c r="B375" s="1"/>
      <c r="C375" s="1"/>
      <c r="D375" s="1"/>
      <c r="E375" s="1"/>
      <c r="F375" s="1"/>
      <c r="G375" s="1"/>
      <c r="H375" s="1"/>
    </row>
    <row r="376" spans="2:8" ht="19.95" customHeight="1" x14ac:dyDescent="0.35">
      <c r="B376" s="1"/>
      <c r="C376" s="1"/>
      <c r="D376" s="1"/>
      <c r="E376" s="1"/>
      <c r="F376" s="1"/>
      <c r="G376" s="1"/>
      <c r="H376" s="1"/>
    </row>
    <row r="377" spans="2:8" ht="19.95" customHeight="1" x14ac:dyDescent="0.35">
      <c r="B377" s="1"/>
      <c r="C377" s="1"/>
      <c r="D377" s="1"/>
      <c r="E377" s="1"/>
      <c r="F377" s="1"/>
      <c r="G377" s="1"/>
      <c r="H377" s="1"/>
    </row>
    <row r="378" spans="2:8" ht="19.95" customHeight="1" x14ac:dyDescent="0.35">
      <c r="B378" s="1"/>
      <c r="C378" s="1"/>
      <c r="D378" s="1"/>
      <c r="E378" s="1"/>
      <c r="F378" s="1"/>
      <c r="G378" s="1"/>
      <c r="H378" s="1"/>
    </row>
    <row r="379" spans="2:8" ht="19.95" customHeight="1" x14ac:dyDescent="0.35">
      <c r="B379" s="1"/>
      <c r="C379" s="1"/>
      <c r="D379" s="1"/>
      <c r="E379" s="1"/>
      <c r="F379" s="1"/>
      <c r="G379" s="1"/>
      <c r="H379" s="1"/>
    </row>
    <row r="380" spans="2:8" ht="19.95" customHeight="1" x14ac:dyDescent="0.35">
      <c r="B380" s="1"/>
      <c r="C380" s="1"/>
      <c r="D380" s="1"/>
      <c r="E380" s="1"/>
      <c r="F380" s="1"/>
      <c r="G380" s="1"/>
      <c r="H380" s="1"/>
    </row>
    <row r="381" spans="2:8" ht="19.95" customHeight="1" x14ac:dyDescent="0.35">
      <c r="B381" s="1"/>
      <c r="C381" s="1"/>
      <c r="D381" s="1"/>
      <c r="E381" s="1"/>
      <c r="F381" s="1"/>
      <c r="G381" s="1"/>
      <c r="H381" s="1"/>
    </row>
    <row r="382" spans="2:8" ht="19.95" customHeight="1" x14ac:dyDescent="0.35">
      <c r="B382" s="1"/>
      <c r="C382" s="1"/>
      <c r="D382" s="1"/>
      <c r="E382" s="1"/>
      <c r="F382" s="1"/>
      <c r="G382" s="1"/>
      <c r="H382" s="1"/>
    </row>
    <row r="383" spans="2:8" ht="19.95" customHeight="1" x14ac:dyDescent="0.35">
      <c r="B383" s="1"/>
      <c r="C383" s="1"/>
      <c r="D383" s="1"/>
      <c r="E383" s="1"/>
      <c r="F383" s="1"/>
      <c r="G383" s="1"/>
      <c r="H383" s="1"/>
    </row>
    <row r="384" spans="2:8" ht="19.95" customHeight="1" x14ac:dyDescent="0.35">
      <c r="B384" s="1"/>
      <c r="C384" s="1"/>
      <c r="D384" s="1"/>
      <c r="E384" s="1"/>
      <c r="F384" s="1"/>
      <c r="G384" s="1"/>
      <c r="H384" s="1"/>
    </row>
    <row r="385" spans="2:8" ht="19.95" customHeight="1" x14ac:dyDescent="0.35">
      <c r="B385" s="1"/>
      <c r="C385" s="1"/>
      <c r="D385" s="1"/>
      <c r="E385" s="1"/>
      <c r="F385" s="1"/>
      <c r="G385" s="1"/>
      <c r="H385" s="1"/>
    </row>
    <row r="386" spans="2:8" ht="19.95" customHeight="1" x14ac:dyDescent="0.35">
      <c r="B386" s="1"/>
      <c r="C386" s="1"/>
      <c r="D386" s="1"/>
      <c r="E386" s="1"/>
      <c r="F386" s="1"/>
      <c r="G386" s="1"/>
      <c r="H386" s="1"/>
    </row>
    <row r="387" spans="2:8" ht="19.95" customHeight="1" x14ac:dyDescent="0.35">
      <c r="B387" s="1"/>
      <c r="C387" s="1"/>
      <c r="D387" s="1"/>
      <c r="E387" s="1"/>
      <c r="F387" s="1"/>
      <c r="G387" s="1"/>
      <c r="H387" s="1"/>
    </row>
    <row r="388" spans="2:8" ht="19.95" customHeight="1" x14ac:dyDescent="0.35">
      <c r="B388" s="1"/>
      <c r="C388" s="1"/>
      <c r="D388" s="1"/>
      <c r="E388" s="1"/>
      <c r="F388" s="1"/>
      <c r="G388" s="1"/>
      <c r="H388" s="1"/>
    </row>
    <row r="389" spans="2:8" ht="19.95" customHeight="1" x14ac:dyDescent="0.35">
      <c r="B389" s="1"/>
      <c r="C389" s="1"/>
      <c r="D389" s="1"/>
      <c r="E389" s="1"/>
      <c r="F389" s="1"/>
      <c r="G389" s="1"/>
      <c r="H389" s="1"/>
    </row>
    <row r="390" spans="2:8" ht="19.95" customHeight="1" x14ac:dyDescent="0.35">
      <c r="B390" s="1"/>
      <c r="C390" s="1"/>
      <c r="D390" s="1"/>
      <c r="E390" s="1"/>
      <c r="F390" s="1"/>
      <c r="G390" s="1"/>
      <c r="H390" s="1"/>
    </row>
    <row r="391" spans="2:8" ht="19.95" customHeight="1" x14ac:dyDescent="0.35">
      <c r="B391" s="1"/>
      <c r="C391" s="1"/>
      <c r="D391" s="1"/>
      <c r="E391" s="1"/>
      <c r="F391" s="1"/>
      <c r="G391" s="1"/>
      <c r="H391" s="1"/>
    </row>
    <row r="392" spans="2:8" ht="19.95" customHeight="1" x14ac:dyDescent="0.35">
      <c r="B392" s="1"/>
      <c r="C392" s="1"/>
      <c r="D392" s="1"/>
      <c r="E392" s="1"/>
      <c r="F392" s="1"/>
      <c r="G392" s="1"/>
      <c r="H392" s="1"/>
    </row>
    <row r="393" spans="2:8" ht="19.95" customHeight="1" x14ac:dyDescent="0.35">
      <c r="B393" s="1"/>
      <c r="C393" s="1"/>
      <c r="D393" s="1"/>
      <c r="E393" s="1"/>
      <c r="F393" s="1"/>
      <c r="G393" s="1"/>
      <c r="H393" s="1"/>
    </row>
    <row r="394" spans="2:8" ht="19.95" customHeight="1" x14ac:dyDescent="0.35">
      <c r="B394" s="1"/>
      <c r="C394" s="1"/>
      <c r="D394" s="1"/>
      <c r="E394" s="1"/>
      <c r="F394" s="1"/>
      <c r="G394" s="1"/>
      <c r="H394" s="1"/>
    </row>
    <row r="395" spans="2:8" ht="19.95" customHeight="1" x14ac:dyDescent="0.35">
      <c r="B395" s="1"/>
      <c r="C395" s="1"/>
      <c r="D395" s="1"/>
      <c r="E395" s="1"/>
      <c r="F395" s="1"/>
      <c r="G395" s="1"/>
      <c r="H395" s="1"/>
    </row>
    <row r="396" spans="2:8" ht="19.95" customHeight="1" x14ac:dyDescent="0.35">
      <c r="B396" s="1"/>
      <c r="C396" s="1"/>
      <c r="D396" s="1"/>
      <c r="E396" s="1"/>
      <c r="F396" s="1"/>
      <c r="G396" s="1"/>
      <c r="H396" s="1"/>
    </row>
    <row r="397" spans="2:8" ht="19.95" customHeight="1" x14ac:dyDescent="0.35">
      <c r="B397" s="1"/>
      <c r="C397" s="1"/>
      <c r="D397" s="1"/>
      <c r="E397" s="1"/>
      <c r="F397" s="1"/>
      <c r="G397" s="1"/>
      <c r="H397" s="1"/>
    </row>
    <row r="398" spans="2:8" ht="19.95" customHeight="1" x14ac:dyDescent="0.35">
      <c r="B398" s="1"/>
      <c r="C398" s="1"/>
      <c r="D398" s="1"/>
      <c r="E398" s="1"/>
      <c r="F398" s="1"/>
      <c r="G398" s="1"/>
      <c r="H398" s="1"/>
    </row>
    <row r="399" spans="2:8" ht="19.95" customHeight="1" x14ac:dyDescent="0.35">
      <c r="B399" s="1"/>
      <c r="C399" s="1"/>
      <c r="D399" s="1"/>
      <c r="E399" s="1"/>
      <c r="F399" s="1"/>
      <c r="G399" s="1"/>
      <c r="H399" s="1"/>
    </row>
    <row r="400" spans="2:8" ht="19.95" customHeight="1" x14ac:dyDescent="0.35">
      <c r="B400" s="1"/>
      <c r="C400" s="1"/>
      <c r="D400" s="1"/>
      <c r="E400" s="1"/>
      <c r="F400" s="1"/>
      <c r="G400" s="1"/>
      <c r="H400" s="1"/>
    </row>
    <row r="401" spans="2:8" ht="19.95" customHeight="1" x14ac:dyDescent="0.35">
      <c r="B401" s="1"/>
      <c r="C401" s="1"/>
      <c r="D401" s="1"/>
      <c r="E401" s="1"/>
      <c r="F401" s="1"/>
      <c r="G401" s="1"/>
      <c r="H401" s="1"/>
    </row>
    <row r="402" spans="2:8" ht="19.95" customHeight="1" x14ac:dyDescent="0.35">
      <c r="B402" s="1"/>
      <c r="C402" s="1"/>
      <c r="D402" s="1"/>
      <c r="E402" s="1"/>
      <c r="F402" s="1"/>
      <c r="G402" s="1"/>
      <c r="H402" s="1"/>
    </row>
    <row r="403" spans="2:8" ht="19.95" customHeight="1" x14ac:dyDescent="0.35">
      <c r="B403" s="1"/>
      <c r="C403" s="1"/>
      <c r="D403" s="1"/>
      <c r="E403" s="1"/>
      <c r="F403" s="1"/>
      <c r="G403" s="1"/>
      <c r="H403" s="1"/>
    </row>
    <row r="404" spans="2:8" ht="19.95" customHeight="1" x14ac:dyDescent="0.35">
      <c r="B404" s="1"/>
      <c r="C404" s="1"/>
      <c r="D404" s="1"/>
      <c r="E404" s="1"/>
      <c r="F404" s="1"/>
      <c r="G404" s="1"/>
      <c r="H404" s="1"/>
    </row>
    <row r="405" spans="2:8" ht="19.95" customHeight="1" x14ac:dyDescent="0.35">
      <c r="B405" s="1"/>
      <c r="C405" s="1"/>
      <c r="D405" s="1"/>
      <c r="E405" s="1"/>
      <c r="F405" s="1"/>
      <c r="G405" s="1"/>
      <c r="H405" s="1"/>
    </row>
    <row r="406" spans="2:8" ht="19.95" customHeight="1" x14ac:dyDescent="0.35">
      <c r="B406" s="1"/>
      <c r="C406" s="1"/>
      <c r="D406" s="1"/>
      <c r="E406" s="1"/>
      <c r="F406" s="1"/>
      <c r="G406" s="1"/>
      <c r="H406" s="1"/>
    </row>
    <row r="407" spans="2:8" ht="19.95" customHeight="1" x14ac:dyDescent="0.35">
      <c r="B407" s="1"/>
      <c r="C407" s="1"/>
      <c r="D407" s="1"/>
      <c r="E407" s="1"/>
      <c r="F407" s="1"/>
      <c r="G407" s="1"/>
      <c r="H407" s="1"/>
    </row>
    <row r="408" spans="2:8" ht="19.95" customHeight="1" x14ac:dyDescent="0.35">
      <c r="B408" s="1"/>
      <c r="C408" s="1"/>
      <c r="D408" s="1"/>
      <c r="E408" s="1"/>
      <c r="F408" s="1"/>
      <c r="G408" s="1"/>
      <c r="H408" s="1"/>
    </row>
    <row r="409" spans="2:8" ht="19.95" customHeight="1" x14ac:dyDescent="0.35">
      <c r="B409" s="1"/>
      <c r="C409" s="1"/>
      <c r="D409" s="1"/>
      <c r="E409" s="1"/>
      <c r="F409" s="1"/>
      <c r="G409" s="1"/>
      <c r="H409" s="1"/>
    </row>
    <row r="410" spans="2:8" ht="19.95" customHeight="1" x14ac:dyDescent="0.35">
      <c r="B410" s="1"/>
      <c r="C410" s="1"/>
      <c r="D410" s="1"/>
      <c r="E410" s="1"/>
      <c r="F410" s="1"/>
      <c r="G410" s="1"/>
      <c r="H410" s="1"/>
    </row>
    <row r="411" spans="2:8" ht="19.95" customHeight="1" x14ac:dyDescent="0.35">
      <c r="B411" s="1"/>
      <c r="C411" s="1"/>
      <c r="D411" s="1"/>
      <c r="E411" s="1"/>
      <c r="F411" s="1"/>
      <c r="G411" s="1"/>
      <c r="H411" s="1"/>
    </row>
    <row r="412" spans="2:8" ht="19.95" customHeight="1" x14ac:dyDescent="0.35">
      <c r="B412" s="1"/>
      <c r="C412" s="1"/>
      <c r="D412" s="1"/>
      <c r="E412" s="1"/>
      <c r="F412" s="1"/>
      <c r="G412" s="1"/>
      <c r="H412" s="1"/>
    </row>
    <row r="413" spans="2:8" ht="19.95" customHeight="1" x14ac:dyDescent="0.35">
      <c r="B413" s="1"/>
      <c r="C413" s="1"/>
      <c r="D413" s="1"/>
      <c r="E413" s="1"/>
      <c r="F413" s="1"/>
      <c r="G413" s="1"/>
      <c r="H413" s="1"/>
    </row>
    <row r="414" spans="2:8" ht="19.95" customHeight="1" x14ac:dyDescent="0.35">
      <c r="B414" s="1"/>
      <c r="C414" s="1"/>
      <c r="D414" s="1"/>
      <c r="E414" s="1"/>
      <c r="F414" s="1"/>
      <c r="G414" s="1"/>
      <c r="H414" s="1"/>
    </row>
    <row r="415" spans="2:8" ht="19.95" customHeight="1" x14ac:dyDescent="0.35">
      <c r="B415" s="1"/>
      <c r="C415" s="1"/>
      <c r="D415" s="1"/>
      <c r="E415" s="1"/>
      <c r="F415" s="1"/>
      <c r="G415" s="1"/>
      <c r="H415" s="1"/>
    </row>
    <row r="416" spans="2:8" ht="19.95" customHeight="1" x14ac:dyDescent="0.35">
      <c r="B416" s="1"/>
      <c r="C416" s="1"/>
      <c r="D416" s="1"/>
      <c r="E416" s="1"/>
      <c r="F416" s="1"/>
      <c r="G416" s="1"/>
      <c r="H416" s="1"/>
    </row>
    <row r="417" spans="2:8" ht="19.95" customHeight="1" x14ac:dyDescent="0.35">
      <c r="B417" s="1"/>
      <c r="C417" s="1"/>
      <c r="D417" s="1"/>
      <c r="E417" s="1"/>
      <c r="F417" s="1"/>
      <c r="G417" s="1"/>
      <c r="H417" s="1"/>
    </row>
    <row r="418" spans="2:8" ht="19.95" customHeight="1" x14ac:dyDescent="0.35">
      <c r="B418" s="1"/>
      <c r="C418" s="1"/>
      <c r="D418" s="1"/>
      <c r="E418" s="1"/>
      <c r="F418" s="1"/>
      <c r="G418" s="1"/>
      <c r="H418" s="1"/>
    </row>
    <row r="419" spans="2:8" ht="19.95" customHeight="1" x14ac:dyDescent="0.35">
      <c r="B419" s="1"/>
      <c r="C419" s="1"/>
      <c r="D419" s="1"/>
      <c r="E419" s="1"/>
      <c r="F419" s="1"/>
      <c r="G419" s="1"/>
      <c r="H419" s="1"/>
    </row>
    <row r="420" spans="2:8" ht="19.95" customHeight="1" x14ac:dyDescent="0.35">
      <c r="B420" s="1"/>
      <c r="C420" s="1"/>
      <c r="D420" s="1"/>
      <c r="E420" s="1"/>
      <c r="F420" s="1"/>
      <c r="G420" s="1"/>
      <c r="H420" s="1"/>
    </row>
    <row r="421" spans="2:8" ht="19.95" customHeight="1" x14ac:dyDescent="0.35">
      <c r="B421" s="1"/>
      <c r="C421" s="1"/>
      <c r="D421" s="1"/>
      <c r="E421" s="1"/>
      <c r="F421" s="1"/>
      <c r="G421" s="1"/>
      <c r="H421" s="1"/>
    </row>
    <row r="422" spans="2:8" ht="19.95" customHeight="1" x14ac:dyDescent="0.35">
      <c r="B422" s="1"/>
      <c r="C422" s="1"/>
      <c r="D422" s="1"/>
      <c r="E422" s="1"/>
      <c r="F422" s="1"/>
      <c r="G422" s="1"/>
      <c r="H422" s="1"/>
    </row>
    <row r="423" spans="2:8" ht="19.95" customHeight="1" x14ac:dyDescent="0.35">
      <c r="B423" s="1"/>
      <c r="C423" s="1"/>
      <c r="D423" s="1"/>
      <c r="E423" s="1"/>
      <c r="F423" s="1"/>
      <c r="G423" s="1"/>
      <c r="H423" s="1"/>
    </row>
    <row r="424" spans="2:8" ht="19.95" customHeight="1" x14ac:dyDescent="0.35">
      <c r="B424" s="1"/>
      <c r="C424" s="1"/>
      <c r="D424" s="1"/>
      <c r="E424" s="1"/>
      <c r="F424" s="1"/>
      <c r="G424" s="1"/>
      <c r="H424" s="1"/>
    </row>
    <row r="425" spans="2:8" ht="19.95" customHeight="1" x14ac:dyDescent="0.35">
      <c r="B425" s="1"/>
      <c r="C425" s="1"/>
      <c r="D425" s="1"/>
      <c r="E425" s="1"/>
      <c r="F425" s="1"/>
      <c r="G425" s="1"/>
      <c r="H425" s="1"/>
    </row>
    <row r="426" spans="2:8" ht="19.95" customHeight="1" x14ac:dyDescent="0.35">
      <c r="B426" s="1"/>
      <c r="C426" s="1"/>
      <c r="D426" s="1"/>
      <c r="E426" s="1"/>
      <c r="F426" s="1"/>
      <c r="G426" s="1"/>
      <c r="H426" s="1"/>
    </row>
    <row r="427" spans="2:8" ht="19.95" customHeight="1" x14ac:dyDescent="0.35">
      <c r="B427" s="1"/>
      <c r="C427" s="1"/>
      <c r="D427" s="1"/>
      <c r="E427" s="1"/>
      <c r="F427" s="1"/>
      <c r="G427" s="1"/>
      <c r="H427" s="1"/>
    </row>
    <row r="428" spans="2:8" ht="19.95" customHeight="1" x14ac:dyDescent="0.35">
      <c r="B428" s="1"/>
      <c r="C428" s="1"/>
      <c r="D428" s="1"/>
      <c r="E428" s="1"/>
      <c r="F428" s="1"/>
      <c r="G428" s="1"/>
      <c r="H428" s="1"/>
    </row>
    <row r="429" spans="2:8" ht="19.95" customHeight="1" x14ac:dyDescent="0.35">
      <c r="B429" s="1"/>
      <c r="C429" s="1"/>
      <c r="D429" s="1"/>
      <c r="E429" s="1"/>
      <c r="F429" s="1"/>
      <c r="G429" s="1"/>
      <c r="H429" s="1"/>
    </row>
    <row r="430" spans="2:8" ht="19.95" customHeight="1" x14ac:dyDescent="0.35">
      <c r="B430" s="1"/>
      <c r="C430" s="1"/>
      <c r="D430" s="1"/>
      <c r="E430" s="1"/>
      <c r="F430" s="1"/>
      <c r="G430" s="1"/>
      <c r="H430" s="1"/>
    </row>
    <row r="431" spans="2:8" ht="19.95" customHeight="1" x14ac:dyDescent="0.35">
      <c r="B431" s="1"/>
      <c r="C431" s="1"/>
      <c r="D431" s="1"/>
      <c r="E431" s="1"/>
      <c r="F431" s="1"/>
      <c r="G431" s="1"/>
      <c r="H431" s="1"/>
    </row>
    <row r="432" spans="2:8" ht="19.95" customHeight="1" x14ac:dyDescent="0.35">
      <c r="B432" s="1"/>
      <c r="C432" s="1"/>
      <c r="D432" s="1"/>
      <c r="E432" s="1"/>
      <c r="F432" s="1"/>
      <c r="G432" s="1"/>
      <c r="H432" s="1"/>
    </row>
    <row r="433" spans="2:8" ht="19.95" customHeight="1" x14ac:dyDescent="0.35">
      <c r="B433" s="1"/>
      <c r="C433" s="1"/>
      <c r="D433" s="1"/>
      <c r="E433" s="1"/>
      <c r="F433" s="1"/>
      <c r="G433" s="1"/>
      <c r="H433" s="1"/>
    </row>
    <row r="434" spans="2:8" ht="19.95" customHeight="1" x14ac:dyDescent="0.35">
      <c r="B434" s="1"/>
      <c r="C434" s="1"/>
      <c r="D434" s="1"/>
      <c r="E434" s="1"/>
      <c r="F434" s="1"/>
      <c r="G434" s="1"/>
      <c r="H434" s="1"/>
    </row>
    <row r="435" spans="2:8" ht="19.95" customHeight="1" x14ac:dyDescent="0.35">
      <c r="B435" s="1"/>
      <c r="C435" s="1"/>
      <c r="D435" s="1"/>
      <c r="E435" s="1"/>
      <c r="F435" s="1"/>
      <c r="G435" s="1"/>
      <c r="H435" s="1"/>
    </row>
    <row r="436" spans="2:8" ht="19.95" customHeight="1" x14ac:dyDescent="0.35">
      <c r="B436" s="1"/>
      <c r="C436" s="1"/>
      <c r="D436" s="1"/>
      <c r="E436" s="1"/>
      <c r="F436" s="1"/>
      <c r="G436" s="1"/>
      <c r="H436" s="1"/>
    </row>
    <row r="437" spans="2:8" ht="19.95" customHeight="1" x14ac:dyDescent="0.35">
      <c r="B437" s="1"/>
      <c r="C437" s="1"/>
      <c r="D437" s="1"/>
      <c r="E437" s="1"/>
      <c r="F437" s="1"/>
      <c r="G437" s="1"/>
      <c r="H437" s="1"/>
    </row>
    <row r="438" spans="2:8" ht="19.95" customHeight="1" x14ac:dyDescent="0.35">
      <c r="B438" s="1"/>
      <c r="C438" s="1"/>
      <c r="D438" s="1"/>
      <c r="E438" s="1"/>
      <c r="F438" s="1"/>
      <c r="G438" s="1"/>
      <c r="H438" s="1"/>
    </row>
    <row r="439" spans="2:8" ht="19.95" customHeight="1" x14ac:dyDescent="0.35">
      <c r="B439" s="1"/>
      <c r="C439" s="1"/>
      <c r="D439" s="1"/>
      <c r="E439" s="1"/>
      <c r="F439" s="1"/>
      <c r="G439" s="1"/>
      <c r="H439" s="1"/>
    </row>
    <row r="440" spans="2:8" ht="19.95" customHeight="1" x14ac:dyDescent="0.35">
      <c r="B440" s="1"/>
      <c r="C440" s="1"/>
      <c r="D440" s="1"/>
      <c r="E440" s="1"/>
      <c r="F440" s="1"/>
      <c r="G440" s="1"/>
      <c r="H440" s="1"/>
    </row>
    <row r="441" spans="2:8" ht="19.95" customHeight="1" x14ac:dyDescent="0.35">
      <c r="B441" s="1"/>
      <c r="C441" s="1"/>
      <c r="D441" s="1"/>
      <c r="E441" s="1"/>
      <c r="F441" s="1"/>
      <c r="G441" s="1"/>
      <c r="H441" s="1"/>
    </row>
    <row r="442" spans="2:8" ht="19.95" customHeight="1" x14ac:dyDescent="0.35">
      <c r="B442" s="1"/>
      <c r="C442" s="1"/>
      <c r="D442" s="1"/>
      <c r="E442" s="1"/>
      <c r="F442" s="1"/>
      <c r="G442" s="1"/>
      <c r="H442" s="1"/>
    </row>
    <row r="443" spans="2:8" ht="19.95" customHeight="1" x14ac:dyDescent="0.35">
      <c r="B443" s="1"/>
      <c r="C443" s="1"/>
      <c r="D443" s="1"/>
      <c r="E443" s="1"/>
      <c r="F443" s="1"/>
      <c r="G443" s="1"/>
      <c r="H443" s="1"/>
    </row>
    <row r="444" spans="2:8" ht="19.95" customHeight="1" x14ac:dyDescent="0.35">
      <c r="B444" s="1"/>
      <c r="C444" s="1"/>
      <c r="D444" s="1"/>
      <c r="E444" s="1"/>
      <c r="F444" s="1"/>
      <c r="G444" s="1"/>
      <c r="H444" s="1"/>
    </row>
    <row r="445" spans="2:8" ht="19.95" customHeight="1" x14ac:dyDescent="0.35">
      <c r="B445" s="1"/>
      <c r="C445" s="1"/>
      <c r="D445" s="1"/>
      <c r="E445" s="1"/>
      <c r="F445" s="1"/>
      <c r="G445" s="1"/>
      <c r="H445" s="1"/>
    </row>
    <row r="446" spans="2:8" ht="19.95" customHeight="1" x14ac:dyDescent="0.35">
      <c r="B446" s="1"/>
      <c r="C446" s="1"/>
      <c r="D446" s="1"/>
      <c r="E446" s="1"/>
      <c r="F446" s="1"/>
      <c r="G446" s="1"/>
      <c r="H446" s="1"/>
    </row>
    <row r="447" spans="2:8" ht="19.95" customHeight="1" x14ac:dyDescent="0.35">
      <c r="B447" s="1"/>
      <c r="C447" s="1"/>
      <c r="D447" s="1"/>
      <c r="E447" s="1"/>
      <c r="F447" s="1"/>
      <c r="G447" s="1"/>
      <c r="H447" s="1"/>
    </row>
    <row r="448" spans="2:8" ht="19.95" customHeight="1" x14ac:dyDescent="0.35">
      <c r="B448" s="1"/>
      <c r="C448" s="1"/>
      <c r="D448" s="1"/>
      <c r="E448" s="1"/>
      <c r="F448" s="1"/>
      <c r="G448" s="1"/>
      <c r="H448" s="1"/>
    </row>
    <row r="449" spans="2:8" ht="19.95" customHeight="1" x14ac:dyDescent="0.35">
      <c r="B449" s="1"/>
      <c r="C449" s="1"/>
      <c r="D449" s="1"/>
      <c r="E449" s="1"/>
      <c r="F449" s="1"/>
      <c r="G449" s="1"/>
      <c r="H449" s="1"/>
    </row>
    <row r="450" spans="2:8" ht="19.95" customHeight="1" x14ac:dyDescent="0.35">
      <c r="B450" s="1"/>
      <c r="C450" s="1"/>
      <c r="D450" s="1"/>
      <c r="E450" s="1"/>
      <c r="F450" s="1"/>
      <c r="G450" s="1"/>
      <c r="H450" s="1"/>
    </row>
    <row r="451" spans="2:8" ht="19.95" customHeight="1" x14ac:dyDescent="0.35">
      <c r="B451" s="1"/>
      <c r="C451" s="1"/>
      <c r="D451" s="1"/>
      <c r="E451" s="1"/>
      <c r="F451" s="1"/>
      <c r="G451" s="1"/>
      <c r="H451" s="1"/>
    </row>
    <row r="452" spans="2:8" ht="19.95" customHeight="1" x14ac:dyDescent="0.35">
      <c r="B452" s="1"/>
      <c r="C452" s="1"/>
      <c r="D452" s="1"/>
      <c r="E452" s="1"/>
      <c r="F452" s="1"/>
      <c r="G452" s="1"/>
      <c r="H452" s="1"/>
    </row>
    <row r="453" spans="2:8" ht="19.95" customHeight="1" x14ac:dyDescent="0.35">
      <c r="B453" s="1"/>
      <c r="C453" s="1"/>
      <c r="D453" s="1"/>
      <c r="E453" s="1"/>
      <c r="F453" s="1"/>
      <c r="G453" s="1"/>
      <c r="H453" s="1"/>
    </row>
    <row r="454" spans="2:8" ht="19.95" customHeight="1" x14ac:dyDescent="0.35">
      <c r="B454" s="1"/>
      <c r="C454" s="1"/>
      <c r="D454" s="1"/>
      <c r="E454" s="1"/>
      <c r="F454" s="1"/>
      <c r="G454" s="1"/>
      <c r="H454" s="1"/>
    </row>
    <row r="455" spans="2:8" ht="19.95" customHeight="1" x14ac:dyDescent="0.35">
      <c r="B455" s="1"/>
      <c r="C455" s="1"/>
      <c r="D455" s="1"/>
      <c r="E455" s="1"/>
      <c r="F455" s="1"/>
      <c r="G455" s="1"/>
      <c r="H455" s="1"/>
    </row>
    <row r="456" spans="2:8" ht="19.95" customHeight="1" x14ac:dyDescent="0.35">
      <c r="B456" s="1"/>
      <c r="C456" s="1"/>
      <c r="D456" s="1"/>
      <c r="E456" s="1"/>
      <c r="F456" s="1"/>
      <c r="G456" s="1"/>
      <c r="H456" s="1"/>
    </row>
    <row r="457" spans="2:8" ht="19.95" customHeight="1" x14ac:dyDescent="0.35">
      <c r="B457" s="1"/>
      <c r="C457" s="1"/>
      <c r="D457" s="1"/>
      <c r="E457" s="1"/>
      <c r="F457" s="1"/>
      <c r="G457" s="1"/>
      <c r="H457" s="1"/>
    </row>
    <row r="458" spans="2:8" ht="19.95" customHeight="1" x14ac:dyDescent="0.35">
      <c r="B458" s="1"/>
      <c r="C458" s="1"/>
      <c r="D458" s="1"/>
      <c r="E458" s="1"/>
      <c r="F458" s="1"/>
      <c r="G458" s="1"/>
      <c r="H458" s="1"/>
    </row>
    <row r="459" spans="2:8" ht="19.95" customHeight="1" x14ac:dyDescent="0.35">
      <c r="B459" s="1"/>
      <c r="C459" s="1"/>
      <c r="D459" s="1"/>
      <c r="E459" s="1"/>
      <c r="F459" s="1"/>
      <c r="G459" s="1"/>
      <c r="H459" s="1"/>
    </row>
    <row r="460" spans="2:8" ht="19.95" customHeight="1" x14ac:dyDescent="0.35">
      <c r="B460" s="1"/>
      <c r="C460" s="1"/>
      <c r="D460" s="1"/>
      <c r="E460" s="1"/>
      <c r="F460" s="1"/>
      <c r="G460" s="1"/>
      <c r="H460" s="1"/>
    </row>
    <row r="461" spans="2:8" ht="19.95" customHeight="1" x14ac:dyDescent="0.35">
      <c r="B461" s="1"/>
      <c r="C461" s="1"/>
      <c r="D461" s="1"/>
      <c r="E461" s="1"/>
      <c r="F461" s="1"/>
      <c r="G461" s="1"/>
      <c r="H461" s="1"/>
    </row>
    <row r="462" spans="2:8" ht="19.95" customHeight="1" x14ac:dyDescent="0.35">
      <c r="B462" s="1"/>
      <c r="C462" s="1"/>
      <c r="D462" s="1"/>
      <c r="E462" s="1"/>
      <c r="F462" s="1"/>
      <c r="G462" s="1"/>
      <c r="H462" s="1"/>
    </row>
    <row r="463" spans="2:8" ht="19.95" customHeight="1" x14ac:dyDescent="0.35">
      <c r="B463" s="1"/>
      <c r="C463" s="1"/>
      <c r="D463" s="1"/>
      <c r="E463" s="1"/>
      <c r="F463" s="1"/>
      <c r="G463" s="1"/>
      <c r="H463" s="1"/>
    </row>
    <row r="464" spans="2:8" ht="19.95" customHeight="1" x14ac:dyDescent="0.35">
      <c r="B464" s="1"/>
      <c r="C464" s="1"/>
      <c r="D464" s="1"/>
      <c r="E464" s="1"/>
      <c r="F464" s="1"/>
      <c r="G464" s="1"/>
      <c r="H464" s="1"/>
    </row>
    <row r="465" spans="2:8" ht="19.95" customHeight="1" x14ac:dyDescent="0.35">
      <c r="B465" s="1"/>
      <c r="C465" s="1"/>
      <c r="D465" s="1"/>
      <c r="E465" s="1"/>
      <c r="F465" s="1"/>
      <c r="G465" s="1"/>
      <c r="H465" s="1"/>
    </row>
    <row r="466" spans="2:8" ht="19.95" customHeight="1" x14ac:dyDescent="0.35">
      <c r="B466" s="1"/>
      <c r="C466" s="1"/>
      <c r="D466" s="1"/>
      <c r="E466" s="1"/>
      <c r="F466" s="1"/>
      <c r="G466" s="1"/>
      <c r="H466" s="1"/>
    </row>
    <row r="467" spans="2:8" ht="19.95" customHeight="1" x14ac:dyDescent="0.35">
      <c r="B467" s="1"/>
      <c r="C467" s="1"/>
      <c r="D467" s="1"/>
      <c r="E467" s="1"/>
      <c r="F467" s="1"/>
      <c r="G467" s="1"/>
      <c r="H467" s="1"/>
    </row>
    <row r="468" spans="2:8" ht="19.95" customHeight="1" x14ac:dyDescent="0.35">
      <c r="B468" s="1"/>
      <c r="C468" s="1"/>
      <c r="D468" s="1"/>
      <c r="E468" s="1"/>
      <c r="F468" s="1"/>
      <c r="G468" s="1"/>
      <c r="H468" s="1"/>
    </row>
    <row r="469" spans="2:8" ht="19.95" customHeight="1" x14ac:dyDescent="0.35">
      <c r="B469" s="1"/>
      <c r="C469" s="1"/>
      <c r="D469" s="1"/>
      <c r="E469" s="1"/>
      <c r="F469" s="1"/>
      <c r="G469" s="1"/>
      <c r="H469" s="1"/>
    </row>
    <row r="470" spans="2:8" ht="19.95" customHeight="1" x14ac:dyDescent="0.35">
      <c r="B470" s="1"/>
      <c r="C470" s="1"/>
      <c r="D470" s="1"/>
      <c r="E470" s="1"/>
      <c r="F470" s="1"/>
      <c r="G470" s="1"/>
      <c r="H470" s="1"/>
    </row>
    <row r="471" spans="2:8" ht="19.95" customHeight="1" x14ac:dyDescent="0.35">
      <c r="B471" s="1"/>
      <c r="C471" s="1"/>
      <c r="D471" s="1"/>
      <c r="E471" s="1"/>
      <c r="F471" s="1"/>
      <c r="G471" s="1"/>
      <c r="H471" s="1"/>
    </row>
    <row r="472" spans="2:8" ht="19.95" customHeight="1" x14ac:dyDescent="0.35">
      <c r="B472" s="1"/>
      <c r="C472" s="1"/>
      <c r="D472" s="1"/>
      <c r="E472" s="1"/>
      <c r="F472" s="1"/>
      <c r="G472" s="1"/>
      <c r="H472" s="1"/>
    </row>
    <row r="473" spans="2:8" ht="19.95" customHeight="1" x14ac:dyDescent="0.35">
      <c r="B473" s="1"/>
      <c r="C473" s="1"/>
      <c r="D473" s="1"/>
      <c r="E473" s="1"/>
      <c r="F473" s="1"/>
      <c r="G473" s="1"/>
      <c r="H473" s="1"/>
    </row>
    <row r="474" spans="2:8" ht="19.95" customHeight="1" x14ac:dyDescent="0.35">
      <c r="B474" s="1"/>
      <c r="C474" s="1"/>
      <c r="D474" s="1"/>
      <c r="E474" s="1"/>
      <c r="F474" s="1"/>
      <c r="G474" s="1"/>
      <c r="H474" s="1"/>
    </row>
    <row r="475" spans="2:8" ht="19.95" customHeight="1" x14ac:dyDescent="0.35">
      <c r="B475" s="1"/>
      <c r="C475" s="1"/>
      <c r="D475" s="1"/>
      <c r="E475" s="1"/>
      <c r="F475" s="1"/>
      <c r="G475" s="1"/>
      <c r="H475" s="1"/>
    </row>
    <row r="476" spans="2:8" ht="19.95" customHeight="1" x14ac:dyDescent="0.35">
      <c r="B476" s="1"/>
      <c r="C476" s="1"/>
      <c r="D476" s="1"/>
      <c r="E476" s="1"/>
      <c r="F476" s="1"/>
      <c r="G476" s="1"/>
      <c r="H476" s="1"/>
    </row>
    <row r="477" spans="2:8" ht="19.95" customHeight="1" x14ac:dyDescent="0.35">
      <c r="B477" s="1"/>
      <c r="C477" s="1"/>
      <c r="D477" s="1"/>
      <c r="E477" s="1"/>
      <c r="F477" s="1"/>
      <c r="G477" s="1"/>
      <c r="H477" s="1"/>
    </row>
    <row r="478" spans="2:8" ht="19.95" customHeight="1" x14ac:dyDescent="0.35">
      <c r="B478" s="1"/>
      <c r="C478" s="1"/>
      <c r="D478" s="1"/>
      <c r="E478" s="1"/>
      <c r="F478" s="1"/>
      <c r="G478" s="1"/>
      <c r="H478" s="1"/>
    </row>
    <row r="479" spans="2:8" ht="19.95" customHeight="1" x14ac:dyDescent="0.35">
      <c r="B479" s="1"/>
      <c r="C479" s="1"/>
      <c r="D479" s="1"/>
      <c r="E479" s="1"/>
      <c r="F479" s="1"/>
      <c r="G479" s="1"/>
      <c r="H479" s="1"/>
    </row>
    <row r="480" spans="2:8" ht="19.95" customHeight="1" x14ac:dyDescent="0.35">
      <c r="B480" s="1"/>
      <c r="C480" s="1"/>
      <c r="D480" s="1"/>
      <c r="E480" s="1"/>
      <c r="F480" s="1"/>
      <c r="G480" s="1"/>
      <c r="H480" s="1"/>
    </row>
    <row r="481" spans="2:8" ht="19.95" customHeight="1" x14ac:dyDescent="0.35">
      <c r="B481" s="1"/>
      <c r="C481" s="1"/>
      <c r="D481" s="1"/>
      <c r="E481" s="1"/>
      <c r="F481" s="1"/>
      <c r="G481" s="1"/>
      <c r="H481" s="1"/>
    </row>
    <row r="482" spans="2:8" ht="19.95" customHeight="1" x14ac:dyDescent="0.35">
      <c r="B482" s="1"/>
      <c r="C482" s="1"/>
      <c r="D482" s="1"/>
      <c r="E482" s="1"/>
      <c r="F482" s="1"/>
      <c r="G482" s="1"/>
      <c r="H482" s="1"/>
    </row>
    <row r="483" spans="2:8" ht="19.95" customHeight="1" x14ac:dyDescent="0.35">
      <c r="B483" s="1"/>
      <c r="C483" s="1"/>
      <c r="D483" s="1"/>
      <c r="E483" s="1"/>
      <c r="F483" s="1"/>
      <c r="G483" s="1"/>
      <c r="H483" s="1"/>
    </row>
    <row r="484" spans="2:8" ht="19.95" customHeight="1" x14ac:dyDescent="0.35">
      <c r="B484" s="1"/>
      <c r="C484" s="1"/>
      <c r="D484" s="1"/>
      <c r="E484" s="1"/>
      <c r="F484" s="1"/>
      <c r="G484" s="1"/>
      <c r="H484" s="1"/>
    </row>
    <row r="485" spans="2:8" ht="19.95" customHeight="1" x14ac:dyDescent="0.35">
      <c r="B485" s="1"/>
      <c r="C485" s="1"/>
      <c r="D485" s="1"/>
      <c r="E485" s="1"/>
      <c r="F485" s="1"/>
      <c r="G485" s="1"/>
      <c r="H485" s="1"/>
    </row>
    <row r="486" spans="2:8" ht="19.95" customHeight="1" x14ac:dyDescent="0.35">
      <c r="B486" s="1"/>
      <c r="C486" s="1"/>
      <c r="D486" s="1"/>
      <c r="E486" s="1"/>
      <c r="F486" s="1"/>
      <c r="G486" s="1"/>
      <c r="H486" s="1"/>
    </row>
    <row r="487" spans="2:8" ht="19.95" customHeight="1" x14ac:dyDescent="0.35">
      <c r="B487" s="1"/>
      <c r="C487" s="1"/>
      <c r="D487" s="1"/>
      <c r="E487" s="1"/>
      <c r="F487" s="1"/>
      <c r="G487" s="1"/>
      <c r="H487" s="1"/>
    </row>
    <row r="488" spans="2:8" ht="19.95" customHeight="1" x14ac:dyDescent="0.35">
      <c r="B488" s="1"/>
      <c r="C488" s="1"/>
      <c r="D488" s="1"/>
      <c r="E488" s="1"/>
      <c r="F488" s="1"/>
      <c r="G488" s="1"/>
      <c r="H488" s="1"/>
    </row>
    <row r="489" spans="2:8" ht="19.95" customHeight="1" x14ac:dyDescent="0.35">
      <c r="B489" s="1"/>
      <c r="C489" s="1"/>
      <c r="D489" s="1"/>
      <c r="E489" s="1"/>
      <c r="F489" s="1"/>
      <c r="G489" s="1"/>
      <c r="H489" s="1"/>
    </row>
    <row r="490" spans="2:8" ht="19.95" customHeight="1" x14ac:dyDescent="0.35">
      <c r="B490" s="1"/>
      <c r="C490" s="1"/>
      <c r="D490" s="1"/>
      <c r="E490" s="1"/>
      <c r="F490" s="1"/>
      <c r="G490" s="1"/>
      <c r="H490" s="1"/>
    </row>
    <row r="491" spans="2:8" ht="19.95" customHeight="1" x14ac:dyDescent="0.35">
      <c r="B491" s="1"/>
      <c r="C491" s="1"/>
      <c r="D491" s="1"/>
      <c r="E491" s="1"/>
      <c r="F491" s="1"/>
      <c r="G491" s="1"/>
      <c r="H491" s="1"/>
    </row>
    <row r="492" spans="2:8" ht="19.95" customHeight="1" x14ac:dyDescent="0.35">
      <c r="B492" s="1"/>
      <c r="C492" s="1"/>
      <c r="D492" s="1"/>
      <c r="E492" s="1"/>
      <c r="F492" s="1"/>
      <c r="G492" s="1"/>
      <c r="H492" s="1"/>
    </row>
    <row r="493" spans="2:8" ht="19.95" customHeight="1" x14ac:dyDescent="0.35">
      <c r="B493" s="1"/>
      <c r="C493" s="1"/>
      <c r="D493" s="1"/>
      <c r="E493" s="1"/>
      <c r="F493" s="1"/>
      <c r="G493" s="1"/>
      <c r="H493" s="1"/>
    </row>
    <row r="494" spans="2:8" ht="19.95" customHeight="1" x14ac:dyDescent="0.35">
      <c r="B494" s="1"/>
      <c r="C494" s="1"/>
      <c r="D494" s="1"/>
      <c r="E494" s="1"/>
      <c r="F494" s="1"/>
      <c r="G494" s="1"/>
      <c r="H494" s="1"/>
    </row>
    <row r="495" spans="2:8" ht="19.95" customHeight="1" x14ac:dyDescent="0.35">
      <c r="B495" s="1"/>
      <c r="C495" s="1"/>
      <c r="D495" s="1"/>
      <c r="E495" s="1"/>
      <c r="F495" s="1"/>
      <c r="G495" s="1"/>
      <c r="H495" s="1"/>
    </row>
    <row r="496" spans="2:8" ht="19.95" customHeight="1" x14ac:dyDescent="0.35">
      <c r="B496" s="1"/>
      <c r="C496" s="1"/>
      <c r="D496" s="1"/>
      <c r="E496" s="1"/>
      <c r="F496" s="1"/>
      <c r="G496" s="1"/>
      <c r="H496" s="1"/>
    </row>
    <row r="497" spans="2:8" ht="19.95" customHeight="1" x14ac:dyDescent="0.35">
      <c r="B497" s="1"/>
      <c r="C497" s="1"/>
      <c r="D497" s="1"/>
      <c r="E497" s="1"/>
      <c r="F497" s="1"/>
      <c r="G497" s="1"/>
      <c r="H497" s="1"/>
    </row>
    <row r="498" spans="2:8" ht="19.95" customHeight="1" x14ac:dyDescent="0.35">
      <c r="B498" s="1"/>
      <c r="C498" s="1"/>
      <c r="D498" s="1"/>
      <c r="E498" s="1"/>
      <c r="F498" s="1"/>
      <c r="G498" s="1"/>
      <c r="H498" s="1"/>
    </row>
    <row r="499" spans="2:8" ht="19.95" customHeight="1" x14ac:dyDescent="0.35">
      <c r="B499" s="1"/>
      <c r="C499" s="1"/>
      <c r="D499" s="1"/>
      <c r="E499" s="1"/>
      <c r="F499" s="1"/>
      <c r="G499" s="1"/>
      <c r="H499" s="1"/>
    </row>
    <row r="500" spans="2:8" ht="19.95" customHeight="1" x14ac:dyDescent="0.35">
      <c r="B500" s="1"/>
      <c r="C500" s="1"/>
      <c r="D500" s="1"/>
      <c r="E500" s="1"/>
      <c r="F500" s="1"/>
      <c r="G500" s="1"/>
      <c r="H500" s="1"/>
    </row>
    <row r="501" spans="2:8" ht="19.95" customHeight="1" x14ac:dyDescent="0.35">
      <c r="B501" s="1"/>
      <c r="C501" s="1"/>
      <c r="D501" s="1"/>
      <c r="E501" s="1"/>
      <c r="F501" s="1"/>
      <c r="G501" s="1"/>
      <c r="H501" s="1"/>
    </row>
    <row r="502" spans="2:8" ht="19.95" customHeight="1" x14ac:dyDescent="0.35">
      <c r="B502" s="1"/>
      <c r="C502" s="1"/>
      <c r="D502" s="1"/>
      <c r="E502" s="1"/>
      <c r="F502" s="1"/>
      <c r="G502" s="1"/>
      <c r="H502" s="1"/>
    </row>
    <row r="503" spans="2:8" ht="19.95" customHeight="1" x14ac:dyDescent="0.35">
      <c r="B503" s="1"/>
      <c r="C503" s="1"/>
      <c r="D503" s="1"/>
      <c r="E503" s="1"/>
      <c r="F503" s="1"/>
      <c r="G503" s="1"/>
      <c r="H503" s="1"/>
    </row>
    <row r="504" spans="2:8" ht="19.95" customHeight="1" x14ac:dyDescent="0.35">
      <c r="B504" s="1"/>
      <c r="C504" s="1"/>
      <c r="D504" s="1"/>
      <c r="E504" s="1"/>
      <c r="F504" s="1"/>
      <c r="G504" s="1"/>
      <c r="H504" s="1"/>
    </row>
    <row r="505" spans="2:8" ht="19.95" customHeight="1" x14ac:dyDescent="0.35">
      <c r="B505" s="1"/>
      <c r="C505" s="1"/>
      <c r="D505" s="1"/>
      <c r="E505" s="1"/>
      <c r="F505" s="1"/>
      <c r="G505" s="1"/>
      <c r="H505" s="1"/>
    </row>
    <row r="506" spans="2:8" ht="19.95" customHeight="1" x14ac:dyDescent="0.35">
      <c r="B506" s="1"/>
      <c r="C506" s="1"/>
      <c r="D506" s="1"/>
      <c r="E506" s="1"/>
      <c r="F506" s="1"/>
      <c r="G506" s="1"/>
      <c r="H506" s="1"/>
    </row>
    <row r="507" spans="2:8" ht="19.95" customHeight="1" x14ac:dyDescent="0.35">
      <c r="B507" s="1"/>
      <c r="C507" s="1"/>
      <c r="D507" s="1"/>
      <c r="E507" s="1"/>
      <c r="F507" s="1"/>
      <c r="G507" s="1"/>
      <c r="H507" s="1"/>
    </row>
    <row r="508" spans="2:8" ht="19.95" customHeight="1" x14ac:dyDescent="0.35">
      <c r="B508" s="1"/>
      <c r="C508" s="1"/>
      <c r="D508" s="1"/>
      <c r="E508" s="1"/>
      <c r="F508" s="1"/>
      <c r="G508" s="1"/>
      <c r="H508" s="1"/>
    </row>
    <row r="509" spans="2:8" ht="19.95" customHeight="1" x14ac:dyDescent="0.35">
      <c r="B509" s="1"/>
      <c r="C509" s="1"/>
      <c r="D509" s="1"/>
      <c r="E509" s="1"/>
      <c r="F509" s="1"/>
      <c r="G509" s="1"/>
      <c r="H509" s="1"/>
    </row>
    <row r="510" spans="2:8" ht="19.95" customHeight="1" x14ac:dyDescent="0.35">
      <c r="B510" s="1"/>
      <c r="C510" s="1"/>
      <c r="D510" s="1"/>
      <c r="E510" s="1"/>
      <c r="F510" s="1"/>
      <c r="G510" s="1"/>
      <c r="H510" s="1"/>
    </row>
    <row r="511" spans="2:8" ht="19.95" customHeight="1" x14ac:dyDescent="0.35">
      <c r="B511" s="1"/>
      <c r="C511" s="1"/>
      <c r="D511" s="1"/>
      <c r="E511" s="1"/>
      <c r="F511" s="1"/>
      <c r="G511" s="1"/>
      <c r="H511" s="1"/>
    </row>
    <row r="512" spans="2:8" ht="19.95" customHeight="1" x14ac:dyDescent="0.35">
      <c r="B512" s="1"/>
      <c r="C512" s="1"/>
      <c r="D512" s="1"/>
      <c r="E512" s="1"/>
      <c r="F512" s="1"/>
      <c r="G512" s="1"/>
      <c r="H512" s="1"/>
    </row>
    <row r="513" spans="2:8" ht="19.95" customHeight="1" x14ac:dyDescent="0.35">
      <c r="B513" s="1"/>
      <c r="C513" s="1"/>
      <c r="D513" s="1"/>
      <c r="E513" s="1"/>
      <c r="F513" s="1"/>
      <c r="G513" s="1"/>
      <c r="H513" s="1"/>
    </row>
    <row r="514" spans="2:8" ht="19.95" customHeight="1" x14ac:dyDescent="0.35">
      <c r="B514" s="1"/>
      <c r="C514" s="1"/>
      <c r="D514" s="1"/>
      <c r="E514" s="1"/>
      <c r="F514" s="1"/>
      <c r="G514" s="1"/>
      <c r="H514" s="1"/>
    </row>
    <row r="515" spans="2:8" ht="19.95" customHeight="1" x14ac:dyDescent="0.35">
      <c r="B515" s="1"/>
      <c r="C515" s="1"/>
      <c r="D515" s="1"/>
      <c r="E515" s="1"/>
      <c r="F515" s="1"/>
      <c r="G515" s="1"/>
      <c r="H515" s="1"/>
    </row>
    <row r="516" spans="2:8" ht="19.95" customHeight="1" x14ac:dyDescent="0.35">
      <c r="B516" s="1"/>
      <c r="C516" s="1"/>
      <c r="D516" s="1"/>
      <c r="E516" s="1"/>
      <c r="F516" s="1"/>
      <c r="G516" s="1"/>
      <c r="H516" s="1"/>
    </row>
    <row r="517" spans="2:8" ht="19.95" customHeight="1" x14ac:dyDescent="0.35">
      <c r="B517" s="1"/>
      <c r="C517" s="1"/>
      <c r="D517" s="1"/>
      <c r="E517" s="1"/>
      <c r="F517" s="1"/>
      <c r="G517" s="1"/>
      <c r="H517" s="1"/>
    </row>
    <row r="518" spans="2:8" ht="19.95" customHeight="1" x14ac:dyDescent="0.35">
      <c r="B518" s="1"/>
      <c r="C518" s="1"/>
      <c r="D518" s="1"/>
      <c r="E518" s="1"/>
      <c r="F518" s="1"/>
      <c r="G518" s="1"/>
      <c r="H518" s="1"/>
    </row>
    <row r="519" spans="2:8" ht="19.95" customHeight="1" x14ac:dyDescent="0.35">
      <c r="B519" s="1"/>
      <c r="C519" s="1"/>
      <c r="D519" s="1"/>
      <c r="E519" s="1"/>
      <c r="F519" s="1"/>
      <c r="G519" s="1"/>
      <c r="H519" s="1"/>
    </row>
    <row r="520" spans="2:8" ht="19.95" customHeight="1" x14ac:dyDescent="0.35">
      <c r="B520" s="1"/>
      <c r="C520" s="1"/>
      <c r="D520" s="1"/>
      <c r="E520" s="1"/>
      <c r="F520" s="1"/>
      <c r="G520" s="1"/>
      <c r="H520" s="1"/>
    </row>
    <row r="521" spans="2:8" ht="19.95" customHeight="1" x14ac:dyDescent="0.35">
      <c r="B521" s="1"/>
      <c r="C521" s="1"/>
      <c r="D521" s="1"/>
      <c r="E521" s="1"/>
      <c r="F521" s="1"/>
      <c r="G521" s="1"/>
      <c r="H521" s="1"/>
    </row>
    <row r="522" spans="2:8" ht="19.95" customHeight="1" x14ac:dyDescent="0.35">
      <c r="B522" s="1"/>
      <c r="C522" s="1"/>
      <c r="D522" s="1"/>
      <c r="E522" s="1"/>
      <c r="F522" s="1"/>
      <c r="G522" s="1"/>
      <c r="H522" s="1"/>
    </row>
    <row r="523" spans="2:8" ht="19.95" customHeight="1" x14ac:dyDescent="0.35">
      <c r="B523" s="1"/>
      <c r="C523" s="1"/>
      <c r="D523" s="1"/>
      <c r="E523" s="1"/>
      <c r="F523" s="1"/>
      <c r="G523" s="1"/>
      <c r="H523" s="1"/>
    </row>
    <row r="524" spans="2:8" ht="19.95" customHeight="1" x14ac:dyDescent="0.35">
      <c r="B524" s="1"/>
      <c r="C524" s="1"/>
      <c r="D524" s="1"/>
      <c r="E524" s="1"/>
      <c r="F524" s="1"/>
      <c r="G524" s="1"/>
      <c r="H524" s="1"/>
    </row>
    <row r="525" spans="2:8" ht="19.95" customHeight="1" x14ac:dyDescent="0.35">
      <c r="B525" s="1"/>
      <c r="C525" s="1"/>
      <c r="D525" s="1"/>
      <c r="E525" s="1"/>
      <c r="F525" s="1"/>
      <c r="G525" s="1"/>
      <c r="H525" s="1"/>
    </row>
    <row r="526" spans="2:8" ht="19.95" customHeight="1" x14ac:dyDescent="0.35">
      <c r="B526" s="1"/>
      <c r="C526" s="1"/>
      <c r="D526" s="1"/>
      <c r="E526" s="1"/>
      <c r="F526" s="1"/>
      <c r="G526" s="1"/>
      <c r="H526" s="1"/>
    </row>
    <row r="527" spans="2:8" ht="19.95" customHeight="1" x14ac:dyDescent="0.35">
      <c r="B527" s="1"/>
      <c r="C527" s="1"/>
      <c r="D527" s="1"/>
      <c r="E527" s="1"/>
      <c r="F527" s="1"/>
      <c r="G527" s="1"/>
      <c r="H527" s="1"/>
    </row>
    <row r="528" spans="2:8" ht="19.95" customHeight="1" x14ac:dyDescent="0.35">
      <c r="B528" s="1"/>
      <c r="C528" s="1"/>
      <c r="D528" s="1"/>
      <c r="E528" s="1"/>
      <c r="F528" s="1"/>
      <c r="G528" s="1"/>
      <c r="H528" s="1"/>
    </row>
    <row r="529" spans="2:8" ht="19.95" customHeight="1" x14ac:dyDescent="0.35">
      <c r="B529" s="1"/>
      <c r="C529" s="1"/>
      <c r="D529" s="1"/>
      <c r="E529" s="1"/>
      <c r="F529" s="1"/>
      <c r="G529" s="1"/>
      <c r="H529" s="1"/>
    </row>
    <row r="530" spans="2:8" ht="19.95" customHeight="1" x14ac:dyDescent="0.35">
      <c r="B530" s="1"/>
      <c r="C530" s="1"/>
      <c r="D530" s="1"/>
      <c r="E530" s="1"/>
      <c r="F530" s="1"/>
      <c r="G530" s="1"/>
      <c r="H530" s="1"/>
    </row>
    <row r="531" spans="2:8" ht="19.95" customHeight="1" x14ac:dyDescent="0.35">
      <c r="B531" s="1"/>
      <c r="C531" s="1"/>
      <c r="D531" s="1"/>
      <c r="E531" s="1"/>
      <c r="F531" s="1"/>
      <c r="G531" s="1"/>
      <c r="H531" s="1"/>
    </row>
    <row r="532" spans="2:8" ht="19.95" customHeight="1" x14ac:dyDescent="0.35">
      <c r="B532" s="1"/>
      <c r="C532" s="1"/>
      <c r="D532" s="1"/>
      <c r="E532" s="1"/>
      <c r="F532" s="1"/>
      <c r="G532" s="1"/>
      <c r="H532" s="1"/>
    </row>
    <row r="533" spans="2:8" ht="19.95" customHeight="1" x14ac:dyDescent="0.35">
      <c r="B533" s="1"/>
      <c r="C533" s="1"/>
      <c r="D533" s="1"/>
      <c r="E533" s="1"/>
      <c r="F533" s="1"/>
      <c r="G533" s="1"/>
      <c r="H533" s="1"/>
    </row>
    <row r="534" spans="2:8" ht="19.95" customHeight="1" x14ac:dyDescent="0.35">
      <c r="B534" s="1"/>
      <c r="C534" s="1"/>
      <c r="D534" s="1"/>
      <c r="E534" s="1"/>
      <c r="F534" s="1"/>
      <c r="G534" s="1"/>
      <c r="H534" s="1"/>
    </row>
    <row r="535" spans="2:8" ht="19.95" customHeight="1" x14ac:dyDescent="0.35">
      <c r="B535" s="1"/>
      <c r="C535" s="1"/>
      <c r="D535" s="1"/>
      <c r="E535" s="1"/>
      <c r="F535" s="1"/>
      <c r="G535" s="1"/>
      <c r="H535" s="1"/>
    </row>
    <row r="536" spans="2:8" ht="19.95" customHeight="1" x14ac:dyDescent="0.35">
      <c r="B536" s="1"/>
      <c r="C536" s="1"/>
      <c r="D536" s="1"/>
      <c r="E536" s="1"/>
      <c r="F536" s="1"/>
      <c r="G536" s="1"/>
      <c r="H536" s="1"/>
    </row>
    <row r="537" spans="2:8" ht="19.95" customHeight="1" x14ac:dyDescent="0.35">
      <c r="B537" s="1"/>
      <c r="C537" s="1"/>
      <c r="D537" s="1"/>
      <c r="E537" s="1"/>
      <c r="F537" s="1"/>
      <c r="G537" s="1"/>
      <c r="H537" s="1"/>
    </row>
    <row r="538" spans="2:8" ht="19.95" customHeight="1" x14ac:dyDescent="0.35">
      <c r="B538" s="1"/>
      <c r="C538" s="1"/>
      <c r="D538" s="1"/>
      <c r="E538" s="1"/>
      <c r="F538" s="1"/>
      <c r="G538" s="1"/>
      <c r="H538" s="1"/>
    </row>
    <row r="539" spans="2:8" ht="19.95" customHeight="1" x14ac:dyDescent="0.35">
      <c r="B539" s="1"/>
      <c r="C539" s="1"/>
      <c r="D539" s="1"/>
      <c r="E539" s="1"/>
      <c r="F539" s="1"/>
      <c r="G539" s="1"/>
      <c r="H539" s="1"/>
    </row>
    <row r="540" spans="2:8" ht="19.95" customHeight="1" x14ac:dyDescent="0.35">
      <c r="B540" s="1"/>
      <c r="C540" s="1"/>
      <c r="D540" s="1"/>
      <c r="E540" s="1"/>
      <c r="F540" s="1"/>
      <c r="G540" s="1"/>
      <c r="H540" s="1"/>
    </row>
    <row r="541" spans="2:8" ht="19.95" customHeight="1" x14ac:dyDescent="0.35">
      <c r="B541" s="1"/>
      <c r="C541" s="1"/>
      <c r="D541" s="1"/>
      <c r="E541" s="1"/>
      <c r="F541" s="1"/>
      <c r="G541" s="1"/>
      <c r="H541" s="1"/>
    </row>
    <row r="542" spans="2:8" ht="19.95" customHeight="1" x14ac:dyDescent="0.35">
      <c r="B542" s="1"/>
      <c r="C542" s="1"/>
      <c r="D542" s="1"/>
      <c r="E542" s="1"/>
      <c r="F542" s="1"/>
      <c r="G542" s="1"/>
      <c r="H542" s="1"/>
    </row>
    <row r="543" spans="2:8" ht="19.95" customHeight="1" x14ac:dyDescent="0.35">
      <c r="B543" s="1"/>
      <c r="C543" s="1"/>
      <c r="D543" s="1"/>
      <c r="E543" s="1"/>
      <c r="F543" s="1"/>
      <c r="G543" s="1"/>
      <c r="H543" s="1"/>
    </row>
    <row r="544" spans="2:8" ht="19.95" customHeight="1" x14ac:dyDescent="0.35">
      <c r="B544" s="1"/>
      <c r="C544" s="1"/>
      <c r="D544" s="1"/>
      <c r="E544" s="1"/>
      <c r="F544" s="1"/>
      <c r="G544" s="1"/>
      <c r="H544" s="1"/>
    </row>
    <row r="545" spans="2:8" ht="19.95" customHeight="1" x14ac:dyDescent="0.35">
      <c r="B545" s="1"/>
      <c r="C545" s="1"/>
      <c r="D545" s="1"/>
      <c r="E545" s="1"/>
      <c r="F545" s="1"/>
      <c r="G545" s="1"/>
      <c r="H545" s="1"/>
    </row>
    <row r="546" spans="2:8" ht="19.95" customHeight="1" x14ac:dyDescent="0.35">
      <c r="B546" s="1"/>
      <c r="C546" s="1"/>
      <c r="D546" s="1"/>
      <c r="E546" s="1"/>
      <c r="F546" s="1"/>
      <c r="G546" s="1"/>
      <c r="H546" s="1"/>
    </row>
    <row r="547" spans="2:8" ht="19.95" customHeight="1" x14ac:dyDescent="0.35">
      <c r="B547" s="1"/>
      <c r="C547" s="1"/>
      <c r="D547" s="1"/>
      <c r="E547" s="1"/>
      <c r="F547" s="1"/>
      <c r="G547" s="1"/>
      <c r="H547" s="1"/>
    </row>
    <row r="548" spans="2:8" ht="19.95" customHeight="1" x14ac:dyDescent="0.35">
      <c r="B548" s="1"/>
      <c r="C548" s="1"/>
      <c r="D548" s="1"/>
      <c r="E548" s="1"/>
      <c r="F548" s="1"/>
      <c r="G548" s="1"/>
      <c r="H548" s="1"/>
    </row>
    <row r="549" spans="2:8" ht="19.95" customHeight="1" x14ac:dyDescent="0.35">
      <c r="B549" s="1"/>
      <c r="C549" s="1"/>
      <c r="D549" s="1"/>
      <c r="E549" s="1"/>
      <c r="F549" s="1"/>
      <c r="G549" s="1"/>
      <c r="H549" s="1"/>
    </row>
    <row r="550" spans="2:8" ht="19.95" customHeight="1" x14ac:dyDescent="0.35">
      <c r="B550" s="1"/>
      <c r="C550" s="1"/>
      <c r="D550" s="1"/>
      <c r="E550" s="1"/>
      <c r="F550" s="1"/>
      <c r="G550" s="1"/>
      <c r="H550" s="1"/>
    </row>
    <row r="551" spans="2:8" ht="19.95" customHeight="1" x14ac:dyDescent="0.35">
      <c r="B551" s="1"/>
      <c r="C551" s="1"/>
      <c r="D551" s="1"/>
      <c r="E551" s="1"/>
      <c r="F551" s="1"/>
      <c r="G551" s="1"/>
      <c r="H551" s="1"/>
    </row>
    <row r="552" spans="2:8" ht="19.95" customHeight="1" x14ac:dyDescent="0.35">
      <c r="B552" s="1"/>
      <c r="C552" s="1"/>
      <c r="D552" s="1"/>
      <c r="E552" s="1"/>
      <c r="F552" s="1"/>
      <c r="G552" s="1"/>
      <c r="H552" s="1"/>
    </row>
    <row r="553" spans="2:8" ht="19.95" customHeight="1" x14ac:dyDescent="0.35">
      <c r="B553" s="1"/>
      <c r="C553" s="1"/>
      <c r="D553" s="1"/>
      <c r="E553" s="1"/>
      <c r="F553" s="1"/>
      <c r="G553" s="1"/>
      <c r="H553" s="1"/>
    </row>
    <row r="554" spans="2:8" ht="19.95" customHeight="1" x14ac:dyDescent="0.35">
      <c r="B554" s="1"/>
      <c r="C554" s="1"/>
      <c r="D554" s="1"/>
      <c r="E554" s="1"/>
      <c r="F554" s="1"/>
      <c r="G554" s="1"/>
      <c r="H554" s="1"/>
    </row>
    <row r="555" spans="2:8" ht="19.95" customHeight="1" x14ac:dyDescent="0.35">
      <c r="B555" s="1"/>
      <c r="C555" s="1"/>
      <c r="D555" s="1"/>
      <c r="E555" s="1"/>
      <c r="F555" s="1"/>
      <c r="G555" s="1"/>
      <c r="H555" s="1"/>
    </row>
    <row r="556" spans="2:8" ht="19.95" customHeight="1" x14ac:dyDescent="0.35">
      <c r="B556" s="1"/>
      <c r="C556" s="1"/>
      <c r="D556" s="1"/>
      <c r="E556" s="1"/>
      <c r="F556" s="1"/>
      <c r="G556" s="1"/>
      <c r="H556" s="1"/>
    </row>
    <row r="557" spans="2:8" ht="19.95" customHeight="1" x14ac:dyDescent="0.35">
      <c r="B557" s="1"/>
      <c r="C557" s="1"/>
      <c r="D557" s="1"/>
      <c r="E557" s="1"/>
      <c r="F557" s="1"/>
      <c r="G557" s="1"/>
      <c r="H557" s="1"/>
    </row>
    <row r="558" spans="2:8" ht="19.95" customHeight="1" x14ac:dyDescent="0.35">
      <c r="B558" s="1"/>
      <c r="C558" s="1"/>
      <c r="D558" s="1"/>
      <c r="E558" s="1"/>
      <c r="F558" s="1"/>
      <c r="G558" s="1"/>
      <c r="H558" s="1"/>
    </row>
    <row r="559" spans="2:8" ht="19.95" customHeight="1" x14ac:dyDescent="0.35">
      <c r="B559" s="1"/>
      <c r="C559" s="1"/>
      <c r="D559" s="1"/>
      <c r="E559" s="1"/>
      <c r="F559" s="1"/>
      <c r="G559" s="1"/>
      <c r="H559" s="1"/>
    </row>
    <row r="560" spans="2:8" ht="19.95" customHeight="1" x14ac:dyDescent="0.35">
      <c r="B560" s="1"/>
      <c r="C560" s="1"/>
      <c r="D560" s="1"/>
      <c r="E560" s="1"/>
      <c r="F560" s="1"/>
      <c r="G560" s="1"/>
      <c r="H560" s="1"/>
    </row>
    <row r="561" spans="2:8" ht="19.95" customHeight="1" x14ac:dyDescent="0.35">
      <c r="B561" s="1"/>
      <c r="C561" s="1"/>
      <c r="D561" s="1"/>
      <c r="E561" s="1"/>
      <c r="F561" s="1"/>
      <c r="G561" s="1"/>
      <c r="H561" s="1"/>
    </row>
    <row r="562" spans="2:8" ht="19.95" customHeight="1" x14ac:dyDescent="0.35">
      <c r="B562" s="1"/>
      <c r="C562" s="1"/>
      <c r="D562" s="1"/>
      <c r="E562" s="1"/>
      <c r="F562" s="1"/>
      <c r="G562" s="1"/>
      <c r="H562" s="1"/>
    </row>
    <row r="563" spans="2:8" ht="19.95" customHeight="1" x14ac:dyDescent="0.35">
      <c r="B563" s="1"/>
      <c r="C563" s="1"/>
      <c r="D563" s="1"/>
      <c r="E563" s="1"/>
      <c r="F563" s="1"/>
      <c r="G563" s="1"/>
      <c r="H563" s="1"/>
    </row>
    <row r="564" spans="2:8" ht="19.95" customHeight="1" x14ac:dyDescent="0.35">
      <c r="B564" s="1"/>
      <c r="C564" s="1"/>
      <c r="D564" s="1"/>
      <c r="E564" s="1"/>
      <c r="F564" s="1"/>
      <c r="G564" s="1"/>
      <c r="H564" s="1"/>
    </row>
    <row r="565" spans="2:8" ht="19.95" customHeight="1" x14ac:dyDescent="0.35">
      <c r="B565" s="1"/>
      <c r="C565" s="1"/>
      <c r="D565" s="1"/>
      <c r="E565" s="1"/>
      <c r="F565" s="1"/>
      <c r="G565" s="1"/>
      <c r="H565" s="1"/>
    </row>
    <row r="566" spans="2:8" ht="19.95" customHeight="1" x14ac:dyDescent="0.35">
      <c r="B566" s="1"/>
      <c r="C566" s="1"/>
      <c r="D566" s="1"/>
      <c r="E566" s="1"/>
      <c r="F566" s="1"/>
      <c r="G566" s="1"/>
      <c r="H566" s="1"/>
    </row>
    <row r="567" spans="2:8" ht="19.95" customHeight="1" x14ac:dyDescent="0.35">
      <c r="B567" s="1"/>
      <c r="C567" s="1"/>
      <c r="D567" s="1"/>
      <c r="E567" s="1"/>
      <c r="F567" s="1"/>
      <c r="G567" s="1"/>
      <c r="H567" s="1"/>
    </row>
    <row r="568" spans="2:8" ht="19.95" customHeight="1" x14ac:dyDescent="0.35">
      <c r="B568" s="1"/>
      <c r="C568" s="1"/>
      <c r="D568" s="1"/>
      <c r="E568" s="1"/>
      <c r="F568" s="1"/>
      <c r="G568" s="1"/>
      <c r="H568" s="1"/>
    </row>
    <row r="569" spans="2:8" ht="19.95" customHeight="1" x14ac:dyDescent="0.35">
      <c r="B569" s="1"/>
      <c r="C569" s="1"/>
      <c r="D569" s="1"/>
      <c r="E569" s="1"/>
      <c r="F569" s="1"/>
      <c r="G569" s="1"/>
      <c r="H569" s="1"/>
    </row>
    <row r="570" spans="2:8" ht="19.95" customHeight="1" x14ac:dyDescent="0.35">
      <c r="B570" s="1"/>
      <c r="C570" s="1"/>
      <c r="D570" s="1"/>
      <c r="E570" s="1"/>
      <c r="F570" s="1"/>
      <c r="G570" s="1"/>
      <c r="H570" s="1"/>
    </row>
    <row r="571" spans="2:8" ht="19.95" customHeight="1" x14ac:dyDescent="0.35">
      <c r="B571" s="1"/>
      <c r="C571" s="1"/>
      <c r="D571" s="1"/>
      <c r="E571" s="1"/>
      <c r="F571" s="1"/>
      <c r="G571" s="1"/>
      <c r="H571" s="1"/>
    </row>
    <row r="572" spans="2:8" ht="19.95" customHeight="1" x14ac:dyDescent="0.35">
      <c r="B572" s="1"/>
      <c r="C572" s="1"/>
      <c r="D572" s="1"/>
      <c r="E572" s="1"/>
      <c r="F572" s="1"/>
      <c r="G572" s="1"/>
      <c r="H572" s="1"/>
    </row>
    <row r="573" spans="2:8" ht="19.95" customHeight="1" x14ac:dyDescent="0.35">
      <c r="B573" s="1"/>
      <c r="C573" s="1"/>
      <c r="D573" s="1"/>
      <c r="E573" s="1"/>
      <c r="F573" s="1"/>
      <c r="G573" s="1"/>
      <c r="H573" s="1"/>
    </row>
    <row r="574" spans="2:8" ht="19.95" customHeight="1" x14ac:dyDescent="0.35">
      <c r="B574" s="1"/>
      <c r="C574" s="1"/>
      <c r="D574" s="1"/>
      <c r="E574" s="1"/>
      <c r="F574" s="1"/>
      <c r="G574" s="1"/>
      <c r="H574" s="1"/>
    </row>
    <row r="575" spans="2:8" ht="19.95" customHeight="1" x14ac:dyDescent="0.35">
      <c r="B575" s="1"/>
      <c r="C575" s="1"/>
      <c r="D575" s="1"/>
      <c r="E575" s="1"/>
      <c r="F575" s="1"/>
      <c r="G575" s="1"/>
      <c r="H575" s="1"/>
    </row>
    <row r="576" spans="2:8" ht="19.95" customHeight="1" x14ac:dyDescent="0.35">
      <c r="B576" s="1"/>
      <c r="C576" s="1"/>
      <c r="D576" s="1"/>
      <c r="E576" s="1"/>
      <c r="F576" s="1"/>
      <c r="G576" s="1"/>
      <c r="H576" s="1"/>
    </row>
    <row r="577" spans="2:8" ht="19.95" customHeight="1" x14ac:dyDescent="0.35">
      <c r="B577" s="1"/>
      <c r="C577" s="1"/>
      <c r="D577" s="1"/>
      <c r="E577" s="1"/>
      <c r="F577" s="1"/>
      <c r="G577" s="1"/>
      <c r="H577" s="1"/>
    </row>
    <row r="578" spans="2:8" ht="19.95" customHeight="1" x14ac:dyDescent="0.35">
      <c r="B578" s="1"/>
      <c r="C578" s="1"/>
      <c r="D578" s="1"/>
      <c r="E578" s="1"/>
      <c r="F578" s="1"/>
      <c r="G578" s="1"/>
      <c r="H578" s="1"/>
    </row>
    <row r="579" spans="2:8" ht="19.95" customHeight="1" x14ac:dyDescent="0.35">
      <c r="B579" s="1"/>
      <c r="C579" s="1"/>
      <c r="D579" s="1"/>
      <c r="E579" s="1"/>
      <c r="F579" s="1"/>
      <c r="G579" s="1"/>
      <c r="H579" s="1"/>
    </row>
    <row r="580" spans="2:8" ht="19.95" customHeight="1" x14ac:dyDescent="0.35">
      <c r="B580" s="1"/>
      <c r="C580" s="1"/>
      <c r="D580" s="1"/>
      <c r="E580" s="1"/>
      <c r="F580" s="1"/>
      <c r="G580" s="1"/>
      <c r="H580" s="1"/>
    </row>
    <row r="581" spans="2:8" ht="19.95" customHeight="1" x14ac:dyDescent="0.35">
      <c r="B581" s="1"/>
      <c r="C581" s="1"/>
      <c r="D581" s="1"/>
      <c r="E581" s="1"/>
      <c r="F581" s="1"/>
      <c r="G581" s="1"/>
      <c r="H581" s="1"/>
    </row>
    <row r="582" spans="2:8" ht="19.95" customHeight="1" x14ac:dyDescent="0.35">
      <c r="B582" s="1"/>
      <c r="C582" s="1"/>
      <c r="D582" s="1"/>
      <c r="E582" s="1"/>
      <c r="F582" s="1"/>
      <c r="G582" s="1"/>
      <c r="H582" s="1"/>
    </row>
    <row r="583" spans="2:8" ht="19.95" customHeight="1" x14ac:dyDescent="0.35">
      <c r="B583" s="1"/>
      <c r="C583" s="1"/>
      <c r="D583" s="1"/>
      <c r="E583" s="1"/>
      <c r="F583" s="1"/>
      <c r="G583" s="1"/>
      <c r="H583" s="1"/>
    </row>
    <row r="584" spans="2:8" ht="19.95" customHeight="1" x14ac:dyDescent="0.35">
      <c r="B584" s="1"/>
      <c r="C584" s="1"/>
      <c r="D584" s="1"/>
      <c r="E584" s="1"/>
      <c r="F584" s="1"/>
      <c r="G584" s="1"/>
      <c r="H584" s="1"/>
    </row>
    <row r="585" spans="2:8" ht="19.95" customHeight="1" x14ac:dyDescent="0.35">
      <c r="B585" s="1"/>
      <c r="C585" s="1"/>
      <c r="D585" s="1"/>
      <c r="E585" s="1"/>
      <c r="F585" s="1"/>
      <c r="G585" s="1"/>
      <c r="H585" s="1"/>
    </row>
    <row r="586" spans="2:8" ht="19.95" customHeight="1" x14ac:dyDescent="0.35">
      <c r="B586" s="1"/>
      <c r="C586" s="1"/>
      <c r="D586" s="1"/>
      <c r="E586" s="1"/>
      <c r="F586" s="1"/>
      <c r="G586" s="1"/>
      <c r="H586" s="1"/>
    </row>
    <row r="587" spans="2:8" ht="19.95" customHeight="1" x14ac:dyDescent="0.35">
      <c r="B587" s="1"/>
      <c r="C587" s="1"/>
      <c r="D587" s="1"/>
      <c r="E587" s="1"/>
      <c r="F587" s="1"/>
      <c r="G587" s="1"/>
      <c r="H587" s="1"/>
    </row>
    <row r="588" spans="2:8" ht="19.95" customHeight="1" x14ac:dyDescent="0.35">
      <c r="B588" s="1"/>
      <c r="C588" s="1"/>
      <c r="D588" s="1"/>
      <c r="E588" s="1"/>
      <c r="F588" s="1"/>
      <c r="G588" s="1"/>
      <c r="H588" s="1"/>
    </row>
    <row r="589" spans="2:8" ht="19.95" customHeight="1" x14ac:dyDescent="0.35">
      <c r="B589" s="1"/>
      <c r="C589" s="1"/>
      <c r="D589" s="1"/>
      <c r="E589" s="1"/>
      <c r="F589" s="1"/>
      <c r="G589" s="1"/>
      <c r="H589" s="1"/>
    </row>
    <row r="590" spans="2:8" ht="19.95" customHeight="1" x14ac:dyDescent="0.35">
      <c r="B590" s="1"/>
      <c r="C590" s="1"/>
      <c r="D590" s="1"/>
      <c r="E590" s="1"/>
      <c r="F590" s="1"/>
      <c r="G590" s="1"/>
      <c r="H590" s="1"/>
    </row>
    <row r="591" spans="2:8" ht="19.95" customHeight="1" x14ac:dyDescent="0.35">
      <c r="B591" s="1"/>
      <c r="C591" s="1"/>
      <c r="D591" s="1"/>
      <c r="E591" s="1"/>
      <c r="F591" s="1"/>
      <c r="G591" s="1"/>
      <c r="H591" s="1"/>
    </row>
    <row r="592" spans="2:8" ht="19.95" customHeight="1" x14ac:dyDescent="0.35">
      <c r="B592" s="1"/>
      <c r="C592" s="1"/>
      <c r="D592" s="1"/>
      <c r="E592" s="1"/>
      <c r="F592" s="1"/>
      <c r="G592" s="1"/>
      <c r="H592" s="1"/>
    </row>
    <row r="593" spans="2:8" ht="19.95" customHeight="1" x14ac:dyDescent="0.35">
      <c r="B593" s="1"/>
      <c r="C593" s="1"/>
      <c r="D593" s="1"/>
      <c r="E593" s="1"/>
      <c r="F593" s="1"/>
      <c r="G593" s="1"/>
      <c r="H593" s="1"/>
    </row>
    <row r="594" spans="2:8" ht="19.95" customHeight="1" x14ac:dyDescent="0.35">
      <c r="B594" s="1"/>
      <c r="C594" s="1"/>
      <c r="D594" s="1"/>
      <c r="E594" s="1"/>
      <c r="F594" s="1"/>
      <c r="G594" s="1"/>
      <c r="H594" s="1"/>
    </row>
    <row r="595" spans="2:8" ht="19.95" customHeight="1" x14ac:dyDescent="0.35">
      <c r="B595" s="1"/>
      <c r="C595" s="1"/>
      <c r="D595" s="1"/>
      <c r="E595" s="1"/>
      <c r="F595" s="1"/>
      <c r="G595" s="1"/>
      <c r="H595" s="1"/>
    </row>
    <row r="596" spans="2:8" ht="19.95" customHeight="1" x14ac:dyDescent="0.35">
      <c r="B596" s="1"/>
      <c r="C596" s="1"/>
      <c r="D596" s="1"/>
      <c r="E596" s="1"/>
      <c r="F596" s="1"/>
      <c r="G596" s="1"/>
      <c r="H596" s="1"/>
    </row>
    <row r="597" spans="2:8" ht="19.95" customHeight="1" x14ac:dyDescent="0.35">
      <c r="B597" s="1"/>
      <c r="C597" s="1"/>
      <c r="D597" s="1"/>
      <c r="E597" s="1"/>
      <c r="F597" s="1"/>
      <c r="G597" s="1"/>
      <c r="H597" s="1"/>
    </row>
    <row r="598" spans="2:8" ht="19.95" customHeight="1" x14ac:dyDescent="0.35">
      <c r="B598" s="1"/>
      <c r="C598" s="1"/>
      <c r="D598" s="1"/>
      <c r="E598" s="1"/>
      <c r="F598" s="1"/>
      <c r="G598" s="1"/>
      <c r="H598" s="1"/>
    </row>
    <row r="599" spans="2:8" ht="19.95" customHeight="1" x14ac:dyDescent="0.35">
      <c r="B599" s="1"/>
      <c r="C599" s="1"/>
      <c r="D599" s="1"/>
      <c r="E599" s="1"/>
      <c r="F599" s="1"/>
      <c r="G599" s="1"/>
      <c r="H599" s="1"/>
    </row>
    <row r="600" spans="2:8" ht="19.95" customHeight="1" x14ac:dyDescent="0.35">
      <c r="B600" s="1"/>
      <c r="C600" s="1"/>
      <c r="D600" s="1"/>
      <c r="E600" s="1"/>
      <c r="F600" s="1"/>
      <c r="G600" s="1"/>
      <c r="H600" s="1"/>
    </row>
    <row r="601" spans="2:8" ht="19.95" customHeight="1" x14ac:dyDescent="0.35">
      <c r="B601" s="1"/>
      <c r="C601" s="1"/>
      <c r="D601" s="1"/>
      <c r="E601" s="1"/>
      <c r="F601" s="1"/>
      <c r="G601" s="1"/>
      <c r="H601" s="1"/>
    </row>
    <row r="602" spans="2:8" ht="19.95" customHeight="1" x14ac:dyDescent="0.35">
      <c r="B602" s="1"/>
      <c r="C602" s="1"/>
      <c r="D602" s="1"/>
      <c r="E602" s="1"/>
      <c r="F602" s="1"/>
      <c r="G602" s="1"/>
      <c r="H602" s="1"/>
    </row>
    <row r="603" spans="2:8" ht="19.95" customHeight="1" x14ac:dyDescent="0.35">
      <c r="B603" s="1"/>
      <c r="C603" s="1"/>
      <c r="D603" s="1"/>
      <c r="E603" s="1"/>
      <c r="F603" s="1"/>
      <c r="G603" s="1"/>
      <c r="H603" s="1"/>
    </row>
    <row r="604" spans="2:8" ht="19.95" customHeight="1" x14ac:dyDescent="0.35">
      <c r="B604" s="1"/>
      <c r="C604" s="1"/>
      <c r="D604" s="1"/>
      <c r="E604" s="1"/>
      <c r="F604" s="1"/>
      <c r="G604" s="1"/>
      <c r="H604" s="1"/>
    </row>
    <row r="605" spans="2:8" ht="19.95" customHeight="1" x14ac:dyDescent="0.35">
      <c r="B605" s="1"/>
      <c r="C605" s="1"/>
      <c r="D605" s="1"/>
      <c r="E605" s="1"/>
      <c r="F605" s="1"/>
      <c r="G605" s="1"/>
      <c r="H605" s="1"/>
    </row>
    <row r="606" spans="2:8" ht="19.95" customHeight="1" x14ac:dyDescent="0.35">
      <c r="B606" s="1"/>
      <c r="C606" s="1"/>
      <c r="D606" s="1"/>
      <c r="E606" s="1"/>
      <c r="F606" s="1"/>
      <c r="G606" s="1"/>
      <c r="H606" s="1"/>
    </row>
    <row r="607" spans="2:8" ht="19.95" customHeight="1" x14ac:dyDescent="0.35">
      <c r="B607" s="1"/>
      <c r="C607" s="1"/>
      <c r="D607" s="1"/>
      <c r="E607" s="1"/>
      <c r="F607" s="1"/>
      <c r="G607" s="1"/>
      <c r="H607" s="1"/>
    </row>
    <row r="608" spans="2:8" ht="19.95" customHeight="1" x14ac:dyDescent="0.35">
      <c r="B608" s="1"/>
      <c r="C608" s="1"/>
      <c r="D608" s="1"/>
      <c r="E608" s="1"/>
      <c r="F608" s="1"/>
      <c r="G608" s="1"/>
      <c r="H608" s="1"/>
    </row>
    <row r="609" spans="2:8" ht="19.95" customHeight="1" x14ac:dyDescent="0.35">
      <c r="B609" s="1"/>
      <c r="C609" s="1"/>
      <c r="D609" s="1"/>
      <c r="E609" s="1"/>
      <c r="F609" s="1"/>
      <c r="G609" s="1"/>
      <c r="H609" s="1"/>
    </row>
    <row r="610" spans="2:8" ht="19.95" customHeight="1" x14ac:dyDescent="0.35">
      <c r="B610" s="1"/>
      <c r="C610" s="1"/>
      <c r="D610" s="1"/>
      <c r="E610" s="1"/>
      <c r="F610" s="1"/>
      <c r="G610" s="1"/>
      <c r="H610" s="1"/>
    </row>
    <row r="611" spans="2:8" ht="19.95" customHeight="1" x14ac:dyDescent="0.35">
      <c r="B611" s="1"/>
      <c r="C611" s="1"/>
      <c r="D611" s="1"/>
      <c r="E611" s="1"/>
      <c r="F611" s="1"/>
      <c r="G611" s="1"/>
      <c r="H611" s="1"/>
    </row>
    <row r="612" spans="2:8" ht="19.95" customHeight="1" x14ac:dyDescent="0.35">
      <c r="B612" s="1"/>
      <c r="C612" s="1"/>
      <c r="D612" s="1"/>
      <c r="E612" s="1"/>
      <c r="F612" s="1"/>
      <c r="G612" s="1"/>
      <c r="H612" s="1"/>
    </row>
    <row r="613" spans="2:8" ht="19.95" customHeight="1" x14ac:dyDescent="0.35">
      <c r="B613" s="1"/>
      <c r="C613" s="1"/>
      <c r="D613" s="1"/>
      <c r="E613" s="1"/>
      <c r="F613" s="1"/>
      <c r="G613" s="1"/>
      <c r="H613" s="1"/>
    </row>
    <row r="614" spans="2:8" ht="19.95" customHeight="1" x14ac:dyDescent="0.35">
      <c r="B614" s="1"/>
      <c r="C614" s="1"/>
      <c r="D614" s="1"/>
      <c r="E614" s="1"/>
      <c r="F614" s="1"/>
      <c r="G614" s="1"/>
      <c r="H614" s="1"/>
    </row>
    <row r="615" spans="2:8" ht="19.95" customHeight="1" x14ac:dyDescent="0.35">
      <c r="B615" s="1"/>
      <c r="C615" s="1"/>
      <c r="D615" s="1"/>
      <c r="E615" s="1"/>
      <c r="F615" s="1"/>
      <c r="G615" s="1"/>
      <c r="H615" s="1"/>
    </row>
    <row r="616" spans="2:8" ht="19.95" customHeight="1" x14ac:dyDescent="0.35">
      <c r="B616" s="1"/>
      <c r="C616" s="1"/>
      <c r="D616" s="1"/>
      <c r="E616" s="1"/>
      <c r="F616" s="1"/>
      <c r="G616" s="1"/>
      <c r="H616" s="1"/>
    </row>
    <row r="617" spans="2:8" ht="19.95" customHeight="1" x14ac:dyDescent="0.35">
      <c r="B617" s="1"/>
      <c r="C617" s="1"/>
      <c r="D617" s="1"/>
      <c r="E617" s="1"/>
      <c r="F617" s="1"/>
      <c r="G617" s="1"/>
      <c r="H617" s="1"/>
    </row>
    <row r="618" spans="2:8" ht="19.95" customHeight="1" x14ac:dyDescent="0.35">
      <c r="B618" s="1"/>
      <c r="C618" s="1"/>
      <c r="D618" s="1"/>
      <c r="E618" s="1"/>
      <c r="F618" s="1"/>
      <c r="G618" s="1"/>
      <c r="H618" s="1"/>
    </row>
    <row r="619" spans="2:8" ht="19.95" customHeight="1" x14ac:dyDescent="0.35">
      <c r="B619" s="1"/>
      <c r="C619" s="1"/>
      <c r="D619" s="1"/>
      <c r="E619" s="1"/>
      <c r="F619" s="1"/>
      <c r="G619" s="1"/>
      <c r="H619" s="1"/>
    </row>
    <row r="620" spans="2:8" ht="19.95" customHeight="1" x14ac:dyDescent="0.35">
      <c r="B620" s="1"/>
      <c r="C620" s="1"/>
      <c r="D620" s="1"/>
      <c r="E620" s="1"/>
      <c r="F620" s="1"/>
      <c r="G620" s="1"/>
      <c r="H620" s="1"/>
    </row>
    <row r="621" spans="2:8" ht="19.95" customHeight="1" x14ac:dyDescent="0.35">
      <c r="B621" s="1"/>
      <c r="C621" s="1"/>
      <c r="D621" s="1"/>
      <c r="E621" s="1"/>
      <c r="F621" s="1"/>
      <c r="G621" s="1"/>
      <c r="H621" s="1"/>
    </row>
    <row r="622" spans="2:8" ht="19.95" customHeight="1" x14ac:dyDescent="0.35">
      <c r="B622" s="1"/>
      <c r="C622" s="1"/>
      <c r="D622" s="1"/>
      <c r="E622" s="1"/>
      <c r="F622" s="1"/>
      <c r="G622" s="1"/>
      <c r="H622" s="1"/>
    </row>
    <row r="623" spans="2:8" ht="19.95" customHeight="1" x14ac:dyDescent="0.35">
      <c r="B623" s="1"/>
      <c r="C623" s="1"/>
      <c r="D623" s="1"/>
      <c r="E623" s="1"/>
      <c r="F623" s="1"/>
      <c r="G623" s="1"/>
      <c r="H623" s="1"/>
    </row>
    <row r="624" spans="2:8" ht="19.95" customHeight="1" x14ac:dyDescent="0.35">
      <c r="B624" s="1"/>
      <c r="C624" s="1"/>
      <c r="D624" s="1"/>
      <c r="E624" s="1"/>
      <c r="F624" s="1"/>
      <c r="G624" s="1"/>
      <c r="H624" s="1"/>
    </row>
    <row r="625" spans="2:8" ht="19.95" customHeight="1" x14ac:dyDescent="0.35">
      <c r="B625" s="1"/>
      <c r="C625" s="1"/>
      <c r="D625" s="1"/>
      <c r="E625" s="1"/>
      <c r="F625" s="1"/>
      <c r="G625" s="1"/>
      <c r="H625" s="1"/>
    </row>
    <row r="626" spans="2:8" ht="19.95" customHeight="1" x14ac:dyDescent="0.35">
      <c r="B626" s="1"/>
      <c r="C626" s="1"/>
      <c r="D626" s="1"/>
      <c r="E626" s="1"/>
      <c r="F626" s="1"/>
      <c r="G626" s="1"/>
      <c r="H626" s="1"/>
    </row>
    <row r="627" spans="2:8" ht="19.95" customHeight="1" x14ac:dyDescent="0.35">
      <c r="B627" s="1"/>
      <c r="C627" s="1"/>
      <c r="D627" s="1"/>
      <c r="E627" s="1"/>
      <c r="F627" s="1"/>
      <c r="G627" s="1"/>
      <c r="H627" s="1"/>
    </row>
    <row r="628" spans="2:8" ht="19.95" customHeight="1" x14ac:dyDescent="0.35">
      <c r="B628" s="1"/>
      <c r="C628" s="1"/>
      <c r="D628" s="1"/>
      <c r="E628" s="1"/>
      <c r="F628" s="1"/>
      <c r="G628" s="1"/>
      <c r="H628" s="1"/>
    </row>
    <row r="629" spans="2:8" ht="19.95" customHeight="1" x14ac:dyDescent="0.35">
      <c r="B629" s="1"/>
      <c r="C629" s="1"/>
      <c r="D629" s="1"/>
      <c r="E629" s="1"/>
      <c r="F629" s="1"/>
      <c r="G629" s="1"/>
      <c r="H629" s="1"/>
    </row>
    <row r="630" spans="2:8" ht="19.95" customHeight="1" x14ac:dyDescent="0.35">
      <c r="B630" s="1"/>
      <c r="C630" s="1"/>
      <c r="D630" s="1"/>
      <c r="E630" s="1"/>
      <c r="F630" s="1"/>
      <c r="G630" s="1"/>
      <c r="H630" s="1"/>
    </row>
    <row r="631" spans="2:8" ht="19.95" customHeight="1" x14ac:dyDescent="0.35">
      <c r="B631" s="1"/>
      <c r="C631" s="1"/>
      <c r="D631" s="1"/>
      <c r="E631" s="1"/>
      <c r="F631" s="1"/>
      <c r="G631" s="1"/>
      <c r="H631" s="1"/>
    </row>
    <row r="632" spans="2:8" ht="19.95" customHeight="1" x14ac:dyDescent="0.35">
      <c r="B632" s="1"/>
      <c r="C632" s="1"/>
      <c r="D632" s="1"/>
      <c r="E632" s="1"/>
      <c r="F632" s="1"/>
      <c r="G632" s="1"/>
      <c r="H632" s="1"/>
    </row>
    <row r="633" spans="2:8" ht="19.95" customHeight="1" x14ac:dyDescent="0.35">
      <c r="B633" s="1"/>
      <c r="C633" s="1"/>
      <c r="D633" s="1"/>
      <c r="E633" s="1"/>
      <c r="F633" s="1"/>
      <c r="G633" s="1"/>
      <c r="H633" s="1"/>
    </row>
    <row r="634" spans="2:8" ht="19.95" customHeight="1" x14ac:dyDescent="0.35">
      <c r="B634" s="1"/>
      <c r="C634" s="1"/>
      <c r="D634" s="1"/>
      <c r="E634" s="1"/>
      <c r="F634" s="1"/>
      <c r="G634" s="1"/>
      <c r="H634" s="1"/>
    </row>
    <row r="635" spans="2:8" ht="19.95" customHeight="1" x14ac:dyDescent="0.35">
      <c r="B635" s="1"/>
      <c r="C635" s="1"/>
      <c r="D635" s="1"/>
      <c r="E635" s="1"/>
      <c r="F635" s="1"/>
      <c r="G635" s="1"/>
      <c r="H635" s="1"/>
    </row>
    <row r="636" spans="2:8" ht="19.95" customHeight="1" x14ac:dyDescent="0.35">
      <c r="B636" s="1"/>
      <c r="C636" s="1"/>
      <c r="D636" s="1"/>
      <c r="E636" s="1"/>
      <c r="F636" s="1"/>
      <c r="G636" s="1"/>
      <c r="H636" s="1"/>
    </row>
    <row r="637" spans="2:8" ht="19.95" customHeight="1" x14ac:dyDescent="0.35">
      <c r="B637" s="1"/>
      <c r="C637" s="1"/>
      <c r="D637" s="1"/>
      <c r="E637" s="1"/>
      <c r="F637" s="1"/>
      <c r="G637" s="1"/>
      <c r="H637" s="1"/>
    </row>
    <row r="638" spans="2:8" ht="19.95" customHeight="1" x14ac:dyDescent="0.35">
      <c r="B638" s="1"/>
      <c r="C638" s="1"/>
      <c r="D638" s="1"/>
      <c r="E638" s="1"/>
      <c r="F638" s="1"/>
      <c r="G638" s="1"/>
      <c r="H638" s="1"/>
    </row>
    <row r="639" spans="2:8" ht="19.95" customHeight="1" x14ac:dyDescent="0.35">
      <c r="B639" s="1"/>
      <c r="C639" s="1"/>
      <c r="D639" s="1"/>
      <c r="E639" s="1"/>
      <c r="F639" s="1"/>
      <c r="G639" s="1"/>
      <c r="H639" s="1"/>
    </row>
    <row r="640" spans="2:8" ht="19.95" customHeight="1" x14ac:dyDescent="0.35">
      <c r="B640" s="1"/>
      <c r="C640" s="1"/>
      <c r="D640" s="1"/>
      <c r="E640" s="1"/>
      <c r="F640" s="1"/>
      <c r="G640" s="1"/>
      <c r="H640" s="1"/>
    </row>
    <row r="641" spans="2:8" ht="19.95" customHeight="1" x14ac:dyDescent="0.35">
      <c r="B641" s="1"/>
      <c r="C641" s="1"/>
      <c r="D641" s="1"/>
      <c r="E641" s="1"/>
      <c r="F641" s="1"/>
      <c r="G641" s="1"/>
      <c r="H641" s="1"/>
    </row>
    <row r="642" spans="2:8" ht="19.95" customHeight="1" x14ac:dyDescent="0.35">
      <c r="B642" s="1"/>
      <c r="C642" s="1"/>
      <c r="D642" s="1"/>
      <c r="E642" s="1"/>
      <c r="F642" s="1"/>
      <c r="G642" s="1"/>
      <c r="H642" s="1"/>
    </row>
    <row r="643" spans="2:8" ht="19.95" customHeight="1" x14ac:dyDescent="0.35">
      <c r="B643" s="1"/>
      <c r="C643" s="1"/>
      <c r="D643" s="1"/>
      <c r="E643" s="1"/>
      <c r="F643" s="1"/>
      <c r="G643" s="1"/>
      <c r="H643" s="1"/>
    </row>
    <row r="644" spans="2:8" ht="19.95" customHeight="1" x14ac:dyDescent="0.35">
      <c r="B644" s="1"/>
      <c r="C644" s="1"/>
      <c r="D644" s="1"/>
      <c r="E644" s="1"/>
      <c r="F644" s="1"/>
      <c r="G644" s="1"/>
      <c r="H644" s="1"/>
    </row>
    <row r="645" spans="2:8" ht="19.95" customHeight="1" x14ac:dyDescent="0.35">
      <c r="B645" s="1"/>
      <c r="C645" s="1"/>
      <c r="D645" s="1"/>
      <c r="E645" s="1"/>
      <c r="F645" s="1"/>
      <c r="G645" s="1"/>
      <c r="H645" s="1"/>
    </row>
    <row r="646" spans="2:8" ht="19.95" customHeight="1" x14ac:dyDescent="0.35">
      <c r="B646" s="1"/>
      <c r="C646" s="1"/>
      <c r="D646" s="1"/>
      <c r="E646" s="1"/>
      <c r="F646" s="1"/>
      <c r="G646" s="1"/>
      <c r="H646" s="1"/>
    </row>
    <row r="647" spans="2:8" ht="19.95" customHeight="1" x14ac:dyDescent="0.35">
      <c r="B647" s="1"/>
      <c r="C647" s="1"/>
      <c r="D647" s="1"/>
      <c r="E647" s="1"/>
      <c r="F647" s="1"/>
      <c r="G647" s="1"/>
      <c r="H647" s="1"/>
    </row>
    <row r="648" spans="2:8" ht="19.95" customHeight="1" x14ac:dyDescent="0.35">
      <c r="B648" s="1"/>
      <c r="C648" s="1"/>
      <c r="D648" s="1"/>
      <c r="E648" s="1"/>
      <c r="F648" s="1"/>
      <c r="G648" s="1"/>
      <c r="H648" s="1"/>
    </row>
    <row r="649" spans="2:8" ht="19.95" customHeight="1" x14ac:dyDescent="0.35">
      <c r="B649" s="1"/>
      <c r="C649" s="1"/>
      <c r="D649" s="1"/>
      <c r="E649" s="1"/>
      <c r="F649" s="1"/>
      <c r="G649" s="1"/>
      <c r="H649" s="1"/>
    </row>
    <row r="650" spans="2:8" ht="19.95" customHeight="1" x14ac:dyDescent="0.35">
      <c r="B650" s="1"/>
      <c r="C650" s="1"/>
      <c r="D650" s="1"/>
      <c r="E650" s="1"/>
      <c r="F650" s="1"/>
      <c r="G650" s="1"/>
      <c r="H650" s="1"/>
    </row>
    <row r="651" spans="2:8" ht="19.95" customHeight="1" x14ac:dyDescent="0.35">
      <c r="B651" s="1"/>
      <c r="C651" s="1"/>
      <c r="D651" s="1"/>
      <c r="E651" s="1"/>
      <c r="F651" s="1"/>
      <c r="G651" s="1"/>
      <c r="H651" s="1"/>
    </row>
    <row r="652" spans="2:8" ht="19.95" customHeight="1" x14ac:dyDescent="0.35">
      <c r="B652" s="1"/>
      <c r="C652" s="1"/>
      <c r="D652" s="1"/>
      <c r="E652" s="1"/>
      <c r="F652" s="1"/>
      <c r="G652" s="1"/>
      <c r="H652" s="1"/>
    </row>
    <row r="653" spans="2:8" ht="19.95" customHeight="1" x14ac:dyDescent="0.35">
      <c r="B653" s="1"/>
      <c r="C653" s="1"/>
      <c r="D653" s="1"/>
      <c r="E653" s="1"/>
      <c r="F653" s="1"/>
      <c r="G653" s="1"/>
      <c r="H653" s="1"/>
    </row>
    <row r="654" spans="2:8" ht="19.95" customHeight="1" x14ac:dyDescent="0.35">
      <c r="B654" s="1"/>
      <c r="C654" s="1"/>
      <c r="D654" s="1"/>
      <c r="E654" s="1"/>
      <c r="F654" s="1"/>
      <c r="G654" s="1"/>
      <c r="H654" s="1"/>
    </row>
    <row r="655" spans="2:8" ht="19.95" customHeight="1" x14ac:dyDescent="0.35">
      <c r="B655" s="1"/>
      <c r="C655" s="1"/>
      <c r="D655" s="1"/>
      <c r="E655" s="1"/>
      <c r="F655" s="1"/>
      <c r="G655" s="1"/>
      <c r="H655" s="1"/>
    </row>
    <row r="656" spans="2:8" ht="19.95" customHeight="1" x14ac:dyDescent="0.35">
      <c r="B656" s="1"/>
      <c r="C656" s="1"/>
      <c r="D656" s="1"/>
      <c r="E656" s="1"/>
      <c r="F656" s="1"/>
      <c r="G656" s="1"/>
      <c r="H656" s="1"/>
    </row>
    <row r="657" spans="2:8" ht="19.95" customHeight="1" x14ac:dyDescent="0.35">
      <c r="B657" s="1"/>
      <c r="C657" s="1"/>
      <c r="D657" s="1"/>
      <c r="E657" s="1"/>
      <c r="F657" s="1"/>
      <c r="G657" s="1"/>
      <c r="H657" s="1"/>
    </row>
    <row r="658" spans="2:8" ht="19.95" customHeight="1" x14ac:dyDescent="0.35">
      <c r="B658" s="1"/>
      <c r="C658" s="1"/>
      <c r="D658" s="1"/>
      <c r="E658" s="1"/>
      <c r="F658" s="1"/>
      <c r="G658" s="1"/>
      <c r="H658" s="1"/>
    </row>
    <row r="659" spans="2:8" ht="19.95" customHeight="1" x14ac:dyDescent="0.35">
      <c r="B659" s="1"/>
      <c r="C659" s="1"/>
      <c r="D659" s="1"/>
      <c r="E659" s="1"/>
      <c r="F659" s="1"/>
      <c r="G659" s="1"/>
      <c r="H659" s="1"/>
    </row>
    <row r="660" spans="2:8" ht="19.95" customHeight="1" x14ac:dyDescent="0.35">
      <c r="B660" s="1"/>
      <c r="C660" s="1"/>
      <c r="D660" s="1"/>
      <c r="E660" s="1"/>
      <c r="F660" s="1"/>
      <c r="G660" s="1"/>
      <c r="H660" s="1"/>
    </row>
    <row r="661" spans="2:8" ht="19.95" customHeight="1" x14ac:dyDescent="0.35">
      <c r="B661" s="1"/>
      <c r="C661" s="1"/>
      <c r="D661" s="1"/>
      <c r="E661" s="1"/>
      <c r="F661" s="1"/>
      <c r="G661" s="1"/>
      <c r="H661" s="1"/>
    </row>
    <row r="662" spans="2:8" ht="19.95" customHeight="1" x14ac:dyDescent="0.35">
      <c r="B662" s="1"/>
      <c r="C662" s="1"/>
      <c r="D662" s="1"/>
      <c r="E662" s="1"/>
      <c r="F662" s="1"/>
      <c r="G662" s="1"/>
      <c r="H662" s="1"/>
    </row>
    <row r="663" spans="2:8" ht="19.95" customHeight="1" x14ac:dyDescent="0.35">
      <c r="B663" s="1"/>
      <c r="C663" s="1"/>
      <c r="D663" s="1"/>
      <c r="E663" s="1"/>
      <c r="F663" s="1"/>
      <c r="G663" s="1"/>
      <c r="H663" s="1"/>
    </row>
    <row r="664" spans="2:8" ht="19.95" customHeight="1" x14ac:dyDescent="0.35">
      <c r="B664" s="1"/>
      <c r="C664" s="1"/>
      <c r="D664" s="1"/>
      <c r="E664" s="1"/>
      <c r="F664" s="1"/>
      <c r="G664" s="1"/>
      <c r="H664" s="1"/>
    </row>
    <row r="665" spans="2:8" ht="19.95" customHeight="1" x14ac:dyDescent="0.35">
      <c r="B665" s="1"/>
      <c r="C665" s="1"/>
      <c r="D665" s="1"/>
      <c r="E665" s="1"/>
      <c r="F665" s="1"/>
      <c r="G665" s="1"/>
      <c r="H665" s="1"/>
    </row>
    <row r="666" spans="2:8" ht="19.95" customHeight="1" x14ac:dyDescent="0.35">
      <c r="B666" s="1"/>
      <c r="C666" s="1"/>
      <c r="D666" s="1"/>
      <c r="E666" s="1"/>
      <c r="F666" s="1"/>
      <c r="G666" s="1"/>
      <c r="H666" s="1"/>
    </row>
    <row r="667" spans="2:8" ht="19.95" customHeight="1" x14ac:dyDescent="0.35">
      <c r="B667" s="1"/>
      <c r="C667" s="1"/>
      <c r="D667" s="1"/>
      <c r="E667" s="1"/>
      <c r="F667" s="1"/>
      <c r="G667" s="1"/>
      <c r="H667" s="1"/>
    </row>
    <row r="668" spans="2:8" ht="19.95" customHeight="1" x14ac:dyDescent="0.35">
      <c r="B668" s="1"/>
      <c r="C668" s="1"/>
      <c r="D668" s="1"/>
      <c r="E668" s="1"/>
      <c r="F668" s="1"/>
      <c r="G668" s="1"/>
      <c r="H668" s="1"/>
    </row>
    <row r="669" spans="2:8" ht="19.95" customHeight="1" x14ac:dyDescent="0.35">
      <c r="B669" s="1"/>
      <c r="C669" s="1"/>
      <c r="D669" s="1"/>
      <c r="E669" s="1"/>
      <c r="F669" s="1"/>
      <c r="G669" s="1"/>
      <c r="H669" s="1"/>
    </row>
    <row r="670" spans="2:8" ht="19.95" customHeight="1" x14ac:dyDescent="0.35">
      <c r="B670" s="1"/>
      <c r="C670" s="1"/>
      <c r="D670" s="1"/>
      <c r="E670" s="1"/>
      <c r="F670" s="1"/>
      <c r="G670" s="1"/>
      <c r="H670" s="1"/>
    </row>
    <row r="671" spans="2:8" ht="19.95" customHeight="1" x14ac:dyDescent="0.35">
      <c r="B671" s="1"/>
      <c r="C671" s="1"/>
      <c r="D671" s="1"/>
      <c r="E671" s="1"/>
      <c r="F671" s="1"/>
      <c r="G671" s="1"/>
      <c r="H671" s="1"/>
    </row>
    <row r="672" spans="2:8" ht="19.95" customHeight="1" x14ac:dyDescent="0.35">
      <c r="B672" s="1"/>
      <c r="C672" s="1"/>
      <c r="D672" s="1"/>
      <c r="E672" s="1"/>
      <c r="F672" s="1"/>
      <c r="G672" s="1"/>
      <c r="H672" s="1"/>
    </row>
    <row r="673" spans="2:8" ht="19.95" customHeight="1" x14ac:dyDescent="0.35">
      <c r="B673" s="1"/>
      <c r="C673" s="1"/>
      <c r="D673" s="1"/>
      <c r="E673" s="1"/>
      <c r="F673" s="1"/>
      <c r="G673" s="1"/>
      <c r="H673" s="1"/>
    </row>
    <row r="674" spans="2:8" ht="19.95" customHeight="1" x14ac:dyDescent="0.35">
      <c r="B674" s="1"/>
      <c r="C674" s="1"/>
      <c r="D674" s="1"/>
      <c r="E674" s="1"/>
      <c r="F674" s="1"/>
      <c r="G674" s="1"/>
      <c r="H674" s="1"/>
    </row>
    <row r="675" spans="2:8" ht="19.95" customHeight="1" x14ac:dyDescent="0.35">
      <c r="B675" s="1"/>
      <c r="C675" s="1"/>
      <c r="D675" s="1"/>
      <c r="E675" s="1"/>
      <c r="F675" s="1"/>
      <c r="G675" s="1"/>
      <c r="H675" s="1"/>
    </row>
    <row r="676" spans="2:8" ht="19.95" customHeight="1" x14ac:dyDescent="0.35">
      <c r="B676" s="1"/>
      <c r="C676" s="1"/>
      <c r="D676" s="1"/>
      <c r="E676" s="1"/>
      <c r="F676" s="1"/>
      <c r="G676" s="1"/>
      <c r="H676" s="1"/>
    </row>
    <row r="677" spans="2:8" ht="19.95" customHeight="1" x14ac:dyDescent="0.35">
      <c r="B677" s="1"/>
      <c r="C677" s="1"/>
      <c r="D677" s="1"/>
      <c r="E677" s="1"/>
      <c r="F677" s="1"/>
      <c r="G677" s="1"/>
      <c r="H677" s="1"/>
    </row>
    <row r="678" spans="2:8" ht="19.95" customHeight="1" x14ac:dyDescent="0.35">
      <c r="B678" s="1"/>
      <c r="C678" s="1"/>
      <c r="D678" s="1"/>
      <c r="E678" s="1"/>
      <c r="F678" s="1"/>
      <c r="G678" s="1"/>
      <c r="H678" s="1"/>
    </row>
    <row r="679" spans="2:8" ht="19.95" customHeight="1" x14ac:dyDescent="0.35">
      <c r="B679" s="1"/>
      <c r="C679" s="1"/>
      <c r="D679" s="1"/>
      <c r="E679" s="1"/>
      <c r="F679" s="1"/>
      <c r="G679" s="1"/>
      <c r="H679" s="1"/>
    </row>
    <row r="680" spans="2:8" ht="19.95" customHeight="1" x14ac:dyDescent="0.35">
      <c r="B680" s="1"/>
      <c r="C680" s="1"/>
      <c r="D680" s="1"/>
      <c r="E680" s="1"/>
      <c r="F680" s="1"/>
      <c r="G680" s="1"/>
      <c r="H680" s="1"/>
    </row>
    <row r="681" spans="2:8" ht="19.95" customHeight="1" x14ac:dyDescent="0.35">
      <c r="B681" s="1"/>
      <c r="C681" s="1"/>
      <c r="D681" s="1"/>
      <c r="E681" s="1"/>
      <c r="F681" s="1"/>
      <c r="G681" s="1"/>
      <c r="H681" s="1"/>
    </row>
    <row r="682" spans="2:8" ht="19.95" customHeight="1" x14ac:dyDescent="0.35">
      <c r="B682" s="1"/>
      <c r="C682" s="1"/>
      <c r="D682" s="1"/>
      <c r="E682" s="1"/>
      <c r="F682" s="1"/>
      <c r="G682" s="1"/>
      <c r="H682" s="1"/>
    </row>
    <row r="683" spans="2:8" ht="19.95" customHeight="1" x14ac:dyDescent="0.35">
      <c r="B683" s="1"/>
      <c r="C683" s="1"/>
      <c r="D683" s="1"/>
      <c r="E683" s="1"/>
      <c r="F683" s="1"/>
      <c r="G683" s="1"/>
      <c r="H683" s="1"/>
    </row>
    <row r="684" spans="2:8" ht="19.95" customHeight="1" x14ac:dyDescent="0.35">
      <c r="B684" s="1"/>
      <c r="C684" s="1"/>
      <c r="D684" s="1"/>
      <c r="E684" s="1"/>
      <c r="F684" s="1"/>
      <c r="G684" s="1"/>
      <c r="H684" s="1"/>
    </row>
    <row r="685" spans="2:8" ht="19.95" customHeight="1" x14ac:dyDescent="0.35">
      <c r="B685" s="1"/>
      <c r="C685" s="1"/>
      <c r="D685" s="1"/>
      <c r="E685" s="1"/>
      <c r="F685" s="1"/>
      <c r="G685" s="1"/>
      <c r="H685" s="1"/>
    </row>
    <row r="686" spans="2:8" ht="19.95" customHeight="1" x14ac:dyDescent="0.35">
      <c r="B686" s="1"/>
      <c r="C686" s="1"/>
      <c r="D686" s="1"/>
      <c r="E686" s="1"/>
      <c r="F686" s="1"/>
      <c r="G686" s="1"/>
      <c r="H686" s="1"/>
    </row>
    <row r="687" spans="2:8" ht="19.95" customHeight="1" x14ac:dyDescent="0.35">
      <c r="B687" s="1"/>
      <c r="C687" s="1"/>
      <c r="D687" s="1"/>
      <c r="E687" s="1"/>
      <c r="F687" s="1"/>
      <c r="G687" s="1"/>
      <c r="H687" s="1"/>
    </row>
    <row r="688" spans="2:8" ht="19.95" customHeight="1" x14ac:dyDescent="0.35">
      <c r="B688" s="1"/>
      <c r="C688" s="1"/>
      <c r="D688" s="1"/>
      <c r="E688" s="1"/>
      <c r="F688" s="1"/>
      <c r="G688" s="1"/>
      <c r="H688" s="1"/>
    </row>
    <row r="689" spans="2:8" ht="19.95" customHeight="1" x14ac:dyDescent="0.35">
      <c r="B689" s="1"/>
      <c r="C689" s="1"/>
      <c r="D689" s="1"/>
      <c r="E689" s="1"/>
      <c r="F689" s="1"/>
      <c r="G689" s="1"/>
      <c r="H689" s="1"/>
    </row>
    <row r="690" spans="2:8" ht="19.95" customHeight="1" x14ac:dyDescent="0.35">
      <c r="B690" s="1"/>
      <c r="C690" s="1"/>
      <c r="D690" s="1"/>
      <c r="E690" s="1"/>
      <c r="F690" s="1"/>
      <c r="G690" s="1"/>
      <c r="H690" s="1"/>
    </row>
    <row r="691" spans="2:8" ht="19.95" customHeight="1" x14ac:dyDescent="0.35">
      <c r="B691" s="1"/>
      <c r="C691" s="1"/>
      <c r="D691" s="1"/>
      <c r="E691" s="1"/>
      <c r="F691" s="1"/>
      <c r="G691" s="1"/>
      <c r="H691" s="1"/>
    </row>
    <row r="692" spans="2:8" ht="19.95" customHeight="1" x14ac:dyDescent="0.35">
      <c r="B692" s="1"/>
      <c r="C692" s="1"/>
      <c r="D692" s="1"/>
      <c r="E692" s="1"/>
      <c r="F692" s="1"/>
      <c r="G692" s="1"/>
      <c r="H692" s="1"/>
    </row>
    <row r="693" spans="2:8" ht="19.95" customHeight="1" x14ac:dyDescent="0.35">
      <c r="B693" s="1"/>
      <c r="C693" s="1"/>
      <c r="D693" s="1"/>
      <c r="E693" s="1"/>
      <c r="F693" s="1"/>
      <c r="G693" s="1"/>
      <c r="H693" s="1"/>
    </row>
    <row r="694" spans="2:8" ht="19.95" customHeight="1" x14ac:dyDescent="0.35">
      <c r="B694" s="1"/>
      <c r="C694" s="1"/>
      <c r="D694" s="1"/>
      <c r="E694" s="1"/>
      <c r="F694" s="1"/>
      <c r="G694" s="1"/>
      <c r="H694" s="1"/>
    </row>
    <row r="695" spans="2:8" ht="19.95" customHeight="1" x14ac:dyDescent="0.35">
      <c r="B695" s="1"/>
      <c r="C695" s="1"/>
      <c r="D695" s="1"/>
      <c r="E695" s="1"/>
      <c r="F695" s="1"/>
      <c r="G695" s="1"/>
      <c r="H695" s="1"/>
    </row>
    <row r="696" spans="2:8" ht="19.95" customHeight="1" x14ac:dyDescent="0.35">
      <c r="B696" s="1"/>
      <c r="C696" s="1"/>
      <c r="D696" s="1"/>
      <c r="E696" s="1"/>
      <c r="F696" s="1"/>
      <c r="G696" s="1"/>
      <c r="H696" s="1"/>
    </row>
    <row r="697" spans="2:8" ht="19.95" customHeight="1" x14ac:dyDescent="0.35">
      <c r="B697" s="1"/>
      <c r="C697" s="1"/>
      <c r="D697" s="1"/>
      <c r="E697" s="1"/>
      <c r="F697" s="1"/>
      <c r="G697" s="1"/>
      <c r="H697" s="1"/>
    </row>
    <row r="698" spans="2:8" ht="19.95" customHeight="1" x14ac:dyDescent="0.35">
      <c r="B698" s="1"/>
      <c r="C698" s="1"/>
      <c r="D698" s="1"/>
      <c r="E698" s="1"/>
      <c r="F698" s="1"/>
      <c r="G698" s="1"/>
      <c r="H698" s="1"/>
    </row>
    <row r="699" spans="2:8" ht="19.95" customHeight="1" x14ac:dyDescent="0.35">
      <c r="B699" s="1"/>
      <c r="C699" s="1"/>
      <c r="D699" s="1"/>
      <c r="E699" s="1"/>
      <c r="F699" s="1"/>
      <c r="G699" s="1"/>
      <c r="H699" s="1"/>
    </row>
    <row r="700" spans="2:8" ht="19.95" customHeight="1" x14ac:dyDescent="0.35">
      <c r="B700" s="1"/>
      <c r="C700" s="1"/>
      <c r="D700" s="1"/>
      <c r="E700" s="1"/>
      <c r="F700" s="1"/>
      <c r="G700" s="1"/>
      <c r="H700" s="1"/>
    </row>
    <row r="701" spans="2:8" ht="19.95" customHeight="1" x14ac:dyDescent="0.35">
      <c r="B701" s="1"/>
      <c r="C701" s="1"/>
      <c r="D701" s="1"/>
      <c r="E701" s="1"/>
      <c r="F701" s="1"/>
      <c r="G701" s="1"/>
      <c r="H701" s="1"/>
    </row>
    <row r="702" spans="2:8" ht="19.95" customHeight="1" x14ac:dyDescent="0.35">
      <c r="B702" s="1"/>
      <c r="C702" s="1"/>
      <c r="D702" s="1"/>
      <c r="E702" s="1"/>
      <c r="F702" s="1"/>
      <c r="G702" s="1"/>
      <c r="H702" s="1"/>
    </row>
    <row r="703" spans="2:8" ht="19.95" customHeight="1" x14ac:dyDescent="0.35">
      <c r="B703" s="1"/>
      <c r="C703" s="1"/>
      <c r="D703" s="1"/>
      <c r="E703" s="1"/>
      <c r="F703" s="1"/>
      <c r="G703" s="1"/>
      <c r="H703" s="1"/>
    </row>
    <row r="704" spans="2:8" ht="19.95" customHeight="1" x14ac:dyDescent="0.35">
      <c r="B704" s="1"/>
      <c r="C704" s="1"/>
      <c r="D704" s="1"/>
      <c r="E704" s="1"/>
      <c r="F704" s="1"/>
      <c r="G704" s="1"/>
      <c r="H704" s="1"/>
    </row>
    <row r="705" spans="2:8" ht="19.95" customHeight="1" x14ac:dyDescent="0.35">
      <c r="B705" s="1"/>
      <c r="C705" s="1"/>
      <c r="D705" s="1"/>
      <c r="E705" s="1"/>
      <c r="F705" s="1"/>
      <c r="G705" s="1"/>
      <c r="H705" s="1"/>
    </row>
    <row r="706" spans="2:8" ht="19.95" customHeight="1" x14ac:dyDescent="0.35">
      <c r="B706" s="1"/>
      <c r="C706" s="1"/>
      <c r="D706" s="1"/>
      <c r="E706" s="1"/>
      <c r="F706" s="1"/>
      <c r="G706" s="1"/>
      <c r="H706" s="1"/>
    </row>
    <row r="707" spans="2:8" ht="19.95" customHeight="1" x14ac:dyDescent="0.35">
      <c r="B707" s="1"/>
      <c r="C707" s="1"/>
      <c r="D707" s="1"/>
      <c r="E707" s="1"/>
      <c r="F707" s="1"/>
      <c r="G707" s="1"/>
      <c r="H707" s="1"/>
    </row>
    <row r="708" spans="2:8" ht="19.95" customHeight="1" x14ac:dyDescent="0.35">
      <c r="B708" s="1"/>
      <c r="C708" s="1"/>
      <c r="D708" s="1"/>
      <c r="E708" s="1"/>
      <c r="F708" s="1"/>
      <c r="G708" s="1"/>
      <c r="H708" s="1"/>
    </row>
    <row r="709" spans="2:8" ht="19.95" customHeight="1" x14ac:dyDescent="0.35">
      <c r="B709" s="1"/>
      <c r="C709" s="1"/>
      <c r="D709" s="1"/>
      <c r="E709" s="1"/>
      <c r="F709" s="1"/>
      <c r="G709" s="1"/>
      <c r="H709" s="1"/>
    </row>
    <row r="710" spans="2:8" ht="19.95" customHeight="1" x14ac:dyDescent="0.35">
      <c r="B710" s="1"/>
      <c r="C710" s="1"/>
      <c r="D710" s="1"/>
      <c r="E710" s="1"/>
      <c r="F710" s="1"/>
      <c r="G710" s="1"/>
      <c r="H710" s="1"/>
    </row>
    <row r="711" spans="2:8" ht="19.95" customHeight="1" x14ac:dyDescent="0.35">
      <c r="B711" s="1"/>
      <c r="C711" s="1"/>
      <c r="D711" s="1"/>
      <c r="E711" s="1"/>
      <c r="F711" s="1"/>
      <c r="G711" s="1"/>
      <c r="H711" s="1"/>
    </row>
    <row r="712" spans="2:8" ht="19.95" customHeight="1" x14ac:dyDescent="0.35">
      <c r="B712" s="1"/>
      <c r="C712" s="1"/>
      <c r="D712" s="1"/>
      <c r="E712" s="1"/>
      <c r="F712" s="1"/>
      <c r="G712" s="1"/>
      <c r="H712" s="1"/>
    </row>
    <row r="713" spans="2:8" ht="19.95" customHeight="1" x14ac:dyDescent="0.35">
      <c r="B713" s="1"/>
      <c r="C713" s="1"/>
      <c r="D713" s="1"/>
      <c r="E713" s="1"/>
      <c r="F713" s="1"/>
      <c r="G713" s="1"/>
      <c r="H713" s="1"/>
    </row>
    <row r="714" spans="2:8" ht="19.95" customHeight="1" x14ac:dyDescent="0.35">
      <c r="B714" s="1"/>
      <c r="C714" s="1"/>
      <c r="D714" s="1"/>
      <c r="E714" s="1"/>
      <c r="F714" s="1"/>
      <c r="G714" s="1"/>
      <c r="H714" s="1"/>
    </row>
    <row r="715" spans="2:8" ht="19.95" customHeight="1" x14ac:dyDescent="0.35">
      <c r="B715" s="1"/>
      <c r="C715" s="1"/>
      <c r="D715" s="1"/>
      <c r="E715" s="1"/>
      <c r="F715" s="1"/>
      <c r="G715" s="1"/>
      <c r="H715" s="1"/>
    </row>
    <row r="716" spans="2:8" ht="19.95" customHeight="1" x14ac:dyDescent="0.35">
      <c r="B716" s="1"/>
      <c r="C716" s="1"/>
      <c r="D716" s="1"/>
      <c r="E716" s="1"/>
      <c r="F716" s="1"/>
      <c r="G716" s="1"/>
      <c r="H716" s="1"/>
    </row>
    <row r="717" spans="2:8" ht="19.95" customHeight="1" x14ac:dyDescent="0.35">
      <c r="B717" s="1"/>
      <c r="C717" s="1"/>
      <c r="D717" s="1"/>
      <c r="E717" s="1"/>
      <c r="F717" s="1"/>
      <c r="G717" s="1"/>
      <c r="H717" s="1"/>
    </row>
    <row r="718" spans="2:8" ht="19.95" customHeight="1" x14ac:dyDescent="0.35">
      <c r="B718" s="1"/>
      <c r="C718" s="1"/>
      <c r="D718" s="1"/>
      <c r="E718" s="1"/>
      <c r="F718" s="1"/>
      <c r="G718" s="1"/>
      <c r="H718" s="1"/>
    </row>
    <row r="719" spans="2:8" ht="19.95" customHeight="1" x14ac:dyDescent="0.35">
      <c r="B719" s="1"/>
      <c r="C719" s="1"/>
      <c r="D719" s="1"/>
      <c r="E719" s="1"/>
      <c r="F719" s="1"/>
      <c r="G719" s="1"/>
      <c r="H719" s="1"/>
    </row>
    <row r="720" spans="2:8" ht="19.95" customHeight="1" x14ac:dyDescent="0.35">
      <c r="B720" s="1"/>
      <c r="C720" s="1"/>
      <c r="D720" s="1"/>
      <c r="E720" s="1"/>
      <c r="F720" s="1"/>
      <c r="G720" s="1"/>
      <c r="H720" s="1"/>
    </row>
    <row r="721" spans="2:8" ht="19.95" customHeight="1" x14ac:dyDescent="0.35">
      <c r="B721" s="1"/>
      <c r="C721" s="1"/>
      <c r="D721" s="1"/>
      <c r="E721" s="1"/>
      <c r="F721" s="1"/>
      <c r="G721" s="1"/>
      <c r="H721" s="1"/>
    </row>
    <row r="722" spans="2:8" ht="19.95" customHeight="1" x14ac:dyDescent="0.35">
      <c r="B722" s="1"/>
      <c r="C722" s="1"/>
      <c r="D722" s="1"/>
      <c r="E722" s="1"/>
      <c r="F722" s="1"/>
      <c r="G722" s="1"/>
      <c r="H722" s="1"/>
    </row>
    <row r="723" spans="2:8" ht="19.95" customHeight="1" x14ac:dyDescent="0.35">
      <c r="B723" s="1"/>
      <c r="C723" s="1"/>
      <c r="D723" s="1"/>
      <c r="E723" s="1"/>
      <c r="F723" s="1"/>
      <c r="G723" s="1"/>
      <c r="H723" s="1"/>
    </row>
    <row r="724" spans="2:8" ht="19.95" customHeight="1" x14ac:dyDescent="0.35">
      <c r="B724" s="1"/>
      <c r="C724" s="1"/>
      <c r="D724" s="1"/>
      <c r="E724" s="1"/>
      <c r="F724" s="1"/>
      <c r="G724" s="1"/>
      <c r="H724" s="1"/>
    </row>
    <row r="725" spans="2:8" ht="19.95" customHeight="1" x14ac:dyDescent="0.35">
      <c r="B725" s="1"/>
      <c r="C725" s="1"/>
      <c r="D725" s="1"/>
      <c r="E725" s="1"/>
      <c r="F725" s="1"/>
      <c r="G725" s="1"/>
      <c r="H725" s="1"/>
    </row>
    <row r="726" spans="2:8" ht="19.95" customHeight="1" x14ac:dyDescent="0.35">
      <c r="B726" s="1"/>
      <c r="C726" s="1"/>
      <c r="D726" s="1"/>
      <c r="E726" s="1"/>
      <c r="F726" s="1"/>
      <c r="G726" s="1"/>
      <c r="H726" s="1"/>
    </row>
    <row r="727" spans="2:8" ht="19.95" customHeight="1" x14ac:dyDescent="0.35">
      <c r="B727" s="1"/>
      <c r="C727" s="1"/>
      <c r="D727" s="1"/>
      <c r="E727" s="1"/>
      <c r="F727" s="1"/>
      <c r="G727" s="1"/>
      <c r="H727" s="1"/>
    </row>
    <row r="728" spans="2:8" ht="19.95" customHeight="1" x14ac:dyDescent="0.35">
      <c r="B728" s="1"/>
      <c r="C728" s="1"/>
      <c r="D728" s="1"/>
      <c r="E728" s="1"/>
      <c r="F728" s="1"/>
      <c r="G728" s="1"/>
      <c r="H728" s="1"/>
    </row>
    <row r="729" spans="2:8" ht="19.95" customHeight="1" x14ac:dyDescent="0.35">
      <c r="B729" s="1"/>
      <c r="C729" s="1"/>
      <c r="D729" s="1"/>
      <c r="E729" s="1"/>
      <c r="F729" s="1"/>
      <c r="G729" s="1"/>
      <c r="H729" s="1"/>
    </row>
    <row r="730" spans="2:8" ht="19.95" customHeight="1" x14ac:dyDescent="0.35">
      <c r="B730" s="1"/>
      <c r="C730" s="1"/>
      <c r="D730" s="1"/>
      <c r="E730" s="1"/>
      <c r="F730" s="1"/>
      <c r="G730" s="1"/>
      <c r="H730" s="1"/>
    </row>
    <row r="731" spans="2:8" ht="19.95" customHeight="1" x14ac:dyDescent="0.35">
      <c r="B731" s="1"/>
      <c r="C731" s="1"/>
      <c r="D731" s="1"/>
      <c r="E731" s="1"/>
      <c r="F731" s="1"/>
      <c r="G731" s="1"/>
      <c r="H731" s="1"/>
    </row>
    <row r="732" spans="2:8" ht="19.95" customHeight="1" x14ac:dyDescent="0.35">
      <c r="B732" s="1"/>
      <c r="C732" s="1"/>
      <c r="D732" s="1"/>
      <c r="E732" s="1"/>
      <c r="F732" s="1"/>
      <c r="G732" s="1"/>
      <c r="H732" s="1"/>
    </row>
    <row r="733" spans="2:8" ht="19.95" customHeight="1" x14ac:dyDescent="0.35">
      <c r="B733" s="1"/>
      <c r="C733" s="1"/>
      <c r="D733" s="1"/>
      <c r="E733" s="1"/>
      <c r="F733" s="1"/>
      <c r="G733" s="1"/>
      <c r="H733" s="1"/>
    </row>
    <row r="734" spans="2:8" ht="19.95" customHeight="1" x14ac:dyDescent="0.35">
      <c r="B734" s="1"/>
      <c r="C734" s="1"/>
      <c r="D734" s="1"/>
      <c r="E734" s="1"/>
      <c r="F734" s="1"/>
      <c r="G734" s="1"/>
      <c r="H734" s="1"/>
    </row>
    <row r="735" spans="2:8" ht="19.95" customHeight="1" x14ac:dyDescent="0.35">
      <c r="B735" s="1"/>
      <c r="C735" s="1"/>
      <c r="D735" s="1"/>
      <c r="E735" s="1"/>
      <c r="F735" s="1"/>
      <c r="G735" s="1"/>
      <c r="H735" s="1"/>
    </row>
    <row r="736" spans="2:8" ht="19.95" customHeight="1" x14ac:dyDescent="0.35">
      <c r="B736" s="1"/>
      <c r="C736" s="1"/>
      <c r="D736" s="1"/>
      <c r="E736" s="1"/>
      <c r="F736" s="1"/>
      <c r="G736" s="1"/>
      <c r="H736" s="1"/>
    </row>
    <row r="737" spans="2:8" ht="19.95" customHeight="1" x14ac:dyDescent="0.35">
      <c r="B737" s="1"/>
      <c r="C737" s="1"/>
      <c r="D737" s="1"/>
      <c r="E737" s="1"/>
      <c r="F737" s="1"/>
      <c r="G737" s="1"/>
      <c r="H737" s="1"/>
    </row>
    <row r="738" spans="2:8" ht="19.95" customHeight="1" x14ac:dyDescent="0.35">
      <c r="B738" s="1"/>
      <c r="C738" s="1"/>
      <c r="D738" s="1"/>
      <c r="E738" s="1"/>
      <c r="F738" s="1"/>
      <c r="G738" s="1"/>
      <c r="H738" s="1"/>
    </row>
    <row r="739" spans="2:8" ht="19.95" customHeight="1" x14ac:dyDescent="0.35">
      <c r="B739" s="1"/>
      <c r="C739" s="1"/>
      <c r="D739" s="1"/>
      <c r="E739" s="1"/>
      <c r="F739" s="1"/>
      <c r="G739" s="1"/>
      <c r="H739" s="1"/>
    </row>
    <row r="740" spans="2:8" ht="19.95" customHeight="1" x14ac:dyDescent="0.35">
      <c r="B740" s="1"/>
      <c r="C740" s="1"/>
      <c r="D740" s="1"/>
      <c r="E740" s="1"/>
      <c r="F740" s="1"/>
      <c r="G740" s="1"/>
      <c r="H740" s="1"/>
    </row>
    <row r="741" spans="2:8" ht="19.95" customHeight="1" x14ac:dyDescent="0.35">
      <c r="B741" s="1"/>
      <c r="C741" s="1"/>
      <c r="D741" s="1"/>
      <c r="E741" s="1"/>
      <c r="F741" s="1"/>
      <c r="G741" s="1"/>
      <c r="H741" s="1"/>
    </row>
    <row r="742" spans="2:8" ht="19.95" customHeight="1" x14ac:dyDescent="0.35">
      <c r="B742" s="1"/>
      <c r="C742" s="1"/>
      <c r="D742" s="1"/>
      <c r="E742" s="1"/>
      <c r="F742" s="1"/>
      <c r="G742" s="1"/>
      <c r="H742" s="1"/>
    </row>
    <row r="743" spans="2:8" ht="19.95" customHeight="1" x14ac:dyDescent="0.35">
      <c r="B743" s="1"/>
      <c r="C743" s="1"/>
      <c r="D743" s="1"/>
      <c r="E743" s="1"/>
      <c r="F743" s="1"/>
      <c r="G743" s="1"/>
      <c r="H743" s="1"/>
    </row>
    <row r="744" spans="2:8" ht="19.95" customHeight="1" x14ac:dyDescent="0.35">
      <c r="B744" s="1"/>
      <c r="C744" s="1"/>
      <c r="D744" s="1"/>
      <c r="E744" s="1"/>
      <c r="F744" s="1"/>
      <c r="G744" s="1"/>
      <c r="H744" s="1"/>
    </row>
    <row r="745" spans="2:8" ht="19.95" customHeight="1" x14ac:dyDescent="0.35">
      <c r="B745" s="1"/>
      <c r="C745" s="1"/>
      <c r="D745" s="1"/>
      <c r="E745" s="1"/>
      <c r="F745" s="1"/>
      <c r="G745" s="1"/>
      <c r="H745" s="1"/>
    </row>
    <row r="746" spans="2:8" ht="19.95" customHeight="1" x14ac:dyDescent="0.35">
      <c r="B746" s="1"/>
      <c r="C746" s="1"/>
      <c r="D746" s="1"/>
      <c r="E746" s="1"/>
      <c r="F746" s="1"/>
      <c r="G746" s="1"/>
      <c r="H746" s="1"/>
    </row>
    <row r="747" spans="2:8" ht="19.95" customHeight="1" x14ac:dyDescent="0.35">
      <c r="B747" s="1"/>
      <c r="C747" s="1"/>
      <c r="D747" s="1"/>
      <c r="E747" s="1"/>
      <c r="F747" s="1"/>
      <c r="G747" s="1"/>
      <c r="H747" s="1"/>
    </row>
    <row r="748" spans="2:8" ht="19.95" customHeight="1" x14ac:dyDescent="0.35">
      <c r="B748" s="1"/>
      <c r="C748" s="1"/>
      <c r="D748" s="1"/>
      <c r="E748" s="1"/>
      <c r="F748" s="1"/>
      <c r="G748" s="1"/>
      <c r="H748" s="1"/>
    </row>
    <row r="749" spans="2:8" ht="19.95" customHeight="1" x14ac:dyDescent="0.35">
      <c r="B749" s="1"/>
      <c r="C749" s="1"/>
      <c r="D749" s="1"/>
      <c r="E749" s="1"/>
      <c r="F749" s="1"/>
      <c r="G749" s="1"/>
      <c r="H749" s="1"/>
    </row>
    <row r="750" spans="2:8" ht="19.95" customHeight="1" x14ac:dyDescent="0.35">
      <c r="B750" s="1"/>
      <c r="C750" s="1"/>
      <c r="D750" s="1"/>
      <c r="E750" s="1"/>
      <c r="F750" s="1"/>
      <c r="G750" s="1"/>
      <c r="H750" s="1"/>
    </row>
    <row r="751" spans="2:8" ht="19.95" customHeight="1" x14ac:dyDescent="0.35">
      <c r="B751" s="1"/>
      <c r="C751" s="1"/>
      <c r="D751" s="1"/>
      <c r="E751" s="1"/>
      <c r="F751" s="1"/>
      <c r="G751" s="1"/>
      <c r="H751" s="1"/>
    </row>
    <row r="752" spans="2:8" ht="19.95" customHeight="1" x14ac:dyDescent="0.35">
      <c r="B752" s="1"/>
      <c r="C752" s="1"/>
      <c r="D752" s="1"/>
      <c r="E752" s="1"/>
      <c r="F752" s="1"/>
      <c r="G752" s="1"/>
      <c r="H752" s="1"/>
    </row>
    <row r="753" spans="2:8" ht="19.95" customHeight="1" x14ac:dyDescent="0.35">
      <c r="B753" s="1"/>
      <c r="C753" s="1"/>
      <c r="D753" s="1"/>
      <c r="E753" s="1"/>
      <c r="F753" s="1"/>
      <c r="G753" s="1"/>
      <c r="H753" s="1"/>
    </row>
    <row r="754" spans="2:8" ht="19.95" customHeight="1" x14ac:dyDescent="0.35">
      <c r="B754" s="1"/>
      <c r="C754" s="1"/>
      <c r="D754" s="1"/>
      <c r="E754" s="1"/>
      <c r="F754" s="1"/>
      <c r="G754" s="1"/>
      <c r="H754" s="1"/>
    </row>
    <row r="755" spans="2:8" ht="19.95" customHeight="1" x14ac:dyDescent="0.35">
      <c r="B755" s="1"/>
      <c r="C755" s="1"/>
      <c r="D755" s="1"/>
      <c r="E755" s="1"/>
      <c r="F755" s="1"/>
      <c r="G755" s="1"/>
      <c r="H755" s="1"/>
    </row>
    <row r="756" spans="2:8" ht="19.95" customHeight="1" x14ac:dyDescent="0.35">
      <c r="B756" s="1"/>
      <c r="C756" s="1"/>
      <c r="D756" s="1"/>
      <c r="E756" s="1"/>
      <c r="F756" s="1"/>
      <c r="G756" s="1"/>
      <c r="H756" s="1"/>
    </row>
    <row r="757" spans="2:8" ht="19.95" customHeight="1" x14ac:dyDescent="0.35">
      <c r="B757" s="1"/>
      <c r="C757" s="1"/>
      <c r="D757" s="1"/>
      <c r="E757" s="1"/>
      <c r="F757" s="1"/>
      <c r="G757" s="1"/>
      <c r="H757" s="1"/>
    </row>
    <row r="758" spans="2:8" ht="19.95" customHeight="1" x14ac:dyDescent="0.35">
      <c r="B758" s="1"/>
      <c r="C758" s="1"/>
      <c r="D758" s="1"/>
      <c r="E758" s="1"/>
      <c r="F758" s="1"/>
      <c r="G758" s="1"/>
      <c r="H758" s="1"/>
    </row>
    <row r="759" spans="2:8" ht="19.95" customHeight="1" x14ac:dyDescent="0.35">
      <c r="B759" s="1"/>
      <c r="C759" s="1"/>
      <c r="D759" s="1"/>
      <c r="E759" s="1"/>
      <c r="F759" s="1"/>
      <c r="G759" s="1"/>
      <c r="H759" s="1"/>
    </row>
    <row r="760" spans="2:8" ht="19.95" customHeight="1" x14ac:dyDescent="0.35">
      <c r="B760" s="1"/>
      <c r="C760" s="1"/>
      <c r="D760" s="1"/>
      <c r="E760" s="1"/>
      <c r="F760" s="1"/>
      <c r="G760" s="1"/>
      <c r="H760" s="1"/>
    </row>
    <row r="761" spans="2:8" ht="19.95" customHeight="1" x14ac:dyDescent="0.35">
      <c r="B761" s="1"/>
      <c r="C761" s="1"/>
      <c r="D761" s="1"/>
      <c r="E761" s="1"/>
      <c r="F761" s="1"/>
      <c r="G761" s="1"/>
      <c r="H761" s="1"/>
    </row>
    <row r="762" spans="2:8" ht="19.95" customHeight="1" x14ac:dyDescent="0.35">
      <c r="B762" s="1"/>
      <c r="C762" s="1"/>
      <c r="D762" s="1"/>
      <c r="E762" s="1"/>
      <c r="F762" s="1"/>
      <c r="G762" s="1"/>
      <c r="H762" s="1"/>
    </row>
    <row r="763" spans="2:8" ht="19.95" customHeight="1" x14ac:dyDescent="0.35">
      <c r="B763" s="1"/>
      <c r="C763" s="1"/>
      <c r="D763" s="1"/>
      <c r="E763" s="1"/>
      <c r="F763" s="1"/>
      <c r="G763" s="1"/>
      <c r="H763" s="1"/>
    </row>
    <row r="764" spans="2:8" ht="19.95" customHeight="1" x14ac:dyDescent="0.35">
      <c r="B764" s="1"/>
      <c r="C764" s="1"/>
      <c r="D764" s="1"/>
      <c r="E764" s="1"/>
      <c r="F764" s="1"/>
      <c r="G764" s="1"/>
      <c r="H764" s="1"/>
    </row>
    <row r="765" spans="2:8" ht="19.95" customHeight="1" x14ac:dyDescent="0.35">
      <c r="B765" s="1"/>
      <c r="C765" s="1"/>
      <c r="D765" s="1"/>
      <c r="E765" s="1"/>
      <c r="F765" s="1"/>
      <c r="G765" s="1"/>
      <c r="H765" s="1"/>
    </row>
    <row r="766" spans="2:8" ht="19.95" customHeight="1" x14ac:dyDescent="0.35">
      <c r="B766" s="1"/>
      <c r="C766" s="1"/>
      <c r="D766" s="1"/>
      <c r="E766" s="1"/>
      <c r="F766" s="1"/>
      <c r="G766" s="1"/>
      <c r="H766" s="1"/>
    </row>
    <row r="767" spans="2:8" ht="19.95" customHeight="1" x14ac:dyDescent="0.35">
      <c r="B767" s="1"/>
      <c r="C767" s="1"/>
      <c r="D767" s="1"/>
      <c r="E767" s="1"/>
      <c r="F767" s="1"/>
      <c r="G767" s="1"/>
      <c r="H767" s="1"/>
    </row>
    <row r="768" spans="2:8" ht="19.95" customHeight="1" x14ac:dyDescent="0.35">
      <c r="B768" s="1"/>
      <c r="C768" s="1"/>
      <c r="D768" s="1"/>
      <c r="E768" s="1"/>
      <c r="F768" s="1"/>
      <c r="G768" s="1"/>
      <c r="H768" s="1"/>
    </row>
    <row r="769" spans="2:8" ht="19.95" customHeight="1" x14ac:dyDescent="0.35">
      <c r="B769" s="1"/>
      <c r="C769" s="1"/>
      <c r="D769" s="1"/>
      <c r="E769" s="1"/>
      <c r="F769" s="1"/>
      <c r="G769" s="1"/>
      <c r="H769" s="1"/>
    </row>
    <row r="770" spans="2:8" ht="19.95" customHeight="1" x14ac:dyDescent="0.35">
      <c r="B770" s="1"/>
      <c r="C770" s="1"/>
      <c r="D770" s="1"/>
      <c r="E770" s="1"/>
      <c r="F770" s="1"/>
      <c r="G770" s="1"/>
      <c r="H770" s="1"/>
    </row>
    <row r="771" spans="2:8" ht="19.95" customHeight="1" x14ac:dyDescent="0.35">
      <c r="B771" s="1"/>
      <c r="C771" s="1"/>
      <c r="D771" s="1"/>
      <c r="E771" s="1"/>
      <c r="F771" s="1"/>
      <c r="G771" s="1"/>
      <c r="H771" s="1"/>
    </row>
    <row r="772" spans="2:8" ht="19.95" customHeight="1" x14ac:dyDescent="0.35">
      <c r="B772" s="1"/>
      <c r="C772" s="1"/>
      <c r="D772" s="1"/>
      <c r="E772" s="1"/>
      <c r="F772" s="1"/>
      <c r="G772" s="1"/>
      <c r="H772" s="1"/>
    </row>
    <row r="773" spans="2:8" ht="19.95" customHeight="1" x14ac:dyDescent="0.35">
      <c r="B773" s="1"/>
      <c r="C773" s="1"/>
      <c r="D773" s="1"/>
      <c r="E773" s="1"/>
      <c r="F773" s="1"/>
      <c r="G773" s="1"/>
      <c r="H773" s="1"/>
    </row>
    <row r="774" spans="2:8" ht="19.95" customHeight="1" x14ac:dyDescent="0.35">
      <c r="B774" s="1"/>
      <c r="C774" s="1"/>
      <c r="D774" s="1"/>
      <c r="E774" s="1"/>
      <c r="F774" s="1"/>
      <c r="G774" s="1"/>
      <c r="H774" s="1"/>
    </row>
  </sheetData>
  <sheetProtection sort="0" autoFilter="0" pivotTables="0"/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9" r:id="rId5" name="Button 7">
              <controlPr defaultSize="0" autoFill="0" autoPict="0" macro="[0]!Atualizar">
                <anchor>
                  <from>
                    <xdr:col>7</xdr:col>
                    <xdr:colOff>39471</xdr:colOff>
                    <xdr:row>3</xdr:row>
                    <xdr:rowOff>26314</xdr:rowOff>
                  </from>
                  <to>
                    <xdr:col>8</xdr:col>
                    <xdr:colOff>532852</xdr:colOff>
                    <xdr:row>4</xdr:row>
                    <xdr:rowOff>151304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32">
    <tabColor rgb="FF001C54"/>
  </sheetPr>
  <dimension ref="A1:R42"/>
  <sheetViews>
    <sheetView showGridLines="0" zoomScaleNormal="100" workbookViewId="0">
      <pane xSplit="1" ySplit="6" topLeftCell="B7" activePane="bottomRight" state="frozen"/>
      <selection activeCell="E8" sqref="E8"/>
      <selection pane="topRight" activeCell="E8" sqref="E8"/>
      <selection pane="bottomLeft" activeCell="E8" sqref="E8"/>
      <selection pane="bottomRight" activeCell="T10" sqref="T10"/>
    </sheetView>
  </sheetViews>
  <sheetFormatPr defaultColWidth="9.1796875" defaultRowHeight="30.05" customHeight="1" x14ac:dyDescent="0.35"/>
  <cols>
    <col min="1" max="1" width="0.7265625" style="9" customWidth="1"/>
    <col min="2" max="2" width="6.54296875" style="57" customWidth="1"/>
    <col min="3" max="4" width="16.26953125" style="41" customWidth="1"/>
    <col min="5" max="5" width="20.54296875" style="41" bestFit="1" customWidth="1"/>
    <col min="6" max="6" width="3.26953125" style="9" customWidth="1"/>
    <col min="7" max="7" width="6.54296875" style="57" customWidth="1"/>
    <col min="8" max="8" width="16.453125" style="41" customWidth="1"/>
    <col min="9" max="9" width="16.26953125" style="41" customWidth="1"/>
    <col min="10" max="10" width="20.54296875" style="41" bestFit="1" customWidth="1"/>
    <col min="11" max="11" width="3.26953125" style="9" customWidth="1"/>
    <col min="12" max="12" width="6.54296875" style="57" customWidth="1"/>
    <col min="13" max="14" width="16.26953125" style="41" customWidth="1"/>
    <col min="15" max="15" width="20.54296875" style="41" bestFit="1" customWidth="1"/>
    <col min="16" max="16" width="9.1796875" style="240" customWidth="1"/>
    <col min="17" max="17" width="11.54296875" style="110" hidden="1" customWidth="1"/>
    <col min="18" max="18" width="9.1796875" style="164"/>
    <col min="19" max="16384" width="9.1796875" style="9"/>
  </cols>
  <sheetData>
    <row r="1" spans="1:18" s="13" customFormat="1" ht="25" customHeight="1" x14ac:dyDescent="0.35">
      <c r="B1" s="51"/>
      <c r="C1" s="36"/>
      <c r="D1" s="36"/>
      <c r="E1" s="36"/>
      <c r="G1" s="51"/>
      <c r="H1" s="36"/>
      <c r="I1" s="36"/>
      <c r="J1" s="36"/>
      <c r="L1" s="51"/>
      <c r="M1" s="36"/>
      <c r="N1" s="36"/>
      <c r="O1" s="36"/>
      <c r="P1" s="237"/>
      <c r="Q1" s="114"/>
      <c r="R1" s="32"/>
    </row>
    <row r="2" spans="1:18" s="16" customFormat="1" ht="20.100000000000001" customHeight="1" x14ac:dyDescent="0.35">
      <c r="B2" s="52"/>
      <c r="C2" s="37"/>
      <c r="D2" s="37"/>
      <c r="E2" s="37"/>
      <c r="G2" s="52"/>
      <c r="H2" s="37"/>
      <c r="I2" s="37"/>
      <c r="J2" s="37"/>
      <c r="L2" s="52"/>
      <c r="M2" s="37"/>
      <c r="N2" s="37"/>
      <c r="O2" s="37"/>
      <c r="P2" s="238"/>
      <c r="Q2" s="116"/>
      <c r="R2" s="34"/>
    </row>
    <row r="3" spans="1:18" s="8" customFormat="1" ht="3.75" customHeight="1" x14ac:dyDescent="0.35">
      <c r="A3" s="7"/>
      <c r="B3" s="53"/>
      <c r="C3" s="38"/>
      <c r="D3" s="38"/>
      <c r="E3" s="38"/>
      <c r="G3" s="53"/>
      <c r="H3" s="38"/>
      <c r="I3" s="38"/>
      <c r="J3" s="38"/>
      <c r="L3" s="53"/>
      <c r="M3" s="38"/>
      <c r="N3" s="38"/>
      <c r="O3" s="38"/>
      <c r="P3" s="239"/>
      <c r="Q3" s="124"/>
      <c r="R3" s="7"/>
    </row>
    <row r="4" spans="1:18" s="8" customFormat="1" ht="19.55" customHeight="1" x14ac:dyDescent="0.35">
      <c r="A4" s="7"/>
      <c r="B4" s="597" t="s">
        <v>1190</v>
      </c>
      <c r="C4" s="597"/>
      <c r="D4" s="125" t="str">
        <f>IF(VLOOKUP(Apoio!$O$13,ANO[],2,0)="TOTAL ANO","*",VLOOKUP(Apoio!$O$13,ANO[],2,0))</f>
        <v>*</v>
      </c>
      <c r="E4" s="125" t="str">
        <f>IFERROR(VLOOKUP(Apoio!$O$6,Apoio!B6:$C$17,2,0),"*")</f>
        <v>*</v>
      </c>
      <c r="F4" s="125" t="str">
        <f>IF(VLOOKUP(Apoio!$O$7,EMPRESA[],2,0)="TOTAL EMPRESA","*",VLOOKUP(Apoio!$O$7,EMPRESA[],2,0))</f>
        <v>CENTRO CULTURAL FRANCO-BRASILEIRO ALIANCA FRANCESA DE GOIAS</v>
      </c>
      <c r="G4" s="124" t="str">
        <f>IF(VLOOKUP(Apoio!$O$8,CENTROS_CUSTOS[],2,0)="TOTAL CENTRO DE CUSTOS","*",VLOOKUP(Apoio!$O$8,CENTROS_CUSTOS[],2,0))</f>
        <v>*</v>
      </c>
      <c r="H4" s="594" t="s">
        <v>1102</v>
      </c>
      <c r="I4" s="600"/>
      <c r="J4" s="598" t="str">
        <f>IF(Q6="","Sem preenchimento suficiente",IF(Q6=1,Q6&amp;" lançamento não foi pago em "&amp;E4&amp;" totalizando "&amp;ROUND(Q7,1)&amp;"% das receitas previstas para esse mês.",Q6&amp;" lançamentos não foram pagos em "&amp;E4&amp;" totalizando "&amp;ROUND(Q7,1)&amp;"% das receitas previstas para esse mês."))</f>
        <v>0 lançamentos não foram pagos em * totalizando 0% das receitas previstas para esse mês.</v>
      </c>
      <c r="K4" s="599"/>
      <c r="L4" s="599"/>
      <c r="M4" s="599"/>
      <c r="N4" s="599"/>
      <c r="O4" s="599"/>
      <c r="P4" s="282"/>
      <c r="Q4" s="124">
        <f>Apoio!$O$6</f>
        <v>1</v>
      </c>
      <c r="R4" s="7"/>
    </row>
    <row r="5" spans="1:18" s="8" customFormat="1" ht="3.75" customHeight="1" thickBot="1" x14ac:dyDescent="0.4">
      <c r="A5" s="7"/>
      <c r="B5" s="53"/>
      <c r="D5" s="38"/>
      <c r="E5" s="38"/>
      <c r="G5" s="53"/>
      <c r="H5" s="38"/>
      <c r="I5" s="38"/>
      <c r="J5" s="38"/>
      <c r="L5" s="53"/>
      <c r="M5" s="38"/>
      <c r="N5" s="38"/>
      <c r="O5" s="38"/>
      <c r="P5" s="239"/>
      <c r="Q5" s="124"/>
      <c r="R5" s="7"/>
    </row>
    <row r="6" spans="1:18" ht="30.05" customHeight="1" thickTop="1" thickBot="1" x14ac:dyDescent="0.4">
      <c r="B6" s="54" t="s">
        <v>1140</v>
      </c>
      <c r="C6" s="54" t="s">
        <v>1141</v>
      </c>
      <c r="D6" s="54" t="s">
        <v>1142</v>
      </c>
      <c r="E6" s="54" t="s">
        <v>1143</v>
      </c>
      <c r="G6"/>
      <c r="H6"/>
      <c r="I6"/>
      <c r="J6"/>
      <c r="K6"/>
      <c r="L6"/>
      <c r="M6"/>
      <c r="N6"/>
      <c r="O6"/>
      <c r="Q6" s="110">
        <f>COUNTIFS(Apoio!$AK:$AK,"Não Pago",Apoio!$AJ:$AJ,"Receita",LANÇ_MOV!$AI:$AI,$E$4)</f>
        <v>0</v>
      </c>
    </row>
    <row r="7" spans="1:18" ht="22.05" customHeight="1" thickTop="1" x14ac:dyDescent="0.35">
      <c r="B7" s="55">
        <v>1</v>
      </c>
      <c r="C7" s="122">
        <f>SUMIFS(LANÇ_MOV[VALOR LÍQUIDO],LANÇ_MOV[RECEITA OU DESPESA],C$6,LANÇ_MOV[PAGO OU NÃO],"Não Pago",LANÇ_MOV[DIA VENCIMENTO],$B7,LANÇ_MOV[ANO VENCIMENTO],$D$4,LANÇ_MOV[MÊS VENCIMENTO CORRESPONDENTE],$E$4,LANÇ_MOV[EMPRESA],$F$4,LANÇ_MOV[CENTRO DE CUSTOS],$G$4)</f>
        <v>0</v>
      </c>
      <c r="D7" s="122">
        <f>SUMIFS(LANÇ_MOV[VALOR LÍQUIDO],LANÇ_MOV[RECEITA OU DESPESA],D$6,LANÇ_MOV[PAGO OU NÃO],"Não Pago",LANÇ_MOV[DIA VENCIMENTO],B7,LANÇ_MOV[ANO VENCIMENTO],$D$4,LANÇ_MOV[MÊS VENCIMENTO CORRESPONDENTE],$E$4,LANÇ_MOV[EMPRESA],$F$4,LANÇ_MOV[CENTRO DE CUSTOS],$G$4)</f>
        <v>92114.04</v>
      </c>
      <c r="E7" s="122">
        <f>C7-D7</f>
        <v>-92114.04</v>
      </c>
      <c r="G7"/>
      <c r="H7"/>
      <c r="I7"/>
      <c r="J7"/>
      <c r="K7"/>
      <c r="L7"/>
      <c r="M7"/>
      <c r="N7"/>
      <c r="O7"/>
      <c r="Q7" s="110">
        <f>IFERROR(SUMIFS(Apoio!$Z:$Z,Apoio!$AJ:$AJ,"Receita",Apoio!$AK:$AK,"Não Pago",LANÇ_MOV!$AI:$AI,$E$4)/SUMIFS(Apoio!$Z:$Z,Apoio!$AJ:$AJ,"Receita",LANÇ_MOV!$AI:$AI,$E$4)*100,0)</f>
        <v>0</v>
      </c>
    </row>
    <row r="8" spans="1:18" ht="22.05" customHeight="1" x14ac:dyDescent="0.35">
      <c r="B8" s="56">
        <f>B7+1</f>
        <v>2</v>
      </c>
      <c r="C8" s="122">
        <f>SUMIFS(LANÇ_MOV[VALOR LÍQUIDO],LANÇ_MOV[RECEITA OU DESPESA],C$6,LANÇ_MOV[PAGO OU NÃO],"Não Pago",LANÇ_MOV[DIA VENCIMENTO],$B8,LANÇ_MOV[ANO VENCIMENTO],$D$4,LANÇ_MOV[MÊS VENCIMENTO CORRESPONDENTE],$E$4,LANÇ_MOV[EMPRESA],$F$4,LANÇ_MOV[CENTRO DE CUSTOS],$G$4)</f>
        <v>700.7</v>
      </c>
      <c r="D8" s="122">
        <f>SUMIFS(LANÇ_MOV[VALOR LÍQUIDO],LANÇ_MOV[RECEITA OU DESPESA],D$6,LANÇ_MOV[PAGO OU NÃO],"Não Pago",LANÇ_MOV[DIA VENCIMENTO],B8,LANÇ_MOV[ANO VENCIMENTO],$D$4,LANÇ_MOV[MÊS VENCIMENTO CORRESPONDENTE],$E$4,LANÇ_MOV[EMPRESA],$F$4,LANÇ_MOV[CENTRO DE CUSTOS],$G$4)</f>
        <v>0</v>
      </c>
      <c r="E8" s="122">
        <f t="shared" ref="E8:E17" si="0">C8-D8</f>
        <v>700.7</v>
      </c>
      <c r="G8"/>
      <c r="H8"/>
      <c r="I8"/>
      <c r="J8"/>
      <c r="K8"/>
      <c r="L8"/>
      <c r="M8"/>
      <c r="N8"/>
      <c r="O8"/>
    </row>
    <row r="9" spans="1:18" ht="22.05" customHeight="1" x14ac:dyDescent="0.35">
      <c r="B9" s="56">
        <f t="shared" ref="B9:B37" si="1">B8+1</f>
        <v>3</v>
      </c>
      <c r="C9" s="122">
        <f>SUMIFS(LANÇ_MOV[VALOR LÍQUIDO],LANÇ_MOV[RECEITA OU DESPESA],C$6,LANÇ_MOV[PAGO OU NÃO],"Não Pago",LANÇ_MOV[DIA VENCIMENTO],$B9,LANÇ_MOV[ANO VENCIMENTO],$D$4,LANÇ_MOV[MÊS VENCIMENTO CORRESPONDENTE],$E$4,LANÇ_MOV[EMPRESA],$F$4,LANÇ_MOV[CENTRO DE CUSTOS],$G$4)</f>
        <v>0</v>
      </c>
      <c r="D9" s="122">
        <f>SUMIFS(LANÇ_MOV[VALOR LÍQUIDO],LANÇ_MOV[RECEITA OU DESPESA],D$6,LANÇ_MOV[PAGO OU NÃO],"Não Pago",LANÇ_MOV[DIA VENCIMENTO],B9,LANÇ_MOV[ANO VENCIMENTO],$D$4,LANÇ_MOV[MÊS VENCIMENTO CORRESPONDENTE],$E$4,LANÇ_MOV[EMPRESA],$F$4,LANÇ_MOV[CENTRO DE CUSTOS],$G$4)</f>
        <v>108612.68000000001</v>
      </c>
      <c r="E9" s="122">
        <f t="shared" si="0"/>
        <v>-108612.68000000001</v>
      </c>
      <c r="G9"/>
      <c r="H9"/>
      <c r="I9"/>
      <c r="J9"/>
      <c r="K9"/>
      <c r="L9"/>
      <c r="M9"/>
      <c r="N9"/>
      <c r="O9"/>
    </row>
    <row r="10" spans="1:18" ht="22.05" customHeight="1" x14ac:dyDescent="0.35">
      <c r="B10" s="56">
        <f t="shared" si="1"/>
        <v>4</v>
      </c>
      <c r="C10" s="122">
        <f>SUMIFS(LANÇ_MOV[VALOR LÍQUIDO],LANÇ_MOV[RECEITA OU DESPESA],C$6,LANÇ_MOV[PAGO OU NÃO],"Não Pago",LANÇ_MOV[DIA VENCIMENTO],$B10,LANÇ_MOV[ANO VENCIMENTO],$D$4,LANÇ_MOV[MÊS VENCIMENTO CORRESPONDENTE],$E$4,LANÇ_MOV[EMPRESA],$F$4,LANÇ_MOV[CENTRO DE CUSTOS],$G$4)</f>
        <v>0</v>
      </c>
      <c r="D10" s="122">
        <f>SUMIFS(LANÇ_MOV[VALOR LÍQUIDO],LANÇ_MOV[RECEITA OU DESPESA],D$6,LANÇ_MOV[PAGO OU NÃO],"Não Pago",LANÇ_MOV[DIA VENCIMENTO],B10,LANÇ_MOV[ANO VENCIMENTO],$D$4,LANÇ_MOV[MÊS VENCIMENTO CORRESPONDENTE],$E$4,LANÇ_MOV[EMPRESA],$F$4,LANÇ_MOV[CENTRO DE CUSTOS],$G$4)</f>
        <v>177247.09000000003</v>
      </c>
      <c r="E10" s="122">
        <f t="shared" si="0"/>
        <v>-177247.09000000003</v>
      </c>
      <c r="G10"/>
      <c r="H10"/>
      <c r="I10"/>
      <c r="J10"/>
      <c r="K10"/>
      <c r="L10"/>
      <c r="M10"/>
      <c r="N10"/>
      <c r="O10"/>
    </row>
    <row r="11" spans="1:18" ht="22.05" customHeight="1" x14ac:dyDescent="0.35">
      <c r="B11" s="56">
        <f t="shared" si="1"/>
        <v>5</v>
      </c>
      <c r="C11" s="122">
        <f>SUMIFS(LANÇ_MOV[VALOR LÍQUIDO],LANÇ_MOV[RECEITA OU DESPESA],C$6,LANÇ_MOV[PAGO OU NÃO],"Não Pago",LANÇ_MOV[DIA VENCIMENTO],$B11,LANÇ_MOV[ANO VENCIMENTO],$D$4,LANÇ_MOV[MÊS VENCIMENTO CORRESPONDENTE],$E$4,LANÇ_MOV[EMPRESA],$F$4,LANÇ_MOV[CENTRO DE CUSTOS],$G$4)</f>
        <v>0</v>
      </c>
      <c r="D11" s="122">
        <f>SUMIFS(LANÇ_MOV[VALOR LÍQUIDO],LANÇ_MOV[RECEITA OU DESPESA],D$6,LANÇ_MOV[PAGO OU NÃO],"Não Pago",LANÇ_MOV[DIA VENCIMENTO],B11,LANÇ_MOV[ANO VENCIMENTO],$D$4,LANÇ_MOV[MÊS VENCIMENTO CORRESPONDENTE],$E$4,LANÇ_MOV[EMPRESA],$F$4,LANÇ_MOV[CENTRO DE CUSTOS],$G$4)</f>
        <v>39422.43</v>
      </c>
      <c r="E11" s="122">
        <f t="shared" si="0"/>
        <v>-39422.43</v>
      </c>
      <c r="G11"/>
      <c r="H11"/>
      <c r="I11"/>
      <c r="J11"/>
      <c r="K11"/>
      <c r="L11"/>
      <c r="M11"/>
      <c r="N11"/>
      <c r="O11"/>
    </row>
    <row r="12" spans="1:18" ht="22.05" customHeight="1" x14ac:dyDescent="0.35">
      <c r="B12" s="56">
        <f t="shared" si="1"/>
        <v>6</v>
      </c>
      <c r="C12" s="122">
        <f>SUMIFS(LANÇ_MOV[VALOR LÍQUIDO],LANÇ_MOV[RECEITA OU DESPESA],C$6,LANÇ_MOV[PAGO OU NÃO],"Não Pago",LANÇ_MOV[DIA VENCIMENTO],$B12,LANÇ_MOV[ANO VENCIMENTO],$D$4,LANÇ_MOV[MÊS VENCIMENTO CORRESPONDENTE],$E$4,LANÇ_MOV[EMPRESA],$F$4,LANÇ_MOV[CENTRO DE CUSTOS],$G$4)</f>
        <v>1845</v>
      </c>
      <c r="D12" s="122">
        <f>SUMIFS(LANÇ_MOV[VALOR LÍQUIDO],LANÇ_MOV[RECEITA OU DESPESA],D$6,LANÇ_MOV[PAGO OU NÃO],"Não Pago",LANÇ_MOV[DIA VENCIMENTO],B12,LANÇ_MOV[ANO VENCIMENTO],$D$4,LANÇ_MOV[MÊS VENCIMENTO CORRESPONDENTE],$E$4,LANÇ_MOV[EMPRESA],$F$4,LANÇ_MOV[CENTRO DE CUSTOS],$G$4)</f>
        <v>29601.840000000004</v>
      </c>
      <c r="E12" s="122">
        <f t="shared" si="0"/>
        <v>-27756.840000000004</v>
      </c>
      <c r="G12"/>
      <c r="H12"/>
      <c r="I12"/>
      <c r="J12"/>
      <c r="K12"/>
      <c r="L12"/>
      <c r="M12"/>
      <c r="N12"/>
      <c r="O12"/>
    </row>
    <row r="13" spans="1:18" ht="22.05" customHeight="1" x14ac:dyDescent="0.35">
      <c r="B13" s="56">
        <f t="shared" si="1"/>
        <v>7</v>
      </c>
      <c r="C13" s="122">
        <f>SUMIFS(LANÇ_MOV[VALOR LÍQUIDO],LANÇ_MOV[RECEITA OU DESPESA],C$6,LANÇ_MOV[PAGO OU NÃO],"Não Pago",LANÇ_MOV[DIA VENCIMENTO],$B13,LANÇ_MOV[ANO VENCIMENTO],$D$4,LANÇ_MOV[MÊS VENCIMENTO CORRESPONDENTE],$E$4,LANÇ_MOV[EMPRESA],$F$4,LANÇ_MOV[CENTRO DE CUSTOS],$G$4)</f>
        <v>0</v>
      </c>
      <c r="D13" s="122">
        <f>SUMIFS(LANÇ_MOV[VALOR LÍQUIDO],LANÇ_MOV[RECEITA OU DESPESA],D$6,LANÇ_MOV[PAGO OU NÃO],"Não Pago",LANÇ_MOV[DIA VENCIMENTO],B13,LANÇ_MOV[ANO VENCIMENTO],$D$4,LANÇ_MOV[MÊS VENCIMENTO CORRESPONDENTE],$E$4,LANÇ_MOV[EMPRESA],$F$4,LANÇ_MOV[CENTRO DE CUSTOS],$G$4)</f>
        <v>216129.72</v>
      </c>
      <c r="E13" s="122">
        <f t="shared" si="0"/>
        <v>-216129.72</v>
      </c>
      <c r="G13"/>
      <c r="H13"/>
      <c r="I13"/>
      <c r="J13"/>
      <c r="K13"/>
      <c r="L13"/>
      <c r="M13"/>
      <c r="N13"/>
      <c r="O13"/>
    </row>
    <row r="14" spans="1:18" ht="22.05" customHeight="1" x14ac:dyDescent="0.35">
      <c r="B14" s="56">
        <f t="shared" si="1"/>
        <v>8</v>
      </c>
      <c r="C14" s="122">
        <f>SUMIFS(LANÇ_MOV[VALOR LÍQUIDO],LANÇ_MOV[RECEITA OU DESPESA],C$6,LANÇ_MOV[PAGO OU NÃO],"Não Pago",LANÇ_MOV[DIA VENCIMENTO],$B14,LANÇ_MOV[ANO VENCIMENTO],$D$4,LANÇ_MOV[MÊS VENCIMENTO CORRESPONDENTE],$E$4,LANÇ_MOV[EMPRESA],$F$4,LANÇ_MOV[CENTRO DE CUSTOS],$G$4)</f>
        <v>0</v>
      </c>
      <c r="D14" s="122">
        <f>SUMIFS(LANÇ_MOV[VALOR LÍQUIDO],LANÇ_MOV[RECEITA OU DESPESA],D$6,LANÇ_MOV[PAGO OU NÃO],"Não Pago",LANÇ_MOV[DIA VENCIMENTO],B14,LANÇ_MOV[ANO VENCIMENTO],$D$4,LANÇ_MOV[MÊS VENCIMENTO CORRESPONDENTE],$E$4,LANÇ_MOV[EMPRESA],$F$4,LANÇ_MOV[CENTRO DE CUSTOS],$G$4)</f>
        <v>0</v>
      </c>
      <c r="E14" s="122">
        <f t="shared" si="0"/>
        <v>0</v>
      </c>
      <c r="G14"/>
      <c r="H14"/>
      <c r="I14"/>
      <c r="J14"/>
      <c r="K14"/>
      <c r="L14"/>
      <c r="M14"/>
      <c r="N14"/>
      <c r="O14"/>
    </row>
    <row r="15" spans="1:18" ht="22.05" customHeight="1" x14ac:dyDescent="0.35">
      <c r="B15" s="56">
        <f t="shared" si="1"/>
        <v>9</v>
      </c>
      <c r="C15" s="122">
        <f>SUMIFS(LANÇ_MOV[VALOR LÍQUIDO],LANÇ_MOV[RECEITA OU DESPESA],C$6,LANÇ_MOV[PAGO OU NÃO],"Não Pago",LANÇ_MOV[DIA VENCIMENTO],$B15,LANÇ_MOV[ANO VENCIMENTO],$D$4,LANÇ_MOV[MÊS VENCIMENTO CORRESPONDENTE],$E$4,LANÇ_MOV[EMPRESA],$F$4,LANÇ_MOV[CENTRO DE CUSTOS],$G$4)</f>
        <v>0</v>
      </c>
      <c r="D15" s="122">
        <f>SUMIFS(LANÇ_MOV[VALOR LÍQUIDO],LANÇ_MOV[RECEITA OU DESPESA],D$6,LANÇ_MOV[PAGO OU NÃO],"Não Pago",LANÇ_MOV[DIA VENCIMENTO],B15,LANÇ_MOV[ANO VENCIMENTO],$D$4,LANÇ_MOV[MÊS VENCIMENTO CORRESPONDENTE],$E$4,LANÇ_MOV[EMPRESA],$F$4,LANÇ_MOV[CENTRO DE CUSTOS],$G$4)</f>
        <v>3265.54</v>
      </c>
      <c r="E15" s="122">
        <f t="shared" si="0"/>
        <v>-3265.54</v>
      </c>
      <c r="G15"/>
      <c r="H15"/>
      <c r="I15"/>
      <c r="J15"/>
      <c r="K15"/>
      <c r="L15"/>
      <c r="M15"/>
      <c r="N15"/>
      <c r="O15"/>
    </row>
    <row r="16" spans="1:18" ht="22.05" customHeight="1" x14ac:dyDescent="0.35">
      <c r="B16" s="56">
        <f t="shared" si="1"/>
        <v>10</v>
      </c>
      <c r="C16" s="122">
        <f>SUMIFS(LANÇ_MOV[VALOR LÍQUIDO],LANÇ_MOV[RECEITA OU DESPESA],C$6,LANÇ_MOV[PAGO OU NÃO],"Não Pago",LANÇ_MOV[DIA VENCIMENTO],$B16,LANÇ_MOV[ANO VENCIMENTO],$D$4,LANÇ_MOV[MÊS VENCIMENTO CORRESPONDENTE],$E$4,LANÇ_MOV[EMPRESA],$F$4,LANÇ_MOV[CENTRO DE CUSTOS],$G$4)</f>
        <v>25055.460000000003</v>
      </c>
      <c r="D16" s="122">
        <f>SUMIFS(LANÇ_MOV[VALOR LÍQUIDO],LANÇ_MOV[RECEITA OU DESPESA],D$6,LANÇ_MOV[PAGO OU NÃO],"Não Pago",LANÇ_MOV[DIA VENCIMENTO],B16,LANÇ_MOV[ANO VENCIMENTO],$D$4,LANÇ_MOV[MÊS VENCIMENTO CORRESPONDENTE],$E$4,LANÇ_MOV[EMPRESA],$F$4,LANÇ_MOV[CENTRO DE CUSTOS],$G$4)</f>
        <v>16321.09</v>
      </c>
      <c r="E16" s="122">
        <f t="shared" si="0"/>
        <v>8734.3700000000026</v>
      </c>
      <c r="G16"/>
      <c r="H16"/>
      <c r="I16"/>
      <c r="J16"/>
      <c r="K16"/>
      <c r="L16"/>
      <c r="M16"/>
      <c r="N16"/>
      <c r="O16"/>
    </row>
    <row r="17" spans="2:15" ht="22.05" customHeight="1" x14ac:dyDescent="0.35">
      <c r="B17" s="56">
        <f t="shared" si="1"/>
        <v>11</v>
      </c>
      <c r="C17" s="122">
        <f>SUMIFS(LANÇ_MOV[VALOR LÍQUIDO],LANÇ_MOV[RECEITA OU DESPESA],C$6,LANÇ_MOV[PAGO OU NÃO],"Não Pago",LANÇ_MOV[DIA VENCIMENTO],$B17,LANÇ_MOV[ANO VENCIMENTO],$D$4,LANÇ_MOV[MÊS VENCIMENTO CORRESPONDENTE],$E$4,LANÇ_MOV[EMPRESA],$F$4,LANÇ_MOV[CENTRO DE CUSTOS],$G$4)</f>
        <v>0</v>
      </c>
      <c r="D17" s="122">
        <f>SUMIFS(LANÇ_MOV[VALOR LÍQUIDO],LANÇ_MOV[RECEITA OU DESPESA],D$6,LANÇ_MOV[PAGO OU NÃO],"Não Pago",LANÇ_MOV[DIA VENCIMENTO],B17,LANÇ_MOV[ANO VENCIMENTO],$D$4,LANÇ_MOV[MÊS VENCIMENTO CORRESPONDENTE],$E$4,LANÇ_MOV[EMPRESA],$F$4,LANÇ_MOV[CENTRO DE CUSTOS],$G$4)</f>
        <v>667.95</v>
      </c>
      <c r="E17" s="122">
        <f t="shared" si="0"/>
        <v>-667.95</v>
      </c>
      <c r="G17"/>
      <c r="H17"/>
      <c r="I17"/>
      <c r="J17"/>
      <c r="K17"/>
      <c r="L17"/>
      <c r="M17"/>
      <c r="N17"/>
      <c r="O17"/>
    </row>
    <row r="18" spans="2:15" ht="22.05" customHeight="1" x14ac:dyDescent="0.35">
      <c r="B18" s="56">
        <f t="shared" si="1"/>
        <v>12</v>
      </c>
      <c r="C18" s="122">
        <f>SUMIFS(LANÇ_MOV[VALOR LÍQUIDO],LANÇ_MOV[RECEITA OU DESPESA],C$6,LANÇ_MOV[PAGO OU NÃO],"Não Pago",LANÇ_MOV[DIA VENCIMENTO],$B18,LANÇ_MOV[ANO VENCIMENTO],$D$4,LANÇ_MOV[MÊS VENCIMENTO CORRESPONDENTE],$E$4,LANÇ_MOV[EMPRESA],$F$4,LANÇ_MOV[CENTRO DE CUSTOS],$G$4)</f>
        <v>0</v>
      </c>
      <c r="D18" s="122">
        <f>SUMIFS(LANÇ_MOV[VALOR LÍQUIDO],LANÇ_MOV[RECEITA OU DESPESA],D$6,LANÇ_MOV[PAGO OU NÃO],"Não Pago",LANÇ_MOV[DIA VENCIMENTO],B18,LANÇ_MOV[ANO VENCIMENTO],$D$4,LANÇ_MOV[MÊS VENCIMENTO CORRESPONDENTE],$E$4,LANÇ_MOV[EMPRESA],$F$4,LANÇ_MOV[CENTRO DE CUSTOS],$G$4)</f>
        <v>369266.04</v>
      </c>
      <c r="E18" s="122">
        <f t="shared" ref="E18:E28" si="2">C18-D18</f>
        <v>-369266.04</v>
      </c>
      <c r="G18"/>
      <c r="H18"/>
      <c r="I18"/>
      <c r="J18"/>
      <c r="K18"/>
      <c r="L18"/>
      <c r="M18"/>
      <c r="N18"/>
      <c r="O18"/>
    </row>
    <row r="19" spans="2:15" ht="22.05" customHeight="1" x14ac:dyDescent="0.35">
      <c r="B19" s="56">
        <f t="shared" si="1"/>
        <v>13</v>
      </c>
      <c r="C19" s="122">
        <f>SUMIFS(LANÇ_MOV[VALOR LÍQUIDO],LANÇ_MOV[RECEITA OU DESPESA],C$6,LANÇ_MOV[PAGO OU NÃO],"Não Pago",LANÇ_MOV[DIA VENCIMENTO],$B19,LANÇ_MOV[ANO VENCIMENTO],$D$4,LANÇ_MOV[MÊS VENCIMENTO CORRESPONDENTE],$E$4,LANÇ_MOV[EMPRESA],$F$4,LANÇ_MOV[CENTRO DE CUSTOS],$G$4)</f>
        <v>0</v>
      </c>
      <c r="D19" s="122">
        <f>SUMIFS(LANÇ_MOV[VALOR LÍQUIDO],LANÇ_MOV[RECEITA OU DESPESA],D$6,LANÇ_MOV[PAGO OU NÃO],"Não Pago",LANÇ_MOV[DIA VENCIMENTO],B19,LANÇ_MOV[ANO VENCIMENTO],$D$4,LANÇ_MOV[MÊS VENCIMENTO CORRESPONDENTE],$E$4,LANÇ_MOV[EMPRESA],$F$4,LANÇ_MOV[CENTRO DE CUSTOS],$G$4)</f>
        <v>89181.17</v>
      </c>
      <c r="E19" s="122">
        <f t="shared" si="2"/>
        <v>-89181.17</v>
      </c>
      <c r="G19"/>
      <c r="H19"/>
      <c r="I19"/>
      <c r="J19"/>
      <c r="K19"/>
      <c r="L19"/>
      <c r="M19"/>
      <c r="N19"/>
      <c r="O19"/>
    </row>
    <row r="20" spans="2:15" ht="22.05" customHeight="1" x14ac:dyDescent="0.35">
      <c r="B20" s="56">
        <f t="shared" si="1"/>
        <v>14</v>
      </c>
      <c r="C20" s="122">
        <f>SUMIFS(LANÇ_MOV[VALOR LÍQUIDO],LANÇ_MOV[RECEITA OU DESPESA],C$6,LANÇ_MOV[PAGO OU NÃO],"Não Pago",LANÇ_MOV[DIA VENCIMENTO],$B20,LANÇ_MOV[ANO VENCIMENTO],$D$4,LANÇ_MOV[MÊS VENCIMENTO CORRESPONDENTE],$E$4,LANÇ_MOV[EMPRESA],$F$4,LANÇ_MOV[CENTRO DE CUSTOS],$G$4)</f>
        <v>0</v>
      </c>
      <c r="D20" s="122">
        <f>SUMIFS(LANÇ_MOV[VALOR LÍQUIDO],LANÇ_MOV[RECEITA OU DESPESA],D$6,LANÇ_MOV[PAGO OU NÃO],"Não Pago",LANÇ_MOV[DIA VENCIMENTO],B20,LANÇ_MOV[ANO VENCIMENTO],$D$4,LANÇ_MOV[MÊS VENCIMENTO CORRESPONDENTE],$E$4,LANÇ_MOV[EMPRESA],$F$4,LANÇ_MOV[CENTRO DE CUSTOS],$G$4)</f>
        <v>0</v>
      </c>
      <c r="E20" s="122">
        <f t="shared" si="2"/>
        <v>0</v>
      </c>
      <c r="G20"/>
      <c r="H20"/>
      <c r="I20"/>
      <c r="J20"/>
      <c r="K20"/>
      <c r="L20"/>
      <c r="M20"/>
      <c r="N20"/>
      <c r="O20"/>
    </row>
    <row r="21" spans="2:15" ht="22.05" customHeight="1" x14ac:dyDescent="0.35">
      <c r="B21" s="56">
        <f t="shared" si="1"/>
        <v>15</v>
      </c>
      <c r="C21" s="122">
        <f>SUMIFS(LANÇ_MOV[VALOR LÍQUIDO],LANÇ_MOV[RECEITA OU DESPESA],C$6,LANÇ_MOV[PAGO OU NÃO],"Não Pago",LANÇ_MOV[DIA VENCIMENTO],$B21,LANÇ_MOV[ANO VENCIMENTO],$D$4,LANÇ_MOV[MÊS VENCIMENTO CORRESPONDENTE],$E$4,LANÇ_MOV[EMPRESA],$F$4,LANÇ_MOV[CENTRO DE CUSTOS],$G$4)</f>
        <v>0</v>
      </c>
      <c r="D21" s="122">
        <f>SUMIFS(LANÇ_MOV[VALOR LÍQUIDO],LANÇ_MOV[RECEITA OU DESPESA],D$6,LANÇ_MOV[PAGO OU NÃO],"Não Pago",LANÇ_MOV[DIA VENCIMENTO],B21,LANÇ_MOV[ANO VENCIMENTO],$D$4,LANÇ_MOV[MÊS VENCIMENTO CORRESPONDENTE],$E$4,LANÇ_MOV[EMPRESA],$F$4,LANÇ_MOV[CENTRO DE CUSTOS],$G$4)</f>
        <v>1026</v>
      </c>
      <c r="E21" s="122">
        <f t="shared" si="2"/>
        <v>-1026</v>
      </c>
      <c r="G21"/>
      <c r="H21"/>
      <c r="I21"/>
      <c r="J21"/>
      <c r="K21"/>
      <c r="L21"/>
      <c r="M21"/>
      <c r="N21"/>
      <c r="O21"/>
    </row>
    <row r="22" spans="2:15" ht="22.05" customHeight="1" x14ac:dyDescent="0.35">
      <c r="B22" s="56">
        <f t="shared" si="1"/>
        <v>16</v>
      </c>
      <c r="C22" s="122">
        <f>SUMIFS(LANÇ_MOV[VALOR LÍQUIDO],LANÇ_MOV[RECEITA OU DESPESA],C$6,LANÇ_MOV[PAGO OU NÃO],"Não Pago",LANÇ_MOV[DIA VENCIMENTO],$B22,LANÇ_MOV[ANO VENCIMENTO],$D$4,LANÇ_MOV[MÊS VENCIMENTO CORRESPONDENTE],$E$4,LANÇ_MOV[EMPRESA],$F$4,LANÇ_MOV[CENTRO DE CUSTOS],$G$4)</f>
        <v>0</v>
      </c>
      <c r="D22" s="122">
        <f>SUMIFS(LANÇ_MOV[VALOR LÍQUIDO],LANÇ_MOV[RECEITA OU DESPESA],D$6,LANÇ_MOV[PAGO OU NÃO],"Não Pago",LANÇ_MOV[DIA VENCIMENTO],B22,LANÇ_MOV[ANO VENCIMENTO],$D$4,LANÇ_MOV[MÊS VENCIMENTO CORRESPONDENTE],$E$4,LANÇ_MOV[EMPRESA],$F$4,LANÇ_MOV[CENTRO DE CUSTOS],$G$4)</f>
        <v>1128.3499999999999</v>
      </c>
      <c r="E22" s="122">
        <f t="shared" si="2"/>
        <v>-1128.3499999999999</v>
      </c>
      <c r="G22"/>
      <c r="H22"/>
      <c r="I22"/>
      <c r="J22"/>
      <c r="K22"/>
      <c r="L22"/>
      <c r="M22"/>
      <c r="N22"/>
      <c r="O22"/>
    </row>
    <row r="23" spans="2:15" ht="22.05" customHeight="1" x14ac:dyDescent="0.35">
      <c r="B23" s="56">
        <f t="shared" si="1"/>
        <v>17</v>
      </c>
      <c r="C23" s="122">
        <f>SUMIFS(LANÇ_MOV[VALOR LÍQUIDO],LANÇ_MOV[RECEITA OU DESPESA],C$6,LANÇ_MOV[PAGO OU NÃO],"Não Pago",LANÇ_MOV[DIA VENCIMENTO],$B23,LANÇ_MOV[ANO VENCIMENTO],$D$4,LANÇ_MOV[MÊS VENCIMENTO CORRESPONDENTE],$E$4,LANÇ_MOV[EMPRESA],$F$4,LANÇ_MOV[CENTRO DE CUSTOS],$G$4)</f>
        <v>0</v>
      </c>
      <c r="D23" s="122">
        <f>SUMIFS(LANÇ_MOV[VALOR LÍQUIDO],LANÇ_MOV[RECEITA OU DESPESA],D$6,LANÇ_MOV[PAGO OU NÃO],"Não Pago",LANÇ_MOV[DIA VENCIMENTO],B23,LANÇ_MOV[ANO VENCIMENTO],$D$4,LANÇ_MOV[MÊS VENCIMENTO CORRESPONDENTE],$E$4,LANÇ_MOV[EMPRESA],$F$4,LANÇ_MOV[CENTRO DE CUSTOS],$G$4)</f>
        <v>2922.3800000000006</v>
      </c>
      <c r="E23" s="122">
        <f t="shared" si="2"/>
        <v>-2922.3800000000006</v>
      </c>
      <c r="G23"/>
      <c r="H23"/>
      <c r="I23"/>
      <c r="J23"/>
      <c r="K23"/>
      <c r="L23"/>
      <c r="M23"/>
      <c r="N23"/>
      <c r="O23"/>
    </row>
    <row r="24" spans="2:15" ht="22.05" customHeight="1" x14ac:dyDescent="0.35">
      <c r="B24" s="56">
        <f t="shared" si="1"/>
        <v>18</v>
      </c>
      <c r="C24" s="122">
        <f>SUMIFS(LANÇ_MOV[VALOR LÍQUIDO],LANÇ_MOV[RECEITA OU DESPESA],C$6,LANÇ_MOV[PAGO OU NÃO],"Não Pago",LANÇ_MOV[DIA VENCIMENTO],$B24,LANÇ_MOV[ANO VENCIMENTO],$D$4,LANÇ_MOV[MÊS VENCIMENTO CORRESPONDENTE],$E$4,LANÇ_MOV[EMPRESA],$F$4,LANÇ_MOV[CENTRO DE CUSTOS],$G$4)</f>
        <v>0</v>
      </c>
      <c r="D24" s="122">
        <f>SUMIFS(LANÇ_MOV[VALOR LÍQUIDO],LANÇ_MOV[RECEITA OU DESPESA],D$6,LANÇ_MOV[PAGO OU NÃO],"Não Pago",LANÇ_MOV[DIA VENCIMENTO],B24,LANÇ_MOV[ANO VENCIMENTO],$D$4,LANÇ_MOV[MÊS VENCIMENTO CORRESPONDENTE],$E$4,LANÇ_MOV[EMPRESA],$F$4,LANÇ_MOV[CENTRO DE CUSTOS],$G$4)</f>
        <v>8714.2000000000007</v>
      </c>
      <c r="E24" s="122">
        <f t="shared" si="2"/>
        <v>-8714.2000000000007</v>
      </c>
      <c r="G24"/>
      <c r="H24"/>
      <c r="I24"/>
      <c r="J24"/>
      <c r="K24"/>
      <c r="L24"/>
      <c r="M24"/>
      <c r="N24"/>
      <c r="O24"/>
    </row>
    <row r="25" spans="2:15" ht="22.05" customHeight="1" x14ac:dyDescent="0.35">
      <c r="B25" s="56">
        <f t="shared" si="1"/>
        <v>19</v>
      </c>
      <c r="C25" s="122">
        <f>SUMIFS(LANÇ_MOV[VALOR LÍQUIDO],LANÇ_MOV[RECEITA OU DESPESA],C$6,LANÇ_MOV[PAGO OU NÃO],"Não Pago",LANÇ_MOV[DIA VENCIMENTO],$B25,LANÇ_MOV[ANO VENCIMENTO],$D$4,LANÇ_MOV[MÊS VENCIMENTO CORRESPONDENTE],$E$4,LANÇ_MOV[EMPRESA],$F$4,LANÇ_MOV[CENTRO DE CUSTOS],$G$4)</f>
        <v>0</v>
      </c>
      <c r="D25" s="122">
        <f>SUMIFS(LANÇ_MOV[VALOR LÍQUIDO],LANÇ_MOV[RECEITA OU DESPESA],D$6,LANÇ_MOV[PAGO OU NÃO],"Não Pago",LANÇ_MOV[DIA VENCIMENTO],B25,LANÇ_MOV[ANO VENCIMENTO],$D$4,LANÇ_MOV[MÊS VENCIMENTO CORRESPONDENTE],$E$4,LANÇ_MOV[EMPRESA],$F$4,LANÇ_MOV[CENTRO DE CUSTOS],$G$4)</f>
        <v>19514.86</v>
      </c>
      <c r="E25" s="122">
        <f t="shared" si="2"/>
        <v>-19514.86</v>
      </c>
      <c r="G25"/>
      <c r="H25"/>
      <c r="I25"/>
      <c r="J25"/>
      <c r="K25"/>
      <c r="L25"/>
      <c r="M25"/>
      <c r="N25"/>
      <c r="O25"/>
    </row>
    <row r="26" spans="2:15" ht="22.05" customHeight="1" x14ac:dyDescent="0.35">
      <c r="B26" s="56">
        <f t="shared" si="1"/>
        <v>20</v>
      </c>
      <c r="C26" s="122">
        <f>SUMIFS(LANÇ_MOV[VALOR LÍQUIDO],LANÇ_MOV[RECEITA OU DESPESA],C$6,LANÇ_MOV[PAGO OU NÃO],"Não Pago",LANÇ_MOV[DIA VENCIMENTO],$B26,LANÇ_MOV[ANO VENCIMENTO],$D$4,LANÇ_MOV[MÊS VENCIMENTO CORRESPONDENTE],$E$4,LANÇ_MOV[EMPRESA],$F$4,LANÇ_MOV[CENTRO DE CUSTOS],$G$4)</f>
        <v>0</v>
      </c>
      <c r="D26" s="122">
        <f>SUMIFS(LANÇ_MOV[VALOR LÍQUIDO],LANÇ_MOV[RECEITA OU DESPESA],D$6,LANÇ_MOV[PAGO OU NÃO],"Não Pago",LANÇ_MOV[DIA VENCIMENTO],B26,LANÇ_MOV[ANO VENCIMENTO],$D$4,LANÇ_MOV[MÊS VENCIMENTO CORRESPONDENTE],$E$4,LANÇ_MOV[EMPRESA],$F$4,LANÇ_MOV[CENTRO DE CUSTOS],$G$4)</f>
        <v>177287.65000000002</v>
      </c>
      <c r="E26" s="122">
        <f t="shared" si="2"/>
        <v>-177287.65000000002</v>
      </c>
      <c r="G26"/>
      <c r="H26"/>
      <c r="I26"/>
      <c r="J26"/>
      <c r="K26"/>
      <c r="L26"/>
      <c r="M26"/>
      <c r="N26"/>
      <c r="O26"/>
    </row>
    <row r="27" spans="2:15" ht="22.05" customHeight="1" x14ac:dyDescent="0.35">
      <c r="B27" s="56">
        <f t="shared" si="1"/>
        <v>21</v>
      </c>
      <c r="C27" s="122">
        <f>SUMIFS(LANÇ_MOV[VALOR LÍQUIDO],LANÇ_MOV[RECEITA OU DESPESA],C$6,LANÇ_MOV[PAGO OU NÃO],"Não Pago",LANÇ_MOV[DIA VENCIMENTO],$B27,LANÇ_MOV[ANO VENCIMENTO],$D$4,LANÇ_MOV[MÊS VENCIMENTO CORRESPONDENTE],$E$4,LANÇ_MOV[EMPRESA],$F$4,LANÇ_MOV[CENTRO DE CUSTOS],$G$4)</f>
        <v>0</v>
      </c>
      <c r="D27" s="122">
        <f>SUMIFS(LANÇ_MOV[VALOR LÍQUIDO],LANÇ_MOV[RECEITA OU DESPESA],D$6,LANÇ_MOV[PAGO OU NÃO],"Não Pago",LANÇ_MOV[DIA VENCIMENTO],B27,LANÇ_MOV[ANO VENCIMENTO],$D$4,LANÇ_MOV[MÊS VENCIMENTO CORRESPONDENTE],$E$4,LANÇ_MOV[EMPRESA],$F$4,LANÇ_MOV[CENTRO DE CUSTOS],$G$4)</f>
        <v>1619.2600000000002</v>
      </c>
      <c r="E27" s="122">
        <f t="shared" si="2"/>
        <v>-1619.2600000000002</v>
      </c>
      <c r="G27"/>
      <c r="H27"/>
      <c r="I27"/>
      <c r="J27"/>
      <c r="K27"/>
      <c r="L27"/>
      <c r="M27"/>
      <c r="N27"/>
      <c r="O27"/>
    </row>
    <row r="28" spans="2:15" ht="22.05" customHeight="1" x14ac:dyDescent="0.35">
      <c r="B28" s="56">
        <f t="shared" si="1"/>
        <v>22</v>
      </c>
      <c r="C28" s="122">
        <f>SUMIFS(LANÇ_MOV[VALOR LÍQUIDO],LANÇ_MOV[RECEITA OU DESPESA],C$6,LANÇ_MOV[PAGO OU NÃO],"Não Pago",LANÇ_MOV[DIA VENCIMENTO],$B28,LANÇ_MOV[ANO VENCIMENTO],$D$4,LANÇ_MOV[MÊS VENCIMENTO CORRESPONDENTE],$E$4,LANÇ_MOV[EMPRESA],$F$4,LANÇ_MOV[CENTRO DE CUSTOS],$G$4)</f>
        <v>0</v>
      </c>
      <c r="D28" s="122">
        <f>SUMIFS(LANÇ_MOV[VALOR LÍQUIDO],LANÇ_MOV[RECEITA OU DESPESA],D$6,LANÇ_MOV[PAGO OU NÃO],"Não Pago",LANÇ_MOV[DIA VENCIMENTO],B28,LANÇ_MOV[ANO VENCIMENTO],$D$4,LANÇ_MOV[MÊS VENCIMENTO CORRESPONDENTE],$E$4,LANÇ_MOV[EMPRESA],$F$4,LANÇ_MOV[CENTRO DE CUSTOS],$G$4)</f>
        <v>21990.9</v>
      </c>
      <c r="E28" s="122">
        <f t="shared" si="2"/>
        <v>-21990.9</v>
      </c>
      <c r="G28"/>
      <c r="H28"/>
      <c r="I28"/>
      <c r="J28"/>
      <c r="K28"/>
      <c r="L28"/>
      <c r="M28"/>
      <c r="N28"/>
      <c r="O28"/>
    </row>
    <row r="29" spans="2:15" ht="22.05" customHeight="1" x14ac:dyDescent="0.35">
      <c r="B29" s="56">
        <f t="shared" si="1"/>
        <v>23</v>
      </c>
      <c r="C29" s="122">
        <f>SUMIFS(LANÇ_MOV[VALOR LÍQUIDO],LANÇ_MOV[RECEITA OU DESPESA],C$6,LANÇ_MOV[PAGO OU NÃO],"Não Pago",LANÇ_MOV[DIA VENCIMENTO],$B29,LANÇ_MOV[ANO VENCIMENTO],$D$4,LANÇ_MOV[MÊS VENCIMENTO CORRESPONDENTE],$E$4,LANÇ_MOV[EMPRESA],$F$4,LANÇ_MOV[CENTRO DE CUSTOS],$G$4)</f>
        <v>0</v>
      </c>
      <c r="D29" s="122">
        <f>SUMIFS(LANÇ_MOV[VALOR LÍQUIDO],LANÇ_MOV[RECEITA OU DESPESA],D$6,LANÇ_MOV[PAGO OU NÃO],"Não Pago",LANÇ_MOV[DIA VENCIMENTO],B29,LANÇ_MOV[ANO VENCIMENTO],$D$4,LANÇ_MOV[MÊS VENCIMENTO CORRESPONDENTE],$E$4,LANÇ_MOV[EMPRESA],$F$4,LANÇ_MOV[CENTRO DE CUSTOS],$G$4)</f>
        <v>212</v>
      </c>
      <c r="E29" s="122">
        <f t="shared" ref="E29:E37" si="3">C29-D29</f>
        <v>-212</v>
      </c>
      <c r="G29"/>
      <c r="H29"/>
      <c r="I29"/>
      <c r="J29"/>
      <c r="K29"/>
      <c r="L29"/>
      <c r="M29"/>
      <c r="N29"/>
      <c r="O29"/>
    </row>
    <row r="30" spans="2:15" ht="22.05" customHeight="1" x14ac:dyDescent="0.35">
      <c r="B30" s="56">
        <f t="shared" si="1"/>
        <v>24</v>
      </c>
      <c r="C30" s="122">
        <f>SUMIFS(LANÇ_MOV[VALOR LÍQUIDO],LANÇ_MOV[RECEITA OU DESPESA],C$6,LANÇ_MOV[PAGO OU NÃO],"Não Pago",LANÇ_MOV[DIA VENCIMENTO],$B30,LANÇ_MOV[ANO VENCIMENTO],$D$4,LANÇ_MOV[MÊS VENCIMENTO CORRESPONDENTE],$E$4,LANÇ_MOV[EMPRESA],$F$4,LANÇ_MOV[CENTRO DE CUSTOS],$G$4)</f>
        <v>0</v>
      </c>
      <c r="D30" s="122">
        <f>SUMIFS(LANÇ_MOV[VALOR LÍQUIDO],LANÇ_MOV[RECEITA OU DESPESA],D$6,LANÇ_MOV[PAGO OU NÃO],"Não Pago",LANÇ_MOV[DIA VENCIMENTO],B30,LANÇ_MOV[ANO VENCIMENTO],$D$4,LANÇ_MOV[MÊS VENCIMENTO CORRESPONDENTE],$E$4,LANÇ_MOV[EMPRESA],$F$4,LANÇ_MOV[CENTRO DE CUSTOS],$G$4)</f>
        <v>408.84000000000003</v>
      </c>
      <c r="E30" s="122">
        <f t="shared" si="3"/>
        <v>-408.84000000000003</v>
      </c>
      <c r="G30"/>
      <c r="H30"/>
      <c r="I30"/>
      <c r="J30"/>
      <c r="K30"/>
      <c r="L30"/>
      <c r="M30"/>
      <c r="N30"/>
      <c r="O30"/>
    </row>
    <row r="31" spans="2:15" ht="22.05" customHeight="1" x14ac:dyDescent="0.35">
      <c r="B31" s="56">
        <f t="shared" si="1"/>
        <v>25</v>
      </c>
      <c r="C31" s="122">
        <f>SUMIFS(LANÇ_MOV[VALOR LÍQUIDO],LANÇ_MOV[RECEITA OU DESPESA],C$6,LANÇ_MOV[PAGO OU NÃO],"Não Pago",LANÇ_MOV[DIA VENCIMENTO],$B31,LANÇ_MOV[ANO VENCIMENTO],$D$4,LANÇ_MOV[MÊS VENCIMENTO CORRESPONDENTE],$E$4,LANÇ_MOV[EMPRESA],$F$4,LANÇ_MOV[CENTRO DE CUSTOS],$G$4)</f>
        <v>0</v>
      </c>
      <c r="D31" s="122">
        <f>SUMIFS(LANÇ_MOV[VALOR LÍQUIDO],LANÇ_MOV[RECEITA OU DESPESA],D$6,LANÇ_MOV[PAGO OU NÃO],"Não Pago",LANÇ_MOV[DIA VENCIMENTO],B31,LANÇ_MOV[ANO VENCIMENTO],$D$4,LANÇ_MOV[MÊS VENCIMENTO CORRESPONDENTE],$E$4,LANÇ_MOV[EMPRESA],$F$4,LANÇ_MOV[CENTRO DE CUSTOS],$G$4)</f>
        <v>2510.4299999999998</v>
      </c>
      <c r="E31" s="122">
        <f t="shared" si="3"/>
        <v>-2510.4299999999998</v>
      </c>
      <c r="G31"/>
      <c r="H31"/>
      <c r="I31"/>
      <c r="J31"/>
      <c r="K31"/>
      <c r="L31"/>
      <c r="M31"/>
      <c r="N31"/>
      <c r="O31"/>
    </row>
    <row r="32" spans="2:15" ht="22.05" customHeight="1" x14ac:dyDescent="0.35">
      <c r="B32" s="56">
        <f t="shared" si="1"/>
        <v>26</v>
      </c>
      <c r="C32" s="122">
        <f>SUMIFS(LANÇ_MOV[VALOR LÍQUIDO],LANÇ_MOV[RECEITA OU DESPESA],C$6,LANÇ_MOV[PAGO OU NÃO],"Não Pago",LANÇ_MOV[DIA VENCIMENTO],$B32,LANÇ_MOV[ANO VENCIMENTO],$D$4,LANÇ_MOV[MÊS VENCIMENTO CORRESPONDENTE],$E$4,LANÇ_MOV[EMPRESA],$F$4,LANÇ_MOV[CENTRO DE CUSTOS],$G$4)</f>
        <v>0</v>
      </c>
      <c r="D32" s="122">
        <f>SUMIFS(LANÇ_MOV[VALOR LÍQUIDO],LANÇ_MOV[RECEITA OU DESPESA],D$6,LANÇ_MOV[PAGO OU NÃO],"Não Pago",LANÇ_MOV[DIA VENCIMENTO],B32,LANÇ_MOV[ANO VENCIMENTO],$D$4,LANÇ_MOV[MÊS VENCIMENTO CORRESPONDENTE],$E$4,LANÇ_MOV[EMPRESA],$F$4,LANÇ_MOV[CENTRO DE CUSTOS],$G$4)</f>
        <v>276327.96999999997</v>
      </c>
      <c r="E32" s="122">
        <f t="shared" si="3"/>
        <v>-276327.96999999997</v>
      </c>
      <c r="G32"/>
      <c r="H32"/>
      <c r="I32"/>
      <c r="J32"/>
      <c r="K32"/>
      <c r="L32"/>
      <c r="M32"/>
      <c r="N32"/>
      <c r="O32"/>
    </row>
    <row r="33" spans="2:15" ht="22.05" customHeight="1" x14ac:dyDescent="0.35">
      <c r="B33" s="56">
        <f t="shared" si="1"/>
        <v>27</v>
      </c>
      <c r="C33" s="122">
        <f>SUMIFS(LANÇ_MOV[VALOR LÍQUIDO],LANÇ_MOV[RECEITA OU DESPESA],C$6,LANÇ_MOV[PAGO OU NÃO],"Não Pago",LANÇ_MOV[DIA VENCIMENTO],$B33,LANÇ_MOV[ANO VENCIMENTO],$D$4,LANÇ_MOV[MÊS VENCIMENTO CORRESPONDENTE],$E$4,LANÇ_MOV[EMPRESA],$F$4,LANÇ_MOV[CENTRO DE CUSTOS],$G$4)</f>
        <v>0</v>
      </c>
      <c r="D33" s="122">
        <f>SUMIFS(LANÇ_MOV[VALOR LÍQUIDO],LANÇ_MOV[RECEITA OU DESPESA],D$6,LANÇ_MOV[PAGO OU NÃO],"Não Pago",LANÇ_MOV[DIA VENCIMENTO],B33,LANÇ_MOV[ANO VENCIMENTO],$D$4,LANÇ_MOV[MÊS VENCIMENTO CORRESPONDENTE],$E$4,LANÇ_MOV[EMPRESA],$F$4,LANÇ_MOV[CENTRO DE CUSTOS],$G$4)</f>
        <v>459302.07000000007</v>
      </c>
      <c r="E33" s="122">
        <f t="shared" si="3"/>
        <v>-459302.07000000007</v>
      </c>
      <c r="G33"/>
      <c r="H33"/>
      <c r="I33"/>
      <c r="J33"/>
      <c r="K33"/>
      <c r="L33"/>
      <c r="M33"/>
      <c r="N33"/>
      <c r="O33"/>
    </row>
    <row r="34" spans="2:15" ht="22.05" customHeight="1" x14ac:dyDescent="0.35">
      <c r="B34" s="56">
        <f t="shared" si="1"/>
        <v>28</v>
      </c>
      <c r="C34" s="122">
        <f>SUMIFS(LANÇ_MOV[VALOR LÍQUIDO],LANÇ_MOV[RECEITA OU DESPESA],C$6,LANÇ_MOV[PAGO OU NÃO],"Não Pago",LANÇ_MOV[DIA VENCIMENTO],$B34,LANÇ_MOV[ANO VENCIMENTO],$D$4,LANÇ_MOV[MÊS VENCIMENTO CORRESPONDENTE],$E$4,LANÇ_MOV[EMPRESA],$F$4,LANÇ_MOV[CENTRO DE CUSTOS],$G$4)</f>
        <v>0</v>
      </c>
      <c r="D34" s="122">
        <f>SUMIFS(LANÇ_MOV[VALOR LÍQUIDO],LANÇ_MOV[RECEITA OU DESPESA],D$6,LANÇ_MOV[PAGO OU NÃO],"Não Pago",LANÇ_MOV[DIA VENCIMENTO],B34,LANÇ_MOV[ANO VENCIMENTO],$D$4,LANÇ_MOV[MÊS VENCIMENTO CORRESPONDENTE],$E$4,LANÇ_MOV[EMPRESA],$F$4,LANÇ_MOV[CENTRO DE CUSTOS],$G$4)</f>
        <v>975.42000000000007</v>
      </c>
      <c r="E34" s="122">
        <f t="shared" si="3"/>
        <v>-975.42000000000007</v>
      </c>
      <c r="G34"/>
      <c r="H34"/>
      <c r="I34"/>
      <c r="J34"/>
      <c r="K34"/>
      <c r="L34"/>
      <c r="M34"/>
      <c r="N34"/>
      <c r="O34"/>
    </row>
    <row r="35" spans="2:15" ht="22.05" customHeight="1" x14ac:dyDescent="0.35">
      <c r="B35" s="56">
        <f t="shared" si="1"/>
        <v>29</v>
      </c>
      <c r="C35" s="122">
        <f>SUMIFS(LANÇ_MOV[VALOR LÍQUIDO],LANÇ_MOV[RECEITA OU DESPESA],C$6,LANÇ_MOV[PAGO OU NÃO],"Não Pago",LANÇ_MOV[DIA VENCIMENTO],$B35,LANÇ_MOV[ANO VENCIMENTO],$D$4,LANÇ_MOV[MÊS VENCIMENTO CORRESPONDENTE],$E$4,LANÇ_MOV[EMPRESA],$F$4,LANÇ_MOV[CENTRO DE CUSTOS],$G$4)</f>
        <v>0</v>
      </c>
      <c r="D35" s="122">
        <f>SUMIFS(LANÇ_MOV[VALOR LÍQUIDO],LANÇ_MOV[RECEITA OU DESPESA],D$6,LANÇ_MOV[PAGO OU NÃO],"Não Pago",LANÇ_MOV[DIA VENCIMENTO],B35,LANÇ_MOV[ANO VENCIMENTO],$D$4,LANÇ_MOV[MÊS VENCIMENTO CORRESPONDENTE],$E$4,LANÇ_MOV[EMPRESA],$F$4,LANÇ_MOV[CENTRO DE CUSTOS],$G$4)</f>
        <v>0</v>
      </c>
      <c r="E35" s="122">
        <f t="shared" si="3"/>
        <v>0</v>
      </c>
      <c r="G35"/>
      <c r="H35"/>
      <c r="I35"/>
      <c r="J35"/>
      <c r="K35"/>
      <c r="L35"/>
      <c r="M35"/>
      <c r="N35"/>
      <c r="O35"/>
    </row>
    <row r="36" spans="2:15" ht="22.05" customHeight="1" x14ac:dyDescent="0.35">
      <c r="B36" s="56">
        <f t="shared" si="1"/>
        <v>30</v>
      </c>
      <c r="C36" s="122">
        <f>SUMIFS(LANÇ_MOV[VALOR LÍQUIDO],LANÇ_MOV[RECEITA OU DESPESA],C$6,LANÇ_MOV[PAGO OU NÃO],"Não Pago",LANÇ_MOV[DIA VENCIMENTO],$B36,LANÇ_MOV[ANO VENCIMENTO],$D$4,LANÇ_MOV[MÊS VENCIMENTO CORRESPONDENTE],$E$4,LANÇ_MOV[EMPRESA],$F$4,LANÇ_MOV[CENTRO DE CUSTOS],$G$4)</f>
        <v>0</v>
      </c>
      <c r="D36" s="122">
        <f>SUMIFS(LANÇ_MOV[VALOR LÍQUIDO],LANÇ_MOV[RECEITA OU DESPESA],D$6,LANÇ_MOV[PAGO OU NÃO],"Não Pago",LANÇ_MOV[DIA VENCIMENTO],B36,LANÇ_MOV[ANO VENCIMENTO],$D$4,LANÇ_MOV[MÊS VENCIMENTO CORRESPONDENTE],$E$4,LANÇ_MOV[EMPRESA],$F$4,LANÇ_MOV[CENTRO DE CUSTOS],$G$4)</f>
        <v>12410.180000000004</v>
      </c>
      <c r="E36" s="122">
        <f t="shared" si="3"/>
        <v>-12410.180000000004</v>
      </c>
      <c r="G36"/>
      <c r="H36"/>
      <c r="I36"/>
      <c r="J36"/>
      <c r="K36"/>
      <c r="L36"/>
      <c r="M36"/>
      <c r="N36"/>
      <c r="O36"/>
    </row>
    <row r="37" spans="2:15" ht="22.05" customHeight="1" thickBot="1" x14ac:dyDescent="0.4">
      <c r="B37" s="56">
        <f t="shared" si="1"/>
        <v>31</v>
      </c>
      <c r="C37" s="122">
        <f>SUMIFS(LANÇ_MOV[VALOR LÍQUIDO],LANÇ_MOV[RECEITA OU DESPESA],C$6,LANÇ_MOV[PAGO OU NÃO],"Não Pago",LANÇ_MOV[DIA VENCIMENTO],$B37,LANÇ_MOV[ANO VENCIMENTO],$D$4,LANÇ_MOV[MÊS VENCIMENTO CORRESPONDENTE],$E$4,LANÇ_MOV[EMPRESA],$F$4,LANÇ_MOV[CENTRO DE CUSTOS],$G$4)</f>
        <v>0</v>
      </c>
      <c r="D37" s="122">
        <f>SUMIFS(LANÇ_MOV[VALOR LÍQUIDO],LANÇ_MOV[RECEITA OU DESPESA],D$6,LANÇ_MOV[PAGO OU NÃO],"Não Pago",LANÇ_MOV[DIA VENCIMENTO],B37,LANÇ_MOV[ANO VENCIMENTO],$D$4,LANÇ_MOV[MÊS VENCIMENTO CORRESPONDENTE],$E$4,LANÇ_MOV[EMPRESA],$F$4,LANÇ_MOV[CENTRO DE CUSTOS],$G$4)</f>
        <v>493.85</v>
      </c>
      <c r="E37" s="122">
        <f t="shared" si="3"/>
        <v>-493.85</v>
      </c>
      <c r="G37"/>
      <c r="H37"/>
      <c r="I37"/>
      <c r="J37"/>
      <c r="K37"/>
      <c r="L37"/>
      <c r="M37"/>
      <c r="N37"/>
      <c r="O37"/>
    </row>
    <row r="38" spans="2:15" ht="30.05" customHeight="1" thickTop="1" x14ac:dyDescent="0.35">
      <c r="B38" s="308" t="s">
        <v>1043</v>
      </c>
      <c r="C38" s="320">
        <f>SUBTOTAL(109,REL_VA_1_11[RECEITA])</f>
        <v>27601.160000000003</v>
      </c>
      <c r="D38" s="320">
        <f>SUBTOTAL(109,REL_VA_1_11[DESPESA])</f>
        <v>2128673.9500000002</v>
      </c>
      <c r="E38" s="319">
        <f>C38-D38</f>
        <v>-2101072.79</v>
      </c>
      <c r="G38"/>
      <c r="H38"/>
      <c r="I38"/>
      <c r="J38"/>
      <c r="K38"/>
      <c r="L38"/>
      <c r="M38"/>
      <c r="N38"/>
      <c r="O38"/>
    </row>
    <row r="39" spans="2:15" ht="30.05" customHeight="1" x14ac:dyDescent="0.35">
      <c r="G39"/>
      <c r="H39"/>
      <c r="I39"/>
      <c r="J39"/>
      <c r="K39"/>
      <c r="L39"/>
      <c r="M39"/>
      <c r="N39"/>
      <c r="O39"/>
    </row>
    <row r="40" spans="2:15" ht="30.05" customHeight="1" x14ac:dyDescent="0.35">
      <c r="G40"/>
      <c r="H40"/>
      <c r="I40"/>
      <c r="J40"/>
      <c r="K40"/>
      <c r="L40"/>
      <c r="M40"/>
      <c r="N40"/>
      <c r="O40"/>
    </row>
    <row r="41" spans="2:15" ht="30.05" customHeight="1" x14ac:dyDescent="0.35">
      <c r="G41"/>
      <c r="H41"/>
      <c r="I41"/>
      <c r="J41"/>
      <c r="K41"/>
      <c r="L41"/>
      <c r="M41"/>
      <c r="N41"/>
      <c r="O41"/>
    </row>
    <row r="42" spans="2:15" ht="30.05" customHeight="1" x14ac:dyDescent="0.35">
      <c r="G42"/>
      <c r="H42"/>
      <c r="I42"/>
      <c r="J42"/>
      <c r="K42"/>
      <c r="L42"/>
      <c r="M42"/>
      <c r="N42"/>
      <c r="O42"/>
    </row>
  </sheetData>
  <sheetProtection sort="0" autoFilter="0" pivotTables="0"/>
  <mergeCells count="3">
    <mergeCell ref="B4:C4"/>
    <mergeCell ref="J4:O4"/>
    <mergeCell ref="H4:I4"/>
  </mergeCells>
  <conditionalFormatting sqref="E7:E8 E38">
    <cfRule type="cellIs" dxfId="47" priority="3" operator="greaterThan">
      <formula>0</formula>
    </cfRule>
    <cfRule type="cellIs" dxfId="46" priority="4" operator="lessThan">
      <formula>0</formula>
    </cfRule>
  </conditionalFormatting>
  <conditionalFormatting sqref="E9:E37">
    <cfRule type="cellIs" dxfId="45" priority="1" operator="greaterThan">
      <formula>0</formula>
    </cfRule>
    <cfRule type="cellIs" dxfId="44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1"/>
  <ignoredErrors>
    <ignoredError sqref="A7:B7 A8:A17 E7 C8:E38 C7:D7" calculatedColumn="1"/>
    <ignoredError sqref="F6" unlockedFormula="1"/>
    <ignoredError sqref="F8:F17 B8:B17 F7" unlockedFormula="1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3" r:id="rId4" name="Drop Down 3">
              <controlPr defaultSize="0" autoLine="0" autoPict="0">
                <anchor moveWithCells="1">
                  <from>
                    <xdr:col>2</xdr:col>
                    <xdr:colOff>907822</xdr:colOff>
                    <xdr:row>3</xdr:row>
                    <xdr:rowOff>0</xdr:rowOff>
                  </from>
                  <to>
                    <xdr:col>3</xdr:col>
                    <xdr:colOff>710469</xdr:colOff>
                    <xdr:row>3</xdr:row>
                    <xdr:rowOff>223666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5" name="Drop Down 5">
              <controlPr defaultSize="0" autoLine="0" autoPict="0">
                <anchor moveWithCells="1">
                  <from>
                    <xdr:col>2</xdr:col>
                    <xdr:colOff>256558</xdr:colOff>
                    <xdr:row>3</xdr:row>
                    <xdr:rowOff>0</xdr:rowOff>
                  </from>
                  <to>
                    <xdr:col>2</xdr:col>
                    <xdr:colOff>901243</xdr:colOff>
                    <xdr:row>3</xdr:row>
                    <xdr:rowOff>230245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6" name="Drop Down 6">
              <controlPr defaultSize="0" autoLine="0" autoPict="0">
                <anchor moveWithCells="1">
                  <from>
                    <xdr:col>4</xdr:col>
                    <xdr:colOff>1032812</xdr:colOff>
                    <xdr:row>3</xdr:row>
                    <xdr:rowOff>0</xdr:rowOff>
                  </from>
                  <to>
                    <xdr:col>7</xdr:col>
                    <xdr:colOff>32892</xdr:colOff>
                    <xdr:row>3</xdr:row>
                    <xdr:rowOff>230245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7" name="Drop Down 7">
              <controlPr defaultSize="0" autoLine="0" autoPict="0">
                <anchor moveWithCells="1">
                  <from>
                    <xdr:col>3</xdr:col>
                    <xdr:colOff>723626</xdr:colOff>
                    <xdr:row>3</xdr:row>
                    <xdr:rowOff>0</xdr:rowOff>
                  </from>
                  <to>
                    <xdr:col>4</xdr:col>
                    <xdr:colOff>1032812</xdr:colOff>
                    <xdr:row>3</xdr:row>
                    <xdr:rowOff>230245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5">
    <tabColor rgb="FF001C54"/>
  </sheetPr>
  <dimension ref="A1:AY1264"/>
  <sheetViews>
    <sheetView showGridLines="0" zoomScaleNormal="100" workbookViewId="0">
      <pane xSplit="3" ySplit="6" topLeftCell="D7" activePane="bottomRight" state="frozen"/>
      <selection activeCell="D15" sqref="D15"/>
      <selection pane="topRight" activeCell="D15" sqref="D15"/>
      <selection pane="bottomLeft" activeCell="D15" sqref="D15"/>
      <selection pane="bottomRight" activeCell="R8" sqref="R8"/>
    </sheetView>
  </sheetViews>
  <sheetFormatPr defaultColWidth="9.1796875" defaultRowHeight="30.05" customHeight="1" x14ac:dyDescent="0.35"/>
  <cols>
    <col min="1" max="1" width="0.7265625" style="9" customWidth="1"/>
    <col min="2" max="2" width="7.81640625" style="10" customWidth="1"/>
    <col min="3" max="3" width="13.26953125" style="10" customWidth="1"/>
    <col min="4" max="15" width="12.7265625" style="200" customWidth="1"/>
    <col min="16" max="16" width="12.7265625" style="201" customWidth="1"/>
    <col min="17" max="17" width="21.54296875" style="329" customWidth="1"/>
    <col min="18" max="18" width="16.7265625" style="329" customWidth="1"/>
    <col min="19" max="19" width="12.54296875" style="340" customWidth="1"/>
    <col min="20" max="20" width="12" style="340" customWidth="1"/>
    <col min="21" max="21" width="17.54296875" style="340" customWidth="1"/>
    <col min="22" max="22" width="19.7265625" style="437" customWidth="1"/>
    <col min="23" max="23" width="12" style="441" customWidth="1"/>
    <col min="24" max="24" width="12" style="329" customWidth="1"/>
    <col min="25" max="25" width="9.1796875" style="329" customWidth="1"/>
    <col min="26" max="26" width="41.26953125" style="340" customWidth="1"/>
    <col min="27" max="28" width="9.1796875" style="340" customWidth="1"/>
    <col min="29" max="29" width="46.26953125" style="437" customWidth="1"/>
    <col min="30" max="30" width="14.1796875" style="340" customWidth="1"/>
    <col min="31" max="31" width="9.1796875" style="340"/>
    <col min="32" max="45" width="9.1796875" style="25"/>
    <col min="46" max="50" width="9.1796875" style="24"/>
    <col min="51" max="16384" width="9.1796875" style="9"/>
  </cols>
  <sheetData>
    <row r="1" spans="1:51" s="13" customFormat="1" ht="25" customHeight="1" x14ac:dyDescent="0.35">
      <c r="B1" s="31"/>
      <c r="C1" s="31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80"/>
      <c r="Q1" s="264"/>
      <c r="R1" s="264"/>
      <c r="S1" s="264"/>
      <c r="T1" s="264"/>
      <c r="U1" s="264"/>
      <c r="V1" s="435"/>
      <c r="W1" s="435"/>
      <c r="X1" s="338"/>
      <c r="Y1" s="338"/>
      <c r="Z1" s="264"/>
      <c r="AA1" s="264"/>
      <c r="AB1" s="264"/>
      <c r="AC1" s="435"/>
      <c r="AD1" s="264"/>
      <c r="AE1" s="264"/>
      <c r="AF1" s="264"/>
      <c r="AG1" s="264"/>
      <c r="AH1" s="264"/>
      <c r="AI1" s="264"/>
      <c r="AJ1" s="264"/>
      <c r="AK1" s="264"/>
      <c r="AL1" s="264"/>
      <c r="AM1" s="264"/>
      <c r="AN1" s="264"/>
      <c r="AO1" s="264"/>
      <c r="AP1" s="264"/>
      <c r="AQ1" s="264"/>
      <c r="AR1" s="264"/>
      <c r="AS1" s="264"/>
      <c r="AT1" s="181"/>
      <c r="AU1" s="181"/>
      <c r="AV1" s="181"/>
      <c r="AW1" s="181"/>
      <c r="AX1" s="181"/>
      <c r="AY1" s="181"/>
    </row>
    <row r="2" spans="1:51" s="16" customFormat="1" ht="20.100000000000001" customHeight="1" x14ac:dyDescent="0.35">
      <c r="B2" s="33"/>
      <c r="C2" s="33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3"/>
      <c r="Q2" s="265"/>
      <c r="R2" s="265"/>
      <c r="S2" s="265"/>
      <c r="T2" s="265"/>
      <c r="U2" s="265"/>
      <c r="V2" s="436"/>
      <c r="W2" s="436"/>
      <c r="X2" s="339"/>
      <c r="Y2" s="339"/>
      <c r="Z2" s="265"/>
      <c r="AA2" s="265"/>
      <c r="AB2" s="265"/>
      <c r="AC2" s="436"/>
      <c r="AD2" s="265"/>
      <c r="AE2" s="265"/>
      <c r="AF2" s="265"/>
      <c r="AG2" s="265"/>
      <c r="AH2" s="265"/>
      <c r="AI2" s="265"/>
      <c r="AJ2" s="265"/>
      <c r="AK2" s="265"/>
      <c r="AL2" s="265"/>
      <c r="AM2" s="265"/>
      <c r="AN2" s="265"/>
      <c r="AO2" s="265"/>
      <c r="AP2" s="265"/>
      <c r="AQ2" s="265"/>
      <c r="AR2" s="265"/>
      <c r="AS2" s="265"/>
      <c r="AT2" s="184"/>
      <c r="AU2" s="184"/>
      <c r="AV2" s="184"/>
      <c r="AW2" s="184"/>
      <c r="AX2" s="184"/>
      <c r="AY2" s="184"/>
    </row>
    <row r="3" spans="1:51" s="8" customFormat="1" ht="3.75" customHeight="1" x14ac:dyDescent="0.35">
      <c r="A3" s="7"/>
      <c r="B3" s="26"/>
      <c r="C3" s="26"/>
      <c r="D3" s="185"/>
      <c r="E3" s="185"/>
      <c r="F3" s="185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329"/>
      <c r="R3" s="329"/>
      <c r="S3" s="340"/>
      <c r="T3" s="340"/>
      <c r="U3" s="340"/>
      <c r="V3" s="437"/>
      <c r="W3" s="441"/>
      <c r="X3" s="329"/>
      <c r="Y3" s="329"/>
      <c r="Z3" s="340"/>
      <c r="AA3" s="340"/>
      <c r="AB3" s="340"/>
      <c r="AC3" s="437"/>
      <c r="AD3" s="340"/>
      <c r="AE3" s="340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4"/>
      <c r="AU3" s="24"/>
      <c r="AV3" s="24"/>
      <c r="AW3" s="24"/>
      <c r="AX3" s="24"/>
    </row>
    <row r="4" spans="1:51" ht="19.55" customHeight="1" x14ac:dyDescent="0.35">
      <c r="B4" s="125" t="str">
        <f>IF(VLOOKUP(Apoio!$O$13,ANO[],2,0)="TOTAL ANO","*",VLOOKUP(Apoio!$O$13,ANO[],2,0))</f>
        <v>*</v>
      </c>
      <c r="C4" s="306" t="str">
        <f>IF(VLOOKUP(Apoio!$O$7,EMPRESA[],2,0)="TOTAL EMPRESA","*",VLOOKUP(Apoio!$O$7,EMPRESA[],2,0))</f>
        <v>CENTRO CULTURAL FRANCO-BRASILEIRO ALIANCA FRANCESA DE GOIAS</v>
      </c>
      <c r="D4" s="111" t="str">
        <f>IF(VLOOKUP(Apoio!$O$8,CENTROS_CUSTOS[],2,0)="TOTAL CENTRO DE CUSTOS","*",VLOOKUP(Apoio!$O$8,CENTROS_CUSTOS[],2,0))</f>
        <v>*</v>
      </c>
      <c r="E4" s="234"/>
      <c r="F4" s="234"/>
      <c r="G4" s="425"/>
      <c r="P4" s="200"/>
      <c r="Q4" s="110"/>
      <c r="R4" s="110"/>
      <c r="S4" s="110"/>
      <c r="T4" s="110"/>
      <c r="U4" s="110"/>
      <c r="V4" s="164"/>
      <c r="W4" s="164"/>
      <c r="X4" s="110"/>
      <c r="Y4" s="110"/>
      <c r="Z4" s="110"/>
      <c r="AA4" s="110"/>
      <c r="AB4" s="110"/>
      <c r="AC4" s="164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9"/>
      <c r="AU4" s="9"/>
      <c r="AV4" s="9"/>
      <c r="AW4" s="9"/>
      <c r="AX4" s="9"/>
    </row>
    <row r="5" spans="1:51" s="8" customFormat="1" ht="3.75" customHeight="1" x14ac:dyDescent="0.35">
      <c r="A5" s="7"/>
      <c r="B5" s="26"/>
      <c r="C5" s="26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86"/>
      <c r="Q5" s="329"/>
      <c r="R5" s="329"/>
      <c r="S5" s="340"/>
      <c r="T5" s="340"/>
      <c r="U5" s="340"/>
      <c r="V5" s="437"/>
      <c r="W5" s="441"/>
      <c r="X5" s="329"/>
      <c r="Y5" s="329"/>
      <c r="Z5" s="340"/>
      <c r="AA5" s="340"/>
      <c r="AB5" s="340"/>
      <c r="AC5" s="437"/>
      <c r="AD5" s="340"/>
      <c r="AE5" s="340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4"/>
      <c r="AU5" s="24"/>
      <c r="AV5" s="24"/>
      <c r="AW5" s="24"/>
      <c r="AX5" s="24"/>
    </row>
    <row r="6" spans="1:51" ht="30.05" customHeight="1" thickBot="1" x14ac:dyDescent="0.4">
      <c r="B6" s="614" t="s">
        <v>7</v>
      </c>
      <c r="C6" s="615"/>
      <c r="D6" s="187" t="s">
        <v>1084</v>
      </c>
      <c r="E6" s="187" t="s">
        <v>1085</v>
      </c>
      <c r="F6" s="187" t="s">
        <v>1086</v>
      </c>
      <c r="G6" s="187" t="s">
        <v>1087</v>
      </c>
      <c r="H6" s="187" t="s">
        <v>1088</v>
      </c>
      <c r="I6" s="187" t="s">
        <v>1089</v>
      </c>
      <c r="J6" s="187" t="s">
        <v>1090</v>
      </c>
      <c r="K6" s="187" t="s">
        <v>1091</v>
      </c>
      <c r="L6" s="187" t="s">
        <v>1092</v>
      </c>
      <c r="M6" s="187" t="s">
        <v>1093</v>
      </c>
      <c r="N6" s="187" t="s">
        <v>1094</v>
      </c>
      <c r="O6" s="187" t="s">
        <v>1095</v>
      </c>
      <c r="P6" s="187" t="s">
        <v>1043</v>
      </c>
      <c r="Q6" s="330"/>
      <c r="R6" s="330"/>
      <c r="S6" s="288"/>
      <c r="T6" s="288"/>
      <c r="U6" s="288"/>
      <c r="V6" s="438"/>
      <c r="W6" s="443"/>
      <c r="X6" s="330"/>
      <c r="Y6" s="330"/>
      <c r="Z6" s="288"/>
      <c r="AA6" s="288"/>
      <c r="AB6" s="288"/>
      <c r="AC6" s="438"/>
      <c r="AD6" s="288"/>
      <c r="AE6" s="288"/>
      <c r="AF6" s="341"/>
      <c r="AG6" s="341"/>
      <c r="AH6" s="341"/>
      <c r="AI6" s="341"/>
      <c r="AJ6" s="341"/>
      <c r="AK6" s="341"/>
      <c r="AL6" s="341"/>
      <c r="AM6" s="341"/>
      <c r="AN6" s="341"/>
      <c r="AO6" s="341"/>
      <c r="AP6" s="341"/>
      <c r="AQ6" s="341"/>
      <c r="AR6" s="341"/>
      <c r="AS6" s="341"/>
      <c r="AT6" s="136"/>
      <c r="AU6" s="136"/>
      <c r="AV6" s="136"/>
      <c r="AW6" s="136"/>
      <c r="AX6" s="136"/>
    </row>
    <row r="7" spans="1:51" s="41" customFormat="1" ht="20.100000000000001" customHeight="1" thickTop="1" thickBot="1" x14ac:dyDescent="0.4">
      <c r="B7" s="616" t="s">
        <v>1532</v>
      </c>
      <c r="C7" s="617"/>
      <c r="D7" s="206">
        <f>SUMIFS(LANÇ_MOV[VALOR BRUTO],LANÇ_MOV[RECEITA OU DESPESA],"Receita",LANÇ_MOV[PLANO DE CONTAS],REL_DRE_FINANCEIRO!$B$30,LANÇ_MOV[ANO PAGAMENTO],$B$4,LANÇ_MOV[MÊS PAGAMENTO CORRESPONDENTE],D$6,LANÇ_MOV[EMPRESA],$C$4,LANÇ_MOV[CENTRO DE CUSTOS],$D$4)</f>
        <v>0</v>
      </c>
      <c r="E7" s="206">
        <f>SUMIFS(LANÇ_MOV[VALOR BRUTO],LANÇ_MOV[RECEITA OU DESPESA],"Receita",LANÇ_MOV[PLANO DE CONTAS],REL_DRE_FINANCEIRO!$B$30,LANÇ_MOV[ANO PAGAMENTO],$B$4,LANÇ_MOV[MÊS PAGAMENTO CORRESPONDENTE],E$6,LANÇ_MOV[EMPRESA],$C$4,LANÇ_MOV[CENTRO DE CUSTOS],$D$4)</f>
        <v>0</v>
      </c>
      <c r="F7" s="206">
        <f>SUMIFS(LANÇ_MOV[VALOR BRUTO],LANÇ_MOV[RECEITA OU DESPESA],"Receita",LANÇ_MOV[PLANO DE CONTAS],REL_DRE_FINANCEIRO!$B$30,LANÇ_MOV[ANO PAGAMENTO],$B$4,LANÇ_MOV[MÊS PAGAMENTO CORRESPONDENTE],F$6,LANÇ_MOV[EMPRESA],$C$4,LANÇ_MOV[CENTRO DE CUSTOS],$D$4)</f>
        <v>0</v>
      </c>
      <c r="G7" s="206">
        <f>SUMIFS(LANÇ_MOV[VALOR BRUTO],LANÇ_MOV[RECEITA OU DESPESA],"Receita",LANÇ_MOV[PLANO DE CONTAS],REL_DRE_FINANCEIRO!$B$30,LANÇ_MOV[ANO PAGAMENTO],$B$4,LANÇ_MOV[MÊS PAGAMENTO CORRESPONDENTE],G$6,LANÇ_MOV[EMPRESA],$C$4,LANÇ_MOV[CENTRO DE CUSTOS],$D$4)</f>
        <v>0</v>
      </c>
      <c r="H7" s="206">
        <f>SUMIFS(LANÇ_MOV[VALOR BRUTO],LANÇ_MOV[RECEITA OU DESPESA],"Receita",LANÇ_MOV[PLANO DE CONTAS],REL_DRE_FINANCEIRO!$B$30,LANÇ_MOV[ANO PAGAMENTO],$B$4,LANÇ_MOV[MÊS PAGAMENTO CORRESPONDENTE],H$6,LANÇ_MOV[EMPRESA],$C$4,LANÇ_MOV[CENTRO DE CUSTOS],$D$4)</f>
        <v>0</v>
      </c>
      <c r="I7" s="206">
        <f>SUMIFS(LANÇ_MOV[VALOR BRUTO],LANÇ_MOV[RECEITA OU DESPESA],"Receita",LANÇ_MOV[PLANO DE CONTAS],REL_DRE_FINANCEIRO!$B$30,LANÇ_MOV[ANO PAGAMENTO],$B$4,LANÇ_MOV[MÊS PAGAMENTO CORRESPONDENTE],I$6,LANÇ_MOV[EMPRESA],$C$4,LANÇ_MOV[CENTRO DE CUSTOS],$D$4)</f>
        <v>0</v>
      </c>
      <c r="J7" s="206">
        <f>SUMIFS(LANÇ_MOV[VALOR BRUTO],LANÇ_MOV[RECEITA OU DESPESA],"Receita",LANÇ_MOV[PLANO DE CONTAS],REL_DRE_FINANCEIRO!$B$30,LANÇ_MOV[ANO PAGAMENTO],$B$4,LANÇ_MOV[MÊS PAGAMENTO CORRESPONDENTE],J$6,LANÇ_MOV[EMPRESA],$C$4,LANÇ_MOV[CENTRO DE CUSTOS],$D$4)</f>
        <v>0</v>
      </c>
      <c r="K7" s="206">
        <f>SUMIFS(LANÇ_MOV[VALOR BRUTO],LANÇ_MOV[RECEITA OU DESPESA],"Receita",LANÇ_MOV[PLANO DE CONTAS],REL_DRE_FINANCEIRO!$B$30,LANÇ_MOV[ANO PAGAMENTO],$B$4,LANÇ_MOV[MÊS PAGAMENTO CORRESPONDENTE],K$6,LANÇ_MOV[EMPRESA],$C$4,LANÇ_MOV[CENTRO DE CUSTOS],$D$4)</f>
        <v>0</v>
      </c>
      <c r="L7" s="206">
        <f>SUMIFS(LANÇ_MOV[VALOR BRUTO],LANÇ_MOV[RECEITA OU DESPESA],"Receita",LANÇ_MOV[PLANO DE CONTAS],REL_DRE_FINANCEIRO!$B$30,LANÇ_MOV[ANO PAGAMENTO],$B$4,LANÇ_MOV[MÊS PAGAMENTO CORRESPONDENTE],L$6,LANÇ_MOV[EMPRESA],$C$4,LANÇ_MOV[CENTRO DE CUSTOS],$D$4)</f>
        <v>0</v>
      </c>
      <c r="M7" s="206">
        <f>SUMIFS(LANÇ_MOV[VALOR BRUTO],LANÇ_MOV[RECEITA OU DESPESA],"Receita",LANÇ_MOV[PLANO DE CONTAS],REL_DRE_FINANCEIRO!$B$30,LANÇ_MOV[ANO PAGAMENTO],$B$4,LANÇ_MOV[MÊS PAGAMENTO CORRESPONDENTE],M$6,LANÇ_MOV[EMPRESA],$C$4,LANÇ_MOV[CENTRO DE CUSTOS],$D$4)</f>
        <v>22067.45</v>
      </c>
      <c r="N7" s="206">
        <f>SUMIFS(LANÇ_MOV[VALOR BRUTO],LANÇ_MOV[RECEITA OU DESPESA],"Receita",LANÇ_MOV[PLANO DE CONTAS],REL_DRE_FINANCEIRO!$B$30,LANÇ_MOV[ANO PAGAMENTO],$B$4,LANÇ_MOV[MÊS PAGAMENTO CORRESPONDENTE],N$6,LANÇ_MOV[EMPRESA],$C$4,LANÇ_MOV[CENTRO DE CUSTOS],$D$4)</f>
        <v>7421.12</v>
      </c>
      <c r="O7" s="206">
        <f>SUMIFS(LANÇ_MOV[VALOR BRUTO],LANÇ_MOV[RECEITA OU DESPESA],"Receita",LANÇ_MOV[PLANO DE CONTAS],REL_DRE_FINANCEIRO!$B$30,LANÇ_MOV[ANO PAGAMENTO],$B$4,LANÇ_MOV[MÊS PAGAMENTO CORRESPONDENTE],O$6,LANÇ_MOV[EMPRESA],$C$4,LANÇ_MOV[CENTRO DE CUSTOS],$D$4)-O8</f>
        <v>0</v>
      </c>
      <c r="P7" s="193">
        <f>SUM(D7:O7)</f>
        <v>29488.57</v>
      </c>
      <c r="Q7" s="495"/>
      <c r="R7" s="329"/>
      <c r="S7" s="340"/>
      <c r="T7" s="340"/>
      <c r="U7" s="340"/>
      <c r="V7" s="437"/>
      <c r="W7" s="441"/>
      <c r="X7" s="329"/>
      <c r="Y7" s="329"/>
      <c r="Z7" s="340"/>
      <c r="AA7" s="340"/>
      <c r="AB7" s="340"/>
      <c r="AC7" s="437"/>
      <c r="AD7" s="340"/>
      <c r="AE7" s="340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4"/>
      <c r="AU7" s="24"/>
      <c r="AV7" s="24"/>
      <c r="AW7" s="24"/>
      <c r="AX7" s="24"/>
    </row>
    <row r="8" spans="1:51" s="41" customFormat="1" ht="20.100000000000001" customHeight="1" thickTop="1" thickBot="1" x14ac:dyDescent="0.4">
      <c r="B8" s="618" t="s">
        <v>1534</v>
      </c>
      <c r="C8" s="619"/>
      <c r="D8" s="206">
        <f>SUMIFS(LANÇ_MOV[DESCONTO],LANÇ_MOV[RECEITA OU DESPESA],"Receita",LANÇ_MOV[PLANO DE CONTAS],REL_DRE_FINANCEIRO!$B$30,LANÇ_MOV[ANO PAGAMENTO],$B$4,LANÇ_MOV[MÊS PAGAMENTO CORRESPONDENTE],D$6,LANÇ_MOV[EMPRESA],$C$4,LANÇ_MOV[CENTRO DE CUSTOS],$D$4)</f>
        <v>0</v>
      </c>
      <c r="E8" s="206">
        <f>SUMIFS(LANÇ_MOV[DESCONTO],LANÇ_MOV[RECEITA OU DESPESA],"Receita",LANÇ_MOV[PLANO DE CONTAS],REL_DRE_FINANCEIRO!$B$30,LANÇ_MOV[ANO PAGAMENTO],$B$4,LANÇ_MOV[MÊS PAGAMENTO CORRESPONDENTE],E$6,LANÇ_MOV[EMPRESA],$C$4,LANÇ_MOV[CENTRO DE CUSTOS],$D$4)</f>
        <v>0</v>
      </c>
      <c r="F8" s="206">
        <f>SUMIFS(LANÇ_MOV[DESCONTO],LANÇ_MOV[RECEITA OU DESPESA],"Receita",LANÇ_MOV[PLANO DE CONTAS],REL_DRE_FINANCEIRO!$B$30,LANÇ_MOV[ANO PAGAMENTO],$B$4,LANÇ_MOV[MÊS PAGAMENTO CORRESPONDENTE],F$6,LANÇ_MOV[EMPRESA],$C$4,LANÇ_MOV[CENTRO DE CUSTOS],$D$4)</f>
        <v>0</v>
      </c>
      <c r="G8" s="206">
        <f>SUMIFS(LANÇ_MOV[DESCONTO],LANÇ_MOV[RECEITA OU DESPESA],"Receita",LANÇ_MOV[PLANO DE CONTAS],REL_DRE_FINANCEIRO!$B$30,LANÇ_MOV[ANO PAGAMENTO],$B$4,LANÇ_MOV[MÊS PAGAMENTO CORRESPONDENTE],G$6,LANÇ_MOV[EMPRESA],$C$4,LANÇ_MOV[CENTRO DE CUSTOS],$D$4)</f>
        <v>0</v>
      </c>
      <c r="H8" s="206">
        <f>SUMIFS(LANÇ_MOV[DESCONTO],LANÇ_MOV[RECEITA OU DESPESA],"Receita",LANÇ_MOV[PLANO DE CONTAS],REL_DRE_FINANCEIRO!$B$30,LANÇ_MOV[ANO PAGAMENTO],$B$4,LANÇ_MOV[MÊS PAGAMENTO CORRESPONDENTE],H$6,LANÇ_MOV[EMPRESA],$C$4,LANÇ_MOV[CENTRO DE CUSTOS],$D$4)</f>
        <v>0</v>
      </c>
      <c r="I8" s="206">
        <f>SUMIFS(LANÇ_MOV[DESCONTO],LANÇ_MOV[RECEITA OU DESPESA],"Receita",LANÇ_MOV[PLANO DE CONTAS],REL_DRE_FINANCEIRO!$B$30,LANÇ_MOV[ANO PAGAMENTO],$B$4,LANÇ_MOV[MÊS PAGAMENTO CORRESPONDENTE],I$6,LANÇ_MOV[EMPRESA],$C$4,LANÇ_MOV[CENTRO DE CUSTOS],$D$4)</f>
        <v>0</v>
      </c>
      <c r="J8" s="206">
        <f>SUMIFS(LANÇ_MOV[DESCONTO],LANÇ_MOV[RECEITA OU DESPESA],"Receita",LANÇ_MOV[PLANO DE CONTAS],REL_DRE_FINANCEIRO!$B$30,LANÇ_MOV[ANO PAGAMENTO],$B$4,LANÇ_MOV[MÊS PAGAMENTO CORRESPONDENTE],J$6,LANÇ_MOV[EMPRESA],$C$4,LANÇ_MOV[CENTRO DE CUSTOS],$D$4)</f>
        <v>0</v>
      </c>
      <c r="K8" s="206">
        <f>SUMIFS(LANÇ_MOV[DESCONTO],LANÇ_MOV[RECEITA OU DESPESA],"Receita",LANÇ_MOV[PLANO DE CONTAS],REL_DRE_FINANCEIRO!$B$30,LANÇ_MOV[ANO PAGAMENTO],$B$4,LANÇ_MOV[MÊS PAGAMENTO CORRESPONDENTE],K$6,LANÇ_MOV[EMPRESA],$C$4,LANÇ_MOV[CENTRO DE CUSTOS],$D$4)</f>
        <v>0</v>
      </c>
      <c r="L8" s="206">
        <f>SUMIFS(LANÇ_MOV[DESCONTO],LANÇ_MOV[RECEITA OU DESPESA],"Receita",LANÇ_MOV[PLANO DE CONTAS],REL_DRE_FINANCEIRO!$B$30,LANÇ_MOV[ANO PAGAMENTO],$B$4,LANÇ_MOV[MÊS PAGAMENTO CORRESPONDENTE],L$6,LANÇ_MOV[EMPRESA],$C$4,LANÇ_MOV[CENTRO DE CUSTOS],$D$4)</f>
        <v>0</v>
      </c>
      <c r="M8" s="206">
        <f>SUMIFS(LANÇ_MOV[DESCONTO],LANÇ_MOV[RECEITA OU DESPESA],"Receita",LANÇ_MOV[PLANO DE CONTAS],REL_DRE_FINANCEIRO!$B$30,LANÇ_MOV[ANO PAGAMENTO],$B$4,LANÇ_MOV[MÊS PAGAMENTO CORRESPONDENTE],M$6,LANÇ_MOV[EMPRESA],$C$4,LANÇ_MOV[CENTRO DE CUSTOS],$D$4)</f>
        <v>0</v>
      </c>
      <c r="N8" s="206">
        <f>SUMIFS(LANÇ_MOV[DESCONTO],LANÇ_MOV[RECEITA OU DESPESA],"Receita",LANÇ_MOV[PLANO DE CONTAS],REL_DRE_FINANCEIRO!$B$30,LANÇ_MOV[ANO PAGAMENTO],$B$4,LANÇ_MOV[MÊS PAGAMENTO CORRESPONDENTE],N$6,LANÇ_MOV[EMPRESA],$C$4,LANÇ_MOV[CENTRO DE CUSTOS],$D$4)</f>
        <v>0</v>
      </c>
      <c r="O8" s="206">
        <f>SUMIFS(LANÇ_MOV[DESCONTO],LANÇ_MOV[RECEITA OU DESPESA],"Receita",LANÇ_MOV[PLANO DE CONTAS],REL_DRE_FINANCEIRO!$B$30,LANÇ_MOV[ANO PAGAMENTO],$B$4,LANÇ_MOV[MÊS PAGAMENTO CORRESPONDENTE],O$6,LANÇ_MOV[EMPRESA],$C$4,LANÇ_MOV[CENTRO DE CUSTOS],$D$4)</f>
        <v>0</v>
      </c>
      <c r="P8" s="193">
        <f>SUM(D8:O8)</f>
        <v>0</v>
      </c>
      <c r="Q8" s="495"/>
      <c r="R8" s="329"/>
      <c r="S8" s="340"/>
      <c r="T8" s="340"/>
      <c r="U8" s="340"/>
      <c r="V8" s="437"/>
      <c r="W8" s="441"/>
      <c r="X8" s="329"/>
      <c r="Y8" s="329"/>
      <c r="Z8" s="340"/>
      <c r="AA8" s="340"/>
      <c r="AB8" s="340"/>
      <c r="AC8" s="437"/>
      <c r="AD8" s="340"/>
      <c r="AE8" s="340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4"/>
      <c r="AU8" s="24"/>
      <c r="AV8" s="24"/>
      <c r="AW8" s="24"/>
      <c r="AX8" s="24"/>
    </row>
    <row r="9" spans="1:51" s="41" customFormat="1" ht="20.100000000000001" customHeight="1" thickTop="1" thickBot="1" x14ac:dyDescent="0.4">
      <c r="B9" s="618" t="s">
        <v>1533</v>
      </c>
      <c r="C9" s="619"/>
      <c r="D9" s="206">
        <f>SUMIFS(LANÇ_MOV[VALOR LÍQUIDO],LANÇ_MOV[RECEITA OU DESPESA],"Receita",LANÇ_MOV[PLANO DE CONTAS],REL_DRE_FINANCEIRO!$B$30,LANÇ_MOV[ANO PAGAMENTO],$B$4,LANÇ_MOV[MÊS PAGAMENTO CORRESPONDENTE],D$6,LANÇ_MOV[EMPRESA],$C$4,LANÇ_MOV[CENTRO DE CUSTOS],$D$4)</f>
        <v>0</v>
      </c>
      <c r="E9" s="206">
        <f>SUMIFS(LANÇ_MOV[VALOR LÍQUIDO],LANÇ_MOV[RECEITA OU DESPESA],"Receita",LANÇ_MOV[PLANO DE CONTAS],REL_DRE_FINANCEIRO!$B$30,LANÇ_MOV[ANO PAGAMENTO],$B$4,LANÇ_MOV[MÊS PAGAMENTO CORRESPONDENTE],E$6,LANÇ_MOV[EMPRESA],$C$4,LANÇ_MOV[CENTRO DE CUSTOS],$D$4)</f>
        <v>0</v>
      </c>
      <c r="F9" s="206">
        <f>SUMIFS(LANÇ_MOV[VALOR LÍQUIDO],LANÇ_MOV[RECEITA OU DESPESA],"Receita",LANÇ_MOV[PLANO DE CONTAS],REL_DRE_FINANCEIRO!$B$30,LANÇ_MOV[ANO PAGAMENTO],$B$4,LANÇ_MOV[MÊS PAGAMENTO CORRESPONDENTE],F$6,LANÇ_MOV[EMPRESA],$C$4,LANÇ_MOV[CENTRO DE CUSTOS],$D$4)</f>
        <v>0</v>
      </c>
      <c r="G9" s="206">
        <f>SUMIFS(LANÇ_MOV[VALOR LÍQUIDO],LANÇ_MOV[RECEITA OU DESPESA],"Receita",LANÇ_MOV[PLANO DE CONTAS],REL_DRE_FINANCEIRO!$B$30,LANÇ_MOV[ANO PAGAMENTO],$B$4,LANÇ_MOV[MÊS PAGAMENTO CORRESPONDENTE],G$6,LANÇ_MOV[EMPRESA],$C$4,LANÇ_MOV[CENTRO DE CUSTOS],$D$4)</f>
        <v>0</v>
      </c>
      <c r="H9" s="206">
        <f>SUMIFS(LANÇ_MOV[VALOR LÍQUIDO],LANÇ_MOV[RECEITA OU DESPESA],"Receita",LANÇ_MOV[PLANO DE CONTAS],REL_DRE_FINANCEIRO!$B$30,LANÇ_MOV[ANO PAGAMENTO],$B$4,LANÇ_MOV[MÊS PAGAMENTO CORRESPONDENTE],H$6,LANÇ_MOV[EMPRESA],$C$4,LANÇ_MOV[CENTRO DE CUSTOS],$D$4)</f>
        <v>0</v>
      </c>
      <c r="I9" s="206">
        <f>SUMIFS(LANÇ_MOV[VALOR LÍQUIDO],LANÇ_MOV[RECEITA OU DESPESA],"Receita",LANÇ_MOV[PLANO DE CONTAS],REL_DRE_FINANCEIRO!$B$30,LANÇ_MOV[ANO PAGAMENTO],$B$4,LANÇ_MOV[MÊS PAGAMENTO CORRESPONDENTE],I$6,LANÇ_MOV[EMPRESA],$C$4,LANÇ_MOV[CENTRO DE CUSTOS],$D$4)</f>
        <v>0</v>
      </c>
      <c r="J9" s="206">
        <f>SUMIFS(LANÇ_MOV[VALOR LÍQUIDO],LANÇ_MOV[RECEITA OU DESPESA],"Receita",LANÇ_MOV[PLANO DE CONTAS],REL_DRE_FINANCEIRO!$B$30,LANÇ_MOV[ANO PAGAMENTO],$B$4,LANÇ_MOV[MÊS PAGAMENTO CORRESPONDENTE],J$6,LANÇ_MOV[EMPRESA],$C$4,LANÇ_MOV[CENTRO DE CUSTOS],$D$4)</f>
        <v>0</v>
      </c>
      <c r="K9" s="206">
        <f>SUMIFS(LANÇ_MOV[VALOR LÍQUIDO],LANÇ_MOV[RECEITA OU DESPESA],"Receita",LANÇ_MOV[PLANO DE CONTAS],REL_DRE_FINANCEIRO!$B$30,LANÇ_MOV[ANO PAGAMENTO],$B$4,LANÇ_MOV[MÊS PAGAMENTO CORRESPONDENTE],K$6,LANÇ_MOV[EMPRESA],$C$4,LANÇ_MOV[CENTRO DE CUSTOS],$D$4)</f>
        <v>0</v>
      </c>
      <c r="L9" s="206">
        <f>SUMIFS(LANÇ_MOV[VALOR LÍQUIDO],LANÇ_MOV[RECEITA OU DESPESA],"Receita",LANÇ_MOV[PLANO DE CONTAS],REL_DRE_FINANCEIRO!$B$30,LANÇ_MOV[ANO PAGAMENTO],$B$4,LANÇ_MOV[MÊS PAGAMENTO CORRESPONDENTE],L$6,LANÇ_MOV[EMPRESA],$C$4,LANÇ_MOV[CENTRO DE CUSTOS],$D$4)</f>
        <v>0</v>
      </c>
      <c r="M9" s="206">
        <f>SUMIFS(LANÇ_MOV[VALOR LÍQUIDO],LANÇ_MOV[RECEITA OU DESPESA],"Receita",LANÇ_MOV[PLANO DE CONTAS],REL_DRE_FINANCEIRO!$B$30,LANÇ_MOV[ANO PAGAMENTO],$B$4,LANÇ_MOV[MÊS PAGAMENTO CORRESPONDENTE],M$6,LANÇ_MOV[EMPRESA],$C$4,LANÇ_MOV[CENTRO DE CUSTOS],$D$4)</f>
        <v>22067.45</v>
      </c>
      <c r="N9" s="206">
        <f>SUMIFS(LANÇ_MOV[VALOR LÍQUIDO],LANÇ_MOV[RECEITA OU DESPESA],"Receita",LANÇ_MOV[PLANO DE CONTAS],REL_DRE_FINANCEIRO!$B$30,LANÇ_MOV[ANO PAGAMENTO],$B$4,LANÇ_MOV[MÊS PAGAMENTO CORRESPONDENTE],N$6,LANÇ_MOV[EMPRESA],$C$4,LANÇ_MOV[CENTRO DE CUSTOS],$D$4)</f>
        <v>7421.12</v>
      </c>
      <c r="O9" s="206">
        <f>SUMIFS(LANÇ_MOV[VALOR LÍQUIDO],LANÇ_MOV[RECEITA OU DESPESA],"Receita",LANÇ_MOV[PLANO DE CONTAS],REL_DRE_FINANCEIRO!$B$30,LANÇ_MOV[ANO PAGAMENTO],$B$4,LANÇ_MOV[MÊS PAGAMENTO CORRESPONDENTE],O$6,LANÇ_MOV[EMPRESA],$C$4,LANÇ_MOV[CENTRO DE CUSTOS],$D$4)</f>
        <v>0</v>
      </c>
      <c r="P9" s="193">
        <f>SUM(D9:O9)</f>
        <v>29488.57</v>
      </c>
      <c r="Q9" s="495" t="s">
        <v>1103</v>
      </c>
      <c r="R9" s="329"/>
      <c r="S9" s="340"/>
      <c r="T9" s="340"/>
      <c r="U9" s="340"/>
      <c r="V9" s="437"/>
      <c r="W9" s="441"/>
      <c r="X9" s="329"/>
      <c r="Y9" s="329"/>
      <c r="Z9" s="340"/>
      <c r="AA9" s="340"/>
      <c r="AB9" s="340"/>
      <c r="AC9" s="437"/>
      <c r="AD9" s="340"/>
      <c r="AE9" s="340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4"/>
      <c r="AU9" s="24"/>
      <c r="AV9" s="24"/>
      <c r="AW9" s="24"/>
      <c r="AX9" s="24"/>
    </row>
    <row r="10" spans="1:51" s="41" customFormat="1" ht="20.100000000000001" customHeight="1" thickTop="1" thickBot="1" x14ac:dyDescent="0.4">
      <c r="B10" s="618" t="s">
        <v>1444</v>
      </c>
      <c r="C10" s="619"/>
      <c r="D10" s="191">
        <f>D133</f>
        <v>0</v>
      </c>
      <c r="E10" s="191">
        <f t="shared" ref="E10:O10" si="0">E133</f>
        <v>0</v>
      </c>
      <c r="F10" s="191">
        <f t="shared" si="0"/>
        <v>0</v>
      </c>
      <c r="G10" s="191">
        <f t="shared" si="0"/>
        <v>0</v>
      </c>
      <c r="H10" s="191">
        <f t="shared" si="0"/>
        <v>0</v>
      </c>
      <c r="I10" s="191">
        <f t="shared" si="0"/>
        <v>0</v>
      </c>
      <c r="J10" s="191">
        <f t="shared" si="0"/>
        <v>0</v>
      </c>
      <c r="K10" s="191">
        <f t="shared" si="0"/>
        <v>0</v>
      </c>
      <c r="L10" s="191">
        <f t="shared" si="0"/>
        <v>0</v>
      </c>
      <c r="M10" s="191">
        <f t="shared" si="0"/>
        <v>0</v>
      </c>
      <c r="N10" s="191">
        <f t="shared" si="0"/>
        <v>0</v>
      </c>
      <c r="O10" s="191">
        <f t="shared" si="0"/>
        <v>0</v>
      </c>
      <c r="P10" s="193">
        <f>SUM(D10:O10)</f>
        <v>0</v>
      </c>
      <c r="Q10" s="495" t="s">
        <v>1213</v>
      </c>
      <c r="R10" s="329"/>
      <c r="S10" s="340"/>
      <c r="T10" s="340"/>
      <c r="U10" s="340"/>
      <c r="V10" s="437"/>
      <c r="W10" s="441"/>
      <c r="X10" s="329"/>
      <c r="Y10" s="329"/>
      <c r="Z10" s="340"/>
      <c r="AA10" s="340"/>
      <c r="AB10" s="340"/>
      <c r="AC10" s="437"/>
      <c r="AD10" s="340"/>
      <c r="AE10" s="340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4"/>
      <c r="AU10" s="24"/>
      <c r="AV10" s="24"/>
      <c r="AW10" s="24"/>
      <c r="AX10" s="24"/>
    </row>
    <row r="11" spans="1:51" s="323" customFormat="1" ht="20.100000000000001" customHeight="1" thickTop="1" thickBot="1" x14ac:dyDescent="0.4">
      <c r="B11" s="620" t="s">
        <v>1445</v>
      </c>
      <c r="C11" s="621"/>
      <c r="D11" s="324">
        <f>D9-D10</f>
        <v>0</v>
      </c>
      <c r="E11" s="324">
        <f t="shared" ref="E11:P11" si="1">E9-E10</f>
        <v>0</v>
      </c>
      <c r="F11" s="324">
        <f t="shared" si="1"/>
        <v>0</v>
      </c>
      <c r="G11" s="324">
        <f t="shared" si="1"/>
        <v>0</v>
      </c>
      <c r="H11" s="324">
        <f t="shared" si="1"/>
        <v>0</v>
      </c>
      <c r="I11" s="324">
        <f t="shared" si="1"/>
        <v>0</v>
      </c>
      <c r="J11" s="324">
        <f t="shared" si="1"/>
        <v>0</v>
      </c>
      <c r="K11" s="324">
        <f t="shared" si="1"/>
        <v>0</v>
      </c>
      <c r="L11" s="324">
        <f t="shared" si="1"/>
        <v>0</v>
      </c>
      <c r="M11" s="324">
        <f t="shared" si="1"/>
        <v>22067.45</v>
      </c>
      <c r="N11" s="324">
        <f t="shared" si="1"/>
        <v>7421.12</v>
      </c>
      <c r="O11" s="324">
        <f t="shared" si="1"/>
        <v>0</v>
      </c>
      <c r="P11" s="324">
        <f t="shared" si="1"/>
        <v>29488.57</v>
      </c>
      <c r="Q11" s="496" t="s">
        <v>1523</v>
      </c>
      <c r="R11" s="331"/>
      <c r="S11" s="342"/>
      <c r="T11" s="342"/>
      <c r="U11" s="342"/>
      <c r="V11" s="439"/>
      <c r="W11" s="444"/>
      <c r="X11" s="331"/>
      <c r="Y11" s="331"/>
      <c r="Z11" s="342"/>
      <c r="AA11" s="342"/>
      <c r="AB11" s="342"/>
      <c r="AC11" s="439"/>
      <c r="AD11" s="342"/>
      <c r="AE11" s="342"/>
      <c r="AF11" s="343"/>
      <c r="AG11" s="343"/>
      <c r="AH11" s="343"/>
      <c r="AI11" s="343"/>
      <c r="AJ11" s="343"/>
      <c r="AK11" s="343"/>
      <c r="AL11" s="343"/>
      <c r="AM11" s="343"/>
      <c r="AN11" s="343"/>
      <c r="AO11" s="343"/>
      <c r="AP11" s="343"/>
      <c r="AQ11" s="343"/>
      <c r="AR11" s="343"/>
      <c r="AS11" s="343"/>
      <c r="AT11" s="325"/>
      <c r="AU11" s="325"/>
      <c r="AV11" s="325"/>
      <c r="AW11" s="325"/>
      <c r="AX11" s="325"/>
    </row>
    <row r="12" spans="1:51" s="326" customFormat="1" ht="12.95" thickTop="1" thickBot="1" x14ac:dyDescent="0.3">
      <c r="B12" s="612" t="s">
        <v>1446</v>
      </c>
      <c r="C12" s="613"/>
      <c r="D12" s="327" t="str">
        <f>IFERROR(D$10/D$9,"-")</f>
        <v>-</v>
      </c>
      <c r="E12" s="327" t="str">
        <f t="shared" ref="E12:P12" si="2">IFERROR(E$10/E$9,"-")</f>
        <v>-</v>
      </c>
      <c r="F12" s="327" t="str">
        <f t="shared" si="2"/>
        <v>-</v>
      </c>
      <c r="G12" s="327" t="str">
        <f t="shared" si="2"/>
        <v>-</v>
      </c>
      <c r="H12" s="327" t="str">
        <f t="shared" si="2"/>
        <v>-</v>
      </c>
      <c r="I12" s="327" t="str">
        <f t="shared" si="2"/>
        <v>-</v>
      </c>
      <c r="J12" s="327" t="str">
        <f t="shared" si="2"/>
        <v>-</v>
      </c>
      <c r="K12" s="327" t="str">
        <f t="shared" si="2"/>
        <v>-</v>
      </c>
      <c r="L12" s="327" t="str">
        <f t="shared" si="2"/>
        <v>-</v>
      </c>
      <c r="M12" s="327">
        <f t="shared" si="2"/>
        <v>0</v>
      </c>
      <c r="N12" s="327">
        <f t="shared" si="2"/>
        <v>0</v>
      </c>
      <c r="O12" s="327" t="str">
        <f t="shared" si="2"/>
        <v>-</v>
      </c>
      <c r="P12" s="327">
        <f t="shared" si="2"/>
        <v>0</v>
      </c>
      <c r="Q12" s="335"/>
      <c r="R12" s="335"/>
      <c r="S12" s="344"/>
      <c r="T12" s="344"/>
      <c r="U12" s="344"/>
      <c r="V12" s="440"/>
      <c r="W12" s="360"/>
      <c r="X12" s="335"/>
      <c r="Y12" s="335"/>
      <c r="Z12" s="344"/>
      <c r="AA12" s="344"/>
      <c r="AB12" s="344"/>
      <c r="AC12" s="440"/>
      <c r="AD12" s="344"/>
      <c r="AE12" s="344"/>
      <c r="AF12" s="345"/>
      <c r="AG12" s="345"/>
      <c r="AH12" s="345"/>
      <c r="AI12" s="345"/>
      <c r="AJ12" s="345"/>
      <c r="AK12" s="345"/>
      <c r="AL12" s="345"/>
      <c r="AM12" s="345"/>
      <c r="AN12" s="345"/>
      <c r="AO12" s="345"/>
      <c r="AP12" s="345"/>
      <c r="AQ12" s="345"/>
      <c r="AR12" s="345"/>
      <c r="AS12" s="345"/>
      <c r="AT12" s="328"/>
      <c r="AU12" s="328"/>
      <c r="AV12" s="328"/>
      <c r="AW12" s="328"/>
      <c r="AX12" s="328"/>
    </row>
    <row r="13" spans="1:51" s="41" customFormat="1" ht="20.100000000000001" customHeight="1" thickTop="1" thickBot="1" x14ac:dyDescent="0.4">
      <c r="B13" s="618" t="s">
        <v>1447</v>
      </c>
      <c r="C13" s="619"/>
      <c r="D13" s="194">
        <f>D239</f>
        <v>0</v>
      </c>
      <c r="E13" s="195">
        <f t="shared" ref="E13:O13" si="3">E239</f>
        <v>0</v>
      </c>
      <c r="F13" s="195">
        <f t="shared" si="3"/>
        <v>0</v>
      </c>
      <c r="G13" s="195">
        <f t="shared" si="3"/>
        <v>0</v>
      </c>
      <c r="H13" s="195">
        <f t="shared" si="3"/>
        <v>0</v>
      </c>
      <c r="I13" s="195">
        <f t="shared" si="3"/>
        <v>0</v>
      </c>
      <c r="J13" s="195">
        <f t="shared" si="3"/>
        <v>0</v>
      </c>
      <c r="K13" s="195">
        <f t="shared" si="3"/>
        <v>0</v>
      </c>
      <c r="L13" s="195">
        <f t="shared" si="3"/>
        <v>0</v>
      </c>
      <c r="M13" s="195">
        <f t="shared" si="3"/>
        <v>23373.65</v>
      </c>
      <c r="N13" s="195">
        <f t="shared" si="3"/>
        <v>5367.53</v>
      </c>
      <c r="O13" s="195">
        <f t="shared" si="3"/>
        <v>0</v>
      </c>
      <c r="P13" s="193">
        <f t="shared" ref="P13:P19" si="4">SUM(D13:O13)</f>
        <v>28741.18</v>
      </c>
      <c r="Q13" s="495" t="s">
        <v>1524</v>
      </c>
      <c r="R13" s="329"/>
      <c r="S13" s="340"/>
      <c r="T13" s="340"/>
      <c r="U13" s="340"/>
      <c r="V13" s="437"/>
      <c r="W13" s="441"/>
      <c r="X13" s="329"/>
      <c r="Y13" s="329"/>
      <c r="Z13" s="340"/>
      <c r="AA13" s="340"/>
      <c r="AB13" s="340"/>
      <c r="AC13" s="437"/>
      <c r="AD13" s="340"/>
      <c r="AE13" s="340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4"/>
      <c r="AU13" s="24"/>
      <c r="AV13" s="24"/>
      <c r="AW13" s="24"/>
      <c r="AX13" s="24"/>
    </row>
    <row r="14" spans="1:51" s="323" customFormat="1" ht="20.100000000000001" customHeight="1" thickTop="1" thickBot="1" x14ac:dyDescent="0.4">
      <c r="B14" s="620" t="s">
        <v>1448</v>
      </c>
      <c r="C14" s="621"/>
      <c r="D14" s="324">
        <f t="shared" ref="D14:P14" si="5">D11-D13</f>
        <v>0</v>
      </c>
      <c r="E14" s="324">
        <f t="shared" si="5"/>
        <v>0</v>
      </c>
      <c r="F14" s="324">
        <f t="shared" si="5"/>
        <v>0</v>
      </c>
      <c r="G14" s="324">
        <f t="shared" si="5"/>
        <v>0</v>
      </c>
      <c r="H14" s="324">
        <f t="shared" si="5"/>
        <v>0</v>
      </c>
      <c r="I14" s="324">
        <f t="shared" si="5"/>
        <v>0</v>
      </c>
      <c r="J14" s="324">
        <f t="shared" si="5"/>
        <v>0</v>
      </c>
      <c r="K14" s="324">
        <f t="shared" si="5"/>
        <v>0</v>
      </c>
      <c r="L14" s="324">
        <f t="shared" si="5"/>
        <v>0</v>
      </c>
      <c r="M14" s="324">
        <f t="shared" si="5"/>
        <v>-1306.2000000000007</v>
      </c>
      <c r="N14" s="324">
        <f t="shared" si="5"/>
        <v>2053.59</v>
      </c>
      <c r="O14" s="324">
        <f t="shared" si="5"/>
        <v>0</v>
      </c>
      <c r="P14" s="324">
        <f t="shared" si="5"/>
        <v>747.38999999999942</v>
      </c>
      <c r="Q14" s="496" t="s">
        <v>1525</v>
      </c>
      <c r="R14" s="331"/>
      <c r="S14" s="342"/>
      <c r="T14" s="342"/>
      <c r="U14" s="342"/>
      <c r="V14" s="439"/>
      <c r="W14" s="444"/>
      <c r="X14" s="331"/>
      <c r="Y14" s="331"/>
      <c r="Z14" s="342"/>
      <c r="AA14" s="342"/>
      <c r="AB14" s="342"/>
      <c r="AC14" s="439"/>
      <c r="AD14" s="342"/>
      <c r="AE14" s="342"/>
      <c r="AF14" s="343"/>
      <c r="AG14" s="343"/>
      <c r="AH14" s="343"/>
      <c r="AI14" s="343"/>
      <c r="AJ14" s="343"/>
      <c r="AK14" s="343"/>
      <c r="AL14" s="343"/>
      <c r="AM14" s="343"/>
      <c r="AN14" s="343"/>
      <c r="AO14" s="343"/>
      <c r="AP14" s="343"/>
      <c r="AQ14" s="343"/>
      <c r="AR14" s="343"/>
      <c r="AS14" s="343"/>
      <c r="AT14" s="325"/>
      <c r="AU14" s="325"/>
      <c r="AV14" s="325"/>
      <c r="AW14" s="325"/>
      <c r="AX14" s="325"/>
    </row>
    <row r="15" spans="1:51" s="326" customFormat="1" ht="12.95" thickTop="1" thickBot="1" x14ac:dyDescent="0.3">
      <c r="B15" s="612" t="s">
        <v>1449</v>
      </c>
      <c r="C15" s="613"/>
      <c r="D15" s="327" t="str">
        <f t="shared" ref="D15:P15" si="6">IFERROR(D$14/D$9,"-")</f>
        <v>-</v>
      </c>
      <c r="E15" s="327" t="str">
        <f t="shared" si="6"/>
        <v>-</v>
      </c>
      <c r="F15" s="327" t="str">
        <f t="shared" si="6"/>
        <v>-</v>
      </c>
      <c r="G15" s="327" t="str">
        <f t="shared" si="6"/>
        <v>-</v>
      </c>
      <c r="H15" s="327" t="str">
        <f t="shared" si="6"/>
        <v>-</v>
      </c>
      <c r="I15" s="327" t="str">
        <f t="shared" si="6"/>
        <v>-</v>
      </c>
      <c r="J15" s="327" t="str">
        <f t="shared" si="6"/>
        <v>-</v>
      </c>
      <c r="K15" s="327" t="str">
        <f t="shared" si="6"/>
        <v>-</v>
      </c>
      <c r="L15" s="327" t="str">
        <f t="shared" si="6"/>
        <v>-</v>
      </c>
      <c r="M15" s="327">
        <f t="shared" si="6"/>
        <v>-5.9191252274277302E-2</v>
      </c>
      <c r="N15" s="327">
        <f t="shared" si="6"/>
        <v>0.27672238152731665</v>
      </c>
      <c r="O15" s="327" t="str">
        <f t="shared" si="6"/>
        <v>-</v>
      </c>
      <c r="P15" s="327">
        <f t="shared" si="6"/>
        <v>2.5345074379666408E-2</v>
      </c>
      <c r="Q15" s="335"/>
      <c r="R15" s="335"/>
      <c r="S15" s="344"/>
      <c r="T15" s="344"/>
      <c r="U15" s="344"/>
      <c r="V15" s="440"/>
      <c r="W15" s="360"/>
      <c r="X15" s="335"/>
      <c r="Y15" s="335"/>
      <c r="Z15" s="344"/>
      <c r="AA15" s="344"/>
      <c r="AB15" s="344"/>
      <c r="AC15" s="440"/>
      <c r="AD15" s="344"/>
      <c r="AE15" s="344"/>
      <c r="AF15" s="345"/>
      <c r="AG15" s="345"/>
      <c r="AH15" s="345"/>
      <c r="AI15" s="345"/>
      <c r="AJ15" s="345"/>
      <c r="AK15" s="345"/>
      <c r="AL15" s="345"/>
      <c r="AM15" s="345"/>
      <c r="AN15" s="345"/>
      <c r="AO15" s="345"/>
      <c r="AP15" s="345"/>
      <c r="AQ15" s="345"/>
      <c r="AR15" s="345"/>
      <c r="AS15" s="345"/>
      <c r="AT15" s="328"/>
      <c r="AU15" s="328"/>
      <c r="AV15" s="328"/>
      <c r="AW15" s="328"/>
      <c r="AX15" s="328"/>
    </row>
    <row r="16" spans="1:51" s="41" customFormat="1" ht="20.100000000000001" customHeight="1" thickTop="1" thickBot="1" x14ac:dyDescent="0.4">
      <c r="B16" s="618" t="s">
        <v>1450</v>
      </c>
      <c r="C16" s="619"/>
      <c r="D16" s="188">
        <f>D547</f>
        <v>0</v>
      </c>
      <c r="E16" s="189">
        <f t="shared" ref="E16:O16" si="7">E547</f>
        <v>0</v>
      </c>
      <c r="F16" s="189">
        <f t="shared" si="7"/>
        <v>0</v>
      </c>
      <c r="G16" s="189">
        <f t="shared" si="7"/>
        <v>0</v>
      </c>
      <c r="H16" s="189">
        <f t="shared" si="7"/>
        <v>0</v>
      </c>
      <c r="I16" s="189">
        <f t="shared" si="7"/>
        <v>0</v>
      </c>
      <c r="J16" s="189">
        <f t="shared" si="7"/>
        <v>0</v>
      </c>
      <c r="K16" s="189">
        <f t="shared" si="7"/>
        <v>0</v>
      </c>
      <c r="L16" s="189">
        <f t="shared" si="7"/>
        <v>0</v>
      </c>
      <c r="M16" s="189">
        <f t="shared" si="7"/>
        <v>0</v>
      </c>
      <c r="N16" s="189">
        <f t="shared" si="7"/>
        <v>0</v>
      </c>
      <c r="O16" s="189">
        <f t="shared" si="7"/>
        <v>0</v>
      </c>
      <c r="P16" s="193">
        <f t="shared" si="4"/>
        <v>0</v>
      </c>
      <c r="Q16" s="495" t="s">
        <v>1526</v>
      </c>
      <c r="R16" s="329"/>
      <c r="S16" s="340"/>
      <c r="T16" s="340"/>
      <c r="U16" s="340"/>
      <c r="V16" s="437"/>
      <c r="W16" s="441"/>
      <c r="X16" s="329"/>
      <c r="Y16" s="329"/>
      <c r="Z16" s="340"/>
      <c r="AA16" s="340"/>
      <c r="AB16" s="340"/>
      <c r="AC16" s="437"/>
      <c r="AD16" s="340"/>
      <c r="AE16" s="340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4"/>
      <c r="AU16" s="24"/>
      <c r="AV16" s="24"/>
      <c r="AW16" s="24"/>
      <c r="AX16" s="24"/>
    </row>
    <row r="17" spans="1:50" s="196" customFormat="1" ht="20.100000000000001" customHeight="1" thickTop="1" thickBot="1" x14ac:dyDescent="0.4">
      <c r="B17" s="608" t="s">
        <v>1451</v>
      </c>
      <c r="C17" s="609"/>
      <c r="D17" s="197">
        <f>D753</f>
        <v>0</v>
      </c>
      <c r="E17" s="197">
        <f t="shared" ref="E17:O17" si="8">E753</f>
        <v>0</v>
      </c>
      <c r="F17" s="197">
        <f t="shared" si="8"/>
        <v>0</v>
      </c>
      <c r="G17" s="197">
        <f t="shared" si="8"/>
        <v>0</v>
      </c>
      <c r="H17" s="197">
        <f t="shared" si="8"/>
        <v>0</v>
      </c>
      <c r="I17" s="197">
        <f t="shared" si="8"/>
        <v>0</v>
      </c>
      <c r="J17" s="197">
        <f t="shared" si="8"/>
        <v>0</v>
      </c>
      <c r="K17" s="197">
        <f t="shared" si="8"/>
        <v>0</v>
      </c>
      <c r="L17" s="197">
        <f t="shared" si="8"/>
        <v>0</v>
      </c>
      <c r="M17" s="197">
        <f t="shared" si="8"/>
        <v>0</v>
      </c>
      <c r="N17" s="197">
        <f t="shared" si="8"/>
        <v>0</v>
      </c>
      <c r="O17" s="197">
        <f t="shared" si="8"/>
        <v>0</v>
      </c>
      <c r="P17" s="193">
        <f t="shared" si="4"/>
        <v>0</v>
      </c>
      <c r="Q17" s="497" t="s">
        <v>229</v>
      </c>
      <c r="R17" s="329"/>
      <c r="S17" s="340"/>
      <c r="T17" s="340"/>
      <c r="U17" s="340"/>
      <c r="V17" s="437"/>
      <c r="W17" s="441"/>
      <c r="X17" s="329"/>
      <c r="Y17" s="329"/>
      <c r="Z17" s="340"/>
      <c r="AA17" s="340"/>
      <c r="AB17" s="340"/>
      <c r="AC17" s="437"/>
      <c r="AD17" s="340"/>
      <c r="AE17" s="340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4"/>
      <c r="AU17" s="24"/>
      <c r="AV17" s="24"/>
      <c r="AW17" s="24"/>
      <c r="AX17" s="24"/>
    </row>
    <row r="18" spans="1:50" s="41" customFormat="1" ht="20.100000000000001" customHeight="1" thickTop="1" thickBot="1" x14ac:dyDescent="0.4">
      <c r="B18" s="608" t="s">
        <v>1452</v>
      </c>
      <c r="C18" s="609"/>
      <c r="D18" s="190">
        <f>D855</f>
        <v>0</v>
      </c>
      <c r="E18" s="190">
        <f t="shared" ref="E18:O18" si="9">E855</f>
        <v>0</v>
      </c>
      <c r="F18" s="190">
        <f t="shared" si="9"/>
        <v>0</v>
      </c>
      <c r="G18" s="190">
        <f t="shared" si="9"/>
        <v>0</v>
      </c>
      <c r="H18" s="190">
        <f t="shared" si="9"/>
        <v>0</v>
      </c>
      <c r="I18" s="190">
        <f t="shared" si="9"/>
        <v>0</v>
      </c>
      <c r="J18" s="190">
        <f t="shared" si="9"/>
        <v>0</v>
      </c>
      <c r="K18" s="190">
        <f t="shared" si="9"/>
        <v>0</v>
      </c>
      <c r="L18" s="190">
        <f t="shared" si="9"/>
        <v>0</v>
      </c>
      <c r="M18" s="190">
        <f t="shared" si="9"/>
        <v>0</v>
      </c>
      <c r="N18" s="190">
        <f t="shared" si="9"/>
        <v>0</v>
      </c>
      <c r="O18" s="190">
        <f t="shared" si="9"/>
        <v>0</v>
      </c>
      <c r="P18" s="193">
        <f t="shared" si="4"/>
        <v>0</v>
      </c>
      <c r="Q18" s="495" t="s">
        <v>1527</v>
      </c>
      <c r="R18" s="329"/>
      <c r="S18" s="340"/>
      <c r="T18" s="340"/>
      <c r="U18" s="340"/>
      <c r="V18" s="437"/>
      <c r="W18" s="441"/>
      <c r="X18" s="329"/>
      <c r="Y18" s="329"/>
      <c r="Z18" s="340"/>
      <c r="AA18" s="340"/>
      <c r="AB18" s="340"/>
      <c r="AC18" s="437"/>
      <c r="AD18" s="340"/>
      <c r="AE18" s="340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4"/>
      <c r="AU18" s="24"/>
      <c r="AV18" s="24"/>
      <c r="AW18" s="24"/>
      <c r="AX18" s="24"/>
    </row>
    <row r="19" spans="1:50" s="41" customFormat="1" ht="20.100000000000001" customHeight="1" thickTop="1" thickBot="1" x14ac:dyDescent="0.4">
      <c r="B19" s="608" t="s">
        <v>1453</v>
      </c>
      <c r="C19" s="609"/>
      <c r="D19" s="190">
        <f>D957</f>
        <v>0</v>
      </c>
      <c r="E19" s="190">
        <f t="shared" ref="E19:O19" si="10">E957</f>
        <v>0</v>
      </c>
      <c r="F19" s="190">
        <f t="shared" si="10"/>
        <v>0</v>
      </c>
      <c r="G19" s="190">
        <f t="shared" si="10"/>
        <v>0</v>
      </c>
      <c r="H19" s="190">
        <f t="shared" si="10"/>
        <v>0</v>
      </c>
      <c r="I19" s="190">
        <f t="shared" si="10"/>
        <v>0</v>
      </c>
      <c r="J19" s="190">
        <f t="shared" si="10"/>
        <v>0</v>
      </c>
      <c r="K19" s="190">
        <f t="shared" si="10"/>
        <v>0</v>
      </c>
      <c r="L19" s="190">
        <f t="shared" si="10"/>
        <v>0</v>
      </c>
      <c r="M19" s="190">
        <f t="shared" si="10"/>
        <v>0</v>
      </c>
      <c r="N19" s="190">
        <f t="shared" si="10"/>
        <v>0</v>
      </c>
      <c r="O19" s="190">
        <f t="shared" si="10"/>
        <v>0</v>
      </c>
      <c r="P19" s="193">
        <f t="shared" si="4"/>
        <v>0</v>
      </c>
      <c r="Q19" s="495" t="s">
        <v>1528</v>
      </c>
      <c r="R19" s="329"/>
      <c r="S19" s="340"/>
      <c r="T19" s="340"/>
      <c r="U19" s="340"/>
      <c r="V19" s="437"/>
      <c r="W19" s="441"/>
      <c r="X19" s="329"/>
      <c r="Y19" s="329"/>
      <c r="Z19" s="340"/>
      <c r="AA19" s="340"/>
      <c r="AB19" s="340"/>
      <c r="AC19" s="437"/>
      <c r="AD19" s="340"/>
      <c r="AE19" s="340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4"/>
      <c r="AU19" s="24"/>
      <c r="AV19" s="24"/>
      <c r="AW19" s="24"/>
      <c r="AX19" s="24"/>
    </row>
    <row r="20" spans="1:50" s="323" customFormat="1" ht="20.100000000000001" customHeight="1" thickTop="1" thickBot="1" x14ac:dyDescent="0.4">
      <c r="B20" s="610" t="s">
        <v>1454</v>
      </c>
      <c r="C20" s="611"/>
      <c r="D20" s="324">
        <f>D14+D16-D17-D18-D19</f>
        <v>0</v>
      </c>
      <c r="E20" s="324">
        <f>E14+E16-E17-E18-E19</f>
        <v>0</v>
      </c>
      <c r="F20" s="324">
        <f t="shared" ref="F20:O20" si="11">F14+F16-F17-F18-F19</f>
        <v>0</v>
      </c>
      <c r="G20" s="324">
        <f t="shared" si="11"/>
        <v>0</v>
      </c>
      <c r="H20" s="324">
        <f t="shared" si="11"/>
        <v>0</v>
      </c>
      <c r="I20" s="324">
        <f t="shared" si="11"/>
        <v>0</v>
      </c>
      <c r="J20" s="324">
        <f t="shared" si="11"/>
        <v>0</v>
      </c>
      <c r="K20" s="324">
        <f t="shared" si="11"/>
        <v>0</v>
      </c>
      <c r="L20" s="324">
        <f t="shared" si="11"/>
        <v>0</v>
      </c>
      <c r="M20" s="324">
        <f t="shared" si="11"/>
        <v>-1306.2000000000007</v>
      </c>
      <c r="N20" s="324">
        <f t="shared" si="11"/>
        <v>2053.59</v>
      </c>
      <c r="O20" s="324">
        <f t="shared" si="11"/>
        <v>0</v>
      </c>
      <c r="P20" s="324">
        <f>P11-P13+P16-P17-P18-P19</f>
        <v>747.38999999999942</v>
      </c>
      <c r="Q20" s="496" t="s">
        <v>1529</v>
      </c>
      <c r="R20" s="331"/>
      <c r="S20" s="342"/>
      <c r="T20" s="342"/>
      <c r="U20" s="342"/>
      <c r="V20" s="439"/>
      <c r="W20" s="444"/>
      <c r="X20" s="331"/>
      <c r="Y20" s="331"/>
      <c r="Z20" s="342"/>
      <c r="AA20" s="342"/>
      <c r="AB20" s="342"/>
      <c r="AC20" s="439"/>
      <c r="AD20" s="342"/>
      <c r="AE20" s="342"/>
      <c r="AF20" s="343"/>
      <c r="AG20" s="343"/>
      <c r="AH20" s="343"/>
      <c r="AI20" s="343"/>
      <c r="AJ20" s="343"/>
      <c r="AK20" s="343"/>
      <c r="AL20" s="343"/>
      <c r="AM20" s="343"/>
      <c r="AN20" s="343"/>
      <c r="AO20" s="343"/>
      <c r="AP20" s="343"/>
      <c r="AQ20" s="343"/>
      <c r="AR20" s="343"/>
      <c r="AS20" s="343"/>
      <c r="AT20" s="325"/>
      <c r="AU20" s="325"/>
      <c r="AV20" s="325"/>
      <c r="AW20" s="325"/>
      <c r="AX20" s="325"/>
    </row>
    <row r="21" spans="1:50" s="326" customFormat="1" ht="20.100000000000001" customHeight="1" thickTop="1" thickBot="1" x14ac:dyDescent="0.3">
      <c r="B21" s="612" t="s">
        <v>1455</v>
      </c>
      <c r="C21" s="613"/>
      <c r="D21" s="327" t="str">
        <f t="shared" ref="D21:P21" si="12">IFERROR(D$20/D$9,"-")</f>
        <v>-</v>
      </c>
      <c r="E21" s="327" t="str">
        <f t="shared" si="12"/>
        <v>-</v>
      </c>
      <c r="F21" s="327" t="str">
        <f t="shared" si="12"/>
        <v>-</v>
      </c>
      <c r="G21" s="327" t="str">
        <f t="shared" si="12"/>
        <v>-</v>
      </c>
      <c r="H21" s="327" t="str">
        <f t="shared" si="12"/>
        <v>-</v>
      </c>
      <c r="I21" s="327" t="str">
        <f t="shared" si="12"/>
        <v>-</v>
      </c>
      <c r="J21" s="327" t="str">
        <f t="shared" si="12"/>
        <v>-</v>
      </c>
      <c r="K21" s="327" t="str">
        <f t="shared" si="12"/>
        <v>-</v>
      </c>
      <c r="L21" s="327" t="str">
        <f t="shared" si="12"/>
        <v>-</v>
      </c>
      <c r="M21" s="327">
        <f t="shared" si="12"/>
        <v>-5.9191252274277302E-2</v>
      </c>
      <c r="N21" s="327">
        <f t="shared" si="12"/>
        <v>0.27672238152731665</v>
      </c>
      <c r="O21" s="327" t="str">
        <f t="shared" si="12"/>
        <v>-</v>
      </c>
      <c r="P21" s="327">
        <f t="shared" si="12"/>
        <v>2.5345074379666408E-2</v>
      </c>
      <c r="Q21" s="335"/>
      <c r="R21" s="335"/>
      <c r="S21" s="344"/>
      <c r="T21" s="344"/>
      <c r="U21" s="344"/>
      <c r="V21" s="440"/>
      <c r="W21" s="360"/>
      <c r="X21" s="335"/>
      <c r="Y21" s="335"/>
      <c r="Z21" s="344"/>
      <c r="AA21" s="344"/>
      <c r="AB21" s="344"/>
      <c r="AC21" s="440"/>
      <c r="AD21" s="344"/>
      <c r="AE21" s="344"/>
      <c r="AF21" s="345"/>
      <c r="AG21" s="345"/>
      <c r="AH21" s="345"/>
      <c r="AI21" s="345"/>
      <c r="AJ21" s="345"/>
      <c r="AK21" s="345"/>
      <c r="AL21" s="345"/>
      <c r="AM21" s="345"/>
      <c r="AN21" s="345"/>
      <c r="AO21" s="345"/>
      <c r="AP21" s="345"/>
      <c r="AQ21" s="345"/>
      <c r="AR21" s="345"/>
      <c r="AS21" s="345"/>
      <c r="AT21" s="328"/>
      <c r="AU21" s="328"/>
      <c r="AV21" s="328"/>
      <c r="AW21" s="328"/>
      <c r="AX21" s="328"/>
    </row>
    <row r="22" spans="1:50" s="8" customFormat="1" ht="3.75" customHeight="1" thickTop="1" thickBot="1" x14ac:dyDescent="0.4">
      <c r="A22" s="7"/>
      <c r="B22" s="26"/>
      <c r="C22" s="26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6"/>
      <c r="Q22" s="329"/>
      <c r="R22" s="329"/>
      <c r="S22" s="340"/>
      <c r="T22" s="340"/>
      <c r="U22" s="340"/>
      <c r="V22" s="437"/>
      <c r="W22" s="441"/>
      <c r="X22" s="329"/>
      <c r="Y22" s="329"/>
      <c r="Z22" s="340"/>
      <c r="AA22" s="340"/>
      <c r="AB22" s="340"/>
      <c r="AC22" s="437"/>
      <c r="AD22" s="340"/>
      <c r="AE22" s="340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4"/>
      <c r="AU22" s="24"/>
      <c r="AV22" s="24"/>
      <c r="AW22" s="24"/>
      <c r="AX22" s="24"/>
    </row>
    <row r="23" spans="1:50" s="41" customFormat="1" ht="20.100000000000001" customHeight="1" thickTop="1" thickBot="1" x14ac:dyDescent="0.4">
      <c r="B23" s="608" t="s">
        <v>1609</v>
      </c>
      <c r="C23" s="609"/>
      <c r="D23" s="190">
        <f>D1062</f>
        <v>0</v>
      </c>
      <c r="E23" s="190">
        <f t="shared" ref="E23:O23" si="13">E1062</f>
        <v>0</v>
      </c>
      <c r="F23" s="190">
        <f t="shared" si="13"/>
        <v>0</v>
      </c>
      <c r="G23" s="190">
        <f t="shared" si="13"/>
        <v>0</v>
      </c>
      <c r="H23" s="190">
        <f t="shared" si="13"/>
        <v>0</v>
      </c>
      <c r="I23" s="190">
        <f t="shared" si="13"/>
        <v>0</v>
      </c>
      <c r="J23" s="190">
        <f t="shared" si="13"/>
        <v>0</v>
      </c>
      <c r="K23" s="190">
        <f t="shared" si="13"/>
        <v>0</v>
      </c>
      <c r="L23" s="190">
        <f t="shared" si="13"/>
        <v>0</v>
      </c>
      <c r="M23" s="190">
        <f t="shared" si="13"/>
        <v>657.12999999999988</v>
      </c>
      <c r="N23" s="190">
        <f t="shared" si="13"/>
        <v>321.31</v>
      </c>
      <c r="O23" s="190">
        <f t="shared" si="13"/>
        <v>0</v>
      </c>
      <c r="P23" s="193">
        <f>SUM(D23:O23)</f>
        <v>978.43999999999983</v>
      </c>
      <c r="Q23" s="495" t="s">
        <v>1528</v>
      </c>
      <c r="R23" s="329"/>
      <c r="S23" s="340"/>
      <c r="T23" s="340"/>
      <c r="U23" s="340"/>
      <c r="V23" s="437"/>
      <c r="W23" s="441"/>
      <c r="X23" s="329"/>
      <c r="Y23" s="329"/>
      <c r="Z23" s="340"/>
      <c r="AA23" s="340"/>
      <c r="AB23" s="340"/>
      <c r="AC23" s="437"/>
      <c r="AD23" s="340"/>
      <c r="AE23" s="340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4"/>
      <c r="AU23" s="24"/>
      <c r="AV23" s="24"/>
      <c r="AW23" s="24"/>
      <c r="AX23" s="24"/>
    </row>
    <row r="24" spans="1:50" s="41" customFormat="1" ht="20.100000000000001" customHeight="1" thickTop="1" thickBot="1" x14ac:dyDescent="0.4">
      <c r="B24" s="608" t="s">
        <v>1608</v>
      </c>
      <c r="C24" s="609"/>
      <c r="D24" s="190">
        <f>D1164</f>
        <v>0</v>
      </c>
      <c r="E24" s="190">
        <f t="shared" ref="E24:O24" si="14">E1164</f>
        <v>0</v>
      </c>
      <c r="F24" s="190">
        <f t="shared" si="14"/>
        <v>0</v>
      </c>
      <c r="G24" s="190">
        <f t="shared" si="14"/>
        <v>0</v>
      </c>
      <c r="H24" s="190">
        <f t="shared" si="14"/>
        <v>0</v>
      </c>
      <c r="I24" s="190">
        <f t="shared" si="14"/>
        <v>0</v>
      </c>
      <c r="J24" s="190">
        <f t="shared" si="14"/>
        <v>0</v>
      </c>
      <c r="K24" s="190">
        <f t="shared" si="14"/>
        <v>0</v>
      </c>
      <c r="L24" s="190">
        <f t="shared" si="14"/>
        <v>0</v>
      </c>
      <c r="M24" s="190">
        <f t="shared" si="14"/>
        <v>0</v>
      </c>
      <c r="N24" s="190">
        <f t="shared" si="14"/>
        <v>0</v>
      </c>
      <c r="O24" s="190">
        <f t="shared" si="14"/>
        <v>0</v>
      </c>
      <c r="P24" s="193">
        <f>SUM(D24:O24)</f>
        <v>0</v>
      </c>
      <c r="Q24" s="495" t="s">
        <v>1528</v>
      </c>
      <c r="R24" s="329"/>
      <c r="S24" s="340"/>
      <c r="T24" s="340"/>
      <c r="U24" s="340"/>
      <c r="V24" s="437"/>
      <c r="W24" s="441"/>
      <c r="X24" s="329"/>
      <c r="Y24" s="329"/>
      <c r="Z24" s="340"/>
      <c r="AA24" s="340"/>
      <c r="AB24" s="340"/>
      <c r="AC24" s="437"/>
      <c r="AD24" s="340"/>
      <c r="AE24" s="340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4"/>
      <c r="AU24" s="24"/>
      <c r="AV24" s="24"/>
      <c r="AW24" s="24"/>
      <c r="AX24" s="24"/>
    </row>
    <row r="25" spans="1:50" s="323" customFormat="1" ht="20.100000000000001" customHeight="1" thickTop="1" thickBot="1" x14ac:dyDescent="0.4">
      <c r="B25" s="610" t="s">
        <v>1607</v>
      </c>
      <c r="C25" s="611"/>
      <c r="D25" s="324">
        <f>D20+(D23-D24)</f>
        <v>0</v>
      </c>
      <c r="E25" s="324">
        <f t="shared" ref="E25:O25" si="15">E20+(E23-E24)</f>
        <v>0</v>
      </c>
      <c r="F25" s="324">
        <f t="shared" si="15"/>
        <v>0</v>
      </c>
      <c r="G25" s="324">
        <f t="shared" si="15"/>
        <v>0</v>
      </c>
      <c r="H25" s="324">
        <f t="shared" si="15"/>
        <v>0</v>
      </c>
      <c r="I25" s="324">
        <f t="shared" si="15"/>
        <v>0</v>
      </c>
      <c r="J25" s="324">
        <f t="shared" si="15"/>
        <v>0</v>
      </c>
      <c r="K25" s="324">
        <f t="shared" si="15"/>
        <v>0</v>
      </c>
      <c r="L25" s="324">
        <f t="shared" si="15"/>
        <v>0</v>
      </c>
      <c r="M25" s="324">
        <f t="shared" si="15"/>
        <v>-649.07000000000085</v>
      </c>
      <c r="N25" s="324">
        <f t="shared" si="15"/>
        <v>2374.9</v>
      </c>
      <c r="O25" s="324">
        <f t="shared" si="15"/>
        <v>0</v>
      </c>
      <c r="P25" s="324">
        <f>P16-P18+P21-P22-P23-P24</f>
        <v>-978.4146549256202</v>
      </c>
      <c r="Q25" s="496" t="s">
        <v>1529</v>
      </c>
      <c r="R25" s="331"/>
      <c r="S25" s="342"/>
      <c r="T25" s="342"/>
      <c r="U25" s="342"/>
      <c r="V25" s="439"/>
      <c r="W25" s="444"/>
      <c r="X25" s="331"/>
      <c r="Y25" s="331"/>
      <c r="Z25" s="342"/>
      <c r="AA25" s="342"/>
      <c r="AB25" s="342"/>
      <c r="AC25" s="439"/>
      <c r="AD25" s="342"/>
      <c r="AE25" s="342"/>
      <c r="AF25" s="343"/>
      <c r="AG25" s="343"/>
      <c r="AH25" s="343"/>
      <c r="AI25" s="343"/>
      <c r="AJ25" s="343"/>
      <c r="AK25" s="343"/>
      <c r="AL25" s="343"/>
      <c r="AM25" s="343"/>
      <c r="AN25" s="343"/>
      <c r="AO25" s="343"/>
      <c r="AP25" s="343"/>
      <c r="AQ25" s="343"/>
      <c r="AR25" s="343"/>
      <c r="AS25" s="343"/>
      <c r="AT25" s="325"/>
      <c r="AU25" s="325"/>
      <c r="AV25" s="325"/>
      <c r="AW25" s="325"/>
      <c r="AX25" s="325"/>
    </row>
    <row r="26" spans="1:50" s="8" customFormat="1" ht="3.75" customHeight="1" thickTop="1" x14ac:dyDescent="0.35">
      <c r="A26" s="7"/>
      <c r="B26" s="26"/>
      <c r="C26" s="26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6"/>
      <c r="Q26" s="329"/>
      <c r="R26" s="329"/>
      <c r="S26" s="340"/>
      <c r="T26" s="340"/>
      <c r="U26" s="340"/>
      <c r="V26" s="437"/>
      <c r="W26" s="441"/>
      <c r="X26" s="329"/>
      <c r="Y26" s="329"/>
      <c r="Z26" s="340"/>
      <c r="AA26" s="340"/>
      <c r="AB26" s="340"/>
      <c r="AC26" s="437"/>
      <c r="AD26" s="340"/>
      <c r="AE26" s="340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4"/>
      <c r="AU26" s="24"/>
      <c r="AV26" s="24"/>
      <c r="AW26" s="24"/>
      <c r="AX26" s="24"/>
    </row>
    <row r="27" spans="1:50" ht="30.05" customHeight="1" x14ac:dyDescent="0.35">
      <c r="A27" s="198" t="s">
        <v>1064</v>
      </c>
      <c r="B27" s="199" t="s">
        <v>1061</v>
      </c>
      <c r="C27" s="199"/>
    </row>
    <row r="28" spans="1:50" s="15" customFormat="1" ht="30.05" customHeight="1" x14ac:dyDescent="0.35">
      <c r="B28" s="606" t="s">
        <v>1103</v>
      </c>
      <c r="C28" s="607"/>
      <c r="D28" s="202">
        <f>D30</f>
        <v>0</v>
      </c>
      <c r="E28" s="202">
        <f t="shared" ref="E28:P28" si="16">E30</f>
        <v>0</v>
      </c>
      <c r="F28" s="202">
        <f t="shared" si="16"/>
        <v>0</v>
      </c>
      <c r="G28" s="202">
        <f t="shared" si="16"/>
        <v>0</v>
      </c>
      <c r="H28" s="202">
        <f t="shared" si="16"/>
        <v>0</v>
      </c>
      <c r="I28" s="202">
        <f t="shared" si="16"/>
        <v>0</v>
      </c>
      <c r="J28" s="202">
        <f t="shared" si="16"/>
        <v>0</v>
      </c>
      <c r="K28" s="202">
        <f t="shared" si="16"/>
        <v>0</v>
      </c>
      <c r="L28" s="202">
        <f t="shared" si="16"/>
        <v>0</v>
      </c>
      <c r="M28" s="202">
        <f t="shared" si="16"/>
        <v>22067.45</v>
      </c>
      <c r="N28" s="202">
        <f t="shared" si="16"/>
        <v>7421.12</v>
      </c>
      <c r="O28" s="202">
        <f t="shared" si="16"/>
        <v>0</v>
      </c>
      <c r="P28" s="202">
        <f t="shared" si="16"/>
        <v>29488.57</v>
      </c>
      <c r="Q28" s="331"/>
      <c r="R28" s="331"/>
      <c r="S28" s="342"/>
      <c r="T28" s="342"/>
      <c r="U28" s="342"/>
      <c r="V28" s="439"/>
      <c r="W28" s="444"/>
      <c r="X28" s="331"/>
      <c r="Y28" s="331"/>
      <c r="Z28" s="342"/>
      <c r="AA28" s="342"/>
      <c r="AB28" s="342"/>
      <c r="AC28" s="439" t="s">
        <v>1124</v>
      </c>
      <c r="AD28" s="342"/>
      <c r="AE28" s="342"/>
      <c r="AF28" s="343"/>
      <c r="AG28" s="343"/>
      <c r="AH28" s="343"/>
      <c r="AI28" s="343"/>
      <c r="AJ28" s="343"/>
      <c r="AK28" s="343"/>
      <c r="AL28" s="343"/>
      <c r="AM28" s="343"/>
      <c r="AN28" s="343"/>
      <c r="AO28" s="343"/>
      <c r="AP28" s="343"/>
      <c r="AQ28" s="343"/>
      <c r="AR28" s="343"/>
      <c r="AS28" s="343"/>
      <c r="AT28" s="121"/>
      <c r="AU28" s="121"/>
      <c r="AV28" s="121"/>
      <c r="AW28" s="121"/>
      <c r="AX28" s="121"/>
    </row>
    <row r="29" spans="1:50" ht="6.75" customHeight="1" thickBot="1" x14ac:dyDescent="0.4">
      <c r="D29" s="134" t="s">
        <v>1044</v>
      </c>
      <c r="E29" s="134" t="s">
        <v>1045</v>
      </c>
      <c r="F29" s="134" t="s">
        <v>1046</v>
      </c>
      <c r="G29" s="134" t="s">
        <v>1047</v>
      </c>
      <c r="H29" s="134" t="s">
        <v>1048</v>
      </c>
      <c r="I29" s="134" t="s">
        <v>1049</v>
      </c>
      <c r="J29" s="134" t="s">
        <v>1050</v>
      </c>
      <c r="K29" s="134" t="s">
        <v>1051</v>
      </c>
      <c r="L29" s="134" t="s">
        <v>1052</v>
      </c>
      <c r="M29" s="134" t="s">
        <v>1053</v>
      </c>
      <c r="N29" s="134" t="s">
        <v>1054</v>
      </c>
      <c r="O29" s="134" t="s">
        <v>1055</v>
      </c>
      <c r="P29" s="135" t="s">
        <v>1198</v>
      </c>
      <c r="AC29" s="441">
        <f>VLOOKUP(Apoio!$BC$12,Apoio!BR5:BS14,2,0)</f>
        <v>1</v>
      </c>
    </row>
    <row r="30" spans="1:50" ht="30.05" customHeight="1" thickTop="1" x14ac:dyDescent="0.35">
      <c r="B30" s="601" t="str">
        <f>'CAD_PL_REC-DESP'!C4</f>
        <v>RECEITAS OPERACIONAIS</v>
      </c>
      <c r="C30" s="602"/>
      <c r="D30" s="203">
        <f>SUM(D31:D130)</f>
        <v>0</v>
      </c>
      <c r="E30" s="203">
        <f t="shared" ref="E30:O30" si="17">SUM(E31:E130)</f>
        <v>0</v>
      </c>
      <c r="F30" s="203">
        <f t="shared" si="17"/>
        <v>0</v>
      </c>
      <c r="G30" s="203">
        <f t="shared" si="17"/>
        <v>0</v>
      </c>
      <c r="H30" s="203">
        <f t="shared" si="17"/>
        <v>0</v>
      </c>
      <c r="I30" s="203">
        <f t="shared" si="17"/>
        <v>0</v>
      </c>
      <c r="J30" s="203">
        <f t="shared" si="17"/>
        <v>0</v>
      </c>
      <c r="K30" s="203">
        <f t="shared" si="17"/>
        <v>0</v>
      </c>
      <c r="L30" s="203">
        <f t="shared" si="17"/>
        <v>0</v>
      </c>
      <c r="M30" s="203">
        <f t="shared" si="17"/>
        <v>22067.45</v>
      </c>
      <c r="N30" s="203">
        <f t="shared" si="17"/>
        <v>7421.12</v>
      </c>
      <c r="O30" s="203">
        <f t="shared" si="17"/>
        <v>0</v>
      </c>
      <c r="P30" s="203">
        <f>SUM(D30:O30)</f>
        <v>29488.57</v>
      </c>
      <c r="Q30" s="332" t="s">
        <v>1117</v>
      </c>
      <c r="R30" s="332" t="s">
        <v>1118</v>
      </c>
      <c r="S30" s="605" t="s">
        <v>1119</v>
      </c>
      <c r="T30" s="605"/>
      <c r="U30" s="332" t="s">
        <v>1120</v>
      </c>
      <c r="V30" s="445"/>
      <c r="W30" s="446"/>
      <c r="Z30" s="340" t="s">
        <v>1121</v>
      </c>
      <c r="AA30" s="340" t="s">
        <v>1122</v>
      </c>
      <c r="AC30" s="437" t="s">
        <v>1200</v>
      </c>
    </row>
    <row r="31" spans="1:50" ht="30.05" customHeight="1" x14ac:dyDescent="0.35">
      <c r="B31" s="204" t="str">
        <f>'CAD_PL_REC-DESP'!B5</f>
        <v>1.1.1</v>
      </c>
      <c r="C31" s="205" t="str">
        <f>IF('CAD_PL_REC-DESP'!C5="","-",'CAD_PL_REC-DESP'!C5)</f>
        <v>MATRICULA</v>
      </c>
      <c r="D31" s="206">
        <f>SUMIFS(LANÇ_MOV[VALOR LÍQUIDO],LANÇ_MOV[RECEITA OU DESPESA],"Receita",LANÇ_MOV[CONTAS],$C31,LANÇ_MOV[PLANO DE CONTAS],REL_DRE_FINANCEIRO!$B$30,LANÇ_MOV[ANO PAGAMENTO],$B$4,LANÇ_MOV[MÊS PAGAMENTO CORRESPONDENTE],D$6,LANÇ_MOV[EMPRESA],$C$4,LANÇ_MOV[CENTRO DE CUSTOS],$D$4)</f>
        <v>0</v>
      </c>
      <c r="E31" s="206">
        <f>SUMIFS(LANÇ_MOV[VALOR LÍQUIDO],LANÇ_MOV[RECEITA OU DESPESA],"Receita",LANÇ_MOV[CONTAS],$C31,LANÇ_MOV[PLANO DE CONTAS],REL_DRE_FINANCEIRO!$B$30,LANÇ_MOV[ANO PAGAMENTO],$B$4,LANÇ_MOV[MÊS PAGAMENTO CORRESPONDENTE],E$6,LANÇ_MOV[EMPRESA],$C$4,LANÇ_MOV[CENTRO DE CUSTOS],$D$4)</f>
        <v>0</v>
      </c>
      <c r="F31" s="206">
        <f>SUMIFS(LANÇ_MOV[VALOR LÍQUIDO],LANÇ_MOV[RECEITA OU DESPESA],"Receita",LANÇ_MOV[CONTAS],$C31,LANÇ_MOV[PLANO DE CONTAS],REL_DRE_FINANCEIRO!$B$30,LANÇ_MOV[ANO PAGAMENTO],$B$4,LANÇ_MOV[MÊS PAGAMENTO CORRESPONDENTE],F$6,LANÇ_MOV[EMPRESA],$C$4,LANÇ_MOV[CENTRO DE CUSTOS],$D$4)</f>
        <v>0</v>
      </c>
      <c r="G31" s="206">
        <f>SUMIFS(LANÇ_MOV[VALOR LÍQUIDO],LANÇ_MOV[RECEITA OU DESPESA],"Receita",LANÇ_MOV[CONTAS],$C31,LANÇ_MOV[PLANO DE CONTAS],REL_DRE_FINANCEIRO!$B$30,LANÇ_MOV[ANO PAGAMENTO],$B$4,LANÇ_MOV[MÊS PAGAMENTO CORRESPONDENTE],G$6,LANÇ_MOV[EMPRESA],$C$4,LANÇ_MOV[CENTRO DE CUSTOS],$D$4)</f>
        <v>0</v>
      </c>
      <c r="H31" s="206">
        <f>SUMIFS(LANÇ_MOV[VALOR LÍQUIDO],LANÇ_MOV[RECEITA OU DESPESA],"Receita",LANÇ_MOV[CONTAS],$C31,LANÇ_MOV[PLANO DE CONTAS],REL_DRE_FINANCEIRO!$B$30,LANÇ_MOV[ANO PAGAMENTO],$B$4,LANÇ_MOV[MÊS PAGAMENTO CORRESPONDENTE],H$6,LANÇ_MOV[EMPRESA],$C$4,LANÇ_MOV[CENTRO DE CUSTOS],$D$4)</f>
        <v>0</v>
      </c>
      <c r="I31" s="206">
        <f>SUMIFS(LANÇ_MOV[VALOR LÍQUIDO],LANÇ_MOV[RECEITA OU DESPESA],"Receita",LANÇ_MOV[CONTAS],$C31,LANÇ_MOV[PLANO DE CONTAS],REL_DRE_FINANCEIRO!$B$30,LANÇ_MOV[ANO PAGAMENTO],$B$4,LANÇ_MOV[MÊS PAGAMENTO CORRESPONDENTE],I$6,LANÇ_MOV[EMPRESA],$C$4,LANÇ_MOV[CENTRO DE CUSTOS],$D$4)</f>
        <v>0</v>
      </c>
      <c r="J31" s="206">
        <f>SUMIFS(LANÇ_MOV[VALOR LÍQUIDO],LANÇ_MOV[RECEITA OU DESPESA],"Receita",LANÇ_MOV[CONTAS],$C31,LANÇ_MOV[PLANO DE CONTAS],REL_DRE_FINANCEIRO!$B$30,LANÇ_MOV[ANO PAGAMENTO],$B$4,LANÇ_MOV[MÊS PAGAMENTO CORRESPONDENTE],J$6,LANÇ_MOV[EMPRESA],$C$4,LANÇ_MOV[CENTRO DE CUSTOS],$D$4)</f>
        <v>0</v>
      </c>
      <c r="K31" s="206">
        <f>SUMIFS(LANÇ_MOV[VALOR LÍQUIDO],LANÇ_MOV[RECEITA OU DESPESA],"Receita",LANÇ_MOV[CONTAS],$C31,LANÇ_MOV[PLANO DE CONTAS],REL_DRE_FINANCEIRO!$B$30,LANÇ_MOV[ANO PAGAMENTO],$B$4,LANÇ_MOV[MÊS PAGAMENTO CORRESPONDENTE],K$6,LANÇ_MOV[EMPRESA],$C$4,LANÇ_MOV[CENTRO DE CUSTOS],$D$4)</f>
        <v>0</v>
      </c>
      <c r="L31" s="206">
        <f>SUMIFS(LANÇ_MOV[VALOR LÍQUIDO],LANÇ_MOV[RECEITA OU DESPESA],"Receita",LANÇ_MOV[CONTAS],$C31,LANÇ_MOV[PLANO DE CONTAS],REL_DRE_FINANCEIRO!$B$30,LANÇ_MOV[ANO PAGAMENTO],$B$4,LANÇ_MOV[MÊS PAGAMENTO CORRESPONDENTE],L$6,LANÇ_MOV[EMPRESA],$C$4,LANÇ_MOV[CENTRO DE CUSTOS],$D$4)</f>
        <v>0</v>
      </c>
      <c r="M31" s="206">
        <f>SUMIFS(LANÇ_MOV[VALOR LÍQUIDO],LANÇ_MOV[RECEITA OU DESPESA],"Receita",LANÇ_MOV[CONTAS],$C31,LANÇ_MOV[PLANO DE CONTAS],REL_DRE_FINANCEIRO!$B$30,LANÇ_MOV[ANO PAGAMENTO],$B$4,LANÇ_MOV[MÊS PAGAMENTO CORRESPONDENTE],M$6,LANÇ_MOV[EMPRESA],$C$4,LANÇ_MOV[CENTRO DE CUSTOS],$D$4)</f>
        <v>0</v>
      </c>
      <c r="N31" s="206">
        <f>SUMIFS(LANÇ_MOV[VALOR LÍQUIDO],LANÇ_MOV[RECEITA OU DESPESA],"Receita",LANÇ_MOV[CONTAS],$C31,LANÇ_MOV[PLANO DE CONTAS],REL_DRE_FINANCEIRO!$B$30,LANÇ_MOV[ANO PAGAMENTO],$B$4,LANÇ_MOV[MÊS PAGAMENTO CORRESPONDENTE],N$6,LANÇ_MOV[EMPRESA],$C$4,LANÇ_MOV[CENTRO DE CUSTOS],$D$4)</f>
        <v>0</v>
      </c>
      <c r="O31" s="206">
        <f>SUMIFS(LANÇ_MOV[VALOR LÍQUIDO],LANÇ_MOV[RECEITA OU DESPESA],"Receita",LANÇ_MOV[CONTAS],$C31,LANÇ_MOV[PLANO DE CONTAS],REL_DRE_FINANCEIRO!$B$30,LANÇ_MOV[ANO PAGAMENTO],$B$4,LANÇ_MOV[MÊS PAGAMENTO CORRESPONDENTE],O$6,LANÇ_MOV[EMPRESA],$C$4,LANÇ_MOV[CENTRO DE CUSTOS],$D$4)</f>
        <v>0</v>
      </c>
      <c r="P31" s="207">
        <f t="shared" ref="P31:P94" si="18">SUM(D31:O31)</f>
        <v>0</v>
      </c>
      <c r="Q31" s="333">
        <v>1.0000000000000001E-5</v>
      </c>
      <c r="R31" s="346">
        <f>P31+Q31</f>
        <v>1.0000000000000001E-5</v>
      </c>
      <c r="S31" s="347" t="str">
        <f>C31</f>
        <v>MATRICULA</v>
      </c>
      <c r="T31" s="347">
        <f>P31</f>
        <v>0</v>
      </c>
      <c r="U31" s="347">
        <f>HLOOKUP(Apoio!$P$12,$D$29:$P$130,X31,FALSE)+Q31</f>
        <v>1.0000000000000001E-5</v>
      </c>
      <c r="V31" s="447" t="str">
        <f>S31</f>
        <v>MATRICULA</v>
      </c>
      <c r="W31" s="448">
        <f>HLOOKUP(Apoio!$P$12,$D$29:$P$130,X31,FALSE)</f>
        <v>0</v>
      </c>
      <c r="X31" s="329">
        <v>3</v>
      </c>
      <c r="Y31" s="329">
        <v>1</v>
      </c>
      <c r="Z31" s="340" t="str">
        <f>VLOOKUP(LARGE($R$31:$R$130,Y31),$R$31:$S$130,2,FALSE)</f>
        <v>MENSALIDADE</v>
      </c>
      <c r="AA31" s="340">
        <f>VLOOKUP(Z31,$S$31:$T$130,2,FALSE)</f>
        <v>29488.57</v>
      </c>
      <c r="AC31" s="437" t="str">
        <f>INDEX($Z$31:$Z$1264,$AC$29,1)</f>
        <v>MENSALIDADE</v>
      </c>
      <c r="AD31" s="348">
        <f>INDEX($AA$31:$AA$1264,$AC$29,1)</f>
        <v>29488.57</v>
      </c>
    </row>
    <row r="32" spans="1:50" ht="30.05" customHeight="1" x14ac:dyDescent="0.35">
      <c r="B32" s="204" t="str">
        <f>'CAD_PL_REC-DESP'!B6</f>
        <v>1.1.2</v>
      </c>
      <c r="C32" s="205" t="str">
        <f>IF('CAD_PL_REC-DESP'!C6="","-",'CAD_PL_REC-DESP'!C6)</f>
        <v>MENSALIDADE</v>
      </c>
      <c r="D32" s="206">
        <f>SUMIFS(LANÇ_MOV[VALOR LÍQUIDO],LANÇ_MOV[RECEITA OU DESPESA],"Receita",LANÇ_MOV[CONTAS],$C32,LANÇ_MOV[PLANO DE CONTAS],REL_DRE_FINANCEIRO!$B$30,LANÇ_MOV[ANO PAGAMENTO],$B$4,LANÇ_MOV[MÊS PAGAMENTO CORRESPONDENTE],D$6,LANÇ_MOV[EMPRESA],$C$4,LANÇ_MOV[CENTRO DE CUSTOS],$D$4)</f>
        <v>0</v>
      </c>
      <c r="E32" s="206">
        <f>SUMIFS(LANÇ_MOV[VALOR LÍQUIDO],LANÇ_MOV[RECEITA OU DESPESA],"Receita",LANÇ_MOV[CONTAS],$C32,LANÇ_MOV[PLANO DE CONTAS],REL_DRE_FINANCEIRO!$B$30,LANÇ_MOV[ANO PAGAMENTO],$B$4,LANÇ_MOV[MÊS PAGAMENTO CORRESPONDENTE],E$6,LANÇ_MOV[EMPRESA],$C$4,LANÇ_MOV[CENTRO DE CUSTOS],$D$4)</f>
        <v>0</v>
      </c>
      <c r="F32" s="206">
        <f>SUMIFS(LANÇ_MOV[VALOR LÍQUIDO],LANÇ_MOV[RECEITA OU DESPESA],"Receita",LANÇ_MOV[CONTAS],$C32,LANÇ_MOV[PLANO DE CONTAS],REL_DRE_FINANCEIRO!$B$30,LANÇ_MOV[ANO PAGAMENTO],$B$4,LANÇ_MOV[MÊS PAGAMENTO CORRESPONDENTE],F$6,LANÇ_MOV[EMPRESA],$C$4,LANÇ_MOV[CENTRO DE CUSTOS],$D$4)</f>
        <v>0</v>
      </c>
      <c r="G32" s="206">
        <f>SUMIFS(LANÇ_MOV[VALOR LÍQUIDO],LANÇ_MOV[RECEITA OU DESPESA],"Receita",LANÇ_MOV[CONTAS],$C32,LANÇ_MOV[PLANO DE CONTAS],REL_DRE_FINANCEIRO!$B$30,LANÇ_MOV[ANO PAGAMENTO],$B$4,LANÇ_MOV[MÊS PAGAMENTO CORRESPONDENTE],G$6,LANÇ_MOV[EMPRESA],$C$4,LANÇ_MOV[CENTRO DE CUSTOS],$D$4)</f>
        <v>0</v>
      </c>
      <c r="H32" s="206">
        <f>SUMIFS(LANÇ_MOV[VALOR LÍQUIDO],LANÇ_MOV[RECEITA OU DESPESA],"Receita",LANÇ_MOV[CONTAS],$C32,LANÇ_MOV[PLANO DE CONTAS],REL_DRE_FINANCEIRO!$B$30,LANÇ_MOV[ANO PAGAMENTO],$B$4,LANÇ_MOV[MÊS PAGAMENTO CORRESPONDENTE],H$6,LANÇ_MOV[EMPRESA],$C$4,LANÇ_MOV[CENTRO DE CUSTOS],$D$4)</f>
        <v>0</v>
      </c>
      <c r="I32" s="206">
        <f>SUMIFS(LANÇ_MOV[VALOR LÍQUIDO],LANÇ_MOV[RECEITA OU DESPESA],"Receita",LANÇ_MOV[CONTAS],$C32,LANÇ_MOV[PLANO DE CONTAS],REL_DRE_FINANCEIRO!$B$30,LANÇ_MOV[ANO PAGAMENTO],$B$4,LANÇ_MOV[MÊS PAGAMENTO CORRESPONDENTE],I$6,LANÇ_MOV[EMPRESA],$C$4,LANÇ_MOV[CENTRO DE CUSTOS],$D$4)</f>
        <v>0</v>
      </c>
      <c r="J32" s="206">
        <f>SUMIFS(LANÇ_MOV[VALOR LÍQUIDO],LANÇ_MOV[RECEITA OU DESPESA],"Receita",LANÇ_MOV[CONTAS],$C32,LANÇ_MOV[PLANO DE CONTAS],REL_DRE_FINANCEIRO!$B$30,LANÇ_MOV[ANO PAGAMENTO],$B$4,LANÇ_MOV[MÊS PAGAMENTO CORRESPONDENTE],J$6,LANÇ_MOV[EMPRESA],$C$4,LANÇ_MOV[CENTRO DE CUSTOS],$D$4)</f>
        <v>0</v>
      </c>
      <c r="K32" s="206">
        <f>SUMIFS(LANÇ_MOV[VALOR LÍQUIDO],LANÇ_MOV[RECEITA OU DESPESA],"Receita",LANÇ_MOV[CONTAS],$C32,LANÇ_MOV[PLANO DE CONTAS],REL_DRE_FINANCEIRO!$B$30,LANÇ_MOV[ANO PAGAMENTO],$B$4,LANÇ_MOV[MÊS PAGAMENTO CORRESPONDENTE],K$6,LANÇ_MOV[EMPRESA],$C$4,LANÇ_MOV[CENTRO DE CUSTOS],$D$4)</f>
        <v>0</v>
      </c>
      <c r="L32" s="206">
        <f>SUMIFS(LANÇ_MOV[VALOR LÍQUIDO],LANÇ_MOV[RECEITA OU DESPESA],"Receita",LANÇ_MOV[CONTAS],$C32,LANÇ_MOV[PLANO DE CONTAS],REL_DRE_FINANCEIRO!$B$30,LANÇ_MOV[ANO PAGAMENTO],$B$4,LANÇ_MOV[MÊS PAGAMENTO CORRESPONDENTE],L$6,LANÇ_MOV[EMPRESA],$C$4,LANÇ_MOV[CENTRO DE CUSTOS],$D$4)</f>
        <v>0</v>
      </c>
      <c r="M32" s="206">
        <f>SUMIFS(LANÇ_MOV[VALOR LÍQUIDO],LANÇ_MOV[RECEITA OU DESPESA],"Receita",LANÇ_MOV[CONTAS],$C32,LANÇ_MOV[PLANO DE CONTAS],REL_DRE_FINANCEIRO!$B$30,LANÇ_MOV[ANO PAGAMENTO],$B$4,LANÇ_MOV[MÊS PAGAMENTO CORRESPONDENTE],M$6,LANÇ_MOV[EMPRESA],$C$4,LANÇ_MOV[CENTRO DE CUSTOS],$D$4)</f>
        <v>22067.45</v>
      </c>
      <c r="N32" s="206">
        <f>SUMIFS(LANÇ_MOV[VALOR LÍQUIDO],LANÇ_MOV[RECEITA OU DESPESA],"Receita",LANÇ_MOV[CONTAS],$C32,LANÇ_MOV[PLANO DE CONTAS],REL_DRE_FINANCEIRO!$B$30,LANÇ_MOV[ANO PAGAMENTO],$B$4,LANÇ_MOV[MÊS PAGAMENTO CORRESPONDENTE],N$6,LANÇ_MOV[EMPRESA],$C$4,LANÇ_MOV[CENTRO DE CUSTOS],$D$4)</f>
        <v>7421.12</v>
      </c>
      <c r="O32" s="206">
        <f>SUMIFS(LANÇ_MOV[VALOR LÍQUIDO],LANÇ_MOV[RECEITA OU DESPESA],"Receita",LANÇ_MOV[CONTAS],$C32,LANÇ_MOV[PLANO DE CONTAS],REL_DRE_FINANCEIRO!$B$30,LANÇ_MOV[ANO PAGAMENTO],$B$4,LANÇ_MOV[MÊS PAGAMENTO CORRESPONDENTE],O$6,LANÇ_MOV[EMPRESA],$C$4,LANÇ_MOV[CENTRO DE CUSTOS],$D$4)</f>
        <v>0</v>
      </c>
      <c r="P32" s="207">
        <f t="shared" si="18"/>
        <v>29488.57</v>
      </c>
      <c r="Q32" s="333">
        <v>9.9000000000000001E-6</v>
      </c>
      <c r="R32" s="346">
        <f t="shared" ref="R32:R95" si="19">P32+Q32</f>
        <v>29488.570009899999</v>
      </c>
      <c r="S32" s="347" t="str">
        <f t="shared" ref="S32:S95" si="20">C32</f>
        <v>MENSALIDADE</v>
      </c>
      <c r="T32" s="347">
        <f t="shared" ref="T32:T95" si="21">P32</f>
        <v>29488.57</v>
      </c>
      <c r="U32" s="347">
        <f>HLOOKUP(Apoio!$P$12,$D$29:$P$130,X32,FALSE)+Q32</f>
        <v>29488.570009899999</v>
      </c>
      <c r="V32" s="447" t="str">
        <f t="shared" ref="V32:V95" si="22">S32</f>
        <v>MENSALIDADE</v>
      </c>
      <c r="W32" s="448">
        <f>HLOOKUP(Apoio!$P$12,$D$29:$P$130,X32,FALSE)</f>
        <v>29488.57</v>
      </c>
      <c r="X32" s="329">
        <v>4</v>
      </c>
      <c r="Y32" s="329">
        <v>2</v>
      </c>
      <c r="Z32" s="340" t="str">
        <f>VLOOKUP(LARGE($R$31:$R$130,Y32),$R$31:$S$130,2,FALSE)</f>
        <v>MATRICULA</v>
      </c>
      <c r="AA32" s="340">
        <f>VLOOKUP(Z32,$S$31:$T$130,2,FALSE)</f>
        <v>0</v>
      </c>
      <c r="AC32" s="437" t="str">
        <f>INDEX($Z$31:$Z$1264,$AC$29+1,1)</f>
        <v>MATRICULA</v>
      </c>
      <c r="AD32" s="348">
        <f>INDEX($AA$31:$AA$1264,$AC$29+1,1)</f>
        <v>0</v>
      </c>
    </row>
    <row r="33" spans="2:30" ht="30.05" customHeight="1" x14ac:dyDescent="0.35">
      <c r="B33" s="204" t="str">
        <f>'CAD_PL_REC-DESP'!B7</f>
        <v>1.1.3</v>
      </c>
      <c r="C33" s="205" t="str">
        <f>IF('CAD_PL_REC-DESP'!C7="","-",'CAD_PL_REC-DESP'!C7)</f>
        <v>-</v>
      </c>
      <c r="D33" s="206">
        <f>SUMIFS(LANÇ_MOV[VALOR LÍQUIDO],LANÇ_MOV[RECEITA OU DESPESA],"Receita",LANÇ_MOV[CONTAS],$C33,LANÇ_MOV[PLANO DE CONTAS],REL_DRE_FINANCEIRO!$B$30,LANÇ_MOV[ANO PAGAMENTO],$B$4,LANÇ_MOV[MÊS PAGAMENTO CORRESPONDENTE],D$6,LANÇ_MOV[EMPRESA],$C$4,LANÇ_MOV[CENTRO DE CUSTOS],$D$4)</f>
        <v>0</v>
      </c>
      <c r="E33" s="206">
        <f>SUMIFS(LANÇ_MOV[VALOR LÍQUIDO],LANÇ_MOV[RECEITA OU DESPESA],"Receita",LANÇ_MOV[CONTAS],$C33,LANÇ_MOV[PLANO DE CONTAS],REL_DRE_FINANCEIRO!$B$30,LANÇ_MOV[ANO PAGAMENTO],$B$4,LANÇ_MOV[MÊS PAGAMENTO CORRESPONDENTE],E$6,LANÇ_MOV[EMPRESA],$C$4,LANÇ_MOV[CENTRO DE CUSTOS],$D$4)</f>
        <v>0</v>
      </c>
      <c r="F33" s="206">
        <f>SUMIFS(LANÇ_MOV[VALOR LÍQUIDO],LANÇ_MOV[RECEITA OU DESPESA],"Receita",LANÇ_MOV[CONTAS],$C33,LANÇ_MOV[PLANO DE CONTAS],REL_DRE_FINANCEIRO!$B$30,LANÇ_MOV[ANO PAGAMENTO],$B$4,LANÇ_MOV[MÊS PAGAMENTO CORRESPONDENTE],F$6,LANÇ_MOV[EMPRESA],$C$4,LANÇ_MOV[CENTRO DE CUSTOS],$D$4)</f>
        <v>0</v>
      </c>
      <c r="G33" s="206">
        <f>SUMIFS(LANÇ_MOV[VALOR LÍQUIDO],LANÇ_MOV[RECEITA OU DESPESA],"Receita",LANÇ_MOV[CONTAS],$C33,LANÇ_MOV[PLANO DE CONTAS],REL_DRE_FINANCEIRO!$B$30,LANÇ_MOV[ANO PAGAMENTO],$B$4,LANÇ_MOV[MÊS PAGAMENTO CORRESPONDENTE],G$6,LANÇ_MOV[EMPRESA],$C$4,LANÇ_MOV[CENTRO DE CUSTOS],$D$4)</f>
        <v>0</v>
      </c>
      <c r="H33" s="206">
        <f>SUMIFS(LANÇ_MOV[VALOR LÍQUIDO],LANÇ_MOV[RECEITA OU DESPESA],"Receita",LANÇ_MOV[CONTAS],$C33,LANÇ_MOV[PLANO DE CONTAS],REL_DRE_FINANCEIRO!$B$30,LANÇ_MOV[ANO PAGAMENTO],$B$4,LANÇ_MOV[MÊS PAGAMENTO CORRESPONDENTE],H$6,LANÇ_MOV[EMPRESA],$C$4,LANÇ_MOV[CENTRO DE CUSTOS],$D$4)</f>
        <v>0</v>
      </c>
      <c r="I33" s="206">
        <f>SUMIFS(LANÇ_MOV[VALOR LÍQUIDO],LANÇ_MOV[RECEITA OU DESPESA],"Receita",LANÇ_MOV[CONTAS],$C33,LANÇ_MOV[PLANO DE CONTAS],REL_DRE_FINANCEIRO!$B$30,LANÇ_MOV[ANO PAGAMENTO],$B$4,LANÇ_MOV[MÊS PAGAMENTO CORRESPONDENTE],I$6,LANÇ_MOV[EMPRESA],$C$4,LANÇ_MOV[CENTRO DE CUSTOS],$D$4)</f>
        <v>0</v>
      </c>
      <c r="J33" s="206">
        <f>SUMIFS(LANÇ_MOV[VALOR LÍQUIDO],LANÇ_MOV[RECEITA OU DESPESA],"Receita",LANÇ_MOV[CONTAS],$C33,LANÇ_MOV[PLANO DE CONTAS],REL_DRE_FINANCEIRO!$B$30,LANÇ_MOV[ANO PAGAMENTO],$B$4,LANÇ_MOV[MÊS PAGAMENTO CORRESPONDENTE],J$6,LANÇ_MOV[EMPRESA],$C$4,LANÇ_MOV[CENTRO DE CUSTOS],$D$4)</f>
        <v>0</v>
      </c>
      <c r="K33" s="206">
        <f>SUMIFS(LANÇ_MOV[VALOR LÍQUIDO],LANÇ_MOV[RECEITA OU DESPESA],"Receita",LANÇ_MOV[CONTAS],$C33,LANÇ_MOV[PLANO DE CONTAS],REL_DRE_FINANCEIRO!$B$30,LANÇ_MOV[ANO PAGAMENTO],$B$4,LANÇ_MOV[MÊS PAGAMENTO CORRESPONDENTE],K$6,LANÇ_MOV[EMPRESA],$C$4,LANÇ_MOV[CENTRO DE CUSTOS],$D$4)</f>
        <v>0</v>
      </c>
      <c r="L33" s="206">
        <f>SUMIFS(LANÇ_MOV[VALOR LÍQUIDO],LANÇ_MOV[RECEITA OU DESPESA],"Receita",LANÇ_MOV[CONTAS],$C33,LANÇ_MOV[PLANO DE CONTAS],REL_DRE_FINANCEIRO!$B$30,LANÇ_MOV[ANO PAGAMENTO],$B$4,LANÇ_MOV[MÊS PAGAMENTO CORRESPONDENTE],L$6,LANÇ_MOV[EMPRESA],$C$4,LANÇ_MOV[CENTRO DE CUSTOS],$D$4)</f>
        <v>0</v>
      </c>
      <c r="M33" s="206">
        <f>SUMIFS(LANÇ_MOV[VALOR LÍQUIDO],LANÇ_MOV[RECEITA OU DESPESA],"Receita",LANÇ_MOV[CONTAS],$C33,LANÇ_MOV[PLANO DE CONTAS],REL_DRE_FINANCEIRO!$B$30,LANÇ_MOV[ANO PAGAMENTO],$B$4,LANÇ_MOV[MÊS PAGAMENTO CORRESPONDENTE],M$6,LANÇ_MOV[EMPRESA],$C$4,LANÇ_MOV[CENTRO DE CUSTOS],$D$4)</f>
        <v>0</v>
      </c>
      <c r="N33" s="206">
        <f>SUMIFS(LANÇ_MOV[VALOR LÍQUIDO],LANÇ_MOV[RECEITA OU DESPESA],"Receita",LANÇ_MOV[CONTAS],$C33,LANÇ_MOV[PLANO DE CONTAS],REL_DRE_FINANCEIRO!$B$30,LANÇ_MOV[ANO PAGAMENTO],$B$4,LANÇ_MOV[MÊS PAGAMENTO CORRESPONDENTE],N$6,LANÇ_MOV[EMPRESA],$C$4,LANÇ_MOV[CENTRO DE CUSTOS],$D$4)</f>
        <v>0</v>
      </c>
      <c r="O33" s="206">
        <f>SUMIFS(LANÇ_MOV[VALOR LÍQUIDO],LANÇ_MOV[RECEITA OU DESPESA],"Receita",LANÇ_MOV[CONTAS],$C33,LANÇ_MOV[PLANO DE CONTAS],REL_DRE_FINANCEIRO!$B$30,LANÇ_MOV[ANO PAGAMENTO],$B$4,LANÇ_MOV[MÊS PAGAMENTO CORRESPONDENTE],O$6,LANÇ_MOV[EMPRESA],$C$4,LANÇ_MOV[CENTRO DE CUSTOS],$D$4)</f>
        <v>0</v>
      </c>
      <c r="P33" s="207">
        <f t="shared" si="18"/>
        <v>0</v>
      </c>
      <c r="Q33" s="333">
        <v>9.7999999999999993E-6</v>
      </c>
      <c r="R33" s="346">
        <f t="shared" si="19"/>
        <v>9.7999999999999993E-6</v>
      </c>
      <c r="S33" s="347" t="str">
        <f t="shared" si="20"/>
        <v>-</v>
      </c>
      <c r="T33" s="347">
        <f t="shared" si="21"/>
        <v>0</v>
      </c>
      <c r="U33" s="347">
        <f>HLOOKUP(Apoio!$P$12,$D$29:$P$130,X33,FALSE)+Q33</f>
        <v>9.7999999999999993E-6</v>
      </c>
      <c r="V33" s="447" t="str">
        <f t="shared" si="22"/>
        <v>-</v>
      </c>
      <c r="W33" s="448">
        <f>HLOOKUP(Apoio!$P$12,$D$29:$P$130,X33,FALSE)</f>
        <v>0</v>
      </c>
      <c r="X33" s="329">
        <v>5</v>
      </c>
      <c r="Y33" s="329">
        <v>3</v>
      </c>
      <c r="Z33" s="340" t="str">
        <f>VLOOKUP(LARGE($R$31:$R$130,Y33),$R$31:$S$130,2,FALSE)</f>
        <v>-</v>
      </c>
      <c r="AA33" s="340">
        <f>VLOOKUP(Z33,$S$31:$T$130,2,FALSE)</f>
        <v>0</v>
      </c>
      <c r="AC33" s="437" t="str">
        <f>INDEX($Z$31:$Z$1264,$AC$29+2,1)</f>
        <v>-</v>
      </c>
      <c r="AD33" s="348">
        <f>INDEX($AA$31:$AA$1264,$AC$29+2,1)</f>
        <v>0</v>
      </c>
    </row>
    <row r="34" spans="2:30" ht="30.05" customHeight="1" x14ac:dyDescent="0.35">
      <c r="B34" s="204" t="str">
        <f>'CAD_PL_REC-DESP'!B8</f>
        <v>1.1.4</v>
      </c>
      <c r="C34" s="205" t="str">
        <f>IF('CAD_PL_REC-DESP'!C8="","-",'CAD_PL_REC-DESP'!C8)</f>
        <v>-</v>
      </c>
      <c r="D34" s="206">
        <f>SUMIFS(LANÇ_MOV[VALOR LÍQUIDO],LANÇ_MOV[RECEITA OU DESPESA],"Receita",LANÇ_MOV[CONTAS],$C34,LANÇ_MOV[PLANO DE CONTAS],REL_DRE_FINANCEIRO!$B$30,LANÇ_MOV[ANO PAGAMENTO],$B$4,LANÇ_MOV[MÊS PAGAMENTO CORRESPONDENTE],D$6,LANÇ_MOV[EMPRESA],$C$4,LANÇ_MOV[CENTRO DE CUSTOS],$D$4)</f>
        <v>0</v>
      </c>
      <c r="E34" s="206">
        <f>SUMIFS(LANÇ_MOV[VALOR LÍQUIDO],LANÇ_MOV[RECEITA OU DESPESA],"Receita",LANÇ_MOV[CONTAS],$C34,LANÇ_MOV[PLANO DE CONTAS],REL_DRE_FINANCEIRO!$B$30,LANÇ_MOV[ANO PAGAMENTO],$B$4,LANÇ_MOV[MÊS PAGAMENTO CORRESPONDENTE],E$6,LANÇ_MOV[EMPRESA],$C$4,LANÇ_MOV[CENTRO DE CUSTOS],$D$4)</f>
        <v>0</v>
      </c>
      <c r="F34" s="206">
        <f>SUMIFS(LANÇ_MOV[VALOR LÍQUIDO],LANÇ_MOV[RECEITA OU DESPESA],"Receita",LANÇ_MOV[CONTAS],$C34,LANÇ_MOV[PLANO DE CONTAS],REL_DRE_FINANCEIRO!$B$30,LANÇ_MOV[ANO PAGAMENTO],$B$4,LANÇ_MOV[MÊS PAGAMENTO CORRESPONDENTE],F$6,LANÇ_MOV[EMPRESA],$C$4,LANÇ_MOV[CENTRO DE CUSTOS],$D$4)</f>
        <v>0</v>
      </c>
      <c r="G34" s="206">
        <f>SUMIFS(LANÇ_MOV[VALOR LÍQUIDO],LANÇ_MOV[RECEITA OU DESPESA],"Receita",LANÇ_MOV[CONTAS],$C34,LANÇ_MOV[PLANO DE CONTAS],REL_DRE_FINANCEIRO!$B$30,LANÇ_MOV[ANO PAGAMENTO],$B$4,LANÇ_MOV[MÊS PAGAMENTO CORRESPONDENTE],G$6,LANÇ_MOV[EMPRESA],$C$4,LANÇ_MOV[CENTRO DE CUSTOS],$D$4)</f>
        <v>0</v>
      </c>
      <c r="H34" s="206">
        <f>SUMIFS(LANÇ_MOV[VALOR LÍQUIDO],LANÇ_MOV[RECEITA OU DESPESA],"Receita",LANÇ_MOV[CONTAS],$C34,LANÇ_MOV[PLANO DE CONTAS],REL_DRE_FINANCEIRO!$B$30,LANÇ_MOV[ANO PAGAMENTO],$B$4,LANÇ_MOV[MÊS PAGAMENTO CORRESPONDENTE],H$6,LANÇ_MOV[EMPRESA],$C$4,LANÇ_MOV[CENTRO DE CUSTOS],$D$4)</f>
        <v>0</v>
      </c>
      <c r="I34" s="206">
        <f>SUMIFS(LANÇ_MOV[VALOR LÍQUIDO],LANÇ_MOV[RECEITA OU DESPESA],"Receita",LANÇ_MOV[CONTAS],$C34,LANÇ_MOV[PLANO DE CONTAS],REL_DRE_FINANCEIRO!$B$30,LANÇ_MOV[ANO PAGAMENTO],$B$4,LANÇ_MOV[MÊS PAGAMENTO CORRESPONDENTE],I$6,LANÇ_MOV[EMPRESA],$C$4,LANÇ_MOV[CENTRO DE CUSTOS],$D$4)</f>
        <v>0</v>
      </c>
      <c r="J34" s="206">
        <f>SUMIFS(LANÇ_MOV[VALOR LÍQUIDO],LANÇ_MOV[RECEITA OU DESPESA],"Receita",LANÇ_MOV[CONTAS],$C34,LANÇ_MOV[PLANO DE CONTAS],REL_DRE_FINANCEIRO!$B$30,LANÇ_MOV[ANO PAGAMENTO],$B$4,LANÇ_MOV[MÊS PAGAMENTO CORRESPONDENTE],J$6,LANÇ_MOV[EMPRESA],$C$4,LANÇ_MOV[CENTRO DE CUSTOS],$D$4)</f>
        <v>0</v>
      </c>
      <c r="K34" s="206">
        <f>SUMIFS(LANÇ_MOV[VALOR LÍQUIDO],LANÇ_MOV[RECEITA OU DESPESA],"Receita",LANÇ_MOV[CONTAS],$C34,LANÇ_MOV[PLANO DE CONTAS],REL_DRE_FINANCEIRO!$B$30,LANÇ_MOV[ANO PAGAMENTO],$B$4,LANÇ_MOV[MÊS PAGAMENTO CORRESPONDENTE],K$6,LANÇ_MOV[EMPRESA],$C$4,LANÇ_MOV[CENTRO DE CUSTOS],$D$4)</f>
        <v>0</v>
      </c>
      <c r="L34" s="206">
        <f>SUMIFS(LANÇ_MOV[VALOR LÍQUIDO],LANÇ_MOV[RECEITA OU DESPESA],"Receita",LANÇ_MOV[CONTAS],$C34,LANÇ_MOV[PLANO DE CONTAS],REL_DRE_FINANCEIRO!$B$30,LANÇ_MOV[ANO PAGAMENTO],$B$4,LANÇ_MOV[MÊS PAGAMENTO CORRESPONDENTE],L$6,LANÇ_MOV[EMPRESA],$C$4,LANÇ_MOV[CENTRO DE CUSTOS],$D$4)</f>
        <v>0</v>
      </c>
      <c r="M34" s="206">
        <f>SUMIFS(LANÇ_MOV[VALOR LÍQUIDO],LANÇ_MOV[RECEITA OU DESPESA],"Receita",LANÇ_MOV[CONTAS],$C34,LANÇ_MOV[PLANO DE CONTAS],REL_DRE_FINANCEIRO!$B$30,LANÇ_MOV[ANO PAGAMENTO],$B$4,LANÇ_MOV[MÊS PAGAMENTO CORRESPONDENTE],M$6,LANÇ_MOV[EMPRESA],$C$4,LANÇ_MOV[CENTRO DE CUSTOS],$D$4)</f>
        <v>0</v>
      </c>
      <c r="N34" s="206">
        <f>SUMIFS(LANÇ_MOV[VALOR LÍQUIDO],LANÇ_MOV[RECEITA OU DESPESA],"Receita",LANÇ_MOV[CONTAS],$C34,LANÇ_MOV[PLANO DE CONTAS],REL_DRE_FINANCEIRO!$B$30,LANÇ_MOV[ANO PAGAMENTO],$B$4,LANÇ_MOV[MÊS PAGAMENTO CORRESPONDENTE],N$6,LANÇ_MOV[EMPRESA],$C$4,LANÇ_MOV[CENTRO DE CUSTOS],$D$4)</f>
        <v>0</v>
      </c>
      <c r="O34" s="206">
        <f>SUMIFS(LANÇ_MOV[VALOR LÍQUIDO],LANÇ_MOV[RECEITA OU DESPESA],"Receita",LANÇ_MOV[CONTAS],$C34,LANÇ_MOV[PLANO DE CONTAS],REL_DRE_FINANCEIRO!$B$30,LANÇ_MOV[ANO PAGAMENTO],$B$4,LANÇ_MOV[MÊS PAGAMENTO CORRESPONDENTE],O$6,LANÇ_MOV[EMPRESA],$C$4,LANÇ_MOV[CENTRO DE CUSTOS],$D$4)</f>
        <v>0</v>
      </c>
      <c r="P34" s="207">
        <f t="shared" si="18"/>
        <v>0</v>
      </c>
      <c r="Q34" s="333">
        <v>9.7000000000000003E-6</v>
      </c>
      <c r="R34" s="346">
        <f t="shared" si="19"/>
        <v>9.7000000000000003E-6</v>
      </c>
      <c r="S34" s="347" t="str">
        <f t="shared" si="20"/>
        <v>-</v>
      </c>
      <c r="T34" s="347">
        <f t="shared" si="21"/>
        <v>0</v>
      </c>
      <c r="U34" s="347">
        <f>HLOOKUP(Apoio!$P$12,$D$29:$P$130,X34,FALSE)+Q34</f>
        <v>9.7000000000000003E-6</v>
      </c>
      <c r="V34" s="447" t="str">
        <f t="shared" si="22"/>
        <v>-</v>
      </c>
      <c r="W34" s="448">
        <f>HLOOKUP(Apoio!$P$12,$D$29:$P$130,X34,FALSE)</f>
        <v>0</v>
      </c>
      <c r="X34" s="329">
        <v>6</v>
      </c>
      <c r="Y34" s="329">
        <v>4</v>
      </c>
      <c r="Z34" s="340" t="str">
        <f>VLOOKUP(LARGE($R$31:$R$130,Y34),$R$31:$S$130,2,FALSE)</f>
        <v>-</v>
      </c>
      <c r="AA34" s="340">
        <f>VLOOKUP(Z34,$S$31:$T$130,2,FALSE)</f>
        <v>0</v>
      </c>
      <c r="AC34" s="437" t="str">
        <f>INDEX($Z$31:$Z$1264,$AC$29+3,1)</f>
        <v>-</v>
      </c>
      <c r="AD34" s="348">
        <f>INDEX($AA$31:$AA$1264,$AC$29+3,1)</f>
        <v>0</v>
      </c>
    </row>
    <row r="35" spans="2:30" ht="30.05" customHeight="1" x14ac:dyDescent="0.35">
      <c r="B35" s="204" t="str">
        <f>'CAD_PL_REC-DESP'!B9</f>
        <v>1.1.5</v>
      </c>
      <c r="C35" s="205" t="str">
        <f>IF('CAD_PL_REC-DESP'!C9="","-",'CAD_PL_REC-DESP'!C9)</f>
        <v>-</v>
      </c>
      <c r="D35" s="206">
        <f>SUMIFS(LANÇ_MOV[VALOR LÍQUIDO],LANÇ_MOV[RECEITA OU DESPESA],"Receita",LANÇ_MOV[CONTAS],$C35,LANÇ_MOV[PLANO DE CONTAS],REL_DRE_FINANCEIRO!$B$30,LANÇ_MOV[ANO PAGAMENTO],$B$4,LANÇ_MOV[MÊS PAGAMENTO CORRESPONDENTE],D$6,LANÇ_MOV[EMPRESA],$C$4,LANÇ_MOV[CENTRO DE CUSTOS],$D$4)</f>
        <v>0</v>
      </c>
      <c r="E35" s="206">
        <f>SUMIFS(LANÇ_MOV[VALOR LÍQUIDO],LANÇ_MOV[RECEITA OU DESPESA],"Receita",LANÇ_MOV[CONTAS],$C35,LANÇ_MOV[PLANO DE CONTAS],REL_DRE_FINANCEIRO!$B$30,LANÇ_MOV[ANO PAGAMENTO],$B$4,LANÇ_MOV[MÊS PAGAMENTO CORRESPONDENTE],E$6,LANÇ_MOV[EMPRESA],$C$4,LANÇ_MOV[CENTRO DE CUSTOS],$D$4)</f>
        <v>0</v>
      </c>
      <c r="F35" s="206">
        <f>SUMIFS(LANÇ_MOV[VALOR LÍQUIDO],LANÇ_MOV[RECEITA OU DESPESA],"Receita",LANÇ_MOV[CONTAS],$C35,LANÇ_MOV[PLANO DE CONTAS],REL_DRE_FINANCEIRO!$B$30,LANÇ_MOV[ANO PAGAMENTO],$B$4,LANÇ_MOV[MÊS PAGAMENTO CORRESPONDENTE],F$6,LANÇ_MOV[EMPRESA],$C$4,LANÇ_MOV[CENTRO DE CUSTOS],$D$4)</f>
        <v>0</v>
      </c>
      <c r="G35" s="206">
        <f>SUMIFS(LANÇ_MOV[VALOR LÍQUIDO],LANÇ_MOV[RECEITA OU DESPESA],"Receita",LANÇ_MOV[CONTAS],$C35,LANÇ_MOV[PLANO DE CONTAS],REL_DRE_FINANCEIRO!$B$30,LANÇ_MOV[ANO PAGAMENTO],$B$4,LANÇ_MOV[MÊS PAGAMENTO CORRESPONDENTE],G$6,LANÇ_MOV[EMPRESA],$C$4,LANÇ_MOV[CENTRO DE CUSTOS],$D$4)</f>
        <v>0</v>
      </c>
      <c r="H35" s="206">
        <f>SUMIFS(LANÇ_MOV[VALOR LÍQUIDO],LANÇ_MOV[RECEITA OU DESPESA],"Receita",LANÇ_MOV[CONTAS],$C35,LANÇ_MOV[PLANO DE CONTAS],REL_DRE_FINANCEIRO!$B$30,LANÇ_MOV[ANO PAGAMENTO],$B$4,LANÇ_MOV[MÊS PAGAMENTO CORRESPONDENTE],H$6,LANÇ_MOV[EMPRESA],$C$4,LANÇ_MOV[CENTRO DE CUSTOS],$D$4)</f>
        <v>0</v>
      </c>
      <c r="I35" s="206">
        <f>SUMIFS(LANÇ_MOV[VALOR LÍQUIDO],LANÇ_MOV[RECEITA OU DESPESA],"Receita",LANÇ_MOV[CONTAS],$C35,LANÇ_MOV[PLANO DE CONTAS],REL_DRE_FINANCEIRO!$B$30,LANÇ_MOV[ANO PAGAMENTO],$B$4,LANÇ_MOV[MÊS PAGAMENTO CORRESPONDENTE],I$6,LANÇ_MOV[EMPRESA],$C$4,LANÇ_MOV[CENTRO DE CUSTOS],$D$4)</f>
        <v>0</v>
      </c>
      <c r="J35" s="206">
        <f>SUMIFS(LANÇ_MOV[VALOR LÍQUIDO],LANÇ_MOV[RECEITA OU DESPESA],"Receita",LANÇ_MOV[CONTAS],$C35,LANÇ_MOV[PLANO DE CONTAS],REL_DRE_FINANCEIRO!$B$30,LANÇ_MOV[ANO PAGAMENTO],$B$4,LANÇ_MOV[MÊS PAGAMENTO CORRESPONDENTE],J$6,LANÇ_MOV[EMPRESA],$C$4,LANÇ_MOV[CENTRO DE CUSTOS],$D$4)</f>
        <v>0</v>
      </c>
      <c r="K35" s="206">
        <f>SUMIFS(LANÇ_MOV[VALOR LÍQUIDO],LANÇ_MOV[RECEITA OU DESPESA],"Receita",LANÇ_MOV[CONTAS],$C35,LANÇ_MOV[PLANO DE CONTAS],REL_DRE_FINANCEIRO!$B$30,LANÇ_MOV[ANO PAGAMENTO],$B$4,LANÇ_MOV[MÊS PAGAMENTO CORRESPONDENTE],K$6,LANÇ_MOV[EMPRESA],$C$4,LANÇ_MOV[CENTRO DE CUSTOS],$D$4)</f>
        <v>0</v>
      </c>
      <c r="L35" s="206">
        <f>SUMIFS(LANÇ_MOV[VALOR LÍQUIDO],LANÇ_MOV[RECEITA OU DESPESA],"Receita",LANÇ_MOV[CONTAS],$C35,LANÇ_MOV[PLANO DE CONTAS],REL_DRE_FINANCEIRO!$B$30,LANÇ_MOV[ANO PAGAMENTO],$B$4,LANÇ_MOV[MÊS PAGAMENTO CORRESPONDENTE],L$6,LANÇ_MOV[EMPRESA],$C$4,LANÇ_MOV[CENTRO DE CUSTOS],$D$4)</f>
        <v>0</v>
      </c>
      <c r="M35" s="206">
        <f>SUMIFS(LANÇ_MOV[VALOR LÍQUIDO],LANÇ_MOV[RECEITA OU DESPESA],"Receita",LANÇ_MOV[CONTAS],$C35,LANÇ_MOV[PLANO DE CONTAS],REL_DRE_FINANCEIRO!$B$30,LANÇ_MOV[ANO PAGAMENTO],$B$4,LANÇ_MOV[MÊS PAGAMENTO CORRESPONDENTE],M$6,LANÇ_MOV[EMPRESA],$C$4,LANÇ_MOV[CENTRO DE CUSTOS],$D$4)</f>
        <v>0</v>
      </c>
      <c r="N35" s="206">
        <f>SUMIFS(LANÇ_MOV[VALOR LÍQUIDO],LANÇ_MOV[RECEITA OU DESPESA],"Receita",LANÇ_MOV[CONTAS],$C35,LANÇ_MOV[PLANO DE CONTAS],REL_DRE_FINANCEIRO!$B$30,LANÇ_MOV[ANO PAGAMENTO],$B$4,LANÇ_MOV[MÊS PAGAMENTO CORRESPONDENTE],N$6,LANÇ_MOV[EMPRESA],$C$4,LANÇ_MOV[CENTRO DE CUSTOS],$D$4)</f>
        <v>0</v>
      </c>
      <c r="O35" s="206">
        <f>SUMIFS(LANÇ_MOV[VALOR LÍQUIDO],LANÇ_MOV[RECEITA OU DESPESA],"Receita",LANÇ_MOV[CONTAS],$C35,LANÇ_MOV[PLANO DE CONTAS],REL_DRE_FINANCEIRO!$B$30,LANÇ_MOV[ANO PAGAMENTO],$B$4,LANÇ_MOV[MÊS PAGAMENTO CORRESPONDENTE],O$6,LANÇ_MOV[EMPRESA],$C$4,LANÇ_MOV[CENTRO DE CUSTOS],$D$4)</f>
        <v>0</v>
      </c>
      <c r="P35" s="207">
        <f t="shared" si="18"/>
        <v>0</v>
      </c>
      <c r="Q35" s="333">
        <v>9.5999999999999996E-6</v>
      </c>
      <c r="R35" s="346">
        <f t="shared" si="19"/>
        <v>9.5999999999999996E-6</v>
      </c>
      <c r="S35" s="347" t="str">
        <f t="shared" si="20"/>
        <v>-</v>
      </c>
      <c r="T35" s="347">
        <f t="shared" si="21"/>
        <v>0</v>
      </c>
      <c r="U35" s="347">
        <f>HLOOKUP(Apoio!$P$12,$D$29:$P$130,X35,FALSE)+Q35</f>
        <v>9.5999999999999996E-6</v>
      </c>
      <c r="V35" s="447" t="str">
        <f t="shared" si="22"/>
        <v>-</v>
      </c>
      <c r="W35" s="448">
        <f>HLOOKUP(Apoio!$P$12,$D$29:$P$130,X35,FALSE)</f>
        <v>0</v>
      </c>
      <c r="X35" s="329">
        <v>7</v>
      </c>
      <c r="Y35" s="329">
        <v>5</v>
      </c>
      <c r="Z35" s="340" t="str">
        <f>VLOOKUP(LARGE($R$31:$R$130,Y35),$R$31:$S$130,2,FALSE)</f>
        <v>-</v>
      </c>
      <c r="AA35" s="340">
        <f>VLOOKUP(Z35,$S$31:$T$130,2,FALSE)</f>
        <v>0</v>
      </c>
      <c r="AC35" s="437" t="str">
        <f>INDEX($Z$31:$Z$1264,$AC$29+4,1)</f>
        <v>-</v>
      </c>
      <c r="AD35" s="348">
        <f>INDEX($AA$31:$AA$1264,$AC$29+4,1)</f>
        <v>0</v>
      </c>
    </row>
    <row r="36" spans="2:30" ht="30.05" customHeight="1" x14ac:dyDescent="0.35">
      <c r="B36" s="204" t="str">
        <f>'CAD_PL_REC-DESP'!B10</f>
        <v>1.1.6</v>
      </c>
      <c r="C36" s="205" t="str">
        <f>IF('CAD_PL_REC-DESP'!C10="","-",'CAD_PL_REC-DESP'!C10)</f>
        <v>-</v>
      </c>
      <c r="D36" s="206">
        <f>SUMIFS(LANÇ_MOV[VALOR LÍQUIDO],LANÇ_MOV[RECEITA OU DESPESA],"Receita",LANÇ_MOV[CONTAS],$C36,LANÇ_MOV[PLANO DE CONTAS],REL_DRE_FINANCEIRO!$B$30,LANÇ_MOV[ANO PAGAMENTO],$B$4,LANÇ_MOV[MÊS PAGAMENTO CORRESPONDENTE],D$6,LANÇ_MOV[EMPRESA],$C$4,LANÇ_MOV[CENTRO DE CUSTOS],$D$4)</f>
        <v>0</v>
      </c>
      <c r="E36" s="206">
        <f>SUMIFS(LANÇ_MOV[VALOR LÍQUIDO],LANÇ_MOV[RECEITA OU DESPESA],"Receita",LANÇ_MOV[CONTAS],$C36,LANÇ_MOV[PLANO DE CONTAS],REL_DRE_FINANCEIRO!$B$30,LANÇ_MOV[ANO PAGAMENTO],$B$4,LANÇ_MOV[MÊS PAGAMENTO CORRESPONDENTE],E$6,LANÇ_MOV[EMPRESA],$C$4,LANÇ_MOV[CENTRO DE CUSTOS],$D$4)</f>
        <v>0</v>
      </c>
      <c r="F36" s="206">
        <f>SUMIFS(LANÇ_MOV[VALOR LÍQUIDO],LANÇ_MOV[RECEITA OU DESPESA],"Receita",LANÇ_MOV[CONTAS],$C36,LANÇ_MOV[PLANO DE CONTAS],REL_DRE_FINANCEIRO!$B$30,LANÇ_MOV[ANO PAGAMENTO],$B$4,LANÇ_MOV[MÊS PAGAMENTO CORRESPONDENTE],F$6,LANÇ_MOV[EMPRESA],$C$4,LANÇ_MOV[CENTRO DE CUSTOS],$D$4)</f>
        <v>0</v>
      </c>
      <c r="G36" s="206">
        <f>SUMIFS(LANÇ_MOV[VALOR LÍQUIDO],LANÇ_MOV[RECEITA OU DESPESA],"Receita",LANÇ_MOV[CONTAS],$C36,LANÇ_MOV[PLANO DE CONTAS],REL_DRE_FINANCEIRO!$B$30,LANÇ_MOV[ANO PAGAMENTO],$B$4,LANÇ_MOV[MÊS PAGAMENTO CORRESPONDENTE],G$6,LANÇ_MOV[EMPRESA],$C$4,LANÇ_MOV[CENTRO DE CUSTOS],$D$4)</f>
        <v>0</v>
      </c>
      <c r="H36" s="206">
        <f>SUMIFS(LANÇ_MOV[VALOR LÍQUIDO],LANÇ_MOV[RECEITA OU DESPESA],"Receita",LANÇ_MOV[CONTAS],$C36,LANÇ_MOV[PLANO DE CONTAS],REL_DRE_FINANCEIRO!$B$30,LANÇ_MOV[ANO PAGAMENTO],$B$4,LANÇ_MOV[MÊS PAGAMENTO CORRESPONDENTE],H$6,LANÇ_MOV[EMPRESA],$C$4,LANÇ_MOV[CENTRO DE CUSTOS],$D$4)</f>
        <v>0</v>
      </c>
      <c r="I36" s="206">
        <f>SUMIFS(LANÇ_MOV[VALOR LÍQUIDO],LANÇ_MOV[RECEITA OU DESPESA],"Receita",LANÇ_MOV[CONTAS],$C36,LANÇ_MOV[PLANO DE CONTAS],REL_DRE_FINANCEIRO!$B$30,LANÇ_MOV[ANO PAGAMENTO],$B$4,LANÇ_MOV[MÊS PAGAMENTO CORRESPONDENTE],I$6,LANÇ_MOV[EMPRESA],$C$4,LANÇ_MOV[CENTRO DE CUSTOS],$D$4)</f>
        <v>0</v>
      </c>
      <c r="J36" s="206">
        <f>SUMIFS(LANÇ_MOV[VALOR LÍQUIDO],LANÇ_MOV[RECEITA OU DESPESA],"Receita",LANÇ_MOV[CONTAS],$C36,LANÇ_MOV[PLANO DE CONTAS],REL_DRE_FINANCEIRO!$B$30,LANÇ_MOV[ANO PAGAMENTO],$B$4,LANÇ_MOV[MÊS PAGAMENTO CORRESPONDENTE],J$6,LANÇ_MOV[EMPRESA],$C$4,LANÇ_MOV[CENTRO DE CUSTOS],$D$4)</f>
        <v>0</v>
      </c>
      <c r="K36" s="206">
        <f>SUMIFS(LANÇ_MOV[VALOR LÍQUIDO],LANÇ_MOV[RECEITA OU DESPESA],"Receita",LANÇ_MOV[CONTAS],$C36,LANÇ_MOV[PLANO DE CONTAS],REL_DRE_FINANCEIRO!$B$30,LANÇ_MOV[ANO PAGAMENTO],$B$4,LANÇ_MOV[MÊS PAGAMENTO CORRESPONDENTE],K$6,LANÇ_MOV[EMPRESA],$C$4,LANÇ_MOV[CENTRO DE CUSTOS],$D$4)</f>
        <v>0</v>
      </c>
      <c r="L36" s="206">
        <f>SUMIFS(LANÇ_MOV[VALOR LÍQUIDO],LANÇ_MOV[RECEITA OU DESPESA],"Receita",LANÇ_MOV[CONTAS],$C36,LANÇ_MOV[PLANO DE CONTAS],REL_DRE_FINANCEIRO!$B$30,LANÇ_MOV[ANO PAGAMENTO],$B$4,LANÇ_MOV[MÊS PAGAMENTO CORRESPONDENTE],L$6,LANÇ_MOV[EMPRESA],$C$4,LANÇ_MOV[CENTRO DE CUSTOS],$D$4)</f>
        <v>0</v>
      </c>
      <c r="M36" s="206">
        <f>SUMIFS(LANÇ_MOV[VALOR LÍQUIDO],LANÇ_MOV[RECEITA OU DESPESA],"Receita",LANÇ_MOV[CONTAS],$C36,LANÇ_MOV[PLANO DE CONTAS],REL_DRE_FINANCEIRO!$B$30,LANÇ_MOV[ANO PAGAMENTO],$B$4,LANÇ_MOV[MÊS PAGAMENTO CORRESPONDENTE],M$6,LANÇ_MOV[EMPRESA],$C$4,LANÇ_MOV[CENTRO DE CUSTOS],$D$4)</f>
        <v>0</v>
      </c>
      <c r="N36" s="206">
        <f>SUMIFS(LANÇ_MOV[VALOR LÍQUIDO],LANÇ_MOV[RECEITA OU DESPESA],"Receita",LANÇ_MOV[CONTAS],$C36,LANÇ_MOV[PLANO DE CONTAS],REL_DRE_FINANCEIRO!$B$30,LANÇ_MOV[ANO PAGAMENTO],$B$4,LANÇ_MOV[MÊS PAGAMENTO CORRESPONDENTE],N$6,LANÇ_MOV[EMPRESA],$C$4,LANÇ_MOV[CENTRO DE CUSTOS],$D$4)</f>
        <v>0</v>
      </c>
      <c r="O36" s="206">
        <f>SUMIFS(LANÇ_MOV[VALOR LÍQUIDO],LANÇ_MOV[RECEITA OU DESPESA],"Receita",LANÇ_MOV[CONTAS],$C36,LANÇ_MOV[PLANO DE CONTAS],REL_DRE_FINANCEIRO!$B$30,LANÇ_MOV[ANO PAGAMENTO],$B$4,LANÇ_MOV[MÊS PAGAMENTO CORRESPONDENTE],O$6,LANÇ_MOV[EMPRESA],$C$4,LANÇ_MOV[CENTRO DE CUSTOS],$D$4)</f>
        <v>0</v>
      </c>
      <c r="P36" s="207">
        <f t="shared" si="18"/>
        <v>0</v>
      </c>
      <c r="Q36" s="333">
        <v>9.5000000000000005E-6</v>
      </c>
      <c r="R36" s="346">
        <f t="shared" si="19"/>
        <v>9.5000000000000005E-6</v>
      </c>
      <c r="S36" s="347" t="str">
        <f t="shared" si="20"/>
        <v>-</v>
      </c>
      <c r="T36" s="347">
        <f t="shared" si="21"/>
        <v>0</v>
      </c>
      <c r="U36" s="347">
        <f>HLOOKUP(Apoio!$P$12,$D$29:$P$130,X36,FALSE)+Q36</f>
        <v>9.5000000000000005E-6</v>
      </c>
      <c r="V36" s="447" t="str">
        <f t="shared" si="22"/>
        <v>-</v>
      </c>
      <c r="W36" s="448">
        <f>HLOOKUP(Apoio!$P$12,$D$29:$P$130,X36,FALSE)</f>
        <v>0</v>
      </c>
      <c r="X36" s="329">
        <v>8</v>
      </c>
      <c r="Z36" s="340" t="s">
        <v>1121</v>
      </c>
      <c r="AA36" s="340" t="s">
        <v>1123</v>
      </c>
    </row>
    <row r="37" spans="2:30" ht="30.05" customHeight="1" x14ac:dyDescent="0.35">
      <c r="B37" s="204" t="str">
        <f>'CAD_PL_REC-DESP'!B11</f>
        <v>1.1.7</v>
      </c>
      <c r="C37" s="205" t="str">
        <f>IF('CAD_PL_REC-DESP'!C11="","-",'CAD_PL_REC-DESP'!C11)</f>
        <v>-</v>
      </c>
      <c r="D37" s="206">
        <f>SUMIFS(LANÇ_MOV[VALOR LÍQUIDO],LANÇ_MOV[RECEITA OU DESPESA],"Receita",LANÇ_MOV[CONTAS],$C37,LANÇ_MOV[PLANO DE CONTAS],REL_DRE_FINANCEIRO!$B$30,LANÇ_MOV[ANO PAGAMENTO],$B$4,LANÇ_MOV[MÊS PAGAMENTO CORRESPONDENTE],D$6,LANÇ_MOV[EMPRESA],$C$4,LANÇ_MOV[CENTRO DE CUSTOS],$D$4)</f>
        <v>0</v>
      </c>
      <c r="E37" s="206">
        <f>SUMIFS(LANÇ_MOV[VALOR LÍQUIDO],LANÇ_MOV[RECEITA OU DESPESA],"Receita",LANÇ_MOV[CONTAS],$C37,LANÇ_MOV[PLANO DE CONTAS],REL_DRE_FINANCEIRO!$B$30,LANÇ_MOV[ANO PAGAMENTO],$B$4,LANÇ_MOV[MÊS PAGAMENTO CORRESPONDENTE],E$6,LANÇ_MOV[EMPRESA],$C$4,LANÇ_MOV[CENTRO DE CUSTOS],$D$4)</f>
        <v>0</v>
      </c>
      <c r="F37" s="206">
        <f>SUMIFS(LANÇ_MOV[VALOR LÍQUIDO],LANÇ_MOV[RECEITA OU DESPESA],"Receita",LANÇ_MOV[CONTAS],$C37,LANÇ_MOV[PLANO DE CONTAS],REL_DRE_FINANCEIRO!$B$30,LANÇ_MOV[ANO PAGAMENTO],$B$4,LANÇ_MOV[MÊS PAGAMENTO CORRESPONDENTE],F$6,LANÇ_MOV[EMPRESA],$C$4,LANÇ_MOV[CENTRO DE CUSTOS],$D$4)</f>
        <v>0</v>
      </c>
      <c r="G37" s="206">
        <f>SUMIFS(LANÇ_MOV[VALOR LÍQUIDO],LANÇ_MOV[RECEITA OU DESPESA],"Receita",LANÇ_MOV[CONTAS],$C37,LANÇ_MOV[PLANO DE CONTAS],REL_DRE_FINANCEIRO!$B$30,LANÇ_MOV[ANO PAGAMENTO],$B$4,LANÇ_MOV[MÊS PAGAMENTO CORRESPONDENTE],G$6,LANÇ_MOV[EMPRESA],$C$4,LANÇ_MOV[CENTRO DE CUSTOS],$D$4)</f>
        <v>0</v>
      </c>
      <c r="H37" s="206">
        <f>SUMIFS(LANÇ_MOV[VALOR LÍQUIDO],LANÇ_MOV[RECEITA OU DESPESA],"Receita",LANÇ_MOV[CONTAS],$C37,LANÇ_MOV[PLANO DE CONTAS],REL_DRE_FINANCEIRO!$B$30,LANÇ_MOV[ANO PAGAMENTO],$B$4,LANÇ_MOV[MÊS PAGAMENTO CORRESPONDENTE],H$6,LANÇ_MOV[EMPRESA],$C$4,LANÇ_MOV[CENTRO DE CUSTOS],$D$4)</f>
        <v>0</v>
      </c>
      <c r="I37" s="206">
        <f>SUMIFS(LANÇ_MOV[VALOR LÍQUIDO],LANÇ_MOV[RECEITA OU DESPESA],"Receita",LANÇ_MOV[CONTAS],$C37,LANÇ_MOV[PLANO DE CONTAS],REL_DRE_FINANCEIRO!$B$30,LANÇ_MOV[ANO PAGAMENTO],$B$4,LANÇ_MOV[MÊS PAGAMENTO CORRESPONDENTE],I$6,LANÇ_MOV[EMPRESA],$C$4,LANÇ_MOV[CENTRO DE CUSTOS],$D$4)</f>
        <v>0</v>
      </c>
      <c r="J37" s="206">
        <f>SUMIFS(LANÇ_MOV[VALOR LÍQUIDO],LANÇ_MOV[RECEITA OU DESPESA],"Receita",LANÇ_MOV[CONTAS],$C37,LANÇ_MOV[PLANO DE CONTAS],REL_DRE_FINANCEIRO!$B$30,LANÇ_MOV[ANO PAGAMENTO],$B$4,LANÇ_MOV[MÊS PAGAMENTO CORRESPONDENTE],J$6,LANÇ_MOV[EMPRESA],$C$4,LANÇ_MOV[CENTRO DE CUSTOS],$D$4)</f>
        <v>0</v>
      </c>
      <c r="K37" s="206">
        <f>SUMIFS(LANÇ_MOV[VALOR LÍQUIDO],LANÇ_MOV[RECEITA OU DESPESA],"Receita",LANÇ_MOV[CONTAS],$C37,LANÇ_MOV[PLANO DE CONTAS],REL_DRE_FINANCEIRO!$B$30,LANÇ_MOV[ANO PAGAMENTO],$B$4,LANÇ_MOV[MÊS PAGAMENTO CORRESPONDENTE],K$6,LANÇ_MOV[EMPRESA],$C$4,LANÇ_MOV[CENTRO DE CUSTOS],$D$4)</f>
        <v>0</v>
      </c>
      <c r="L37" s="206">
        <f>SUMIFS(LANÇ_MOV[VALOR LÍQUIDO],LANÇ_MOV[RECEITA OU DESPESA],"Receita",LANÇ_MOV[CONTAS],$C37,LANÇ_MOV[PLANO DE CONTAS],REL_DRE_FINANCEIRO!$B$30,LANÇ_MOV[ANO PAGAMENTO],$B$4,LANÇ_MOV[MÊS PAGAMENTO CORRESPONDENTE],L$6,LANÇ_MOV[EMPRESA],$C$4,LANÇ_MOV[CENTRO DE CUSTOS],$D$4)</f>
        <v>0</v>
      </c>
      <c r="M37" s="206">
        <f>SUMIFS(LANÇ_MOV[VALOR LÍQUIDO],LANÇ_MOV[RECEITA OU DESPESA],"Receita",LANÇ_MOV[CONTAS],$C37,LANÇ_MOV[PLANO DE CONTAS],REL_DRE_FINANCEIRO!$B$30,LANÇ_MOV[ANO PAGAMENTO],$B$4,LANÇ_MOV[MÊS PAGAMENTO CORRESPONDENTE],M$6,LANÇ_MOV[EMPRESA],$C$4,LANÇ_MOV[CENTRO DE CUSTOS],$D$4)</f>
        <v>0</v>
      </c>
      <c r="N37" s="206">
        <f>SUMIFS(LANÇ_MOV[VALOR LÍQUIDO],LANÇ_MOV[RECEITA OU DESPESA],"Receita",LANÇ_MOV[CONTAS],$C37,LANÇ_MOV[PLANO DE CONTAS],REL_DRE_FINANCEIRO!$B$30,LANÇ_MOV[ANO PAGAMENTO],$B$4,LANÇ_MOV[MÊS PAGAMENTO CORRESPONDENTE],N$6,LANÇ_MOV[EMPRESA],$C$4,LANÇ_MOV[CENTRO DE CUSTOS],$D$4)</f>
        <v>0</v>
      </c>
      <c r="O37" s="206">
        <f>SUMIFS(LANÇ_MOV[VALOR LÍQUIDO],LANÇ_MOV[RECEITA OU DESPESA],"Receita",LANÇ_MOV[CONTAS],$C37,LANÇ_MOV[PLANO DE CONTAS],REL_DRE_FINANCEIRO!$B$30,LANÇ_MOV[ANO PAGAMENTO],$B$4,LANÇ_MOV[MÊS PAGAMENTO CORRESPONDENTE],O$6,LANÇ_MOV[EMPRESA],$C$4,LANÇ_MOV[CENTRO DE CUSTOS],$D$4)</f>
        <v>0</v>
      </c>
      <c r="P37" s="207">
        <f t="shared" si="18"/>
        <v>0</v>
      </c>
      <c r="Q37" s="333">
        <v>9.3999999999999998E-6</v>
      </c>
      <c r="R37" s="346">
        <f t="shared" si="19"/>
        <v>9.3999999999999998E-6</v>
      </c>
      <c r="S37" s="347" t="str">
        <f t="shared" si="20"/>
        <v>-</v>
      </c>
      <c r="T37" s="347">
        <f t="shared" si="21"/>
        <v>0</v>
      </c>
      <c r="U37" s="347">
        <f>HLOOKUP(Apoio!$P$12,$D$29:$P$130,X37,FALSE)+Q37</f>
        <v>9.3999999999999998E-6</v>
      </c>
      <c r="V37" s="447" t="str">
        <f t="shared" si="22"/>
        <v>-</v>
      </c>
      <c r="W37" s="448">
        <f>HLOOKUP(Apoio!$P$12,$D$29:$P$130,X37,FALSE)</f>
        <v>0</v>
      </c>
      <c r="X37" s="329">
        <v>9</v>
      </c>
      <c r="Y37" s="329">
        <v>1</v>
      </c>
      <c r="Z37" s="340" t="str">
        <f>VLOOKUP(LARGE($U$31:$U$130,Y37),$U$31:$V$130,2,FALSE)</f>
        <v>MENSALIDADE</v>
      </c>
      <c r="AA37" s="340">
        <f>VLOOKUP(Z37,$V$31:$W$130,2,FALSE)</f>
        <v>29488.57</v>
      </c>
    </row>
    <row r="38" spans="2:30" ht="30.05" customHeight="1" x14ac:dyDescent="0.35">
      <c r="B38" s="204" t="str">
        <f>'CAD_PL_REC-DESP'!B12</f>
        <v>1.1.8</v>
      </c>
      <c r="C38" s="205" t="str">
        <f>IF('CAD_PL_REC-DESP'!C12="","-",'CAD_PL_REC-DESP'!C12)</f>
        <v>-</v>
      </c>
      <c r="D38" s="206">
        <f>SUMIFS(LANÇ_MOV[VALOR LÍQUIDO],LANÇ_MOV[RECEITA OU DESPESA],"Receita",LANÇ_MOV[CONTAS],$C38,LANÇ_MOV[PLANO DE CONTAS],REL_DRE_FINANCEIRO!$B$30,LANÇ_MOV[ANO PAGAMENTO],$B$4,LANÇ_MOV[MÊS PAGAMENTO CORRESPONDENTE],D$6,LANÇ_MOV[EMPRESA],$C$4,LANÇ_MOV[CENTRO DE CUSTOS],$D$4)</f>
        <v>0</v>
      </c>
      <c r="E38" s="206">
        <f>SUMIFS(LANÇ_MOV[VALOR LÍQUIDO],LANÇ_MOV[RECEITA OU DESPESA],"Receita",LANÇ_MOV[CONTAS],$C38,LANÇ_MOV[PLANO DE CONTAS],REL_DRE_FINANCEIRO!$B$30,LANÇ_MOV[ANO PAGAMENTO],$B$4,LANÇ_MOV[MÊS PAGAMENTO CORRESPONDENTE],E$6,LANÇ_MOV[EMPRESA],$C$4,LANÇ_MOV[CENTRO DE CUSTOS],$D$4)</f>
        <v>0</v>
      </c>
      <c r="F38" s="206">
        <f>SUMIFS(LANÇ_MOV[VALOR LÍQUIDO],LANÇ_MOV[RECEITA OU DESPESA],"Receita",LANÇ_MOV[CONTAS],$C38,LANÇ_MOV[PLANO DE CONTAS],REL_DRE_FINANCEIRO!$B$30,LANÇ_MOV[ANO PAGAMENTO],$B$4,LANÇ_MOV[MÊS PAGAMENTO CORRESPONDENTE],F$6,LANÇ_MOV[EMPRESA],$C$4,LANÇ_MOV[CENTRO DE CUSTOS],$D$4)</f>
        <v>0</v>
      </c>
      <c r="G38" s="206">
        <f>SUMIFS(LANÇ_MOV[VALOR LÍQUIDO],LANÇ_MOV[RECEITA OU DESPESA],"Receita",LANÇ_MOV[CONTAS],$C38,LANÇ_MOV[PLANO DE CONTAS],REL_DRE_FINANCEIRO!$B$30,LANÇ_MOV[ANO PAGAMENTO],$B$4,LANÇ_MOV[MÊS PAGAMENTO CORRESPONDENTE],G$6,LANÇ_MOV[EMPRESA],$C$4,LANÇ_MOV[CENTRO DE CUSTOS],$D$4)</f>
        <v>0</v>
      </c>
      <c r="H38" s="206">
        <f>SUMIFS(LANÇ_MOV[VALOR LÍQUIDO],LANÇ_MOV[RECEITA OU DESPESA],"Receita",LANÇ_MOV[CONTAS],$C38,LANÇ_MOV[PLANO DE CONTAS],REL_DRE_FINANCEIRO!$B$30,LANÇ_MOV[ANO PAGAMENTO],$B$4,LANÇ_MOV[MÊS PAGAMENTO CORRESPONDENTE],H$6,LANÇ_MOV[EMPRESA],$C$4,LANÇ_MOV[CENTRO DE CUSTOS],$D$4)</f>
        <v>0</v>
      </c>
      <c r="I38" s="206">
        <f>SUMIFS(LANÇ_MOV[VALOR LÍQUIDO],LANÇ_MOV[RECEITA OU DESPESA],"Receita",LANÇ_MOV[CONTAS],$C38,LANÇ_MOV[PLANO DE CONTAS],REL_DRE_FINANCEIRO!$B$30,LANÇ_MOV[ANO PAGAMENTO],$B$4,LANÇ_MOV[MÊS PAGAMENTO CORRESPONDENTE],I$6,LANÇ_MOV[EMPRESA],$C$4,LANÇ_MOV[CENTRO DE CUSTOS],$D$4)</f>
        <v>0</v>
      </c>
      <c r="J38" s="206">
        <f>SUMIFS(LANÇ_MOV[VALOR LÍQUIDO],LANÇ_MOV[RECEITA OU DESPESA],"Receita",LANÇ_MOV[CONTAS],$C38,LANÇ_MOV[PLANO DE CONTAS],REL_DRE_FINANCEIRO!$B$30,LANÇ_MOV[ANO PAGAMENTO],$B$4,LANÇ_MOV[MÊS PAGAMENTO CORRESPONDENTE],J$6,LANÇ_MOV[EMPRESA],$C$4,LANÇ_MOV[CENTRO DE CUSTOS],$D$4)</f>
        <v>0</v>
      </c>
      <c r="K38" s="206">
        <f>SUMIFS(LANÇ_MOV[VALOR LÍQUIDO],LANÇ_MOV[RECEITA OU DESPESA],"Receita",LANÇ_MOV[CONTAS],$C38,LANÇ_MOV[PLANO DE CONTAS],REL_DRE_FINANCEIRO!$B$30,LANÇ_MOV[ANO PAGAMENTO],$B$4,LANÇ_MOV[MÊS PAGAMENTO CORRESPONDENTE],K$6,LANÇ_MOV[EMPRESA],$C$4,LANÇ_MOV[CENTRO DE CUSTOS],$D$4)</f>
        <v>0</v>
      </c>
      <c r="L38" s="206">
        <f>SUMIFS(LANÇ_MOV[VALOR LÍQUIDO],LANÇ_MOV[RECEITA OU DESPESA],"Receita",LANÇ_MOV[CONTAS],$C38,LANÇ_MOV[PLANO DE CONTAS],REL_DRE_FINANCEIRO!$B$30,LANÇ_MOV[ANO PAGAMENTO],$B$4,LANÇ_MOV[MÊS PAGAMENTO CORRESPONDENTE],L$6,LANÇ_MOV[EMPRESA],$C$4,LANÇ_MOV[CENTRO DE CUSTOS],$D$4)</f>
        <v>0</v>
      </c>
      <c r="M38" s="206">
        <f>SUMIFS(LANÇ_MOV[VALOR LÍQUIDO],LANÇ_MOV[RECEITA OU DESPESA],"Receita",LANÇ_MOV[CONTAS],$C38,LANÇ_MOV[PLANO DE CONTAS],REL_DRE_FINANCEIRO!$B$30,LANÇ_MOV[ANO PAGAMENTO],$B$4,LANÇ_MOV[MÊS PAGAMENTO CORRESPONDENTE],M$6,LANÇ_MOV[EMPRESA],$C$4,LANÇ_MOV[CENTRO DE CUSTOS],$D$4)</f>
        <v>0</v>
      </c>
      <c r="N38" s="206">
        <f>SUMIFS(LANÇ_MOV[VALOR LÍQUIDO],LANÇ_MOV[RECEITA OU DESPESA],"Receita",LANÇ_MOV[CONTAS],$C38,LANÇ_MOV[PLANO DE CONTAS],REL_DRE_FINANCEIRO!$B$30,LANÇ_MOV[ANO PAGAMENTO],$B$4,LANÇ_MOV[MÊS PAGAMENTO CORRESPONDENTE],N$6,LANÇ_MOV[EMPRESA],$C$4,LANÇ_MOV[CENTRO DE CUSTOS],$D$4)</f>
        <v>0</v>
      </c>
      <c r="O38" s="206">
        <f>SUMIFS(LANÇ_MOV[VALOR LÍQUIDO],LANÇ_MOV[RECEITA OU DESPESA],"Receita",LANÇ_MOV[CONTAS],$C38,LANÇ_MOV[PLANO DE CONTAS],REL_DRE_FINANCEIRO!$B$30,LANÇ_MOV[ANO PAGAMENTO],$B$4,LANÇ_MOV[MÊS PAGAMENTO CORRESPONDENTE],O$6,LANÇ_MOV[EMPRESA],$C$4,LANÇ_MOV[CENTRO DE CUSTOS],$D$4)</f>
        <v>0</v>
      </c>
      <c r="P38" s="207">
        <f t="shared" si="18"/>
        <v>0</v>
      </c>
      <c r="Q38" s="333">
        <v>9.3000000000000007E-6</v>
      </c>
      <c r="R38" s="346">
        <f t="shared" si="19"/>
        <v>9.3000000000000007E-6</v>
      </c>
      <c r="S38" s="347" t="str">
        <f t="shared" si="20"/>
        <v>-</v>
      </c>
      <c r="T38" s="347">
        <f t="shared" si="21"/>
        <v>0</v>
      </c>
      <c r="U38" s="347">
        <f>HLOOKUP(Apoio!$P$12,$D$29:$P$130,X38,FALSE)+Q38</f>
        <v>9.3000000000000007E-6</v>
      </c>
      <c r="V38" s="447" t="str">
        <f t="shared" si="22"/>
        <v>-</v>
      </c>
      <c r="W38" s="448">
        <f>HLOOKUP(Apoio!$P$12,$D$29:$P$130,X38,FALSE)</f>
        <v>0</v>
      </c>
      <c r="X38" s="329">
        <v>10</v>
      </c>
      <c r="Y38" s="329">
        <v>2</v>
      </c>
      <c r="Z38" s="340" t="str">
        <f>VLOOKUP(LARGE($U$31:$U$130,Y38),$U$31:$V$130,2,FALSE)</f>
        <v>MATRICULA</v>
      </c>
      <c r="AA38" s="340">
        <f>VLOOKUP(Z38,$V$31:$W$130,2,FALSE)</f>
        <v>0</v>
      </c>
    </row>
    <row r="39" spans="2:30" ht="30.05" customHeight="1" x14ac:dyDescent="0.35">
      <c r="B39" s="204" t="str">
        <f>'CAD_PL_REC-DESP'!B13</f>
        <v>1.1.9</v>
      </c>
      <c r="C39" s="205" t="str">
        <f>IF('CAD_PL_REC-DESP'!C13="","-",'CAD_PL_REC-DESP'!C13)</f>
        <v>-</v>
      </c>
      <c r="D39" s="206">
        <f>SUMIFS(LANÇ_MOV[VALOR LÍQUIDO],LANÇ_MOV[RECEITA OU DESPESA],"Receita",LANÇ_MOV[CONTAS],$C39,LANÇ_MOV[PLANO DE CONTAS],REL_DRE_FINANCEIRO!$B$30,LANÇ_MOV[ANO PAGAMENTO],$B$4,LANÇ_MOV[MÊS PAGAMENTO CORRESPONDENTE],D$6,LANÇ_MOV[EMPRESA],$C$4,LANÇ_MOV[CENTRO DE CUSTOS],$D$4)</f>
        <v>0</v>
      </c>
      <c r="E39" s="206">
        <f>SUMIFS(LANÇ_MOV[VALOR LÍQUIDO],LANÇ_MOV[RECEITA OU DESPESA],"Receita",LANÇ_MOV[CONTAS],$C39,LANÇ_MOV[PLANO DE CONTAS],REL_DRE_FINANCEIRO!$B$30,LANÇ_MOV[ANO PAGAMENTO],$B$4,LANÇ_MOV[MÊS PAGAMENTO CORRESPONDENTE],E$6,LANÇ_MOV[EMPRESA],$C$4,LANÇ_MOV[CENTRO DE CUSTOS],$D$4)</f>
        <v>0</v>
      </c>
      <c r="F39" s="206">
        <f>SUMIFS(LANÇ_MOV[VALOR LÍQUIDO],LANÇ_MOV[RECEITA OU DESPESA],"Receita",LANÇ_MOV[CONTAS],$C39,LANÇ_MOV[PLANO DE CONTAS],REL_DRE_FINANCEIRO!$B$30,LANÇ_MOV[ANO PAGAMENTO],$B$4,LANÇ_MOV[MÊS PAGAMENTO CORRESPONDENTE],F$6,LANÇ_MOV[EMPRESA],$C$4,LANÇ_MOV[CENTRO DE CUSTOS],$D$4)</f>
        <v>0</v>
      </c>
      <c r="G39" s="206">
        <f>SUMIFS(LANÇ_MOV[VALOR LÍQUIDO],LANÇ_MOV[RECEITA OU DESPESA],"Receita",LANÇ_MOV[CONTAS],$C39,LANÇ_MOV[PLANO DE CONTAS],REL_DRE_FINANCEIRO!$B$30,LANÇ_MOV[ANO PAGAMENTO],$B$4,LANÇ_MOV[MÊS PAGAMENTO CORRESPONDENTE],G$6,LANÇ_MOV[EMPRESA],$C$4,LANÇ_MOV[CENTRO DE CUSTOS],$D$4)</f>
        <v>0</v>
      </c>
      <c r="H39" s="206">
        <f>SUMIFS(LANÇ_MOV[VALOR LÍQUIDO],LANÇ_MOV[RECEITA OU DESPESA],"Receita",LANÇ_MOV[CONTAS],$C39,LANÇ_MOV[PLANO DE CONTAS],REL_DRE_FINANCEIRO!$B$30,LANÇ_MOV[ANO PAGAMENTO],$B$4,LANÇ_MOV[MÊS PAGAMENTO CORRESPONDENTE],H$6,LANÇ_MOV[EMPRESA],$C$4,LANÇ_MOV[CENTRO DE CUSTOS],$D$4)</f>
        <v>0</v>
      </c>
      <c r="I39" s="206">
        <f>SUMIFS(LANÇ_MOV[VALOR LÍQUIDO],LANÇ_MOV[RECEITA OU DESPESA],"Receita",LANÇ_MOV[CONTAS],$C39,LANÇ_MOV[PLANO DE CONTAS],REL_DRE_FINANCEIRO!$B$30,LANÇ_MOV[ANO PAGAMENTO],$B$4,LANÇ_MOV[MÊS PAGAMENTO CORRESPONDENTE],I$6,LANÇ_MOV[EMPRESA],$C$4,LANÇ_MOV[CENTRO DE CUSTOS],$D$4)</f>
        <v>0</v>
      </c>
      <c r="J39" s="206">
        <f>SUMIFS(LANÇ_MOV[VALOR LÍQUIDO],LANÇ_MOV[RECEITA OU DESPESA],"Receita",LANÇ_MOV[CONTAS],$C39,LANÇ_MOV[PLANO DE CONTAS],REL_DRE_FINANCEIRO!$B$30,LANÇ_MOV[ANO PAGAMENTO],$B$4,LANÇ_MOV[MÊS PAGAMENTO CORRESPONDENTE],J$6,LANÇ_MOV[EMPRESA],$C$4,LANÇ_MOV[CENTRO DE CUSTOS],$D$4)</f>
        <v>0</v>
      </c>
      <c r="K39" s="206">
        <f>SUMIFS(LANÇ_MOV[VALOR LÍQUIDO],LANÇ_MOV[RECEITA OU DESPESA],"Receita",LANÇ_MOV[CONTAS],$C39,LANÇ_MOV[PLANO DE CONTAS],REL_DRE_FINANCEIRO!$B$30,LANÇ_MOV[ANO PAGAMENTO],$B$4,LANÇ_MOV[MÊS PAGAMENTO CORRESPONDENTE],K$6,LANÇ_MOV[EMPRESA],$C$4,LANÇ_MOV[CENTRO DE CUSTOS],$D$4)</f>
        <v>0</v>
      </c>
      <c r="L39" s="206">
        <f>SUMIFS(LANÇ_MOV[VALOR LÍQUIDO],LANÇ_MOV[RECEITA OU DESPESA],"Receita",LANÇ_MOV[CONTAS],$C39,LANÇ_MOV[PLANO DE CONTAS],REL_DRE_FINANCEIRO!$B$30,LANÇ_MOV[ANO PAGAMENTO],$B$4,LANÇ_MOV[MÊS PAGAMENTO CORRESPONDENTE],L$6,LANÇ_MOV[EMPRESA],$C$4,LANÇ_MOV[CENTRO DE CUSTOS],$D$4)</f>
        <v>0</v>
      </c>
      <c r="M39" s="206">
        <f>SUMIFS(LANÇ_MOV[VALOR LÍQUIDO],LANÇ_MOV[RECEITA OU DESPESA],"Receita",LANÇ_MOV[CONTAS],$C39,LANÇ_MOV[PLANO DE CONTAS],REL_DRE_FINANCEIRO!$B$30,LANÇ_MOV[ANO PAGAMENTO],$B$4,LANÇ_MOV[MÊS PAGAMENTO CORRESPONDENTE],M$6,LANÇ_MOV[EMPRESA],$C$4,LANÇ_MOV[CENTRO DE CUSTOS],$D$4)</f>
        <v>0</v>
      </c>
      <c r="N39" s="206">
        <f>SUMIFS(LANÇ_MOV[VALOR LÍQUIDO],LANÇ_MOV[RECEITA OU DESPESA],"Receita",LANÇ_MOV[CONTAS],$C39,LANÇ_MOV[PLANO DE CONTAS],REL_DRE_FINANCEIRO!$B$30,LANÇ_MOV[ANO PAGAMENTO],$B$4,LANÇ_MOV[MÊS PAGAMENTO CORRESPONDENTE],N$6,LANÇ_MOV[EMPRESA],$C$4,LANÇ_MOV[CENTRO DE CUSTOS],$D$4)</f>
        <v>0</v>
      </c>
      <c r="O39" s="206">
        <f>SUMIFS(LANÇ_MOV[VALOR LÍQUIDO],LANÇ_MOV[RECEITA OU DESPESA],"Receita",LANÇ_MOV[CONTAS],$C39,LANÇ_MOV[PLANO DE CONTAS],REL_DRE_FINANCEIRO!$B$30,LANÇ_MOV[ANO PAGAMENTO],$B$4,LANÇ_MOV[MÊS PAGAMENTO CORRESPONDENTE],O$6,LANÇ_MOV[EMPRESA],$C$4,LANÇ_MOV[CENTRO DE CUSTOS],$D$4)</f>
        <v>0</v>
      </c>
      <c r="P39" s="207">
        <f t="shared" si="18"/>
        <v>0</v>
      </c>
      <c r="Q39" s="333">
        <v>9.2E-6</v>
      </c>
      <c r="R39" s="346">
        <f t="shared" si="19"/>
        <v>9.2E-6</v>
      </c>
      <c r="S39" s="347" t="str">
        <f t="shared" si="20"/>
        <v>-</v>
      </c>
      <c r="T39" s="347">
        <f t="shared" si="21"/>
        <v>0</v>
      </c>
      <c r="U39" s="347">
        <f>HLOOKUP(Apoio!$P$12,$D$29:$P$130,X39,FALSE)+Q39</f>
        <v>9.2E-6</v>
      </c>
      <c r="V39" s="447" t="str">
        <f t="shared" si="22"/>
        <v>-</v>
      </c>
      <c r="W39" s="448">
        <f>HLOOKUP(Apoio!$P$12,$D$29:$P$130,X39,FALSE)</f>
        <v>0</v>
      </c>
      <c r="X39" s="329">
        <v>11</v>
      </c>
      <c r="Y39" s="329">
        <v>3</v>
      </c>
      <c r="Z39" s="340" t="str">
        <f>VLOOKUP(LARGE($U$31:$U$130,Y39),$U$31:$V$130,2,FALSE)</f>
        <v>-</v>
      </c>
      <c r="AA39" s="340">
        <f>VLOOKUP(Z39,$V$31:$W$130,2,FALSE)</f>
        <v>0</v>
      </c>
    </row>
    <row r="40" spans="2:30" ht="30.05" customHeight="1" x14ac:dyDescent="0.35">
      <c r="B40" s="204" t="str">
        <f>'CAD_PL_REC-DESP'!B14</f>
        <v>1.1.10</v>
      </c>
      <c r="C40" s="205" t="str">
        <f>IF('CAD_PL_REC-DESP'!C14="","-",'CAD_PL_REC-DESP'!C14)</f>
        <v>-</v>
      </c>
      <c r="D40" s="206">
        <f>SUMIFS(LANÇ_MOV[VALOR LÍQUIDO],LANÇ_MOV[RECEITA OU DESPESA],"Receita",LANÇ_MOV[CONTAS],$C40,LANÇ_MOV[PLANO DE CONTAS],REL_DRE_FINANCEIRO!$B$30,LANÇ_MOV[ANO PAGAMENTO],$B$4,LANÇ_MOV[MÊS PAGAMENTO CORRESPONDENTE],D$6,LANÇ_MOV[EMPRESA],$C$4,LANÇ_MOV[CENTRO DE CUSTOS],$D$4)</f>
        <v>0</v>
      </c>
      <c r="E40" s="206">
        <f>SUMIFS(LANÇ_MOV[VALOR LÍQUIDO],LANÇ_MOV[RECEITA OU DESPESA],"Receita",LANÇ_MOV[CONTAS],$C40,LANÇ_MOV[PLANO DE CONTAS],REL_DRE_FINANCEIRO!$B$30,LANÇ_MOV[ANO PAGAMENTO],$B$4,LANÇ_MOV[MÊS PAGAMENTO CORRESPONDENTE],E$6,LANÇ_MOV[EMPRESA],$C$4,LANÇ_MOV[CENTRO DE CUSTOS],$D$4)</f>
        <v>0</v>
      </c>
      <c r="F40" s="206">
        <f>SUMIFS(LANÇ_MOV[VALOR LÍQUIDO],LANÇ_MOV[RECEITA OU DESPESA],"Receita",LANÇ_MOV[CONTAS],$C40,LANÇ_MOV[PLANO DE CONTAS],REL_DRE_FINANCEIRO!$B$30,LANÇ_MOV[ANO PAGAMENTO],$B$4,LANÇ_MOV[MÊS PAGAMENTO CORRESPONDENTE],F$6,LANÇ_MOV[EMPRESA],$C$4,LANÇ_MOV[CENTRO DE CUSTOS],$D$4)</f>
        <v>0</v>
      </c>
      <c r="G40" s="206">
        <f>SUMIFS(LANÇ_MOV[VALOR LÍQUIDO],LANÇ_MOV[RECEITA OU DESPESA],"Receita",LANÇ_MOV[CONTAS],$C40,LANÇ_MOV[PLANO DE CONTAS],REL_DRE_FINANCEIRO!$B$30,LANÇ_MOV[ANO PAGAMENTO],$B$4,LANÇ_MOV[MÊS PAGAMENTO CORRESPONDENTE],G$6,LANÇ_MOV[EMPRESA],$C$4,LANÇ_MOV[CENTRO DE CUSTOS],$D$4)</f>
        <v>0</v>
      </c>
      <c r="H40" s="206">
        <f>SUMIFS(LANÇ_MOV[VALOR LÍQUIDO],LANÇ_MOV[RECEITA OU DESPESA],"Receita",LANÇ_MOV[CONTAS],$C40,LANÇ_MOV[PLANO DE CONTAS],REL_DRE_FINANCEIRO!$B$30,LANÇ_MOV[ANO PAGAMENTO],$B$4,LANÇ_MOV[MÊS PAGAMENTO CORRESPONDENTE],H$6,LANÇ_MOV[EMPRESA],$C$4,LANÇ_MOV[CENTRO DE CUSTOS],$D$4)</f>
        <v>0</v>
      </c>
      <c r="I40" s="206">
        <f>SUMIFS(LANÇ_MOV[VALOR LÍQUIDO],LANÇ_MOV[RECEITA OU DESPESA],"Receita",LANÇ_MOV[CONTAS],$C40,LANÇ_MOV[PLANO DE CONTAS],REL_DRE_FINANCEIRO!$B$30,LANÇ_MOV[ANO PAGAMENTO],$B$4,LANÇ_MOV[MÊS PAGAMENTO CORRESPONDENTE],I$6,LANÇ_MOV[EMPRESA],$C$4,LANÇ_MOV[CENTRO DE CUSTOS],$D$4)</f>
        <v>0</v>
      </c>
      <c r="J40" s="206">
        <f>SUMIFS(LANÇ_MOV[VALOR LÍQUIDO],LANÇ_MOV[RECEITA OU DESPESA],"Receita",LANÇ_MOV[CONTAS],$C40,LANÇ_MOV[PLANO DE CONTAS],REL_DRE_FINANCEIRO!$B$30,LANÇ_MOV[ANO PAGAMENTO],$B$4,LANÇ_MOV[MÊS PAGAMENTO CORRESPONDENTE],J$6,LANÇ_MOV[EMPRESA],$C$4,LANÇ_MOV[CENTRO DE CUSTOS],$D$4)</f>
        <v>0</v>
      </c>
      <c r="K40" s="206">
        <f>SUMIFS(LANÇ_MOV[VALOR LÍQUIDO],LANÇ_MOV[RECEITA OU DESPESA],"Receita",LANÇ_MOV[CONTAS],$C40,LANÇ_MOV[PLANO DE CONTAS],REL_DRE_FINANCEIRO!$B$30,LANÇ_MOV[ANO PAGAMENTO],$B$4,LANÇ_MOV[MÊS PAGAMENTO CORRESPONDENTE],K$6,LANÇ_MOV[EMPRESA],$C$4,LANÇ_MOV[CENTRO DE CUSTOS],$D$4)</f>
        <v>0</v>
      </c>
      <c r="L40" s="206">
        <f>SUMIFS(LANÇ_MOV[VALOR LÍQUIDO],LANÇ_MOV[RECEITA OU DESPESA],"Receita",LANÇ_MOV[CONTAS],$C40,LANÇ_MOV[PLANO DE CONTAS],REL_DRE_FINANCEIRO!$B$30,LANÇ_MOV[ANO PAGAMENTO],$B$4,LANÇ_MOV[MÊS PAGAMENTO CORRESPONDENTE],L$6,LANÇ_MOV[EMPRESA],$C$4,LANÇ_MOV[CENTRO DE CUSTOS],$D$4)</f>
        <v>0</v>
      </c>
      <c r="M40" s="206">
        <f>SUMIFS(LANÇ_MOV[VALOR LÍQUIDO],LANÇ_MOV[RECEITA OU DESPESA],"Receita",LANÇ_MOV[CONTAS],$C40,LANÇ_MOV[PLANO DE CONTAS],REL_DRE_FINANCEIRO!$B$30,LANÇ_MOV[ANO PAGAMENTO],$B$4,LANÇ_MOV[MÊS PAGAMENTO CORRESPONDENTE],M$6,LANÇ_MOV[EMPRESA],$C$4,LANÇ_MOV[CENTRO DE CUSTOS],$D$4)</f>
        <v>0</v>
      </c>
      <c r="N40" s="206">
        <f>SUMIFS(LANÇ_MOV[VALOR LÍQUIDO],LANÇ_MOV[RECEITA OU DESPESA],"Receita",LANÇ_MOV[CONTAS],$C40,LANÇ_MOV[PLANO DE CONTAS],REL_DRE_FINANCEIRO!$B$30,LANÇ_MOV[ANO PAGAMENTO],$B$4,LANÇ_MOV[MÊS PAGAMENTO CORRESPONDENTE],N$6,LANÇ_MOV[EMPRESA],$C$4,LANÇ_MOV[CENTRO DE CUSTOS],$D$4)</f>
        <v>0</v>
      </c>
      <c r="O40" s="206">
        <f>SUMIFS(LANÇ_MOV[VALOR LÍQUIDO],LANÇ_MOV[RECEITA OU DESPESA],"Receita",LANÇ_MOV[CONTAS],$C40,LANÇ_MOV[PLANO DE CONTAS],REL_DRE_FINANCEIRO!$B$30,LANÇ_MOV[ANO PAGAMENTO],$B$4,LANÇ_MOV[MÊS PAGAMENTO CORRESPONDENTE],O$6,LANÇ_MOV[EMPRESA],$C$4,LANÇ_MOV[CENTRO DE CUSTOS],$D$4)</f>
        <v>0</v>
      </c>
      <c r="P40" s="207">
        <f t="shared" si="18"/>
        <v>0</v>
      </c>
      <c r="Q40" s="333">
        <v>9.0999999999999993E-6</v>
      </c>
      <c r="R40" s="346">
        <f t="shared" si="19"/>
        <v>9.0999999999999993E-6</v>
      </c>
      <c r="S40" s="347" t="str">
        <f t="shared" si="20"/>
        <v>-</v>
      </c>
      <c r="T40" s="347">
        <f t="shared" si="21"/>
        <v>0</v>
      </c>
      <c r="U40" s="347">
        <f>HLOOKUP(Apoio!$P$12,$D$29:$P$130,X40,FALSE)+Q40</f>
        <v>9.0999999999999993E-6</v>
      </c>
      <c r="V40" s="447" t="str">
        <f t="shared" si="22"/>
        <v>-</v>
      </c>
      <c r="W40" s="448">
        <f>HLOOKUP(Apoio!$P$12,$D$29:$P$130,X40,FALSE)</f>
        <v>0</v>
      </c>
      <c r="X40" s="329">
        <v>12</v>
      </c>
      <c r="Y40" s="329">
        <v>4</v>
      </c>
      <c r="Z40" s="340" t="str">
        <f>VLOOKUP(LARGE($U$31:$U$130,Y40),$U$31:$V$130,2,FALSE)</f>
        <v>-</v>
      </c>
      <c r="AA40" s="340">
        <f>VLOOKUP(Z40,$V$31:$W$130,2,FALSE)</f>
        <v>0</v>
      </c>
    </row>
    <row r="41" spans="2:30" ht="30.05" customHeight="1" x14ac:dyDescent="0.35">
      <c r="B41" s="204" t="str">
        <f>'CAD_PL_REC-DESP'!B15</f>
        <v>1.1.11</v>
      </c>
      <c r="C41" s="205" t="str">
        <f>IF('CAD_PL_REC-DESP'!C15="","-",'CAD_PL_REC-DESP'!C15)</f>
        <v>-</v>
      </c>
      <c r="D41" s="206">
        <f>SUMIFS(LANÇ_MOV[VALOR LÍQUIDO],LANÇ_MOV[RECEITA OU DESPESA],"Receita",LANÇ_MOV[CONTAS],$C41,LANÇ_MOV[PLANO DE CONTAS],REL_DRE_FINANCEIRO!$B$30,LANÇ_MOV[ANO PAGAMENTO],$B$4,LANÇ_MOV[MÊS PAGAMENTO CORRESPONDENTE],D$6,LANÇ_MOV[EMPRESA],$C$4,LANÇ_MOV[CENTRO DE CUSTOS],$D$4)</f>
        <v>0</v>
      </c>
      <c r="E41" s="206">
        <f>SUMIFS(LANÇ_MOV[VALOR LÍQUIDO],LANÇ_MOV[RECEITA OU DESPESA],"Receita",LANÇ_MOV[CONTAS],$C41,LANÇ_MOV[PLANO DE CONTAS],REL_DRE_FINANCEIRO!$B$30,LANÇ_MOV[ANO PAGAMENTO],$B$4,LANÇ_MOV[MÊS PAGAMENTO CORRESPONDENTE],E$6,LANÇ_MOV[EMPRESA],$C$4,LANÇ_MOV[CENTRO DE CUSTOS],$D$4)</f>
        <v>0</v>
      </c>
      <c r="F41" s="206">
        <f>SUMIFS(LANÇ_MOV[VALOR LÍQUIDO],LANÇ_MOV[RECEITA OU DESPESA],"Receita",LANÇ_MOV[CONTAS],$C41,LANÇ_MOV[PLANO DE CONTAS],REL_DRE_FINANCEIRO!$B$30,LANÇ_MOV[ANO PAGAMENTO],$B$4,LANÇ_MOV[MÊS PAGAMENTO CORRESPONDENTE],F$6,LANÇ_MOV[EMPRESA],$C$4,LANÇ_MOV[CENTRO DE CUSTOS],$D$4)</f>
        <v>0</v>
      </c>
      <c r="G41" s="206">
        <f>SUMIFS(LANÇ_MOV[VALOR LÍQUIDO],LANÇ_MOV[RECEITA OU DESPESA],"Receita",LANÇ_MOV[CONTAS],$C41,LANÇ_MOV[PLANO DE CONTAS],REL_DRE_FINANCEIRO!$B$30,LANÇ_MOV[ANO PAGAMENTO],$B$4,LANÇ_MOV[MÊS PAGAMENTO CORRESPONDENTE],G$6,LANÇ_MOV[EMPRESA],$C$4,LANÇ_MOV[CENTRO DE CUSTOS],$D$4)</f>
        <v>0</v>
      </c>
      <c r="H41" s="206">
        <f>SUMIFS(LANÇ_MOV[VALOR LÍQUIDO],LANÇ_MOV[RECEITA OU DESPESA],"Receita",LANÇ_MOV[CONTAS],$C41,LANÇ_MOV[PLANO DE CONTAS],REL_DRE_FINANCEIRO!$B$30,LANÇ_MOV[ANO PAGAMENTO],$B$4,LANÇ_MOV[MÊS PAGAMENTO CORRESPONDENTE],H$6,LANÇ_MOV[EMPRESA],$C$4,LANÇ_MOV[CENTRO DE CUSTOS],$D$4)</f>
        <v>0</v>
      </c>
      <c r="I41" s="206">
        <f>SUMIFS(LANÇ_MOV[VALOR LÍQUIDO],LANÇ_MOV[RECEITA OU DESPESA],"Receita",LANÇ_MOV[CONTAS],$C41,LANÇ_MOV[PLANO DE CONTAS],REL_DRE_FINANCEIRO!$B$30,LANÇ_MOV[ANO PAGAMENTO],$B$4,LANÇ_MOV[MÊS PAGAMENTO CORRESPONDENTE],I$6,LANÇ_MOV[EMPRESA],$C$4,LANÇ_MOV[CENTRO DE CUSTOS],$D$4)</f>
        <v>0</v>
      </c>
      <c r="J41" s="206">
        <f>SUMIFS(LANÇ_MOV[VALOR LÍQUIDO],LANÇ_MOV[RECEITA OU DESPESA],"Receita",LANÇ_MOV[CONTAS],$C41,LANÇ_MOV[PLANO DE CONTAS],REL_DRE_FINANCEIRO!$B$30,LANÇ_MOV[ANO PAGAMENTO],$B$4,LANÇ_MOV[MÊS PAGAMENTO CORRESPONDENTE],J$6,LANÇ_MOV[EMPRESA],$C$4,LANÇ_MOV[CENTRO DE CUSTOS],$D$4)</f>
        <v>0</v>
      </c>
      <c r="K41" s="206">
        <f>SUMIFS(LANÇ_MOV[VALOR LÍQUIDO],LANÇ_MOV[RECEITA OU DESPESA],"Receita",LANÇ_MOV[CONTAS],$C41,LANÇ_MOV[PLANO DE CONTAS],REL_DRE_FINANCEIRO!$B$30,LANÇ_MOV[ANO PAGAMENTO],$B$4,LANÇ_MOV[MÊS PAGAMENTO CORRESPONDENTE],K$6,LANÇ_MOV[EMPRESA],$C$4,LANÇ_MOV[CENTRO DE CUSTOS],$D$4)</f>
        <v>0</v>
      </c>
      <c r="L41" s="206">
        <f>SUMIFS(LANÇ_MOV[VALOR LÍQUIDO],LANÇ_MOV[RECEITA OU DESPESA],"Receita",LANÇ_MOV[CONTAS],$C41,LANÇ_MOV[PLANO DE CONTAS],REL_DRE_FINANCEIRO!$B$30,LANÇ_MOV[ANO PAGAMENTO],$B$4,LANÇ_MOV[MÊS PAGAMENTO CORRESPONDENTE],L$6,LANÇ_MOV[EMPRESA],$C$4,LANÇ_MOV[CENTRO DE CUSTOS],$D$4)</f>
        <v>0</v>
      </c>
      <c r="M41" s="206">
        <f>SUMIFS(LANÇ_MOV[VALOR LÍQUIDO],LANÇ_MOV[RECEITA OU DESPESA],"Receita",LANÇ_MOV[CONTAS],$C41,LANÇ_MOV[PLANO DE CONTAS],REL_DRE_FINANCEIRO!$B$30,LANÇ_MOV[ANO PAGAMENTO],$B$4,LANÇ_MOV[MÊS PAGAMENTO CORRESPONDENTE],M$6,LANÇ_MOV[EMPRESA],$C$4,LANÇ_MOV[CENTRO DE CUSTOS],$D$4)</f>
        <v>0</v>
      </c>
      <c r="N41" s="206">
        <f>SUMIFS(LANÇ_MOV[VALOR LÍQUIDO],LANÇ_MOV[RECEITA OU DESPESA],"Receita",LANÇ_MOV[CONTAS],$C41,LANÇ_MOV[PLANO DE CONTAS],REL_DRE_FINANCEIRO!$B$30,LANÇ_MOV[ANO PAGAMENTO],$B$4,LANÇ_MOV[MÊS PAGAMENTO CORRESPONDENTE],N$6,LANÇ_MOV[EMPRESA],$C$4,LANÇ_MOV[CENTRO DE CUSTOS],$D$4)</f>
        <v>0</v>
      </c>
      <c r="O41" s="206">
        <f>SUMIFS(LANÇ_MOV[VALOR LÍQUIDO],LANÇ_MOV[RECEITA OU DESPESA],"Receita",LANÇ_MOV[CONTAS],$C41,LANÇ_MOV[PLANO DE CONTAS],REL_DRE_FINANCEIRO!$B$30,LANÇ_MOV[ANO PAGAMENTO],$B$4,LANÇ_MOV[MÊS PAGAMENTO CORRESPONDENTE],O$6,LANÇ_MOV[EMPRESA],$C$4,LANÇ_MOV[CENTRO DE CUSTOS],$D$4)</f>
        <v>0</v>
      </c>
      <c r="P41" s="207">
        <f t="shared" si="18"/>
        <v>0</v>
      </c>
      <c r="Q41" s="333">
        <v>9.0000000000000002E-6</v>
      </c>
      <c r="R41" s="346">
        <f t="shared" si="19"/>
        <v>9.0000000000000002E-6</v>
      </c>
      <c r="S41" s="347" t="str">
        <f t="shared" si="20"/>
        <v>-</v>
      </c>
      <c r="T41" s="347">
        <f t="shared" si="21"/>
        <v>0</v>
      </c>
      <c r="U41" s="347">
        <f>HLOOKUP(Apoio!$P$12,$D$29:$P$130,X41,FALSE)+Q41</f>
        <v>9.0000000000000002E-6</v>
      </c>
      <c r="V41" s="447" t="str">
        <f t="shared" si="22"/>
        <v>-</v>
      </c>
      <c r="W41" s="448">
        <f>HLOOKUP(Apoio!$P$12,$D$29:$P$130,X41,FALSE)</f>
        <v>0</v>
      </c>
      <c r="X41" s="329">
        <v>13</v>
      </c>
      <c r="Y41" s="329">
        <v>5</v>
      </c>
      <c r="Z41" s="340" t="str">
        <f>VLOOKUP(LARGE($U$31:$U$130,Y41),$U$31:$V$130,2,FALSE)</f>
        <v>-</v>
      </c>
      <c r="AA41" s="340">
        <f>VLOOKUP(Z41,$V$31:$W$130,2,FALSE)</f>
        <v>0</v>
      </c>
    </row>
    <row r="42" spans="2:30" ht="30.05" customHeight="1" x14ac:dyDescent="0.35">
      <c r="B42" s="204" t="str">
        <f>'CAD_PL_REC-DESP'!B16</f>
        <v>1.1.12</v>
      </c>
      <c r="C42" s="205" t="str">
        <f>IF('CAD_PL_REC-DESP'!C16="","-",'CAD_PL_REC-DESP'!C16)</f>
        <v>-</v>
      </c>
      <c r="D42" s="206">
        <f>SUMIFS(LANÇ_MOV[VALOR LÍQUIDO],LANÇ_MOV[RECEITA OU DESPESA],"Receita",LANÇ_MOV[CONTAS],$C42,LANÇ_MOV[PLANO DE CONTAS],REL_DRE_FINANCEIRO!$B$30,LANÇ_MOV[ANO PAGAMENTO],$B$4,LANÇ_MOV[MÊS PAGAMENTO CORRESPONDENTE],D$6,LANÇ_MOV[EMPRESA],$C$4,LANÇ_MOV[CENTRO DE CUSTOS],$D$4)</f>
        <v>0</v>
      </c>
      <c r="E42" s="206">
        <f>SUMIFS(LANÇ_MOV[VALOR LÍQUIDO],LANÇ_MOV[RECEITA OU DESPESA],"Receita",LANÇ_MOV[CONTAS],$C42,LANÇ_MOV[PLANO DE CONTAS],REL_DRE_FINANCEIRO!$B$30,LANÇ_MOV[ANO PAGAMENTO],$B$4,LANÇ_MOV[MÊS PAGAMENTO CORRESPONDENTE],E$6,LANÇ_MOV[EMPRESA],$C$4,LANÇ_MOV[CENTRO DE CUSTOS],$D$4)</f>
        <v>0</v>
      </c>
      <c r="F42" s="206">
        <f>SUMIFS(LANÇ_MOV[VALOR LÍQUIDO],LANÇ_MOV[RECEITA OU DESPESA],"Receita",LANÇ_MOV[CONTAS],$C42,LANÇ_MOV[PLANO DE CONTAS],REL_DRE_FINANCEIRO!$B$30,LANÇ_MOV[ANO PAGAMENTO],$B$4,LANÇ_MOV[MÊS PAGAMENTO CORRESPONDENTE],F$6,LANÇ_MOV[EMPRESA],$C$4,LANÇ_MOV[CENTRO DE CUSTOS],$D$4)</f>
        <v>0</v>
      </c>
      <c r="G42" s="206">
        <f>SUMIFS(LANÇ_MOV[VALOR LÍQUIDO],LANÇ_MOV[RECEITA OU DESPESA],"Receita",LANÇ_MOV[CONTAS],$C42,LANÇ_MOV[PLANO DE CONTAS],REL_DRE_FINANCEIRO!$B$30,LANÇ_MOV[ANO PAGAMENTO],$B$4,LANÇ_MOV[MÊS PAGAMENTO CORRESPONDENTE],G$6,LANÇ_MOV[EMPRESA],$C$4,LANÇ_MOV[CENTRO DE CUSTOS],$D$4)</f>
        <v>0</v>
      </c>
      <c r="H42" s="206">
        <f>SUMIFS(LANÇ_MOV[VALOR LÍQUIDO],LANÇ_MOV[RECEITA OU DESPESA],"Receita",LANÇ_MOV[CONTAS],$C42,LANÇ_MOV[PLANO DE CONTAS],REL_DRE_FINANCEIRO!$B$30,LANÇ_MOV[ANO PAGAMENTO],$B$4,LANÇ_MOV[MÊS PAGAMENTO CORRESPONDENTE],H$6,LANÇ_MOV[EMPRESA],$C$4,LANÇ_MOV[CENTRO DE CUSTOS],$D$4)</f>
        <v>0</v>
      </c>
      <c r="I42" s="206">
        <f>SUMIFS(LANÇ_MOV[VALOR LÍQUIDO],LANÇ_MOV[RECEITA OU DESPESA],"Receita",LANÇ_MOV[CONTAS],$C42,LANÇ_MOV[PLANO DE CONTAS],REL_DRE_FINANCEIRO!$B$30,LANÇ_MOV[ANO PAGAMENTO],$B$4,LANÇ_MOV[MÊS PAGAMENTO CORRESPONDENTE],I$6,LANÇ_MOV[EMPRESA],$C$4,LANÇ_MOV[CENTRO DE CUSTOS],$D$4)</f>
        <v>0</v>
      </c>
      <c r="J42" s="206">
        <f>SUMIFS(LANÇ_MOV[VALOR LÍQUIDO],LANÇ_MOV[RECEITA OU DESPESA],"Receita",LANÇ_MOV[CONTAS],$C42,LANÇ_MOV[PLANO DE CONTAS],REL_DRE_FINANCEIRO!$B$30,LANÇ_MOV[ANO PAGAMENTO],$B$4,LANÇ_MOV[MÊS PAGAMENTO CORRESPONDENTE],J$6,LANÇ_MOV[EMPRESA],$C$4,LANÇ_MOV[CENTRO DE CUSTOS],$D$4)</f>
        <v>0</v>
      </c>
      <c r="K42" s="206">
        <f>SUMIFS(LANÇ_MOV[VALOR LÍQUIDO],LANÇ_MOV[RECEITA OU DESPESA],"Receita",LANÇ_MOV[CONTAS],$C42,LANÇ_MOV[PLANO DE CONTAS],REL_DRE_FINANCEIRO!$B$30,LANÇ_MOV[ANO PAGAMENTO],$B$4,LANÇ_MOV[MÊS PAGAMENTO CORRESPONDENTE],K$6,LANÇ_MOV[EMPRESA],$C$4,LANÇ_MOV[CENTRO DE CUSTOS],$D$4)</f>
        <v>0</v>
      </c>
      <c r="L42" s="206">
        <f>SUMIFS(LANÇ_MOV[VALOR LÍQUIDO],LANÇ_MOV[RECEITA OU DESPESA],"Receita",LANÇ_MOV[CONTAS],$C42,LANÇ_MOV[PLANO DE CONTAS],REL_DRE_FINANCEIRO!$B$30,LANÇ_MOV[ANO PAGAMENTO],$B$4,LANÇ_MOV[MÊS PAGAMENTO CORRESPONDENTE],L$6,LANÇ_MOV[EMPRESA],$C$4,LANÇ_MOV[CENTRO DE CUSTOS],$D$4)</f>
        <v>0</v>
      </c>
      <c r="M42" s="206">
        <f>SUMIFS(LANÇ_MOV[VALOR LÍQUIDO],LANÇ_MOV[RECEITA OU DESPESA],"Receita",LANÇ_MOV[CONTAS],$C42,LANÇ_MOV[PLANO DE CONTAS],REL_DRE_FINANCEIRO!$B$30,LANÇ_MOV[ANO PAGAMENTO],$B$4,LANÇ_MOV[MÊS PAGAMENTO CORRESPONDENTE],M$6,LANÇ_MOV[EMPRESA],$C$4,LANÇ_MOV[CENTRO DE CUSTOS],$D$4)</f>
        <v>0</v>
      </c>
      <c r="N42" s="206">
        <f>SUMIFS(LANÇ_MOV[VALOR LÍQUIDO],LANÇ_MOV[RECEITA OU DESPESA],"Receita",LANÇ_MOV[CONTAS],$C42,LANÇ_MOV[PLANO DE CONTAS],REL_DRE_FINANCEIRO!$B$30,LANÇ_MOV[ANO PAGAMENTO],$B$4,LANÇ_MOV[MÊS PAGAMENTO CORRESPONDENTE],N$6,LANÇ_MOV[EMPRESA],$C$4,LANÇ_MOV[CENTRO DE CUSTOS],$D$4)</f>
        <v>0</v>
      </c>
      <c r="O42" s="206">
        <f>SUMIFS(LANÇ_MOV[VALOR LÍQUIDO],LANÇ_MOV[RECEITA OU DESPESA],"Receita",LANÇ_MOV[CONTAS],$C42,LANÇ_MOV[PLANO DE CONTAS],REL_DRE_FINANCEIRO!$B$30,LANÇ_MOV[ANO PAGAMENTO],$B$4,LANÇ_MOV[MÊS PAGAMENTO CORRESPONDENTE],O$6,LANÇ_MOV[EMPRESA],$C$4,LANÇ_MOV[CENTRO DE CUSTOS],$D$4)</f>
        <v>0</v>
      </c>
      <c r="P42" s="207">
        <f t="shared" si="18"/>
        <v>0</v>
      </c>
      <c r="Q42" s="333">
        <v>8.8999999999999995E-6</v>
      </c>
      <c r="R42" s="346">
        <f t="shared" si="19"/>
        <v>8.8999999999999995E-6</v>
      </c>
      <c r="S42" s="347" t="str">
        <f t="shared" si="20"/>
        <v>-</v>
      </c>
      <c r="T42" s="347">
        <f t="shared" si="21"/>
        <v>0</v>
      </c>
      <c r="U42" s="347">
        <f>HLOOKUP(Apoio!$P$12,$D$29:$P$130,X42,FALSE)+Q42</f>
        <v>8.8999999999999995E-6</v>
      </c>
      <c r="V42" s="447" t="str">
        <f t="shared" si="22"/>
        <v>-</v>
      </c>
      <c r="W42" s="448">
        <f>HLOOKUP(Apoio!$P$12,$D$29:$P$130,X42,FALSE)</f>
        <v>0</v>
      </c>
      <c r="X42" s="329">
        <v>14</v>
      </c>
      <c r="AA42" s="340">
        <f>SUM(AA37:AA41)</f>
        <v>29488.57</v>
      </c>
    </row>
    <row r="43" spans="2:30" ht="30.05" customHeight="1" x14ac:dyDescent="0.35">
      <c r="B43" s="204" t="str">
        <f>'CAD_PL_REC-DESP'!B17</f>
        <v>1.1.13</v>
      </c>
      <c r="C43" s="205" t="str">
        <f>IF('CAD_PL_REC-DESP'!C17="","-",'CAD_PL_REC-DESP'!C17)</f>
        <v>-</v>
      </c>
      <c r="D43" s="206">
        <f>SUMIFS(LANÇ_MOV[VALOR LÍQUIDO],LANÇ_MOV[RECEITA OU DESPESA],"Receita",LANÇ_MOV[CONTAS],$C43,LANÇ_MOV[PLANO DE CONTAS],REL_DRE_FINANCEIRO!$B$30,LANÇ_MOV[ANO PAGAMENTO],$B$4,LANÇ_MOV[MÊS PAGAMENTO CORRESPONDENTE],D$6,LANÇ_MOV[EMPRESA],$C$4,LANÇ_MOV[CENTRO DE CUSTOS],$D$4)</f>
        <v>0</v>
      </c>
      <c r="E43" s="206">
        <f>SUMIFS(LANÇ_MOV[VALOR LÍQUIDO],LANÇ_MOV[RECEITA OU DESPESA],"Receita",LANÇ_MOV[CONTAS],$C43,LANÇ_MOV[PLANO DE CONTAS],REL_DRE_FINANCEIRO!$B$30,LANÇ_MOV[ANO PAGAMENTO],$B$4,LANÇ_MOV[MÊS PAGAMENTO CORRESPONDENTE],E$6,LANÇ_MOV[EMPRESA],$C$4,LANÇ_MOV[CENTRO DE CUSTOS],$D$4)</f>
        <v>0</v>
      </c>
      <c r="F43" s="206">
        <f>SUMIFS(LANÇ_MOV[VALOR LÍQUIDO],LANÇ_MOV[RECEITA OU DESPESA],"Receita",LANÇ_MOV[CONTAS],$C43,LANÇ_MOV[PLANO DE CONTAS],REL_DRE_FINANCEIRO!$B$30,LANÇ_MOV[ANO PAGAMENTO],$B$4,LANÇ_MOV[MÊS PAGAMENTO CORRESPONDENTE],F$6,LANÇ_MOV[EMPRESA],$C$4,LANÇ_MOV[CENTRO DE CUSTOS],$D$4)</f>
        <v>0</v>
      </c>
      <c r="G43" s="206">
        <f>SUMIFS(LANÇ_MOV[VALOR LÍQUIDO],LANÇ_MOV[RECEITA OU DESPESA],"Receita",LANÇ_MOV[CONTAS],$C43,LANÇ_MOV[PLANO DE CONTAS],REL_DRE_FINANCEIRO!$B$30,LANÇ_MOV[ANO PAGAMENTO],$B$4,LANÇ_MOV[MÊS PAGAMENTO CORRESPONDENTE],G$6,LANÇ_MOV[EMPRESA],$C$4,LANÇ_MOV[CENTRO DE CUSTOS],$D$4)</f>
        <v>0</v>
      </c>
      <c r="H43" s="206">
        <f>SUMIFS(LANÇ_MOV[VALOR LÍQUIDO],LANÇ_MOV[RECEITA OU DESPESA],"Receita",LANÇ_MOV[CONTAS],$C43,LANÇ_MOV[PLANO DE CONTAS],REL_DRE_FINANCEIRO!$B$30,LANÇ_MOV[ANO PAGAMENTO],$B$4,LANÇ_MOV[MÊS PAGAMENTO CORRESPONDENTE],H$6,LANÇ_MOV[EMPRESA],$C$4,LANÇ_MOV[CENTRO DE CUSTOS],$D$4)</f>
        <v>0</v>
      </c>
      <c r="I43" s="206">
        <f>SUMIFS(LANÇ_MOV[VALOR LÍQUIDO],LANÇ_MOV[RECEITA OU DESPESA],"Receita",LANÇ_MOV[CONTAS],$C43,LANÇ_MOV[PLANO DE CONTAS],REL_DRE_FINANCEIRO!$B$30,LANÇ_MOV[ANO PAGAMENTO],$B$4,LANÇ_MOV[MÊS PAGAMENTO CORRESPONDENTE],I$6,LANÇ_MOV[EMPRESA],$C$4,LANÇ_MOV[CENTRO DE CUSTOS],$D$4)</f>
        <v>0</v>
      </c>
      <c r="J43" s="206">
        <f>SUMIFS(LANÇ_MOV[VALOR LÍQUIDO],LANÇ_MOV[RECEITA OU DESPESA],"Receita",LANÇ_MOV[CONTAS],$C43,LANÇ_MOV[PLANO DE CONTAS],REL_DRE_FINANCEIRO!$B$30,LANÇ_MOV[ANO PAGAMENTO],$B$4,LANÇ_MOV[MÊS PAGAMENTO CORRESPONDENTE],J$6,LANÇ_MOV[EMPRESA],$C$4,LANÇ_MOV[CENTRO DE CUSTOS],$D$4)</f>
        <v>0</v>
      </c>
      <c r="K43" s="206">
        <f>SUMIFS(LANÇ_MOV[VALOR LÍQUIDO],LANÇ_MOV[RECEITA OU DESPESA],"Receita",LANÇ_MOV[CONTAS],$C43,LANÇ_MOV[PLANO DE CONTAS],REL_DRE_FINANCEIRO!$B$30,LANÇ_MOV[ANO PAGAMENTO],$B$4,LANÇ_MOV[MÊS PAGAMENTO CORRESPONDENTE],K$6,LANÇ_MOV[EMPRESA],$C$4,LANÇ_MOV[CENTRO DE CUSTOS],$D$4)</f>
        <v>0</v>
      </c>
      <c r="L43" s="206">
        <f>SUMIFS(LANÇ_MOV[VALOR LÍQUIDO],LANÇ_MOV[RECEITA OU DESPESA],"Receita",LANÇ_MOV[CONTAS],$C43,LANÇ_MOV[PLANO DE CONTAS],REL_DRE_FINANCEIRO!$B$30,LANÇ_MOV[ANO PAGAMENTO],$B$4,LANÇ_MOV[MÊS PAGAMENTO CORRESPONDENTE],L$6,LANÇ_MOV[EMPRESA],$C$4,LANÇ_MOV[CENTRO DE CUSTOS],$D$4)</f>
        <v>0</v>
      </c>
      <c r="M43" s="206">
        <f>SUMIFS(LANÇ_MOV[VALOR LÍQUIDO],LANÇ_MOV[RECEITA OU DESPESA],"Receita",LANÇ_MOV[CONTAS],$C43,LANÇ_MOV[PLANO DE CONTAS],REL_DRE_FINANCEIRO!$B$30,LANÇ_MOV[ANO PAGAMENTO],$B$4,LANÇ_MOV[MÊS PAGAMENTO CORRESPONDENTE],M$6,LANÇ_MOV[EMPRESA],$C$4,LANÇ_MOV[CENTRO DE CUSTOS],$D$4)</f>
        <v>0</v>
      </c>
      <c r="N43" s="206">
        <f>SUMIFS(LANÇ_MOV[VALOR LÍQUIDO],LANÇ_MOV[RECEITA OU DESPESA],"Receita",LANÇ_MOV[CONTAS],$C43,LANÇ_MOV[PLANO DE CONTAS],REL_DRE_FINANCEIRO!$B$30,LANÇ_MOV[ANO PAGAMENTO],$B$4,LANÇ_MOV[MÊS PAGAMENTO CORRESPONDENTE],N$6,LANÇ_MOV[EMPRESA],$C$4,LANÇ_MOV[CENTRO DE CUSTOS],$D$4)</f>
        <v>0</v>
      </c>
      <c r="O43" s="206">
        <f>SUMIFS(LANÇ_MOV[VALOR LÍQUIDO],LANÇ_MOV[RECEITA OU DESPESA],"Receita",LANÇ_MOV[CONTAS],$C43,LANÇ_MOV[PLANO DE CONTAS],REL_DRE_FINANCEIRO!$B$30,LANÇ_MOV[ANO PAGAMENTO],$B$4,LANÇ_MOV[MÊS PAGAMENTO CORRESPONDENTE],O$6,LANÇ_MOV[EMPRESA],$C$4,LANÇ_MOV[CENTRO DE CUSTOS],$D$4)</f>
        <v>0</v>
      </c>
      <c r="P43" s="207">
        <f t="shared" si="18"/>
        <v>0</v>
      </c>
      <c r="Q43" s="333">
        <v>8.8000000000000004E-6</v>
      </c>
      <c r="R43" s="346">
        <f t="shared" si="19"/>
        <v>8.8000000000000004E-6</v>
      </c>
      <c r="S43" s="347" t="str">
        <f t="shared" si="20"/>
        <v>-</v>
      </c>
      <c r="T43" s="347">
        <f t="shared" si="21"/>
        <v>0</v>
      </c>
      <c r="U43" s="347">
        <f>HLOOKUP(Apoio!$P$12,$D$29:$P$130,X43,FALSE)+Q43</f>
        <v>8.8000000000000004E-6</v>
      </c>
      <c r="V43" s="447" t="str">
        <f t="shared" si="22"/>
        <v>-</v>
      </c>
      <c r="W43" s="448">
        <f>HLOOKUP(Apoio!$P$12,$D$29:$P$130,X43,FALSE)</f>
        <v>0</v>
      </c>
      <c r="X43" s="329">
        <v>15</v>
      </c>
    </row>
    <row r="44" spans="2:30" ht="30.05" customHeight="1" x14ac:dyDescent="0.35">
      <c r="B44" s="204" t="str">
        <f>'CAD_PL_REC-DESP'!B18</f>
        <v>1.1.14</v>
      </c>
      <c r="C44" s="205" t="str">
        <f>IF('CAD_PL_REC-DESP'!C18="","-",'CAD_PL_REC-DESP'!C18)</f>
        <v>-</v>
      </c>
      <c r="D44" s="206">
        <f>SUMIFS(LANÇ_MOV[VALOR LÍQUIDO],LANÇ_MOV[RECEITA OU DESPESA],"Receita",LANÇ_MOV[CONTAS],$C44,LANÇ_MOV[PLANO DE CONTAS],REL_DRE_FINANCEIRO!$B$30,LANÇ_MOV[ANO PAGAMENTO],$B$4,LANÇ_MOV[MÊS PAGAMENTO CORRESPONDENTE],D$6,LANÇ_MOV[EMPRESA],$C$4,LANÇ_MOV[CENTRO DE CUSTOS],$D$4)</f>
        <v>0</v>
      </c>
      <c r="E44" s="206">
        <f>SUMIFS(LANÇ_MOV[VALOR LÍQUIDO],LANÇ_MOV[RECEITA OU DESPESA],"Receita",LANÇ_MOV[CONTAS],$C44,LANÇ_MOV[PLANO DE CONTAS],REL_DRE_FINANCEIRO!$B$30,LANÇ_MOV[ANO PAGAMENTO],$B$4,LANÇ_MOV[MÊS PAGAMENTO CORRESPONDENTE],E$6,LANÇ_MOV[EMPRESA],$C$4,LANÇ_MOV[CENTRO DE CUSTOS],$D$4)</f>
        <v>0</v>
      </c>
      <c r="F44" s="206">
        <f>SUMIFS(LANÇ_MOV[VALOR LÍQUIDO],LANÇ_MOV[RECEITA OU DESPESA],"Receita",LANÇ_MOV[CONTAS],$C44,LANÇ_MOV[PLANO DE CONTAS],REL_DRE_FINANCEIRO!$B$30,LANÇ_MOV[ANO PAGAMENTO],$B$4,LANÇ_MOV[MÊS PAGAMENTO CORRESPONDENTE],F$6,LANÇ_MOV[EMPRESA],$C$4,LANÇ_MOV[CENTRO DE CUSTOS],$D$4)</f>
        <v>0</v>
      </c>
      <c r="G44" s="206">
        <f>SUMIFS(LANÇ_MOV[VALOR LÍQUIDO],LANÇ_MOV[RECEITA OU DESPESA],"Receita",LANÇ_MOV[CONTAS],$C44,LANÇ_MOV[PLANO DE CONTAS],REL_DRE_FINANCEIRO!$B$30,LANÇ_MOV[ANO PAGAMENTO],$B$4,LANÇ_MOV[MÊS PAGAMENTO CORRESPONDENTE],G$6,LANÇ_MOV[EMPRESA],$C$4,LANÇ_MOV[CENTRO DE CUSTOS],$D$4)</f>
        <v>0</v>
      </c>
      <c r="H44" s="206">
        <f>SUMIFS(LANÇ_MOV[VALOR LÍQUIDO],LANÇ_MOV[RECEITA OU DESPESA],"Receita",LANÇ_MOV[CONTAS],$C44,LANÇ_MOV[PLANO DE CONTAS],REL_DRE_FINANCEIRO!$B$30,LANÇ_MOV[ANO PAGAMENTO],$B$4,LANÇ_MOV[MÊS PAGAMENTO CORRESPONDENTE],H$6,LANÇ_MOV[EMPRESA],$C$4,LANÇ_MOV[CENTRO DE CUSTOS],$D$4)</f>
        <v>0</v>
      </c>
      <c r="I44" s="206">
        <f>SUMIFS(LANÇ_MOV[VALOR LÍQUIDO],LANÇ_MOV[RECEITA OU DESPESA],"Receita",LANÇ_MOV[CONTAS],$C44,LANÇ_MOV[PLANO DE CONTAS],REL_DRE_FINANCEIRO!$B$30,LANÇ_MOV[ANO PAGAMENTO],$B$4,LANÇ_MOV[MÊS PAGAMENTO CORRESPONDENTE],I$6,LANÇ_MOV[EMPRESA],$C$4,LANÇ_MOV[CENTRO DE CUSTOS],$D$4)</f>
        <v>0</v>
      </c>
      <c r="J44" s="206">
        <f>SUMIFS(LANÇ_MOV[VALOR LÍQUIDO],LANÇ_MOV[RECEITA OU DESPESA],"Receita",LANÇ_MOV[CONTAS],$C44,LANÇ_MOV[PLANO DE CONTAS],REL_DRE_FINANCEIRO!$B$30,LANÇ_MOV[ANO PAGAMENTO],$B$4,LANÇ_MOV[MÊS PAGAMENTO CORRESPONDENTE],J$6,LANÇ_MOV[EMPRESA],$C$4,LANÇ_MOV[CENTRO DE CUSTOS],$D$4)</f>
        <v>0</v>
      </c>
      <c r="K44" s="206">
        <f>SUMIFS(LANÇ_MOV[VALOR LÍQUIDO],LANÇ_MOV[RECEITA OU DESPESA],"Receita",LANÇ_MOV[CONTAS],$C44,LANÇ_MOV[PLANO DE CONTAS],REL_DRE_FINANCEIRO!$B$30,LANÇ_MOV[ANO PAGAMENTO],$B$4,LANÇ_MOV[MÊS PAGAMENTO CORRESPONDENTE],K$6,LANÇ_MOV[EMPRESA],$C$4,LANÇ_MOV[CENTRO DE CUSTOS],$D$4)</f>
        <v>0</v>
      </c>
      <c r="L44" s="206">
        <f>SUMIFS(LANÇ_MOV[VALOR LÍQUIDO],LANÇ_MOV[RECEITA OU DESPESA],"Receita",LANÇ_MOV[CONTAS],$C44,LANÇ_MOV[PLANO DE CONTAS],REL_DRE_FINANCEIRO!$B$30,LANÇ_MOV[ANO PAGAMENTO],$B$4,LANÇ_MOV[MÊS PAGAMENTO CORRESPONDENTE],L$6,LANÇ_MOV[EMPRESA],$C$4,LANÇ_MOV[CENTRO DE CUSTOS],$D$4)</f>
        <v>0</v>
      </c>
      <c r="M44" s="206">
        <f>SUMIFS(LANÇ_MOV[VALOR LÍQUIDO],LANÇ_MOV[RECEITA OU DESPESA],"Receita",LANÇ_MOV[CONTAS],$C44,LANÇ_MOV[PLANO DE CONTAS],REL_DRE_FINANCEIRO!$B$30,LANÇ_MOV[ANO PAGAMENTO],$B$4,LANÇ_MOV[MÊS PAGAMENTO CORRESPONDENTE],M$6,LANÇ_MOV[EMPRESA],$C$4,LANÇ_MOV[CENTRO DE CUSTOS],$D$4)</f>
        <v>0</v>
      </c>
      <c r="N44" s="206">
        <f>SUMIFS(LANÇ_MOV[VALOR LÍQUIDO],LANÇ_MOV[RECEITA OU DESPESA],"Receita",LANÇ_MOV[CONTAS],$C44,LANÇ_MOV[PLANO DE CONTAS],REL_DRE_FINANCEIRO!$B$30,LANÇ_MOV[ANO PAGAMENTO],$B$4,LANÇ_MOV[MÊS PAGAMENTO CORRESPONDENTE],N$6,LANÇ_MOV[EMPRESA],$C$4,LANÇ_MOV[CENTRO DE CUSTOS],$D$4)</f>
        <v>0</v>
      </c>
      <c r="O44" s="206">
        <f>SUMIFS(LANÇ_MOV[VALOR LÍQUIDO],LANÇ_MOV[RECEITA OU DESPESA],"Receita",LANÇ_MOV[CONTAS],$C44,LANÇ_MOV[PLANO DE CONTAS],REL_DRE_FINANCEIRO!$B$30,LANÇ_MOV[ANO PAGAMENTO],$B$4,LANÇ_MOV[MÊS PAGAMENTO CORRESPONDENTE],O$6,LANÇ_MOV[EMPRESA],$C$4,LANÇ_MOV[CENTRO DE CUSTOS],$D$4)</f>
        <v>0</v>
      </c>
      <c r="P44" s="207">
        <f t="shared" si="18"/>
        <v>0</v>
      </c>
      <c r="Q44" s="333">
        <v>8.6999999999999997E-6</v>
      </c>
      <c r="R44" s="346">
        <f t="shared" si="19"/>
        <v>8.6999999999999997E-6</v>
      </c>
      <c r="S44" s="347" t="str">
        <f t="shared" si="20"/>
        <v>-</v>
      </c>
      <c r="T44" s="347">
        <f t="shared" si="21"/>
        <v>0</v>
      </c>
      <c r="U44" s="347">
        <f>HLOOKUP(Apoio!$P$12,$D$29:$P$130,X44,FALSE)+Q44</f>
        <v>8.6999999999999997E-6</v>
      </c>
      <c r="V44" s="447" t="str">
        <f t="shared" si="22"/>
        <v>-</v>
      </c>
      <c r="W44" s="448">
        <f>HLOOKUP(Apoio!$P$12,$D$29:$P$130,X44,FALSE)</f>
        <v>0</v>
      </c>
      <c r="X44" s="329">
        <v>16</v>
      </c>
    </row>
    <row r="45" spans="2:30" ht="30.05" customHeight="1" x14ac:dyDescent="0.35">
      <c r="B45" s="204" t="str">
        <f>'CAD_PL_REC-DESP'!B19</f>
        <v>1.1.15</v>
      </c>
      <c r="C45" s="205" t="str">
        <f>IF('CAD_PL_REC-DESP'!C19="","-",'CAD_PL_REC-DESP'!C19)</f>
        <v>-</v>
      </c>
      <c r="D45" s="206">
        <f>SUMIFS(LANÇ_MOV[VALOR LÍQUIDO],LANÇ_MOV[RECEITA OU DESPESA],"Receita",LANÇ_MOV[CONTAS],$C45,LANÇ_MOV[PLANO DE CONTAS],REL_DRE_FINANCEIRO!$B$30,LANÇ_MOV[ANO PAGAMENTO],$B$4,LANÇ_MOV[MÊS PAGAMENTO CORRESPONDENTE],D$6,LANÇ_MOV[EMPRESA],$C$4,LANÇ_MOV[CENTRO DE CUSTOS],$D$4)</f>
        <v>0</v>
      </c>
      <c r="E45" s="206">
        <f>SUMIFS(LANÇ_MOV[VALOR LÍQUIDO],LANÇ_MOV[RECEITA OU DESPESA],"Receita",LANÇ_MOV[CONTAS],$C45,LANÇ_MOV[PLANO DE CONTAS],REL_DRE_FINANCEIRO!$B$30,LANÇ_MOV[ANO PAGAMENTO],$B$4,LANÇ_MOV[MÊS PAGAMENTO CORRESPONDENTE],E$6,LANÇ_MOV[EMPRESA],$C$4,LANÇ_MOV[CENTRO DE CUSTOS],$D$4)</f>
        <v>0</v>
      </c>
      <c r="F45" s="206">
        <f>SUMIFS(LANÇ_MOV[VALOR LÍQUIDO],LANÇ_MOV[RECEITA OU DESPESA],"Receita",LANÇ_MOV[CONTAS],$C45,LANÇ_MOV[PLANO DE CONTAS],REL_DRE_FINANCEIRO!$B$30,LANÇ_MOV[ANO PAGAMENTO],$B$4,LANÇ_MOV[MÊS PAGAMENTO CORRESPONDENTE],F$6,LANÇ_MOV[EMPRESA],$C$4,LANÇ_MOV[CENTRO DE CUSTOS],$D$4)</f>
        <v>0</v>
      </c>
      <c r="G45" s="206">
        <f>SUMIFS(LANÇ_MOV[VALOR LÍQUIDO],LANÇ_MOV[RECEITA OU DESPESA],"Receita",LANÇ_MOV[CONTAS],$C45,LANÇ_MOV[PLANO DE CONTAS],REL_DRE_FINANCEIRO!$B$30,LANÇ_MOV[ANO PAGAMENTO],$B$4,LANÇ_MOV[MÊS PAGAMENTO CORRESPONDENTE],G$6,LANÇ_MOV[EMPRESA],$C$4,LANÇ_MOV[CENTRO DE CUSTOS],$D$4)</f>
        <v>0</v>
      </c>
      <c r="H45" s="206">
        <f>SUMIFS(LANÇ_MOV[VALOR LÍQUIDO],LANÇ_MOV[RECEITA OU DESPESA],"Receita",LANÇ_MOV[CONTAS],$C45,LANÇ_MOV[PLANO DE CONTAS],REL_DRE_FINANCEIRO!$B$30,LANÇ_MOV[ANO PAGAMENTO],$B$4,LANÇ_MOV[MÊS PAGAMENTO CORRESPONDENTE],H$6,LANÇ_MOV[EMPRESA],$C$4,LANÇ_MOV[CENTRO DE CUSTOS],$D$4)</f>
        <v>0</v>
      </c>
      <c r="I45" s="206">
        <f>SUMIFS(LANÇ_MOV[VALOR LÍQUIDO],LANÇ_MOV[RECEITA OU DESPESA],"Receita",LANÇ_MOV[CONTAS],$C45,LANÇ_MOV[PLANO DE CONTAS],REL_DRE_FINANCEIRO!$B$30,LANÇ_MOV[ANO PAGAMENTO],$B$4,LANÇ_MOV[MÊS PAGAMENTO CORRESPONDENTE],I$6,LANÇ_MOV[EMPRESA],$C$4,LANÇ_MOV[CENTRO DE CUSTOS],$D$4)</f>
        <v>0</v>
      </c>
      <c r="J45" s="206">
        <f>SUMIFS(LANÇ_MOV[VALOR LÍQUIDO],LANÇ_MOV[RECEITA OU DESPESA],"Receita",LANÇ_MOV[CONTAS],$C45,LANÇ_MOV[PLANO DE CONTAS],REL_DRE_FINANCEIRO!$B$30,LANÇ_MOV[ANO PAGAMENTO],$B$4,LANÇ_MOV[MÊS PAGAMENTO CORRESPONDENTE],J$6,LANÇ_MOV[EMPRESA],$C$4,LANÇ_MOV[CENTRO DE CUSTOS],$D$4)</f>
        <v>0</v>
      </c>
      <c r="K45" s="206">
        <f>SUMIFS(LANÇ_MOV[VALOR LÍQUIDO],LANÇ_MOV[RECEITA OU DESPESA],"Receita",LANÇ_MOV[CONTAS],$C45,LANÇ_MOV[PLANO DE CONTAS],REL_DRE_FINANCEIRO!$B$30,LANÇ_MOV[ANO PAGAMENTO],$B$4,LANÇ_MOV[MÊS PAGAMENTO CORRESPONDENTE],K$6,LANÇ_MOV[EMPRESA],$C$4,LANÇ_MOV[CENTRO DE CUSTOS],$D$4)</f>
        <v>0</v>
      </c>
      <c r="L45" s="206">
        <f>SUMIFS(LANÇ_MOV[VALOR LÍQUIDO],LANÇ_MOV[RECEITA OU DESPESA],"Receita",LANÇ_MOV[CONTAS],$C45,LANÇ_MOV[PLANO DE CONTAS],REL_DRE_FINANCEIRO!$B$30,LANÇ_MOV[ANO PAGAMENTO],$B$4,LANÇ_MOV[MÊS PAGAMENTO CORRESPONDENTE],L$6,LANÇ_MOV[EMPRESA],$C$4,LANÇ_MOV[CENTRO DE CUSTOS],$D$4)</f>
        <v>0</v>
      </c>
      <c r="M45" s="206">
        <f>SUMIFS(LANÇ_MOV[VALOR LÍQUIDO],LANÇ_MOV[RECEITA OU DESPESA],"Receita",LANÇ_MOV[CONTAS],$C45,LANÇ_MOV[PLANO DE CONTAS],REL_DRE_FINANCEIRO!$B$30,LANÇ_MOV[ANO PAGAMENTO],$B$4,LANÇ_MOV[MÊS PAGAMENTO CORRESPONDENTE],M$6,LANÇ_MOV[EMPRESA],$C$4,LANÇ_MOV[CENTRO DE CUSTOS],$D$4)</f>
        <v>0</v>
      </c>
      <c r="N45" s="206">
        <f>SUMIFS(LANÇ_MOV[VALOR LÍQUIDO],LANÇ_MOV[RECEITA OU DESPESA],"Receita",LANÇ_MOV[CONTAS],$C45,LANÇ_MOV[PLANO DE CONTAS],REL_DRE_FINANCEIRO!$B$30,LANÇ_MOV[ANO PAGAMENTO],$B$4,LANÇ_MOV[MÊS PAGAMENTO CORRESPONDENTE],N$6,LANÇ_MOV[EMPRESA],$C$4,LANÇ_MOV[CENTRO DE CUSTOS],$D$4)</f>
        <v>0</v>
      </c>
      <c r="O45" s="206">
        <f>SUMIFS(LANÇ_MOV[VALOR LÍQUIDO],LANÇ_MOV[RECEITA OU DESPESA],"Receita",LANÇ_MOV[CONTAS],$C45,LANÇ_MOV[PLANO DE CONTAS],REL_DRE_FINANCEIRO!$B$30,LANÇ_MOV[ANO PAGAMENTO],$B$4,LANÇ_MOV[MÊS PAGAMENTO CORRESPONDENTE],O$6,LANÇ_MOV[EMPRESA],$C$4,LANÇ_MOV[CENTRO DE CUSTOS],$D$4)</f>
        <v>0</v>
      </c>
      <c r="P45" s="207">
        <f t="shared" si="18"/>
        <v>0</v>
      </c>
      <c r="Q45" s="333"/>
      <c r="R45" s="346">
        <f t="shared" si="19"/>
        <v>0</v>
      </c>
      <c r="S45" s="347" t="str">
        <f t="shared" si="20"/>
        <v>-</v>
      </c>
      <c r="T45" s="347">
        <f t="shared" si="21"/>
        <v>0</v>
      </c>
      <c r="U45" s="347">
        <f>HLOOKUP(Apoio!$P$12,$D$29:$P$130,X45,FALSE)+Q45</f>
        <v>0</v>
      </c>
      <c r="V45" s="447" t="str">
        <f t="shared" si="22"/>
        <v>-</v>
      </c>
      <c r="W45" s="448">
        <f>HLOOKUP(Apoio!$P$12,$D$29:$P$130,X45,FALSE)</f>
        <v>0</v>
      </c>
      <c r="X45" s="329">
        <v>17</v>
      </c>
    </row>
    <row r="46" spans="2:30" ht="30.05" customHeight="1" x14ac:dyDescent="0.35">
      <c r="B46" s="204" t="str">
        <f>'CAD_PL_REC-DESP'!B20</f>
        <v>1.1.16</v>
      </c>
      <c r="C46" s="205" t="str">
        <f>IF('CAD_PL_REC-DESP'!C20="","-",'CAD_PL_REC-DESP'!C20)</f>
        <v>-</v>
      </c>
      <c r="D46" s="206">
        <f>SUMIFS(LANÇ_MOV[VALOR LÍQUIDO],LANÇ_MOV[RECEITA OU DESPESA],"Receita",LANÇ_MOV[CONTAS],$C46,LANÇ_MOV[PLANO DE CONTAS],REL_DRE_FINANCEIRO!$B$30,LANÇ_MOV[ANO PAGAMENTO],$B$4,LANÇ_MOV[MÊS PAGAMENTO CORRESPONDENTE],D$6,LANÇ_MOV[EMPRESA],$C$4,LANÇ_MOV[CENTRO DE CUSTOS],$D$4)</f>
        <v>0</v>
      </c>
      <c r="E46" s="206">
        <f>SUMIFS(LANÇ_MOV[VALOR LÍQUIDO],LANÇ_MOV[RECEITA OU DESPESA],"Receita",LANÇ_MOV[CONTAS],$C46,LANÇ_MOV[PLANO DE CONTAS],REL_DRE_FINANCEIRO!$B$30,LANÇ_MOV[ANO PAGAMENTO],$B$4,LANÇ_MOV[MÊS PAGAMENTO CORRESPONDENTE],E$6,LANÇ_MOV[EMPRESA],$C$4,LANÇ_MOV[CENTRO DE CUSTOS],$D$4)</f>
        <v>0</v>
      </c>
      <c r="F46" s="206">
        <f>SUMIFS(LANÇ_MOV[VALOR LÍQUIDO],LANÇ_MOV[RECEITA OU DESPESA],"Receita",LANÇ_MOV[CONTAS],$C46,LANÇ_MOV[PLANO DE CONTAS],REL_DRE_FINANCEIRO!$B$30,LANÇ_MOV[ANO PAGAMENTO],$B$4,LANÇ_MOV[MÊS PAGAMENTO CORRESPONDENTE],F$6,LANÇ_MOV[EMPRESA],$C$4,LANÇ_MOV[CENTRO DE CUSTOS],$D$4)</f>
        <v>0</v>
      </c>
      <c r="G46" s="206">
        <f>SUMIFS(LANÇ_MOV[VALOR LÍQUIDO],LANÇ_MOV[RECEITA OU DESPESA],"Receita",LANÇ_MOV[CONTAS],$C46,LANÇ_MOV[PLANO DE CONTAS],REL_DRE_FINANCEIRO!$B$30,LANÇ_MOV[ANO PAGAMENTO],$B$4,LANÇ_MOV[MÊS PAGAMENTO CORRESPONDENTE],G$6,LANÇ_MOV[EMPRESA],$C$4,LANÇ_MOV[CENTRO DE CUSTOS],$D$4)</f>
        <v>0</v>
      </c>
      <c r="H46" s="206">
        <f>SUMIFS(LANÇ_MOV[VALOR LÍQUIDO],LANÇ_MOV[RECEITA OU DESPESA],"Receita",LANÇ_MOV[CONTAS],$C46,LANÇ_MOV[PLANO DE CONTAS],REL_DRE_FINANCEIRO!$B$30,LANÇ_MOV[ANO PAGAMENTO],$B$4,LANÇ_MOV[MÊS PAGAMENTO CORRESPONDENTE],H$6,LANÇ_MOV[EMPRESA],$C$4,LANÇ_MOV[CENTRO DE CUSTOS],$D$4)</f>
        <v>0</v>
      </c>
      <c r="I46" s="206">
        <f>SUMIFS(LANÇ_MOV[VALOR LÍQUIDO],LANÇ_MOV[RECEITA OU DESPESA],"Receita",LANÇ_MOV[CONTAS],$C46,LANÇ_MOV[PLANO DE CONTAS],REL_DRE_FINANCEIRO!$B$30,LANÇ_MOV[ANO PAGAMENTO],$B$4,LANÇ_MOV[MÊS PAGAMENTO CORRESPONDENTE],I$6,LANÇ_MOV[EMPRESA],$C$4,LANÇ_MOV[CENTRO DE CUSTOS],$D$4)</f>
        <v>0</v>
      </c>
      <c r="J46" s="206">
        <f>SUMIFS(LANÇ_MOV[VALOR LÍQUIDO],LANÇ_MOV[RECEITA OU DESPESA],"Receita",LANÇ_MOV[CONTAS],$C46,LANÇ_MOV[PLANO DE CONTAS],REL_DRE_FINANCEIRO!$B$30,LANÇ_MOV[ANO PAGAMENTO],$B$4,LANÇ_MOV[MÊS PAGAMENTO CORRESPONDENTE],J$6,LANÇ_MOV[EMPRESA],$C$4,LANÇ_MOV[CENTRO DE CUSTOS],$D$4)</f>
        <v>0</v>
      </c>
      <c r="K46" s="206">
        <f>SUMIFS(LANÇ_MOV[VALOR LÍQUIDO],LANÇ_MOV[RECEITA OU DESPESA],"Receita",LANÇ_MOV[CONTAS],$C46,LANÇ_MOV[PLANO DE CONTAS],REL_DRE_FINANCEIRO!$B$30,LANÇ_MOV[ANO PAGAMENTO],$B$4,LANÇ_MOV[MÊS PAGAMENTO CORRESPONDENTE],K$6,LANÇ_MOV[EMPRESA],$C$4,LANÇ_MOV[CENTRO DE CUSTOS],$D$4)</f>
        <v>0</v>
      </c>
      <c r="L46" s="206">
        <f>SUMIFS(LANÇ_MOV[VALOR LÍQUIDO],LANÇ_MOV[RECEITA OU DESPESA],"Receita",LANÇ_MOV[CONTAS],$C46,LANÇ_MOV[PLANO DE CONTAS],REL_DRE_FINANCEIRO!$B$30,LANÇ_MOV[ANO PAGAMENTO],$B$4,LANÇ_MOV[MÊS PAGAMENTO CORRESPONDENTE],L$6,LANÇ_MOV[EMPRESA],$C$4,LANÇ_MOV[CENTRO DE CUSTOS],$D$4)</f>
        <v>0</v>
      </c>
      <c r="M46" s="206">
        <f>SUMIFS(LANÇ_MOV[VALOR LÍQUIDO],LANÇ_MOV[RECEITA OU DESPESA],"Receita",LANÇ_MOV[CONTAS],$C46,LANÇ_MOV[PLANO DE CONTAS],REL_DRE_FINANCEIRO!$B$30,LANÇ_MOV[ANO PAGAMENTO],$B$4,LANÇ_MOV[MÊS PAGAMENTO CORRESPONDENTE],M$6,LANÇ_MOV[EMPRESA],$C$4,LANÇ_MOV[CENTRO DE CUSTOS],$D$4)</f>
        <v>0</v>
      </c>
      <c r="N46" s="206">
        <f>SUMIFS(LANÇ_MOV[VALOR LÍQUIDO],LANÇ_MOV[RECEITA OU DESPESA],"Receita",LANÇ_MOV[CONTAS],$C46,LANÇ_MOV[PLANO DE CONTAS],REL_DRE_FINANCEIRO!$B$30,LANÇ_MOV[ANO PAGAMENTO],$B$4,LANÇ_MOV[MÊS PAGAMENTO CORRESPONDENTE],N$6,LANÇ_MOV[EMPRESA],$C$4,LANÇ_MOV[CENTRO DE CUSTOS],$D$4)</f>
        <v>0</v>
      </c>
      <c r="O46" s="206">
        <f>SUMIFS(LANÇ_MOV[VALOR LÍQUIDO],LANÇ_MOV[RECEITA OU DESPESA],"Receita",LANÇ_MOV[CONTAS],$C46,LANÇ_MOV[PLANO DE CONTAS],REL_DRE_FINANCEIRO!$B$30,LANÇ_MOV[ANO PAGAMENTO],$B$4,LANÇ_MOV[MÊS PAGAMENTO CORRESPONDENTE],O$6,LANÇ_MOV[EMPRESA],$C$4,LANÇ_MOV[CENTRO DE CUSTOS],$D$4)</f>
        <v>0</v>
      </c>
      <c r="P46" s="207">
        <f t="shared" si="18"/>
        <v>0</v>
      </c>
      <c r="Q46" s="333"/>
      <c r="R46" s="346">
        <f t="shared" si="19"/>
        <v>0</v>
      </c>
      <c r="S46" s="347" t="str">
        <f t="shared" si="20"/>
        <v>-</v>
      </c>
      <c r="T46" s="347">
        <f t="shared" si="21"/>
        <v>0</v>
      </c>
      <c r="U46" s="347">
        <f>HLOOKUP(Apoio!$P$12,$D$29:$P$130,X46,FALSE)+Q46</f>
        <v>0</v>
      </c>
      <c r="V46" s="447" t="str">
        <f t="shared" si="22"/>
        <v>-</v>
      </c>
      <c r="W46" s="448">
        <f>HLOOKUP(Apoio!$P$12,$D$29:$P$130,X46,FALSE)</f>
        <v>0</v>
      </c>
      <c r="X46" s="329">
        <v>18</v>
      </c>
    </row>
    <row r="47" spans="2:30" ht="30.05" customHeight="1" x14ac:dyDescent="0.35">
      <c r="B47" s="204" t="str">
        <f>'CAD_PL_REC-DESP'!B21</f>
        <v>1.1.17</v>
      </c>
      <c r="C47" s="205" t="str">
        <f>IF('CAD_PL_REC-DESP'!C21="","-",'CAD_PL_REC-DESP'!C21)</f>
        <v>-</v>
      </c>
      <c r="D47" s="206">
        <f>SUMIFS(LANÇ_MOV[VALOR LÍQUIDO],LANÇ_MOV[RECEITA OU DESPESA],"Receita",LANÇ_MOV[CONTAS],$C47,LANÇ_MOV[PLANO DE CONTAS],REL_DRE_FINANCEIRO!$B$30,LANÇ_MOV[ANO PAGAMENTO],$B$4,LANÇ_MOV[MÊS PAGAMENTO CORRESPONDENTE],D$6,LANÇ_MOV[EMPRESA],$C$4,LANÇ_MOV[CENTRO DE CUSTOS],$D$4)</f>
        <v>0</v>
      </c>
      <c r="E47" s="206">
        <f>SUMIFS(LANÇ_MOV[VALOR LÍQUIDO],LANÇ_MOV[RECEITA OU DESPESA],"Receita",LANÇ_MOV[CONTAS],$C47,LANÇ_MOV[PLANO DE CONTAS],REL_DRE_FINANCEIRO!$B$30,LANÇ_MOV[ANO PAGAMENTO],$B$4,LANÇ_MOV[MÊS PAGAMENTO CORRESPONDENTE],E$6,LANÇ_MOV[EMPRESA],$C$4,LANÇ_MOV[CENTRO DE CUSTOS],$D$4)</f>
        <v>0</v>
      </c>
      <c r="F47" s="206">
        <f>SUMIFS(LANÇ_MOV[VALOR LÍQUIDO],LANÇ_MOV[RECEITA OU DESPESA],"Receita",LANÇ_MOV[CONTAS],$C47,LANÇ_MOV[PLANO DE CONTAS],REL_DRE_FINANCEIRO!$B$30,LANÇ_MOV[ANO PAGAMENTO],$B$4,LANÇ_MOV[MÊS PAGAMENTO CORRESPONDENTE],F$6,LANÇ_MOV[EMPRESA],$C$4,LANÇ_MOV[CENTRO DE CUSTOS],$D$4)</f>
        <v>0</v>
      </c>
      <c r="G47" s="206">
        <f>SUMIFS(LANÇ_MOV[VALOR LÍQUIDO],LANÇ_MOV[RECEITA OU DESPESA],"Receita",LANÇ_MOV[CONTAS],$C47,LANÇ_MOV[PLANO DE CONTAS],REL_DRE_FINANCEIRO!$B$30,LANÇ_MOV[ANO PAGAMENTO],$B$4,LANÇ_MOV[MÊS PAGAMENTO CORRESPONDENTE],G$6,LANÇ_MOV[EMPRESA],$C$4,LANÇ_MOV[CENTRO DE CUSTOS],$D$4)</f>
        <v>0</v>
      </c>
      <c r="H47" s="206">
        <f>SUMIFS(LANÇ_MOV[VALOR LÍQUIDO],LANÇ_MOV[RECEITA OU DESPESA],"Receita",LANÇ_MOV[CONTAS],$C47,LANÇ_MOV[PLANO DE CONTAS],REL_DRE_FINANCEIRO!$B$30,LANÇ_MOV[ANO PAGAMENTO],$B$4,LANÇ_MOV[MÊS PAGAMENTO CORRESPONDENTE],H$6,LANÇ_MOV[EMPRESA],$C$4,LANÇ_MOV[CENTRO DE CUSTOS],$D$4)</f>
        <v>0</v>
      </c>
      <c r="I47" s="206">
        <f>SUMIFS(LANÇ_MOV[VALOR LÍQUIDO],LANÇ_MOV[RECEITA OU DESPESA],"Receita",LANÇ_MOV[CONTAS],$C47,LANÇ_MOV[PLANO DE CONTAS],REL_DRE_FINANCEIRO!$B$30,LANÇ_MOV[ANO PAGAMENTO],$B$4,LANÇ_MOV[MÊS PAGAMENTO CORRESPONDENTE],I$6,LANÇ_MOV[EMPRESA],$C$4,LANÇ_MOV[CENTRO DE CUSTOS],$D$4)</f>
        <v>0</v>
      </c>
      <c r="J47" s="206">
        <f>SUMIFS(LANÇ_MOV[VALOR LÍQUIDO],LANÇ_MOV[RECEITA OU DESPESA],"Receita",LANÇ_MOV[CONTAS],$C47,LANÇ_MOV[PLANO DE CONTAS],REL_DRE_FINANCEIRO!$B$30,LANÇ_MOV[ANO PAGAMENTO],$B$4,LANÇ_MOV[MÊS PAGAMENTO CORRESPONDENTE],J$6,LANÇ_MOV[EMPRESA],$C$4,LANÇ_MOV[CENTRO DE CUSTOS],$D$4)</f>
        <v>0</v>
      </c>
      <c r="K47" s="206">
        <f>SUMIFS(LANÇ_MOV[VALOR LÍQUIDO],LANÇ_MOV[RECEITA OU DESPESA],"Receita",LANÇ_MOV[CONTAS],$C47,LANÇ_MOV[PLANO DE CONTAS],REL_DRE_FINANCEIRO!$B$30,LANÇ_MOV[ANO PAGAMENTO],$B$4,LANÇ_MOV[MÊS PAGAMENTO CORRESPONDENTE],K$6,LANÇ_MOV[EMPRESA],$C$4,LANÇ_MOV[CENTRO DE CUSTOS],$D$4)</f>
        <v>0</v>
      </c>
      <c r="L47" s="206">
        <f>SUMIFS(LANÇ_MOV[VALOR LÍQUIDO],LANÇ_MOV[RECEITA OU DESPESA],"Receita",LANÇ_MOV[CONTAS],$C47,LANÇ_MOV[PLANO DE CONTAS],REL_DRE_FINANCEIRO!$B$30,LANÇ_MOV[ANO PAGAMENTO],$B$4,LANÇ_MOV[MÊS PAGAMENTO CORRESPONDENTE],L$6,LANÇ_MOV[EMPRESA],$C$4,LANÇ_MOV[CENTRO DE CUSTOS],$D$4)</f>
        <v>0</v>
      </c>
      <c r="M47" s="206">
        <f>SUMIFS(LANÇ_MOV[VALOR LÍQUIDO],LANÇ_MOV[RECEITA OU DESPESA],"Receita",LANÇ_MOV[CONTAS],$C47,LANÇ_MOV[PLANO DE CONTAS],REL_DRE_FINANCEIRO!$B$30,LANÇ_MOV[ANO PAGAMENTO],$B$4,LANÇ_MOV[MÊS PAGAMENTO CORRESPONDENTE],M$6,LANÇ_MOV[EMPRESA],$C$4,LANÇ_MOV[CENTRO DE CUSTOS],$D$4)</f>
        <v>0</v>
      </c>
      <c r="N47" s="206">
        <f>SUMIFS(LANÇ_MOV[VALOR LÍQUIDO],LANÇ_MOV[RECEITA OU DESPESA],"Receita",LANÇ_MOV[CONTAS],$C47,LANÇ_MOV[PLANO DE CONTAS],REL_DRE_FINANCEIRO!$B$30,LANÇ_MOV[ANO PAGAMENTO],$B$4,LANÇ_MOV[MÊS PAGAMENTO CORRESPONDENTE],N$6,LANÇ_MOV[EMPRESA],$C$4,LANÇ_MOV[CENTRO DE CUSTOS],$D$4)</f>
        <v>0</v>
      </c>
      <c r="O47" s="206">
        <f>SUMIFS(LANÇ_MOV[VALOR LÍQUIDO],LANÇ_MOV[RECEITA OU DESPESA],"Receita",LANÇ_MOV[CONTAS],$C47,LANÇ_MOV[PLANO DE CONTAS],REL_DRE_FINANCEIRO!$B$30,LANÇ_MOV[ANO PAGAMENTO],$B$4,LANÇ_MOV[MÊS PAGAMENTO CORRESPONDENTE],O$6,LANÇ_MOV[EMPRESA],$C$4,LANÇ_MOV[CENTRO DE CUSTOS],$D$4)</f>
        <v>0</v>
      </c>
      <c r="P47" s="207">
        <f t="shared" si="18"/>
        <v>0</v>
      </c>
      <c r="Q47" s="333"/>
      <c r="R47" s="346">
        <f t="shared" si="19"/>
        <v>0</v>
      </c>
      <c r="S47" s="347" t="str">
        <f t="shared" si="20"/>
        <v>-</v>
      </c>
      <c r="T47" s="347">
        <f t="shared" si="21"/>
        <v>0</v>
      </c>
      <c r="U47" s="347">
        <f>HLOOKUP(Apoio!$P$12,$D$29:$P$130,X47,FALSE)+Q47</f>
        <v>0</v>
      </c>
      <c r="V47" s="447" t="str">
        <f t="shared" si="22"/>
        <v>-</v>
      </c>
      <c r="W47" s="448">
        <f>HLOOKUP(Apoio!$P$12,$D$29:$P$130,X47,FALSE)</f>
        <v>0</v>
      </c>
      <c r="X47" s="329">
        <v>19</v>
      </c>
    </row>
    <row r="48" spans="2:30" ht="30.05" customHeight="1" x14ac:dyDescent="0.35">
      <c r="B48" s="204" t="str">
        <f>'CAD_PL_REC-DESP'!B22</f>
        <v>1.1.18</v>
      </c>
      <c r="C48" s="205" t="str">
        <f>IF('CAD_PL_REC-DESP'!C22="","-",'CAD_PL_REC-DESP'!C22)</f>
        <v>-</v>
      </c>
      <c r="D48" s="206">
        <f>SUMIFS(LANÇ_MOV[VALOR LÍQUIDO],LANÇ_MOV[RECEITA OU DESPESA],"Receita",LANÇ_MOV[CONTAS],$C48,LANÇ_MOV[PLANO DE CONTAS],REL_DRE_FINANCEIRO!$B$30,LANÇ_MOV[ANO PAGAMENTO],$B$4,LANÇ_MOV[MÊS PAGAMENTO CORRESPONDENTE],D$6,LANÇ_MOV[EMPRESA],$C$4,LANÇ_MOV[CENTRO DE CUSTOS],$D$4)</f>
        <v>0</v>
      </c>
      <c r="E48" s="206">
        <f>SUMIFS(LANÇ_MOV[VALOR LÍQUIDO],LANÇ_MOV[RECEITA OU DESPESA],"Receita",LANÇ_MOV[CONTAS],$C48,LANÇ_MOV[PLANO DE CONTAS],REL_DRE_FINANCEIRO!$B$30,LANÇ_MOV[ANO PAGAMENTO],$B$4,LANÇ_MOV[MÊS PAGAMENTO CORRESPONDENTE],E$6,LANÇ_MOV[EMPRESA],$C$4,LANÇ_MOV[CENTRO DE CUSTOS],$D$4)</f>
        <v>0</v>
      </c>
      <c r="F48" s="206">
        <f>SUMIFS(LANÇ_MOV[VALOR LÍQUIDO],LANÇ_MOV[RECEITA OU DESPESA],"Receita",LANÇ_MOV[CONTAS],$C48,LANÇ_MOV[PLANO DE CONTAS],REL_DRE_FINANCEIRO!$B$30,LANÇ_MOV[ANO PAGAMENTO],$B$4,LANÇ_MOV[MÊS PAGAMENTO CORRESPONDENTE],F$6,LANÇ_MOV[EMPRESA],$C$4,LANÇ_MOV[CENTRO DE CUSTOS],$D$4)</f>
        <v>0</v>
      </c>
      <c r="G48" s="206">
        <f>SUMIFS(LANÇ_MOV[VALOR LÍQUIDO],LANÇ_MOV[RECEITA OU DESPESA],"Receita",LANÇ_MOV[CONTAS],$C48,LANÇ_MOV[PLANO DE CONTAS],REL_DRE_FINANCEIRO!$B$30,LANÇ_MOV[ANO PAGAMENTO],$B$4,LANÇ_MOV[MÊS PAGAMENTO CORRESPONDENTE],G$6,LANÇ_MOV[EMPRESA],$C$4,LANÇ_MOV[CENTRO DE CUSTOS],$D$4)</f>
        <v>0</v>
      </c>
      <c r="H48" s="206">
        <f>SUMIFS(LANÇ_MOV[VALOR LÍQUIDO],LANÇ_MOV[RECEITA OU DESPESA],"Receita",LANÇ_MOV[CONTAS],$C48,LANÇ_MOV[PLANO DE CONTAS],REL_DRE_FINANCEIRO!$B$30,LANÇ_MOV[ANO PAGAMENTO],$B$4,LANÇ_MOV[MÊS PAGAMENTO CORRESPONDENTE],H$6,LANÇ_MOV[EMPRESA],$C$4,LANÇ_MOV[CENTRO DE CUSTOS],$D$4)</f>
        <v>0</v>
      </c>
      <c r="I48" s="206">
        <f>SUMIFS(LANÇ_MOV[VALOR LÍQUIDO],LANÇ_MOV[RECEITA OU DESPESA],"Receita",LANÇ_MOV[CONTAS],$C48,LANÇ_MOV[PLANO DE CONTAS],REL_DRE_FINANCEIRO!$B$30,LANÇ_MOV[ANO PAGAMENTO],$B$4,LANÇ_MOV[MÊS PAGAMENTO CORRESPONDENTE],I$6,LANÇ_MOV[EMPRESA],$C$4,LANÇ_MOV[CENTRO DE CUSTOS],$D$4)</f>
        <v>0</v>
      </c>
      <c r="J48" s="206">
        <f>SUMIFS(LANÇ_MOV[VALOR LÍQUIDO],LANÇ_MOV[RECEITA OU DESPESA],"Receita",LANÇ_MOV[CONTAS],$C48,LANÇ_MOV[PLANO DE CONTAS],REL_DRE_FINANCEIRO!$B$30,LANÇ_MOV[ANO PAGAMENTO],$B$4,LANÇ_MOV[MÊS PAGAMENTO CORRESPONDENTE],J$6,LANÇ_MOV[EMPRESA],$C$4,LANÇ_MOV[CENTRO DE CUSTOS],$D$4)</f>
        <v>0</v>
      </c>
      <c r="K48" s="206">
        <f>SUMIFS(LANÇ_MOV[VALOR LÍQUIDO],LANÇ_MOV[RECEITA OU DESPESA],"Receita",LANÇ_MOV[CONTAS],$C48,LANÇ_MOV[PLANO DE CONTAS],REL_DRE_FINANCEIRO!$B$30,LANÇ_MOV[ANO PAGAMENTO],$B$4,LANÇ_MOV[MÊS PAGAMENTO CORRESPONDENTE],K$6,LANÇ_MOV[EMPRESA],$C$4,LANÇ_MOV[CENTRO DE CUSTOS],$D$4)</f>
        <v>0</v>
      </c>
      <c r="L48" s="206">
        <f>SUMIFS(LANÇ_MOV[VALOR LÍQUIDO],LANÇ_MOV[RECEITA OU DESPESA],"Receita",LANÇ_MOV[CONTAS],$C48,LANÇ_MOV[PLANO DE CONTAS],REL_DRE_FINANCEIRO!$B$30,LANÇ_MOV[ANO PAGAMENTO],$B$4,LANÇ_MOV[MÊS PAGAMENTO CORRESPONDENTE],L$6,LANÇ_MOV[EMPRESA],$C$4,LANÇ_MOV[CENTRO DE CUSTOS],$D$4)</f>
        <v>0</v>
      </c>
      <c r="M48" s="206">
        <f>SUMIFS(LANÇ_MOV[VALOR LÍQUIDO],LANÇ_MOV[RECEITA OU DESPESA],"Receita",LANÇ_MOV[CONTAS],$C48,LANÇ_MOV[PLANO DE CONTAS],REL_DRE_FINANCEIRO!$B$30,LANÇ_MOV[ANO PAGAMENTO],$B$4,LANÇ_MOV[MÊS PAGAMENTO CORRESPONDENTE],M$6,LANÇ_MOV[EMPRESA],$C$4,LANÇ_MOV[CENTRO DE CUSTOS],$D$4)</f>
        <v>0</v>
      </c>
      <c r="N48" s="206">
        <f>SUMIFS(LANÇ_MOV[VALOR LÍQUIDO],LANÇ_MOV[RECEITA OU DESPESA],"Receita",LANÇ_MOV[CONTAS],$C48,LANÇ_MOV[PLANO DE CONTAS],REL_DRE_FINANCEIRO!$B$30,LANÇ_MOV[ANO PAGAMENTO],$B$4,LANÇ_MOV[MÊS PAGAMENTO CORRESPONDENTE],N$6,LANÇ_MOV[EMPRESA],$C$4,LANÇ_MOV[CENTRO DE CUSTOS],$D$4)</f>
        <v>0</v>
      </c>
      <c r="O48" s="206">
        <f>SUMIFS(LANÇ_MOV[VALOR LÍQUIDO],LANÇ_MOV[RECEITA OU DESPESA],"Receita",LANÇ_MOV[CONTAS],$C48,LANÇ_MOV[PLANO DE CONTAS],REL_DRE_FINANCEIRO!$B$30,LANÇ_MOV[ANO PAGAMENTO],$B$4,LANÇ_MOV[MÊS PAGAMENTO CORRESPONDENTE],O$6,LANÇ_MOV[EMPRESA],$C$4,LANÇ_MOV[CENTRO DE CUSTOS],$D$4)</f>
        <v>0</v>
      </c>
      <c r="P48" s="207">
        <f t="shared" si="18"/>
        <v>0</v>
      </c>
      <c r="Q48" s="333"/>
      <c r="R48" s="346">
        <f t="shared" si="19"/>
        <v>0</v>
      </c>
      <c r="S48" s="347" t="str">
        <f t="shared" si="20"/>
        <v>-</v>
      </c>
      <c r="T48" s="347">
        <f t="shared" si="21"/>
        <v>0</v>
      </c>
      <c r="U48" s="347">
        <f>HLOOKUP(Apoio!$P$12,$D$29:$P$130,X48,FALSE)+Q48</f>
        <v>0</v>
      </c>
      <c r="V48" s="447" t="str">
        <f t="shared" si="22"/>
        <v>-</v>
      </c>
      <c r="W48" s="448">
        <f>HLOOKUP(Apoio!$P$12,$D$29:$P$130,X48,FALSE)</f>
        <v>0</v>
      </c>
      <c r="X48" s="329">
        <v>20</v>
      </c>
    </row>
    <row r="49" spans="2:24" ht="30.05" customHeight="1" x14ac:dyDescent="0.35">
      <c r="B49" s="204" t="str">
        <f>'CAD_PL_REC-DESP'!B23</f>
        <v>1.1.19</v>
      </c>
      <c r="C49" s="205" t="str">
        <f>IF('CAD_PL_REC-DESP'!C23="","-",'CAD_PL_REC-DESP'!C23)</f>
        <v>-</v>
      </c>
      <c r="D49" s="206">
        <f>SUMIFS(LANÇ_MOV[VALOR LÍQUIDO],LANÇ_MOV[RECEITA OU DESPESA],"Receita",LANÇ_MOV[CONTAS],$C49,LANÇ_MOV[PLANO DE CONTAS],REL_DRE_FINANCEIRO!$B$30,LANÇ_MOV[ANO PAGAMENTO],$B$4,LANÇ_MOV[MÊS PAGAMENTO CORRESPONDENTE],D$6,LANÇ_MOV[EMPRESA],$C$4,LANÇ_MOV[CENTRO DE CUSTOS],$D$4)</f>
        <v>0</v>
      </c>
      <c r="E49" s="206">
        <f>SUMIFS(LANÇ_MOV[VALOR LÍQUIDO],LANÇ_MOV[RECEITA OU DESPESA],"Receita",LANÇ_MOV[CONTAS],$C49,LANÇ_MOV[PLANO DE CONTAS],REL_DRE_FINANCEIRO!$B$30,LANÇ_MOV[ANO PAGAMENTO],$B$4,LANÇ_MOV[MÊS PAGAMENTO CORRESPONDENTE],E$6,LANÇ_MOV[EMPRESA],$C$4,LANÇ_MOV[CENTRO DE CUSTOS],$D$4)</f>
        <v>0</v>
      </c>
      <c r="F49" s="206">
        <f>SUMIFS(LANÇ_MOV[VALOR LÍQUIDO],LANÇ_MOV[RECEITA OU DESPESA],"Receita",LANÇ_MOV[CONTAS],$C49,LANÇ_MOV[PLANO DE CONTAS],REL_DRE_FINANCEIRO!$B$30,LANÇ_MOV[ANO PAGAMENTO],$B$4,LANÇ_MOV[MÊS PAGAMENTO CORRESPONDENTE],F$6,LANÇ_MOV[EMPRESA],$C$4,LANÇ_MOV[CENTRO DE CUSTOS],$D$4)</f>
        <v>0</v>
      </c>
      <c r="G49" s="206">
        <f>SUMIFS(LANÇ_MOV[VALOR LÍQUIDO],LANÇ_MOV[RECEITA OU DESPESA],"Receita",LANÇ_MOV[CONTAS],$C49,LANÇ_MOV[PLANO DE CONTAS],REL_DRE_FINANCEIRO!$B$30,LANÇ_MOV[ANO PAGAMENTO],$B$4,LANÇ_MOV[MÊS PAGAMENTO CORRESPONDENTE],G$6,LANÇ_MOV[EMPRESA],$C$4,LANÇ_MOV[CENTRO DE CUSTOS],$D$4)</f>
        <v>0</v>
      </c>
      <c r="H49" s="206">
        <f>SUMIFS(LANÇ_MOV[VALOR LÍQUIDO],LANÇ_MOV[RECEITA OU DESPESA],"Receita",LANÇ_MOV[CONTAS],$C49,LANÇ_MOV[PLANO DE CONTAS],REL_DRE_FINANCEIRO!$B$30,LANÇ_MOV[ANO PAGAMENTO],$B$4,LANÇ_MOV[MÊS PAGAMENTO CORRESPONDENTE],H$6,LANÇ_MOV[EMPRESA],$C$4,LANÇ_MOV[CENTRO DE CUSTOS],$D$4)</f>
        <v>0</v>
      </c>
      <c r="I49" s="206">
        <f>SUMIFS(LANÇ_MOV[VALOR LÍQUIDO],LANÇ_MOV[RECEITA OU DESPESA],"Receita",LANÇ_MOV[CONTAS],$C49,LANÇ_MOV[PLANO DE CONTAS],REL_DRE_FINANCEIRO!$B$30,LANÇ_MOV[ANO PAGAMENTO],$B$4,LANÇ_MOV[MÊS PAGAMENTO CORRESPONDENTE],I$6,LANÇ_MOV[EMPRESA],$C$4,LANÇ_MOV[CENTRO DE CUSTOS],$D$4)</f>
        <v>0</v>
      </c>
      <c r="J49" s="206">
        <f>SUMIFS(LANÇ_MOV[VALOR LÍQUIDO],LANÇ_MOV[RECEITA OU DESPESA],"Receita",LANÇ_MOV[CONTAS],$C49,LANÇ_MOV[PLANO DE CONTAS],REL_DRE_FINANCEIRO!$B$30,LANÇ_MOV[ANO PAGAMENTO],$B$4,LANÇ_MOV[MÊS PAGAMENTO CORRESPONDENTE],J$6,LANÇ_MOV[EMPRESA],$C$4,LANÇ_MOV[CENTRO DE CUSTOS],$D$4)</f>
        <v>0</v>
      </c>
      <c r="K49" s="206">
        <f>SUMIFS(LANÇ_MOV[VALOR LÍQUIDO],LANÇ_MOV[RECEITA OU DESPESA],"Receita",LANÇ_MOV[CONTAS],$C49,LANÇ_MOV[PLANO DE CONTAS],REL_DRE_FINANCEIRO!$B$30,LANÇ_MOV[ANO PAGAMENTO],$B$4,LANÇ_MOV[MÊS PAGAMENTO CORRESPONDENTE],K$6,LANÇ_MOV[EMPRESA],$C$4,LANÇ_MOV[CENTRO DE CUSTOS],$D$4)</f>
        <v>0</v>
      </c>
      <c r="L49" s="206">
        <f>SUMIFS(LANÇ_MOV[VALOR LÍQUIDO],LANÇ_MOV[RECEITA OU DESPESA],"Receita",LANÇ_MOV[CONTAS],$C49,LANÇ_MOV[PLANO DE CONTAS],REL_DRE_FINANCEIRO!$B$30,LANÇ_MOV[ANO PAGAMENTO],$B$4,LANÇ_MOV[MÊS PAGAMENTO CORRESPONDENTE],L$6,LANÇ_MOV[EMPRESA],$C$4,LANÇ_MOV[CENTRO DE CUSTOS],$D$4)</f>
        <v>0</v>
      </c>
      <c r="M49" s="206">
        <f>SUMIFS(LANÇ_MOV[VALOR LÍQUIDO],LANÇ_MOV[RECEITA OU DESPESA],"Receita",LANÇ_MOV[CONTAS],$C49,LANÇ_MOV[PLANO DE CONTAS],REL_DRE_FINANCEIRO!$B$30,LANÇ_MOV[ANO PAGAMENTO],$B$4,LANÇ_MOV[MÊS PAGAMENTO CORRESPONDENTE],M$6,LANÇ_MOV[EMPRESA],$C$4,LANÇ_MOV[CENTRO DE CUSTOS],$D$4)</f>
        <v>0</v>
      </c>
      <c r="N49" s="206">
        <f>SUMIFS(LANÇ_MOV[VALOR LÍQUIDO],LANÇ_MOV[RECEITA OU DESPESA],"Receita",LANÇ_MOV[CONTAS],$C49,LANÇ_MOV[PLANO DE CONTAS],REL_DRE_FINANCEIRO!$B$30,LANÇ_MOV[ANO PAGAMENTO],$B$4,LANÇ_MOV[MÊS PAGAMENTO CORRESPONDENTE],N$6,LANÇ_MOV[EMPRESA],$C$4,LANÇ_MOV[CENTRO DE CUSTOS],$D$4)</f>
        <v>0</v>
      </c>
      <c r="O49" s="206">
        <f>SUMIFS(LANÇ_MOV[VALOR LÍQUIDO],LANÇ_MOV[RECEITA OU DESPESA],"Receita",LANÇ_MOV[CONTAS],$C49,LANÇ_MOV[PLANO DE CONTAS],REL_DRE_FINANCEIRO!$B$30,LANÇ_MOV[ANO PAGAMENTO],$B$4,LANÇ_MOV[MÊS PAGAMENTO CORRESPONDENTE],O$6,LANÇ_MOV[EMPRESA],$C$4,LANÇ_MOV[CENTRO DE CUSTOS],$D$4)</f>
        <v>0</v>
      </c>
      <c r="P49" s="207">
        <f t="shared" si="18"/>
        <v>0</v>
      </c>
      <c r="Q49" s="333">
        <v>8.1999999999999994E-6</v>
      </c>
      <c r="R49" s="346">
        <f t="shared" si="19"/>
        <v>8.1999999999999994E-6</v>
      </c>
      <c r="S49" s="347" t="str">
        <f t="shared" si="20"/>
        <v>-</v>
      </c>
      <c r="T49" s="347">
        <f t="shared" si="21"/>
        <v>0</v>
      </c>
      <c r="U49" s="347">
        <f>HLOOKUP(Apoio!$P$12,$D$29:$P$130,X49,FALSE)+Q49</f>
        <v>8.1999999999999994E-6</v>
      </c>
      <c r="V49" s="447" t="str">
        <f t="shared" si="22"/>
        <v>-</v>
      </c>
      <c r="W49" s="448">
        <f>HLOOKUP(Apoio!$P$12,$D$29:$P$130,X49,FALSE)</f>
        <v>0</v>
      </c>
      <c r="X49" s="329">
        <v>21</v>
      </c>
    </row>
    <row r="50" spans="2:24" ht="30.05" customHeight="1" x14ac:dyDescent="0.35">
      <c r="B50" s="204" t="str">
        <f>'CAD_PL_REC-DESP'!B24</f>
        <v>1.1.20</v>
      </c>
      <c r="C50" s="205" t="str">
        <f>IF('CAD_PL_REC-DESP'!C24="","-",'CAD_PL_REC-DESP'!C24)</f>
        <v>-</v>
      </c>
      <c r="D50" s="206">
        <f>SUMIFS(LANÇ_MOV[VALOR LÍQUIDO],LANÇ_MOV[RECEITA OU DESPESA],"Receita",LANÇ_MOV[CONTAS],$C50,LANÇ_MOV[PLANO DE CONTAS],REL_DRE_FINANCEIRO!$B$30,LANÇ_MOV[ANO PAGAMENTO],$B$4,LANÇ_MOV[MÊS PAGAMENTO CORRESPONDENTE],D$6,LANÇ_MOV[EMPRESA],$C$4,LANÇ_MOV[CENTRO DE CUSTOS],$D$4)</f>
        <v>0</v>
      </c>
      <c r="E50" s="206">
        <f>SUMIFS(LANÇ_MOV[VALOR LÍQUIDO],LANÇ_MOV[RECEITA OU DESPESA],"Receita",LANÇ_MOV[CONTAS],$C50,LANÇ_MOV[PLANO DE CONTAS],REL_DRE_FINANCEIRO!$B$30,LANÇ_MOV[ANO PAGAMENTO],$B$4,LANÇ_MOV[MÊS PAGAMENTO CORRESPONDENTE],E$6,LANÇ_MOV[EMPRESA],$C$4,LANÇ_MOV[CENTRO DE CUSTOS],$D$4)</f>
        <v>0</v>
      </c>
      <c r="F50" s="206">
        <f>SUMIFS(LANÇ_MOV[VALOR LÍQUIDO],LANÇ_MOV[RECEITA OU DESPESA],"Receita",LANÇ_MOV[CONTAS],$C50,LANÇ_MOV[PLANO DE CONTAS],REL_DRE_FINANCEIRO!$B$30,LANÇ_MOV[ANO PAGAMENTO],$B$4,LANÇ_MOV[MÊS PAGAMENTO CORRESPONDENTE],F$6,LANÇ_MOV[EMPRESA],$C$4,LANÇ_MOV[CENTRO DE CUSTOS],$D$4)</f>
        <v>0</v>
      </c>
      <c r="G50" s="206">
        <f>SUMIFS(LANÇ_MOV[VALOR LÍQUIDO],LANÇ_MOV[RECEITA OU DESPESA],"Receita",LANÇ_MOV[CONTAS],$C50,LANÇ_MOV[PLANO DE CONTAS],REL_DRE_FINANCEIRO!$B$30,LANÇ_MOV[ANO PAGAMENTO],$B$4,LANÇ_MOV[MÊS PAGAMENTO CORRESPONDENTE],G$6,LANÇ_MOV[EMPRESA],$C$4,LANÇ_MOV[CENTRO DE CUSTOS],$D$4)</f>
        <v>0</v>
      </c>
      <c r="H50" s="206">
        <f>SUMIFS(LANÇ_MOV[VALOR LÍQUIDO],LANÇ_MOV[RECEITA OU DESPESA],"Receita",LANÇ_MOV[CONTAS],$C50,LANÇ_MOV[PLANO DE CONTAS],REL_DRE_FINANCEIRO!$B$30,LANÇ_MOV[ANO PAGAMENTO],$B$4,LANÇ_MOV[MÊS PAGAMENTO CORRESPONDENTE],H$6,LANÇ_MOV[EMPRESA],$C$4,LANÇ_MOV[CENTRO DE CUSTOS],$D$4)</f>
        <v>0</v>
      </c>
      <c r="I50" s="206">
        <f>SUMIFS(LANÇ_MOV[VALOR LÍQUIDO],LANÇ_MOV[RECEITA OU DESPESA],"Receita",LANÇ_MOV[CONTAS],$C50,LANÇ_MOV[PLANO DE CONTAS],REL_DRE_FINANCEIRO!$B$30,LANÇ_MOV[ANO PAGAMENTO],$B$4,LANÇ_MOV[MÊS PAGAMENTO CORRESPONDENTE],I$6,LANÇ_MOV[EMPRESA],$C$4,LANÇ_MOV[CENTRO DE CUSTOS],$D$4)</f>
        <v>0</v>
      </c>
      <c r="J50" s="206">
        <f>SUMIFS(LANÇ_MOV[VALOR LÍQUIDO],LANÇ_MOV[RECEITA OU DESPESA],"Receita",LANÇ_MOV[CONTAS],$C50,LANÇ_MOV[PLANO DE CONTAS],REL_DRE_FINANCEIRO!$B$30,LANÇ_MOV[ANO PAGAMENTO],$B$4,LANÇ_MOV[MÊS PAGAMENTO CORRESPONDENTE],J$6,LANÇ_MOV[EMPRESA],$C$4,LANÇ_MOV[CENTRO DE CUSTOS],$D$4)</f>
        <v>0</v>
      </c>
      <c r="K50" s="206">
        <f>SUMIFS(LANÇ_MOV[VALOR LÍQUIDO],LANÇ_MOV[RECEITA OU DESPESA],"Receita",LANÇ_MOV[CONTAS],$C50,LANÇ_MOV[PLANO DE CONTAS],REL_DRE_FINANCEIRO!$B$30,LANÇ_MOV[ANO PAGAMENTO],$B$4,LANÇ_MOV[MÊS PAGAMENTO CORRESPONDENTE],K$6,LANÇ_MOV[EMPRESA],$C$4,LANÇ_MOV[CENTRO DE CUSTOS],$D$4)</f>
        <v>0</v>
      </c>
      <c r="L50" s="206">
        <f>SUMIFS(LANÇ_MOV[VALOR LÍQUIDO],LANÇ_MOV[RECEITA OU DESPESA],"Receita",LANÇ_MOV[CONTAS],$C50,LANÇ_MOV[PLANO DE CONTAS],REL_DRE_FINANCEIRO!$B$30,LANÇ_MOV[ANO PAGAMENTO],$B$4,LANÇ_MOV[MÊS PAGAMENTO CORRESPONDENTE],L$6,LANÇ_MOV[EMPRESA],$C$4,LANÇ_MOV[CENTRO DE CUSTOS],$D$4)</f>
        <v>0</v>
      </c>
      <c r="M50" s="206">
        <f>SUMIFS(LANÇ_MOV[VALOR LÍQUIDO],LANÇ_MOV[RECEITA OU DESPESA],"Receita",LANÇ_MOV[CONTAS],$C50,LANÇ_MOV[PLANO DE CONTAS],REL_DRE_FINANCEIRO!$B$30,LANÇ_MOV[ANO PAGAMENTO],$B$4,LANÇ_MOV[MÊS PAGAMENTO CORRESPONDENTE],M$6,LANÇ_MOV[EMPRESA],$C$4,LANÇ_MOV[CENTRO DE CUSTOS],$D$4)</f>
        <v>0</v>
      </c>
      <c r="N50" s="206">
        <f>SUMIFS(LANÇ_MOV[VALOR LÍQUIDO],LANÇ_MOV[RECEITA OU DESPESA],"Receita",LANÇ_MOV[CONTAS],$C50,LANÇ_MOV[PLANO DE CONTAS],REL_DRE_FINANCEIRO!$B$30,LANÇ_MOV[ANO PAGAMENTO],$B$4,LANÇ_MOV[MÊS PAGAMENTO CORRESPONDENTE],N$6,LANÇ_MOV[EMPRESA],$C$4,LANÇ_MOV[CENTRO DE CUSTOS],$D$4)</f>
        <v>0</v>
      </c>
      <c r="O50" s="206">
        <f>SUMIFS(LANÇ_MOV[VALOR LÍQUIDO],LANÇ_MOV[RECEITA OU DESPESA],"Receita",LANÇ_MOV[CONTAS],$C50,LANÇ_MOV[PLANO DE CONTAS],REL_DRE_FINANCEIRO!$B$30,LANÇ_MOV[ANO PAGAMENTO],$B$4,LANÇ_MOV[MÊS PAGAMENTO CORRESPONDENTE],O$6,LANÇ_MOV[EMPRESA],$C$4,LANÇ_MOV[CENTRO DE CUSTOS],$D$4)</f>
        <v>0</v>
      </c>
      <c r="P50" s="207">
        <f t="shared" si="18"/>
        <v>0</v>
      </c>
      <c r="Q50" s="333">
        <v>8.1000000000000004E-6</v>
      </c>
      <c r="R50" s="346">
        <f t="shared" si="19"/>
        <v>8.1000000000000004E-6</v>
      </c>
      <c r="S50" s="347" t="str">
        <f t="shared" si="20"/>
        <v>-</v>
      </c>
      <c r="T50" s="347">
        <f t="shared" si="21"/>
        <v>0</v>
      </c>
      <c r="U50" s="347">
        <f>HLOOKUP(Apoio!$P$12,$D$29:$P$130,X50,FALSE)+Q50</f>
        <v>8.1000000000000004E-6</v>
      </c>
      <c r="V50" s="447" t="str">
        <f t="shared" si="22"/>
        <v>-</v>
      </c>
      <c r="W50" s="448">
        <f>HLOOKUP(Apoio!$P$12,$D$29:$P$130,X50,FALSE)</f>
        <v>0</v>
      </c>
      <c r="X50" s="329">
        <v>22</v>
      </c>
    </row>
    <row r="51" spans="2:24" ht="30.05" customHeight="1" x14ac:dyDescent="0.35">
      <c r="B51" s="204" t="str">
        <f>'CAD_PL_REC-DESP'!B25</f>
        <v>1.1.21</v>
      </c>
      <c r="C51" s="205" t="str">
        <f>IF('CAD_PL_REC-DESP'!C25="","-",'CAD_PL_REC-DESP'!C25)</f>
        <v>-</v>
      </c>
      <c r="D51" s="206">
        <f>SUMIFS(LANÇ_MOV[VALOR LÍQUIDO],LANÇ_MOV[RECEITA OU DESPESA],"Receita",LANÇ_MOV[CONTAS],$C51,LANÇ_MOV[PLANO DE CONTAS],REL_DRE_FINANCEIRO!$B$30,LANÇ_MOV[ANO PAGAMENTO],$B$4,LANÇ_MOV[MÊS PAGAMENTO CORRESPONDENTE],D$6,LANÇ_MOV[EMPRESA],$C$4,LANÇ_MOV[CENTRO DE CUSTOS],$D$4)</f>
        <v>0</v>
      </c>
      <c r="E51" s="206">
        <f>SUMIFS(LANÇ_MOV[VALOR LÍQUIDO],LANÇ_MOV[RECEITA OU DESPESA],"Receita",LANÇ_MOV[CONTAS],$C51,LANÇ_MOV[PLANO DE CONTAS],REL_DRE_FINANCEIRO!$B$30,LANÇ_MOV[ANO PAGAMENTO],$B$4,LANÇ_MOV[MÊS PAGAMENTO CORRESPONDENTE],E$6,LANÇ_MOV[EMPRESA],$C$4,LANÇ_MOV[CENTRO DE CUSTOS],$D$4)</f>
        <v>0</v>
      </c>
      <c r="F51" s="206">
        <f>SUMIFS(LANÇ_MOV[VALOR LÍQUIDO],LANÇ_MOV[RECEITA OU DESPESA],"Receita",LANÇ_MOV[CONTAS],$C51,LANÇ_MOV[PLANO DE CONTAS],REL_DRE_FINANCEIRO!$B$30,LANÇ_MOV[ANO PAGAMENTO],$B$4,LANÇ_MOV[MÊS PAGAMENTO CORRESPONDENTE],F$6,LANÇ_MOV[EMPRESA],$C$4,LANÇ_MOV[CENTRO DE CUSTOS],$D$4)</f>
        <v>0</v>
      </c>
      <c r="G51" s="206">
        <f>SUMIFS(LANÇ_MOV[VALOR LÍQUIDO],LANÇ_MOV[RECEITA OU DESPESA],"Receita",LANÇ_MOV[CONTAS],$C51,LANÇ_MOV[PLANO DE CONTAS],REL_DRE_FINANCEIRO!$B$30,LANÇ_MOV[ANO PAGAMENTO],$B$4,LANÇ_MOV[MÊS PAGAMENTO CORRESPONDENTE],G$6,LANÇ_MOV[EMPRESA],$C$4,LANÇ_MOV[CENTRO DE CUSTOS],$D$4)</f>
        <v>0</v>
      </c>
      <c r="H51" s="206">
        <f>SUMIFS(LANÇ_MOV[VALOR LÍQUIDO],LANÇ_MOV[RECEITA OU DESPESA],"Receita",LANÇ_MOV[CONTAS],$C51,LANÇ_MOV[PLANO DE CONTAS],REL_DRE_FINANCEIRO!$B$30,LANÇ_MOV[ANO PAGAMENTO],$B$4,LANÇ_MOV[MÊS PAGAMENTO CORRESPONDENTE],H$6,LANÇ_MOV[EMPRESA],$C$4,LANÇ_MOV[CENTRO DE CUSTOS],$D$4)</f>
        <v>0</v>
      </c>
      <c r="I51" s="206">
        <f>SUMIFS(LANÇ_MOV[VALOR LÍQUIDO],LANÇ_MOV[RECEITA OU DESPESA],"Receita",LANÇ_MOV[CONTAS],$C51,LANÇ_MOV[PLANO DE CONTAS],REL_DRE_FINANCEIRO!$B$30,LANÇ_MOV[ANO PAGAMENTO],$B$4,LANÇ_MOV[MÊS PAGAMENTO CORRESPONDENTE],I$6,LANÇ_MOV[EMPRESA],$C$4,LANÇ_MOV[CENTRO DE CUSTOS],$D$4)</f>
        <v>0</v>
      </c>
      <c r="J51" s="206">
        <f>SUMIFS(LANÇ_MOV[VALOR LÍQUIDO],LANÇ_MOV[RECEITA OU DESPESA],"Receita",LANÇ_MOV[CONTAS],$C51,LANÇ_MOV[PLANO DE CONTAS],REL_DRE_FINANCEIRO!$B$30,LANÇ_MOV[ANO PAGAMENTO],$B$4,LANÇ_MOV[MÊS PAGAMENTO CORRESPONDENTE],J$6,LANÇ_MOV[EMPRESA],$C$4,LANÇ_MOV[CENTRO DE CUSTOS],$D$4)</f>
        <v>0</v>
      </c>
      <c r="K51" s="206">
        <f>SUMIFS(LANÇ_MOV[VALOR LÍQUIDO],LANÇ_MOV[RECEITA OU DESPESA],"Receita",LANÇ_MOV[CONTAS],$C51,LANÇ_MOV[PLANO DE CONTAS],REL_DRE_FINANCEIRO!$B$30,LANÇ_MOV[ANO PAGAMENTO],$B$4,LANÇ_MOV[MÊS PAGAMENTO CORRESPONDENTE],K$6,LANÇ_MOV[EMPRESA],$C$4,LANÇ_MOV[CENTRO DE CUSTOS],$D$4)</f>
        <v>0</v>
      </c>
      <c r="L51" s="206">
        <f>SUMIFS(LANÇ_MOV[VALOR LÍQUIDO],LANÇ_MOV[RECEITA OU DESPESA],"Receita",LANÇ_MOV[CONTAS],$C51,LANÇ_MOV[PLANO DE CONTAS],REL_DRE_FINANCEIRO!$B$30,LANÇ_MOV[ANO PAGAMENTO],$B$4,LANÇ_MOV[MÊS PAGAMENTO CORRESPONDENTE],L$6,LANÇ_MOV[EMPRESA],$C$4,LANÇ_MOV[CENTRO DE CUSTOS],$D$4)</f>
        <v>0</v>
      </c>
      <c r="M51" s="206">
        <f>SUMIFS(LANÇ_MOV[VALOR LÍQUIDO],LANÇ_MOV[RECEITA OU DESPESA],"Receita",LANÇ_MOV[CONTAS],$C51,LANÇ_MOV[PLANO DE CONTAS],REL_DRE_FINANCEIRO!$B$30,LANÇ_MOV[ANO PAGAMENTO],$B$4,LANÇ_MOV[MÊS PAGAMENTO CORRESPONDENTE],M$6,LANÇ_MOV[EMPRESA],$C$4,LANÇ_MOV[CENTRO DE CUSTOS],$D$4)</f>
        <v>0</v>
      </c>
      <c r="N51" s="206">
        <f>SUMIFS(LANÇ_MOV[VALOR LÍQUIDO],LANÇ_MOV[RECEITA OU DESPESA],"Receita",LANÇ_MOV[CONTAS],$C51,LANÇ_MOV[PLANO DE CONTAS],REL_DRE_FINANCEIRO!$B$30,LANÇ_MOV[ANO PAGAMENTO],$B$4,LANÇ_MOV[MÊS PAGAMENTO CORRESPONDENTE],N$6,LANÇ_MOV[EMPRESA],$C$4,LANÇ_MOV[CENTRO DE CUSTOS],$D$4)</f>
        <v>0</v>
      </c>
      <c r="O51" s="206">
        <f>SUMIFS(LANÇ_MOV[VALOR LÍQUIDO],LANÇ_MOV[RECEITA OU DESPESA],"Receita",LANÇ_MOV[CONTAS],$C51,LANÇ_MOV[PLANO DE CONTAS],REL_DRE_FINANCEIRO!$B$30,LANÇ_MOV[ANO PAGAMENTO],$B$4,LANÇ_MOV[MÊS PAGAMENTO CORRESPONDENTE],O$6,LANÇ_MOV[EMPRESA],$C$4,LANÇ_MOV[CENTRO DE CUSTOS],$D$4)</f>
        <v>0</v>
      </c>
      <c r="P51" s="207">
        <f t="shared" si="18"/>
        <v>0</v>
      </c>
      <c r="Q51" s="333">
        <v>7.9999999999999996E-6</v>
      </c>
      <c r="R51" s="346">
        <f t="shared" si="19"/>
        <v>7.9999999999999996E-6</v>
      </c>
      <c r="S51" s="347" t="str">
        <f t="shared" si="20"/>
        <v>-</v>
      </c>
      <c r="T51" s="347">
        <f t="shared" si="21"/>
        <v>0</v>
      </c>
      <c r="U51" s="347">
        <f>HLOOKUP(Apoio!$P$12,$D$29:$P$130,X51,FALSE)+Q51</f>
        <v>7.9999999999999996E-6</v>
      </c>
      <c r="V51" s="447" t="str">
        <f t="shared" si="22"/>
        <v>-</v>
      </c>
      <c r="W51" s="448">
        <f>HLOOKUP(Apoio!$P$12,$D$29:$P$130,X51,FALSE)</f>
        <v>0</v>
      </c>
      <c r="X51" s="329">
        <v>23</v>
      </c>
    </row>
    <row r="52" spans="2:24" ht="30.05" customHeight="1" x14ac:dyDescent="0.35">
      <c r="B52" s="204" t="str">
        <f>'CAD_PL_REC-DESP'!B26</f>
        <v>1.1.22</v>
      </c>
      <c r="C52" s="205" t="str">
        <f>IF('CAD_PL_REC-DESP'!C26="","-",'CAD_PL_REC-DESP'!C26)</f>
        <v>-</v>
      </c>
      <c r="D52" s="206">
        <f>SUMIFS(LANÇ_MOV[VALOR LÍQUIDO],LANÇ_MOV[RECEITA OU DESPESA],"Receita",LANÇ_MOV[CONTAS],$C52,LANÇ_MOV[PLANO DE CONTAS],REL_DRE_FINANCEIRO!$B$30,LANÇ_MOV[ANO PAGAMENTO],$B$4,LANÇ_MOV[MÊS PAGAMENTO CORRESPONDENTE],D$6,LANÇ_MOV[EMPRESA],$C$4,LANÇ_MOV[CENTRO DE CUSTOS],$D$4)</f>
        <v>0</v>
      </c>
      <c r="E52" s="206">
        <f>SUMIFS(LANÇ_MOV[VALOR LÍQUIDO],LANÇ_MOV[RECEITA OU DESPESA],"Receita",LANÇ_MOV[CONTAS],$C52,LANÇ_MOV[PLANO DE CONTAS],REL_DRE_FINANCEIRO!$B$30,LANÇ_MOV[ANO PAGAMENTO],$B$4,LANÇ_MOV[MÊS PAGAMENTO CORRESPONDENTE],E$6,LANÇ_MOV[EMPRESA],$C$4,LANÇ_MOV[CENTRO DE CUSTOS],$D$4)</f>
        <v>0</v>
      </c>
      <c r="F52" s="206">
        <f>SUMIFS(LANÇ_MOV[VALOR LÍQUIDO],LANÇ_MOV[RECEITA OU DESPESA],"Receita",LANÇ_MOV[CONTAS],$C52,LANÇ_MOV[PLANO DE CONTAS],REL_DRE_FINANCEIRO!$B$30,LANÇ_MOV[ANO PAGAMENTO],$B$4,LANÇ_MOV[MÊS PAGAMENTO CORRESPONDENTE],F$6,LANÇ_MOV[EMPRESA],$C$4,LANÇ_MOV[CENTRO DE CUSTOS],$D$4)</f>
        <v>0</v>
      </c>
      <c r="G52" s="206">
        <f>SUMIFS(LANÇ_MOV[VALOR LÍQUIDO],LANÇ_MOV[RECEITA OU DESPESA],"Receita",LANÇ_MOV[CONTAS],$C52,LANÇ_MOV[PLANO DE CONTAS],REL_DRE_FINANCEIRO!$B$30,LANÇ_MOV[ANO PAGAMENTO],$B$4,LANÇ_MOV[MÊS PAGAMENTO CORRESPONDENTE],G$6,LANÇ_MOV[EMPRESA],$C$4,LANÇ_MOV[CENTRO DE CUSTOS],$D$4)</f>
        <v>0</v>
      </c>
      <c r="H52" s="206">
        <f>SUMIFS(LANÇ_MOV[VALOR LÍQUIDO],LANÇ_MOV[RECEITA OU DESPESA],"Receita",LANÇ_MOV[CONTAS],$C52,LANÇ_MOV[PLANO DE CONTAS],REL_DRE_FINANCEIRO!$B$30,LANÇ_MOV[ANO PAGAMENTO],$B$4,LANÇ_MOV[MÊS PAGAMENTO CORRESPONDENTE],H$6,LANÇ_MOV[EMPRESA],$C$4,LANÇ_MOV[CENTRO DE CUSTOS],$D$4)</f>
        <v>0</v>
      </c>
      <c r="I52" s="206">
        <f>SUMIFS(LANÇ_MOV[VALOR LÍQUIDO],LANÇ_MOV[RECEITA OU DESPESA],"Receita",LANÇ_MOV[CONTAS],$C52,LANÇ_MOV[PLANO DE CONTAS],REL_DRE_FINANCEIRO!$B$30,LANÇ_MOV[ANO PAGAMENTO],$B$4,LANÇ_MOV[MÊS PAGAMENTO CORRESPONDENTE],I$6,LANÇ_MOV[EMPRESA],$C$4,LANÇ_MOV[CENTRO DE CUSTOS],$D$4)</f>
        <v>0</v>
      </c>
      <c r="J52" s="206">
        <f>SUMIFS(LANÇ_MOV[VALOR LÍQUIDO],LANÇ_MOV[RECEITA OU DESPESA],"Receita",LANÇ_MOV[CONTAS],$C52,LANÇ_MOV[PLANO DE CONTAS],REL_DRE_FINANCEIRO!$B$30,LANÇ_MOV[ANO PAGAMENTO],$B$4,LANÇ_MOV[MÊS PAGAMENTO CORRESPONDENTE],J$6,LANÇ_MOV[EMPRESA],$C$4,LANÇ_MOV[CENTRO DE CUSTOS],$D$4)</f>
        <v>0</v>
      </c>
      <c r="K52" s="206">
        <f>SUMIFS(LANÇ_MOV[VALOR LÍQUIDO],LANÇ_MOV[RECEITA OU DESPESA],"Receita",LANÇ_MOV[CONTAS],$C52,LANÇ_MOV[PLANO DE CONTAS],REL_DRE_FINANCEIRO!$B$30,LANÇ_MOV[ANO PAGAMENTO],$B$4,LANÇ_MOV[MÊS PAGAMENTO CORRESPONDENTE],K$6,LANÇ_MOV[EMPRESA],$C$4,LANÇ_MOV[CENTRO DE CUSTOS],$D$4)</f>
        <v>0</v>
      </c>
      <c r="L52" s="206">
        <f>SUMIFS(LANÇ_MOV[VALOR LÍQUIDO],LANÇ_MOV[RECEITA OU DESPESA],"Receita",LANÇ_MOV[CONTAS],$C52,LANÇ_MOV[PLANO DE CONTAS],REL_DRE_FINANCEIRO!$B$30,LANÇ_MOV[ANO PAGAMENTO],$B$4,LANÇ_MOV[MÊS PAGAMENTO CORRESPONDENTE],L$6,LANÇ_MOV[EMPRESA],$C$4,LANÇ_MOV[CENTRO DE CUSTOS],$D$4)</f>
        <v>0</v>
      </c>
      <c r="M52" s="206">
        <f>SUMIFS(LANÇ_MOV[VALOR LÍQUIDO],LANÇ_MOV[RECEITA OU DESPESA],"Receita",LANÇ_MOV[CONTAS],$C52,LANÇ_MOV[PLANO DE CONTAS],REL_DRE_FINANCEIRO!$B$30,LANÇ_MOV[ANO PAGAMENTO],$B$4,LANÇ_MOV[MÊS PAGAMENTO CORRESPONDENTE],M$6,LANÇ_MOV[EMPRESA],$C$4,LANÇ_MOV[CENTRO DE CUSTOS],$D$4)</f>
        <v>0</v>
      </c>
      <c r="N52" s="206">
        <f>SUMIFS(LANÇ_MOV[VALOR LÍQUIDO],LANÇ_MOV[RECEITA OU DESPESA],"Receita",LANÇ_MOV[CONTAS],$C52,LANÇ_MOV[PLANO DE CONTAS],REL_DRE_FINANCEIRO!$B$30,LANÇ_MOV[ANO PAGAMENTO],$B$4,LANÇ_MOV[MÊS PAGAMENTO CORRESPONDENTE],N$6,LANÇ_MOV[EMPRESA],$C$4,LANÇ_MOV[CENTRO DE CUSTOS],$D$4)</f>
        <v>0</v>
      </c>
      <c r="O52" s="206">
        <f>SUMIFS(LANÇ_MOV[VALOR LÍQUIDO],LANÇ_MOV[RECEITA OU DESPESA],"Receita",LANÇ_MOV[CONTAS],$C52,LANÇ_MOV[PLANO DE CONTAS],REL_DRE_FINANCEIRO!$B$30,LANÇ_MOV[ANO PAGAMENTO],$B$4,LANÇ_MOV[MÊS PAGAMENTO CORRESPONDENTE],O$6,LANÇ_MOV[EMPRESA],$C$4,LANÇ_MOV[CENTRO DE CUSTOS],$D$4)</f>
        <v>0</v>
      </c>
      <c r="P52" s="207">
        <f t="shared" si="18"/>
        <v>0</v>
      </c>
      <c r="Q52" s="333">
        <v>7.9000000000000006E-6</v>
      </c>
      <c r="R52" s="346">
        <f t="shared" si="19"/>
        <v>7.9000000000000006E-6</v>
      </c>
      <c r="S52" s="347" t="str">
        <f t="shared" si="20"/>
        <v>-</v>
      </c>
      <c r="T52" s="347">
        <f t="shared" si="21"/>
        <v>0</v>
      </c>
      <c r="U52" s="347">
        <f>HLOOKUP(Apoio!$P$12,$D$29:$P$130,X52,FALSE)+Q52</f>
        <v>7.9000000000000006E-6</v>
      </c>
      <c r="V52" s="447" t="str">
        <f t="shared" si="22"/>
        <v>-</v>
      </c>
      <c r="W52" s="448">
        <f>HLOOKUP(Apoio!$P$12,$D$29:$P$130,X52,FALSE)</f>
        <v>0</v>
      </c>
      <c r="X52" s="329">
        <v>24</v>
      </c>
    </row>
    <row r="53" spans="2:24" ht="30.05" customHeight="1" x14ac:dyDescent="0.35">
      <c r="B53" s="204" t="str">
        <f>'CAD_PL_REC-DESP'!B27</f>
        <v>1.1.23</v>
      </c>
      <c r="C53" s="205" t="str">
        <f>IF('CAD_PL_REC-DESP'!C27="","-",'CAD_PL_REC-DESP'!C27)</f>
        <v>-</v>
      </c>
      <c r="D53" s="206">
        <f>SUMIFS(LANÇ_MOV[VALOR LÍQUIDO],LANÇ_MOV[RECEITA OU DESPESA],"Receita",LANÇ_MOV[CONTAS],$C53,LANÇ_MOV[PLANO DE CONTAS],REL_DRE_FINANCEIRO!$B$30,LANÇ_MOV[ANO PAGAMENTO],$B$4,LANÇ_MOV[MÊS PAGAMENTO CORRESPONDENTE],D$6,LANÇ_MOV[EMPRESA],$C$4,LANÇ_MOV[CENTRO DE CUSTOS],$D$4)</f>
        <v>0</v>
      </c>
      <c r="E53" s="206">
        <f>SUMIFS(LANÇ_MOV[VALOR LÍQUIDO],LANÇ_MOV[RECEITA OU DESPESA],"Receita",LANÇ_MOV[CONTAS],$C53,LANÇ_MOV[PLANO DE CONTAS],REL_DRE_FINANCEIRO!$B$30,LANÇ_MOV[ANO PAGAMENTO],$B$4,LANÇ_MOV[MÊS PAGAMENTO CORRESPONDENTE],E$6,LANÇ_MOV[EMPRESA],$C$4,LANÇ_MOV[CENTRO DE CUSTOS],$D$4)</f>
        <v>0</v>
      </c>
      <c r="F53" s="206">
        <f>SUMIFS(LANÇ_MOV[VALOR LÍQUIDO],LANÇ_MOV[RECEITA OU DESPESA],"Receita",LANÇ_MOV[CONTAS],$C53,LANÇ_MOV[PLANO DE CONTAS],REL_DRE_FINANCEIRO!$B$30,LANÇ_MOV[ANO PAGAMENTO],$B$4,LANÇ_MOV[MÊS PAGAMENTO CORRESPONDENTE],F$6,LANÇ_MOV[EMPRESA],$C$4,LANÇ_MOV[CENTRO DE CUSTOS],$D$4)</f>
        <v>0</v>
      </c>
      <c r="G53" s="206">
        <f>SUMIFS(LANÇ_MOV[VALOR LÍQUIDO],LANÇ_MOV[RECEITA OU DESPESA],"Receita",LANÇ_MOV[CONTAS],$C53,LANÇ_MOV[PLANO DE CONTAS],REL_DRE_FINANCEIRO!$B$30,LANÇ_MOV[ANO PAGAMENTO],$B$4,LANÇ_MOV[MÊS PAGAMENTO CORRESPONDENTE],G$6,LANÇ_MOV[EMPRESA],$C$4,LANÇ_MOV[CENTRO DE CUSTOS],$D$4)</f>
        <v>0</v>
      </c>
      <c r="H53" s="206">
        <f>SUMIFS(LANÇ_MOV[VALOR LÍQUIDO],LANÇ_MOV[RECEITA OU DESPESA],"Receita",LANÇ_MOV[CONTAS],$C53,LANÇ_MOV[PLANO DE CONTAS],REL_DRE_FINANCEIRO!$B$30,LANÇ_MOV[ANO PAGAMENTO],$B$4,LANÇ_MOV[MÊS PAGAMENTO CORRESPONDENTE],H$6,LANÇ_MOV[EMPRESA],$C$4,LANÇ_MOV[CENTRO DE CUSTOS],$D$4)</f>
        <v>0</v>
      </c>
      <c r="I53" s="206">
        <f>SUMIFS(LANÇ_MOV[VALOR LÍQUIDO],LANÇ_MOV[RECEITA OU DESPESA],"Receita",LANÇ_MOV[CONTAS],$C53,LANÇ_MOV[PLANO DE CONTAS],REL_DRE_FINANCEIRO!$B$30,LANÇ_MOV[ANO PAGAMENTO],$B$4,LANÇ_MOV[MÊS PAGAMENTO CORRESPONDENTE],I$6,LANÇ_MOV[EMPRESA],$C$4,LANÇ_MOV[CENTRO DE CUSTOS],$D$4)</f>
        <v>0</v>
      </c>
      <c r="J53" s="206">
        <f>SUMIFS(LANÇ_MOV[VALOR LÍQUIDO],LANÇ_MOV[RECEITA OU DESPESA],"Receita",LANÇ_MOV[CONTAS],$C53,LANÇ_MOV[PLANO DE CONTAS],REL_DRE_FINANCEIRO!$B$30,LANÇ_MOV[ANO PAGAMENTO],$B$4,LANÇ_MOV[MÊS PAGAMENTO CORRESPONDENTE],J$6,LANÇ_MOV[EMPRESA],$C$4,LANÇ_MOV[CENTRO DE CUSTOS],$D$4)</f>
        <v>0</v>
      </c>
      <c r="K53" s="206">
        <f>SUMIFS(LANÇ_MOV[VALOR LÍQUIDO],LANÇ_MOV[RECEITA OU DESPESA],"Receita",LANÇ_MOV[CONTAS],$C53,LANÇ_MOV[PLANO DE CONTAS],REL_DRE_FINANCEIRO!$B$30,LANÇ_MOV[ANO PAGAMENTO],$B$4,LANÇ_MOV[MÊS PAGAMENTO CORRESPONDENTE],K$6,LANÇ_MOV[EMPRESA],$C$4,LANÇ_MOV[CENTRO DE CUSTOS],$D$4)</f>
        <v>0</v>
      </c>
      <c r="L53" s="206">
        <f>SUMIFS(LANÇ_MOV[VALOR LÍQUIDO],LANÇ_MOV[RECEITA OU DESPESA],"Receita",LANÇ_MOV[CONTAS],$C53,LANÇ_MOV[PLANO DE CONTAS],REL_DRE_FINANCEIRO!$B$30,LANÇ_MOV[ANO PAGAMENTO],$B$4,LANÇ_MOV[MÊS PAGAMENTO CORRESPONDENTE],L$6,LANÇ_MOV[EMPRESA],$C$4,LANÇ_MOV[CENTRO DE CUSTOS],$D$4)</f>
        <v>0</v>
      </c>
      <c r="M53" s="206">
        <f>SUMIFS(LANÇ_MOV[VALOR LÍQUIDO],LANÇ_MOV[RECEITA OU DESPESA],"Receita",LANÇ_MOV[CONTAS],$C53,LANÇ_MOV[PLANO DE CONTAS],REL_DRE_FINANCEIRO!$B$30,LANÇ_MOV[ANO PAGAMENTO],$B$4,LANÇ_MOV[MÊS PAGAMENTO CORRESPONDENTE],M$6,LANÇ_MOV[EMPRESA],$C$4,LANÇ_MOV[CENTRO DE CUSTOS],$D$4)</f>
        <v>0</v>
      </c>
      <c r="N53" s="206">
        <f>SUMIFS(LANÇ_MOV[VALOR LÍQUIDO],LANÇ_MOV[RECEITA OU DESPESA],"Receita",LANÇ_MOV[CONTAS],$C53,LANÇ_MOV[PLANO DE CONTAS],REL_DRE_FINANCEIRO!$B$30,LANÇ_MOV[ANO PAGAMENTO],$B$4,LANÇ_MOV[MÊS PAGAMENTO CORRESPONDENTE],N$6,LANÇ_MOV[EMPRESA],$C$4,LANÇ_MOV[CENTRO DE CUSTOS],$D$4)</f>
        <v>0</v>
      </c>
      <c r="O53" s="206">
        <f>SUMIFS(LANÇ_MOV[VALOR LÍQUIDO],LANÇ_MOV[RECEITA OU DESPESA],"Receita",LANÇ_MOV[CONTAS],$C53,LANÇ_MOV[PLANO DE CONTAS],REL_DRE_FINANCEIRO!$B$30,LANÇ_MOV[ANO PAGAMENTO],$B$4,LANÇ_MOV[MÊS PAGAMENTO CORRESPONDENTE],O$6,LANÇ_MOV[EMPRESA],$C$4,LANÇ_MOV[CENTRO DE CUSTOS],$D$4)</f>
        <v>0</v>
      </c>
      <c r="P53" s="207">
        <f t="shared" si="18"/>
        <v>0</v>
      </c>
      <c r="Q53" s="333">
        <v>7.7999999999999999E-6</v>
      </c>
      <c r="R53" s="346">
        <f t="shared" si="19"/>
        <v>7.7999999999999999E-6</v>
      </c>
      <c r="S53" s="347" t="str">
        <f t="shared" si="20"/>
        <v>-</v>
      </c>
      <c r="T53" s="347">
        <f t="shared" si="21"/>
        <v>0</v>
      </c>
      <c r="U53" s="347">
        <f>HLOOKUP(Apoio!$P$12,$D$29:$P$130,X53,FALSE)+Q53</f>
        <v>7.7999999999999999E-6</v>
      </c>
      <c r="V53" s="447" t="str">
        <f t="shared" si="22"/>
        <v>-</v>
      </c>
      <c r="W53" s="448">
        <f>HLOOKUP(Apoio!$P$12,$D$29:$P$130,X53,FALSE)</f>
        <v>0</v>
      </c>
      <c r="X53" s="329">
        <v>25</v>
      </c>
    </row>
    <row r="54" spans="2:24" ht="30.05" customHeight="1" x14ac:dyDescent="0.35">
      <c r="B54" s="204" t="str">
        <f>'CAD_PL_REC-DESP'!B28</f>
        <v>1.1.24</v>
      </c>
      <c r="C54" s="205" t="str">
        <f>IF('CAD_PL_REC-DESP'!C28="","-",'CAD_PL_REC-DESP'!C28)</f>
        <v>-</v>
      </c>
      <c r="D54" s="206">
        <f>SUMIFS(LANÇ_MOV[VALOR LÍQUIDO],LANÇ_MOV[RECEITA OU DESPESA],"Receita",LANÇ_MOV[CONTAS],$C54,LANÇ_MOV[PLANO DE CONTAS],REL_DRE_FINANCEIRO!$B$30,LANÇ_MOV[ANO PAGAMENTO],$B$4,LANÇ_MOV[MÊS PAGAMENTO CORRESPONDENTE],D$6,LANÇ_MOV[EMPRESA],$C$4,LANÇ_MOV[CENTRO DE CUSTOS],$D$4)</f>
        <v>0</v>
      </c>
      <c r="E54" s="206">
        <f>SUMIFS(LANÇ_MOV[VALOR LÍQUIDO],LANÇ_MOV[RECEITA OU DESPESA],"Receita",LANÇ_MOV[CONTAS],$C54,LANÇ_MOV[PLANO DE CONTAS],REL_DRE_FINANCEIRO!$B$30,LANÇ_MOV[ANO PAGAMENTO],$B$4,LANÇ_MOV[MÊS PAGAMENTO CORRESPONDENTE],E$6,LANÇ_MOV[EMPRESA],$C$4,LANÇ_MOV[CENTRO DE CUSTOS],$D$4)</f>
        <v>0</v>
      </c>
      <c r="F54" s="206">
        <f>SUMIFS(LANÇ_MOV[VALOR LÍQUIDO],LANÇ_MOV[RECEITA OU DESPESA],"Receita",LANÇ_MOV[CONTAS],$C54,LANÇ_MOV[PLANO DE CONTAS],REL_DRE_FINANCEIRO!$B$30,LANÇ_MOV[ANO PAGAMENTO],$B$4,LANÇ_MOV[MÊS PAGAMENTO CORRESPONDENTE],F$6,LANÇ_MOV[EMPRESA],$C$4,LANÇ_MOV[CENTRO DE CUSTOS],$D$4)</f>
        <v>0</v>
      </c>
      <c r="G54" s="206">
        <f>SUMIFS(LANÇ_MOV[VALOR LÍQUIDO],LANÇ_MOV[RECEITA OU DESPESA],"Receita",LANÇ_MOV[CONTAS],$C54,LANÇ_MOV[PLANO DE CONTAS],REL_DRE_FINANCEIRO!$B$30,LANÇ_MOV[ANO PAGAMENTO],$B$4,LANÇ_MOV[MÊS PAGAMENTO CORRESPONDENTE],G$6,LANÇ_MOV[EMPRESA],$C$4,LANÇ_MOV[CENTRO DE CUSTOS],$D$4)</f>
        <v>0</v>
      </c>
      <c r="H54" s="206">
        <f>SUMIFS(LANÇ_MOV[VALOR LÍQUIDO],LANÇ_MOV[RECEITA OU DESPESA],"Receita",LANÇ_MOV[CONTAS],$C54,LANÇ_MOV[PLANO DE CONTAS],REL_DRE_FINANCEIRO!$B$30,LANÇ_MOV[ANO PAGAMENTO],$B$4,LANÇ_MOV[MÊS PAGAMENTO CORRESPONDENTE],H$6,LANÇ_MOV[EMPRESA],$C$4,LANÇ_MOV[CENTRO DE CUSTOS],$D$4)</f>
        <v>0</v>
      </c>
      <c r="I54" s="206">
        <f>SUMIFS(LANÇ_MOV[VALOR LÍQUIDO],LANÇ_MOV[RECEITA OU DESPESA],"Receita",LANÇ_MOV[CONTAS],$C54,LANÇ_MOV[PLANO DE CONTAS],REL_DRE_FINANCEIRO!$B$30,LANÇ_MOV[ANO PAGAMENTO],$B$4,LANÇ_MOV[MÊS PAGAMENTO CORRESPONDENTE],I$6,LANÇ_MOV[EMPRESA],$C$4,LANÇ_MOV[CENTRO DE CUSTOS],$D$4)</f>
        <v>0</v>
      </c>
      <c r="J54" s="206">
        <f>SUMIFS(LANÇ_MOV[VALOR LÍQUIDO],LANÇ_MOV[RECEITA OU DESPESA],"Receita",LANÇ_MOV[CONTAS],$C54,LANÇ_MOV[PLANO DE CONTAS],REL_DRE_FINANCEIRO!$B$30,LANÇ_MOV[ANO PAGAMENTO],$B$4,LANÇ_MOV[MÊS PAGAMENTO CORRESPONDENTE],J$6,LANÇ_MOV[EMPRESA],$C$4,LANÇ_MOV[CENTRO DE CUSTOS],$D$4)</f>
        <v>0</v>
      </c>
      <c r="K54" s="206">
        <f>SUMIFS(LANÇ_MOV[VALOR LÍQUIDO],LANÇ_MOV[RECEITA OU DESPESA],"Receita",LANÇ_MOV[CONTAS],$C54,LANÇ_MOV[PLANO DE CONTAS],REL_DRE_FINANCEIRO!$B$30,LANÇ_MOV[ANO PAGAMENTO],$B$4,LANÇ_MOV[MÊS PAGAMENTO CORRESPONDENTE],K$6,LANÇ_MOV[EMPRESA],$C$4,LANÇ_MOV[CENTRO DE CUSTOS],$D$4)</f>
        <v>0</v>
      </c>
      <c r="L54" s="206">
        <f>SUMIFS(LANÇ_MOV[VALOR LÍQUIDO],LANÇ_MOV[RECEITA OU DESPESA],"Receita",LANÇ_MOV[CONTAS],$C54,LANÇ_MOV[PLANO DE CONTAS],REL_DRE_FINANCEIRO!$B$30,LANÇ_MOV[ANO PAGAMENTO],$B$4,LANÇ_MOV[MÊS PAGAMENTO CORRESPONDENTE],L$6,LANÇ_MOV[EMPRESA],$C$4,LANÇ_MOV[CENTRO DE CUSTOS],$D$4)</f>
        <v>0</v>
      </c>
      <c r="M54" s="206">
        <f>SUMIFS(LANÇ_MOV[VALOR LÍQUIDO],LANÇ_MOV[RECEITA OU DESPESA],"Receita",LANÇ_MOV[CONTAS],$C54,LANÇ_MOV[PLANO DE CONTAS],REL_DRE_FINANCEIRO!$B$30,LANÇ_MOV[ANO PAGAMENTO],$B$4,LANÇ_MOV[MÊS PAGAMENTO CORRESPONDENTE],M$6,LANÇ_MOV[EMPRESA],$C$4,LANÇ_MOV[CENTRO DE CUSTOS],$D$4)</f>
        <v>0</v>
      </c>
      <c r="N54" s="206">
        <f>SUMIFS(LANÇ_MOV[VALOR LÍQUIDO],LANÇ_MOV[RECEITA OU DESPESA],"Receita",LANÇ_MOV[CONTAS],$C54,LANÇ_MOV[PLANO DE CONTAS],REL_DRE_FINANCEIRO!$B$30,LANÇ_MOV[ANO PAGAMENTO],$B$4,LANÇ_MOV[MÊS PAGAMENTO CORRESPONDENTE],N$6,LANÇ_MOV[EMPRESA],$C$4,LANÇ_MOV[CENTRO DE CUSTOS],$D$4)</f>
        <v>0</v>
      </c>
      <c r="O54" s="206">
        <f>SUMIFS(LANÇ_MOV[VALOR LÍQUIDO],LANÇ_MOV[RECEITA OU DESPESA],"Receita",LANÇ_MOV[CONTAS],$C54,LANÇ_MOV[PLANO DE CONTAS],REL_DRE_FINANCEIRO!$B$30,LANÇ_MOV[ANO PAGAMENTO],$B$4,LANÇ_MOV[MÊS PAGAMENTO CORRESPONDENTE],O$6,LANÇ_MOV[EMPRESA],$C$4,LANÇ_MOV[CENTRO DE CUSTOS],$D$4)</f>
        <v>0</v>
      </c>
      <c r="P54" s="207">
        <f t="shared" si="18"/>
        <v>0</v>
      </c>
      <c r="Q54" s="333">
        <v>7.7000000000000008E-6</v>
      </c>
      <c r="R54" s="346">
        <f t="shared" si="19"/>
        <v>7.7000000000000008E-6</v>
      </c>
      <c r="S54" s="347" t="str">
        <f t="shared" si="20"/>
        <v>-</v>
      </c>
      <c r="T54" s="347">
        <f t="shared" si="21"/>
        <v>0</v>
      </c>
      <c r="U54" s="347">
        <f>HLOOKUP(Apoio!$P$12,$D$29:$P$130,X54,FALSE)+Q54</f>
        <v>7.7000000000000008E-6</v>
      </c>
      <c r="V54" s="447" t="str">
        <f t="shared" si="22"/>
        <v>-</v>
      </c>
      <c r="W54" s="448">
        <f>HLOOKUP(Apoio!$P$12,$D$29:$P$130,X54,FALSE)</f>
        <v>0</v>
      </c>
      <c r="X54" s="329">
        <v>26</v>
      </c>
    </row>
    <row r="55" spans="2:24" ht="30.05" customHeight="1" x14ac:dyDescent="0.35">
      <c r="B55" s="204" t="str">
        <f>'CAD_PL_REC-DESP'!B29</f>
        <v>1.1.25</v>
      </c>
      <c r="C55" s="205" t="str">
        <f>IF('CAD_PL_REC-DESP'!C29="","-",'CAD_PL_REC-DESP'!C29)</f>
        <v>-</v>
      </c>
      <c r="D55" s="206">
        <f>SUMIFS(LANÇ_MOV[VALOR LÍQUIDO],LANÇ_MOV[RECEITA OU DESPESA],"Receita",LANÇ_MOV[CONTAS],$C55,LANÇ_MOV[PLANO DE CONTAS],REL_DRE_FINANCEIRO!$B$30,LANÇ_MOV[ANO PAGAMENTO],$B$4,LANÇ_MOV[MÊS PAGAMENTO CORRESPONDENTE],D$6,LANÇ_MOV[EMPRESA],$C$4,LANÇ_MOV[CENTRO DE CUSTOS],$D$4)</f>
        <v>0</v>
      </c>
      <c r="E55" s="206">
        <f>SUMIFS(LANÇ_MOV[VALOR LÍQUIDO],LANÇ_MOV[RECEITA OU DESPESA],"Receita",LANÇ_MOV[CONTAS],$C55,LANÇ_MOV[PLANO DE CONTAS],REL_DRE_FINANCEIRO!$B$30,LANÇ_MOV[ANO PAGAMENTO],$B$4,LANÇ_MOV[MÊS PAGAMENTO CORRESPONDENTE],E$6,LANÇ_MOV[EMPRESA],$C$4,LANÇ_MOV[CENTRO DE CUSTOS],$D$4)</f>
        <v>0</v>
      </c>
      <c r="F55" s="206">
        <f>SUMIFS(LANÇ_MOV[VALOR LÍQUIDO],LANÇ_MOV[RECEITA OU DESPESA],"Receita",LANÇ_MOV[CONTAS],$C55,LANÇ_MOV[PLANO DE CONTAS],REL_DRE_FINANCEIRO!$B$30,LANÇ_MOV[ANO PAGAMENTO],$B$4,LANÇ_MOV[MÊS PAGAMENTO CORRESPONDENTE],F$6,LANÇ_MOV[EMPRESA],$C$4,LANÇ_MOV[CENTRO DE CUSTOS],$D$4)</f>
        <v>0</v>
      </c>
      <c r="G55" s="206">
        <f>SUMIFS(LANÇ_MOV[VALOR LÍQUIDO],LANÇ_MOV[RECEITA OU DESPESA],"Receita",LANÇ_MOV[CONTAS],$C55,LANÇ_MOV[PLANO DE CONTAS],REL_DRE_FINANCEIRO!$B$30,LANÇ_MOV[ANO PAGAMENTO],$B$4,LANÇ_MOV[MÊS PAGAMENTO CORRESPONDENTE],G$6,LANÇ_MOV[EMPRESA],$C$4,LANÇ_MOV[CENTRO DE CUSTOS],$D$4)</f>
        <v>0</v>
      </c>
      <c r="H55" s="206">
        <f>SUMIFS(LANÇ_MOV[VALOR LÍQUIDO],LANÇ_MOV[RECEITA OU DESPESA],"Receita",LANÇ_MOV[CONTAS],$C55,LANÇ_MOV[PLANO DE CONTAS],REL_DRE_FINANCEIRO!$B$30,LANÇ_MOV[ANO PAGAMENTO],$B$4,LANÇ_MOV[MÊS PAGAMENTO CORRESPONDENTE],H$6,LANÇ_MOV[EMPRESA],$C$4,LANÇ_MOV[CENTRO DE CUSTOS],$D$4)</f>
        <v>0</v>
      </c>
      <c r="I55" s="206">
        <f>SUMIFS(LANÇ_MOV[VALOR LÍQUIDO],LANÇ_MOV[RECEITA OU DESPESA],"Receita",LANÇ_MOV[CONTAS],$C55,LANÇ_MOV[PLANO DE CONTAS],REL_DRE_FINANCEIRO!$B$30,LANÇ_MOV[ANO PAGAMENTO],$B$4,LANÇ_MOV[MÊS PAGAMENTO CORRESPONDENTE],I$6,LANÇ_MOV[EMPRESA],$C$4,LANÇ_MOV[CENTRO DE CUSTOS],$D$4)</f>
        <v>0</v>
      </c>
      <c r="J55" s="206">
        <f>SUMIFS(LANÇ_MOV[VALOR LÍQUIDO],LANÇ_MOV[RECEITA OU DESPESA],"Receita",LANÇ_MOV[CONTAS],$C55,LANÇ_MOV[PLANO DE CONTAS],REL_DRE_FINANCEIRO!$B$30,LANÇ_MOV[ANO PAGAMENTO],$B$4,LANÇ_MOV[MÊS PAGAMENTO CORRESPONDENTE],J$6,LANÇ_MOV[EMPRESA],$C$4,LANÇ_MOV[CENTRO DE CUSTOS],$D$4)</f>
        <v>0</v>
      </c>
      <c r="K55" s="206">
        <f>SUMIFS(LANÇ_MOV[VALOR LÍQUIDO],LANÇ_MOV[RECEITA OU DESPESA],"Receita",LANÇ_MOV[CONTAS],$C55,LANÇ_MOV[PLANO DE CONTAS],REL_DRE_FINANCEIRO!$B$30,LANÇ_MOV[ANO PAGAMENTO],$B$4,LANÇ_MOV[MÊS PAGAMENTO CORRESPONDENTE],K$6,LANÇ_MOV[EMPRESA],$C$4,LANÇ_MOV[CENTRO DE CUSTOS],$D$4)</f>
        <v>0</v>
      </c>
      <c r="L55" s="206">
        <f>SUMIFS(LANÇ_MOV[VALOR LÍQUIDO],LANÇ_MOV[RECEITA OU DESPESA],"Receita",LANÇ_MOV[CONTAS],$C55,LANÇ_MOV[PLANO DE CONTAS],REL_DRE_FINANCEIRO!$B$30,LANÇ_MOV[ANO PAGAMENTO],$B$4,LANÇ_MOV[MÊS PAGAMENTO CORRESPONDENTE],L$6,LANÇ_MOV[EMPRESA],$C$4,LANÇ_MOV[CENTRO DE CUSTOS],$D$4)</f>
        <v>0</v>
      </c>
      <c r="M55" s="206">
        <f>SUMIFS(LANÇ_MOV[VALOR LÍQUIDO],LANÇ_MOV[RECEITA OU DESPESA],"Receita",LANÇ_MOV[CONTAS],$C55,LANÇ_MOV[PLANO DE CONTAS],REL_DRE_FINANCEIRO!$B$30,LANÇ_MOV[ANO PAGAMENTO],$B$4,LANÇ_MOV[MÊS PAGAMENTO CORRESPONDENTE],M$6,LANÇ_MOV[EMPRESA],$C$4,LANÇ_MOV[CENTRO DE CUSTOS],$D$4)</f>
        <v>0</v>
      </c>
      <c r="N55" s="206">
        <f>SUMIFS(LANÇ_MOV[VALOR LÍQUIDO],LANÇ_MOV[RECEITA OU DESPESA],"Receita",LANÇ_MOV[CONTAS],$C55,LANÇ_MOV[PLANO DE CONTAS],REL_DRE_FINANCEIRO!$B$30,LANÇ_MOV[ANO PAGAMENTO],$B$4,LANÇ_MOV[MÊS PAGAMENTO CORRESPONDENTE],N$6,LANÇ_MOV[EMPRESA],$C$4,LANÇ_MOV[CENTRO DE CUSTOS],$D$4)</f>
        <v>0</v>
      </c>
      <c r="O55" s="206">
        <f>SUMIFS(LANÇ_MOV[VALOR LÍQUIDO],LANÇ_MOV[RECEITA OU DESPESA],"Receita",LANÇ_MOV[CONTAS],$C55,LANÇ_MOV[PLANO DE CONTAS],REL_DRE_FINANCEIRO!$B$30,LANÇ_MOV[ANO PAGAMENTO],$B$4,LANÇ_MOV[MÊS PAGAMENTO CORRESPONDENTE],O$6,LANÇ_MOV[EMPRESA],$C$4,LANÇ_MOV[CENTRO DE CUSTOS],$D$4)</f>
        <v>0</v>
      </c>
      <c r="P55" s="207">
        <f t="shared" si="18"/>
        <v>0</v>
      </c>
      <c r="Q55" s="333">
        <v>7.6000000000000001E-6</v>
      </c>
      <c r="R55" s="346">
        <f t="shared" si="19"/>
        <v>7.6000000000000001E-6</v>
      </c>
      <c r="S55" s="347" t="str">
        <f t="shared" si="20"/>
        <v>-</v>
      </c>
      <c r="T55" s="347">
        <f t="shared" si="21"/>
        <v>0</v>
      </c>
      <c r="U55" s="347">
        <f>HLOOKUP(Apoio!$P$12,$D$29:$P$130,X55,FALSE)+Q55</f>
        <v>7.6000000000000001E-6</v>
      </c>
      <c r="V55" s="447" t="str">
        <f t="shared" si="22"/>
        <v>-</v>
      </c>
      <c r="W55" s="448">
        <f>HLOOKUP(Apoio!$P$12,$D$29:$P$130,X55,FALSE)</f>
        <v>0</v>
      </c>
      <c r="X55" s="329">
        <v>27</v>
      </c>
    </row>
    <row r="56" spans="2:24" ht="30.05" customHeight="1" x14ac:dyDescent="0.35">
      <c r="B56" s="204" t="str">
        <f>'CAD_PL_REC-DESP'!B30</f>
        <v>1.1.26</v>
      </c>
      <c r="C56" s="205" t="str">
        <f>IF('CAD_PL_REC-DESP'!C30="","-",'CAD_PL_REC-DESP'!C30)</f>
        <v>-</v>
      </c>
      <c r="D56" s="206">
        <f>SUMIFS(LANÇ_MOV[VALOR LÍQUIDO],LANÇ_MOV[RECEITA OU DESPESA],"Receita",LANÇ_MOV[CONTAS],$C56,LANÇ_MOV[PLANO DE CONTAS],REL_DRE_FINANCEIRO!$B$30,LANÇ_MOV[ANO PAGAMENTO],$B$4,LANÇ_MOV[MÊS PAGAMENTO CORRESPONDENTE],D$6,LANÇ_MOV[EMPRESA],$C$4,LANÇ_MOV[CENTRO DE CUSTOS],$D$4)</f>
        <v>0</v>
      </c>
      <c r="E56" s="206">
        <f>SUMIFS(LANÇ_MOV[VALOR LÍQUIDO],LANÇ_MOV[RECEITA OU DESPESA],"Receita",LANÇ_MOV[CONTAS],$C56,LANÇ_MOV[PLANO DE CONTAS],REL_DRE_FINANCEIRO!$B$30,LANÇ_MOV[ANO PAGAMENTO],$B$4,LANÇ_MOV[MÊS PAGAMENTO CORRESPONDENTE],E$6,LANÇ_MOV[EMPRESA],$C$4,LANÇ_MOV[CENTRO DE CUSTOS],$D$4)</f>
        <v>0</v>
      </c>
      <c r="F56" s="206">
        <f>SUMIFS(LANÇ_MOV[VALOR LÍQUIDO],LANÇ_MOV[RECEITA OU DESPESA],"Receita",LANÇ_MOV[CONTAS],$C56,LANÇ_MOV[PLANO DE CONTAS],REL_DRE_FINANCEIRO!$B$30,LANÇ_MOV[ANO PAGAMENTO],$B$4,LANÇ_MOV[MÊS PAGAMENTO CORRESPONDENTE],F$6,LANÇ_MOV[EMPRESA],$C$4,LANÇ_MOV[CENTRO DE CUSTOS],$D$4)</f>
        <v>0</v>
      </c>
      <c r="G56" s="206">
        <f>SUMIFS(LANÇ_MOV[VALOR LÍQUIDO],LANÇ_MOV[RECEITA OU DESPESA],"Receita",LANÇ_MOV[CONTAS],$C56,LANÇ_MOV[PLANO DE CONTAS],REL_DRE_FINANCEIRO!$B$30,LANÇ_MOV[ANO PAGAMENTO],$B$4,LANÇ_MOV[MÊS PAGAMENTO CORRESPONDENTE],G$6,LANÇ_MOV[EMPRESA],$C$4,LANÇ_MOV[CENTRO DE CUSTOS],$D$4)</f>
        <v>0</v>
      </c>
      <c r="H56" s="206">
        <f>SUMIFS(LANÇ_MOV[VALOR LÍQUIDO],LANÇ_MOV[RECEITA OU DESPESA],"Receita",LANÇ_MOV[CONTAS],$C56,LANÇ_MOV[PLANO DE CONTAS],REL_DRE_FINANCEIRO!$B$30,LANÇ_MOV[ANO PAGAMENTO],$B$4,LANÇ_MOV[MÊS PAGAMENTO CORRESPONDENTE],H$6,LANÇ_MOV[EMPRESA],$C$4,LANÇ_MOV[CENTRO DE CUSTOS],$D$4)</f>
        <v>0</v>
      </c>
      <c r="I56" s="206">
        <f>SUMIFS(LANÇ_MOV[VALOR LÍQUIDO],LANÇ_MOV[RECEITA OU DESPESA],"Receita",LANÇ_MOV[CONTAS],$C56,LANÇ_MOV[PLANO DE CONTAS],REL_DRE_FINANCEIRO!$B$30,LANÇ_MOV[ANO PAGAMENTO],$B$4,LANÇ_MOV[MÊS PAGAMENTO CORRESPONDENTE],I$6,LANÇ_MOV[EMPRESA],$C$4,LANÇ_MOV[CENTRO DE CUSTOS],$D$4)</f>
        <v>0</v>
      </c>
      <c r="J56" s="206">
        <f>SUMIFS(LANÇ_MOV[VALOR LÍQUIDO],LANÇ_MOV[RECEITA OU DESPESA],"Receita",LANÇ_MOV[CONTAS],$C56,LANÇ_MOV[PLANO DE CONTAS],REL_DRE_FINANCEIRO!$B$30,LANÇ_MOV[ANO PAGAMENTO],$B$4,LANÇ_MOV[MÊS PAGAMENTO CORRESPONDENTE],J$6,LANÇ_MOV[EMPRESA],$C$4,LANÇ_MOV[CENTRO DE CUSTOS],$D$4)</f>
        <v>0</v>
      </c>
      <c r="K56" s="206">
        <f>SUMIFS(LANÇ_MOV[VALOR LÍQUIDO],LANÇ_MOV[RECEITA OU DESPESA],"Receita",LANÇ_MOV[CONTAS],$C56,LANÇ_MOV[PLANO DE CONTAS],REL_DRE_FINANCEIRO!$B$30,LANÇ_MOV[ANO PAGAMENTO],$B$4,LANÇ_MOV[MÊS PAGAMENTO CORRESPONDENTE],K$6,LANÇ_MOV[EMPRESA],$C$4,LANÇ_MOV[CENTRO DE CUSTOS],$D$4)</f>
        <v>0</v>
      </c>
      <c r="L56" s="206">
        <f>SUMIFS(LANÇ_MOV[VALOR LÍQUIDO],LANÇ_MOV[RECEITA OU DESPESA],"Receita",LANÇ_MOV[CONTAS],$C56,LANÇ_MOV[PLANO DE CONTAS],REL_DRE_FINANCEIRO!$B$30,LANÇ_MOV[ANO PAGAMENTO],$B$4,LANÇ_MOV[MÊS PAGAMENTO CORRESPONDENTE],L$6,LANÇ_MOV[EMPRESA],$C$4,LANÇ_MOV[CENTRO DE CUSTOS],$D$4)</f>
        <v>0</v>
      </c>
      <c r="M56" s="206">
        <f>SUMIFS(LANÇ_MOV[VALOR LÍQUIDO],LANÇ_MOV[RECEITA OU DESPESA],"Receita",LANÇ_MOV[CONTAS],$C56,LANÇ_MOV[PLANO DE CONTAS],REL_DRE_FINANCEIRO!$B$30,LANÇ_MOV[ANO PAGAMENTO],$B$4,LANÇ_MOV[MÊS PAGAMENTO CORRESPONDENTE],M$6,LANÇ_MOV[EMPRESA],$C$4,LANÇ_MOV[CENTRO DE CUSTOS],$D$4)</f>
        <v>0</v>
      </c>
      <c r="N56" s="206">
        <f>SUMIFS(LANÇ_MOV[VALOR LÍQUIDO],LANÇ_MOV[RECEITA OU DESPESA],"Receita",LANÇ_MOV[CONTAS],$C56,LANÇ_MOV[PLANO DE CONTAS],REL_DRE_FINANCEIRO!$B$30,LANÇ_MOV[ANO PAGAMENTO],$B$4,LANÇ_MOV[MÊS PAGAMENTO CORRESPONDENTE],N$6,LANÇ_MOV[EMPRESA],$C$4,LANÇ_MOV[CENTRO DE CUSTOS],$D$4)</f>
        <v>0</v>
      </c>
      <c r="O56" s="206">
        <f>SUMIFS(LANÇ_MOV[VALOR LÍQUIDO],LANÇ_MOV[RECEITA OU DESPESA],"Receita",LANÇ_MOV[CONTAS],$C56,LANÇ_MOV[PLANO DE CONTAS],REL_DRE_FINANCEIRO!$B$30,LANÇ_MOV[ANO PAGAMENTO],$B$4,LANÇ_MOV[MÊS PAGAMENTO CORRESPONDENTE],O$6,LANÇ_MOV[EMPRESA],$C$4,LANÇ_MOV[CENTRO DE CUSTOS],$D$4)</f>
        <v>0</v>
      </c>
      <c r="P56" s="207">
        <f t="shared" si="18"/>
        <v>0</v>
      </c>
      <c r="Q56" s="333">
        <v>7.5000000000000002E-6</v>
      </c>
      <c r="R56" s="346">
        <f t="shared" si="19"/>
        <v>7.5000000000000002E-6</v>
      </c>
      <c r="S56" s="347" t="str">
        <f t="shared" si="20"/>
        <v>-</v>
      </c>
      <c r="T56" s="347">
        <f t="shared" si="21"/>
        <v>0</v>
      </c>
      <c r="U56" s="347">
        <f>HLOOKUP(Apoio!$P$12,$D$29:$P$130,X56,FALSE)+Q56</f>
        <v>7.5000000000000002E-6</v>
      </c>
      <c r="V56" s="447" t="str">
        <f t="shared" si="22"/>
        <v>-</v>
      </c>
      <c r="W56" s="448">
        <f>HLOOKUP(Apoio!$P$12,$D$29:$P$130,X56,FALSE)</f>
        <v>0</v>
      </c>
      <c r="X56" s="329">
        <v>28</v>
      </c>
    </row>
    <row r="57" spans="2:24" ht="30.05" customHeight="1" x14ac:dyDescent="0.35">
      <c r="B57" s="204" t="str">
        <f>'CAD_PL_REC-DESP'!B31</f>
        <v>1.1.27</v>
      </c>
      <c r="C57" s="205" t="str">
        <f>IF('CAD_PL_REC-DESP'!C31="","-",'CAD_PL_REC-DESP'!C31)</f>
        <v>-</v>
      </c>
      <c r="D57" s="206">
        <f>SUMIFS(LANÇ_MOV[VALOR LÍQUIDO],LANÇ_MOV[RECEITA OU DESPESA],"Receita",LANÇ_MOV[CONTAS],$C57,LANÇ_MOV[PLANO DE CONTAS],REL_DRE_FINANCEIRO!$B$30,LANÇ_MOV[ANO PAGAMENTO],$B$4,LANÇ_MOV[MÊS PAGAMENTO CORRESPONDENTE],D$6,LANÇ_MOV[EMPRESA],$C$4,LANÇ_MOV[CENTRO DE CUSTOS],$D$4)</f>
        <v>0</v>
      </c>
      <c r="E57" s="206">
        <f>SUMIFS(LANÇ_MOV[VALOR LÍQUIDO],LANÇ_MOV[RECEITA OU DESPESA],"Receita",LANÇ_MOV[CONTAS],$C57,LANÇ_MOV[PLANO DE CONTAS],REL_DRE_FINANCEIRO!$B$30,LANÇ_MOV[ANO PAGAMENTO],$B$4,LANÇ_MOV[MÊS PAGAMENTO CORRESPONDENTE],E$6,LANÇ_MOV[EMPRESA],$C$4,LANÇ_MOV[CENTRO DE CUSTOS],$D$4)</f>
        <v>0</v>
      </c>
      <c r="F57" s="206">
        <f>SUMIFS(LANÇ_MOV[VALOR LÍQUIDO],LANÇ_MOV[RECEITA OU DESPESA],"Receita",LANÇ_MOV[CONTAS],$C57,LANÇ_MOV[PLANO DE CONTAS],REL_DRE_FINANCEIRO!$B$30,LANÇ_MOV[ANO PAGAMENTO],$B$4,LANÇ_MOV[MÊS PAGAMENTO CORRESPONDENTE],F$6,LANÇ_MOV[EMPRESA],$C$4,LANÇ_MOV[CENTRO DE CUSTOS],$D$4)</f>
        <v>0</v>
      </c>
      <c r="G57" s="206">
        <f>SUMIFS(LANÇ_MOV[VALOR LÍQUIDO],LANÇ_MOV[RECEITA OU DESPESA],"Receita",LANÇ_MOV[CONTAS],$C57,LANÇ_MOV[PLANO DE CONTAS],REL_DRE_FINANCEIRO!$B$30,LANÇ_MOV[ANO PAGAMENTO],$B$4,LANÇ_MOV[MÊS PAGAMENTO CORRESPONDENTE],G$6,LANÇ_MOV[EMPRESA],$C$4,LANÇ_MOV[CENTRO DE CUSTOS],$D$4)</f>
        <v>0</v>
      </c>
      <c r="H57" s="206">
        <f>SUMIFS(LANÇ_MOV[VALOR LÍQUIDO],LANÇ_MOV[RECEITA OU DESPESA],"Receita",LANÇ_MOV[CONTAS],$C57,LANÇ_MOV[PLANO DE CONTAS],REL_DRE_FINANCEIRO!$B$30,LANÇ_MOV[ANO PAGAMENTO],$B$4,LANÇ_MOV[MÊS PAGAMENTO CORRESPONDENTE],H$6,LANÇ_MOV[EMPRESA],$C$4,LANÇ_MOV[CENTRO DE CUSTOS],$D$4)</f>
        <v>0</v>
      </c>
      <c r="I57" s="206">
        <f>SUMIFS(LANÇ_MOV[VALOR LÍQUIDO],LANÇ_MOV[RECEITA OU DESPESA],"Receita",LANÇ_MOV[CONTAS],$C57,LANÇ_MOV[PLANO DE CONTAS],REL_DRE_FINANCEIRO!$B$30,LANÇ_MOV[ANO PAGAMENTO],$B$4,LANÇ_MOV[MÊS PAGAMENTO CORRESPONDENTE],I$6,LANÇ_MOV[EMPRESA],$C$4,LANÇ_MOV[CENTRO DE CUSTOS],$D$4)</f>
        <v>0</v>
      </c>
      <c r="J57" s="206">
        <f>SUMIFS(LANÇ_MOV[VALOR LÍQUIDO],LANÇ_MOV[RECEITA OU DESPESA],"Receita",LANÇ_MOV[CONTAS],$C57,LANÇ_MOV[PLANO DE CONTAS],REL_DRE_FINANCEIRO!$B$30,LANÇ_MOV[ANO PAGAMENTO],$B$4,LANÇ_MOV[MÊS PAGAMENTO CORRESPONDENTE],J$6,LANÇ_MOV[EMPRESA],$C$4,LANÇ_MOV[CENTRO DE CUSTOS],$D$4)</f>
        <v>0</v>
      </c>
      <c r="K57" s="206">
        <f>SUMIFS(LANÇ_MOV[VALOR LÍQUIDO],LANÇ_MOV[RECEITA OU DESPESA],"Receita",LANÇ_MOV[CONTAS],$C57,LANÇ_MOV[PLANO DE CONTAS],REL_DRE_FINANCEIRO!$B$30,LANÇ_MOV[ANO PAGAMENTO],$B$4,LANÇ_MOV[MÊS PAGAMENTO CORRESPONDENTE],K$6,LANÇ_MOV[EMPRESA],$C$4,LANÇ_MOV[CENTRO DE CUSTOS],$D$4)</f>
        <v>0</v>
      </c>
      <c r="L57" s="206">
        <f>SUMIFS(LANÇ_MOV[VALOR LÍQUIDO],LANÇ_MOV[RECEITA OU DESPESA],"Receita",LANÇ_MOV[CONTAS],$C57,LANÇ_MOV[PLANO DE CONTAS],REL_DRE_FINANCEIRO!$B$30,LANÇ_MOV[ANO PAGAMENTO],$B$4,LANÇ_MOV[MÊS PAGAMENTO CORRESPONDENTE],L$6,LANÇ_MOV[EMPRESA],$C$4,LANÇ_MOV[CENTRO DE CUSTOS],$D$4)</f>
        <v>0</v>
      </c>
      <c r="M57" s="206">
        <f>SUMIFS(LANÇ_MOV[VALOR LÍQUIDO],LANÇ_MOV[RECEITA OU DESPESA],"Receita",LANÇ_MOV[CONTAS],$C57,LANÇ_MOV[PLANO DE CONTAS],REL_DRE_FINANCEIRO!$B$30,LANÇ_MOV[ANO PAGAMENTO],$B$4,LANÇ_MOV[MÊS PAGAMENTO CORRESPONDENTE],M$6,LANÇ_MOV[EMPRESA],$C$4,LANÇ_MOV[CENTRO DE CUSTOS],$D$4)</f>
        <v>0</v>
      </c>
      <c r="N57" s="206">
        <f>SUMIFS(LANÇ_MOV[VALOR LÍQUIDO],LANÇ_MOV[RECEITA OU DESPESA],"Receita",LANÇ_MOV[CONTAS],$C57,LANÇ_MOV[PLANO DE CONTAS],REL_DRE_FINANCEIRO!$B$30,LANÇ_MOV[ANO PAGAMENTO],$B$4,LANÇ_MOV[MÊS PAGAMENTO CORRESPONDENTE],N$6,LANÇ_MOV[EMPRESA],$C$4,LANÇ_MOV[CENTRO DE CUSTOS],$D$4)</f>
        <v>0</v>
      </c>
      <c r="O57" s="206">
        <f>SUMIFS(LANÇ_MOV[VALOR LÍQUIDO],LANÇ_MOV[RECEITA OU DESPESA],"Receita",LANÇ_MOV[CONTAS],$C57,LANÇ_MOV[PLANO DE CONTAS],REL_DRE_FINANCEIRO!$B$30,LANÇ_MOV[ANO PAGAMENTO],$B$4,LANÇ_MOV[MÊS PAGAMENTO CORRESPONDENTE],O$6,LANÇ_MOV[EMPRESA],$C$4,LANÇ_MOV[CENTRO DE CUSTOS],$D$4)</f>
        <v>0</v>
      </c>
      <c r="P57" s="207">
        <f t="shared" si="18"/>
        <v>0</v>
      </c>
      <c r="Q57" s="333">
        <v>7.4000000000000003E-6</v>
      </c>
      <c r="R57" s="346">
        <f t="shared" si="19"/>
        <v>7.4000000000000003E-6</v>
      </c>
      <c r="S57" s="347" t="str">
        <f t="shared" si="20"/>
        <v>-</v>
      </c>
      <c r="T57" s="347">
        <f t="shared" si="21"/>
        <v>0</v>
      </c>
      <c r="U57" s="347">
        <f>HLOOKUP(Apoio!$P$12,$D$29:$P$130,X57,FALSE)+Q57</f>
        <v>7.4000000000000003E-6</v>
      </c>
      <c r="V57" s="447" t="str">
        <f t="shared" si="22"/>
        <v>-</v>
      </c>
      <c r="W57" s="448">
        <f>HLOOKUP(Apoio!$P$12,$D$29:$P$130,X57,FALSE)</f>
        <v>0</v>
      </c>
      <c r="X57" s="329">
        <v>29</v>
      </c>
    </row>
    <row r="58" spans="2:24" ht="30.05" customHeight="1" x14ac:dyDescent="0.35">
      <c r="B58" s="204" t="str">
        <f>'CAD_PL_REC-DESP'!B32</f>
        <v>1.1.28</v>
      </c>
      <c r="C58" s="205" t="str">
        <f>IF('CAD_PL_REC-DESP'!C32="","-",'CAD_PL_REC-DESP'!C32)</f>
        <v>-</v>
      </c>
      <c r="D58" s="206">
        <f>SUMIFS(LANÇ_MOV[VALOR LÍQUIDO],LANÇ_MOV[RECEITA OU DESPESA],"Receita",LANÇ_MOV[CONTAS],$C58,LANÇ_MOV[PLANO DE CONTAS],REL_DRE_FINANCEIRO!$B$30,LANÇ_MOV[ANO PAGAMENTO],$B$4,LANÇ_MOV[MÊS PAGAMENTO CORRESPONDENTE],D$6,LANÇ_MOV[EMPRESA],$C$4,LANÇ_MOV[CENTRO DE CUSTOS],$D$4)</f>
        <v>0</v>
      </c>
      <c r="E58" s="206">
        <f>SUMIFS(LANÇ_MOV[VALOR LÍQUIDO],LANÇ_MOV[RECEITA OU DESPESA],"Receita",LANÇ_MOV[CONTAS],$C58,LANÇ_MOV[PLANO DE CONTAS],REL_DRE_FINANCEIRO!$B$30,LANÇ_MOV[ANO PAGAMENTO],$B$4,LANÇ_MOV[MÊS PAGAMENTO CORRESPONDENTE],E$6,LANÇ_MOV[EMPRESA],$C$4,LANÇ_MOV[CENTRO DE CUSTOS],$D$4)</f>
        <v>0</v>
      </c>
      <c r="F58" s="206">
        <f>SUMIFS(LANÇ_MOV[VALOR LÍQUIDO],LANÇ_MOV[RECEITA OU DESPESA],"Receita",LANÇ_MOV[CONTAS],$C58,LANÇ_MOV[PLANO DE CONTAS],REL_DRE_FINANCEIRO!$B$30,LANÇ_MOV[ANO PAGAMENTO],$B$4,LANÇ_MOV[MÊS PAGAMENTO CORRESPONDENTE],F$6,LANÇ_MOV[EMPRESA],$C$4,LANÇ_MOV[CENTRO DE CUSTOS],$D$4)</f>
        <v>0</v>
      </c>
      <c r="G58" s="206">
        <f>SUMIFS(LANÇ_MOV[VALOR LÍQUIDO],LANÇ_MOV[RECEITA OU DESPESA],"Receita",LANÇ_MOV[CONTAS],$C58,LANÇ_MOV[PLANO DE CONTAS],REL_DRE_FINANCEIRO!$B$30,LANÇ_MOV[ANO PAGAMENTO],$B$4,LANÇ_MOV[MÊS PAGAMENTO CORRESPONDENTE],G$6,LANÇ_MOV[EMPRESA],$C$4,LANÇ_MOV[CENTRO DE CUSTOS],$D$4)</f>
        <v>0</v>
      </c>
      <c r="H58" s="206">
        <f>SUMIFS(LANÇ_MOV[VALOR LÍQUIDO],LANÇ_MOV[RECEITA OU DESPESA],"Receita",LANÇ_MOV[CONTAS],$C58,LANÇ_MOV[PLANO DE CONTAS],REL_DRE_FINANCEIRO!$B$30,LANÇ_MOV[ANO PAGAMENTO],$B$4,LANÇ_MOV[MÊS PAGAMENTO CORRESPONDENTE],H$6,LANÇ_MOV[EMPRESA],$C$4,LANÇ_MOV[CENTRO DE CUSTOS],$D$4)</f>
        <v>0</v>
      </c>
      <c r="I58" s="206">
        <f>SUMIFS(LANÇ_MOV[VALOR LÍQUIDO],LANÇ_MOV[RECEITA OU DESPESA],"Receita",LANÇ_MOV[CONTAS],$C58,LANÇ_MOV[PLANO DE CONTAS],REL_DRE_FINANCEIRO!$B$30,LANÇ_MOV[ANO PAGAMENTO],$B$4,LANÇ_MOV[MÊS PAGAMENTO CORRESPONDENTE],I$6,LANÇ_MOV[EMPRESA],$C$4,LANÇ_MOV[CENTRO DE CUSTOS],$D$4)</f>
        <v>0</v>
      </c>
      <c r="J58" s="206">
        <f>SUMIFS(LANÇ_MOV[VALOR LÍQUIDO],LANÇ_MOV[RECEITA OU DESPESA],"Receita",LANÇ_MOV[CONTAS],$C58,LANÇ_MOV[PLANO DE CONTAS],REL_DRE_FINANCEIRO!$B$30,LANÇ_MOV[ANO PAGAMENTO],$B$4,LANÇ_MOV[MÊS PAGAMENTO CORRESPONDENTE],J$6,LANÇ_MOV[EMPRESA],$C$4,LANÇ_MOV[CENTRO DE CUSTOS],$D$4)</f>
        <v>0</v>
      </c>
      <c r="K58" s="206">
        <f>SUMIFS(LANÇ_MOV[VALOR LÍQUIDO],LANÇ_MOV[RECEITA OU DESPESA],"Receita",LANÇ_MOV[CONTAS],$C58,LANÇ_MOV[PLANO DE CONTAS],REL_DRE_FINANCEIRO!$B$30,LANÇ_MOV[ANO PAGAMENTO],$B$4,LANÇ_MOV[MÊS PAGAMENTO CORRESPONDENTE],K$6,LANÇ_MOV[EMPRESA],$C$4,LANÇ_MOV[CENTRO DE CUSTOS],$D$4)</f>
        <v>0</v>
      </c>
      <c r="L58" s="206">
        <f>SUMIFS(LANÇ_MOV[VALOR LÍQUIDO],LANÇ_MOV[RECEITA OU DESPESA],"Receita",LANÇ_MOV[CONTAS],$C58,LANÇ_MOV[PLANO DE CONTAS],REL_DRE_FINANCEIRO!$B$30,LANÇ_MOV[ANO PAGAMENTO],$B$4,LANÇ_MOV[MÊS PAGAMENTO CORRESPONDENTE],L$6,LANÇ_MOV[EMPRESA],$C$4,LANÇ_MOV[CENTRO DE CUSTOS],$D$4)</f>
        <v>0</v>
      </c>
      <c r="M58" s="206">
        <f>SUMIFS(LANÇ_MOV[VALOR LÍQUIDO],LANÇ_MOV[RECEITA OU DESPESA],"Receita",LANÇ_MOV[CONTAS],$C58,LANÇ_MOV[PLANO DE CONTAS],REL_DRE_FINANCEIRO!$B$30,LANÇ_MOV[ANO PAGAMENTO],$B$4,LANÇ_MOV[MÊS PAGAMENTO CORRESPONDENTE],M$6,LANÇ_MOV[EMPRESA],$C$4,LANÇ_MOV[CENTRO DE CUSTOS],$D$4)</f>
        <v>0</v>
      </c>
      <c r="N58" s="206">
        <f>SUMIFS(LANÇ_MOV[VALOR LÍQUIDO],LANÇ_MOV[RECEITA OU DESPESA],"Receita",LANÇ_MOV[CONTAS],$C58,LANÇ_MOV[PLANO DE CONTAS],REL_DRE_FINANCEIRO!$B$30,LANÇ_MOV[ANO PAGAMENTO],$B$4,LANÇ_MOV[MÊS PAGAMENTO CORRESPONDENTE],N$6,LANÇ_MOV[EMPRESA],$C$4,LANÇ_MOV[CENTRO DE CUSTOS],$D$4)</f>
        <v>0</v>
      </c>
      <c r="O58" s="206">
        <f>SUMIFS(LANÇ_MOV[VALOR LÍQUIDO],LANÇ_MOV[RECEITA OU DESPESA],"Receita",LANÇ_MOV[CONTAS],$C58,LANÇ_MOV[PLANO DE CONTAS],REL_DRE_FINANCEIRO!$B$30,LANÇ_MOV[ANO PAGAMENTO],$B$4,LANÇ_MOV[MÊS PAGAMENTO CORRESPONDENTE],O$6,LANÇ_MOV[EMPRESA],$C$4,LANÇ_MOV[CENTRO DE CUSTOS],$D$4)</f>
        <v>0</v>
      </c>
      <c r="P58" s="207">
        <f t="shared" si="18"/>
        <v>0</v>
      </c>
      <c r="Q58" s="333">
        <v>7.3000000000000004E-6</v>
      </c>
      <c r="R58" s="346">
        <f t="shared" si="19"/>
        <v>7.3000000000000004E-6</v>
      </c>
      <c r="S58" s="347" t="str">
        <f t="shared" si="20"/>
        <v>-</v>
      </c>
      <c r="T58" s="347">
        <f t="shared" si="21"/>
        <v>0</v>
      </c>
      <c r="U58" s="347">
        <f>HLOOKUP(Apoio!$P$12,$D$29:$P$130,X58,FALSE)+Q58</f>
        <v>7.3000000000000004E-6</v>
      </c>
      <c r="V58" s="447" t="str">
        <f t="shared" si="22"/>
        <v>-</v>
      </c>
      <c r="W58" s="448">
        <f>HLOOKUP(Apoio!$P$12,$D$29:$P$130,X58,FALSE)</f>
        <v>0</v>
      </c>
      <c r="X58" s="329">
        <v>30</v>
      </c>
    </row>
    <row r="59" spans="2:24" ht="30.05" customHeight="1" x14ac:dyDescent="0.35">
      <c r="B59" s="204" t="str">
        <f>'CAD_PL_REC-DESP'!B33</f>
        <v>1.1.29</v>
      </c>
      <c r="C59" s="205" t="str">
        <f>IF('CAD_PL_REC-DESP'!C33="","-",'CAD_PL_REC-DESP'!C33)</f>
        <v>-</v>
      </c>
      <c r="D59" s="206">
        <f>SUMIFS(LANÇ_MOV[VALOR LÍQUIDO],LANÇ_MOV[RECEITA OU DESPESA],"Receita",LANÇ_MOV[CONTAS],$C59,LANÇ_MOV[PLANO DE CONTAS],REL_DRE_FINANCEIRO!$B$30,LANÇ_MOV[ANO PAGAMENTO],$B$4,LANÇ_MOV[MÊS PAGAMENTO CORRESPONDENTE],D$6,LANÇ_MOV[EMPRESA],$C$4,LANÇ_MOV[CENTRO DE CUSTOS],$D$4)</f>
        <v>0</v>
      </c>
      <c r="E59" s="206">
        <f>SUMIFS(LANÇ_MOV[VALOR LÍQUIDO],LANÇ_MOV[RECEITA OU DESPESA],"Receita",LANÇ_MOV[CONTAS],$C59,LANÇ_MOV[PLANO DE CONTAS],REL_DRE_FINANCEIRO!$B$30,LANÇ_MOV[ANO PAGAMENTO],$B$4,LANÇ_MOV[MÊS PAGAMENTO CORRESPONDENTE],E$6,LANÇ_MOV[EMPRESA],$C$4,LANÇ_MOV[CENTRO DE CUSTOS],$D$4)</f>
        <v>0</v>
      </c>
      <c r="F59" s="206">
        <f>SUMIFS(LANÇ_MOV[VALOR LÍQUIDO],LANÇ_MOV[RECEITA OU DESPESA],"Receita",LANÇ_MOV[CONTAS],$C59,LANÇ_MOV[PLANO DE CONTAS],REL_DRE_FINANCEIRO!$B$30,LANÇ_MOV[ANO PAGAMENTO],$B$4,LANÇ_MOV[MÊS PAGAMENTO CORRESPONDENTE],F$6,LANÇ_MOV[EMPRESA],$C$4,LANÇ_MOV[CENTRO DE CUSTOS],$D$4)</f>
        <v>0</v>
      </c>
      <c r="G59" s="206">
        <f>SUMIFS(LANÇ_MOV[VALOR LÍQUIDO],LANÇ_MOV[RECEITA OU DESPESA],"Receita",LANÇ_MOV[CONTAS],$C59,LANÇ_MOV[PLANO DE CONTAS],REL_DRE_FINANCEIRO!$B$30,LANÇ_MOV[ANO PAGAMENTO],$B$4,LANÇ_MOV[MÊS PAGAMENTO CORRESPONDENTE],G$6,LANÇ_MOV[EMPRESA],$C$4,LANÇ_MOV[CENTRO DE CUSTOS],$D$4)</f>
        <v>0</v>
      </c>
      <c r="H59" s="206">
        <f>SUMIFS(LANÇ_MOV[VALOR LÍQUIDO],LANÇ_MOV[RECEITA OU DESPESA],"Receita",LANÇ_MOV[CONTAS],$C59,LANÇ_MOV[PLANO DE CONTAS],REL_DRE_FINANCEIRO!$B$30,LANÇ_MOV[ANO PAGAMENTO],$B$4,LANÇ_MOV[MÊS PAGAMENTO CORRESPONDENTE],H$6,LANÇ_MOV[EMPRESA],$C$4,LANÇ_MOV[CENTRO DE CUSTOS],$D$4)</f>
        <v>0</v>
      </c>
      <c r="I59" s="206">
        <f>SUMIFS(LANÇ_MOV[VALOR LÍQUIDO],LANÇ_MOV[RECEITA OU DESPESA],"Receita",LANÇ_MOV[CONTAS],$C59,LANÇ_MOV[PLANO DE CONTAS],REL_DRE_FINANCEIRO!$B$30,LANÇ_MOV[ANO PAGAMENTO],$B$4,LANÇ_MOV[MÊS PAGAMENTO CORRESPONDENTE],I$6,LANÇ_MOV[EMPRESA],$C$4,LANÇ_MOV[CENTRO DE CUSTOS],$D$4)</f>
        <v>0</v>
      </c>
      <c r="J59" s="206">
        <f>SUMIFS(LANÇ_MOV[VALOR LÍQUIDO],LANÇ_MOV[RECEITA OU DESPESA],"Receita",LANÇ_MOV[CONTAS],$C59,LANÇ_MOV[PLANO DE CONTAS],REL_DRE_FINANCEIRO!$B$30,LANÇ_MOV[ANO PAGAMENTO],$B$4,LANÇ_MOV[MÊS PAGAMENTO CORRESPONDENTE],J$6,LANÇ_MOV[EMPRESA],$C$4,LANÇ_MOV[CENTRO DE CUSTOS],$D$4)</f>
        <v>0</v>
      </c>
      <c r="K59" s="206">
        <f>SUMIFS(LANÇ_MOV[VALOR LÍQUIDO],LANÇ_MOV[RECEITA OU DESPESA],"Receita",LANÇ_MOV[CONTAS],$C59,LANÇ_MOV[PLANO DE CONTAS],REL_DRE_FINANCEIRO!$B$30,LANÇ_MOV[ANO PAGAMENTO],$B$4,LANÇ_MOV[MÊS PAGAMENTO CORRESPONDENTE],K$6,LANÇ_MOV[EMPRESA],$C$4,LANÇ_MOV[CENTRO DE CUSTOS],$D$4)</f>
        <v>0</v>
      </c>
      <c r="L59" s="206">
        <f>SUMIFS(LANÇ_MOV[VALOR LÍQUIDO],LANÇ_MOV[RECEITA OU DESPESA],"Receita",LANÇ_MOV[CONTAS],$C59,LANÇ_MOV[PLANO DE CONTAS],REL_DRE_FINANCEIRO!$B$30,LANÇ_MOV[ANO PAGAMENTO],$B$4,LANÇ_MOV[MÊS PAGAMENTO CORRESPONDENTE],L$6,LANÇ_MOV[EMPRESA],$C$4,LANÇ_MOV[CENTRO DE CUSTOS],$D$4)</f>
        <v>0</v>
      </c>
      <c r="M59" s="206">
        <f>SUMIFS(LANÇ_MOV[VALOR LÍQUIDO],LANÇ_MOV[RECEITA OU DESPESA],"Receita",LANÇ_MOV[CONTAS],$C59,LANÇ_MOV[PLANO DE CONTAS],REL_DRE_FINANCEIRO!$B$30,LANÇ_MOV[ANO PAGAMENTO],$B$4,LANÇ_MOV[MÊS PAGAMENTO CORRESPONDENTE],M$6,LANÇ_MOV[EMPRESA],$C$4,LANÇ_MOV[CENTRO DE CUSTOS],$D$4)</f>
        <v>0</v>
      </c>
      <c r="N59" s="206">
        <f>SUMIFS(LANÇ_MOV[VALOR LÍQUIDO],LANÇ_MOV[RECEITA OU DESPESA],"Receita",LANÇ_MOV[CONTAS],$C59,LANÇ_MOV[PLANO DE CONTAS],REL_DRE_FINANCEIRO!$B$30,LANÇ_MOV[ANO PAGAMENTO],$B$4,LANÇ_MOV[MÊS PAGAMENTO CORRESPONDENTE],N$6,LANÇ_MOV[EMPRESA],$C$4,LANÇ_MOV[CENTRO DE CUSTOS],$D$4)</f>
        <v>0</v>
      </c>
      <c r="O59" s="206">
        <f>SUMIFS(LANÇ_MOV[VALOR LÍQUIDO],LANÇ_MOV[RECEITA OU DESPESA],"Receita",LANÇ_MOV[CONTAS],$C59,LANÇ_MOV[PLANO DE CONTAS],REL_DRE_FINANCEIRO!$B$30,LANÇ_MOV[ANO PAGAMENTO],$B$4,LANÇ_MOV[MÊS PAGAMENTO CORRESPONDENTE],O$6,LANÇ_MOV[EMPRESA],$C$4,LANÇ_MOV[CENTRO DE CUSTOS],$D$4)</f>
        <v>0</v>
      </c>
      <c r="P59" s="207">
        <f t="shared" si="18"/>
        <v>0</v>
      </c>
      <c r="Q59" s="333">
        <v>7.1999999999999997E-6</v>
      </c>
      <c r="R59" s="346">
        <f t="shared" si="19"/>
        <v>7.1999999999999997E-6</v>
      </c>
      <c r="S59" s="347" t="str">
        <f t="shared" si="20"/>
        <v>-</v>
      </c>
      <c r="T59" s="347">
        <f t="shared" si="21"/>
        <v>0</v>
      </c>
      <c r="U59" s="347">
        <f>HLOOKUP(Apoio!$P$12,$D$29:$P$130,X59,FALSE)+Q59</f>
        <v>7.1999999999999997E-6</v>
      </c>
      <c r="V59" s="447" t="str">
        <f t="shared" si="22"/>
        <v>-</v>
      </c>
      <c r="W59" s="448">
        <f>HLOOKUP(Apoio!$P$12,$D$29:$P$130,X59,FALSE)</f>
        <v>0</v>
      </c>
      <c r="X59" s="329">
        <v>31</v>
      </c>
    </row>
    <row r="60" spans="2:24" ht="30.05" customHeight="1" x14ac:dyDescent="0.35">
      <c r="B60" s="204" t="str">
        <f>'CAD_PL_REC-DESP'!B34</f>
        <v>1.1.30</v>
      </c>
      <c r="C60" s="205" t="str">
        <f>IF('CAD_PL_REC-DESP'!C34="","-",'CAD_PL_REC-DESP'!C34)</f>
        <v>-</v>
      </c>
      <c r="D60" s="206">
        <f>SUMIFS(LANÇ_MOV[VALOR LÍQUIDO],LANÇ_MOV[RECEITA OU DESPESA],"Receita",LANÇ_MOV[CONTAS],$C60,LANÇ_MOV[PLANO DE CONTAS],REL_DRE_FINANCEIRO!$B$30,LANÇ_MOV[ANO PAGAMENTO],$B$4,LANÇ_MOV[MÊS PAGAMENTO CORRESPONDENTE],D$6,LANÇ_MOV[EMPRESA],$C$4,LANÇ_MOV[CENTRO DE CUSTOS],$D$4)</f>
        <v>0</v>
      </c>
      <c r="E60" s="206">
        <f>SUMIFS(LANÇ_MOV[VALOR LÍQUIDO],LANÇ_MOV[RECEITA OU DESPESA],"Receita",LANÇ_MOV[CONTAS],$C60,LANÇ_MOV[PLANO DE CONTAS],REL_DRE_FINANCEIRO!$B$30,LANÇ_MOV[ANO PAGAMENTO],$B$4,LANÇ_MOV[MÊS PAGAMENTO CORRESPONDENTE],E$6,LANÇ_MOV[EMPRESA],$C$4,LANÇ_MOV[CENTRO DE CUSTOS],$D$4)</f>
        <v>0</v>
      </c>
      <c r="F60" s="206">
        <f>SUMIFS(LANÇ_MOV[VALOR LÍQUIDO],LANÇ_MOV[RECEITA OU DESPESA],"Receita",LANÇ_MOV[CONTAS],$C60,LANÇ_MOV[PLANO DE CONTAS],REL_DRE_FINANCEIRO!$B$30,LANÇ_MOV[ANO PAGAMENTO],$B$4,LANÇ_MOV[MÊS PAGAMENTO CORRESPONDENTE],F$6,LANÇ_MOV[EMPRESA],$C$4,LANÇ_MOV[CENTRO DE CUSTOS],$D$4)</f>
        <v>0</v>
      </c>
      <c r="G60" s="206">
        <f>SUMIFS(LANÇ_MOV[VALOR LÍQUIDO],LANÇ_MOV[RECEITA OU DESPESA],"Receita",LANÇ_MOV[CONTAS],$C60,LANÇ_MOV[PLANO DE CONTAS],REL_DRE_FINANCEIRO!$B$30,LANÇ_MOV[ANO PAGAMENTO],$B$4,LANÇ_MOV[MÊS PAGAMENTO CORRESPONDENTE],G$6,LANÇ_MOV[EMPRESA],$C$4,LANÇ_MOV[CENTRO DE CUSTOS],$D$4)</f>
        <v>0</v>
      </c>
      <c r="H60" s="206">
        <f>SUMIFS(LANÇ_MOV[VALOR LÍQUIDO],LANÇ_MOV[RECEITA OU DESPESA],"Receita",LANÇ_MOV[CONTAS],$C60,LANÇ_MOV[PLANO DE CONTAS],REL_DRE_FINANCEIRO!$B$30,LANÇ_MOV[ANO PAGAMENTO],$B$4,LANÇ_MOV[MÊS PAGAMENTO CORRESPONDENTE],H$6,LANÇ_MOV[EMPRESA],$C$4,LANÇ_MOV[CENTRO DE CUSTOS],$D$4)</f>
        <v>0</v>
      </c>
      <c r="I60" s="206">
        <f>SUMIFS(LANÇ_MOV[VALOR LÍQUIDO],LANÇ_MOV[RECEITA OU DESPESA],"Receita",LANÇ_MOV[CONTAS],$C60,LANÇ_MOV[PLANO DE CONTAS],REL_DRE_FINANCEIRO!$B$30,LANÇ_MOV[ANO PAGAMENTO],$B$4,LANÇ_MOV[MÊS PAGAMENTO CORRESPONDENTE],I$6,LANÇ_MOV[EMPRESA],$C$4,LANÇ_MOV[CENTRO DE CUSTOS],$D$4)</f>
        <v>0</v>
      </c>
      <c r="J60" s="206">
        <f>SUMIFS(LANÇ_MOV[VALOR LÍQUIDO],LANÇ_MOV[RECEITA OU DESPESA],"Receita",LANÇ_MOV[CONTAS],$C60,LANÇ_MOV[PLANO DE CONTAS],REL_DRE_FINANCEIRO!$B$30,LANÇ_MOV[ANO PAGAMENTO],$B$4,LANÇ_MOV[MÊS PAGAMENTO CORRESPONDENTE],J$6,LANÇ_MOV[EMPRESA],$C$4,LANÇ_MOV[CENTRO DE CUSTOS],$D$4)</f>
        <v>0</v>
      </c>
      <c r="K60" s="206">
        <f>SUMIFS(LANÇ_MOV[VALOR LÍQUIDO],LANÇ_MOV[RECEITA OU DESPESA],"Receita",LANÇ_MOV[CONTAS],$C60,LANÇ_MOV[PLANO DE CONTAS],REL_DRE_FINANCEIRO!$B$30,LANÇ_MOV[ANO PAGAMENTO],$B$4,LANÇ_MOV[MÊS PAGAMENTO CORRESPONDENTE],K$6,LANÇ_MOV[EMPRESA],$C$4,LANÇ_MOV[CENTRO DE CUSTOS],$D$4)</f>
        <v>0</v>
      </c>
      <c r="L60" s="206">
        <f>SUMIFS(LANÇ_MOV[VALOR LÍQUIDO],LANÇ_MOV[RECEITA OU DESPESA],"Receita",LANÇ_MOV[CONTAS],$C60,LANÇ_MOV[PLANO DE CONTAS],REL_DRE_FINANCEIRO!$B$30,LANÇ_MOV[ANO PAGAMENTO],$B$4,LANÇ_MOV[MÊS PAGAMENTO CORRESPONDENTE],L$6,LANÇ_MOV[EMPRESA],$C$4,LANÇ_MOV[CENTRO DE CUSTOS],$D$4)</f>
        <v>0</v>
      </c>
      <c r="M60" s="206">
        <f>SUMIFS(LANÇ_MOV[VALOR LÍQUIDO],LANÇ_MOV[RECEITA OU DESPESA],"Receita",LANÇ_MOV[CONTAS],$C60,LANÇ_MOV[PLANO DE CONTAS],REL_DRE_FINANCEIRO!$B$30,LANÇ_MOV[ANO PAGAMENTO],$B$4,LANÇ_MOV[MÊS PAGAMENTO CORRESPONDENTE],M$6,LANÇ_MOV[EMPRESA],$C$4,LANÇ_MOV[CENTRO DE CUSTOS],$D$4)</f>
        <v>0</v>
      </c>
      <c r="N60" s="206">
        <f>SUMIFS(LANÇ_MOV[VALOR LÍQUIDO],LANÇ_MOV[RECEITA OU DESPESA],"Receita",LANÇ_MOV[CONTAS],$C60,LANÇ_MOV[PLANO DE CONTAS],REL_DRE_FINANCEIRO!$B$30,LANÇ_MOV[ANO PAGAMENTO],$B$4,LANÇ_MOV[MÊS PAGAMENTO CORRESPONDENTE],N$6,LANÇ_MOV[EMPRESA],$C$4,LANÇ_MOV[CENTRO DE CUSTOS],$D$4)</f>
        <v>0</v>
      </c>
      <c r="O60" s="206">
        <f>SUMIFS(LANÇ_MOV[VALOR LÍQUIDO],LANÇ_MOV[RECEITA OU DESPESA],"Receita",LANÇ_MOV[CONTAS],$C60,LANÇ_MOV[PLANO DE CONTAS],REL_DRE_FINANCEIRO!$B$30,LANÇ_MOV[ANO PAGAMENTO],$B$4,LANÇ_MOV[MÊS PAGAMENTO CORRESPONDENTE],O$6,LANÇ_MOV[EMPRESA],$C$4,LANÇ_MOV[CENTRO DE CUSTOS],$D$4)</f>
        <v>0</v>
      </c>
      <c r="P60" s="207">
        <f t="shared" si="18"/>
        <v>0</v>
      </c>
      <c r="Q60" s="333">
        <v>7.0999999999999998E-6</v>
      </c>
      <c r="R60" s="346">
        <f t="shared" si="19"/>
        <v>7.0999999999999998E-6</v>
      </c>
      <c r="S60" s="347" t="str">
        <f t="shared" si="20"/>
        <v>-</v>
      </c>
      <c r="T60" s="347">
        <f t="shared" si="21"/>
        <v>0</v>
      </c>
      <c r="U60" s="347">
        <f>HLOOKUP(Apoio!$P$12,$D$29:$P$130,X60,FALSE)+Q60</f>
        <v>7.0999999999999998E-6</v>
      </c>
      <c r="V60" s="447" t="str">
        <f t="shared" si="22"/>
        <v>-</v>
      </c>
      <c r="W60" s="448">
        <f>HLOOKUP(Apoio!$P$12,$D$29:$P$130,X60,FALSE)</f>
        <v>0</v>
      </c>
      <c r="X60" s="329">
        <v>32</v>
      </c>
    </row>
    <row r="61" spans="2:24" ht="30.05" customHeight="1" x14ac:dyDescent="0.35">
      <c r="B61" s="204" t="str">
        <f>'CAD_PL_REC-DESP'!B35</f>
        <v>1.1.31</v>
      </c>
      <c r="C61" s="205" t="str">
        <f>IF('CAD_PL_REC-DESP'!C35="","-",'CAD_PL_REC-DESP'!C35)</f>
        <v>-</v>
      </c>
      <c r="D61" s="206">
        <f>SUMIFS(LANÇ_MOV[VALOR LÍQUIDO],LANÇ_MOV[RECEITA OU DESPESA],"Receita",LANÇ_MOV[CONTAS],$C61,LANÇ_MOV[PLANO DE CONTAS],REL_DRE_FINANCEIRO!$B$30,LANÇ_MOV[ANO PAGAMENTO],$B$4,LANÇ_MOV[MÊS PAGAMENTO CORRESPONDENTE],D$6,LANÇ_MOV[EMPRESA],$C$4,LANÇ_MOV[CENTRO DE CUSTOS],$D$4)</f>
        <v>0</v>
      </c>
      <c r="E61" s="206">
        <f>SUMIFS(LANÇ_MOV[VALOR LÍQUIDO],LANÇ_MOV[RECEITA OU DESPESA],"Receita",LANÇ_MOV[CONTAS],$C61,LANÇ_MOV[PLANO DE CONTAS],REL_DRE_FINANCEIRO!$B$30,LANÇ_MOV[ANO PAGAMENTO],$B$4,LANÇ_MOV[MÊS PAGAMENTO CORRESPONDENTE],E$6,LANÇ_MOV[EMPRESA],$C$4,LANÇ_MOV[CENTRO DE CUSTOS],$D$4)</f>
        <v>0</v>
      </c>
      <c r="F61" s="206">
        <f>SUMIFS(LANÇ_MOV[VALOR LÍQUIDO],LANÇ_MOV[RECEITA OU DESPESA],"Receita",LANÇ_MOV[CONTAS],$C61,LANÇ_MOV[PLANO DE CONTAS],REL_DRE_FINANCEIRO!$B$30,LANÇ_MOV[ANO PAGAMENTO],$B$4,LANÇ_MOV[MÊS PAGAMENTO CORRESPONDENTE],F$6,LANÇ_MOV[EMPRESA],$C$4,LANÇ_MOV[CENTRO DE CUSTOS],$D$4)</f>
        <v>0</v>
      </c>
      <c r="G61" s="206">
        <f>SUMIFS(LANÇ_MOV[VALOR LÍQUIDO],LANÇ_MOV[RECEITA OU DESPESA],"Receita",LANÇ_MOV[CONTAS],$C61,LANÇ_MOV[PLANO DE CONTAS],REL_DRE_FINANCEIRO!$B$30,LANÇ_MOV[ANO PAGAMENTO],$B$4,LANÇ_MOV[MÊS PAGAMENTO CORRESPONDENTE],G$6,LANÇ_MOV[EMPRESA],$C$4,LANÇ_MOV[CENTRO DE CUSTOS],$D$4)</f>
        <v>0</v>
      </c>
      <c r="H61" s="206">
        <f>SUMIFS(LANÇ_MOV[VALOR LÍQUIDO],LANÇ_MOV[RECEITA OU DESPESA],"Receita",LANÇ_MOV[CONTAS],$C61,LANÇ_MOV[PLANO DE CONTAS],REL_DRE_FINANCEIRO!$B$30,LANÇ_MOV[ANO PAGAMENTO],$B$4,LANÇ_MOV[MÊS PAGAMENTO CORRESPONDENTE],H$6,LANÇ_MOV[EMPRESA],$C$4,LANÇ_MOV[CENTRO DE CUSTOS],$D$4)</f>
        <v>0</v>
      </c>
      <c r="I61" s="206">
        <f>SUMIFS(LANÇ_MOV[VALOR LÍQUIDO],LANÇ_MOV[RECEITA OU DESPESA],"Receita",LANÇ_MOV[CONTAS],$C61,LANÇ_MOV[PLANO DE CONTAS],REL_DRE_FINANCEIRO!$B$30,LANÇ_MOV[ANO PAGAMENTO],$B$4,LANÇ_MOV[MÊS PAGAMENTO CORRESPONDENTE],I$6,LANÇ_MOV[EMPRESA],$C$4,LANÇ_MOV[CENTRO DE CUSTOS],$D$4)</f>
        <v>0</v>
      </c>
      <c r="J61" s="206">
        <f>SUMIFS(LANÇ_MOV[VALOR LÍQUIDO],LANÇ_MOV[RECEITA OU DESPESA],"Receita",LANÇ_MOV[CONTAS],$C61,LANÇ_MOV[PLANO DE CONTAS],REL_DRE_FINANCEIRO!$B$30,LANÇ_MOV[ANO PAGAMENTO],$B$4,LANÇ_MOV[MÊS PAGAMENTO CORRESPONDENTE],J$6,LANÇ_MOV[EMPRESA],$C$4,LANÇ_MOV[CENTRO DE CUSTOS],$D$4)</f>
        <v>0</v>
      </c>
      <c r="K61" s="206">
        <f>SUMIFS(LANÇ_MOV[VALOR LÍQUIDO],LANÇ_MOV[RECEITA OU DESPESA],"Receita",LANÇ_MOV[CONTAS],$C61,LANÇ_MOV[PLANO DE CONTAS],REL_DRE_FINANCEIRO!$B$30,LANÇ_MOV[ANO PAGAMENTO],$B$4,LANÇ_MOV[MÊS PAGAMENTO CORRESPONDENTE],K$6,LANÇ_MOV[EMPRESA],$C$4,LANÇ_MOV[CENTRO DE CUSTOS],$D$4)</f>
        <v>0</v>
      </c>
      <c r="L61" s="206">
        <f>SUMIFS(LANÇ_MOV[VALOR LÍQUIDO],LANÇ_MOV[RECEITA OU DESPESA],"Receita",LANÇ_MOV[CONTAS],$C61,LANÇ_MOV[PLANO DE CONTAS],REL_DRE_FINANCEIRO!$B$30,LANÇ_MOV[ANO PAGAMENTO],$B$4,LANÇ_MOV[MÊS PAGAMENTO CORRESPONDENTE],L$6,LANÇ_MOV[EMPRESA],$C$4,LANÇ_MOV[CENTRO DE CUSTOS],$D$4)</f>
        <v>0</v>
      </c>
      <c r="M61" s="206">
        <f>SUMIFS(LANÇ_MOV[VALOR LÍQUIDO],LANÇ_MOV[RECEITA OU DESPESA],"Receita",LANÇ_MOV[CONTAS],$C61,LANÇ_MOV[PLANO DE CONTAS],REL_DRE_FINANCEIRO!$B$30,LANÇ_MOV[ANO PAGAMENTO],$B$4,LANÇ_MOV[MÊS PAGAMENTO CORRESPONDENTE],M$6,LANÇ_MOV[EMPRESA],$C$4,LANÇ_MOV[CENTRO DE CUSTOS],$D$4)</f>
        <v>0</v>
      </c>
      <c r="N61" s="206">
        <f>SUMIFS(LANÇ_MOV[VALOR LÍQUIDO],LANÇ_MOV[RECEITA OU DESPESA],"Receita",LANÇ_MOV[CONTAS],$C61,LANÇ_MOV[PLANO DE CONTAS],REL_DRE_FINANCEIRO!$B$30,LANÇ_MOV[ANO PAGAMENTO],$B$4,LANÇ_MOV[MÊS PAGAMENTO CORRESPONDENTE],N$6,LANÇ_MOV[EMPRESA],$C$4,LANÇ_MOV[CENTRO DE CUSTOS],$D$4)</f>
        <v>0</v>
      </c>
      <c r="O61" s="206">
        <f>SUMIFS(LANÇ_MOV[VALOR LÍQUIDO],LANÇ_MOV[RECEITA OU DESPESA],"Receita",LANÇ_MOV[CONTAS],$C61,LANÇ_MOV[PLANO DE CONTAS],REL_DRE_FINANCEIRO!$B$30,LANÇ_MOV[ANO PAGAMENTO],$B$4,LANÇ_MOV[MÊS PAGAMENTO CORRESPONDENTE],O$6,LANÇ_MOV[EMPRESA],$C$4,LANÇ_MOV[CENTRO DE CUSTOS],$D$4)</f>
        <v>0</v>
      </c>
      <c r="P61" s="207">
        <f t="shared" si="18"/>
        <v>0</v>
      </c>
      <c r="Q61" s="333">
        <v>6.9999999999999999E-6</v>
      </c>
      <c r="R61" s="346">
        <f t="shared" si="19"/>
        <v>6.9999999999999999E-6</v>
      </c>
      <c r="S61" s="347" t="str">
        <f t="shared" si="20"/>
        <v>-</v>
      </c>
      <c r="T61" s="347">
        <f t="shared" si="21"/>
        <v>0</v>
      </c>
      <c r="U61" s="347">
        <f>HLOOKUP(Apoio!$P$12,$D$29:$P$130,X61,FALSE)+Q61</f>
        <v>6.9999999999999999E-6</v>
      </c>
      <c r="V61" s="447" t="str">
        <f t="shared" si="22"/>
        <v>-</v>
      </c>
      <c r="W61" s="448">
        <f>HLOOKUP(Apoio!$P$12,$D$29:$P$130,X61,FALSE)</f>
        <v>0</v>
      </c>
      <c r="X61" s="329">
        <v>33</v>
      </c>
    </row>
    <row r="62" spans="2:24" ht="30.05" customHeight="1" x14ac:dyDescent="0.35">
      <c r="B62" s="204" t="str">
        <f>'CAD_PL_REC-DESP'!B36</f>
        <v>1.1.32</v>
      </c>
      <c r="C62" s="205" t="str">
        <f>IF('CAD_PL_REC-DESP'!C36="","-",'CAD_PL_REC-DESP'!C36)</f>
        <v>-</v>
      </c>
      <c r="D62" s="206">
        <f>SUMIFS(LANÇ_MOV[VALOR LÍQUIDO],LANÇ_MOV[RECEITA OU DESPESA],"Receita",LANÇ_MOV[CONTAS],$C62,LANÇ_MOV[PLANO DE CONTAS],REL_DRE_FINANCEIRO!$B$30,LANÇ_MOV[ANO PAGAMENTO],$B$4,LANÇ_MOV[MÊS PAGAMENTO CORRESPONDENTE],D$6,LANÇ_MOV[EMPRESA],$C$4,LANÇ_MOV[CENTRO DE CUSTOS],$D$4)</f>
        <v>0</v>
      </c>
      <c r="E62" s="206">
        <f>SUMIFS(LANÇ_MOV[VALOR LÍQUIDO],LANÇ_MOV[RECEITA OU DESPESA],"Receita",LANÇ_MOV[CONTAS],$C62,LANÇ_MOV[PLANO DE CONTAS],REL_DRE_FINANCEIRO!$B$30,LANÇ_MOV[ANO PAGAMENTO],$B$4,LANÇ_MOV[MÊS PAGAMENTO CORRESPONDENTE],E$6,LANÇ_MOV[EMPRESA],$C$4,LANÇ_MOV[CENTRO DE CUSTOS],$D$4)</f>
        <v>0</v>
      </c>
      <c r="F62" s="206">
        <f>SUMIFS(LANÇ_MOV[VALOR LÍQUIDO],LANÇ_MOV[RECEITA OU DESPESA],"Receita",LANÇ_MOV[CONTAS],$C62,LANÇ_MOV[PLANO DE CONTAS],REL_DRE_FINANCEIRO!$B$30,LANÇ_MOV[ANO PAGAMENTO],$B$4,LANÇ_MOV[MÊS PAGAMENTO CORRESPONDENTE],F$6,LANÇ_MOV[EMPRESA],$C$4,LANÇ_MOV[CENTRO DE CUSTOS],$D$4)</f>
        <v>0</v>
      </c>
      <c r="G62" s="206">
        <f>SUMIFS(LANÇ_MOV[VALOR LÍQUIDO],LANÇ_MOV[RECEITA OU DESPESA],"Receita",LANÇ_MOV[CONTAS],$C62,LANÇ_MOV[PLANO DE CONTAS],REL_DRE_FINANCEIRO!$B$30,LANÇ_MOV[ANO PAGAMENTO],$B$4,LANÇ_MOV[MÊS PAGAMENTO CORRESPONDENTE],G$6,LANÇ_MOV[EMPRESA],$C$4,LANÇ_MOV[CENTRO DE CUSTOS],$D$4)</f>
        <v>0</v>
      </c>
      <c r="H62" s="206">
        <f>SUMIFS(LANÇ_MOV[VALOR LÍQUIDO],LANÇ_MOV[RECEITA OU DESPESA],"Receita",LANÇ_MOV[CONTAS],$C62,LANÇ_MOV[PLANO DE CONTAS],REL_DRE_FINANCEIRO!$B$30,LANÇ_MOV[ANO PAGAMENTO],$B$4,LANÇ_MOV[MÊS PAGAMENTO CORRESPONDENTE],H$6,LANÇ_MOV[EMPRESA],$C$4,LANÇ_MOV[CENTRO DE CUSTOS],$D$4)</f>
        <v>0</v>
      </c>
      <c r="I62" s="206">
        <f>SUMIFS(LANÇ_MOV[VALOR LÍQUIDO],LANÇ_MOV[RECEITA OU DESPESA],"Receita",LANÇ_MOV[CONTAS],$C62,LANÇ_MOV[PLANO DE CONTAS],REL_DRE_FINANCEIRO!$B$30,LANÇ_MOV[ANO PAGAMENTO],$B$4,LANÇ_MOV[MÊS PAGAMENTO CORRESPONDENTE],I$6,LANÇ_MOV[EMPRESA],$C$4,LANÇ_MOV[CENTRO DE CUSTOS],$D$4)</f>
        <v>0</v>
      </c>
      <c r="J62" s="206">
        <f>SUMIFS(LANÇ_MOV[VALOR LÍQUIDO],LANÇ_MOV[RECEITA OU DESPESA],"Receita",LANÇ_MOV[CONTAS],$C62,LANÇ_MOV[PLANO DE CONTAS],REL_DRE_FINANCEIRO!$B$30,LANÇ_MOV[ANO PAGAMENTO],$B$4,LANÇ_MOV[MÊS PAGAMENTO CORRESPONDENTE],J$6,LANÇ_MOV[EMPRESA],$C$4,LANÇ_MOV[CENTRO DE CUSTOS],$D$4)</f>
        <v>0</v>
      </c>
      <c r="K62" s="206">
        <f>SUMIFS(LANÇ_MOV[VALOR LÍQUIDO],LANÇ_MOV[RECEITA OU DESPESA],"Receita",LANÇ_MOV[CONTAS],$C62,LANÇ_MOV[PLANO DE CONTAS],REL_DRE_FINANCEIRO!$B$30,LANÇ_MOV[ANO PAGAMENTO],$B$4,LANÇ_MOV[MÊS PAGAMENTO CORRESPONDENTE],K$6,LANÇ_MOV[EMPRESA],$C$4,LANÇ_MOV[CENTRO DE CUSTOS],$D$4)</f>
        <v>0</v>
      </c>
      <c r="L62" s="206">
        <f>SUMIFS(LANÇ_MOV[VALOR LÍQUIDO],LANÇ_MOV[RECEITA OU DESPESA],"Receita",LANÇ_MOV[CONTAS],$C62,LANÇ_MOV[PLANO DE CONTAS],REL_DRE_FINANCEIRO!$B$30,LANÇ_MOV[ANO PAGAMENTO],$B$4,LANÇ_MOV[MÊS PAGAMENTO CORRESPONDENTE],L$6,LANÇ_MOV[EMPRESA],$C$4,LANÇ_MOV[CENTRO DE CUSTOS],$D$4)</f>
        <v>0</v>
      </c>
      <c r="M62" s="206">
        <f>SUMIFS(LANÇ_MOV[VALOR LÍQUIDO],LANÇ_MOV[RECEITA OU DESPESA],"Receita",LANÇ_MOV[CONTAS],$C62,LANÇ_MOV[PLANO DE CONTAS],REL_DRE_FINANCEIRO!$B$30,LANÇ_MOV[ANO PAGAMENTO],$B$4,LANÇ_MOV[MÊS PAGAMENTO CORRESPONDENTE],M$6,LANÇ_MOV[EMPRESA],$C$4,LANÇ_MOV[CENTRO DE CUSTOS],$D$4)</f>
        <v>0</v>
      </c>
      <c r="N62" s="206">
        <f>SUMIFS(LANÇ_MOV[VALOR LÍQUIDO],LANÇ_MOV[RECEITA OU DESPESA],"Receita",LANÇ_MOV[CONTAS],$C62,LANÇ_MOV[PLANO DE CONTAS],REL_DRE_FINANCEIRO!$B$30,LANÇ_MOV[ANO PAGAMENTO],$B$4,LANÇ_MOV[MÊS PAGAMENTO CORRESPONDENTE],N$6,LANÇ_MOV[EMPRESA],$C$4,LANÇ_MOV[CENTRO DE CUSTOS],$D$4)</f>
        <v>0</v>
      </c>
      <c r="O62" s="206">
        <f>SUMIFS(LANÇ_MOV[VALOR LÍQUIDO],LANÇ_MOV[RECEITA OU DESPESA],"Receita",LANÇ_MOV[CONTAS],$C62,LANÇ_MOV[PLANO DE CONTAS],REL_DRE_FINANCEIRO!$B$30,LANÇ_MOV[ANO PAGAMENTO],$B$4,LANÇ_MOV[MÊS PAGAMENTO CORRESPONDENTE],O$6,LANÇ_MOV[EMPRESA],$C$4,LANÇ_MOV[CENTRO DE CUSTOS],$D$4)</f>
        <v>0</v>
      </c>
      <c r="P62" s="207">
        <f t="shared" si="18"/>
        <v>0</v>
      </c>
      <c r="Q62" s="333">
        <v>6.9E-6</v>
      </c>
      <c r="R62" s="346">
        <f t="shared" si="19"/>
        <v>6.9E-6</v>
      </c>
      <c r="S62" s="347" t="str">
        <f t="shared" si="20"/>
        <v>-</v>
      </c>
      <c r="T62" s="347">
        <f t="shared" si="21"/>
        <v>0</v>
      </c>
      <c r="U62" s="347">
        <f>HLOOKUP(Apoio!$P$12,$D$29:$P$130,X62,FALSE)+Q62</f>
        <v>6.9E-6</v>
      </c>
      <c r="V62" s="447" t="str">
        <f t="shared" si="22"/>
        <v>-</v>
      </c>
      <c r="W62" s="448">
        <f>HLOOKUP(Apoio!$P$12,$D$29:$P$130,X62,FALSE)</f>
        <v>0</v>
      </c>
      <c r="X62" s="329">
        <v>34</v>
      </c>
    </row>
    <row r="63" spans="2:24" ht="30.05" customHeight="1" x14ac:dyDescent="0.35">
      <c r="B63" s="204" t="str">
        <f>'CAD_PL_REC-DESP'!B37</f>
        <v>1.1.33</v>
      </c>
      <c r="C63" s="205" t="str">
        <f>IF('CAD_PL_REC-DESP'!C37="","-",'CAD_PL_REC-DESP'!C37)</f>
        <v>-</v>
      </c>
      <c r="D63" s="206">
        <f>SUMIFS(LANÇ_MOV[VALOR LÍQUIDO],LANÇ_MOV[RECEITA OU DESPESA],"Receita",LANÇ_MOV[CONTAS],$C63,LANÇ_MOV[PLANO DE CONTAS],REL_DRE_FINANCEIRO!$B$30,LANÇ_MOV[ANO PAGAMENTO],$B$4,LANÇ_MOV[MÊS PAGAMENTO CORRESPONDENTE],D$6,LANÇ_MOV[EMPRESA],$C$4,LANÇ_MOV[CENTRO DE CUSTOS],$D$4)</f>
        <v>0</v>
      </c>
      <c r="E63" s="206">
        <f>SUMIFS(LANÇ_MOV[VALOR LÍQUIDO],LANÇ_MOV[RECEITA OU DESPESA],"Receita",LANÇ_MOV[CONTAS],$C63,LANÇ_MOV[PLANO DE CONTAS],REL_DRE_FINANCEIRO!$B$30,LANÇ_MOV[ANO PAGAMENTO],$B$4,LANÇ_MOV[MÊS PAGAMENTO CORRESPONDENTE],E$6,LANÇ_MOV[EMPRESA],$C$4,LANÇ_MOV[CENTRO DE CUSTOS],$D$4)</f>
        <v>0</v>
      </c>
      <c r="F63" s="206">
        <f>SUMIFS(LANÇ_MOV[VALOR LÍQUIDO],LANÇ_MOV[RECEITA OU DESPESA],"Receita",LANÇ_MOV[CONTAS],$C63,LANÇ_MOV[PLANO DE CONTAS],REL_DRE_FINANCEIRO!$B$30,LANÇ_MOV[ANO PAGAMENTO],$B$4,LANÇ_MOV[MÊS PAGAMENTO CORRESPONDENTE],F$6,LANÇ_MOV[EMPRESA],$C$4,LANÇ_MOV[CENTRO DE CUSTOS],$D$4)</f>
        <v>0</v>
      </c>
      <c r="G63" s="206">
        <f>SUMIFS(LANÇ_MOV[VALOR LÍQUIDO],LANÇ_MOV[RECEITA OU DESPESA],"Receita",LANÇ_MOV[CONTAS],$C63,LANÇ_MOV[PLANO DE CONTAS],REL_DRE_FINANCEIRO!$B$30,LANÇ_MOV[ANO PAGAMENTO],$B$4,LANÇ_MOV[MÊS PAGAMENTO CORRESPONDENTE],G$6,LANÇ_MOV[EMPRESA],$C$4,LANÇ_MOV[CENTRO DE CUSTOS],$D$4)</f>
        <v>0</v>
      </c>
      <c r="H63" s="206">
        <f>SUMIFS(LANÇ_MOV[VALOR LÍQUIDO],LANÇ_MOV[RECEITA OU DESPESA],"Receita",LANÇ_MOV[CONTAS],$C63,LANÇ_MOV[PLANO DE CONTAS],REL_DRE_FINANCEIRO!$B$30,LANÇ_MOV[ANO PAGAMENTO],$B$4,LANÇ_MOV[MÊS PAGAMENTO CORRESPONDENTE],H$6,LANÇ_MOV[EMPRESA],$C$4,LANÇ_MOV[CENTRO DE CUSTOS],$D$4)</f>
        <v>0</v>
      </c>
      <c r="I63" s="206">
        <f>SUMIFS(LANÇ_MOV[VALOR LÍQUIDO],LANÇ_MOV[RECEITA OU DESPESA],"Receita",LANÇ_MOV[CONTAS],$C63,LANÇ_MOV[PLANO DE CONTAS],REL_DRE_FINANCEIRO!$B$30,LANÇ_MOV[ANO PAGAMENTO],$B$4,LANÇ_MOV[MÊS PAGAMENTO CORRESPONDENTE],I$6,LANÇ_MOV[EMPRESA],$C$4,LANÇ_MOV[CENTRO DE CUSTOS],$D$4)</f>
        <v>0</v>
      </c>
      <c r="J63" s="206">
        <f>SUMIFS(LANÇ_MOV[VALOR LÍQUIDO],LANÇ_MOV[RECEITA OU DESPESA],"Receita",LANÇ_MOV[CONTAS],$C63,LANÇ_MOV[PLANO DE CONTAS],REL_DRE_FINANCEIRO!$B$30,LANÇ_MOV[ANO PAGAMENTO],$B$4,LANÇ_MOV[MÊS PAGAMENTO CORRESPONDENTE],J$6,LANÇ_MOV[EMPRESA],$C$4,LANÇ_MOV[CENTRO DE CUSTOS],$D$4)</f>
        <v>0</v>
      </c>
      <c r="K63" s="206">
        <f>SUMIFS(LANÇ_MOV[VALOR LÍQUIDO],LANÇ_MOV[RECEITA OU DESPESA],"Receita",LANÇ_MOV[CONTAS],$C63,LANÇ_MOV[PLANO DE CONTAS],REL_DRE_FINANCEIRO!$B$30,LANÇ_MOV[ANO PAGAMENTO],$B$4,LANÇ_MOV[MÊS PAGAMENTO CORRESPONDENTE],K$6,LANÇ_MOV[EMPRESA],$C$4,LANÇ_MOV[CENTRO DE CUSTOS],$D$4)</f>
        <v>0</v>
      </c>
      <c r="L63" s="206">
        <f>SUMIFS(LANÇ_MOV[VALOR LÍQUIDO],LANÇ_MOV[RECEITA OU DESPESA],"Receita",LANÇ_MOV[CONTAS],$C63,LANÇ_MOV[PLANO DE CONTAS],REL_DRE_FINANCEIRO!$B$30,LANÇ_MOV[ANO PAGAMENTO],$B$4,LANÇ_MOV[MÊS PAGAMENTO CORRESPONDENTE],L$6,LANÇ_MOV[EMPRESA],$C$4,LANÇ_MOV[CENTRO DE CUSTOS],$D$4)</f>
        <v>0</v>
      </c>
      <c r="M63" s="206">
        <f>SUMIFS(LANÇ_MOV[VALOR LÍQUIDO],LANÇ_MOV[RECEITA OU DESPESA],"Receita",LANÇ_MOV[CONTAS],$C63,LANÇ_MOV[PLANO DE CONTAS],REL_DRE_FINANCEIRO!$B$30,LANÇ_MOV[ANO PAGAMENTO],$B$4,LANÇ_MOV[MÊS PAGAMENTO CORRESPONDENTE],M$6,LANÇ_MOV[EMPRESA],$C$4,LANÇ_MOV[CENTRO DE CUSTOS],$D$4)</f>
        <v>0</v>
      </c>
      <c r="N63" s="206">
        <f>SUMIFS(LANÇ_MOV[VALOR LÍQUIDO],LANÇ_MOV[RECEITA OU DESPESA],"Receita",LANÇ_MOV[CONTAS],$C63,LANÇ_MOV[PLANO DE CONTAS],REL_DRE_FINANCEIRO!$B$30,LANÇ_MOV[ANO PAGAMENTO],$B$4,LANÇ_MOV[MÊS PAGAMENTO CORRESPONDENTE],N$6,LANÇ_MOV[EMPRESA],$C$4,LANÇ_MOV[CENTRO DE CUSTOS],$D$4)</f>
        <v>0</v>
      </c>
      <c r="O63" s="206">
        <f>SUMIFS(LANÇ_MOV[VALOR LÍQUIDO],LANÇ_MOV[RECEITA OU DESPESA],"Receita",LANÇ_MOV[CONTAS],$C63,LANÇ_MOV[PLANO DE CONTAS],REL_DRE_FINANCEIRO!$B$30,LANÇ_MOV[ANO PAGAMENTO],$B$4,LANÇ_MOV[MÊS PAGAMENTO CORRESPONDENTE],O$6,LANÇ_MOV[EMPRESA],$C$4,LANÇ_MOV[CENTRO DE CUSTOS],$D$4)</f>
        <v>0</v>
      </c>
      <c r="P63" s="207">
        <f t="shared" si="18"/>
        <v>0</v>
      </c>
      <c r="Q63" s="333">
        <v>6.8000000000000001E-6</v>
      </c>
      <c r="R63" s="346">
        <f t="shared" si="19"/>
        <v>6.8000000000000001E-6</v>
      </c>
      <c r="S63" s="347" t="str">
        <f t="shared" si="20"/>
        <v>-</v>
      </c>
      <c r="T63" s="347">
        <f t="shared" si="21"/>
        <v>0</v>
      </c>
      <c r="U63" s="347">
        <f>HLOOKUP(Apoio!$P$12,$D$29:$P$130,X63,FALSE)+Q63</f>
        <v>6.8000000000000001E-6</v>
      </c>
      <c r="V63" s="447" t="str">
        <f t="shared" si="22"/>
        <v>-</v>
      </c>
      <c r="W63" s="448">
        <f>HLOOKUP(Apoio!$P$12,$D$29:$P$130,X63,FALSE)</f>
        <v>0</v>
      </c>
      <c r="X63" s="329">
        <v>35</v>
      </c>
    </row>
    <row r="64" spans="2:24" ht="30.05" customHeight="1" x14ac:dyDescent="0.35">
      <c r="B64" s="204" t="str">
        <f>'CAD_PL_REC-DESP'!B38</f>
        <v>1.1.34</v>
      </c>
      <c r="C64" s="205" t="str">
        <f>IF('CAD_PL_REC-DESP'!C38="","-",'CAD_PL_REC-DESP'!C38)</f>
        <v>-</v>
      </c>
      <c r="D64" s="206">
        <f>SUMIFS(LANÇ_MOV[VALOR LÍQUIDO],LANÇ_MOV[RECEITA OU DESPESA],"Receita",LANÇ_MOV[CONTAS],$C64,LANÇ_MOV[PLANO DE CONTAS],REL_DRE_FINANCEIRO!$B$30,LANÇ_MOV[ANO PAGAMENTO],$B$4,LANÇ_MOV[MÊS PAGAMENTO CORRESPONDENTE],D$6,LANÇ_MOV[EMPRESA],$C$4,LANÇ_MOV[CENTRO DE CUSTOS],$D$4)</f>
        <v>0</v>
      </c>
      <c r="E64" s="206">
        <f>SUMIFS(LANÇ_MOV[VALOR LÍQUIDO],LANÇ_MOV[RECEITA OU DESPESA],"Receita",LANÇ_MOV[CONTAS],$C64,LANÇ_MOV[PLANO DE CONTAS],REL_DRE_FINANCEIRO!$B$30,LANÇ_MOV[ANO PAGAMENTO],$B$4,LANÇ_MOV[MÊS PAGAMENTO CORRESPONDENTE],E$6,LANÇ_MOV[EMPRESA],$C$4,LANÇ_MOV[CENTRO DE CUSTOS],$D$4)</f>
        <v>0</v>
      </c>
      <c r="F64" s="206">
        <f>SUMIFS(LANÇ_MOV[VALOR LÍQUIDO],LANÇ_MOV[RECEITA OU DESPESA],"Receita",LANÇ_MOV[CONTAS],$C64,LANÇ_MOV[PLANO DE CONTAS],REL_DRE_FINANCEIRO!$B$30,LANÇ_MOV[ANO PAGAMENTO],$B$4,LANÇ_MOV[MÊS PAGAMENTO CORRESPONDENTE],F$6,LANÇ_MOV[EMPRESA],$C$4,LANÇ_MOV[CENTRO DE CUSTOS],$D$4)</f>
        <v>0</v>
      </c>
      <c r="G64" s="206">
        <f>SUMIFS(LANÇ_MOV[VALOR LÍQUIDO],LANÇ_MOV[RECEITA OU DESPESA],"Receita",LANÇ_MOV[CONTAS],$C64,LANÇ_MOV[PLANO DE CONTAS],REL_DRE_FINANCEIRO!$B$30,LANÇ_MOV[ANO PAGAMENTO],$B$4,LANÇ_MOV[MÊS PAGAMENTO CORRESPONDENTE],G$6,LANÇ_MOV[EMPRESA],$C$4,LANÇ_MOV[CENTRO DE CUSTOS],$D$4)</f>
        <v>0</v>
      </c>
      <c r="H64" s="206">
        <f>SUMIFS(LANÇ_MOV[VALOR LÍQUIDO],LANÇ_MOV[RECEITA OU DESPESA],"Receita",LANÇ_MOV[CONTAS],$C64,LANÇ_MOV[PLANO DE CONTAS],REL_DRE_FINANCEIRO!$B$30,LANÇ_MOV[ANO PAGAMENTO],$B$4,LANÇ_MOV[MÊS PAGAMENTO CORRESPONDENTE],H$6,LANÇ_MOV[EMPRESA],$C$4,LANÇ_MOV[CENTRO DE CUSTOS],$D$4)</f>
        <v>0</v>
      </c>
      <c r="I64" s="206">
        <f>SUMIFS(LANÇ_MOV[VALOR LÍQUIDO],LANÇ_MOV[RECEITA OU DESPESA],"Receita",LANÇ_MOV[CONTAS],$C64,LANÇ_MOV[PLANO DE CONTAS],REL_DRE_FINANCEIRO!$B$30,LANÇ_MOV[ANO PAGAMENTO],$B$4,LANÇ_MOV[MÊS PAGAMENTO CORRESPONDENTE],I$6,LANÇ_MOV[EMPRESA],$C$4,LANÇ_MOV[CENTRO DE CUSTOS],$D$4)</f>
        <v>0</v>
      </c>
      <c r="J64" s="206">
        <f>SUMIFS(LANÇ_MOV[VALOR LÍQUIDO],LANÇ_MOV[RECEITA OU DESPESA],"Receita",LANÇ_MOV[CONTAS],$C64,LANÇ_MOV[PLANO DE CONTAS],REL_DRE_FINANCEIRO!$B$30,LANÇ_MOV[ANO PAGAMENTO],$B$4,LANÇ_MOV[MÊS PAGAMENTO CORRESPONDENTE],J$6,LANÇ_MOV[EMPRESA],$C$4,LANÇ_MOV[CENTRO DE CUSTOS],$D$4)</f>
        <v>0</v>
      </c>
      <c r="K64" s="206">
        <f>SUMIFS(LANÇ_MOV[VALOR LÍQUIDO],LANÇ_MOV[RECEITA OU DESPESA],"Receita",LANÇ_MOV[CONTAS],$C64,LANÇ_MOV[PLANO DE CONTAS],REL_DRE_FINANCEIRO!$B$30,LANÇ_MOV[ANO PAGAMENTO],$B$4,LANÇ_MOV[MÊS PAGAMENTO CORRESPONDENTE],K$6,LANÇ_MOV[EMPRESA],$C$4,LANÇ_MOV[CENTRO DE CUSTOS],$D$4)</f>
        <v>0</v>
      </c>
      <c r="L64" s="206">
        <f>SUMIFS(LANÇ_MOV[VALOR LÍQUIDO],LANÇ_MOV[RECEITA OU DESPESA],"Receita",LANÇ_MOV[CONTAS],$C64,LANÇ_MOV[PLANO DE CONTAS],REL_DRE_FINANCEIRO!$B$30,LANÇ_MOV[ANO PAGAMENTO],$B$4,LANÇ_MOV[MÊS PAGAMENTO CORRESPONDENTE],L$6,LANÇ_MOV[EMPRESA],$C$4,LANÇ_MOV[CENTRO DE CUSTOS],$D$4)</f>
        <v>0</v>
      </c>
      <c r="M64" s="206">
        <f>SUMIFS(LANÇ_MOV[VALOR LÍQUIDO],LANÇ_MOV[RECEITA OU DESPESA],"Receita",LANÇ_MOV[CONTAS],$C64,LANÇ_MOV[PLANO DE CONTAS],REL_DRE_FINANCEIRO!$B$30,LANÇ_MOV[ANO PAGAMENTO],$B$4,LANÇ_MOV[MÊS PAGAMENTO CORRESPONDENTE],M$6,LANÇ_MOV[EMPRESA],$C$4,LANÇ_MOV[CENTRO DE CUSTOS],$D$4)</f>
        <v>0</v>
      </c>
      <c r="N64" s="206">
        <f>SUMIFS(LANÇ_MOV[VALOR LÍQUIDO],LANÇ_MOV[RECEITA OU DESPESA],"Receita",LANÇ_MOV[CONTAS],$C64,LANÇ_MOV[PLANO DE CONTAS],REL_DRE_FINANCEIRO!$B$30,LANÇ_MOV[ANO PAGAMENTO],$B$4,LANÇ_MOV[MÊS PAGAMENTO CORRESPONDENTE],N$6,LANÇ_MOV[EMPRESA],$C$4,LANÇ_MOV[CENTRO DE CUSTOS],$D$4)</f>
        <v>0</v>
      </c>
      <c r="O64" s="206">
        <f>SUMIFS(LANÇ_MOV[VALOR LÍQUIDO],LANÇ_MOV[RECEITA OU DESPESA],"Receita",LANÇ_MOV[CONTAS],$C64,LANÇ_MOV[PLANO DE CONTAS],REL_DRE_FINANCEIRO!$B$30,LANÇ_MOV[ANO PAGAMENTO],$B$4,LANÇ_MOV[MÊS PAGAMENTO CORRESPONDENTE],O$6,LANÇ_MOV[EMPRESA],$C$4,LANÇ_MOV[CENTRO DE CUSTOS],$D$4)</f>
        <v>0</v>
      </c>
      <c r="P64" s="207">
        <f t="shared" si="18"/>
        <v>0</v>
      </c>
      <c r="Q64" s="333">
        <v>6.7000000000000002E-6</v>
      </c>
      <c r="R64" s="346">
        <f t="shared" si="19"/>
        <v>6.7000000000000002E-6</v>
      </c>
      <c r="S64" s="347" t="str">
        <f t="shared" si="20"/>
        <v>-</v>
      </c>
      <c r="T64" s="347">
        <f t="shared" si="21"/>
        <v>0</v>
      </c>
      <c r="U64" s="347">
        <f>HLOOKUP(Apoio!$P$12,$D$29:$P$130,X64,FALSE)+Q64</f>
        <v>6.7000000000000002E-6</v>
      </c>
      <c r="V64" s="447" t="str">
        <f t="shared" si="22"/>
        <v>-</v>
      </c>
      <c r="W64" s="448">
        <f>HLOOKUP(Apoio!$P$12,$D$29:$P$130,X64,FALSE)</f>
        <v>0</v>
      </c>
      <c r="X64" s="329">
        <v>36</v>
      </c>
    </row>
    <row r="65" spans="2:24" ht="30.05" customHeight="1" x14ac:dyDescent="0.35">
      <c r="B65" s="204" t="str">
        <f>'CAD_PL_REC-DESP'!B39</f>
        <v>1.1.35</v>
      </c>
      <c r="C65" s="205" t="str">
        <f>IF('CAD_PL_REC-DESP'!C39="","-",'CAD_PL_REC-DESP'!C39)</f>
        <v>-</v>
      </c>
      <c r="D65" s="206">
        <f>SUMIFS(LANÇ_MOV[VALOR LÍQUIDO],LANÇ_MOV[RECEITA OU DESPESA],"Receita",LANÇ_MOV[CONTAS],$C65,LANÇ_MOV[PLANO DE CONTAS],REL_DRE_FINANCEIRO!$B$30,LANÇ_MOV[ANO PAGAMENTO],$B$4,LANÇ_MOV[MÊS PAGAMENTO CORRESPONDENTE],D$6,LANÇ_MOV[EMPRESA],$C$4,LANÇ_MOV[CENTRO DE CUSTOS],$D$4)</f>
        <v>0</v>
      </c>
      <c r="E65" s="206">
        <f>SUMIFS(LANÇ_MOV[VALOR LÍQUIDO],LANÇ_MOV[RECEITA OU DESPESA],"Receita",LANÇ_MOV[CONTAS],$C65,LANÇ_MOV[PLANO DE CONTAS],REL_DRE_FINANCEIRO!$B$30,LANÇ_MOV[ANO PAGAMENTO],$B$4,LANÇ_MOV[MÊS PAGAMENTO CORRESPONDENTE],E$6,LANÇ_MOV[EMPRESA],$C$4,LANÇ_MOV[CENTRO DE CUSTOS],$D$4)</f>
        <v>0</v>
      </c>
      <c r="F65" s="206">
        <f>SUMIFS(LANÇ_MOV[VALOR LÍQUIDO],LANÇ_MOV[RECEITA OU DESPESA],"Receita",LANÇ_MOV[CONTAS],$C65,LANÇ_MOV[PLANO DE CONTAS],REL_DRE_FINANCEIRO!$B$30,LANÇ_MOV[ANO PAGAMENTO],$B$4,LANÇ_MOV[MÊS PAGAMENTO CORRESPONDENTE],F$6,LANÇ_MOV[EMPRESA],$C$4,LANÇ_MOV[CENTRO DE CUSTOS],$D$4)</f>
        <v>0</v>
      </c>
      <c r="G65" s="206">
        <f>SUMIFS(LANÇ_MOV[VALOR LÍQUIDO],LANÇ_MOV[RECEITA OU DESPESA],"Receita",LANÇ_MOV[CONTAS],$C65,LANÇ_MOV[PLANO DE CONTAS],REL_DRE_FINANCEIRO!$B$30,LANÇ_MOV[ANO PAGAMENTO],$B$4,LANÇ_MOV[MÊS PAGAMENTO CORRESPONDENTE],G$6,LANÇ_MOV[EMPRESA],$C$4,LANÇ_MOV[CENTRO DE CUSTOS],$D$4)</f>
        <v>0</v>
      </c>
      <c r="H65" s="206">
        <f>SUMIFS(LANÇ_MOV[VALOR LÍQUIDO],LANÇ_MOV[RECEITA OU DESPESA],"Receita",LANÇ_MOV[CONTAS],$C65,LANÇ_MOV[PLANO DE CONTAS],REL_DRE_FINANCEIRO!$B$30,LANÇ_MOV[ANO PAGAMENTO],$B$4,LANÇ_MOV[MÊS PAGAMENTO CORRESPONDENTE],H$6,LANÇ_MOV[EMPRESA],$C$4,LANÇ_MOV[CENTRO DE CUSTOS],$D$4)</f>
        <v>0</v>
      </c>
      <c r="I65" s="206">
        <f>SUMIFS(LANÇ_MOV[VALOR LÍQUIDO],LANÇ_MOV[RECEITA OU DESPESA],"Receita",LANÇ_MOV[CONTAS],$C65,LANÇ_MOV[PLANO DE CONTAS],REL_DRE_FINANCEIRO!$B$30,LANÇ_MOV[ANO PAGAMENTO],$B$4,LANÇ_MOV[MÊS PAGAMENTO CORRESPONDENTE],I$6,LANÇ_MOV[EMPRESA],$C$4,LANÇ_MOV[CENTRO DE CUSTOS],$D$4)</f>
        <v>0</v>
      </c>
      <c r="J65" s="206">
        <f>SUMIFS(LANÇ_MOV[VALOR LÍQUIDO],LANÇ_MOV[RECEITA OU DESPESA],"Receita",LANÇ_MOV[CONTAS],$C65,LANÇ_MOV[PLANO DE CONTAS],REL_DRE_FINANCEIRO!$B$30,LANÇ_MOV[ANO PAGAMENTO],$B$4,LANÇ_MOV[MÊS PAGAMENTO CORRESPONDENTE],J$6,LANÇ_MOV[EMPRESA],$C$4,LANÇ_MOV[CENTRO DE CUSTOS],$D$4)</f>
        <v>0</v>
      </c>
      <c r="K65" s="206">
        <f>SUMIFS(LANÇ_MOV[VALOR LÍQUIDO],LANÇ_MOV[RECEITA OU DESPESA],"Receita",LANÇ_MOV[CONTAS],$C65,LANÇ_MOV[PLANO DE CONTAS],REL_DRE_FINANCEIRO!$B$30,LANÇ_MOV[ANO PAGAMENTO],$B$4,LANÇ_MOV[MÊS PAGAMENTO CORRESPONDENTE],K$6,LANÇ_MOV[EMPRESA],$C$4,LANÇ_MOV[CENTRO DE CUSTOS],$D$4)</f>
        <v>0</v>
      </c>
      <c r="L65" s="206">
        <f>SUMIFS(LANÇ_MOV[VALOR LÍQUIDO],LANÇ_MOV[RECEITA OU DESPESA],"Receita",LANÇ_MOV[CONTAS],$C65,LANÇ_MOV[PLANO DE CONTAS],REL_DRE_FINANCEIRO!$B$30,LANÇ_MOV[ANO PAGAMENTO],$B$4,LANÇ_MOV[MÊS PAGAMENTO CORRESPONDENTE],L$6,LANÇ_MOV[EMPRESA],$C$4,LANÇ_MOV[CENTRO DE CUSTOS],$D$4)</f>
        <v>0</v>
      </c>
      <c r="M65" s="206">
        <f>SUMIFS(LANÇ_MOV[VALOR LÍQUIDO],LANÇ_MOV[RECEITA OU DESPESA],"Receita",LANÇ_MOV[CONTAS],$C65,LANÇ_MOV[PLANO DE CONTAS],REL_DRE_FINANCEIRO!$B$30,LANÇ_MOV[ANO PAGAMENTO],$B$4,LANÇ_MOV[MÊS PAGAMENTO CORRESPONDENTE],M$6,LANÇ_MOV[EMPRESA],$C$4,LANÇ_MOV[CENTRO DE CUSTOS],$D$4)</f>
        <v>0</v>
      </c>
      <c r="N65" s="206">
        <f>SUMIFS(LANÇ_MOV[VALOR LÍQUIDO],LANÇ_MOV[RECEITA OU DESPESA],"Receita",LANÇ_MOV[CONTAS],$C65,LANÇ_MOV[PLANO DE CONTAS],REL_DRE_FINANCEIRO!$B$30,LANÇ_MOV[ANO PAGAMENTO],$B$4,LANÇ_MOV[MÊS PAGAMENTO CORRESPONDENTE],N$6,LANÇ_MOV[EMPRESA],$C$4,LANÇ_MOV[CENTRO DE CUSTOS],$D$4)</f>
        <v>0</v>
      </c>
      <c r="O65" s="206">
        <f>SUMIFS(LANÇ_MOV[VALOR LÍQUIDO],LANÇ_MOV[RECEITA OU DESPESA],"Receita",LANÇ_MOV[CONTAS],$C65,LANÇ_MOV[PLANO DE CONTAS],REL_DRE_FINANCEIRO!$B$30,LANÇ_MOV[ANO PAGAMENTO],$B$4,LANÇ_MOV[MÊS PAGAMENTO CORRESPONDENTE],O$6,LANÇ_MOV[EMPRESA],$C$4,LANÇ_MOV[CENTRO DE CUSTOS],$D$4)</f>
        <v>0</v>
      </c>
      <c r="P65" s="207">
        <f t="shared" si="18"/>
        <v>0</v>
      </c>
      <c r="Q65" s="333">
        <v>6.6000000000000003E-6</v>
      </c>
      <c r="R65" s="346">
        <f t="shared" si="19"/>
        <v>6.6000000000000003E-6</v>
      </c>
      <c r="S65" s="347" t="str">
        <f t="shared" si="20"/>
        <v>-</v>
      </c>
      <c r="T65" s="347">
        <f t="shared" si="21"/>
        <v>0</v>
      </c>
      <c r="U65" s="347">
        <f>HLOOKUP(Apoio!$P$12,$D$29:$P$130,X65,FALSE)+Q65</f>
        <v>6.6000000000000003E-6</v>
      </c>
      <c r="V65" s="447" t="str">
        <f t="shared" si="22"/>
        <v>-</v>
      </c>
      <c r="W65" s="448">
        <f>HLOOKUP(Apoio!$P$12,$D$29:$P$130,X65,FALSE)</f>
        <v>0</v>
      </c>
      <c r="X65" s="329">
        <v>37</v>
      </c>
    </row>
    <row r="66" spans="2:24" ht="30.05" customHeight="1" x14ac:dyDescent="0.35">
      <c r="B66" s="204" t="str">
        <f>'CAD_PL_REC-DESP'!B40</f>
        <v>1.1.36</v>
      </c>
      <c r="C66" s="205" t="str">
        <f>IF('CAD_PL_REC-DESP'!C40="","-",'CAD_PL_REC-DESP'!C40)</f>
        <v>-</v>
      </c>
      <c r="D66" s="206">
        <f>SUMIFS(LANÇ_MOV[VALOR LÍQUIDO],LANÇ_MOV[RECEITA OU DESPESA],"Receita",LANÇ_MOV[CONTAS],$C66,LANÇ_MOV[PLANO DE CONTAS],REL_DRE_FINANCEIRO!$B$30,LANÇ_MOV[ANO PAGAMENTO],$B$4,LANÇ_MOV[MÊS PAGAMENTO CORRESPONDENTE],D$6,LANÇ_MOV[EMPRESA],$C$4,LANÇ_MOV[CENTRO DE CUSTOS],$D$4)</f>
        <v>0</v>
      </c>
      <c r="E66" s="206">
        <f>SUMIFS(LANÇ_MOV[VALOR LÍQUIDO],LANÇ_MOV[RECEITA OU DESPESA],"Receita",LANÇ_MOV[CONTAS],$C66,LANÇ_MOV[PLANO DE CONTAS],REL_DRE_FINANCEIRO!$B$30,LANÇ_MOV[ANO PAGAMENTO],$B$4,LANÇ_MOV[MÊS PAGAMENTO CORRESPONDENTE],E$6,LANÇ_MOV[EMPRESA],$C$4,LANÇ_MOV[CENTRO DE CUSTOS],$D$4)</f>
        <v>0</v>
      </c>
      <c r="F66" s="206">
        <f>SUMIFS(LANÇ_MOV[VALOR LÍQUIDO],LANÇ_MOV[RECEITA OU DESPESA],"Receita",LANÇ_MOV[CONTAS],$C66,LANÇ_MOV[PLANO DE CONTAS],REL_DRE_FINANCEIRO!$B$30,LANÇ_MOV[ANO PAGAMENTO],$B$4,LANÇ_MOV[MÊS PAGAMENTO CORRESPONDENTE],F$6,LANÇ_MOV[EMPRESA],$C$4,LANÇ_MOV[CENTRO DE CUSTOS],$D$4)</f>
        <v>0</v>
      </c>
      <c r="G66" s="206">
        <f>SUMIFS(LANÇ_MOV[VALOR LÍQUIDO],LANÇ_MOV[RECEITA OU DESPESA],"Receita",LANÇ_MOV[CONTAS],$C66,LANÇ_MOV[PLANO DE CONTAS],REL_DRE_FINANCEIRO!$B$30,LANÇ_MOV[ANO PAGAMENTO],$B$4,LANÇ_MOV[MÊS PAGAMENTO CORRESPONDENTE],G$6,LANÇ_MOV[EMPRESA],$C$4,LANÇ_MOV[CENTRO DE CUSTOS],$D$4)</f>
        <v>0</v>
      </c>
      <c r="H66" s="206">
        <f>SUMIFS(LANÇ_MOV[VALOR LÍQUIDO],LANÇ_MOV[RECEITA OU DESPESA],"Receita",LANÇ_MOV[CONTAS],$C66,LANÇ_MOV[PLANO DE CONTAS],REL_DRE_FINANCEIRO!$B$30,LANÇ_MOV[ANO PAGAMENTO],$B$4,LANÇ_MOV[MÊS PAGAMENTO CORRESPONDENTE],H$6,LANÇ_MOV[EMPRESA],$C$4,LANÇ_MOV[CENTRO DE CUSTOS],$D$4)</f>
        <v>0</v>
      </c>
      <c r="I66" s="206">
        <f>SUMIFS(LANÇ_MOV[VALOR LÍQUIDO],LANÇ_MOV[RECEITA OU DESPESA],"Receita",LANÇ_MOV[CONTAS],$C66,LANÇ_MOV[PLANO DE CONTAS],REL_DRE_FINANCEIRO!$B$30,LANÇ_MOV[ANO PAGAMENTO],$B$4,LANÇ_MOV[MÊS PAGAMENTO CORRESPONDENTE],I$6,LANÇ_MOV[EMPRESA],$C$4,LANÇ_MOV[CENTRO DE CUSTOS],$D$4)</f>
        <v>0</v>
      </c>
      <c r="J66" s="206">
        <f>SUMIFS(LANÇ_MOV[VALOR LÍQUIDO],LANÇ_MOV[RECEITA OU DESPESA],"Receita",LANÇ_MOV[CONTAS],$C66,LANÇ_MOV[PLANO DE CONTAS],REL_DRE_FINANCEIRO!$B$30,LANÇ_MOV[ANO PAGAMENTO],$B$4,LANÇ_MOV[MÊS PAGAMENTO CORRESPONDENTE],J$6,LANÇ_MOV[EMPRESA],$C$4,LANÇ_MOV[CENTRO DE CUSTOS],$D$4)</f>
        <v>0</v>
      </c>
      <c r="K66" s="206">
        <f>SUMIFS(LANÇ_MOV[VALOR LÍQUIDO],LANÇ_MOV[RECEITA OU DESPESA],"Receita",LANÇ_MOV[CONTAS],$C66,LANÇ_MOV[PLANO DE CONTAS],REL_DRE_FINANCEIRO!$B$30,LANÇ_MOV[ANO PAGAMENTO],$B$4,LANÇ_MOV[MÊS PAGAMENTO CORRESPONDENTE],K$6,LANÇ_MOV[EMPRESA],$C$4,LANÇ_MOV[CENTRO DE CUSTOS],$D$4)</f>
        <v>0</v>
      </c>
      <c r="L66" s="206">
        <f>SUMIFS(LANÇ_MOV[VALOR LÍQUIDO],LANÇ_MOV[RECEITA OU DESPESA],"Receita",LANÇ_MOV[CONTAS],$C66,LANÇ_MOV[PLANO DE CONTAS],REL_DRE_FINANCEIRO!$B$30,LANÇ_MOV[ANO PAGAMENTO],$B$4,LANÇ_MOV[MÊS PAGAMENTO CORRESPONDENTE],L$6,LANÇ_MOV[EMPRESA],$C$4,LANÇ_MOV[CENTRO DE CUSTOS],$D$4)</f>
        <v>0</v>
      </c>
      <c r="M66" s="206">
        <f>SUMIFS(LANÇ_MOV[VALOR LÍQUIDO],LANÇ_MOV[RECEITA OU DESPESA],"Receita",LANÇ_MOV[CONTAS],$C66,LANÇ_MOV[PLANO DE CONTAS],REL_DRE_FINANCEIRO!$B$30,LANÇ_MOV[ANO PAGAMENTO],$B$4,LANÇ_MOV[MÊS PAGAMENTO CORRESPONDENTE],M$6,LANÇ_MOV[EMPRESA],$C$4,LANÇ_MOV[CENTRO DE CUSTOS],$D$4)</f>
        <v>0</v>
      </c>
      <c r="N66" s="206">
        <f>SUMIFS(LANÇ_MOV[VALOR LÍQUIDO],LANÇ_MOV[RECEITA OU DESPESA],"Receita",LANÇ_MOV[CONTAS],$C66,LANÇ_MOV[PLANO DE CONTAS],REL_DRE_FINANCEIRO!$B$30,LANÇ_MOV[ANO PAGAMENTO],$B$4,LANÇ_MOV[MÊS PAGAMENTO CORRESPONDENTE],N$6,LANÇ_MOV[EMPRESA],$C$4,LANÇ_MOV[CENTRO DE CUSTOS],$D$4)</f>
        <v>0</v>
      </c>
      <c r="O66" s="206">
        <f>SUMIFS(LANÇ_MOV[VALOR LÍQUIDO],LANÇ_MOV[RECEITA OU DESPESA],"Receita",LANÇ_MOV[CONTAS],$C66,LANÇ_MOV[PLANO DE CONTAS],REL_DRE_FINANCEIRO!$B$30,LANÇ_MOV[ANO PAGAMENTO],$B$4,LANÇ_MOV[MÊS PAGAMENTO CORRESPONDENTE],O$6,LANÇ_MOV[EMPRESA],$C$4,LANÇ_MOV[CENTRO DE CUSTOS],$D$4)</f>
        <v>0</v>
      </c>
      <c r="P66" s="207">
        <f t="shared" si="18"/>
        <v>0</v>
      </c>
      <c r="Q66" s="333">
        <v>6.4999999999999996E-6</v>
      </c>
      <c r="R66" s="346">
        <f t="shared" si="19"/>
        <v>6.4999999999999996E-6</v>
      </c>
      <c r="S66" s="347" t="str">
        <f t="shared" si="20"/>
        <v>-</v>
      </c>
      <c r="T66" s="347">
        <f t="shared" si="21"/>
        <v>0</v>
      </c>
      <c r="U66" s="347">
        <f>HLOOKUP(Apoio!$P$12,$D$29:$P$130,X66,FALSE)+Q66</f>
        <v>6.4999999999999996E-6</v>
      </c>
      <c r="V66" s="447" t="str">
        <f t="shared" si="22"/>
        <v>-</v>
      </c>
      <c r="W66" s="448">
        <f>HLOOKUP(Apoio!$P$12,$D$29:$P$130,X66,FALSE)</f>
        <v>0</v>
      </c>
      <c r="X66" s="329">
        <v>38</v>
      </c>
    </row>
    <row r="67" spans="2:24" ht="30.05" customHeight="1" x14ac:dyDescent="0.35">
      <c r="B67" s="204" t="str">
        <f>'CAD_PL_REC-DESP'!B41</f>
        <v>1.1.37</v>
      </c>
      <c r="C67" s="205" t="str">
        <f>IF('CAD_PL_REC-DESP'!C41="","-",'CAD_PL_REC-DESP'!C41)</f>
        <v>-</v>
      </c>
      <c r="D67" s="206">
        <f>SUMIFS(LANÇ_MOV[VALOR LÍQUIDO],LANÇ_MOV[RECEITA OU DESPESA],"Receita",LANÇ_MOV[CONTAS],$C67,LANÇ_MOV[PLANO DE CONTAS],REL_DRE_FINANCEIRO!$B$30,LANÇ_MOV[ANO PAGAMENTO],$B$4,LANÇ_MOV[MÊS PAGAMENTO CORRESPONDENTE],D$6,LANÇ_MOV[EMPRESA],$C$4,LANÇ_MOV[CENTRO DE CUSTOS],$D$4)</f>
        <v>0</v>
      </c>
      <c r="E67" s="206">
        <f>SUMIFS(LANÇ_MOV[VALOR LÍQUIDO],LANÇ_MOV[RECEITA OU DESPESA],"Receita",LANÇ_MOV[CONTAS],$C67,LANÇ_MOV[PLANO DE CONTAS],REL_DRE_FINANCEIRO!$B$30,LANÇ_MOV[ANO PAGAMENTO],$B$4,LANÇ_MOV[MÊS PAGAMENTO CORRESPONDENTE],E$6,LANÇ_MOV[EMPRESA],$C$4,LANÇ_MOV[CENTRO DE CUSTOS],$D$4)</f>
        <v>0</v>
      </c>
      <c r="F67" s="206">
        <f>SUMIFS(LANÇ_MOV[VALOR LÍQUIDO],LANÇ_MOV[RECEITA OU DESPESA],"Receita",LANÇ_MOV[CONTAS],$C67,LANÇ_MOV[PLANO DE CONTAS],REL_DRE_FINANCEIRO!$B$30,LANÇ_MOV[ANO PAGAMENTO],$B$4,LANÇ_MOV[MÊS PAGAMENTO CORRESPONDENTE],F$6,LANÇ_MOV[EMPRESA],$C$4,LANÇ_MOV[CENTRO DE CUSTOS],$D$4)</f>
        <v>0</v>
      </c>
      <c r="G67" s="206">
        <f>SUMIFS(LANÇ_MOV[VALOR LÍQUIDO],LANÇ_MOV[RECEITA OU DESPESA],"Receita",LANÇ_MOV[CONTAS],$C67,LANÇ_MOV[PLANO DE CONTAS],REL_DRE_FINANCEIRO!$B$30,LANÇ_MOV[ANO PAGAMENTO],$B$4,LANÇ_MOV[MÊS PAGAMENTO CORRESPONDENTE],G$6,LANÇ_MOV[EMPRESA],$C$4,LANÇ_MOV[CENTRO DE CUSTOS],$D$4)</f>
        <v>0</v>
      </c>
      <c r="H67" s="206">
        <f>SUMIFS(LANÇ_MOV[VALOR LÍQUIDO],LANÇ_MOV[RECEITA OU DESPESA],"Receita",LANÇ_MOV[CONTAS],$C67,LANÇ_MOV[PLANO DE CONTAS],REL_DRE_FINANCEIRO!$B$30,LANÇ_MOV[ANO PAGAMENTO],$B$4,LANÇ_MOV[MÊS PAGAMENTO CORRESPONDENTE],H$6,LANÇ_MOV[EMPRESA],$C$4,LANÇ_MOV[CENTRO DE CUSTOS],$D$4)</f>
        <v>0</v>
      </c>
      <c r="I67" s="206">
        <f>SUMIFS(LANÇ_MOV[VALOR LÍQUIDO],LANÇ_MOV[RECEITA OU DESPESA],"Receita",LANÇ_MOV[CONTAS],$C67,LANÇ_MOV[PLANO DE CONTAS],REL_DRE_FINANCEIRO!$B$30,LANÇ_MOV[ANO PAGAMENTO],$B$4,LANÇ_MOV[MÊS PAGAMENTO CORRESPONDENTE],I$6,LANÇ_MOV[EMPRESA],$C$4,LANÇ_MOV[CENTRO DE CUSTOS],$D$4)</f>
        <v>0</v>
      </c>
      <c r="J67" s="206">
        <f>SUMIFS(LANÇ_MOV[VALOR LÍQUIDO],LANÇ_MOV[RECEITA OU DESPESA],"Receita",LANÇ_MOV[CONTAS],$C67,LANÇ_MOV[PLANO DE CONTAS],REL_DRE_FINANCEIRO!$B$30,LANÇ_MOV[ANO PAGAMENTO],$B$4,LANÇ_MOV[MÊS PAGAMENTO CORRESPONDENTE],J$6,LANÇ_MOV[EMPRESA],$C$4,LANÇ_MOV[CENTRO DE CUSTOS],$D$4)</f>
        <v>0</v>
      </c>
      <c r="K67" s="206">
        <f>SUMIFS(LANÇ_MOV[VALOR LÍQUIDO],LANÇ_MOV[RECEITA OU DESPESA],"Receita",LANÇ_MOV[CONTAS],$C67,LANÇ_MOV[PLANO DE CONTAS],REL_DRE_FINANCEIRO!$B$30,LANÇ_MOV[ANO PAGAMENTO],$B$4,LANÇ_MOV[MÊS PAGAMENTO CORRESPONDENTE],K$6,LANÇ_MOV[EMPRESA],$C$4,LANÇ_MOV[CENTRO DE CUSTOS],$D$4)</f>
        <v>0</v>
      </c>
      <c r="L67" s="206">
        <f>SUMIFS(LANÇ_MOV[VALOR LÍQUIDO],LANÇ_MOV[RECEITA OU DESPESA],"Receita",LANÇ_MOV[CONTAS],$C67,LANÇ_MOV[PLANO DE CONTAS],REL_DRE_FINANCEIRO!$B$30,LANÇ_MOV[ANO PAGAMENTO],$B$4,LANÇ_MOV[MÊS PAGAMENTO CORRESPONDENTE],L$6,LANÇ_MOV[EMPRESA],$C$4,LANÇ_MOV[CENTRO DE CUSTOS],$D$4)</f>
        <v>0</v>
      </c>
      <c r="M67" s="206">
        <f>SUMIFS(LANÇ_MOV[VALOR LÍQUIDO],LANÇ_MOV[RECEITA OU DESPESA],"Receita",LANÇ_MOV[CONTAS],$C67,LANÇ_MOV[PLANO DE CONTAS],REL_DRE_FINANCEIRO!$B$30,LANÇ_MOV[ANO PAGAMENTO],$B$4,LANÇ_MOV[MÊS PAGAMENTO CORRESPONDENTE],M$6,LANÇ_MOV[EMPRESA],$C$4,LANÇ_MOV[CENTRO DE CUSTOS],$D$4)</f>
        <v>0</v>
      </c>
      <c r="N67" s="206">
        <f>SUMIFS(LANÇ_MOV[VALOR LÍQUIDO],LANÇ_MOV[RECEITA OU DESPESA],"Receita",LANÇ_MOV[CONTAS],$C67,LANÇ_MOV[PLANO DE CONTAS],REL_DRE_FINANCEIRO!$B$30,LANÇ_MOV[ANO PAGAMENTO],$B$4,LANÇ_MOV[MÊS PAGAMENTO CORRESPONDENTE],N$6,LANÇ_MOV[EMPRESA],$C$4,LANÇ_MOV[CENTRO DE CUSTOS],$D$4)</f>
        <v>0</v>
      </c>
      <c r="O67" s="206">
        <f>SUMIFS(LANÇ_MOV[VALOR LÍQUIDO],LANÇ_MOV[RECEITA OU DESPESA],"Receita",LANÇ_MOV[CONTAS],$C67,LANÇ_MOV[PLANO DE CONTAS],REL_DRE_FINANCEIRO!$B$30,LANÇ_MOV[ANO PAGAMENTO],$B$4,LANÇ_MOV[MÊS PAGAMENTO CORRESPONDENTE],O$6,LANÇ_MOV[EMPRESA],$C$4,LANÇ_MOV[CENTRO DE CUSTOS],$D$4)</f>
        <v>0</v>
      </c>
      <c r="P67" s="207">
        <f t="shared" si="18"/>
        <v>0</v>
      </c>
      <c r="Q67" s="333">
        <v>6.3999999999999997E-6</v>
      </c>
      <c r="R67" s="346">
        <f t="shared" si="19"/>
        <v>6.3999999999999997E-6</v>
      </c>
      <c r="S67" s="347" t="str">
        <f t="shared" si="20"/>
        <v>-</v>
      </c>
      <c r="T67" s="347">
        <f t="shared" si="21"/>
        <v>0</v>
      </c>
      <c r="U67" s="347">
        <f>HLOOKUP(Apoio!$P$12,$D$29:$P$130,X67,FALSE)+Q67</f>
        <v>6.3999999999999997E-6</v>
      </c>
      <c r="V67" s="447" t="str">
        <f t="shared" si="22"/>
        <v>-</v>
      </c>
      <c r="W67" s="448">
        <f>HLOOKUP(Apoio!$P$12,$D$29:$P$130,X67,FALSE)</f>
        <v>0</v>
      </c>
      <c r="X67" s="329">
        <v>39</v>
      </c>
    </row>
    <row r="68" spans="2:24" ht="30.05" customHeight="1" x14ac:dyDescent="0.35">
      <c r="B68" s="204" t="str">
        <f>'CAD_PL_REC-DESP'!B42</f>
        <v>1.1.38</v>
      </c>
      <c r="C68" s="205" t="str">
        <f>IF('CAD_PL_REC-DESP'!C42="","-",'CAD_PL_REC-DESP'!C42)</f>
        <v>-</v>
      </c>
      <c r="D68" s="206">
        <f>SUMIFS(LANÇ_MOV[VALOR LÍQUIDO],LANÇ_MOV[RECEITA OU DESPESA],"Receita",LANÇ_MOV[CONTAS],$C68,LANÇ_MOV[PLANO DE CONTAS],REL_DRE_FINANCEIRO!$B$30,LANÇ_MOV[ANO PAGAMENTO],$B$4,LANÇ_MOV[MÊS PAGAMENTO CORRESPONDENTE],D$6,LANÇ_MOV[EMPRESA],$C$4,LANÇ_MOV[CENTRO DE CUSTOS],$D$4)</f>
        <v>0</v>
      </c>
      <c r="E68" s="206">
        <f>SUMIFS(LANÇ_MOV[VALOR LÍQUIDO],LANÇ_MOV[RECEITA OU DESPESA],"Receita",LANÇ_MOV[CONTAS],$C68,LANÇ_MOV[PLANO DE CONTAS],REL_DRE_FINANCEIRO!$B$30,LANÇ_MOV[ANO PAGAMENTO],$B$4,LANÇ_MOV[MÊS PAGAMENTO CORRESPONDENTE],E$6,LANÇ_MOV[EMPRESA],$C$4,LANÇ_MOV[CENTRO DE CUSTOS],$D$4)</f>
        <v>0</v>
      </c>
      <c r="F68" s="206">
        <f>SUMIFS(LANÇ_MOV[VALOR LÍQUIDO],LANÇ_MOV[RECEITA OU DESPESA],"Receita",LANÇ_MOV[CONTAS],$C68,LANÇ_MOV[PLANO DE CONTAS],REL_DRE_FINANCEIRO!$B$30,LANÇ_MOV[ANO PAGAMENTO],$B$4,LANÇ_MOV[MÊS PAGAMENTO CORRESPONDENTE],F$6,LANÇ_MOV[EMPRESA],$C$4,LANÇ_MOV[CENTRO DE CUSTOS],$D$4)</f>
        <v>0</v>
      </c>
      <c r="G68" s="206">
        <f>SUMIFS(LANÇ_MOV[VALOR LÍQUIDO],LANÇ_MOV[RECEITA OU DESPESA],"Receita",LANÇ_MOV[CONTAS],$C68,LANÇ_MOV[PLANO DE CONTAS],REL_DRE_FINANCEIRO!$B$30,LANÇ_MOV[ANO PAGAMENTO],$B$4,LANÇ_MOV[MÊS PAGAMENTO CORRESPONDENTE],G$6,LANÇ_MOV[EMPRESA],$C$4,LANÇ_MOV[CENTRO DE CUSTOS],$D$4)</f>
        <v>0</v>
      </c>
      <c r="H68" s="206">
        <f>SUMIFS(LANÇ_MOV[VALOR LÍQUIDO],LANÇ_MOV[RECEITA OU DESPESA],"Receita",LANÇ_MOV[CONTAS],$C68,LANÇ_MOV[PLANO DE CONTAS],REL_DRE_FINANCEIRO!$B$30,LANÇ_MOV[ANO PAGAMENTO],$B$4,LANÇ_MOV[MÊS PAGAMENTO CORRESPONDENTE],H$6,LANÇ_MOV[EMPRESA],$C$4,LANÇ_MOV[CENTRO DE CUSTOS],$D$4)</f>
        <v>0</v>
      </c>
      <c r="I68" s="206">
        <f>SUMIFS(LANÇ_MOV[VALOR LÍQUIDO],LANÇ_MOV[RECEITA OU DESPESA],"Receita",LANÇ_MOV[CONTAS],$C68,LANÇ_MOV[PLANO DE CONTAS],REL_DRE_FINANCEIRO!$B$30,LANÇ_MOV[ANO PAGAMENTO],$B$4,LANÇ_MOV[MÊS PAGAMENTO CORRESPONDENTE],I$6,LANÇ_MOV[EMPRESA],$C$4,LANÇ_MOV[CENTRO DE CUSTOS],$D$4)</f>
        <v>0</v>
      </c>
      <c r="J68" s="206">
        <f>SUMIFS(LANÇ_MOV[VALOR LÍQUIDO],LANÇ_MOV[RECEITA OU DESPESA],"Receita",LANÇ_MOV[CONTAS],$C68,LANÇ_MOV[PLANO DE CONTAS],REL_DRE_FINANCEIRO!$B$30,LANÇ_MOV[ANO PAGAMENTO],$B$4,LANÇ_MOV[MÊS PAGAMENTO CORRESPONDENTE],J$6,LANÇ_MOV[EMPRESA],$C$4,LANÇ_MOV[CENTRO DE CUSTOS],$D$4)</f>
        <v>0</v>
      </c>
      <c r="K68" s="206">
        <f>SUMIFS(LANÇ_MOV[VALOR LÍQUIDO],LANÇ_MOV[RECEITA OU DESPESA],"Receita",LANÇ_MOV[CONTAS],$C68,LANÇ_MOV[PLANO DE CONTAS],REL_DRE_FINANCEIRO!$B$30,LANÇ_MOV[ANO PAGAMENTO],$B$4,LANÇ_MOV[MÊS PAGAMENTO CORRESPONDENTE],K$6,LANÇ_MOV[EMPRESA],$C$4,LANÇ_MOV[CENTRO DE CUSTOS],$D$4)</f>
        <v>0</v>
      </c>
      <c r="L68" s="206">
        <f>SUMIFS(LANÇ_MOV[VALOR LÍQUIDO],LANÇ_MOV[RECEITA OU DESPESA],"Receita",LANÇ_MOV[CONTAS],$C68,LANÇ_MOV[PLANO DE CONTAS],REL_DRE_FINANCEIRO!$B$30,LANÇ_MOV[ANO PAGAMENTO],$B$4,LANÇ_MOV[MÊS PAGAMENTO CORRESPONDENTE],L$6,LANÇ_MOV[EMPRESA],$C$4,LANÇ_MOV[CENTRO DE CUSTOS],$D$4)</f>
        <v>0</v>
      </c>
      <c r="M68" s="206">
        <f>SUMIFS(LANÇ_MOV[VALOR LÍQUIDO],LANÇ_MOV[RECEITA OU DESPESA],"Receita",LANÇ_MOV[CONTAS],$C68,LANÇ_MOV[PLANO DE CONTAS],REL_DRE_FINANCEIRO!$B$30,LANÇ_MOV[ANO PAGAMENTO],$B$4,LANÇ_MOV[MÊS PAGAMENTO CORRESPONDENTE],M$6,LANÇ_MOV[EMPRESA],$C$4,LANÇ_MOV[CENTRO DE CUSTOS],$D$4)</f>
        <v>0</v>
      </c>
      <c r="N68" s="206">
        <f>SUMIFS(LANÇ_MOV[VALOR LÍQUIDO],LANÇ_MOV[RECEITA OU DESPESA],"Receita",LANÇ_MOV[CONTAS],$C68,LANÇ_MOV[PLANO DE CONTAS],REL_DRE_FINANCEIRO!$B$30,LANÇ_MOV[ANO PAGAMENTO],$B$4,LANÇ_MOV[MÊS PAGAMENTO CORRESPONDENTE],N$6,LANÇ_MOV[EMPRESA],$C$4,LANÇ_MOV[CENTRO DE CUSTOS],$D$4)</f>
        <v>0</v>
      </c>
      <c r="O68" s="206">
        <f>SUMIFS(LANÇ_MOV[VALOR LÍQUIDO],LANÇ_MOV[RECEITA OU DESPESA],"Receita",LANÇ_MOV[CONTAS],$C68,LANÇ_MOV[PLANO DE CONTAS],REL_DRE_FINANCEIRO!$B$30,LANÇ_MOV[ANO PAGAMENTO],$B$4,LANÇ_MOV[MÊS PAGAMENTO CORRESPONDENTE],O$6,LANÇ_MOV[EMPRESA],$C$4,LANÇ_MOV[CENTRO DE CUSTOS],$D$4)</f>
        <v>0</v>
      </c>
      <c r="P68" s="207">
        <f t="shared" si="18"/>
        <v>0</v>
      </c>
      <c r="Q68" s="333">
        <v>6.2999999999999998E-6</v>
      </c>
      <c r="R68" s="346">
        <f t="shared" si="19"/>
        <v>6.2999999999999998E-6</v>
      </c>
      <c r="S68" s="347" t="str">
        <f t="shared" si="20"/>
        <v>-</v>
      </c>
      <c r="T68" s="347">
        <f t="shared" si="21"/>
        <v>0</v>
      </c>
      <c r="U68" s="347">
        <f>HLOOKUP(Apoio!$P$12,$D$29:$P$130,X68,FALSE)+Q68</f>
        <v>6.2999999999999998E-6</v>
      </c>
      <c r="V68" s="447" t="str">
        <f t="shared" si="22"/>
        <v>-</v>
      </c>
      <c r="W68" s="448">
        <f>HLOOKUP(Apoio!$P$12,$D$29:$P$130,X68,FALSE)</f>
        <v>0</v>
      </c>
      <c r="X68" s="329">
        <v>40</v>
      </c>
    </row>
    <row r="69" spans="2:24" ht="30.05" customHeight="1" x14ac:dyDescent="0.35">
      <c r="B69" s="204" t="str">
        <f>'CAD_PL_REC-DESP'!B43</f>
        <v>1.1.39</v>
      </c>
      <c r="C69" s="205" t="str">
        <f>IF('CAD_PL_REC-DESP'!C43="","-",'CAD_PL_REC-DESP'!C43)</f>
        <v>-</v>
      </c>
      <c r="D69" s="206">
        <f>SUMIFS(LANÇ_MOV[VALOR LÍQUIDO],LANÇ_MOV[RECEITA OU DESPESA],"Receita",LANÇ_MOV[CONTAS],$C69,LANÇ_MOV[PLANO DE CONTAS],REL_DRE_FINANCEIRO!$B$30,LANÇ_MOV[ANO PAGAMENTO],$B$4,LANÇ_MOV[MÊS PAGAMENTO CORRESPONDENTE],D$6,LANÇ_MOV[EMPRESA],$C$4,LANÇ_MOV[CENTRO DE CUSTOS],$D$4)</f>
        <v>0</v>
      </c>
      <c r="E69" s="206">
        <f>SUMIFS(LANÇ_MOV[VALOR LÍQUIDO],LANÇ_MOV[RECEITA OU DESPESA],"Receita",LANÇ_MOV[CONTAS],$C69,LANÇ_MOV[PLANO DE CONTAS],REL_DRE_FINANCEIRO!$B$30,LANÇ_MOV[ANO PAGAMENTO],$B$4,LANÇ_MOV[MÊS PAGAMENTO CORRESPONDENTE],E$6,LANÇ_MOV[EMPRESA],$C$4,LANÇ_MOV[CENTRO DE CUSTOS],$D$4)</f>
        <v>0</v>
      </c>
      <c r="F69" s="206">
        <f>SUMIFS(LANÇ_MOV[VALOR LÍQUIDO],LANÇ_MOV[RECEITA OU DESPESA],"Receita",LANÇ_MOV[CONTAS],$C69,LANÇ_MOV[PLANO DE CONTAS],REL_DRE_FINANCEIRO!$B$30,LANÇ_MOV[ANO PAGAMENTO],$B$4,LANÇ_MOV[MÊS PAGAMENTO CORRESPONDENTE],F$6,LANÇ_MOV[EMPRESA],$C$4,LANÇ_MOV[CENTRO DE CUSTOS],$D$4)</f>
        <v>0</v>
      </c>
      <c r="G69" s="206">
        <f>SUMIFS(LANÇ_MOV[VALOR LÍQUIDO],LANÇ_MOV[RECEITA OU DESPESA],"Receita",LANÇ_MOV[CONTAS],$C69,LANÇ_MOV[PLANO DE CONTAS],REL_DRE_FINANCEIRO!$B$30,LANÇ_MOV[ANO PAGAMENTO],$B$4,LANÇ_MOV[MÊS PAGAMENTO CORRESPONDENTE],G$6,LANÇ_MOV[EMPRESA],$C$4,LANÇ_MOV[CENTRO DE CUSTOS],$D$4)</f>
        <v>0</v>
      </c>
      <c r="H69" s="206">
        <f>SUMIFS(LANÇ_MOV[VALOR LÍQUIDO],LANÇ_MOV[RECEITA OU DESPESA],"Receita",LANÇ_MOV[CONTAS],$C69,LANÇ_MOV[PLANO DE CONTAS],REL_DRE_FINANCEIRO!$B$30,LANÇ_MOV[ANO PAGAMENTO],$B$4,LANÇ_MOV[MÊS PAGAMENTO CORRESPONDENTE],H$6,LANÇ_MOV[EMPRESA],$C$4,LANÇ_MOV[CENTRO DE CUSTOS],$D$4)</f>
        <v>0</v>
      </c>
      <c r="I69" s="206">
        <f>SUMIFS(LANÇ_MOV[VALOR LÍQUIDO],LANÇ_MOV[RECEITA OU DESPESA],"Receita",LANÇ_MOV[CONTAS],$C69,LANÇ_MOV[PLANO DE CONTAS],REL_DRE_FINANCEIRO!$B$30,LANÇ_MOV[ANO PAGAMENTO],$B$4,LANÇ_MOV[MÊS PAGAMENTO CORRESPONDENTE],I$6,LANÇ_MOV[EMPRESA],$C$4,LANÇ_MOV[CENTRO DE CUSTOS],$D$4)</f>
        <v>0</v>
      </c>
      <c r="J69" s="206">
        <f>SUMIFS(LANÇ_MOV[VALOR LÍQUIDO],LANÇ_MOV[RECEITA OU DESPESA],"Receita",LANÇ_MOV[CONTAS],$C69,LANÇ_MOV[PLANO DE CONTAS],REL_DRE_FINANCEIRO!$B$30,LANÇ_MOV[ANO PAGAMENTO],$B$4,LANÇ_MOV[MÊS PAGAMENTO CORRESPONDENTE],J$6,LANÇ_MOV[EMPRESA],$C$4,LANÇ_MOV[CENTRO DE CUSTOS],$D$4)</f>
        <v>0</v>
      </c>
      <c r="K69" s="206">
        <f>SUMIFS(LANÇ_MOV[VALOR LÍQUIDO],LANÇ_MOV[RECEITA OU DESPESA],"Receita",LANÇ_MOV[CONTAS],$C69,LANÇ_MOV[PLANO DE CONTAS],REL_DRE_FINANCEIRO!$B$30,LANÇ_MOV[ANO PAGAMENTO],$B$4,LANÇ_MOV[MÊS PAGAMENTO CORRESPONDENTE],K$6,LANÇ_MOV[EMPRESA],$C$4,LANÇ_MOV[CENTRO DE CUSTOS],$D$4)</f>
        <v>0</v>
      </c>
      <c r="L69" s="206">
        <f>SUMIFS(LANÇ_MOV[VALOR LÍQUIDO],LANÇ_MOV[RECEITA OU DESPESA],"Receita",LANÇ_MOV[CONTAS],$C69,LANÇ_MOV[PLANO DE CONTAS],REL_DRE_FINANCEIRO!$B$30,LANÇ_MOV[ANO PAGAMENTO],$B$4,LANÇ_MOV[MÊS PAGAMENTO CORRESPONDENTE],L$6,LANÇ_MOV[EMPRESA],$C$4,LANÇ_MOV[CENTRO DE CUSTOS],$D$4)</f>
        <v>0</v>
      </c>
      <c r="M69" s="206">
        <f>SUMIFS(LANÇ_MOV[VALOR LÍQUIDO],LANÇ_MOV[RECEITA OU DESPESA],"Receita",LANÇ_MOV[CONTAS],$C69,LANÇ_MOV[PLANO DE CONTAS],REL_DRE_FINANCEIRO!$B$30,LANÇ_MOV[ANO PAGAMENTO],$B$4,LANÇ_MOV[MÊS PAGAMENTO CORRESPONDENTE],M$6,LANÇ_MOV[EMPRESA],$C$4,LANÇ_MOV[CENTRO DE CUSTOS],$D$4)</f>
        <v>0</v>
      </c>
      <c r="N69" s="206">
        <f>SUMIFS(LANÇ_MOV[VALOR LÍQUIDO],LANÇ_MOV[RECEITA OU DESPESA],"Receita",LANÇ_MOV[CONTAS],$C69,LANÇ_MOV[PLANO DE CONTAS],REL_DRE_FINANCEIRO!$B$30,LANÇ_MOV[ANO PAGAMENTO],$B$4,LANÇ_MOV[MÊS PAGAMENTO CORRESPONDENTE],N$6,LANÇ_MOV[EMPRESA],$C$4,LANÇ_MOV[CENTRO DE CUSTOS],$D$4)</f>
        <v>0</v>
      </c>
      <c r="O69" s="206">
        <f>SUMIFS(LANÇ_MOV[VALOR LÍQUIDO],LANÇ_MOV[RECEITA OU DESPESA],"Receita",LANÇ_MOV[CONTAS],$C69,LANÇ_MOV[PLANO DE CONTAS],REL_DRE_FINANCEIRO!$B$30,LANÇ_MOV[ANO PAGAMENTO],$B$4,LANÇ_MOV[MÊS PAGAMENTO CORRESPONDENTE],O$6,LANÇ_MOV[EMPRESA],$C$4,LANÇ_MOV[CENTRO DE CUSTOS],$D$4)</f>
        <v>0</v>
      </c>
      <c r="P69" s="207">
        <f t="shared" si="18"/>
        <v>0</v>
      </c>
      <c r="Q69" s="333">
        <v>6.1999999999999999E-6</v>
      </c>
      <c r="R69" s="346">
        <f t="shared" si="19"/>
        <v>6.1999999999999999E-6</v>
      </c>
      <c r="S69" s="347" t="str">
        <f t="shared" si="20"/>
        <v>-</v>
      </c>
      <c r="T69" s="347">
        <f t="shared" si="21"/>
        <v>0</v>
      </c>
      <c r="U69" s="347">
        <f>HLOOKUP(Apoio!$P$12,$D$29:$P$130,X69,FALSE)+Q69</f>
        <v>6.1999999999999999E-6</v>
      </c>
      <c r="V69" s="447" t="str">
        <f t="shared" si="22"/>
        <v>-</v>
      </c>
      <c r="W69" s="448">
        <f>HLOOKUP(Apoio!$P$12,$D$29:$P$130,X69,FALSE)</f>
        <v>0</v>
      </c>
      <c r="X69" s="329">
        <v>41</v>
      </c>
    </row>
    <row r="70" spans="2:24" ht="30.05" customHeight="1" x14ac:dyDescent="0.35">
      <c r="B70" s="204" t="str">
        <f>'CAD_PL_REC-DESP'!B44</f>
        <v>1.1.40</v>
      </c>
      <c r="C70" s="205" t="str">
        <f>IF('CAD_PL_REC-DESP'!C44="","-",'CAD_PL_REC-DESP'!C44)</f>
        <v>-</v>
      </c>
      <c r="D70" s="206">
        <f>SUMIFS(LANÇ_MOV[VALOR LÍQUIDO],LANÇ_MOV[RECEITA OU DESPESA],"Receita",LANÇ_MOV[CONTAS],$C70,LANÇ_MOV[PLANO DE CONTAS],REL_DRE_FINANCEIRO!$B$30,LANÇ_MOV[ANO PAGAMENTO],$B$4,LANÇ_MOV[MÊS PAGAMENTO CORRESPONDENTE],D$6,LANÇ_MOV[EMPRESA],$C$4,LANÇ_MOV[CENTRO DE CUSTOS],$D$4)</f>
        <v>0</v>
      </c>
      <c r="E70" s="206">
        <f>SUMIFS(LANÇ_MOV[VALOR LÍQUIDO],LANÇ_MOV[RECEITA OU DESPESA],"Receita",LANÇ_MOV[CONTAS],$C70,LANÇ_MOV[PLANO DE CONTAS],REL_DRE_FINANCEIRO!$B$30,LANÇ_MOV[ANO PAGAMENTO],$B$4,LANÇ_MOV[MÊS PAGAMENTO CORRESPONDENTE],E$6,LANÇ_MOV[EMPRESA],$C$4,LANÇ_MOV[CENTRO DE CUSTOS],$D$4)</f>
        <v>0</v>
      </c>
      <c r="F70" s="206">
        <f>SUMIFS(LANÇ_MOV[VALOR LÍQUIDO],LANÇ_MOV[RECEITA OU DESPESA],"Receita",LANÇ_MOV[CONTAS],$C70,LANÇ_MOV[PLANO DE CONTAS],REL_DRE_FINANCEIRO!$B$30,LANÇ_MOV[ANO PAGAMENTO],$B$4,LANÇ_MOV[MÊS PAGAMENTO CORRESPONDENTE],F$6,LANÇ_MOV[EMPRESA],$C$4,LANÇ_MOV[CENTRO DE CUSTOS],$D$4)</f>
        <v>0</v>
      </c>
      <c r="G70" s="206">
        <f>SUMIFS(LANÇ_MOV[VALOR LÍQUIDO],LANÇ_MOV[RECEITA OU DESPESA],"Receita",LANÇ_MOV[CONTAS],$C70,LANÇ_MOV[PLANO DE CONTAS],REL_DRE_FINANCEIRO!$B$30,LANÇ_MOV[ANO PAGAMENTO],$B$4,LANÇ_MOV[MÊS PAGAMENTO CORRESPONDENTE],G$6,LANÇ_MOV[EMPRESA],$C$4,LANÇ_MOV[CENTRO DE CUSTOS],$D$4)</f>
        <v>0</v>
      </c>
      <c r="H70" s="206">
        <f>SUMIFS(LANÇ_MOV[VALOR LÍQUIDO],LANÇ_MOV[RECEITA OU DESPESA],"Receita",LANÇ_MOV[CONTAS],$C70,LANÇ_MOV[PLANO DE CONTAS],REL_DRE_FINANCEIRO!$B$30,LANÇ_MOV[ANO PAGAMENTO],$B$4,LANÇ_MOV[MÊS PAGAMENTO CORRESPONDENTE],H$6,LANÇ_MOV[EMPRESA],$C$4,LANÇ_MOV[CENTRO DE CUSTOS],$D$4)</f>
        <v>0</v>
      </c>
      <c r="I70" s="206">
        <f>SUMIFS(LANÇ_MOV[VALOR LÍQUIDO],LANÇ_MOV[RECEITA OU DESPESA],"Receita",LANÇ_MOV[CONTAS],$C70,LANÇ_MOV[PLANO DE CONTAS],REL_DRE_FINANCEIRO!$B$30,LANÇ_MOV[ANO PAGAMENTO],$B$4,LANÇ_MOV[MÊS PAGAMENTO CORRESPONDENTE],I$6,LANÇ_MOV[EMPRESA],$C$4,LANÇ_MOV[CENTRO DE CUSTOS],$D$4)</f>
        <v>0</v>
      </c>
      <c r="J70" s="206">
        <f>SUMIFS(LANÇ_MOV[VALOR LÍQUIDO],LANÇ_MOV[RECEITA OU DESPESA],"Receita",LANÇ_MOV[CONTAS],$C70,LANÇ_MOV[PLANO DE CONTAS],REL_DRE_FINANCEIRO!$B$30,LANÇ_MOV[ANO PAGAMENTO],$B$4,LANÇ_MOV[MÊS PAGAMENTO CORRESPONDENTE],J$6,LANÇ_MOV[EMPRESA],$C$4,LANÇ_MOV[CENTRO DE CUSTOS],$D$4)</f>
        <v>0</v>
      </c>
      <c r="K70" s="206">
        <f>SUMIFS(LANÇ_MOV[VALOR LÍQUIDO],LANÇ_MOV[RECEITA OU DESPESA],"Receita",LANÇ_MOV[CONTAS],$C70,LANÇ_MOV[PLANO DE CONTAS],REL_DRE_FINANCEIRO!$B$30,LANÇ_MOV[ANO PAGAMENTO],$B$4,LANÇ_MOV[MÊS PAGAMENTO CORRESPONDENTE],K$6,LANÇ_MOV[EMPRESA],$C$4,LANÇ_MOV[CENTRO DE CUSTOS],$D$4)</f>
        <v>0</v>
      </c>
      <c r="L70" s="206">
        <f>SUMIFS(LANÇ_MOV[VALOR LÍQUIDO],LANÇ_MOV[RECEITA OU DESPESA],"Receita",LANÇ_MOV[CONTAS],$C70,LANÇ_MOV[PLANO DE CONTAS],REL_DRE_FINANCEIRO!$B$30,LANÇ_MOV[ANO PAGAMENTO],$B$4,LANÇ_MOV[MÊS PAGAMENTO CORRESPONDENTE],L$6,LANÇ_MOV[EMPRESA],$C$4,LANÇ_MOV[CENTRO DE CUSTOS],$D$4)</f>
        <v>0</v>
      </c>
      <c r="M70" s="206">
        <f>SUMIFS(LANÇ_MOV[VALOR LÍQUIDO],LANÇ_MOV[RECEITA OU DESPESA],"Receita",LANÇ_MOV[CONTAS],$C70,LANÇ_MOV[PLANO DE CONTAS],REL_DRE_FINANCEIRO!$B$30,LANÇ_MOV[ANO PAGAMENTO],$B$4,LANÇ_MOV[MÊS PAGAMENTO CORRESPONDENTE],M$6,LANÇ_MOV[EMPRESA],$C$4,LANÇ_MOV[CENTRO DE CUSTOS],$D$4)</f>
        <v>0</v>
      </c>
      <c r="N70" s="206">
        <f>SUMIFS(LANÇ_MOV[VALOR LÍQUIDO],LANÇ_MOV[RECEITA OU DESPESA],"Receita",LANÇ_MOV[CONTAS],$C70,LANÇ_MOV[PLANO DE CONTAS],REL_DRE_FINANCEIRO!$B$30,LANÇ_MOV[ANO PAGAMENTO],$B$4,LANÇ_MOV[MÊS PAGAMENTO CORRESPONDENTE],N$6,LANÇ_MOV[EMPRESA],$C$4,LANÇ_MOV[CENTRO DE CUSTOS],$D$4)</f>
        <v>0</v>
      </c>
      <c r="O70" s="206">
        <f>SUMIFS(LANÇ_MOV[VALOR LÍQUIDO],LANÇ_MOV[RECEITA OU DESPESA],"Receita",LANÇ_MOV[CONTAS],$C70,LANÇ_MOV[PLANO DE CONTAS],REL_DRE_FINANCEIRO!$B$30,LANÇ_MOV[ANO PAGAMENTO],$B$4,LANÇ_MOV[MÊS PAGAMENTO CORRESPONDENTE],O$6,LANÇ_MOV[EMPRESA],$C$4,LANÇ_MOV[CENTRO DE CUSTOS],$D$4)</f>
        <v>0</v>
      </c>
      <c r="P70" s="207">
        <f t="shared" si="18"/>
        <v>0</v>
      </c>
      <c r="Q70" s="333">
        <v>6.1E-6</v>
      </c>
      <c r="R70" s="346">
        <f t="shared" si="19"/>
        <v>6.1E-6</v>
      </c>
      <c r="S70" s="347" t="str">
        <f t="shared" si="20"/>
        <v>-</v>
      </c>
      <c r="T70" s="347">
        <f t="shared" si="21"/>
        <v>0</v>
      </c>
      <c r="U70" s="347">
        <f>HLOOKUP(Apoio!$P$12,$D$29:$P$130,X70,FALSE)+Q70</f>
        <v>6.1E-6</v>
      </c>
      <c r="V70" s="447" t="str">
        <f t="shared" si="22"/>
        <v>-</v>
      </c>
      <c r="W70" s="448">
        <f>HLOOKUP(Apoio!$P$12,$D$29:$P$130,X70,FALSE)</f>
        <v>0</v>
      </c>
      <c r="X70" s="329">
        <v>42</v>
      </c>
    </row>
    <row r="71" spans="2:24" ht="30.05" customHeight="1" x14ac:dyDescent="0.35">
      <c r="B71" s="204" t="str">
        <f>'CAD_PL_REC-DESP'!B45</f>
        <v>1.1.41</v>
      </c>
      <c r="C71" s="205" t="str">
        <f>IF('CAD_PL_REC-DESP'!C45="","-",'CAD_PL_REC-DESP'!C45)</f>
        <v>-</v>
      </c>
      <c r="D71" s="206">
        <f>SUMIFS(LANÇ_MOV[VALOR LÍQUIDO],LANÇ_MOV[RECEITA OU DESPESA],"Receita",LANÇ_MOV[CONTAS],$C71,LANÇ_MOV[PLANO DE CONTAS],REL_DRE_FINANCEIRO!$B$30,LANÇ_MOV[ANO PAGAMENTO],$B$4,LANÇ_MOV[MÊS PAGAMENTO CORRESPONDENTE],D$6,LANÇ_MOV[EMPRESA],$C$4,LANÇ_MOV[CENTRO DE CUSTOS],$D$4)</f>
        <v>0</v>
      </c>
      <c r="E71" s="206">
        <f>SUMIFS(LANÇ_MOV[VALOR LÍQUIDO],LANÇ_MOV[RECEITA OU DESPESA],"Receita",LANÇ_MOV[CONTAS],$C71,LANÇ_MOV[PLANO DE CONTAS],REL_DRE_FINANCEIRO!$B$30,LANÇ_MOV[ANO PAGAMENTO],$B$4,LANÇ_MOV[MÊS PAGAMENTO CORRESPONDENTE],E$6,LANÇ_MOV[EMPRESA],$C$4,LANÇ_MOV[CENTRO DE CUSTOS],$D$4)</f>
        <v>0</v>
      </c>
      <c r="F71" s="206">
        <f>SUMIFS(LANÇ_MOV[VALOR LÍQUIDO],LANÇ_MOV[RECEITA OU DESPESA],"Receita",LANÇ_MOV[CONTAS],$C71,LANÇ_MOV[PLANO DE CONTAS],REL_DRE_FINANCEIRO!$B$30,LANÇ_MOV[ANO PAGAMENTO],$B$4,LANÇ_MOV[MÊS PAGAMENTO CORRESPONDENTE],F$6,LANÇ_MOV[EMPRESA],$C$4,LANÇ_MOV[CENTRO DE CUSTOS],$D$4)</f>
        <v>0</v>
      </c>
      <c r="G71" s="206">
        <f>SUMIFS(LANÇ_MOV[VALOR LÍQUIDO],LANÇ_MOV[RECEITA OU DESPESA],"Receita",LANÇ_MOV[CONTAS],$C71,LANÇ_MOV[PLANO DE CONTAS],REL_DRE_FINANCEIRO!$B$30,LANÇ_MOV[ANO PAGAMENTO],$B$4,LANÇ_MOV[MÊS PAGAMENTO CORRESPONDENTE],G$6,LANÇ_MOV[EMPRESA],$C$4,LANÇ_MOV[CENTRO DE CUSTOS],$D$4)</f>
        <v>0</v>
      </c>
      <c r="H71" s="206">
        <f>SUMIFS(LANÇ_MOV[VALOR LÍQUIDO],LANÇ_MOV[RECEITA OU DESPESA],"Receita",LANÇ_MOV[CONTAS],$C71,LANÇ_MOV[PLANO DE CONTAS],REL_DRE_FINANCEIRO!$B$30,LANÇ_MOV[ANO PAGAMENTO],$B$4,LANÇ_MOV[MÊS PAGAMENTO CORRESPONDENTE],H$6,LANÇ_MOV[EMPRESA],$C$4,LANÇ_MOV[CENTRO DE CUSTOS],$D$4)</f>
        <v>0</v>
      </c>
      <c r="I71" s="206">
        <f>SUMIFS(LANÇ_MOV[VALOR LÍQUIDO],LANÇ_MOV[RECEITA OU DESPESA],"Receita",LANÇ_MOV[CONTAS],$C71,LANÇ_MOV[PLANO DE CONTAS],REL_DRE_FINANCEIRO!$B$30,LANÇ_MOV[ANO PAGAMENTO],$B$4,LANÇ_MOV[MÊS PAGAMENTO CORRESPONDENTE],I$6,LANÇ_MOV[EMPRESA],$C$4,LANÇ_MOV[CENTRO DE CUSTOS],$D$4)</f>
        <v>0</v>
      </c>
      <c r="J71" s="206">
        <f>SUMIFS(LANÇ_MOV[VALOR LÍQUIDO],LANÇ_MOV[RECEITA OU DESPESA],"Receita",LANÇ_MOV[CONTAS],$C71,LANÇ_MOV[PLANO DE CONTAS],REL_DRE_FINANCEIRO!$B$30,LANÇ_MOV[ANO PAGAMENTO],$B$4,LANÇ_MOV[MÊS PAGAMENTO CORRESPONDENTE],J$6,LANÇ_MOV[EMPRESA],$C$4,LANÇ_MOV[CENTRO DE CUSTOS],$D$4)</f>
        <v>0</v>
      </c>
      <c r="K71" s="206">
        <f>SUMIFS(LANÇ_MOV[VALOR LÍQUIDO],LANÇ_MOV[RECEITA OU DESPESA],"Receita",LANÇ_MOV[CONTAS],$C71,LANÇ_MOV[PLANO DE CONTAS],REL_DRE_FINANCEIRO!$B$30,LANÇ_MOV[ANO PAGAMENTO],$B$4,LANÇ_MOV[MÊS PAGAMENTO CORRESPONDENTE],K$6,LANÇ_MOV[EMPRESA],$C$4,LANÇ_MOV[CENTRO DE CUSTOS],$D$4)</f>
        <v>0</v>
      </c>
      <c r="L71" s="206">
        <f>SUMIFS(LANÇ_MOV[VALOR LÍQUIDO],LANÇ_MOV[RECEITA OU DESPESA],"Receita",LANÇ_MOV[CONTAS],$C71,LANÇ_MOV[PLANO DE CONTAS],REL_DRE_FINANCEIRO!$B$30,LANÇ_MOV[ANO PAGAMENTO],$B$4,LANÇ_MOV[MÊS PAGAMENTO CORRESPONDENTE],L$6,LANÇ_MOV[EMPRESA],$C$4,LANÇ_MOV[CENTRO DE CUSTOS],$D$4)</f>
        <v>0</v>
      </c>
      <c r="M71" s="206">
        <f>SUMIFS(LANÇ_MOV[VALOR LÍQUIDO],LANÇ_MOV[RECEITA OU DESPESA],"Receita",LANÇ_MOV[CONTAS],$C71,LANÇ_MOV[PLANO DE CONTAS],REL_DRE_FINANCEIRO!$B$30,LANÇ_MOV[ANO PAGAMENTO],$B$4,LANÇ_MOV[MÊS PAGAMENTO CORRESPONDENTE],M$6,LANÇ_MOV[EMPRESA],$C$4,LANÇ_MOV[CENTRO DE CUSTOS],$D$4)</f>
        <v>0</v>
      </c>
      <c r="N71" s="206">
        <f>SUMIFS(LANÇ_MOV[VALOR LÍQUIDO],LANÇ_MOV[RECEITA OU DESPESA],"Receita",LANÇ_MOV[CONTAS],$C71,LANÇ_MOV[PLANO DE CONTAS],REL_DRE_FINANCEIRO!$B$30,LANÇ_MOV[ANO PAGAMENTO],$B$4,LANÇ_MOV[MÊS PAGAMENTO CORRESPONDENTE],N$6,LANÇ_MOV[EMPRESA],$C$4,LANÇ_MOV[CENTRO DE CUSTOS],$D$4)</f>
        <v>0</v>
      </c>
      <c r="O71" s="206">
        <f>SUMIFS(LANÇ_MOV[VALOR LÍQUIDO],LANÇ_MOV[RECEITA OU DESPESA],"Receita",LANÇ_MOV[CONTAS],$C71,LANÇ_MOV[PLANO DE CONTAS],REL_DRE_FINANCEIRO!$B$30,LANÇ_MOV[ANO PAGAMENTO],$B$4,LANÇ_MOV[MÊS PAGAMENTO CORRESPONDENTE],O$6,LANÇ_MOV[EMPRESA],$C$4,LANÇ_MOV[CENTRO DE CUSTOS],$D$4)</f>
        <v>0</v>
      </c>
      <c r="P71" s="207">
        <f t="shared" si="18"/>
        <v>0</v>
      </c>
      <c r="Q71" s="333">
        <v>6.0000000000000002E-6</v>
      </c>
      <c r="R71" s="346">
        <f t="shared" si="19"/>
        <v>6.0000000000000002E-6</v>
      </c>
      <c r="S71" s="347" t="str">
        <f t="shared" si="20"/>
        <v>-</v>
      </c>
      <c r="T71" s="347">
        <f t="shared" si="21"/>
        <v>0</v>
      </c>
      <c r="U71" s="347">
        <f>HLOOKUP(Apoio!$P$12,$D$29:$P$130,X71,FALSE)+Q71</f>
        <v>6.0000000000000002E-6</v>
      </c>
      <c r="V71" s="447" t="str">
        <f t="shared" si="22"/>
        <v>-</v>
      </c>
      <c r="W71" s="448">
        <f>HLOOKUP(Apoio!$P$12,$D$29:$P$130,X71,FALSE)</f>
        <v>0</v>
      </c>
      <c r="X71" s="329">
        <v>43</v>
      </c>
    </row>
    <row r="72" spans="2:24" ht="30.05" customHeight="1" x14ac:dyDescent="0.35">
      <c r="B72" s="204" t="str">
        <f>'CAD_PL_REC-DESP'!B46</f>
        <v>1.1.42</v>
      </c>
      <c r="C72" s="205" t="str">
        <f>IF('CAD_PL_REC-DESP'!C46="","-",'CAD_PL_REC-DESP'!C46)</f>
        <v>-</v>
      </c>
      <c r="D72" s="206">
        <f>SUMIFS(LANÇ_MOV[VALOR LÍQUIDO],LANÇ_MOV[RECEITA OU DESPESA],"Receita",LANÇ_MOV[CONTAS],$C72,LANÇ_MOV[PLANO DE CONTAS],REL_DRE_FINANCEIRO!$B$30,LANÇ_MOV[ANO PAGAMENTO],$B$4,LANÇ_MOV[MÊS PAGAMENTO CORRESPONDENTE],D$6,LANÇ_MOV[EMPRESA],$C$4,LANÇ_MOV[CENTRO DE CUSTOS],$D$4)</f>
        <v>0</v>
      </c>
      <c r="E72" s="206">
        <f>SUMIFS(LANÇ_MOV[VALOR LÍQUIDO],LANÇ_MOV[RECEITA OU DESPESA],"Receita",LANÇ_MOV[CONTAS],$C72,LANÇ_MOV[PLANO DE CONTAS],REL_DRE_FINANCEIRO!$B$30,LANÇ_MOV[ANO PAGAMENTO],$B$4,LANÇ_MOV[MÊS PAGAMENTO CORRESPONDENTE],E$6,LANÇ_MOV[EMPRESA],$C$4,LANÇ_MOV[CENTRO DE CUSTOS],$D$4)</f>
        <v>0</v>
      </c>
      <c r="F72" s="206">
        <f>SUMIFS(LANÇ_MOV[VALOR LÍQUIDO],LANÇ_MOV[RECEITA OU DESPESA],"Receita",LANÇ_MOV[CONTAS],$C72,LANÇ_MOV[PLANO DE CONTAS],REL_DRE_FINANCEIRO!$B$30,LANÇ_MOV[ANO PAGAMENTO],$B$4,LANÇ_MOV[MÊS PAGAMENTO CORRESPONDENTE],F$6,LANÇ_MOV[EMPRESA],$C$4,LANÇ_MOV[CENTRO DE CUSTOS],$D$4)</f>
        <v>0</v>
      </c>
      <c r="G72" s="206">
        <f>SUMIFS(LANÇ_MOV[VALOR LÍQUIDO],LANÇ_MOV[RECEITA OU DESPESA],"Receita",LANÇ_MOV[CONTAS],$C72,LANÇ_MOV[PLANO DE CONTAS],REL_DRE_FINANCEIRO!$B$30,LANÇ_MOV[ANO PAGAMENTO],$B$4,LANÇ_MOV[MÊS PAGAMENTO CORRESPONDENTE],G$6,LANÇ_MOV[EMPRESA],$C$4,LANÇ_MOV[CENTRO DE CUSTOS],$D$4)</f>
        <v>0</v>
      </c>
      <c r="H72" s="206">
        <f>SUMIFS(LANÇ_MOV[VALOR LÍQUIDO],LANÇ_MOV[RECEITA OU DESPESA],"Receita",LANÇ_MOV[CONTAS],$C72,LANÇ_MOV[PLANO DE CONTAS],REL_DRE_FINANCEIRO!$B$30,LANÇ_MOV[ANO PAGAMENTO],$B$4,LANÇ_MOV[MÊS PAGAMENTO CORRESPONDENTE],H$6,LANÇ_MOV[EMPRESA],$C$4,LANÇ_MOV[CENTRO DE CUSTOS],$D$4)</f>
        <v>0</v>
      </c>
      <c r="I72" s="206">
        <f>SUMIFS(LANÇ_MOV[VALOR LÍQUIDO],LANÇ_MOV[RECEITA OU DESPESA],"Receita",LANÇ_MOV[CONTAS],$C72,LANÇ_MOV[PLANO DE CONTAS],REL_DRE_FINANCEIRO!$B$30,LANÇ_MOV[ANO PAGAMENTO],$B$4,LANÇ_MOV[MÊS PAGAMENTO CORRESPONDENTE],I$6,LANÇ_MOV[EMPRESA],$C$4,LANÇ_MOV[CENTRO DE CUSTOS],$D$4)</f>
        <v>0</v>
      </c>
      <c r="J72" s="206">
        <f>SUMIFS(LANÇ_MOV[VALOR LÍQUIDO],LANÇ_MOV[RECEITA OU DESPESA],"Receita",LANÇ_MOV[CONTAS],$C72,LANÇ_MOV[PLANO DE CONTAS],REL_DRE_FINANCEIRO!$B$30,LANÇ_MOV[ANO PAGAMENTO],$B$4,LANÇ_MOV[MÊS PAGAMENTO CORRESPONDENTE],J$6,LANÇ_MOV[EMPRESA],$C$4,LANÇ_MOV[CENTRO DE CUSTOS],$D$4)</f>
        <v>0</v>
      </c>
      <c r="K72" s="206">
        <f>SUMIFS(LANÇ_MOV[VALOR LÍQUIDO],LANÇ_MOV[RECEITA OU DESPESA],"Receita",LANÇ_MOV[CONTAS],$C72,LANÇ_MOV[PLANO DE CONTAS],REL_DRE_FINANCEIRO!$B$30,LANÇ_MOV[ANO PAGAMENTO],$B$4,LANÇ_MOV[MÊS PAGAMENTO CORRESPONDENTE],K$6,LANÇ_MOV[EMPRESA],$C$4,LANÇ_MOV[CENTRO DE CUSTOS],$D$4)</f>
        <v>0</v>
      </c>
      <c r="L72" s="206">
        <f>SUMIFS(LANÇ_MOV[VALOR LÍQUIDO],LANÇ_MOV[RECEITA OU DESPESA],"Receita",LANÇ_MOV[CONTAS],$C72,LANÇ_MOV[PLANO DE CONTAS],REL_DRE_FINANCEIRO!$B$30,LANÇ_MOV[ANO PAGAMENTO],$B$4,LANÇ_MOV[MÊS PAGAMENTO CORRESPONDENTE],L$6,LANÇ_MOV[EMPRESA],$C$4,LANÇ_MOV[CENTRO DE CUSTOS],$D$4)</f>
        <v>0</v>
      </c>
      <c r="M72" s="206">
        <f>SUMIFS(LANÇ_MOV[VALOR LÍQUIDO],LANÇ_MOV[RECEITA OU DESPESA],"Receita",LANÇ_MOV[CONTAS],$C72,LANÇ_MOV[PLANO DE CONTAS],REL_DRE_FINANCEIRO!$B$30,LANÇ_MOV[ANO PAGAMENTO],$B$4,LANÇ_MOV[MÊS PAGAMENTO CORRESPONDENTE],M$6,LANÇ_MOV[EMPRESA],$C$4,LANÇ_MOV[CENTRO DE CUSTOS],$D$4)</f>
        <v>0</v>
      </c>
      <c r="N72" s="206">
        <f>SUMIFS(LANÇ_MOV[VALOR LÍQUIDO],LANÇ_MOV[RECEITA OU DESPESA],"Receita",LANÇ_MOV[CONTAS],$C72,LANÇ_MOV[PLANO DE CONTAS],REL_DRE_FINANCEIRO!$B$30,LANÇ_MOV[ANO PAGAMENTO],$B$4,LANÇ_MOV[MÊS PAGAMENTO CORRESPONDENTE],N$6,LANÇ_MOV[EMPRESA],$C$4,LANÇ_MOV[CENTRO DE CUSTOS],$D$4)</f>
        <v>0</v>
      </c>
      <c r="O72" s="206">
        <f>SUMIFS(LANÇ_MOV[VALOR LÍQUIDO],LANÇ_MOV[RECEITA OU DESPESA],"Receita",LANÇ_MOV[CONTAS],$C72,LANÇ_MOV[PLANO DE CONTAS],REL_DRE_FINANCEIRO!$B$30,LANÇ_MOV[ANO PAGAMENTO],$B$4,LANÇ_MOV[MÊS PAGAMENTO CORRESPONDENTE],O$6,LANÇ_MOV[EMPRESA],$C$4,LANÇ_MOV[CENTRO DE CUSTOS],$D$4)</f>
        <v>0</v>
      </c>
      <c r="P72" s="207">
        <f t="shared" si="18"/>
        <v>0</v>
      </c>
      <c r="Q72" s="333">
        <v>5.9000000000000003E-6</v>
      </c>
      <c r="R72" s="346">
        <f t="shared" si="19"/>
        <v>5.9000000000000003E-6</v>
      </c>
      <c r="S72" s="347" t="str">
        <f t="shared" si="20"/>
        <v>-</v>
      </c>
      <c r="T72" s="347">
        <f t="shared" si="21"/>
        <v>0</v>
      </c>
      <c r="U72" s="347">
        <f>HLOOKUP(Apoio!$P$12,$D$29:$P$130,X72,FALSE)+Q72</f>
        <v>5.9000000000000003E-6</v>
      </c>
      <c r="V72" s="447" t="str">
        <f t="shared" si="22"/>
        <v>-</v>
      </c>
      <c r="W72" s="448">
        <f>HLOOKUP(Apoio!$P$12,$D$29:$P$130,X72,FALSE)</f>
        <v>0</v>
      </c>
      <c r="X72" s="329">
        <v>44</v>
      </c>
    </row>
    <row r="73" spans="2:24" ht="30.05" customHeight="1" x14ac:dyDescent="0.35">
      <c r="B73" s="204" t="str">
        <f>'CAD_PL_REC-DESP'!B47</f>
        <v>1.1.43</v>
      </c>
      <c r="C73" s="205" t="str">
        <f>IF('CAD_PL_REC-DESP'!C47="","-",'CAD_PL_REC-DESP'!C47)</f>
        <v>-</v>
      </c>
      <c r="D73" s="206">
        <f>SUMIFS(LANÇ_MOV[VALOR LÍQUIDO],LANÇ_MOV[RECEITA OU DESPESA],"Receita",LANÇ_MOV[CONTAS],$C73,LANÇ_MOV[PLANO DE CONTAS],REL_DRE_FINANCEIRO!$B$30,LANÇ_MOV[ANO PAGAMENTO],$B$4,LANÇ_MOV[MÊS PAGAMENTO CORRESPONDENTE],D$6,LANÇ_MOV[EMPRESA],$C$4,LANÇ_MOV[CENTRO DE CUSTOS],$D$4)</f>
        <v>0</v>
      </c>
      <c r="E73" s="206">
        <f>SUMIFS(LANÇ_MOV[VALOR LÍQUIDO],LANÇ_MOV[RECEITA OU DESPESA],"Receita",LANÇ_MOV[CONTAS],$C73,LANÇ_MOV[PLANO DE CONTAS],REL_DRE_FINANCEIRO!$B$30,LANÇ_MOV[ANO PAGAMENTO],$B$4,LANÇ_MOV[MÊS PAGAMENTO CORRESPONDENTE],E$6,LANÇ_MOV[EMPRESA],$C$4,LANÇ_MOV[CENTRO DE CUSTOS],$D$4)</f>
        <v>0</v>
      </c>
      <c r="F73" s="206">
        <f>SUMIFS(LANÇ_MOV[VALOR LÍQUIDO],LANÇ_MOV[RECEITA OU DESPESA],"Receita",LANÇ_MOV[CONTAS],$C73,LANÇ_MOV[PLANO DE CONTAS],REL_DRE_FINANCEIRO!$B$30,LANÇ_MOV[ANO PAGAMENTO],$B$4,LANÇ_MOV[MÊS PAGAMENTO CORRESPONDENTE],F$6,LANÇ_MOV[EMPRESA],$C$4,LANÇ_MOV[CENTRO DE CUSTOS],$D$4)</f>
        <v>0</v>
      </c>
      <c r="G73" s="206">
        <f>SUMIFS(LANÇ_MOV[VALOR LÍQUIDO],LANÇ_MOV[RECEITA OU DESPESA],"Receita",LANÇ_MOV[CONTAS],$C73,LANÇ_MOV[PLANO DE CONTAS],REL_DRE_FINANCEIRO!$B$30,LANÇ_MOV[ANO PAGAMENTO],$B$4,LANÇ_MOV[MÊS PAGAMENTO CORRESPONDENTE],G$6,LANÇ_MOV[EMPRESA],$C$4,LANÇ_MOV[CENTRO DE CUSTOS],$D$4)</f>
        <v>0</v>
      </c>
      <c r="H73" s="206">
        <f>SUMIFS(LANÇ_MOV[VALOR LÍQUIDO],LANÇ_MOV[RECEITA OU DESPESA],"Receita",LANÇ_MOV[CONTAS],$C73,LANÇ_MOV[PLANO DE CONTAS],REL_DRE_FINANCEIRO!$B$30,LANÇ_MOV[ANO PAGAMENTO],$B$4,LANÇ_MOV[MÊS PAGAMENTO CORRESPONDENTE],H$6,LANÇ_MOV[EMPRESA],$C$4,LANÇ_MOV[CENTRO DE CUSTOS],$D$4)</f>
        <v>0</v>
      </c>
      <c r="I73" s="206">
        <f>SUMIFS(LANÇ_MOV[VALOR LÍQUIDO],LANÇ_MOV[RECEITA OU DESPESA],"Receita",LANÇ_MOV[CONTAS],$C73,LANÇ_MOV[PLANO DE CONTAS],REL_DRE_FINANCEIRO!$B$30,LANÇ_MOV[ANO PAGAMENTO],$B$4,LANÇ_MOV[MÊS PAGAMENTO CORRESPONDENTE],I$6,LANÇ_MOV[EMPRESA],$C$4,LANÇ_MOV[CENTRO DE CUSTOS],$D$4)</f>
        <v>0</v>
      </c>
      <c r="J73" s="206">
        <f>SUMIFS(LANÇ_MOV[VALOR LÍQUIDO],LANÇ_MOV[RECEITA OU DESPESA],"Receita",LANÇ_MOV[CONTAS],$C73,LANÇ_MOV[PLANO DE CONTAS],REL_DRE_FINANCEIRO!$B$30,LANÇ_MOV[ANO PAGAMENTO],$B$4,LANÇ_MOV[MÊS PAGAMENTO CORRESPONDENTE],J$6,LANÇ_MOV[EMPRESA],$C$4,LANÇ_MOV[CENTRO DE CUSTOS],$D$4)</f>
        <v>0</v>
      </c>
      <c r="K73" s="206">
        <f>SUMIFS(LANÇ_MOV[VALOR LÍQUIDO],LANÇ_MOV[RECEITA OU DESPESA],"Receita",LANÇ_MOV[CONTAS],$C73,LANÇ_MOV[PLANO DE CONTAS],REL_DRE_FINANCEIRO!$B$30,LANÇ_MOV[ANO PAGAMENTO],$B$4,LANÇ_MOV[MÊS PAGAMENTO CORRESPONDENTE],K$6,LANÇ_MOV[EMPRESA],$C$4,LANÇ_MOV[CENTRO DE CUSTOS],$D$4)</f>
        <v>0</v>
      </c>
      <c r="L73" s="206">
        <f>SUMIFS(LANÇ_MOV[VALOR LÍQUIDO],LANÇ_MOV[RECEITA OU DESPESA],"Receita",LANÇ_MOV[CONTAS],$C73,LANÇ_MOV[PLANO DE CONTAS],REL_DRE_FINANCEIRO!$B$30,LANÇ_MOV[ANO PAGAMENTO],$B$4,LANÇ_MOV[MÊS PAGAMENTO CORRESPONDENTE],L$6,LANÇ_MOV[EMPRESA],$C$4,LANÇ_MOV[CENTRO DE CUSTOS],$D$4)</f>
        <v>0</v>
      </c>
      <c r="M73" s="206">
        <f>SUMIFS(LANÇ_MOV[VALOR LÍQUIDO],LANÇ_MOV[RECEITA OU DESPESA],"Receita",LANÇ_MOV[CONTAS],$C73,LANÇ_MOV[PLANO DE CONTAS],REL_DRE_FINANCEIRO!$B$30,LANÇ_MOV[ANO PAGAMENTO],$B$4,LANÇ_MOV[MÊS PAGAMENTO CORRESPONDENTE],M$6,LANÇ_MOV[EMPRESA],$C$4,LANÇ_MOV[CENTRO DE CUSTOS],$D$4)</f>
        <v>0</v>
      </c>
      <c r="N73" s="206">
        <f>SUMIFS(LANÇ_MOV[VALOR LÍQUIDO],LANÇ_MOV[RECEITA OU DESPESA],"Receita",LANÇ_MOV[CONTAS],$C73,LANÇ_MOV[PLANO DE CONTAS],REL_DRE_FINANCEIRO!$B$30,LANÇ_MOV[ANO PAGAMENTO],$B$4,LANÇ_MOV[MÊS PAGAMENTO CORRESPONDENTE],N$6,LANÇ_MOV[EMPRESA],$C$4,LANÇ_MOV[CENTRO DE CUSTOS],$D$4)</f>
        <v>0</v>
      </c>
      <c r="O73" s="206">
        <f>SUMIFS(LANÇ_MOV[VALOR LÍQUIDO],LANÇ_MOV[RECEITA OU DESPESA],"Receita",LANÇ_MOV[CONTAS],$C73,LANÇ_MOV[PLANO DE CONTAS],REL_DRE_FINANCEIRO!$B$30,LANÇ_MOV[ANO PAGAMENTO],$B$4,LANÇ_MOV[MÊS PAGAMENTO CORRESPONDENTE],O$6,LANÇ_MOV[EMPRESA],$C$4,LANÇ_MOV[CENTRO DE CUSTOS],$D$4)</f>
        <v>0</v>
      </c>
      <c r="P73" s="207">
        <f t="shared" si="18"/>
        <v>0</v>
      </c>
      <c r="Q73" s="333">
        <v>5.8000000000000004E-6</v>
      </c>
      <c r="R73" s="346">
        <f t="shared" si="19"/>
        <v>5.8000000000000004E-6</v>
      </c>
      <c r="S73" s="347" t="str">
        <f t="shared" si="20"/>
        <v>-</v>
      </c>
      <c r="T73" s="347">
        <f t="shared" si="21"/>
        <v>0</v>
      </c>
      <c r="U73" s="347">
        <f>HLOOKUP(Apoio!$P$12,$D$29:$P$130,X73,FALSE)+Q73</f>
        <v>5.8000000000000004E-6</v>
      </c>
      <c r="V73" s="447" t="str">
        <f t="shared" si="22"/>
        <v>-</v>
      </c>
      <c r="W73" s="448">
        <f>HLOOKUP(Apoio!$P$12,$D$29:$P$130,X73,FALSE)</f>
        <v>0</v>
      </c>
      <c r="X73" s="329">
        <v>45</v>
      </c>
    </row>
    <row r="74" spans="2:24" ht="30.05" customHeight="1" x14ac:dyDescent="0.35">
      <c r="B74" s="204" t="str">
        <f>'CAD_PL_REC-DESP'!B48</f>
        <v>1.1.44</v>
      </c>
      <c r="C74" s="205" t="str">
        <f>IF('CAD_PL_REC-DESP'!C48="","-",'CAD_PL_REC-DESP'!C48)</f>
        <v>-</v>
      </c>
      <c r="D74" s="206">
        <f>SUMIFS(LANÇ_MOV[VALOR LÍQUIDO],LANÇ_MOV[RECEITA OU DESPESA],"Receita",LANÇ_MOV[CONTAS],$C74,LANÇ_MOV[PLANO DE CONTAS],REL_DRE_FINANCEIRO!$B$30,LANÇ_MOV[ANO PAGAMENTO],$B$4,LANÇ_MOV[MÊS PAGAMENTO CORRESPONDENTE],D$6,LANÇ_MOV[EMPRESA],$C$4,LANÇ_MOV[CENTRO DE CUSTOS],$D$4)</f>
        <v>0</v>
      </c>
      <c r="E74" s="206">
        <f>SUMIFS(LANÇ_MOV[VALOR LÍQUIDO],LANÇ_MOV[RECEITA OU DESPESA],"Receita",LANÇ_MOV[CONTAS],$C74,LANÇ_MOV[PLANO DE CONTAS],REL_DRE_FINANCEIRO!$B$30,LANÇ_MOV[ANO PAGAMENTO],$B$4,LANÇ_MOV[MÊS PAGAMENTO CORRESPONDENTE],E$6,LANÇ_MOV[EMPRESA],$C$4,LANÇ_MOV[CENTRO DE CUSTOS],$D$4)</f>
        <v>0</v>
      </c>
      <c r="F74" s="206">
        <f>SUMIFS(LANÇ_MOV[VALOR LÍQUIDO],LANÇ_MOV[RECEITA OU DESPESA],"Receita",LANÇ_MOV[CONTAS],$C74,LANÇ_MOV[PLANO DE CONTAS],REL_DRE_FINANCEIRO!$B$30,LANÇ_MOV[ANO PAGAMENTO],$B$4,LANÇ_MOV[MÊS PAGAMENTO CORRESPONDENTE],F$6,LANÇ_MOV[EMPRESA],$C$4,LANÇ_MOV[CENTRO DE CUSTOS],$D$4)</f>
        <v>0</v>
      </c>
      <c r="G74" s="206">
        <f>SUMIFS(LANÇ_MOV[VALOR LÍQUIDO],LANÇ_MOV[RECEITA OU DESPESA],"Receita",LANÇ_MOV[CONTAS],$C74,LANÇ_MOV[PLANO DE CONTAS],REL_DRE_FINANCEIRO!$B$30,LANÇ_MOV[ANO PAGAMENTO],$B$4,LANÇ_MOV[MÊS PAGAMENTO CORRESPONDENTE],G$6,LANÇ_MOV[EMPRESA],$C$4,LANÇ_MOV[CENTRO DE CUSTOS],$D$4)</f>
        <v>0</v>
      </c>
      <c r="H74" s="206">
        <f>SUMIFS(LANÇ_MOV[VALOR LÍQUIDO],LANÇ_MOV[RECEITA OU DESPESA],"Receita",LANÇ_MOV[CONTAS],$C74,LANÇ_MOV[PLANO DE CONTAS],REL_DRE_FINANCEIRO!$B$30,LANÇ_MOV[ANO PAGAMENTO],$B$4,LANÇ_MOV[MÊS PAGAMENTO CORRESPONDENTE],H$6,LANÇ_MOV[EMPRESA],$C$4,LANÇ_MOV[CENTRO DE CUSTOS],$D$4)</f>
        <v>0</v>
      </c>
      <c r="I74" s="206">
        <f>SUMIFS(LANÇ_MOV[VALOR LÍQUIDO],LANÇ_MOV[RECEITA OU DESPESA],"Receita",LANÇ_MOV[CONTAS],$C74,LANÇ_MOV[PLANO DE CONTAS],REL_DRE_FINANCEIRO!$B$30,LANÇ_MOV[ANO PAGAMENTO],$B$4,LANÇ_MOV[MÊS PAGAMENTO CORRESPONDENTE],I$6,LANÇ_MOV[EMPRESA],$C$4,LANÇ_MOV[CENTRO DE CUSTOS],$D$4)</f>
        <v>0</v>
      </c>
      <c r="J74" s="206">
        <f>SUMIFS(LANÇ_MOV[VALOR LÍQUIDO],LANÇ_MOV[RECEITA OU DESPESA],"Receita",LANÇ_MOV[CONTAS],$C74,LANÇ_MOV[PLANO DE CONTAS],REL_DRE_FINANCEIRO!$B$30,LANÇ_MOV[ANO PAGAMENTO],$B$4,LANÇ_MOV[MÊS PAGAMENTO CORRESPONDENTE],J$6,LANÇ_MOV[EMPRESA],$C$4,LANÇ_MOV[CENTRO DE CUSTOS],$D$4)</f>
        <v>0</v>
      </c>
      <c r="K74" s="206">
        <f>SUMIFS(LANÇ_MOV[VALOR LÍQUIDO],LANÇ_MOV[RECEITA OU DESPESA],"Receita",LANÇ_MOV[CONTAS],$C74,LANÇ_MOV[PLANO DE CONTAS],REL_DRE_FINANCEIRO!$B$30,LANÇ_MOV[ANO PAGAMENTO],$B$4,LANÇ_MOV[MÊS PAGAMENTO CORRESPONDENTE],K$6,LANÇ_MOV[EMPRESA],$C$4,LANÇ_MOV[CENTRO DE CUSTOS],$D$4)</f>
        <v>0</v>
      </c>
      <c r="L74" s="206">
        <f>SUMIFS(LANÇ_MOV[VALOR LÍQUIDO],LANÇ_MOV[RECEITA OU DESPESA],"Receita",LANÇ_MOV[CONTAS],$C74,LANÇ_MOV[PLANO DE CONTAS],REL_DRE_FINANCEIRO!$B$30,LANÇ_MOV[ANO PAGAMENTO],$B$4,LANÇ_MOV[MÊS PAGAMENTO CORRESPONDENTE],L$6,LANÇ_MOV[EMPRESA],$C$4,LANÇ_MOV[CENTRO DE CUSTOS],$D$4)</f>
        <v>0</v>
      </c>
      <c r="M74" s="206">
        <f>SUMIFS(LANÇ_MOV[VALOR LÍQUIDO],LANÇ_MOV[RECEITA OU DESPESA],"Receita",LANÇ_MOV[CONTAS],$C74,LANÇ_MOV[PLANO DE CONTAS],REL_DRE_FINANCEIRO!$B$30,LANÇ_MOV[ANO PAGAMENTO],$B$4,LANÇ_MOV[MÊS PAGAMENTO CORRESPONDENTE],M$6,LANÇ_MOV[EMPRESA],$C$4,LANÇ_MOV[CENTRO DE CUSTOS],$D$4)</f>
        <v>0</v>
      </c>
      <c r="N74" s="206">
        <f>SUMIFS(LANÇ_MOV[VALOR LÍQUIDO],LANÇ_MOV[RECEITA OU DESPESA],"Receita",LANÇ_MOV[CONTAS],$C74,LANÇ_MOV[PLANO DE CONTAS],REL_DRE_FINANCEIRO!$B$30,LANÇ_MOV[ANO PAGAMENTO],$B$4,LANÇ_MOV[MÊS PAGAMENTO CORRESPONDENTE],N$6,LANÇ_MOV[EMPRESA],$C$4,LANÇ_MOV[CENTRO DE CUSTOS],$D$4)</f>
        <v>0</v>
      </c>
      <c r="O74" s="206">
        <f>SUMIFS(LANÇ_MOV[VALOR LÍQUIDO],LANÇ_MOV[RECEITA OU DESPESA],"Receita",LANÇ_MOV[CONTAS],$C74,LANÇ_MOV[PLANO DE CONTAS],REL_DRE_FINANCEIRO!$B$30,LANÇ_MOV[ANO PAGAMENTO],$B$4,LANÇ_MOV[MÊS PAGAMENTO CORRESPONDENTE],O$6,LANÇ_MOV[EMPRESA],$C$4,LANÇ_MOV[CENTRO DE CUSTOS],$D$4)</f>
        <v>0</v>
      </c>
      <c r="P74" s="207">
        <f t="shared" si="18"/>
        <v>0</v>
      </c>
      <c r="Q74" s="333">
        <v>5.6999999999999996E-6</v>
      </c>
      <c r="R74" s="346">
        <f t="shared" si="19"/>
        <v>5.6999999999999996E-6</v>
      </c>
      <c r="S74" s="347" t="str">
        <f t="shared" si="20"/>
        <v>-</v>
      </c>
      <c r="T74" s="347">
        <f t="shared" si="21"/>
        <v>0</v>
      </c>
      <c r="U74" s="347">
        <f>HLOOKUP(Apoio!$P$12,$D$29:$P$130,X74,FALSE)+Q74</f>
        <v>5.6999999999999996E-6</v>
      </c>
      <c r="V74" s="447" t="str">
        <f t="shared" si="22"/>
        <v>-</v>
      </c>
      <c r="W74" s="448">
        <f>HLOOKUP(Apoio!$P$12,$D$29:$P$130,X74,FALSE)</f>
        <v>0</v>
      </c>
      <c r="X74" s="329">
        <v>46</v>
      </c>
    </row>
    <row r="75" spans="2:24" ht="30.05" customHeight="1" x14ac:dyDescent="0.35">
      <c r="B75" s="204" t="str">
        <f>'CAD_PL_REC-DESP'!B49</f>
        <v>1.1.45</v>
      </c>
      <c r="C75" s="205" t="str">
        <f>IF('CAD_PL_REC-DESP'!C49="","-",'CAD_PL_REC-DESP'!C49)</f>
        <v>-</v>
      </c>
      <c r="D75" s="206">
        <f>SUMIFS(LANÇ_MOV[VALOR LÍQUIDO],LANÇ_MOV[RECEITA OU DESPESA],"Receita",LANÇ_MOV[CONTAS],$C75,LANÇ_MOV[PLANO DE CONTAS],REL_DRE_FINANCEIRO!$B$30,LANÇ_MOV[ANO PAGAMENTO],$B$4,LANÇ_MOV[MÊS PAGAMENTO CORRESPONDENTE],D$6,LANÇ_MOV[EMPRESA],$C$4,LANÇ_MOV[CENTRO DE CUSTOS],$D$4)</f>
        <v>0</v>
      </c>
      <c r="E75" s="206">
        <f>SUMIFS(LANÇ_MOV[VALOR LÍQUIDO],LANÇ_MOV[RECEITA OU DESPESA],"Receita",LANÇ_MOV[CONTAS],$C75,LANÇ_MOV[PLANO DE CONTAS],REL_DRE_FINANCEIRO!$B$30,LANÇ_MOV[ANO PAGAMENTO],$B$4,LANÇ_MOV[MÊS PAGAMENTO CORRESPONDENTE],E$6,LANÇ_MOV[EMPRESA],$C$4,LANÇ_MOV[CENTRO DE CUSTOS],$D$4)</f>
        <v>0</v>
      </c>
      <c r="F75" s="206">
        <f>SUMIFS(LANÇ_MOV[VALOR LÍQUIDO],LANÇ_MOV[RECEITA OU DESPESA],"Receita",LANÇ_MOV[CONTAS],$C75,LANÇ_MOV[PLANO DE CONTAS],REL_DRE_FINANCEIRO!$B$30,LANÇ_MOV[ANO PAGAMENTO],$B$4,LANÇ_MOV[MÊS PAGAMENTO CORRESPONDENTE],F$6,LANÇ_MOV[EMPRESA],$C$4,LANÇ_MOV[CENTRO DE CUSTOS],$D$4)</f>
        <v>0</v>
      </c>
      <c r="G75" s="206">
        <f>SUMIFS(LANÇ_MOV[VALOR LÍQUIDO],LANÇ_MOV[RECEITA OU DESPESA],"Receita",LANÇ_MOV[CONTAS],$C75,LANÇ_MOV[PLANO DE CONTAS],REL_DRE_FINANCEIRO!$B$30,LANÇ_MOV[ANO PAGAMENTO],$B$4,LANÇ_MOV[MÊS PAGAMENTO CORRESPONDENTE],G$6,LANÇ_MOV[EMPRESA],$C$4,LANÇ_MOV[CENTRO DE CUSTOS],$D$4)</f>
        <v>0</v>
      </c>
      <c r="H75" s="206">
        <f>SUMIFS(LANÇ_MOV[VALOR LÍQUIDO],LANÇ_MOV[RECEITA OU DESPESA],"Receita",LANÇ_MOV[CONTAS],$C75,LANÇ_MOV[PLANO DE CONTAS],REL_DRE_FINANCEIRO!$B$30,LANÇ_MOV[ANO PAGAMENTO],$B$4,LANÇ_MOV[MÊS PAGAMENTO CORRESPONDENTE],H$6,LANÇ_MOV[EMPRESA],$C$4,LANÇ_MOV[CENTRO DE CUSTOS],$D$4)</f>
        <v>0</v>
      </c>
      <c r="I75" s="206">
        <f>SUMIFS(LANÇ_MOV[VALOR LÍQUIDO],LANÇ_MOV[RECEITA OU DESPESA],"Receita",LANÇ_MOV[CONTAS],$C75,LANÇ_MOV[PLANO DE CONTAS],REL_DRE_FINANCEIRO!$B$30,LANÇ_MOV[ANO PAGAMENTO],$B$4,LANÇ_MOV[MÊS PAGAMENTO CORRESPONDENTE],I$6,LANÇ_MOV[EMPRESA],$C$4,LANÇ_MOV[CENTRO DE CUSTOS],$D$4)</f>
        <v>0</v>
      </c>
      <c r="J75" s="206">
        <f>SUMIFS(LANÇ_MOV[VALOR LÍQUIDO],LANÇ_MOV[RECEITA OU DESPESA],"Receita",LANÇ_MOV[CONTAS],$C75,LANÇ_MOV[PLANO DE CONTAS],REL_DRE_FINANCEIRO!$B$30,LANÇ_MOV[ANO PAGAMENTO],$B$4,LANÇ_MOV[MÊS PAGAMENTO CORRESPONDENTE],J$6,LANÇ_MOV[EMPRESA],$C$4,LANÇ_MOV[CENTRO DE CUSTOS],$D$4)</f>
        <v>0</v>
      </c>
      <c r="K75" s="206">
        <f>SUMIFS(LANÇ_MOV[VALOR LÍQUIDO],LANÇ_MOV[RECEITA OU DESPESA],"Receita",LANÇ_MOV[CONTAS],$C75,LANÇ_MOV[PLANO DE CONTAS],REL_DRE_FINANCEIRO!$B$30,LANÇ_MOV[ANO PAGAMENTO],$B$4,LANÇ_MOV[MÊS PAGAMENTO CORRESPONDENTE],K$6,LANÇ_MOV[EMPRESA],$C$4,LANÇ_MOV[CENTRO DE CUSTOS],$D$4)</f>
        <v>0</v>
      </c>
      <c r="L75" s="206">
        <f>SUMIFS(LANÇ_MOV[VALOR LÍQUIDO],LANÇ_MOV[RECEITA OU DESPESA],"Receita",LANÇ_MOV[CONTAS],$C75,LANÇ_MOV[PLANO DE CONTAS],REL_DRE_FINANCEIRO!$B$30,LANÇ_MOV[ANO PAGAMENTO],$B$4,LANÇ_MOV[MÊS PAGAMENTO CORRESPONDENTE],L$6,LANÇ_MOV[EMPRESA],$C$4,LANÇ_MOV[CENTRO DE CUSTOS],$D$4)</f>
        <v>0</v>
      </c>
      <c r="M75" s="206">
        <f>SUMIFS(LANÇ_MOV[VALOR LÍQUIDO],LANÇ_MOV[RECEITA OU DESPESA],"Receita",LANÇ_MOV[CONTAS],$C75,LANÇ_MOV[PLANO DE CONTAS],REL_DRE_FINANCEIRO!$B$30,LANÇ_MOV[ANO PAGAMENTO],$B$4,LANÇ_MOV[MÊS PAGAMENTO CORRESPONDENTE],M$6,LANÇ_MOV[EMPRESA],$C$4,LANÇ_MOV[CENTRO DE CUSTOS],$D$4)</f>
        <v>0</v>
      </c>
      <c r="N75" s="206">
        <f>SUMIFS(LANÇ_MOV[VALOR LÍQUIDO],LANÇ_MOV[RECEITA OU DESPESA],"Receita",LANÇ_MOV[CONTAS],$C75,LANÇ_MOV[PLANO DE CONTAS],REL_DRE_FINANCEIRO!$B$30,LANÇ_MOV[ANO PAGAMENTO],$B$4,LANÇ_MOV[MÊS PAGAMENTO CORRESPONDENTE],N$6,LANÇ_MOV[EMPRESA],$C$4,LANÇ_MOV[CENTRO DE CUSTOS],$D$4)</f>
        <v>0</v>
      </c>
      <c r="O75" s="206">
        <f>SUMIFS(LANÇ_MOV[VALOR LÍQUIDO],LANÇ_MOV[RECEITA OU DESPESA],"Receita",LANÇ_MOV[CONTAS],$C75,LANÇ_MOV[PLANO DE CONTAS],REL_DRE_FINANCEIRO!$B$30,LANÇ_MOV[ANO PAGAMENTO],$B$4,LANÇ_MOV[MÊS PAGAMENTO CORRESPONDENTE],O$6,LANÇ_MOV[EMPRESA],$C$4,LANÇ_MOV[CENTRO DE CUSTOS],$D$4)</f>
        <v>0</v>
      </c>
      <c r="P75" s="207">
        <f t="shared" si="18"/>
        <v>0</v>
      </c>
      <c r="Q75" s="333">
        <v>5.5999999999999997E-6</v>
      </c>
      <c r="R75" s="346">
        <f t="shared" si="19"/>
        <v>5.5999999999999997E-6</v>
      </c>
      <c r="S75" s="347" t="str">
        <f t="shared" si="20"/>
        <v>-</v>
      </c>
      <c r="T75" s="347">
        <f t="shared" si="21"/>
        <v>0</v>
      </c>
      <c r="U75" s="347">
        <f>HLOOKUP(Apoio!$P$12,$D$29:$P$130,X75,FALSE)+Q75</f>
        <v>5.5999999999999997E-6</v>
      </c>
      <c r="V75" s="447" t="str">
        <f t="shared" si="22"/>
        <v>-</v>
      </c>
      <c r="W75" s="448">
        <f>HLOOKUP(Apoio!$P$12,$D$29:$P$130,X75,FALSE)</f>
        <v>0</v>
      </c>
      <c r="X75" s="329">
        <v>47</v>
      </c>
    </row>
    <row r="76" spans="2:24" ht="30.05" customHeight="1" x14ac:dyDescent="0.35">
      <c r="B76" s="204" t="str">
        <f>'CAD_PL_REC-DESP'!B50</f>
        <v>1.1.46</v>
      </c>
      <c r="C76" s="205" t="str">
        <f>IF('CAD_PL_REC-DESP'!C50="","-",'CAD_PL_REC-DESP'!C50)</f>
        <v>-</v>
      </c>
      <c r="D76" s="206">
        <f>SUMIFS(LANÇ_MOV[VALOR LÍQUIDO],LANÇ_MOV[RECEITA OU DESPESA],"Receita",LANÇ_MOV[CONTAS],$C76,LANÇ_MOV[PLANO DE CONTAS],REL_DRE_FINANCEIRO!$B$30,LANÇ_MOV[ANO PAGAMENTO],$B$4,LANÇ_MOV[MÊS PAGAMENTO CORRESPONDENTE],D$6,LANÇ_MOV[EMPRESA],$C$4,LANÇ_MOV[CENTRO DE CUSTOS],$D$4)</f>
        <v>0</v>
      </c>
      <c r="E76" s="206">
        <f>SUMIFS(LANÇ_MOV[VALOR LÍQUIDO],LANÇ_MOV[RECEITA OU DESPESA],"Receita",LANÇ_MOV[CONTAS],$C76,LANÇ_MOV[PLANO DE CONTAS],REL_DRE_FINANCEIRO!$B$30,LANÇ_MOV[ANO PAGAMENTO],$B$4,LANÇ_MOV[MÊS PAGAMENTO CORRESPONDENTE],E$6,LANÇ_MOV[EMPRESA],$C$4,LANÇ_MOV[CENTRO DE CUSTOS],$D$4)</f>
        <v>0</v>
      </c>
      <c r="F76" s="206">
        <f>SUMIFS(LANÇ_MOV[VALOR LÍQUIDO],LANÇ_MOV[RECEITA OU DESPESA],"Receita",LANÇ_MOV[CONTAS],$C76,LANÇ_MOV[PLANO DE CONTAS],REL_DRE_FINANCEIRO!$B$30,LANÇ_MOV[ANO PAGAMENTO],$B$4,LANÇ_MOV[MÊS PAGAMENTO CORRESPONDENTE],F$6,LANÇ_MOV[EMPRESA],$C$4,LANÇ_MOV[CENTRO DE CUSTOS],$D$4)</f>
        <v>0</v>
      </c>
      <c r="G76" s="206">
        <f>SUMIFS(LANÇ_MOV[VALOR LÍQUIDO],LANÇ_MOV[RECEITA OU DESPESA],"Receita",LANÇ_MOV[CONTAS],$C76,LANÇ_MOV[PLANO DE CONTAS],REL_DRE_FINANCEIRO!$B$30,LANÇ_MOV[ANO PAGAMENTO],$B$4,LANÇ_MOV[MÊS PAGAMENTO CORRESPONDENTE],G$6,LANÇ_MOV[EMPRESA],$C$4,LANÇ_MOV[CENTRO DE CUSTOS],$D$4)</f>
        <v>0</v>
      </c>
      <c r="H76" s="206">
        <f>SUMIFS(LANÇ_MOV[VALOR LÍQUIDO],LANÇ_MOV[RECEITA OU DESPESA],"Receita",LANÇ_MOV[CONTAS],$C76,LANÇ_MOV[PLANO DE CONTAS],REL_DRE_FINANCEIRO!$B$30,LANÇ_MOV[ANO PAGAMENTO],$B$4,LANÇ_MOV[MÊS PAGAMENTO CORRESPONDENTE],H$6,LANÇ_MOV[EMPRESA],$C$4,LANÇ_MOV[CENTRO DE CUSTOS],$D$4)</f>
        <v>0</v>
      </c>
      <c r="I76" s="206">
        <f>SUMIFS(LANÇ_MOV[VALOR LÍQUIDO],LANÇ_MOV[RECEITA OU DESPESA],"Receita",LANÇ_MOV[CONTAS],$C76,LANÇ_MOV[PLANO DE CONTAS],REL_DRE_FINANCEIRO!$B$30,LANÇ_MOV[ANO PAGAMENTO],$B$4,LANÇ_MOV[MÊS PAGAMENTO CORRESPONDENTE],I$6,LANÇ_MOV[EMPRESA],$C$4,LANÇ_MOV[CENTRO DE CUSTOS],$D$4)</f>
        <v>0</v>
      </c>
      <c r="J76" s="206">
        <f>SUMIFS(LANÇ_MOV[VALOR LÍQUIDO],LANÇ_MOV[RECEITA OU DESPESA],"Receita",LANÇ_MOV[CONTAS],$C76,LANÇ_MOV[PLANO DE CONTAS],REL_DRE_FINANCEIRO!$B$30,LANÇ_MOV[ANO PAGAMENTO],$B$4,LANÇ_MOV[MÊS PAGAMENTO CORRESPONDENTE],J$6,LANÇ_MOV[EMPRESA],$C$4,LANÇ_MOV[CENTRO DE CUSTOS],$D$4)</f>
        <v>0</v>
      </c>
      <c r="K76" s="206">
        <f>SUMIFS(LANÇ_MOV[VALOR LÍQUIDO],LANÇ_MOV[RECEITA OU DESPESA],"Receita",LANÇ_MOV[CONTAS],$C76,LANÇ_MOV[PLANO DE CONTAS],REL_DRE_FINANCEIRO!$B$30,LANÇ_MOV[ANO PAGAMENTO],$B$4,LANÇ_MOV[MÊS PAGAMENTO CORRESPONDENTE],K$6,LANÇ_MOV[EMPRESA],$C$4,LANÇ_MOV[CENTRO DE CUSTOS],$D$4)</f>
        <v>0</v>
      </c>
      <c r="L76" s="206">
        <f>SUMIFS(LANÇ_MOV[VALOR LÍQUIDO],LANÇ_MOV[RECEITA OU DESPESA],"Receita",LANÇ_MOV[CONTAS],$C76,LANÇ_MOV[PLANO DE CONTAS],REL_DRE_FINANCEIRO!$B$30,LANÇ_MOV[ANO PAGAMENTO],$B$4,LANÇ_MOV[MÊS PAGAMENTO CORRESPONDENTE],L$6,LANÇ_MOV[EMPRESA],$C$4,LANÇ_MOV[CENTRO DE CUSTOS],$D$4)</f>
        <v>0</v>
      </c>
      <c r="M76" s="206">
        <f>SUMIFS(LANÇ_MOV[VALOR LÍQUIDO],LANÇ_MOV[RECEITA OU DESPESA],"Receita",LANÇ_MOV[CONTAS],$C76,LANÇ_MOV[PLANO DE CONTAS],REL_DRE_FINANCEIRO!$B$30,LANÇ_MOV[ANO PAGAMENTO],$B$4,LANÇ_MOV[MÊS PAGAMENTO CORRESPONDENTE],M$6,LANÇ_MOV[EMPRESA],$C$4,LANÇ_MOV[CENTRO DE CUSTOS],$D$4)</f>
        <v>0</v>
      </c>
      <c r="N76" s="206">
        <f>SUMIFS(LANÇ_MOV[VALOR LÍQUIDO],LANÇ_MOV[RECEITA OU DESPESA],"Receita",LANÇ_MOV[CONTAS],$C76,LANÇ_MOV[PLANO DE CONTAS],REL_DRE_FINANCEIRO!$B$30,LANÇ_MOV[ANO PAGAMENTO],$B$4,LANÇ_MOV[MÊS PAGAMENTO CORRESPONDENTE],N$6,LANÇ_MOV[EMPRESA],$C$4,LANÇ_MOV[CENTRO DE CUSTOS],$D$4)</f>
        <v>0</v>
      </c>
      <c r="O76" s="206">
        <f>SUMIFS(LANÇ_MOV[VALOR LÍQUIDO],LANÇ_MOV[RECEITA OU DESPESA],"Receita",LANÇ_MOV[CONTAS],$C76,LANÇ_MOV[PLANO DE CONTAS],REL_DRE_FINANCEIRO!$B$30,LANÇ_MOV[ANO PAGAMENTO],$B$4,LANÇ_MOV[MÊS PAGAMENTO CORRESPONDENTE],O$6,LANÇ_MOV[EMPRESA],$C$4,LANÇ_MOV[CENTRO DE CUSTOS],$D$4)</f>
        <v>0</v>
      </c>
      <c r="P76" s="207">
        <f t="shared" si="18"/>
        <v>0</v>
      </c>
      <c r="Q76" s="333">
        <v>5.4999999999999999E-6</v>
      </c>
      <c r="R76" s="346">
        <f t="shared" si="19"/>
        <v>5.4999999999999999E-6</v>
      </c>
      <c r="S76" s="347" t="str">
        <f t="shared" si="20"/>
        <v>-</v>
      </c>
      <c r="T76" s="347">
        <f t="shared" si="21"/>
        <v>0</v>
      </c>
      <c r="U76" s="347">
        <f>HLOOKUP(Apoio!$P$12,$D$29:$P$130,X76,FALSE)+Q76</f>
        <v>5.4999999999999999E-6</v>
      </c>
      <c r="V76" s="447" t="str">
        <f t="shared" si="22"/>
        <v>-</v>
      </c>
      <c r="W76" s="448">
        <f>HLOOKUP(Apoio!$P$12,$D$29:$P$130,X76,FALSE)</f>
        <v>0</v>
      </c>
      <c r="X76" s="329">
        <v>48</v>
      </c>
    </row>
    <row r="77" spans="2:24" ht="30.05" customHeight="1" x14ac:dyDescent="0.35">
      <c r="B77" s="204" t="str">
        <f>'CAD_PL_REC-DESP'!B51</f>
        <v>1.1.47</v>
      </c>
      <c r="C77" s="205" t="str">
        <f>IF('CAD_PL_REC-DESP'!C51="","-",'CAD_PL_REC-DESP'!C51)</f>
        <v>-</v>
      </c>
      <c r="D77" s="206">
        <f>SUMIFS(LANÇ_MOV[VALOR LÍQUIDO],LANÇ_MOV[RECEITA OU DESPESA],"Receita",LANÇ_MOV[CONTAS],$C77,LANÇ_MOV[PLANO DE CONTAS],REL_DRE_FINANCEIRO!$B$30,LANÇ_MOV[ANO PAGAMENTO],$B$4,LANÇ_MOV[MÊS PAGAMENTO CORRESPONDENTE],D$6,LANÇ_MOV[EMPRESA],$C$4,LANÇ_MOV[CENTRO DE CUSTOS],$D$4)</f>
        <v>0</v>
      </c>
      <c r="E77" s="206">
        <f>SUMIFS(LANÇ_MOV[VALOR LÍQUIDO],LANÇ_MOV[RECEITA OU DESPESA],"Receita",LANÇ_MOV[CONTAS],$C77,LANÇ_MOV[PLANO DE CONTAS],REL_DRE_FINANCEIRO!$B$30,LANÇ_MOV[ANO PAGAMENTO],$B$4,LANÇ_MOV[MÊS PAGAMENTO CORRESPONDENTE],E$6,LANÇ_MOV[EMPRESA],$C$4,LANÇ_MOV[CENTRO DE CUSTOS],$D$4)</f>
        <v>0</v>
      </c>
      <c r="F77" s="206">
        <f>SUMIFS(LANÇ_MOV[VALOR LÍQUIDO],LANÇ_MOV[RECEITA OU DESPESA],"Receita",LANÇ_MOV[CONTAS],$C77,LANÇ_MOV[PLANO DE CONTAS],REL_DRE_FINANCEIRO!$B$30,LANÇ_MOV[ANO PAGAMENTO],$B$4,LANÇ_MOV[MÊS PAGAMENTO CORRESPONDENTE],F$6,LANÇ_MOV[EMPRESA],$C$4,LANÇ_MOV[CENTRO DE CUSTOS],$D$4)</f>
        <v>0</v>
      </c>
      <c r="G77" s="206">
        <f>SUMIFS(LANÇ_MOV[VALOR LÍQUIDO],LANÇ_MOV[RECEITA OU DESPESA],"Receita",LANÇ_MOV[CONTAS],$C77,LANÇ_MOV[PLANO DE CONTAS],REL_DRE_FINANCEIRO!$B$30,LANÇ_MOV[ANO PAGAMENTO],$B$4,LANÇ_MOV[MÊS PAGAMENTO CORRESPONDENTE],G$6,LANÇ_MOV[EMPRESA],$C$4,LANÇ_MOV[CENTRO DE CUSTOS],$D$4)</f>
        <v>0</v>
      </c>
      <c r="H77" s="206">
        <f>SUMIFS(LANÇ_MOV[VALOR LÍQUIDO],LANÇ_MOV[RECEITA OU DESPESA],"Receita",LANÇ_MOV[CONTAS],$C77,LANÇ_MOV[PLANO DE CONTAS],REL_DRE_FINANCEIRO!$B$30,LANÇ_MOV[ANO PAGAMENTO],$B$4,LANÇ_MOV[MÊS PAGAMENTO CORRESPONDENTE],H$6,LANÇ_MOV[EMPRESA],$C$4,LANÇ_MOV[CENTRO DE CUSTOS],$D$4)</f>
        <v>0</v>
      </c>
      <c r="I77" s="206">
        <f>SUMIFS(LANÇ_MOV[VALOR LÍQUIDO],LANÇ_MOV[RECEITA OU DESPESA],"Receita",LANÇ_MOV[CONTAS],$C77,LANÇ_MOV[PLANO DE CONTAS],REL_DRE_FINANCEIRO!$B$30,LANÇ_MOV[ANO PAGAMENTO],$B$4,LANÇ_MOV[MÊS PAGAMENTO CORRESPONDENTE],I$6,LANÇ_MOV[EMPRESA],$C$4,LANÇ_MOV[CENTRO DE CUSTOS],$D$4)</f>
        <v>0</v>
      </c>
      <c r="J77" s="206">
        <f>SUMIFS(LANÇ_MOV[VALOR LÍQUIDO],LANÇ_MOV[RECEITA OU DESPESA],"Receita",LANÇ_MOV[CONTAS],$C77,LANÇ_MOV[PLANO DE CONTAS],REL_DRE_FINANCEIRO!$B$30,LANÇ_MOV[ANO PAGAMENTO],$B$4,LANÇ_MOV[MÊS PAGAMENTO CORRESPONDENTE],J$6,LANÇ_MOV[EMPRESA],$C$4,LANÇ_MOV[CENTRO DE CUSTOS],$D$4)</f>
        <v>0</v>
      </c>
      <c r="K77" s="206">
        <f>SUMIFS(LANÇ_MOV[VALOR LÍQUIDO],LANÇ_MOV[RECEITA OU DESPESA],"Receita",LANÇ_MOV[CONTAS],$C77,LANÇ_MOV[PLANO DE CONTAS],REL_DRE_FINANCEIRO!$B$30,LANÇ_MOV[ANO PAGAMENTO],$B$4,LANÇ_MOV[MÊS PAGAMENTO CORRESPONDENTE],K$6,LANÇ_MOV[EMPRESA],$C$4,LANÇ_MOV[CENTRO DE CUSTOS],$D$4)</f>
        <v>0</v>
      </c>
      <c r="L77" s="206">
        <f>SUMIFS(LANÇ_MOV[VALOR LÍQUIDO],LANÇ_MOV[RECEITA OU DESPESA],"Receita",LANÇ_MOV[CONTAS],$C77,LANÇ_MOV[PLANO DE CONTAS],REL_DRE_FINANCEIRO!$B$30,LANÇ_MOV[ANO PAGAMENTO],$B$4,LANÇ_MOV[MÊS PAGAMENTO CORRESPONDENTE],L$6,LANÇ_MOV[EMPRESA],$C$4,LANÇ_MOV[CENTRO DE CUSTOS],$D$4)</f>
        <v>0</v>
      </c>
      <c r="M77" s="206">
        <f>SUMIFS(LANÇ_MOV[VALOR LÍQUIDO],LANÇ_MOV[RECEITA OU DESPESA],"Receita",LANÇ_MOV[CONTAS],$C77,LANÇ_MOV[PLANO DE CONTAS],REL_DRE_FINANCEIRO!$B$30,LANÇ_MOV[ANO PAGAMENTO],$B$4,LANÇ_MOV[MÊS PAGAMENTO CORRESPONDENTE],M$6,LANÇ_MOV[EMPRESA],$C$4,LANÇ_MOV[CENTRO DE CUSTOS],$D$4)</f>
        <v>0</v>
      </c>
      <c r="N77" s="206">
        <f>SUMIFS(LANÇ_MOV[VALOR LÍQUIDO],LANÇ_MOV[RECEITA OU DESPESA],"Receita",LANÇ_MOV[CONTAS],$C77,LANÇ_MOV[PLANO DE CONTAS],REL_DRE_FINANCEIRO!$B$30,LANÇ_MOV[ANO PAGAMENTO],$B$4,LANÇ_MOV[MÊS PAGAMENTO CORRESPONDENTE],N$6,LANÇ_MOV[EMPRESA],$C$4,LANÇ_MOV[CENTRO DE CUSTOS],$D$4)</f>
        <v>0</v>
      </c>
      <c r="O77" s="206">
        <f>SUMIFS(LANÇ_MOV[VALOR LÍQUIDO],LANÇ_MOV[RECEITA OU DESPESA],"Receita",LANÇ_MOV[CONTAS],$C77,LANÇ_MOV[PLANO DE CONTAS],REL_DRE_FINANCEIRO!$B$30,LANÇ_MOV[ANO PAGAMENTO],$B$4,LANÇ_MOV[MÊS PAGAMENTO CORRESPONDENTE],O$6,LANÇ_MOV[EMPRESA],$C$4,LANÇ_MOV[CENTRO DE CUSTOS],$D$4)</f>
        <v>0</v>
      </c>
      <c r="P77" s="207">
        <f t="shared" si="18"/>
        <v>0</v>
      </c>
      <c r="Q77" s="333">
        <v>5.4E-6</v>
      </c>
      <c r="R77" s="346">
        <f t="shared" si="19"/>
        <v>5.4E-6</v>
      </c>
      <c r="S77" s="347" t="str">
        <f t="shared" si="20"/>
        <v>-</v>
      </c>
      <c r="T77" s="347">
        <f t="shared" si="21"/>
        <v>0</v>
      </c>
      <c r="U77" s="347">
        <f>HLOOKUP(Apoio!$P$12,$D$29:$P$130,X77,FALSE)+Q77</f>
        <v>5.4E-6</v>
      </c>
      <c r="V77" s="447" t="str">
        <f t="shared" si="22"/>
        <v>-</v>
      </c>
      <c r="W77" s="448">
        <f>HLOOKUP(Apoio!$P$12,$D$29:$P$130,X77,FALSE)</f>
        <v>0</v>
      </c>
      <c r="X77" s="329">
        <v>49</v>
      </c>
    </row>
    <row r="78" spans="2:24" ht="30.05" customHeight="1" x14ac:dyDescent="0.35">
      <c r="B78" s="204" t="str">
        <f>'CAD_PL_REC-DESP'!B52</f>
        <v>1.1.48</v>
      </c>
      <c r="C78" s="205" t="str">
        <f>IF('CAD_PL_REC-DESP'!C52="","-",'CAD_PL_REC-DESP'!C52)</f>
        <v>-</v>
      </c>
      <c r="D78" s="206">
        <f>SUMIFS(LANÇ_MOV[VALOR LÍQUIDO],LANÇ_MOV[RECEITA OU DESPESA],"Receita",LANÇ_MOV[CONTAS],$C78,LANÇ_MOV[PLANO DE CONTAS],REL_DRE_FINANCEIRO!$B$30,LANÇ_MOV[ANO PAGAMENTO],$B$4,LANÇ_MOV[MÊS PAGAMENTO CORRESPONDENTE],D$6,LANÇ_MOV[EMPRESA],$C$4,LANÇ_MOV[CENTRO DE CUSTOS],$D$4)</f>
        <v>0</v>
      </c>
      <c r="E78" s="206">
        <f>SUMIFS(LANÇ_MOV[VALOR LÍQUIDO],LANÇ_MOV[RECEITA OU DESPESA],"Receita",LANÇ_MOV[CONTAS],$C78,LANÇ_MOV[PLANO DE CONTAS],REL_DRE_FINANCEIRO!$B$30,LANÇ_MOV[ANO PAGAMENTO],$B$4,LANÇ_MOV[MÊS PAGAMENTO CORRESPONDENTE],E$6,LANÇ_MOV[EMPRESA],$C$4,LANÇ_MOV[CENTRO DE CUSTOS],$D$4)</f>
        <v>0</v>
      </c>
      <c r="F78" s="206">
        <f>SUMIFS(LANÇ_MOV[VALOR LÍQUIDO],LANÇ_MOV[RECEITA OU DESPESA],"Receita",LANÇ_MOV[CONTAS],$C78,LANÇ_MOV[PLANO DE CONTAS],REL_DRE_FINANCEIRO!$B$30,LANÇ_MOV[ANO PAGAMENTO],$B$4,LANÇ_MOV[MÊS PAGAMENTO CORRESPONDENTE],F$6,LANÇ_MOV[EMPRESA],$C$4,LANÇ_MOV[CENTRO DE CUSTOS],$D$4)</f>
        <v>0</v>
      </c>
      <c r="G78" s="206">
        <f>SUMIFS(LANÇ_MOV[VALOR LÍQUIDO],LANÇ_MOV[RECEITA OU DESPESA],"Receita",LANÇ_MOV[CONTAS],$C78,LANÇ_MOV[PLANO DE CONTAS],REL_DRE_FINANCEIRO!$B$30,LANÇ_MOV[ANO PAGAMENTO],$B$4,LANÇ_MOV[MÊS PAGAMENTO CORRESPONDENTE],G$6,LANÇ_MOV[EMPRESA],$C$4,LANÇ_MOV[CENTRO DE CUSTOS],$D$4)</f>
        <v>0</v>
      </c>
      <c r="H78" s="206">
        <f>SUMIFS(LANÇ_MOV[VALOR LÍQUIDO],LANÇ_MOV[RECEITA OU DESPESA],"Receita",LANÇ_MOV[CONTAS],$C78,LANÇ_MOV[PLANO DE CONTAS],REL_DRE_FINANCEIRO!$B$30,LANÇ_MOV[ANO PAGAMENTO],$B$4,LANÇ_MOV[MÊS PAGAMENTO CORRESPONDENTE],H$6,LANÇ_MOV[EMPRESA],$C$4,LANÇ_MOV[CENTRO DE CUSTOS],$D$4)</f>
        <v>0</v>
      </c>
      <c r="I78" s="206">
        <f>SUMIFS(LANÇ_MOV[VALOR LÍQUIDO],LANÇ_MOV[RECEITA OU DESPESA],"Receita",LANÇ_MOV[CONTAS],$C78,LANÇ_MOV[PLANO DE CONTAS],REL_DRE_FINANCEIRO!$B$30,LANÇ_MOV[ANO PAGAMENTO],$B$4,LANÇ_MOV[MÊS PAGAMENTO CORRESPONDENTE],I$6,LANÇ_MOV[EMPRESA],$C$4,LANÇ_MOV[CENTRO DE CUSTOS],$D$4)</f>
        <v>0</v>
      </c>
      <c r="J78" s="206">
        <f>SUMIFS(LANÇ_MOV[VALOR LÍQUIDO],LANÇ_MOV[RECEITA OU DESPESA],"Receita",LANÇ_MOV[CONTAS],$C78,LANÇ_MOV[PLANO DE CONTAS],REL_DRE_FINANCEIRO!$B$30,LANÇ_MOV[ANO PAGAMENTO],$B$4,LANÇ_MOV[MÊS PAGAMENTO CORRESPONDENTE],J$6,LANÇ_MOV[EMPRESA],$C$4,LANÇ_MOV[CENTRO DE CUSTOS],$D$4)</f>
        <v>0</v>
      </c>
      <c r="K78" s="206">
        <f>SUMIFS(LANÇ_MOV[VALOR LÍQUIDO],LANÇ_MOV[RECEITA OU DESPESA],"Receita",LANÇ_MOV[CONTAS],$C78,LANÇ_MOV[PLANO DE CONTAS],REL_DRE_FINANCEIRO!$B$30,LANÇ_MOV[ANO PAGAMENTO],$B$4,LANÇ_MOV[MÊS PAGAMENTO CORRESPONDENTE],K$6,LANÇ_MOV[EMPRESA],$C$4,LANÇ_MOV[CENTRO DE CUSTOS],$D$4)</f>
        <v>0</v>
      </c>
      <c r="L78" s="206">
        <f>SUMIFS(LANÇ_MOV[VALOR LÍQUIDO],LANÇ_MOV[RECEITA OU DESPESA],"Receita",LANÇ_MOV[CONTAS],$C78,LANÇ_MOV[PLANO DE CONTAS],REL_DRE_FINANCEIRO!$B$30,LANÇ_MOV[ANO PAGAMENTO],$B$4,LANÇ_MOV[MÊS PAGAMENTO CORRESPONDENTE],L$6,LANÇ_MOV[EMPRESA],$C$4,LANÇ_MOV[CENTRO DE CUSTOS],$D$4)</f>
        <v>0</v>
      </c>
      <c r="M78" s="206">
        <f>SUMIFS(LANÇ_MOV[VALOR LÍQUIDO],LANÇ_MOV[RECEITA OU DESPESA],"Receita",LANÇ_MOV[CONTAS],$C78,LANÇ_MOV[PLANO DE CONTAS],REL_DRE_FINANCEIRO!$B$30,LANÇ_MOV[ANO PAGAMENTO],$B$4,LANÇ_MOV[MÊS PAGAMENTO CORRESPONDENTE],M$6,LANÇ_MOV[EMPRESA],$C$4,LANÇ_MOV[CENTRO DE CUSTOS],$D$4)</f>
        <v>0</v>
      </c>
      <c r="N78" s="206">
        <f>SUMIFS(LANÇ_MOV[VALOR LÍQUIDO],LANÇ_MOV[RECEITA OU DESPESA],"Receita",LANÇ_MOV[CONTAS],$C78,LANÇ_MOV[PLANO DE CONTAS],REL_DRE_FINANCEIRO!$B$30,LANÇ_MOV[ANO PAGAMENTO],$B$4,LANÇ_MOV[MÊS PAGAMENTO CORRESPONDENTE],N$6,LANÇ_MOV[EMPRESA],$C$4,LANÇ_MOV[CENTRO DE CUSTOS],$D$4)</f>
        <v>0</v>
      </c>
      <c r="O78" s="206">
        <f>SUMIFS(LANÇ_MOV[VALOR LÍQUIDO],LANÇ_MOV[RECEITA OU DESPESA],"Receita",LANÇ_MOV[CONTAS],$C78,LANÇ_MOV[PLANO DE CONTAS],REL_DRE_FINANCEIRO!$B$30,LANÇ_MOV[ANO PAGAMENTO],$B$4,LANÇ_MOV[MÊS PAGAMENTO CORRESPONDENTE],O$6,LANÇ_MOV[EMPRESA],$C$4,LANÇ_MOV[CENTRO DE CUSTOS],$D$4)</f>
        <v>0</v>
      </c>
      <c r="P78" s="207">
        <f t="shared" si="18"/>
        <v>0</v>
      </c>
      <c r="Q78" s="333">
        <v>5.3000000000000001E-6</v>
      </c>
      <c r="R78" s="346">
        <f t="shared" si="19"/>
        <v>5.3000000000000001E-6</v>
      </c>
      <c r="S78" s="347" t="str">
        <f t="shared" si="20"/>
        <v>-</v>
      </c>
      <c r="T78" s="347">
        <f t="shared" si="21"/>
        <v>0</v>
      </c>
      <c r="U78" s="347">
        <f>HLOOKUP(Apoio!$P$12,$D$29:$P$130,X78,FALSE)+Q78</f>
        <v>5.3000000000000001E-6</v>
      </c>
      <c r="V78" s="447" t="str">
        <f t="shared" si="22"/>
        <v>-</v>
      </c>
      <c r="W78" s="448">
        <f>HLOOKUP(Apoio!$P$12,$D$29:$P$130,X78,FALSE)</f>
        <v>0</v>
      </c>
      <c r="X78" s="329">
        <v>50</v>
      </c>
    </row>
    <row r="79" spans="2:24" ht="30.05" customHeight="1" x14ac:dyDescent="0.35">
      <c r="B79" s="204" t="str">
        <f>'CAD_PL_REC-DESP'!B53</f>
        <v>1.1.49</v>
      </c>
      <c r="C79" s="205" t="str">
        <f>IF('CAD_PL_REC-DESP'!C53="","-",'CAD_PL_REC-DESP'!C53)</f>
        <v>-</v>
      </c>
      <c r="D79" s="206">
        <f>SUMIFS(LANÇ_MOV[VALOR LÍQUIDO],LANÇ_MOV[RECEITA OU DESPESA],"Receita",LANÇ_MOV[CONTAS],$C79,LANÇ_MOV[PLANO DE CONTAS],REL_DRE_FINANCEIRO!$B$30,LANÇ_MOV[ANO PAGAMENTO],$B$4,LANÇ_MOV[MÊS PAGAMENTO CORRESPONDENTE],D$6,LANÇ_MOV[EMPRESA],$C$4,LANÇ_MOV[CENTRO DE CUSTOS],$D$4)</f>
        <v>0</v>
      </c>
      <c r="E79" s="206">
        <f>SUMIFS(LANÇ_MOV[VALOR LÍQUIDO],LANÇ_MOV[RECEITA OU DESPESA],"Receita",LANÇ_MOV[CONTAS],$C79,LANÇ_MOV[PLANO DE CONTAS],REL_DRE_FINANCEIRO!$B$30,LANÇ_MOV[ANO PAGAMENTO],$B$4,LANÇ_MOV[MÊS PAGAMENTO CORRESPONDENTE],E$6,LANÇ_MOV[EMPRESA],$C$4,LANÇ_MOV[CENTRO DE CUSTOS],$D$4)</f>
        <v>0</v>
      </c>
      <c r="F79" s="206">
        <f>SUMIFS(LANÇ_MOV[VALOR LÍQUIDO],LANÇ_MOV[RECEITA OU DESPESA],"Receita",LANÇ_MOV[CONTAS],$C79,LANÇ_MOV[PLANO DE CONTAS],REL_DRE_FINANCEIRO!$B$30,LANÇ_MOV[ANO PAGAMENTO],$B$4,LANÇ_MOV[MÊS PAGAMENTO CORRESPONDENTE],F$6,LANÇ_MOV[EMPRESA],$C$4,LANÇ_MOV[CENTRO DE CUSTOS],$D$4)</f>
        <v>0</v>
      </c>
      <c r="G79" s="206">
        <f>SUMIFS(LANÇ_MOV[VALOR LÍQUIDO],LANÇ_MOV[RECEITA OU DESPESA],"Receita",LANÇ_MOV[CONTAS],$C79,LANÇ_MOV[PLANO DE CONTAS],REL_DRE_FINANCEIRO!$B$30,LANÇ_MOV[ANO PAGAMENTO],$B$4,LANÇ_MOV[MÊS PAGAMENTO CORRESPONDENTE],G$6,LANÇ_MOV[EMPRESA],$C$4,LANÇ_MOV[CENTRO DE CUSTOS],$D$4)</f>
        <v>0</v>
      </c>
      <c r="H79" s="206">
        <f>SUMIFS(LANÇ_MOV[VALOR LÍQUIDO],LANÇ_MOV[RECEITA OU DESPESA],"Receita",LANÇ_MOV[CONTAS],$C79,LANÇ_MOV[PLANO DE CONTAS],REL_DRE_FINANCEIRO!$B$30,LANÇ_MOV[ANO PAGAMENTO],$B$4,LANÇ_MOV[MÊS PAGAMENTO CORRESPONDENTE],H$6,LANÇ_MOV[EMPRESA],$C$4,LANÇ_MOV[CENTRO DE CUSTOS],$D$4)</f>
        <v>0</v>
      </c>
      <c r="I79" s="206">
        <f>SUMIFS(LANÇ_MOV[VALOR LÍQUIDO],LANÇ_MOV[RECEITA OU DESPESA],"Receita",LANÇ_MOV[CONTAS],$C79,LANÇ_MOV[PLANO DE CONTAS],REL_DRE_FINANCEIRO!$B$30,LANÇ_MOV[ANO PAGAMENTO],$B$4,LANÇ_MOV[MÊS PAGAMENTO CORRESPONDENTE],I$6,LANÇ_MOV[EMPRESA],$C$4,LANÇ_MOV[CENTRO DE CUSTOS],$D$4)</f>
        <v>0</v>
      </c>
      <c r="J79" s="206">
        <f>SUMIFS(LANÇ_MOV[VALOR LÍQUIDO],LANÇ_MOV[RECEITA OU DESPESA],"Receita",LANÇ_MOV[CONTAS],$C79,LANÇ_MOV[PLANO DE CONTAS],REL_DRE_FINANCEIRO!$B$30,LANÇ_MOV[ANO PAGAMENTO],$B$4,LANÇ_MOV[MÊS PAGAMENTO CORRESPONDENTE],J$6,LANÇ_MOV[EMPRESA],$C$4,LANÇ_MOV[CENTRO DE CUSTOS],$D$4)</f>
        <v>0</v>
      </c>
      <c r="K79" s="206">
        <f>SUMIFS(LANÇ_MOV[VALOR LÍQUIDO],LANÇ_MOV[RECEITA OU DESPESA],"Receita",LANÇ_MOV[CONTAS],$C79,LANÇ_MOV[PLANO DE CONTAS],REL_DRE_FINANCEIRO!$B$30,LANÇ_MOV[ANO PAGAMENTO],$B$4,LANÇ_MOV[MÊS PAGAMENTO CORRESPONDENTE],K$6,LANÇ_MOV[EMPRESA],$C$4,LANÇ_MOV[CENTRO DE CUSTOS],$D$4)</f>
        <v>0</v>
      </c>
      <c r="L79" s="206">
        <f>SUMIFS(LANÇ_MOV[VALOR LÍQUIDO],LANÇ_MOV[RECEITA OU DESPESA],"Receita",LANÇ_MOV[CONTAS],$C79,LANÇ_MOV[PLANO DE CONTAS],REL_DRE_FINANCEIRO!$B$30,LANÇ_MOV[ANO PAGAMENTO],$B$4,LANÇ_MOV[MÊS PAGAMENTO CORRESPONDENTE],L$6,LANÇ_MOV[EMPRESA],$C$4,LANÇ_MOV[CENTRO DE CUSTOS],$D$4)</f>
        <v>0</v>
      </c>
      <c r="M79" s="206">
        <f>SUMIFS(LANÇ_MOV[VALOR LÍQUIDO],LANÇ_MOV[RECEITA OU DESPESA],"Receita",LANÇ_MOV[CONTAS],$C79,LANÇ_MOV[PLANO DE CONTAS],REL_DRE_FINANCEIRO!$B$30,LANÇ_MOV[ANO PAGAMENTO],$B$4,LANÇ_MOV[MÊS PAGAMENTO CORRESPONDENTE],M$6,LANÇ_MOV[EMPRESA],$C$4,LANÇ_MOV[CENTRO DE CUSTOS],$D$4)</f>
        <v>0</v>
      </c>
      <c r="N79" s="206">
        <f>SUMIFS(LANÇ_MOV[VALOR LÍQUIDO],LANÇ_MOV[RECEITA OU DESPESA],"Receita",LANÇ_MOV[CONTAS],$C79,LANÇ_MOV[PLANO DE CONTAS],REL_DRE_FINANCEIRO!$B$30,LANÇ_MOV[ANO PAGAMENTO],$B$4,LANÇ_MOV[MÊS PAGAMENTO CORRESPONDENTE],N$6,LANÇ_MOV[EMPRESA],$C$4,LANÇ_MOV[CENTRO DE CUSTOS],$D$4)</f>
        <v>0</v>
      </c>
      <c r="O79" s="206">
        <f>SUMIFS(LANÇ_MOV[VALOR LÍQUIDO],LANÇ_MOV[RECEITA OU DESPESA],"Receita",LANÇ_MOV[CONTAS],$C79,LANÇ_MOV[PLANO DE CONTAS],REL_DRE_FINANCEIRO!$B$30,LANÇ_MOV[ANO PAGAMENTO],$B$4,LANÇ_MOV[MÊS PAGAMENTO CORRESPONDENTE],O$6,LANÇ_MOV[EMPRESA],$C$4,LANÇ_MOV[CENTRO DE CUSTOS],$D$4)</f>
        <v>0</v>
      </c>
      <c r="P79" s="207">
        <f t="shared" si="18"/>
        <v>0</v>
      </c>
      <c r="Q79" s="333">
        <v>5.2000000000000002E-6</v>
      </c>
      <c r="R79" s="346">
        <f t="shared" si="19"/>
        <v>5.2000000000000002E-6</v>
      </c>
      <c r="S79" s="347" t="str">
        <f t="shared" si="20"/>
        <v>-</v>
      </c>
      <c r="T79" s="347">
        <f t="shared" si="21"/>
        <v>0</v>
      </c>
      <c r="U79" s="347">
        <f>HLOOKUP(Apoio!$P$12,$D$29:$P$130,X79,FALSE)+Q79</f>
        <v>5.2000000000000002E-6</v>
      </c>
      <c r="V79" s="447" t="str">
        <f t="shared" si="22"/>
        <v>-</v>
      </c>
      <c r="W79" s="448">
        <f>HLOOKUP(Apoio!$P$12,$D$29:$P$130,X79,FALSE)</f>
        <v>0</v>
      </c>
      <c r="X79" s="329">
        <v>51</v>
      </c>
    </row>
    <row r="80" spans="2:24" ht="30.05" customHeight="1" x14ac:dyDescent="0.35">
      <c r="B80" s="204" t="str">
        <f>'CAD_PL_REC-DESP'!B54</f>
        <v>1.1.50</v>
      </c>
      <c r="C80" s="205" t="str">
        <f>IF('CAD_PL_REC-DESP'!C54="","-",'CAD_PL_REC-DESP'!C54)</f>
        <v>-</v>
      </c>
      <c r="D80" s="206">
        <f>SUMIFS(LANÇ_MOV[VALOR LÍQUIDO],LANÇ_MOV[RECEITA OU DESPESA],"Receita",LANÇ_MOV[CONTAS],$C80,LANÇ_MOV[PLANO DE CONTAS],REL_DRE_FINANCEIRO!$B$30,LANÇ_MOV[ANO PAGAMENTO],$B$4,LANÇ_MOV[MÊS PAGAMENTO CORRESPONDENTE],D$6,LANÇ_MOV[EMPRESA],$C$4,LANÇ_MOV[CENTRO DE CUSTOS],$D$4)</f>
        <v>0</v>
      </c>
      <c r="E80" s="206">
        <f>SUMIFS(LANÇ_MOV[VALOR LÍQUIDO],LANÇ_MOV[RECEITA OU DESPESA],"Receita",LANÇ_MOV[CONTAS],$C80,LANÇ_MOV[PLANO DE CONTAS],REL_DRE_FINANCEIRO!$B$30,LANÇ_MOV[ANO PAGAMENTO],$B$4,LANÇ_MOV[MÊS PAGAMENTO CORRESPONDENTE],E$6,LANÇ_MOV[EMPRESA],$C$4,LANÇ_MOV[CENTRO DE CUSTOS],$D$4)</f>
        <v>0</v>
      </c>
      <c r="F80" s="206">
        <f>SUMIFS(LANÇ_MOV[VALOR LÍQUIDO],LANÇ_MOV[RECEITA OU DESPESA],"Receita",LANÇ_MOV[CONTAS],$C80,LANÇ_MOV[PLANO DE CONTAS],REL_DRE_FINANCEIRO!$B$30,LANÇ_MOV[ANO PAGAMENTO],$B$4,LANÇ_MOV[MÊS PAGAMENTO CORRESPONDENTE],F$6,LANÇ_MOV[EMPRESA],$C$4,LANÇ_MOV[CENTRO DE CUSTOS],$D$4)</f>
        <v>0</v>
      </c>
      <c r="G80" s="206">
        <f>SUMIFS(LANÇ_MOV[VALOR LÍQUIDO],LANÇ_MOV[RECEITA OU DESPESA],"Receita",LANÇ_MOV[CONTAS],$C80,LANÇ_MOV[PLANO DE CONTAS],REL_DRE_FINANCEIRO!$B$30,LANÇ_MOV[ANO PAGAMENTO],$B$4,LANÇ_MOV[MÊS PAGAMENTO CORRESPONDENTE],G$6,LANÇ_MOV[EMPRESA],$C$4,LANÇ_MOV[CENTRO DE CUSTOS],$D$4)</f>
        <v>0</v>
      </c>
      <c r="H80" s="206">
        <f>SUMIFS(LANÇ_MOV[VALOR LÍQUIDO],LANÇ_MOV[RECEITA OU DESPESA],"Receita",LANÇ_MOV[CONTAS],$C80,LANÇ_MOV[PLANO DE CONTAS],REL_DRE_FINANCEIRO!$B$30,LANÇ_MOV[ANO PAGAMENTO],$B$4,LANÇ_MOV[MÊS PAGAMENTO CORRESPONDENTE],H$6,LANÇ_MOV[EMPRESA],$C$4,LANÇ_MOV[CENTRO DE CUSTOS],$D$4)</f>
        <v>0</v>
      </c>
      <c r="I80" s="206">
        <f>SUMIFS(LANÇ_MOV[VALOR LÍQUIDO],LANÇ_MOV[RECEITA OU DESPESA],"Receita",LANÇ_MOV[CONTAS],$C80,LANÇ_MOV[PLANO DE CONTAS],REL_DRE_FINANCEIRO!$B$30,LANÇ_MOV[ANO PAGAMENTO],$B$4,LANÇ_MOV[MÊS PAGAMENTO CORRESPONDENTE],I$6,LANÇ_MOV[EMPRESA],$C$4,LANÇ_MOV[CENTRO DE CUSTOS],$D$4)</f>
        <v>0</v>
      </c>
      <c r="J80" s="206">
        <f>SUMIFS(LANÇ_MOV[VALOR LÍQUIDO],LANÇ_MOV[RECEITA OU DESPESA],"Receita",LANÇ_MOV[CONTAS],$C80,LANÇ_MOV[PLANO DE CONTAS],REL_DRE_FINANCEIRO!$B$30,LANÇ_MOV[ANO PAGAMENTO],$B$4,LANÇ_MOV[MÊS PAGAMENTO CORRESPONDENTE],J$6,LANÇ_MOV[EMPRESA],$C$4,LANÇ_MOV[CENTRO DE CUSTOS],$D$4)</f>
        <v>0</v>
      </c>
      <c r="K80" s="206">
        <f>SUMIFS(LANÇ_MOV[VALOR LÍQUIDO],LANÇ_MOV[RECEITA OU DESPESA],"Receita",LANÇ_MOV[CONTAS],$C80,LANÇ_MOV[PLANO DE CONTAS],REL_DRE_FINANCEIRO!$B$30,LANÇ_MOV[ANO PAGAMENTO],$B$4,LANÇ_MOV[MÊS PAGAMENTO CORRESPONDENTE],K$6,LANÇ_MOV[EMPRESA],$C$4,LANÇ_MOV[CENTRO DE CUSTOS],$D$4)</f>
        <v>0</v>
      </c>
      <c r="L80" s="206">
        <f>SUMIFS(LANÇ_MOV[VALOR LÍQUIDO],LANÇ_MOV[RECEITA OU DESPESA],"Receita",LANÇ_MOV[CONTAS],$C80,LANÇ_MOV[PLANO DE CONTAS],REL_DRE_FINANCEIRO!$B$30,LANÇ_MOV[ANO PAGAMENTO],$B$4,LANÇ_MOV[MÊS PAGAMENTO CORRESPONDENTE],L$6,LANÇ_MOV[EMPRESA],$C$4,LANÇ_MOV[CENTRO DE CUSTOS],$D$4)</f>
        <v>0</v>
      </c>
      <c r="M80" s="206">
        <f>SUMIFS(LANÇ_MOV[VALOR LÍQUIDO],LANÇ_MOV[RECEITA OU DESPESA],"Receita",LANÇ_MOV[CONTAS],$C80,LANÇ_MOV[PLANO DE CONTAS],REL_DRE_FINANCEIRO!$B$30,LANÇ_MOV[ANO PAGAMENTO],$B$4,LANÇ_MOV[MÊS PAGAMENTO CORRESPONDENTE],M$6,LANÇ_MOV[EMPRESA],$C$4,LANÇ_MOV[CENTRO DE CUSTOS],$D$4)</f>
        <v>0</v>
      </c>
      <c r="N80" s="206">
        <f>SUMIFS(LANÇ_MOV[VALOR LÍQUIDO],LANÇ_MOV[RECEITA OU DESPESA],"Receita",LANÇ_MOV[CONTAS],$C80,LANÇ_MOV[PLANO DE CONTAS],REL_DRE_FINANCEIRO!$B$30,LANÇ_MOV[ANO PAGAMENTO],$B$4,LANÇ_MOV[MÊS PAGAMENTO CORRESPONDENTE],N$6,LANÇ_MOV[EMPRESA],$C$4,LANÇ_MOV[CENTRO DE CUSTOS],$D$4)</f>
        <v>0</v>
      </c>
      <c r="O80" s="206">
        <f>SUMIFS(LANÇ_MOV[VALOR LÍQUIDO],LANÇ_MOV[RECEITA OU DESPESA],"Receita",LANÇ_MOV[CONTAS],$C80,LANÇ_MOV[PLANO DE CONTAS],REL_DRE_FINANCEIRO!$B$30,LANÇ_MOV[ANO PAGAMENTO],$B$4,LANÇ_MOV[MÊS PAGAMENTO CORRESPONDENTE],O$6,LANÇ_MOV[EMPRESA],$C$4,LANÇ_MOV[CENTRO DE CUSTOS],$D$4)</f>
        <v>0</v>
      </c>
      <c r="P80" s="207">
        <f t="shared" si="18"/>
        <v>0</v>
      </c>
      <c r="Q80" s="333">
        <v>5.1000000000000003E-6</v>
      </c>
      <c r="R80" s="346">
        <f t="shared" si="19"/>
        <v>5.1000000000000003E-6</v>
      </c>
      <c r="S80" s="347" t="str">
        <f t="shared" si="20"/>
        <v>-</v>
      </c>
      <c r="T80" s="347">
        <f t="shared" si="21"/>
        <v>0</v>
      </c>
      <c r="U80" s="347">
        <f>HLOOKUP(Apoio!$P$12,$D$29:$P$130,X80,FALSE)+Q80</f>
        <v>5.1000000000000003E-6</v>
      </c>
      <c r="V80" s="447" t="str">
        <f t="shared" si="22"/>
        <v>-</v>
      </c>
      <c r="W80" s="448">
        <f>HLOOKUP(Apoio!$P$12,$D$29:$P$130,X80,FALSE)</f>
        <v>0</v>
      </c>
      <c r="X80" s="329">
        <v>52</v>
      </c>
    </row>
    <row r="81" spans="2:24" ht="30.05" customHeight="1" x14ac:dyDescent="0.35">
      <c r="B81" s="204" t="str">
        <f>'CAD_PL_REC-DESP'!B55</f>
        <v>1.1.51</v>
      </c>
      <c r="C81" s="205" t="str">
        <f>IF('CAD_PL_REC-DESP'!C55="","-",'CAD_PL_REC-DESP'!C55)</f>
        <v>-</v>
      </c>
      <c r="D81" s="206">
        <f>SUMIFS(LANÇ_MOV[VALOR LÍQUIDO],LANÇ_MOV[RECEITA OU DESPESA],"Receita",LANÇ_MOV[CONTAS],$C81,LANÇ_MOV[PLANO DE CONTAS],REL_DRE_FINANCEIRO!$B$30,LANÇ_MOV[ANO PAGAMENTO],$B$4,LANÇ_MOV[MÊS PAGAMENTO CORRESPONDENTE],D$6,LANÇ_MOV[EMPRESA],$C$4,LANÇ_MOV[CENTRO DE CUSTOS],$D$4)</f>
        <v>0</v>
      </c>
      <c r="E81" s="206">
        <f>SUMIFS(LANÇ_MOV[VALOR LÍQUIDO],LANÇ_MOV[RECEITA OU DESPESA],"Receita",LANÇ_MOV[CONTAS],$C81,LANÇ_MOV[PLANO DE CONTAS],REL_DRE_FINANCEIRO!$B$30,LANÇ_MOV[ANO PAGAMENTO],$B$4,LANÇ_MOV[MÊS PAGAMENTO CORRESPONDENTE],E$6,LANÇ_MOV[EMPRESA],$C$4,LANÇ_MOV[CENTRO DE CUSTOS],$D$4)</f>
        <v>0</v>
      </c>
      <c r="F81" s="206">
        <f>SUMIFS(LANÇ_MOV[VALOR LÍQUIDO],LANÇ_MOV[RECEITA OU DESPESA],"Receita",LANÇ_MOV[CONTAS],$C81,LANÇ_MOV[PLANO DE CONTAS],REL_DRE_FINANCEIRO!$B$30,LANÇ_MOV[ANO PAGAMENTO],$B$4,LANÇ_MOV[MÊS PAGAMENTO CORRESPONDENTE],F$6,LANÇ_MOV[EMPRESA],$C$4,LANÇ_MOV[CENTRO DE CUSTOS],$D$4)</f>
        <v>0</v>
      </c>
      <c r="G81" s="206">
        <f>SUMIFS(LANÇ_MOV[VALOR LÍQUIDO],LANÇ_MOV[RECEITA OU DESPESA],"Receita",LANÇ_MOV[CONTAS],$C81,LANÇ_MOV[PLANO DE CONTAS],REL_DRE_FINANCEIRO!$B$30,LANÇ_MOV[ANO PAGAMENTO],$B$4,LANÇ_MOV[MÊS PAGAMENTO CORRESPONDENTE],G$6,LANÇ_MOV[EMPRESA],$C$4,LANÇ_MOV[CENTRO DE CUSTOS],$D$4)</f>
        <v>0</v>
      </c>
      <c r="H81" s="206">
        <f>SUMIFS(LANÇ_MOV[VALOR LÍQUIDO],LANÇ_MOV[RECEITA OU DESPESA],"Receita",LANÇ_MOV[CONTAS],$C81,LANÇ_MOV[PLANO DE CONTAS],REL_DRE_FINANCEIRO!$B$30,LANÇ_MOV[ANO PAGAMENTO],$B$4,LANÇ_MOV[MÊS PAGAMENTO CORRESPONDENTE],H$6,LANÇ_MOV[EMPRESA],$C$4,LANÇ_MOV[CENTRO DE CUSTOS],$D$4)</f>
        <v>0</v>
      </c>
      <c r="I81" s="206">
        <f>SUMIFS(LANÇ_MOV[VALOR LÍQUIDO],LANÇ_MOV[RECEITA OU DESPESA],"Receita",LANÇ_MOV[CONTAS],$C81,LANÇ_MOV[PLANO DE CONTAS],REL_DRE_FINANCEIRO!$B$30,LANÇ_MOV[ANO PAGAMENTO],$B$4,LANÇ_MOV[MÊS PAGAMENTO CORRESPONDENTE],I$6,LANÇ_MOV[EMPRESA],$C$4,LANÇ_MOV[CENTRO DE CUSTOS],$D$4)</f>
        <v>0</v>
      </c>
      <c r="J81" s="206">
        <f>SUMIFS(LANÇ_MOV[VALOR LÍQUIDO],LANÇ_MOV[RECEITA OU DESPESA],"Receita",LANÇ_MOV[CONTAS],$C81,LANÇ_MOV[PLANO DE CONTAS],REL_DRE_FINANCEIRO!$B$30,LANÇ_MOV[ANO PAGAMENTO],$B$4,LANÇ_MOV[MÊS PAGAMENTO CORRESPONDENTE],J$6,LANÇ_MOV[EMPRESA],$C$4,LANÇ_MOV[CENTRO DE CUSTOS],$D$4)</f>
        <v>0</v>
      </c>
      <c r="K81" s="206">
        <f>SUMIFS(LANÇ_MOV[VALOR LÍQUIDO],LANÇ_MOV[RECEITA OU DESPESA],"Receita",LANÇ_MOV[CONTAS],$C81,LANÇ_MOV[PLANO DE CONTAS],REL_DRE_FINANCEIRO!$B$30,LANÇ_MOV[ANO PAGAMENTO],$B$4,LANÇ_MOV[MÊS PAGAMENTO CORRESPONDENTE],K$6,LANÇ_MOV[EMPRESA],$C$4,LANÇ_MOV[CENTRO DE CUSTOS],$D$4)</f>
        <v>0</v>
      </c>
      <c r="L81" s="206">
        <f>SUMIFS(LANÇ_MOV[VALOR LÍQUIDO],LANÇ_MOV[RECEITA OU DESPESA],"Receita",LANÇ_MOV[CONTAS],$C81,LANÇ_MOV[PLANO DE CONTAS],REL_DRE_FINANCEIRO!$B$30,LANÇ_MOV[ANO PAGAMENTO],$B$4,LANÇ_MOV[MÊS PAGAMENTO CORRESPONDENTE],L$6,LANÇ_MOV[EMPRESA],$C$4,LANÇ_MOV[CENTRO DE CUSTOS],$D$4)</f>
        <v>0</v>
      </c>
      <c r="M81" s="206">
        <f>SUMIFS(LANÇ_MOV[VALOR LÍQUIDO],LANÇ_MOV[RECEITA OU DESPESA],"Receita",LANÇ_MOV[CONTAS],$C81,LANÇ_MOV[PLANO DE CONTAS],REL_DRE_FINANCEIRO!$B$30,LANÇ_MOV[ANO PAGAMENTO],$B$4,LANÇ_MOV[MÊS PAGAMENTO CORRESPONDENTE],M$6,LANÇ_MOV[EMPRESA],$C$4,LANÇ_MOV[CENTRO DE CUSTOS],$D$4)</f>
        <v>0</v>
      </c>
      <c r="N81" s="206">
        <f>SUMIFS(LANÇ_MOV[VALOR LÍQUIDO],LANÇ_MOV[RECEITA OU DESPESA],"Receita",LANÇ_MOV[CONTAS],$C81,LANÇ_MOV[PLANO DE CONTAS],REL_DRE_FINANCEIRO!$B$30,LANÇ_MOV[ANO PAGAMENTO],$B$4,LANÇ_MOV[MÊS PAGAMENTO CORRESPONDENTE],N$6,LANÇ_MOV[EMPRESA],$C$4,LANÇ_MOV[CENTRO DE CUSTOS],$D$4)</f>
        <v>0</v>
      </c>
      <c r="O81" s="206">
        <f>SUMIFS(LANÇ_MOV[VALOR LÍQUIDO],LANÇ_MOV[RECEITA OU DESPESA],"Receita",LANÇ_MOV[CONTAS],$C81,LANÇ_MOV[PLANO DE CONTAS],REL_DRE_FINANCEIRO!$B$30,LANÇ_MOV[ANO PAGAMENTO],$B$4,LANÇ_MOV[MÊS PAGAMENTO CORRESPONDENTE],O$6,LANÇ_MOV[EMPRESA],$C$4,LANÇ_MOV[CENTRO DE CUSTOS],$D$4)</f>
        <v>0</v>
      </c>
      <c r="P81" s="207">
        <f t="shared" si="18"/>
        <v>0</v>
      </c>
      <c r="Q81" s="333">
        <v>5.0000000000000004E-6</v>
      </c>
      <c r="R81" s="346">
        <f t="shared" si="19"/>
        <v>5.0000000000000004E-6</v>
      </c>
      <c r="S81" s="347" t="str">
        <f t="shared" si="20"/>
        <v>-</v>
      </c>
      <c r="T81" s="347">
        <f t="shared" si="21"/>
        <v>0</v>
      </c>
      <c r="U81" s="347">
        <f>HLOOKUP(Apoio!$P$12,$D$29:$P$130,X81,FALSE)+Q81</f>
        <v>5.0000000000000004E-6</v>
      </c>
      <c r="V81" s="447" t="str">
        <f t="shared" si="22"/>
        <v>-</v>
      </c>
      <c r="W81" s="448">
        <f>HLOOKUP(Apoio!$P$12,$D$29:$P$130,X81,FALSE)</f>
        <v>0</v>
      </c>
      <c r="X81" s="329">
        <v>53</v>
      </c>
    </row>
    <row r="82" spans="2:24" ht="30.05" customHeight="1" x14ac:dyDescent="0.35">
      <c r="B82" s="204" t="str">
        <f>'CAD_PL_REC-DESP'!B56</f>
        <v>1.1.52</v>
      </c>
      <c r="C82" s="205" t="str">
        <f>IF('CAD_PL_REC-DESP'!C56="","-",'CAD_PL_REC-DESP'!C56)</f>
        <v>-</v>
      </c>
      <c r="D82" s="206">
        <f>SUMIFS(LANÇ_MOV[VALOR LÍQUIDO],LANÇ_MOV[RECEITA OU DESPESA],"Receita",LANÇ_MOV[CONTAS],$C82,LANÇ_MOV[PLANO DE CONTAS],REL_DRE_FINANCEIRO!$B$30,LANÇ_MOV[ANO PAGAMENTO],$B$4,LANÇ_MOV[MÊS PAGAMENTO CORRESPONDENTE],D$6,LANÇ_MOV[EMPRESA],$C$4,LANÇ_MOV[CENTRO DE CUSTOS],$D$4)</f>
        <v>0</v>
      </c>
      <c r="E82" s="206">
        <f>SUMIFS(LANÇ_MOV[VALOR LÍQUIDO],LANÇ_MOV[RECEITA OU DESPESA],"Receita",LANÇ_MOV[CONTAS],$C82,LANÇ_MOV[PLANO DE CONTAS],REL_DRE_FINANCEIRO!$B$30,LANÇ_MOV[ANO PAGAMENTO],$B$4,LANÇ_MOV[MÊS PAGAMENTO CORRESPONDENTE],E$6,LANÇ_MOV[EMPRESA],$C$4,LANÇ_MOV[CENTRO DE CUSTOS],$D$4)</f>
        <v>0</v>
      </c>
      <c r="F82" s="206">
        <f>SUMIFS(LANÇ_MOV[VALOR LÍQUIDO],LANÇ_MOV[RECEITA OU DESPESA],"Receita",LANÇ_MOV[CONTAS],$C82,LANÇ_MOV[PLANO DE CONTAS],REL_DRE_FINANCEIRO!$B$30,LANÇ_MOV[ANO PAGAMENTO],$B$4,LANÇ_MOV[MÊS PAGAMENTO CORRESPONDENTE],F$6,LANÇ_MOV[EMPRESA],$C$4,LANÇ_MOV[CENTRO DE CUSTOS],$D$4)</f>
        <v>0</v>
      </c>
      <c r="G82" s="206">
        <f>SUMIFS(LANÇ_MOV[VALOR LÍQUIDO],LANÇ_MOV[RECEITA OU DESPESA],"Receita",LANÇ_MOV[CONTAS],$C82,LANÇ_MOV[PLANO DE CONTAS],REL_DRE_FINANCEIRO!$B$30,LANÇ_MOV[ANO PAGAMENTO],$B$4,LANÇ_MOV[MÊS PAGAMENTO CORRESPONDENTE],G$6,LANÇ_MOV[EMPRESA],$C$4,LANÇ_MOV[CENTRO DE CUSTOS],$D$4)</f>
        <v>0</v>
      </c>
      <c r="H82" s="206">
        <f>SUMIFS(LANÇ_MOV[VALOR LÍQUIDO],LANÇ_MOV[RECEITA OU DESPESA],"Receita",LANÇ_MOV[CONTAS],$C82,LANÇ_MOV[PLANO DE CONTAS],REL_DRE_FINANCEIRO!$B$30,LANÇ_MOV[ANO PAGAMENTO],$B$4,LANÇ_MOV[MÊS PAGAMENTO CORRESPONDENTE],H$6,LANÇ_MOV[EMPRESA],$C$4,LANÇ_MOV[CENTRO DE CUSTOS],$D$4)</f>
        <v>0</v>
      </c>
      <c r="I82" s="206">
        <f>SUMIFS(LANÇ_MOV[VALOR LÍQUIDO],LANÇ_MOV[RECEITA OU DESPESA],"Receita",LANÇ_MOV[CONTAS],$C82,LANÇ_MOV[PLANO DE CONTAS],REL_DRE_FINANCEIRO!$B$30,LANÇ_MOV[ANO PAGAMENTO],$B$4,LANÇ_MOV[MÊS PAGAMENTO CORRESPONDENTE],I$6,LANÇ_MOV[EMPRESA],$C$4,LANÇ_MOV[CENTRO DE CUSTOS],$D$4)</f>
        <v>0</v>
      </c>
      <c r="J82" s="206">
        <f>SUMIFS(LANÇ_MOV[VALOR LÍQUIDO],LANÇ_MOV[RECEITA OU DESPESA],"Receita",LANÇ_MOV[CONTAS],$C82,LANÇ_MOV[PLANO DE CONTAS],REL_DRE_FINANCEIRO!$B$30,LANÇ_MOV[ANO PAGAMENTO],$B$4,LANÇ_MOV[MÊS PAGAMENTO CORRESPONDENTE],J$6,LANÇ_MOV[EMPRESA],$C$4,LANÇ_MOV[CENTRO DE CUSTOS],$D$4)</f>
        <v>0</v>
      </c>
      <c r="K82" s="206">
        <f>SUMIFS(LANÇ_MOV[VALOR LÍQUIDO],LANÇ_MOV[RECEITA OU DESPESA],"Receita",LANÇ_MOV[CONTAS],$C82,LANÇ_MOV[PLANO DE CONTAS],REL_DRE_FINANCEIRO!$B$30,LANÇ_MOV[ANO PAGAMENTO],$B$4,LANÇ_MOV[MÊS PAGAMENTO CORRESPONDENTE],K$6,LANÇ_MOV[EMPRESA],$C$4,LANÇ_MOV[CENTRO DE CUSTOS],$D$4)</f>
        <v>0</v>
      </c>
      <c r="L82" s="206">
        <f>SUMIFS(LANÇ_MOV[VALOR LÍQUIDO],LANÇ_MOV[RECEITA OU DESPESA],"Receita",LANÇ_MOV[CONTAS],$C82,LANÇ_MOV[PLANO DE CONTAS],REL_DRE_FINANCEIRO!$B$30,LANÇ_MOV[ANO PAGAMENTO],$B$4,LANÇ_MOV[MÊS PAGAMENTO CORRESPONDENTE],L$6,LANÇ_MOV[EMPRESA],$C$4,LANÇ_MOV[CENTRO DE CUSTOS],$D$4)</f>
        <v>0</v>
      </c>
      <c r="M82" s="206">
        <f>SUMIFS(LANÇ_MOV[VALOR LÍQUIDO],LANÇ_MOV[RECEITA OU DESPESA],"Receita",LANÇ_MOV[CONTAS],$C82,LANÇ_MOV[PLANO DE CONTAS],REL_DRE_FINANCEIRO!$B$30,LANÇ_MOV[ANO PAGAMENTO],$B$4,LANÇ_MOV[MÊS PAGAMENTO CORRESPONDENTE],M$6,LANÇ_MOV[EMPRESA],$C$4,LANÇ_MOV[CENTRO DE CUSTOS],$D$4)</f>
        <v>0</v>
      </c>
      <c r="N82" s="206">
        <f>SUMIFS(LANÇ_MOV[VALOR LÍQUIDO],LANÇ_MOV[RECEITA OU DESPESA],"Receita",LANÇ_MOV[CONTAS],$C82,LANÇ_MOV[PLANO DE CONTAS],REL_DRE_FINANCEIRO!$B$30,LANÇ_MOV[ANO PAGAMENTO],$B$4,LANÇ_MOV[MÊS PAGAMENTO CORRESPONDENTE],N$6,LANÇ_MOV[EMPRESA],$C$4,LANÇ_MOV[CENTRO DE CUSTOS],$D$4)</f>
        <v>0</v>
      </c>
      <c r="O82" s="206">
        <f>SUMIFS(LANÇ_MOV[VALOR LÍQUIDO],LANÇ_MOV[RECEITA OU DESPESA],"Receita",LANÇ_MOV[CONTAS],$C82,LANÇ_MOV[PLANO DE CONTAS],REL_DRE_FINANCEIRO!$B$30,LANÇ_MOV[ANO PAGAMENTO],$B$4,LANÇ_MOV[MÊS PAGAMENTO CORRESPONDENTE],O$6,LANÇ_MOV[EMPRESA],$C$4,LANÇ_MOV[CENTRO DE CUSTOS],$D$4)</f>
        <v>0</v>
      </c>
      <c r="P82" s="207">
        <f t="shared" si="18"/>
        <v>0</v>
      </c>
      <c r="Q82" s="333">
        <v>4.8999999999999997E-6</v>
      </c>
      <c r="R82" s="346">
        <f t="shared" si="19"/>
        <v>4.8999999999999997E-6</v>
      </c>
      <c r="S82" s="347" t="str">
        <f t="shared" si="20"/>
        <v>-</v>
      </c>
      <c r="T82" s="347">
        <f t="shared" si="21"/>
        <v>0</v>
      </c>
      <c r="U82" s="347">
        <f>HLOOKUP(Apoio!$P$12,$D$29:$P$130,X82,FALSE)+Q82</f>
        <v>4.8999999999999997E-6</v>
      </c>
      <c r="V82" s="447" t="str">
        <f t="shared" si="22"/>
        <v>-</v>
      </c>
      <c r="W82" s="448">
        <f>HLOOKUP(Apoio!$P$12,$D$29:$P$130,X82,FALSE)</f>
        <v>0</v>
      </c>
      <c r="X82" s="329">
        <v>54</v>
      </c>
    </row>
    <row r="83" spans="2:24" ht="30.05" customHeight="1" x14ac:dyDescent="0.35">
      <c r="B83" s="204" t="str">
        <f>'CAD_PL_REC-DESP'!B57</f>
        <v>1.1.53</v>
      </c>
      <c r="C83" s="205" t="str">
        <f>IF('CAD_PL_REC-DESP'!C57="","-",'CAD_PL_REC-DESP'!C57)</f>
        <v>-</v>
      </c>
      <c r="D83" s="206">
        <f>SUMIFS(LANÇ_MOV[VALOR LÍQUIDO],LANÇ_MOV[RECEITA OU DESPESA],"Receita",LANÇ_MOV[CONTAS],$C83,LANÇ_MOV[PLANO DE CONTAS],REL_DRE_FINANCEIRO!$B$30,LANÇ_MOV[ANO PAGAMENTO],$B$4,LANÇ_MOV[MÊS PAGAMENTO CORRESPONDENTE],D$6,LANÇ_MOV[EMPRESA],$C$4,LANÇ_MOV[CENTRO DE CUSTOS],$D$4)</f>
        <v>0</v>
      </c>
      <c r="E83" s="206">
        <f>SUMIFS(LANÇ_MOV[VALOR LÍQUIDO],LANÇ_MOV[RECEITA OU DESPESA],"Receita",LANÇ_MOV[CONTAS],$C83,LANÇ_MOV[PLANO DE CONTAS],REL_DRE_FINANCEIRO!$B$30,LANÇ_MOV[ANO PAGAMENTO],$B$4,LANÇ_MOV[MÊS PAGAMENTO CORRESPONDENTE],E$6,LANÇ_MOV[EMPRESA],$C$4,LANÇ_MOV[CENTRO DE CUSTOS],$D$4)</f>
        <v>0</v>
      </c>
      <c r="F83" s="206">
        <f>SUMIFS(LANÇ_MOV[VALOR LÍQUIDO],LANÇ_MOV[RECEITA OU DESPESA],"Receita",LANÇ_MOV[CONTAS],$C83,LANÇ_MOV[PLANO DE CONTAS],REL_DRE_FINANCEIRO!$B$30,LANÇ_MOV[ANO PAGAMENTO],$B$4,LANÇ_MOV[MÊS PAGAMENTO CORRESPONDENTE],F$6,LANÇ_MOV[EMPRESA],$C$4,LANÇ_MOV[CENTRO DE CUSTOS],$D$4)</f>
        <v>0</v>
      </c>
      <c r="G83" s="206">
        <f>SUMIFS(LANÇ_MOV[VALOR LÍQUIDO],LANÇ_MOV[RECEITA OU DESPESA],"Receita",LANÇ_MOV[CONTAS],$C83,LANÇ_MOV[PLANO DE CONTAS],REL_DRE_FINANCEIRO!$B$30,LANÇ_MOV[ANO PAGAMENTO],$B$4,LANÇ_MOV[MÊS PAGAMENTO CORRESPONDENTE],G$6,LANÇ_MOV[EMPRESA],$C$4,LANÇ_MOV[CENTRO DE CUSTOS],$D$4)</f>
        <v>0</v>
      </c>
      <c r="H83" s="206">
        <f>SUMIFS(LANÇ_MOV[VALOR LÍQUIDO],LANÇ_MOV[RECEITA OU DESPESA],"Receita",LANÇ_MOV[CONTAS],$C83,LANÇ_MOV[PLANO DE CONTAS],REL_DRE_FINANCEIRO!$B$30,LANÇ_MOV[ANO PAGAMENTO],$B$4,LANÇ_MOV[MÊS PAGAMENTO CORRESPONDENTE],H$6,LANÇ_MOV[EMPRESA],$C$4,LANÇ_MOV[CENTRO DE CUSTOS],$D$4)</f>
        <v>0</v>
      </c>
      <c r="I83" s="206">
        <f>SUMIFS(LANÇ_MOV[VALOR LÍQUIDO],LANÇ_MOV[RECEITA OU DESPESA],"Receita",LANÇ_MOV[CONTAS],$C83,LANÇ_MOV[PLANO DE CONTAS],REL_DRE_FINANCEIRO!$B$30,LANÇ_MOV[ANO PAGAMENTO],$B$4,LANÇ_MOV[MÊS PAGAMENTO CORRESPONDENTE],I$6,LANÇ_MOV[EMPRESA],$C$4,LANÇ_MOV[CENTRO DE CUSTOS],$D$4)</f>
        <v>0</v>
      </c>
      <c r="J83" s="206">
        <f>SUMIFS(LANÇ_MOV[VALOR LÍQUIDO],LANÇ_MOV[RECEITA OU DESPESA],"Receita",LANÇ_MOV[CONTAS],$C83,LANÇ_MOV[PLANO DE CONTAS],REL_DRE_FINANCEIRO!$B$30,LANÇ_MOV[ANO PAGAMENTO],$B$4,LANÇ_MOV[MÊS PAGAMENTO CORRESPONDENTE],J$6,LANÇ_MOV[EMPRESA],$C$4,LANÇ_MOV[CENTRO DE CUSTOS],$D$4)</f>
        <v>0</v>
      </c>
      <c r="K83" s="206">
        <f>SUMIFS(LANÇ_MOV[VALOR LÍQUIDO],LANÇ_MOV[RECEITA OU DESPESA],"Receita",LANÇ_MOV[CONTAS],$C83,LANÇ_MOV[PLANO DE CONTAS],REL_DRE_FINANCEIRO!$B$30,LANÇ_MOV[ANO PAGAMENTO],$B$4,LANÇ_MOV[MÊS PAGAMENTO CORRESPONDENTE],K$6,LANÇ_MOV[EMPRESA],$C$4,LANÇ_MOV[CENTRO DE CUSTOS],$D$4)</f>
        <v>0</v>
      </c>
      <c r="L83" s="206">
        <f>SUMIFS(LANÇ_MOV[VALOR LÍQUIDO],LANÇ_MOV[RECEITA OU DESPESA],"Receita",LANÇ_MOV[CONTAS],$C83,LANÇ_MOV[PLANO DE CONTAS],REL_DRE_FINANCEIRO!$B$30,LANÇ_MOV[ANO PAGAMENTO],$B$4,LANÇ_MOV[MÊS PAGAMENTO CORRESPONDENTE],L$6,LANÇ_MOV[EMPRESA],$C$4,LANÇ_MOV[CENTRO DE CUSTOS],$D$4)</f>
        <v>0</v>
      </c>
      <c r="M83" s="206">
        <f>SUMIFS(LANÇ_MOV[VALOR LÍQUIDO],LANÇ_MOV[RECEITA OU DESPESA],"Receita",LANÇ_MOV[CONTAS],$C83,LANÇ_MOV[PLANO DE CONTAS],REL_DRE_FINANCEIRO!$B$30,LANÇ_MOV[ANO PAGAMENTO],$B$4,LANÇ_MOV[MÊS PAGAMENTO CORRESPONDENTE],M$6,LANÇ_MOV[EMPRESA],$C$4,LANÇ_MOV[CENTRO DE CUSTOS],$D$4)</f>
        <v>0</v>
      </c>
      <c r="N83" s="206">
        <f>SUMIFS(LANÇ_MOV[VALOR LÍQUIDO],LANÇ_MOV[RECEITA OU DESPESA],"Receita",LANÇ_MOV[CONTAS],$C83,LANÇ_MOV[PLANO DE CONTAS],REL_DRE_FINANCEIRO!$B$30,LANÇ_MOV[ANO PAGAMENTO],$B$4,LANÇ_MOV[MÊS PAGAMENTO CORRESPONDENTE],N$6,LANÇ_MOV[EMPRESA],$C$4,LANÇ_MOV[CENTRO DE CUSTOS],$D$4)</f>
        <v>0</v>
      </c>
      <c r="O83" s="206">
        <f>SUMIFS(LANÇ_MOV[VALOR LÍQUIDO],LANÇ_MOV[RECEITA OU DESPESA],"Receita",LANÇ_MOV[CONTAS],$C83,LANÇ_MOV[PLANO DE CONTAS],REL_DRE_FINANCEIRO!$B$30,LANÇ_MOV[ANO PAGAMENTO],$B$4,LANÇ_MOV[MÊS PAGAMENTO CORRESPONDENTE],O$6,LANÇ_MOV[EMPRESA],$C$4,LANÇ_MOV[CENTRO DE CUSTOS],$D$4)</f>
        <v>0</v>
      </c>
      <c r="P83" s="207">
        <f t="shared" si="18"/>
        <v>0</v>
      </c>
      <c r="Q83" s="333">
        <v>4.7999999999999998E-6</v>
      </c>
      <c r="R83" s="346">
        <f t="shared" si="19"/>
        <v>4.7999999999999998E-6</v>
      </c>
      <c r="S83" s="347" t="str">
        <f t="shared" si="20"/>
        <v>-</v>
      </c>
      <c r="T83" s="347">
        <f t="shared" si="21"/>
        <v>0</v>
      </c>
      <c r="U83" s="347">
        <f>HLOOKUP(Apoio!$P$12,$D$29:$P$130,X83,FALSE)+Q83</f>
        <v>4.7999999999999998E-6</v>
      </c>
      <c r="V83" s="447" t="str">
        <f t="shared" si="22"/>
        <v>-</v>
      </c>
      <c r="W83" s="448">
        <f>HLOOKUP(Apoio!$P$12,$D$29:$P$130,X83,FALSE)</f>
        <v>0</v>
      </c>
      <c r="X83" s="329">
        <v>55</v>
      </c>
    </row>
    <row r="84" spans="2:24" ht="30.05" customHeight="1" x14ac:dyDescent="0.35">
      <c r="B84" s="204" t="str">
        <f>'CAD_PL_REC-DESP'!B58</f>
        <v>1.1.54</v>
      </c>
      <c r="C84" s="205" t="str">
        <f>IF('CAD_PL_REC-DESP'!C58="","-",'CAD_PL_REC-DESP'!C58)</f>
        <v>-</v>
      </c>
      <c r="D84" s="206">
        <f>SUMIFS(LANÇ_MOV[VALOR LÍQUIDO],LANÇ_MOV[RECEITA OU DESPESA],"Receita",LANÇ_MOV[CONTAS],$C84,LANÇ_MOV[PLANO DE CONTAS],REL_DRE_FINANCEIRO!$B$30,LANÇ_MOV[ANO PAGAMENTO],$B$4,LANÇ_MOV[MÊS PAGAMENTO CORRESPONDENTE],D$6,LANÇ_MOV[EMPRESA],$C$4,LANÇ_MOV[CENTRO DE CUSTOS],$D$4)</f>
        <v>0</v>
      </c>
      <c r="E84" s="206">
        <f>SUMIFS(LANÇ_MOV[VALOR LÍQUIDO],LANÇ_MOV[RECEITA OU DESPESA],"Receita",LANÇ_MOV[CONTAS],$C84,LANÇ_MOV[PLANO DE CONTAS],REL_DRE_FINANCEIRO!$B$30,LANÇ_MOV[ANO PAGAMENTO],$B$4,LANÇ_MOV[MÊS PAGAMENTO CORRESPONDENTE],E$6,LANÇ_MOV[EMPRESA],$C$4,LANÇ_MOV[CENTRO DE CUSTOS],$D$4)</f>
        <v>0</v>
      </c>
      <c r="F84" s="206">
        <f>SUMIFS(LANÇ_MOV[VALOR LÍQUIDO],LANÇ_MOV[RECEITA OU DESPESA],"Receita",LANÇ_MOV[CONTAS],$C84,LANÇ_MOV[PLANO DE CONTAS],REL_DRE_FINANCEIRO!$B$30,LANÇ_MOV[ANO PAGAMENTO],$B$4,LANÇ_MOV[MÊS PAGAMENTO CORRESPONDENTE],F$6,LANÇ_MOV[EMPRESA],$C$4,LANÇ_MOV[CENTRO DE CUSTOS],$D$4)</f>
        <v>0</v>
      </c>
      <c r="G84" s="206">
        <f>SUMIFS(LANÇ_MOV[VALOR LÍQUIDO],LANÇ_MOV[RECEITA OU DESPESA],"Receita",LANÇ_MOV[CONTAS],$C84,LANÇ_MOV[PLANO DE CONTAS],REL_DRE_FINANCEIRO!$B$30,LANÇ_MOV[ANO PAGAMENTO],$B$4,LANÇ_MOV[MÊS PAGAMENTO CORRESPONDENTE],G$6,LANÇ_MOV[EMPRESA],$C$4,LANÇ_MOV[CENTRO DE CUSTOS],$D$4)</f>
        <v>0</v>
      </c>
      <c r="H84" s="206">
        <f>SUMIFS(LANÇ_MOV[VALOR LÍQUIDO],LANÇ_MOV[RECEITA OU DESPESA],"Receita",LANÇ_MOV[CONTAS],$C84,LANÇ_MOV[PLANO DE CONTAS],REL_DRE_FINANCEIRO!$B$30,LANÇ_MOV[ANO PAGAMENTO],$B$4,LANÇ_MOV[MÊS PAGAMENTO CORRESPONDENTE],H$6,LANÇ_MOV[EMPRESA],$C$4,LANÇ_MOV[CENTRO DE CUSTOS],$D$4)</f>
        <v>0</v>
      </c>
      <c r="I84" s="206">
        <f>SUMIFS(LANÇ_MOV[VALOR LÍQUIDO],LANÇ_MOV[RECEITA OU DESPESA],"Receita",LANÇ_MOV[CONTAS],$C84,LANÇ_MOV[PLANO DE CONTAS],REL_DRE_FINANCEIRO!$B$30,LANÇ_MOV[ANO PAGAMENTO],$B$4,LANÇ_MOV[MÊS PAGAMENTO CORRESPONDENTE],I$6,LANÇ_MOV[EMPRESA],$C$4,LANÇ_MOV[CENTRO DE CUSTOS],$D$4)</f>
        <v>0</v>
      </c>
      <c r="J84" s="206">
        <f>SUMIFS(LANÇ_MOV[VALOR LÍQUIDO],LANÇ_MOV[RECEITA OU DESPESA],"Receita",LANÇ_MOV[CONTAS],$C84,LANÇ_MOV[PLANO DE CONTAS],REL_DRE_FINANCEIRO!$B$30,LANÇ_MOV[ANO PAGAMENTO],$B$4,LANÇ_MOV[MÊS PAGAMENTO CORRESPONDENTE],J$6,LANÇ_MOV[EMPRESA],$C$4,LANÇ_MOV[CENTRO DE CUSTOS],$D$4)</f>
        <v>0</v>
      </c>
      <c r="K84" s="206">
        <f>SUMIFS(LANÇ_MOV[VALOR LÍQUIDO],LANÇ_MOV[RECEITA OU DESPESA],"Receita",LANÇ_MOV[CONTAS],$C84,LANÇ_MOV[PLANO DE CONTAS],REL_DRE_FINANCEIRO!$B$30,LANÇ_MOV[ANO PAGAMENTO],$B$4,LANÇ_MOV[MÊS PAGAMENTO CORRESPONDENTE],K$6,LANÇ_MOV[EMPRESA],$C$4,LANÇ_MOV[CENTRO DE CUSTOS],$D$4)</f>
        <v>0</v>
      </c>
      <c r="L84" s="206">
        <f>SUMIFS(LANÇ_MOV[VALOR LÍQUIDO],LANÇ_MOV[RECEITA OU DESPESA],"Receita",LANÇ_MOV[CONTAS],$C84,LANÇ_MOV[PLANO DE CONTAS],REL_DRE_FINANCEIRO!$B$30,LANÇ_MOV[ANO PAGAMENTO],$B$4,LANÇ_MOV[MÊS PAGAMENTO CORRESPONDENTE],L$6,LANÇ_MOV[EMPRESA],$C$4,LANÇ_MOV[CENTRO DE CUSTOS],$D$4)</f>
        <v>0</v>
      </c>
      <c r="M84" s="206">
        <f>SUMIFS(LANÇ_MOV[VALOR LÍQUIDO],LANÇ_MOV[RECEITA OU DESPESA],"Receita",LANÇ_MOV[CONTAS],$C84,LANÇ_MOV[PLANO DE CONTAS],REL_DRE_FINANCEIRO!$B$30,LANÇ_MOV[ANO PAGAMENTO],$B$4,LANÇ_MOV[MÊS PAGAMENTO CORRESPONDENTE],M$6,LANÇ_MOV[EMPRESA],$C$4,LANÇ_MOV[CENTRO DE CUSTOS],$D$4)</f>
        <v>0</v>
      </c>
      <c r="N84" s="206">
        <f>SUMIFS(LANÇ_MOV[VALOR LÍQUIDO],LANÇ_MOV[RECEITA OU DESPESA],"Receita",LANÇ_MOV[CONTAS],$C84,LANÇ_MOV[PLANO DE CONTAS],REL_DRE_FINANCEIRO!$B$30,LANÇ_MOV[ANO PAGAMENTO],$B$4,LANÇ_MOV[MÊS PAGAMENTO CORRESPONDENTE],N$6,LANÇ_MOV[EMPRESA],$C$4,LANÇ_MOV[CENTRO DE CUSTOS],$D$4)</f>
        <v>0</v>
      </c>
      <c r="O84" s="206">
        <f>SUMIFS(LANÇ_MOV[VALOR LÍQUIDO],LANÇ_MOV[RECEITA OU DESPESA],"Receita",LANÇ_MOV[CONTAS],$C84,LANÇ_MOV[PLANO DE CONTAS],REL_DRE_FINANCEIRO!$B$30,LANÇ_MOV[ANO PAGAMENTO],$B$4,LANÇ_MOV[MÊS PAGAMENTO CORRESPONDENTE],O$6,LANÇ_MOV[EMPRESA],$C$4,LANÇ_MOV[CENTRO DE CUSTOS],$D$4)</f>
        <v>0</v>
      </c>
      <c r="P84" s="207">
        <f t="shared" si="18"/>
        <v>0</v>
      </c>
      <c r="Q84" s="333">
        <v>4.6999999999999999E-6</v>
      </c>
      <c r="R84" s="346">
        <f t="shared" si="19"/>
        <v>4.6999999999999999E-6</v>
      </c>
      <c r="S84" s="347" t="str">
        <f t="shared" si="20"/>
        <v>-</v>
      </c>
      <c r="T84" s="347">
        <f t="shared" si="21"/>
        <v>0</v>
      </c>
      <c r="U84" s="347">
        <f>HLOOKUP(Apoio!$P$12,$D$29:$P$130,X84,FALSE)+Q84</f>
        <v>4.6999999999999999E-6</v>
      </c>
      <c r="V84" s="447" t="str">
        <f t="shared" si="22"/>
        <v>-</v>
      </c>
      <c r="W84" s="448">
        <f>HLOOKUP(Apoio!$P$12,$D$29:$P$130,X84,FALSE)</f>
        <v>0</v>
      </c>
      <c r="X84" s="329">
        <v>56</v>
      </c>
    </row>
    <row r="85" spans="2:24" ht="30.05" customHeight="1" x14ac:dyDescent="0.35">
      <c r="B85" s="204" t="str">
        <f>'CAD_PL_REC-DESP'!B59</f>
        <v>1.1.55</v>
      </c>
      <c r="C85" s="205" t="str">
        <f>IF('CAD_PL_REC-DESP'!C59="","-",'CAD_PL_REC-DESP'!C59)</f>
        <v>-</v>
      </c>
      <c r="D85" s="206">
        <f>SUMIFS(LANÇ_MOV[VALOR LÍQUIDO],LANÇ_MOV[RECEITA OU DESPESA],"Receita",LANÇ_MOV[CONTAS],$C85,LANÇ_MOV[PLANO DE CONTAS],REL_DRE_FINANCEIRO!$B$30,LANÇ_MOV[ANO PAGAMENTO],$B$4,LANÇ_MOV[MÊS PAGAMENTO CORRESPONDENTE],D$6,LANÇ_MOV[EMPRESA],$C$4,LANÇ_MOV[CENTRO DE CUSTOS],$D$4)</f>
        <v>0</v>
      </c>
      <c r="E85" s="206">
        <f>SUMIFS(LANÇ_MOV[VALOR LÍQUIDO],LANÇ_MOV[RECEITA OU DESPESA],"Receita",LANÇ_MOV[CONTAS],$C85,LANÇ_MOV[PLANO DE CONTAS],REL_DRE_FINANCEIRO!$B$30,LANÇ_MOV[ANO PAGAMENTO],$B$4,LANÇ_MOV[MÊS PAGAMENTO CORRESPONDENTE],E$6,LANÇ_MOV[EMPRESA],$C$4,LANÇ_MOV[CENTRO DE CUSTOS],$D$4)</f>
        <v>0</v>
      </c>
      <c r="F85" s="206">
        <f>SUMIFS(LANÇ_MOV[VALOR LÍQUIDO],LANÇ_MOV[RECEITA OU DESPESA],"Receita",LANÇ_MOV[CONTAS],$C85,LANÇ_MOV[PLANO DE CONTAS],REL_DRE_FINANCEIRO!$B$30,LANÇ_MOV[ANO PAGAMENTO],$B$4,LANÇ_MOV[MÊS PAGAMENTO CORRESPONDENTE],F$6,LANÇ_MOV[EMPRESA],$C$4,LANÇ_MOV[CENTRO DE CUSTOS],$D$4)</f>
        <v>0</v>
      </c>
      <c r="G85" s="206">
        <f>SUMIFS(LANÇ_MOV[VALOR LÍQUIDO],LANÇ_MOV[RECEITA OU DESPESA],"Receita",LANÇ_MOV[CONTAS],$C85,LANÇ_MOV[PLANO DE CONTAS],REL_DRE_FINANCEIRO!$B$30,LANÇ_MOV[ANO PAGAMENTO],$B$4,LANÇ_MOV[MÊS PAGAMENTO CORRESPONDENTE],G$6,LANÇ_MOV[EMPRESA],$C$4,LANÇ_MOV[CENTRO DE CUSTOS],$D$4)</f>
        <v>0</v>
      </c>
      <c r="H85" s="206">
        <f>SUMIFS(LANÇ_MOV[VALOR LÍQUIDO],LANÇ_MOV[RECEITA OU DESPESA],"Receita",LANÇ_MOV[CONTAS],$C85,LANÇ_MOV[PLANO DE CONTAS],REL_DRE_FINANCEIRO!$B$30,LANÇ_MOV[ANO PAGAMENTO],$B$4,LANÇ_MOV[MÊS PAGAMENTO CORRESPONDENTE],H$6,LANÇ_MOV[EMPRESA],$C$4,LANÇ_MOV[CENTRO DE CUSTOS],$D$4)</f>
        <v>0</v>
      </c>
      <c r="I85" s="206">
        <f>SUMIFS(LANÇ_MOV[VALOR LÍQUIDO],LANÇ_MOV[RECEITA OU DESPESA],"Receita",LANÇ_MOV[CONTAS],$C85,LANÇ_MOV[PLANO DE CONTAS],REL_DRE_FINANCEIRO!$B$30,LANÇ_MOV[ANO PAGAMENTO],$B$4,LANÇ_MOV[MÊS PAGAMENTO CORRESPONDENTE],I$6,LANÇ_MOV[EMPRESA],$C$4,LANÇ_MOV[CENTRO DE CUSTOS],$D$4)</f>
        <v>0</v>
      </c>
      <c r="J85" s="206">
        <f>SUMIFS(LANÇ_MOV[VALOR LÍQUIDO],LANÇ_MOV[RECEITA OU DESPESA],"Receita",LANÇ_MOV[CONTAS],$C85,LANÇ_MOV[PLANO DE CONTAS],REL_DRE_FINANCEIRO!$B$30,LANÇ_MOV[ANO PAGAMENTO],$B$4,LANÇ_MOV[MÊS PAGAMENTO CORRESPONDENTE],J$6,LANÇ_MOV[EMPRESA],$C$4,LANÇ_MOV[CENTRO DE CUSTOS],$D$4)</f>
        <v>0</v>
      </c>
      <c r="K85" s="206">
        <f>SUMIFS(LANÇ_MOV[VALOR LÍQUIDO],LANÇ_MOV[RECEITA OU DESPESA],"Receita",LANÇ_MOV[CONTAS],$C85,LANÇ_MOV[PLANO DE CONTAS],REL_DRE_FINANCEIRO!$B$30,LANÇ_MOV[ANO PAGAMENTO],$B$4,LANÇ_MOV[MÊS PAGAMENTO CORRESPONDENTE],K$6,LANÇ_MOV[EMPRESA],$C$4,LANÇ_MOV[CENTRO DE CUSTOS],$D$4)</f>
        <v>0</v>
      </c>
      <c r="L85" s="206">
        <f>SUMIFS(LANÇ_MOV[VALOR LÍQUIDO],LANÇ_MOV[RECEITA OU DESPESA],"Receita",LANÇ_MOV[CONTAS],$C85,LANÇ_MOV[PLANO DE CONTAS],REL_DRE_FINANCEIRO!$B$30,LANÇ_MOV[ANO PAGAMENTO],$B$4,LANÇ_MOV[MÊS PAGAMENTO CORRESPONDENTE],L$6,LANÇ_MOV[EMPRESA],$C$4,LANÇ_MOV[CENTRO DE CUSTOS],$D$4)</f>
        <v>0</v>
      </c>
      <c r="M85" s="206">
        <f>SUMIFS(LANÇ_MOV[VALOR LÍQUIDO],LANÇ_MOV[RECEITA OU DESPESA],"Receita",LANÇ_MOV[CONTAS],$C85,LANÇ_MOV[PLANO DE CONTAS],REL_DRE_FINANCEIRO!$B$30,LANÇ_MOV[ANO PAGAMENTO],$B$4,LANÇ_MOV[MÊS PAGAMENTO CORRESPONDENTE],M$6,LANÇ_MOV[EMPRESA],$C$4,LANÇ_MOV[CENTRO DE CUSTOS],$D$4)</f>
        <v>0</v>
      </c>
      <c r="N85" s="206">
        <f>SUMIFS(LANÇ_MOV[VALOR LÍQUIDO],LANÇ_MOV[RECEITA OU DESPESA],"Receita",LANÇ_MOV[CONTAS],$C85,LANÇ_MOV[PLANO DE CONTAS],REL_DRE_FINANCEIRO!$B$30,LANÇ_MOV[ANO PAGAMENTO],$B$4,LANÇ_MOV[MÊS PAGAMENTO CORRESPONDENTE],N$6,LANÇ_MOV[EMPRESA],$C$4,LANÇ_MOV[CENTRO DE CUSTOS],$D$4)</f>
        <v>0</v>
      </c>
      <c r="O85" s="206">
        <f>SUMIFS(LANÇ_MOV[VALOR LÍQUIDO],LANÇ_MOV[RECEITA OU DESPESA],"Receita",LANÇ_MOV[CONTAS],$C85,LANÇ_MOV[PLANO DE CONTAS],REL_DRE_FINANCEIRO!$B$30,LANÇ_MOV[ANO PAGAMENTO],$B$4,LANÇ_MOV[MÊS PAGAMENTO CORRESPONDENTE],O$6,LANÇ_MOV[EMPRESA],$C$4,LANÇ_MOV[CENTRO DE CUSTOS],$D$4)</f>
        <v>0</v>
      </c>
      <c r="P85" s="207">
        <f t="shared" si="18"/>
        <v>0</v>
      </c>
      <c r="Q85" s="333">
        <v>4.6E-6</v>
      </c>
      <c r="R85" s="346">
        <f t="shared" si="19"/>
        <v>4.6E-6</v>
      </c>
      <c r="S85" s="347" t="str">
        <f t="shared" si="20"/>
        <v>-</v>
      </c>
      <c r="T85" s="347">
        <f t="shared" si="21"/>
        <v>0</v>
      </c>
      <c r="U85" s="347">
        <f>HLOOKUP(Apoio!$P$12,$D$29:$P$130,X85,FALSE)+Q85</f>
        <v>4.6E-6</v>
      </c>
      <c r="V85" s="447" t="str">
        <f t="shared" si="22"/>
        <v>-</v>
      </c>
      <c r="W85" s="448">
        <f>HLOOKUP(Apoio!$P$12,$D$29:$P$130,X85,FALSE)</f>
        <v>0</v>
      </c>
      <c r="X85" s="329">
        <v>57</v>
      </c>
    </row>
    <row r="86" spans="2:24" ht="30.05" customHeight="1" x14ac:dyDescent="0.35">
      <c r="B86" s="204" t="str">
        <f>'CAD_PL_REC-DESP'!B60</f>
        <v>1.1.56</v>
      </c>
      <c r="C86" s="205" t="str">
        <f>IF('CAD_PL_REC-DESP'!C60="","-",'CAD_PL_REC-DESP'!C60)</f>
        <v>-</v>
      </c>
      <c r="D86" s="206">
        <f>SUMIFS(LANÇ_MOV[VALOR LÍQUIDO],LANÇ_MOV[RECEITA OU DESPESA],"Receita",LANÇ_MOV[CONTAS],$C86,LANÇ_MOV[PLANO DE CONTAS],REL_DRE_FINANCEIRO!$B$30,LANÇ_MOV[ANO PAGAMENTO],$B$4,LANÇ_MOV[MÊS PAGAMENTO CORRESPONDENTE],D$6,LANÇ_MOV[EMPRESA],$C$4,LANÇ_MOV[CENTRO DE CUSTOS],$D$4)</f>
        <v>0</v>
      </c>
      <c r="E86" s="206">
        <f>SUMIFS(LANÇ_MOV[VALOR LÍQUIDO],LANÇ_MOV[RECEITA OU DESPESA],"Receita",LANÇ_MOV[CONTAS],$C86,LANÇ_MOV[PLANO DE CONTAS],REL_DRE_FINANCEIRO!$B$30,LANÇ_MOV[ANO PAGAMENTO],$B$4,LANÇ_MOV[MÊS PAGAMENTO CORRESPONDENTE],E$6,LANÇ_MOV[EMPRESA],$C$4,LANÇ_MOV[CENTRO DE CUSTOS],$D$4)</f>
        <v>0</v>
      </c>
      <c r="F86" s="206">
        <f>SUMIFS(LANÇ_MOV[VALOR LÍQUIDO],LANÇ_MOV[RECEITA OU DESPESA],"Receita",LANÇ_MOV[CONTAS],$C86,LANÇ_MOV[PLANO DE CONTAS],REL_DRE_FINANCEIRO!$B$30,LANÇ_MOV[ANO PAGAMENTO],$B$4,LANÇ_MOV[MÊS PAGAMENTO CORRESPONDENTE],F$6,LANÇ_MOV[EMPRESA],$C$4,LANÇ_MOV[CENTRO DE CUSTOS],$D$4)</f>
        <v>0</v>
      </c>
      <c r="G86" s="206">
        <f>SUMIFS(LANÇ_MOV[VALOR LÍQUIDO],LANÇ_MOV[RECEITA OU DESPESA],"Receita",LANÇ_MOV[CONTAS],$C86,LANÇ_MOV[PLANO DE CONTAS],REL_DRE_FINANCEIRO!$B$30,LANÇ_MOV[ANO PAGAMENTO],$B$4,LANÇ_MOV[MÊS PAGAMENTO CORRESPONDENTE],G$6,LANÇ_MOV[EMPRESA],$C$4,LANÇ_MOV[CENTRO DE CUSTOS],$D$4)</f>
        <v>0</v>
      </c>
      <c r="H86" s="206">
        <f>SUMIFS(LANÇ_MOV[VALOR LÍQUIDO],LANÇ_MOV[RECEITA OU DESPESA],"Receita",LANÇ_MOV[CONTAS],$C86,LANÇ_MOV[PLANO DE CONTAS],REL_DRE_FINANCEIRO!$B$30,LANÇ_MOV[ANO PAGAMENTO],$B$4,LANÇ_MOV[MÊS PAGAMENTO CORRESPONDENTE],H$6,LANÇ_MOV[EMPRESA],$C$4,LANÇ_MOV[CENTRO DE CUSTOS],$D$4)</f>
        <v>0</v>
      </c>
      <c r="I86" s="206">
        <f>SUMIFS(LANÇ_MOV[VALOR LÍQUIDO],LANÇ_MOV[RECEITA OU DESPESA],"Receita",LANÇ_MOV[CONTAS],$C86,LANÇ_MOV[PLANO DE CONTAS],REL_DRE_FINANCEIRO!$B$30,LANÇ_MOV[ANO PAGAMENTO],$B$4,LANÇ_MOV[MÊS PAGAMENTO CORRESPONDENTE],I$6,LANÇ_MOV[EMPRESA],$C$4,LANÇ_MOV[CENTRO DE CUSTOS],$D$4)</f>
        <v>0</v>
      </c>
      <c r="J86" s="206">
        <f>SUMIFS(LANÇ_MOV[VALOR LÍQUIDO],LANÇ_MOV[RECEITA OU DESPESA],"Receita",LANÇ_MOV[CONTAS],$C86,LANÇ_MOV[PLANO DE CONTAS],REL_DRE_FINANCEIRO!$B$30,LANÇ_MOV[ANO PAGAMENTO],$B$4,LANÇ_MOV[MÊS PAGAMENTO CORRESPONDENTE],J$6,LANÇ_MOV[EMPRESA],$C$4,LANÇ_MOV[CENTRO DE CUSTOS],$D$4)</f>
        <v>0</v>
      </c>
      <c r="K86" s="206">
        <f>SUMIFS(LANÇ_MOV[VALOR LÍQUIDO],LANÇ_MOV[RECEITA OU DESPESA],"Receita",LANÇ_MOV[CONTAS],$C86,LANÇ_MOV[PLANO DE CONTAS],REL_DRE_FINANCEIRO!$B$30,LANÇ_MOV[ANO PAGAMENTO],$B$4,LANÇ_MOV[MÊS PAGAMENTO CORRESPONDENTE],K$6,LANÇ_MOV[EMPRESA],$C$4,LANÇ_MOV[CENTRO DE CUSTOS],$D$4)</f>
        <v>0</v>
      </c>
      <c r="L86" s="206">
        <f>SUMIFS(LANÇ_MOV[VALOR LÍQUIDO],LANÇ_MOV[RECEITA OU DESPESA],"Receita",LANÇ_MOV[CONTAS],$C86,LANÇ_MOV[PLANO DE CONTAS],REL_DRE_FINANCEIRO!$B$30,LANÇ_MOV[ANO PAGAMENTO],$B$4,LANÇ_MOV[MÊS PAGAMENTO CORRESPONDENTE],L$6,LANÇ_MOV[EMPRESA],$C$4,LANÇ_MOV[CENTRO DE CUSTOS],$D$4)</f>
        <v>0</v>
      </c>
      <c r="M86" s="206">
        <f>SUMIFS(LANÇ_MOV[VALOR LÍQUIDO],LANÇ_MOV[RECEITA OU DESPESA],"Receita",LANÇ_MOV[CONTAS],$C86,LANÇ_MOV[PLANO DE CONTAS],REL_DRE_FINANCEIRO!$B$30,LANÇ_MOV[ANO PAGAMENTO],$B$4,LANÇ_MOV[MÊS PAGAMENTO CORRESPONDENTE],M$6,LANÇ_MOV[EMPRESA],$C$4,LANÇ_MOV[CENTRO DE CUSTOS],$D$4)</f>
        <v>0</v>
      </c>
      <c r="N86" s="206">
        <f>SUMIFS(LANÇ_MOV[VALOR LÍQUIDO],LANÇ_MOV[RECEITA OU DESPESA],"Receita",LANÇ_MOV[CONTAS],$C86,LANÇ_MOV[PLANO DE CONTAS],REL_DRE_FINANCEIRO!$B$30,LANÇ_MOV[ANO PAGAMENTO],$B$4,LANÇ_MOV[MÊS PAGAMENTO CORRESPONDENTE],N$6,LANÇ_MOV[EMPRESA],$C$4,LANÇ_MOV[CENTRO DE CUSTOS],$D$4)</f>
        <v>0</v>
      </c>
      <c r="O86" s="206">
        <f>SUMIFS(LANÇ_MOV[VALOR LÍQUIDO],LANÇ_MOV[RECEITA OU DESPESA],"Receita",LANÇ_MOV[CONTAS],$C86,LANÇ_MOV[PLANO DE CONTAS],REL_DRE_FINANCEIRO!$B$30,LANÇ_MOV[ANO PAGAMENTO],$B$4,LANÇ_MOV[MÊS PAGAMENTO CORRESPONDENTE],O$6,LANÇ_MOV[EMPRESA],$C$4,LANÇ_MOV[CENTRO DE CUSTOS],$D$4)</f>
        <v>0</v>
      </c>
      <c r="P86" s="207">
        <f t="shared" si="18"/>
        <v>0</v>
      </c>
      <c r="Q86" s="333">
        <v>4.5000000000000001E-6</v>
      </c>
      <c r="R86" s="346">
        <f t="shared" si="19"/>
        <v>4.5000000000000001E-6</v>
      </c>
      <c r="S86" s="347" t="str">
        <f t="shared" si="20"/>
        <v>-</v>
      </c>
      <c r="T86" s="347">
        <f t="shared" si="21"/>
        <v>0</v>
      </c>
      <c r="U86" s="347">
        <f>HLOOKUP(Apoio!$P$12,$D$29:$P$130,X86,FALSE)+Q86</f>
        <v>4.5000000000000001E-6</v>
      </c>
      <c r="V86" s="447" t="str">
        <f t="shared" si="22"/>
        <v>-</v>
      </c>
      <c r="W86" s="448">
        <f>HLOOKUP(Apoio!$P$12,$D$29:$P$130,X86,FALSE)</f>
        <v>0</v>
      </c>
      <c r="X86" s="329">
        <v>58</v>
      </c>
    </row>
    <row r="87" spans="2:24" ht="30.05" customHeight="1" x14ac:dyDescent="0.35">
      <c r="B87" s="204" t="str">
        <f>'CAD_PL_REC-DESP'!B61</f>
        <v>1.1.57</v>
      </c>
      <c r="C87" s="205" t="str">
        <f>IF('CAD_PL_REC-DESP'!C61="","-",'CAD_PL_REC-DESP'!C61)</f>
        <v>-</v>
      </c>
      <c r="D87" s="206">
        <f>SUMIFS(LANÇ_MOV[VALOR LÍQUIDO],LANÇ_MOV[RECEITA OU DESPESA],"Receita",LANÇ_MOV[CONTAS],$C87,LANÇ_MOV[PLANO DE CONTAS],REL_DRE_FINANCEIRO!$B$30,LANÇ_MOV[ANO PAGAMENTO],$B$4,LANÇ_MOV[MÊS PAGAMENTO CORRESPONDENTE],D$6,LANÇ_MOV[EMPRESA],$C$4,LANÇ_MOV[CENTRO DE CUSTOS],$D$4)</f>
        <v>0</v>
      </c>
      <c r="E87" s="206">
        <f>SUMIFS(LANÇ_MOV[VALOR LÍQUIDO],LANÇ_MOV[RECEITA OU DESPESA],"Receita",LANÇ_MOV[CONTAS],$C87,LANÇ_MOV[PLANO DE CONTAS],REL_DRE_FINANCEIRO!$B$30,LANÇ_MOV[ANO PAGAMENTO],$B$4,LANÇ_MOV[MÊS PAGAMENTO CORRESPONDENTE],E$6,LANÇ_MOV[EMPRESA],$C$4,LANÇ_MOV[CENTRO DE CUSTOS],$D$4)</f>
        <v>0</v>
      </c>
      <c r="F87" s="206">
        <f>SUMIFS(LANÇ_MOV[VALOR LÍQUIDO],LANÇ_MOV[RECEITA OU DESPESA],"Receita",LANÇ_MOV[CONTAS],$C87,LANÇ_MOV[PLANO DE CONTAS],REL_DRE_FINANCEIRO!$B$30,LANÇ_MOV[ANO PAGAMENTO],$B$4,LANÇ_MOV[MÊS PAGAMENTO CORRESPONDENTE],F$6,LANÇ_MOV[EMPRESA],$C$4,LANÇ_MOV[CENTRO DE CUSTOS],$D$4)</f>
        <v>0</v>
      </c>
      <c r="G87" s="206">
        <f>SUMIFS(LANÇ_MOV[VALOR LÍQUIDO],LANÇ_MOV[RECEITA OU DESPESA],"Receita",LANÇ_MOV[CONTAS],$C87,LANÇ_MOV[PLANO DE CONTAS],REL_DRE_FINANCEIRO!$B$30,LANÇ_MOV[ANO PAGAMENTO],$B$4,LANÇ_MOV[MÊS PAGAMENTO CORRESPONDENTE],G$6,LANÇ_MOV[EMPRESA],$C$4,LANÇ_MOV[CENTRO DE CUSTOS],$D$4)</f>
        <v>0</v>
      </c>
      <c r="H87" s="206">
        <f>SUMIFS(LANÇ_MOV[VALOR LÍQUIDO],LANÇ_MOV[RECEITA OU DESPESA],"Receita",LANÇ_MOV[CONTAS],$C87,LANÇ_MOV[PLANO DE CONTAS],REL_DRE_FINANCEIRO!$B$30,LANÇ_MOV[ANO PAGAMENTO],$B$4,LANÇ_MOV[MÊS PAGAMENTO CORRESPONDENTE],H$6,LANÇ_MOV[EMPRESA],$C$4,LANÇ_MOV[CENTRO DE CUSTOS],$D$4)</f>
        <v>0</v>
      </c>
      <c r="I87" s="206">
        <f>SUMIFS(LANÇ_MOV[VALOR LÍQUIDO],LANÇ_MOV[RECEITA OU DESPESA],"Receita",LANÇ_MOV[CONTAS],$C87,LANÇ_MOV[PLANO DE CONTAS],REL_DRE_FINANCEIRO!$B$30,LANÇ_MOV[ANO PAGAMENTO],$B$4,LANÇ_MOV[MÊS PAGAMENTO CORRESPONDENTE],I$6,LANÇ_MOV[EMPRESA],$C$4,LANÇ_MOV[CENTRO DE CUSTOS],$D$4)</f>
        <v>0</v>
      </c>
      <c r="J87" s="206">
        <f>SUMIFS(LANÇ_MOV[VALOR LÍQUIDO],LANÇ_MOV[RECEITA OU DESPESA],"Receita",LANÇ_MOV[CONTAS],$C87,LANÇ_MOV[PLANO DE CONTAS],REL_DRE_FINANCEIRO!$B$30,LANÇ_MOV[ANO PAGAMENTO],$B$4,LANÇ_MOV[MÊS PAGAMENTO CORRESPONDENTE],J$6,LANÇ_MOV[EMPRESA],$C$4,LANÇ_MOV[CENTRO DE CUSTOS],$D$4)</f>
        <v>0</v>
      </c>
      <c r="K87" s="206">
        <f>SUMIFS(LANÇ_MOV[VALOR LÍQUIDO],LANÇ_MOV[RECEITA OU DESPESA],"Receita",LANÇ_MOV[CONTAS],$C87,LANÇ_MOV[PLANO DE CONTAS],REL_DRE_FINANCEIRO!$B$30,LANÇ_MOV[ANO PAGAMENTO],$B$4,LANÇ_MOV[MÊS PAGAMENTO CORRESPONDENTE],K$6,LANÇ_MOV[EMPRESA],$C$4,LANÇ_MOV[CENTRO DE CUSTOS],$D$4)</f>
        <v>0</v>
      </c>
      <c r="L87" s="206">
        <f>SUMIFS(LANÇ_MOV[VALOR LÍQUIDO],LANÇ_MOV[RECEITA OU DESPESA],"Receita",LANÇ_MOV[CONTAS],$C87,LANÇ_MOV[PLANO DE CONTAS],REL_DRE_FINANCEIRO!$B$30,LANÇ_MOV[ANO PAGAMENTO],$B$4,LANÇ_MOV[MÊS PAGAMENTO CORRESPONDENTE],L$6,LANÇ_MOV[EMPRESA],$C$4,LANÇ_MOV[CENTRO DE CUSTOS],$D$4)</f>
        <v>0</v>
      </c>
      <c r="M87" s="206">
        <f>SUMIFS(LANÇ_MOV[VALOR LÍQUIDO],LANÇ_MOV[RECEITA OU DESPESA],"Receita",LANÇ_MOV[CONTAS],$C87,LANÇ_MOV[PLANO DE CONTAS],REL_DRE_FINANCEIRO!$B$30,LANÇ_MOV[ANO PAGAMENTO],$B$4,LANÇ_MOV[MÊS PAGAMENTO CORRESPONDENTE],M$6,LANÇ_MOV[EMPRESA],$C$4,LANÇ_MOV[CENTRO DE CUSTOS],$D$4)</f>
        <v>0</v>
      </c>
      <c r="N87" s="206">
        <f>SUMIFS(LANÇ_MOV[VALOR LÍQUIDO],LANÇ_MOV[RECEITA OU DESPESA],"Receita",LANÇ_MOV[CONTAS],$C87,LANÇ_MOV[PLANO DE CONTAS],REL_DRE_FINANCEIRO!$B$30,LANÇ_MOV[ANO PAGAMENTO],$B$4,LANÇ_MOV[MÊS PAGAMENTO CORRESPONDENTE],N$6,LANÇ_MOV[EMPRESA],$C$4,LANÇ_MOV[CENTRO DE CUSTOS],$D$4)</f>
        <v>0</v>
      </c>
      <c r="O87" s="206">
        <f>SUMIFS(LANÇ_MOV[VALOR LÍQUIDO],LANÇ_MOV[RECEITA OU DESPESA],"Receita",LANÇ_MOV[CONTAS],$C87,LANÇ_MOV[PLANO DE CONTAS],REL_DRE_FINANCEIRO!$B$30,LANÇ_MOV[ANO PAGAMENTO],$B$4,LANÇ_MOV[MÊS PAGAMENTO CORRESPONDENTE],O$6,LANÇ_MOV[EMPRESA],$C$4,LANÇ_MOV[CENTRO DE CUSTOS],$D$4)</f>
        <v>0</v>
      </c>
      <c r="P87" s="207">
        <f t="shared" si="18"/>
        <v>0</v>
      </c>
      <c r="Q87" s="333">
        <v>4.4000000000000002E-6</v>
      </c>
      <c r="R87" s="346">
        <f t="shared" si="19"/>
        <v>4.4000000000000002E-6</v>
      </c>
      <c r="S87" s="347" t="str">
        <f t="shared" si="20"/>
        <v>-</v>
      </c>
      <c r="T87" s="347">
        <f t="shared" si="21"/>
        <v>0</v>
      </c>
      <c r="U87" s="347">
        <f>HLOOKUP(Apoio!$P$12,$D$29:$P$130,X87,FALSE)+Q87</f>
        <v>4.4000000000000002E-6</v>
      </c>
      <c r="V87" s="447" t="str">
        <f t="shared" si="22"/>
        <v>-</v>
      </c>
      <c r="W87" s="448">
        <f>HLOOKUP(Apoio!$P$12,$D$29:$P$130,X87,FALSE)</f>
        <v>0</v>
      </c>
      <c r="X87" s="329">
        <v>59</v>
      </c>
    </row>
    <row r="88" spans="2:24" ht="30.05" customHeight="1" x14ac:dyDescent="0.35">
      <c r="B88" s="204" t="str">
        <f>'CAD_PL_REC-DESP'!B62</f>
        <v>1.1.58</v>
      </c>
      <c r="C88" s="205" t="str">
        <f>IF('CAD_PL_REC-DESP'!C62="","-",'CAD_PL_REC-DESP'!C62)</f>
        <v>-</v>
      </c>
      <c r="D88" s="206">
        <f>SUMIFS(LANÇ_MOV[VALOR LÍQUIDO],LANÇ_MOV[RECEITA OU DESPESA],"Receita",LANÇ_MOV[CONTAS],$C88,LANÇ_MOV[PLANO DE CONTAS],REL_DRE_FINANCEIRO!$B$30,LANÇ_MOV[ANO PAGAMENTO],$B$4,LANÇ_MOV[MÊS PAGAMENTO CORRESPONDENTE],D$6,LANÇ_MOV[EMPRESA],$C$4,LANÇ_MOV[CENTRO DE CUSTOS],$D$4)</f>
        <v>0</v>
      </c>
      <c r="E88" s="206">
        <f>SUMIFS(LANÇ_MOV[VALOR LÍQUIDO],LANÇ_MOV[RECEITA OU DESPESA],"Receita",LANÇ_MOV[CONTAS],$C88,LANÇ_MOV[PLANO DE CONTAS],REL_DRE_FINANCEIRO!$B$30,LANÇ_MOV[ANO PAGAMENTO],$B$4,LANÇ_MOV[MÊS PAGAMENTO CORRESPONDENTE],E$6,LANÇ_MOV[EMPRESA],$C$4,LANÇ_MOV[CENTRO DE CUSTOS],$D$4)</f>
        <v>0</v>
      </c>
      <c r="F88" s="206">
        <f>SUMIFS(LANÇ_MOV[VALOR LÍQUIDO],LANÇ_MOV[RECEITA OU DESPESA],"Receita",LANÇ_MOV[CONTAS],$C88,LANÇ_MOV[PLANO DE CONTAS],REL_DRE_FINANCEIRO!$B$30,LANÇ_MOV[ANO PAGAMENTO],$B$4,LANÇ_MOV[MÊS PAGAMENTO CORRESPONDENTE],F$6,LANÇ_MOV[EMPRESA],$C$4,LANÇ_MOV[CENTRO DE CUSTOS],$D$4)</f>
        <v>0</v>
      </c>
      <c r="G88" s="206">
        <f>SUMIFS(LANÇ_MOV[VALOR LÍQUIDO],LANÇ_MOV[RECEITA OU DESPESA],"Receita",LANÇ_MOV[CONTAS],$C88,LANÇ_MOV[PLANO DE CONTAS],REL_DRE_FINANCEIRO!$B$30,LANÇ_MOV[ANO PAGAMENTO],$B$4,LANÇ_MOV[MÊS PAGAMENTO CORRESPONDENTE],G$6,LANÇ_MOV[EMPRESA],$C$4,LANÇ_MOV[CENTRO DE CUSTOS],$D$4)</f>
        <v>0</v>
      </c>
      <c r="H88" s="206">
        <f>SUMIFS(LANÇ_MOV[VALOR LÍQUIDO],LANÇ_MOV[RECEITA OU DESPESA],"Receita",LANÇ_MOV[CONTAS],$C88,LANÇ_MOV[PLANO DE CONTAS],REL_DRE_FINANCEIRO!$B$30,LANÇ_MOV[ANO PAGAMENTO],$B$4,LANÇ_MOV[MÊS PAGAMENTO CORRESPONDENTE],H$6,LANÇ_MOV[EMPRESA],$C$4,LANÇ_MOV[CENTRO DE CUSTOS],$D$4)</f>
        <v>0</v>
      </c>
      <c r="I88" s="206">
        <f>SUMIFS(LANÇ_MOV[VALOR LÍQUIDO],LANÇ_MOV[RECEITA OU DESPESA],"Receita",LANÇ_MOV[CONTAS],$C88,LANÇ_MOV[PLANO DE CONTAS],REL_DRE_FINANCEIRO!$B$30,LANÇ_MOV[ANO PAGAMENTO],$B$4,LANÇ_MOV[MÊS PAGAMENTO CORRESPONDENTE],I$6,LANÇ_MOV[EMPRESA],$C$4,LANÇ_MOV[CENTRO DE CUSTOS],$D$4)</f>
        <v>0</v>
      </c>
      <c r="J88" s="206">
        <f>SUMIFS(LANÇ_MOV[VALOR LÍQUIDO],LANÇ_MOV[RECEITA OU DESPESA],"Receita",LANÇ_MOV[CONTAS],$C88,LANÇ_MOV[PLANO DE CONTAS],REL_DRE_FINANCEIRO!$B$30,LANÇ_MOV[ANO PAGAMENTO],$B$4,LANÇ_MOV[MÊS PAGAMENTO CORRESPONDENTE],J$6,LANÇ_MOV[EMPRESA],$C$4,LANÇ_MOV[CENTRO DE CUSTOS],$D$4)</f>
        <v>0</v>
      </c>
      <c r="K88" s="206">
        <f>SUMIFS(LANÇ_MOV[VALOR LÍQUIDO],LANÇ_MOV[RECEITA OU DESPESA],"Receita",LANÇ_MOV[CONTAS],$C88,LANÇ_MOV[PLANO DE CONTAS],REL_DRE_FINANCEIRO!$B$30,LANÇ_MOV[ANO PAGAMENTO],$B$4,LANÇ_MOV[MÊS PAGAMENTO CORRESPONDENTE],K$6,LANÇ_MOV[EMPRESA],$C$4,LANÇ_MOV[CENTRO DE CUSTOS],$D$4)</f>
        <v>0</v>
      </c>
      <c r="L88" s="206">
        <f>SUMIFS(LANÇ_MOV[VALOR LÍQUIDO],LANÇ_MOV[RECEITA OU DESPESA],"Receita",LANÇ_MOV[CONTAS],$C88,LANÇ_MOV[PLANO DE CONTAS],REL_DRE_FINANCEIRO!$B$30,LANÇ_MOV[ANO PAGAMENTO],$B$4,LANÇ_MOV[MÊS PAGAMENTO CORRESPONDENTE],L$6,LANÇ_MOV[EMPRESA],$C$4,LANÇ_MOV[CENTRO DE CUSTOS],$D$4)</f>
        <v>0</v>
      </c>
      <c r="M88" s="206">
        <f>SUMIFS(LANÇ_MOV[VALOR LÍQUIDO],LANÇ_MOV[RECEITA OU DESPESA],"Receita",LANÇ_MOV[CONTAS],$C88,LANÇ_MOV[PLANO DE CONTAS],REL_DRE_FINANCEIRO!$B$30,LANÇ_MOV[ANO PAGAMENTO],$B$4,LANÇ_MOV[MÊS PAGAMENTO CORRESPONDENTE],M$6,LANÇ_MOV[EMPRESA],$C$4,LANÇ_MOV[CENTRO DE CUSTOS],$D$4)</f>
        <v>0</v>
      </c>
      <c r="N88" s="206">
        <f>SUMIFS(LANÇ_MOV[VALOR LÍQUIDO],LANÇ_MOV[RECEITA OU DESPESA],"Receita",LANÇ_MOV[CONTAS],$C88,LANÇ_MOV[PLANO DE CONTAS],REL_DRE_FINANCEIRO!$B$30,LANÇ_MOV[ANO PAGAMENTO],$B$4,LANÇ_MOV[MÊS PAGAMENTO CORRESPONDENTE],N$6,LANÇ_MOV[EMPRESA],$C$4,LANÇ_MOV[CENTRO DE CUSTOS],$D$4)</f>
        <v>0</v>
      </c>
      <c r="O88" s="206">
        <f>SUMIFS(LANÇ_MOV[VALOR LÍQUIDO],LANÇ_MOV[RECEITA OU DESPESA],"Receita",LANÇ_MOV[CONTAS],$C88,LANÇ_MOV[PLANO DE CONTAS],REL_DRE_FINANCEIRO!$B$30,LANÇ_MOV[ANO PAGAMENTO],$B$4,LANÇ_MOV[MÊS PAGAMENTO CORRESPONDENTE],O$6,LANÇ_MOV[EMPRESA],$C$4,LANÇ_MOV[CENTRO DE CUSTOS],$D$4)</f>
        <v>0</v>
      </c>
      <c r="P88" s="207">
        <f t="shared" si="18"/>
        <v>0</v>
      </c>
      <c r="Q88" s="333">
        <v>4.3000000000000003E-6</v>
      </c>
      <c r="R88" s="346">
        <f t="shared" si="19"/>
        <v>4.3000000000000003E-6</v>
      </c>
      <c r="S88" s="347" t="str">
        <f t="shared" si="20"/>
        <v>-</v>
      </c>
      <c r="T88" s="347">
        <f t="shared" si="21"/>
        <v>0</v>
      </c>
      <c r="U88" s="347">
        <f>HLOOKUP(Apoio!$P$12,$D$29:$P$130,X88,FALSE)+Q88</f>
        <v>4.3000000000000003E-6</v>
      </c>
      <c r="V88" s="447" t="str">
        <f t="shared" si="22"/>
        <v>-</v>
      </c>
      <c r="W88" s="448">
        <f>HLOOKUP(Apoio!$P$12,$D$29:$P$130,X88,FALSE)</f>
        <v>0</v>
      </c>
      <c r="X88" s="329">
        <v>60</v>
      </c>
    </row>
    <row r="89" spans="2:24" ht="30.05" customHeight="1" x14ac:dyDescent="0.35">
      <c r="B89" s="204" t="str">
        <f>'CAD_PL_REC-DESP'!B63</f>
        <v>1.1.59</v>
      </c>
      <c r="C89" s="205" t="str">
        <f>IF('CAD_PL_REC-DESP'!C63="","-",'CAD_PL_REC-DESP'!C63)</f>
        <v>-</v>
      </c>
      <c r="D89" s="206">
        <f>SUMIFS(LANÇ_MOV[VALOR LÍQUIDO],LANÇ_MOV[RECEITA OU DESPESA],"Receita",LANÇ_MOV[CONTAS],$C89,LANÇ_MOV[PLANO DE CONTAS],REL_DRE_FINANCEIRO!$B$30,LANÇ_MOV[ANO PAGAMENTO],$B$4,LANÇ_MOV[MÊS PAGAMENTO CORRESPONDENTE],D$6,LANÇ_MOV[EMPRESA],$C$4,LANÇ_MOV[CENTRO DE CUSTOS],$D$4)</f>
        <v>0</v>
      </c>
      <c r="E89" s="206">
        <f>SUMIFS(LANÇ_MOV[VALOR LÍQUIDO],LANÇ_MOV[RECEITA OU DESPESA],"Receita",LANÇ_MOV[CONTAS],$C89,LANÇ_MOV[PLANO DE CONTAS],REL_DRE_FINANCEIRO!$B$30,LANÇ_MOV[ANO PAGAMENTO],$B$4,LANÇ_MOV[MÊS PAGAMENTO CORRESPONDENTE],E$6,LANÇ_MOV[EMPRESA],$C$4,LANÇ_MOV[CENTRO DE CUSTOS],$D$4)</f>
        <v>0</v>
      </c>
      <c r="F89" s="206">
        <f>SUMIFS(LANÇ_MOV[VALOR LÍQUIDO],LANÇ_MOV[RECEITA OU DESPESA],"Receita",LANÇ_MOV[CONTAS],$C89,LANÇ_MOV[PLANO DE CONTAS],REL_DRE_FINANCEIRO!$B$30,LANÇ_MOV[ANO PAGAMENTO],$B$4,LANÇ_MOV[MÊS PAGAMENTO CORRESPONDENTE],F$6,LANÇ_MOV[EMPRESA],$C$4,LANÇ_MOV[CENTRO DE CUSTOS],$D$4)</f>
        <v>0</v>
      </c>
      <c r="G89" s="206">
        <f>SUMIFS(LANÇ_MOV[VALOR LÍQUIDO],LANÇ_MOV[RECEITA OU DESPESA],"Receita",LANÇ_MOV[CONTAS],$C89,LANÇ_MOV[PLANO DE CONTAS],REL_DRE_FINANCEIRO!$B$30,LANÇ_MOV[ANO PAGAMENTO],$B$4,LANÇ_MOV[MÊS PAGAMENTO CORRESPONDENTE],G$6,LANÇ_MOV[EMPRESA],$C$4,LANÇ_MOV[CENTRO DE CUSTOS],$D$4)</f>
        <v>0</v>
      </c>
      <c r="H89" s="206">
        <f>SUMIFS(LANÇ_MOV[VALOR LÍQUIDO],LANÇ_MOV[RECEITA OU DESPESA],"Receita",LANÇ_MOV[CONTAS],$C89,LANÇ_MOV[PLANO DE CONTAS],REL_DRE_FINANCEIRO!$B$30,LANÇ_MOV[ANO PAGAMENTO],$B$4,LANÇ_MOV[MÊS PAGAMENTO CORRESPONDENTE],H$6,LANÇ_MOV[EMPRESA],$C$4,LANÇ_MOV[CENTRO DE CUSTOS],$D$4)</f>
        <v>0</v>
      </c>
      <c r="I89" s="206">
        <f>SUMIFS(LANÇ_MOV[VALOR LÍQUIDO],LANÇ_MOV[RECEITA OU DESPESA],"Receita",LANÇ_MOV[CONTAS],$C89,LANÇ_MOV[PLANO DE CONTAS],REL_DRE_FINANCEIRO!$B$30,LANÇ_MOV[ANO PAGAMENTO],$B$4,LANÇ_MOV[MÊS PAGAMENTO CORRESPONDENTE],I$6,LANÇ_MOV[EMPRESA],$C$4,LANÇ_MOV[CENTRO DE CUSTOS],$D$4)</f>
        <v>0</v>
      </c>
      <c r="J89" s="206">
        <f>SUMIFS(LANÇ_MOV[VALOR LÍQUIDO],LANÇ_MOV[RECEITA OU DESPESA],"Receita",LANÇ_MOV[CONTAS],$C89,LANÇ_MOV[PLANO DE CONTAS],REL_DRE_FINANCEIRO!$B$30,LANÇ_MOV[ANO PAGAMENTO],$B$4,LANÇ_MOV[MÊS PAGAMENTO CORRESPONDENTE],J$6,LANÇ_MOV[EMPRESA],$C$4,LANÇ_MOV[CENTRO DE CUSTOS],$D$4)</f>
        <v>0</v>
      </c>
      <c r="K89" s="206">
        <f>SUMIFS(LANÇ_MOV[VALOR LÍQUIDO],LANÇ_MOV[RECEITA OU DESPESA],"Receita",LANÇ_MOV[CONTAS],$C89,LANÇ_MOV[PLANO DE CONTAS],REL_DRE_FINANCEIRO!$B$30,LANÇ_MOV[ANO PAGAMENTO],$B$4,LANÇ_MOV[MÊS PAGAMENTO CORRESPONDENTE],K$6,LANÇ_MOV[EMPRESA],$C$4,LANÇ_MOV[CENTRO DE CUSTOS],$D$4)</f>
        <v>0</v>
      </c>
      <c r="L89" s="206">
        <f>SUMIFS(LANÇ_MOV[VALOR LÍQUIDO],LANÇ_MOV[RECEITA OU DESPESA],"Receita",LANÇ_MOV[CONTAS],$C89,LANÇ_MOV[PLANO DE CONTAS],REL_DRE_FINANCEIRO!$B$30,LANÇ_MOV[ANO PAGAMENTO],$B$4,LANÇ_MOV[MÊS PAGAMENTO CORRESPONDENTE],L$6,LANÇ_MOV[EMPRESA],$C$4,LANÇ_MOV[CENTRO DE CUSTOS],$D$4)</f>
        <v>0</v>
      </c>
      <c r="M89" s="206">
        <f>SUMIFS(LANÇ_MOV[VALOR LÍQUIDO],LANÇ_MOV[RECEITA OU DESPESA],"Receita",LANÇ_MOV[CONTAS],$C89,LANÇ_MOV[PLANO DE CONTAS],REL_DRE_FINANCEIRO!$B$30,LANÇ_MOV[ANO PAGAMENTO],$B$4,LANÇ_MOV[MÊS PAGAMENTO CORRESPONDENTE],M$6,LANÇ_MOV[EMPRESA],$C$4,LANÇ_MOV[CENTRO DE CUSTOS],$D$4)</f>
        <v>0</v>
      </c>
      <c r="N89" s="206">
        <f>SUMIFS(LANÇ_MOV[VALOR LÍQUIDO],LANÇ_MOV[RECEITA OU DESPESA],"Receita",LANÇ_MOV[CONTAS],$C89,LANÇ_MOV[PLANO DE CONTAS],REL_DRE_FINANCEIRO!$B$30,LANÇ_MOV[ANO PAGAMENTO],$B$4,LANÇ_MOV[MÊS PAGAMENTO CORRESPONDENTE],N$6,LANÇ_MOV[EMPRESA],$C$4,LANÇ_MOV[CENTRO DE CUSTOS],$D$4)</f>
        <v>0</v>
      </c>
      <c r="O89" s="206">
        <f>SUMIFS(LANÇ_MOV[VALOR LÍQUIDO],LANÇ_MOV[RECEITA OU DESPESA],"Receita",LANÇ_MOV[CONTAS],$C89,LANÇ_MOV[PLANO DE CONTAS],REL_DRE_FINANCEIRO!$B$30,LANÇ_MOV[ANO PAGAMENTO],$B$4,LANÇ_MOV[MÊS PAGAMENTO CORRESPONDENTE],O$6,LANÇ_MOV[EMPRESA],$C$4,LANÇ_MOV[CENTRO DE CUSTOS],$D$4)</f>
        <v>0</v>
      </c>
      <c r="P89" s="207">
        <f t="shared" si="18"/>
        <v>0</v>
      </c>
      <c r="Q89" s="333">
        <v>4.1999999999999996E-6</v>
      </c>
      <c r="R89" s="346">
        <f t="shared" si="19"/>
        <v>4.1999999999999996E-6</v>
      </c>
      <c r="S89" s="347" t="str">
        <f t="shared" si="20"/>
        <v>-</v>
      </c>
      <c r="T89" s="347">
        <f t="shared" si="21"/>
        <v>0</v>
      </c>
      <c r="U89" s="347">
        <f>HLOOKUP(Apoio!$P$12,$D$29:$P$130,X89,FALSE)+Q89</f>
        <v>4.1999999999999996E-6</v>
      </c>
      <c r="V89" s="447" t="str">
        <f t="shared" si="22"/>
        <v>-</v>
      </c>
      <c r="W89" s="448">
        <f>HLOOKUP(Apoio!$P$12,$D$29:$P$130,X89,FALSE)</f>
        <v>0</v>
      </c>
      <c r="X89" s="329">
        <v>61</v>
      </c>
    </row>
    <row r="90" spans="2:24" ht="30.05" customHeight="1" x14ac:dyDescent="0.35">
      <c r="B90" s="204" t="str">
        <f>'CAD_PL_REC-DESP'!B64</f>
        <v>1.1.60</v>
      </c>
      <c r="C90" s="205" t="str">
        <f>IF('CAD_PL_REC-DESP'!C64="","-",'CAD_PL_REC-DESP'!C64)</f>
        <v>-</v>
      </c>
      <c r="D90" s="206">
        <f>SUMIFS(LANÇ_MOV[VALOR LÍQUIDO],LANÇ_MOV[RECEITA OU DESPESA],"Receita",LANÇ_MOV[CONTAS],$C90,LANÇ_MOV[PLANO DE CONTAS],REL_DRE_FINANCEIRO!$B$30,LANÇ_MOV[ANO PAGAMENTO],$B$4,LANÇ_MOV[MÊS PAGAMENTO CORRESPONDENTE],D$6,LANÇ_MOV[EMPRESA],$C$4,LANÇ_MOV[CENTRO DE CUSTOS],$D$4)</f>
        <v>0</v>
      </c>
      <c r="E90" s="206">
        <f>SUMIFS(LANÇ_MOV[VALOR LÍQUIDO],LANÇ_MOV[RECEITA OU DESPESA],"Receita",LANÇ_MOV[CONTAS],$C90,LANÇ_MOV[PLANO DE CONTAS],REL_DRE_FINANCEIRO!$B$30,LANÇ_MOV[ANO PAGAMENTO],$B$4,LANÇ_MOV[MÊS PAGAMENTO CORRESPONDENTE],E$6,LANÇ_MOV[EMPRESA],$C$4,LANÇ_MOV[CENTRO DE CUSTOS],$D$4)</f>
        <v>0</v>
      </c>
      <c r="F90" s="206">
        <f>SUMIFS(LANÇ_MOV[VALOR LÍQUIDO],LANÇ_MOV[RECEITA OU DESPESA],"Receita",LANÇ_MOV[CONTAS],$C90,LANÇ_MOV[PLANO DE CONTAS],REL_DRE_FINANCEIRO!$B$30,LANÇ_MOV[ANO PAGAMENTO],$B$4,LANÇ_MOV[MÊS PAGAMENTO CORRESPONDENTE],F$6,LANÇ_MOV[EMPRESA],$C$4,LANÇ_MOV[CENTRO DE CUSTOS],$D$4)</f>
        <v>0</v>
      </c>
      <c r="G90" s="206">
        <f>SUMIFS(LANÇ_MOV[VALOR LÍQUIDO],LANÇ_MOV[RECEITA OU DESPESA],"Receita",LANÇ_MOV[CONTAS],$C90,LANÇ_MOV[PLANO DE CONTAS],REL_DRE_FINANCEIRO!$B$30,LANÇ_MOV[ANO PAGAMENTO],$B$4,LANÇ_MOV[MÊS PAGAMENTO CORRESPONDENTE],G$6,LANÇ_MOV[EMPRESA],$C$4,LANÇ_MOV[CENTRO DE CUSTOS],$D$4)</f>
        <v>0</v>
      </c>
      <c r="H90" s="206">
        <f>SUMIFS(LANÇ_MOV[VALOR LÍQUIDO],LANÇ_MOV[RECEITA OU DESPESA],"Receita",LANÇ_MOV[CONTAS],$C90,LANÇ_MOV[PLANO DE CONTAS],REL_DRE_FINANCEIRO!$B$30,LANÇ_MOV[ANO PAGAMENTO],$B$4,LANÇ_MOV[MÊS PAGAMENTO CORRESPONDENTE],H$6,LANÇ_MOV[EMPRESA],$C$4,LANÇ_MOV[CENTRO DE CUSTOS],$D$4)</f>
        <v>0</v>
      </c>
      <c r="I90" s="206">
        <f>SUMIFS(LANÇ_MOV[VALOR LÍQUIDO],LANÇ_MOV[RECEITA OU DESPESA],"Receita",LANÇ_MOV[CONTAS],$C90,LANÇ_MOV[PLANO DE CONTAS],REL_DRE_FINANCEIRO!$B$30,LANÇ_MOV[ANO PAGAMENTO],$B$4,LANÇ_MOV[MÊS PAGAMENTO CORRESPONDENTE],I$6,LANÇ_MOV[EMPRESA],$C$4,LANÇ_MOV[CENTRO DE CUSTOS],$D$4)</f>
        <v>0</v>
      </c>
      <c r="J90" s="206">
        <f>SUMIFS(LANÇ_MOV[VALOR LÍQUIDO],LANÇ_MOV[RECEITA OU DESPESA],"Receita",LANÇ_MOV[CONTAS],$C90,LANÇ_MOV[PLANO DE CONTAS],REL_DRE_FINANCEIRO!$B$30,LANÇ_MOV[ANO PAGAMENTO],$B$4,LANÇ_MOV[MÊS PAGAMENTO CORRESPONDENTE],J$6,LANÇ_MOV[EMPRESA],$C$4,LANÇ_MOV[CENTRO DE CUSTOS],$D$4)</f>
        <v>0</v>
      </c>
      <c r="K90" s="206">
        <f>SUMIFS(LANÇ_MOV[VALOR LÍQUIDO],LANÇ_MOV[RECEITA OU DESPESA],"Receita",LANÇ_MOV[CONTAS],$C90,LANÇ_MOV[PLANO DE CONTAS],REL_DRE_FINANCEIRO!$B$30,LANÇ_MOV[ANO PAGAMENTO],$B$4,LANÇ_MOV[MÊS PAGAMENTO CORRESPONDENTE],K$6,LANÇ_MOV[EMPRESA],$C$4,LANÇ_MOV[CENTRO DE CUSTOS],$D$4)</f>
        <v>0</v>
      </c>
      <c r="L90" s="206">
        <f>SUMIFS(LANÇ_MOV[VALOR LÍQUIDO],LANÇ_MOV[RECEITA OU DESPESA],"Receita",LANÇ_MOV[CONTAS],$C90,LANÇ_MOV[PLANO DE CONTAS],REL_DRE_FINANCEIRO!$B$30,LANÇ_MOV[ANO PAGAMENTO],$B$4,LANÇ_MOV[MÊS PAGAMENTO CORRESPONDENTE],L$6,LANÇ_MOV[EMPRESA],$C$4,LANÇ_MOV[CENTRO DE CUSTOS],$D$4)</f>
        <v>0</v>
      </c>
      <c r="M90" s="206">
        <f>SUMIFS(LANÇ_MOV[VALOR LÍQUIDO],LANÇ_MOV[RECEITA OU DESPESA],"Receita",LANÇ_MOV[CONTAS],$C90,LANÇ_MOV[PLANO DE CONTAS],REL_DRE_FINANCEIRO!$B$30,LANÇ_MOV[ANO PAGAMENTO],$B$4,LANÇ_MOV[MÊS PAGAMENTO CORRESPONDENTE],M$6,LANÇ_MOV[EMPRESA],$C$4,LANÇ_MOV[CENTRO DE CUSTOS],$D$4)</f>
        <v>0</v>
      </c>
      <c r="N90" s="206">
        <f>SUMIFS(LANÇ_MOV[VALOR LÍQUIDO],LANÇ_MOV[RECEITA OU DESPESA],"Receita",LANÇ_MOV[CONTAS],$C90,LANÇ_MOV[PLANO DE CONTAS],REL_DRE_FINANCEIRO!$B$30,LANÇ_MOV[ANO PAGAMENTO],$B$4,LANÇ_MOV[MÊS PAGAMENTO CORRESPONDENTE],N$6,LANÇ_MOV[EMPRESA],$C$4,LANÇ_MOV[CENTRO DE CUSTOS],$D$4)</f>
        <v>0</v>
      </c>
      <c r="O90" s="206">
        <f>SUMIFS(LANÇ_MOV[VALOR LÍQUIDO],LANÇ_MOV[RECEITA OU DESPESA],"Receita",LANÇ_MOV[CONTAS],$C90,LANÇ_MOV[PLANO DE CONTAS],REL_DRE_FINANCEIRO!$B$30,LANÇ_MOV[ANO PAGAMENTO],$B$4,LANÇ_MOV[MÊS PAGAMENTO CORRESPONDENTE],O$6,LANÇ_MOV[EMPRESA],$C$4,LANÇ_MOV[CENTRO DE CUSTOS],$D$4)</f>
        <v>0</v>
      </c>
      <c r="P90" s="207">
        <f t="shared" si="18"/>
        <v>0</v>
      </c>
      <c r="Q90" s="333">
        <v>4.0999999999999997E-6</v>
      </c>
      <c r="R90" s="346">
        <f t="shared" si="19"/>
        <v>4.0999999999999997E-6</v>
      </c>
      <c r="S90" s="347" t="str">
        <f t="shared" si="20"/>
        <v>-</v>
      </c>
      <c r="T90" s="347">
        <f t="shared" si="21"/>
        <v>0</v>
      </c>
      <c r="U90" s="347">
        <f>HLOOKUP(Apoio!$P$12,$D$29:$P$130,X90,FALSE)+Q90</f>
        <v>4.0999999999999997E-6</v>
      </c>
      <c r="V90" s="447" t="str">
        <f t="shared" si="22"/>
        <v>-</v>
      </c>
      <c r="W90" s="448">
        <f>HLOOKUP(Apoio!$P$12,$D$29:$P$130,X90,FALSE)</f>
        <v>0</v>
      </c>
      <c r="X90" s="329">
        <v>62</v>
      </c>
    </row>
    <row r="91" spans="2:24" ht="30.05" customHeight="1" x14ac:dyDescent="0.35">
      <c r="B91" s="204" t="str">
        <f>'CAD_PL_REC-DESP'!B65</f>
        <v>1.1.61</v>
      </c>
      <c r="C91" s="205" t="str">
        <f>IF('CAD_PL_REC-DESP'!C65="","-",'CAD_PL_REC-DESP'!C65)</f>
        <v>-</v>
      </c>
      <c r="D91" s="206">
        <f>SUMIFS(LANÇ_MOV[VALOR LÍQUIDO],LANÇ_MOV[RECEITA OU DESPESA],"Receita",LANÇ_MOV[CONTAS],$C91,LANÇ_MOV[PLANO DE CONTAS],REL_DRE_FINANCEIRO!$B$30,LANÇ_MOV[ANO PAGAMENTO],$B$4,LANÇ_MOV[MÊS PAGAMENTO CORRESPONDENTE],D$6,LANÇ_MOV[EMPRESA],$C$4,LANÇ_MOV[CENTRO DE CUSTOS],$D$4)</f>
        <v>0</v>
      </c>
      <c r="E91" s="206">
        <f>SUMIFS(LANÇ_MOV[VALOR LÍQUIDO],LANÇ_MOV[RECEITA OU DESPESA],"Receita",LANÇ_MOV[CONTAS],$C91,LANÇ_MOV[PLANO DE CONTAS],REL_DRE_FINANCEIRO!$B$30,LANÇ_MOV[ANO PAGAMENTO],$B$4,LANÇ_MOV[MÊS PAGAMENTO CORRESPONDENTE],E$6,LANÇ_MOV[EMPRESA],$C$4,LANÇ_MOV[CENTRO DE CUSTOS],$D$4)</f>
        <v>0</v>
      </c>
      <c r="F91" s="206">
        <f>SUMIFS(LANÇ_MOV[VALOR LÍQUIDO],LANÇ_MOV[RECEITA OU DESPESA],"Receita",LANÇ_MOV[CONTAS],$C91,LANÇ_MOV[PLANO DE CONTAS],REL_DRE_FINANCEIRO!$B$30,LANÇ_MOV[ANO PAGAMENTO],$B$4,LANÇ_MOV[MÊS PAGAMENTO CORRESPONDENTE],F$6,LANÇ_MOV[EMPRESA],$C$4,LANÇ_MOV[CENTRO DE CUSTOS],$D$4)</f>
        <v>0</v>
      </c>
      <c r="G91" s="206">
        <f>SUMIFS(LANÇ_MOV[VALOR LÍQUIDO],LANÇ_MOV[RECEITA OU DESPESA],"Receita",LANÇ_MOV[CONTAS],$C91,LANÇ_MOV[PLANO DE CONTAS],REL_DRE_FINANCEIRO!$B$30,LANÇ_MOV[ANO PAGAMENTO],$B$4,LANÇ_MOV[MÊS PAGAMENTO CORRESPONDENTE],G$6,LANÇ_MOV[EMPRESA],$C$4,LANÇ_MOV[CENTRO DE CUSTOS],$D$4)</f>
        <v>0</v>
      </c>
      <c r="H91" s="206">
        <f>SUMIFS(LANÇ_MOV[VALOR LÍQUIDO],LANÇ_MOV[RECEITA OU DESPESA],"Receita",LANÇ_MOV[CONTAS],$C91,LANÇ_MOV[PLANO DE CONTAS],REL_DRE_FINANCEIRO!$B$30,LANÇ_MOV[ANO PAGAMENTO],$B$4,LANÇ_MOV[MÊS PAGAMENTO CORRESPONDENTE],H$6,LANÇ_MOV[EMPRESA],$C$4,LANÇ_MOV[CENTRO DE CUSTOS],$D$4)</f>
        <v>0</v>
      </c>
      <c r="I91" s="206">
        <f>SUMIFS(LANÇ_MOV[VALOR LÍQUIDO],LANÇ_MOV[RECEITA OU DESPESA],"Receita",LANÇ_MOV[CONTAS],$C91,LANÇ_MOV[PLANO DE CONTAS],REL_DRE_FINANCEIRO!$B$30,LANÇ_MOV[ANO PAGAMENTO],$B$4,LANÇ_MOV[MÊS PAGAMENTO CORRESPONDENTE],I$6,LANÇ_MOV[EMPRESA],$C$4,LANÇ_MOV[CENTRO DE CUSTOS],$D$4)</f>
        <v>0</v>
      </c>
      <c r="J91" s="206">
        <f>SUMIFS(LANÇ_MOV[VALOR LÍQUIDO],LANÇ_MOV[RECEITA OU DESPESA],"Receita",LANÇ_MOV[CONTAS],$C91,LANÇ_MOV[PLANO DE CONTAS],REL_DRE_FINANCEIRO!$B$30,LANÇ_MOV[ANO PAGAMENTO],$B$4,LANÇ_MOV[MÊS PAGAMENTO CORRESPONDENTE],J$6,LANÇ_MOV[EMPRESA],$C$4,LANÇ_MOV[CENTRO DE CUSTOS],$D$4)</f>
        <v>0</v>
      </c>
      <c r="K91" s="206">
        <f>SUMIFS(LANÇ_MOV[VALOR LÍQUIDO],LANÇ_MOV[RECEITA OU DESPESA],"Receita",LANÇ_MOV[CONTAS],$C91,LANÇ_MOV[PLANO DE CONTAS],REL_DRE_FINANCEIRO!$B$30,LANÇ_MOV[ANO PAGAMENTO],$B$4,LANÇ_MOV[MÊS PAGAMENTO CORRESPONDENTE],K$6,LANÇ_MOV[EMPRESA],$C$4,LANÇ_MOV[CENTRO DE CUSTOS],$D$4)</f>
        <v>0</v>
      </c>
      <c r="L91" s="206">
        <f>SUMIFS(LANÇ_MOV[VALOR LÍQUIDO],LANÇ_MOV[RECEITA OU DESPESA],"Receita",LANÇ_MOV[CONTAS],$C91,LANÇ_MOV[PLANO DE CONTAS],REL_DRE_FINANCEIRO!$B$30,LANÇ_MOV[ANO PAGAMENTO],$B$4,LANÇ_MOV[MÊS PAGAMENTO CORRESPONDENTE],L$6,LANÇ_MOV[EMPRESA],$C$4,LANÇ_MOV[CENTRO DE CUSTOS],$D$4)</f>
        <v>0</v>
      </c>
      <c r="M91" s="206">
        <f>SUMIFS(LANÇ_MOV[VALOR LÍQUIDO],LANÇ_MOV[RECEITA OU DESPESA],"Receita",LANÇ_MOV[CONTAS],$C91,LANÇ_MOV[PLANO DE CONTAS],REL_DRE_FINANCEIRO!$B$30,LANÇ_MOV[ANO PAGAMENTO],$B$4,LANÇ_MOV[MÊS PAGAMENTO CORRESPONDENTE],M$6,LANÇ_MOV[EMPRESA],$C$4,LANÇ_MOV[CENTRO DE CUSTOS],$D$4)</f>
        <v>0</v>
      </c>
      <c r="N91" s="206">
        <f>SUMIFS(LANÇ_MOV[VALOR LÍQUIDO],LANÇ_MOV[RECEITA OU DESPESA],"Receita",LANÇ_MOV[CONTAS],$C91,LANÇ_MOV[PLANO DE CONTAS],REL_DRE_FINANCEIRO!$B$30,LANÇ_MOV[ANO PAGAMENTO],$B$4,LANÇ_MOV[MÊS PAGAMENTO CORRESPONDENTE],N$6,LANÇ_MOV[EMPRESA],$C$4,LANÇ_MOV[CENTRO DE CUSTOS],$D$4)</f>
        <v>0</v>
      </c>
      <c r="O91" s="206">
        <f>SUMIFS(LANÇ_MOV[VALOR LÍQUIDO],LANÇ_MOV[RECEITA OU DESPESA],"Receita",LANÇ_MOV[CONTAS],$C91,LANÇ_MOV[PLANO DE CONTAS],REL_DRE_FINANCEIRO!$B$30,LANÇ_MOV[ANO PAGAMENTO],$B$4,LANÇ_MOV[MÊS PAGAMENTO CORRESPONDENTE],O$6,LANÇ_MOV[EMPRESA],$C$4,LANÇ_MOV[CENTRO DE CUSTOS],$D$4)</f>
        <v>0</v>
      </c>
      <c r="P91" s="207">
        <f t="shared" si="18"/>
        <v>0</v>
      </c>
      <c r="Q91" s="333">
        <v>3.9999999999999998E-6</v>
      </c>
      <c r="R91" s="346">
        <f t="shared" si="19"/>
        <v>3.9999999999999998E-6</v>
      </c>
      <c r="S91" s="347" t="str">
        <f t="shared" si="20"/>
        <v>-</v>
      </c>
      <c r="T91" s="347">
        <f t="shared" si="21"/>
        <v>0</v>
      </c>
      <c r="U91" s="347">
        <f>HLOOKUP(Apoio!$P$12,$D$29:$P$130,X91,FALSE)+Q91</f>
        <v>3.9999999999999998E-6</v>
      </c>
      <c r="V91" s="447" t="str">
        <f t="shared" si="22"/>
        <v>-</v>
      </c>
      <c r="W91" s="448">
        <f>HLOOKUP(Apoio!$P$12,$D$29:$P$130,X91,FALSE)</f>
        <v>0</v>
      </c>
      <c r="X91" s="329">
        <v>63</v>
      </c>
    </row>
    <row r="92" spans="2:24" ht="30.05" customHeight="1" x14ac:dyDescent="0.35">
      <c r="B92" s="204" t="str">
        <f>'CAD_PL_REC-DESP'!B66</f>
        <v>1.1.62</v>
      </c>
      <c r="C92" s="205" t="str">
        <f>IF('CAD_PL_REC-DESP'!C66="","-",'CAD_PL_REC-DESP'!C66)</f>
        <v>-</v>
      </c>
      <c r="D92" s="206">
        <f>SUMIFS(LANÇ_MOV[VALOR LÍQUIDO],LANÇ_MOV[RECEITA OU DESPESA],"Receita",LANÇ_MOV[CONTAS],$C92,LANÇ_MOV[PLANO DE CONTAS],REL_DRE_FINANCEIRO!$B$30,LANÇ_MOV[ANO PAGAMENTO],$B$4,LANÇ_MOV[MÊS PAGAMENTO CORRESPONDENTE],D$6,LANÇ_MOV[EMPRESA],$C$4,LANÇ_MOV[CENTRO DE CUSTOS],$D$4)</f>
        <v>0</v>
      </c>
      <c r="E92" s="206">
        <f>SUMIFS(LANÇ_MOV[VALOR LÍQUIDO],LANÇ_MOV[RECEITA OU DESPESA],"Receita",LANÇ_MOV[CONTAS],$C92,LANÇ_MOV[PLANO DE CONTAS],REL_DRE_FINANCEIRO!$B$30,LANÇ_MOV[ANO PAGAMENTO],$B$4,LANÇ_MOV[MÊS PAGAMENTO CORRESPONDENTE],E$6,LANÇ_MOV[EMPRESA],$C$4,LANÇ_MOV[CENTRO DE CUSTOS],$D$4)</f>
        <v>0</v>
      </c>
      <c r="F92" s="206">
        <f>SUMIFS(LANÇ_MOV[VALOR LÍQUIDO],LANÇ_MOV[RECEITA OU DESPESA],"Receita",LANÇ_MOV[CONTAS],$C92,LANÇ_MOV[PLANO DE CONTAS],REL_DRE_FINANCEIRO!$B$30,LANÇ_MOV[ANO PAGAMENTO],$B$4,LANÇ_MOV[MÊS PAGAMENTO CORRESPONDENTE],F$6,LANÇ_MOV[EMPRESA],$C$4,LANÇ_MOV[CENTRO DE CUSTOS],$D$4)</f>
        <v>0</v>
      </c>
      <c r="G92" s="206">
        <f>SUMIFS(LANÇ_MOV[VALOR LÍQUIDO],LANÇ_MOV[RECEITA OU DESPESA],"Receita",LANÇ_MOV[CONTAS],$C92,LANÇ_MOV[PLANO DE CONTAS],REL_DRE_FINANCEIRO!$B$30,LANÇ_MOV[ANO PAGAMENTO],$B$4,LANÇ_MOV[MÊS PAGAMENTO CORRESPONDENTE],G$6,LANÇ_MOV[EMPRESA],$C$4,LANÇ_MOV[CENTRO DE CUSTOS],$D$4)</f>
        <v>0</v>
      </c>
      <c r="H92" s="206">
        <f>SUMIFS(LANÇ_MOV[VALOR LÍQUIDO],LANÇ_MOV[RECEITA OU DESPESA],"Receita",LANÇ_MOV[CONTAS],$C92,LANÇ_MOV[PLANO DE CONTAS],REL_DRE_FINANCEIRO!$B$30,LANÇ_MOV[ANO PAGAMENTO],$B$4,LANÇ_MOV[MÊS PAGAMENTO CORRESPONDENTE],H$6,LANÇ_MOV[EMPRESA],$C$4,LANÇ_MOV[CENTRO DE CUSTOS],$D$4)</f>
        <v>0</v>
      </c>
      <c r="I92" s="206">
        <f>SUMIFS(LANÇ_MOV[VALOR LÍQUIDO],LANÇ_MOV[RECEITA OU DESPESA],"Receita",LANÇ_MOV[CONTAS],$C92,LANÇ_MOV[PLANO DE CONTAS],REL_DRE_FINANCEIRO!$B$30,LANÇ_MOV[ANO PAGAMENTO],$B$4,LANÇ_MOV[MÊS PAGAMENTO CORRESPONDENTE],I$6,LANÇ_MOV[EMPRESA],$C$4,LANÇ_MOV[CENTRO DE CUSTOS],$D$4)</f>
        <v>0</v>
      </c>
      <c r="J92" s="206">
        <f>SUMIFS(LANÇ_MOV[VALOR LÍQUIDO],LANÇ_MOV[RECEITA OU DESPESA],"Receita",LANÇ_MOV[CONTAS],$C92,LANÇ_MOV[PLANO DE CONTAS],REL_DRE_FINANCEIRO!$B$30,LANÇ_MOV[ANO PAGAMENTO],$B$4,LANÇ_MOV[MÊS PAGAMENTO CORRESPONDENTE],J$6,LANÇ_MOV[EMPRESA],$C$4,LANÇ_MOV[CENTRO DE CUSTOS],$D$4)</f>
        <v>0</v>
      </c>
      <c r="K92" s="206">
        <f>SUMIFS(LANÇ_MOV[VALOR LÍQUIDO],LANÇ_MOV[RECEITA OU DESPESA],"Receita",LANÇ_MOV[CONTAS],$C92,LANÇ_MOV[PLANO DE CONTAS],REL_DRE_FINANCEIRO!$B$30,LANÇ_MOV[ANO PAGAMENTO],$B$4,LANÇ_MOV[MÊS PAGAMENTO CORRESPONDENTE],K$6,LANÇ_MOV[EMPRESA],$C$4,LANÇ_MOV[CENTRO DE CUSTOS],$D$4)</f>
        <v>0</v>
      </c>
      <c r="L92" s="206">
        <f>SUMIFS(LANÇ_MOV[VALOR LÍQUIDO],LANÇ_MOV[RECEITA OU DESPESA],"Receita",LANÇ_MOV[CONTAS],$C92,LANÇ_MOV[PLANO DE CONTAS],REL_DRE_FINANCEIRO!$B$30,LANÇ_MOV[ANO PAGAMENTO],$B$4,LANÇ_MOV[MÊS PAGAMENTO CORRESPONDENTE],L$6,LANÇ_MOV[EMPRESA],$C$4,LANÇ_MOV[CENTRO DE CUSTOS],$D$4)</f>
        <v>0</v>
      </c>
      <c r="M92" s="206">
        <f>SUMIFS(LANÇ_MOV[VALOR LÍQUIDO],LANÇ_MOV[RECEITA OU DESPESA],"Receita",LANÇ_MOV[CONTAS],$C92,LANÇ_MOV[PLANO DE CONTAS],REL_DRE_FINANCEIRO!$B$30,LANÇ_MOV[ANO PAGAMENTO],$B$4,LANÇ_MOV[MÊS PAGAMENTO CORRESPONDENTE],M$6,LANÇ_MOV[EMPRESA],$C$4,LANÇ_MOV[CENTRO DE CUSTOS],$D$4)</f>
        <v>0</v>
      </c>
      <c r="N92" s="206">
        <f>SUMIFS(LANÇ_MOV[VALOR LÍQUIDO],LANÇ_MOV[RECEITA OU DESPESA],"Receita",LANÇ_MOV[CONTAS],$C92,LANÇ_MOV[PLANO DE CONTAS],REL_DRE_FINANCEIRO!$B$30,LANÇ_MOV[ANO PAGAMENTO],$B$4,LANÇ_MOV[MÊS PAGAMENTO CORRESPONDENTE],N$6,LANÇ_MOV[EMPRESA],$C$4,LANÇ_MOV[CENTRO DE CUSTOS],$D$4)</f>
        <v>0</v>
      </c>
      <c r="O92" s="206">
        <f>SUMIFS(LANÇ_MOV[VALOR LÍQUIDO],LANÇ_MOV[RECEITA OU DESPESA],"Receita",LANÇ_MOV[CONTAS],$C92,LANÇ_MOV[PLANO DE CONTAS],REL_DRE_FINANCEIRO!$B$30,LANÇ_MOV[ANO PAGAMENTO],$B$4,LANÇ_MOV[MÊS PAGAMENTO CORRESPONDENTE],O$6,LANÇ_MOV[EMPRESA],$C$4,LANÇ_MOV[CENTRO DE CUSTOS],$D$4)</f>
        <v>0</v>
      </c>
      <c r="P92" s="207">
        <f t="shared" si="18"/>
        <v>0</v>
      </c>
      <c r="Q92" s="333">
        <v>3.8999999999999999E-6</v>
      </c>
      <c r="R92" s="346">
        <f t="shared" si="19"/>
        <v>3.8999999999999999E-6</v>
      </c>
      <c r="S92" s="347" t="str">
        <f t="shared" si="20"/>
        <v>-</v>
      </c>
      <c r="T92" s="347">
        <f t="shared" si="21"/>
        <v>0</v>
      </c>
      <c r="U92" s="347">
        <f>HLOOKUP(Apoio!$P$12,$D$29:$P$130,X92,FALSE)+Q92</f>
        <v>3.8999999999999999E-6</v>
      </c>
      <c r="V92" s="447" t="str">
        <f t="shared" si="22"/>
        <v>-</v>
      </c>
      <c r="W92" s="448">
        <f>HLOOKUP(Apoio!$P$12,$D$29:$P$130,X92,FALSE)</f>
        <v>0</v>
      </c>
      <c r="X92" s="329">
        <v>64</v>
      </c>
    </row>
    <row r="93" spans="2:24" ht="30.05" customHeight="1" x14ac:dyDescent="0.35">
      <c r="B93" s="204" t="str">
        <f>'CAD_PL_REC-DESP'!B67</f>
        <v>1.1.63</v>
      </c>
      <c r="C93" s="205" t="str">
        <f>IF('CAD_PL_REC-DESP'!C67="","-",'CAD_PL_REC-DESP'!C67)</f>
        <v>-</v>
      </c>
      <c r="D93" s="206">
        <f>SUMIFS(LANÇ_MOV[VALOR LÍQUIDO],LANÇ_MOV[RECEITA OU DESPESA],"Receita",LANÇ_MOV[CONTAS],$C93,LANÇ_MOV[PLANO DE CONTAS],REL_DRE_FINANCEIRO!$B$30,LANÇ_MOV[ANO PAGAMENTO],$B$4,LANÇ_MOV[MÊS PAGAMENTO CORRESPONDENTE],D$6,LANÇ_MOV[EMPRESA],$C$4,LANÇ_MOV[CENTRO DE CUSTOS],$D$4)</f>
        <v>0</v>
      </c>
      <c r="E93" s="206">
        <f>SUMIFS(LANÇ_MOV[VALOR LÍQUIDO],LANÇ_MOV[RECEITA OU DESPESA],"Receita",LANÇ_MOV[CONTAS],$C93,LANÇ_MOV[PLANO DE CONTAS],REL_DRE_FINANCEIRO!$B$30,LANÇ_MOV[ANO PAGAMENTO],$B$4,LANÇ_MOV[MÊS PAGAMENTO CORRESPONDENTE],E$6,LANÇ_MOV[EMPRESA],$C$4,LANÇ_MOV[CENTRO DE CUSTOS],$D$4)</f>
        <v>0</v>
      </c>
      <c r="F93" s="206">
        <f>SUMIFS(LANÇ_MOV[VALOR LÍQUIDO],LANÇ_MOV[RECEITA OU DESPESA],"Receita",LANÇ_MOV[CONTAS],$C93,LANÇ_MOV[PLANO DE CONTAS],REL_DRE_FINANCEIRO!$B$30,LANÇ_MOV[ANO PAGAMENTO],$B$4,LANÇ_MOV[MÊS PAGAMENTO CORRESPONDENTE],F$6,LANÇ_MOV[EMPRESA],$C$4,LANÇ_MOV[CENTRO DE CUSTOS],$D$4)</f>
        <v>0</v>
      </c>
      <c r="G93" s="206">
        <f>SUMIFS(LANÇ_MOV[VALOR LÍQUIDO],LANÇ_MOV[RECEITA OU DESPESA],"Receita",LANÇ_MOV[CONTAS],$C93,LANÇ_MOV[PLANO DE CONTAS],REL_DRE_FINANCEIRO!$B$30,LANÇ_MOV[ANO PAGAMENTO],$B$4,LANÇ_MOV[MÊS PAGAMENTO CORRESPONDENTE],G$6,LANÇ_MOV[EMPRESA],$C$4,LANÇ_MOV[CENTRO DE CUSTOS],$D$4)</f>
        <v>0</v>
      </c>
      <c r="H93" s="206">
        <f>SUMIFS(LANÇ_MOV[VALOR LÍQUIDO],LANÇ_MOV[RECEITA OU DESPESA],"Receita",LANÇ_MOV[CONTAS],$C93,LANÇ_MOV[PLANO DE CONTAS],REL_DRE_FINANCEIRO!$B$30,LANÇ_MOV[ANO PAGAMENTO],$B$4,LANÇ_MOV[MÊS PAGAMENTO CORRESPONDENTE],H$6,LANÇ_MOV[EMPRESA],$C$4,LANÇ_MOV[CENTRO DE CUSTOS],$D$4)</f>
        <v>0</v>
      </c>
      <c r="I93" s="206">
        <f>SUMIFS(LANÇ_MOV[VALOR LÍQUIDO],LANÇ_MOV[RECEITA OU DESPESA],"Receita",LANÇ_MOV[CONTAS],$C93,LANÇ_MOV[PLANO DE CONTAS],REL_DRE_FINANCEIRO!$B$30,LANÇ_MOV[ANO PAGAMENTO],$B$4,LANÇ_MOV[MÊS PAGAMENTO CORRESPONDENTE],I$6,LANÇ_MOV[EMPRESA],$C$4,LANÇ_MOV[CENTRO DE CUSTOS],$D$4)</f>
        <v>0</v>
      </c>
      <c r="J93" s="206">
        <f>SUMIFS(LANÇ_MOV[VALOR LÍQUIDO],LANÇ_MOV[RECEITA OU DESPESA],"Receita",LANÇ_MOV[CONTAS],$C93,LANÇ_MOV[PLANO DE CONTAS],REL_DRE_FINANCEIRO!$B$30,LANÇ_MOV[ANO PAGAMENTO],$B$4,LANÇ_MOV[MÊS PAGAMENTO CORRESPONDENTE],J$6,LANÇ_MOV[EMPRESA],$C$4,LANÇ_MOV[CENTRO DE CUSTOS],$D$4)</f>
        <v>0</v>
      </c>
      <c r="K93" s="206">
        <f>SUMIFS(LANÇ_MOV[VALOR LÍQUIDO],LANÇ_MOV[RECEITA OU DESPESA],"Receita",LANÇ_MOV[CONTAS],$C93,LANÇ_MOV[PLANO DE CONTAS],REL_DRE_FINANCEIRO!$B$30,LANÇ_MOV[ANO PAGAMENTO],$B$4,LANÇ_MOV[MÊS PAGAMENTO CORRESPONDENTE],K$6,LANÇ_MOV[EMPRESA],$C$4,LANÇ_MOV[CENTRO DE CUSTOS],$D$4)</f>
        <v>0</v>
      </c>
      <c r="L93" s="206">
        <f>SUMIFS(LANÇ_MOV[VALOR LÍQUIDO],LANÇ_MOV[RECEITA OU DESPESA],"Receita",LANÇ_MOV[CONTAS],$C93,LANÇ_MOV[PLANO DE CONTAS],REL_DRE_FINANCEIRO!$B$30,LANÇ_MOV[ANO PAGAMENTO],$B$4,LANÇ_MOV[MÊS PAGAMENTO CORRESPONDENTE],L$6,LANÇ_MOV[EMPRESA],$C$4,LANÇ_MOV[CENTRO DE CUSTOS],$D$4)</f>
        <v>0</v>
      </c>
      <c r="M93" s="206">
        <f>SUMIFS(LANÇ_MOV[VALOR LÍQUIDO],LANÇ_MOV[RECEITA OU DESPESA],"Receita",LANÇ_MOV[CONTAS],$C93,LANÇ_MOV[PLANO DE CONTAS],REL_DRE_FINANCEIRO!$B$30,LANÇ_MOV[ANO PAGAMENTO],$B$4,LANÇ_MOV[MÊS PAGAMENTO CORRESPONDENTE],M$6,LANÇ_MOV[EMPRESA],$C$4,LANÇ_MOV[CENTRO DE CUSTOS],$D$4)</f>
        <v>0</v>
      </c>
      <c r="N93" s="206">
        <f>SUMIFS(LANÇ_MOV[VALOR LÍQUIDO],LANÇ_MOV[RECEITA OU DESPESA],"Receita",LANÇ_MOV[CONTAS],$C93,LANÇ_MOV[PLANO DE CONTAS],REL_DRE_FINANCEIRO!$B$30,LANÇ_MOV[ANO PAGAMENTO],$B$4,LANÇ_MOV[MÊS PAGAMENTO CORRESPONDENTE],N$6,LANÇ_MOV[EMPRESA],$C$4,LANÇ_MOV[CENTRO DE CUSTOS],$D$4)</f>
        <v>0</v>
      </c>
      <c r="O93" s="206">
        <f>SUMIFS(LANÇ_MOV[VALOR LÍQUIDO],LANÇ_MOV[RECEITA OU DESPESA],"Receita",LANÇ_MOV[CONTAS],$C93,LANÇ_MOV[PLANO DE CONTAS],REL_DRE_FINANCEIRO!$B$30,LANÇ_MOV[ANO PAGAMENTO],$B$4,LANÇ_MOV[MÊS PAGAMENTO CORRESPONDENTE],O$6,LANÇ_MOV[EMPRESA],$C$4,LANÇ_MOV[CENTRO DE CUSTOS],$D$4)</f>
        <v>0</v>
      </c>
      <c r="P93" s="207">
        <f t="shared" si="18"/>
        <v>0</v>
      </c>
      <c r="Q93" s="333">
        <v>3.8E-6</v>
      </c>
      <c r="R93" s="346">
        <f t="shared" si="19"/>
        <v>3.8E-6</v>
      </c>
      <c r="S93" s="347" t="str">
        <f t="shared" si="20"/>
        <v>-</v>
      </c>
      <c r="T93" s="347">
        <f t="shared" si="21"/>
        <v>0</v>
      </c>
      <c r="U93" s="347">
        <f>HLOOKUP(Apoio!$P$12,$D$29:$P$130,X93,FALSE)+Q93</f>
        <v>3.8E-6</v>
      </c>
      <c r="V93" s="447" t="str">
        <f t="shared" si="22"/>
        <v>-</v>
      </c>
      <c r="W93" s="448">
        <f>HLOOKUP(Apoio!$P$12,$D$29:$P$130,X93,FALSE)</f>
        <v>0</v>
      </c>
      <c r="X93" s="329">
        <v>65</v>
      </c>
    </row>
    <row r="94" spans="2:24" ht="30.05" customHeight="1" x14ac:dyDescent="0.35">
      <c r="B94" s="204" t="str">
        <f>'CAD_PL_REC-DESP'!B68</f>
        <v>1.1.64</v>
      </c>
      <c r="C94" s="205" t="str">
        <f>IF('CAD_PL_REC-DESP'!C68="","-",'CAD_PL_REC-DESP'!C68)</f>
        <v>-</v>
      </c>
      <c r="D94" s="206">
        <f>SUMIFS(LANÇ_MOV[VALOR LÍQUIDO],LANÇ_MOV[RECEITA OU DESPESA],"Receita",LANÇ_MOV[CONTAS],$C94,LANÇ_MOV[PLANO DE CONTAS],REL_DRE_FINANCEIRO!$B$30,LANÇ_MOV[ANO PAGAMENTO],$B$4,LANÇ_MOV[MÊS PAGAMENTO CORRESPONDENTE],D$6,LANÇ_MOV[EMPRESA],$C$4,LANÇ_MOV[CENTRO DE CUSTOS],$D$4)</f>
        <v>0</v>
      </c>
      <c r="E94" s="206">
        <f>SUMIFS(LANÇ_MOV[VALOR LÍQUIDO],LANÇ_MOV[RECEITA OU DESPESA],"Receita",LANÇ_MOV[CONTAS],$C94,LANÇ_MOV[PLANO DE CONTAS],REL_DRE_FINANCEIRO!$B$30,LANÇ_MOV[ANO PAGAMENTO],$B$4,LANÇ_MOV[MÊS PAGAMENTO CORRESPONDENTE],E$6,LANÇ_MOV[EMPRESA],$C$4,LANÇ_MOV[CENTRO DE CUSTOS],$D$4)</f>
        <v>0</v>
      </c>
      <c r="F94" s="206">
        <f>SUMIFS(LANÇ_MOV[VALOR LÍQUIDO],LANÇ_MOV[RECEITA OU DESPESA],"Receita",LANÇ_MOV[CONTAS],$C94,LANÇ_MOV[PLANO DE CONTAS],REL_DRE_FINANCEIRO!$B$30,LANÇ_MOV[ANO PAGAMENTO],$B$4,LANÇ_MOV[MÊS PAGAMENTO CORRESPONDENTE],F$6,LANÇ_MOV[EMPRESA],$C$4,LANÇ_MOV[CENTRO DE CUSTOS],$D$4)</f>
        <v>0</v>
      </c>
      <c r="G94" s="206">
        <f>SUMIFS(LANÇ_MOV[VALOR LÍQUIDO],LANÇ_MOV[RECEITA OU DESPESA],"Receita",LANÇ_MOV[CONTAS],$C94,LANÇ_MOV[PLANO DE CONTAS],REL_DRE_FINANCEIRO!$B$30,LANÇ_MOV[ANO PAGAMENTO],$B$4,LANÇ_MOV[MÊS PAGAMENTO CORRESPONDENTE],G$6,LANÇ_MOV[EMPRESA],$C$4,LANÇ_MOV[CENTRO DE CUSTOS],$D$4)</f>
        <v>0</v>
      </c>
      <c r="H94" s="206">
        <f>SUMIFS(LANÇ_MOV[VALOR LÍQUIDO],LANÇ_MOV[RECEITA OU DESPESA],"Receita",LANÇ_MOV[CONTAS],$C94,LANÇ_MOV[PLANO DE CONTAS],REL_DRE_FINANCEIRO!$B$30,LANÇ_MOV[ANO PAGAMENTO],$B$4,LANÇ_MOV[MÊS PAGAMENTO CORRESPONDENTE],H$6,LANÇ_MOV[EMPRESA],$C$4,LANÇ_MOV[CENTRO DE CUSTOS],$D$4)</f>
        <v>0</v>
      </c>
      <c r="I94" s="206">
        <f>SUMIFS(LANÇ_MOV[VALOR LÍQUIDO],LANÇ_MOV[RECEITA OU DESPESA],"Receita",LANÇ_MOV[CONTAS],$C94,LANÇ_MOV[PLANO DE CONTAS],REL_DRE_FINANCEIRO!$B$30,LANÇ_MOV[ANO PAGAMENTO],$B$4,LANÇ_MOV[MÊS PAGAMENTO CORRESPONDENTE],I$6,LANÇ_MOV[EMPRESA],$C$4,LANÇ_MOV[CENTRO DE CUSTOS],$D$4)</f>
        <v>0</v>
      </c>
      <c r="J94" s="206">
        <f>SUMIFS(LANÇ_MOV[VALOR LÍQUIDO],LANÇ_MOV[RECEITA OU DESPESA],"Receita",LANÇ_MOV[CONTAS],$C94,LANÇ_MOV[PLANO DE CONTAS],REL_DRE_FINANCEIRO!$B$30,LANÇ_MOV[ANO PAGAMENTO],$B$4,LANÇ_MOV[MÊS PAGAMENTO CORRESPONDENTE],J$6,LANÇ_MOV[EMPRESA],$C$4,LANÇ_MOV[CENTRO DE CUSTOS],$D$4)</f>
        <v>0</v>
      </c>
      <c r="K94" s="206">
        <f>SUMIFS(LANÇ_MOV[VALOR LÍQUIDO],LANÇ_MOV[RECEITA OU DESPESA],"Receita",LANÇ_MOV[CONTAS],$C94,LANÇ_MOV[PLANO DE CONTAS],REL_DRE_FINANCEIRO!$B$30,LANÇ_MOV[ANO PAGAMENTO],$B$4,LANÇ_MOV[MÊS PAGAMENTO CORRESPONDENTE],K$6,LANÇ_MOV[EMPRESA],$C$4,LANÇ_MOV[CENTRO DE CUSTOS],$D$4)</f>
        <v>0</v>
      </c>
      <c r="L94" s="206">
        <f>SUMIFS(LANÇ_MOV[VALOR LÍQUIDO],LANÇ_MOV[RECEITA OU DESPESA],"Receita",LANÇ_MOV[CONTAS],$C94,LANÇ_MOV[PLANO DE CONTAS],REL_DRE_FINANCEIRO!$B$30,LANÇ_MOV[ANO PAGAMENTO],$B$4,LANÇ_MOV[MÊS PAGAMENTO CORRESPONDENTE],L$6,LANÇ_MOV[EMPRESA],$C$4,LANÇ_MOV[CENTRO DE CUSTOS],$D$4)</f>
        <v>0</v>
      </c>
      <c r="M94" s="206">
        <f>SUMIFS(LANÇ_MOV[VALOR LÍQUIDO],LANÇ_MOV[RECEITA OU DESPESA],"Receita",LANÇ_MOV[CONTAS],$C94,LANÇ_MOV[PLANO DE CONTAS],REL_DRE_FINANCEIRO!$B$30,LANÇ_MOV[ANO PAGAMENTO],$B$4,LANÇ_MOV[MÊS PAGAMENTO CORRESPONDENTE],M$6,LANÇ_MOV[EMPRESA],$C$4,LANÇ_MOV[CENTRO DE CUSTOS],$D$4)</f>
        <v>0</v>
      </c>
      <c r="N94" s="206">
        <f>SUMIFS(LANÇ_MOV[VALOR LÍQUIDO],LANÇ_MOV[RECEITA OU DESPESA],"Receita",LANÇ_MOV[CONTAS],$C94,LANÇ_MOV[PLANO DE CONTAS],REL_DRE_FINANCEIRO!$B$30,LANÇ_MOV[ANO PAGAMENTO],$B$4,LANÇ_MOV[MÊS PAGAMENTO CORRESPONDENTE],N$6,LANÇ_MOV[EMPRESA],$C$4,LANÇ_MOV[CENTRO DE CUSTOS],$D$4)</f>
        <v>0</v>
      </c>
      <c r="O94" s="206">
        <f>SUMIFS(LANÇ_MOV[VALOR LÍQUIDO],LANÇ_MOV[RECEITA OU DESPESA],"Receita",LANÇ_MOV[CONTAS],$C94,LANÇ_MOV[PLANO DE CONTAS],REL_DRE_FINANCEIRO!$B$30,LANÇ_MOV[ANO PAGAMENTO],$B$4,LANÇ_MOV[MÊS PAGAMENTO CORRESPONDENTE],O$6,LANÇ_MOV[EMPRESA],$C$4,LANÇ_MOV[CENTRO DE CUSTOS],$D$4)</f>
        <v>0</v>
      </c>
      <c r="P94" s="207">
        <f t="shared" si="18"/>
        <v>0</v>
      </c>
      <c r="Q94" s="333">
        <v>3.7000000000000002E-6</v>
      </c>
      <c r="R94" s="346">
        <f t="shared" si="19"/>
        <v>3.7000000000000002E-6</v>
      </c>
      <c r="S94" s="347" t="str">
        <f t="shared" si="20"/>
        <v>-</v>
      </c>
      <c r="T94" s="347">
        <f t="shared" si="21"/>
        <v>0</v>
      </c>
      <c r="U94" s="347">
        <f>HLOOKUP(Apoio!$P$12,$D$29:$P$130,X94,FALSE)+Q94</f>
        <v>3.7000000000000002E-6</v>
      </c>
      <c r="V94" s="447" t="str">
        <f t="shared" si="22"/>
        <v>-</v>
      </c>
      <c r="W94" s="448">
        <f>HLOOKUP(Apoio!$P$12,$D$29:$P$130,X94,FALSE)</f>
        <v>0</v>
      </c>
      <c r="X94" s="329">
        <v>66</v>
      </c>
    </row>
    <row r="95" spans="2:24" ht="30.05" customHeight="1" x14ac:dyDescent="0.35">
      <c r="B95" s="204" t="str">
        <f>'CAD_PL_REC-DESP'!B69</f>
        <v>1.1.65</v>
      </c>
      <c r="C95" s="205" t="str">
        <f>IF('CAD_PL_REC-DESP'!C69="","-",'CAD_PL_REC-DESP'!C69)</f>
        <v>-</v>
      </c>
      <c r="D95" s="206">
        <f>SUMIFS(LANÇ_MOV[VALOR LÍQUIDO],LANÇ_MOV[RECEITA OU DESPESA],"Receita",LANÇ_MOV[CONTAS],$C95,LANÇ_MOV[PLANO DE CONTAS],REL_DRE_FINANCEIRO!$B$30,LANÇ_MOV[ANO PAGAMENTO],$B$4,LANÇ_MOV[MÊS PAGAMENTO CORRESPONDENTE],D$6,LANÇ_MOV[EMPRESA],$C$4,LANÇ_MOV[CENTRO DE CUSTOS],$D$4)</f>
        <v>0</v>
      </c>
      <c r="E95" s="206">
        <f>SUMIFS(LANÇ_MOV[VALOR LÍQUIDO],LANÇ_MOV[RECEITA OU DESPESA],"Receita",LANÇ_MOV[CONTAS],$C95,LANÇ_MOV[PLANO DE CONTAS],REL_DRE_FINANCEIRO!$B$30,LANÇ_MOV[ANO PAGAMENTO],$B$4,LANÇ_MOV[MÊS PAGAMENTO CORRESPONDENTE],E$6,LANÇ_MOV[EMPRESA],$C$4,LANÇ_MOV[CENTRO DE CUSTOS],$D$4)</f>
        <v>0</v>
      </c>
      <c r="F95" s="206">
        <f>SUMIFS(LANÇ_MOV[VALOR LÍQUIDO],LANÇ_MOV[RECEITA OU DESPESA],"Receita",LANÇ_MOV[CONTAS],$C95,LANÇ_MOV[PLANO DE CONTAS],REL_DRE_FINANCEIRO!$B$30,LANÇ_MOV[ANO PAGAMENTO],$B$4,LANÇ_MOV[MÊS PAGAMENTO CORRESPONDENTE],F$6,LANÇ_MOV[EMPRESA],$C$4,LANÇ_MOV[CENTRO DE CUSTOS],$D$4)</f>
        <v>0</v>
      </c>
      <c r="G95" s="206">
        <f>SUMIFS(LANÇ_MOV[VALOR LÍQUIDO],LANÇ_MOV[RECEITA OU DESPESA],"Receita",LANÇ_MOV[CONTAS],$C95,LANÇ_MOV[PLANO DE CONTAS],REL_DRE_FINANCEIRO!$B$30,LANÇ_MOV[ANO PAGAMENTO],$B$4,LANÇ_MOV[MÊS PAGAMENTO CORRESPONDENTE],G$6,LANÇ_MOV[EMPRESA],$C$4,LANÇ_MOV[CENTRO DE CUSTOS],$D$4)</f>
        <v>0</v>
      </c>
      <c r="H95" s="206">
        <f>SUMIFS(LANÇ_MOV[VALOR LÍQUIDO],LANÇ_MOV[RECEITA OU DESPESA],"Receita",LANÇ_MOV[CONTAS],$C95,LANÇ_MOV[PLANO DE CONTAS],REL_DRE_FINANCEIRO!$B$30,LANÇ_MOV[ANO PAGAMENTO],$B$4,LANÇ_MOV[MÊS PAGAMENTO CORRESPONDENTE],H$6,LANÇ_MOV[EMPRESA],$C$4,LANÇ_MOV[CENTRO DE CUSTOS],$D$4)</f>
        <v>0</v>
      </c>
      <c r="I95" s="206">
        <f>SUMIFS(LANÇ_MOV[VALOR LÍQUIDO],LANÇ_MOV[RECEITA OU DESPESA],"Receita",LANÇ_MOV[CONTAS],$C95,LANÇ_MOV[PLANO DE CONTAS],REL_DRE_FINANCEIRO!$B$30,LANÇ_MOV[ANO PAGAMENTO],$B$4,LANÇ_MOV[MÊS PAGAMENTO CORRESPONDENTE],I$6,LANÇ_MOV[EMPRESA],$C$4,LANÇ_MOV[CENTRO DE CUSTOS],$D$4)</f>
        <v>0</v>
      </c>
      <c r="J95" s="206">
        <f>SUMIFS(LANÇ_MOV[VALOR LÍQUIDO],LANÇ_MOV[RECEITA OU DESPESA],"Receita",LANÇ_MOV[CONTAS],$C95,LANÇ_MOV[PLANO DE CONTAS],REL_DRE_FINANCEIRO!$B$30,LANÇ_MOV[ANO PAGAMENTO],$B$4,LANÇ_MOV[MÊS PAGAMENTO CORRESPONDENTE],J$6,LANÇ_MOV[EMPRESA],$C$4,LANÇ_MOV[CENTRO DE CUSTOS],$D$4)</f>
        <v>0</v>
      </c>
      <c r="K95" s="206">
        <f>SUMIFS(LANÇ_MOV[VALOR LÍQUIDO],LANÇ_MOV[RECEITA OU DESPESA],"Receita",LANÇ_MOV[CONTAS],$C95,LANÇ_MOV[PLANO DE CONTAS],REL_DRE_FINANCEIRO!$B$30,LANÇ_MOV[ANO PAGAMENTO],$B$4,LANÇ_MOV[MÊS PAGAMENTO CORRESPONDENTE],K$6,LANÇ_MOV[EMPRESA],$C$4,LANÇ_MOV[CENTRO DE CUSTOS],$D$4)</f>
        <v>0</v>
      </c>
      <c r="L95" s="206">
        <f>SUMIFS(LANÇ_MOV[VALOR LÍQUIDO],LANÇ_MOV[RECEITA OU DESPESA],"Receita",LANÇ_MOV[CONTAS],$C95,LANÇ_MOV[PLANO DE CONTAS],REL_DRE_FINANCEIRO!$B$30,LANÇ_MOV[ANO PAGAMENTO],$B$4,LANÇ_MOV[MÊS PAGAMENTO CORRESPONDENTE],L$6,LANÇ_MOV[EMPRESA],$C$4,LANÇ_MOV[CENTRO DE CUSTOS],$D$4)</f>
        <v>0</v>
      </c>
      <c r="M95" s="206">
        <f>SUMIFS(LANÇ_MOV[VALOR LÍQUIDO],LANÇ_MOV[RECEITA OU DESPESA],"Receita",LANÇ_MOV[CONTAS],$C95,LANÇ_MOV[PLANO DE CONTAS],REL_DRE_FINANCEIRO!$B$30,LANÇ_MOV[ANO PAGAMENTO],$B$4,LANÇ_MOV[MÊS PAGAMENTO CORRESPONDENTE],M$6,LANÇ_MOV[EMPRESA],$C$4,LANÇ_MOV[CENTRO DE CUSTOS],$D$4)</f>
        <v>0</v>
      </c>
      <c r="N95" s="206">
        <f>SUMIFS(LANÇ_MOV[VALOR LÍQUIDO],LANÇ_MOV[RECEITA OU DESPESA],"Receita",LANÇ_MOV[CONTAS],$C95,LANÇ_MOV[PLANO DE CONTAS],REL_DRE_FINANCEIRO!$B$30,LANÇ_MOV[ANO PAGAMENTO],$B$4,LANÇ_MOV[MÊS PAGAMENTO CORRESPONDENTE],N$6,LANÇ_MOV[EMPRESA],$C$4,LANÇ_MOV[CENTRO DE CUSTOS],$D$4)</f>
        <v>0</v>
      </c>
      <c r="O95" s="206">
        <f>SUMIFS(LANÇ_MOV[VALOR LÍQUIDO],LANÇ_MOV[RECEITA OU DESPESA],"Receita",LANÇ_MOV[CONTAS],$C95,LANÇ_MOV[PLANO DE CONTAS],REL_DRE_FINANCEIRO!$B$30,LANÇ_MOV[ANO PAGAMENTO],$B$4,LANÇ_MOV[MÊS PAGAMENTO CORRESPONDENTE],O$6,LANÇ_MOV[EMPRESA],$C$4,LANÇ_MOV[CENTRO DE CUSTOS],$D$4)</f>
        <v>0</v>
      </c>
      <c r="P95" s="207">
        <f t="shared" ref="P95:P130" si="23">SUM(D95:O95)</f>
        <v>0</v>
      </c>
      <c r="Q95" s="333">
        <v>3.5999999999999998E-6</v>
      </c>
      <c r="R95" s="346">
        <f t="shared" si="19"/>
        <v>3.5999999999999998E-6</v>
      </c>
      <c r="S95" s="347" t="str">
        <f t="shared" si="20"/>
        <v>-</v>
      </c>
      <c r="T95" s="347">
        <f t="shared" si="21"/>
        <v>0</v>
      </c>
      <c r="U95" s="347">
        <f>HLOOKUP(Apoio!$P$12,$D$29:$P$130,X95,FALSE)+Q95</f>
        <v>3.5999999999999998E-6</v>
      </c>
      <c r="V95" s="447" t="str">
        <f t="shared" si="22"/>
        <v>-</v>
      </c>
      <c r="W95" s="448">
        <f>HLOOKUP(Apoio!$P$12,$D$29:$P$130,X95,FALSE)</f>
        <v>0</v>
      </c>
      <c r="X95" s="329">
        <v>67</v>
      </c>
    </row>
    <row r="96" spans="2:24" ht="30.05" customHeight="1" x14ac:dyDescent="0.35">
      <c r="B96" s="204" t="str">
        <f>'CAD_PL_REC-DESP'!B70</f>
        <v>1.1.66</v>
      </c>
      <c r="C96" s="205" t="str">
        <f>IF('CAD_PL_REC-DESP'!C70="","-",'CAD_PL_REC-DESP'!C70)</f>
        <v>-</v>
      </c>
      <c r="D96" s="206">
        <f>SUMIFS(LANÇ_MOV[VALOR LÍQUIDO],LANÇ_MOV[RECEITA OU DESPESA],"Receita",LANÇ_MOV[CONTAS],$C96,LANÇ_MOV[PLANO DE CONTAS],REL_DRE_FINANCEIRO!$B$30,LANÇ_MOV[ANO PAGAMENTO],$B$4,LANÇ_MOV[MÊS PAGAMENTO CORRESPONDENTE],D$6,LANÇ_MOV[EMPRESA],$C$4,LANÇ_MOV[CENTRO DE CUSTOS],$D$4)</f>
        <v>0</v>
      </c>
      <c r="E96" s="206">
        <f>SUMIFS(LANÇ_MOV[VALOR LÍQUIDO],LANÇ_MOV[RECEITA OU DESPESA],"Receita",LANÇ_MOV[CONTAS],$C96,LANÇ_MOV[PLANO DE CONTAS],REL_DRE_FINANCEIRO!$B$30,LANÇ_MOV[ANO PAGAMENTO],$B$4,LANÇ_MOV[MÊS PAGAMENTO CORRESPONDENTE],E$6,LANÇ_MOV[EMPRESA],$C$4,LANÇ_MOV[CENTRO DE CUSTOS],$D$4)</f>
        <v>0</v>
      </c>
      <c r="F96" s="206">
        <f>SUMIFS(LANÇ_MOV[VALOR LÍQUIDO],LANÇ_MOV[RECEITA OU DESPESA],"Receita",LANÇ_MOV[CONTAS],$C96,LANÇ_MOV[PLANO DE CONTAS],REL_DRE_FINANCEIRO!$B$30,LANÇ_MOV[ANO PAGAMENTO],$B$4,LANÇ_MOV[MÊS PAGAMENTO CORRESPONDENTE],F$6,LANÇ_MOV[EMPRESA],$C$4,LANÇ_MOV[CENTRO DE CUSTOS],$D$4)</f>
        <v>0</v>
      </c>
      <c r="G96" s="206">
        <f>SUMIFS(LANÇ_MOV[VALOR LÍQUIDO],LANÇ_MOV[RECEITA OU DESPESA],"Receita",LANÇ_MOV[CONTAS],$C96,LANÇ_MOV[PLANO DE CONTAS],REL_DRE_FINANCEIRO!$B$30,LANÇ_MOV[ANO PAGAMENTO],$B$4,LANÇ_MOV[MÊS PAGAMENTO CORRESPONDENTE],G$6,LANÇ_MOV[EMPRESA],$C$4,LANÇ_MOV[CENTRO DE CUSTOS],$D$4)</f>
        <v>0</v>
      </c>
      <c r="H96" s="206">
        <f>SUMIFS(LANÇ_MOV[VALOR LÍQUIDO],LANÇ_MOV[RECEITA OU DESPESA],"Receita",LANÇ_MOV[CONTAS],$C96,LANÇ_MOV[PLANO DE CONTAS],REL_DRE_FINANCEIRO!$B$30,LANÇ_MOV[ANO PAGAMENTO],$B$4,LANÇ_MOV[MÊS PAGAMENTO CORRESPONDENTE],H$6,LANÇ_MOV[EMPRESA],$C$4,LANÇ_MOV[CENTRO DE CUSTOS],$D$4)</f>
        <v>0</v>
      </c>
      <c r="I96" s="206">
        <f>SUMIFS(LANÇ_MOV[VALOR LÍQUIDO],LANÇ_MOV[RECEITA OU DESPESA],"Receita",LANÇ_MOV[CONTAS],$C96,LANÇ_MOV[PLANO DE CONTAS],REL_DRE_FINANCEIRO!$B$30,LANÇ_MOV[ANO PAGAMENTO],$B$4,LANÇ_MOV[MÊS PAGAMENTO CORRESPONDENTE],I$6,LANÇ_MOV[EMPRESA],$C$4,LANÇ_MOV[CENTRO DE CUSTOS],$D$4)</f>
        <v>0</v>
      </c>
      <c r="J96" s="206">
        <f>SUMIFS(LANÇ_MOV[VALOR LÍQUIDO],LANÇ_MOV[RECEITA OU DESPESA],"Receita",LANÇ_MOV[CONTAS],$C96,LANÇ_MOV[PLANO DE CONTAS],REL_DRE_FINANCEIRO!$B$30,LANÇ_MOV[ANO PAGAMENTO],$B$4,LANÇ_MOV[MÊS PAGAMENTO CORRESPONDENTE],J$6,LANÇ_MOV[EMPRESA],$C$4,LANÇ_MOV[CENTRO DE CUSTOS],$D$4)</f>
        <v>0</v>
      </c>
      <c r="K96" s="206">
        <f>SUMIFS(LANÇ_MOV[VALOR LÍQUIDO],LANÇ_MOV[RECEITA OU DESPESA],"Receita",LANÇ_MOV[CONTAS],$C96,LANÇ_MOV[PLANO DE CONTAS],REL_DRE_FINANCEIRO!$B$30,LANÇ_MOV[ANO PAGAMENTO],$B$4,LANÇ_MOV[MÊS PAGAMENTO CORRESPONDENTE],K$6,LANÇ_MOV[EMPRESA],$C$4,LANÇ_MOV[CENTRO DE CUSTOS],$D$4)</f>
        <v>0</v>
      </c>
      <c r="L96" s="206">
        <f>SUMIFS(LANÇ_MOV[VALOR LÍQUIDO],LANÇ_MOV[RECEITA OU DESPESA],"Receita",LANÇ_MOV[CONTAS],$C96,LANÇ_MOV[PLANO DE CONTAS],REL_DRE_FINANCEIRO!$B$30,LANÇ_MOV[ANO PAGAMENTO],$B$4,LANÇ_MOV[MÊS PAGAMENTO CORRESPONDENTE],L$6,LANÇ_MOV[EMPRESA],$C$4,LANÇ_MOV[CENTRO DE CUSTOS],$D$4)</f>
        <v>0</v>
      </c>
      <c r="M96" s="206">
        <f>SUMIFS(LANÇ_MOV[VALOR LÍQUIDO],LANÇ_MOV[RECEITA OU DESPESA],"Receita",LANÇ_MOV[CONTAS],$C96,LANÇ_MOV[PLANO DE CONTAS],REL_DRE_FINANCEIRO!$B$30,LANÇ_MOV[ANO PAGAMENTO],$B$4,LANÇ_MOV[MÊS PAGAMENTO CORRESPONDENTE],M$6,LANÇ_MOV[EMPRESA],$C$4,LANÇ_MOV[CENTRO DE CUSTOS],$D$4)</f>
        <v>0</v>
      </c>
      <c r="N96" s="206">
        <f>SUMIFS(LANÇ_MOV[VALOR LÍQUIDO],LANÇ_MOV[RECEITA OU DESPESA],"Receita",LANÇ_MOV[CONTAS],$C96,LANÇ_MOV[PLANO DE CONTAS],REL_DRE_FINANCEIRO!$B$30,LANÇ_MOV[ANO PAGAMENTO],$B$4,LANÇ_MOV[MÊS PAGAMENTO CORRESPONDENTE],N$6,LANÇ_MOV[EMPRESA],$C$4,LANÇ_MOV[CENTRO DE CUSTOS],$D$4)</f>
        <v>0</v>
      </c>
      <c r="O96" s="206">
        <f>SUMIFS(LANÇ_MOV[VALOR LÍQUIDO],LANÇ_MOV[RECEITA OU DESPESA],"Receita",LANÇ_MOV[CONTAS],$C96,LANÇ_MOV[PLANO DE CONTAS],REL_DRE_FINANCEIRO!$B$30,LANÇ_MOV[ANO PAGAMENTO],$B$4,LANÇ_MOV[MÊS PAGAMENTO CORRESPONDENTE],O$6,LANÇ_MOV[EMPRESA],$C$4,LANÇ_MOV[CENTRO DE CUSTOS],$D$4)</f>
        <v>0</v>
      </c>
      <c r="P96" s="207">
        <f t="shared" si="23"/>
        <v>0</v>
      </c>
      <c r="Q96" s="333">
        <v>3.4999999999999999E-6</v>
      </c>
      <c r="R96" s="346">
        <f t="shared" ref="R96:R130" si="24">P96+Q96</f>
        <v>3.4999999999999999E-6</v>
      </c>
      <c r="S96" s="347" t="str">
        <f t="shared" ref="S96:S130" si="25">C96</f>
        <v>-</v>
      </c>
      <c r="T96" s="347">
        <f t="shared" ref="T96:T130" si="26">P96</f>
        <v>0</v>
      </c>
      <c r="U96" s="347">
        <f>HLOOKUP(Apoio!$P$12,$D$29:$P$130,X96,FALSE)+Q96</f>
        <v>3.4999999999999999E-6</v>
      </c>
      <c r="V96" s="447" t="str">
        <f t="shared" ref="V96:V130" si="27">S96</f>
        <v>-</v>
      </c>
      <c r="W96" s="448">
        <f>HLOOKUP(Apoio!$P$12,$D$29:$P$130,X96,FALSE)</f>
        <v>0</v>
      </c>
      <c r="X96" s="329">
        <v>68</v>
      </c>
    </row>
    <row r="97" spans="2:24" ht="30.05" customHeight="1" x14ac:dyDescent="0.35">
      <c r="B97" s="204" t="str">
        <f>'CAD_PL_REC-DESP'!B71</f>
        <v>1.1.67</v>
      </c>
      <c r="C97" s="205" t="str">
        <f>IF('CAD_PL_REC-DESP'!C71="","-",'CAD_PL_REC-DESP'!C71)</f>
        <v>-</v>
      </c>
      <c r="D97" s="206">
        <f>SUMIFS(LANÇ_MOV[VALOR LÍQUIDO],LANÇ_MOV[RECEITA OU DESPESA],"Receita",LANÇ_MOV[CONTAS],$C97,LANÇ_MOV[PLANO DE CONTAS],REL_DRE_FINANCEIRO!$B$30,LANÇ_MOV[ANO PAGAMENTO],$B$4,LANÇ_MOV[MÊS PAGAMENTO CORRESPONDENTE],D$6,LANÇ_MOV[EMPRESA],$C$4,LANÇ_MOV[CENTRO DE CUSTOS],$D$4)</f>
        <v>0</v>
      </c>
      <c r="E97" s="206">
        <f>SUMIFS(LANÇ_MOV[VALOR LÍQUIDO],LANÇ_MOV[RECEITA OU DESPESA],"Receita",LANÇ_MOV[CONTAS],$C97,LANÇ_MOV[PLANO DE CONTAS],REL_DRE_FINANCEIRO!$B$30,LANÇ_MOV[ANO PAGAMENTO],$B$4,LANÇ_MOV[MÊS PAGAMENTO CORRESPONDENTE],E$6,LANÇ_MOV[EMPRESA],$C$4,LANÇ_MOV[CENTRO DE CUSTOS],$D$4)</f>
        <v>0</v>
      </c>
      <c r="F97" s="206">
        <f>SUMIFS(LANÇ_MOV[VALOR LÍQUIDO],LANÇ_MOV[RECEITA OU DESPESA],"Receita",LANÇ_MOV[CONTAS],$C97,LANÇ_MOV[PLANO DE CONTAS],REL_DRE_FINANCEIRO!$B$30,LANÇ_MOV[ANO PAGAMENTO],$B$4,LANÇ_MOV[MÊS PAGAMENTO CORRESPONDENTE],F$6,LANÇ_MOV[EMPRESA],$C$4,LANÇ_MOV[CENTRO DE CUSTOS],$D$4)</f>
        <v>0</v>
      </c>
      <c r="G97" s="206">
        <f>SUMIFS(LANÇ_MOV[VALOR LÍQUIDO],LANÇ_MOV[RECEITA OU DESPESA],"Receita",LANÇ_MOV[CONTAS],$C97,LANÇ_MOV[PLANO DE CONTAS],REL_DRE_FINANCEIRO!$B$30,LANÇ_MOV[ANO PAGAMENTO],$B$4,LANÇ_MOV[MÊS PAGAMENTO CORRESPONDENTE],G$6,LANÇ_MOV[EMPRESA],$C$4,LANÇ_MOV[CENTRO DE CUSTOS],$D$4)</f>
        <v>0</v>
      </c>
      <c r="H97" s="206">
        <f>SUMIFS(LANÇ_MOV[VALOR LÍQUIDO],LANÇ_MOV[RECEITA OU DESPESA],"Receita",LANÇ_MOV[CONTAS],$C97,LANÇ_MOV[PLANO DE CONTAS],REL_DRE_FINANCEIRO!$B$30,LANÇ_MOV[ANO PAGAMENTO],$B$4,LANÇ_MOV[MÊS PAGAMENTO CORRESPONDENTE],H$6,LANÇ_MOV[EMPRESA],$C$4,LANÇ_MOV[CENTRO DE CUSTOS],$D$4)</f>
        <v>0</v>
      </c>
      <c r="I97" s="206">
        <f>SUMIFS(LANÇ_MOV[VALOR LÍQUIDO],LANÇ_MOV[RECEITA OU DESPESA],"Receita",LANÇ_MOV[CONTAS],$C97,LANÇ_MOV[PLANO DE CONTAS],REL_DRE_FINANCEIRO!$B$30,LANÇ_MOV[ANO PAGAMENTO],$B$4,LANÇ_MOV[MÊS PAGAMENTO CORRESPONDENTE],I$6,LANÇ_MOV[EMPRESA],$C$4,LANÇ_MOV[CENTRO DE CUSTOS],$D$4)</f>
        <v>0</v>
      </c>
      <c r="J97" s="206">
        <f>SUMIFS(LANÇ_MOV[VALOR LÍQUIDO],LANÇ_MOV[RECEITA OU DESPESA],"Receita",LANÇ_MOV[CONTAS],$C97,LANÇ_MOV[PLANO DE CONTAS],REL_DRE_FINANCEIRO!$B$30,LANÇ_MOV[ANO PAGAMENTO],$B$4,LANÇ_MOV[MÊS PAGAMENTO CORRESPONDENTE],J$6,LANÇ_MOV[EMPRESA],$C$4,LANÇ_MOV[CENTRO DE CUSTOS],$D$4)</f>
        <v>0</v>
      </c>
      <c r="K97" s="206">
        <f>SUMIFS(LANÇ_MOV[VALOR LÍQUIDO],LANÇ_MOV[RECEITA OU DESPESA],"Receita",LANÇ_MOV[CONTAS],$C97,LANÇ_MOV[PLANO DE CONTAS],REL_DRE_FINANCEIRO!$B$30,LANÇ_MOV[ANO PAGAMENTO],$B$4,LANÇ_MOV[MÊS PAGAMENTO CORRESPONDENTE],K$6,LANÇ_MOV[EMPRESA],$C$4,LANÇ_MOV[CENTRO DE CUSTOS],$D$4)</f>
        <v>0</v>
      </c>
      <c r="L97" s="206">
        <f>SUMIFS(LANÇ_MOV[VALOR LÍQUIDO],LANÇ_MOV[RECEITA OU DESPESA],"Receita",LANÇ_MOV[CONTAS],$C97,LANÇ_MOV[PLANO DE CONTAS],REL_DRE_FINANCEIRO!$B$30,LANÇ_MOV[ANO PAGAMENTO],$B$4,LANÇ_MOV[MÊS PAGAMENTO CORRESPONDENTE],L$6,LANÇ_MOV[EMPRESA],$C$4,LANÇ_MOV[CENTRO DE CUSTOS],$D$4)</f>
        <v>0</v>
      </c>
      <c r="M97" s="206">
        <f>SUMIFS(LANÇ_MOV[VALOR LÍQUIDO],LANÇ_MOV[RECEITA OU DESPESA],"Receita",LANÇ_MOV[CONTAS],$C97,LANÇ_MOV[PLANO DE CONTAS],REL_DRE_FINANCEIRO!$B$30,LANÇ_MOV[ANO PAGAMENTO],$B$4,LANÇ_MOV[MÊS PAGAMENTO CORRESPONDENTE],M$6,LANÇ_MOV[EMPRESA],$C$4,LANÇ_MOV[CENTRO DE CUSTOS],$D$4)</f>
        <v>0</v>
      </c>
      <c r="N97" s="206">
        <f>SUMIFS(LANÇ_MOV[VALOR LÍQUIDO],LANÇ_MOV[RECEITA OU DESPESA],"Receita",LANÇ_MOV[CONTAS],$C97,LANÇ_MOV[PLANO DE CONTAS],REL_DRE_FINANCEIRO!$B$30,LANÇ_MOV[ANO PAGAMENTO],$B$4,LANÇ_MOV[MÊS PAGAMENTO CORRESPONDENTE],N$6,LANÇ_MOV[EMPRESA],$C$4,LANÇ_MOV[CENTRO DE CUSTOS],$D$4)</f>
        <v>0</v>
      </c>
      <c r="O97" s="206">
        <f>SUMIFS(LANÇ_MOV[VALOR LÍQUIDO],LANÇ_MOV[RECEITA OU DESPESA],"Receita",LANÇ_MOV[CONTAS],$C97,LANÇ_MOV[PLANO DE CONTAS],REL_DRE_FINANCEIRO!$B$30,LANÇ_MOV[ANO PAGAMENTO],$B$4,LANÇ_MOV[MÊS PAGAMENTO CORRESPONDENTE],O$6,LANÇ_MOV[EMPRESA],$C$4,LANÇ_MOV[CENTRO DE CUSTOS],$D$4)</f>
        <v>0</v>
      </c>
      <c r="P97" s="207">
        <f t="shared" si="23"/>
        <v>0</v>
      </c>
      <c r="Q97" s="333">
        <v>3.4000000000000001E-6</v>
      </c>
      <c r="R97" s="346">
        <f t="shared" si="24"/>
        <v>3.4000000000000001E-6</v>
      </c>
      <c r="S97" s="347" t="str">
        <f t="shared" si="25"/>
        <v>-</v>
      </c>
      <c r="T97" s="347">
        <f t="shared" si="26"/>
        <v>0</v>
      </c>
      <c r="U97" s="347">
        <f>HLOOKUP(Apoio!$P$12,$D$29:$P$130,X97,FALSE)+Q97</f>
        <v>3.4000000000000001E-6</v>
      </c>
      <c r="V97" s="447" t="str">
        <f t="shared" si="27"/>
        <v>-</v>
      </c>
      <c r="W97" s="448">
        <f>HLOOKUP(Apoio!$P$12,$D$29:$P$130,X97,FALSE)</f>
        <v>0</v>
      </c>
      <c r="X97" s="329">
        <v>69</v>
      </c>
    </row>
    <row r="98" spans="2:24" ht="30.05" customHeight="1" x14ac:dyDescent="0.35">
      <c r="B98" s="204" t="str">
        <f>'CAD_PL_REC-DESP'!B72</f>
        <v>1.1.68</v>
      </c>
      <c r="C98" s="205" t="str">
        <f>IF('CAD_PL_REC-DESP'!C72="","-",'CAD_PL_REC-DESP'!C72)</f>
        <v>-</v>
      </c>
      <c r="D98" s="206">
        <f>SUMIFS(LANÇ_MOV[VALOR LÍQUIDO],LANÇ_MOV[RECEITA OU DESPESA],"Receita",LANÇ_MOV[CONTAS],$C98,LANÇ_MOV[PLANO DE CONTAS],REL_DRE_FINANCEIRO!$B$30,LANÇ_MOV[ANO PAGAMENTO],$B$4,LANÇ_MOV[MÊS PAGAMENTO CORRESPONDENTE],D$6,LANÇ_MOV[EMPRESA],$C$4,LANÇ_MOV[CENTRO DE CUSTOS],$D$4)</f>
        <v>0</v>
      </c>
      <c r="E98" s="206">
        <f>SUMIFS(LANÇ_MOV[VALOR LÍQUIDO],LANÇ_MOV[RECEITA OU DESPESA],"Receita",LANÇ_MOV[CONTAS],$C98,LANÇ_MOV[PLANO DE CONTAS],REL_DRE_FINANCEIRO!$B$30,LANÇ_MOV[ANO PAGAMENTO],$B$4,LANÇ_MOV[MÊS PAGAMENTO CORRESPONDENTE],E$6,LANÇ_MOV[EMPRESA],$C$4,LANÇ_MOV[CENTRO DE CUSTOS],$D$4)</f>
        <v>0</v>
      </c>
      <c r="F98" s="206">
        <f>SUMIFS(LANÇ_MOV[VALOR LÍQUIDO],LANÇ_MOV[RECEITA OU DESPESA],"Receita",LANÇ_MOV[CONTAS],$C98,LANÇ_MOV[PLANO DE CONTAS],REL_DRE_FINANCEIRO!$B$30,LANÇ_MOV[ANO PAGAMENTO],$B$4,LANÇ_MOV[MÊS PAGAMENTO CORRESPONDENTE],F$6,LANÇ_MOV[EMPRESA],$C$4,LANÇ_MOV[CENTRO DE CUSTOS],$D$4)</f>
        <v>0</v>
      </c>
      <c r="G98" s="206">
        <f>SUMIFS(LANÇ_MOV[VALOR LÍQUIDO],LANÇ_MOV[RECEITA OU DESPESA],"Receita",LANÇ_MOV[CONTAS],$C98,LANÇ_MOV[PLANO DE CONTAS],REL_DRE_FINANCEIRO!$B$30,LANÇ_MOV[ANO PAGAMENTO],$B$4,LANÇ_MOV[MÊS PAGAMENTO CORRESPONDENTE],G$6,LANÇ_MOV[EMPRESA],$C$4,LANÇ_MOV[CENTRO DE CUSTOS],$D$4)</f>
        <v>0</v>
      </c>
      <c r="H98" s="206">
        <f>SUMIFS(LANÇ_MOV[VALOR LÍQUIDO],LANÇ_MOV[RECEITA OU DESPESA],"Receita",LANÇ_MOV[CONTAS],$C98,LANÇ_MOV[PLANO DE CONTAS],REL_DRE_FINANCEIRO!$B$30,LANÇ_MOV[ANO PAGAMENTO],$B$4,LANÇ_MOV[MÊS PAGAMENTO CORRESPONDENTE],H$6,LANÇ_MOV[EMPRESA],$C$4,LANÇ_MOV[CENTRO DE CUSTOS],$D$4)</f>
        <v>0</v>
      </c>
      <c r="I98" s="206">
        <f>SUMIFS(LANÇ_MOV[VALOR LÍQUIDO],LANÇ_MOV[RECEITA OU DESPESA],"Receita",LANÇ_MOV[CONTAS],$C98,LANÇ_MOV[PLANO DE CONTAS],REL_DRE_FINANCEIRO!$B$30,LANÇ_MOV[ANO PAGAMENTO],$B$4,LANÇ_MOV[MÊS PAGAMENTO CORRESPONDENTE],I$6,LANÇ_MOV[EMPRESA],$C$4,LANÇ_MOV[CENTRO DE CUSTOS],$D$4)</f>
        <v>0</v>
      </c>
      <c r="J98" s="206">
        <f>SUMIFS(LANÇ_MOV[VALOR LÍQUIDO],LANÇ_MOV[RECEITA OU DESPESA],"Receita",LANÇ_MOV[CONTAS],$C98,LANÇ_MOV[PLANO DE CONTAS],REL_DRE_FINANCEIRO!$B$30,LANÇ_MOV[ANO PAGAMENTO],$B$4,LANÇ_MOV[MÊS PAGAMENTO CORRESPONDENTE],J$6,LANÇ_MOV[EMPRESA],$C$4,LANÇ_MOV[CENTRO DE CUSTOS],$D$4)</f>
        <v>0</v>
      </c>
      <c r="K98" s="206">
        <f>SUMIFS(LANÇ_MOV[VALOR LÍQUIDO],LANÇ_MOV[RECEITA OU DESPESA],"Receita",LANÇ_MOV[CONTAS],$C98,LANÇ_MOV[PLANO DE CONTAS],REL_DRE_FINANCEIRO!$B$30,LANÇ_MOV[ANO PAGAMENTO],$B$4,LANÇ_MOV[MÊS PAGAMENTO CORRESPONDENTE],K$6,LANÇ_MOV[EMPRESA],$C$4,LANÇ_MOV[CENTRO DE CUSTOS],$D$4)</f>
        <v>0</v>
      </c>
      <c r="L98" s="206">
        <f>SUMIFS(LANÇ_MOV[VALOR LÍQUIDO],LANÇ_MOV[RECEITA OU DESPESA],"Receita",LANÇ_MOV[CONTAS],$C98,LANÇ_MOV[PLANO DE CONTAS],REL_DRE_FINANCEIRO!$B$30,LANÇ_MOV[ANO PAGAMENTO],$B$4,LANÇ_MOV[MÊS PAGAMENTO CORRESPONDENTE],L$6,LANÇ_MOV[EMPRESA],$C$4,LANÇ_MOV[CENTRO DE CUSTOS],$D$4)</f>
        <v>0</v>
      </c>
      <c r="M98" s="206">
        <f>SUMIFS(LANÇ_MOV[VALOR LÍQUIDO],LANÇ_MOV[RECEITA OU DESPESA],"Receita",LANÇ_MOV[CONTAS],$C98,LANÇ_MOV[PLANO DE CONTAS],REL_DRE_FINANCEIRO!$B$30,LANÇ_MOV[ANO PAGAMENTO],$B$4,LANÇ_MOV[MÊS PAGAMENTO CORRESPONDENTE],M$6,LANÇ_MOV[EMPRESA],$C$4,LANÇ_MOV[CENTRO DE CUSTOS],$D$4)</f>
        <v>0</v>
      </c>
      <c r="N98" s="206">
        <f>SUMIFS(LANÇ_MOV[VALOR LÍQUIDO],LANÇ_MOV[RECEITA OU DESPESA],"Receita",LANÇ_MOV[CONTAS],$C98,LANÇ_MOV[PLANO DE CONTAS],REL_DRE_FINANCEIRO!$B$30,LANÇ_MOV[ANO PAGAMENTO],$B$4,LANÇ_MOV[MÊS PAGAMENTO CORRESPONDENTE],N$6,LANÇ_MOV[EMPRESA],$C$4,LANÇ_MOV[CENTRO DE CUSTOS],$D$4)</f>
        <v>0</v>
      </c>
      <c r="O98" s="206">
        <f>SUMIFS(LANÇ_MOV[VALOR LÍQUIDO],LANÇ_MOV[RECEITA OU DESPESA],"Receita",LANÇ_MOV[CONTAS],$C98,LANÇ_MOV[PLANO DE CONTAS],REL_DRE_FINANCEIRO!$B$30,LANÇ_MOV[ANO PAGAMENTO],$B$4,LANÇ_MOV[MÊS PAGAMENTO CORRESPONDENTE],O$6,LANÇ_MOV[EMPRESA],$C$4,LANÇ_MOV[CENTRO DE CUSTOS],$D$4)</f>
        <v>0</v>
      </c>
      <c r="P98" s="207">
        <f t="shared" si="23"/>
        <v>0</v>
      </c>
      <c r="Q98" s="333">
        <v>3.3000000000000002E-6</v>
      </c>
      <c r="R98" s="346">
        <f t="shared" si="24"/>
        <v>3.3000000000000002E-6</v>
      </c>
      <c r="S98" s="347" t="str">
        <f t="shared" si="25"/>
        <v>-</v>
      </c>
      <c r="T98" s="347">
        <f t="shared" si="26"/>
        <v>0</v>
      </c>
      <c r="U98" s="347">
        <f>HLOOKUP(Apoio!$P$12,$D$29:$P$130,X98,FALSE)+Q98</f>
        <v>3.3000000000000002E-6</v>
      </c>
      <c r="V98" s="447" t="str">
        <f t="shared" si="27"/>
        <v>-</v>
      </c>
      <c r="W98" s="448">
        <f>HLOOKUP(Apoio!$P$12,$D$29:$P$130,X98,FALSE)</f>
        <v>0</v>
      </c>
      <c r="X98" s="329">
        <v>70</v>
      </c>
    </row>
    <row r="99" spans="2:24" ht="30.05" customHeight="1" x14ac:dyDescent="0.35">
      <c r="B99" s="204" t="str">
        <f>'CAD_PL_REC-DESP'!B73</f>
        <v>1.1.69</v>
      </c>
      <c r="C99" s="205" t="str">
        <f>IF('CAD_PL_REC-DESP'!C73="","-",'CAD_PL_REC-DESP'!C73)</f>
        <v>-</v>
      </c>
      <c r="D99" s="206">
        <f>SUMIFS(LANÇ_MOV[VALOR LÍQUIDO],LANÇ_MOV[RECEITA OU DESPESA],"Receita",LANÇ_MOV[CONTAS],$C99,LANÇ_MOV[PLANO DE CONTAS],REL_DRE_FINANCEIRO!$B$30,LANÇ_MOV[ANO PAGAMENTO],$B$4,LANÇ_MOV[MÊS PAGAMENTO CORRESPONDENTE],D$6,LANÇ_MOV[EMPRESA],$C$4,LANÇ_MOV[CENTRO DE CUSTOS],$D$4)</f>
        <v>0</v>
      </c>
      <c r="E99" s="206">
        <f>SUMIFS(LANÇ_MOV[VALOR LÍQUIDO],LANÇ_MOV[RECEITA OU DESPESA],"Receita",LANÇ_MOV[CONTAS],$C99,LANÇ_MOV[PLANO DE CONTAS],REL_DRE_FINANCEIRO!$B$30,LANÇ_MOV[ANO PAGAMENTO],$B$4,LANÇ_MOV[MÊS PAGAMENTO CORRESPONDENTE],E$6,LANÇ_MOV[EMPRESA],$C$4,LANÇ_MOV[CENTRO DE CUSTOS],$D$4)</f>
        <v>0</v>
      </c>
      <c r="F99" s="206">
        <f>SUMIFS(LANÇ_MOV[VALOR LÍQUIDO],LANÇ_MOV[RECEITA OU DESPESA],"Receita",LANÇ_MOV[CONTAS],$C99,LANÇ_MOV[PLANO DE CONTAS],REL_DRE_FINANCEIRO!$B$30,LANÇ_MOV[ANO PAGAMENTO],$B$4,LANÇ_MOV[MÊS PAGAMENTO CORRESPONDENTE],F$6,LANÇ_MOV[EMPRESA],$C$4,LANÇ_MOV[CENTRO DE CUSTOS],$D$4)</f>
        <v>0</v>
      </c>
      <c r="G99" s="206">
        <f>SUMIFS(LANÇ_MOV[VALOR LÍQUIDO],LANÇ_MOV[RECEITA OU DESPESA],"Receita",LANÇ_MOV[CONTAS],$C99,LANÇ_MOV[PLANO DE CONTAS],REL_DRE_FINANCEIRO!$B$30,LANÇ_MOV[ANO PAGAMENTO],$B$4,LANÇ_MOV[MÊS PAGAMENTO CORRESPONDENTE],G$6,LANÇ_MOV[EMPRESA],$C$4,LANÇ_MOV[CENTRO DE CUSTOS],$D$4)</f>
        <v>0</v>
      </c>
      <c r="H99" s="206">
        <f>SUMIFS(LANÇ_MOV[VALOR LÍQUIDO],LANÇ_MOV[RECEITA OU DESPESA],"Receita",LANÇ_MOV[CONTAS],$C99,LANÇ_MOV[PLANO DE CONTAS],REL_DRE_FINANCEIRO!$B$30,LANÇ_MOV[ANO PAGAMENTO],$B$4,LANÇ_MOV[MÊS PAGAMENTO CORRESPONDENTE],H$6,LANÇ_MOV[EMPRESA],$C$4,LANÇ_MOV[CENTRO DE CUSTOS],$D$4)</f>
        <v>0</v>
      </c>
      <c r="I99" s="206">
        <f>SUMIFS(LANÇ_MOV[VALOR LÍQUIDO],LANÇ_MOV[RECEITA OU DESPESA],"Receita",LANÇ_MOV[CONTAS],$C99,LANÇ_MOV[PLANO DE CONTAS],REL_DRE_FINANCEIRO!$B$30,LANÇ_MOV[ANO PAGAMENTO],$B$4,LANÇ_MOV[MÊS PAGAMENTO CORRESPONDENTE],I$6,LANÇ_MOV[EMPRESA],$C$4,LANÇ_MOV[CENTRO DE CUSTOS],$D$4)</f>
        <v>0</v>
      </c>
      <c r="J99" s="206">
        <f>SUMIFS(LANÇ_MOV[VALOR LÍQUIDO],LANÇ_MOV[RECEITA OU DESPESA],"Receita",LANÇ_MOV[CONTAS],$C99,LANÇ_MOV[PLANO DE CONTAS],REL_DRE_FINANCEIRO!$B$30,LANÇ_MOV[ANO PAGAMENTO],$B$4,LANÇ_MOV[MÊS PAGAMENTO CORRESPONDENTE],J$6,LANÇ_MOV[EMPRESA],$C$4,LANÇ_MOV[CENTRO DE CUSTOS],$D$4)</f>
        <v>0</v>
      </c>
      <c r="K99" s="206">
        <f>SUMIFS(LANÇ_MOV[VALOR LÍQUIDO],LANÇ_MOV[RECEITA OU DESPESA],"Receita",LANÇ_MOV[CONTAS],$C99,LANÇ_MOV[PLANO DE CONTAS],REL_DRE_FINANCEIRO!$B$30,LANÇ_MOV[ANO PAGAMENTO],$B$4,LANÇ_MOV[MÊS PAGAMENTO CORRESPONDENTE],K$6,LANÇ_MOV[EMPRESA],$C$4,LANÇ_MOV[CENTRO DE CUSTOS],$D$4)</f>
        <v>0</v>
      </c>
      <c r="L99" s="206">
        <f>SUMIFS(LANÇ_MOV[VALOR LÍQUIDO],LANÇ_MOV[RECEITA OU DESPESA],"Receita",LANÇ_MOV[CONTAS],$C99,LANÇ_MOV[PLANO DE CONTAS],REL_DRE_FINANCEIRO!$B$30,LANÇ_MOV[ANO PAGAMENTO],$B$4,LANÇ_MOV[MÊS PAGAMENTO CORRESPONDENTE],L$6,LANÇ_MOV[EMPRESA],$C$4,LANÇ_MOV[CENTRO DE CUSTOS],$D$4)</f>
        <v>0</v>
      </c>
      <c r="M99" s="206">
        <f>SUMIFS(LANÇ_MOV[VALOR LÍQUIDO],LANÇ_MOV[RECEITA OU DESPESA],"Receita",LANÇ_MOV[CONTAS],$C99,LANÇ_MOV[PLANO DE CONTAS],REL_DRE_FINANCEIRO!$B$30,LANÇ_MOV[ANO PAGAMENTO],$B$4,LANÇ_MOV[MÊS PAGAMENTO CORRESPONDENTE],M$6,LANÇ_MOV[EMPRESA],$C$4,LANÇ_MOV[CENTRO DE CUSTOS],$D$4)</f>
        <v>0</v>
      </c>
      <c r="N99" s="206">
        <f>SUMIFS(LANÇ_MOV[VALOR LÍQUIDO],LANÇ_MOV[RECEITA OU DESPESA],"Receita",LANÇ_MOV[CONTAS],$C99,LANÇ_MOV[PLANO DE CONTAS],REL_DRE_FINANCEIRO!$B$30,LANÇ_MOV[ANO PAGAMENTO],$B$4,LANÇ_MOV[MÊS PAGAMENTO CORRESPONDENTE],N$6,LANÇ_MOV[EMPRESA],$C$4,LANÇ_MOV[CENTRO DE CUSTOS],$D$4)</f>
        <v>0</v>
      </c>
      <c r="O99" s="206">
        <f>SUMIFS(LANÇ_MOV[VALOR LÍQUIDO],LANÇ_MOV[RECEITA OU DESPESA],"Receita",LANÇ_MOV[CONTAS],$C99,LANÇ_MOV[PLANO DE CONTAS],REL_DRE_FINANCEIRO!$B$30,LANÇ_MOV[ANO PAGAMENTO],$B$4,LANÇ_MOV[MÊS PAGAMENTO CORRESPONDENTE],O$6,LANÇ_MOV[EMPRESA],$C$4,LANÇ_MOV[CENTRO DE CUSTOS],$D$4)</f>
        <v>0</v>
      </c>
      <c r="P99" s="207">
        <f t="shared" si="23"/>
        <v>0</v>
      </c>
      <c r="Q99" s="333">
        <v>3.1999999999999999E-6</v>
      </c>
      <c r="R99" s="346">
        <f t="shared" si="24"/>
        <v>3.1999999999999999E-6</v>
      </c>
      <c r="S99" s="347" t="str">
        <f t="shared" si="25"/>
        <v>-</v>
      </c>
      <c r="T99" s="347">
        <f t="shared" si="26"/>
        <v>0</v>
      </c>
      <c r="U99" s="347">
        <f>HLOOKUP(Apoio!$P$12,$D$29:$P$130,X99,FALSE)+Q99</f>
        <v>3.1999999999999999E-6</v>
      </c>
      <c r="V99" s="447" t="str">
        <f t="shared" si="27"/>
        <v>-</v>
      </c>
      <c r="W99" s="448">
        <f>HLOOKUP(Apoio!$P$12,$D$29:$P$130,X99,FALSE)</f>
        <v>0</v>
      </c>
      <c r="X99" s="329">
        <v>71</v>
      </c>
    </row>
    <row r="100" spans="2:24" ht="30.05" customHeight="1" x14ac:dyDescent="0.35">
      <c r="B100" s="204" t="str">
        <f>'CAD_PL_REC-DESP'!B74</f>
        <v>1.1.70</v>
      </c>
      <c r="C100" s="205" t="str">
        <f>IF('CAD_PL_REC-DESP'!C74="","-",'CAD_PL_REC-DESP'!C74)</f>
        <v>-</v>
      </c>
      <c r="D100" s="206">
        <f>SUMIFS(LANÇ_MOV[VALOR LÍQUIDO],LANÇ_MOV[RECEITA OU DESPESA],"Receita",LANÇ_MOV[CONTAS],$C100,LANÇ_MOV[PLANO DE CONTAS],REL_DRE_FINANCEIRO!$B$30,LANÇ_MOV[ANO PAGAMENTO],$B$4,LANÇ_MOV[MÊS PAGAMENTO CORRESPONDENTE],D$6,LANÇ_MOV[EMPRESA],$C$4,LANÇ_MOV[CENTRO DE CUSTOS],$D$4)</f>
        <v>0</v>
      </c>
      <c r="E100" s="206">
        <f>SUMIFS(LANÇ_MOV[VALOR LÍQUIDO],LANÇ_MOV[RECEITA OU DESPESA],"Receita",LANÇ_MOV[CONTAS],$C100,LANÇ_MOV[PLANO DE CONTAS],REL_DRE_FINANCEIRO!$B$30,LANÇ_MOV[ANO PAGAMENTO],$B$4,LANÇ_MOV[MÊS PAGAMENTO CORRESPONDENTE],E$6,LANÇ_MOV[EMPRESA],$C$4,LANÇ_MOV[CENTRO DE CUSTOS],$D$4)</f>
        <v>0</v>
      </c>
      <c r="F100" s="206">
        <f>SUMIFS(LANÇ_MOV[VALOR LÍQUIDO],LANÇ_MOV[RECEITA OU DESPESA],"Receita",LANÇ_MOV[CONTAS],$C100,LANÇ_MOV[PLANO DE CONTAS],REL_DRE_FINANCEIRO!$B$30,LANÇ_MOV[ANO PAGAMENTO],$B$4,LANÇ_MOV[MÊS PAGAMENTO CORRESPONDENTE],F$6,LANÇ_MOV[EMPRESA],$C$4,LANÇ_MOV[CENTRO DE CUSTOS],$D$4)</f>
        <v>0</v>
      </c>
      <c r="G100" s="206">
        <f>SUMIFS(LANÇ_MOV[VALOR LÍQUIDO],LANÇ_MOV[RECEITA OU DESPESA],"Receita",LANÇ_MOV[CONTAS],$C100,LANÇ_MOV[PLANO DE CONTAS],REL_DRE_FINANCEIRO!$B$30,LANÇ_MOV[ANO PAGAMENTO],$B$4,LANÇ_MOV[MÊS PAGAMENTO CORRESPONDENTE],G$6,LANÇ_MOV[EMPRESA],$C$4,LANÇ_MOV[CENTRO DE CUSTOS],$D$4)</f>
        <v>0</v>
      </c>
      <c r="H100" s="206">
        <f>SUMIFS(LANÇ_MOV[VALOR LÍQUIDO],LANÇ_MOV[RECEITA OU DESPESA],"Receita",LANÇ_MOV[CONTAS],$C100,LANÇ_MOV[PLANO DE CONTAS],REL_DRE_FINANCEIRO!$B$30,LANÇ_MOV[ANO PAGAMENTO],$B$4,LANÇ_MOV[MÊS PAGAMENTO CORRESPONDENTE],H$6,LANÇ_MOV[EMPRESA],$C$4,LANÇ_MOV[CENTRO DE CUSTOS],$D$4)</f>
        <v>0</v>
      </c>
      <c r="I100" s="206">
        <f>SUMIFS(LANÇ_MOV[VALOR LÍQUIDO],LANÇ_MOV[RECEITA OU DESPESA],"Receita",LANÇ_MOV[CONTAS],$C100,LANÇ_MOV[PLANO DE CONTAS],REL_DRE_FINANCEIRO!$B$30,LANÇ_MOV[ANO PAGAMENTO],$B$4,LANÇ_MOV[MÊS PAGAMENTO CORRESPONDENTE],I$6,LANÇ_MOV[EMPRESA],$C$4,LANÇ_MOV[CENTRO DE CUSTOS],$D$4)</f>
        <v>0</v>
      </c>
      <c r="J100" s="206">
        <f>SUMIFS(LANÇ_MOV[VALOR LÍQUIDO],LANÇ_MOV[RECEITA OU DESPESA],"Receita",LANÇ_MOV[CONTAS],$C100,LANÇ_MOV[PLANO DE CONTAS],REL_DRE_FINANCEIRO!$B$30,LANÇ_MOV[ANO PAGAMENTO],$B$4,LANÇ_MOV[MÊS PAGAMENTO CORRESPONDENTE],J$6,LANÇ_MOV[EMPRESA],$C$4,LANÇ_MOV[CENTRO DE CUSTOS],$D$4)</f>
        <v>0</v>
      </c>
      <c r="K100" s="206">
        <f>SUMIFS(LANÇ_MOV[VALOR LÍQUIDO],LANÇ_MOV[RECEITA OU DESPESA],"Receita",LANÇ_MOV[CONTAS],$C100,LANÇ_MOV[PLANO DE CONTAS],REL_DRE_FINANCEIRO!$B$30,LANÇ_MOV[ANO PAGAMENTO],$B$4,LANÇ_MOV[MÊS PAGAMENTO CORRESPONDENTE],K$6,LANÇ_MOV[EMPRESA],$C$4,LANÇ_MOV[CENTRO DE CUSTOS],$D$4)</f>
        <v>0</v>
      </c>
      <c r="L100" s="206">
        <f>SUMIFS(LANÇ_MOV[VALOR LÍQUIDO],LANÇ_MOV[RECEITA OU DESPESA],"Receita",LANÇ_MOV[CONTAS],$C100,LANÇ_MOV[PLANO DE CONTAS],REL_DRE_FINANCEIRO!$B$30,LANÇ_MOV[ANO PAGAMENTO],$B$4,LANÇ_MOV[MÊS PAGAMENTO CORRESPONDENTE],L$6,LANÇ_MOV[EMPRESA],$C$4,LANÇ_MOV[CENTRO DE CUSTOS],$D$4)</f>
        <v>0</v>
      </c>
      <c r="M100" s="206">
        <f>SUMIFS(LANÇ_MOV[VALOR LÍQUIDO],LANÇ_MOV[RECEITA OU DESPESA],"Receita",LANÇ_MOV[CONTAS],$C100,LANÇ_MOV[PLANO DE CONTAS],REL_DRE_FINANCEIRO!$B$30,LANÇ_MOV[ANO PAGAMENTO],$B$4,LANÇ_MOV[MÊS PAGAMENTO CORRESPONDENTE],M$6,LANÇ_MOV[EMPRESA],$C$4,LANÇ_MOV[CENTRO DE CUSTOS],$D$4)</f>
        <v>0</v>
      </c>
      <c r="N100" s="206">
        <f>SUMIFS(LANÇ_MOV[VALOR LÍQUIDO],LANÇ_MOV[RECEITA OU DESPESA],"Receita",LANÇ_MOV[CONTAS],$C100,LANÇ_MOV[PLANO DE CONTAS],REL_DRE_FINANCEIRO!$B$30,LANÇ_MOV[ANO PAGAMENTO],$B$4,LANÇ_MOV[MÊS PAGAMENTO CORRESPONDENTE],N$6,LANÇ_MOV[EMPRESA],$C$4,LANÇ_MOV[CENTRO DE CUSTOS],$D$4)</f>
        <v>0</v>
      </c>
      <c r="O100" s="206">
        <f>SUMIFS(LANÇ_MOV[VALOR LÍQUIDO],LANÇ_MOV[RECEITA OU DESPESA],"Receita",LANÇ_MOV[CONTAS],$C100,LANÇ_MOV[PLANO DE CONTAS],REL_DRE_FINANCEIRO!$B$30,LANÇ_MOV[ANO PAGAMENTO],$B$4,LANÇ_MOV[MÊS PAGAMENTO CORRESPONDENTE],O$6,LANÇ_MOV[EMPRESA],$C$4,LANÇ_MOV[CENTRO DE CUSTOS],$D$4)</f>
        <v>0</v>
      </c>
      <c r="P100" s="207">
        <f t="shared" si="23"/>
        <v>0</v>
      </c>
      <c r="Q100" s="333">
        <v>3.1E-6</v>
      </c>
      <c r="R100" s="346">
        <f t="shared" si="24"/>
        <v>3.1E-6</v>
      </c>
      <c r="S100" s="347" t="str">
        <f t="shared" si="25"/>
        <v>-</v>
      </c>
      <c r="T100" s="347">
        <f t="shared" si="26"/>
        <v>0</v>
      </c>
      <c r="U100" s="347">
        <f>HLOOKUP(Apoio!$P$12,$D$29:$P$130,X100,FALSE)+Q100</f>
        <v>3.1E-6</v>
      </c>
      <c r="V100" s="447" t="str">
        <f t="shared" si="27"/>
        <v>-</v>
      </c>
      <c r="W100" s="448">
        <f>HLOOKUP(Apoio!$P$12,$D$29:$P$130,X100,FALSE)</f>
        <v>0</v>
      </c>
      <c r="X100" s="329">
        <v>72</v>
      </c>
    </row>
    <row r="101" spans="2:24" ht="30.05" customHeight="1" x14ac:dyDescent="0.35">
      <c r="B101" s="204" t="str">
        <f>'CAD_PL_REC-DESP'!B75</f>
        <v>1.1.71</v>
      </c>
      <c r="C101" s="205" t="str">
        <f>IF('CAD_PL_REC-DESP'!C75="","-",'CAD_PL_REC-DESP'!C75)</f>
        <v>-</v>
      </c>
      <c r="D101" s="206">
        <f>SUMIFS(LANÇ_MOV[VALOR LÍQUIDO],LANÇ_MOV[RECEITA OU DESPESA],"Receita",LANÇ_MOV[CONTAS],$C101,LANÇ_MOV[PLANO DE CONTAS],REL_DRE_FINANCEIRO!$B$30,LANÇ_MOV[ANO PAGAMENTO],$B$4,LANÇ_MOV[MÊS PAGAMENTO CORRESPONDENTE],D$6,LANÇ_MOV[EMPRESA],$C$4,LANÇ_MOV[CENTRO DE CUSTOS],$D$4)</f>
        <v>0</v>
      </c>
      <c r="E101" s="206">
        <f>SUMIFS(LANÇ_MOV[VALOR LÍQUIDO],LANÇ_MOV[RECEITA OU DESPESA],"Receita",LANÇ_MOV[CONTAS],$C101,LANÇ_MOV[PLANO DE CONTAS],REL_DRE_FINANCEIRO!$B$30,LANÇ_MOV[ANO PAGAMENTO],$B$4,LANÇ_MOV[MÊS PAGAMENTO CORRESPONDENTE],E$6,LANÇ_MOV[EMPRESA],$C$4,LANÇ_MOV[CENTRO DE CUSTOS],$D$4)</f>
        <v>0</v>
      </c>
      <c r="F101" s="206">
        <f>SUMIFS(LANÇ_MOV[VALOR LÍQUIDO],LANÇ_MOV[RECEITA OU DESPESA],"Receita",LANÇ_MOV[CONTAS],$C101,LANÇ_MOV[PLANO DE CONTAS],REL_DRE_FINANCEIRO!$B$30,LANÇ_MOV[ANO PAGAMENTO],$B$4,LANÇ_MOV[MÊS PAGAMENTO CORRESPONDENTE],F$6,LANÇ_MOV[EMPRESA],$C$4,LANÇ_MOV[CENTRO DE CUSTOS],$D$4)</f>
        <v>0</v>
      </c>
      <c r="G101" s="206">
        <f>SUMIFS(LANÇ_MOV[VALOR LÍQUIDO],LANÇ_MOV[RECEITA OU DESPESA],"Receita",LANÇ_MOV[CONTAS],$C101,LANÇ_MOV[PLANO DE CONTAS],REL_DRE_FINANCEIRO!$B$30,LANÇ_MOV[ANO PAGAMENTO],$B$4,LANÇ_MOV[MÊS PAGAMENTO CORRESPONDENTE],G$6,LANÇ_MOV[EMPRESA],$C$4,LANÇ_MOV[CENTRO DE CUSTOS],$D$4)</f>
        <v>0</v>
      </c>
      <c r="H101" s="206">
        <f>SUMIFS(LANÇ_MOV[VALOR LÍQUIDO],LANÇ_MOV[RECEITA OU DESPESA],"Receita",LANÇ_MOV[CONTAS],$C101,LANÇ_MOV[PLANO DE CONTAS],REL_DRE_FINANCEIRO!$B$30,LANÇ_MOV[ANO PAGAMENTO],$B$4,LANÇ_MOV[MÊS PAGAMENTO CORRESPONDENTE],H$6,LANÇ_MOV[EMPRESA],$C$4,LANÇ_MOV[CENTRO DE CUSTOS],$D$4)</f>
        <v>0</v>
      </c>
      <c r="I101" s="206">
        <f>SUMIFS(LANÇ_MOV[VALOR LÍQUIDO],LANÇ_MOV[RECEITA OU DESPESA],"Receita",LANÇ_MOV[CONTAS],$C101,LANÇ_MOV[PLANO DE CONTAS],REL_DRE_FINANCEIRO!$B$30,LANÇ_MOV[ANO PAGAMENTO],$B$4,LANÇ_MOV[MÊS PAGAMENTO CORRESPONDENTE],I$6,LANÇ_MOV[EMPRESA],$C$4,LANÇ_MOV[CENTRO DE CUSTOS],$D$4)</f>
        <v>0</v>
      </c>
      <c r="J101" s="206">
        <f>SUMIFS(LANÇ_MOV[VALOR LÍQUIDO],LANÇ_MOV[RECEITA OU DESPESA],"Receita",LANÇ_MOV[CONTAS],$C101,LANÇ_MOV[PLANO DE CONTAS],REL_DRE_FINANCEIRO!$B$30,LANÇ_MOV[ANO PAGAMENTO],$B$4,LANÇ_MOV[MÊS PAGAMENTO CORRESPONDENTE],J$6,LANÇ_MOV[EMPRESA],$C$4,LANÇ_MOV[CENTRO DE CUSTOS],$D$4)</f>
        <v>0</v>
      </c>
      <c r="K101" s="206">
        <f>SUMIFS(LANÇ_MOV[VALOR LÍQUIDO],LANÇ_MOV[RECEITA OU DESPESA],"Receita",LANÇ_MOV[CONTAS],$C101,LANÇ_MOV[PLANO DE CONTAS],REL_DRE_FINANCEIRO!$B$30,LANÇ_MOV[ANO PAGAMENTO],$B$4,LANÇ_MOV[MÊS PAGAMENTO CORRESPONDENTE],K$6,LANÇ_MOV[EMPRESA],$C$4,LANÇ_MOV[CENTRO DE CUSTOS],$D$4)</f>
        <v>0</v>
      </c>
      <c r="L101" s="206">
        <f>SUMIFS(LANÇ_MOV[VALOR LÍQUIDO],LANÇ_MOV[RECEITA OU DESPESA],"Receita",LANÇ_MOV[CONTAS],$C101,LANÇ_MOV[PLANO DE CONTAS],REL_DRE_FINANCEIRO!$B$30,LANÇ_MOV[ANO PAGAMENTO],$B$4,LANÇ_MOV[MÊS PAGAMENTO CORRESPONDENTE],L$6,LANÇ_MOV[EMPRESA],$C$4,LANÇ_MOV[CENTRO DE CUSTOS],$D$4)</f>
        <v>0</v>
      </c>
      <c r="M101" s="206">
        <f>SUMIFS(LANÇ_MOV[VALOR LÍQUIDO],LANÇ_MOV[RECEITA OU DESPESA],"Receita",LANÇ_MOV[CONTAS],$C101,LANÇ_MOV[PLANO DE CONTAS],REL_DRE_FINANCEIRO!$B$30,LANÇ_MOV[ANO PAGAMENTO],$B$4,LANÇ_MOV[MÊS PAGAMENTO CORRESPONDENTE],M$6,LANÇ_MOV[EMPRESA],$C$4,LANÇ_MOV[CENTRO DE CUSTOS],$D$4)</f>
        <v>0</v>
      </c>
      <c r="N101" s="206">
        <f>SUMIFS(LANÇ_MOV[VALOR LÍQUIDO],LANÇ_MOV[RECEITA OU DESPESA],"Receita",LANÇ_MOV[CONTAS],$C101,LANÇ_MOV[PLANO DE CONTAS],REL_DRE_FINANCEIRO!$B$30,LANÇ_MOV[ANO PAGAMENTO],$B$4,LANÇ_MOV[MÊS PAGAMENTO CORRESPONDENTE],N$6,LANÇ_MOV[EMPRESA],$C$4,LANÇ_MOV[CENTRO DE CUSTOS],$D$4)</f>
        <v>0</v>
      </c>
      <c r="O101" s="206">
        <f>SUMIFS(LANÇ_MOV[VALOR LÍQUIDO],LANÇ_MOV[RECEITA OU DESPESA],"Receita",LANÇ_MOV[CONTAS],$C101,LANÇ_MOV[PLANO DE CONTAS],REL_DRE_FINANCEIRO!$B$30,LANÇ_MOV[ANO PAGAMENTO],$B$4,LANÇ_MOV[MÊS PAGAMENTO CORRESPONDENTE],O$6,LANÇ_MOV[EMPRESA],$C$4,LANÇ_MOV[CENTRO DE CUSTOS],$D$4)</f>
        <v>0</v>
      </c>
      <c r="P101" s="207">
        <f t="shared" si="23"/>
        <v>0</v>
      </c>
      <c r="Q101" s="333">
        <v>3.0000000000000001E-6</v>
      </c>
      <c r="R101" s="346">
        <f t="shared" si="24"/>
        <v>3.0000000000000001E-6</v>
      </c>
      <c r="S101" s="347" t="str">
        <f t="shared" si="25"/>
        <v>-</v>
      </c>
      <c r="T101" s="347">
        <f t="shared" si="26"/>
        <v>0</v>
      </c>
      <c r="U101" s="347">
        <f>HLOOKUP(Apoio!$P$12,$D$29:$P$130,X101,FALSE)+Q101</f>
        <v>3.0000000000000001E-6</v>
      </c>
      <c r="V101" s="447" t="str">
        <f t="shared" si="27"/>
        <v>-</v>
      </c>
      <c r="W101" s="448">
        <f>HLOOKUP(Apoio!$P$12,$D$29:$P$130,X101,FALSE)</f>
        <v>0</v>
      </c>
      <c r="X101" s="329">
        <v>73</v>
      </c>
    </row>
    <row r="102" spans="2:24" ht="30.05" customHeight="1" x14ac:dyDescent="0.35">
      <c r="B102" s="204" t="str">
        <f>'CAD_PL_REC-DESP'!B76</f>
        <v>1.1.72</v>
      </c>
      <c r="C102" s="205" t="str">
        <f>IF('CAD_PL_REC-DESP'!C76="","-",'CAD_PL_REC-DESP'!C76)</f>
        <v>-</v>
      </c>
      <c r="D102" s="206">
        <f>SUMIFS(LANÇ_MOV[VALOR LÍQUIDO],LANÇ_MOV[RECEITA OU DESPESA],"Receita",LANÇ_MOV[CONTAS],$C102,LANÇ_MOV[PLANO DE CONTAS],REL_DRE_FINANCEIRO!$B$30,LANÇ_MOV[ANO PAGAMENTO],$B$4,LANÇ_MOV[MÊS PAGAMENTO CORRESPONDENTE],D$6,LANÇ_MOV[EMPRESA],$C$4,LANÇ_MOV[CENTRO DE CUSTOS],$D$4)</f>
        <v>0</v>
      </c>
      <c r="E102" s="206">
        <f>SUMIFS(LANÇ_MOV[VALOR LÍQUIDO],LANÇ_MOV[RECEITA OU DESPESA],"Receita",LANÇ_MOV[CONTAS],$C102,LANÇ_MOV[PLANO DE CONTAS],REL_DRE_FINANCEIRO!$B$30,LANÇ_MOV[ANO PAGAMENTO],$B$4,LANÇ_MOV[MÊS PAGAMENTO CORRESPONDENTE],E$6,LANÇ_MOV[EMPRESA],$C$4,LANÇ_MOV[CENTRO DE CUSTOS],$D$4)</f>
        <v>0</v>
      </c>
      <c r="F102" s="206">
        <f>SUMIFS(LANÇ_MOV[VALOR LÍQUIDO],LANÇ_MOV[RECEITA OU DESPESA],"Receita",LANÇ_MOV[CONTAS],$C102,LANÇ_MOV[PLANO DE CONTAS],REL_DRE_FINANCEIRO!$B$30,LANÇ_MOV[ANO PAGAMENTO],$B$4,LANÇ_MOV[MÊS PAGAMENTO CORRESPONDENTE],F$6,LANÇ_MOV[EMPRESA],$C$4,LANÇ_MOV[CENTRO DE CUSTOS],$D$4)</f>
        <v>0</v>
      </c>
      <c r="G102" s="206">
        <f>SUMIFS(LANÇ_MOV[VALOR LÍQUIDO],LANÇ_MOV[RECEITA OU DESPESA],"Receita",LANÇ_MOV[CONTAS],$C102,LANÇ_MOV[PLANO DE CONTAS],REL_DRE_FINANCEIRO!$B$30,LANÇ_MOV[ANO PAGAMENTO],$B$4,LANÇ_MOV[MÊS PAGAMENTO CORRESPONDENTE],G$6,LANÇ_MOV[EMPRESA],$C$4,LANÇ_MOV[CENTRO DE CUSTOS],$D$4)</f>
        <v>0</v>
      </c>
      <c r="H102" s="206">
        <f>SUMIFS(LANÇ_MOV[VALOR LÍQUIDO],LANÇ_MOV[RECEITA OU DESPESA],"Receita",LANÇ_MOV[CONTAS],$C102,LANÇ_MOV[PLANO DE CONTAS],REL_DRE_FINANCEIRO!$B$30,LANÇ_MOV[ANO PAGAMENTO],$B$4,LANÇ_MOV[MÊS PAGAMENTO CORRESPONDENTE],H$6,LANÇ_MOV[EMPRESA],$C$4,LANÇ_MOV[CENTRO DE CUSTOS],$D$4)</f>
        <v>0</v>
      </c>
      <c r="I102" s="206">
        <f>SUMIFS(LANÇ_MOV[VALOR LÍQUIDO],LANÇ_MOV[RECEITA OU DESPESA],"Receita",LANÇ_MOV[CONTAS],$C102,LANÇ_MOV[PLANO DE CONTAS],REL_DRE_FINANCEIRO!$B$30,LANÇ_MOV[ANO PAGAMENTO],$B$4,LANÇ_MOV[MÊS PAGAMENTO CORRESPONDENTE],I$6,LANÇ_MOV[EMPRESA],$C$4,LANÇ_MOV[CENTRO DE CUSTOS],$D$4)</f>
        <v>0</v>
      </c>
      <c r="J102" s="206">
        <f>SUMIFS(LANÇ_MOV[VALOR LÍQUIDO],LANÇ_MOV[RECEITA OU DESPESA],"Receita",LANÇ_MOV[CONTAS],$C102,LANÇ_MOV[PLANO DE CONTAS],REL_DRE_FINANCEIRO!$B$30,LANÇ_MOV[ANO PAGAMENTO],$B$4,LANÇ_MOV[MÊS PAGAMENTO CORRESPONDENTE],J$6,LANÇ_MOV[EMPRESA],$C$4,LANÇ_MOV[CENTRO DE CUSTOS],$D$4)</f>
        <v>0</v>
      </c>
      <c r="K102" s="206">
        <f>SUMIFS(LANÇ_MOV[VALOR LÍQUIDO],LANÇ_MOV[RECEITA OU DESPESA],"Receita",LANÇ_MOV[CONTAS],$C102,LANÇ_MOV[PLANO DE CONTAS],REL_DRE_FINANCEIRO!$B$30,LANÇ_MOV[ANO PAGAMENTO],$B$4,LANÇ_MOV[MÊS PAGAMENTO CORRESPONDENTE],K$6,LANÇ_MOV[EMPRESA],$C$4,LANÇ_MOV[CENTRO DE CUSTOS],$D$4)</f>
        <v>0</v>
      </c>
      <c r="L102" s="206">
        <f>SUMIFS(LANÇ_MOV[VALOR LÍQUIDO],LANÇ_MOV[RECEITA OU DESPESA],"Receita",LANÇ_MOV[CONTAS],$C102,LANÇ_MOV[PLANO DE CONTAS],REL_DRE_FINANCEIRO!$B$30,LANÇ_MOV[ANO PAGAMENTO],$B$4,LANÇ_MOV[MÊS PAGAMENTO CORRESPONDENTE],L$6,LANÇ_MOV[EMPRESA],$C$4,LANÇ_MOV[CENTRO DE CUSTOS],$D$4)</f>
        <v>0</v>
      </c>
      <c r="M102" s="206">
        <f>SUMIFS(LANÇ_MOV[VALOR LÍQUIDO],LANÇ_MOV[RECEITA OU DESPESA],"Receita",LANÇ_MOV[CONTAS],$C102,LANÇ_MOV[PLANO DE CONTAS],REL_DRE_FINANCEIRO!$B$30,LANÇ_MOV[ANO PAGAMENTO],$B$4,LANÇ_MOV[MÊS PAGAMENTO CORRESPONDENTE],M$6,LANÇ_MOV[EMPRESA],$C$4,LANÇ_MOV[CENTRO DE CUSTOS],$D$4)</f>
        <v>0</v>
      </c>
      <c r="N102" s="206">
        <f>SUMIFS(LANÇ_MOV[VALOR LÍQUIDO],LANÇ_MOV[RECEITA OU DESPESA],"Receita",LANÇ_MOV[CONTAS],$C102,LANÇ_MOV[PLANO DE CONTAS],REL_DRE_FINANCEIRO!$B$30,LANÇ_MOV[ANO PAGAMENTO],$B$4,LANÇ_MOV[MÊS PAGAMENTO CORRESPONDENTE],N$6,LANÇ_MOV[EMPRESA],$C$4,LANÇ_MOV[CENTRO DE CUSTOS],$D$4)</f>
        <v>0</v>
      </c>
      <c r="O102" s="206">
        <f>SUMIFS(LANÇ_MOV[VALOR LÍQUIDO],LANÇ_MOV[RECEITA OU DESPESA],"Receita",LANÇ_MOV[CONTAS],$C102,LANÇ_MOV[PLANO DE CONTAS],REL_DRE_FINANCEIRO!$B$30,LANÇ_MOV[ANO PAGAMENTO],$B$4,LANÇ_MOV[MÊS PAGAMENTO CORRESPONDENTE],O$6,LANÇ_MOV[EMPRESA],$C$4,LANÇ_MOV[CENTRO DE CUSTOS],$D$4)</f>
        <v>0</v>
      </c>
      <c r="P102" s="207">
        <f t="shared" si="23"/>
        <v>0</v>
      </c>
      <c r="Q102" s="333">
        <v>2.9000000000000002E-6</v>
      </c>
      <c r="R102" s="346">
        <f t="shared" si="24"/>
        <v>2.9000000000000002E-6</v>
      </c>
      <c r="S102" s="347" t="str">
        <f t="shared" si="25"/>
        <v>-</v>
      </c>
      <c r="T102" s="347">
        <f t="shared" si="26"/>
        <v>0</v>
      </c>
      <c r="U102" s="347">
        <f>HLOOKUP(Apoio!$P$12,$D$29:$P$130,X102,FALSE)+Q102</f>
        <v>2.9000000000000002E-6</v>
      </c>
      <c r="V102" s="447" t="str">
        <f t="shared" si="27"/>
        <v>-</v>
      </c>
      <c r="W102" s="448">
        <f>HLOOKUP(Apoio!$P$12,$D$29:$P$130,X102,FALSE)</f>
        <v>0</v>
      </c>
      <c r="X102" s="329">
        <v>74</v>
      </c>
    </row>
    <row r="103" spans="2:24" ht="30.05" customHeight="1" x14ac:dyDescent="0.35">
      <c r="B103" s="204" t="str">
        <f>'CAD_PL_REC-DESP'!B77</f>
        <v>1.1.73</v>
      </c>
      <c r="C103" s="205" t="str">
        <f>IF('CAD_PL_REC-DESP'!C77="","-",'CAD_PL_REC-DESP'!C77)</f>
        <v>-</v>
      </c>
      <c r="D103" s="206">
        <f>SUMIFS(LANÇ_MOV[VALOR LÍQUIDO],LANÇ_MOV[RECEITA OU DESPESA],"Receita",LANÇ_MOV[CONTAS],$C103,LANÇ_MOV[PLANO DE CONTAS],REL_DRE_FINANCEIRO!$B$30,LANÇ_MOV[ANO PAGAMENTO],$B$4,LANÇ_MOV[MÊS PAGAMENTO CORRESPONDENTE],D$6,LANÇ_MOV[EMPRESA],$C$4,LANÇ_MOV[CENTRO DE CUSTOS],$D$4)</f>
        <v>0</v>
      </c>
      <c r="E103" s="206">
        <f>SUMIFS(LANÇ_MOV[VALOR LÍQUIDO],LANÇ_MOV[RECEITA OU DESPESA],"Receita",LANÇ_MOV[CONTAS],$C103,LANÇ_MOV[PLANO DE CONTAS],REL_DRE_FINANCEIRO!$B$30,LANÇ_MOV[ANO PAGAMENTO],$B$4,LANÇ_MOV[MÊS PAGAMENTO CORRESPONDENTE],E$6,LANÇ_MOV[EMPRESA],$C$4,LANÇ_MOV[CENTRO DE CUSTOS],$D$4)</f>
        <v>0</v>
      </c>
      <c r="F103" s="206">
        <f>SUMIFS(LANÇ_MOV[VALOR LÍQUIDO],LANÇ_MOV[RECEITA OU DESPESA],"Receita",LANÇ_MOV[CONTAS],$C103,LANÇ_MOV[PLANO DE CONTAS],REL_DRE_FINANCEIRO!$B$30,LANÇ_MOV[ANO PAGAMENTO],$B$4,LANÇ_MOV[MÊS PAGAMENTO CORRESPONDENTE],F$6,LANÇ_MOV[EMPRESA],$C$4,LANÇ_MOV[CENTRO DE CUSTOS],$D$4)</f>
        <v>0</v>
      </c>
      <c r="G103" s="206">
        <f>SUMIFS(LANÇ_MOV[VALOR LÍQUIDO],LANÇ_MOV[RECEITA OU DESPESA],"Receita",LANÇ_MOV[CONTAS],$C103,LANÇ_MOV[PLANO DE CONTAS],REL_DRE_FINANCEIRO!$B$30,LANÇ_MOV[ANO PAGAMENTO],$B$4,LANÇ_MOV[MÊS PAGAMENTO CORRESPONDENTE],G$6,LANÇ_MOV[EMPRESA],$C$4,LANÇ_MOV[CENTRO DE CUSTOS],$D$4)</f>
        <v>0</v>
      </c>
      <c r="H103" s="206">
        <f>SUMIFS(LANÇ_MOV[VALOR LÍQUIDO],LANÇ_MOV[RECEITA OU DESPESA],"Receita",LANÇ_MOV[CONTAS],$C103,LANÇ_MOV[PLANO DE CONTAS],REL_DRE_FINANCEIRO!$B$30,LANÇ_MOV[ANO PAGAMENTO],$B$4,LANÇ_MOV[MÊS PAGAMENTO CORRESPONDENTE],H$6,LANÇ_MOV[EMPRESA],$C$4,LANÇ_MOV[CENTRO DE CUSTOS],$D$4)</f>
        <v>0</v>
      </c>
      <c r="I103" s="206">
        <f>SUMIFS(LANÇ_MOV[VALOR LÍQUIDO],LANÇ_MOV[RECEITA OU DESPESA],"Receita",LANÇ_MOV[CONTAS],$C103,LANÇ_MOV[PLANO DE CONTAS],REL_DRE_FINANCEIRO!$B$30,LANÇ_MOV[ANO PAGAMENTO],$B$4,LANÇ_MOV[MÊS PAGAMENTO CORRESPONDENTE],I$6,LANÇ_MOV[EMPRESA],$C$4,LANÇ_MOV[CENTRO DE CUSTOS],$D$4)</f>
        <v>0</v>
      </c>
      <c r="J103" s="206">
        <f>SUMIFS(LANÇ_MOV[VALOR LÍQUIDO],LANÇ_MOV[RECEITA OU DESPESA],"Receita",LANÇ_MOV[CONTAS],$C103,LANÇ_MOV[PLANO DE CONTAS],REL_DRE_FINANCEIRO!$B$30,LANÇ_MOV[ANO PAGAMENTO],$B$4,LANÇ_MOV[MÊS PAGAMENTO CORRESPONDENTE],J$6,LANÇ_MOV[EMPRESA],$C$4,LANÇ_MOV[CENTRO DE CUSTOS],$D$4)</f>
        <v>0</v>
      </c>
      <c r="K103" s="206">
        <f>SUMIFS(LANÇ_MOV[VALOR LÍQUIDO],LANÇ_MOV[RECEITA OU DESPESA],"Receita",LANÇ_MOV[CONTAS],$C103,LANÇ_MOV[PLANO DE CONTAS],REL_DRE_FINANCEIRO!$B$30,LANÇ_MOV[ANO PAGAMENTO],$B$4,LANÇ_MOV[MÊS PAGAMENTO CORRESPONDENTE],K$6,LANÇ_MOV[EMPRESA],$C$4,LANÇ_MOV[CENTRO DE CUSTOS],$D$4)</f>
        <v>0</v>
      </c>
      <c r="L103" s="206">
        <f>SUMIFS(LANÇ_MOV[VALOR LÍQUIDO],LANÇ_MOV[RECEITA OU DESPESA],"Receita",LANÇ_MOV[CONTAS],$C103,LANÇ_MOV[PLANO DE CONTAS],REL_DRE_FINANCEIRO!$B$30,LANÇ_MOV[ANO PAGAMENTO],$B$4,LANÇ_MOV[MÊS PAGAMENTO CORRESPONDENTE],L$6,LANÇ_MOV[EMPRESA],$C$4,LANÇ_MOV[CENTRO DE CUSTOS],$D$4)</f>
        <v>0</v>
      </c>
      <c r="M103" s="206">
        <f>SUMIFS(LANÇ_MOV[VALOR LÍQUIDO],LANÇ_MOV[RECEITA OU DESPESA],"Receita",LANÇ_MOV[CONTAS],$C103,LANÇ_MOV[PLANO DE CONTAS],REL_DRE_FINANCEIRO!$B$30,LANÇ_MOV[ANO PAGAMENTO],$B$4,LANÇ_MOV[MÊS PAGAMENTO CORRESPONDENTE],M$6,LANÇ_MOV[EMPRESA],$C$4,LANÇ_MOV[CENTRO DE CUSTOS],$D$4)</f>
        <v>0</v>
      </c>
      <c r="N103" s="206">
        <f>SUMIFS(LANÇ_MOV[VALOR LÍQUIDO],LANÇ_MOV[RECEITA OU DESPESA],"Receita",LANÇ_MOV[CONTAS],$C103,LANÇ_MOV[PLANO DE CONTAS],REL_DRE_FINANCEIRO!$B$30,LANÇ_MOV[ANO PAGAMENTO],$B$4,LANÇ_MOV[MÊS PAGAMENTO CORRESPONDENTE],N$6,LANÇ_MOV[EMPRESA],$C$4,LANÇ_MOV[CENTRO DE CUSTOS],$D$4)</f>
        <v>0</v>
      </c>
      <c r="O103" s="206">
        <f>SUMIFS(LANÇ_MOV[VALOR LÍQUIDO],LANÇ_MOV[RECEITA OU DESPESA],"Receita",LANÇ_MOV[CONTAS],$C103,LANÇ_MOV[PLANO DE CONTAS],REL_DRE_FINANCEIRO!$B$30,LANÇ_MOV[ANO PAGAMENTO],$B$4,LANÇ_MOV[MÊS PAGAMENTO CORRESPONDENTE],O$6,LANÇ_MOV[EMPRESA],$C$4,LANÇ_MOV[CENTRO DE CUSTOS],$D$4)</f>
        <v>0</v>
      </c>
      <c r="P103" s="207">
        <f t="shared" si="23"/>
        <v>0</v>
      </c>
      <c r="Q103" s="333">
        <v>2.7999999999999999E-6</v>
      </c>
      <c r="R103" s="346">
        <f t="shared" si="24"/>
        <v>2.7999999999999999E-6</v>
      </c>
      <c r="S103" s="347" t="str">
        <f t="shared" si="25"/>
        <v>-</v>
      </c>
      <c r="T103" s="347">
        <f t="shared" si="26"/>
        <v>0</v>
      </c>
      <c r="U103" s="347">
        <f>HLOOKUP(Apoio!$P$12,$D$29:$P$130,X103,FALSE)+Q103</f>
        <v>2.7999999999999999E-6</v>
      </c>
      <c r="V103" s="447" t="str">
        <f t="shared" si="27"/>
        <v>-</v>
      </c>
      <c r="W103" s="448">
        <f>HLOOKUP(Apoio!$P$12,$D$29:$P$130,X103,FALSE)</f>
        <v>0</v>
      </c>
      <c r="X103" s="329">
        <v>75</v>
      </c>
    </row>
    <row r="104" spans="2:24" ht="30.05" customHeight="1" x14ac:dyDescent="0.35">
      <c r="B104" s="204" t="str">
        <f>'CAD_PL_REC-DESP'!B78</f>
        <v>1.1.74</v>
      </c>
      <c r="C104" s="205" t="str">
        <f>IF('CAD_PL_REC-DESP'!C78="","-",'CAD_PL_REC-DESP'!C78)</f>
        <v>-</v>
      </c>
      <c r="D104" s="206">
        <f>SUMIFS(LANÇ_MOV[VALOR LÍQUIDO],LANÇ_MOV[RECEITA OU DESPESA],"Receita",LANÇ_MOV[CONTAS],$C104,LANÇ_MOV[PLANO DE CONTAS],REL_DRE_FINANCEIRO!$B$30,LANÇ_MOV[ANO PAGAMENTO],$B$4,LANÇ_MOV[MÊS PAGAMENTO CORRESPONDENTE],D$6,LANÇ_MOV[EMPRESA],$C$4,LANÇ_MOV[CENTRO DE CUSTOS],$D$4)</f>
        <v>0</v>
      </c>
      <c r="E104" s="206">
        <f>SUMIFS(LANÇ_MOV[VALOR LÍQUIDO],LANÇ_MOV[RECEITA OU DESPESA],"Receita",LANÇ_MOV[CONTAS],$C104,LANÇ_MOV[PLANO DE CONTAS],REL_DRE_FINANCEIRO!$B$30,LANÇ_MOV[ANO PAGAMENTO],$B$4,LANÇ_MOV[MÊS PAGAMENTO CORRESPONDENTE],E$6,LANÇ_MOV[EMPRESA],$C$4,LANÇ_MOV[CENTRO DE CUSTOS],$D$4)</f>
        <v>0</v>
      </c>
      <c r="F104" s="206">
        <f>SUMIFS(LANÇ_MOV[VALOR LÍQUIDO],LANÇ_MOV[RECEITA OU DESPESA],"Receita",LANÇ_MOV[CONTAS],$C104,LANÇ_MOV[PLANO DE CONTAS],REL_DRE_FINANCEIRO!$B$30,LANÇ_MOV[ANO PAGAMENTO],$B$4,LANÇ_MOV[MÊS PAGAMENTO CORRESPONDENTE],F$6,LANÇ_MOV[EMPRESA],$C$4,LANÇ_MOV[CENTRO DE CUSTOS],$D$4)</f>
        <v>0</v>
      </c>
      <c r="G104" s="206">
        <f>SUMIFS(LANÇ_MOV[VALOR LÍQUIDO],LANÇ_MOV[RECEITA OU DESPESA],"Receita",LANÇ_MOV[CONTAS],$C104,LANÇ_MOV[PLANO DE CONTAS],REL_DRE_FINANCEIRO!$B$30,LANÇ_MOV[ANO PAGAMENTO],$B$4,LANÇ_MOV[MÊS PAGAMENTO CORRESPONDENTE],G$6,LANÇ_MOV[EMPRESA],$C$4,LANÇ_MOV[CENTRO DE CUSTOS],$D$4)</f>
        <v>0</v>
      </c>
      <c r="H104" s="206">
        <f>SUMIFS(LANÇ_MOV[VALOR LÍQUIDO],LANÇ_MOV[RECEITA OU DESPESA],"Receita",LANÇ_MOV[CONTAS],$C104,LANÇ_MOV[PLANO DE CONTAS],REL_DRE_FINANCEIRO!$B$30,LANÇ_MOV[ANO PAGAMENTO],$B$4,LANÇ_MOV[MÊS PAGAMENTO CORRESPONDENTE],H$6,LANÇ_MOV[EMPRESA],$C$4,LANÇ_MOV[CENTRO DE CUSTOS],$D$4)</f>
        <v>0</v>
      </c>
      <c r="I104" s="206">
        <f>SUMIFS(LANÇ_MOV[VALOR LÍQUIDO],LANÇ_MOV[RECEITA OU DESPESA],"Receita",LANÇ_MOV[CONTAS],$C104,LANÇ_MOV[PLANO DE CONTAS],REL_DRE_FINANCEIRO!$B$30,LANÇ_MOV[ANO PAGAMENTO],$B$4,LANÇ_MOV[MÊS PAGAMENTO CORRESPONDENTE],I$6,LANÇ_MOV[EMPRESA],$C$4,LANÇ_MOV[CENTRO DE CUSTOS],$D$4)</f>
        <v>0</v>
      </c>
      <c r="J104" s="206">
        <f>SUMIFS(LANÇ_MOV[VALOR LÍQUIDO],LANÇ_MOV[RECEITA OU DESPESA],"Receita",LANÇ_MOV[CONTAS],$C104,LANÇ_MOV[PLANO DE CONTAS],REL_DRE_FINANCEIRO!$B$30,LANÇ_MOV[ANO PAGAMENTO],$B$4,LANÇ_MOV[MÊS PAGAMENTO CORRESPONDENTE],J$6,LANÇ_MOV[EMPRESA],$C$4,LANÇ_MOV[CENTRO DE CUSTOS],$D$4)</f>
        <v>0</v>
      </c>
      <c r="K104" s="206">
        <f>SUMIFS(LANÇ_MOV[VALOR LÍQUIDO],LANÇ_MOV[RECEITA OU DESPESA],"Receita",LANÇ_MOV[CONTAS],$C104,LANÇ_MOV[PLANO DE CONTAS],REL_DRE_FINANCEIRO!$B$30,LANÇ_MOV[ANO PAGAMENTO],$B$4,LANÇ_MOV[MÊS PAGAMENTO CORRESPONDENTE],K$6,LANÇ_MOV[EMPRESA],$C$4,LANÇ_MOV[CENTRO DE CUSTOS],$D$4)</f>
        <v>0</v>
      </c>
      <c r="L104" s="206">
        <f>SUMIFS(LANÇ_MOV[VALOR LÍQUIDO],LANÇ_MOV[RECEITA OU DESPESA],"Receita",LANÇ_MOV[CONTAS],$C104,LANÇ_MOV[PLANO DE CONTAS],REL_DRE_FINANCEIRO!$B$30,LANÇ_MOV[ANO PAGAMENTO],$B$4,LANÇ_MOV[MÊS PAGAMENTO CORRESPONDENTE],L$6,LANÇ_MOV[EMPRESA],$C$4,LANÇ_MOV[CENTRO DE CUSTOS],$D$4)</f>
        <v>0</v>
      </c>
      <c r="M104" s="206">
        <f>SUMIFS(LANÇ_MOV[VALOR LÍQUIDO],LANÇ_MOV[RECEITA OU DESPESA],"Receita",LANÇ_MOV[CONTAS],$C104,LANÇ_MOV[PLANO DE CONTAS],REL_DRE_FINANCEIRO!$B$30,LANÇ_MOV[ANO PAGAMENTO],$B$4,LANÇ_MOV[MÊS PAGAMENTO CORRESPONDENTE],M$6,LANÇ_MOV[EMPRESA],$C$4,LANÇ_MOV[CENTRO DE CUSTOS],$D$4)</f>
        <v>0</v>
      </c>
      <c r="N104" s="206">
        <f>SUMIFS(LANÇ_MOV[VALOR LÍQUIDO],LANÇ_MOV[RECEITA OU DESPESA],"Receita",LANÇ_MOV[CONTAS],$C104,LANÇ_MOV[PLANO DE CONTAS],REL_DRE_FINANCEIRO!$B$30,LANÇ_MOV[ANO PAGAMENTO],$B$4,LANÇ_MOV[MÊS PAGAMENTO CORRESPONDENTE],N$6,LANÇ_MOV[EMPRESA],$C$4,LANÇ_MOV[CENTRO DE CUSTOS],$D$4)</f>
        <v>0</v>
      </c>
      <c r="O104" s="206">
        <f>SUMIFS(LANÇ_MOV[VALOR LÍQUIDO],LANÇ_MOV[RECEITA OU DESPESA],"Receita",LANÇ_MOV[CONTAS],$C104,LANÇ_MOV[PLANO DE CONTAS],REL_DRE_FINANCEIRO!$B$30,LANÇ_MOV[ANO PAGAMENTO],$B$4,LANÇ_MOV[MÊS PAGAMENTO CORRESPONDENTE],O$6,LANÇ_MOV[EMPRESA],$C$4,LANÇ_MOV[CENTRO DE CUSTOS],$D$4)</f>
        <v>0</v>
      </c>
      <c r="P104" s="207">
        <f t="shared" si="23"/>
        <v>0</v>
      </c>
      <c r="Q104" s="333">
        <v>2.7E-6</v>
      </c>
      <c r="R104" s="346">
        <f t="shared" si="24"/>
        <v>2.7E-6</v>
      </c>
      <c r="S104" s="347" t="str">
        <f t="shared" si="25"/>
        <v>-</v>
      </c>
      <c r="T104" s="347">
        <f t="shared" si="26"/>
        <v>0</v>
      </c>
      <c r="U104" s="347">
        <f>HLOOKUP(Apoio!$P$12,$D$29:$P$130,X104,FALSE)+Q104</f>
        <v>2.7E-6</v>
      </c>
      <c r="V104" s="447" t="str">
        <f t="shared" si="27"/>
        <v>-</v>
      </c>
      <c r="W104" s="448">
        <f>HLOOKUP(Apoio!$P$12,$D$29:$P$130,X104,FALSE)</f>
        <v>0</v>
      </c>
      <c r="X104" s="329">
        <v>76</v>
      </c>
    </row>
    <row r="105" spans="2:24" ht="30.05" customHeight="1" x14ac:dyDescent="0.35">
      <c r="B105" s="204" t="str">
        <f>'CAD_PL_REC-DESP'!B79</f>
        <v>1.1.75</v>
      </c>
      <c r="C105" s="205" t="str">
        <f>IF('CAD_PL_REC-DESP'!C79="","-",'CAD_PL_REC-DESP'!C79)</f>
        <v>-</v>
      </c>
      <c r="D105" s="206">
        <f>SUMIFS(LANÇ_MOV[VALOR LÍQUIDO],LANÇ_MOV[RECEITA OU DESPESA],"Receita",LANÇ_MOV[CONTAS],$C105,LANÇ_MOV[PLANO DE CONTAS],REL_DRE_FINANCEIRO!$B$30,LANÇ_MOV[ANO PAGAMENTO],$B$4,LANÇ_MOV[MÊS PAGAMENTO CORRESPONDENTE],D$6,LANÇ_MOV[EMPRESA],$C$4,LANÇ_MOV[CENTRO DE CUSTOS],$D$4)</f>
        <v>0</v>
      </c>
      <c r="E105" s="206">
        <f>SUMIFS(LANÇ_MOV[VALOR LÍQUIDO],LANÇ_MOV[RECEITA OU DESPESA],"Receita",LANÇ_MOV[CONTAS],$C105,LANÇ_MOV[PLANO DE CONTAS],REL_DRE_FINANCEIRO!$B$30,LANÇ_MOV[ANO PAGAMENTO],$B$4,LANÇ_MOV[MÊS PAGAMENTO CORRESPONDENTE],E$6,LANÇ_MOV[EMPRESA],$C$4,LANÇ_MOV[CENTRO DE CUSTOS],$D$4)</f>
        <v>0</v>
      </c>
      <c r="F105" s="206">
        <f>SUMIFS(LANÇ_MOV[VALOR LÍQUIDO],LANÇ_MOV[RECEITA OU DESPESA],"Receita",LANÇ_MOV[CONTAS],$C105,LANÇ_MOV[PLANO DE CONTAS],REL_DRE_FINANCEIRO!$B$30,LANÇ_MOV[ANO PAGAMENTO],$B$4,LANÇ_MOV[MÊS PAGAMENTO CORRESPONDENTE],F$6,LANÇ_MOV[EMPRESA],$C$4,LANÇ_MOV[CENTRO DE CUSTOS],$D$4)</f>
        <v>0</v>
      </c>
      <c r="G105" s="206">
        <f>SUMIFS(LANÇ_MOV[VALOR LÍQUIDO],LANÇ_MOV[RECEITA OU DESPESA],"Receita",LANÇ_MOV[CONTAS],$C105,LANÇ_MOV[PLANO DE CONTAS],REL_DRE_FINANCEIRO!$B$30,LANÇ_MOV[ANO PAGAMENTO],$B$4,LANÇ_MOV[MÊS PAGAMENTO CORRESPONDENTE],G$6,LANÇ_MOV[EMPRESA],$C$4,LANÇ_MOV[CENTRO DE CUSTOS],$D$4)</f>
        <v>0</v>
      </c>
      <c r="H105" s="206">
        <f>SUMIFS(LANÇ_MOV[VALOR LÍQUIDO],LANÇ_MOV[RECEITA OU DESPESA],"Receita",LANÇ_MOV[CONTAS],$C105,LANÇ_MOV[PLANO DE CONTAS],REL_DRE_FINANCEIRO!$B$30,LANÇ_MOV[ANO PAGAMENTO],$B$4,LANÇ_MOV[MÊS PAGAMENTO CORRESPONDENTE],H$6,LANÇ_MOV[EMPRESA],$C$4,LANÇ_MOV[CENTRO DE CUSTOS],$D$4)</f>
        <v>0</v>
      </c>
      <c r="I105" s="206">
        <f>SUMIFS(LANÇ_MOV[VALOR LÍQUIDO],LANÇ_MOV[RECEITA OU DESPESA],"Receita",LANÇ_MOV[CONTAS],$C105,LANÇ_MOV[PLANO DE CONTAS],REL_DRE_FINANCEIRO!$B$30,LANÇ_MOV[ANO PAGAMENTO],$B$4,LANÇ_MOV[MÊS PAGAMENTO CORRESPONDENTE],I$6,LANÇ_MOV[EMPRESA],$C$4,LANÇ_MOV[CENTRO DE CUSTOS],$D$4)</f>
        <v>0</v>
      </c>
      <c r="J105" s="206">
        <f>SUMIFS(LANÇ_MOV[VALOR LÍQUIDO],LANÇ_MOV[RECEITA OU DESPESA],"Receita",LANÇ_MOV[CONTAS],$C105,LANÇ_MOV[PLANO DE CONTAS],REL_DRE_FINANCEIRO!$B$30,LANÇ_MOV[ANO PAGAMENTO],$B$4,LANÇ_MOV[MÊS PAGAMENTO CORRESPONDENTE],J$6,LANÇ_MOV[EMPRESA],$C$4,LANÇ_MOV[CENTRO DE CUSTOS],$D$4)</f>
        <v>0</v>
      </c>
      <c r="K105" s="206">
        <f>SUMIFS(LANÇ_MOV[VALOR LÍQUIDO],LANÇ_MOV[RECEITA OU DESPESA],"Receita",LANÇ_MOV[CONTAS],$C105,LANÇ_MOV[PLANO DE CONTAS],REL_DRE_FINANCEIRO!$B$30,LANÇ_MOV[ANO PAGAMENTO],$B$4,LANÇ_MOV[MÊS PAGAMENTO CORRESPONDENTE],K$6,LANÇ_MOV[EMPRESA],$C$4,LANÇ_MOV[CENTRO DE CUSTOS],$D$4)</f>
        <v>0</v>
      </c>
      <c r="L105" s="206">
        <f>SUMIFS(LANÇ_MOV[VALOR LÍQUIDO],LANÇ_MOV[RECEITA OU DESPESA],"Receita",LANÇ_MOV[CONTAS],$C105,LANÇ_MOV[PLANO DE CONTAS],REL_DRE_FINANCEIRO!$B$30,LANÇ_MOV[ANO PAGAMENTO],$B$4,LANÇ_MOV[MÊS PAGAMENTO CORRESPONDENTE],L$6,LANÇ_MOV[EMPRESA],$C$4,LANÇ_MOV[CENTRO DE CUSTOS],$D$4)</f>
        <v>0</v>
      </c>
      <c r="M105" s="206">
        <f>SUMIFS(LANÇ_MOV[VALOR LÍQUIDO],LANÇ_MOV[RECEITA OU DESPESA],"Receita",LANÇ_MOV[CONTAS],$C105,LANÇ_MOV[PLANO DE CONTAS],REL_DRE_FINANCEIRO!$B$30,LANÇ_MOV[ANO PAGAMENTO],$B$4,LANÇ_MOV[MÊS PAGAMENTO CORRESPONDENTE],M$6,LANÇ_MOV[EMPRESA],$C$4,LANÇ_MOV[CENTRO DE CUSTOS],$D$4)</f>
        <v>0</v>
      </c>
      <c r="N105" s="206">
        <f>SUMIFS(LANÇ_MOV[VALOR LÍQUIDO],LANÇ_MOV[RECEITA OU DESPESA],"Receita",LANÇ_MOV[CONTAS],$C105,LANÇ_MOV[PLANO DE CONTAS],REL_DRE_FINANCEIRO!$B$30,LANÇ_MOV[ANO PAGAMENTO],$B$4,LANÇ_MOV[MÊS PAGAMENTO CORRESPONDENTE],N$6,LANÇ_MOV[EMPRESA],$C$4,LANÇ_MOV[CENTRO DE CUSTOS],$D$4)</f>
        <v>0</v>
      </c>
      <c r="O105" s="206">
        <f>SUMIFS(LANÇ_MOV[VALOR LÍQUIDO],LANÇ_MOV[RECEITA OU DESPESA],"Receita",LANÇ_MOV[CONTAS],$C105,LANÇ_MOV[PLANO DE CONTAS],REL_DRE_FINANCEIRO!$B$30,LANÇ_MOV[ANO PAGAMENTO],$B$4,LANÇ_MOV[MÊS PAGAMENTO CORRESPONDENTE],O$6,LANÇ_MOV[EMPRESA],$C$4,LANÇ_MOV[CENTRO DE CUSTOS],$D$4)</f>
        <v>0</v>
      </c>
      <c r="P105" s="207">
        <f t="shared" si="23"/>
        <v>0</v>
      </c>
      <c r="Q105" s="333">
        <v>2.6000000000000001E-6</v>
      </c>
      <c r="R105" s="346">
        <f t="shared" si="24"/>
        <v>2.6000000000000001E-6</v>
      </c>
      <c r="S105" s="347" t="str">
        <f t="shared" si="25"/>
        <v>-</v>
      </c>
      <c r="T105" s="347">
        <f t="shared" si="26"/>
        <v>0</v>
      </c>
      <c r="U105" s="347">
        <f>HLOOKUP(Apoio!$P$12,$D$29:$P$130,X105,FALSE)+Q105</f>
        <v>2.6000000000000001E-6</v>
      </c>
      <c r="V105" s="447" t="str">
        <f t="shared" si="27"/>
        <v>-</v>
      </c>
      <c r="W105" s="448">
        <f>HLOOKUP(Apoio!$P$12,$D$29:$P$130,X105,FALSE)</f>
        <v>0</v>
      </c>
      <c r="X105" s="329">
        <v>77</v>
      </c>
    </row>
    <row r="106" spans="2:24" ht="30.05" customHeight="1" x14ac:dyDescent="0.35">
      <c r="B106" s="204" t="str">
        <f>'CAD_PL_REC-DESP'!B80</f>
        <v>1.1.76</v>
      </c>
      <c r="C106" s="205" t="str">
        <f>IF('CAD_PL_REC-DESP'!C80="","-",'CAD_PL_REC-DESP'!C80)</f>
        <v>-</v>
      </c>
      <c r="D106" s="206">
        <f>SUMIFS(LANÇ_MOV[VALOR LÍQUIDO],LANÇ_MOV[RECEITA OU DESPESA],"Receita",LANÇ_MOV[CONTAS],$C106,LANÇ_MOV[PLANO DE CONTAS],REL_DRE_FINANCEIRO!$B$30,LANÇ_MOV[ANO PAGAMENTO],$B$4,LANÇ_MOV[MÊS PAGAMENTO CORRESPONDENTE],D$6,LANÇ_MOV[EMPRESA],$C$4,LANÇ_MOV[CENTRO DE CUSTOS],$D$4)</f>
        <v>0</v>
      </c>
      <c r="E106" s="206">
        <f>SUMIFS(LANÇ_MOV[VALOR LÍQUIDO],LANÇ_MOV[RECEITA OU DESPESA],"Receita",LANÇ_MOV[CONTAS],$C106,LANÇ_MOV[PLANO DE CONTAS],REL_DRE_FINANCEIRO!$B$30,LANÇ_MOV[ANO PAGAMENTO],$B$4,LANÇ_MOV[MÊS PAGAMENTO CORRESPONDENTE],E$6,LANÇ_MOV[EMPRESA],$C$4,LANÇ_MOV[CENTRO DE CUSTOS],$D$4)</f>
        <v>0</v>
      </c>
      <c r="F106" s="206">
        <f>SUMIFS(LANÇ_MOV[VALOR LÍQUIDO],LANÇ_MOV[RECEITA OU DESPESA],"Receita",LANÇ_MOV[CONTAS],$C106,LANÇ_MOV[PLANO DE CONTAS],REL_DRE_FINANCEIRO!$B$30,LANÇ_MOV[ANO PAGAMENTO],$B$4,LANÇ_MOV[MÊS PAGAMENTO CORRESPONDENTE],F$6,LANÇ_MOV[EMPRESA],$C$4,LANÇ_MOV[CENTRO DE CUSTOS],$D$4)</f>
        <v>0</v>
      </c>
      <c r="G106" s="206">
        <f>SUMIFS(LANÇ_MOV[VALOR LÍQUIDO],LANÇ_MOV[RECEITA OU DESPESA],"Receita",LANÇ_MOV[CONTAS],$C106,LANÇ_MOV[PLANO DE CONTAS],REL_DRE_FINANCEIRO!$B$30,LANÇ_MOV[ANO PAGAMENTO],$B$4,LANÇ_MOV[MÊS PAGAMENTO CORRESPONDENTE],G$6,LANÇ_MOV[EMPRESA],$C$4,LANÇ_MOV[CENTRO DE CUSTOS],$D$4)</f>
        <v>0</v>
      </c>
      <c r="H106" s="206">
        <f>SUMIFS(LANÇ_MOV[VALOR LÍQUIDO],LANÇ_MOV[RECEITA OU DESPESA],"Receita",LANÇ_MOV[CONTAS],$C106,LANÇ_MOV[PLANO DE CONTAS],REL_DRE_FINANCEIRO!$B$30,LANÇ_MOV[ANO PAGAMENTO],$B$4,LANÇ_MOV[MÊS PAGAMENTO CORRESPONDENTE],H$6,LANÇ_MOV[EMPRESA],$C$4,LANÇ_MOV[CENTRO DE CUSTOS],$D$4)</f>
        <v>0</v>
      </c>
      <c r="I106" s="206">
        <f>SUMIFS(LANÇ_MOV[VALOR LÍQUIDO],LANÇ_MOV[RECEITA OU DESPESA],"Receita",LANÇ_MOV[CONTAS],$C106,LANÇ_MOV[PLANO DE CONTAS],REL_DRE_FINANCEIRO!$B$30,LANÇ_MOV[ANO PAGAMENTO],$B$4,LANÇ_MOV[MÊS PAGAMENTO CORRESPONDENTE],I$6,LANÇ_MOV[EMPRESA],$C$4,LANÇ_MOV[CENTRO DE CUSTOS],$D$4)</f>
        <v>0</v>
      </c>
      <c r="J106" s="206">
        <f>SUMIFS(LANÇ_MOV[VALOR LÍQUIDO],LANÇ_MOV[RECEITA OU DESPESA],"Receita",LANÇ_MOV[CONTAS],$C106,LANÇ_MOV[PLANO DE CONTAS],REL_DRE_FINANCEIRO!$B$30,LANÇ_MOV[ANO PAGAMENTO],$B$4,LANÇ_MOV[MÊS PAGAMENTO CORRESPONDENTE],J$6,LANÇ_MOV[EMPRESA],$C$4,LANÇ_MOV[CENTRO DE CUSTOS],$D$4)</f>
        <v>0</v>
      </c>
      <c r="K106" s="206">
        <f>SUMIFS(LANÇ_MOV[VALOR LÍQUIDO],LANÇ_MOV[RECEITA OU DESPESA],"Receita",LANÇ_MOV[CONTAS],$C106,LANÇ_MOV[PLANO DE CONTAS],REL_DRE_FINANCEIRO!$B$30,LANÇ_MOV[ANO PAGAMENTO],$B$4,LANÇ_MOV[MÊS PAGAMENTO CORRESPONDENTE],K$6,LANÇ_MOV[EMPRESA],$C$4,LANÇ_MOV[CENTRO DE CUSTOS],$D$4)</f>
        <v>0</v>
      </c>
      <c r="L106" s="206">
        <f>SUMIFS(LANÇ_MOV[VALOR LÍQUIDO],LANÇ_MOV[RECEITA OU DESPESA],"Receita",LANÇ_MOV[CONTAS],$C106,LANÇ_MOV[PLANO DE CONTAS],REL_DRE_FINANCEIRO!$B$30,LANÇ_MOV[ANO PAGAMENTO],$B$4,LANÇ_MOV[MÊS PAGAMENTO CORRESPONDENTE],L$6,LANÇ_MOV[EMPRESA],$C$4,LANÇ_MOV[CENTRO DE CUSTOS],$D$4)</f>
        <v>0</v>
      </c>
      <c r="M106" s="206">
        <f>SUMIFS(LANÇ_MOV[VALOR LÍQUIDO],LANÇ_MOV[RECEITA OU DESPESA],"Receita",LANÇ_MOV[CONTAS],$C106,LANÇ_MOV[PLANO DE CONTAS],REL_DRE_FINANCEIRO!$B$30,LANÇ_MOV[ANO PAGAMENTO],$B$4,LANÇ_MOV[MÊS PAGAMENTO CORRESPONDENTE],M$6,LANÇ_MOV[EMPRESA],$C$4,LANÇ_MOV[CENTRO DE CUSTOS],$D$4)</f>
        <v>0</v>
      </c>
      <c r="N106" s="206">
        <f>SUMIFS(LANÇ_MOV[VALOR LÍQUIDO],LANÇ_MOV[RECEITA OU DESPESA],"Receita",LANÇ_MOV[CONTAS],$C106,LANÇ_MOV[PLANO DE CONTAS],REL_DRE_FINANCEIRO!$B$30,LANÇ_MOV[ANO PAGAMENTO],$B$4,LANÇ_MOV[MÊS PAGAMENTO CORRESPONDENTE],N$6,LANÇ_MOV[EMPRESA],$C$4,LANÇ_MOV[CENTRO DE CUSTOS],$D$4)</f>
        <v>0</v>
      </c>
      <c r="O106" s="206">
        <f>SUMIFS(LANÇ_MOV[VALOR LÍQUIDO],LANÇ_MOV[RECEITA OU DESPESA],"Receita",LANÇ_MOV[CONTAS],$C106,LANÇ_MOV[PLANO DE CONTAS],REL_DRE_FINANCEIRO!$B$30,LANÇ_MOV[ANO PAGAMENTO],$B$4,LANÇ_MOV[MÊS PAGAMENTO CORRESPONDENTE],O$6,LANÇ_MOV[EMPRESA],$C$4,LANÇ_MOV[CENTRO DE CUSTOS],$D$4)</f>
        <v>0</v>
      </c>
      <c r="P106" s="207">
        <f t="shared" si="23"/>
        <v>0</v>
      </c>
      <c r="Q106" s="333">
        <v>2.5000000000000002E-6</v>
      </c>
      <c r="R106" s="346">
        <f t="shared" si="24"/>
        <v>2.5000000000000002E-6</v>
      </c>
      <c r="S106" s="347" t="str">
        <f t="shared" si="25"/>
        <v>-</v>
      </c>
      <c r="T106" s="347">
        <f t="shared" si="26"/>
        <v>0</v>
      </c>
      <c r="U106" s="347">
        <f>HLOOKUP(Apoio!$P$12,$D$29:$P$130,X106,FALSE)+Q106</f>
        <v>2.5000000000000002E-6</v>
      </c>
      <c r="V106" s="447" t="str">
        <f t="shared" si="27"/>
        <v>-</v>
      </c>
      <c r="W106" s="448">
        <f>HLOOKUP(Apoio!$P$12,$D$29:$P$130,X106,FALSE)</f>
        <v>0</v>
      </c>
      <c r="X106" s="329">
        <v>78</v>
      </c>
    </row>
    <row r="107" spans="2:24" ht="30.05" customHeight="1" x14ac:dyDescent="0.35">
      <c r="B107" s="204" t="str">
        <f>'CAD_PL_REC-DESP'!B81</f>
        <v>1.1.77</v>
      </c>
      <c r="C107" s="205" t="str">
        <f>IF('CAD_PL_REC-DESP'!C81="","-",'CAD_PL_REC-DESP'!C81)</f>
        <v>-</v>
      </c>
      <c r="D107" s="206">
        <f>SUMIFS(LANÇ_MOV[VALOR LÍQUIDO],LANÇ_MOV[RECEITA OU DESPESA],"Receita",LANÇ_MOV[CONTAS],$C107,LANÇ_MOV[PLANO DE CONTAS],REL_DRE_FINANCEIRO!$B$30,LANÇ_MOV[ANO PAGAMENTO],$B$4,LANÇ_MOV[MÊS PAGAMENTO CORRESPONDENTE],D$6,LANÇ_MOV[EMPRESA],$C$4,LANÇ_MOV[CENTRO DE CUSTOS],$D$4)</f>
        <v>0</v>
      </c>
      <c r="E107" s="206">
        <f>SUMIFS(LANÇ_MOV[VALOR LÍQUIDO],LANÇ_MOV[RECEITA OU DESPESA],"Receita",LANÇ_MOV[CONTAS],$C107,LANÇ_MOV[PLANO DE CONTAS],REL_DRE_FINANCEIRO!$B$30,LANÇ_MOV[ANO PAGAMENTO],$B$4,LANÇ_MOV[MÊS PAGAMENTO CORRESPONDENTE],E$6,LANÇ_MOV[EMPRESA],$C$4,LANÇ_MOV[CENTRO DE CUSTOS],$D$4)</f>
        <v>0</v>
      </c>
      <c r="F107" s="206">
        <f>SUMIFS(LANÇ_MOV[VALOR LÍQUIDO],LANÇ_MOV[RECEITA OU DESPESA],"Receita",LANÇ_MOV[CONTAS],$C107,LANÇ_MOV[PLANO DE CONTAS],REL_DRE_FINANCEIRO!$B$30,LANÇ_MOV[ANO PAGAMENTO],$B$4,LANÇ_MOV[MÊS PAGAMENTO CORRESPONDENTE],F$6,LANÇ_MOV[EMPRESA],$C$4,LANÇ_MOV[CENTRO DE CUSTOS],$D$4)</f>
        <v>0</v>
      </c>
      <c r="G107" s="206">
        <f>SUMIFS(LANÇ_MOV[VALOR LÍQUIDO],LANÇ_MOV[RECEITA OU DESPESA],"Receita",LANÇ_MOV[CONTAS],$C107,LANÇ_MOV[PLANO DE CONTAS],REL_DRE_FINANCEIRO!$B$30,LANÇ_MOV[ANO PAGAMENTO],$B$4,LANÇ_MOV[MÊS PAGAMENTO CORRESPONDENTE],G$6,LANÇ_MOV[EMPRESA],$C$4,LANÇ_MOV[CENTRO DE CUSTOS],$D$4)</f>
        <v>0</v>
      </c>
      <c r="H107" s="206">
        <f>SUMIFS(LANÇ_MOV[VALOR LÍQUIDO],LANÇ_MOV[RECEITA OU DESPESA],"Receita",LANÇ_MOV[CONTAS],$C107,LANÇ_MOV[PLANO DE CONTAS],REL_DRE_FINANCEIRO!$B$30,LANÇ_MOV[ANO PAGAMENTO],$B$4,LANÇ_MOV[MÊS PAGAMENTO CORRESPONDENTE],H$6,LANÇ_MOV[EMPRESA],$C$4,LANÇ_MOV[CENTRO DE CUSTOS],$D$4)</f>
        <v>0</v>
      </c>
      <c r="I107" s="206">
        <f>SUMIFS(LANÇ_MOV[VALOR LÍQUIDO],LANÇ_MOV[RECEITA OU DESPESA],"Receita",LANÇ_MOV[CONTAS],$C107,LANÇ_MOV[PLANO DE CONTAS],REL_DRE_FINANCEIRO!$B$30,LANÇ_MOV[ANO PAGAMENTO],$B$4,LANÇ_MOV[MÊS PAGAMENTO CORRESPONDENTE],I$6,LANÇ_MOV[EMPRESA],$C$4,LANÇ_MOV[CENTRO DE CUSTOS],$D$4)</f>
        <v>0</v>
      </c>
      <c r="J107" s="206">
        <f>SUMIFS(LANÇ_MOV[VALOR LÍQUIDO],LANÇ_MOV[RECEITA OU DESPESA],"Receita",LANÇ_MOV[CONTAS],$C107,LANÇ_MOV[PLANO DE CONTAS],REL_DRE_FINANCEIRO!$B$30,LANÇ_MOV[ANO PAGAMENTO],$B$4,LANÇ_MOV[MÊS PAGAMENTO CORRESPONDENTE],J$6,LANÇ_MOV[EMPRESA],$C$4,LANÇ_MOV[CENTRO DE CUSTOS],$D$4)</f>
        <v>0</v>
      </c>
      <c r="K107" s="206">
        <f>SUMIFS(LANÇ_MOV[VALOR LÍQUIDO],LANÇ_MOV[RECEITA OU DESPESA],"Receita",LANÇ_MOV[CONTAS],$C107,LANÇ_MOV[PLANO DE CONTAS],REL_DRE_FINANCEIRO!$B$30,LANÇ_MOV[ANO PAGAMENTO],$B$4,LANÇ_MOV[MÊS PAGAMENTO CORRESPONDENTE],K$6,LANÇ_MOV[EMPRESA],$C$4,LANÇ_MOV[CENTRO DE CUSTOS],$D$4)</f>
        <v>0</v>
      </c>
      <c r="L107" s="206">
        <f>SUMIFS(LANÇ_MOV[VALOR LÍQUIDO],LANÇ_MOV[RECEITA OU DESPESA],"Receita",LANÇ_MOV[CONTAS],$C107,LANÇ_MOV[PLANO DE CONTAS],REL_DRE_FINANCEIRO!$B$30,LANÇ_MOV[ANO PAGAMENTO],$B$4,LANÇ_MOV[MÊS PAGAMENTO CORRESPONDENTE],L$6,LANÇ_MOV[EMPRESA],$C$4,LANÇ_MOV[CENTRO DE CUSTOS],$D$4)</f>
        <v>0</v>
      </c>
      <c r="M107" s="206">
        <f>SUMIFS(LANÇ_MOV[VALOR LÍQUIDO],LANÇ_MOV[RECEITA OU DESPESA],"Receita",LANÇ_MOV[CONTAS],$C107,LANÇ_MOV[PLANO DE CONTAS],REL_DRE_FINANCEIRO!$B$30,LANÇ_MOV[ANO PAGAMENTO],$B$4,LANÇ_MOV[MÊS PAGAMENTO CORRESPONDENTE],M$6,LANÇ_MOV[EMPRESA],$C$4,LANÇ_MOV[CENTRO DE CUSTOS],$D$4)</f>
        <v>0</v>
      </c>
      <c r="N107" s="206">
        <f>SUMIFS(LANÇ_MOV[VALOR LÍQUIDO],LANÇ_MOV[RECEITA OU DESPESA],"Receita",LANÇ_MOV[CONTAS],$C107,LANÇ_MOV[PLANO DE CONTAS],REL_DRE_FINANCEIRO!$B$30,LANÇ_MOV[ANO PAGAMENTO],$B$4,LANÇ_MOV[MÊS PAGAMENTO CORRESPONDENTE],N$6,LANÇ_MOV[EMPRESA],$C$4,LANÇ_MOV[CENTRO DE CUSTOS],$D$4)</f>
        <v>0</v>
      </c>
      <c r="O107" s="206">
        <f>SUMIFS(LANÇ_MOV[VALOR LÍQUIDO],LANÇ_MOV[RECEITA OU DESPESA],"Receita",LANÇ_MOV[CONTAS],$C107,LANÇ_MOV[PLANO DE CONTAS],REL_DRE_FINANCEIRO!$B$30,LANÇ_MOV[ANO PAGAMENTO],$B$4,LANÇ_MOV[MÊS PAGAMENTO CORRESPONDENTE],O$6,LANÇ_MOV[EMPRESA],$C$4,LANÇ_MOV[CENTRO DE CUSTOS],$D$4)</f>
        <v>0</v>
      </c>
      <c r="P107" s="207">
        <f t="shared" si="23"/>
        <v>0</v>
      </c>
      <c r="Q107" s="333">
        <v>2.3999999999999999E-6</v>
      </c>
      <c r="R107" s="346">
        <f t="shared" si="24"/>
        <v>2.3999999999999999E-6</v>
      </c>
      <c r="S107" s="347" t="str">
        <f t="shared" si="25"/>
        <v>-</v>
      </c>
      <c r="T107" s="347">
        <f t="shared" si="26"/>
        <v>0</v>
      </c>
      <c r="U107" s="347">
        <f>HLOOKUP(Apoio!$P$12,$D$29:$P$130,X107,FALSE)+Q107</f>
        <v>2.3999999999999999E-6</v>
      </c>
      <c r="V107" s="447" t="str">
        <f t="shared" si="27"/>
        <v>-</v>
      </c>
      <c r="W107" s="448">
        <f>HLOOKUP(Apoio!$P$12,$D$29:$P$130,X107,FALSE)</f>
        <v>0</v>
      </c>
      <c r="X107" s="329">
        <v>79</v>
      </c>
    </row>
    <row r="108" spans="2:24" ht="30.05" customHeight="1" x14ac:dyDescent="0.35">
      <c r="B108" s="204" t="str">
        <f>'CAD_PL_REC-DESP'!B82</f>
        <v>1.1.78</v>
      </c>
      <c r="C108" s="205" t="str">
        <f>IF('CAD_PL_REC-DESP'!C82="","-",'CAD_PL_REC-DESP'!C82)</f>
        <v>-</v>
      </c>
      <c r="D108" s="206">
        <f>SUMIFS(LANÇ_MOV[VALOR LÍQUIDO],LANÇ_MOV[RECEITA OU DESPESA],"Receita",LANÇ_MOV[CONTAS],$C108,LANÇ_MOV[PLANO DE CONTAS],REL_DRE_FINANCEIRO!$B$30,LANÇ_MOV[ANO PAGAMENTO],$B$4,LANÇ_MOV[MÊS PAGAMENTO CORRESPONDENTE],D$6,LANÇ_MOV[EMPRESA],$C$4,LANÇ_MOV[CENTRO DE CUSTOS],$D$4)</f>
        <v>0</v>
      </c>
      <c r="E108" s="206">
        <f>SUMIFS(LANÇ_MOV[VALOR LÍQUIDO],LANÇ_MOV[RECEITA OU DESPESA],"Receita",LANÇ_MOV[CONTAS],$C108,LANÇ_MOV[PLANO DE CONTAS],REL_DRE_FINANCEIRO!$B$30,LANÇ_MOV[ANO PAGAMENTO],$B$4,LANÇ_MOV[MÊS PAGAMENTO CORRESPONDENTE],E$6,LANÇ_MOV[EMPRESA],$C$4,LANÇ_MOV[CENTRO DE CUSTOS],$D$4)</f>
        <v>0</v>
      </c>
      <c r="F108" s="206">
        <f>SUMIFS(LANÇ_MOV[VALOR LÍQUIDO],LANÇ_MOV[RECEITA OU DESPESA],"Receita",LANÇ_MOV[CONTAS],$C108,LANÇ_MOV[PLANO DE CONTAS],REL_DRE_FINANCEIRO!$B$30,LANÇ_MOV[ANO PAGAMENTO],$B$4,LANÇ_MOV[MÊS PAGAMENTO CORRESPONDENTE],F$6,LANÇ_MOV[EMPRESA],$C$4,LANÇ_MOV[CENTRO DE CUSTOS],$D$4)</f>
        <v>0</v>
      </c>
      <c r="G108" s="206">
        <f>SUMIFS(LANÇ_MOV[VALOR LÍQUIDO],LANÇ_MOV[RECEITA OU DESPESA],"Receita",LANÇ_MOV[CONTAS],$C108,LANÇ_MOV[PLANO DE CONTAS],REL_DRE_FINANCEIRO!$B$30,LANÇ_MOV[ANO PAGAMENTO],$B$4,LANÇ_MOV[MÊS PAGAMENTO CORRESPONDENTE],G$6,LANÇ_MOV[EMPRESA],$C$4,LANÇ_MOV[CENTRO DE CUSTOS],$D$4)</f>
        <v>0</v>
      </c>
      <c r="H108" s="206">
        <f>SUMIFS(LANÇ_MOV[VALOR LÍQUIDO],LANÇ_MOV[RECEITA OU DESPESA],"Receita",LANÇ_MOV[CONTAS],$C108,LANÇ_MOV[PLANO DE CONTAS],REL_DRE_FINANCEIRO!$B$30,LANÇ_MOV[ANO PAGAMENTO],$B$4,LANÇ_MOV[MÊS PAGAMENTO CORRESPONDENTE],H$6,LANÇ_MOV[EMPRESA],$C$4,LANÇ_MOV[CENTRO DE CUSTOS],$D$4)</f>
        <v>0</v>
      </c>
      <c r="I108" s="206">
        <f>SUMIFS(LANÇ_MOV[VALOR LÍQUIDO],LANÇ_MOV[RECEITA OU DESPESA],"Receita",LANÇ_MOV[CONTAS],$C108,LANÇ_MOV[PLANO DE CONTAS],REL_DRE_FINANCEIRO!$B$30,LANÇ_MOV[ANO PAGAMENTO],$B$4,LANÇ_MOV[MÊS PAGAMENTO CORRESPONDENTE],I$6,LANÇ_MOV[EMPRESA],$C$4,LANÇ_MOV[CENTRO DE CUSTOS],$D$4)</f>
        <v>0</v>
      </c>
      <c r="J108" s="206">
        <f>SUMIFS(LANÇ_MOV[VALOR LÍQUIDO],LANÇ_MOV[RECEITA OU DESPESA],"Receita",LANÇ_MOV[CONTAS],$C108,LANÇ_MOV[PLANO DE CONTAS],REL_DRE_FINANCEIRO!$B$30,LANÇ_MOV[ANO PAGAMENTO],$B$4,LANÇ_MOV[MÊS PAGAMENTO CORRESPONDENTE],J$6,LANÇ_MOV[EMPRESA],$C$4,LANÇ_MOV[CENTRO DE CUSTOS],$D$4)</f>
        <v>0</v>
      </c>
      <c r="K108" s="206">
        <f>SUMIFS(LANÇ_MOV[VALOR LÍQUIDO],LANÇ_MOV[RECEITA OU DESPESA],"Receita",LANÇ_MOV[CONTAS],$C108,LANÇ_MOV[PLANO DE CONTAS],REL_DRE_FINANCEIRO!$B$30,LANÇ_MOV[ANO PAGAMENTO],$B$4,LANÇ_MOV[MÊS PAGAMENTO CORRESPONDENTE],K$6,LANÇ_MOV[EMPRESA],$C$4,LANÇ_MOV[CENTRO DE CUSTOS],$D$4)</f>
        <v>0</v>
      </c>
      <c r="L108" s="206">
        <f>SUMIFS(LANÇ_MOV[VALOR LÍQUIDO],LANÇ_MOV[RECEITA OU DESPESA],"Receita",LANÇ_MOV[CONTAS],$C108,LANÇ_MOV[PLANO DE CONTAS],REL_DRE_FINANCEIRO!$B$30,LANÇ_MOV[ANO PAGAMENTO],$B$4,LANÇ_MOV[MÊS PAGAMENTO CORRESPONDENTE],L$6,LANÇ_MOV[EMPRESA],$C$4,LANÇ_MOV[CENTRO DE CUSTOS],$D$4)</f>
        <v>0</v>
      </c>
      <c r="M108" s="206">
        <f>SUMIFS(LANÇ_MOV[VALOR LÍQUIDO],LANÇ_MOV[RECEITA OU DESPESA],"Receita",LANÇ_MOV[CONTAS],$C108,LANÇ_MOV[PLANO DE CONTAS],REL_DRE_FINANCEIRO!$B$30,LANÇ_MOV[ANO PAGAMENTO],$B$4,LANÇ_MOV[MÊS PAGAMENTO CORRESPONDENTE],M$6,LANÇ_MOV[EMPRESA],$C$4,LANÇ_MOV[CENTRO DE CUSTOS],$D$4)</f>
        <v>0</v>
      </c>
      <c r="N108" s="206">
        <f>SUMIFS(LANÇ_MOV[VALOR LÍQUIDO],LANÇ_MOV[RECEITA OU DESPESA],"Receita",LANÇ_MOV[CONTAS],$C108,LANÇ_MOV[PLANO DE CONTAS],REL_DRE_FINANCEIRO!$B$30,LANÇ_MOV[ANO PAGAMENTO],$B$4,LANÇ_MOV[MÊS PAGAMENTO CORRESPONDENTE],N$6,LANÇ_MOV[EMPRESA],$C$4,LANÇ_MOV[CENTRO DE CUSTOS],$D$4)</f>
        <v>0</v>
      </c>
      <c r="O108" s="206">
        <f>SUMIFS(LANÇ_MOV[VALOR LÍQUIDO],LANÇ_MOV[RECEITA OU DESPESA],"Receita",LANÇ_MOV[CONTAS],$C108,LANÇ_MOV[PLANO DE CONTAS],REL_DRE_FINANCEIRO!$B$30,LANÇ_MOV[ANO PAGAMENTO],$B$4,LANÇ_MOV[MÊS PAGAMENTO CORRESPONDENTE],O$6,LANÇ_MOV[EMPRESA],$C$4,LANÇ_MOV[CENTRO DE CUSTOS],$D$4)</f>
        <v>0</v>
      </c>
      <c r="P108" s="207">
        <f t="shared" si="23"/>
        <v>0</v>
      </c>
      <c r="Q108" s="333">
        <v>2.3E-6</v>
      </c>
      <c r="R108" s="346">
        <f t="shared" si="24"/>
        <v>2.3E-6</v>
      </c>
      <c r="S108" s="347" t="str">
        <f t="shared" si="25"/>
        <v>-</v>
      </c>
      <c r="T108" s="347">
        <f t="shared" si="26"/>
        <v>0</v>
      </c>
      <c r="U108" s="347">
        <f>HLOOKUP(Apoio!$P$12,$D$29:$P$130,X108,FALSE)+Q108</f>
        <v>2.3E-6</v>
      </c>
      <c r="V108" s="447" t="str">
        <f t="shared" si="27"/>
        <v>-</v>
      </c>
      <c r="W108" s="448">
        <f>HLOOKUP(Apoio!$P$12,$D$29:$P$130,X108,FALSE)</f>
        <v>0</v>
      </c>
      <c r="X108" s="329">
        <v>80</v>
      </c>
    </row>
    <row r="109" spans="2:24" ht="30.05" customHeight="1" x14ac:dyDescent="0.35">
      <c r="B109" s="204" t="str">
        <f>'CAD_PL_REC-DESP'!B83</f>
        <v>1.1.79</v>
      </c>
      <c r="C109" s="205" t="str">
        <f>IF('CAD_PL_REC-DESP'!C83="","-",'CAD_PL_REC-DESP'!C83)</f>
        <v>-</v>
      </c>
      <c r="D109" s="206">
        <f>SUMIFS(LANÇ_MOV[VALOR LÍQUIDO],LANÇ_MOV[RECEITA OU DESPESA],"Receita",LANÇ_MOV[CONTAS],$C109,LANÇ_MOV[PLANO DE CONTAS],REL_DRE_FINANCEIRO!$B$30,LANÇ_MOV[ANO PAGAMENTO],$B$4,LANÇ_MOV[MÊS PAGAMENTO CORRESPONDENTE],D$6,LANÇ_MOV[EMPRESA],$C$4,LANÇ_MOV[CENTRO DE CUSTOS],$D$4)</f>
        <v>0</v>
      </c>
      <c r="E109" s="206">
        <f>SUMIFS(LANÇ_MOV[VALOR LÍQUIDO],LANÇ_MOV[RECEITA OU DESPESA],"Receita",LANÇ_MOV[CONTAS],$C109,LANÇ_MOV[PLANO DE CONTAS],REL_DRE_FINANCEIRO!$B$30,LANÇ_MOV[ANO PAGAMENTO],$B$4,LANÇ_MOV[MÊS PAGAMENTO CORRESPONDENTE],E$6,LANÇ_MOV[EMPRESA],$C$4,LANÇ_MOV[CENTRO DE CUSTOS],$D$4)</f>
        <v>0</v>
      </c>
      <c r="F109" s="206">
        <f>SUMIFS(LANÇ_MOV[VALOR LÍQUIDO],LANÇ_MOV[RECEITA OU DESPESA],"Receita",LANÇ_MOV[CONTAS],$C109,LANÇ_MOV[PLANO DE CONTAS],REL_DRE_FINANCEIRO!$B$30,LANÇ_MOV[ANO PAGAMENTO],$B$4,LANÇ_MOV[MÊS PAGAMENTO CORRESPONDENTE],F$6,LANÇ_MOV[EMPRESA],$C$4,LANÇ_MOV[CENTRO DE CUSTOS],$D$4)</f>
        <v>0</v>
      </c>
      <c r="G109" s="206">
        <f>SUMIFS(LANÇ_MOV[VALOR LÍQUIDO],LANÇ_MOV[RECEITA OU DESPESA],"Receita",LANÇ_MOV[CONTAS],$C109,LANÇ_MOV[PLANO DE CONTAS],REL_DRE_FINANCEIRO!$B$30,LANÇ_MOV[ANO PAGAMENTO],$B$4,LANÇ_MOV[MÊS PAGAMENTO CORRESPONDENTE],G$6,LANÇ_MOV[EMPRESA],$C$4,LANÇ_MOV[CENTRO DE CUSTOS],$D$4)</f>
        <v>0</v>
      </c>
      <c r="H109" s="206">
        <f>SUMIFS(LANÇ_MOV[VALOR LÍQUIDO],LANÇ_MOV[RECEITA OU DESPESA],"Receita",LANÇ_MOV[CONTAS],$C109,LANÇ_MOV[PLANO DE CONTAS],REL_DRE_FINANCEIRO!$B$30,LANÇ_MOV[ANO PAGAMENTO],$B$4,LANÇ_MOV[MÊS PAGAMENTO CORRESPONDENTE],H$6,LANÇ_MOV[EMPRESA],$C$4,LANÇ_MOV[CENTRO DE CUSTOS],$D$4)</f>
        <v>0</v>
      </c>
      <c r="I109" s="206">
        <f>SUMIFS(LANÇ_MOV[VALOR LÍQUIDO],LANÇ_MOV[RECEITA OU DESPESA],"Receita",LANÇ_MOV[CONTAS],$C109,LANÇ_MOV[PLANO DE CONTAS],REL_DRE_FINANCEIRO!$B$30,LANÇ_MOV[ANO PAGAMENTO],$B$4,LANÇ_MOV[MÊS PAGAMENTO CORRESPONDENTE],I$6,LANÇ_MOV[EMPRESA],$C$4,LANÇ_MOV[CENTRO DE CUSTOS],$D$4)</f>
        <v>0</v>
      </c>
      <c r="J109" s="206">
        <f>SUMIFS(LANÇ_MOV[VALOR LÍQUIDO],LANÇ_MOV[RECEITA OU DESPESA],"Receita",LANÇ_MOV[CONTAS],$C109,LANÇ_MOV[PLANO DE CONTAS],REL_DRE_FINANCEIRO!$B$30,LANÇ_MOV[ANO PAGAMENTO],$B$4,LANÇ_MOV[MÊS PAGAMENTO CORRESPONDENTE],J$6,LANÇ_MOV[EMPRESA],$C$4,LANÇ_MOV[CENTRO DE CUSTOS],$D$4)</f>
        <v>0</v>
      </c>
      <c r="K109" s="206">
        <f>SUMIFS(LANÇ_MOV[VALOR LÍQUIDO],LANÇ_MOV[RECEITA OU DESPESA],"Receita",LANÇ_MOV[CONTAS],$C109,LANÇ_MOV[PLANO DE CONTAS],REL_DRE_FINANCEIRO!$B$30,LANÇ_MOV[ANO PAGAMENTO],$B$4,LANÇ_MOV[MÊS PAGAMENTO CORRESPONDENTE],K$6,LANÇ_MOV[EMPRESA],$C$4,LANÇ_MOV[CENTRO DE CUSTOS],$D$4)</f>
        <v>0</v>
      </c>
      <c r="L109" s="206">
        <f>SUMIFS(LANÇ_MOV[VALOR LÍQUIDO],LANÇ_MOV[RECEITA OU DESPESA],"Receita",LANÇ_MOV[CONTAS],$C109,LANÇ_MOV[PLANO DE CONTAS],REL_DRE_FINANCEIRO!$B$30,LANÇ_MOV[ANO PAGAMENTO],$B$4,LANÇ_MOV[MÊS PAGAMENTO CORRESPONDENTE],L$6,LANÇ_MOV[EMPRESA],$C$4,LANÇ_MOV[CENTRO DE CUSTOS],$D$4)</f>
        <v>0</v>
      </c>
      <c r="M109" s="206">
        <f>SUMIFS(LANÇ_MOV[VALOR LÍQUIDO],LANÇ_MOV[RECEITA OU DESPESA],"Receita",LANÇ_MOV[CONTAS],$C109,LANÇ_MOV[PLANO DE CONTAS],REL_DRE_FINANCEIRO!$B$30,LANÇ_MOV[ANO PAGAMENTO],$B$4,LANÇ_MOV[MÊS PAGAMENTO CORRESPONDENTE],M$6,LANÇ_MOV[EMPRESA],$C$4,LANÇ_MOV[CENTRO DE CUSTOS],$D$4)</f>
        <v>0</v>
      </c>
      <c r="N109" s="206">
        <f>SUMIFS(LANÇ_MOV[VALOR LÍQUIDO],LANÇ_MOV[RECEITA OU DESPESA],"Receita",LANÇ_MOV[CONTAS],$C109,LANÇ_MOV[PLANO DE CONTAS],REL_DRE_FINANCEIRO!$B$30,LANÇ_MOV[ANO PAGAMENTO],$B$4,LANÇ_MOV[MÊS PAGAMENTO CORRESPONDENTE],N$6,LANÇ_MOV[EMPRESA],$C$4,LANÇ_MOV[CENTRO DE CUSTOS],$D$4)</f>
        <v>0</v>
      </c>
      <c r="O109" s="206">
        <f>SUMIFS(LANÇ_MOV[VALOR LÍQUIDO],LANÇ_MOV[RECEITA OU DESPESA],"Receita",LANÇ_MOV[CONTAS],$C109,LANÇ_MOV[PLANO DE CONTAS],REL_DRE_FINANCEIRO!$B$30,LANÇ_MOV[ANO PAGAMENTO],$B$4,LANÇ_MOV[MÊS PAGAMENTO CORRESPONDENTE],O$6,LANÇ_MOV[EMPRESA],$C$4,LANÇ_MOV[CENTRO DE CUSTOS],$D$4)</f>
        <v>0</v>
      </c>
      <c r="P109" s="207">
        <f t="shared" si="23"/>
        <v>0</v>
      </c>
      <c r="Q109" s="333">
        <v>2.2000000000000001E-6</v>
      </c>
      <c r="R109" s="346">
        <f t="shared" si="24"/>
        <v>2.2000000000000001E-6</v>
      </c>
      <c r="S109" s="347" t="str">
        <f t="shared" si="25"/>
        <v>-</v>
      </c>
      <c r="T109" s="347">
        <f t="shared" si="26"/>
        <v>0</v>
      </c>
      <c r="U109" s="347">
        <f>HLOOKUP(Apoio!$P$12,$D$29:$P$130,X109,FALSE)+Q109</f>
        <v>2.2000000000000001E-6</v>
      </c>
      <c r="V109" s="447" t="str">
        <f t="shared" si="27"/>
        <v>-</v>
      </c>
      <c r="W109" s="448">
        <f>HLOOKUP(Apoio!$P$12,$D$29:$P$130,X109,FALSE)</f>
        <v>0</v>
      </c>
      <c r="X109" s="329">
        <v>81</v>
      </c>
    </row>
    <row r="110" spans="2:24" ht="30.05" customHeight="1" x14ac:dyDescent="0.35">
      <c r="B110" s="204" t="str">
        <f>'CAD_PL_REC-DESP'!B84</f>
        <v>1.1.80</v>
      </c>
      <c r="C110" s="205" t="str">
        <f>IF('CAD_PL_REC-DESP'!C84="","-",'CAD_PL_REC-DESP'!C84)</f>
        <v>-</v>
      </c>
      <c r="D110" s="206">
        <f>SUMIFS(LANÇ_MOV[VALOR LÍQUIDO],LANÇ_MOV[RECEITA OU DESPESA],"Receita",LANÇ_MOV[CONTAS],$C110,LANÇ_MOV[PLANO DE CONTAS],REL_DRE_FINANCEIRO!$B$30,LANÇ_MOV[ANO PAGAMENTO],$B$4,LANÇ_MOV[MÊS PAGAMENTO CORRESPONDENTE],D$6,LANÇ_MOV[EMPRESA],$C$4,LANÇ_MOV[CENTRO DE CUSTOS],$D$4)</f>
        <v>0</v>
      </c>
      <c r="E110" s="206">
        <f>SUMIFS(LANÇ_MOV[VALOR LÍQUIDO],LANÇ_MOV[RECEITA OU DESPESA],"Receita",LANÇ_MOV[CONTAS],$C110,LANÇ_MOV[PLANO DE CONTAS],REL_DRE_FINANCEIRO!$B$30,LANÇ_MOV[ANO PAGAMENTO],$B$4,LANÇ_MOV[MÊS PAGAMENTO CORRESPONDENTE],E$6,LANÇ_MOV[EMPRESA],$C$4,LANÇ_MOV[CENTRO DE CUSTOS],$D$4)</f>
        <v>0</v>
      </c>
      <c r="F110" s="206">
        <f>SUMIFS(LANÇ_MOV[VALOR LÍQUIDO],LANÇ_MOV[RECEITA OU DESPESA],"Receita",LANÇ_MOV[CONTAS],$C110,LANÇ_MOV[PLANO DE CONTAS],REL_DRE_FINANCEIRO!$B$30,LANÇ_MOV[ANO PAGAMENTO],$B$4,LANÇ_MOV[MÊS PAGAMENTO CORRESPONDENTE],F$6,LANÇ_MOV[EMPRESA],$C$4,LANÇ_MOV[CENTRO DE CUSTOS],$D$4)</f>
        <v>0</v>
      </c>
      <c r="G110" s="206">
        <f>SUMIFS(LANÇ_MOV[VALOR LÍQUIDO],LANÇ_MOV[RECEITA OU DESPESA],"Receita",LANÇ_MOV[CONTAS],$C110,LANÇ_MOV[PLANO DE CONTAS],REL_DRE_FINANCEIRO!$B$30,LANÇ_MOV[ANO PAGAMENTO],$B$4,LANÇ_MOV[MÊS PAGAMENTO CORRESPONDENTE],G$6,LANÇ_MOV[EMPRESA],$C$4,LANÇ_MOV[CENTRO DE CUSTOS],$D$4)</f>
        <v>0</v>
      </c>
      <c r="H110" s="206">
        <f>SUMIFS(LANÇ_MOV[VALOR LÍQUIDO],LANÇ_MOV[RECEITA OU DESPESA],"Receita",LANÇ_MOV[CONTAS],$C110,LANÇ_MOV[PLANO DE CONTAS],REL_DRE_FINANCEIRO!$B$30,LANÇ_MOV[ANO PAGAMENTO],$B$4,LANÇ_MOV[MÊS PAGAMENTO CORRESPONDENTE],H$6,LANÇ_MOV[EMPRESA],$C$4,LANÇ_MOV[CENTRO DE CUSTOS],$D$4)</f>
        <v>0</v>
      </c>
      <c r="I110" s="206">
        <f>SUMIFS(LANÇ_MOV[VALOR LÍQUIDO],LANÇ_MOV[RECEITA OU DESPESA],"Receita",LANÇ_MOV[CONTAS],$C110,LANÇ_MOV[PLANO DE CONTAS],REL_DRE_FINANCEIRO!$B$30,LANÇ_MOV[ANO PAGAMENTO],$B$4,LANÇ_MOV[MÊS PAGAMENTO CORRESPONDENTE],I$6,LANÇ_MOV[EMPRESA],$C$4,LANÇ_MOV[CENTRO DE CUSTOS],$D$4)</f>
        <v>0</v>
      </c>
      <c r="J110" s="206">
        <f>SUMIFS(LANÇ_MOV[VALOR LÍQUIDO],LANÇ_MOV[RECEITA OU DESPESA],"Receita",LANÇ_MOV[CONTAS],$C110,LANÇ_MOV[PLANO DE CONTAS],REL_DRE_FINANCEIRO!$B$30,LANÇ_MOV[ANO PAGAMENTO],$B$4,LANÇ_MOV[MÊS PAGAMENTO CORRESPONDENTE],J$6,LANÇ_MOV[EMPRESA],$C$4,LANÇ_MOV[CENTRO DE CUSTOS],$D$4)</f>
        <v>0</v>
      </c>
      <c r="K110" s="206">
        <f>SUMIFS(LANÇ_MOV[VALOR LÍQUIDO],LANÇ_MOV[RECEITA OU DESPESA],"Receita",LANÇ_MOV[CONTAS],$C110,LANÇ_MOV[PLANO DE CONTAS],REL_DRE_FINANCEIRO!$B$30,LANÇ_MOV[ANO PAGAMENTO],$B$4,LANÇ_MOV[MÊS PAGAMENTO CORRESPONDENTE],K$6,LANÇ_MOV[EMPRESA],$C$4,LANÇ_MOV[CENTRO DE CUSTOS],$D$4)</f>
        <v>0</v>
      </c>
      <c r="L110" s="206">
        <f>SUMIFS(LANÇ_MOV[VALOR LÍQUIDO],LANÇ_MOV[RECEITA OU DESPESA],"Receita",LANÇ_MOV[CONTAS],$C110,LANÇ_MOV[PLANO DE CONTAS],REL_DRE_FINANCEIRO!$B$30,LANÇ_MOV[ANO PAGAMENTO],$B$4,LANÇ_MOV[MÊS PAGAMENTO CORRESPONDENTE],L$6,LANÇ_MOV[EMPRESA],$C$4,LANÇ_MOV[CENTRO DE CUSTOS],$D$4)</f>
        <v>0</v>
      </c>
      <c r="M110" s="206">
        <f>SUMIFS(LANÇ_MOV[VALOR LÍQUIDO],LANÇ_MOV[RECEITA OU DESPESA],"Receita",LANÇ_MOV[CONTAS],$C110,LANÇ_MOV[PLANO DE CONTAS],REL_DRE_FINANCEIRO!$B$30,LANÇ_MOV[ANO PAGAMENTO],$B$4,LANÇ_MOV[MÊS PAGAMENTO CORRESPONDENTE],M$6,LANÇ_MOV[EMPRESA],$C$4,LANÇ_MOV[CENTRO DE CUSTOS],$D$4)</f>
        <v>0</v>
      </c>
      <c r="N110" s="206">
        <f>SUMIFS(LANÇ_MOV[VALOR LÍQUIDO],LANÇ_MOV[RECEITA OU DESPESA],"Receita",LANÇ_MOV[CONTAS],$C110,LANÇ_MOV[PLANO DE CONTAS],REL_DRE_FINANCEIRO!$B$30,LANÇ_MOV[ANO PAGAMENTO],$B$4,LANÇ_MOV[MÊS PAGAMENTO CORRESPONDENTE],N$6,LANÇ_MOV[EMPRESA],$C$4,LANÇ_MOV[CENTRO DE CUSTOS],$D$4)</f>
        <v>0</v>
      </c>
      <c r="O110" s="206">
        <f>SUMIFS(LANÇ_MOV[VALOR LÍQUIDO],LANÇ_MOV[RECEITA OU DESPESA],"Receita",LANÇ_MOV[CONTAS],$C110,LANÇ_MOV[PLANO DE CONTAS],REL_DRE_FINANCEIRO!$B$30,LANÇ_MOV[ANO PAGAMENTO],$B$4,LANÇ_MOV[MÊS PAGAMENTO CORRESPONDENTE],O$6,LANÇ_MOV[EMPRESA],$C$4,LANÇ_MOV[CENTRO DE CUSTOS],$D$4)</f>
        <v>0</v>
      </c>
      <c r="P110" s="207">
        <f t="shared" si="23"/>
        <v>0</v>
      </c>
      <c r="Q110" s="333">
        <v>2.0999999999999998E-6</v>
      </c>
      <c r="R110" s="346">
        <f t="shared" si="24"/>
        <v>2.0999999999999998E-6</v>
      </c>
      <c r="S110" s="347" t="str">
        <f t="shared" si="25"/>
        <v>-</v>
      </c>
      <c r="T110" s="347">
        <f t="shared" si="26"/>
        <v>0</v>
      </c>
      <c r="U110" s="347">
        <f>HLOOKUP(Apoio!$P$12,$D$29:$P$130,X110,FALSE)+Q110</f>
        <v>2.0999999999999998E-6</v>
      </c>
      <c r="V110" s="447" t="str">
        <f t="shared" si="27"/>
        <v>-</v>
      </c>
      <c r="W110" s="448">
        <f>HLOOKUP(Apoio!$P$12,$D$29:$P$130,X110,FALSE)</f>
        <v>0</v>
      </c>
      <c r="X110" s="329">
        <v>82</v>
      </c>
    </row>
    <row r="111" spans="2:24" ht="30.05" customHeight="1" x14ac:dyDescent="0.35">
      <c r="B111" s="204" t="str">
        <f>'CAD_PL_REC-DESP'!B85</f>
        <v>1.1.81</v>
      </c>
      <c r="C111" s="205" t="str">
        <f>IF('CAD_PL_REC-DESP'!C85="","-",'CAD_PL_REC-DESP'!C85)</f>
        <v>-</v>
      </c>
      <c r="D111" s="206">
        <f>SUMIFS(LANÇ_MOV[VALOR LÍQUIDO],LANÇ_MOV[RECEITA OU DESPESA],"Receita",LANÇ_MOV[CONTAS],$C111,LANÇ_MOV[PLANO DE CONTAS],REL_DRE_FINANCEIRO!$B$30,LANÇ_MOV[ANO PAGAMENTO],$B$4,LANÇ_MOV[MÊS PAGAMENTO CORRESPONDENTE],D$6,LANÇ_MOV[EMPRESA],$C$4,LANÇ_MOV[CENTRO DE CUSTOS],$D$4)</f>
        <v>0</v>
      </c>
      <c r="E111" s="206">
        <f>SUMIFS(LANÇ_MOV[VALOR LÍQUIDO],LANÇ_MOV[RECEITA OU DESPESA],"Receita",LANÇ_MOV[CONTAS],$C111,LANÇ_MOV[PLANO DE CONTAS],REL_DRE_FINANCEIRO!$B$30,LANÇ_MOV[ANO PAGAMENTO],$B$4,LANÇ_MOV[MÊS PAGAMENTO CORRESPONDENTE],E$6,LANÇ_MOV[EMPRESA],$C$4,LANÇ_MOV[CENTRO DE CUSTOS],$D$4)</f>
        <v>0</v>
      </c>
      <c r="F111" s="206">
        <f>SUMIFS(LANÇ_MOV[VALOR LÍQUIDO],LANÇ_MOV[RECEITA OU DESPESA],"Receita",LANÇ_MOV[CONTAS],$C111,LANÇ_MOV[PLANO DE CONTAS],REL_DRE_FINANCEIRO!$B$30,LANÇ_MOV[ANO PAGAMENTO],$B$4,LANÇ_MOV[MÊS PAGAMENTO CORRESPONDENTE],F$6,LANÇ_MOV[EMPRESA],$C$4,LANÇ_MOV[CENTRO DE CUSTOS],$D$4)</f>
        <v>0</v>
      </c>
      <c r="G111" s="206">
        <f>SUMIFS(LANÇ_MOV[VALOR LÍQUIDO],LANÇ_MOV[RECEITA OU DESPESA],"Receita",LANÇ_MOV[CONTAS],$C111,LANÇ_MOV[PLANO DE CONTAS],REL_DRE_FINANCEIRO!$B$30,LANÇ_MOV[ANO PAGAMENTO],$B$4,LANÇ_MOV[MÊS PAGAMENTO CORRESPONDENTE],G$6,LANÇ_MOV[EMPRESA],$C$4,LANÇ_MOV[CENTRO DE CUSTOS],$D$4)</f>
        <v>0</v>
      </c>
      <c r="H111" s="206">
        <f>SUMIFS(LANÇ_MOV[VALOR LÍQUIDO],LANÇ_MOV[RECEITA OU DESPESA],"Receita",LANÇ_MOV[CONTAS],$C111,LANÇ_MOV[PLANO DE CONTAS],REL_DRE_FINANCEIRO!$B$30,LANÇ_MOV[ANO PAGAMENTO],$B$4,LANÇ_MOV[MÊS PAGAMENTO CORRESPONDENTE],H$6,LANÇ_MOV[EMPRESA],$C$4,LANÇ_MOV[CENTRO DE CUSTOS],$D$4)</f>
        <v>0</v>
      </c>
      <c r="I111" s="206">
        <f>SUMIFS(LANÇ_MOV[VALOR LÍQUIDO],LANÇ_MOV[RECEITA OU DESPESA],"Receita",LANÇ_MOV[CONTAS],$C111,LANÇ_MOV[PLANO DE CONTAS],REL_DRE_FINANCEIRO!$B$30,LANÇ_MOV[ANO PAGAMENTO],$B$4,LANÇ_MOV[MÊS PAGAMENTO CORRESPONDENTE],I$6,LANÇ_MOV[EMPRESA],$C$4,LANÇ_MOV[CENTRO DE CUSTOS],$D$4)</f>
        <v>0</v>
      </c>
      <c r="J111" s="206">
        <f>SUMIFS(LANÇ_MOV[VALOR LÍQUIDO],LANÇ_MOV[RECEITA OU DESPESA],"Receita",LANÇ_MOV[CONTAS],$C111,LANÇ_MOV[PLANO DE CONTAS],REL_DRE_FINANCEIRO!$B$30,LANÇ_MOV[ANO PAGAMENTO],$B$4,LANÇ_MOV[MÊS PAGAMENTO CORRESPONDENTE],J$6,LANÇ_MOV[EMPRESA],$C$4,LANÇ_MOV[CENTRO DE CUSTOS],$D$4)</f>
        <v>0</v>
      </c>
      <c r="K111" s="206">
        <f>SUMIFS(LANÇ_MOV[VALOR LÍQUIDO],LANÇ_MOV[RECEITA OU DESPESA],"Receita",LANÇ_MOV[CONTAS],$C111,LANÇ_MOV[PLANO DE CONTAS],REL_DRE_FINANCEIRO!$B$30,LANÇ_MOV[ANO PAGAMENTO],$B$4,LANÇ_MOV[MÊS PAGAMENTO CORRESPONDENTE],K$6,LANÇ_MOV[EMPRESA],$C$4,LANÇ_MOV[CENTRO DE CUSTOS],$D$4)</f>
        <v>0</v>
      </c>
      <c r="L111" s="206">
        <f>SUMIFS(LANÇ_MOV[VALOR LÍQUIDO],LANÇ_MOV[RECEITA OU DESPESA],"Receita",LANÇ_MOV[CONTAS],$C111,LANÇ_MOV[PLANO DE CONTAS],REL_DRE_FINANCEIRO!$B$30,LANÇ_MOV[ANO PAGAMENTO],$B$4,LANÇ_MOV[MÊS PAGAMENTO CORRESPONDENTE],L$6,LANÇ_MOV[EMPRESA],$C$4,LANÇ_MOV[CENTRO DE CUSTOS],$D$4)</f>
        <v>0</v>
      </c>
      <c r="M111" s="206">
        <f>SUMIFS(LANÇ_MOV[VALOR LÍQUIDO],LANÇ_MOV[RECEITA OU DESPESA],"Receita",LANÇ_MOV[CONTAS],$C111,LANÇ_MOV[PLANO DE CONTAS],REL_DRE_FINANCEIRO!$B$30,LANÇ_MOV[ANO PAGAMENTO],$B$4,LANÇ_MOV[MÊS PAGAMENTO CORRESPONDENTE],M$6,LANÇ_MOV[EMPRESA],$C$4,LANÇ_MOV[CENTRO DE CUSTOS],$D$4)</f>
        <v>0</v>
      </c>
      <c r="N111" s="206">
        <f>SUMIFS(LANÇ_MOV[VALOR LÍQUIDO],LANÇ_MOV[RECEITA OU DESPESA],"Receita",LANÇ_MOV[CONTAS],$C111,LANÇ_MOV[PLANO DE CONTAS],REL_DRE_FINANCEIRO!$B$30,LANÇ_MOV[ANO PAGAMENTO],$B$4,LANÇ_MOV[MÊS PAGAMENTO CORRESPONDENTE],N$6,LANÇ_MOV[EMPRESA],$C$4,LANÇ_MOV[CENTRO DE CUSTOS],$D$4)</f>
        <v>0</v>
      </c>
      <c r="O111" s="206">
        <f>SUMIFS(LANÇ_MOV[VALOR LÍQUIDO],LANÇ_MOV[RECEITA OU DESPESA],"Receita",LANÇ_MOV[CONTAS],$C111,LANÇ_MOV[PLANO DE CONTAS],REL_DRE_FINANCEIRO!$B$30,LANÇ_MOV[ANO PAGAMENTO],$B$4,LANÇ_MOV[MÊS PAGAMENTO CORRESPONDENTE],O$6,LANÇ_MOV[EMPRESA],$C$4,LANÇ_MOV[CENTRO DE CUSTOS],$D$4)</f>
        <v>0</v>
      </c>
      <c r="P111" s="207">
        <f t="shared" si="23"/>
        <v>0</v>
      </c>
      <c r="Q111" s="333">
        <v>1.9999999999999999E-6</v>
      </c>
      <c r="R111" s="346">
        <f t="shared" si="24"/>
        <v>1.9999999999999999E-6</v>
      </c>
      <c r="S111" s="347" t="str">
        <f t="shared" si="25"/>
        <v>-</v>
      </c>
      <c r="T111" s="347">
        <f t="shared" si="26"/>
        <v>0</v>
      </c>
      <c r="U111" s="347">
        <f>HLOOKUP(Apoio!$P$12,$D$29:$P$130,X111,FALSE)+Q111</f>
        <v>1.9999999999999999E-6</v>
      </c>
      <c r="V111" s="447" t="str">
        <f t="shared" si="27"/>
        <v>-</v>
      </c>
      <c r="W111" s="448">
        <f>HLOOKUP(Apoio!$P$12,$D$29:$P$130,X111,FALSE)</f>
        <v>0</v>
      </c>
      <c r="X111" s="329">
        <v>83</v>
      </c>
    </row>
    <row r="112" spans="2:24" ht="30.05" customHeight="1" x14ac:dyDescent="0.35">
      <c r="B112" s="204" t="str">
        <f>'CAD_PL_REC-DESP'!B86</f>
        <v>1.1.82</v>
      </c>
      <c r="C112" s="205" t="str">
        <f>IF('CAD_PL_REC-DESP'!C86="","-",'CAD_PL_REC-DESP'!C86)</f>
        <v>-</v>
      </c>
      <c r="D112" s="206">
        <f>SUMIFS(LANÇ_MOV[VALOR LÍQUIDO],LANÇ_MOV[RECEITA OU DESPESA],"Receita",LANÇ_MOV[CONTAS],$C112,LANÇ_MOV[PLANO DE CONTAS],REL_DRE_FINANCEIRO!$B$30,LANÇ_MOV[ANO PAGAMENTO],$B$4,LANÇ_MOV[MÊS PAGAMENTO CORRESPONDENTE],D$6,LANÇ_MOV[EMPRESA],$C$4,LANÇ_MOV[CENTRO DE CUSTOS],$D$4)</f>
        <v>0</v>
      </c>
      <c r="E112" s="206">
        <f>SUMIFS(LANÇ_MOV[VALOR LÍQUIDO],LANÇ_MOV[RECEITA OU DESPESA],"Receita",LANÇ_MOV[CONTAS],$C112,LANÇ_MOV[PLANO DE CONTAS],REL_DRE_FINANCEIRO!$B$30,LANÇ_MOV[ANO PAGAMENTO],$B$4,LANÇ_MOV[MÊS PAGAMENTO CORRESPONDENTE],E$6,LANÇ_MOV[EMPRESA],$C$4,LANÇ_MOV[CENTRO DE CUSTOS],$D$4)</f>
        <v>0</v>
      </c>
      <c r="F112" s="206">
        <f>SUMIFS(LANÇ_MOV[VALOR LÍQUIDO],LANÇ_MOV[RECEITA OU DESPESA],"Receita",LANÇ_MOV[CONTAS],$C112,LANÇ_MOV[PLANO DE CONTAS],REL_DRE_FINANCEIRO!$B$30,LANÇ_MOV[ANO PAGAMENTO],$B$4,LANÇ_MOV[MÊS PAGAMENTO CORRESPONDENTE],F$6,LANÇ_MOV[EMPRESA],$C$4,LANÇ_MOV[CENTRO DE CUSTOS],$D$4)</f>
        <v>0</v>
      </c>
      <c r="G112" s="206">
        <f>SUMIFS(LANÇ_MOV[VALOR LÍQUIDO],LANÇ_MOV[RECEITA OU DESPESA],"Receita",LANÇ_MOV[CONTAS],$C112,LANÇ_MOV[PLANO DE CONTAS],REL_DRE_FINANCEIRO!$B$30,LANÇ_MOV[ANO PAGAMENTO],$B$4,LANÇ_MOV[MÊS PAGAMENTO CORRESPONDENTE],G$6,LANÇ_MOV[EMPRESA],$C$4,LANÇ_MOV[CENTRO DE CUSTOS],$D$4)</f>
        <v>0</v>
      </c>
      <c r="H112" s="206">
        <f>SUMIFS(LANÇ_MOV[VALOR LÍQUIDO],LANÇ_MOV[RECEITA OU DESPESA],"Receita",LANÇ_MOV[CONTAS],$C112,LANÇ_MOV[PLANO DE CONTAS],REL_DRE_FINANCEIRO!$B$30,LANÇ_MOV[ANO PAGAMENTO],$B$4,LANÇ_MOV[MÊS PAGAMENTO CORRESPONDENTE],H$6,LANÇ_MOV[EMPRESA],$C$4,LANÇ_MOV[CENTRO DE CUSTOS],$D$4)</f>
        <v>0</v>
      </c>
      <c r="I112" s="206">
        <f>SUMIFS(LANÇ_MOV[VALOR LÍQUIDO],LANÇ_MOV[RECEITA OU DESPESA],"Receita",LANÇ_MOV[CONTAS],$C112,LANÇ_MOV[PLANO DE CONTAS],REL_DRE_FINANCEIRO!$B$30,LANÇ_MOV[ANO PAGAMENTO],$B$4,LANÇ_MOV[MÊS PAGAMENTO CORRESPONDENTE],I$6,LANÇ_MOV[EMPRESA],$C$4,LANÇ_MOV[CENTRO DE CUSTOS],$D$4)</f>
        <v>0</v>
      </c>
      <c r="J112" s="206">
        <f>SUMIFS(LANÇ_MOV[VALOR LÍQUIDO],LANÇ_MOV[RECEITA OU DESPESA],"Receita",LANÇ_MOV[CONTAS],$C112,LANÇ_MOV[PLANO DE CONTAS],REL_DRE_FINANCEIRO!$B$30,LANÇ_MOV[ANO PAGAMENTO],$B$4,LANÇ_MOV[MÊS PAGAMENTO CORRESPONDENTE],J$6,LANÇ_MOV[EMPRESA],$C$4,LANÇ_MOV[CENTRO DE CUSTOS],$D$4)</f>
        <v>0</v>
      </c>
      <c r="K112" s="206">
        <f>SUMIFS(LANÇ_MOV[VALOR LÍQUIDO],LANÇ_MOV[RECEITA OU DESPESA],"Receita",LANÇ_MOV[CONTAS],$C112,LANÇ_MOV[PLANO DE CONTAS],REL_DRE_FINANCEIRO!$B$30,LANÇ_MOV[ANO PAGAMENTO],$B$4,LANÇ_MOV[MÊS PAGAMENTO CORRESPONDENTE],K$6,LANÇ_MOV[EMPRESA],$C$4,LANÇ_MOV[CENTRO DE CUSTOS],$D$4)</f>
        <v>0</v>
      </c>
      <c r="L112" s="206">
        <f>SUMIFS(LANÇ_MOV[VALOR LÍQUIDO],LANÇ_MOV[RECEITA OU DESPESA],"Receita",LANÇ_MOV[CONTAS],$C112,LANÇ_MOV[PLANO DE CONTAS],REL_DRE_FINANCEIRO!$B$30,LANÇ_MOV[ANO PAGAMENTO],$B$4,LANÇ_MOV[MÊS PAGAMENTO CORRESPONDENTE],L$6,LANÇ_MOV[EMPRESA],$C$4,LANÇ_MOV[CENTRO DE CUSTOS],$D$4)</f>
        <v>0</v>
      </c>
      <c r="M112" s="206">
        <f>SUMIFS(LANÇ_MOV[VALOR LÍQUIDO],LANÇ_MOV[RECEITA OU DESPESA],"Receita",LANÇ_MOV[CONTAS],$C112,LANÇ_MOV[PLANO DE CONTAS],REL_DRE_FINANCEIRO!$B$30,LANÇ_MOV[ANO PAGAMENTO],$B$4,LANÇ_MOV[MÊS PAGAMENTO CORRESPONDENTE],M$6,LANÇ_MOV[EMPRESA],$C$4,LANÇ_MOV[CENTRO DE CUSTOS],$D$4)</f>
        <v>0</v>
      </c>
      <c r="N112" s="206">
        <f>SUMIFS(LANÇ_MOV[VALOR LÍQUIDO],LANÇ_MOV[RECEITA OU DESPESA],"Receita",LANÇ_MOV[CONTAS],$C112,LANÇ_MOV[PLANO DE CONTAS],REL_DRE_FINANCEIRO!$B$30,LANÇ_MOV[ANO PAGAMENTO],$B$4,LANÇ_MOV[MÊS PAGAMENTO CORRESPONDENTE],N$6,LANÇ_MOV[EMPRESA],$C$4,LANÇ_MOV[CENTRO DE CUSTOS],$D$4)</f>
        <v>0</v>
      </c>
      <c r="O112" s="206">
        <f>SUMIFS(LANÇ_MOV[VALOR LÍQUIDO],LANÇ_MOV[RECEITA OU DESPESA],"Receita",LANÇ_MOV[CONTAS],$C112,LANÇ_MOV[PLANO DE CONTAS],REL_DRE_FINANCEIRO!$B$30,LANÇ_MOV[ANO PAGAMENTO],$B$4,LANÇ_MOV[MÊS PAGAMENTO CORRESPONDENTE],O$6,LANÇ_MOV[EMPRESA],$C$4,LANÇ_MOV[CENTRO DE CUSTOS],$D$4)</f>
        <v>0</v>
      </c>
      <c r="P112" s="207">
        <f t="shared" si="23"/>
        <v>0</v>
      </c>
      <c r="Q112" s="333">
        <v>1.9E-6</v>
      </c>
      <c r="R112" s="346">
        <f t="shared" si="24"/>
        <v>1.9E-6</v>
      </c>
      <c r="S112" s="347" t="str">
        <f t="shared" si="25"/>
        <v>-</v>
      </c>
      <c r="T112" s="347">
        <f t="shared" si="26"/>
        <v>0</v>
      </c>
      <c r="U112" s="347">
        <f>HLOOKUP(Apoio!$P$12,$D$29:$P$130,X112,FALSE)+Q112</f>
        <v>1.9E-6</v>
      </c>
      <c r="V112" s="447" t="str">
        <f t="shared" si="27"/>
        <v>-</v>
      </c>
      <c r="W112" s="448">
        <f>HLOOKUP(Apoio!$P$12,$D$29:$P$130,X112,FALSE)</f>
        <v>0</v>
      </c>
      <c r="X112" s="329">
        <v>84</v>
      </c>
    </row>
    <row r="113" spans="2:24" ht="30.05" customHeight="1" x14ac:dyDescent="0.35">
      <c r="B113" s="204" t="str">
        <f>'CAD_PL_REC-DESP'!B87</f>
        <v>1.1.83</v>
      </c>
      <c r="C113" s="205" t="str">
        <f>IF('CAD_PL_REC-DESP'!C87="","-",'CAD_PL_REC-DESP'!C87)</f>
        <v>-</v>
      </c>
      <c r="D113" s="206">
        <f>SUMIFS(LANÇ_MOV[VALOR LÍQUIDO],LANÇ_MOV[RECEITA OU DESPESA],"Receita",LANÇ_MOV[CONTAS],$C113,LANÇ_MOV[PLANO DE CONTAS],REL_DRE_FINANCEIRO!$B$30,LANÇ_MOV[ANO PAGAMENTO],$B$4,LANÇ_MOV[MÊS PAGAMENTO CORRESPONDENTE],D$6,LANÇ_MOV[EMPRESA],$C$4,LANÇ_MOV[CENTRO DE CUSTOS],$D$4)</f>
        <v>0</v>
      </c>
      <c r="E113" s="206">
        <f>SUMIFS(LANÇ_MOV[VALOR LÍQUIDO],LANÇ_MOV[RECEITA OU DESPESA],"Receita",LANÇ_MOV[CONTAS],$C113,LANÇ_MOV[PLANO DE CONTAS],REL_DRE_FINANCEIRO!$B$30,LANÇ_MOV[ANO PAGAMENTO],$B$4,LANÇ_MOV[MÊS PAGAMENTO CORRESPONDENTE],E$6,LANÇ_MOV[EMPRESA],$C$4,LANÇ_MOV[CENTRO DE CUSTOS],$D$4)</f>
        <v>0</v>
      </c>
      <c r="F113" s="206">
        <f>SUMIFS(LANÇ_MOV[VALOR LÍQUIDO],LANÇ_MOV[RECEITA OU DESPESA],"Receita",LANÇ_MOV[CONTAS],$C113,LANÇ_MOV[PLANO DE CONTAS],REL_DRE_FINANCEIRO!$B$30,LANÇ_MOV[ANO PAGAMENTO],$B$4,LANÇ_MOV[MÊS PAGAMENTO CORRESPONDENTE],F$6,LANÇ_MOV[EMPRESA],$C$4,LANÇ_MOV[CENTRO DE CUSTOS],$D$4)</f>
        <v>0</v>
      </c>
      <c r="G113" s="206">
        <f>SUMIFS(LANÇ_MOV[VALOR LÍQUIDO],LANÇ_MOV[RECEITA OU DESPESA],"Receita",LANÇ_MOV[CONTAS],$C113,LANÇ_MOV[PLANO DE CONTAS],REL_DRE_FINANCEIRO!$B$30,LANÇ_MOV[ANO PAGAMENTO],$B$4,LANÇ_MOV[MÊS PAGAMENTO CORRESPONDENTE],G$6,LANÇ_MOV[EMPRESA],$C$4,LANÇ_MOV[CENTRO DE CUSTOS],$D$4)</f>
        <v>0</v>
      </c>
      <c r="H113" s="206">
        <f>SUMIFS(LANÇ_MOV[VALOR LÍQUIDO],LANÇ_MOV[RECEITA OU DESPESA],"Receita",LANÇ_MOV[CONTAS],$C113,LANÇ_MOV[PLANO DE CONTAS],REL_DRE_FINANCEIRO!$B$30,LANÇ_MOV[ANO PAGAMENTO],$B$4,LANÇ_MOV[MÊS PAGAMENTO CORRESPONDENTE],H$6,LANÇ_MOV[EMPRESA],$C$4,LANÇ_MOV[CENTRO DE CUSTOS],$D$4)</f>
        <v>0</v>
      </c>
      <c r="I113" s="206">
        <f>SUMIFS(LANÇ_MOV[VALOR LÍQUIDO],LANÇ_MOV[RECEITA OU DESPESA],"Receita",LANÇ_MOV[CONTAS],$C113,LANÇ_MOV[PLANO DE CONTAS],REL_DRE_FINANCEIRO!$B$30,LANÇ_MOV[ANO PAGAMENTO],$B$4,LANÇ_MOV[MÊS PAGAMENTO CORRESPONDENTE],I$6,LANÇ_MOV[EMPRESA],$C$4,LANÇ_MOV[CENTRO DE CUSTOS],$D$4)</f>
        <v>0</v>
      </c>
      <c r="J113" s="206">
        <f>SUMIFS(LANÇ_MOV[VALOR LÍQUIDO],LANÇ_MOV[RECEITA OU DESPESA],"Receita",LANÇ_MOV[CONTAS],$C113,LANÇ_MOV[PLANO DE CONTAS],REL_DRE_FINANCEIRO!$B$30,LANÇ_MOV[ANO PAGAMENTO],$B$4,LANÇ_MOV[MÊS PAGAMENTO CORRESPONDENTE],J$6,LANÇ_MOV[EMPRESA],$C$4,LANÇ_MOV[CENTRO DE CUSTOS],$D$4)</f>
        <v>0</v>
      </c>
      <c r="K113" s="206">
        <f>SUMIFS(LANÇ_MOV[VALOR LÍQUIDO],LANÇ_MOV[RECEITA OU DESPESA],"Receita",LANÇ_MOV[CONTAS],$C113,LANÇ_MOV[PLANO DE CONTAS],REL_DRE_FINANCEIRO!$B$30,LANÇ_MOV[ANO PAGAMENTO],$B$4,LANÇ_MOV[MÊS PAGAMENTO CORRESPONDENTE],K$6,LANÇ_MOV[EMPRESA],$C$4,LANÇ_MOV[CENTRO DE CUSTOS],$D$4)</f>
        <v>0</v>
      </c>
      <c r="L113" s="206">
        <f>SUMIFS(LANÇ_MOV[VALOR LÍQUIDO],LANÇ_MOV[RECEITA OU DESPESA],"Receita",LANÇ_MOV[CONTAS],$C113,LANÇ_MOV[PLANO DE CONTAS],REL_DRE_FINANCEIRO!$B$30,LANÇ_MOV[ANO PAGAMENTO],$B$4,LANÇ_MOV[MÊS PAGAMENTO CORRESPONDENTE],L$6,LANÇ_MOV[EMPRESA],$C$4,LANÇ_MOV[CENTRO DE CUSTOS],$D$4)</f>
        <v>0</v>
      </c>
      <c r="M113" s="206">
        <f>SUMIFS(LANÇ_MOV[VALOR LÍQUIDO],LANÇ_MOV[RECEITA OU DESPESA],"Receita",LANÇ_MOV[CONTAS],$C113,LANÇ_MOV[PLANO DE CONTAS],REL_DRE_FINANCEIRO!$B$30,LANÇ_MOV[ANO PAGAMENTO],$B$4,LANÇ_MOV[MÊS PAGAMENTO CORRESPONDENTE],M$6,LANÇ_MOV[EMPRESA],$C$4,LANÇ_MOV[CENTRO DE CUSTOS],$D$4)</f>
        <v>0</v>
      </c>
      <c r="N113" s="206">
        <f>SUMIFS(LANÇ_MOV[VALOR LÍQUIDO],LANÇ_MOV[RECEITA OU DESPESA],"Receita",LANÇ_MOV[CONTAS],$C113,LANÇ_MOV[PLANO DE CONTAS],REL_DRE_FINANCEIRO!$B$30,LANÇ_MOV[ANO PAGAMENTO],$B$4,LANÇ_MOV[MÊS PAGAMENTO CORRESPONDENTE],N$6,LANÇ_MOV[EMPRESA],$C$4,LANÇ_MOV[CENTRO DE CUSTOS],$D$4)</f>
        <v>0</v>
      </c>
      <c r="O113" s="206">
        <f>SUMIFS(LANÇ_MOV[VALOR LÍQUIDO],LANÇ_MOV[RECEITA OU DESPESA],"Receita",LANÇ_MOV[CONTAS],$C113,LANÇ_MOV[PLANO DE CONTAS],REL_DRE_FINANCEIRO!$B$30,LANÇ_MOV[ANO PAGAMENTO],$B$4,LANÇ_MOV[MÊS PAGAMENTO CORRESPONDENTE],O$6,LANÇ_MOV[EMPRESA],$C$4,LANÇ_MOV[CENTRO DE CUSTOS],$D$4)</f>
        <v>0</v>
      </c>
      <c r="P113" s="207">
        <f t="shared" si="23"/>
        <v>0</v>
      </c>
      <c r="Q113" s="333">
        <v>1.7999999999999999E-6</v>
      </c>
      <c r="R113" s="346">
        <f t="shared" si="24"/>
        <v>1.7999999999999999E-6</v>
      </c>
      <c r="S113" s="347" t="str">
        <f t="shared" si="25"/>
        <v>-</v>
      </c>
      <c r="T113" s="347">
        <f t="shared" si="26"/>
        <v>0</v>
      </c>
      <c r="U113" s="347">
        <f>HLOOKUP(Apoio!$P$12,$D$29:$P$130,X113,FALSE)+Q113</f>
        <v>1.7999999999999999E-6</v>
      </c>
      <c r="V113" s="447" t="str">
        <f t="shared" si="27"/>
        <v>-</v>
      </c>
      <c r="W113" s="448">
        <f>HLOOKUP(Apoio!$P$12,$D$29:$P$130,X113,FALSE)</f>
        <v>0</v>
      </c>
      <c r="X113" s="329">
        <v>85</v>
      </c>
    </row>
    <row r="114" spans="2:24" ht="30.05" customHeight="1" x14ac:dyDescent="0.35">
      <c r="B114" s="204" t="str">
        <f>'CAD_PL_REC-DESP'!B88</f>
        <v>1.1.84</v>
      </c>
      <c r="C114" s="205" t="str">
        <f>IF('CAD_PL_REC-DESP'!C88="","-",'CAD_PL_REC-DESP'!C88)</f>
        <v>-</v>
      </c>
      <c r="D114" s="206">
        <f>SUMIFS(LANÇ_MOV[VALOR LÍQUIDO],LANÇ_MOV[RECEITA OU DESPESA],"Receita",LANÇ_MOV[CONTAS],$C114,LANÇ_MOV[PLANO DE CONTAS],REL_DRE_FINANCEIRO!$B$30,LANÇ_MOV[ANO PAGAMENTO],$B$4,LANÇ_MOV[MÊS PAGAMENTO CORRESPONDENTE],D$6,LANÇ_MOV[EMPRESA],$C$4,LANÇ_MOV[CENTRO DE CUSTOS],$D$4)</f>
        <v>0</v>
      </c>
      <c r="E114" s="206">
        <f>SUMIFS(LANÇ_MOV[VALOR LÍQUIDO],LANÇ_MOV[RECEITA OU DESPESA],"Receita",LANÇ_MOV[CONTAS],$C114,LANÇ_MOV[PLANO DE CONTAS],REL_DRE_FINANCEIRO!$B$30,LANÇ_MOV[ANO PAGAMENTO],$B$4,LANÇ_MOV[MÊS PAGAMENTO CORRESPONDENTE],E$6,LANÇ_MOV[EMPRESA],$C$4,LANÇ_MOV[CENTRO DE CUSTOS],$D$4)</f>
        <v>0</v>
      </c>
      <c r="F114" s="206">
        <f>SUMIFS(LANÇ_MOV[VALOR LÍQUIDO],LANÇ_MOV[RECEITA OU DESPESA],"Receita",LANÇ_MOV[CONTAS],$C114,LANÇ_MOV[PLANO DE CONTAS],REL_DRE_FINANCEIRO!$B$30,LANÇ_MOV[ANO PAGAMENTO],$B$4,LANÇ_MOV[MÊS PAGAMENTO CORRESPONDENTE],F$6,LANÇ_MOV[EMPRESA],$C$4,LANÇ_MOV[CENTRO DE CUSTOS],$D$4)</f>
        <v>0</v>
      </c>
      <c r="G114" s="206">
        <f>SUMIFS(LANÇ_MOV[VALOR LÍQUIDO],LANÇ_MOV[RECEITA OU DESPESA],"Receita",LANÇ_MOV[CONTAS],$C114,LANÇ_MOV[PLANO DE CONTAS],REL_DRE_FINANCEIRO!$B$30,LANÇ_MOV[ANO PAGAMENTO],$B$4,LANÇ_MOV[MÊS PAGAMENTO CORRESPONDENTE],G$6,LANÇ_MOV[EMPRESA],$C$4,LANÇ_MOV[CENTRO DE CUSTOS],$D$4)</f>
        <v>0</v>
      </c>
      <c r="H114" s="206">
        <f>SUMIFS(LANÇ_MOV[VALOR LÍQUIDO],LANÇ_MOV[RECEITA OU DESPESA],"Receita",LANÇ_MOV[CONTAS],$C114,LANÇ_MOV[PLANO DE CONTAS],REL_DRE_FINANCEIRO!$B$30,LANÇ_MOV[ANO PAGAMENTO],$B$4,LANÇ_MOV[MÊS PAGAMENTO CORRESPONDENTE],H$6,LANÇ_MOV[EMPRESA],$C$4,LANÇ_MOV[CENTRO DE CUSTOS],$D$4)</f>
        <v>0</v>
      </c>
      <c r="I114" s="206">
        <f>SUMIFS(LANÇ_MOV[VALOR LÍQUIDO],LANÇ_MOV[RECEITA OU DESPESA],"Receita",LANÇ_MOV[CONTAS],$C114,LANÇ_MOV[PLANO DE CONTAS],REL_DRE_FINANCEIRO!$B$30,LANÇ_MOV[ANO PAGAMENTO],$B$4,LANÇ_MOV[MÊS PAGAMENTO CORRESPONDENTE],I$6,LANÇ_MOV[EMPRESA],$C$4,LANÇ_MOV[CENTRO DE CUSTOS],$D$4)</f>
        <v>0</v>
      </c>
      <c r="J114" s="206">
        <f>SUMIFS(LANÇ_MOV[VALOR LÍQUIDO],LANÇ_MOV[RECEITA OU DESPESA],"Receita",LANÇ_MOV[CONTAS],$C114,LANÇ_MOV[PLANO DE CONTAS],REL_DRE_FINANCEIRO!$B$30,LANÇ_MOV[ANO PAGAMENTO],$B$4,LANÇ_MOV[MÊS PAGAMENTO CORRESPONDENTE],J$6,LANÇ_MOV[EMPRESA],$C$4,LANÇ_MOV[CENTRO DE CUSTOS],$D$4)</f>
        <v>0</v>
      </c>
      <c r="K114" s="206">
        <f>SUMIFS(LANÇ_MOV[VALOR LÍQUIDO],LANÇ_MOV[RECEITA OU DESPESA],"Receita",LANÇ_MOV[CONTAS],$C114,LANÇ_MOV[PLANO DE CONTAS],REL_DRE_FINANCEIRO!$B$30,LANÇ_MOV[ANO PAGAMENTO],$B$4,LANÇ_MOV[MÊS PAGAMENTO CORRESPONDENTE],K$6,LANÇ_MOV[EMPRESA],$C$4,LANÇ_MOV[CENTRO DE CUSTOS],$D$4)</f>
        <v>0</v>
      </c>
      <c r="L114" s="206">
        <f>SUMIFS(LANÇ_MOV[VALOR LÍQUIDO],LANÇ_MOV[RECEITA OU DESPESA],"Receita",LANÇ_MOV[CONTAS],$C114,LANÇ_MOV[PLANO DE CONTAS],REL_DRE_FINANCEIRO!$B$30,LANÇ_MOV[ANO PAGAMENTO],$B$4,LANÇ_MOV[MÊS PAGAMENTO CORRESPONDENTE],L$6,LANÇ_MOV[EMPRESA],$C$4,LANÇ_MOV[CENTRO DE CUSTOS],$D$4)</f>
        <v>0</v>
      </c>
      <c r="M114" s="206">
        <f>SUMIFS(LANÇ_MOV[VALOR LÍQUIDO],LANÇ_MOV[RECEITA OU DESPESA],"Receita",LANÇ_MOV[CONTAS],$C114,LANÇ_MOV[PLANO DE CONTAS],REL_DRE_FINANCEIRO!$B$30,LANÇ_MOV[ANO PAGAMENTO],$B$4,LANÇ_MOV[MÊS PAGAMENTO CORRESPONDENTE],M$6,LANÇ_MOV[EMPRESA],$C$4,LANÇ_MOV[CENTRO DE CUSTOS],$D$4)</f>
        <v>0</v>
      </c>
      <c r="N114" s="206">
        <f>SUMIFS(LANÇ_MOV[VALOR LÍQUIDO],LANÇ_MOV[RECEITA OU DESPESA],"Receita",LANÇ_MOV[CONTAS],$C114,LANÇ_MOV[PLANO DE CONTAS],REL_DRE_FINANCEIRO!$B$30,LANÇ_MOV[ANO PAGAMENTO],$B$4,LANÇ_MOV[MÊS PAGAMENTO CORRESPONDENTE],N$6,LANÇ_MOV[EMPRESA],$C$4,LANÇ_MOV[CENTRO DE CUSTOS],$D$4)</f>
        <v>0</v>
      </c>
      <c r="O114" s="206">
        <f>SUMIFS(LANÇ_MOV[VALOR LÍQUIDO],LANÇ_MOV[RECEITA OU DESPESA],"Receita",LANÇ_MOV[CONTAS],$C114,LANÇ_MOV[PLANO DE CONTAS],REL_DRE_FINANCEIRO!$B$30,LANÇ_MOV[ANO PAGAMENTO],$B$4,LANÇ_MOV[MÊS PAGAMENTO CORRESPONDENTE],O$6,LANÇ_MOV[EMPRESA],$C$4,LANÇ_MOV[CENTRO DE CUSTOS],$D$4)</f>
        <v>0</v>
      </c>
      <c r="P114" s="207">
        <f t="shared" si="23"/>
        <v>0</v>
      </c>
      <c r="Q114" s="333">
        <v>1.7E-6</v>
      </c>
      <c r="R114" s="346">
        <f t="shared" si="24"/>
        <v>1.7E-6</v>
      </c>
      <c r="S114" s="347" t="str">
        <f t="shared" si="25"/>
        <v>-</v>
      </c>
      <c r="T114" s="347">
        <f t="shared" si="26"/>
        <v>0</v>
      </c>
      <c r="U114" s="347">
        <f>HLOOKUP(Apoio!$P$12,$D$29:$P$130,X114,FALSE)+Q114</f>
        <v>1.7E-6</v>
      </c>
      <c r="V114" s="447" t="str">
        <f t="shared" si="27"/>
        <v>-</v>
      </c>
      <c r="W114" s="448">
        <f>HLOOKUP(Apoio!$P$12,$D$29:$P$130,X114,FALSE)</f>
        <v>0</v>
      </c>
      <c r="X114" s="329">
        <v>86</v>
      </c>
    </row>
    <row r="115" spans="2:24" ht="30.05" customHeight="1" x14ac:dyDescent="0.35">
      <c r="B115" s="204" t="str">
        <f>'CAD_PL_REC-DESP'!B89</f>
        <v>1.1.85</v>
      </c>
      <c r="C115" s="205" t="str">
        <f>IF('CAD_PL_REC-DESP'!C89="","-",'CAD_PL_REC-DESP'!C89)</f>
        <v>-</v>
      </c>
      <c r="D115" s="206">
        <f>SUMIFS(LANÇ_MOV[VALOR LÍQUIDO],LANÇ_MOV[RECEITA OU DESPESA],"Receita",LANÇ_MOV[CONTAS],$C115,LANÇ_MOV[PLANO DE CONTAS],REL_DRE_FINANCEIRO!$B$30,LANÇ_MOV[ANO PAGAMENTO],$B$4,LANÇ_MOV[MÊS PAGAMENTO CORRESPONDENTE],D$6,LANÇ_MOV[EMPRESA],$C$4,LANÇ_MOV[CENTRO DE CUSTOS],$D$4)</f>
        <v>0</v>
      </c>
      <c r="E115" s="206">
        <f>SUMIFS(LANÇ_MOV[VALOR LÍQUIDO],LANÇ_MOV[RECEITA OU DESPESA],"Receita",LANÇ_MOV[CONTAS],$C115,LANÇ_MOV[PLANO DE CONTAS],REL_DRE_FINANCEIRO!$B$30,LANÇ_MOV[ANO PAGAMENTO],$B$4,LANÇ_MOV[MÊS PAGAMENTO CORRESPONDENTE],E$6,LANÇ_MOV[EMPRESA],$C$4,LANÇ_MOV[CENTRO DE CUSTOS],$D$4)</f>
        <v>0</v>
      </c>
      <c r="F115" s="206">
        <f>SUMIFS(LANÇ_MOV[VALOR LÍQUIDO],LANÇ_MOV[RECEITA OU DESPESA],"Receita",LANÇ_MOV[CONTAS],$C115,LANÇ_MOV[PLANO DE CONTAS],REL_DRE_FINANCEIRO!$B$30,LANÇ_MOV[ANO PAGAMENTO],$B$4,LANÇ_MOV[MÊS PAGAMENTO CORRESPONDENTE],F$6,LANÇ_MOV[EMPRESA],$C$4,LANÇ_MOV[CENTRO DE CUSTOS],$D$4)</f>
        <v>0</v>
      </c>
      <c r="G115" s="206">
        <f>SUMIFS(LANÇ_MOV[VALOR LÍQUIDO],LANÇ_MOV[RECEITA OU DESPESA],"Receita",LANÇ_MOV[CONTAS],$C115,LANÇ_MOV[PLANO DE CONTAS],REL_DRE_FINANCEIRO!$B$30,LANÇ_MOV[ANO PAGAMENTO],$B$4,LANÇ_MOV[MÊS PAGAMENTO CORRESPONDENTE],G$6,LANÇ_MOV[EMPRESA],$C$4,LANÇ_MOV[CENTRO DE CUSTOS],$D$4)</f>
        <v>0</v>
      </c>
      <c r="H115" s="206">
        <f>SUMIFS(LANÇ_MOV[VALOR LÍQUIDO],LANÇ_MOV[RECEITA OU DESPESA],"Receita",LANÇ_MOV[CONTAS],$C115,LANÇ_MOV[PLANO DE CONTAS],REL_DRE_FINANCEIRO!$B$30,LANÇ_MOV[ANO PAGAMENTO],$B$4,LANÇ_MOV[MÊS PAGAMENTO CORRESPONDENTE],H$6,LANÇ_MOV[EMPRESA],$C$4,LANÇ_MOV[CENTRO DE CUSTOS],$D$4)</f>
        <v>0</v>
      </c>
      <c r="I115" s="206">
        <f>SUMIFS(LANÇ_MOV[VALOR LÍQUIDO],LANÇ_MOV[RECEITA OU DESPESA],"Receita",LANÇ_MOV[CONTAS],$C115,LANÇ_MOV[PLANO DE CONTAS],REL_DRE_FINANCEIRO!$B$30,LANÇ_MOV[ANO PAGAMENTO],$B$4,LANÇ_MOV[MÊS PAGAMENTO CORRESPONDENTE],I$6,LANÇ_MOV[EMPRESA],$C$4,LANÇ_MOV[CENTRO DE CUSTOS],$D$4)</f>
        <v>0</v>
      </c>
      <c r="J115" s="206">
        <f>SUMIFS(LANÇ_MOV[VALOR LÍQUIDO],LANÇ_MOV[RECEITA OU DESPESA],"Receita",LANÇ_MOV[CONTAS],$C115,LANÇ_MOV[PLANO DE CONTAS],REL_DRE_FINANCEIRO!$B$30,LANÇ_MOV[ANO PAGAMENTO],$B$4,LANÇ_MOV[MÊS PAGAMENTO CORRESPONDENTE],J$6,LANÇ_MOV[EMPRESA],$C$4,LANÇ_MOV[CENTRO DE CUSTOS],$D$4)</f>
        <v>0</v>
      </c>
      <c r="K115" s="206">
        <f>SUMIFS(LANÇ_MOV[VALOR LÍQUIDO],LANÇ_MOV[RECEITA OU DESPESA],"Receita",LANÇ_MOV[CONTAS],$C115,LANÇ_MOV[PLANO DE CONTAS],REL_DRE_FINANCEIRO!$B$30,LANÇ_MOV[ANO PAGAMENTO],$B$4,LANÇ_MOV[MÊS PAGAMENTO CORRESPONDENTE],K$6,LANÇ_MOV[EMPRESA],$C$4,LANÇ_MOV[CENTRO DE CUSTOS],$D$4)</f>
        <v>0</v>
      </c>
      <c r="L115" s="206">
        <f>SUMIFS(LANÇ_MOV[VALOR LÍQUIDO],LANÇ_MOV[RECEITA OU DESPESA],"Receita",LANÇ_MOV[CONTAS],$C115,LANÇ_MOV[PLANO DE CONTAS],REL_DRE_FINANCEIRO!$B$30,LANÇ_MOV[ANO PAGAMENTO],$B$4,LANÇ_MOV[MÊS PAGAMENTO CORRESPONDENTE],L$6,LANÇ_MOV[EMPRESA],$C$4,LANÇ_MOV[CENTRO DE CUSTOS],$D$4)</f>
        <v>0</v>
      </c>
      <c r="M115" s="206">
        <f>SUMIFS(LANÇ_MOV[VALOR LÍQUIDO],LANÇ_MOV[RECEITA OU DESPESA],"Receita",LANÇ_MOV[CONTAS],$C115,LANÇ_MOV[PLANO DE CONTAS],REL_DRE_FINANCEIRO!$B$30,LANÇ_MOV[ANO PAGAMENTO],$B$4,LANÇ_MOV[MÊS PAGAMENTO CORRESPONDENTE],M$6,LANÇ_MOV[EMPRESA],$C$4,LANÇ_MOV[CENTRO DE CUSTOS],$D$4)</f>
        <v>0</v>
      </c>
      <c r="N115" s="206">
        <f>SUMIFS(LANÇ_MOV[VALOR LÍQUIDO],LANÇ_MOV[RECEITA OU DESPESA],"Receita",LANÇ_MOV[CONTAS],$C115,LANÇ_MOV[PLANO DE CONTAS],REL_DRE_FINANCEIRO!$B$30,LANÇ_MOV[ANO PAGAMENTO],$B$4,LANÇ_MOV[MÊS PAGAMENTO CORRESPONDENTE],N$6,LANÇ_MOV[EMPRESA],$C$4,LANÇ_MOV[CENTRO DE CUSTOS],$D$4)</f>
        <v>0</v>
      </c>
      <c r="O115" s="206">
        <f>SUMIFS(LANÇ_MOV[VALOR LÍQUIDO],LANÇ_MOV[RECEITA OU DESPESA],"Receita",LANÇ_MOV[CONTAS],$C115,LANÇ_MOV[PLANO DE CONTAS],REL_DRE_FINANCEIRO!$B$30,LANÇ_MOV[ANO PAGAMENTO],$B$4,LANÇ_MOV[MÊS PAGAMENTO CORRESPONDENTE],O$6,LANÇ_MOV[EMPRESA],$C$4,LANÇ_MOV[CENTRO DE CUSTOS],$D$4)</f>
        <v>0</v>
      </c>
      <c r="P115" s="207">
        <f t="shared" si="23"/>
        <v>0</v>
      </c>
      <c r="Q115" s="333">
        <v>1.5999999999999999E-6</v>
      </c>
      <c r="R115" s="346">
        <f t="shared" si="24"/>
        <v>1.5999999999999999E-6</v>
      </c>
      <c r="S115" s="347" t="str">
        <f t="shared" si="25"/>
        <v>-</v>
      </c>
      <c r="T115" s="347">
        <f t="shared" si="26"/>
        <v>0</v>
      </c>
      <c r="U115" s="347">
        <f>HLOOKUP(Apoio!$P$12,$D$29:$P$130,X115,FALSE)+Q115</f>
        <v>1.5999999999999999E-6</v>
      </c>
      <c r="V115" s="447" t="str">
        <f t="shared" si="27"/>
        <v>-</v>
      </c>
      <c r="W115" s="448">
        <f>HLOOKUP(Apoio!$P$12,$D$29:$P$130,X115,FALSE)</f>
        <v>0</v>
      </c>
      <c r="X115" s="329">
        <v>87</v>
      </c>
    </row>
    <row r="116" spans="2:24" ht="30.05" customHeight="1" x14ac:dyDescent="0.35">
      <c r="B116" s="204" t="str">
        <f>'CAD_PL_REC-DESP'!B90</f>
        <v>1.1.86</v>
      </c>
      <c r="C116" s="205" t="str">
        <f>IF('CAD_PL_REC-DESP'!C90="","-",'CAD_PL_REC-DESP'!C90)</f>
        <v>-</v>
      </c>
      <c r="D116" s="206">
        <f>SUMIFS(LANÇ_MOV[VALOR LÍQUIDO],LANÇ_MOV[RECEITA OU DESPESA],"Receita",LANÇ_MOV[CONTAS],$C116,LANÇ_MOV[PLANO DE CONTAS],REL_DRE_FINANCEIRO!$B$30,LANÇ_MOV[ANO PAGAMENTO],$B$4,LANÇ_MOV[MÊS PAGAMENTO CORRESPONDENTE],D$6,LANÇ_MOV[EMPRESA],$C$4,LANÇ_MOV[CENTRO DE CUSTOS],$D$4)</f>
        <v>0</v>
      </c>
      <c r="E116" s="206">
        <f>SUMIFS(LANÇ_MOV[VALOR LÍQUIDO],LANÇ_MOV[RECEITA OU DESPESA],"Receita",LANÇ_MOV[CONTAS],$C116,LANÇ_MOV[PLANO DE CONTAS],REL_DRE_FINANCEIRO!$B$30,LANÇ_MOV[ANO PAGAMENTO],$B$4,LANÇ_MOV[MÊS PAGAMENTO CORRESPONDENTE],E$6,LANÇ_MOV[EMPRESA],$C$4,LANÇ_MOV[CENTRO DE CUSTOS],$D$4)</f>
        <v>0</v>
      </c>
      <c r="F116" s="206">
        <f>SUMIFS(LANÇ_MOV[VALOR LÍQUIDO],LANÇ_MOV[RECEITA OU DESPESA],"Receita",LANÇ_MOV[CONTAS],$C116,LANÇ_MOV[PLANO DE CONTAS],REL_DRE_FINANCEIRO!$B$30,LANÇ_MOV[ANO PAGAMENTO],$B$4,LANÇ_MOV[MÊS PAGAMENTO CORRESPONDENTE],F$6,LANÇ_MOV[EMPRESA],$C$4,LANÇ_MOV[CENTRO DE CUSTOS],$D$4)</f>
        <v>0</v>
      </c>
      <c r="G116" s="206">
        <f>SUMIFS(LANÇ_MOV[VALOR LÍQUIDO],LANÇ_MOV[RECEITA OU DESPESA],"Receita",LANÇ_MOV[CONTAS],$C116,LANÇ_MOV[PLANO DE CONTAS],REL_DRE_FINANCEIRO!$B$30,LANÇ_MOV[ANO PAGAMENTO],$B$4,LANÇ_MOV[MÊS PAGAMENTO CORRESPONDENTE],G$6,LANÇ_MOV[EMPRESA],$C$4,LANÇ_MOV[CENTRO DE CUSTOS],$D$4)</f>
        <v>0</v>
      </c>
      <c r="H116" s="206">
        <f>SUMIFS(LANÇ_MOV[VALOR LÍQUIDO],LANÇ_MOV[RECEITA OU DESPESA],"Receita",LANÇ_MOV[CONTAS],$C116,LANÇ_MOV[PLANO DE CONTAS],REL_DRE_FINANCEIRO!$B$30,LANÇ_MOV[ANO PAGAMENTO],$B$4,LANÇ_MOV[MÊS PAGAMENTO CORRESPONDENTE],H$6,LANÇ_MOV[EMPRESA],$C$4,LANÇ_MOV[CENTRO DE CUSTOS],$D$4)</f>
        <v>0</v>
      </c>
      <c r="I116" s="206">
        <f>SUMIFS(LANÇ_MOV[VALOR LÍQUIDO],LANÇ_MOV[RECEITA OU DESPESA],"Receita",LANÇ_MOV[CONTAS],$C116,LANÇ_MOV[PLANO DE CONTAS],REL_DRE_FINANCEIRO!$B$30,LANÇ_MOV[ANO PAGAMENTO],$B$4,LANÇ_MOV[MÊS PAGAMENTO CORRESPONDENTE],I$6,LANÇ_MOV[EMPRESA],$C$4,LANÇ_MOV[CENTRO DE CUSTOS],$D$4)</f>
        <v>0</v>
      </c>
      <c r="J116" s="206">
        <f>SUMIFS(LANÇ_MOV[VALOR LÍQUIDO],LANÇ_MOV[RECEITA OU DESPESA],"Receita",LANÇ_MOV[CONTAS],$C116,LANÇ_MOV[PLANO DE CONTAS],REL_DRE_FINANCEIRO!$B$30,LANÇ_MOV[ANO PAGAMENTO],$B$4,LANÇ_MOV[MÊS PAGAMENTO CORRESPONDENTE],J$6,LANÇ_MOV[EMPRESA],$C$4,LANÇ_MOV[CENTRO DE CUSTOS],$D$4)</f>
        <v>0</v>
      </c>
      <c r="K116" s="206">
        <f>SUMIFS(LANÇ_MOV[VALOR LÍQUIDO],LANÇ_MOV[RECEITA OU DESPESA],"Receita",LANÇ_MOV[CONTAS],$C116,LANÇ_MOV[PLANO DE CONTAS],REL_DRE_FINANCEIRO!$B$30,LANÇ_MOV[ANO PAGAMENTO],$B$4,LANÇ_MOV[MÊS PAGAMENTO CORRESPONDENTE],K$6,LANÇ_MOV[EMPRESA],$C$4,LANÇ_MOV[CENTRO DE CUSTOS],$D$4)</f>
        <v>0</v>
      </c>
      <c r="L116" s="206">
        <f>SUMIFS(LANÇ_MOV[VALOR LÍQUIDO],LANÇ_MOV[RECEITA OU DESPESA],"Receita",LANÇ_MOV[CONTAS],$C116,LANÇ_MOV[PLANO DE CONTAS],REL_DRE_FINANCEIRO!$B$30,LANÇ_MOV[ANO PAGAMENTO],$B$4,LANÇ_MOV[MÊS PAGAMENTO CORRESPONDENTE],L$6,LANÇ_MOV[EMPRESA],$C$4,LANÇ_MOV[CENTRO DE CUSTOS],$D$4)</f>
        <v>0</v>
      </c>
      <c r="M116" s="206">
        <f>SUMIFS(LANÇ_MOV[VALOR LÍQUIDO],LANÇ_MOV[RECEITA OU DESPESA],"Receita",LANÇ_MOV[CONTAS],$C116,LANÇ_MOV[PLANO DE CONTAS],REL_DRE_FINANCEIRO!$B$30,LANÇ_MOV[ANO PAGAMENTO],$B$4,LANÇ_MOV[MÊS PAGAMENTO CORRESPONDENTE],M$6,LANÇ_MOV[EMPRESA],$C$4,LANÇ_MOV[CENTRO DE CUSTOS],$D$4)</f>
        <v>0</v>
      </c>
      <c r="N116" s="206">
        <f>SUMIFS(LANÇ_MOV[VALOR LÍQUIDO],LANÇ_MOV[RECEITA OU DESPESA],"Receita",LANÇ_MOV[CONTAS],$C116,LANÇ_MOV[PLANO DE CONTAS],REL_DRE_FINANCEIRO!$B$30,LANÇ_MOV[ANO PAGAMENTO],$B$4,LANÇ_MOV[MÊS PAGAMENTO CORRESPONDENTE],N$6,LANÇ_MOV[EMPRESA],$C$4,LANÇ_MOV[CENTRO DE CUSTOS],$D$4)</f>
        <v>0</v>
      </c>
      <c r="O116" s="206">
        <f>SUMIFS(LANÇ_MOV[VALOR LÍQUIDO],LANÇ_MOV[RECEITA OU DESPESA],"Receita",LANÇ_MOV[CONTAS],$C116,LANÇ_MOV[PLANO DE CONTAS],REL_DRE_FINANCEIRO!$B$30,LANÇ_MOV[ANO PAGAMENTO],$B$4,LANÇ_MOV[MÊS PAGAMENTO CORRESPONDENTE],O$6,LANÇ_MOV[EMPRESA],$C$4,LANÇ_MOV[CENTRO DE CUSTOS],$D$4)</f>
        <v>0</v>
      </c>
      <c r="P116" s="207">
        <f t="shared" si="23"/>
        <v>0</v>
      </c>
      <c r="Q116" s="333">
        <v>1.5E-6</v>
      </c>
      <c r="R116" s="346">
        <f t="shared" si="24"/>
        <v>1.5E-6</v>
      </c>
      <c r="S116" s="347" t="str">
        <f t="shared" si="25"/>
        <v>-</v>
      </c>
      <c r="T116" s="347">
        <f t="shared" si="26"/>
        <v>0</v>
      </c>
      <c r="U116" s="347">
        <f>HLOOKUP(Apoio!$P$12,$D$29:$P$130,X116,FALSE)+Q116</f>
        <v>1.5E-6</v>
      </c>
      <c r="V116" s="447" t="str">
        <f t="shared" si="27"/>
        <v>-</v>
      </c>
      <c r="W116" s="448">
        <f>HLOOKUP(Apoio!$P$12,$D$29:$P$130,X116,FALSE)</f>
        <v>0</v>
      </c>
      <c r="X116" s="329">
        <v>88</v>
      </c>
    </row>
    <row r="117" spans="2:24" ht="30.05" customHeight="1" x14ac:dyDescent="0.35">
      <c r="B117" s="204" t="str">
        <f>'CAD_PL_REC-DESP'!B91</f>
        <v>1.1.87</v>
      </c>
      <c r="C117" s="205" t="str">
        <f>IF('CAD_PL_REC-DESP'!C91="","-",'CAD_PL_REC-DESP'!C91)</f>
        <v>-</v>
      </c>
      <c r="D117" s="206">
        <f>SUMIFS(LANÇ_MOV[VALOR LÍQUIDO],LANÇ_MOV[RECEITA OU DESPESA],"Receita",LANÇ_MOV[CONTAS],$C117,LANÇ_MOV[PLANO DE CONTAS],REL_DRE_FINANCEIRO!$B$30,LANÇ_MOV[ANO PAGAMENTO],$B$4,LANÇ_MOV[MÊS PAGAMENTO CORRESPONDENTE],D$6,LANÇ_MOV[EMPRESA],$C$4,LANÇ_MOV[CENTRO DE CUSTOS],$D$4)</f>
        <v>0</v>
      </c>
      <c r="E117" s="206">
        <f>SUMIFS(LANÇ_MOV[VALOR LÍQUIDO],LANÇ_MOV[RECEITA OU DESPESA],"Receita",LANÇ_MOV[CONTAS],$C117,LANÇ_MOV[PLANO DE CONTAS],REL_DRE_FINANCEIRO!$B$30,LANÇ_MOV[ANO PAGAMENTO],$B$4,LANÇ_MOV[MÊS PAGAMENTO CORRESPONDENTE],E$6,LANÇ_MOV[EMPRESA],$C$4,LANÇ_MOV[CENTRO DE CUSTOS],$D$4)</f>
        <v>0</v>
      </c>
      <c r="F117" s="206">
        <f>SUMIFS(LANÇ_MOV[VALOR LÍQUIDO],LANÇ_MOV[RECEITA OU DESPESA],"Receita",LANÇ_MOV[CONTAS],$C117,LANÇ_MOV[PLANO DE CONTAS],REL_DRE_FINANCEIRO!$B$30,LANÇ_MOV[ANO PAGAMENTO],$B$4,LANÇ_MOV[MÊS PAGAMENTO CORRESPONDENTE],F$6,LANÇ_MOV[EMPRESA],$C$4,LANÇ_MOV[CENTRO DE CUSTOS],$D$4)</f>
        <v>0</v>
      </c>
      <c r="G117" s="206">
        <f>SUMIFS(LANÇ_MOV[VALOR LÍQUIDO],LANÇ_MOV[RECEITA OU DESPESA],"Receita",LANÇ_MOV[CONTAS],$C117,LANÇ_MOV[PLANO DE CONTAS],REL_DRE_FINANCEIRO!$B$30,LANÇ_MOV[ANO PAGAMENTO],$B$4,LANÇ_MOV[MÊS PAGAMENTO CORRESPONDENTE],G$6,LANÇ_MOV[EMPRESA],$C$4,LANÇ_MOV[CENTRO DE CUSTOS],$D$4)</f>
        <v>0</v>
      </c>
      <c r="H117" s="206">
        <f>SUMIFS(LANÇ_MOV[VALOR LÍQUIDO],LANÇ_MOV[RECEITA OU DESPESA],"Receita",LANÇ_MOV[CONTAS],$C117,LANÇ_MOV[PLANO DE CONTAS],REL_DRE_FINANCEIRO!$B$30,LANÇ_MOV[ANO PAGAMENTO],$B$4,LANÇ_MOV[MÊS PAGAMENTO CORRESPONDENTE],H$6,LANÇ_MOV[EMPRESA],$C$4,LANÇ_MOV[CENTRO DE CUSTOS],$D$4)</f>
        <v>0</v>
      </c>
      <c r="I117" s="206">
        <f>SUMIFS(LANÇ_MOV[VALOR LÍQUIDO],LANÇ_MOV[RECEITA OU DESPESA],"Receita",LANÇ_MOV[CONTAS],$C117,LANÇ_MOV[PLANO DE CONTAS],REL_DRE_FINANCEIRO!$B$30,LANÇ_MOV[ANO PAGAMENTO],$B$4,LANÇ_MOV[MÊS PAGAMENTO CORRESPONDENTE],I$6,LANÇ_MOV[EMPRESA],$C$4,LANÇ_MOV[CENTRO DE CUSTOS],$D$4)</f>
        <v>0</v>
      </c>
      <c r="J117" s="206">
        <f>SUMIFS(LANÇ_MOV[VALOR LÍQUIDO],LANÇ_MOV[RECEITA OU DESPESA],"Receita",LANÇ_MOV[CONTAS],$C117,LANÇ_MOV[PLANO DE CONTAS],REL_DRE_FINANCEIRO!$B$30,LANÇ_MOV[ANO PAGAMENTO],$B$4,LANÇ_MOV[MÊS PAGAMENTO CORRESPONDENTE],J$6,LANÇ_MOV[EMPRESA],$C$4,LANÇ_MOV[CENTRO DE CUSTOS],$D$4)</f>
        <v>0</v>
      </c>
      <c r="K117" s="206">
        <f>SUMIFS(LANÇ_MOV[VALOR LÍQUIDO],LANÇ_MOV[RECEITA OU DESPESA],"Receita",LANÇ_MOV[CONTAS],$C117,LANÇ_MOV[PLANO DE CONTAS],REL_DRE_FINANCEIRO!$B$30,LANÇ_MOV[ANO PAGAMENTO],$B$4,LANÇ_MOV[MÊS PAGAMENTO CORRESPONDENTE],K$6,LANÇ_MOV[EMPRESA],$C$4,LANÇ_MOV[CENTRO DE CUSTOS],$D$4)</f>
        <v>0</v>
      </c>
      <c r="L117" s="206">
        <f>SUMIFS(LANÇ_MOV[VALOR LÍQUIDO],LANÇ_MOV[RECEITA OU DESPESA],"Receita",LANÇ_MOV[CONTAS],$C117,LANÇ_MOV[PLANO DE CONTAS],REL_DRE_FINANCEIRO!$B$30,LANÇ_MOV[ANO PAGAMENTO],$B$4,LANÇ_MOV[MÊS PAGAMENTO CORRESPONDENTE],L$6,LANÇ_MOV[EMPRESA],$C$4,LANÇ_MOV[CENTRO DE CUSTOS],$D$4)</f>
        <v>0</v>
      </c>
      <c r="M117" s="206">
        <f>SUMIFS(LANÇ_MOV[VALOR LÍQUIDO],LANÇ_MOV[RECEITA OU DESPESA],"Receita",LANÇ_MOV[CONTAS],$C117,LANÇ_MOV[PLANO DE CONTAS],REL_DRE_FINANCEIRO!$B$30,LANÇ_MOV[ANO PAGAMENTO],$B$4,LANÇ_MOV[MÊS PAGAMENTO CORRESPONDENTE],M$6,LANÇ_MOV[EMPRESA],$C$4,LANÇ_MOV[CENTRO DE CUSTOS],$D$4)</f>
        <v>0</v>
      </c>
      <c r="N117" s="206">
        <f>SUMIFS(LANÇ_MOV[VALOR LÍQUIDO],LANÇ_MOV[RECEITA OU DESPESA],"Receita",LANÇ_MOV[CONTAS],$C117,LANÇ_MOV[PLANO DE CONTAS],REL_DRE_FINANCEIRO!$B$30,LANÇ_MOV[ANO PAGAMENTO],$B$4,LANÇ_MOV[MÊS PAGAMENTO CORRESPONDENTE],N$6,LANÇ_MOV[EMPRESA],$C$4,LANÇ_MOV[CENTRO DE CUSTOS],$D$4)</f>
        <v>0</v>
      </c>
      <c r="O117" s="206">
        <f>SUMIFS(LANÇ_MOV[VALOR LÍQUIDO],LANÇ_MOV[RECEITA OU DESPESA],"Receita",LANÇ_MOV[CONTAS],$C117,LANÇ_MOV[PLANO DE CONTAS],REL_DRE_FINANCEIRO!$B$30,LANÇ_MOV[ANO PAGAMENTO],$B$4,LANÇ_MOV[MÊS PAGAMENTO CORRESPONDENTE],O$6,LANÇ_MOV[EMPRESA],$C$4,LANÇ_MOV[CENTRO DE CUSTOS],$D$4)</f>
        <v>0</v>
      </c>
      <c r="P117" s="207">
        <f t="shared" si="23"/>
        <v>0</v>
      </c>
      <c r="Q117" s="333">
        <v>1.3999999999999999E-6</v>
      </c>
      <c r="R117" s="346">
        <f t="shared" si="24"/>
        <v>1.3999999999999999E-6</v>
      </c>
      <c r="S117" s="347" t="str">
        <f t="shared" si="25"/>
        <v>-</v>
      </c>
      <c r="T117" s="347">
        <f t="shared" si="26"/>
        <v>0</v>
      </c>
      <c r="U117" s="347">
        <f>HLOOKUP(Apoio!$P$12,$D$29:$P$130,X117,FALSE)+Q117</f>
        <v>1.3999999999999999E-6</v>
      </c>
      <c r="V117" s="447" t="str">
        <f t="shared" si="27"/>
        <v>-</v>
      </c>
      <c r="W117" s="448">
        <f>HLOOKUP(Apoio!$P$12,$D$29:$P$130,X117,FALSE)</f>
        <v>0</v>
      </c>
      <c r="X117" s="329">
        <v>89</v>
      </c>
    </row>
    <row r="118" spans="2:24" ht="30.05" customHeight="1" x14ac:dyDescent="0.35">
      <c r="B118" s="204" t="str">
        <f>'CAD_PL_REC-DESP'!B92</f>
        <v>1.1.88</v>
      </c>
      <c r="C118" s="205" t="str">
        <f>IF('CAD_PL_REC-DESP'!C92="","-",'CAD_PL_REC-DESP'!C92)</f>
        <v>-</v>
      </c>
      <c r="D118" s="206">
        <f>SUMIFS(LANÇ_MOV[VALOR LÍQUIDO],LANÇ_MOV[RECEITA OU DESPESA],"Receita",LANÇ_MOV[CONTAS],$C118,LANÇ_MOV[PLANO DE CONTAS],REL_DRE_FINANCEIRO!$B$30,LANÇ_MOV[ANO PAGAMENTO],$B$4,LANÇ_MOV[MÊS PAGAMENTO CORRESPONDENTE],D$6,LANÇ_MOV[EMPRESA],$C$4,LANÇ_MOV[CENTRO DE CUSTOS],$D$4)</f>
        <v>0</v>
      </c>
      <c r="E118" s="206">
        <f>SUMIFS(LANÇ_MOV[VALOR LÍQUIDO],LANÇ_MOV[RECEITA OU DESPESA],"Receita",LANÇ_MOV[CONTAS],$C118,LANÇ_MOV[PLANO DE CONTAS],REL_DRE_FINANCEIRO!$B$30,LANÇ_MOV[ANO PAGAMENTO],$B$4,LANÇ_MOV[MÊS PAGAMENTO CORRESPONDENTE],E$6,LANÇ_MOV[EMPRESA],$C$4,LANÇ_MOV[CENTRO DE CUSTOS],$D$4)</f>
        <v>0</v>
      </c>
      <c r="F118" s="206">
        <f>SUMIFS(LANÇ_MOV[VALOR LÍQUIDO],LANÇ_MOV[RECEITA OU DESPESA],"Receita",LANÇ_MOV[CONTAS],$C118,LANÇ_MOV[PLANO DE CONTAS],REL_DRE_FINANCEIRO!$B$30,LANÇ_MOV[ANO PAGAMENTO],$B$4,LANÇ_MOV[MÊS PAGAMENTO CORRESPONDENTE],F$6,LANÇ_MOV[EMPRESA],$C$4,LANÇ_MOV[CENTRO DE CUSTOS],$D$4)</f>
        <v>0</v>
      </c>
      <c r="G118" s="206">
        <f>SUMIFS(LANÇ_MOV[VALOR LÍQUIDO],LANÇ_MOV[RECEITA OU DESPESA],"Receita",LANÇ_MOV[CONTAS],$C118,LANÇ_MOV[PLANO DE CONTAS],REL_DRE_FINANCEIRO!$B$30,LANÇ_MOV[ANO PAGAMENTO],$B$4,LANÇ_MOV[MÊS PAGAMENTO CORRESPONDENTE],G$6,LANÇ_MOV[EMPRESA],$C$4,LANÇ_MOV[CENTRO DE CUSTOS],$D$4)</f>
        <v>0</v>
      </c>
      <c r="H118" s="206">
        <f>SUMIFS(LANÇ_MOV[VALOR LÍQUIDO],LANÇ_MOV[RECEITA OU DESPESA],"Receita",LANÇ_MOV[CONTAS],$C118,LANÇ_MOV[PLANO DE CONTAS],REL_DRE_FINANCEIRO!$B$30,LANÇ_MOV[ANO PAGAMENTO],$B$4,LANÇ_MOV[MÊS PAGAMENTO CORRESPONDENTE],H$6,LANÇ_MOV[EMPRESA],$C$4,LANÇ_MOV[CENTRO DE CUSTOS],$D$4)</f>
        <v>0</v>
      </c>
      <c r="I118" s="206">
        <f>SUMIFS(LANÇ_MOV[VALOR LÍQUIDO],LANÇ_MOV[RECEITA OU DESPESA],"Receita",LANÇ_MOV[CONTAS],$C118,LANÇ_MOV[PLANO DE CONTAS],REL_DRE_FINANCEIRO!$B$30,LANÇ_MOV[ANO PAGAMENTO],$B$4,LANÇ_MOV[MÊS PAGAMENTO CORRESPONDENTE],I$6,LANÇ_MOV[EMPRESA],$C$4,LANÇ_MOV[CENTRO DE CUSTOS],$D$4)</f>
        <v>0</v>
      </c>
      <c r="J118" s="206">
        <f>SUMIFS(LANÇ_MOV[VALOR LÍQUIDO],LANÇ_MOV[RECEITA OU DESPESA],"Receita",LANÇ_MOV[CONTAS],$C118,LANÇ_MOV[PLANO DE CONTAS],REL_DRE_FINANCEIRO!$B$30,LANÇ_MOV[ANO PAGAMENTO],$B$4,LANÇ_MOV[MÊS PAGAMENTO CORRESPONDENTE],J$6,LANÇ_MOV[EMPRESA],$C$4,LANÇ_MOV[CENTRO DE CUSTOS],$D$4)</f>
        <v>0</v>
      </c>
      <c r="K118" s="206">
        <f>SUMIFS(LANÇ_MOV[VALOR LÍQUIDO],LANÇ_MOV[RECEITA OU DESPESA],"Receita",LANÇ_MOV[CONTAS],$C118,LANÇ_MOV[PLANO DE CONTAS],REL_DRE_FINANCEIRO!$B$30,LANÇ_MOV[ANO PAGAMENTO],$B$4,LANÇ_MOV[MÊS PAGAMENTO CORRESPONDENTE],K$6,LANÇ_MOV[EMPRESA],$C$4,LANÇ_MOV[CENTRO DE CUSTOS],$D$4)</f>
        <v>0</v>
      </c>
      <c r="L118" s="206">
        <f>SUMIFS(LANÇ_MOV[VALOR LÍQUIDO],LANÇ_MOV[RECEITA OU DESPESA],"Receita",LANÇ_MOV[CONTAS],$C118,LANÇ_MOV[PLANO DE CONTAS],REL_DRE_FINANCEIRO!$B$30,LANÇ_MOV[ANO PAGAMENTO],$B$4,LANÇ_MOV[MÊS PAGAMENTO CORRESPONDENTE],L$6,LANÇ_MOV[EMPRESA],$C$4,LANÇ_MOV[CENTRO DE CUSTOS],$D$4)</f>
        <v>0</v>
      </c>
      <c r="M118" s="206">
        <f>SUMIFS(LANÇ_MOV[VALOR LÍQUIDO],LANÇ_MOV[RECEITA OU DESPESA],"Receita",LANÇ_MOV[CONTAS],$C118,LANÇ_MOV[PLANO DE CONTAS],REL_DRE_FINANCEIRO!$B$30,LANÇ_MOV[ANO PAGAMENTO],$B$4,LANÇ_MOV[MÊS PAGAMENTO CORRESPONDENTE],M$6,LANÇ_MOV[EMPRESA],$C$4,LANÇ_MOV[CENTRO DE CUSTOS],$D$4)</f>
        <v>0</v>
      </c>
      <c r="N118" s="206">
        <f>SUMIFS(LANÇ_MOV[VALOR LÍQUIDO],LANÇ_MOV[RECEITA OU DESPESA],"Receita",LANÇ_MOV[CONTAS],$C118,LANÇ_MOV[PLANO DE CONTAS],REL_DRE_FINANCEIRO!$B$30,LANÇ_MOV[ANO PAGAMENTO],$B$4,LANÇ_MOV[MÊS PAGAMENTO CORRESPONDENTE],N$6,LANÇ_MOV[EMPRESA],$C$4,LANÇ_MOV[CENTRO DE CUSTOS],$D$4)</f>
        <v>0</v>
      </c>
      <c r="O118" s="206">
        <f>SUMIFS(LANÇ_MOV[VALOR LÍQUIDO],LANÇ_MOV[RECEITA OU DESPESA],"Receita",LANÇ_MOV[CONTAS],$C118,LANÇ_MOV[PLANO DE CONTAS],REL_DRE_FINANCEIRO!$B$30,LANÇ_MOV[ANO PAGAMENTO],$B$4,LANÇ_MOV[MÊS PAGAMENTO CORRESPONDENTE],O$6,LANÇ_MOV[EMPRESA],$C$4,LANÇ_MOV[CENTRO DE CUSTOS],$D$4)</f>
        <v>0</v>
      </c>
      <c r="P118" s="207">
        <f t="shared" si="23"/>
        <v>0</v>
      </c>
      <c r="Q118" s="333">
        <v>1.3E-6</v>
      </c>
      <c r="R118" s="346">
        <f t="shared" si="24"/>
        <v>1.3E-6</v>
      </c>
      <c r="S118" s="347" t="str">
        <f t="shared" si="25"/>
        <v>-</v>
      </c>
      <c r="T118" s="347">
        <f t="shared" si="26"/>
        <v>0</v>
      </c>
      <c r="U118" s="347">
        <f>HLOOKUP(Apoio!$P$12,$D$29:$P$130,X118,FALSE)+Q118</f>
        <v>1.3E-6</v>
      </c>
      <c r="V118" s="447" t="str">
        <f t="shared" si="27"/>
        <v>-</v>
      </c>
      <c r="W118" s="448">
        <f>HLOOKUP(Apoio!$P$12,$D$29:$P$130,X118,FALSE)</f>
        <v>0</v>
      </c>
      <c r="X118" s="329">
        <v>90</v>
      </c>
    </row>
    <row r="119" spans="2:24" ht="30.05" customHeight="1" x14ac:dyDescent="0.35">
      <c r="B119" s="204" t="str">
        <f>'CAD_PL_REC-DESP'!B93</f>
        <v>1.1.89</v>
      </c>
      <c r="C119" s="205" t="str">
        <f>IF('CAD_PL_REC-DESP'!C93="","-",'CAD_PL_REC-DESP'!C93)</f>
        <v>-</v>
      </c>
      <c r="D119" s="206">
        <f>SUMIFS(LANÇ_MOV[VALOR LÍQUIDO],LANÇ_MOV[RECEITA OU DESPESA],"Receita",LANÇ_MOV[CONTAS],$C119,LANÇ_MOV[PLANO DE CONTAS],REL_DRE_FINANCEIRO!$B$30,LANÇ_MOV[ANO PAGAMENTO],$B$4,LANÇ_MOV[MÊS PAGAMENTO CORRESPONDENTE],D$6,LANÇ_MOV[EMPRESA],$C$4,LANÇ_MOV[CENTRO DE CUSTOS],$D$4)</f>
        <v>0</v>
      </c>
      <c r="E119" s="206">
        <f>SUMIFS(LANÇ_MOV[VALOR LÍQUIDO],LANÇ_MOV[RECEITA OU DESPESA],"Receita",LANÇ_MOV[CONTAS],$C119,LANÇ_MOV[PLANO DE CONTAS],REL_DRE_FINANCEIRO!$B$30,LANÇ_MOV[ANO PAGAMENTO],$B$4,LANÇ_MOV[MÊS PAGAMENTO CORRESPONDENTE],E$6,LANÇ_MOV[EMPRESA],$C$4,LANÇ_MOV[CENTRO DE CUSTOS],$D$4)</f>
        <v>0</v>
      </c>
      <c r="F119" s="206">
        <f>SUMIFS(LANÇ_MOV[VALOR LÍQUIDO],LANÇ_MOV[RECEITA OU DESPESA],"Receita",LANÇ_MOV[CONTAS],$C119,LANÇ_MOV[PLANO DE CONTAS],REL_DRE_FINANCEIRO!$B$30,LANÇ_MOV[ANO PAGAMENTO],$B$4,LANÇ_MOV[MÊS PAGAMENTO CORRESPONDENTE],F$6,LANÇ_MOV[EMPRESA],$C$4,LANÇ_MOV[CENTRO DE CUSTOS],$D$4)</f>
        <v>0</v>
      </c>
      <c r="G119" s="206">
        <f>SUMIFS(LANÇ_MOV[VALOR LÍQUIDO],LANÇ_MOV[RECEITA OU DESPESA],"Receita",LANÇ_MOV[CONTAS],$C119,LANÇ_MOV[PLANO DE CONTAS],REL_DRE_FINANCEIRO!$B$30,LANÇ_MOV[ANO PAGAMENTO],$B$4,LANÇ_MOV[MÊS PAGAMENTO CORRESPONDENTE],G$6,LANÇ_MOV[EMPRESA],$C$4,LANÇ_MOV[CENTRO DE CUSTOS],$D$4)</f>
        <v>0</v>
      </c>
      <c r="H119" s="206">
        <f>SUMIFS(LANÇ_MOV[VALOR LÍQUIDO],LANÇ_MOV[RECEITA OU DESPESA],"Receita",LANÇ_MOV[CONTAS],$C119,LANÇ_MOV[PLANO DE CONTAS],REL_DRE_FINANCEIRO!$B$30,LANÇ_MOV[ANO PAGAMENTO],$B$4,LANÇ_MOV[MÊS PAGAMENTO CORRESPONDENTE],H$6,LANÇ_MOV[EMPRESA],$C$4,LANÇ_MOV[CENTRO DE CUSTOS],$D$4)</f>
        <v>0</v>
      </c>
      <c r="I119" s="206">
        <f>SUMIFS(LANÇ_MOV[VALOR LÍQUIDO],LANÇ_MOV[RECEITA OU DESPESA],"Receita",LANÇ_MOV[CONTAS],$C119,LANÇ_MOV[PLANO DE CONTAS],REL_DRE_FINANCEIRO!$B$30,LANÇ_MOV[ANO PAGAMENTO],$B$4,LANÇ_MOV[MÊS PAGAMENTO CORRESPONDENTE],I$6,LANÇ_MOV[EMPRESA],$C$4,LANÇ_MOV[CENTRO DE CUSTOS],$D$4)</f>
        <v>0</v>
      </c>
      <c r="J119" s="206">
        <f>SUMIFS(LANÇ_MOV[VALOR LÍQUIDO],LANÇ_MOV[RECEITA OU DESPESA],"Receita",LANÇ_MOV[CONTAS],$C119,LANÇ_MOV[PLANO DE CONTAS],REL_DRE_FINANCEIRO!$B$30,LANÇ_MOV[ANO PAGAMENTO],$B$4,LANÇ_MOV[MÊS PAGAMENTO CORRESPONDENTE],J$6,LANÇ_MOV[EMPRESA],$C$4,LANÇ_MOV[CENTRO DE CUSTOS],$D$4)</f>
        <v>0</v>
      </c>
      <c r="K119" s="206">
        <f>SUMIFS(LANÇ_MOV[VALOR LÍQUIDO],LANÇ_MOV[RECEITA OU DESPESA],"Receita",LANÇ_MOV[CONTAS],$C119,LANÇ_MOV[PLANO DE CONTAS],REL_DRE_FINANCEIRO!$B$30,LANÇ_MOV[ANO PAGAMENTO],$B$4,LANÇ_MOV[MÊS PAGAMENTO CORRESPONDENTE],K$6,LANÇ_MOV[EMPRESA],$C$4,LANÇ_MOV[CENTRO DE CUSTOS],$D$4)</f>
        <v>0</v>
      </c>
      <c r="L119" s="206">
        <f>SUMIFS(LANÇ_MOV[VALOR LÍQUIDO],LANÇ_MOV[RECEITA OU DESPESA],"Receita",LANÇ_MOV[CONTAS],$C119,LANÇ_MOV[PLANO DE CONTAS],REL_DRE_FINANCEIRO!$B$30,LANÇ_MOV[ANO PAGAMENTO],$B$4,LANÇ_MOV[MÊS PAGAMENTO CORRESPONDENTE],L$6,LANÇ_MOV[EMPRESA],$C$4,LANÇ_MOV[CENTRO DE CUSTOS],$D$4)</f>
        <v>0</v>
      </c>
      <c r="M119" s="206">
        <f>SUMIFS(LANÇ_MOV[VALOR LÍQUIDO],LANÇ_MOV[RECEITA OU DESPESA],"Receita",LANÇ_MOV[CONTAS],$C119,LANÇ_MOV[PLANO DE CONTAS],REL_DRE_FINANCEIRO!$B$30,LANÇ_MOV[ANO PAGAMENTO],$B$4,LANÇ_MOV[MÊS PAGAMENTO CORRESPONDENTE],M$6,LANÇ_MOV[EMPRESA],$C$4,LANÇ_MOV[CENTRO DE CUSTOS],$D$4)</f>
        <v>0</v>
      </c>
      <c r="N119" s="206">
        <f>SUMIFS(LANÇ_MOV[VALOR LÍQUIDO],LANÇ_MOV[RECEITA OU DESPESA],"Receita",LANÇ_MOV[CONTAS],$C119,LANÇ_MOV[PLANO DE CONTAS],REL_DRE_FINANCEIRO!$B$30,LANÇ_MOV[ANO PAGAMENTO],$B$4,LANÇ_MOV[MÊS PAGAMENTO CORRESPONDENTE],N$6,LANÇ_MOV[EMPRESA],$C$4,LANÇ_MOV[CENTRO DE CUSTOS],$D$4)</f>
        <v>0</v>
      </c>
      <c r="O119" s="206">
        <f>SUMIFS(LANÇ_MOV[VALOR LÍQUIDO],LANÇ_MOV[RECEITA OU DESPESA],"Receita",LANÇ_MOV[CONTAS],$C119,LANÇ_MOV[PLANO DE CONTAS],REL_DRE_FINANCEIRO!$B$30,LANÇ_MOV[ANO PAGAMENTO],$B$4,LANÇ_MOV[MÊS PAGAMENTO CORRESPONDENTE],O$6,LANÇ_MOV[EMPRESA],$C$4,LANÇ_MOV[CENTRO DE CUSTOS],$D$4)</f>
        <v>0</v>
      </c>
      <c r="P119" s="207">
        <f t="shared" si="23"/>
        <v>0</v>
      </c>
      <c r="Q119" s="333">
        <v>1.1999999999999999E-6</v>
      </c>
      <c r="R119" s="346">
        <f t="shared" si="24"/>
        <v>1.1999999999999999E-6</v>
      </c>
      <c r="S119" s="347" t="str">
        <f t="shared" si="25"/>
        <v>-</v>
      </c>
      <c r="T119" s="347">
        <f t="shared" si="26"/>
        <v>0</v>
      </c>
      <c r="U119" s="347">
        <f>HLOOKUP(Apoio!$P$12,$D$29:$P$130,X119,FALSE)+Q119</f>
        <v>1.1999999999999999E-6</v>
      </c>
      <c r="V119" s="447" t="str">
        <f t="shared" si="27"/>
        <v>-</v>
      </c>
      <c r="W119" s="448">
        <f>HLOOKUP(Apoio!$P$12,$D$29:$P$130,X119,FALSE)</f>
        <v>0</v>
      </c>
      <c r="X119" s="329">
        <v>91</v>
      </c>
    </row>
    <row r="120" spans="2:24" ht="30.05" customHeight="1" x14ac:dyDescent="0.35">
      <c r="B120" s="204" t="str">
        <f>'CAD_PL_REC-DESP'!B94</f>
        <v>1.1.90</v>
      </c>
      <c r="C120" s="205" t="str">
        <f>IF('CAD_PL_REC-DESP'!C94="","-",'CAD_PL_REC-DESP'!C94)</f>
        <v>-</v>
      </c>
      <c r="D120" s="206">
        <f>SUMIFS(LANÇ_MOV[VALOR LÍQUIDO],LANÇ_MOV[RECEITA OU DESPESA],"Receita",LANÇ_MOV[CONTAS],$C120,LANÇ_MOV[PLANO DE CONTAS],REL_DRE_FINANCEIRO!$B$30,LANÇ_MOV[ANO PAGAMENTO],$B$4,LANÇ_MOV[MÊS PAGAMENTO CORRESPONDENTE],D$6,LANÇ_MOV[EMPRESA],$C$4,LANÇ_MOV[CENTRO DE CUSTOS],$D$4)</f>
        <v>0</v>
      </c>
      <c r="E120" s="206">
        <f>SUMIFS(LANÇ_MOV[VALOR LÍQUIDO],LANÇ_MOV[RECEITA OU DESPESA],"Receita",LANÇ_MOV[CONTAS],$C120,LANÇ_MOV[PLANO DE CONTAS],REL_DRE_FINANCEIRO!$B$30,LANÇ_MOV[ANO PAGAMENTO],$B$4,LANÇ_MOV[MÊS PAGAMENTO CORRESPONDENTE],E$6,LANÇ_MOV[EMPRESA],$C$4,LANÇ_MOV[CENTRO DE CUSTOS],$D$4)</f>
        <v>0</v>
      </c>
      <c r="F120" s="206">
        <f>SUMIFS(LANÇ_MOV[VALOR LÍQUIDO],LANÇ_MOV[RECEITA OU DESPESA],"Receita",LANÇ_MOV[CONTAS],$C120,LANÇ_MOV[PLANO DE CONTAS],REL_DRE_FINANCEIRO!$B$30,LANÇ_MOV[ANO PAGAMENTO],$B$4,LANÇ_MOV[MÊS PAGAMENTO CORRESPONDENTE],F$6,LANÇ_MOV[EMPRESA],$C$4,LANÇ_MOV[CENTRO DE CUSTOS],$D$4)</f>
        <v>0</v>
      </c>
      <c r="G120" s="206">
        <f>SUMIFS(LANÇ_MOV[VALOR LÍQUIDO],LANÇ_MOV[RECEITA OU DESPESA],"Receita",LANÇ_MOV[CONTAS],$C120,LANÇ_MOV[PLANO DE CONTAS],REL_DRE_FINANCEIRO!$B$30,LANÇ_MOV[ANO PAGAMENTO],$B$4,LANÇ_MOV[MÊS PAGAMENTO CORRESPONDENTE],G$6,LANÇ_MOV[EMPRESA],$C$4,LANÇ_MOV[CENTRO DE CUSTOS],$D$4)</f>
        <v>0</v>
      </c>
      <c r="H120" s="206">
        <f>SUMIFS(LANÇ_MOV[VALOR LÍQUIDO],LANÇ_MOV[RECEITA OU DESPESA],"Receita",LANÇ_MOV[CONTAS],$C120,LANÇ_MOV[PLANO DE CONTAS],REL_DRE_FINANCEIRO!$B$30,LANÇ_MOV[ANO PAGAMENTO],$B$4,LANÇ_MOV[MÊS PAGAMENTO CORRESPONDENTE],H$6,LANÇ_MOV[EMPRESA],$C$4,LANÇ_MOV[CENTRO DE CUSTOS],$D$4)</f>
        <v>0</v>
      </c>
      <c r="I120" s="206">
        <f>SUMIFS(LANÇ_MOV[VALOR LÍQUIDO],LANÇ_MOV[RECEITA OU DESPESA],"Receita",LANÇ_MOV[CONTAS],$C120,LANÇ_MOV[PLANO DE CONTAS],REL_DRE_FINANCEIRO!$B$30,LANÇ_MOV[ANO PAGAMENTO],$B$4,LANÇ_MOV[MÊS PAGAMENTO CORRESPONDENTE],I$6,LANÇ_MOV[EMPRESA],$C$4,LANÇ_MOV[CENTRO DE CUSTOS],$D$4)</f>
        <v>0</v>
      </c>
      <c r="J120" s="206">
        <f>SUMIFS(LANÇ_MOV[VALOR LÍQUIDO],LANÇ_MOV[RECEITA OU DESPESA],"Receita",LANÇ_MOV[CONTAS],$C120,LANÇ_MOV[PLANO DE CONTAS],REL_DRE_FINANCEIRO!$B$30,LANÇ_MOV[ANO PAGAMENTO],$B$4,LANÇ_MOV[MÊS PAGAMENTO CORRESPONDENTE],J$6,LANÇ_MOV[EMPRESA],$C$4,LANÇ_MOV[CENTRO DE CUSTOS],$D$4)</f>
        <v>0</v>
      </c>
      <c r="K120" s="206">
        <f>SUMIFS(LANÇ_MOV[VALOR LÍQUIDO],LANÇ_MOV[RECEITA OU DESPESA],"Receita",LANÇ_MOV[CONTAS],$C120,LANÇ_MOV[PLANO DE CONTAS],REL_DRE_FINANCEIRO!$B$30,LANÇ_MOV[ANO PAGAMENTO],$B$4,LANÇ_MOV[MÊS PAGAMENTO CORRESPONDENTE],K$6,LANÇ_MOV[EMPRESA],$C$4,LANÇ_MOV[CENTRO DE CUSTOS],$D$4)</f>
        <v>0</v>
      </c>
      <c r="L120" s="206">
        <f>SUMIFS(LANÇ_MOV[VALOR LÍQUIDO],LANÇ_MOV[RECEITA OU DESPESA],"Receita",LANÇ_MOV[CONTAS],$C120,LANÇ_MOV[PLANO DE CONTAS],REL_DRE_FINANCEIRO!$B$30,LANÇ_MOV[ANO PAGAMENTO],$B$4,LANÇ_MOV[MÊS PAGAMENTO CORRESPONDENTE],L$6,LANÇ_MOV[EMPRESA],$C$4,LANÇ_MOV[CENTRO DE CUSTOS],$D$4)</f>
        <v>0</v>
      </c>
      <c r="M120" s="206">
        <f>SUMIFS(LANÇ_MOV[VALOR LÍQUIDO],LANÇ_MOV[RECEITA OU DESPESA],"Receita",LANÇ_MOV[CONTAS],$C120,LANÇ_MOV[PLANO DE CONTAS],REL_DRE_FINANCEIRO!$B$30,LANÇ_MOV[ANO PAGAMENTO],$B$4,LANÇ_MOV[MÊS PAGAMENTO CORRESPONDENTE],M$6,LANÇ_MOV[EMPRESA],$C$4,LANÇ_MOV[CENTRO DE CUSTOS],$D$4)</f>
        <v>0</v>
      </c>
      <c r="N120" s="206">
        <f>SUMIFS(LANÇ_MOV[VALOR LÍQUIDO],LANÇ_MOV[RECEITA OU DESPESA],"Receita",LANÇ_MOV[CONTAS],$C120,LANÇ_MOV[PLANO DE CONTAS],REL_DRE_FINANCEIRO!$B$30,LANÇ_MOV[ANO PAGAMENTO],$B$4,LANÇ_MOV[MÊS PAGAMENTO CORRESPONDENTE],N$6,LANÇ_MOV[EMPRESA],$C$4,LANÇ_MOV[CENTRO DE CUSTOS],$D$4)</f>
        <v>0</v>
      </c>
      <c r="O120" s="206">
        <f>SUMIFS(LANÇ_MOV[VALOR LÍQUIDO],LANÇ_MOV[RECEITA OU DESPESA],"Receita",LANÇ_MOV[CONTAS],$C120,LANÇ_MOV[PLANO DE CONTAS],REL_DRE_FINANCEIRO!$B$30,LANÇ_MOV[ANO PAGAMENTO],$B$4,LANÇ_MOV[MÊS PAGAMENTO CORRESPONDENTE],O$6,LANÇ_MOV[EMPRESA],$C$4,LANÇ_MOV[CENTRO DE CUSTOS],$D$4)</f>
        <v>0</v>
      </c>
      <c r="P120" s="207">
        <f t="shared" si="23"/>
        <v>0</v>
      </c>
      <c r="Q120" s="333">
        <v>1.1000000000000001E-6</v>
      </c>
      <c r="R120" s="346">
        <f t="shared" si="24"/>
        <v>1.1000000000000001E-6</v>
      </c>
      <c r="S120" s="347" t="str">
        <f t="shared" si="25"/>
        <v>-</v>
      </c>
      <c r="T120" s="347">
        <f t="shared" si="26"/>
        <v>0</v>
      </c>
      <c r="U120" s="347">
        <f>HLOOKUP(Apoio!$P$12,$D$29:$P$130,X120,FALSE)+Q120</f>
        <v>1.1000000000000001E-6</v>
      </c>
      <c r="V120" s="447" t="str">
        <f t="shared" si="27"/>
        <v>-</v>
      </c>
      <c r="W120" s="448">
        <f>HLOOKUP(Apoio!$P$12,$D$29:$P$130,X120,FALSE)</f>
        <v>0</v>
      </c>
      <c r="X120" s="329">
        <v>92</v>
      </c>
    </row>
    <row r="121" spans="2:24" ht="30.05" customHeight="1" x14ac:dyDescent="0.35">
      <c r="B121" s="204" t="str">
        <f>'CAD_PL_REC-DESP'!B95</f>
        <v>1.1.91</v>
      </c>
      <c r="C121" s="205" t="str">
        <f>IF('CAD_PL_REC-DESP'!C95="","-",'CAD_PL_REC-DESP'!C95)</f>
        <v>-</v>
      </c>
      <c r="D121" s="206">
        <f>SUMIFS(LANÇ_MOV[VALOR LÍQUIDO],LANÇ_MOV[RECEITA OU DESPESA],"Receita",LANÇ_MOV[CONTAS],$C121,LANÇ_MOV[PLANO DE CONTAS],REL_DRE_FINANCEIRO!$B$30,LANÇ_MOV[ANO PAGAMENTO],$B$4,LANÇ_MOV[MÊS PAGAMENTO CORRESPONDENTE],D$6,LANÇ_MOV[EMPRESA],$C$4,LANÇ_MOV[CENTRO DE CUSTOS],$D$4)</f>
        <v>0</v>
      </c>
      <c r="E121" s="206">
        <f>SUMIFS(LANÇ_MOV[VALOR LÍQUIDO],LANÇ_MOV[RECEITA OU DESPESA],"Receita",LANÇ_MOV[CONTAS],$C121,LANÇ_MOV[PLANO DE CONTAS],REL_DRE_FINANCEIRO!$B$30,LANÇ_MOV[ANO PAGAMENTO],$B$4,LANÇ_MOV[MÊS PAGAMENTO CORRESPONDENTE],E$6,LANÇ_MOV[EMPRESA],$C$4,LANÇ_MOV[CENTRO DE CUSTOS],$D$4)</f>
        <v>0</v>
      </c>
      <c r="F121" s="206">
        <f>SUMIFS(LANÇ_MOV[VALOR LÍQUIDO],LANÇ_MOV[RECEITA OU DESPESA],"Receita",LANÇ_MOV[CONTAS],$C121,LANÇ_MOV[PLANO DE CONTAS],REL_DRE_FINANCEIRO!$B$30,LANÇ_MOV[ANO PAGAMENTO],$B$4,LANÇ_MOV[MÊS PAGAMENTO CORRESPONDENTE],F$6,LANÇ_MOV[EMPRESA],$C$4,LANÇ_MOV[CENTRO DE CUSTOS],$D$4)</f>
        <v>0</v>
      </c>
      <c r="G121" s="206">
        <f>SUMIFS(LANÇ_MOV[VALOR LÍQUIDO],LANÇ_MOV[RECEITA OU DESPESA],"Receita",LANÇ_MOV[CONTAS],$C121,LANÇ_MOV[PLANO DE CONTAS],REL_DRE_FINANCEIRO!$B$30,LANÇ_MOV[ANO PAGAMENTO],$B$4,LANÇ_MOV[MÊS PAGAMENTO CORRESPONDENTE],G$6,LANÇ_MOV[EMPRESA],$C$4,LANÇ_MOV[CENTRO DE CUSTOS],$D$4)</f>
        <v>0</v>
      </c>
      <c r="H121" s="206">
        <f>SUMIFS(LANÇ_MOV[VALOR LÍQUIDO],LANÇ_MOV[RECEITA OU DESPESA],"Receita",LANÇ_MOV[CONTAS],$C121,LANÇ_MOV[PLANO DE CONTAS],REL_DRE_FINANCEIRO!$B$30,LANÇ_MOV[ANO PAGAMENTO],$B$4,LANÇ_MOV[MÊS PAGAMENTO CORRESPONDENTE],H$6,LANÇ_MOV[EMPRESA],$C$4,LANÇ_MOV[CENTRO DE CUSTOS],$D$4)</f>
        <v>0</v>
      </c>
      <c r="I121" s="206">
        <f>SUMIFS(LANÇ_MOV[VALOR LÍQUIDO],LANÇ_MOV[RECEITA OU DESPESA],"Receita",LANÇ_MOV[CONTAS],$C121,LANÇ_MOV[PLANO DE CONTAS],REL_DRE_FINANCEIRO!$B$30,LANÇ_MOV[ANO PAGAMENTO],$B$4,LANÇ_MOV[MÊS PAGAMENTO CORRESPONDENTE],I$6,LANÇ_MOV[EMPRESA],$C$4,LANÇ_MOV[CENTRO DE CUSTOS],$D$4)</f>
        <v>0</v>
      </c>
      <c r="J121" s="206">
        <f>SUMIFS(LANÇ_MOV[VALOR LÍQUIDO],LANÇ_MOV[RECEITA OU DESPESA],"Receita",LANÇ_MOV[CONTAS],$C121,LANÇ_MOV[PLANO DE CONTAS],REL_DRE_FINANCEIRO!$B$30,LANÇ_MOV[ANO PAGAMENTO],$B$4,LANÇ_MOV[MÊS PAGAMENTO CORRESPONDENTE],J$6,LANÇ_MOV[EMPRESA],$C$4,LANÇ_MOV[CENTRO DE CUSTOS],$D$4)</f>
        <v>0</v>
      </c>
      <c r="K121" s="206">
        <f>SUMIFS(LANÇ_MOV[VALOR LÍQUIDO],LANÇ_MOV[RECEITA OU DESPESA],"Receita",LANÇ_MOV[CONTAS],$C121,LANÇ_MOV[PLANO DE CONTAS],REL_DRE_FINANCEIRO!$B$30,LANÇ_MOV[ANO PAGAMENTO],$B$4,LANÇ_MOV[MÊS PAGAMENTO CORRESPONDENTE],K$6,LANÇ_MOV[EMPRESA],$C$4,LANÇ_MOV[CENTRO DE CUSTOS],$D$4)</f>
        <v>0</v>
      </c>
      <c r="L121" s="206">
        <f>SUMIFS(LANÇ_MOV[VALOR LÍQUIDO],LANÇ_MOV[RECEITA OU DESPESA],"Receita",LANÇ_MOV[CONTAS],$C121,LANÇ_MOV[PLANO DE CONTAS],REL_DRE_FINANCEIRO!$B$30,LANÇ_MOV[ANO PAGAMENTO],$B$4,LANÇ_MOV[MÊS PAGAMENTO CORRESPONDENTE],L$6,LANÇ_MOV[EMPRESA],$C$4,LANÇ_MOV[CENTRO DE CUSTOS],$D$4)</f>
        <v>0</v>
      </c>
      <c r="M121" s="206">
        <f>SUMIFS(LANÇ_MOV[VALOR LÍQUIDO],LANÇ_MOV[RECEITA OU DESPESA],"Receita",LANÇ_MOV[CONTAS],$C121,LANÇ_MOV[PLANO DE CONTAS],REL_DRE_FINANCEIRO!$B$30,LANÇ_MOV[ANO PAGAMENTO],$B$4,LANÇ_MOV[MÊS PAGAMENTO CORRESPONDENTE],M$6,LANÇ_MOV[EMPRESA],$C$4,LANÇ_MOV[CENTRO DE CUSTOS],$D$4)</f>
        <v>0</v>
      </c>
      <c r="N121" s="206">
        <f>SUMIFS(LANÇ_MOV[VALOR LÍQUIDO],LANÇ_MOV[RECEITA OU DESPESA],"Receita",LANÇ_MOV[CONTAS],$C121,LANÇ_MOV[PLANO DE CONTAS],REL_DRE_FINANCEIRO!$B$30,LANÇ_MOV[ANO PAGAMENTO],$B$4,LANÇ_MOV[MÊS PAGAMENTO CORRESPONDENTE],N$6,LANÇ_MOV[EMPRESA],$C$4,LANÇ_MOV[CENTRO DE CUSTOS],$D$4)</f>
        <v>0</v>
      </c>
      <c r="O121" s="206">
        <f>SUMIFS(LANÇ_MOV[VALOR LÍQUIDO],LANÇ_MOV[RECEITA OU DESPESA],"Receita",LANÇ_MOV[CONTAS],$C121,LANÇ_MOV[PLANO DE CONTAS],REL_DRE_FINANCEIRO!$B$30,LANÇ_MOV[ANO PAGAMENTO],$B$4,LANÇ_MOV[MÊS PAGAMENTO CORRESPONDENTE],O$6,LANÇ_MOV[EMPRESA],$C$4,LANÇ_MOV[CENTRO DE CUSTOS],$D$4)</f>
        <v>0</v>
      </c>
      <c r="P121" s="207">
        <f t="shared" si="23"/>
        <v>0</v>
      </c>
      <c r="Q121" s="333">
        <v>9.9999999999999995E-7</v>
      </c>
      <c r="R121" s="346">
        <f t="shared" si="24"/>
        <v>9.9999999999999995E-7</v>
      </c>
      <c r="S121" s="347" t="str">
        <f t="shared" si="25"/>
        <v>-</v>
      </c>
      <c r="T121" s="347">
        <f t="shared" si="26"/>
        <v>0</v>
      </c>
      <c r="U121" s="347">
        <f>HLOOKUP(Apoio!$P$12,$D$29:$P$130,X121,FALSE)+Q121</f>
        <v>9.9999999999999995E-7</v>
      </c>
      <c r="V121" s="447" t="str">
        <f t="shared" si="27"/>
        <v>-</v>
      </c>
      <c r="W121" s="448">
        <f>HLOOKUP(Apoio!$P$12,$D$29:$P$130,X121,FALSE)</f>
        <v>0</v>
      </c>
      <c r="X121" s="329">
        <v>93</v>
      </c>
    </row>
    <row r="122" spans="2:24" ht="30.05" customHeight="1" x14ac:dyDescent="0.35">
      <c r="B122" s="204" t="str">
        <f>'CAD_PL_REC-DESP'!B96</f>
        <v>1.1.92</v>
      </c>
      <c r="C122" s="205" t="str">
        <f>IF('CAD_PL_REC-DESP'!C96="","-",'CAD_PL_REC-DESP'!C96)</f>
        <v>-</v>
      </c>
      <c r="D122" s="206">
        <f>SUMIFS(LANÇ_MOV[VALOR LÍQUIDO],LANÇ_MOV[RECEITA OU DESPESA],"Receita",LANÇ_MOV[CONTAS],$C122,LANÇ_MOV[PLANO DE CONTAS],REL_DRE_FINANCEIRO!$B$30,LANÇ_MOV[ANO PAGAMENTO],$B$4,LANÇ_MOV[MÊS PAGAMENTO CORRESPONDENTE],D$6,LANÇ_MOV[EMPRESA],$C$4,LANÇ_MOV[CENTRO DE CUSTOS],$D$4)</f>
        <v>0</v>
      </c>
      <c r="E122" s="206">
        <f>SUMIFS(LANÇ_MOV[VALOR LÍQUIDO],LANÇ_MOV[RECEITA OU DESPESA],"Receita",LANÇ_MOV[CONTAS],$C122,LANÇ_MOV[PLANO DE CONTAS],REL_DRE_FINANCEIRO!$B$30,LANÇ_MOV[ANO PAGAMENTO],$B$4,LANÇ_MOV[MÊS PAGAMENTO CORRESPONDENTE],E$6,LANÇ_MOV[EMPRESA],$C$4,LANÇ_MOV[CENTRO DE CUSTOS],$D$4)</f>
        <v>0</v>
      </c>
      <c r="F122" s="206">
        <f>SUMIFS(LANÇ_MOV[VALOR LÍQUIDO],LANÇ_MOV[RECEITA OU DESPESA],"Receita",LANÇ_MOV[CONTAS],$C122,LANÇ_MOV[PLANO DE CONTAS],REL_DRE_FINANCEIRO!$B$30,LANÇ_MOV[ANO PAGAMENTO],$B$4,LANÇ_MOV[MÊS PAGAMENTO CORRESPONDENTE],F$6,LANÇ_MOV[EMPRESA],$C$4,LANÇ_MOV[CENTRO DE CUSTOS],$D$4)</f>
        <v>0</v>
      </c>
      <c r="G122" s="206">
        <f>SUMIFS(LANÇ_MOV[VALOR LÍQUIDO],LANÇ_MOV[RECEITA OU DESPESA],"Receita",LANÇ_MOV[CONTAS],$C122,LANÇ_MOV[PLANO DE CONTAS],REL_DRE_FINANCEIRO!$B$30,LANÇ_MOV[ANO PAGAMENTO],$B$4,LANÇ_MOV[MÊS PAGAMENTO CORRESPONDENTE],G$6,LANÇ_MOV[EMPRESA],$C$4,LANÇ_MOV[CENTRO DE CUSTOS],$D$4)</f>
        <v>0</v>
      </c>
      <c r="H122" s="206">
        <f>SUMIFS(LANÇ_MOV[VALOR LÍQUIDO],LANÇ_MOV[RECEITA OU DESPESA],"Receita",LANÇ_MOV[CONTAS],$C122,LANÇ_MOV[PLANO DE CONTAS],REL_DRE_FINANCEIRO!$B$30,LANÇ_MOV[ANO PAGAMENTO],$B$4,LANÇ_MOV[MÊS PAGAMENTO CORRESPONDENTE],H$6,LANÇ_MOV[EMPRESA],$C$4,LANÇ_MOV[CENTRO DE CUSTOS],$D$4)</f>
        <v>0</v>
      </c>
      <c r="I122" s="206">
        <f>SUMIFS(LANÇ_MOV[VALOR LÍQUIDO],LANÇ_MOV[RECEITA OU DESPESA],"Receita",LANÇ_MOV[CONTAS],$C122,LANÇ_MOV[PLANO DE CONTAS],REL_DRE_FINANCEIRO!$B$30,LANÇ_MOV[ANO PAGAMENTO],$B$4,LANÇ_MOV[MÊS PAGAMENTO CORRESPONDENTE],I$6,LANÇ_MOV[EMPRESA],$C$4,LANÇ_MOV[CENTRO DE CUSTOS],$D$4)</f>
        <v>0</v>
      </c>
      <c r="J122" s="206">
        <f>SUMIFS(LANÇ_MOV[VALOR LÍQUIDO],LANÇ_MOV[RECEITA OU DESPESA],"Receita",LANÇ_MOV[CONTAS],$C122,LANÇ_MOV[PLANO DE CONTAS],REL_DRE_FINANCEIRO!$B$30,LANÇ_MOV[ANO PAGAMENTO],$B$4,LANÇ_MOV[MÊS PAGAMENTO CORRESPONDENTE],J$6,LANÇ_MOV[EMPRESA],$C$4,LANÇ_MOV[CENTRO DE CUSTOS],$D$4)</f>
        <v>0</v>
      </c>
      <c r="K122" s="206">
        <f>SUMIFS(LANÇ_MOV[VALOR LÍQUIDO],LANÇ_MOV[RECEITA OU DESPESA],"Receita",LANÇ_MOV[CONTAS],$C122,LANÇ_MOV[PLANO DE CONTAS],REL_DRE_FINANCEIRO!$B$30,LANÇ_MOV[ANO PAGAMENTO],$B$4,LANÇ_MOV[MÊS PAGAMENTO CORRESPONDENTE],K$6,LANÇ_MOV[EMPRESA],$C$4,LANÇ_MOV[CENTRO DE CUSTOS],$D$4)</f>
        <v>0</v>
      </c>
      <c r="L122" s="206">
        <f>SUMIFS(LANÇ_MOV[VALOR LÍQUIDO],LANÇ_MOV[RECEITA OU DESPESA],"Receita",LANÇ_MOV[CONTAS],$C122,LANÇ_MOV[PLANO DE CONTAS],REL_DRE_FINANCEIRO!$B$30,LANÇ_MOV[ANO PAGAMENTO],$B$4,LANÇ_MOV[MÊS PAGAMENTO CORRESPONDENTE],L$6,LANÇ_MOV[EMPRESA],$C$4,LANÇ_MOV[CENTRO DE CUSTOS],$D$4)</f>
        <v>0</v>
      </c>
      <c r="M122" s="206">
        <f>SUMIFS(LANÇ_MOV[VALOR LÍQUIDO],LANÇ_MOV[RECEITA OU DESPESA],"Receita",LANÇ_MOV[CONTAS],$C122,LANÇ_MOV[PLANO DE CONTAS],REL_DRE_FINANCEIRO!$B$30,LANÇ_MOV[ANO PAGAMENTO],$B$4,LANÇ_MOV[MÊS PAGAMENTO CORRESPONDENTE],M$6,LANÇ_MOV[EMPRESA],$C$4,LANÇ_MOV[CENTRO DE CUSTOS],$D$4)</f>
        <v>0</v>
      </c>
      <c r="N122" s="206">
        <f>SUMIFS(LANÇ_MOV[VALOR LÍQUIDO],LANÇ_MOV[RECEITA OU DESPESA],"Receita",LANÇ_MOV[CONTAS],$C122,LANÇ_MOV[PLANO DE CONTAS],REL_DRE_FINANCEIRO!$B$30,LANÇ_MOV[ANO PAGAMENTO],$B$4,LANÇ_MOV[MÊS PAGAMENTO CORRESPONDENTE],N$6,LANÇ_MOV[EMPRESA],$C$4,LANÇ_MOV[CENTRO DE CUSTOS],$D$4)</f>
        <v>0</v>
      </c>
      <c r="O122" s="206">
        <f>SUMIFS(LANÇ_MOV[VALOR LÍQUIDO],LANÇ_MOV[RECEITA OU DESPESA],"Receita",LANÇ_MOV[CONTAS],$C122,LANÇ_MOV[PLANO DE CONTAS],REL_DRE_FINANCEIRO!$B$30,LANÇ_MOV[ANO PAGAMENTO],$B$4,LANÇ_MOV[MÊS PAGAMENTO CORRESPONDENTE],O$6,LANÇ_MOV[EMPRESA],$C$4,LANÇ_MOV[CENTRO DE CUSTOS],$D$4)</f>
        <v>0</v>
      </c>
      <c r="P122" s="207">
        <f t="shared" si="23"/>
        <v>0</v>
      </c>
      <c r="Q122" s="333">
        <v>8.9999999999999996E-7</v>
      </c>
      <c r="R122" s="346">
        <f t="shared" si="24"/>
        <v>8.9999999999999996E-7</v>
      </c>
      <c r="S122" s="347" t="str">
        <f t="shared" si="25"/>
        <v>-</v>
      </c>
      <c r="T122" s="347">
        <f t="shared" si="26"/>
        <v>0</v>
      </c>
      <c r="U122" s="347">
        <f>HLOOKUP(Apoio!$P$12,$D$29:$P$130,X122,FALSE)+Q122</f>
        <v>8.9999999999999996E-7</v>
      </c>
      <c r="V122" s="447" t="str">
        <f t="shared" si="27"/>
        <v>-</v>
      </c>
      <c r="W122" s="448">
        <f>HLOOKUP(Apoio!$P$12,$D$29:$P$130,X122,FALSE)</f>
        <v>0</v>
      </c>
      <c r="X122" s="329">
        <v>94</v>
      </c>
    </row>
    <row r="123" spans="2:24" ht="30.05" customHeight="1" x14ac:dyDescent="0.35">
      <c r="B123" s="204" t="str">
        <f>'CAD_PL_REC-DESP'!B97</f>
        <v>1.1.93</v>
      </c>
      <c r="C123" s="205" t="str">
        <f>IF('CAD_PL_REC-DESP'!C97="","-",'CAD_PL_REC-DESP'!C97)</f>
        <v>-</v>
      </c>
      <c r="D123" s="206">
        <f>SUMIFS(LANÇ_MOV[VALOR LÍQUIDO],LANÇ_MOV[RECEITA OU DESPESA],"Receita",LANÇ_MOV[CONTAS],$C123,LANÇ_MOV[PLANO DE CONTAS],REL_DRE_FINANCEIRO!$B$30,LANÇ_MOV[ANO PAGAMENTO],$B$4,LANÇ_MOV[MÊS PAGAMENTO CORRESPONDENTE],D$6,LANÇ_MOV[EMPRESA],$C$4,LANÇ_MOV[CENTRO DE CUSTOS],$D$4)</f>
        <v>0</v>
      </c>
      <c r="E123" s="206">
        <f>SUMIFS(LANÇ_MOV[VALOR LÍQUIDO],LANÇ_MOV[RECEITA OU DESPESA],"Receita",LANÇ_MOV[CONTAS],$C123,LANÇ_MOV[PLANO DE CONTAS],REL_DRE_FINANCEIRO!$B$30,LANÇ_MOV[ANO PAGAMENTO],$B$4,LANÇ_MOV[MÊS PAGAMENTO CORRESPONDENTE],E$6,LANÇ_MOV[EMPRESA],$C$4,LANÇ_MOV[CENTRO DE CUSTOS],$D$4)</f>
        <v>0</v>
      </c>
      <c r="F123" s="206">
        <f>SUMIFS(LANÇ_MOV[VALOR LÍQUIDO],LANÇ_MOV[RECEITA OU DESPESA],"Receita",LANÇ_MOV[CONTAS],$C123,LANÇ_MOV[PLANO DE CONTAS],REL_DRE_FINANCEIRO!$B$30,LANÇ_MOV[ANO PAGAMENTO],$B$4,LANÇ_MOV[MÊS PAGAMENTO CORRESPONDENTE],F$6,LANÇ_MOV[EMPRESA],$C$4,LANÇ_MOV[CENTRO DE CUSTOS],$D$4)</f>
        <v>0</v>
      </c>
      <c r="G123" s="206">
        <f>SUMIFS(LANÇ_MOV[VALOR LÍQUIDO],LANÇ_MOV[RECEITA OU DESPESA],"Receita",LANÇ_MOV[CONTAS],$C123,LANÇ_MOV[PLANO DE CONTAS],REL_DRE_FINANCEIRO!$B$30,LANÇ_MOV[ANO PAGAMENTO],$B$4,LANÇ_MOV[MÊS PAGAMENTO CORRESPONDENTE],G$6,LANÇ_MOV[EMPRESA],$C$4,LANÇ_MOV[CENTRO DE CUSTOS],$D$4)</f>
        <v>0</v>
      </c>
      <c r="H123" s="206">
        <f>SUMIFS(LANÇ_MOV[VALOR LÍQUIDO],LANÇ_MOV[RECEITA OU DESPESA],"Receita",LANÇ_MOV[CONTAS],$C123,LANÇ_MOV[PLANO DE CONTAS],REL_DRE_FINANCEIRO!$B$30,LANÇ_MOV[ANO PAGAMENTO],$B$4,LANÇ_MOV[MÊS PAGAMENTO CORRESPONDENTE],H$6,LANÇ_MOV[EMPRESA],$C$4,LANÇ_MOV[CENTRO DE CUSTOS],$D$4)</f>
        <v>0</v>
      </c>
      <c r="I123" s="206">
        <f>SUMIFS(LANÇ_MOV[VALOR LÍQUIDO],LANÇ_MOV[RECEITA OU DESPESA],"Receita",LANÇ_MOV[CONTAS],$C123,LANÇ_MOV[PLANO DE CONTAS],REL_DRE_FINANCEIRO!$B$30,LANÇ_MOV[ANO PAGAMENTO],$B$4,LANÇ_MOV[MÊS PAGAMENTO CORRESPONDENTE],I$6,LANÇ_MOV[EMPRESA],$C$4,LANÇ_MOV[CENTRO DE CUSTOS],$D$4)</f>
        <v>0</v>
      </c>
      <c r="J123" s="206">
        <f>SUMIFS(LANÇ_MOV[VALOR LÍQUIDO],LANÇ_MOV[RECEITA OU DESPESA],"Receita",LANÇ_MOV[CONTAS],$C123,LANÇ_MOV[PLANO DE CONTAS],REL_DRE_FINANCEIRO!$B$30,LANÇ_MOV[ANO PAGAMENTO],$B$4,LANÇ_MOV[MÊS PAGAMENTO CORRESPONDENTE],J$6,LANÇ_MOV[EMPRESA],$C$4,LANÇ_MOV[CENTRO DE CUSTOS],$D$4)</f>
        <v>0</v>
      </c>
      <c r="K123" s="206">
        <f>SUMIFS(LANÇ_MOV[VALOR LÍQUIDO],LANÇ_MOV[RECEITA OU DESPESA],"Receita",LANÇ_MOV[CONTAS],$C123,LANÇ_MOV[PLANO DE CONTAS],REL_DRE_FINANCEIRO!$B$30,LANÇ_MOV[ANO PAGAMENTO],$B$4,LANÇ_MOV[MÊS PAGAMENTO CORRESPONDENTE],K$6,LANÇ_MOV[EMPRESA],$C$4,LANÇ_MOV[CENTRO DE CUSTOS],$D$4)</f>
        <v>0</v>
      </c>
      <c r="L123" s="206">
        <f>SUMIFS(LANÇ_MOV[VALOR LÍQUIDO],LANÇ_MOV[RECEITA OU DESPESA],"Receita",LANÇ_MOV[CONTAS],$C123,LANÇ_MOV[PLANO DE CONTAS],REL_DRE_FINANCEIRO!$B$30,LANÇ_MOV[ANO PAGAMENTO],$B$4,LANÇ_MOV[MÊS PAGAMENTO CORRESPONDENTE],L$6,LANÇ_MOV[EMPRESA],$C$4,LANÇ_MOV[CENTRO DE CUSTOS],$D$4)</f>
        <v>0</v>
      </c>
      <c r="M123" s="206">
        <f>SUMIFS(LANÇ_MOV[VALOR LÍQUIDO],LANÇ_MOV[RECEITA OU DESPESA],"Receita",LANÇ_MOV[CONTAS],$C123,LANÇ_MOV[PLANO DE CONTAS],REL_DRE_FINANCEIRO!$B$30,LANÇ_MOV[ANO PAGAMENTO],$B$4,LANÇ_MOV[MÊS PAGAMENTO CORRESPONDENTE],M$6,LANÇ_MOV[EMPRESA],$C$4,LANÇ_MOV[CENTRO DE CUSTOS],$D$4)</f>
        <v>0</v>
      </c>
      <c r="N123" s="206">
        <f>SUMIFS(LANÇ_MOV[VALOR LÍQUIDO],LANÇ_MOV[RECEITA OU DESPESA],"Receita",LANÇ_MOV[CONTAS],$C123,LANÇ_MOV[PLANO DE CONTAS],REL_DRE_FINANCEIRO!$B$30,LANÇ_MOV[ANO PAGAMENTO],$B$4,LANÇ_MOV[MÊS PAGAMENTO CORRESPONDENTE],N$6,LANÇ_MOV[EMPRESA],$C$4,LANÇ_MOV[CENTRO DE CUSTOS],$D$4)</f>
        <v>0</v>
      </c>
      <c r="O123" s="206">
        <f>SUMIFS(LANÇ_MOV[VALOR LÍQUIDO],LANÇ_MOV[RECEITA OU DESPESA],"Receita",LANÇ_MOV[CONTAS],$C123,LANÇ_MOV[PLANO DE CONTAS],REL_DRE_FINANCEIRO!$B$30,LANÇ_MOV[ANO PAGAMENTO],$B$4,LANÇ_MOV[MÊS PAGAMENTO CORRESPONDENTE],O$6,LANÇ_MOV[EMPRESA],$C$4,LANÇ_MOV[CENTRO DE CUSTOS],$D$4)</f>
        <v>0</v>
      </c>
      <c r="P123" s="207">
        <f t="shared" si="23"/>
        <v>0</v>
      </c>
      <c r="Q123" s="333">
        <v>7.9999999999999996E-7</v>
      </c>
      <c r="R123" s="346">
        <f t="shared" si="24"/>
        <v>7.9999999999999996E-7</v>
      </c>
      <c r="S123" s="347" t="str">
        <f t="shared" si="25"/>
        <v>-</v>
      </c>
      <c r="T123" s="347">
        <f t="shared" si="26"/>
        <v>0</v>
      </c>
      <c r="U123" s="347">
        <f>HLOOKUP(Apoio!$P$12,$D$29:$P$130,X123,FALSE)+Q123</f>
        <v>7.9999999999999996E-7</v>
      </c>
      <c r="V123" s="447" t="str">
        <f t="shared" si="27"/>
        <v>-</v>
      </c>
      <c r="W123" s="448">
        <f>HLOOKUP(Apoio!$P$12,$D$29:$P$130,X123,FALSE)</f>
        <v>0</v>
      </c>
      <c r="X123" s="329">
        <v>95</v>
      </c>
    </row>
    <row r="124" spans="2:24" ht="30.05" customHeight="1" x14ac:dyDescent="0.35">
      <c r="B124" s="204" t="str">
        <f>'CAD_PL_REC-DESP'!B98</f>
        <v>1.1.94</v>
      </c>
      <c r="C124" s="205" t="str">
        <f>IF('CAD_PL_REC-DESP'!C98="","-",'CAD_PL_REC-DESP'!C98)</f>
        <v>-</v>
      </c>
      <c r="D124" s="206">
        <f>SUMIFS(LANÇ_MOV[VALOR LÍQUIDO],LANÇ_MOV[RECEITA OU DESPESA],"Receita",LANÇ_MOV[CONTAS],$C124,LANÇ_MOV[PLANO DE CONTAS],REL_DRE_FINANCEIRO!$B$30,LANÇ_MOV[ANO PAGAMENTO],$B$4,LANÇ_MOV[MÊS PAGAMENTO CORRESPONDENTE],D$6,LANÇ_MOV[EMPRESA],$C$4,LANÇ_MOV[CENTRO DE CUSTOS],$D$4)</f>
        <v>0</v>
      </c>
      <c r="E124" s="206">
        <f>SUMIFS(LANÇ_MOV[VALOR LÍQUIDO],LANÇ_MOV[RECEITA OU DESPESA],"Receita",LANÇ_MOV[CONTAS],$C124,LANÇ_MOV[PLANO DE CONTAS],REL_DRE_FINANCEIRO!$B$30,LANÇ_MOV[ANO PAGAMENTO],$B$4,LANÇ_MOV[MÊS PAGAMENTO CORRESPONDENTE],E$6,LANÇ_MOV[EMPRESA],$C$4,LANÇ_MOV[CENTRO DE CUSTOS],$D$4)</f>
        <v>0</v>
      </c>
      <c r="F124" s="206">
        <f>SUMIFS(LANÇ_MOV[VALOR LÍQUIDO],LANÇ_MOV[RECEITA OU DESPESA],"Receita",LANÇ_MOV[CONTAS],$C124,LANÇ_MOV[PLANO DE CONTAS],REL_DRE_FINANCEIRO!$B$30,LANÇ_MOV[ANO PAGAMENTO],$B$4,LANÇ_MOV[MÊS PAGAMENTO CORRESPONDENTE],F$6,LANÇ_MOV[EMPRESA],$C$4,LANÇ_MOV[CENTRO DE CUSTOS],$D$4)</f>
        <v>0</v>
      </c>
      <c r="G124" s="206">
        <f>SUMIFS(LANÇ_MOV[VALOR LÍQUIDO],LANÇ_MOV[RECEITA OU DESPESA],"Receita",LANÇ_MOV[CONTAS],$C124,LANÇ_MOV[PLANO DE CONTAS],REL_DRE_FINANCEIRO!$B$30,LANÇ_MOV[ANO PAGAMENTO],$B$4,LANÇ_MOV[MÊS PAGAMENTO CORRESPONDENTE],G$6,LANÇ_MOV[EMPRESA],$C$4,LANÇ_MOV[CENTRO DE CUSTOS],$D$4)</f>
        <v>0</v>
      </c>
      <c r="H124" s="206">
        <f>SUMIFS(LANÇ_MOV[VALOR LÍQUIDO],LANÇ_MOV[RECEITA OU DESPESA],"Receita",LANÇ_MOV[CONTAS],$C124,LANÇ_MOV[PLANO DE CONTAS],REL_DRE_FINANCEIRO!$B$30,LANÇ_MOV[ANO PAGAMENTO],$B$4,LANÇ_MOV[MÊS PAGAMENTO CORRESPONDENTE],H$6,LANÇ_MOV[EMPRESA],$C$4,LANÇ_MOV[CENTRO DE CUSTOS],$D$4)</f>
        <v>0</v>
      </c>
      <c r="I124" s="206">
        <f>SUMIFS(LANÇ_MOV[VALOR LÍQUIDO],LANÇ_MOV[RECEITA OU DESPESA],"Receita",LANÇ_MOV[CONTAS],$C124,LANÇ_MOV[PLANO DE CONTAS],REL_DRE_FINANCEIRO!$B$30,LANÇ_MOV[ANO PAGAMENTO],$B$4,LANÇ_MOV[MÊS PAGAMENTO CORRESPONDENTE],I$6,LANÇ_MOV[EMPRESA],$C$4,LANÇ_MOV[CENTRO DE CUSTOS],$D$4)</f>
        <v>0</v>
      </c>
      <c r="J124" s="206">
        <f>SUMIFS(LANÇ_MOV[VALOR LÍQUIDO],LANÇ_MOV[RECEITA OU DESPESA],"Receita",LANÇ_MOV[CONTAS],$C124,LANÇ_MOV[PLANO DE CONTAS],REL_DRE_FINANCEIRO!$B$30,LANÇ_MOV[ANO PAGAMENTO],$B$4,LANÇ_MOV[MÊS PAGAMENTO CORRESPONDENTE],J$6,LANÇ_MOV[EMPRESA],$C$4,LANÇ_MOV[CENTRO DE CUSTOS],$D$4)</f>
        <v>0</v>
      </c>
      <c r="K124" s="206">
        <f>SUMIFS(LANÇ_MOV[VALOR LÍQUIDO],LANÇ_MOV[RECEITA OU DESPESA],"Receita",LANÇ_MOV[CONTAS],$C124,LANÇ_MOV[PLANO DE CONTAS],REL_DRE_FINANCEIRO!$B$30,LANÇ_MOV[ANO PAGAMENTO],$B$4,LANÇ_MOV[MÊS PAGAMENTO CORRESPONDENTE],K$6,LANÇ_MOV[EMPRESA],$C$4,LANÇ_MOV[CENTRO DE CUSTOS],$D$4)</f>
        <v>0</v>
      </c>
      <c r="L124" s="206">
        <f>SUMIFS(LANÇ_MOV[VALOR LÍQUIDO],LANÇ_MOV[RECEITA OU DESPESA],"Receita",LANÇ_MOV[CONTAS],$C124,LANÇ_MOV[PLANO DE CONTAS],REL_DRE_FINANCEIRO!$B$30,LANÇ_MOV[ANO PAGAMENTO],$B$4,LANÇ_MOV[MÊS PAGAMENTO CORRESPONDENTE],L$6,LANÇ_MOV[EMPRESA],$C$4,LANÇ_MOV[CENTRO DE CUSTOS],$D$4)</f>
        <v>0</v>
      </c>
      <c r="M124" s="206">
        <f>SUMIFS(LANÇ_MOV[VALOR LÍQUIDO],LANÇ_MOV[RECEITA OU DESPESA],"Receita",LANÇ_MOV[CONTAS],$C124,LANÇ_MOV[PLANO DE CONTAS],REL_DRE_FINANCEIRO!$B$30,LANÇ_MOV[ANO PAGAMENTO],$B$4,LANÇ_MOV[MÊS PAGAMENTO CORRESPONDENTE],M$6,LANÇ_MOV[EMPRESA],$C$4,LANÇ_MOV[CENTRO DE CUSTOS],$D$4)</f>
        <v>0</v>
      </c>
      <c r="N124" s="206">
        <f>SUMIFS(LANÇ_MOV[VALOR LÍQUIDO],LANÇ_MOV[RECEITA OU DESPESA],"Receita",LANÇ_MOV[CONTAS],$C124,LANÇ_MOV[PLANO DE CONTAS],REL_DRE_FINANCEIRO!$B$30,LANÇ_MOV[ANO PAGAMENTO],$B$4,LANÇ_MOV[MÊS PAGAMENTO CORRESPONDENTE],N$6,LANÇ_MOV[EMPRESA],$C$4,LANÇ_MOV[CENTRO DE CUSTOS],$D$4)</f>
        <v>0</v>
      </c>
      <c r="O124" s="206">
        <f>SUMIFS(LANÇ_MOV[VALOR LÍQUIDO],LANÇ_MOV[RECEITA OU DESPESA],"Receita",LANÇ_MOV[CONTAS],$C124,LANÇ_MOV[PLANO DE CONTAS],REL_DRE_FINANCEIRO!$B$30,LANÇ_MOV[ANO PAGAMENTO],$B$4,LANÇ_MOV[MÊS PAGAMENTO CORRESPONDENTE],O$6,LANÇ_MOV[EMPRESA],$C$4,LANÇ_MOV[CENTRO DE CUSTOS],$D$4)</f>
        <v>0</v>
      </c>
      <c r="P124" s="207">
        <f t="shared" si="23"/>
        <v>0</v>
      </c>
      <c r="Q124" s="333">
        <v>6.9999999999999997E-7</v>
      </c>
      <c r="R124" s="346">
        <f t="shared" si="24"/>
        <v>6.9999999999999997E-7</v>
      </c>
      <c r="S124" s="347" t="str">
        <f t="shared" si="25"/>
        <v>-</v>
      </c>
      <c r="T124" s="347">
        <f t="shared" si="26"/>
        <v>0</v>
      </c>
      <c r="U124" s="347">
        <f>HLOOKUP(Apoio!$P$12,$D$29:$P$130,X124,FALSE)+Q124</f>
        <v>6.9999999999999997E-7</v>
      </c>
      <c r="V124" s="447" t="str">
        <f t="shared" si="27"/>
        <v>-</v>
      </c>
      <c r="W124" s="448">
        <f>HLOOKUP(Apoio!$P$12,$D$29:$P$130,X124,FALSE)</f>
        <v>0</v>
      </c>
      <c r="X124" s="329">
        <v>96</v>
      </c>
    </row>
    <row r="125" spans="2:24" ht="30.05" customHeight="1" x14ac:dyDescent="0.35">
      <c r="B125" s="204" t="str">
        <f>'CAD_PL_REC-DESP'!B99</f>
        <v>1.1.95</v>
      </c>
      <c r="C125" s="205" t="str">
        <f>IF('CAD_PL_REC-DESP'!C99="","-",'CAD_PL_REC-DESP'!C99)</f>
        <v>-</v>
      </c>
      <c r="D125" s="206">
        <f>SUMIFS(LANÇ_MOV[VALOR LÍQUIDO],LANÇ_MOV[RECEITA OU DESPESA],"Receita",LANÇ_MOV[CONTAS],$C125,LANÇ_MOV[PLANO DE CONTAS],REL_DRE_FINANCEIRO!$B$30,LANÇ_MOV[ANO PAGAMENTO],$B$4,LANÇ_MOV[MÊS PAGAMENTO CORRESPONDENTE],D$6,LANÇ_MOV[EMPRESA],$C$4,LANÇ_MOV[CENTRO DE CUSTOS],$D$4)</f>
        <v>0</v>
      </c>
      <c r="E125" s="206">
        <f>SUMIFS(LANÇ_MOV[VALOR LÍQUIDO],LANÇ_MOV[RECEITA OU DESPESA],"Receita",LANÇ_MOV[CONTAS],$C125,LANÇ_MOV[PLANO DE CONTAS],REL_DRE_FINANCEIRO!$B$30,LANÇ_MOV[ANO PAGAMENTO],$B$4,LANÇ_MOV[MÊS PAGAMENTO CORRESPONDENTE],E$6,LANÇ_MOV[EMPRESA],$C$4,LANÇ_MOV[CENTRO DE CUSTOS],$D$4)</f>
        <v>0</v>
      </c>
      <c r="F125" s="206">
        <f>SUMIFS(LANÇ_MOV[VALOR LÍQUIDO],LANÇ_MOV[RECEITA OU DESPESA],"Receita",LANÇ_MOV[CONTAS],$C125,LANÇ_MOV[PLANO DE CONTAS],REL_DRE_FINANCEIRO!$B$30,LANÇ_MOV[ANO PAGAMENTO],$B$4,LANÇ_MOV[MÊS PAGAMENTO CORRESPONDENTE],F$6,LANÇ_MOV[EMPRESA],$C$4,LANÇ_MOV[CENTRO DE CUSTOS],$D$4)</f>
        <v>0</v>
      </c>
      <c r="G125" s="206">
        <f>SUMIFS(LANÇ_MOV[VALOR LÍQUIDO],LANÇ_MOV[RECEITA OU DESPESA],"Receita",LANÇ_MOV[CONTAS],$C125,LANÇ_MOV[PLANO DE CONTAS],REL_DRE_FINANCEIRO!$B$30,LANÇ_MOV[ANO PAGAMENTO],$B$4,LANÇ_MOV[MÊS PAGAMENTO CORRESPONDENTE],G$6,LANÇ_MOV[EMPRESA],$C$4,LANÇ_MOV[CENTRO DE CUSTOS],$D$4)</f>
        <v>0</v>
      </c>
      <c r="H125" s="206">
        <f>SUMIFS(LANÇ_MOV[VALOR LÍQUIDO],LANÇ_MOV[RECEITA OU DESPESA],"Receita",LANÇ_MOV[CONTAS],$C125,LANÇ_MOV[PLANO DE CONTAS],REL_DRE_FINANCEIRO!$B$30,LANÇ_MOV[ANO PAGAMENTO],$B$4,LANÇ_MOV[MÊS PAGAMENTO CORRESPONDENTE],H$6,LANÇ_MOV[EMPRESA],$C$4,LANÇ_MOV[CENTRO DE CUSTOS],$D$4)</f>
        <v>0</v>
      </c>
      <c r="I125" s="206">
        <f>SUMIFS(LANÇ_MOV[VALOR LÍQUIDO],LANÇ_MOV[RECEITA OU DESPESA],"Receita",LANÇ_MOV[CONTAS],$C125,LANÇ_MOV[PLANO DE CONTAS],REL_DRE_FINANCEIRO!$B$30,LANÇ_MOV[ANO PAGAMENTO],$B$4,LANÇ_MOV[MÊS PAGAMENTO CORRESPONDENTE],I$6,LANÇ_MOV[EMPRESA],$C$4,LANÇ_MOV[CENTRO DE CUSTOS],$D$4)</f>
        <v>0</v>
      </c>
      <c r="J125" s="206">
        <f>SUMIFS(LANÇ_MOV[VALOR LÍQUIDO],LANÇ_MOV[RECEITA OU DESPESA],"Receita",LANÇ_MOV[CONTAS],$C125,LANÇ_MOV[PLANO DE CONTAS],REL_DRE_FINANCEIRO!$B$30,LANÇ_MOV[ANO PAGAMENTO],$B$4,LANÇ_MOV[MÊS PAGAMENTO CORRESPONDENTE],J$6,LANÇ_MOV[EMPRESA],$C$4,LANÇ_MOV[CENTRO DE CUSTOS],$D$4)</f>
        <v>0</v>
      </c>
      <c r="K125" s="206">
        <f>SUMIFS(LANÇ_MOV[VALOR LÍQUIDO],LANÇ_MOV[RECEITA OU DESPESA],"Receita",LANÇ_MOV[CONTAS],$C125,LANÇ_MOV[PLANO DE CONTAS],REL_DRE_FINANCEIRO!$B$30,LANÇ_MOV[ANO PAGAMENTO],$B$4,LANÇ_MOV[MÊS PAGAMENTO CORRESPONDENTE],K$6,LANÇ_MOV[EMPRESA],$C$4,LANÇ_MOV[CENTRO DE CUSTOS],$D$4)</f>
        <v>0</v>
      </c>
      <c r="L125" s="206">
        <f>SUMIFS(LANÇ_MOV[VALOR LÍQUIDO],LANÇ_MOV[RECEITA OU DESPESA],"Receita",LANÇ_MOV[CONTAS],$C125,LANÇ_MOV[PLANO DE CONTAS],REL_DRE_FINANCEIRO!$B$30,LANÇ_MOV[ANO PAGAMENTO],$B$4,LANÇ_MOV[MÊS PAGAMENTO CORRESPONDENTE],L$6,LANÇ_MOV[EMPRESA],$C$4,LANÇ_MOV[CENTRO DE CUSTOS],$D$4)</f>
        <v>0</v>
      </c>
      <c r="M125" s="206">
        <f>SUMIFS(LANÇ_MOV[VALOR LÍQUIDO],LANÇ_MOV[RECEITA OU DESPESA],"Receita",LANÇ_MOV[CONTAS],$C125,LANÇ_MOV[PLANO DE CONTAS],REL_DRE_FINANCEIRO!$B$30,LANÇ_MOV[ANO PAGAMENTO],$B$4,LANÇ_MOV[MÊS PAGAMENTO CORRESPONDENTE],M$6,LANÇ_MOV[EMPRESA],$C$4,LANÇ_MOV[CENTRO DE CUSTOS],$D$4)</f>
        <v>0</v>
      </c>
      <c r="N125" s="206">
        <f>SUMIFS(LANÇ_MOV[VALOR LÍQUIDO],LANÇ_MOV[RECEITA OU DESPESA],"Receita",LANÇ_MOV[CONTAS],$C125,LANÇ_MOV[PLANO DE CONTAS],REL_DRE_FINANCEIRO!$B$30,LANÇ_MOV[ANO PAGAMENTO],$B$4,LANÇ_MOV[MÊS PAGAMENTO CORRESPONDENTE],N$6,LANÇ_MOV[EMPRESA],$C$4,LANÇ_MOV[CENTRO DE CUSTOS],$D$4)</f>
        <v>0</v>
      </c>
      <c r="O125" s="206">
        <f>SUMIFS(LANÇ_MOV[VALOR LÍQUIDO],LANÇ_MOV[RECEITA OU DESPESA],"Receita",LANÇ_MOV[CONTAS],$C125,LANÇ_MOV[PLANO DE CONTAS],REL_DRE_FINANCEIRO!$B$30,LANÇ_MOV[ANO PAGAMENTO],$B$4,LANÇ_MOV[MÊS PAGAMENTO CORRESPONDENTE],O$6,LANÇ_MOV[EMPRESA],$C$4,LANÇ_MOV[CENTRO DE CUSTOS],$D$4)</f>
        <v>0</v>
      </c>
      <c r="P125" s="207">
        <f t="shared" si="23"/>
        <v>0</v>
      </c>
      <c r="Q125" s="333">
        <v>5.9999999999999997E-7</v>
      </c>
      <c r="R125" s="346">
        <f t="shared" si="24"/>
        <v>5.9999999999999997E-7</v>
      </c>
      <c r="S125" s="347" t="str">
        <f t="shared" si="25"/>
        <v>-</v>
      </c>
      <c r="T125" s="347">
        <f t="shared" si="26"/>
        <v>0</v>
      </c>
      <c r="U125" s="347">
        <f>HLOOKUP(Apoio!$P$12,$D$29:$P$130,X125,FALSE)+Q125</f>
        <v>5.9999999999999997E-7</v>
      </c>
      <c r="V125" s="447" t="str">
        <f t="shared" si="27"/>
        <v>-</v>
      </c>
      <c r="W125" s="448">
        <f>HLOOKUP(Apoio!$P$12,$D$29:$P$130,X125,FALSE)</f>
        <v>0</v>
      </c>
      <c r="X125" s="329">
        <v>97</v>
      </c>
    </row>
    <row r="126" spans="2:24" ht="30.05" customHeight="1" x14ac:dyDescent="0.35">
      <c r="B126" s="204" t="str">
        <f>'CAD_PL_REC-DESP'!B100</f>
        <v>1.1.96</v>
      </c>
      <c r="C126" s="205" t="str">
        <f>IF('CAD_PL_REC-DESP'!C100="","-",'CAD_PL_REC-DESP'!C100)</f>
        <v>-</v>
      </c>
      <c r="D126" s="206">
        <f>SUMIFS(LANÇ_MOV[VALOR LÍQUIDO],LANÇ_MOV[RECEITA OU DESPESA],"Receita",LANÇ_MOV[CONTAS],$C126,LANÇ_MOV[PLANO DE CONTAS],REL_DRE_FINANCEIRO!$B$30,LANÇ_MOV[ANO PAGAMENTO],$B$4,LANÇ_MOV[MÊS PAGAMENTO CORRESPONDENTE],D$6,LANÇ_MOV[EMPRESA],$C$4,LANÇ_MOV[CENTRO DE CUSTOS],$D$4)</f>
        <v>0</v>
      </c>
      <c r="E126" s="206">
        <f>SUMIFS(LANÇ_MOV[VALOR LÍQUIDO],LANÇ_MOV[RECEITA OU DESPESA],"Receita",LANÇ_MOV[CONTAS],$C126,LANÇ_MOV[PLANO DE CONTAS],REL_DRE_FINANCEIRO!$B$30,LANÇ_MOV[ANO PAGAMENTO],$B$4,LANÇ_MOV[MÊS PAGAMENTO CORRESPONDENTE],E$6,LANÇ_MOV[EMPRESA],$C$4,LANÇ_MOV[CENTRO DE CUSTOS],$D$4)</f>
        <v>0</v>
      </c>
      <c r="F126" s="206">
        <f>SUMIFS(LANÇ_MOV[VALOR LÍQUIDO],LANÇ_MOV[RECEITA OU DESPESA],"Receita",LANÇ_MOV[CONTAS],$C126,LANÇ_MOV[PLANO DE CONTAS],REL_DRE_FINANCEIRO!$B$30,LANÇ_MOV[ANO PAGAMENTO],$B$4,LANÇ_MOV[MÊS PAGAMENTO CORRESPONDENTE],F$6,LANÇ_MOV[EMPRESA],$C$4,LANÇ_MOV[CENTRO DE CUSTOS],$D$4)</f>
        <v>0</v>
      </c>
      <c r="G126" s="206">
        <f>SUMIFS(LANÇ_MOV[VALOR LÍQUIDO],LANÇ_MOV[RECEITA OU DESPESA],"Receita",LANÇ_MOV[CONTAS],$C126,LANÇ_MOV[PLANO DE CONTAS],REL_DRE_FINANCEIRO!$B$30,LANÇ_MOV[ANO PAGAMENTO],$B$4,LANÇ_MOV[MÊS PAGAMENTO CORRESPONDENTE],G$6,LANÇ_MOV[EMPRESA],$C$4,LANÇ_MOV[CENTRO DE CUSTOS],$D$4)</f>
        <v>0</v>
      </c>
      <c r="H126" s="206">
        <f>SUMIFS(LANÇ_MOV[VALOR LÍQUIDO],LANÇ_MOV[RECEITA OU DESPESA],"Receita",LANÇ_MOV[CONTAS],$C126,LANÇ_MOV[PLANO DE CONTAS],REL_DRE_FINANCEIRO!$B$30,LANÇ_MOV[ANO PAGAMENTO],$B$4,LANÇ_MOV[MÊS PAGAMENTO CORRESPONDENTE],H$6,LANÇ_MOV[EMPRESA],$C$4,LANÇ_MOV[CENTRO DE CUSTOS],$D$4)</f>
        <v>0</v>
      </c>
      <c r="I126" s="206">
        <f>SUMIFS(LANÇ_MOV[VALOR LÍQUIDO],LANÇ_MOV[RECEITA OU DESPESA],"Receita",LANÇ_MOV[CONTAS],$C126,LANÇ_MOV[PLANO DE CONTAS],REL_DRE_FINANCEIRO!$B$30,LANÇ_MOV[ANO PAGAMENTO],$B$4,LANÇ_MOV[MÊS PAGAMENTO CORRESPONDENTE],I$6,LANÇ_MOV[EMPRESA],$C$4,LANÇ_MOV[CENTRO DE CUSTOS],$D$4)</f>
        <v>0</v>
      </c>
      <c r="J126" s="206">
        <f>SUMIFS(LANÇ_MOV[VALOR LÍQUIDO],LANÇ_MOV[RECEITA OU DESPESA],"Receita",LANÇ_MOV[CONTAS],$C126,LANÇ_MOV[PLANO DE CONTAS],REL_DRE_FINANCEIRO!$B$30,LANÇ_MOV[ANO PAGAMENTO],$B$4,LANÇ_MOV[MÊS PAGAMENTO CORRESPONDENTE],J$6,LANÇ_MOV[EMPRESA],$C$4,LANÇ_MOV[CENTRO DE CUSTOS],$D$4)</f>
        <v>0</v>
      </c>
      <c r="K126" s="206">
        <f>SUMIFS(LANÇ_MOV[VALOR LÍQUIDO],LANÇ_MOV[RECEITA OU DESPESA],"Receita",LANÇ_MOV[CONTAS],$C126,LANÇ_MOV[PLANO DE CONTAS],REL_DRE_FINANCEIRO!$B$30,LANÇ_MOV[ANO PAGAMENTO],$B$4,LANÇ_MOV[MÊS PAGAMENTO CORRESPONDENTE],K$6,LANÇ_MOV[EMPRESA],$C$4,LANÇ_MOV[CENTRO DE CUSTOS],$D$4)</f>
        <v>0</v>
      </c>
      <c r="L126" s="206">
        <f>SUMIFS(LANÇ_MOV[VALOR LÍQUIDO],LANÇ_MOV[RECEITA OU DESPESA],"Receita",LANÇ_MOV[CONTAS],$C126,LANÇ_MOV[PLANO DE CONTAS],REL_DRE_FINANCEIRO!$B$30,LANÇ_MOV[ANO PAGAMENTO],$B$4,LANÇ_MOV[MÊS PAGAMENTO CORRESPONDENTE],L$6,LANÇ_MOV[EMPRESA],$C$4,LANÇ_MOV[CENTRO DE CUSTOS],$D$4)</f>
        <v>0</v>
      </c>
      <c r="M126" s="206">
        <f>SUMIFS(LANÇ_MOV[VALOR LÍQUIDO],LANÇ_MOV[RECEITA OU DESPESA],"Receita",LANÇ_MOV[CONTAS],$C126,LANÇ_MOV[PLANO DE CONTAS],REL_DRE_FINANCEIRO!$B$30,LANÇ_MOV[ANO PAGAMENTO],$B$4,LANÇ_MOV[MÊS PAGAMENTO CORRESPONDENTE],M$6,LANÇ_MOV[EMPRESA],$C$4,LANÇ_MOV[CENTRO DE CUSTOS],$D$4)</f>
        <v>0</v>
      </c>
      <c r="N126" s="206">
        <f>SUMIFS(LANÇ_MOV[VALOR LÍQUIDO],LANÇ_MOV[RECEITA OU DESPESA],"Receita",LANÇ_MOV[CONTAS],$C126,LANÇ_MOV[PLANO DE CONTAS],REL_DRE_FINANCEIRO!$B$30,LANÇ_MOV[ANO PAGAMENTO],$B$4,LANÇ_MOV[MÊS PAGAMENTO CORRESPONDENTE],N$6,LANÇ_MOV[EMPRESA],$C$4,LANÇ_MOV[CENTRO DE CUSTOS],$D$4)</f>
        <v>0</v>
      </c>
      <c r="O126" s="206">
        <f>SUMIFS(LANÇ_MOV[VALOR LÍQUIDO],LANÇ_MOV[RECEITA OU DESPESA],"Receita",LANÇ_MOV[CONTAS],$C126,LANÇ_MOV[PLANO DE CONTAS],REL_DRE_FINANCEIRO!$B$30,LANÇ_MOV[ANO PAGAMENTO],$B$4,LANÇ_MOV[MÊS PAGAMENTO CORRESPONDENTE],O$6,LANÇ_MOV[EMPRESA],$C$4,LANÇ_MOV[CENTRO DE CUSTOS],$D$4)</f>
        <v>0</v>
      </c>
      <c r="P126" s="207">
        <f t="shared" si="23"/>
        <v>0</v>
      </c>
      <c r="Q126" s="333">
        <v>4.9999999999999998E-7</v>
      </c>
      <c r="R126" s="346">
        <f t="shared" si="24"/>
        <v>4.9999999999999998E-7</v>
      </c>
      <c r="S126" s="347" t="str">
        <f t="shared" si="25"/>
        <v>-</v>
      </c>
      <c r="T126" s="347">
        <f t="shared" si="26"/>
        <v>0</v>
      </c>
      <c r="U126" s="347">
        <f>HLOOKUP(Apoio!$P$12,$D$29:$P$130,X126,FALSE)+Q126</f>
        <v>4.9999999999999998E-7</v>
      </c>
      <c r="V126" s="447" t="str">
        <f t="shared" si="27"/>
        <v>-</v>
      </c>
      <c r="W126" s="448">
        <f>HLOOKUP(Apoio!$P$12,$D$29:$P$130,X126,FALSE)</f>
        <v>0</v>
      </c>
      <c r="X126" s="329">
        <v>98</v>
      </c>
    </row>
    <row r="127" spans="2:24" ht="30.05" customHeight="1" x14ac:dyDescent="0.35">
      <c r="B127" s="204" t="str">
        <f>'CAD_PL_REC-DESP'!B101</f>
        <v>1.1.97</v>
      </c>
      <c r="C127" s="205" t="str">
        <f>IF('CAD_PL_REC-DESP'!C101="","-",'CAD_PL_REC-DESP'!C101)</f>
        <v>-</v>
      </c>
      <c r="D127" s="206">
        <f>SUMIFS(LANÇ_MOV[VALOR LÍQUIDO],LANÇ_MOV[RECEITA OU DESPESA],"Receita",LANÇ_MOV[CONTAS],$C127,LANÇ_MOV[PLANO DE CONTAS],REL_DRE_FINANCEIRO!$B$30,LANÇ_MOV[ANO PAGAMENTO],$B$4,LANÇ_MOV[MÊS PAGAMENTO CORRESPONDENTE],D$6,LANÇ_MOV[EMPRESA],$C$4,LANÇ_MOV[CENTRO DE CUSTOS],$D$4)</f>
        <v>0</v>
      </c>
      <c r="E127" s="206">
        <f>SUMIFS(LANÇ_MOV[VALOR LÍQUIDO],LANÇ_MOV[RECEITA OU DESPESA],"Receita",LANÇ_MOV[CONTAS],$C127,LANÇ_MOV[PLANO DE CONTAS],REL_DRE_FINANCEIRO!$B$30,LANÇ_MOV[ANO PAGAMENTO],$B$4,LANÇ_MOV[MÊS PAGAMENTO CORRESPONDENTE],E$6,LANÇ_MOV[EMPRESA],$C$4,LANÇ_MOV[CENTRO DE CUSTOS],$D$4)</f>
        <v>0</v>
      </c>
      <c r="F127" s="206">
        <f>SUMIFS(LANÇ_MOV[VALOR LÍQUIDO],LANÇ_MOV[RECEITA OU DESPESA],"Receita",LANÇ_MOV[CONTAS],$C127,LANÇ_MOV[PLANO DE CONTAS],REL_DRE_FINANCEIRO!$B$30,LANÇ_MOV[ANO PAGAMENTO],$B$4,LANÇ_MOV[MÊS PAGAMENTO CORRESPONDENTE],F$6,LANÇ_MOV[EMPRESA],$C$4,LANÇ_MOV[CENTRO DE CUSTOS],$D$4)</f>
        <v>0</v>
      </c>
      <c r="G127" s="206">
        <f>SUMIFS(LANÇ_MOV[VALOR LÍQUIDO],LANÇ_MOV[RECEITA OU DESPESA],"Receita",LANÇ_MOV[CONTAS],$C127,LANÇ_MOV[PLANO DE CONTAS],REL_DRE_FINANCEIRO!$B$30,LANÇ_MOV[ANO PAGAMENTO],$B$4,LANÇ_MOV[MÊS PAGAMENTO CORRESPONDENTE],G$6,LANÇ_MOV[EMPRESA],$C$4,LANÇ_MOV[CENTRO DE CUSTOS],$D$4)</f>
        <v>0</v>
      </c>
      <c r="H127" s="206">
        <f>SUMIFS(LANÇ_MOV[VALOR LÍQUIDO],LANÇ_MOV[RECEITA OU DESPESA],"Receita",LANÇ_MOV[CONTAS],$C127,LANÇ_MOV[PLANO DE CONTAS],REL_DRE_FINANCEIRO!$B$30,LANÇ_MOV[ANO PAGAMENTO],$B$4,LANÇ_MOV[MÊS PAGAMENTO CORRESPONDENTE],H$6,LANÇ_MOV[EMPRESA],$C$4,LANÇ_MOV[CENTRO DE CUSTOS],$D$4)</f>
        <v>0</v>
      </c>
      <c r="I127" s="206">
        <f>SUMIFS(LANÇ_MOV[VALOR LÍQUIDO],LANÇ_MOV[RECEITA OU DESPESA],"Receita",LANÇ_MOV[CONTAS],$C127,LANÇ_MOV[PLANO DE CONTAS],REL_DRE_FINANCEIRO!$B$30,LANÇ_MOV[ANO PAGAMENTO],$B$4,LANÇ_MOV[MÊS PAGAMENTO CORRESPONDENTE],I$6,LANÇ_MOV[EMPRESA],$C$4,LANÇ_MOV[CENTRO DE CUSTOS],$D$4)</f>
        <v>0</v>
      </c>
      <c r="J127" s="206">
        <f>SUMIFS(LANÇ_MOV[VALOR LÍQUIDO],LANÇ_MOV[RECEITA OU DESPESA],"Receita",LANÇ_MOV[CONTAS],$C127,LANÇ_MOV[PLANO DE CONTAS],REL_DRE_FINANCEIRO!$B$30,LANÇ_MOV[ANO PAGAMENTO],$B$4,LANÇ_MOV[MÊS PAGAMENTO CORRESPONDENTE],J$6,LANÇ_MOV[EMPRESA],$C$4,LANÇ_MOV[CENTRO DE CUSTOS],$D$4)</f>
        <v>0</v>
      </c>
      <c r="K127" s="206">
        <f>SUMIFS(LANÇ_MOV[VALOR LÍQUIDO],LANÇ_MOV[RECEITA OU DESPESA],"Receita",LANÇ_MOV[CONTAS],$C127,LANÇ_MOV[PLANO DE CONTAS],REL_DRE_FINANCEIRO!$B$30,LANÇ_MOV[ANO PAGAMENTO],$B$4,LANÇ_MOV[MÊS PAGAMENTO CORRESPONDENTE],K$6,LANÇ_MOV[EMPRESA],$C$4,LANÇ_MOV[CENTRO DE CUSTOS],$D$4)</f>
        <v>0</v>
      </c>
      <c r="L127" s="206">
        <f>SUMIFS(LANÇ_MOV[VALOR LÍQUIDO],LANÇ_MOV[RECEITA OU DESPESA],"Receita",LANÇ_MOV[CONTAS],$C127,LANÇ_MOV[PLANO DE CONTAS],REL_DRE_FINANCEIRO!$B$30,LANÇ_MOV[ANO PAGAMENTO],$B$4,LANÇ_MOV[MÊS PAGAMENTO CORRESPONDENTE],L$6,LANÇ_MOV[EMPRESA],$C$4,LANÇ_MOV[CENTRO DE CUSTOS],$D$4)</f>
        <v>0</v>
      </c>
      <c r="M127" s="206">
        <f>SUMIFS(LANÇ_MOV[VALOR LÍQUIDO],LANÇ_MOV[RECEITA OU DESPESA],"Receita",LANÇ_MOV[CONTAS],$C127,LANÇ_MOV[PLANO DE CONTAS],REL_DRE_FINANCEIRO!$B$30,LANÇ_MOV[ANO PAGAMENTO],$B$4,LANÇ_MOV[MÊS PAGAMENTO CORRESPONDENTE],M$6,LANÇ_MOV[EMPRESA],$C$4,LANÇ_MOV[CENTRO DE CUSTOS],$D$4)</f>
        <v>0</v>
      </c>
      <c r="N127" s="206">
        <f>SUMIFS(LANÇ_MOV[VALOR LÍQUIDO],LANÇ_MOV[RECEITA OU DESPESA],"Receita",LANÇ_MOV[CONTAS],$C127,LANÇ_MOV[PLANO DE CONTAS],REL_DRE_FINANCEIRO!$B$30,LANÇ_MOV[ANO PAGAMENTO],$B$4,LANÇ_MOV[MÊS PAGAMENTO CORRESPONDENTE],N$6,LANÇ_MOV[EMPRESA],$C$4,LANÇ_MOV[CENTRO DE CUSTOS],$D$4)</f>
        <v>0</v>
      </c>
      <c r="O127" s="206">
        <f>SUMIFS(LANÇ_MOV[VALOR LÍQUIDO],LANÇ_MOV[RECEITA OU DESPESA],"Receita",LANÇ_MOV[CONTAS],$C127,LANÇ_MOV[PLANO DE CONTAS],REL_DRE_FINANCEIRO!$B$30,LANÇ_MOV[ANO PAGAMENTO],$B$4,LANÇ_MOV[MÊS PAGAMENTO CORRESPONDENTE],O$6,LANÇ_MOV[EMPRESA],$C$4,LANÇ_MOV[CENTRO DE CUSTOS],$D$4)</f>
        <v>0</v>
      </c>
      <c r="P127" s="207">
        <f t="shared" si="23"/>
        <v>0</v>
      </c>
      <c r="Q127" s="333">
        <v>3.9999999999999998E-7</v>
      </c>
      <c r="R127" s="346">
        <f t="shared" si="24"/>
        <v>3.9999999999999998E-7</v>
      </c>
      <c r="S127" s="347" t="str">
        <f t="shared" si="25"/>
        <v>-</v>
      </c>
      <c r="T127" s="347">
        <f t="shared" si="26"/>
        <v>0</v>
      </c>
      <c r="U127" s="347">
        <f>HLOOKUP(Apoio!$P$12,$D$29:$P$130,X127,FALSE)+Q127</f>
        <v>3.9999999999999998E-7</v>
      </c>
      <c r="V127" s="447" t="str">
        <f t="shared" si="27"/>
        <v>-</v>
      </c>
      <c r="W127" s="448">
        <f>HLOOKUP(Apoio!$P$12,$D$29:$P$130,X127,FALSE)</f>
        <v>0</v>
      </c>
      <c r="X127" s="329">
        <v>99</v>
      </c>
    </row>
    <row r="128" spans="2:24" ht="30.05" customHeight="1" x14ac:dyDescent="0.35">
      <c r="B128" s="204" t="str">
        <f>'CAD_PL_REC-DESP'!B102</f>
        <v>1.1.98</v>
      </c>
      <c r="C128" s="205" t="str">
        <f>IF('CAD_PL_REC-DESP'!C102="","-",'CAD_PL_REC-DESP'!C102)</f>
        <v>-</v>
      </c>
      <c r="D128" s="206">
        <f>SUMIFS(LANÇ_MOV[VALOR LÍQUIDO],LANÇ_MOV[RECEITA OU DESPESA],"Receita",LANÇ_MOV[CONTAS],$C128,LANÇ_MOV[PLANO DE CONTAS],REL_DRE_FINANCEIRO!$B$30,LANÇ_MOV[ANO PAGAMENTO],$B$4,LANÇ_MOV[MÊS PAGAMENTO CORRESPONDENTE],D$6,LANÇ_MOV[EMPRESA],$C$4,LANÇ_MOV[CENTRO DE CUSTOS],$D$4)</f>
        <v>0</v>
      </c>
      <c r="E128" s="206">
        <f>SUMIFS(LANÇ_MOV[VALOR LÍQUIDO],LANÇ_MOV[RECEITA OU DESPESA],"Receita",LANÇ_MOV[CONTAS],$C128,LANÇ_MOV[PLANO DE CONTAS],REL_DRE_FINANCEIRO!$B$30,LANÇ_MOV[ANO PAGAMENTO],$B$4,LANÇ_MOV[MÊS PAGAMENTO CORRESPONDENTE],E$6,LANÇ_MOV[EMPRESA],$C$4,LANÇ_MOV[CENTRO DE CUSTOS],$D$4)</f>
        <v>0</v>
      </c>
      <c r="F128" s="206">
        <f>SUMIFS(LANÇ_MOV[VALOR LÍQUIDO],LANÇ_MOV[RECEITA OU DESPESA],"Receita",LANÇ_MOV[CONTAS],$C128,LANÇ_MOV[PLANO DE CONTAS],REL_DRE_FINANCEIRO!$B$30,LANÇ_MOV[ANO PAGAMENTO],$B$4,LANÇ_MOV[MÊS PAGAMENTO CORRESPONDENTE],F$6,LANÇ_MOV[EMPRESA],$C$4,LANÇ_MOV[CENTRO DE CUSTOS],$D$4)</f>
        <v>0</v>
      </c>
      <c r="G128" s="206">
        <f>SUMIFS(LANÇ_MOV[VALOR LÍQUIDO],LANÇ_MOV[RECEITA OU DESPESA],"Receita",LANÇ_MOV[CONTAS],$C128,LANÇ_MOV[PLANO DE CONTAS],REL_DRE_FINANCEIRO!$B$30,LANÇ_MOV[ANO PAGAMENTO],$B$4,LANÇ_MOV[MÊS PAGAMENTO CORRESPONDENTE],G$6,LANÇ_MOV[EMPRESA],$C$4,LANÇ_MOV[CENTRO DE CUSTOS],$D$4)</f>
        <v>0</v>
      </c>
      <c r="H128" s="206">
        <f>SUMIFS(LANÇ_MOV[VALOR LÍQUIDO],LANÇ_MOV[RECEITA OU DESPESA],"Receita",LANÇ_MOV[CONTAS],$C128,LANÇ_MOV[PLANO DE CONTAS],REL_DRE_FINANCEIRO!$B$30,LANÇ_MOV[ANO PAGAMENTO],$B$4,LANÇ_MOV[MÊS PAGAMENTO CORRESPONDENTE],H$6,LANÇ_MOV[EMPRESA],$C$4,LANÇ_MOV[CENTRO DE CUSTOS],$D$4)</f>
        <v>0</v>
      </c>
      <c r="I128" s="206">
        <f>SUMIFS(LANÇ_MOV[VALOR LÍQUIDO],LANÇ_MOV[RECEITA OU DESPESA],"Receita",LANÇ_MOV[CONTAS],$C128,LANÇ_MOV[PLANO DE CONTAS],REL_DRE_FINANCEIRO!$B$30,LANÇ_MOV[ANO PAGAMENTO],$B$4,LANÇ_MOV[MÊS PAGAMENTO CORRESPONDENTE],I$6,LANÇ_MOV[EMPRESA],$C$4,LANÇ_MOV[CENTRO DE CUSTOS],$D$4)</f>
        <v>0</v>
      </c>
      <c r="J128" s="206">
        <f>SUMIFS(LANÇ_MOV[VALOR LÍQUIDO],LANÇ_MOV[RECEITA OU DESPESA],"Receita",LANÇ_MOV[CONTAS],$C128,LANÇ_MOV[PLANO DE CONTAS],REL_DRE_FINANCEIRO!$B$30,LANÇ_MOV[ANO PAGAMENTO],$B$4,LANÇ_MOV[MÊS PAGAMENTO CORRESPONDENTE],J$6,LANÇ_MOV[EMPRESA],$C$4,LANÇ_MOV[CENTRO DE CUSTOS],$D$4)</f>
        <v>0</v>
      </c>
      <c r="K128" s="206">
        <f>SUMIFS(LANÇ_MOV[VALOR LÍQUIDO],LANÇ_MOV[RECEITA OU DESPESA],"Receita",LANÇ_MOV[CONTAS],$C128,LANÇ_MOV[PLANO DE CONTAS],REL_DRE_FINANCEIRO!$B$30,LANÇ_MOV[ANO PAGAMENTO],$B$4,LANÇ_MOV[MÊS PAGAMENTO CORRESPONDENTE],K$6,LANÇ_MOV[EMPRESA],$C$4,LANÇ_MOV[CENTRO DE CUSTOS],$D$4)</f>
        <v>0</v>
      </c>
      <c r="L128" s="206">
        <f>SUMIFS(LANÇ_MOV[VALOR LÍQUIDO],LANÇ_MOV[RECEITA OU DESPESA],"Receita",LANÇ_MOV[CONTAS],$C128,LANÇ_MOV[PLANO DE CONTAS],REL_DRE_FINANCEIRO!$B$30,LANÇ_MOV[ANO PAGAMENTO],$B$4,LANÇ_MOV[MÊS PAGAMENTO CORRESPONDENTE],L$6,LANÇ_MOV[EMPRESA],$C$4,LANÇ_MOV[CENTRO DE CUSTOS],$D$4)</f>
        <v>0</v>
      </c>
      <c r="M128" s="206">
        <f>SUMIFS(LANÇ_MOV[VALOR LÍQUIDO],LANÇ_MOV[RECEITA OU DESPESA],"Receita",LANÇ_MOV[CONTAS],$C128,LANÇ_MOV[PLANO DE CONTAS],REL_DRE_FINANCEIRO!$B$30,LANÇ_MOV[ANO PAGAMENTO],$B$4,LANÇ_MOV[MÊS PAGAMENTO CORRESPONDENTE],M$6,LANÇ_MOV[EMPRESA],$C$4,LANÇ_MOV[CENTRO DE CUSTOS],$D$4)</f>
        <v>0</v>
      </c>
      <c r="N128" s="206">
        <f>SUMIFS(LANÇ_MOV[VALOR LÍQUIDO],LANÇ_MOV[RECEITA OU DESPESA],"Receita",LANÇ_MOV[CONTAS],$C128,LANÇ_MOV[PLANO DE CONTAS],REL_DRE_FINANCEIRO!$B$30,LANÇ_MOV[ANO PAGAMENTO],$B$4,LANÇ_MOV[MÊS PAGAMENTO CORRESPONDENTE],N$6,LANÇ_MOV[EMPRESA],$C$4,LANÇ_MOV[CENTRO DE CUSTOS],$D$4)</f>
        <v>0</v>
      </c>
      <c r="O128" s="206">
        <f>SUMIFS(LANÇ_MOV[VALOR LÍQUIDO],LANÇ_MOV[RECEITA OU DESPESA],"Receita",LANÇ_MOV[CONTAS],$C128,LANÇ_MOV[PLANO DE CONTAS],REL_DRE_FINANCEIRO!$B$30,LANÇ_MOV[ANO PAGAMENTO],$B$4,LANÇ_MOV[MÊS PAGAMENTO CORRESPONDENTE],O$6,LANÇ_MOV[EMPRESA],$C$4,LANÇ_MOV[CENTRO DE CUSTOS],$D$4)</f>
        <v>0</v>
      </c>
      <c r="P128" s="207">
        <f t="shared" si="23"/>
        <v>0</v>
      </c>
      <c r="Q128" s="333">
        <v>2.9999999999999999E-7</v>
      </c>
      <c r="R128" s="346">
        <f t="shared" si="24"/>
        <v>2.9999999999999999E-7</v>
      </c>
      <c r="S128" s="347" t="str">
        <f t="shared" si="25"/>
        <v>-</v>
      </c>
      <c r="T128" s="347">
        <f t="shared" si="26"/>
        <v>0</v>
      </c>
      <c r="U128" s="347">
        <f>HLOOKUP(Apoio!$P$12,$D$29:$P$130,X128,FALSE)+Q128</f>
        <v>2.9999999999999999E-7</v>
      </c>
      <c r="V128" s="447" t="str">
        <f t="shared" si="27"/>
        <v>-</v>
      </c>
      <c r="W128" s="448">
        <f>HLOOKUP(Apoio!$P$12,$D$29:$P$130,X128,FALSE)</f>
        <v>0</v>
      </c>
      <c r="X128" s="329">
        <v>100</v>
      </c>
    </row>
    <row r="129" spans="2:50" ht="30.05" customHeight="1" x14ac:dyDescent="0.35">
      <c r="B129" s="204" t="str">
        <f>'CAD_PL_REC-DESP'!B103</f>
        <v>1.1.99</v>
      </c>
      <c r="C129" s="205" t="str">
        <f>IF('CAD_PL_REC-DESP'!C103="","-",'CAD_PL_REC-DESP'!C103)</f>
        <v>-</v>
      </c>
      <c r="D129" s="206">
        <f>SUMIFS(LANÇ_MOV[VALOR LÍQUIDO],LANÇ_MOV[RECEITA OU DESPESA],"Receita",LANÇ_MOV[CONTAS],$C129,LANÇ_MOV[PLANO DE CONTAS],REL_DRE_FINANCEIRO!$B$30,LANÇ_MOV[ANO PAGAMENTO],$B$4,LANÇ_MOV[MÊS PAGAMENTO CORRESPONDENTE],D$6,LANÇ_MOV[EMPRESA],$C$4,LANÇ_MOV[CENTRO DE CUSTOS],$D$4)</f>
        <v>0</v>
      </c>
      <c r="E129" s="206">
        <f>SUMIFS(LANÇ_MOV[VALOR LÍQUIDO],LANÇ_MOV[RECEITA OU DESPESA],"Receita",LANÇ_MOV[CONTAS],$C129,LANÇ_MOV[PLANO DE CONTAS],REL_DRE_FINANCEIRO!$B$30,LANÇ_MOV[ANO PAGAMENTO],$B$4,LANÇ_MOV[MÊS PAGAMENTO CORRESPONDENTE],E$6,LANÇ_MOV[EMPRESA],$C$4,LANÇ_MOV[CENTRO DE CUSTOS],$D$4)</f>
        <v>0</v>
      </c>
      <c r="F129" s="206">
        <f>SUMIFS(LANÇ_MOV[VALOR LÍQUIDO],LANÇ_MOV[RECEITA OU DESPESA],"Receita",LANÇ_MOV[CONTAS],$C129,LANÇ_MOV[PLANO DE CONTAS],REL_DRE_FINANCEIRO!$B$30,LANÇ_MOV[ANO PAGAMENTO],$B$4,LANÇ_MOV[MÊS PAGAMENTO CORRESPONDENTE],F$6,LANÇ_MOV[EMPRESA],$C$4,LANÇ_MOV[CENTRO DE CUSTOS],$D$4)</f>
        <v>0</v>
      </c>
      <c r="G129" s="206">
        <f>SUMIFS(LANÇ_MOV[VALOR LÍQUIDO],LANÇ_MOV[RECEITA OU DESPESA],"Receita",LANÇ_MOV[CONTAS],$C129,LANÇ_MOV[PLANO DE CONTAS],REL_DRE_FINANCEIRO!$B$30,LANÇ_MOV[ANO PAGAMENTO],$B$4,LANÇ_MOV[MÊS PAGAMENTO CORRESPONDENTE],G$6,LANÇ_MOV[EMPRESA],$C$4,LANÇ_MOV[CENTRO DE CUSTOS],$D$4)</f>
        <v>0</v>
      </c>
      <c r="H129" s="206">
        <f>SUMIFS(LANÇ_MOV[VALOR LÍQUIDO],LANÇ_MOV[RECEITA OU DESPESA],"Receita",LANÇ_MOV[CONTAS],$C129,LANÇ_MOV[PLANO DE CONTAS],REL_DRE_FINANCEIRO!$B$30,LANÇ_MOV[ANO PAGAMENTO],$B$4,LANÇ_MOV[MÊS PAGAMENTO CORRESPONDENTE],H$6,LANÇ_MOV[EMPRESA],$C$4,LANÇ_MOV[CENTRO DE CUSTOS],$D$4)</f>
        <v>0</v>
      </c>
      <c r="I129" s="206">
        <f>SUMIFS(LANÇ_MOV[VALOR LÍQUIDO],LANÇ_MOV[RECEITA OU DESPESA],"Receita",LANÇ_MOV[CONTAS],$C129,LANÇ_MOV[PLANO DE CONTAS],REL_DRE_FINANCEIRO!$B$30,LANÇ_MOV[ANO PAGAMENTO],$B$4,LANÇ_MOV[MÊS PAGAMENTO CORRESPONDENTE],I$6,LANÇ_MOV[EMPRESA],$C$4,LANÇ_MOV[CENTRO DE CUSTOS],$D$4)</f>
        <v>0</v>
      </c>
      <c r="J129" s="206">
        <f>SUMIFS(LANÇ_MOV[VALOR LÍQUIDO],LANÇ_MOV[RECEITA OU DESPESA],"Receita",LANÇ_MOV[CONTAS],$C129,LANÇ_MOV[PLANO DE CONTAS],REL_DRE_FINANCEIRO!$B$30,LANÇ_MOV[ANO PAGAMENTO],$B$4,LANÇ_MOV[MÊS PAGAMENTO CORRESPONDENTE],J$6,LANÇ_MOV[EMPRESA],$C$4,LANÇ_MOV[CENTRO DE CUSTOS],$D$4)</f>
        <v>0</v>
      </c>
      <c r="K129" s="206">
        <f>SUMIFS(LANÇ_MOV[VALOR LÍQUIDO],LANÇ_MOV[RECEITA OU DESPESA],"Receita",LANÇ_MOV[CONTAS],$C129,LANÇ_MOV[PLANO DE CONTAS],REL_DRE_FINANCEIRO!$B$30,LANÇ_MOV[ANO PAGAMENTO],$B$4,LANÇ_MOV[MÊS PAGAMENTO CORRESPONDENTE],K$6,LANÇ_MOV[EMPRESA],$C$4,LANÇ_MOV[CENTRO DE CUSTOS],$D$4)</f>
        <v>0</v>
      </c>
      <c r="L129" s="206">
        <f>SUMIFS(LANÇ_MOV[VALOR LÍQUIDO],LANÇ_MOV[RECEITA OU DESPESA],"Receita",LANÇ_MOV[CONTAS],$C129,LANÇ_MOV[PLANO DE CONTAS],REL_DRE_FINANCEIRO!$B$30,LANÇ_MOV[ANO PAGAMENTO],$B$4,LANÇ_MOV[MÊS PAGAMENTO CORRESPONDENTE],L$6,LANÇ_MOV[EMPRESA],$C$4,LANÇ_MOV[CENTRO DE CUSTOS],$D$4)</f>
        <v>0</v>
      </c>
      <c r="M129" s="206">
        <f>SUMIFS(LANÇ_MOV[VALOR LÍQUIDO],LANÇ_MOV[RECEITA OU DESPESA],"Receita",LANÇ_MOV[CONTAS],$C129,LANÇ_MOV[PLANO DE CONTAS],REL_DRE_FINANCEIRO!$B$30,LANÇ_MOV[ANO PAGAMENTO],$B$4,LANÇ_MOV[MÊS PAGAMENTO CORRESPONDENTE],M$6,LANÇ_MOV[EMPRESA],$C$4,LANÇ_MOV[CENTRO DE CUSTOS],$D$4)</f>
        <v>0</v>
      </c>
      <c r="N129" s="206">
        <f>SUMIFS(LANÇ_MOV[VALOR LÍQUIDO],LANÇ_MOV[RECEITA OU DESPESA],"Receita",LANÇ_MOV[CONTAS],$C129,LANÇ_MOV[PLANO DE CONTAS],REL_DRE_FINANCEIRO!$B$30,LANÇ_MOV[ANO PAGAMENTO],$B$4,LANÇ_MOV[MÊS PAGAMENTO CORRESPONDENTE],N$6,LANÇ_MOV[EMPRESA],$C$4,LANÇ_MOV[CENTRO DE CUSTOS],$D$4)</f>
        <v>0</v>
      </c>
      <c r="O129" s="206">
        <f>SUMIFS(LANÇ_MOV[VALOR LÍQUIDO],LANÇ_MOV[RECEITA OU DESPESA],"Receita",LANÇ_MOV[CONTAS],$C129,LANÇ_MOV[PLANO DE CONTAS],REL_DRE_FINANCEIRO!$B$30,LANÇ_MOV[ANO PAGAMENTO],$B$4,LANÇ_MOV[MÊS PAGAMENTO CORRESPONDENTE],O$6,LANÇ_MOV[EMPRESA],$C$4,LANÇ_MOV[CENTRO DE CUSTOS],$D$4)</f>
        <v>0</v>
      </c>
      <c r="P129" s="207">
        <f t="shared" si="23"/>
        <v>0</v>
      </c>
      <c r="Q129" s="333">
        <v>1.9999999999999999E-7</v>
      </c>
      <c r="R129" s="346">
        <f t="shared" si="24"/>
        <v>1.9999999999999999E-7</v>
      </c>
      <c r="S129" s="347" t="str">
        <f t="shared" si="25"/>
        <v>-</v>
      </c>
      <c r="T129" s="347">
        <f t="shared" si="26"/>
        <v>0</v>
      </c>
      <c r="U129" s="347">
        <f>HLOOKUP(Apoio!$P$12,$D$29:$P$130,X129,FALSE)+Q129</f>
        <v>1.9999999999999999E-7</v>
      </c>
      <c r="V129" s="447" t="str">
        <f t="shared" si="27"/>
        <v>-</v>
      </c>
      <c r="W129" s="448">
        <f>HLOOKUP(Apoio!$P$12,$D$29:$P$130,X129,FALSE)</f>
        <v>0</v>
      </c>
      <c r="X129" s="329">
        <v>101</v>
      </c>
    </row>
    <row r="130" spans="2:50" ht="30.05" customHeight="1" x14ac:dyDescent="0.35">
      <c r="B130" s="204" t="str">
        <f>'CAD_PL_REC-DESP'!B104</f>
        <v>1.1.100</v>
      </c>
      <c r="C130" s="205" t="str">
        <f>IF('CAD_PL_REC-DESP'!C104="","-",'CAD_PL_REC-DESP'!C104)</f>
        <v>-</v>
      </c>
      <c r="D130" s="206">
        <f>SUMIFS(LANÇ_MOV[VALOR LÍQUIDO],LANÇ_MOV[RECEITA OU DESPESA],"Receita",LANÇ_MOV[CONTAS],$C130,LANÇ_MOV[PLANO DE CONTAS],REL_DRE_FINANCEIRO!$B$30,LANÇ_MOV[ANO PAGAMENTO],$B$4,LANÇ_MOV[MÊS PAGAMENTO CORRESPONDENTE],D$6,LANÇ_MOV[EMPRESA],$C$4,LANÇ_MOV[CENTRO DE CUSTOS],$D$4)</f>
        <v>0</v>
      </c>
      <c r="E130" s="206">
        <f>SUMIFS(LANÇ_MOV[VALOR LÍQUIDO],LANÇ_MOV[RECEITA OU DESPESA],"Receita",LANÇ_MOV[CONTAS],$C130,LANÇ_MOV[PLANO DE CONTAS],REL_DRE_FINANCEIRO!$B$30,LANÇ_MOV[ANO PAGAMENTO],$B$4,LANÇ_MOV[MÊS PAGAMENTO CORRESPONDENTE],E$6,LANÇ_MOV[EMPRESA],$C$4,LANÇ_MOV[CENTRO DE CUSTOS],$D$4)</f>
        <v>0</v>
      </c>
      <c r="F130" s="206">
        <f>SUMIFS(LANÇ_MOV[VALOR LÍQUIDO],LANÇ_MOV[RECEITA OU DESPESA],"Receita",LANÇ_MOV[CONTAS],$C130,LANÇ_MOV[PLANO DE CONTAS],REL_DRE_FINANCEIRO!$B$30,LANÇ_MOV[ANO PAGAMENTO],$B$4,LANÇ_MOV[MÊS PAGAMENTO CORRESPONDENTE],F$6,LANÇ_MOV[EMPRESA],$C$4,LANÇ_MOV[CENTRO DE CUSTOS],$D$4)</f>
        <v>0</v>
      </c>
      <c r="G130" s="206">
        <f>SUMIFS(LANÇ_MOV[VALOR LÍQUIDO],LANÇ_MOV[RECEITA OU DESPESA],"Receita",LANÇ_MOV[CONTAS],$C130,LANÇ_MOV[PLANO DE CONTAS],REL_DRE_FINANCEIRO!$B$30,LANÇ_MOV[ANO PAGAMENTO],$B$4,LANÇ_MOV[MÊS PAGAMENTO CORRESPONDENTE],G$6,LANÇ_MOV[EMPRESA],$C$4,LANÇ_MOV[CENTRO DE CUSTOS],$D$4)</f>
        <v>0</v>
      </c>
      <c r="H130" s="206">
        <f>SUMIFS(LANÇ_MOV[VALOR LÍQUIDO],LANÇ_MOV[RECEITA OU DESPESA],"Receita",LANÇ_MOV[CONTAS],$C130,LANÇ_MOV[PLANO DE CONTAS],REL_DRE_FINANCEIRO!$B$30,LANÇ_MOV[ANO PAGAMENTO],$B$4,LANÇ_MOV[MÊS PAGAMENTO CORRESPONDENTE],H$6,LANÇ_MOV[EMPRESA],$C$4,LANÇ_MOV[CENTRO DE CUSTOS],$D$4)</f>
        <v>0</v>
      </c>
      <c r="I130" s="206">
        <f>SUMIFS(LANÇ_MOV[VALOR LÍQUIDO],LANÇ_MOV[RECEITA OU DESPESA],"Receita",LANÇ_MOV[CONTAS],$C130,LANÇ_MOV[PLANO DE CONTAS],REL_DRE_FINANCEIRO!$B$30,LANÇ_MOV[ANO PAGAMENTO],$B$4,LANÇ_MOV[MÊS PAGAMENTO CORRESPONDENTE],I$6,LANÇ_MOV[EMPRESA],$C$4,LANÇ_MOV[CENTRO DE CUSTOS],$D$4)</f>
        <v>0</v>
      </c>
      <c r="J130" s="206">
        <f>SUMIFS(LANÇ_MOV[VALOR LÍQUIDO],LANÇ_MOV[RECEITA OU DESPESA],"Receita",LANÇ_MOV[CONTAS],$C130,LANÇ_MOV[PLANO DE CONTAS],REL_DRE_FINANCEIRO!$B$30,LANÇ_MOV[ANO PAGAMENTO],$B$4,LANÇ_MOV[MÊS PAGAMENTO CORRESPONDENTE],J$6,LANÇ_MOV[EMPRESA],$C$4,LANÇ_MOV[CENTRO DE CUSTOS],$D$4)</f>
        <v>0</v>
      </c>
      <c r="K130" s="206">
        <f>SUMIFS(LANÇ_MOV[VALOR LÍQUIDO],LANÇ_MOV[RECEITA OU DESPESA],"Receita",LANÇ_MOV[CONTAS],$C130,LANÇ_MOV[PLANO DE CONTAS],REL_DRE_FINANCEIRO!$B$30,LANÇ_MOV[ANO PAGAMENTO],$B$4,LANÇ_MOV[MÊS PAGAMENTO CORRESPONDENTE],K$6,LANÇ_MOV[EMPRESA],$C$4,LANÇ_MOV[CENTRO DE CUSTOS],$D$4)</f>
        <v>0</v>
      </c>
      <c r="L130" s="206">
        <f>SUMIFS(LANÇ_MOV[VALOR LÍQUIDO],LANÇ_MOV[RECEITA OU DESPESA],"Receita",LANÇ_MOV[CONTAS],$C130,LANÇ_MOV[PLANO DE CONTAS],REL_DRE_FINANCEIRO!$B$30,LANÇ_MOV[ANO PAGAMENTO],$B$4,LANÇ_MOV[MÊS PAGAMENTO CORRESPONDENTE],L$6,LANÇ_MOV[EMPRESA],$C$4,LANÇ_MOV[CENTRO DE CUSTOS],$D$4)</f>
        <v>0</v>
      </c>
      <c r="M130" s="206">
        <f>SUMIFS(LANÇ_MOV[VALOR LÍQUIDO],LANÇ_MOV[RECEITA OU DESPESA],"Receita",LANÇ_MOV[CONTAS],$C130,LANÇ_MOV[PLANO DE CONTAS],REL_DRE_FINANCEIRO!$B$30,LANÇ_MOV[ANO PAGAMENTO],$B$4,LANÇ_MOV[MÊS PAGAMENTO CORRESPONDENTE],M$6,LANÇ_MOV[EMPRESA],$C$4,LANÇ_MOV[CENTRO DE CUSTOS],$D$4)</f>
        <v>0</v>
      </c>
      <c r="N130" s="206">
        <f>SUMIFS(LANÇ_MOV[VALOR LÍQUIDO],LANÇ_MOV[RECEITA OU DESPESA],"Receita",LANÇ_MOV[CONTAS],$C130,LANÇ_MOV[PLANO DE CONTAS],REL_DRE_FINANCEIRO!$B$30,LANÇ_MOV[ANO PAGAMENTO],$B$4,LANÇ_MOV[MÊS PAGAMENTO CORRESPONDENTE],N$6,LANÇ_MOV[EMPRESA],$C$4,LANÇ_MOV[CENTRO DE CUSTOS],$D$4)</f>
        <v>0</v>
      </c>
      <c r="O130" s="206">
        <f>SUMIFS(LANÇ_MOV[VALOR LÍQUIDO],LANÇ_MOV[RECEITA OU DESPESA],"Receita",LANÇ_MOV[CONTAS],$C130,LANÇ_MOV[PLANO DE CONTAS],REL_DRE_FINANCEIRO!$B$30,LANÇ_MOV[ANO PAGAMENTO],$B$4,LANÇ_MOV[MÊS PAGAMENTO CORRESPONDENTE],O$6,LANÇ_MOV[EMPRESA],$C$4,LANÇ_MOV[CENTRO DE CUSTOS],$D$4)</f>
        <v>0</v>
      </c>
      <c r="P130" s="207">
        <f t="shared" si="23"/>
        <v>0</v>
      </c>
      <c r="Q130" s="333">
        <v>9.9999999999999995E-8</v>
      </c>
      <c r="R130" s="346">
        <f t="shared" si="24"/>
        <v>9.9999999999999995E-8</v>
      </c>
      <c r="S130" s="347" t="str">
        <f t="shared" si="25"/>
        <v>-</v>
      </c>
      <c r="T130" s="347">
        <f t="shared" si="26"/>
        <v>0</v>
      </c>
      <c r="U130" s="347">
        <f>HLOOKUP(Apoio!$P$12,$D$29:$P$130,X130,FALSE)+Q130</f>
        <v>9.9999999999999995E-8</v>
      </c>
      <c r="V130" s="447" t="str">
        <f t="shared" si="27"/>
        <v>-</v>
      </c>
      <c r="W130" s="448">
        <f>HLOOKUP(Apoio!$P$12,$D$29:$P$130,X130,FALSE)</f>
        <v>0</v>
      </c>
      <c r="X130" s="329">
        <v>102</v>
      </c>
    </row>
    <row r="131" spans="2:50" ht="6.75" customHeight="1" x14ac:dyDescent="0.35">
      <c r="D131" s="134" t="s">
        <v>1044</v>
      </c>
      <c r="E131" s="134" t="s">
        <v>1045</v>
      </c>
      <c r="F131" s="134" t="s">
        <v>1046</v>
      </c>
      <c r="G131" s="134" t="s">
        <v>1047</v>
      </c>
      <c r="H131" s="134" t="s">
        <v>1048</v>
      </c>
      <c r="I131" s="134" t="s">
        <v>1049</v>
      </c>
      <c r="J131" s="134" t="s">
        <v>1050</v>
      </c>
      <c r="K131" s="134" t="s">
        <v>1051</v>
      </c>
      <c r="L131" s="134" t="s">
        <v>1052</v>
      </c>
      <c r="M131" s="134" t="s">
        <v>1053</v>
      </c>
      <c r="N131" s="134" t="s">
        <v>1054</v>
      </c>
      <c r="O131" s="134" t="s">
        <v>1055</v>
      </c>
      <c r="P131" s="135" t="s">
        <v>1198</v>
      </c>
      <c r="AC131" s="441"/>
    </row>
    <row r="132" spans="2:50" ht="6.75" customHeight="1" x14ac:dyDescent="0.35">
      <c r="D132" s="25" t="s">
        <v>1044</v>
      </c>
      <c r="E132" s="25" t="s">
        <v>1045</v>
      </c>
      <c r="F132" s="25" t="s">
        <v>1046</v>
      </c>
      <c r="G132" s="25" t="s">
        <v>1047</v>
      </c>
      <c r="H132" s="25" t="s">
        <v>1048</v>
      </c>
      <c r="I132" s="25" t="s">
        <v>1049</v>
      </c>
      <c r="J132" s="25" t="s">
        <v>1050</v>
      </c>
      <c r="K132" s="25" t="s">
        <v>1051</v>
      </c>
      <c r="L132" s="25" t="s">
        <v>1052</v>
      </c>
      <c r="M132" s="25" t="s">
        <v>1053</v>
      </c>
      <c r="N132" s="25" t="s">
        <v>1054</v>
      </c>
      <c r="O132" s="25" t="s">
        <v>1055</v>
      </c>
      <c r="P132" s="25" t="s">
        <v>1063</v>
      </c>
      <c r="R132" s="346"/>
      <c r="S132" s="347"/>
      <c r="T132" s="347"/>
      <c r="U132" s="347"/>
      <c r="V132" s="447"/>
      <c r="W132" s="448"/>
      <c r="X132" s="346"/>
    </row>
    <row r="133" spans="2:50" s="15" customFormat="1" ht="30.05" customHeight="1" x14ac:dyDescent="0.35">
      <c r="B133" s="606" t="s">
        <v>1104</v>
      </c>
      <c r="C133" s="607"/>
      <c r="D133" s="202">
        <f>D135</f>
        <v>0</v>
      </c>
      <c r="E133" s="202">
        <f t="shared" ref="E133:P133" si="28">E135</f>
        <v>0</v>
      </c>
      <c r="F133" s="202">
        <f t="shared" si="28"/>
        <v>0</v>
      </c>
      <c r="G133" s="202">
        <f t="shared" si="28"/>
        <v>0</v>
      </c>
      <c r="H133" s="202">
        <f t="shared" si="28"/>
        <v>0</v>
      </c>
      <c r="I133" s="202">
        <f t="shared" si="28"/>
        <v>0</v>
      </c>
      <c r="J133" s="202">
        <f t="shared" si="28"/>
        <v>0</v>
      </c>
      <c r="K133" s="202">
        <f t="shared" si="28"/>
        <v>0</v>
      </c>
      <c r="L133" s="202">
        <f t="shared" si="28"/>
        <v>0</v>
      </c>
      <c r="M133" s="202">
        <f t="shared" si="28"/>
        <v>0</v>
      </c>
      <c r="N133" s="202">
        <f t="shared" si="28"/>
        <v>0</v>
      </c>
      <c r="O133" s="202">
        <f t="shared" si="28"/>
        <v>0</v>
      </c>
      <c r="P133" s="202">
        <f t="shared" si="28"/>
        <v>0</v>
      </c>
      <c r="Q133" s="331"/>
      <c r="R133" s="349"/>
      <c r="S133" s="350"/>
      <c r="T133" s="350"/>
      <c r="U133" s="350"/>
      <c r="V133" s="449"/>
      <c r="W133" s="450"/>
      <c r="X133" s="349"/>
      <c r="Y133" s="331"/>
      <c r="Z133" s="342"/>
      <c r="AA133" s="342"/>
      <c r="AB133" s="342"/>
      <c r="AC133" s="439"/>
      <c r="AD133" s="342"/>
      <c r="AE133" s="342"/>
      <c r="AF133" s="343"/>
      <c r="AG133" s="343"/>
      <c r="AH133" s="343"/>
      <c r="AI133" s="343"/>
      <c r="AJ133" s="343"/>
      <c r="AK133" s="343"/>
      <c r="AL133" s="343"/>
      <c r="AM133" s="343"/>
      <c r="AN133" s="343"/>
      <c r="AO133" s="343"/>
      <c r="AP133" s="343"/>
      <c r="AQ133" s="343"/>
      <c r="AR133" s="343"/>
      <c r="AS133" s="343"/>
      <c r="AT133" s="121"/>
      <c r="AU133" s="121"/>
      <c r="AV133" s="121"/>
      <c r="AW133" s="121"/>
      <c r="AX133" s="121"/>
    </row>
    <row r="134" spans="2:50" ht="6.75" customHeight="1" thickBot="1" x14ac:dyDescent="0.4">
      <c r="D134" s="25" t="s">
        <v>1044</v>
      </c>
      <c r="E134" s="25" t="s">
        <v>1045</v>
      </c>
      <c r="F134" s="25" t="s">
        <v>1046</v>
      </c>
      <c r="G134" s="25" t="s">
        <v>1047</v>
      </c>
      <c r="H134" s="25" t="s">
        <v>1048</v>
      </c>
      <c r="I134" s="25" t="s">
        <v>1049</v>
      </c>
      <c r="J134" s="25" t="s">
        <v>1050</v>
      </c>
      <c r="K134" s="25" t="s">
        <v>1051</v>
      </c>
      <c r="L134" s="25" t="s">
        <v>1052</v>
      </c>
      <c r="M134" s="25" t="s">
        <v>1053</v>
      </c>
      <c r="N134" s="25" t="s">
        <v>1054</v>
      </c>
      <c r="O134" s="25" t="s">
        <v>1055</v>
      </c>
      <c r="P134" s="135" t="s">
        <v>1198</v>
      </c>
      <c r="R134" s="346"/>
      <c r="S134" s="347"/>
      <c r="T134" s="347"/>
      <c r="U134" s="347"/>
      <c r="V134" s="447"/>
      <c r="W134" s="448"/>
      <c r="X134" s="346"/>
    </row>
    <row r="135" spans="2:50" ht="30.05" customHeight="1" thickTop="1" x14ac:dyDescent="0.35">
      <c r="B135" s="601" t="str">
        <f>'CAD_PL_REC-DESP'!L4</f>
        <v>DESPESAS OPERACIONAIS</v>
      </c>
      <c r="C135" s="602"/>
      <c r="D135" s="203">
        <f t="shared" ref="D135:O135" si="29">SUM(D136:D235)</f>
        <v>0</v>
      </c>
      <c r="E135" s="203">
        <f t="shared" si="29"/>
        <v>0</v>
      </c>
      <c r="F135" s="203">
        <f t="shared" si="29"/>
        <v>0</v>
      </c>
      <c r="G135" s="203">
        <f t="shared" si="29"/>
        <v>0</v>
      </c>
      <c r="H135" s="203">
        <f t="shared" si="29"/>
        <v>0</v>
      </c>
      <c r="I135" s="203">
        <f t="shared" si="29"/>
        <v>0</v>
      </c>
      <c r="J135" s="203">
        <f t="shared" si="29"/>
        <v>0</v>
      </c>
      <c r="K135" s="203">
        <f t="shared" si="29"/>
        <v>0</v>
      </c>
      <c r="L135" s="203">
        <f t="shared" si="29"/>
        <v>0</v>
      </c>
      <c r="M135" s="203">
        <f t="shared" si="29"/>
        <v>0</v>
      </c>
      <c r="N135" s="203">
        <f t="shared" si="29"/>
        <v>0</v>
      </c>
      <c r="O135" s="203">
        <f t="shared" si="29"/>
        <v>0</v>
      </c>
      <c r="P135" s="203">
        <f>SUM(D135:O135)</f>
        <v>0</v>
      </c>
      <c r="R135" s="346"/>
      <c r="S135" s="347"/>
      <c r="T135" s="347"/>
      <c r="U135" s="347"/>
      <c r="V135" s="447"/>
      <c r="W135" s="448"/>
      <c r="X135" s="346"/>
    </row>
    <row r="136" spans="2:50" ht="30.05" customHeight="1" x14ac:dyDescent="0.35">
      <c r="B136" s="204" t="str">
        <f>'CAD_PL_REC-DESP'!K5</f>
        <v>2.1.1</v>
      </c>
      <c r="C136" s="205" t="str">
        <f>IF('CAD_PL_REC-DESP'!L5="","-",'CAD_PL_REC-DESP'!L5)</f>
        <v>ÁGUA</v>
      </c>
      <c r="D136" s="206">
        <f>SUMIFS(LANÇ_MOV[VALOR LÍQUIDO],LANÇ_MOV[RECEITA OU DESPESA],"Despesa",LANÇ_MOV[CONTAS],$C136,LANÇ_MOV[PLANO DE CONTAS],REL_DRE_FINANCEIRO!$B$135,LANÇ_MOV[ANO PAGAMENTO],$B$4,LANÇ_MOV[MÊS PAGAMENTO CORRESPONDENTE],D$6,LANÇ_MOV[EMPRESA],$C$4,LANÇ_MOV[CENTRO DE CUSTOS],$D$4)</f>
        <v>0</v>
      </c>
      <c r="E136" s="206">
        <f>SUMIFS(LANÇ_MOV[VALOR LÍQUIDO],LANÇ_MOV[RECEITA OU DESPESA],"Despesa",LANÇ_MOV[CONTAS],$C136,LANÇ_MOV[PLANO DE CONTAS],REL_DRE_FINANCEIRO!$B$135,LANÇ_MOV[ANO PAGAMENTO],$B$4,LANÇ_MOV[MÊS PAGAMENTO CORRESPONDENTE],E$6,LANÇ_MOV[EMPRESA],$C$4,LANÇ_MOV[CENTRO DE CUSTOS],$D$4)</f>
        <v>0</v>
      </c>
      <c r="F136" s="206">
        <f>SUMIFS(LANÇ_MOV[VALOR LÍQUIDO],LANÇ_MOV[RECEITA OU DESPESA],"Despesa",LANÇ_MOV[CONTAS],$C136,LANÇ_MOV[PLANO DE CONTAS],REL_DRE_FINANCEIRO!$B$135,LANÇ_MOV[ANO PAGAMENTO],$B$4,LANÇ_MOV[MÊS PAGAMENTO CORRESPONDENTE],F$6,LANÇ_MOV[EMPRESA],$C$4,LANÇ_MOV[CENTRO DE CUSTOS],$D$4)</f>
        <v>0</v>
      </c>
      <c r="G136" s="206">
        <f>SUMIFS(LANÇ_MOV[VALOR LÍQUIDO],LANÇ_MOV[RECEITA OU DESPESA],"Despesa",LANÇ_MOV[CONTAS],$C136,LANÇ_MOV[PLANO DE CONTAS],REL_DRE_FINANCEIRO!$B$135,LANÇ_MOV[ANO PAGAMENTO],$B$4,LANÇ_MOV[MÊS PAGAMENTO CORRESPONDENTE],G$6,LANÇ_MOV[EMPRESA],$C$4,LANÇ_MOV[CENTRO DE CUSTOS],$D$4)</f>
        <v>0</v>
      </c>
      <c r="H136" s="206">
        <f>SUMIFS(LANÇ_MOV[VALOR LÍQUIDO],LANÇ_MOV[RECEITA OU DESPESA],"Despesa",LANÇ_MOV[CONTAS],$C136,LANÇ_MOV[PLANO DE CONTAS],REL_DRE_FINANCEIRO!$B$135,LANÇ_MOV[ANO PAGAMENTO],$B$4,LANÇ_MOV[MÊS PAGAMENTO CORRESPONDENTE],H$6,LANÇ_MOV[EMPRESA],$C$4,LANÇ_MOV[CENTRO DE CUSTOS],$D$4)</f>
        <v>0</v>
      </c>
      <c r="I136" s="206">
        <f>SUMIFS(LANÇ_MOV[VALOR LÍQUIDO],LANÇ_MOV[RECEITA OU DESPESA],"Despesa",LANÇ_MOV[CONTAS],$C136,LANÇ_MOV[PLANO DE CONTAS],REL_DRE_FINANCEIRO!$B$135,LANÇ_MOV[ANO PAGAMENTO],$B$4,LANÇ_MOV[MÊS PAGAMENTO CORRESPONDENTE],I$6,LANÇ_MOV[EMPRESA],$C$4,LANÇ_MOV[CENTRO DE CUSTOS],$D$4)</f>
        <v>0</v>
      </c>
      <c r="J136" s="206">
        <f>SUMIFS(LANÇ_MOV[VALOR LÍQUIDO],LANÇ_MOV[RECEITA OU DESPESA],"Despesa",LANÇ_MOV[CONTAS],$C136,LANÇ_MOV[PLANO DE CONTAS],REL_DRE_FINANCEIRO!$B$135,LANÇ_MOV[ANO PAGAMENTO],$B$4,LANÇ_MOV[MÊS PAGAMENTO CORRESPONDENTE],J$6,LANÇ_MOV[EMPRESA],$C$4,LANÇ_MOV[CENTRO DE CUSTOS],$D$4)</f>
        <v>0</v>
      </c>
      <c r="K136" s="206">
        <f>SUMIFS(LANÇ_MOV[VALOR LÍQUIDO],LANÇ_MOV[RECEITA OU DESPESA],"Despesa",LANÇ_MOV[CONTAS],$C136,LANÇ_MOV[PLANO DE CONTAS],REL_DRE_FINANCEIRO!$B$135,LANÇ_MOV[ANO PAGAMENTO],$B$4,LANÇ_MOV[MÊS PAGAMENTO CORRESPONDENTE],K$6,LANÇ_MOV[EMPRESA],$C$4,LANÇ_MOV[CENTRO DE CUSTOS],$D$4)</f>
        <v>0</v>
      </c>
      <c r="L136" s="206">
        <f>SUMIFS(LANÇ_MOV[VALOR LÍQUIDO],LANÇ_MOV[RECEITA OU DESPESA],"Despesa",LANÇ_MOV[CONTAS],$C136,LANÇ_MOV[PLANO DE CONTAS],REL_DRE_FINANCEIRO!$B$135,LANÇ_MOV[ANO PAGAMENTO],$B$4,LANÇ_MOV[MÊS PAGAMENTO CORRESPONDENTE],L$6,LANÇ_MOV[EMPRESA],$C$4,LANÇ_MOV[CENTRO DE CUSTOS],$D$4)</f>
        <v>0</v>
      </c>
      <c r="M136" s="206">
        <f>SUMIFS(LANÇ_MOV[VALOR LÍQUIDO],LANÇ_MOV[RECEITA OU DESPESA],"Despesa",LANÇ_MOV[CONTAS],$C136,LANÇ_MOV[PLANO DE CONTAS],REL_DRE_FINANCEIRO!$B$135,LANÇ_MOV[ANO PAGAMENTO],$B$4,LANÇ_MOV[MÊS PAGAMENTO CORRESPONDENTE],M$6,LANÇ_MOV[EMPRESA],$C$4,LANÇ_MOV[CENTRO DE CUSTOS],$D$4)</f>
        <v>0</v>
      </c>
      <c r="N136" s="206">
        <f>SUMIFS(LANÇ_MOV[VALOR LÍQUIDO],LANÇ_MOV[RECEITA OU DESPESA],"Despesa",LANÇ_MOV[CONTAS],$C136,LANÇ_MOV[PLANO DE CONTAS],REL_DRE_FINANCEIRO!$B$135,LANÇ_MOV[ANO PAGAMENTO],$B$4,LANÇ_MOV[MÊS PAGAMENTO CORRESPONDENTE],N$6,LANÇ_MOV[EMPRESA],$C$4,LANÇ_MOV[CENTRO DE CUSTOS],$D$4)</f>
        <v>0</v>
      </c>
      <c r="O136" s="206">
        <f>SUMIFS(LANÇ_MOV[VALOR LÍQUIDO],LANÇ_MOV[RECEITA OU DESPESA],"Despesa",LANÇ_MOV[CONTAS],$C136,LANÇ_MOV[PLANO DE CONTAS],REL_DRE_FINANCEIRO!$B$135,LANÇ_MOV[ANO PAGAMENTO],$B$4,LANÇ_MOV[MÊS PAGAMENTO CORRESPONDENTE],O$6,LANÇ_MOV[EMPRESA],$C$4,LANÇ_MOV[CENTRO DE CUSTOS],$D$4)</f>
        <v>0</v>
      </c>
      <c r="P136" s="207">
        <f t="shared" ref="P136:P199" si="30">SUM(D136:O136)</f>
        <v>0</v>
      </c>
      <c r="Q136" s="333">
        <v>4.21E-5</v>
      </c>
      <c r="R136" s="346">
        <f>P136+Q136</f>
        <v>4.21E-5</v>
      </c>
      <c r="S136" s="347" t="str">
        <f>C136</f>
        <v>ÁGUA</v>
      </c>
      <c r="T136" s="347">
        <f>P136</f>
        <v>0</v>
      </c>
      <c r="U136" s="347">
        <f>HLOOKUP(Apoio!$P$12,$D$134:$P$235,X136,FALSE)+Q136</f>
        <v>4.21E-5</v>
      </c>
      <c r="V136" s="447" t="str">
        <f t="shared" ref="V136:V199" si="31">S136</f>
        <v>ÁGUA</v>
      </c>
      <c r="W136" s="448">
        <f>HLOOKUP(Apoio!$P$12,$D$134:$P$235,X136,FALSE)</f>
        <v>0</v>
      </c>
      <c r="X136" s="329">
        <v>3</v>
      </c>
      <c r="Y136" s="329">
        <v>1</v>
      </c>
      <c r="Z136" s="340" t="str">
        <f>VLOOKUP(LARGE($R$136:$R$235,Y136),$R$136:$S$235,2,FALSE)</f>
        <v>ÁGUA</v>
      </c>
      <c r="AA136" s="340">
        <f>VLOOKUP(Z136,$S$136:$T$235,2,FALSE)</f>
        <v>0</v>
      </c>
    </row>
    <row r="137" spans="2:50" ht="30.05" customHeight="1" x14ac:dyDescent="0.35">
      <c r="B137" s="204" t="str">
        <f>'CAD_PL_REC-DESP'!K6</f>
        <v>2.1.2</v>
      </c>
      <c r="C137" s="205" t="str">
        <f>IF('CAD_PL_REC-DESP'!L6="","-",'CAD_PL_REC-DESP'!L6)</f>
        <v>ALIMENTAÇÃO</v>
      </c>
      <c r="D137" s="206">
        <f>SUMIFS(LANÇ_MOV[VALOR LÍQUIDO],LANÇ_MOV[RECEITA OU DESPESA],"Despesa",LANÇ_MOV[CONTAS],$C137,LANÇ_MOV[PLANO DE CONTAS],REL_DRE_FINANCEIRO!$B$135,LANÇ_MOV[ANO PAGAMENTO],$B$4,LANÇ_MOV[MÊS PAGAMENTO CORRESPONDENTE],D$6,LANÇ_MOV[EMPRESA],$C$4,LANÇ_MOV[CENTRO DE CUSTOS],$D$4)</f>
        <v>0</v>
      </c>
      <c r="E137" s="206">
        <f>SUMIFS(LANÇ_MOV[VALOR LÍQUIDO],LANÇ_MOV[RECEITA OU DESPESA],"Despesa",LANÇ_MOV[CONTAS],$C137,LANÇ_MOV[PLANO DE CONTAS],REL_DRE_FINANCEIRO!$B$135,LANÇ_MOV[ANO PAGAMENTO],$B$4,LANÇ_MOV[MÊS PAGAMENTO CORRESPONDENTE],E$6,LANÇ_MOV[EMPRESA],$C$4,LANÇ_MOV[CENTRO DE CUSTOS],$D$4)</f>
        <v>0</v>
      </c>
      <c r="F137" s="206">
        <f>SUMIFS(LANÇ_MOV[VALOR LÍQUIDO],LANÇ_MOV[RECEITA OU DESPESA],"Despesa",LANÇ_MOV[CONTAS],$C137,LANÇ_MOV[PLANO DE CONTAS],REL_DRE_FINANCEIRO!$B$135,LANÇ_MOV[ANO PAGAMENTO],$B$4,LANÇ_MOV[MÊS PAGAMENTO CORRESPONDENTE],F$6,LANÇ_MOV[EMPRESA],$C$4,LANÇ_MOV[CENTRO DE CUSTOS],$D$4)</f>
        <v>0</v>
      </c>
      <c r="G137" s="206">
        <f>SUMIFS(LANÇ_MOV[VALOR LÍQUIDO],LANÇ_MOV[RECEITA OU DESPESA],"Despesa",LANÇ_MOV[CONTAS],$C137,LANÇ_MOV[PLANO DE CONTAS],REL_DRE_FINANCEIRO!$B$135,LANÇ_MOV[ANO PAGAMENTO],$B$4,LANÇ_MOV[MÊS PAGAMENTO CORRESPONDENTE],G$6,LANÇ_MOV[EMPRESA],$C$4,LANÇ_MOV[CENTRO DE CUSTOS],$D$4)</f>
        <v>0</v>
      </c>
      <c r="H137" s="206">
        <f>SUMIFS(LANÇ_MOV[VALOR LÍQUIDO],LANÇ_MOV[RECEITA OU DESPESA],"Despesa",LANÇ_MOV[CONTAS],$C137,LANÇ_MOV[PLANO DE CONTAS],REL_DRE_FINANCEIRO!$B$135,LANÇ_MOV[ANO PAGAMENTO],$B$4,LANÇ_MOV[MÊS PAGAMENTO CORRESPONDENTE],H$6,LANÇ_MOV[EMPRESA],$C$4,LANÇ_MOV[CENTRO DE CUSTOS],$D$4)</f>
        <v>0</v>
      </c>
      <c r="I137" s="206">
        <f>SUMIFS(LANÇ_MOV[VALOR LÍQUIDO],LANÇ_MOV[RECEITA OU DESPESA],"Despesa",LANÇ_MOV[CONTAS],$C137,LANÇ_MOV[PLANO DE CONTAS],REL_DRE_FINANCEIRO!$B$135,LANÇ_MOV[ANO PAGAMENTO],$B$4,LANÇ_MOV[MÊS PAGAMENTO CORRESPONDENTE],I$6,LANÇ_MOV[EMPRESA],$C$4,LANÇ_MOV[CENTRO DE CUSTOS],$D$4)</f>
        <v>0</v>
      </c>
      <c r="J137" s="206">
        <f>SUMIFS(LANÇ_MOV[VALOR LÍQUIDO],LANÇ_MOV[RECEITA OU DESPESA],"Despesa",LANÇ_MOV[CONTAS],$C137,LANÇ_MOV[PLANO DE CONTAS],REL_DRE_FINANCEIRO!$B$135,LANÇ_MOV[ANO PAGAMENTO],$B$4,LANÇ_MOV[MÊS PAGAMENTO CORRESPONDENTE],J$6,LANÇ_MOV[EMPRESA],$C$4,LANÇ_MOV[CENTRO DE CUSTOS],$D$4)</f>
        <v>0</v>
      </c>
      <c r="K137" s="206">
        <f>SUMIFS(LANÇ_MOV[VALOR LÍQUIDO],LANÇ_MOV[RECEITA OU DESPESA],"Despesa",LANÇ_MOV[CONTAS],$C137,LANÇ_MOV[PLANO DE CONTAS],REL_DRE_FINANCEIRO!$B$135,LANÇ_MOV[ANO PAGAMENTO],$B$4,LANÇ_MOV[MÊS PAGAMENTO CORRESPONDENTE],K$6,LANÇ_MOV[EMPRESA],$C$4,LANÇ_MOV[CENTRO DE CUSTOS],$D$4)</f>
        <v>0</v>
      </c>
      <c r="L137" s="206">
        <f>SUMIFS(LANÇ_MOV[VALOR LÍQUIDO],LANÇ_MOV[RECEITA OU DESPESA],"Despesa",LANÇ_MOV[CONTAS],$C137,LANÇ_MOV[PLANO DE CONTAS],REL_DRE_FINANCEIRO!$B$135,LANÇ_MOV[ANO PAGAMENTO],$B$4,LANÇ_MOV[MÊS PAGAMENTO CORRESPONDENTE],L$6,LANÇ_MOV[EMPRESA],$C$4,LANÇ_MOV[CENTRO DE CUSTOS],$D$4)</f>
        <v>0</v>
      </c>
      <c r="M137" s="206">
        <f>SUMIFS(LANÇ_MOV[VALOR LÍQUIDO],LANÇ_MOV[RECEITA OU DESPESA],"Despesa",LANÇ_MOV[CONTAS],$C137,LANÇ_MOV[PLANO DE CONTAS],REL_DRE_FINANCEIRO!$B$135,LANÇ_MOV[ANO PAGAMENTO],$B$4,LANÇ_MOV[MÊS PAGAMENTO CORRESPONDENTE],M$6,LANÇ_MOV[EMPRESA],$C$4,LANÇ_MOV[CENTRO DE CUSTOS],$D$4)</f>
        <v>0</v>
      </c>
      <c r="N137" s="206">
        <f>SUMIFS(LANÇ_MOV[VALOR LÍQUIDO],LANÇ_MOV[RECEITA OU DESPESA],"Despesa",LANÇ_MOV[CONTAS],$C137,LANÇ_MOV[PLANO DE CONTAS],REL_DRE_FINANCEIRO!$B$135,LANÇ_MOV[ANO PAGAMENTO],$B$4,LANÇ_MOV[MÊS PAGAMENTO CORRESPONDENTE],N$6,LANÇ_MOV[EMPRESA],$C$4,LANÇ_MOV[CENTRO DE CUSTOS],$D$4)</f>
        <v>0</v>
      </c>
      <c r="O137" s="206">
        <f>SUMIFS(LANÇ_MOV[VALOR LÍQUIDO],LANÇ_MOV[RECEITA OU DESPESA],"Despesa",LANÇ_MOV[CONTAS],$C137,LANÇ_MOV[PLANO DE CONTAS],REL_DRE_FINANCEIRO!$B$135,LANÇ_MOV[ANO PAGAMENTO],$B$4,LANÇ_MOV[MÊS PAGAMENTO CORRESPONDENTE],O$6,LANÇ_MOV[EMPRESA],$C$4,LANÇ_MOV[CENTRO DE CUSTOS],$D$4)</f>
        <v>0</v>
      </c>
      <c r="P137" s="207">
        <f t="shared" si="30"/>
        <v>0</v>
      </c>
      <c r="Q137" s="333">
        <v>4.1999999999999998E-5</v>
      </c>
      <c r="R137" s="346">
        <f t="shared" ref="R137:R200" si="32">P137+Q137</f>
        <v>4.1999999999999998E-5</v>
      </c>
      <c r="S137" s="347" t="str">
        <f t="shared" ref="S137:S200" si="33">C137</f>
        <v>ALIMENTAÇÃO</v>
      </c>
      <c r="T137" s="347">
        <f t="shared" ref="T137:T200" si="34">P137</f>
        <v>0</v>
      </c>
      <c r="U137" s="347">
        <f>HLOOKUP(Apoio!$P$12,$D$134:$P$235,X137,FALSE)+Q137</f>
        <v>4.1999999999999998E-5</v>
      </c>
      <c r="V137" s="447" t="str">
        <f t="shared" si="31"/>
        <v>ALIMENTAÇÃO</v>
      </c>
      <c r="W137" s="448">
        <f>HLOOKUP(Apoio!$P$12,$D$134:$P$235,X137,FALSE)</f>
        <v>0</v>
      </c>
      <c r="X137" s="329">
        <v>4</v>
      </c>
      <c r="Y137" s="329">
        <v>2</v>
      </c>
      <c r="Z137" s="340" t="str">
        <f>VLOOKUP(LARGE($R$136:$R$235,Y137),$R$136:$S$235,2,FALSE)</f>
        <v>ALIMENTAÇÃO</v>
      </c>
      <c r="AA137" s="340">
        <f>VLOOKUP(Z137,$S$136:$T$235,2,FALSE)</f>
        <v>0</v>
      </c>
    </row>
    <row r="138" spans="2:50" ht="30.05" customHeight="1" x14ac:dyDescent="0.35">
      <c r="B138" s="204" t="str">
        <f>'CAD_PL_REC-DESP'!K7</f>
        <v>2.1.3</v>
      </c>
      <c r="C138" s="205" t="str">
        <f>IF('CAD_PL_REC-DESP'!L7="","-",'CAD_PL_REC-DESP'!L7)</f>
        <v>ALUGUEL DE EQUIPAMENTOS</v>
      </c>
      <c r="D138" s="206">
        <f>SUMIFS(LANÇ_MOV[VALOR LÍQUIDO],LANÇ_MOV[RECEITA OU DESPESA],"Despesa",LANÇ_MOV[CONTAS],$C138,LANÇ_MOV[PLANO DE CONTAS],REL_DRE_FINANCEIRO!$B$135,LANÇ_MOV[ANO PAGAMENTO],$B$4,LANÇ_MOV[MÊS PAGAMENTO CORRESPONDENTE],D$6,LANÇ_MOV[EMPRESA],$C$4,LANÇ_MOV[CENTRO DE CUSTOS],$D$4)</f>
        <v>0</v>
      </c>
      <c r="E138" s="206">
        <f>SUMIFS(LANÇ_MOV[VALOR LÍQUIDO],LANÇ_MOV[RECEITA OU DESPESA],"Despesa",LANÇ_MOV[CONTAS],$C138,LANÇ_MOV[PLANO DE CONTAS],REL_DRE_FINANCEIRO!$B$135,LANÇ_MOV[ANO PAGAMENTO],$B$4,LANÇ_MOV[MÊS PAGAMENTO CORRESPONDENTE],E$6,LANÇ_MOV[EMPRESA],$C$4,LANÇ_MOV[CENTRO DE CUSTOS],$D$4)</f>
        <v>0</v>
      </c>
      <c r="F138" s="206">
        <f>SUMIFS(LANÇ_MOV[VALOR LÍQUIDO],LANÇ_MOV[RECEITA OU DESPESA],"Despesa",LANÇ_MOV[CONTAS],$C138,LANÇ_MOV[PLANO DE CONTAS],REL_DRE_FINANCEIRO!$B$135,LANÇ_MOV[ANO PAGAMENTO],$B$4,LANÇ_MOV[MÊS PAGAMENTO CORRESPONDENTE],F$6,LANÇ_MOV[EMPRESA],$C$4,LANÇ_MOV[CENTRO DE CUSTOS],$D$4)</f>
        <v>0</v>
      </c>
      <c r="G138" s="206">
        <f>SUMIFS(LANÇ_MOV[VALOR LÍQUIDO],LANÇ_MOV[RECEITA OU DESPESA],"Despesa",LANÇ_MOV[CONTAS],$C138,LANÇ_MOV[PLANO DE CONTAS],REL_DRE_FINANCEIRO!$B$135,LANÇ_MOV[ANO PAGAMENTO],$B$4,LANÇ_MOV[MÊS PAGAMENTO CORRESPONDENTE],G$6,LANÇ_MOV[EMPRESA],$C$4,LANÇ_MOV[CENTRO DE CUSTOS],$D$4)</f>
        <v>0</v>
      </c>
      <c r="H138" s="206">
        <f>SUMIFS(LANÇ_MOV[VALOR LÍQUIDO],LANÇ_MOV[RECEITA OU DESPESA],"Despesa",LANÇ_MOV[CONTAS],$C138,LANÇ_MOV[PLANO DE CONTAS],REL_DRE_FINANCEIRO!$B$135,LANÇ_MOV[ANO PAGAMENTO],$B$4,LANÇ_MOV[MÊS PAGAMENTO CORRESPONDENTE],H$6,LANÇ_MOV[EMPRESA],$C$4,LANÇ_MOV[CENTRO DE CUSTOS],$D$4)</f>
        <v>0</v>
      </c>
      <c r="I138" s="206">
        <f>SUMIFS(LANÇ_MOV[VALOR LÍQUIDO],LANÇ_MOV[RECEITA OU DESPESA],"Despesa",LANÇ_MOV[CONTAS],$C138,LANÇ_MOV[PLANO DE CONTAS],REL_DRE_FINANCEIRO!$B$135,LANÇ_MOV[ANO PAGAMENTO],$B$4,LANÇ_MOV[MÊS PAGAMENTO CORRESPONDENTE],I$6,LANÇ_MOV[EMPRESA],$C$4,LANÇ_MOV[CENTRO DE CUSTOS],$D$4)</f>
        <v>0</v>
      </c>
      <c r="J138" s="206">
        <f>SUMIFS(LANÇ_MOV[VALOR LÍQUIDO],LANÇ_MOV[RECEITA OU DESPESA],"Despesa",LANÇ_MOV[CONTAS],$C138,LANÇ_MOV[PLANO DE CONTAS],REL_DRE_FINANCEIRO!$B$135,LANÇ_MOV[ANO PAGAMENTO],$B$4,LANÇ_MOV[MÊS PAGAMENTO CORRESPONDENTE],J$6,LANÇ_MOV[EMPRESA],$C$4,LANÇ_MOV[CENTRO DE CUSTOS],$D$4)</f>
        <v>0</v>
      </c>
      <c r="K138" s="206">
        <f>SUMIFS(LANÇ_MOV[VALOR LÍQUIDO],LANÇ_MOV[RECEITA OU DESPESA],"Despesa",LANÇ_MOV[CONTAS],$C138,LANÇ_MOV[PLANO DE CONTAS],REL_DRE_FINANCEIRO!$B$135,LANÇ_MOV[ANO PAGAMENTO],$B$4,LANÇ_MOV[MÊS PAGAMENTO CORRESPONDENTE],K$6,LANÇ_MOV[EMPRESA],$C$4,LANÇ_MOV[CENTRO DE CUSTOS],$D$4)</f>
        <v>0</v>
      </c>
      <c r="L138" s="206">
        <f>SUMIFS(LANÇ_MOV[VALOR LÍQUIDO],LANÇ_MOV[RECEITA OU DESPESA],"Despesa",LANÇ_MOV[CONTAS],$C138,LANÇ_MOV[PLANO DE CONTAS],REL_DRE_FINANCEIRO!$B$135,LANÇ_MOV[ANO PAGAMENTO],$B$4,LANÇ_MOV[MÊS PAGAMENTO CORRESPONDENTE],L$6,LANÇ_MOV[EMPRESA],$C$4,LANÇ_MOV[CENTRO DE CUSTOS],$D$4)</f>
        <v>0</v>
      </c>
      <c r="M138" s="206">
        <f>SUMIFS(LANÇ_MOV[VALOR LÍQUIDO],LANÇ_MOV[RECEITA OU DESPESA],"Despesa",LANÇ_MOV[CONTAS],$C138,LANÇ_MOV[PLANO DE CONTAS],REL_DRE_FINANCEIRO!$B$135,LANÇ_MOV[ANO PAGAMENTO],$B$4,LANÇ_MOV[MÊS PAGAMENTO CORRESPONDENTE],M$6,LANÇ_MOV[EMPRESA],$C$4,LANÇ_MOV[CENTRO DE CUSTOS],$D$4)</f>
        <v>0</v>
      </c>
      <c r="N138" s="206">
        <f>SUMIFS(LANÇ_MOV[VALOR LÍQUIDO],LANÇ_MOV[RECEITA OU DESPESA],"Despesa",LANÇ_MOV[CONTAS],$C138,LANÇ_MOV[PLANO DE CONTAS],REL_DRE_FINANCEIRO!$B$135,LANÇ_MOV[ANO PAGAMENTO],$B$4,LANÇ_MOV[MÊS PAGAMENTO CORRESPONDENTE],N$6,LANÇ_MOV[EMPRESA],$C$4,LANÇ_MOV[CENTRO DE CUSTOS],$D$4)</f>
        <v>0</v>
      </c>
      <c r="O138" s="206">
        <f>SUMIFS(LANÇ_MOV[VALOR LÍQUIDO],LANÇ_MOV[RECEITA OU DESPESA],"Despesa",LANÇ_MOV[CONTAS],$C138,LANÇ_MOV[PLANO DE CONTAS],REL_DRE_FINANCEIRO!$B$135,LANÇ_MOV[ANO PAGAMENTO],$B$4,LANÇ_MOV[MÊS PAGAMENTO CORRESPONDENTE],O$6,LANÇ_MOV[EMPRESA],$C$4,LANÇ_MOV[CENTRO DE CUSTOS],$D$4)</f>
        <v>0</v>
      </c>
      <c r="P138" s="207">
        <f t="shared" si="30"/>
        <v>0</v>
      </c>
      <c r="Q138" s="333">
        <v>4.1900000000000002E-5</v>
      </c>
      <c r="R138" s="346">
        <f t="shared" si="32"/>
        <v>4.1900000000000002E-5</v>
      </c>
      <c r="S138" s="347" t="str">
        <f t="shared" si="33"/>
        <v>ALUGUEL DE EQUIPAMENTOS</v>
      </c>
      <c r="T138" s="347">
        <f t="shared" si="34"/>
        <v>0</v>
      </c>
      <c r="U138" s="347">
        <f>HLOOKUP(Apoio!$P$12,$D$134:$P$235,X138,FALSE)+Q138</f>
        <v>4.1900000000000002E-5</v>
      </c>
      <c r="V138" s="447" t="str">
        <f t="shared" si="31"/>
        <v>ALUGUEL DE EQUIPAMENTOS</v>
      </c>
      <c r="W138" s="448">
        <f>HLOOKUP(Apoio!$P$12,$D$134:$P$235,X138,FALSE)</f>
        <v>0</v>
      </c>
      <c r="X138" s="329">
        <v>5</v>
      </c>
      <c r="Y138" s="329">
        <v>3</v>
      </c>
      <c r="Z138" s="340" t="str">
        <f>VLOOKUP(LARGE($R$136:$R$235,Y138),$R$136:$S$235,2,FALSE)</f>
        <v>ALUGUEL DE EQUIPAMENTOS</v>
      </c>
      <c r="AA138" s="340">
        <f>VLOOKUP(Z138,$S$136:$T$235,2,FALSE)</f>
        <v>0</v>
      </c>
    </row>
    <row r="139" spans="2:50" ht="30.05" customHeight="1" x14ac:dyDescent="0.35">
      <c r="B139" s="204" t="str">
        <f>'CAD_PL_REC-DESP'!K8</f>
        <v>2.1.4</v>
      </c>
      <c r="C139" s="205" t="str">
        <f>IF('CAD_PL_REC-DESP'!L8="","-",'CAD_PL_REC-DESP'!L8)</f>
        <v>ART</v>
      </c>
      <c r="D139" s="206">
        <f>SUMIFS(LANÇ_MOV[VALOR LÍQUIDO],LANÇ_MOV[RECEITA OU DESPESA],"Despesa",LANÇ_MOV[CONTAS],$C139,LANÇ_MOV[PLANO DE CONTAS],REL_DRE_FINANCEIRO!$B$135,LANÇ_MOV[ANO PAGAMENTO],$B$4,LANÇ_MOV[MÊS PAGAMENTO CORRESPONDENTE],D$6,LANÇ_MOV[EMPRESA],$C$4,LANÇ_MOV[CENTRO DE CUSTOS],$D$4)</f>
        <v>0</v>
      </c>
      <c r="E139" s="206">
        <f>SUMIFS(LANÇ_MOV[VALOR LÍQUIDO],LANÇ_MOV[RECEITA OU DESPESA],"Despesa",LANÇ_MOV[CONTAS],$C139,LANÇ_MOV[PLANO DE CONTAS],REL_DRE_FINANCEIRO!$B$135,LANÇ_MOV[ANO PAGAMENTO],$B$4,LANÇ_MOV[MÊS PAGAMENTO CORRESPONDENTE],E$6,LANÇ_MOV[EMPRESA],$C$4,LANÇ_MOV[CENTRO DE CUSTOS],$D$4)</f>
        <v>0</v>
      </c>
      <c r="F139" s="206">
        <f>SUMIFS(LANÇ_MOV[VALOR LÍQUIDO],LANÇ_MOV[RECEITA OU DESPESA],"Despesa",LANÇ_MOV[CONTAS],$C139,LANÇ_MOV[PLANO DE CONTAS],REL_DRE_FINANCEIRO!$B$135,LANÇ_MOV[ANO PAGAMENTO],$B$4,LANÇ_MOV[MÊS PAGAMENTO CORRESPONDENTE],F$6,LANÇ_MOV[EMPRESA],$C$4,LANÇ_MOV[CENTRO DE CUSTOS],$D$4)</f>
        <v>0</v>
      </c>
      <c r="G139" s="206">
        <f>SUMIFS(LANÇ_MOV[VALOR LÍQUIDO],LANÇ_MOV[RECEITA OU DESPESA],"Despesa",LANÇ_MOV[CONTAS],$C139,LANÇ_MOV[PLANO DE CONTAS],REL_DRE_FINANCEIRO!$B$135,LANÇ_MOV[ANO PAGAMENTO],$B$4,LANÇ_MOV[MÊS PAGAMENTO CORRESPONDENTE],G$6,LANÇ_MOV[EMPRESA],$C$4,LANÇ_MOV[CENTRO DE CUSTOS],$D$4)</f>
        <v>0</v>
      </c>
      <c r="H139" s="206">
        <f>SUMIFS(LANÇ_MOV[VALOR LÍQUIDO],LANÇ_MOV[RECEITA OU DESPESA],"Despesa",LANÇ_MOV[CONTAS],$C139,LANÇ_MOV[PLANO DE CONTAS],REL_DRE_FINANCEIRO!$B$135,LANÇ_MOV[ANO PAGAMENTO],$B$4,LANÇ_MOV[MÊS PAGAMENTO CORRESPONDENTE],H$6,LANÇ_MOV[EMPRESA],$C$4,LANÇ_MOV[CENTRO DE CUSTOS],$D$4)</f>
        <v>0</v>
      </c>
      <c r="I139" s="206">
        <f>SUMIFS(LANÇ_MOV[VALOR LÍQUIDO],LANÇ_MOV[RECEITA OU DESPESA],"Despesa",LANÇ_MOV[CONTAS],$C139,LANÇ_MOV[PLANO DE CONTAS],REL_DRE_FINANCEIRO!$B$135,LANÇ_MOV[ANO PAGAMENTO],$B$4,LANÇ_MOV[MÊS PAGAMENTO CORRESPONDENTE],I$6,LANÇ_MOV[EMPRESA],$C$4,LANÇ_MOV[CENTRO DE CUSTOS],$D$4)</f>
        <v>0</v>
      </c>
      <c r="J139" s="206">
        <f>SUMIFS(LANÇ_MOV[VALOR LÍQUIDO],LANÇ_MOV[RECEITA OU DESPESA],"Despesa",LANÇ_MOV[CONTAS],$C139,LANÇ_MOV[PLANO DE CONTAS],REL_DRE_FINANCEIRO!$B$135,LANÇ_MOV[ANO PAGAMENTO],$B$4,LANÇ_MOV[MÊS PAGAMENTO CORRESPONDENTE],J$6,LANÇ_MOV[EMPRESA],$C$4,LANÇ_MOV[CENTRO DE CUSTOS],$D$4)</f>
        <v>0</v>
      </c>
      <c r="K139" s="206">
        <f>SUMIFS(LANÇ_MOV[VALOR LÍQUIDO],LANÇ_MOV[RECEITA OU DESPESA],"Despesa",LANÇ_MOV[CONTAS],$C139,LANÇ_MOV[PLANO DE CONTAS],REL_DRE_FINANCEIRO!$B$135,LANÇ_MOV[ANO PAGAMENTO],$B$4,LANÇ_MOV[MÊS PAGAMENTO CORRESPONDENTE],K$6,LANÇ_MOV[EMPRESA],$C$4,LANÇ_MOV[CENTRO DE CUSTOS],$D$4)</f>
        <v>0</v>
      </c>
      <c r="L139" s="206">
        <f>SUMIFS(LANÇ_MOV[VALOR LÍQUIDO],LANÇ_MOV[RECEITA OU DESPESA],"Despesa",LANÇ_MOV[CONTAS],$C139,LANÇ_MOV[PLANO DE CONTAS],REL_DRE_FINANCEIRO!$B$135,LANÇ_MOV[ANO PAGAMENTO],$B$4,LANÇ_MOV[MÊS PAGAMENTO CORRESPONDENTE],L$6,LANÇ_MOV[EMPRESA],$C$4,LANÇ_MOV[CENTRO DE CUSTOS],$D$4)</f>
        <v>0</v>
      </c>
      <c r="M139" s="206">
        <f>SUMIFS(LANÇ_MOV[VALOR LÍQUIDO],LANÇ_MOV[RECEITA OU DESPESA],"Despesa",LANÇ_MOV[CONTAS],$C139,LANÇ_MOV[PLANO DE CONTAS],REL_DRE_FINANCEIRO!$B$135,LANÇ_MOV[ANO PAGAMENTO],$B$4,LANÇ_MOV[MÊS PAGAMENTO CORRESPONDENTE],M$6,LANÇ_MOV[EMPRESA],$C$4,LANÇ_MOV[CENTRO DE CUSTOS],$D$4)</f>
        <v>0</v>
      </c>
      <c r="N139" s="206">
        <f>SUMIFS(LANÇ_MOV[VALOR LÍQUIDO],LANÇ_MOV[RECEITA OU DESPESA],"Despesa",LANÇ_MOV[CONTAS],$C139,LANÇ_MOV[PLANO DE CONTAS],REL_DRE_FINANCEIRO!$B$135,LANÇ_MOV[ANO PAGAMENTO],$B$4,LANÇ_MOV[MÊS PAGAMENTO CORRESPONDENTE],N$6,LANÇ_MOV[EMPRESA],$C$4,LANÇ_MOV[CENTRO DE CUSTOS],$D$4)</f>
        <v>0</v>
      </c>
      <c r="O139" s="206">
        <f>SUMIFS(LANÇ_MOV[VALOR LÍQUIDO],LANÇ_MOV[RECEITA OU DESPESA],"Despesa",LANÇ_MOV[CONTAS],$C139,LANÇ_MOV[PLANO DE CONTAS],REL_DRE_FINANCEIRO!$B$135,LANÇ_MOV[ANO PAGAMENTO],$B$4,LANÇ_MOV[MÊS PAGAMENTO CORRESPONDENTE],O$6,LANÇ_MOV[EMPRESA],$C$4,LANÇ_MOV[CENTRO DE CUSTOS],$D$4)</f>
        <v>0</v>
      </c>
      <c r="P139" s="207">
        <f t="shared" si="30"/>
        <v>0</v>
      </c>
      <c r="Q139" s="333">
        <v>4.18E-5</v>
      </c>
      <c r="R139" s="346">
        <f t="shared" si="32"/>
        <v>4.18E-5</v>
      </c>
      <c r="S139" s="347" t="str">
        <f t="shared" si="33"/>
        <v>ART</v>
      </c>
      <c r="T139" s="347">
        <f t="shared" si="34"/>
        <v>0</v>
      </c>
      <c r="U139" s="347">
        <f>HLOOKUP(Apoio!$P$12,$D$134:$P$235,X139,FALSE)+Q139</f>
        <v>4.18E-5</v>
      </c>
      <c r="V139" s="447" t="str">
        <f t="shared" si="31"/>
        <v>ART</v>
      </c>
      <c r="W139" s="448">
        <f>HLOOKUP(Apoio!$P$12,$D$134:$P$235,X139,FALSE)</f>
        <v>0</v>
      </c>
      <c r="X139" s="329">
        <v>6</v>
      </c>
      <c r="Y139" s="329">
        <v>4</v>
      </c>
      <c r="Z139" s="340" t="str">
        <f>VLOOKUP(LARGE($R$136:$R$235,Y139),$R$136:$S$235,2,FALSE)</f>
        <v>ART</v>
      </c>
      <c r="AA139" s="340">
        <f>VLOOKUP(Z139,$S$136:$T$235,2,FALSE)</f>
        <v>0</v>
      </c>
    </row>
    <row r="140" spans="2:50" ht="30.05" customHeight="1" x14ac:dyDescent="0.35">
      <c r="B140" s="204" t="str">
        <f>'CAD_PL_REC-DESP'!K9</f>
        <v>2.1.5</v>
      </c>
      <c r="C140" s="205" t="str">
        <f>IF('CAD_PL_REC-DESP'!L9="","-",'CAD_PL_REC-DESP'!L9)</f>
        <v>BORRACHARIA</v>
      </c>
      <c r="D140" s="206">
        <f>SUMIFS(LANÇ_MOV[VALOR LÍQUIDO],LANÇ_MOV[RECEITA OU DESPESA],"Despesa",LANÇ_MOV[CONTAS],$C140,LANÇ_MOV[PLANO DE CONTAS],REL_DRE_FINANCEIRO!$B$135,LANÇ_MOV[ANO PAGAMENTO],$B$4,LANÇ_MOV[MÊS PAGAMENTO CORRESPONDENTE],D$6,LANÇ_MOV[EMPRESA],$C$4,LANÇ_MOV[CENTRO DE CUSTOS],$D$4)</f>
        <v>0</v>
      </c>
      <c r="E140" s="206">
        <f>SUMIFS(LANÇ_MOV[VALOR LÍQUIDO],LANÇ_MOV[RECEITA OU DESPESA],"Despesa",LANÇ_MOV[CONTAS],$C140,LANÇ_MOV[PLANO DE CONTAS],REL_DRE_FINANCEIRO!$B$135,LANÇ_MOV[ANO PAGAMENTO],$B$4,LANÇ_MOV[MÊS PAGAMENTO CORRESPONDENTE],E$6,LANÇ_MOV[EMPRESA],$C$4,LANÇ_MOV[CENTRO DE CUSTOS],$D$4)</f>
        <v>0</v>
      </c>
      <c r="F140" s="206">
        <f>SUMIFS(LANÇ_MOV[VALOR LÍQUIDO],LANÇ_MOV[RECEITA OU DESPESA],"Despesa",LANÇ_MOV[CONTAS],$C140,LANÇ_MOV[PLANO DE CONTAS],REL_DRE_FINANCEIRO!$B$135,LANÇ_MOV[ANO PAGAMENTO],$B$4,LANÇ_MOV[MÊS PAGAMENTO CORRESPONDENTE],F$6,LANÇ_MOV[EMPRESA],$C$4,LANÇ_MOV[CENTRO DE CUSTOS],$D$4)</f>
        <v>0</v>
      </c>
      <c r="G140" s="206">
        <f>SUMIFS(LANÇ_MOV[VALOR LÍQUIDO],LANÇ_MOV[RECEITA OU DESPESA],"Despesa",LANÇ_MOV[CONTAS],$C140,LANÇ_MOV[PLANO DE CONTAS],REL_DRE_FINANCEIRO!$B$135,LANÇ_MOV[ANO PAGAMENTO],$B$4,LANÇ_MOV[MÊS PAGAMENTO CORRESPONDENTE],G$6,LANÇ_MOV[EMPRESA],$C$4,LANÇ_MOV[CENTRO DE CUSTOS],$D$4)</f>
        <v>0</v>
      </c>
      <c r="H140" s="206">
        <f>SUMIFS(LANÇ_MOV[VALOR LÍQUIDO],LANÇ_MOV[RECEITA OU DESPESA],"Despesa",LANÇ_MOV[CONTAS],$C140,LANÇ_MOV[PLANO DE CONTAS],REL_DRE_FINANCEIRO!$B$135,LANÇ_MOV[ANO PAGAMENTO],$B$4,LANÇ_MOV[MÊS PAGAMENTO CORRESPONDENTE],H$6,LANÇ_MOV[EMPRESA],$C$4,LANÇ_MOV[CENTRO DE CUSTOS],$D$4)</f>
        <v>0</v>
      </c>
      <c r="I140" s="206">
        <f>SUMIFS(LANÇ_MOV[VALOR LÍQUIDO],LANÇ_MOV[RECEITA OU DESPESA],"Despesa",LANÇ_MOV[CONTAS],$C140,LANÇ_MOV[PLANO DE CONTAS],REL_DRE_FINANCEIRO!$B$135,LANÇ_MOV[ANO PAGAMENTO],$B$4,LANÇ_MOV[MÊS PAGAMENTO CORRESPONDENTE],I$6,LANÇ_MOV[EMPRESA],$C$4,LANÇ_MOV[CENTRO DE CUSTOS],$D$4)</f>
        <v>0</v>
      </c>
      <c r="J140" s="206">
        <f>SUMIFS(LANÇ_MOV[VALOR LÍQUIDO],LANÇ_MOV[RECEITA OU DESPESA],"Despesa",LANÇ_MOV[CONTAS],$C140,LANÇ_MOV[PLANO DE CONTAS],REL_DRE_FINANCEIRO!$B$135,LANÇ_MOV[ANO PAGAMENTO],$B$4,LANÇ_MOV[MÊS PAGAMENTO CORRESPONDENTE],J$6,LANÇ_MOV[EMPRESA],$C$4,LANÇ_MOV[CENTRO DE CUSTOS],$D$4)</f>
        <v>0</v>
      </c>
      <c r="K140" s="206">
        <f>SUMIFS(LANÇ_MOV[VALOR LÍQUIDO],LANÇ_MOV[RECEITA OU DESPESA],"Despesa",LANÇ_MOV[CONTAS],$C140,LANÇ_MOV[PLANO DE CONTAS],REL_DRE_FINANCEIRO!$B$135,LANÇ_MOV[ANO PAGAMENTO],$B$4,LANÇ_MOV[MÊS PAGAMENTO CORRESPONDENTE],K$6,LANÇ_MOV[EMPRESA],$C$4,LANÇ_MOV[CENTRO DE CUSTOS],$D$4)</f>
        <v>0</v>
      </c>
      <c r="L140" s="206">
        <f>SUMIFS(LANÇ_MOV[VALOR LÍQUIDO],LANÇ_MOV[RECEITA OU DESPESA],"Despesa",LANÇ_MOV[CONTAS],$C140,LANÇ_MOV[PLANO DE CONTAS],REL_DRE_FINANCEIRO!$B$135,LANÇ_MOV[ANO PAGAMENTO],$B$4,LANÇ_MOV[MÊS PAGAMENTO CORRESPONDENTE],L$6,LANÇ_MOV[EMPRESA],$C$4,LANÇ_MOV[CENTRO DE CUSTOS],$D$4)</f>
        <v>0</v>
      </c>
      <c r="M140" s="206">
        <f>SUMIFS(LANÇ_MOV[VALOR LÍQUIDO],LANÇ_MOV[RECEITA OU DESPESA],"Despesa",LANÇ_MOV[CONTAS],$C140,LANÇ_MOV[PLANO DE CONTAS],REL_DRE_FINANCEIRO!$B$135,LANÇ_MOV[ANO PAGAMENTO],$B$4,LANÇ_MOV[MÊS PAGAMENTO CORRESPONDENTE],M$6,LANÇ_MOV[EMPRESA],$C$4,LANÇ_MOV[CENTRO DE CUSTOS],$D$4)</f>
        <v>0</v>
      </c>
      <c r="N140" s="206">
        <f>SUMIFS(LANÇ_MOV[VALOR LÍQUIDO],LANÇ_MOV[RECEITA OU DESPESA],"Despesa",LANÇ_MOV[CONTAS],$C140,LANÇ_MOV[PLANO DE CONTAS],REL_DRE_FINANCEIRO!$B$135,LANÇ_MOV[ANO PAGAMENTO],$B$4,LANÇ_MOV[MÊS PAGAMENTO CORRESPONDENTE],N$6,LANÇ_MOV[EMPRESA],$C$4,LANÇ_MOV[CENTRO DE CUSTOS],$D$4)</f>
        <v>0</v>
      </c>
      <c r="O140" s="206">
        <f>SUMIFS(LANÇ_MOV[VALOR LÍQUIDO],LANÇ_MOV[RECEITA OU DESPESA],"Despesa",LANÇ_MOV[CONTAS],$C140,LANÇ_MOV[PLANO DE CONTAS],REL_DRE_FINANCEIRO!$B$135,LANÇ_MOV[ANO PAGAMENTO],$B$4,LANÇ_MOV[MÊS PAGAMENTO CORRESPONDENTE],O$6,LANÇ_MOV[EMPRESA],$C$4,LANÇ_MOV[CENTRO DE CUSTOS],$D$4)</f>
        <v>0</v>
      </c>
      <c r="P140" s="207">
        <f t="shared" si="30"/>
        <v>0</v>
      </c>
      <c r="Q140" s="333">
        <v>4.1699999999999997E-5</v>
      </c>
      <c r="R140" s="346">
        <f t="shared" si="32"/>
        <v>4.1699999999999997E-5</v>
      </c>
      <c r="S140" s="347" t="str">
        <f t="shared" si="33"/>
        <v>BORRACHARIA</v>
      </c>
      <c r="T140" s="347">
        <f t="shared" si="34"/>
        <v>0</v>
      </c>
      <c r="U140" s="347">
        <f>HLOOKUP(Apoio!$P$12,$D$134:$P$235,X140,FALSE)+Q140</f>
        <v>4.1699999999999997E-5</v>
      </c>
      <c r="V140" s="447" t="str">
        <f t="shared" si="31"/>
        <v>BORRACHARIA</v>
      </c>
      <c r="W140" s="448">
        <f>HLOOKUP(Apoio!$P$12,$D$134:$P$235,X140,FALSE)</f>
        <v>0</v>
      </c>
      <c r="X140" s="329">
        <v>7</v>
      </c>
      <c r="Y140" s="329">
        <v>5</v>
      </c>
      <c r="Z140" s="340" t="str">
        <f>VLOOKUP(LARGE($R$136:$R$235,Y140),$R$136:$S$235,2,FALSE)</f>
        <v>BORRACHARIA</v>
      </c>
      <c r="AA140" s="340">
        <f>VLOOKUP(Z140,$S$136:$T$235,2,FALSE)</f>
        <v>0</v>
      </c>
    </row>
    <row r="141" spans="2:50" ht="30.05" customHeight="1" x14ac:dyDescent="0.35">
      <c r="B141" s="204" t="str">
        <f>'CAD_PL_REC-DESP'!K10</f>
        <v>2.1.6</v>
      </c>
      <c r="C141" s="205" t="str">
        <f>IF('CAD_PL_REC-DESP'!L10="","-",'CAD_PL_REC-DESP'!L10)</f>
        <v>COMBUSTÍVEL</v>
      </c>
      <c r="D141" s="206">
        <f>SUMIFS(LANÇ_MOV[VALOR LÍQUIDO],LANÇ_MOV[RECEITA OU DESPESA],"Despesa",LANÇ_MOV[CONTAS],$C141,LANÇ_MOV[PLANO DE CONTAS],REL_DRE_FINANCEIRO!$B$135,LANÇ_MOV[ANO PAGAMENTO],$B$4,LANÇ_MOV[MÊS PAGAMENTO CORRESPONDENTE],D$6,LANÇ_MOV[EMPRESA],$C$4,LANÇ_MOV[CENTRO DE CUSTOS],$D$4)</f>
        <v>0</v>
      </c>
      <c r="E141" s="206">
        <f>SUMIFS(LANÇ_MOV[VALOR LÍQUIDO],LANÇ_MOV[RECEITA OU DESPESA],"Despesa",LANÇ_MOV[CONTAS],$C141,LANÇ_MOV[PLANO DE CONTAS],REL_DRE_FINANCEIRO!$B$135,LANÇ_MOV[ANO PAGAMENTO],$B$4,LANÇ_MOV[MÊS PAGAMENTO CORRESPONDENTE],E$6,LANÇ_MOV[EMPRESA],$C$4,LANÇ_MOV[CENTRO DE CUSTOS],$D$4)</f>
        <v>0</v>
      </c>
      <c r="F141" s="206">
        <f>SUMIFS(LANÇ_MOV[VALOR LÍQUIDO],LANÇ_MOV[RECEITA OU DESPESA],"Despesa",LANÇ_MOV[CONTAS],$C141,LANÇ_MOV[PLANO DE CONTAS],REL_DRE_FINANCEIRO!$B$135,LANÇ_MOV[ANO PAGAMENTO],$B$4,LANÇ_MOV[MÊS PAGAMENTO CORRESPONDENTE],F$6,LANÇ_MOV[EMPRESA],$C$4,LANÇ_MOV[CENTRO DE CUSTOS],$D$4)</f>
        <v>0</v>
      </c>
      <c r="G141" s="206">
        <f>SUMIFS(LANÇ_MOV[VALOR LÍQUIDO],LANÇ_MOV[RECEITA OU DESPESA],"Despesa",LANÇ_MOV[CONTAS],$C141,LANÇ_MOV[PLANO DE CONTAS],REL_DRE_FINANCEIRO!$B$135,LANÇ_MOV[ANO PAGAMENTO],$B$4,LANÇ_MOV[MÊS PAGAMENTO CORRESPONDENTE],G$6,LANÇ_MOV[EMPRESA],$C$4,LANÇ_MOV[CENTRO DE CUSTOS],$D$4)</f>
        <v>0</v>
      </c>
      <c r="H141" s="206">
        <f>SUMIFS(LANÇ_MOV[VALOR LÍQUIDO],LANÇ_MOV[RECEITA OU DESPESA],"Despesa",LANÇ_MOV[CONTAS],$C141,LANÇ_MOV[PLANO DE CONTAS],REL_DRE_FINANCEIRO!$B$135,LANÇ_MOV[ANO PAGAMENTO],$B$4,LANÇ_MOV[MÊS PAGAMENTO CORRESPONDENTE],H$6,LANÇ_MOV[EMPRESA],$C$4,LANÇ_MOV[CENTRO DE CUSTOS],$D$4)</f>
        <v>0</v>
      </c>
      <c r="I141" s="206">
        <f>SUMIFS(LANÇ_MOV[VALOR LÍQUIDO],LANÇ_MOV[RECEITA OU DESPESA],"Despesa",LANÇ_MOV[CONTAS],$C141,LANÇ_MOV[PLANO DE CONTAS],REL_DRE_FINANCEIRO!$B$135,LANÇ_MOV[ANO PAGAMENTO],$B$4,LANÇ_MOV[MÊS PAGAMENTO CORRESPONDENTE],I$6,LANÇ_MOV[EMPRESA],$C$4,LANÇ_MOV[CENTRO DE CUSTOS],$D$4)</f>
        <v>0</v>
      </c>
      <c r="J141" s="206">
        <f>SUMIFS(LANÇ_MOV[VALOR LÍQUIDO],LANÇ_MOV[RECEITA OU DESPESA],"Despesa",LANÇ_MOV[CONTAS],$C141,LANÇ_MOV[PLANO DE CONTAS],REL_DRE_FINANCEIRO!$B$135,LANÇ_MOV[ANO PAGAMENTO],$B$4,LANÇ_MOV[MÊS PAGAMENTO CORRESPONDENTE],J$6,LANÇ_MOV[EMPRESA],$C$4,LANÇ_MOV[CENTRO DE CUSTOS],$D$4)</f>
        <v>0</v>
      </c>
      <c r="K141" s="206">
        <f>SUMIFS(LANÇ_MOV[VALOR LÍQUIDO],LANÇ_MOV[RECEITA OU DESPESA],"Despesa",LANÇ_MOV[CONTAS],$C141,LANÇ_MOV[PLANO DE CONTAS],REL_DRE_FINANCEIRO!$B$135,LANÇ_MOV[ANO PAGAMENTO],$B$4,LANÇ_MOV[MÊS PAGAMENTO CORRESPONDENTE],K$6,LANÇ_MOV[EMPRESA],$C$4,LANÇ_MOV[CENTRO DE CUSTOS],$D$4)</f>
        <v>0</v>
      </c>
      <c r="L141" s="206">
        <f>SUMIFS(LANÇ_MOV[VALOR LÍQUIDO],LANÇ_MOV[RECEITA OU DESPESA],"Despesa",LANÇ_MOV[CONTAS],$C141,LANÇ_MOV[PLANO DE CONTAS],REL_DRE_FINANCEIRO!$B$135,LANÇ_MOV[ANO PAGAMENTO],$B$4,LANÇ_MOV[MÊS PAGAMENTO CORRESPONDENTE],L$6,LANÇ_MOV[EMPRESA],$C$4,LANÇ_MOV[CENTRO DE CUSTOS],$D$4)</f>
        <v>0</v>
      </c>
      <c r="M141" s="206">
        <f>SUMIFS(LANÇ_MOV[VALOR LÍQUIDO],LANÇ_MOV[RECEITA OU DESPESA],"Despesa",LANÇ_MOV[CONTAS],$C141,LANÇ_MOV[PLANO DE CONTAS],REL_DRE_FINANCEIRO!$B$135,LANÇ_MOV[ANO PAGAMENTO],$B$4,LANÇ_MOV[MÊS PAGAMENTO CORRESPONDENTE],M$6,LANÇ_MOV[EMPRESA],$C$4,LANÇ_MOV[CENTRO DE CUSTOS],$D$4)</f>
        <v>0</v>
      </c>
      <c r="N141" s="206">
        <f>SUMIFS(LANÇ_MOV[VALOR LÍQUIDO],LANÇ_MOV[RECEITA OU DESPESA],"Despesa",LANÇ_MOV[CONTAS],$C141,LANÇ_MOV[PLANO DE CONTAS],REL_DRE_FINANCEIRO!$B$135,LANÇ_MOV[ANO PAGAMENTO],$B$4,LANÇ_MOV[MÊS PAGAMENTO CORRESPONDENTE],N$6,LANÇ_MOV[EMPRESA],$C$4,LANÇ_MOV[CENTRO DE CUSTOS],$D$4)</f>
        <v>0</v>
      </c>
      <c r="O141" s="206">
        <f>SUMIFS(LANÇ_MOV[VALOR LÍQUIDO],LANÇ_MOV[RECEITA OU DESPESA],"Despesa",LANÇ_MOV[CONTAS],$C141,LANÇ_MOV[PLANO DE CONTAS],REL_DRE_FINANCEIRO!$B$135,LANÇ_MOV[ANO PAGAMENTO],$B$4,LANÇ_MOV[MÊS PAGAMENTO CORRESPONDENTE],O$6,LANÇ_MOV[EMPRESA],$C$4,LANÇ_MOV[CENTRO DE CUSTOS],$D$4)</f>
        <v>0</v>
      </c>
      <c r="P141" s="207">
        <f t="shared" si="30"/>
        <v>0</v>
      </c>
      <c r="Q141" s="333">
        <v>4.1600000000000002E-5</v>
      </c>
      <c r="R141" s="346">
        <f t="shared" si="32"/>
        <v>4.1600000000000002E-5</v>
      </c>
      <c r="S141" s="347" t="str">
        <f t="shared" si="33"/>
        <v>COMBUSTÍVEL</v>
      </c>
      <c r="T141" s="347">
        <f t="shared" si="34"/>
        <v>0</v>
      </c>
      <c r="U141" s="347">
        <f>HLOOKUP(Apoio!$P$12,$D$134:$P$235,X141,FALSE)+Q141</f>
        <v>4.1600000000000002E-5</v>
      </c>
      <c r="V141" s="447" t="str">
        <f t="shared" si="31"/>
        <v>COMBUSTÍVEL</v>
      </c>
      <c r="W141" s="448">
        <f>HLOOKUP(Apoio!$P$12,$D$134:$P$235,X141,FALSE)</f>
        <v>0</v>
      </c>
      <c r="X141" s="329">
        <v>8</v>
      </c>
      <c r="Z141" s="340" t="s">
        <v>1121</v>
      </c>
      <c r="AA141" s="340" t="s">
        <v>1123</v>
      </c>
    </row>
    <row r="142" spans="2:50" ht="30.05" customHeight="1" x14ac:dyDescent="0.35">
      <c r="B142" s="204" t="str">
        <f>'CAD_PL_REC-DESP'!K11</f>
        <v>2.1.7</v>
      </c>
      <c r="C142" s="205" t="str">
        <f>IF('CAD_PL_REC-DESP'!L11="","-",'CAD_PL_REC-DESP'!L11)</f>
        <v>COMPRA DE MERCADORIA</v>
      </c>
      <c r="D142" s="206">
        <f>SUMIFS(LANÇ_MOV[VALOR LÍQUIDO],LANÇ_MOV[RECEITA OU DESPESA],"Despesa",LANÇ_MOV[CONTAS],$C142,LANÇ_MOV[PLANO DE CONTAS],REL_DRE_FINANCEIRO!$B$135,LANÇ_MOV[ANO PAGAMENTO],$B$4,LANÇ_MOV[MÊS PAGAMENTO CORRESPONDENTE],D$6,LANÇ_MOV[EMPRESA],$C$4,LANÇ_MOV[CENTRO DE CUSTOS],$D$4)</f>
        <v>0</v>
      </c>
      <c r="E142" s="206">
        <f>SUMIFS(LANÇ_MOV[VALOR LÍQUIDO],LANÇ_MOV[RECEITA OU DESPESA],"Despesa",LANÇ_MOV[CONTAS],$C142,LANÇ_MOV[PLANO DE CONTAS],REL_DRE_FINANCEIRO!$B$135,LANÇ_MOV[ANO PAGAMENTO],$B$4,LANÇ_MOV[MÊS PAGAMENTO CORRESPONDENTE],E$6,LANÇ_MOV[EMPRESA],$C$4,LANÇ_MOV[CENTRO DE CUSTOS],$D$4)</f>
        <v>0</v>
      </c>
      <c r="F142" s="206">
        <f>SUMIFS(LANÇ_MOV[VALOR LÍQUIDO],LANÇ_MOV[RECEITA OU DESPESA],"Despesa",LANÇ_MOV[CONTAS],$C142,LANÇ_MOV[PLANO DE CONTAS],REL_DRE_FINANCEIRO!$B$135,LANÇ_MOV[ANO PAGAMENTO],$B$4,LANÇ_MOV[MÊS PAGAMENTO CORRESPONDENTE],F$6,LANÇ_MOV[EMPRESA],$C$4,LANÇ_MOV[CENTRO DE CUSTOS],$D$4)</f>
        <v>0</v>
      </c>
      <c r="G142" s="206">
        <f>SUMIFS(LANÇ_MOV[VALOR LÍQUIDO],LANÇ_MOV[RECEITA OU DESPESA],"Despesa",LANÇ_MOV[CONTAS],$C142,LANÇ_MOV[PLANO DE CONTAS],REL_DRE_FINANCEIRO!$B$135,LANÇ_MOV[ANO PAGAMENTO],$B$4,LANÇ_MOV[MÊS PAGAMENTO CORRESPONDENTE],G$6,LANÇ_MOV[EMPRESA],$C$4,LANÇ_MOV[CENTRO DE CUSTOS],$D$4)</f>
        <v>0</v>
      </c>
      <c r="H142" s="206">
        <f>SUMIFS(LANÇ_MOV[VALOR LÍQUIDO],LANÇ_MOV[RECEITA OU DESPESA],"Despesa",LANÇ_MOV[CONTAS],$C142,LANÇ_MOV[PLANO DE CONTAS],REL_DRE_FINANCEIRO!$B$135,LANÇ_MOV[ANO PAGAMENTO],$B$4,LANÇ_MOV[MÊS PAGAMENTO CORRESPONDENTE],H$6,LANÇ_MOV[EMPRESA],$C$4,LANÇ_MOV[CENTRO DE CUSTOS],$D$4)</f>
        <v>0</v>
      </c>
      <c r="I142" s="206">
        <f>SUMIFS(LANÇ_MOV[VALOR LÍQUIDO],LANÇ_MOV[RECEITA OU DESPESA],"Despesa",LANÇ_MOV[CONTAS],$C142,LANÇ_MOV[PLANO DE CONTAS],REL_DRE_FINANCEIRO!$B$135,LANÇ_MOV[ANO PAGAMENTO],$B$4,LANÇ_MOV[MÊS PAGAMENTO CORRESPONDENTE],I$6,LANÇ_MOV[EMPRESA],$C$4,LANÇ_MOV[CENTRO DE CUSTOS],$D$4)</f>
        <v>0</v>
      </c>
      <c r="J142" s="206">
        <f>SUMIFS(LANÇ_MOV[VALOR LÍQUIDO],LANÇ_MOV[RECEITA OU DESPESA],"Despesa",LANÇ_MOV[CONTAS],$C142,LANÇ_MOV[PLANO DE CONTAS],REL_DRE_FINANCEIRO!$B$135,LANÇ_MOV[ANO PAGAMENTO],$B$4,LANÇ_MOV[MÊS PAGAMENTO CORRESPONDENTE],J$6,LANÇ_MOV[EMPRESA],$C$4,LANÇ_MOV[CENTRO DE CUSTOS],$D$4)</f>
        <v>0</v>
      </c>
      <c r="K142" s="206">
        <f>SUMIFS(LANÇ_MOV[VALOR LÍQUIDO],LANÇ_MOV[RECEITA OU DESPESA],"Despesa",LANÇ_MOV[CONTAS],$C142,LANÇ_MOV[PLANO DE CONTAS],REL_DRE_FINANCEIRO!$B$135,LANÇ_MOV[ANO PAGAMENTO],$B$4,LANÇ_MOV[MÊS PAGAMENTO CORRESPONDENTE],K$6,LANÇ_MOV[EMPRESA],$C$4,LANÇ_MOV[CENTRO DE CUSTOS],$D$4)</f>
        <v>0</v>
      </c>
      <c r="L142" s="206">
        <f>SUMIFS(LANÇ_MOV[VALOR LÍQUIDO],LANÇ_MOV[RECEITA OU DESPESA],"Despesa",LANÇ_MOV[CONTAS],$C142,LANÇ_MOV[PLANO DE CONTAS],REL_DRE_FINANCEIRO!$B$135,LANÇ_MOV[ANO PAGAMENTO],$B$4,LANÇ_MOV[MÊS PAGAMENTO CORRESPONDENTE],L$6,LANÇ_MOV[EMPRESA],$C$4,LANÇ_MOV[CENTRO DE CUSTOS],$D$4)</f>
        <v>0</v>
      </c>
      <c r="M142" s="206">
        <f>SUMIFS(LANÇ_MOV[VALOR LÍQUIDO],LANÇ_MOV[RECEITA OU DESPESA],"Despesa",LANÇ_MOV[CONTAS],$C142,LANÇ_MOV[PLANO DE CONTAS],REL_DRE_FINANCEIRO!$B$135,LANÇ_MOV[ANO PAGAMENTO],$B$4,LANÇ_MOV[MÊS PAGAMENTO CORRESPONDENTE],M$6,LANÇ_MOV[EMPRESA],$C$4,LANÇ_MOV[CENTRO DE CUSTOS],$D$4)</f>
        <v>0</v>
      </c>
      <c r="N142" s="206">
        <f>SUMIFS(LANÇ_MOV[VALOR LÍQUIDO],LANÇ_MOV[RECEITA OU DESPESA],"Despesa",LANÇ_MOV[CONTAS],$C142,LANÇ_MOV[PLANO DE CONTAS],REL_DRE_FINANCEIRO!$B$135,LANÇ_MOV[ANO PAGAMENTO],$B$4,LANÇ_MOV[MÊS PAGAMENTO CORRESPONDENTE],N$6,LANÇ_MOV[EMPRESA],$C$4,LANÇ_MOV[CENTRO DE CUSTOS],$D$4)</f>
        <v>0</v>
      </c>
      <c r="O142" s="206">
        <f>SUMIFS(LANÇ_MOV[VALOR LÍQUIDO],LANÇ_MOV[RECEITA OU DESPESA],"Despesa",LANÇ_MOV[CONTAS],$C142,LANÇ_MOV[PLANO DE CONTAS],REL_DRE_FINANCEIRO!$B$135,LANÇ_MOV[ANO PAGAMENTO],$B$4,LANÇ_MOV[MÊS PAGAMENTO CORRESPONDENTE],O$6,LANÇ_MOV[EMPRESA],$C$4,LANÇ_MOV[CENTRO DE CUSTOS],$D$4)</f>
        <v>0</v>
      </c>
      <c r="P142" s="207">
        <f t="shared" si="30"/>
        <v>0</v>
      </c>
      <c r="Q142" s="333">
        <v>4.1499999999999999E-5</v>
      </c>
      <c r="R142" s="346">
        <f t="shared" si="32"/>
        <v>4.1499999999999999E-5</v>
      </c>
      <c r="S142" s="347" t="str">
        <f t="shared" si="33"/>
        <v>COMPRA DE MERCADORIA</v>
      </c>
      <c r="T142" s="347">
        <f t="shared" si="34"/>
        <v>0</v>
      </c>
      <c r="U142" s="347">
        <f>HLOOKUP(Apoio!$P$12,$D$134:$P$235,X142,FALSE)+Q142</f>
        <v>4.1499999999999999E-5</v>
      </c>
      <c r="V142" s="447" t="str">
        <f t="shared" si="31"/>
        <v>COMPRA DE MERCADORIA</v>
      </c>
      <c r="W142" s="448">
        <f>HLOOKUP(Apoio!$P$12,$D$134:$P$235,X142,FALSE)</f>
        <v>0</v>
      </c>
      <c r="X142" s="329">
        <v>9</v>
      </c>
      <c r="Y142" s="329">
        <v>1</v>
      </c>
      <c r="Z142" s="340" t="str">
        <f>VLOOKUP(LARGE($U$136:$U$235,Y142),$U$136:$V$235,2,FALSE)</f>
        <v>ÁGUA</v>
      </c>
      <c r="AA142" s="340">
        <f>VLOOKUP(Z142,$V$136:$W$235,2,FALSE)</f>
        <v>0</v>
      </c>
    </row>
    <row r="143" spans="2:50" ht="30.05" customHeight="1" x14ac:dyDescent="0.35">
      <c r="B143" s="204" t="str">
        <f>'CAD_PL_REC-DESP'!K12</f>
        <v>2.1.8</v>
      </c>
      <c r="C143" s="205" t="str">
        <f>IF('CAD_PL_REC-DESP'!L12="","-",'CAD_PL_REC-DESP'!L12)</f>
        <v>EMPRÉSTIMOS A CLIENTES</v>
      </c>
      <c r="D143" s="206">
        <f>SUMIFS(LANÇ_MOV[VALOR LÍQUIDO],LANÇ_MOV[RECEITA OU DESPESA],"Despesa",LANÇ_MOV[CONTAS],$C143,LANÇ_MOV[PLANO DE CONTAS],REL_DRE_FINANCEIRO!$B$135,LANÇ_MOV[ANO PAGAMENTO],$B$4,LANÇ_MOV[MÊS PAGAMENTO CORRESPONDENTE],D$6,LANÇ_MOV[EMPRESA],$C$4,LANÇ_MOV[CENTRO DE CUSTOS],$D$4)</f>
        <v>0</v>
      </c>
      <c r="E143" s="206">
        <f>SUMIFS(LANÇ_MOV[VALOR LÍQUIDO],LANÇ_MOV[RECEITA OU DESPESA],"Despesa",LANÇ_MOV[CONTAS],$C143,LANÇ_MOV[PLANO DE CONTAS],REL_DRE_FINANCEIRO!$B$135,LANÇ_MOV[ANO PAGAMENTO],$B$4,LANÇ_MOV[MÊS PAGAMENTO CORRESPONDENTE],E$6,LANÇ_MOV[EMPRESA],$C$4,LANÇ_MOV[CENTRO DE CUSTOS],$D$4)</f>
        <v>0</v>
      </c>
      <c r="F143" s="206">
        <f>SUMIFS(LANÇ_MOV[VALOR LÍQUIDO],LANÇ_MOV[RECEITA OU DESPESA],"Despesa",LANÇ_MOV[CONTAS],$C143,LANÇ_MOV[PLANO DE CONTAS],REL_DRE_FINANCEIRO!$B$135,LANÇ_MOV[ANO PAGAMENTO],$B$4,LANÇ_MOV[MÊS PAGAMENTO CORRESPONDENTE],F$6,LANÇ_MOV[EMPRESA],$C$4,LANÇ_MOV[CENTRO DE CUSTOS],$D$4)</f>
        <v>0</v>
      </c>
      <c r="G143" s="206">
        <f>SUMIFS(LANÇ_MOV[VALOR LÍQUIDO],LANÇ_MOV[RECEITA OU DESPESA],"Despesa",LANÇ_MOV[CONTAS],$C143,LANÇ_MOV[PLANO DE CONTAS],REL_DRE_FINANCEIRO!$B$135,LANÇ_MOV[ANO PAGAMENTO],$B$4,LANÇ_MOV[MÊS PAGAMENTO CORRESPONDENTE],G$6,LANÇ_MOV[EMPRESA],$C$4,LANÇ_MOV[CENTRO DE CUSTOS],$D$4)</f>
        <v>0</v>
      </c>
      <c r="H143" s="206">
        <f>SUMIFS(LANÇ_MOV[VALOR LÍQUIDO],LANÇ_MOV[RECEITA OU DESPESA],"Despesa",LANÇ_MOV[CONTAS],$C143,LANÇ_MOV[PLANO DE CONTAS],REL_DRE_FINANCEIRO!$B$135,LANÇ_MOV[ANO PAGAMENTO],$B$4,LANÇ_MOV[MÊS PAGAMENTO CORRESPONDENTE],H$6,LANÇ_MOV[EMPRESA],$C$4,LANÇ_MOV[CENTRO DE CUSTOS],$D$4)</f>
        <v>0</v>
      </c>
      <c r="I143" s="206">
        <f>SUMIFS(LANÇ_MOV[VALOR LÍQUIDO],LANÇ_MOV[RECEITA OU DESPESA],"Despesa",LANÇ_MOV[CONTAS],$C143,LANÇ_MOV[PLANO DE CONTAS],REL_DRE_FINANCEIRO!$B$135,LANÇ_MOV[ANO PAGAMENTO],$B$4,LANÇ_MOV[MÊS PAGAMENTO CORRESPONDENTE],I$6,LANÇ_MOV[EMPRESA],$C$4,LANÇ_MOV[CENTRO DE CUSTOS],$D$4)</f>
        <v>0</v>
      </c>
      <c r="J143" s="206">
        <f>SUMIFS(LANÇ_MOV[VALOR LÍQUIDO],LANÇ_MOV[RECEITA OU DESPESA],"Despesa",LANÇ_MOV[CONTAS],$C143,LANÇ_MOV[PLANO DE CONTAS],REL_DRE_FINANCEIRO!$B$135,LANÇ_MOV[ANO PAGAMENTO],$B$4,LANÇ_MOV[MÊS PAGAMENTO CORRESPONDENTE],J$6,LANÇ_MOV[EMPRESA],$C$4,LANÇ_MOV[CENTRO DE CUSTOS],$D$4)</f>
        <v>0</v>
      </c>
      <c r="K143" s="206">
        <f>SUMIFS(LANÇ_MOV[VALOR LÍQUIDO],LANÇ_MOV[RECEITA OU DESPESA],"Despesa",LANÇ_MOV[CONTAS],$C143,LANÇ_MOV[PLANO DE CONTAS],REL_DRE_FINANCEIRO!$B$135,LANÇ_MOV[ANO PAGAMENTO],$B$4,LANÇ_MOV[MÊS PAGAMENTO CORRESPONDENTE],K$6,LANÇ_MOV[EMPRESA],$C$4,LANÇ_MOV[CENTRO DE CUSTOS],$D$4)</f>
        <v>0</v>
      </c>
      <c r="L143" s="206">
        <f>SUMIFS(LANÇ_MOV[VALOR LÍQUIDO],LANÇ_MOV[RECEITA OU DESPESA],"Despesa",LANÇ_MOV[CONTAS],$C143,LANÇ_MOV[PLANO DE CONTAS],REL_DRE_FINANCEIRO!$B$135,LANÇ_MOV[ANO PAGAMENTO],$B$4,LANÇ_MOV[MÊS PAGAMENTO CORRESPONDENTE],L$6,LANÇ_MOV[EMPRESA],$C$4,LANÇ_MOV[CENTRO DE CUSTOS],$D$4)</f>
        <v>0</v>
      </c>
      <c r="M143" s="206">
        <f>SUMIFS(LANÇ_MOV[VALOR LÍQUIDO],LANÇ_MOV[RECEITA OU DESPESA],"Despesa",LANÇ_MOV[CONTAS],$C143,LANÇ_MOV[PLANO DE CONTAS],REL_DRE_FINANCEIRO!$B$135,LANÇ_MOV[ANO PAGAMENTO],$B$4,LANÇ_MOV[MÊS PAGAMENTO CORRESPONDENTE],M$6,LANÇ_MOV[EMPRESA],$C$4,LANÇ_MOV[CENTRO DE CUSTOS],$D$4)</f>
        <v>0</v>
      </c>
      <c r="N143" s="206">
        <f>SUMIFS(LANÇ_MOV[VALOR LÍQUIDO],LANÇ_MOV[RECEITA OU DESPESA],"Despesa",LANÇ_MOV[CONTAS],$C143,LANÇ_MOV[PLANO DE CONTAS],REL_DRE_FINANCEIRO!$B$135,LANÇ_MOV[ANO PAGAMENTO],$B$4,LANÇ_MOV[MÊS PAGAMENTO CORRESPONDENTE],N$6,LANÇ_MOV[EMPRESA],$C$4,LANÇ_MOV[CENTRO DE CUSTOS],$D$4)</f>
        <v>0</v>
      </c>
      <c r="O143" s="206">
        <f>SUMIFS(LANÇ_MOV[VALOR LÍQUIDO],LANÇ_MOV[RECEITA OU DESPESA],"Despesa",LANÇ_MOV[CONTAS],$C143,LANÇ_MOV[PLANO DE CONTAS],REL_DRE_FINANCEIRO!$B$135,LANÇ_MOV[ANO PAGAMENTO],$B$4,LANÇ_MOV[MÊS PAGAMENTO CORRESPONDENTE],O$6,LANÇ_MOV[EMPRESA],$C$4,LANÇ_MOV[CENTRO DE CUSTOS],$D$4)</f>
        <v>0</v>
      </c>
      <c r="P143" s="207">
        <f t="shared" si="30"/>
        <v>0</v>
      </c>
      <c r="Q143" s="333">
        <v>4.1399999999999997E-5</v>
      </c>
      <c r="R143" s="346">
        <f t="shared" si="32"/>
        <v>4.1399999999999997E-5</v>
      </c>
      <c r="S143" s="347" t="str">
        <f t="shared" si="33"/>
        <v>EMPRÉSTIMOS A CLIENTES</v>
      </c>
      <c r="T143" s="347">
        <f t="shared" si="34"/>
        <v>0</v>
      </c>
      <c r="U143" s="347">
        <f>HLOOKUP(Apoio!$P$12,$D$134:$P$235,X143,FALSE)+Q143</f>
        <v>4.1399999999999997E-5</v>
      </c>
      <c r="V143" s="447" t="str">
        <f t="shared" si="31"/>
        <v>EMPRÉSTIMOS A CLIENTES</v>
      </c>
      <c r="W143" s="448">
        <f>HLOOKUP(Apoio!$P$12,$D$134:$P$235,X143,FALSE)</f>
        <v>0</v>
      </c>
      <c r="X143" s="329">
        <v>10</v>
      </c>
      <c r="Y143" s="329">
        <v>2</v>
      </c>
      <c r="Z143" s="340" t="str">
        <f>VLOOKUP(LARGE($U$136:$U$235,Y143),$U$136:$V$235,2,FALSE)</f>
        <v>ALIMENTAÇÃO</v>
      </c>
      <c r="AA143" s="340">
        <f>VLOOKUP(Z143,$V$136:$W$235,2,FALSE)</f>
        <v>0</v>
      </c>
    </row>
    <row r="144" spans="2:50" ht="30.05" customHeight="1" x14ac:dyDescent="0.35">
      <c r="B144" s="204" t="str">
        <f>'CAD_PL_REC-DESP'!K13</f>
        <v>2.1.9</v>
      </c>
      <c r="C144" s="205" t="str">
        <f>IF('CAD_PL_REC-DESP'!L13="","-",'CAD_PL_REC-DESP'!L13)</f>
        <v>ESTACIONAMENTO</v>
      </c>
      <c r="D144" s="206">
        <f>SUMIFS(LANÇ_MOV[VALOR LÍQUIDO],LANÇ_MOV[RECEITA OU DESPESA],"Despesa",LANÇ_MOV[CONTAS],$C144,LANÇ_MOV[PLANO DE CONTAS],REL_DRE_FINANCEIRO!$B$135,LANÇ_MOV[ANO PAGAMENTO],$B$4,LANÇ_MOV[MÊS PAGAMENTO CORRESPONDENTE],D$6,LANÇ_MOV[EMPRESA],$C$4,LANÇ_MOV[CENTRO DE CUSTOS],$D$4)</f>
        <v>0</v>
      </c>
      <c r="E144" s="206">
        <f>SUMIFS(LANÇ_MOV[VALOR LÍQUIDO],LANÇ_MOV[RECEITA OU DESPESA],"Despesa",LANÇ_MOV[CONTAS],$C144,LANÇ_MOV[PLANO DE CONTAS],REL_DRE_FINANCEIRO!$B$135,LANÇ_MOV[ANO PAGAMENTO],$B$4,LANÇ_MOV[MÊS PAGAMENTO CORRESPONDENTE],E$6,LANÇ_MOV[EMPRESA],$C$4,LANÇ_MOV[CENTRO DE CUSTOS],$D$4)</f>
        <v>0</v>
      </c>
      <c r="F144" s="206">
        <f>SUMIFS(LANÇ_MOV[VALOR LÍQUIDO],LANÇ_MOV[RECEITA OU DESPESA],"Despesa",LANÇ_MOV[CONTAS],$C144,LANÇ_MOV[PLANO DE CONTAS],REL_DRE_FINANCEIRO!$B$135,LANÇ_MOV[ANO PAGAMENTO],$B$4,LANÇ_MOV[MÊS PAGAMENTO CORRESPONDENTE],F$6,LANÇ_MOV[EMPRESA],$C$4,LANÇ_MOV[CENTRO DE CUSTOS],$D$4)</f>
        <v>0</v>
      </c>
      <c r="G144" s="206">
        <f>SUMIFS(LANÇ_MOV[VALOR LÍQUIDO],LANÇ_MOV[RECEITA OU DESPESA],"Despesa",LANÇ_MOV[CONTAS],$C144,LANÇ_MOV[PLANO DE CONTAS],REL_DRE_FINANCEIRO!$B$135,LANÇ_MOV[ANO PAGAMENTO],$B$4,LANÇ_MOV[MÊS PAGAMENTO CORRESPONDENTE],G$6,LANÇ_MOV[EMPRESA],$C$4,LANÇ_MOV[CENTRO DE CUSTOS],$D$4)</f>
        <v>0</v>
      </c>
      <c r="H144" s="206">
        <f>SUMIFS(LANÇ_MOV[VALOR LÍQUIDO],LANÇ_MOV[RECEITA OU DESPESA],"Despesa",LANÇ_MOV[CONTAS],$C144,LANÇ_MOV[PLANO DE CONTAS],REL_DRE_FINANCEIRO!$B$135,LANÇ_MOV[ANO PAGAMENTO],$B$4,LANÇ_MOV[MÊS PAGAMENTO CORRESPONDENTE],H$6,LANÇ_MOV[EMPRESA],$C$4,LANÇ_MOV[CENTRO DE CUSTOS],$D$4)</f>
        <v>0</v>
      </c>
      <c r="I144" s="206">
        <f>SUMIFS(LANÇ_MOV[VALOR LÍQUIDO],LANÇ_MOV[RECEITA OU DESPESA],"Despesa",LANÇ_MOV[CONTAS],$C144,LANÇ_MOV[PLANO DE CONTAS],REL_DRE_FINANCEIRO!$B$135,LANÇ_MOV[ANO PAGAMENTO],$B$4,LANÇ_MOV[MÊS PAGAMENTO CORRESPONDENTE],I$6,LANÇ_MOV[EMPRESA],$C$4,LANÇ_MOV[CENTRO DE CUSTOS],$D$4)</f>
        <v>0</v>
      </c>
      <c r="J144" s="206">
        <f>SUMIFS(LANÇ_MOV[VALOR LÍQUIDO],LANÇ_MOV[RECEITA OU DESPESA],"Despesa",LANÇ_MOV[CONTAS],$C144,LANÇ_MOV[PLANO DE CONTAS],REL_DRE_FINANCEIRO!$B$135,LANÇ_MOV[ANO PAGAMENTO],$B$4,LANÇ_MOV[MÊS PAGAMENTO CORRESPONDENTE],J$6,LANÇ_MOV[EMPRESA],$C$4,LANÇ_MOV[CENTRO DE CUSTOS],$D$4)</f>
        <v>0</v>
      </c>
      <c r="K144" s="206">
        <f>SUMIFS(LANÇ_MOV[VALOR LÍQUIDO],LANÇ_MOV[RECEITA OU DESPESA],"Despesa",LANÇ_MOV[CONTAS],$C144,LANÇ_MOV[PLANO DE CONTAS],REL_DRE_FINANCEIRO!$B$135,LANÇ_MOV[ANO PAGAMENTO],$B$4,LANÇ_MOV[MÊS PAGAMENTO CORRESPONDENTE],K$6,LANÇ_MOV[EMPRESA],$C$4,LANÇ_MOV[CENTRO DE CUSTOS],$D$4)</f>
        <v>0</v>
      </c>
      <c r="L144" s="206">
        <f>SUMIFS(LANÇ_MOV[VALOR LÍQUIDO],LANÇ_MOV[RECEITA OU DESPESA],"Despesa",LANÇ_MOV[CONTAS],$C144,LANÇ_MOV[PLANO DE CONTAS],REL_DRE_FINANCEIRO!$B$135,LANÇ_MOV[ANO PAGAMENTO],$B$4,LANÇ_MOV[MÊS PAGAMENTO CORRESPONDENTE],L$6,LANÇ_MOV[EMPRESA],$C$4,LANÇ_MOV[CENTRO DE CUSTOS],$D$4)</f>
        <v>0</v>
      </c>
      <c r="M144" s="206">
        <f>SUMIFS(LANÇ_MOV[VALOR LÍQUIDO],LANÇ_MOV[RECEITA OU DESPESA],"Despesa",LANÇ_MOV[CONTAS],$C144,LANÇ_MOV[PLANO DE CONTAS],REL_DRE_FINANCEIRO!$B$135,LANÇ_MOV[ANO PAGAMENTO],$B$4,LANÇ_MOV[MÊS PAGAMENTO CORRESPONDENTE],M$6,LANÇ_MOV[EMPRESA],$C$4,LANÇ_MOV[CENTRO DE CUSTOS],$D$4)</f>
        <v>0</v>
      </c>
      <c r="N144" s="206">
        <f>SUMIFS(LANÇ_MOV[VALOR LÍQUIDO],LANÇ_MOV[RECEITA OU DESPESA],"Despesa",LANÇ_MOV[CONTAS],$C144,LANÇ_MOV[PLANO DE CONTAS],REL_DRE_FINANCEIRO!$B$135,LANÇ_MOV[ANO PAGAMENTO],$B$4,LANÇ_MOV[MÊS PAGAMENTO CORRESPONDENTE],N$6,LANÇ_MOV[EMPRESA],$C$4,LANÇ_MOV[CENTRO DE CUSTOS],$D$4)</f>
        <v>0</v>
      </c>
      <c r="O144" s="206">
        <f>SUMIFS(LANÇ_MOV[VALOR LÍQUIDO],LANÇ_MOV[RECEITA OU DESPESA],"Despesa",LANÇ_MOV[CONTAS],$C144,LANÇ_MOV[PLANO DE CONTAS],REL_DRE_FINANCEIRO!$B$135,LANÇ_MOV[ANO PAGAMENTO],$B$4,LANÇ_MOV[MÊS PAGAMENTO CORRESPONDENTE],O$6,LANÇ_MOV[EMPRESA],$C$4,LANÇ_MOV[CENTRO DE CUSTOS],$D$4)</f>
        <v>0</v>
      </c>
      <c r="P144" s="207">
        <f t="shared" si="30"/>
        <v>0</v>
      </c>
      <c r="Q144" s="333">
        <v>4.1300000000000001E-5</v>
      </c>
      <c r="R144" s="346">
        <f t="shared" si="32"/>
        <v>4.1300000000000001E-5</v>
      </c>
      <c r="S144" s="347" t="str">
        <f t="shared" si="33"/>
        <v>ESTACIONAMENTO</v>
      </c>
      <c r="T144" s="347">
        <f t="shared" si="34"/>
        <v>0</v>
      </c>
      <c r="U144" s="347">
        <f>HLOOKUP(Apoio!$P$12,$D$134:$P$235,X144,FALSE)+Q144</f>
        <v>4.1300000000000001E-5</v>
      </c>
      <c r="V144" s="447" t="str">
        <f t="shared" si="31"/>
        <v>ESTACIONAMENTO</v>
      </c>
      <c r="W144" s="448">
        <f>HLOOKUP(Apoio!$P$12,$D$134:$P$235,X144,FALSE)</f>
        <v>0</v>
      </c>
      <c r="X144" s="329">
        <v>11</v>
      </c>
      <c r="Y144" s="329">
        <v>3</v>
      </c>
      <c r="Z144" s="340" t="str">
        <f>VLOOKUP(LARGE($U$136:$U$235,Y144),$U$136:$V$235,2,FALSE)</f>
        <v>ALUGUEL DE EQUIPAMENTOS</v>
      </c>
      <c r="AA144" s="340">
        <f>VLOOKUP(Z144,$V$136:$W$235,2,FALSE)</f>
        <v>0</v>
      </c>
    </row>
    <row r="145" spans="2:27" ht="30.05" customHeight="1" x14ac:dyDescent="0.35">
      <c r="B145" s="204" t="str">
        <f>'CAD_PL_REC-DESP'!K14</f>
        <v>2.1.10</v>
      </c>
      <c r="C145" s="205" t="str">
        <f>IF('CAD_PL_REC-DESP'!L14="","-",'CAD_PL_REC-DESP'!L14)</f>
        <v>EXTRAS HOSPEDAGEM</v>
      </c>
      <c r="D145" s="206">
        <f>SUMIFS(LANÇ_MOV[VALOR LÍQUIDO],LANÇ_MOV[RECEITA OU DESPESA],"Despesa",LANÇ_MOV[CONTAS],$C145,LANÇ_MOV[PLANO DE CONTAS],REL_DRE_FINANCEIRO!$B$135,LANÇ_MOV[ANO PAGAMENTO],$B$4,LANÇ_MOV[MÊS PAGAMENTO CORRESPONDENTE],D$6,LANÇ_MOV[EMPRESA],$C$4,LANÇ_MOV[CENTRO DE CUSTOS],$D$4)</f>
        <v>0</v>
      </c>
      <c r="E145" s="206">
        <f>SUMIFS(LANÇ_MOV[VALOR LÍQUIDO],LANÇ_MOV[RECEITA OU DESPESA],"Despesa",LANÇ_MOV[CONTAS],$C145,LANÇ_MOV[PLANO DE CONTAS],REL_DRE_FINANCEIRO!$B$135,LANÇ_MOV[ANO PAGAMENTO],$B$4,LANÇ_MOV[MÊS PAGAMENTO CORRESPONDENTE],E$6,LANÇ_MOV[EMPRESA],$C$4,LANÇ_MOV[CENTRO DE CUSTOS],$D$4)</f>
        <v>0</v>
      </c>
      <c r="F145" s="206">
        <f>SUMIFS(LANÇ_MOV[VALOR LÍQUIDO],LANÇ_MOV[RECEITA OU DESPESA],"Despesa",LANÇ_MOV[CONTAS],$C145,LANÇ_MOV[PLANO DE CONTAS],REL_DRE_FINANCEIRO!$B$135,LANÇ_MOV[ANO PAGAMENTO],$B$4,LANÇ_MOV[MÊS PAGAMENTO CORRESPONDENTE],F$6,LANÇ_MOV[EMPRESA],$C$4,LANÇ_MOV[CENTRO DE CUSTOS],$D$4)</f>
        <v>0</v>
      </c>
      <c r="G145" s="206">
        <f>SUMIFS(LANÇ_MOV[VALOR LÍQUIDO],LANÇ_MOV[RECEITA OU DESPESA],"Despesa",LANÇ_MOV[CONTAS],$C145,LANÇ_MOV[PLANO DE CONTAS],REL_DRE_FINANCEIRO!$B$135,LANÇ_MOV[ANO PAGAMENTO],$B$4,LANÇ_MOV[MÊS PAGAMENTO CORRESPONDENTE],G$6,LANÇ_MOV[EMPRESA],$C$4,LANÇ_MOV[CENTRO DE CUSTOS],$D$4)</f>
        <v>0</v>
      </c>
      <c r="H145" s="206">
        <f>SUMIFS(LANÇ_MOV[VALOR LÍQUIDO],LANÇ_MOV[RECEITA OU DESPESA],"Despesa",LANÇ_MOV[CONTAS],$C145,LANÇ_MOV[PLANO DE CONTAS],REL_DRE_FINANCEIRO!$B$135,LANÇ_MOV[ANO PAGAMENTO],$B$4,LANÇ_MOV[MÊS PAGAMENTO CORRESPONDENTE],H$6,LANÇ_MOV[EMPRESA],$C$4,LANÇ_MOV[CENTRO DE CUSTOS],$D$4)</f>
        <v>0</v>
      </c>
      <c r="I145" s="206">
        <f>SUMIFS(LANÇ_MOV[VALOR LÍQUIDO],LANÇ_MOV[RECEITA OU DESPESA],"Despesa",LANÇ_MOV[CONTAS],$C145,LANÇ_MOV[PLANO DE CONTAS],REL_DRE_FINANCEIRO!$B$135,LANÇ_MOV[ANO PAGAMENTO],$B$4,LANÇ_MOV[MÊS PAGAMENTO CORRESPONDENTE],I$6,LANÇ_MOV[EMPRESA],$C$4,LANÇ_MOV[CENTRO DE CUSTOS],$D$4)</f>
        <v>0</v>
      </c>
      <c r="J145" s="206">
        <f>SUMIFS(LANÇ_MOV[VALOR LÍQUIDO],LANÇ_MOV[RECEITA OU DESPESA],"Despesa",LANÇ_MOV[CONTAS],$C145,LANÇ_MOV[PLANO DE CONTAS],REL_DRE_FINANCEIRO!$B$135,LANÇ_MOV[ANO PAGAMENTO],$B$4,LANÇ_MOV[MÊS PAGAMENTO CORRESPONDENTE],J$6,LANÇ_MOV[EMPRESA],$C$4,LANÇ_MOV[CENTRO DE CUSTOS],$D$4)</f>
        <v>0</v>
      </c>
      <c r="K145" s="206">
        <f>SUMIFS(LANÇ_MOV[VALOR LÍQUIDO],LANÇ_MOV[RECEITA OU DESPESA],"Despesa",LANÇ_MOV[CONTAS],$C145,LANÇ_MOV[PLANO DE CONTAS],REL_DRE_FINANCEIRO!$B$135,LANÇ_MOV[ANO PAGAMENTO],$B$4,LANÇ_MOV[MÊS PAGAMENTO CORRESPONDENTE],K$6,LANÇ_MOV[EMPRESA],$C$4,LANÇ_MOV[CENTRO DE CUSTOS],$D$4)</f>
        <v>0</v>
      </c>
      <c r="L145" s="206">
        <f>SUMIFS(LANÇ_MOV[VALOR LÍQUIDO],LANÇ_MOV[RECEITA OU DESPESA],"Despesa",LANÇ_MOV[CONTAS],$C145,LANÇ_MOV[PLANO DE CONTAS],REL_DRE_FINANCEIRO!$B$135,LANÇ_MOV[ANO PAGAMENTO],$B$4,LANÇ_MOV[MÊS PAGAMENTO CORRESPONDENTE],L$6,LANÇ_MOV[EMPRESA],$C$4,LANÇ_MOV[CENTRO DE CUSTOS],$D$4)</f>
        <v>0</v>
      </c>
      <c r="M145" s="206">
        <f>SUMIFS(LANÇ_MOV[VALOR LÍQUIDO],LANÇ_MOV[RECEITA OU DESPESA],"Despesa",LANÇ_MOV[CONTAS],$C145,LANÇ_MOV[PLANO DE CONTAS],REL_DRE_FINANCEIRO!$B$135,LANÇ_MOV[ANO PAGAMENTO],$B$4,LANÇ_MOV[MÊS PAGAMENTO CORRESPONDENTE],M$6,LANÇ_MOV[EMPRESA],$C$4,LANÇ_MOV[CENTRO DE CUSTOS],$D$4)</f>
        <v>0</v>
      </c>
      <c r="N145" s="206">
        <f>SUMIFS(LANÇ_MOV[VALOR LÍQUIDO],LANÇ_MOV[RECEITA OU DESPESA],"Despesa",LANÇ_MOV[CONTAS],$C145,LANÇ_MOV[PLANO DE CONTAS],REL_DRE_FINANCEIRO!$B$135,LANÇ_MOV[ANO PAGAMENTO],$B$4,LANÇ_MOV[MÊS PAGAMENTO CORRESPONDENTE],N$6,LANÇ_MOV[EMPRESA],$C$4,LANÇ_MOV[CENTRO DE CUSTOS],$D$4)</f>
        <v>0</v>
      </c>
      <c r="O145" s="206">
        <f>SUMIFS(LANÇ_MOV[VALOR LÍQUIDO],LANÇ_MOV[RECEITA OU DESPESA],"Despesa",LANÇ_MOV[CONTAS],$C145,LANÇ_MOV[PLANO DE CONTAS],REL_DRE_FINANCEIRO!$B$135,LANÇ_MOV[ANO PAGAMENTO],$B$4,LANÇ_MOV[MÊS PAGAMENTO CORRESPONDENTE],O$6,LANÇ_MOV[EMPRESA],$C$4,LANÇ_MOV[CENTRO DE CUSTOS],$D$4)</f>
        <v>0</v>
      </c>
      <c r="P145" s="207">
        <f t="shared" si="30"/>
        <v>0</v>
      </c>
      <c r="Q145" s="333">
        <v>4.1199999999999999E-5</v>
      </c>
      <c r="R145" s="346">
        <f t="shared" si="32"/>
        <v>4.1199999999999999E-5</v>
      </c>
      <c r="S145" s="347" t="str">
        <f t="shared" si="33"/>
        <v>EXTRAS HOSPEDAGEM</v>
      </c>
      <c r="T145" s="347">
        <f t="shared" si="34"/>
        <v>0</v>
      </c>
      <c r="U145" s="347">
        <f>HLOOKUP(Apoio!$P$12,$D$134:$P$235,X145,FALSE)+Q145</f>
        <v>4.1199999999999999E-5</v>
      </c>
      <c r="V145" s="447" t="str">
        <f t="shared" si="31"/>
        <v>EXTRAS HOSPEDAGEM</v>
      </c>
      <c r="W145" s="448">
        <f>HLOOKUP(Apoio!$P$12,$D$134:$P$235,X145,FALSE)</f>
        <v>0</v>
      </c>
      <c r="X145" s="329">
        <v>12</v>
      </c>
      <c r="Y145" s="329">
        <v>4</v>
      </c>
      <c r="Z145" s="340" t="str">
        <f>VLOOKUP(LARGE($U$136:$U$235,Y145),$U$136:$V$235,2,FALSE)</f>
        <v>ART</v>
      </c>
      <c r="AA145" s="340">
        <f>VLOOKUP(Z145,$V$136:$W$235,2,FALSE)</f>
        <v>0</v>
      </c>
    </row>
    <row r="146" spans="2:27" ht="30.05" customHeight="1" x14ac:dyDescent="0.35">
      <c r="B146" s="204" t="str">
        <f>'CAD_PL_REC-DESP'!K15</f>
        <v>2.1.11</v>
      </c>
      <c r="C146" s="205" t="str">
        <f>IF('CAD_PL_REC-DESP'!L15="","-",'CAD_PL_REC-DESP'!L15)</f>
        <v>FARMACIA</v>
      </c>
      <c r="D146" s="206">
        <f>SUMIFS(LANÇ_MOV[VALOR LÍQUIDO],LANÇ_MOV[RECEITA OU DESPESA],"Despesa",LANÇ_MOV[CONTAS],$C146,LANÇ_MOV[PLANO DE CONTAS],REL_DRE_FINANCEIRO!$B$135,LANÇ_MOV[ANO PAGAMENTO],$B$4,LANÇ_MOV[MÊS PAGAMENTO CORRESPONDENTE],D$6,LANÇ_MOV[EMPRESA],$C$4,LANÇ_MOV[CENTRO DE CUSTOS],$D$4)</f>
        <v>0</v>
      </c>
      <c r="E146" s="206">
        <f>SUMIFS(LANÇ_MOV[VALOR LÍQUIDO],LANÇ_MOV[RECEITA OU DESPESA],"Despesa",LANÇ_MOV[CONTAS],$C146,LANÇ_MOV[PLANO DE CONTAS],REL_DRE_FINANCEIRO!$B$135,LANÇ_MOV[ANO PAGAMENTO],$B$4,LANÇ_MOV[MÊS PAGAMENTO CORRESPONDENTE],E$6,LANÇ_MOV[EMPRESA],$C$4,LANÇ_MOV[CENTRO DE CUSTOS],$D$4)</f>
        <v>0</v>
      </c>
      <c r="F146" s="206">
        <f>SUMIFS(LANÇ_MOV[VALOR LÍQUIDO],LANÇ_MOV[RECEITA OU DESPESA],"Despesa",LANÇ_MOV[CONTAS],$C146,LANÇ_MOV[PLANO DE CONTAS],REL_DRE_FINANCEIRO!$B$135,LANÇ_MOV[ANO PAGAMENTO],$B$4,LANÇ_MOV[MÊS PAGAMENTO CORRESPONDENTE],F$6,LANÇ_MOV[EMPRESA],$C$4,LANÇ_MOV[CENTRO DE CUSTOS],$D$4)</f>
        <v>0</v>
      </c>
      <c r="G146" s="206">
        <f>SUMIFS(LANÇ_MOV[VALOR LÍQUIDO],LANÇ_MOV[RECEITA OU DESPESA],"Despesa",LANÇ_MOV[CONTAS],$C146,LANÇ_MOV[PLANO DE CONTAS],REL_DRE_FINANCEIRO!$B$135,LANÇ_MOV[ANO PAGAMENTO],$B$4,LANÇ_MOV[MÊS PAGAMENTO CORRESPONDENTE],G$6,LANÇ_MOV[EMPRESA],$C$4,LANÇ_MOV[CENTRO DE CUSTOS],$D$4)</f>
        <v>0</v>
      </c>
      <c r="H146" s="206">
        <f>SUMIFS(LANÇ_MOV[VALOR LÍQUIDO],LANÇ_MOV[RECEITA OU DESPESA],"Despesa",LANÇ_MOV[CONTAS],$C146,LANÇ_MOV[PLANO DE CONTAS],REL_DRE_FINANCEIRO!$B$135,LANÇ_MOV[ANO PAGAMENTO],$B$4,LANÇ_MOV[MÊS PAGAMENTO CORRESPONDENTE],H$6,LANÇ_MOV[EMPRESA],$C$4,LANÇ_MOV[CENTRO DE CUSTOS],$D$4)</f>
        <v>0</v>
      </c>
      <c r="I146" s="206">
        <f>SUMIFS(LANÇ_MOV[VALOR LÍQUIDO],LANÇ_MOV[RECEITA OU DESPESA],"Despesa",LANÇ_MOV[CONTAS],$C146,LANÇ_MOV[PLANO DE CONTAS],REL_DRE_FINANCEIRO!$B$135,LANÇ_MOV[ANO PAGAMENTO],$B$4,LANÇ_MOV[MÊS PAGAMENTO CORRESPONDENTE],I$6,LANÇ_MOV[EMPRESA],$C$4,LANÇ_MOV[CENTRO DE CUSTOS],$D$4)</f>
        <v>0</v>
      </c>
      <c r="J146" s="206">
        <f>SUMIFS(LANÇ_MOV[VALOR LÍQUIDO],LANÇ_MOV[RECEITA OU DESPESA],"Despesa",LANÇ_MOV[CONTAS],$C146,LANÇ_MOV[PLANO DE CONTAS],REL_DRE_FINANCEIRO!$B$135,LANÇ_MOV[ANO PAGAMENTO],$B$4,LANÇ_MOV[MÊS PAGAMENTO CORRESPONDENTE],J$6,LANÇ_MOV[EMPRESA],$C$4,LANÇ_MOV[CENTRO DE CUSTOS],$D$4)</f>
        <v>0</v>
      </c>
      <c r="K146" s="206">
        <f>SUMIFS(LANÇ_MOV[VALOR LÍQUIDO],LANÇ_MOV[RECEITA OU DESPESA],"Despesa",LANÇ_MOV[CONTAS],$C146,LANÇ_MOV[PLANO DE CONTAS],REL_DRE_FINANCEIRO!$B$135,LANÇ_MOV[ANO PAGAMENTO],$B$4,LANÇ_MOV[MÊS PAGAMENTO CORRESPONDENTE],K$6,LANÇ_MOV[EMPRESA],$C$4,LANÇ_MOV[CENTRO DE CUSTOS],$D$4)</f>
        <v>0</v>
      </c>
      <c r="L146" s="206">
        <f>SUMIFS(LANÇ_MOV[VALOR LÍQUIDO],LANÇ_MOV[RECEITA OU DESPESA],"Despesa",LANÇ_MOV[CONTAS],$C146,LANÇ_MOV[PLANO DE CONTAS],REL_DRE_FINANCEIRO!$B$135,LANÇ_MOV[ANO PAGAMENTO],$B$4,LANÇ_MOV[MÊS PAGAMENTO CORRESPONDENTE],L$6,LANÇ_MOV[EMPRESA],$C$4,LANÇ_MOV[CENTRO DE CUSTOS],$D$4)</f>
        <v>0</v>
      </c>
      <c r="M146" s="206">
        <f>SUMIFS(LANÇ_MOV[VALOR LÍQUIDO],LANÇ_MOV[RECEITA OU DESPESA],"Despesa",LANÇ_MOV[CONTAS],$C146,LANÇ_MOV[PLANO DE CONTAS],REL_DRE_FINANCEIRO!$B$135,LANÇ_MOV[ANO PAGAMENTO],$B$4,LANÇ_MOV[MÊS PAGAMENTO CORRESPONDENTE],M$6,LANÇ_MOV[EMPRESA],$C$4,LANÇ_MOV[CENTRO DE CUSTOS],$D$4)</f>
        <v>0</v>
      </c>
      <c r="N146" s="206">
        <f>SUMIFS(LANÇ_MOV[VALOR LÍQUIDO],LANÇ_MOV[RECEITA OU DESPESA],"Despesa",LANÇ_MOV[CONTAS],$C146,LANÇ_MOV[PLANO DE CONTAS],REL_DRE_FINANCEIRO!$B$135,LANÇ_MOV[ANO PAGAMENTO],$B$4,LANÇ_MOV[MÊS PAGAMENTO CORRESPONDENTE],N$6,LANÇ_MOV[EMPRESA],$C$4,LANÇ_MOV[CENTRO DE CUSTOS],$D$4)</f>
        <v>0</v>
      </c>
      <c r="O146" s="206">
        <f>SUMIFS(LANÇ_MOV[VALOR LÍQUIDO],LANÇ_MOV[RECEITA OU DESPESA],"Despesa",LANÇ_MOV[CONTAS],$C146,LANÇ_MOV[PLANO DE CONTAS],REL_DRE_FINANCEIRO!$B$135,LANÇ_MOV[ANO PAGAMENTO],$B$4,LANÇ_MOV[MÊS PAGAMENTO CORRESPONDENTE],O$6,LANÇ_MOV[EMPRESA],$C$4,LANÇ_MOV[CENTRO DE CUSTOS],$D$4)</f>
        <v>0</v>
      </c>
      <c r="P146" s="207">
        <f t="shared" si="30"/>
        <v>0</v>
      </c>
      <c r="Q146" s="333">
        <v>4.1100000000000003E-5</v>
      </c>
      <c r="R146" s="346">
        <f t="shared" si="32"/>
        <v>4.1100000000000003E-5</v>
      </c>
      <c r="S146" s="347" t="str">
        <f t="shared" si="33"/>
        <v>FARMACIA</v>
      </c>
      <c r="T146" s="347">
        <f t="shared" si="34"/>
        <v>0</v>
      </c>
      <c r="U146" s="347">
        <f>HLOOKUP(Apoio!$P$12,$D$134:$P$235,X146,FALSE)+Q146</f>
        <v>4.1100000000000003E-5</v>
      </c>
      <c r="V146" s="447" t="str">
        <f t="shared" si="31"/>
        <v>FARMACIA</v>
      </c>
      <c r="W146" s="448">
        <f>HLOOKUP(Apoio!$P$12,$D$134:$P$235,X146,FALSE)</f>
        <v>0</v>
      </c>
      <c r="X146" s="329">
        <v>13</v>
      </c>
      <c r="Y146" s="329">
        <v>5</v>
      </c>
      <c r="Z146" s="340" t="str">
        <f>VLOOKUP(LARGE($U$136:$U$235,Y146),$U$136:$V$235,2,FALSE)</f>
        <v>BORRACHARIA</v>
      </c>
      <c r="AA146" s="340">
        <f>VLOOKUP(Z146,$V$136:$W$235,2,FALSE)</f>
        <v>0</v>
      </c>
    </row>
    <row r="147" spans="2:27" ht="30.05" customHeight="1" x14ac:dyDescent="0.35">
      <c r="B147" s="204" t="str">
        <f>'CAD_PL_REC-DESP'!K16</f>
        <v>2.1.12</v>
      </c>
      <c r="C147" s="205" t="str">
        <f>IF('CAD_PL_REC-DESP'!L16="","-",'CAD_PL_REC-DESP'!L16)</f>
        <v>FRETE</v>
      </c>
      <c r="D147" s="206">
        <f>SUMIFS(LANÇ_MOV[VALOR LÍQUIDO],LANÇ_MOV[RECEITA OU DESPESA],"Despesa",LANÇ_MOV[CONTAS],$C147,LANÇ_MOV[PLANO DE CONTAS],REL_DRE_FINANCEIRO!$B$135,LANÇ_MOV[ANO PAGAMENTO],$B$4,LANÇ_MOV[MÊS PAGAMENTO CORRESPONDENTE],D$6,LANÇ_MOV[EMPRESA],$C$4,LANÇ_MOV[CENTRO DE CUSTOS],$D$4)</f>
        <v>0</v>
      </c>
      <c r="E147" s="206">
        <f>SUMIFS(LANÇ_MOV[VALOR LÍQUIDO],LANÇ_MOV[RECEITA OU DESPESA],"Despesa",LANÇ_MOV[CONTAS],$C147,LANÇ_MOV[PLANO DE CONTAS],REL_DRE_FINANCEIRO!$B$135,LANÇ_MOV[ANO PAGAMENTO],$B$4,LANÇ_MOV[MÊS PAGAMENTO CORRESPONDENTE],E$6,LANÇ_MOV[EMPRESA],$C$4,LANÇ_MOV[CENTRO DE CUSTOS],$D$4)</f>
        <v>0</v>
      </c>
      <c r="F147" s="206">
        <f>SUMIFS(LANÇ_MOV[VALOR LÍQUIDO],LANÇ_MOV[RECEITA OU DESPESA],"Despesa",LANÇ_MOV[CONTAS],$C147,LANÇ_MOV[PLANO DE CONTAS],REL_DRE_FINANCEIRO!$B$135,LANÇ_MOV[ANO PAGAMENTO],$B$4,LANÇ_MOV[MÊS PAGAMENTO CORRESPONDENTE],F$6,LANÇ_MOV[EMPRESA],$C$4,LANÇ_MOV[CENTRO DE CUSTOS],$D$4)</f>
        <v>0</v>
      </c>
      <c r="G147" s="206">
        <f>SUMIFS(LANÇ_MOV[VALOR LÍQUIDO],LANÇ_MOV[RECEITA OU DESPESA],"Despesa",LANÇ_MOV[CONTAS],$C147,LANÇ_MOV[PLANO DE CONTAS],REL_DRE_FINANCEIRO!$B$135,LANÇ_MOV[ANO PAGAMENTO],$B$4,LANÇ_MOV[MÊS PAGAMENTO CORRESPONDENTE],G$6,LANÇ_MOV[EMPRESA],$C$4,LANÇ_MOV[CENTRO DE CUSTOS],$D$4)</f>
        <v>0</v>
      </c>
      <c r="H147" s="206">
        <f>SUMIFS(LANÇ_MOV[VALOR LÍQUIDO],LANÇ_MOV[RECEITA OU DESPESA],"Despesa",LANÇ_MOV[CONTAS],$C147,LANÇ_MOV[PLANO DE CONTAS],REL_DRE_FINANCEIRO!$B$135,LANÇ_MOV[ANO PAGAMENTO],$B$4,LANÇ_MOV[MÊS PAGAMENTO CORRESPONDENTE],H$6,LANÇ_MOV[EMPRESA],$C$4,LANÇ_MOV[CENTRO DE CUSTOS],$D$4)</f>
        <v>0</v>
      </c>
      <c r="I147" s="206">
        <f>SUMIFS(LANÇ_MOV[VALOR LÍQUIDO],LANÇ_MOV[RECEITA OU DESPESA],"Despesa",LANÇ_MOV[CONTAS],$C147,LANÇ_MOV[PLANO DE CONTAS],REL_DRE_FINANCEIRO!$B$135,LANÇ_MOV[ANO PAGAMENTO],$B$4,LANÇ_MOV[MÊS PAGAMENTO CORRESPONDENTE],I$6,LANÇ_MOV[EMPRESA],$C$4,LANÇ_MOV[CENTRO DE CUSTOS],$D$4)</f>
        <v>0</v>
      </c>
      <c r="J147" s="206">
        <f>SUMIFS(LANÇ_MOV[VALOR LÍQUIDO],LANÇ_MOV[RECEITA OU DESPESA],"Despesa",LANÇ_MOV[CONTAS],$C147,LANÇ_MOV[PLANO DE CONTAS],REL_DRE_FINANCEIRO!$B$135,LANÇ_MOV[ANO PAGAMENTO],$B$4,LANÇ_MOV[MÊS PAGAMENTO CORRESPONDENTE],J$6,LANÇ_MOV[EMPRESA],$C$4,LANÇ_MOV[CENTRO DE CUSTOS],$D$4)</f>
        <v>0</v>
      </c>
      <c r="K147" s="206">
        <f>SUMIFS(LANÇ_MOV[VALOR LÍQUIDO],LANÇ_MOV[RECEITA OU DESPESA],"Despesa",LANÇ_MOV[CONTAS],$C147,LANÇ_MOV[PLANO DE CONTAS],REL_DRE_FINANCEIRO!$B$135,LANÇ_MOV[ANO PAGAMENTO],$B$4,LANÇ_MOV[MÊS PAGAMENTO CORRESPONDENTE],K$6,LANÇ_MOV[EMPRESA],$C$4,LANÇ_MOV[CENTRO DE CUSTOS],$D$4)</f>
        <v>0</v>
      </c>
      <c r="L147" s="206">
        <f>SUMIFS(LANÇ_MOV[VALOR LÍQUIDO],LANÇ_MOV[RECEITA OU DESPESA],"Despesa",LANÇ_MOV[CONTAS],$C147,LANÇ_MOV[PLANO DE CONTAS],REL_DRE_FINANCEIRO!$B$135,LANÇ_MOV[ANO PAGAMENTO],$B$4,LANÇ_MOV[MÊS PAGAMENTO CORRESPONDENTE],L$6,LANÇ_MOV[EMPRESA],$C$4,LANÇ_MOV[CENTRO DE CUSTOS],$D$4)</f>
        <v>0</v>
      </c>
      <c r="M147" s="206">
        <f>SUMIFS(LANÇ_MOV[VALOR LÍQUIDO],LANÇ_MOV[RECEITA OU DESPESA],"Despesa",LANÇ_MOV[CONTAS],$C147,LANÇ_MOV[PLANO DE CONTAS],REL_DRE_FINANCEIRO!$B$135,LANÇ_MOV[ANO PAGAMENTO],$B$4,LANÇ_MOV[MÊS PAGAMENTO CORRESPONDENTE],M$6,LANÇ_MOV[EMPRESA],$C$4,LANÇ_MOV[CENTRO DE CUSTOS],$D$4)</f>
        <v>0</v>
      </c>
      <c r="N147" s="206">
        <f>SUMIFS(LANÇ_MOV[VALOR LÍQUIDO],LANÇ_MOV[RECEITA OU DESPESA],"Despesa",LANÇ_MOV[CONTAS],$C147,LANÇ_MOV[PLANO DE CONTAS],REL_DRE_FINANCEIRO!$B$135,LANÇ_MOV[ANO PAGAMENTO],$B$4,LANÇ_MOV[MÊS PAGAMENTO CORRESPONDENTE],N$6,LANÇ_MOV[EMPRESA],$C$4,LANÇ_MOV[CENTRO DE CUSTOS],$D$4)</f>
        <v>0</v>
      </c>
      <c r="O147" s="206">
        <f>SUMIFS(LANÇ_MOV[VALOR LÍQUIDO],LANÇ_MOV[RECEITA OU DESPESA],"Despesa",LANÇ_MOV[CONTAS],$C147,LANÇ_MOV[PLANO DE CONTAS],REL_DRE_FINANCEIRO!$B$135,LANÇ_MOV[ANO PAGAMENTO],$B$4,LANÇ_MOV[MÊS PAGAMENTO CORRESPONDENTE],O$6,LANÇ_MOV[EMPRESA],$C$4,LANÇ_MOV[CENTRO DE CUSTOS],$D$4)</f>
        <v>0</v>
      </c>
      <c r="P147" s="207">
        <f t="shared" si="30"/>
        <v>0</v>
      </c>
      <c r="Q147" s="333">
        <v>4.1E-5</v>
      </c>
      <c r="R147" s="346">
        <f t="shared" si="32"/>
        <v>4.1E-5</v>
      </c>
      <c r="S147" s="347" t="str">
        <f t="shared" si="33"/>
        <v>FRETE</v>
      </c>
      <c r="T147" s="347">
        <f t="shared" si="34"/>
        <v>0</v>
      </c>
      <c r="U147" s="347">
        <f>HLOOKUP(Apoio!$P$12,$D$134:$P$235,X147,FALSE)+Q147</f>
        <v>4.1E-5</v>
      </c>
      <c r="V147" s="447" t="str">
        <f t="shared" si="31"/>
        <v>FRETE</v>
      </c>
      <c r="W147" s="448">
        <f>HLOOKUP(Apoio!$P$12,$D$134:$P$235,X147,FALSE)</f>
        <v>0</v>
      </c>
      <c r="X147" s="329">
        <v>14</v>
      </c>
      <c r="AA147" s="340">
        <f>SUM(AA142:AA146)</f>
        <v>0</v>
      </c>
    </row>
    <row r="148" spans="2:27" ht="30.05" customHeight="1" x14ac:dyDescent="0.35">
      <c r="B148" s="204" t="str">
        <f>'CAD_PL_REC-DESP'!K17</f>
        <v>2.1.13</v>
      </c>
      <c r="C148" s="205" t="str">
        <f>IF('CAD_PL_REC-DESP'!L17="","-",'CAD_PL_REC-DESP'!L17)</f>
        <v>HOSPEDAGEM</v>
      </c>
      <c r="D148" s="206">
        <f>SUMIFS(LANÇ_MOV[VALOR LÍQUIDO],LANÇ_MOV[RECEITA OU DESPESA],"Despesa",LANÇ_MOV[CONTAS],$C148,LANÇ_MOV[PLANO DE CONTAS],REL_DRE_FINANCEIRO!$B$135,LANÇ_MOV[ANO PAGAMENTO],$B$4,LANÇ_MOV[MÊS PAGAMENTO CORRESPONDENTE],D$6,LANÇ_MOV[EMPRESA],$C$4,LANÇ_MOV[CENTRO DE CUSTOS],$D$4)</f>
        <v>0</v>
      </c>
      <c r="E148" s="206">
        <f>SUMIFS(LANÇ_MOV[VALOR LÍQUIDO],LANÇ_MOV[RECEITA OU DESPESA],"Despesa",LANÇ_MOV[CONTAS],$C148,LANÇ_MOV[PLANO DE CONTAS],REL_DRE_FINANCEIRO!$B$135,LANÇ_MOV[ANO PAGAMENTO],$B$4,LANÇ_MOV[MÊS PAGAMENTO CORRESPONDENTE],E$6,LANÇ_MOV[EMPRESA],$C$4,LANÇ_MOV[CENTRO DE CUSTOS],$D$4)</f>
        <v>0</v>
      </c>
      <c r="F148" s="206">
        <f>SUMIFS(LANÇ_MOV[VALOR LÍQUIDO],LANÇ_MOV[RECEITA OU DESPESA],"Despesa",LANÇ_MOV[CONTAS],$C148,LANÇ_MOV[PLANO DE CONTAS],REL_DRE_FINANCEIRO!$B$135,LANÇ_MOV[ANO PAGAMENTO],$B$4,LANÇ_MOV[MÊS PAGAMENTO CORRESPONDENTE],F$6,LANÇ_MOV[EMPRESA],$C$4,LANÇ_MOV[CENTRO DE CUSTOS],$D$4)</f>
        <v>0</v>
      </c>
      <c r="G148" s="206">
        <f>SUMIFS(LANÇ_MOV[VALOR LÍQUIDO],LANÇ_MOV[RECEITA OU DESPESA],"Despesa",LANÇ_MOV[CONTAS],$C148,LANÇ_MOV[PLANO DE CONTAS],REL_DRE_FINANCEIRO!$B$135,LANÇ_MOV[ANO PAGAMENTO],$B$4,LANÇ_MOV[MÊS PAGAMENTO CORRESPONDENTE],G$6,LANÇ_MOV[EMPRESA],$C$4,LANÇ_MOV[CENTRO DE CUSTOS],$D$4)</f>
        <v>0</v>
      </c>
      <c r="H148" s="206">
        <f>SUMIFS(LANÇ_MOV[VALOR LÍQUIDO],LANÇ_MOV[RECEITA OU DESPESA],"Despesa",LANÇ_MOV[CONTAS],$C148,LANÇ_MOV[PLANO DE CONTAS],REL_DRE_FINANCEIRO!$B$135,LANÇ_MOV[ANO PAGAMENTO],$B$4,LANÇ_MOV[MÊS PAGAMENTO CORRESPONDENTE],H$6,LANÇ_MOV[EMPRESA],$C$4,LANÇ_MOV[CENTRO DE CUSTOS],$D$4)</f>
        <v>0</v>
      </c>
      <c r="I148" s="206">
        <f>SUMIFS(LANÇ_MOV[VALOR LÍQUIDO],LANÇ_MOV[RECEITA OU DESPESA],"Despesa",LANÇ_MOV[CONTAS],$C148,LANÇ_MOV[PLANO DE CONTAS],REL_DRE_FINANCEIRO!$B$135,LANÇ_MOV[ANO PAGAMENTO],$B$4,LANÇ_MOV[MÊS PAGAMENTO CORRESPONDENTE],I$6,LANÇ_MOV[EMPRESA],$C$4,LANÇ_MOV[CENTRO DE CUSTOS],$D$4)</f>
        <v>0</v>
      </c>
      <c r="J148" s="206">
        <f>SUMIFS(LANÇ_MOV[VALOR LÍQUIDO],LANÇ_MOV[RECEITA OU DESPESA],"Despesa",LANÇ_MOV[CONTAS],$C148,LANÇ_MOV[PLANO DE CONTAS],REL_DRE_FINANCEIRO!$B$135,LANÇ_MOV[ANO PAGAMENTO],$B$4,LANÇ_MOV[MÊS PAGAMENTO CORRESPONDENTE],J$6,LANÇ_MOV[EMPRESA],$C$4,LANÇ_MOV[CENTRO DE CUSTOS],$D$4)</f>
        <v>0</v>
      </c>
      <c r="K148" s="206">
        <f>SUMIFS(LANÇ_MOV[VALOR LÍQUIDO],LANÇ_MOV[RECEITA OU DESPESA],"Despesa",LANÇ_MOV[CONTAS],$C148,LANÇ_MOV[PLANO DE CONTAS],REL_DRE_FINANCEIRO!$B$135,LANÇ_MOV[ANO PAGAMENTO],$B$4,LANÇ_MOV[MÊS PAGAMENTO CORRESPONDENTE],K$6,LANÇ_MOV[EMPRESA],$C$4,LANÇ_MOV[CENTRO DE CUSTOS],$D$4)</f>
        <v>0</v>
      </c>
      <c r="L148" s="206">
        <f>SUMIFS(LANÇ_MOV[VALOR LÍQUIDO],LANÇ_MOV[RECEITA OU DESPESA],"Despesa",LANÇ_MOV[CONTAS],$C148,LANÇ_MOV[PLANO DE CONTAS],REL_DRE_FINANCEIRO!$B$135,LANÇ_MOV[ANO PAGAMENTO],$B$4,LANÇ_MOV[MÊS PAGAMENTO CORRESPONDENTE],L$6,LANÇ_MOV[EMPRESA],$C$4,LANÇ_MOV[CENTRO DE CUSTOS],$D$4)</f>
        <v>0</v>
      </c>
      <c r="M148" s="206">
        <f>SUMIFS(LANÇ_MOV[VALOR LÍQUIDO],LANÇ_MOV[RECEITA OU DESPESA],"Despesa",LANÇ_MOV[CONTAS],$C148,LANÇ_MOV[PLANO DE CONTAS],REL_DRE_FINANCEIRO!$B$135,LANÇ_MOV[ANO PAGAMENTO],$B$4,LANÇ_MOV[MÊS PAGAMENTO CORRESPONDENTE],M$6,LANÇ_MOV[EMPRESA],$C$4,LANÇ_MOV[CENTRO DE CUSTOS],$D$4)</f>
        <v>0</v>
      </c>
      <c r="N148" s="206">
        <f>SUMIFS(LANÇ_MOV[VALOR LÍQUIDO],LANÇ_MOV[RECEITA OU DESPESA],"Despesa",LANÇ_MOV[CONTAS],$C148,LANÇ_MOV[PLANO DE CONTAS],REL_DRE_FINANCEIRO!$B$135,LANÇ_MOV[ANO PAGAMENTO],$B$4,LANÇ_MOV[MÊS PAGAMENTO CORRESPONDENTE],N$6,LANÇ_MOV[EMPRESA],$C$4,LANÇ_MOV[CENTRO DE CUSTOS],$D$4)</f>
        <v>0</v>
      </c>
      <c r="O148" s="206">
        <f>SUMIFS(LANÇ_MOV[VALOR LÍQUIDO],LANÇ_MOV[RECEITA OU DESPESA],"Despesa",LANÇ_MOV[CONTAS],$C148,LANÇ_MOV[PLANO DE CONTAS],REL_DRE_FINANCEIRO!$B$135,LANÇ_MOV[ANO PAGAMENTO],$B$4,LANÇ_MOV[MÊS PAGAMENTO CORRESPONDENTE],O$6,LANÇ_MOV[EMPRESA],$C$4,LANÇ_MOV[CENTRO DE CUSTOS],$D$4)</f>
        <v>0</v>
      </c>
      <c r="P148" s="207">
        <f t="shared" si="30"/>
        <v>0</v>
      </c>
      <c r="Q148" s="333">
        <v>4.0899999999999998E-5</v>
      </c>
      <c r="R148" s="346">
        <f t="shared" si="32"/>
        <v>4.0899999999999998E-5</v>
      </c>
      <c r="S148" s="347" t="str">
        <f t="shared" si="33"/>
        <v>HOSPEDAGEM</v>
      </c>
      <c r="T148" s="347">
        <f t="shared" si="34"/>
        <v>0</v>
      </c>
      <c r="U148" s="347">
        <f>HLOOKUP(Apoio!$P$12,$D$134:$P$235,X148,FALSE)+Q148</f>
        <v>4.0899999999999998E-5</v>
      </c>
      <c r="V148" s="447" t="str">
        <f t="shared" si="31"/>
        <v>HOSPEDAGEM</v>
      </c>
      <c r="W148" s="448">
        <f>HLOOKUP(Apoio!$P$12,$D$134:$P$235,X148,FALSE)</f>
        <v>0</v>
      </c>
      <c r="X148" s="329">
        <v>15</v>
      </c>
    </row>
    <row r="149" spans="2:27" ht="30.05" customHeight="1" x14ac:dyDescent="0.35">
      <c r="B149" s="204" t="str">
        <f>'CAD_PL_REC-DESP'!K18</f>
        <v>2.1.14</v>
      </c>
      <c r="C149" s="205" t="str">
        <f>IF('CAD_PL_REC-DESP'!L18="","-",'CAD_PL_REC-DESP'!L18)</f>
        <v>IMPRESSÃO DE PROJETO</v>
      </c>
      <c r="D149" s="206">
        <f>SUMIFS(LANÇ_MOV[VALOR LÍQUIDO],LANÇ_MOV[RECEITA OU DESPESA],"Despesa",LANÇ_MOV[CONTAS],$C149,LANÇ_MOV[PLANO DE CONTAS],REL_DRE_FINANCEIRO!$B$135,LANÇ_MOV[ANO PAGAMENTO],$B$4,LANÇ_MOV[MÊS PAGAMENTO CORRESPONDENTE],D$6,LANÇ_MOV[EMPRESA],$C$4,LANÇ_MOV[CENTRO DE CUSTOS],$D$4)</f>
        <v>0</v>
      </c>
      <c r="E149" s="206">
        <f>SUMIFS(LANÇ_MOV[VALOR LÍQUIDO],LANÇ_MOV[RECEITA OU DESPESA],"Despesa",LANÇ_MOV[CONTAS],$C149,LANÇ_MOV[PLANO DE CONTAS],REL_DRE_FINANCEIRO!$B$135,LANÇ_MOV[ANO PAGAMENTO],$B$4,LANÇ_MOV[MÊS PAGAMENTO CORRESPONDENTE],E$6,LANÇ_MOV[EMPRESA],$C$4,LANÇ_MOV[CENTRO DE CUSTOS],$D$4)</f>
        <v>0</v>
      </c>
      <c r="F149" s="206">
        <f>SUMIFS(LANÇ_MOV[VALOR LÍQUIDO],LANÇ_MOV[RECEITA OU DESPESA],"Despesa",LANÇ_MOV[CONTAS],$C149,LANÇ_MOV[PLANO DE CONTAS],REL_DRE_FINANCEIRO!$B$135,LANÇ_MOV[ANO PAGAMENTO],$B$4,LANÇ_MOV[MÊS PAGAMENTO CORRESPONDENTE],F$6,LANÇ_MOV[EMPRESA],$C$4,LANÇ_MOV[CENTRO DE CUSTOS],$D$4)</f>
        <v>0</v>
      </c>
      <c r="G149" s="206">
        <f>SUMIFS(LANÇ_MOV[VALOR LÍQUIDO],LANÇ_MOV[RECEITA OU DESPESA],"Despesa",LANÇ_MOV[CONTAS],$C149,LANÇ_MOV[PLANO DE CONTAS],REL_DRE_FINANCEIRO!$B$135,LANÇ_MOV[ANO PAGAMENTO],$B$4,LANÇ_MOV[MÊS PAGAMENTO CORRESPONDENTE],G$6,LANÇ_MOV[EMPRESA],$C$4,LANÇ_MOV[CENTRO DE CUSTOS],$D$4)</f>
        <v>0</v>
      </c>
      <c r="H149" s="206">
        <f>SUMIFS(LANÇ_MOV[VALOR LÍQUIDO],LANÇ_MOV[RECEITA OU DESPESA],"Despesa",LANÇ_MOV[CONTAS],$C149,LANÇ_MOV[PLANO DE CONTAS],REL_DRE_FINANCEIRO!$B$135,LANÇ_MOV[ANO PAGAMENTO],$B$4,LANÇ_MOV[MÊS PAGAMENTO CORRESPONDENTE],H$6,LANÇ_MOV[EMPRESA],$C$4,LANÇ_MOV[CENTRO DE CUSTOS],$D$4)</f>
        <v>0</v>
      </c>
      <c r="I149" s="206">
        <f>SUMIFS(LANÇ_MOV[VALOR LÍQUIDO],LANÇ_MOV[RECEITA OU DESPESA],"Despesa",LANÇ_MOV[CONTAS],$C149,LANÇ_MOV[PLANO DE CONTAS],REL_DRE_FINANCEIRO!$B$135,LANÇ_MOV[ANO PAGAMENTO],$B$4,LANÇ_MOV[MÊS PAGAMENTO CORRESPONDENTE],I$6,LANÇ_MOV[EMPRESA],$C$4,LANÇ_MOV[CENTRO DE CUSTOS],$D$4)</f>
        <v>0</v>
      </c>
      <c r="J149" s="206">
        <f>SUMIFS(LANÇ_MOV[VALOR LÍQUIDO],LANÇ_MOV[RECEITA OU DESPESA],"Despesa",LANÇ_MOV[CONTAS],$C149,LANÇ_MOV[PLANO DE CONTAS],REL_DRE_FINANCEIRO!$B$135,LANÇ_MOV[ANO PAGAMENTO],$B$4,LANÇ_MOV[MÊS PAGAMENTO CORRESPONDENTE],J$6,LANÇ_MOV[EMPRESA],$C$4,LANÇ_MOV[CENTRO DE CUSTOS],$D$4)</f>
        <v>0</v>
      </c>
      <c r="K149" s="206">
        <f>SUMIFS(LANÇ_MOV[VALOR LÍQUIDO],LANÇ_MOV[RECEITA OU DESPESA],"Despesa",LANÇ_MOV[CONTAS],$C149,LANÇ_MOV[PLANO DE CONTAS],REL_DRE_FINANCEIRO!$B$135,LANÇ_MOV[ANO PAGAMENTO],$B$4,LANÇ_MOV[MÊS PAGAMENTO CORRESPONDENTE],K$6,LANÇ_MOV[EMPRESA],$C$4,LANÇ_MOV[CENTRO DE CUSTOS],$D$4)</f>
        <v>0</v>
      </c>
      <c r="L149" s="206">
        <f>SUMIFS(LANÇ_MOV[VALOR LÍQUIDO],LANÇ_MOV[RECEITA OU DESPESA],"Despesa",LANÇ_MOV[CONTAS],$C149,LANÇ_MOV[PLANO DE CONTAS],REL_DRE_FINANCEIRO!$B$135,LANÇ_MOV[ANO PAGAMENTO],$B$4,LANÇ_MOV[MÊS PAGAMENTO CORRESPONDENTE],L$6,LANÇ_MOV[EMPRESA],$C$4,LANÇ_MOV[CENTRO DE CUSTOS],$D$4)</f>
        <v>0</v>
      </c>
      <c r="M149" s="206">
        <f>SUMIFS(LANÇ_MOV[VALOR LÍQUIDO],LANÇ_MOV[RECEITA OU DESPESA],"Despesa",LANÇ_MOV[CONTAS],$C149,LANÇ_MOV[PLANO DE CONTAS],REL_DRE_FINANCEIRO!$B$135,LANÇ_MOV[ANO PAGAMENTO],$B$4,LANÇ_MOV[MÊS PAGAMENTO CORRESPONDENTE],M$6,LANÇ_MOV[EMPRESA],$C$4,LANÇ_MOV[CENTRO DE CUSTOS],$D$4)</f>
        <v>0</v>
      </c>
      <c r="N149" s="206">
        <f>SUMIFS(LANÇ_MOV[VALOR LÍQUIDO],LANÇ_MOV[RECEITA OU DESPESA],"Despesa",LANÇ_MOV[CONTAS],$C149,LANÇ_MOV[PLANO DE CONTAS],REL_DRE_FINANCEIRO!$B$135,LANÇ_MOV[ANO PAGAMENTO],$B$4,LANÇ_MOV[MÊS PAGAMENTO CORRESPONDENTE],N$6,LANÇ_MOV[EMPRESA],$C$4,LANÇ_MOV[CENTRO DE CUSTOS],$D$4)</f>
        <v>0</v>
      </c>
      <c r="O149" s="206">
        <f>SUMIFS(LANÇ_MOV[VALOR LÍQUIDO],LANÇ_MOV[RECEITA OU DESPESA],"Despesa",LANÇ_MOV[CONTAS],$C149,LANÇ_MOV[PLANO DE CONTAS],REL_DRE_FINANCEIRO!$B$135,LANÇ_MOV[ANO PAGAMENTO],$B$4,LANÇ_MOV[MÊS PAGAMENTO CORRESPONDENTE],O$6,LANÇ_MOV[EMPRESA],$C$4,LANÇ_MOV[CENTRO DE CUSTOS],$D$4)</f>
        <v>0</v>
      </c>
      <c r="P149" s="207">
        <f t="shared" si="30"/>
        <v>0</v>
      </c>
      <c r="Q149" s="333">
        <v>4.0800000000000002E-5</v>
      </c>
      <c r="R149" s="346">
        <f t="shared" si="32"/>
        <v>4.0800000000000002E-5</v>
      </c>
      <c r="S149" s="347" t="str">
        <f t="shared" si="33"/>
        <v>IMPRESSÃO DE PROJETO</v>
      </c>
      <c r="T149" s="347">
        <f t="shared" si="34"/>
        <v>0</v>
      </c>
      <c r="U149" s="347">
        <f>HLOOKUP(Apoio!$P$12,$D$134:$P$235,X149,FALSE)+Q149</f>
        <v>4.0800000000000002E-5</v>
      </c>
      <c r="V149" s="447" t="str">
        <f t="shared" si="31"/>
        <v>IMPRESSÃO DE PROJETO</v>
      </c>
      <c r="W149" s="448">
        <f>HLOOKUP(Apoio!$P$12,$D$134:$P$235,X149,FALSE)</f>
        <v>0</v>
      </c>
      <c r="X149" s="329">
        <v>16</v>
      </c>
    </row>
    <row r="150" spans="2:27" ht="30.05" customHeight="1" x14ac:dyDescent="0.35">
      <c r="B150" s="204" t="str">
        <f>'CAD_PL_REC-DESP'!K19</f>
        <v>2.1.15</v>
      </c>
      <c r="C150" s="205" t="str">
        <f>IF('CAD_PL_REC-DESP'!L19="","-",'CAD_PL_REC-DESP'!L19)</f>
        <v>LAVANDERIA</v>
      </c>
      <c r="D150" s="206">
        <f>SUMIFS(LANÇ_MOV[VALOR LÍQUIDO],LANÇ_MOV[RECEITA OU DESPESA],"Despesa",LANÇ_MOV[CONTAS],$C150,LANÇ_MOV[PLANO DE CONTAS],REL_DRE_FINANCEIRO!$B$135,LANÇ_MOV[ANO PAGAMENTO],$B$4,LANÇ_MOV[MÊS PAGAMENTO CORRESPONDENTE],D$6,LANÇ_MOV[EMPRESA],$C$4,LANÇ_MOV[CENTRO DE CUSTOS],$D$4)</f>
        <v>0</v>
      </c>
      <c r="E150" s="206">
        <f>SUMIFS(LANÇ_MOV[VALOR LÍQUIDO],LANÇ_MOV[RECEITA OU DESPESA],"Despesa",LANÇ_MOV[CONTAS],$C150,LANÇ_MOV[PLANO DE CONTAS],REL_DRE_FINANCEIRO!$B$135,LANÇ_MOV[ANO PAGAMENTO],$B$4,LANÇ_MOV[MÊS PAGAMENTO CORRESPONDENTE],E$6,LANÇ_MOV[EMPRESA],$C$4,LANÇ_MOV[CENTRO DE CUSTOS],$D$4)</f>
        <v>0</v>
      </c>
      <c r="F150" s="206">
        <f>SUMIFS(LANÇ_MOV[VALOR LÍQUIDO],LANÇ_MOV[RECEITA OU DESPESA],"Despesa",LANÇ_MOV[CONTAS],$C150,LANÇ_MOV[PLANO DE CONTAS],REL_DRE_FINANCEIRO!$B$135,LANÇ_MOV[ANO PAGAMENTO],$B$4,LANÇ_MOV[MÊS PAGAMENTO CORRESPONDENTE],F$6,LANÇ_MOV[EMPRESA],$C$4,LANÇ_MOV[CENTRO DE CUSTOS],$D$4)</f>
        <v>0</v>
      </c>
      <c r="G150" s="206">
        <f>SUMIFS(LANÇ_MOV[VALOR LÍQUIDO],LANÇ_MOV[RECEITA OU DESPESA],"Despesa",LANÇ_MOV[CONTAS],$C150,LANÇ_MOV[PLANO DE CONTAS],REL_DRE_FINANCEIRO!$B$135,LANÇ_MOV[ANO PAGAMENTO],$B$4,LANÇ_MOV[MÊS PAGAMENTO CORRESPONDENTE],G$6,LANÇ_MOV[EMPRESA],$C$4,LANÇ_MOV[CENTRO DE CUSTOS],$D$4)</f>
        <v>0</v>
      </c>
      <c r="H150" s="206">
        <f>SUMIFS(LANÇ_MOV[VALOR LÍQUIDO],LANÇ_MOV[RECEITA OU DESPESA],"Despesa",LANÇ_MOV[CONTAS],$C150,LANÇ_MOV[PLANO DE CONTAS],REL_DRE_FINANCEIRO!$B$135,LANÇ_MOV[ANO PAGAMENTO],$B$4,LANÇ_MOV[MÊS PAGAMENTO CORRESPONDENTE],H$6,LANÇ_MOV[EMPRESA],$C$4,LANÇ_MOV[CENTRO DE CUSTOS],$D$4)</f>
        <v>0</v>
      </c>
      <c r="I150" s="206">
        <f>SUMIFS(LANÇ_MOV[VALOR LÍQUIDO],LANÇ_MOV[RECEITA OU DESPESA],"Despesa",LANÇ_MOV[CONTAS],$C150,LANÇ_MOV[PLANO DE CONTAS],REL_DRE_FINANCEIRO!$B$135,LANÇ_MOV[ANO PAGAMENTO],$B$4,LANÇ_MOV[MÊS PAGAMENTO CORRESPONDENTE],I$6,LANÇ_MOV[EMPRESA],$C$4,LANÇ_MOV[CENTRO DE CUSTOS],$D$4)</f>
        <v>0</v>
      </c>
      <c r="J150" s="206">
        <f>SUMIFS(LANÇ_MOV[VALOR LÍQUIDO],LANÇ_MOV[RECEITA OU DESPESA],"Despesa",LANÇ_MOV[CONTAS],$C150,LANÇ_MOV[PLANO DE CONTAS],REL_DRE_FINANCEIRO!$B$135,LANÇ_MOV[ANO PAGAMENTO],$B$4,LANÇ_MOV[MÊS PAGAMENTO CORRESPONDENTE],J$6,LANÇ_MOV[EMPRESA],$C$4,LANÇ_MOV[CENTRO DE CUSTOS],$D$4)</f>
        <v>0</v>
      </c>
      <c r="K150" s="206">
        <f>SUMIFS(LANÇ_MOV[VALOR LÍQUIDO],LANÇ_MOV[RECEITA OU DESPESA],"Despesa",LANÇ_MOV[CONTAS],$C150,LANÇ_MOV[PLANO DE CONTAS],REL_DRE_FINANCEIRO!$B$135,LANÇ_MOV[ANO PAGAMENTO],$B$4,LANÇ_MOV[MÊS PAGAMENTO CORRESPONDENTE],K$6,LANÇ_MOV[EMPRESA],$C$4,LANÇ_MOV[CENTRO DE CUSTOS],$D$4)</f>
        <v>0</v>
      </c>
      <c r="L150" s="206">
        <f>SUMIFS(LANÇ_MOV[VALOR LÍQUIDO],LANÇ_MOV[RECEITA OU DESPESA],"Despesa",LANÇ_MOV[CONTAS],$C150,LANÇ_MOV[PLANO DE CONTAS],REL_DRE_FINANCEIRO!$B$135,LANÇ_MOV[ANO PAGAMENTO],$B$4,LANÇ_MOV[MÊS PAGAMENTO CORRESPONDENTE],L$6,LANÇ_MOV[EMPRESA],$C$4,LANÇ_MOV[CENTRO DE CUSTOS],$D$4)</f>
        <v>0</v>
      </c>
      <c r="M150" s="206">
        <f>SUMIFS(LANÇ_MOV[VALOR LÍQUIDO],LANÇ_MOV[RECEITA OU DESPESA],"Despesa",LANÇ_MOV[CONTAS],$C150,LANÇ_MOV[PLANO DE CONTAS],REL_DRE_FINANCEIRO!$B$135,LANÇ_MOV[ANO PAGAMENTO],$B$4,LANÇ_MOV[MÊS PAGAMENTO CORRESPONDENTE],M$6,LANÇ_MOV[EMPRESA],$C$4,LANÇ_MOV[CENTRO DE CUSTOS],$D$4)</f>
        <v>0</v>
      </c>
      <c r="N150" s="206">
        <f>SUMIFS(LANÇ_MOV[VALOR LÍQUIDO],LANÇ_MOV[RECEITA OU DESPESA],"Despesa",LANÇ_MOV[CONTAS],$C150,LANÇ_MOV[PLANO DE CONTAS],REL_DRE_FINANCEIRO!$B$135,LANÇ_MOV[ANO PAGAMENTO],$B$4,LANÇ_MOV[MÊS PAGAMENTO CORRESPONDENTE],N$6,LANÇ_MOV[EMPRESA],$C$4,LANÇ_MOV[CENTRO DE CUSTOS],$D$4)</f>
        <v>0</v>
      </c>
      <c r="O150" s="206">
        <f>SUMIFS(LANÇ_MOV[VALOR LÍQUIDO],LANÇ_MOV[RECEITA OU DESPESA],"Despesa",LANÇ_MOV[CONTAS],$C150,LANÇ_MOV[PLANO DE CONTAS],REL_DRE_FINANCEIRO!$B$135,LANÇ_MOV[ANO PAGAMENTO],$B$4,LANÇ_MOV[MÊS PAGAMENTO CORRESPONDENTE],O$6,LANÇ_MOV[EMPRESA],$C$4,LANÇ_MOV[CENTRO DE CUSTOS],$D$4)</f>
        <v>0</v>
      </c>
      <c r="P150" s="207">
        <f t="shared" si="30"/>
        <v>0</v>
      </c>
      <c r="Q150" s="333">
        <v>4.07E-5</v>
      </c>
      <c r="R150" s="346">
        <f t="shared" si="32"/>
        <v>4.07E-5</v>
      </c>
      <c r="S150" s="347" t="str">
        <f t="shared" si="33"/>
        <v>LAVANDERIA</v>
      </c>
      <c r="T150" s="347">
        <f t="shared" si="34"/>
        <v>0</v>
      </c>
      <c r="U150" s="347">
        <f>HLOOKUP(Apoio!$P$12,$D$134:$P$235,X150,FALSE)+Q150</f>
        <v>4.07E-5</v>
      </c>
      <c r="V150" s="447" t="str">
        <f t="shared" si="31"/>
        <v>LAVANDERIA</v>
      </c>
      <c r="W150" s="448">
        <f>HLOOKUP(Apoio!$P$12,$D$134:$P$235,X150,FALSE)</f>
        <v>0</v>
      </c>
      <c r="X150" s="329">
        <v>17</v>
      </c>
    </row>
    <row r="151" spans="2:27" ht="30.05" customHeight="1" x14ac:dyDescent="0.35">
      <c r="B151" s="204" t="str">
        <f>'CAD_PL_REC-DESP'!K20</f>
        <v>2.1.16</v>
      </c>
      <c r="C151" s="205" t="str">
        <f>IF('CAD_PL_REC-DESP'!L20="","-",'CAD_PL_REC-DESP'!L20)</f>
        <v>LIMPEZA CASA</v>
      </c>
      <c r="D151" s="206">
        <f>SUMIFS(LANÇ_MOV[VALOR LÍQUIDO],LANÇ_MOV[RECEITA OU DESPESA],"Despesa",LANÇ_MOV[CONTAS],$C151,LANÇ_MOV[PLANO DE CONTAS],REL_DRE_FINANCEIRO!$B$135,LANÇ_MOV[ANO PAGAMENTO],$B$4,LANÇ_MOV[MÊS PAGAMENTO CORRESPONDENTE],D$6,LANÇ_MOV[EMPRESA],$C$4,LANÇ_MOV[CENTRO DE CUSTOS],$D$4)</f>
        <v>0</v>
      </c>
      <c r="E151" s="206">
        <f>SUMIFS(LANÇ_MOV[VALOR LÍQUIDO],LANÇ_MOV[RECEITA OU DESPESA],"Despesa",LANÇ_MOV[CONTAS],$C151,LANÇ_MOV[PLANO DE CONTAS],REL_DRE_FINANCEIRO!$B$135,LANÇ_MOV[ANO PAGAMENTO],$B$4,LANÇ_MOV[MÊS PAGAMENTO CORRESPONDENTE],E$6,LANÇ_MOV[EMPRESA],$C$4,LANÇ_MOV[CENTRO DE CUSTOS],$D$4)</f>
        <v>0</v>
      </c>
      <c r="F151" s="206">
        <f>SUMIFS(LANÇ_MOV[VALOR LÍQUIDO],LANÇ_MOV[RECEITA OU DESPESA],"Despesa",LANÇ_MOV[CONTAS],$C151,LANÇ_MOV[PLANO DE CONTAS],REL_DRE_FINANCEIRO!$B$135,LANÇ_MOV[ANO PAGAMENTO],$B$4,LANÇ_MOV[MÊS PAGAMENTO CORRESPONDENTE],F$6,LANÇ_MOV[EMPRESA],$C$4,LANÇ_MOV[CENTRO DE CUSTOS],$D$4)</f>
        <v>0</v>
      </c>
      <c r="G151" s="206">
        <f>SUMIFS(LANÇ_MOV[VALOR LÍQUIDO],LANÇ_MOV[RECEITA OU DESPESA],"Despesa",LANÇ_MOV[CONTAS],$C151,LANÇ_MOV[PLANO DE CONTAS],REL_DRE_FINANCEIRO!$B$135,LANÇ_MOV[ANO PAGAMENTO],$B$4,LANÇ_MOV[MÊS PAGAMENTO CORRESPONDENTE],G$6,LANÇ_MOV[EMPRESA],$C$4,LANÇ_MOV[CENTRO DE CUSTOS],$D$4)</f>
        <v>0</v>
      </c>
      <c r="H151" s="206">
        <f>SUMIFS(LANÇ_MOV[VALOR LÍQUIDO],LANÇ_MOV[RECEITA OU DESPESA],"Despesa",LANÇ_MOV[CONTAS],$C151,LANÇ_MOV[PLANO DE CONTAS],REL_DRE_FINANCEIRO!$B$135,LANÇ_MOV[ANO PAGAMENTO],$B$4,LANÇ_MOV[MÊS PAGAMENTO CORRESPONDENTE],H$6,LANÇ_MOV[EMPRESA],$C$4,LANÇ_MOV[CENTRO DE CUSTOS],$D$4)</f>
        <v>0</v>
      </c>
      <c r="I151" s="206">
        <f>SUMIFS(LANÇ_MOV[VALOR LÍQUIDO],LANÇ_MOV[RECEITA OU DESPESA],"Despesa",LANÇ_MOV[CONTAS],$C151,LANÇ_MOV[PLANO DE CONTAS],REL_DRE_FINANCEIRO!$B$135,LANÇ_MOV[ANO PAGAMENTO],$B$4,LANÇ_MOV[MÊS PAGAMENTO CORRESPONDENTE],I$6,LANÇ_MOV[EMPRESA],$C$4,LANÇ_MOV[CENTRO DE CUSTOS],$D$4)</f>
        <v>0</v>
      </c>
      <c r="J151" s="206">
        <f>SUMIFS(LANÇ_MOV[VALOR LÍQUIDO],LANÇ_MOV[RECEITA OU DESPESA],"Despesa",LANÇ_MOV[CONTAS],$C151,LANÇ_MOV[PLANO DE CONTAS],REL_DRE_FINANCEIRO!$B$135,LANÇ_MOV[ANO PAGAMENTO],$B$4,LANÇ_MOV[MÊS PAGAMENTO CORRESPONDENTE],J$6,LANÇ_MOV[EMPRESA],$C$4,LANÇ_MOV[CENTRO DE CUSTOS],$D$4)</f>
        <v>0</v>
      </c>
      <c r="K151" s="206">
        <f>SUMIFS(LANÇ_MOV[VALOR LÍQUIDO],LANÇ_MOV[RECEITA OU DESPESA],"Despesa",LANÇ_MOV[CONTAS],$C151,LANÇ_MOV[PLANO DE CONTAS],REL_DRE_FINANCEIRO!$B$135,LANÇ_MOV[ANO PAGAMENTO],$B$4,LANÇ_MOV[MÊS PAGAMENTO CORRESPONDENTE],K$6,LANÇ_MOV[EMPRESA],$C$4,LANÇ_MOV[CENTRO DE CUSTOS],$D$4)</f>
        <v>0</v>
      </c>
      <c r="L151" s="206">
        <f>SUMIFS(LANÇ_MOV[VALOR LÍQUIDO],LANÇ_MOV[RECEITA OU DESPESA],"Despesa",LANÇ_MOV[CONTAS],$C151,LANÇ_MOV[PLANO DE CONTAS],REL_DRE_FINANCEIRO!$B$135,LANÇ_MOV[ANO PAGAMENTO],$B$4,LANÇ_MOV[MÊS PAGAMENTO CORRESPONDENTE],L$6,LANÇ_MOV[EMPRESA],$C$4,LANÇ_MOV[CENTRO DE CUSTOS],$D$4)</f>
        <v>0</v>
      </c>
      <c r="M151" s="206">
        <f>SUMIFS(LANÇ_MOV[VALOR LÍQUIDO],LANÇ_MOV[RECEITA OU DESPESA],"Despesa",LANÇ_MOV[CONTAS],$C151,LANÇ_MOV[PLANO DE CONTAS],REL_DRE_FINANCEIRO!$B$135,LANÇ_MOV[ANO PAGAMENTO],$B$4,LANÇ_MOV[MÊS PAGAMENTO CORRESPONDENTE],M$6,LANÇ_MOV[EMPRESA],$C$4,LANÇ_MOV[CENTRO DE CUSTOS],$D$4)</f>
        <v>0</v>
      </c>
      <c r="N151" s="206">
        <f>SUMIFS(LANÇ_MOV[VALOR LÍQUIDO],LANÇ_MOV[RECEITA OU DESPESA],"Despesa",LANÇ_MOV[CONTAS],$C151,LANÇ_MOV[PLANO DE CONTAS],REL_DRE_FINANCEIRO!$B$135,LANÇ_MOV[ANO PAGAMENTO],$B$4,LANÇ_MOV[MÊS PAGAMENTO CORRESPONDENTE],N$6,LANÇ_MOV[EMPRESA],$C$4,LANÇ_MOV[CENTRO DE CUSTOS],$D$4)</f>
        <v>0</v>
      </c>
      <c r="O151" s="206">
        <f>SUMIFS(LANÇ_MOV[VALOR LÍQUIDO],LANÇ_MOV[RECEITA OU DESPESA],"Despesa",LANÇ_MOV[CONTAS],$C151,LANÇ_MOV[PLANO DE CONTAS],REL_DRE_FINANCEIRO!$B$135,LANÇ_MOV[ANO PAGAMENTO],$B$4,LANÇ_MOV[MÊS PAGAMENTO CORRESPONDENTE],O$6,LANÇ_MOV[EMPRESA],$C$4,LANÇ_MOV[CENTRO DE CUSTOS],$D$4)</f>
        <v>0</v>
      </c>
      <c r="P151" s="207">
        <f t="shared" si="30"/>
        <v>0</v>
      </c>
      <c r="Q151" s="333">
        <v>4.0599999999999998E-5</v>
      </c>
      <c r="R151" s="346">
        <f t="shared" si="32"/>
        <v>4.0599999999999998E-5</v>
      </c>
      <c r="S151" s="347" t="str">
        <f t="shared" si="33"/>
        <v>LIMPEZA CASA</v>
      </c>
      <c r="T151" s="347">
        <f t="shared" si="34"/>
        <v>0</v>
      </c>
      <c r="U151" s="347">
        <f>HLOOKUP(Apoio!$P$12,$D$134:$P$235,X151,FALSE)+Q151</f>
        <v>4.0599999999999998E-5</v>
      </c>
      <c r="V151" s="447" t="str">
        <f t="shared" si="31"/>
        <v>LIMPEZA CASA</v>
      </c>
      <c r="W151" s="448">
        <f>HLOOKUP(Apoio!$P$12,$D$134:$P$235,X151,FALSE)</f>
        <v>0</v>
      </c>
      <c r="X151" s="329">
        <v>18</v>
      </c>
    </row>
    <row r="152" spans="2:27" ht="30.05" customHeight="1" x14ac:dyDescent="0.35">
      <c r="B152" s="204" t="str">
        <f>'CAD_PL_REC-DESP'!K21</f>
        <v>2.1.17</v>
      </c>
      <c r="C152" s="205" t="str">
        <f>IF('CAD_PL_REC-DESP'!L21="","-",'CAD_PL_REC-DESP'!L21)</f>
        <v>MATERIAL E MÃO DE OBRA</v>
      </c>
      <c r="D152" s="206">
        <f>SUMIFS(LANÇ_MOV[VALOR LÍQUIDO],LANÇ_MOV[RECEITA OU DESPESA],"Despesa",LANÇ_MOV[CONTAS],$C152,LANÇ_MOV[PLANO DE CONTAS],REL_DRE_FINANCEIRO!$B$135,LANÇ_MOV[ANO PAGAMENTO],$B$4,LANÇ_MOV[MÊS PAGAMENTO CORRESPONDENTE],D$6,LANÇ_MOV[EMPRESA],$C$4,LANÇ_MOV[CENTRO DE CUSTOS],$D$4)</f>
        <v>0</v>
      </c>
      <c r="E152" s="206">
        <f>SUMIFS(LANÇ_MOV[VALOR LÍQUIDO],LANÇ_MOV[RECEITA OU DESPESA],"Despesa",LANÇ_MOV[CONTAS],$C152,LANÇ_MOV[PLANO DE CONTAS],REL_DRE_FINANCEIRO!$B$135,LANÇ_MOV[ANO PAGAMENTO],$B$4,LANÇ_MOV[MÊS PAGAMENTO CORRESPONDENTE],E$6,LANÇ_MOV[EMPRESA],$C$4,LANÇ_MOV[CENTRO DE CUSTOS],$D$4)</f>
        <v>0</v>
      </c>
      <c r="F152" s="206">
        <f>SUMIFS(LANÇ_MOV[VALOR LÍQUIDO],LANÇ_MOV[RECEITA OU DESPESA],"Despesa",LANÇ_MOV[CONTAS],$C152,LANÇ_MOV[PLANO DE CONTAS],REL_DRE_FINANCEIRO!$B$135,LANÇ_MOV[ANO PAGAMENTO],$B$4,LANÇ_MOV[MÊS PAGAMENTO CORRESPONDENTE],F$6,LANÇ_MOV[EMPRESA],$C$4,LANÇ_MOV[CENTRO DE CUSTOS],$D$4)</f>
        <v>0</v>
      </c>
      <c r="G152" s="206">
        <f>SUMIFS(LANÇ_MOV[VALOR LÍQUIDO],LANÇ_MOV[RECEITA OU DESPESA],"Despesa",LANÇ_MOV[CONTAS],$C152,LANÇ_MOV[PLANO DE CONTAS],REL_DRE_FINANCEIRO!$B$135,LANÇ_MOV[ANO PAGAMENTO],$B$4,LANÇ_MOV[MÊS PAGAMENTO CORRESPONDENTE],G$6,LANÇ_MOV[EMPRESA],$C$4,LANÇ_MOV[CENTRO DE CUSTOS],$D$4)</f>
        <v>0</v>
      </c>
      <c r="H152" s="206">
        <f>SUMIFS(LANÇ_MOV[VALOR LÍQUIDO],LANÇ_MOV[RECEITA OU DESPESA],"Despesa",LANÇ_MOV[CONTAS],$C152,LANÇ_MOV[PLANO DE CONTAS],REL_DRE_FINANCEIRO!$B$135,LANÇ_MOV[ANO PAGAMENTO],$B$4,LANÇ_MOV[MÊS PAGAMENTO CORRESPONDENTE],H$6,LANÇ_MOV[EMPRESA],$C$4,LANÇ_MOV[CENTRO DE CUSTOS],$D$4)</f>
        <v>0</v>
      </c>
      <c r="I152" s="206">
        <f>SUMIFS(LANÇ_MOV[VALOR LÍQUIDO],LANÇ_MOV[RECEITA OU DESPESA],"Despesa",LANÇ_MOV[CONTAS],$C152,LANÇ_MOV[PLANO DE CONTAS],REL_DRE_FINANCEIRO!$B$135,LANÇ_MOV[ANO PAGAMENTO],$B$4,LANÇ_MOV[MÊS PAGAMENTO CORRESPONDENTE],I$6,LANÇ_MOV[EMPRESA],$C$4,LANÇ_MOV[CENTRO DE CUSTOS],$D$4)</f>
        <v>0</v>
      </c>
      <c r="J152" s="206">
        <f>SUMIFS(LANÇ_MOV[VALOR LÍQUIDO],LANÇ_MOV[RECEITA OU DESPESA],"Despesa",LANÇ_MOV[CONTAS],$C152,LANÇ_MOV[PLANO DE CONTAS],REL_DRE_FINANCEIRO!$B$135,LANÇ_MOV[ANO PAGAMENTO],$B$4,LANÇ_MOV[MÊS PAGAMENTO CORRESPONDENTE],J$6,LANÇ_MOV[EMPRESA],$C$4,LANÇ_MOV[CENTRO DE CUSTOS],$D$4)</f>
        <v>0</v>
      </c>
      <c r="K152" s="206">
        <f>SUMIFS(LANÇ_MOV[VALOR LÍQUIDO],LANÇ_MOV[RECEITA OU DESPESA],"Despesa",LANÇ_MOV[CONTAS],$C152,LANÇ_MOV[PLANO DE CONTAS],REL_DRE_FINANCEIRO!$B$135,LANÇ_MOV[ANO PAGAMENTO],$B$4,LANÇ_MOV[MÊS PAGAMENTO CORRESPONDENTE],K$6,LANÇ_MOV[EMPRESA],$C$4,LANÇ_MOV[CENTRO DE CUSTOS],$D$4)</f>
        <v>0</v>
      </c>
      <c r="L152" s="206">
        <f>SUMIFS(LANÇ_MOV[VALOR LÍQUIDO],LANÇ_MOV[RECEITA OU DESPESA],"Despesa",LANÇ_MOV[CONTAS],$C152,LANÇ_MOV[PLANO DE CONTAS],REL_DRE_FINANCEIRO!$B$135,LANÇ_MOV[ANO PAGAMENTO],$B$4,LANÇ_MOV[MÊS PAGAMENTO CORRESPONDENTE],L$6,LANÇ_MOV[EMPRESA],$C$4,LANÇ_MOV[CENTRO DE CUSTOS],$D$4)</f>
        <v>0</v>
      </c>
      <c r="M152" s="206">
        <f>SUMIFS(LANÇ_MOV[VALOR LÍQUIDO],LANÇ_MOV[RECEITA OU DESPESA],"Despesa",LANÇ_MOV[CONTAS],$C152,LANÇ_MOV[PLANO DE CONTAS],REL_DRE_FINANCEIRO!$B$135,LANÇ_MOV[ANO PAGAMENTO],$B$4,LANÇ_MOV[MÊS PAGAMENTO CORRESPONDENTE],M$6,LANÇ_MOV[EMPRESA],$C$4,LANÇ_MOV[CENTRO DE CUSTOS],$D$4)</f>
        <v>0</v>
      </c>
      <c r="N152" s="206">
        <f>SUMIFS(LANÇ_MOV[VALOR LÍQUIDO],LANÇ_MOV[RECEITA OU DESPESA],"Despesa",LANÇ_MOV[CONTAS],$C152,LANÇ_MOV[PLANO DE CONTAS],REL_DRE_FINANCEIRO!$B$135,LANÇ_MOV[ANO PAGAMENTO],$B$4,LANÇ_MOV[MÊS PAGAMENTO CORRESPONDENTE],N$6,LANÇ_MOV[EMPRESA],$C$4,LANÇ_MOV[CENTRO DE CUSTOS],$D$4)</f>
        <v>0</v>
      </c>
      <c r="O152" s="206">
        <f>SUMIFS(LANÇ_MOV[VALOR LÍQUIDO],LANÇ_MOV[RECEITA OU DESPESA],"Despesa",LANÇ_MOV[CONTAS],$C152,LANÇ_MOV[PLANO DE CONTAS],REL_DRE_FINANCEIRO!$B$135,LANÇ_MOV[ANO PAGAMENTO],$B$4,LANÇ_MOV[MÊS PAGAMENTO CORRESPONDENTE],O$6,LANÇ_MOV[EMPRESA],$C$4,LANÇ_MOV[CENTRO DE CUSTOS],$D$4)</f>
        <v>0</v>
      </c>
      <c r="P152" s="207">
        <f t="shared" si="30"/>
        <v>0</v>
      </c>
      <c r="Q152" s="333">
        <v>4.0500000000000002E-5</v>
      </c>
      <c r="R152" s="346">
        <f t="shared" si="32"/>
        <v>4.0500000000000002E-5</v>
      </c>
      <c r="S152" s="347" t="str">
        <f t="shared" si="33"/>
        <v>MATERIAL E MÃO DE OBRA</v>
      </c>
      <c r="T152" s="347">
        <f t="shared" si="34"/>
        <v>0</v>
      </c>
      <c r="U152" s="347">
        <f>HLOOKUP(Apoio!$P$12,$D$134:$P$235,X152,FALSE)+Q152</f>
        <v>4.0500000000000002E-5</v>
      </c>
      <c r="V152" s="447" t="str">
        <f t="shared" si="31"/>
        <v>MATERIAL E MÃO DE OBRA</v>
      </c>
      <c r="W152" s="448">
        <f>HLOOKUP(Apoio!$P$12,$D$134:$P$235,X152,FALSE)</f>
        <v>0</v>
      </c>
      <c r="X152" s="329">
        <v>19</v>
      </c>
    </row>
    <row r="153" spans="2:27" ht="30.05" customHeight="1" x14ac:dyDescent="0.35">
      <c r="B153" s="204" t="str">
        <f>'CAD_PL_REC-DESP'!K22</f>
        <v>2.1.18</v>
      </c>
      <c r="C153" s="205" t="str">
        <f>IF('CAD_PL_REC-DESP'!L22="","-",'CAD_PL_REC-DESP'!L22)</f>
        <v>MOTO BOY</v>
      </c>
      <c r="D153" s="206">
        <f>SUMIFS(LANÇ_MOV[VALOR LÍQUIDO],LANÇ_MOV[RECEITA OU DESPESA],"Despesa",LANÇ_MOV[CONTAS],$C153,LANÇ_MOV[PLANO DE CONTAS],REL_DRE_FINANCEIRO!$B$135,LANÇ_MOV[ANO PAGAMENTO],$B$4,LANÇ_MOV[MÊS PAGAMENTO CORRESPONDENTE],D$6,LANÇ_MOV[EMPRESA],$C$4,LANÇ_MOV[CENTRO DE CUSTOS],$D$4)</f>
        <v>0</v>
      </c>
      <c r="E153" s="206">
        <f>SUMIFS(LANÇ_MOV[VALOR LÍQUIDO],LANÇ_MOV[RECEITA OU DESPESA],"Despesa",LANÇ_MOV[CONTAS],$C153,LANÇ_MOV[PLANO DE CONTAS],REL_DRE_FINANCEIRO!$B$135,LANÇ_MOV[ANO PAGAMENTO],$B$4,LANÇ_MOV[MÊS PAGAMENTO CORRESPONDENTE],E$6,LANÇ_MOV[EMPRESA],$C$4,LANÇ_MOV[CENTRO DE CUSTOS],$D$4)</f>
        <v>0</v>
      </c>
      <c r="F153" s="206">
        <f>SUMIFS(LANÇ_MOV[VALOR LÍQUIDO],LANÇ_MOV[RECEITA OU DESPESA],"Despesa",LANÇ_MOV[CONTAS],$C153,LANÇ_MOV[PLANO DE CONTAS],REL_DRE_FINANCEIRO!$B$135,LANÇ_MOV[ANO PAGAMENTO],$B$4,LANÇ_MOV[MÊS PAGAMENTO CORRESPONDENTE],F$6,LANÇ_MOV[EMPRESA],$C$4,LANÇ_MOV[CENTRO DE CUSTOS],$D$4)</f>
        <v>0</v>
      </c>
      <c r="G153" s="206">
        <f>SUMIFS(LANÇ_MOV[VALOR LÍQUIDO],LANÇ_MOV[RECEITA OU DESPESA],"Despesa",LANÇ_MOV[CONTAS],$C153,LANÇ_MOV[PLANO DE CONTAS],REL_DRE_FINANCEIRO!$B$135,LANÇ_MOV[ANO PAGAMENTO],$B$4,LANÇ_MOV[MÊS PAGAMENTO CORRESPONDENTE],G$6,LANÇ_MOV[EMPRESA],$C$4,LANÇ_MOV[CENTRO DE CUSTOS],$D$4)</f>
        <v>0</v>
      </c>
      <c r="H153" s="206">
        <f>SUMIFS(LANÇ_MOV[VALOR LÍQUIDO],LANÇ_MOV[RECEITA OU DESPESA],"Despesa",LANÇ_MOV[CONTAS],$C153,LANÇ_MOV[PLANO DE CONTAS],REL_DRE_FINANCEIRO!$B$135,LANÇ_MOV[ANO PAGAMENTO],$B$4,LANÇ_MOV[MÊS PAGAMENTO CORRESPONDENTE],H$6,LANÇ_MOV[EMPRESA],$C$4,LANÇ_MOV[CENTRO DE CUSTOS],$D$4)</f>
        <v>0</v>
      </c>
      <c r="I153" s="206">
        <f>SUMIFS(LANÇ_MOV[VALOR LÍQUIDO],LANÇ_MOV[RECEITA OU DESPESA],"Despesa",LANÇ_MOV[CONTAS],$C153,LANÇ_MOV[PLANO DE CONTAS],REL_DRE_FINANCEIRO!$B$135,LANÇ_MOV[ANO PAGAMENTO],$B$4,LANÇ_MOV[MÊS PAGAMENTO CORRESPONDENTE],I$6,LANÇ_MOV[EMPRESA],$C$4,LANÇ_MOV[CENTRO DE CUSTOS],$D$4)</f>
        <v>0</v>
      </c>
      <c r="J153" s="206">
        <f>SUMIFS(LANÇ_MOV[VALOR LÍQUIDO],LANÇ_MOV[RECEITA OU DESPESA],"Despesa",LANÇ_MOV[CONTAS],$C153,LANÇ_MOV[PLANO DE CONTAS],REL_DRE_FINANCEIRO!$B$135,LANÇ_MOV[ANO PAGAMENTO],$B$4,LANÇ_MOV[MÊS PAGAMENTO CORRESPONDENTE],J$6,LANÇ_MOV[EMPRESA],$C$4,LANÇ_MOV[CENTRO DE CUSTOS],$D$4)</f>
        <v>0</v>
      </c>
      <c r="K153" s="206">
        <f>SUMIFS(LANÇ_MOV[VALOR LÍQUIDO],LANÇ_MOV[RECEITA OU DESPESA],"Despesa",LANÇ_MOV[CONTAS],$C153,LANÇ_MOV[PLANO DE CONTAS],REL_DRE_FINANCEIRO!$B$135,LANÇ_MOV[ANO PAGAMENTO],$B$4,LANÇ_MOV[MÊS PAGAMENTO CORRESPONDENTE],K$6,LANÇ_MOV[EMPRESA],$C$4,LANÇ_MOV[CENTRO DE CUSTOS],$D$4)</f>
        <v>0</v>
      </c>
      <c r="L153" s="206">
        <f>SUMIFS(LANÇ_MOV[VALOR LÍQUIDO],LANÇ_MOV[RECEITA OU DESPESA],"Despesa",LANÇ_MOV[CONTAS],$C153,LANÇ_MOV[PLANO DE CONTAS],REL_DRE_FINANCEIRO!$B$135,LANÇ_MOV[ANO PAGAMENTO],$B$4,LANÇ_MOV[MÊS PAGAMENTO CORRESPONDENTE],L$6,LANÇ_MOV[EMPRESA],$C$4,LANÇ_MOV[CENTRO DE CUSTOS],$D$4)</f>
        <v>0</v>
      </c>
      <c r="M153" s="206">
        <f>SUMIFS(LANÇ_MOV[VALOR LÍQUIDO],LANÇ_MOV[RECEITA OU DESPESA],"Despesa",LANÇ_MOV[CONTAS],$C153,LANÇ_MOV[PLANO DE CONTAS],REL_DRE_FINANCEIRO!$B$135,LANÇ_MOV[ANO PAGAMENTO],$B$4,LANÇ_MOV[MÊS PAGAMENTO CORRESPONDENTE],M$6,LANÇ_MOV[EMPRESA],$C$4,LANÇ_MOV[CENTRO DE CUSTOS],$D$4)</f>
        <v>0</v>
      </c>
      <c r="N153" s="206">
        <f>SUMIFS(LANÇ_MOV[VALOR LÍQUIDO],LANÇ_MOV[RECEITA OU DESPESA],"Despesa",LANÇ_MOV[CONTAS],$C153,LANÇ_MOV[PLANO DE CONTAS],REL_DRE_FINANCEIRO!$B$135,LANÇ_MOV[ANO PAGAMENTO],$B$4,LANÇ_MOV[MÊS PAGAMENTO CORRESPONDENTE],N$6,LANÇ_MOV[EMPRESA],$C$4,LANÇ_MOV[CENTRO DE CUSTOS],$D$4)</f>
        <v>0</v>
      </c>
      <c r="O153" s="206">
        <f>SUMIFS(LANÇ_MOV[VALOR LÍQUIDO],LANÇ_MOV[RECEITA OU DESPESA],"Despesa",LANÇ_MOV[CONTAS],$C153,LANÇ_MOV[PLANO DE CONTAS],REL_DRE_FINANCEIRO!$B$135,LANÇ_MOV[ANO PAGAMENTO],$B$4,LANÇ_MOV[MÊS PAGAMENTO CORRESPONDENTE],O$6,LANÇ_MOV[EMPRESA],$C$4,LANÇ_MOV[CENTRO DE CUSTOS],$D$4)</f>
        <v>0</v>
      </c>
      <c r="P153" s="207">
        <f t="shared" si="30"/>
        <v>0</v>
      </c>
      <c r="Q153" s="333">
        <v>4.0399999999999999E-5</v>
      </c>
      <c r="R153" s="346">
        <f t="shared" si="32"/>
        <v>4.0399999999999999E-5</v>
      </c>
      <c r="S153" s="347" t="str">
        <f t="shared" si="33"/>
        <v>MOTO BOY</v>
      </c>
      <c r="T153" s="347">
        <f t="shared" si="34"/>
        <v>0</v>
      </c>
      <c r="U153" s="347">
        <f>HLOOKUP(Apoio!$P$12,$D$134:$P$235,X153,FALSE)+Q153</f>
        <v>4.0399999999999999E-5</v>
      </c>
      <c r="V153" s="447" t="str">
        <f t="shared" si="31"/>
        <v>MOTO BOY</v>
      </c>
      <c r="W153" s="448">
        <f>HLOOKUP(Apoio!$P$12,$D$134:$P$235,X153,FALSE)</f>
        <v>0</v>
      </c>
      <c r="X153" s="329">
        <v>20</v>
      </c>
    </row>
    <row r="154" spans="2:27" ht="30.05" customHeight="1" x14ac:dyDescent="0.35">
      <c r="B154" s="204" t="str">
        <f>'CAD_PL_REC-DESP'!K23</f>
        <v>2.1.19</v>
      </c>
      <c r="C154" s="205" t="str">
        <f>IF('CAD_PL_REC-DESP'!L23="","-",'CAD_PL_REC-DESP'!L23)</f>
        <v>PAGAMENTO DE MÃO DE OBRA</v>
      </c>
      <c r="D154" s="206">
        <f>SUMIFS(LANÇ_MOV[VALOR LÍQUIDO],LANÇ_MOV[RECEITA OU DESPESA],"Despesa",LANÇ_MOV[CONTAS],$C154,LANÇ_MOV[PLANO DE CONTAS],REL_DRE_FINANCEIRO!$B$135,LANÇ_MOV[ANO PAGAMENTO],$B$4,LANÇ_MOV[MÊS PAGAMENTO CORRESPONDENTE],D$6,LANÇ_MOV[EMPRESA],$C$4,LANÇ_MOV[CENTRO DE CUSTOS],$D$4)</f>
        <v>0</v>
      </c>
      <c r="E154" s="206">
        <f>SUMIFS(LANÇ_MOV[VALOR LÍQUIDO],LANÇ_MOV[RECEITA OU DESPESA],"Despesa",LANÇ_MOV[CONTAS],$C154,LANÇ_MOV[PLANO DE CONTAS],REL_DRE_FINANCEIRO!$B$135,LANÇ_MOV[ANO PAGAMENTO],$B$4,LANÇ_MOV[MÊS PAGAMENTO CORRESPONDENTE],E$6,LANÇ_MOV[EMPRESA],$C$4,LANÇ_MOV[CENTRO DE CUSTOS],$D$4)</f>
        <v>0</v>
      </c>
      <c r="F154" s="206">
        <f>SUMIFS(LANÇ_MOV[VALOR LÍQUIDO],LANÇ_MOV[RECEITA OU DESPESA],"Despesa",LANÇ_MOV[CONTAS],$C154,LANÇ_MOV[PLANO DE CONTAS],REL_DRE_FINANCEIRO!$B$135,LANÇ_MOV[ANO PAGAMENTO],$B$4,LANÇ_MOV[MÊS PAGAMENTO CORRESPONDENTE],F$6,LANÇ_MOV[EMPRESA],$C$4,LANÇ_MOV[CENTRO DE CUSTOS],$D$4)</f>
        <v>0</v>
      </c>
      <c r="G154" s="206">
        <f>SUMIFS(LANÇ_MOV[VALOR LÍQUIDO],LANÇ_MOV[RECEITA OU DESPESA],"Despesa",LANÇ_MOV[CONTAS],$C154,LANÇ_MOV[PLANO DE CONTAS],REL_DRE_FINANCEIRO!$B$135,LANÇ_MOV[ANO PAGAMENTO],$B$4,LANÇ_MOV[MÊS PAGAMENTO CORRESPONDENTE],G$6,LANÇ_MOV[EMPRESA],$C$4,LANÇ_MOV[CENTRO DE CUSTOS],$D$4)</f>
        <v>0</v>
      </c>
      <c r="H154" s="206">
        <f>SUMIFS(LANÇ_MOV[VALOR LÍQUIDO],LANÇ_MOV[RECEITA OU DESPESA],"Despesa",LANÇ_MOV[CONTAS],$C154,LANÇ_MOV[PLANO DE CONTAS],REL_DRE_FINANCEIRO!$B$135,LANÇ_MOV[ANO PAGAMENTO],$B$4,LANÇ_MOV[MÊS PAGAMENTO CORRESPONDENTE],H$6,LANÇ_MOV[EMPRESA],$C$4,LANÇ_MOV[CENTRO DE CUSTOS],$D$4)</f>
        <v>0</v>
      </c>
      <c r="I154" s="206">
        <f>SUMIFS(LANÇ_MOV[VALOR LÍQUIDO],LANÇ_MOV[RECEITA OU DESPESA],"Despesa",LANÇ_MOV[CONTAS],$C154,LANÇ_MOV[PLANO DE CONTAS],REL_DRE_FINANCEIRO!$B$135,LANÇ_MOV[ANO PAGAMENTO],$B$4,LANÇ_MOV[MÊS PAGAMENTO CORRESPONDENTE],I$6,LANÇ_MOV[EMPRESA],$C$4,LANÇ_MOV[CENTRO DE CUSTOS],$D$4)</f>
        <v>0</v>
      </c>
      <c r="J154" s="206">
        <f>SUMIFS(LANÇ_MOV[VALOR LÍQUIDO],LANÇ_MOV[RECEITA OU DESPESA],"Despesa",LANÇ_MOV[CONTAS],$C154,LANÇ_MOV[PLANO DE CONTAS],REL_DRE_FINANCEIRO!$B$135,LANÇ_MOV[ANO PAGAMENTO],$B$4,LANÇ_MOV[MÊS PAGAMENTO CORRESPONDENTE],J$6,LANÇ_MOV[EMPRESA],$C$4,LANÇ_MOV[CENTRO DE CUSTOS],$D$4)</f>
        <v>0</v>
      </c>
      <c r="K154" s="206">
        <f>SUMIFS(LANÇ_MOV[VALOR LÍQUIDO],LANÇ_MOV[RECEITA OU DESPESA],"Despesa",LANÇ_MOV[CONTAS],$C154,LANÇ_MOV[PLANO DE CONTAS],REL_DRE_FINANCEIRO!$B$135,LANÇ_MOV[ANO PAGAMENTO],$B$4,LANÇ_MOV[MÊS PAGAMENTO CORRESPONDENTE],K$6,LANÇ_MOV[EMPRESA],$C$4,LANÇ_MOV[CENTRO DE CUSTOS],$D$4)</f>
        <v>0</v>
      </c>
      <c r="L154" s="206">
        <f>SUMIFS(LANÇ_MOV[VALOR LÍQUIDO],LANÇ_MOV[RECEITA OU DESPESA],"Despesa",LANÇ_MOV[CONTAS],$C154,LANÇ_MOV[PLANO DE CONTAS],REL_DRE_FINANCEIRO!$B$135,LANÇ_MOV[ANO PAGAMENTO],$B$4,LANÇ_MOV[MÊS PAGAMENTO CORRESPONDENTE],L$6,LANÇ_MOV[EMPRESA],$C$4,LANÇ_MOV[CENTRO DE CUSTOS],$D$4)</f>
        <v>0</v>
      </c>
      <c r="M154" s="206">
        <f>SUMIFS(LANÇ_MOV[VALOR LÍQUIDO],LANÇ_MOV[RECEITA OU DESPESA],"Despesa",LANÇ_MOV[CONTAS],$C154,LANÇ_MOV[PLANO DE CONTAS],REL_DRE_FINANCEIRO!$B$135,LANÇ_MOV[ANO PAGAMENTO],$B$4,LANÇ_MOV[MÊS PAGAMENTO CORRESPONDENTE],M$6,LANÇ_MOV[EMPRESA],$C$4,LANÇ_MOV[CENTRO DE CUSTOS],$D$4)</f>
        <v>0</v>
      </c>
      <c r="N154" s="206">
        <f>SUMIFS(LANÇ_MOV[VALOR LÍQUIDO],LANÇ_MOV[RECEITA OU DESPESA],"Despesa",LANÇ_MOV[CONTAS],$C154,LANÇ_MOV[PLANO DE CONTAS],REL_DRE_FINANCEIRO!$B$135,LANÇ_MOV[ANO PAGAMENTO],$B$4,LANÇ_MOV[MÊS PAGAMENTO CORRESPONDENTE],N$6,LANÇ_MOV[EMPRESA],$C$4,LANÇ_MOV[CENTRO DE CUSTOS],$D$4)</f>
        <v>0</v>
      </c>
      <c r="O154" s="206">
        <f>SUMIFS(LANÇ_MOV[VALOR LÍQUIDO],LANÇ_MOV[RECEITA OU DESPESA],"Despesa",LANÇ_MOV[CONTAS],$C154,LANÇ_MOV[PLANO DE CONTAS],REL_DRE_FINANCEIRO!$B$135,LANÇ_MOV[ANO PAGAMENTO],$B$4,LANÇ_MOV[MÊS PAGAMENTO CORRESPONDENTE],O$6,LANÇ_MOV[EMPRESA],$C$4,LANÇ_MOV[CENTRO DE CUSTOS],$D$4)</f>
        <v>0</v>
      </c>
      <c r="P154" s="207">
        <f t="shared" si="30"/>
        <v>0</v>
      </c>
      <c r="Q154" s="333">
        <v>4.0299999999999997E-5</v>
      </c>
      <c r="R154" s="346">
        <f t="shared" si="32"/>
        <v>4.0299999999999997E-5</v>
      </c>
      <c r="S154" s="347" t="str">
        <f t="shared" si="33"/>
        <v>PAGAMENTO DE MÃO DE OBRA</v>
      </c>
      <c r="T154" s="347">
        <f t="shared" si="34"/>
        <v>0</v>
      </c>
      <c r="U154" s="347">
        <f>HLOOKUP(Apoio!$P$12,$D$134:$P$235,X154,FALSE)+Q154</f>
        <v>4.0299999999999997E-5</v>
      </c>
      <c r="V154" s="447" t="str">
        <f t="shared" si="31"/>
        <v>PAGAMENTO DE MÃO DE OBRA</v>
      </c>
      <c r="W154" s="448">
        <f>HLOOKUP(Apoio!$P$12,$D$134:$P$235,X154,FALSE)</f>
        <v>0</v>
      </c>
      <c r="X154" s="329">
        <v>21</v>
      </c>
    </row>
    <row r="155" spans="2:27" ht="30.05" customHeight="1" x14ac:dyDescent="0.35">
      <c r="B155" s="204" t="str">
        <f>'CAD_PL_REC-DESP'!K24</f>
        <v>2.1.20</v>
      </c>
      <c r="C155" s="205" t="str">
        <f>IF('CAD_PL_REC-DESP'!L24="","-",'CAD_PL_REC-DESP'!L24)</f>
        <v>PEÇAS</v>
      </c>
      <c r="D155" s="206">
        <f>SUMIFS(LANÇ_MOV[VALOR LÍQUIDO],LANÇ_MOV[RECEITA OU DESPESA],"Despesa",LANÇ_MOV[CONTAS],$C155,LANÇ_MOV[PLANO DE CONTAS],REL_DRE_FINANCEIRO!$B$135,LANÇ_MOV[ANO PAGAMENTO],$B$4,LANÇ_MOV[MÊS PAGAMENTO CORRESPONDENTE],D$6,LANÇ_MOV[EMPRESA],$C$4,LANÇ_MOV[CENTRO DE CUSTOS],$D$4)</f>
        <v>0</v>
      </c>
      <c r="E155" s="206">
        <f>SUMIFS(LANÇ_MOV[VALOR LÍQUIDO],LANÇ_MOV[RECEITA OU DESPESA],"Despesa",LANÇ_MOV[CONTAS],$C155,LANÇ_MOV[PLANO DE CONTAS],REL_DRE_FINANCEIRO!$B$135,LANÇ_MOV[ANO PAGAMENTO],$B$4,LANÇ_MOV[MÊS PAGAMENTO CORRESPONDENTE],E$6,LANÇ_MOV[EMPRESA],$C$4,LANÇ_MOV[CENTRO DE CUSTOS],$D$4)</f>
        <v>0</v>
      </c>
      <c r="F155" s="206">
        <f>SUMIFS(LANÇ_MOV[VALOR LÍQUIDO],LANÇ_MOV[RECEITA OU DESPESA],"Despesa",LANÇ_MOV[CONTAS],$C155,LANÇ_MOV[PLANO DE CONTAS],REL_DRE_FINANCEIRO!$B$135,LANÇ_MOV[ANO PAGAMENTO],$B$4,LANÇ_MOV[MÊS PAGAMENTO CORRESPONDENTE],F$6,LANÇ_MOV[EMPRESA],$C$4,LANÇ_MOV[CENTRO DE CUSTOS],$D$4)</f>
        <v>0</v>
      </c>
      <c r="G155" s="206">
        <f>SUMIFS(LANÇ_MOV[VALOR LÍQUIDO],LANÇ_MOV[RECEITA OU DESPESA],"Despesa",LANÇ_MOV[CONTAS],$C155,LANÇ_MOV[PLANO DE CONTAS],REL_DRE_FINANCEIRO!$B$135,LANÇ_MOV[ANO PAGAMENTO],$B$4,LANÇ_MOV[MÊS PAGAMENTO CORRESPONDENTE],G$6,LANÇ_MOV[EMPRESA],$C$4,LANÇ_MOV[CENTRO DE CUSTOS],$D$4)</f>
        <v>0</v>
      </c>
      <c r="H155" s="206">
        <f>SUMIFS(LANÇ_MOV[VALOR LÍQUIDO],LANÇ_MOV[RECEITA OU DESPESA],"Despesa",LANÇ_MOV[CONTAS],$C155,LANÇ_MOV[PLANO DE CONTAS],REL_DRE_FINANCEIRO!$B$135,LANÇ_MOV[ANO PAGAMENTO],$B$4,LANÇ_MOV[MÊS PAGAMENTO CORRESPONDENTE],H$6,LANÇ_MOV[EMPRESA],$C$4,LANÇ_MOV[CENTRO DE CUSTOS],$D$4)</f>
        <v>0</v>
      </c>
      <c r="I155" s="206">
        <f>SUMIFS(LANÇ_MOV[VALOR LÍQUIDO],LANÇ_MOV[RECEITA OU DESPESA],"Despesa",LANÇ_MOV[CONTAS],$C155,LANÇ_MOV[PLANO DE CONTAS],REL_DRE_FINANCEIRO!$B$135,LANÇ_MOV[ANO PAGAMENTO],$B$4,LANÇ_MOV[MÊS PAGAMENTO CORRESPONDENTE],I$6,LANÇ_MOV[EMPRESA],$C$4,LANÇ_MOV[CENTRO DE CUSTOS],$D$4)</f>
        <v>0</v>
      </c>
      <c r="J155" s="206">
        <f>SUMIFS(LANÇ_MOV[VALOR LÍQUIDO],LANÇ_MOV[RECEITA OU DESPESA],"Despesa",LANÇ_MOV[CONTAS],$C155,LANÇ_MOV[PLANO DE CONTAS],REL_DRE_FINANCEIRO!$B$135,LANÇ_MOV[ANO PAGAMENTO],$B$4,LANÇ_MOV[MÊS PAGAMENTO CORRESPONDENTE],J$6,LANÇ_MOV[EMPRESA],$C$4,LANÇ_MOV[CENTRO DE CUSTOS],$D$4)</f>
        <v>0</v>
      </c>
      <c r="K155" s="206">
        <f>SUMIFS(LANÇ_MOV[VALOR LÍQUIDO],LANÇ_MOV[RECEITA OU DESPESA],"Despesa",LANÇ_MOV[CONTAS],$C155,LANÇ_MOV[PLANO DE CONTAS],REL_DRE_FINANCEIRO!$B$135,LANÇ_MOV[ANO PAGAMENTO],$B$4,LANÇ_MOV[MÊS PAGAMENTO CORRESPONDENTE],K$6,LANÇ_MOV[EMPRESA],$C$4,LANÇ_MOV[CENTRO DE CUSTOS],$D$4)</f>
        <v>0</v>
      </c>
      <c r="L155" s="206">
        <f>SUMIFS(LANÇ_MOV[VALOR LÍQUIDO],LANÇ_MOV[RECEITA OU DESPESA],"Despesa",LANÇ_MOV[CONTAS],$C155,LANÇ_MOV[PLANO DE CONTAS],REL_DRE_FINANCEIRO!$B$135,LANÇ_MOV[ANO PAGAMENTO],$B$4,LANÇ_MOV[MÊS PAGAMENTO CORRESPONDENTE],L$6,LANÇ_MOV[EMPRESA],$C$4,LANÇ_MOV[CENTRO DE CUSTOS],$D$4)</f>
        <v>0</v>
      </c>
      <c r="M155" s="206">
        <f>SUMIFS(LANÇ_MOV[VALOR LÍQUIDO],LANÇ_MOV[RECEITA OU DESPESA],"Despesa",LANÇ_MOV[CONTAS],$C155,LANÇ_MOV[PLANO DE CONTAS],REL_DRE_FINANCEIRO!$B$135,LANÇ_MOV[ANO PAGAMENTO],$B$4,LANÇ_MOV[MÊS PAGAMENTO CORRESPONDENTE],M$6,LANÇ_MOV[EMPRESA],$C$4,LANÇ_MOV[CENTRO DE CUSTOS],$D$4)</f>
        <v>0</v>
      </c>
      <c r="N155" s="206">
        <f>SUMIFS(LANÇ_MOV[VALOR LÍQUIDO],LANÇ_MOV[RECEITA OU DESPESA],"Despesa",LANÇ_MOV[CONTAS],$C155,LANÇ_MOV[PLANO DE CONTAS],REL_DRE_FINANCEIRO!$B$135,LANÇ_MOV[ANO PAGAMENTO],$B$4,LANÇ_MOV[MÊS PAGAMENTO CORRESPONDENTE],N$6,LANÇ_MOV[EMPRESA],$C$4,LANÇ_MOV[CENTRO DE CUSTOS],$D$4)</f>
        <v>0</v>
      </c>
      <c r="O155" s="206">
        <f>SUMIFS(LANÇ_MOV[VALOR LÍQUIDO],LANÇ_MOV[RECEITA OU DESPESA],"Despesa",LANÇ_MOV[CONTAS],$C155,LANÇ_MOV[PLANO DE CONTAS],REL_DRE_FINANCEIRO!$B$135,LANÇ_MOV[ANO PAGAMENTO],$B$4,LANÇ_MOV[MÊS PAGAMENTO CORRESPONDENTE],O$6,LANÇ_MOV[EMPRESA],$C$4,LANÇ_MOV[CENTRO DE CUSTOS],$D$4)</f>
        <v>0</v>
      </c>
      <c r="P155" s="207">
        <f t="shared" si="30"/>
        <v>0</v>
      </c>
      <c r="Q155" s="333">
        <v>4.0200000000000001E-5</v>
      </c>
      <c r="R155" s="346">
        <f t="shared" si="32"/>
        <v>4.0200000000000001E-5</v>
      </c>
      <c r="S155" s="347" t="str">
        <f t="shared" si="33"/>
        <v>PEÇAS</v>
      </c>
      <c r="T155" s="347">
        <f t="shared" si="34"/>
        <v>0</v>
      </c>
      <c r="U155" s="347">
        <f>HLOOKUP(Apoio!$P$12,$D$134:$P$235,X155,FALSE)+Q155</f>
        <v>4.0200000000000001E-5</v>
      </c>
      <c r="V155" s="447" t="str">
        <f t="shared" si="31"/>
        <v>PEÇAS</v>
      </c>
      <c r="W155" s="448">
        <f>HLOOKUP(Apoio!$P$12,$D$134:$P$235,X155,FALSE)</f>
        <v>0</v>
      </c>
      <c r="X155" s="329">
        <v>22</v>
      </c>
    </row>
    <row r="156" spans="2:27" ht="30.05" customHeight="1" x14ac:dyDescent="0.35">
      <c r="B156" s="204" t="str">
        <f>'CAD_PL_REC-DESP'!K25</f>
        <v>2.1.21</v>
      </c>
      <c r="C156" s="205" t="str">
        <f>IF('CAD_PL_REC-DESP'!L25="","-",'CAD_PL_REC-DESP'!L25)</f>
        <v>REEMBOLSO CLIENTE</v>
      </c>
      <c r="D156" s="206">
        <f>SUMIFS(LANÇ_MOV[VALOR LÍQUIDO],LANÇ_MOV[RECEITA OU DESPESA],"Despesa",LANÇ_MOV[CONTAS],$C156,LANÇ_MOV[PLANO DE CONTAS],REL_DRE_FINANCEIRO!$B$135,LANÇ_MOV[ANO PAGAMENTO],$B$4,LANÇ_MOV[MÊS PAGAMENTO CORRESPONDENTE],D$6,LANÇ_MOV[EMPRESA],$C$4,LANÇ_MOV[CENTRO DE CUSTOS],$D$4)</f>
        <v>0</v>
      </c>
      <c r="E156" s="206">
        <f>SUMIFS(LANÇ_MOV[VALOR LÍQUIDO],LANÇ_MOV[RECEITA OU DESPESA],"Despesa",LANÇ_MOV[CONTAS],$C156,LANÇ_MOV[PLANO DE CONTAS],REL_DRE_FINANCEIRO!$B$135,LANÇ_MOV[ANO PAGAMENTO],$B$4,LANÇ_MOV[MÊS PAGAMENTO CORRESPONDENTE],E$6,LANÇ_MOV[EMPRESA],$C$4,LANÇ_MOV[CENTRO DE CUSTOS],$D$4)</f>
        <v>0</v>
      </c>
      <c r="F156" s="206">
        <f>SUMIFS(LANÇ_MOV[VALOR LÍQUIDO],LANÇ_MOV[RECEITA OU DESPESA],"Despesa",LANÇ_MOV[CONTAS],$C156,LANÇ_MOV[PLANO DE CONTAS],REL_DRE_FINANCEIRO!$B$135,LANÇ_MOV[ANO PAGAMENTO],$B$4,LANÇ_MOV[MÊS PAGAMENTO CORRESPONDENTE],F$6,LANÇ_MOV[EMPRESA],$C$4,LANÇ_MOV[CENTRO DE CUSTOS],$D$4)</f>
        <v>0</v>
      </c>
      <c r="G156" s="206">
        <f>SUMIFS(LANÇ_MOV[VALOR LÍQUIDO],LANÇ_MOV[RECEITA OU DESPESA],"Despesa",LANÇ_MOV[CONTAS],$C156,LANÇ_MOV[PLANO DE CONTAS],REL_DRE_FINANCEIRO!$B$135,LANÇ_MOV[ANO PAGAMENTO],$B$4,LANÇ_MOV[MÊS PAGAMENTO CORRESPONDENTE],G$6,LANÇ_MOV[EMPRESA],$C$4,LANÇ_MOV[CENTRO DE CUSTOS],$D$4)</f>
        <v>0</v>
      </c>
      <c r="H156" s="206">
        <f>SUMIFS(LANÇ_MOV[VALOR LÍQUIDO],LANÇ_MOV[RECEITA OU DESPESA],"Despesa",LANÇ_MOV[CONTAS],$C156,LANÇ_MOV[PLANO DE CONTAS],REL_DRE_FINANCEIRO!$B$135,LANÇ_MOV[ANO PAGAMENTO],$B$4,LANÇ_MOV[MÊS PAGAMENTO CORRESPONDENTE],H$6,LANÇ_MOV[EMPRESA],$C$4,LANÇ_MOV[CENTRO DE CUSTOS],$D$4)</f>
        <v>0</v>
      </c>
      <c r="I156" s="206">
        <f>SUMIFS(LANÇ_MOV[VALOR LÍQUIDO],LANÇ_MOV[RECEITA OU DESPESA],"Despesa",LANÇ_MOV[CONTAS],$C156,LANÇ_MOV[PLANO DE CONTAS],REL_DRE_FINANCEIRO!$B$135,LANÇ_MOV[ANO PAGAMENTO],$B$4,LANÇ_MOV[MÊS PAGAMENTO CORRESPONDENTE],I$6,LANÇ_MOV[EMPRESA],$C$4,LANÇ_MOV[CENTRO DE CUSTOS],$D$4)</f>
        <v>0</v>
      </c>
      <c r="J156" s="206">
        <f>SUMIFS(LANÇ_MOV[VALOR LÍQUIDO],LANÇ_MOV[RECEITA OU DESPESA],"Despesa",LANÇ_MOV[CONTAS],$C156,LANÇ_MOV[PLANO DE CONTAS],REL_DRE_FINANCEIRO!$B$135,LANÇ_MOV[ANO PAGAMENTO],$B$4,LANÇ_MOV[MÊS PAGAMENTO CORRESPONDENTE],J$6,LANÇ_MOV[EMPRESA],$C$4,LANÇ_MOV[CENTRO DE CUSTOS],$D$4)</f>
        <v>0</v>
      </c>
      <c r="K156" s="206">
        <f>SUMIFS(LANÇ_MOV[VALOR LÍQUIDO],LANÇ_MOV[RECEITA OU DESPESA],"Despesa",LANÇ_MOV[CONTAS],$C156,LANÇ_MOV[PLANO DE CONTAS],REL_DRE_FINANCEIRO!$B$135,LANÇ_MOV[ANO PAGAMENTO],$B$4,LANÇ_MOV[MÊS PAGAMENTO CORRESPONDENTE],K$6,LANÇ_MOV[EMPRESA],$C$4,LANÇ_MOV[CENTRO DE CUSTOS],$D$4)</f>
        <v>0</v>
      </c>
      <c r="L156" s="206">
        <f>SUMIFS(LANÇ_MOV[VALOR LÍQUIDO],LANÇ_MOV[RECEITA OU DESPESA],"Despesa",LANÇ_MOV[CONTAS],$C156,LANÇ_MOV[PLANO DE CONTAS],REL_DRE_FINANCEIRO!$B$135,LANÇ_MOV[ANO PAGAMENTO],$B$4,LANÇ_MOV[MÊS PAGAMENTO CORRESPONDENTE],L$6,LANÇ_MOV[EMPRESA],$C$4,LANÇ_MOV[CENTRO DE CUSTOS],$D$4)</f>
        <v>0</v>
      </c>
      <c r="M156" s="206">
        <f>SUMIFS(LANÇ_MOV[VALOR LÍQUIDO],LANÇ_MOV[RECEITA OU DESPESA],"Despesa",LANÇ_MOV[CONTAS],$C156,LANÇ_MOV[PLANO DE CONTAS],REL_DRE_FINANCEIRO!$B$135,LANÇ_MOV[ANO PAGAMENTO],$B$4,LANÇ_MOV[MÊS PAGAMENTO CORRESPONDENTE],M$6,LANÇ_MOV[EMPRESA],$C$4,LANÇ_MOV[CENTRO DE CUSTOS],$D$4)</f>
        <v>0</v>
      </c>
      <c r="N156" s="206">
        <f>SUMIFS(LANÇ_MOV[VALOR LÍQUIDO],LANÇ_MOV[RECEITA OU DESPESA],"Despesa",LANÇ_MOV[CONTAS],$C156,LANÇ_MOV[PLANO DE CONTAS],REL_DRE_FINANCEIRO!$B$135,LANÇ_MOV[ANO PAGAMENTO],$B$4,LANÇ_MOV[MÊS PAGAMENTO CORRESPONDENTE],N$6,LANÇ_MOV[EMPRESA],$C$4,LANÇ_MOV[CENTRO DE CUSTOS],$D$4)</f>
        <v>0</v>
      </c>
      <c r="O156" s="206">
        <f>SUMIFS(LANÇ_MOV[VALOR LÍQUIDO],LANÇ_MOV[RECEITA OU DESPESA],"Despesa",LANÇ_MOV[CONTAS],$C156,LANÇ_MOV[PLANO DE CONTAS],REL_DRE_FINANCEIRO!$B$135,LANÇ_MOV[ANO PAGAMENTO],$B$4,LANÇ_MOV[MÊS PAGAMENTO CORRESPONDENTE],O$6,LANÇ_MOV[EMPRESA],$C$4,LANÇ_MOV[CENTRO DE CUSTOS],$D$4)</f>
        <v>0</v>
      </c>
      <c r="P156" s="207">
        <f t="shared" si="30"/>
        <v>0</v>
      </c>
      <c r="Q156" s="333">
        <v>4.0099999999999999E-5</v>
      </c>
      <c r="R156" s="346">
        <f t="shared" si="32"/>
        <v>4.0099999999999999E-5</v>
      </c>
      <c r="S156" s="347" t="str">
        <f t="shared" si="33"/>
        <v>REEMBOLSO CLIENTE</v>
      </c>
      <c r="T156" s="347">
        <f t="shared" si="34"/>
        <v>0</v>
      </c>
      <c r="U156" s="347">
        <f>HLOOKUP(Apoio!$P$12,$D$134:$P$235,X156,FALSE)+Q156</f>
        <v>4.0099999999999999E-5</v>
      </c>
      <c r="V156" s="447" t="str">
        <f t="shared" si="31"/>
        <v>REEMBOLSO CLIENTE</v>
      </c>
      <c r="W156" s="448">
        <f>HLOOKUP(Apoio!$P$12,$D$134:$P$235,X156,FALSE)</f>
        <v>0</v>
      </c>
      <c r="X156" s="329">
        <v>23</v>
      </c>
    </row>
    <row r="157" spans="2:27" ht="30.05" customHeight="1" x14ac:dyDescent="0.35">
      <c r="B157" s="204" t="str">
        <f>'CAD_PL_REC-DESP'!K26</f>
        <v>2.1.22</v>
      </c>
      <c r="C157" s="205" t="str">
        <f>IF('CAD_PL_REC-DESP'!L26="","-",'CAD_PL_REC-DESP'!L26)</f>
        <v>REEMBOLSO FUNCIONÁRIO</v>
      </c>
      <c r="D157" s="206">
        <f>SUMIFS(LANÇ_MOV[VALOR LÍQUIDO],LANÇ_MOV[RECEITA OU DESPESA],"Despesa",LANÇ_MOV[CONTAS],$C157,LANÇ_MOV[PLANO DE CONTAS],REL_DRE_FINANCEIRO!$B$135,LANÇ_MOV[ANO PAGAMENTO],$B$4,LANÇ_MOV[MÊS PAGAMENTO CORRESPONDENTE],D$6,LANÇ_MOV[EMPRESA],$C$4,LANÇ_MOV[CENTRO DE CUSTOS],$D$4)</f>
        <v>0</v>
      </c>
      <c r="E157" s="206">
        <f>SUMIFS(LANÇ_MOV[VALOR LÍQUIDO],LANÇ_MOV[RECEITA OU DESPESA],"Despesa",LANÇ_MOV[CONTAS],$C157,LANÇ_MOV[PLANO DE CONTAS],REL_DRE_FINANCEIRO!$B$135,LANÇ_MOV[ANO PAGAMENTO],$B$4,LANÇ_MOV[MÊS PAGAMENTO CORRESPONDENTE],E$6,LANÇ_MOV[EMPRESA],$C$4,LANÇ_MOV[CENTRO DE CUSTOS],$D$4)</f>
        <v>0</v>
      </c>
      <c r="F157" s="206">
        <f>SUMIFS(LANÇ_MOV[VALOR LÍQUIDO],LANÇ_MOV[RECEITA OU DESPESA],"Despesa",LANÇ_MOV[CONTAS],$C157,LANÇ_MOV[PLANO DE CONTAS],REL_DRE_FINANCEIRO!$B$135,LANÇ_MOV[ANO PAGAMENTO],$B$4,LANÇ_MOV[MÊS PAGAMENTO CORRESPONDENTE],F$6,LANÇ_MOV[EMPRESA],$C$4,LANÇ_MOV[CENTRO DE CUSTOS],$D$4)</f>
        <v>0</v>
      </c>
      <c r="G157" s="206">
        <f>SUMIFS(LANÇ_MOV[VALOR LÍQUIDO],LANÇ_MOV[RECEITA OU DESPESA],"Despesa",LANÇ_MOV[CONTAS],$C157,LANÇ_MOV[PLANO DE CONTAS],REL_DRE_FINANCEIRO!$B$135,LANÇ_MOV[ANO PAGAMENTO],$B$4,LANÇ_MOV[MÊS PAGAMENTO CORRESPONDENTE],G$6,LANÇ_MOV[EMPRESA],$C$4,LANÇ_MOV[CENTRO DE CUSTOS],$D$4)</f>
        <v>0</v>
      </c>
      <c r="H157" s="206">
        <f>SUMIFS(LANÇ_MOV[VALOR LÍQUIDO],LANÇ_MOV[RECEITA OU DESPESA],"Despesa",LANÇ_MOV[CONTAS],$C157,LANÇ_MOV[PLANO DE CONTAS],REL_DRE_FINANCEIRO!$B$135,LANÇ_MOV[ANO PAGAMENTO],$B$4,LANÇ_MOV[MÊS PAGAMENTO CORRESPONDENTE],H$6,LANÇ_MOV[EMPRESA],$C$4,LANÇ_MOV[CENTRO DE CUSTOS],$D$4)</f>
        <v>0</v>
      </c>
      <c r="I157" s="206">
        <f>SUMIFS(LANÇ_MOV[VALOR LÍQUIDO],LANÇ_MOV[RECEITA OU DESPESA],"Despesa",LANÇ_MOV[CONTAS],$C157,LANÇ_MOV[PLANO DE CONTAS],REL_DRE_FINANCEIRO!$B$135,LANÇ_MOV[ANO PAGAMENTO],$B$4,LANÇ_MOV[MÊS PAGAMENTO CORRESPONDENTE],I$6,LANÇ_MOV[EMPRESA],$C$4,LANÇ_MOV[CENTRO DE CUSTOS],$D$4)</f>
        <v>0</v>
      </c>
      <c r="J157" s="206">
        <f>SUMIFS(LANÇ_MOV[VALOR LÍQUIDO],LANÇ_MOV[RECEITA OU DESPESA],"Despesa",LANÇ_MOV[CONTAS],$C157,LANÇ_MOV[PLANO DE CONTAS],REL_DRE_FINANCEIRO!$B$135,LANÇ_MOV[ANO PAGAMENTO],$B$4,LANÇ_MOV[MÊS PAGAMENTO CORRESPONDENTE],J$6,LANÇ_MOV[EMPRESA],$C$4,LANÇ_MOV[CENTRO DE CUSTOS],$D$4)</f>
        <v>0</v>
      </c>
      <c r="K157" s="206">
        <f>SUMIFS(LANÇ_MOV[VALOR LÍQUIDO],LANÇ_MOV[RECEITA OU DESPESA],"Despesa",LANÇ_MOV[CONTAS],$C157,LANÇ_MOV[PLANO DE CONTAS],REL_DRE_FINANCEIRO!$B$135,LANÇ_MOV[ANO PAGAMENTO],$B$4,LANÇ_MOV[MÊS PAGAMENTO CORRESPONDENTE],K$6,LANÇ_MOV[EMPRESA],$C$4,LANÇ_MOV[CENTRO DE CUSTOS],$D$4)</f>
        <v>0</v>
      </c>
      <c r="L157" s="206">
        <f>SUMIFS(LANÇ_MOV[VALOR LÍQUIDO],LANÇ_MOV[RECEITA OU DESPESA],"Despesa",LANÇ_MOV[CONTAS],$C157,LANÇ_MOV[PLANO DE CONTAS],REL_DRE_FINANCEIRO!$B$135,LANÇ_MOV[ANO PAGAMENTO],$B$4,LANÇ_MOV[MÊS PAGAMENTO CORRESPONDENTE],L$6,LANÇ_MOV[EMPRESA],$C$4,LANÇ_MOV[CENTRO DE CUSTOS],$D$4)</f>
        <v>0</v>
      </c>
      <c r="M157" s="206">
        <f>SUMIFS(LANÇ_MOV[VALOR LÍQUIDO],LANÇ_MOV[RECEITA OU DESPESA],"Despesa",LANÇ_MOV[CONTAS],$C157,LANÇ_MOV[PLANO DE CONTAS],REL_DRE_FINANCEIRO!$B$135,LANÇ_MOV[ANO PAGAMENTO],$B$4,LANÇ_MOV[MÊS PAGAMENTO CORRESPONDENTE],M$6,LANÇ_MOV[EMPRESA],$C$4,LANÇ_MOV[CENTRO DE CUSTOS],$D$4)</f>
        <v>0</v>
      </c>
      <c r="N157" s="206">
        <f>SUMIFS(LANÇ_MOV[VALOR LÍQUIDO],LANÇ_MOV[RECEITA OU DESPESA],"Despesa",LANÇ_MOV[CONTAS],$C157,LANÇ_MOV[PLANO DE CONTAS],REL_DRE_FINANCEIRO!$B$135,LANÇ_MOV[ANO PAGAMENTO],$B$4,LANÇ_MOV[MÊS PAGAMENTO CORRESPONDENTE],N$6,LANÇ_MOV[EMPRESA],$C$4,LANÇ_MOV[CENTRO DE CUSTOS],$D$4)</f>
        <v>0</v>
      </c>
      <c r="O157" s="206">
        <f>SUMIFS(LANÇ_MOV[VALOR LÍQUIDO],LANÇ_MOV[RECEITA OU DESPESA],"Despesa",LANÇ_MOV[CONTAS],$C157,LANÇ_MOV[PLANO DE CONTAS],REL_DRE_FINANCEIRO!$B$135,LANÇ_MOV[ANO PAGAMENTO],$B$4,LANÇ_MOV[MÊS PAGAMENTO CORRESPONDENTE],O$6,LANÇ_MOV[EMPRESA],$C$4,LANÇ_MOV[CENTRO DE CUSTOS],$D$4)</f>
        <v>0</v>
      </c>
      <c r="P157" s="207">
        <f t="shared" si="30"/>
        <v>0</v>
      </c>
      <c r="Q157" s="333">
        <v>4.0000000000000003E-5</v>
      </c>
      <c r="R157" s="346">
        <f t="shared" si="32"/>
        <v>4.0000000000000003E-5</v>
      </c>
      <c r="S157" s="347" t="str">
        <f t="shared" si="33"/>
        <v>REEMBOLSO FUNCIONÁRIO</v>
      </c>
      <c r="T157" s="347">
        <f t="shared" si="34"/>
        <v>0</v>
      </c>
      <c r="U157" s="347">
        <f>HLOOKUP(Apoio!$P$12,$D$134:$P$235,X157,FALSE)+Q157</f>
        <v>4.0000000000000003E-5</v>
      </c>
      <c r="V157" s="447" t="str">
        <f t="shared" si="31"/>
        <v>REEMBOLSO FUNCIONÁRIO</v>
      </c>
      <c r="W157" s="448">
        <f>HLOOKUP(Apoio!$P$12,$D$134:$P$235,X157,FALSE)</f>
        <v>0</v>
      </c>
      <c r="X157" s="329">
        <v>24</v>
      </c>
    </row>
    <row r="158" spans="2:27" ht="30.05" customHeight="1" x14ac:dyDescent="0.35">
      <c r="B158" s="204" t="str">
        <f>'CAD_PL_REC-DESP'!K27</f>
        <v>2.1.23</v>
      </c>
      <c r="C158" s="205" t="str">
        <f>IF('CAD_PL_REC-DESP'!L27="","-",'CAD_PL_REC-DESP'!L27)</f>
        <v>REEMBOLSO SÓCIO</v>
      </c>
      <c r="D158" s="206">
        <f>SUMIFS(LANÇ_MOV[VALOR LÍQUIDO],LANÇ_MOV[RECEITA OU DESPESA],"Despesa",LANÇ_MOV[CONTAS],$C158,LANÇ_MOV[PLANO DE CONTAS],REL_DRE_FINANCEIRO!$B$135,LANÇ_MOV[ANO PAGAMENTO],$B$4,LANÇ_MOV[MÊS PAGAMENTO CORRESPONDENTE],D$6,LANÇ_MOV[EMPRESA],$C$4,LANÇ_MOV[CENTRO DE CUSTOS],$D$4)</f>
        <v>0</v>
      </c>
      <c r="E158" s="206">
        <f>SUMIFS(LANÇ_MOV[VALOR LÍQUIDO],LANÇ_MOV[RECEITA OU DESPESA],"Despesa",LANÇ_MOV[CONTAS],$C158,LANÇ_MOV[PLANO DE CONTAS],REL_DRE_FINANCEIRO!$B$135,LANÇ_MOV[ANO PAGAMENTO],$B$4,LANÇ_MOV[MÊS PAGAMENTO CORRESPONDENTE],E$6,LANÇ_MOV[EMPRESA],$C$4,LANÇ_MOV[CENTRO DE CUSTOS],$D$4)</f>
        <v>0</v>
      </c>
      <c r="F158" s="206">
        <f>SUMIFS(LANÇ_MOV[VALOR LÍQUIDO],LANÇ_MOV[RECEITA OU DESPESA],"Despesa",LANÇ_MOV[CONTAS],$C158,LANÇ_MOV[PLANO DE CONTAS],REL_DRE_FINANCEIRO!$B$135,LANÇ_MOV[ANO PAGAMENTO],$B$4,LANÇ_MOV[MÊS PAGAMENTO CORRESPONDENTE],F$6,LANÇ_MOV[EMPRESA],$C$4,LANÇ_MOV[CENTRO DE CUSTOS],$D$4)</f>
        <v>0</v>
      </c>
      <c r="G158" s="206">
        <f>SUMIFS(LANÇ_MOV[VALOR LÍQUIDO],LANÇ_MOV[RECEITA OU DESPESA],"Despesa",LANÇ_MOV[CONTAS],$C158,LANÇ_MOV[PLANO DE CONTAS],REL_DRE_FINANCEIRO!$B$135,LANÇ_MOV[ANO PAGAMENTO],$B$4,LANÇ_MOV[MÊS PAGAMENTO CORRESPONDENTE],G$6,LANÇ_MOV[EMPRESA],$C$4,LANÇ_MOV[CENTRO DE CUSTOS],$D$4)</f>
        <v>0</v>
      </c>
      <c r="H158" s="206">
        <f>SUMIFS(LANÇ_MOV[VALOR LÍQUIDO],LANÇ_MOV[RECEITA OU DESPESA],"Despesa",LANÇ_MOV[CONTAS],$C158,LANÇ_MOV[PLANO DE CONTAS],REL_DRE_FINANCEIRO!$B$135,LANÇ_MOV[ANO PAGAMENTO],$B$4,LANÇ_MOV[MÊS PAGAMENTO CORRESPONDENTE],H$6,LANÇ_MOV[EMPRESA],$C$4,LANÇ_MOV[CENTRO DE CUSTOS],$D$4)</f>
        <v>0</v>
      </c>
      <c r="I158" s="206">
        <f>SUMIFS(LANÇ_MOV[VALOR LÍQUIDO],LANÇ_MOV[RECEITA OU DESPESA],"Despesa",LANÇ_MOV[CONTAS],$C158,LANÇ_MOV[PLANO DE CONTAS],REL_DRE_FINANCEIRO!$B$135,LANÇ_MOV[ANO PAGAMENTO],$B$4,LANÇ_MOV[MÊS PAGAMENTO CORRESPONDENTE],I$6,LANÇ_MOV[EMPRESA],$C$4,LANÇ_MOV[CENTRO DE CUSTOS],$D$4)</f>
        <v>0</v>
      </c>
      <c r="J158" s="206">
        <f>SUMIFS(LANÇ_MOV[VALOR LÍQUIDO],LANÇ_MOV[RECEITA OU DESPESA],"Despesa",LANÇ_MOV[CONTAS],$C158,LANÇ_MOV[PLANO DE CONTAS],REL_DRE_FINANCEIRO!$B$135,LANÇ_MOV[ANO PAGAMENTO],$B$4,LANÇ_MOV[MÊS PAGAMENTO CORRESPONDENTE],J$6,LANÇ_MOV[EMPRESA],$C$4,LANÇ_MOV[CENTRO DE CUSTOS],$D$4)</f>
        <v>0</v>
      </c>
      <c r="K158" s="206">
        <f>SUMIFS(LANÇ_MOV[VALOR LÍQUIDO],LANÇ_MOV[RECEITA OU DESPESA],"Despesa",LANÇ_MOV[CONTAS],$C158,LANÇ_MOV[PLANO DE CONTAS],REL_DRE_FINANCEIRO!$B$135,LANÇ_MOV[ANO PAGAMENTO],$B$4,LANÇ_MOV[MÊS PAGAMENTO CORRESPONDENTE],K$6,LANÇ_MOV[EMPRESA],$C$4,LANÇ_MOV[CENTRO DE CUSTOS],$D$4)</f>
        <v>0</v>
      </c>
      <c r="L158" s="206">
        <f>SUMIFS(LANÇ_MOV[VALOR LÍQUIDO],LANÇ_MOV[RECEITA OU DESPESA],"Despesa",LANÇ_MOV[CONTAS],$C158,LANÇ_MOV[PLANO DE CONTAS],REL_DRE_FINANCEIRO!$B$135,LANÇ_MOV[ANO PAGAMENTO],$B$4,LANÇ_MOV[MÊS PAGAMENTO CORRESPONDENTE],L$6,LANÇ_MOV[EMPRESA],$C$4,LANÇ_MOV[CENTRO DE CUSTOS],$D$4)</f>
        <v>0</v>
      </c>
      <c r="M158" s="206">
        <f>SUMIFS(LANÇ_MOV[VALOR LÍQUIDO],LANÇ_MOV[RECEITA OU DESPESA],"Despesa",LANÇ_MOV[CONTAS],$C158,LANÇ_MOV[PLANO DE CONTAS],REL_DRE_FINANCEIRO!$B$135,LANÇ_MOV[ANO PAGAMENTO],$B$4,LANÇ_MOV[MÊS PAGAMENTO CORRESPONDENTE],M$6,LANÇ_MOV[EMPRESA],$C$4,LANÇ_MOV[CENTRO DE CUSTOS],$D$4)</f>
        <v>0</v>
      </c>
      <c r="N158" s="206">
        <f>SUMIFS(LANÇ_MOV[VALOR LÍQUIDO],LANÇ_MOV[RECEITA OU DESPESA],"Despesa",LANÇ_MOV[CONTAS],$C158,LANÇ_MOV[PLANO DE CONTAS],REL_DRE_FINANCEIRO!$B$135,LANÇ_MOV[ANO PAGAMENTO],$B$4,LANÇ_MOV[MÊS PAGAMENTO CORRESPONDENTE],N$6,LANÇ_MOV[EMPRESA],$C$4,LANÇ_MOV[CENTRO DE CUSTOS],$D$4)</f>
        <v>0</v>
      </c>
      <c r="O158" s="206">
        <f>SUMIFS(LANÇ_MOV[VALOR LÍQUIDO],LANÇ_MOV[RECEITA OU DESPESA],"Despesa",LANÇ_MOV[CONTAS],$C158,LANÇ_MOV[PLANO DE CONTAS],REL_DRE_FINANCEIRO!$B$135,LANÇ_MOV[ANO PAGAMENTO],$B$4,LANÇ_MOV[MÊS PAGAMENTO CORRESPONDENTE],O$6,LANÇ_MOV[EMPRESA],$C$4,LANÇ_MOV[CENTRO DE CUSTOS],$D$4)</f>
        <v>0</v>
      </c>
      <c r="P158" s="207">
        <f t="shared" si="30"/>
        <v>0</v>
      </c>
      <c r="Q158" s="333">
        <v>3.9900000000000001E-5</v>
      </c>
      <c r="R158" s="346">
        <f t="shared" si="32"/>
        <v>3.9900000000000001E-5</v>
      </c>
      <c r="S158" s="347" t="str">
        <f t="shared" si="33"/>
        <v>REEMBOLSO SÓCIO</v>
      </c>
      <c r="T158" s="347">
        <f t="shared" si="34"/>
        <v>0</v>
      </c>
      <c r="U158" s="347">
        <f>HLOOKUP(Apoio!$P$12,$D$134:$P$235,X158,FALSE)+Q158</f>
        <v>3.9900000000000001E-5</v>
      </c>
      <c r="V158" s="447" t="str">
        <f t="shared" si="31"/>
        <v>REEMBOLSO SÓCIO</v>
      </c>
      <c r="W158" s="448">
        <f>HLOOKUP(Apoio!$P$12,$D$134:$P$235,X158,FALSE)</f>
        <v>0</v>
      </c>
      <c r="X158" s="329">
        <v>25</v>
      </c>
    </row>
    <row r="159" spans="2:27" ht="30.05" customHeight="1" x14ac:dyDescent="0.35">
      <c r="B159" s="204" t="str">
        <f>'CAD_PL_REC-DESP'!K28</f>
        <v>2.1.24</v>
      </c>
      <c r="C159" s="205" t="str">
        <f>IF('CAD_PL_REC-DESP'!L28="","-",'CAD_PL_REC-DESP'!L28)</f>
        <v>SEM PARAR - PEDÁGIO</v>
      </c>
      <c r="D159" s="206">
        <f>SUMIFS(LANÇ_MOV[VALOR LÍQUIDO],LANÇ_MOV[RECEITA OU DESPESA],"Despesa",LANÇ_MOV[CONTAS],$C159,LANÇ_MOV[PLANO DE CONTAS],REL_DRE_FINANCEIRO!$B$135,LANÇ_MOV[ANO PAGAMENTO],$B$4,LANÇ_MOV[MÊS PAGAMENTO CORRESPONDENTE],D$6,LANÇ_MOV[EMPRESA],$C$4,LANÇ_MOV[CENTRO DE CUSTOS],$D$4)</f>
        <v>0</v>
      </c>
      <c r="E159" s="206">
        <f>SUMIFS(LANÇ_MOV[VALOR LÍQUIDO],LANÇ_MOV[RECEITA OU DESPESA],"Despesa",LANÇ_MOV[CONTAS],$C159,LANÇ_MOV[PLANO DE CONTAS],REL_DRE_FINANCEIRO!$B$135,LANÇ_MOV[ANO PAGAMENTO],$B$4,LANÇ_MOV[MÊS PAGAMENTO CORRESPONDENTE],E$6,LANÇ_MOV[EMPRESA],$C$4,LANÇ_MOV[CENTRO DE CUSTOS],$D$4)</f>
        <v>0</v>
      </c>
      <c r="F159" s="206">
        <f>SUMIFS(LANÇ_MOV[VALOR LÍQUIDO],LANÇ_MOV[RECEITA OU DESPESA],"Despesa",LANÇ_MOV[CONTAS],$C159,LANÇ_MOV[PLANO DE CONTAS],REL_DRE_FINANCEIRO!$B$135,LANÇ_MOV[ANO PAGAMENTO],$B$4,LANÇ_MOV[MÊS PAGAMENTO CORRESPONDENTE],F$6,LANÇ_MOV[EMPRESA],$C$4,LANÇ_MOV[CENTRO DE CUSTOS],$D$4)</f>
        <v>0</v>
      </c>
      <c r="G159" s="206">
        <f>SUMIFS(LANÇ_MOV[VALOR LÍQUIDO],LANÇ_MOV[RECEITA OU DESPESA],"Despesa",LANÇ_MOV[CONTAS],$C159,LANÇ_MOV[PLANO DE CONTAS],REL_DRE_FINANCEIRO!$B$135,LANÇ_MOV[ANO PAGAMENTO],$B$4,LANÇ_MOV[MÊS PAGAMENTO CORRESPONDENTE],G$6,LANÇ_MOV[EMPRESA],$C$4,LANÇ_MOV[CENTRO DE CUSTOS],$D$4)</f>
        <v>0</v>
      </c>
      <c r="H159" s="206">
        <f>SUMIFS(LANÇ_MOV[VALOR LÍQUIDO],LANÇ_MOV[RECEITA OU DESPESA],"Despesa",LANÇ_MOV[CONTAS],$C159,LANÇ_MOV[PLANO DE CONTAS],REL_DRE_FINANCEIRO!$B$135,LANÇ_MOV[ANO PAGAMENTO],$B$4,LANÇ_MOV[MÊS PAGAMENTO CORRESPONDENTE],H$6,LANÇ_MOV[EMPRESA],$C$4,LANÇ_MOV[CENTRO DE CUSTOS],$D$4)</f>
        <v>0</v>
      </c>
      <c r="I159" s="206">
        <f>SUMIFS(LANÇ_MOV[VALOR LÍQUIDO],LANÇ_MOV[RECEITA OU DESPESA],"Despesa",LANÇ_MOV[CONTAS],$C159,LANÇ_MOV[PLANO DE CONTAS],REL_DRE_FINANCEIRO!$B$135,LANÇ_MOV[ANO PAGAMENTO],$B$4,LANÇ_MOV[MÊS PAGAMENTO CORRESPONDENTE],I$6,LANÇ_MOV[EMPRESA],$C$4,LANÇ_MOV[CENTRO DE CUSTOS],$D$4)</f>
        <v>0</v>
      </c>
      <c r="J159" s="206">
        <f>SUMIFS(LANÇ_MOV[VALOR LÍQUIDO],LANÇ_MOV[RECEITA OU DESPESA],"Despesa",LANÇ_MOV[CONTAS],$C159,LANÇ_MOV[PLANO DE CONTAS],REL_DRE_FINANCEIRO!$B$135,LANÇ_MOV[ANO PAGAMENTO],$B$4,LANÇ_MOV[MÊS PAGAMENTO CORRESPONDENTE],J$6,LANÇ_MOV[EMPRESA],$C$4,LANÇ_MOV[CENTRO DE CUSTOS],$D$4)</f>
        <v>0</v>
      </c>
      <c r="K159" s="206">
        <f>SUMIFS(LANÇ_MOV[VALOR LÍQUIDO],LANÇ_MOV[RECEITA OU DESPESA],"Despesa",LANÇ_MOV[CONTAS],$C159,LANÇ_MOV[PLANO DE CONTAS],REL_DRE_FINANCEIRO!$B$135,LANÇ_MOV[ANO PAGAMENTO],$B$4,LANÇ_MOV[MÊS PAGAMENTO CORRESPONDENTE],K$6,LANÇ_MOV[EMPRESA],$C$4,LANÇ_MOV[CENTRO DE CUSTOS],$D$4)</f>
        <v>0</v>
      </c>
      <c r="L159" s="206">
        <f>SUMIFS(LANÇ_MOV[VALOR LÍQUIDO],LANÇ_MOV[RECEITA OU DESPESA],"Despesa",LANÇ_MOV[CONTAS],$C159,LANÇ_MOV[PLANO DE CONTAS],REL_DRE_FINANCEIRO!$B$135,LANÇ_MOV[ANO PAGAMENTO],$B$4,LANÇ_MOV[MÊS PAGAMENTO CORRESPONDENTE],L$6,LANÇ_MOV[EMPRESA],$C$4,LANÇ_MOV[CENTRO DE CUSTOS],$D$4)</f>
        <v>0</v>
      </c>
      <c r="M159" s="206">
        <f>SUMIFS(LANÇ_MOV[VALOR LÍQUIDO],LANÇ_MOV[RECEITA OU DESPESA],"Despesa",LANÇ_MOV[CONTAS],$C159,LANÇ_MOV[PLANO DE CONTAS],REL_DRE_FINANCEIRO!$B$135,LANÇ_MOV[ANO PAGAMENTO],$B$4,LANÇ_MOV[MÊS PAGAMENTO CORRESPONDENTE],M$6,LANÇ_MOV[EMPRESA],$C$4,LANÇ_MOV[CENTRO DE CUSTOS],$D$4)</f>
        <v>0</v>
      </c>
      <c r="N159" s="206">
        <f>SUMIFS(LANÇ_MOV[VALOR LÍQUIDO],LANÇ_MOV[RECEITA OU DESPESA],"Despesa",LANÇ_MOV[CONTAS],$C159,LANÇ_MOV[PLANO DE CONTAS],REL_DRE_FINANCEIRO!$B$135,LANÇ_MOV[ANO PAGAMENTO],$B$4,LANÇ_MOV[MÊS PAGAMENTO CORRESPONDENTE],N$6,LANÇ_MOV[EMPRESA],$C$4,LANÇ_MOV[CENTRO DE CUSTOS],$D$4)</f>
        <v>0</v>
      </c>
      <c r="O159" s="206">
        <f>SUMIFS(LANÇ_MOV[VALOR LÍQUIDO],LANÇ_MOV[RECEITA OU DESPESA],"Despesa",LANÇ_MOV[CONTAS],$C159,LANÇ_MOV[PLANO DE CONTAS],REL_DRE_FINANCEIRO!$B$135,LANÇ_MOV[ANO PAGAMENTO],$B$4,LANÇ_MOV[MÊS PAGAMENTO CORRESPONDENTE],O$6,LANÇ_MOV[EMPRESA],$C$4,LANÇ_MOV[CENTRO DE CUSTOS],$D$4)</f>
        <v>0</v>
      </c>
      <c r="P159" s="207">
        <f t="shared" si="30"/>
        <v>0</v>
      </c>
      <c r="Q159" s="333">
        <v>3.9799999999999998E-5</v>
      </c>
      <c r="R159" s="346">
        <f t="shared" si="32"/>
        <v>3.9799999999999998E-5</v>
      </c>
      <c r="S159" s="347" t="str">
        <f t="shared" si="33"/>
        <v>SEM PARAR - PEDÁGIO</v>
      </c>
      <c r="T159" s="347">
        <f t="shared" si="34"/>
        <v>0</v>
      </c>
      <c r="U159" s="347">
        <f>HLOOKUP(Apoio!$P$12,$D$134:$P$235,X159,FALSE)+Q159</f>
        <v>3.9799999999999998E-5</v>
      </c>
      <c r="V159" s="447" t="str">
        <f t="shared" si="31"/>
        <v>SEM PARAR - PEDÁGIO</v>
      </c>
      <c r="W159" s="448">
        <f>HLOOKUP(Apoio!$P$12,$D$134:$P$235,X159,FALSE)</f>
        <v>0</v>
      </c>
      <c r="X159" s="329">
        <v>26</v>
      </c>
    </row>
    <row r="160" spans="2:27" ht="30.05" customHeight="1" x14ac:dyDescent="0.35">
      <c r="B160" s="204" t="str">
        <f>'CAD_PL_REC-DESP'!K29</f>
        <v>2.1.25</v>
      </c>
      <c r="C160" s="205" t="str">
        <f>IF('CAD_PL_REC-DESP'!L29="","-",'CAD_PL_REC-DESP'!L29)</f>
        <v>SERVIÇO DE TORNEIRO</v>
      </c>
      <c r="D160" s="206">
        <f>SUMIFS(LANÇ_MOV[VALOR LÍQUIDO],LANÇ_MOV[RECEITA OU DESPESA],"Despesa",LANÇ_MOV[CONTAS],$C160,LANÇ_MOV[PLANO DE CONTAS],REL_DRE_FINANCEIRO!$B$135,LANÇ_MOV[ANO PAGAMENTO],$B$4,LANÇ_MOV[MÊS PAGAMENTO CORRESPONDENTE],D$6,LANÇ_MOV[EMPRESA],$C$4,LANÇ_MOV[CENTRO DE CUSTOS],$D$4)</f>
        <v>0</v>
      </c>
      <c r="E160" s="206">
        <f>SUMIFS(LANÇ_MOV[VALOR LÍQUIDO],LANÇ_MOV[RECEITA OU DESPESA],"Despesa",LANÇ_MOV[CONTAS],$C160,LANÇ_MOV[PLANO DE CONTAS],REL_DRE_FINANCEIRO!$B$135,LANÇ_MOV[ANO PAGAMENTO],$B$4,LANÇ_MOV[MÊS PAGAMENTO CORRESPONDENTE],E$6,LANÇ_MOV[EMPRESA],$C$4,LANÇ_MOV[CENTRO DE CUSTOS],$D$4)</f>
        <v>0</v>
      </c>
      <c r="F160" s="206">
        <f>SUMIFS(LANÇ_MOV[VALOR LÍQUIDO],LANÇ_MOV[RECEITA OU DESPESA],"Despesa",LANÇ_MOV[CONTAS],$C160,LANÇ_MOV[PLANO DE CONTAS],REL_DRE_FINANCEIRO!$B$135,LANÇ_MOV[ANO PAGAMENTO],$B$4,LANÇ_MOV[MÊS PAGAMENTO CORRESPONDENTE],F$6,LANÇ_MOV[EMPRESA],$C$4,LANÇ_MOV[CENTRO DE CUSTOS],$D$4)</f>
        <v>0</v>
      </c>
      <c r="G160" s="206">
        <f>SUMIFS(LANÇ_MOV[VALOR LÍQUIDO],LANÇ_MOV[RECEITA OU DESPESA],"Despesa",LANÇ_MOV[CONTAS],$C160,LANÇ_MOV[PLANO DE CONTAS],REL_DRE_FINANCEIRO!$B$135,LANÇ_MOV[ANO PAGAMENTO],$B$4,LANÇ_MOV[MÊS PAGAMENTO CORRESPONDENTE],G$6,LANÇ_MOV[EMPRESA],$C$4,LANÇ_MOV[CENTRO DE CUSTOS],$D$4)</f>
        <v>0</v>
      </c>
      <c r="H160" s="206">
        <f>SUMIFS(LANÇ_MOV[VALOR LÍQUIDO],LANÇ_MOV[RECEITA OU DESPESA],"Despesa",LANÇ_MOV[CONTAS],$C160,LANÇ_MOV[PLANO DE CONTAS],REL_DRE_FINANCEIRO!$B$135,LANÇ_MOV[ANO PAGAMENTO],$B$4,LANÇ_MOV[MÊS PAGAMENTO CORRESPONDENTE],H$6,LANÇ_MOV[EMPRESA],$C$4,LANÇ_MOV[CENTRO DE CUSTOS],$D$4)</f>
        <v>0</v>
      </c>
      <c r="I160" s="206">
        <f>SUMIFS(LANÇ_MOV[VALOR LÍQUIDO],LANÇ_MOV[RECEITA OU DESPESA],"Despesa",LANÇ_MOV[CONTAS],$C160,LANÇ_MOV[PLANO DE CONTAS],REL_DRE_FINANCEIRO!$B$135,LANÇ_MOV[ANO PAGAMENTO],$B$4,LANÇ_MOV[MÊS PAGAMENTO CORRESPONDENTE],I$6,LANÇ_MOV[EMPRESA],$C$4,LANÇ_MOV[CENTRO DE CUSTOS],$D$4)</f>
        <v>0</v>
      </c>
      <c r="J160" s="206">
        <f>SUMIFS(LANÇ_MOV[VALOR LÍQUIDO],LANÇ_MOV[RECEITA OU DESPESA],"Despesa",LANÇ_MOV[CONTAS],$C160,LANÇ_MOV[PLANO DE CONTAS],REL_DRE_FINANCEIRO!$B$135,LANÇ_MOV[ANO PAGAMENTO],$B$4,LANÇ_MOV[MÊS PAGAMENTO CORRESPONDENTE],J$6,LANÇ_MOV[EMPRESA],$C$4,LANÇ_MOV[CENTRO DE CUSTOS],$D$4)</f>
        <v>0</v>
      </c>
      <c r="K160" s="206">
        <f>SUMIFS(LANÇ_MOV[VALOR LÍQUIDO],LANÇ_MOV[RECEITA OU DESPESA],"Despesa",LANÇ_MOV[CONTAS],$C160,LANÇ_MOV[PLANO DE CONTAS],REL_DRE_FINANCEIRO!$B$135,LANÇ_MOV[ANO PAGAMENTO],$B$4,LANÇ_MOV[MÊS PAGAMENTO CORRESPONDENTE],K$6,LANÇ_MOV[EMPRESA],$C$4,LANÇ_MOV[CENTRO DE CUSTOS],$D$4)</f>
        <v>0</v>
      </c>
      <c r="L160" s="206">
        <f>SUMIFS(LANÇ_MOV[VALOR LÍQUIDO],LANÇ_MOV[RECEITA OU DESPESA],"Despesa",LANÇ_MOV[CONTAS],$C160,LANÇ_MOV[PLANO DE CONTAS],REL_DRE_FINANCEIRO!$B$135,LANÇ_MOV[ANO PAGAMENTO],$B$4,LANÇ_MOV[MÊS PAGAMENTO CORRESPONDENTE],L$6,LANÇ_MOV[EMPRESA],$C$4,LANÇ_MOV[CENTRO DE CUSTOS],$D$4)</f>
        <v>0</v>
      </c>
      <c r="M160" s="206">
        <f>SUMIFS(LANÇ_MOV[VALOR LÍQUIDO],LANÇ_MOV[RECEITA OU DESPESA],"Despesa",LANÇ_MOV[CONTAS],$C160,LANÇ_MOV[PLANO DE CONTAS],REL_DRE_FINANCEIRO!$B$135,LANÇ_MOV[ANO PAGAMENTO],$B$4,LANÇ_MOV[MÊS PAGAMENTO CORRESPONDENTE],M$6,LANÇ_MOV[EMPRESA],$C$4,LANÇ_MOV[CENTRO DE CUSTOS],$D$4)</f>
        <v>0</v>
      </c>
      <c r="N160" s="206">
        <f>SUMIFS(LANÇ_MOV[VALOR LÍQUIDO],LANÇ_MOV[RECEITA OU DESPESA],"Despesa",LANÇ_MOV[CONTAS],$C160,LANÇ_MOV[PLANO DE CONTAS],REL_DRE_FINANCEIRO!$B$135,LANÇ_MOV[ANO PAGAMENTO],$B$4,LANÇ_MOV[MÊS PAGAMENTO CORRESPONDENTE],N$6,LANÇ_MOV[EMPRESA],$C$4,LANÇ_MOV[CENTRO DE CUSTOS],$D$4)</f>
        <v>0</v>
      </c>
      <c r="O160" s="206">
        <f>SUMIFS(LANÇ_MOV[VALOR LÍQUIDO],LANÇ_MOV[RECEITA OU DESPESA],"Despesa",LANÇ_MOV[CONTAS],$C160,LANÇ_MOV[PLANO DE CONTAS],REL_DRE_FINANCEIRO!$B$135,LANÇ_MOV[ANO PAGAMENTO],$B$4,LANÇ_MOV[MÊS PAGAMENTO CORRESPONDENTE],O$6,LANÇ_MOV[EMPRESA],$C$4,LANÇ_MOV[CENTRO DE CUSTOS],$D$4)</f>
        <v>0</v>
      </c>
      <c r="P160" s="207">
        <f t="shared" si="30"/>
        <v>0</v>
      </c>
      <c r="Q160" s="333">
        <v>3.9700000000000003E-5</v>
      </c>
      <c r="R160" s="346">
        <f t="shared" si="32"/>
        <v>3.9700000000000003E-5</v>
      </c>
      <c r="S160" s="347" t="str">
        <f t="shared" si="33"/>
        <v>SERVIÇO DE TORNEIRO</v>
      </c>
      <c r="T160" s="347">
        <f t="shared" si="34"/>
        <v>0</v>
      </c>
      <c r="U160" s="347">
        <f>HLOOKUP(Apoio!$P$12,$D$134:$P$235,X160,FALSE)+Q160</f>
        <v>3.9700000000000003E-5</v>
      </c>
      <c r="V160" s="447" t="str">
        <f t="shared" si="31"/>
        <v>SERVIÇO DE TORNEIRO</v>
      </c>
      <c r="W160" s="448">
        <f>HLOOKUP(Apoio!$P$12,$D$134:$P$235,X160,FALSE)</f>
        <v>0</v>
      </c>
      <c r="X160" s="329">
        <v>27</v>
      </c>
    </row>
    <row r="161" spans="2:24" ht="30.05" customHeight="1" x14ac:dyDescent="0.35">
      <c r="B161" s="204" t="str">
        <f>'CAD_PL_REC-DESP'!K30</f>
        <v>2.1.26</v>
      </c>
      <c r="C161" s="205" t="str">
        <f>IF('CAD_PL_REC-DESP'!L30="","-",'CAD_PL_REC-DESP'!L30)</f>
        <v>TARIFA DE PIX</v>
      </c>
      <c r="D161" s="206">
        <f>SUMIFS(LANÇ_MOV[VALOR LÍQUIDO],LANÇ_MOV[RECEITA OU DESPESA],"Despesa",LANÇ_MOV[CONTAS],$C161,LANÇ_MOV[PLANO DE CONTAS],REL_DRE_FINANCEIRO!$B$135,LANÇ_MOV[ANO PAGAMENTO],$B$4,LANÇ_MOV[MÊS PAGAMENTO CORRESPONDENTE],D$6,LANÇ_MOV[EMPRESA],$C$4,LANÇ_MOV[CENTRO DE CUSTOS],$D$4)</f>
        <v>0</v>
      </c>
      <c r="E161" s="206">
        <f>SUMIFS(LANÇ_MOV[VALOR LÍQUIDO],LANÇ_MOV[RECEITA OU DESPESA],"Despesa",LANÇ_MOV[CONTAS],$C161,LANÇ_MOV[PLANO DE CONTAS],REL_DRE_FINANCEIRO!$B$135,LANÇ_MOV[ANO PAGAMENTO],$B$4,LANÇ_MOV[MÊS PAGAMENTO CORRESPONDENTE],E$6,LANÇ_MOV[EMPRESA],$C$4,LANÇ_MOV[CENTRO DE CUSTOS],$D$4)</f>
        <v>0</v>
      </c>
      <c r="F161" s="206">
        <f>SUMIFS(LANÇ_MOV[VALOR LÍQUIDO],LANÇ_MOV[RECEITA OU DESPESA],"Despesa",LANÇ_MOV[CONTAS],$C161,LANÇ_MOV[PLANO DE CONTAS],REL_DRE_FINANCEIRO!$B$135,LANÇ_MOV[ANO PAGAMENTO],$B$4,LANÇ_MOV[MÊS PAGAMENTO CORRESPONDENTE],F$6,LANÇ_MOV[EMPRESA],$C$4,LANÇ_MOV[CENTRO DE CUSTOS],$D$4)</f>
        <v>0</v>
      </c>
      <c r="G161" s="206">
        <f>SUMIFS(LANÇ_MOV[VALOR LÍQUIDO],LANÇ_MOV[RECEITA OU DESPESA],"Despesa",LANÇ_MOV[CONTAS],$C161,LANÇ_MOV[PLANO DE CONTAS],REL_DRE_FINANCEIRO!$B$135,LANÇ_MOV[ANO PAGAMENTO],$B$4,LANÇ_MOV[MÊS PAGAMENTO CORRESPONDENTE],G$6,LANÇ_MOV[EMPRESA],$C$4,LANÇ_MOV[CENTRO DE CUSTOS],$D$4)</f>
        <v>0</v>
      </c>
      <c r="H161" s="206">
        <f>SUMIFS(LANÇ_MOV[VALOR LÍQUIDO],LANÇ_MOV[RECEITA OU DESPESA],"Despesa",LANÇ_MOV[CONTAS],$C161,LANÇ_MOV[PLANO DE CONTAS],REL_DRE_FINANCEIRO!$B$135,LANÇ_MOV[ANO PAGAMENTO],$B$4,LANÇ_MOV[MÊS PAGAMENTO CORRESPONDENTE],H$6,LANÇ_MOV[EMPRESA],$C$4,LANÇ_MOV[CENTRO DE CUSTOS],$D$4)</f>
        <v>0</v>
      </c>
      <c r="I161" s="206">
        <f>SUMIFS(LANÇ_MOV[VALOR LÍQUIDO],LANÇ_MOV[RECEITA OU DESPESA],"Despesa",LANÇ_MOV[CONTAS],$C161,LANÇ_MOV[PLANO DE CONTAS],REL_DRE_FINANCEIRO!$B$135,LANÇ_MOV[ANO PAGAMENTO],$B$4,LANÇ_MOV[MÊS PAGAMENTO CORRESPONDENTE],I$6,LANÇ_MOV[EMPRESA],$C$4,LANÇ_MOV[CENTRO DE CUSTOS],$D$4)</f>
        <v>0</v>
      </c>
      <c r="J161" s="206">
        <f>SUMIFS(LANÇ_MOV[VALOR LÍQUIDO],LANÇ_MOV[RECEITA OU DESPESA],"Despesa",LANÇ_MOV[CONTAS],$C161,LANÇ_MOV[PLANO DE CONTAS],REL_DRE_FINANCEIRO!$B$135,LANÇ_MOV[ANO PAGAMENTO],$B$4,LANÇ_MOV[MÊS PAGAMENTO CORRESPONDENTE],J$6,LANÇ_MOV[EMPRESA],$C$4,LANÇ_MOV[CENTRO DE CUSTOS],$D$4)</f>
        <v>0</v>
      </c>
      <c r="K161" s="206">
        <f>SUMIFS(LANÇ_MOV[VALOR LÍQUIDO],LANÇ_MOV[RECEITA OU DESPESA],"Despesa",LANÇ_MOV[CONTAS],$C161,LANÇ_MOV[PLANO DE CONTAS],REL_DRE_FINANCEIRO!$B$135,LANÇ_MOV[ANO PAGAMENTO],$B$4,LANÇ_MOV[MÊS PAGAMENTO CORRESPONDENTE],K$6,LANÇ_MOV[EMPRESA],$C$4,LANÇ_MOV[CENTRO DE CUSTOS],$D$4)</f>
        <v>0</v>
      </c>
      <c r="L161" s="206">
        <f>SUMIFS(LANÇ_MOV[VALOR LÍQUIDO],LANÇ_MOV[RECEITA OU DESPESA],"Despesa",LANÇ_MOV[CONTAS],$C161,LANÇ_MOV[PLANO DE CONTAS],REL_DRE_FINANCEIRO!$B$135,LANÇ_MOV[ANO PAGAMENTO],$B$4,LANÇ_MOV[MÊS PAGAMENTO CORRESPONDENTE],L$6,LANÇ_MOV[EMPRESA],$C$4,LANÇ_MOV[CENTRO DE CUSTOS],$D$4)</f>
        <v>0</v>
      </c>
      <c r="M161" s="206">
        <f>SUMIFS(LANÇ_MOV[VALOR LÍQUIDO],LANÇ_MOV[RECEITA OU DESPESA],"Despesa",LANÇ_MOV[CONTAS],$C161,LANÇ_MOV[PLANO DE CONTAS],REL_DRE_FINANCEIRO!$B$135,LANÇ_MOV[ANO PAGAMENTO],$B$4,LANÇ_MOV[MÊS PAGAMENTO CORRESPONDENTE],M$6,LANÇ_MOV[EMPRESA],$C$4,LANÇ_MOV[CENTRO DE CUSTOS],$D$4)</f>
        <v>0</v>
      </c>
      <c r="N161" s="206">
        <f>SUMIFS(LANÇ_MOV[VALOR LÍQUIDO],LANÇ_MOV[RECEITA OU DESPESA],"Despesa",LANÇ_MOV[CONTAS],$C161,LANÇ_MOV[PLANO DE CONTAS],REL_DRE_FINANCEIRO!$B$135,LANÇ_MOV[ANO PAGAMENTO],$B$4,LANÇ_MOV[MÊS PAGAMENTO CORRESPONDENTE],N$6,LANÇ_MOV[EMPRESA],$C$4,LANÇ_MOV[CENTRO DE CUSTOS],$D$4)</f>
        <v>0</v>
      </c>
      <c r="O161" s="206">
        <f>SUMIFS(LANÇ_MOV[VALOR LÍQUIDO],LANÇ_MOV[RECEITA OU DESPESA],"Despesa",LANÇ_MOV[CONTAS],$C161,LANÇ_MOV[PLANO DE CONTAS],REL_DRE_FINANCEIRO!$B$135,LANÇ_MOV[ANO PAGAMENTO],$B$4,LANÇ_MOV[MÊS PAGAMENTO CORRESPONDENTE],O$6,LANÇ_MOV[EMPRESA],$C$4,LANÇ_MOV[CENTRO DE CUSTOS],$D$4)</f>
        <v>0</v>
      </c>
      <c r="P161" s="207">
        <f t="shared" si="30"/>
        <v>0</v>
      </c>
      <c r="Q161" s="333">
        <v>3.96E-5</v>
      </c>
      <c r="R161" s="346">
        <f t="shared" si="32"/>
        <v>3.96E-5</v>
      </c>
      <c r="S161" s="347" t="str">
        <f t="shared" si="33"/>
        <v>TARIFA DE PIX</v>
      </c>
      <c r="T161" s="347">
        <f t="shared" si="34"/>
        <v>0</v>
      </c>
      <c r="U161" s="347">
        <f>HLOOKUP(Apoio!$P$12,$D$134:$P$235,X161,FALSE)+Q161</f>
        <v>3.96E-5</v>
      </c>
      <c r="V161" s="447" t="str">
        <f t="shared" si="31"/>
        <v>TARIFA DE PIX</v>
      </c>
      <c r="W161" s="448">
        <f>HLOOKUP(Apoio!$P$12,$D$134:$P$235,X161,FALSE)</f>
        <v>0</v>
      </c>
      <c r="X161" s="329">
        <v>28</v>
      </c>
    </row>
    <row r="162" spans="2:24" ht="30.05" customHeight="1" x14ac:dyDescent="0.35">
      <c r="B162" s="204" t="str">
        <f>'CAD_PL_REC-DESP'!K31</f>
        <v>2.1.27</v>
      </c>
      <c r="C162" s="205" t="str">
        <f>IF('CAD_PL_REC-DESP'!L31="","-",'CAD_PL_REC-DESP'!L31)</f>
        <v xml:space="preserve">TRANSPORTADORA </v>
      </c>
      <c r="D162" s="206">
        <f>SUMIFS(LANÇ_MOV[VALOR LÍQUIDO],LANÇ_MOV[RECEITA OU DESPESA],"Despesa",LANÇ_MOV[CONTAS],$C162,LANÇ_MOV[PLANO DE CONTAS],REL_DRE_FINANCEIRO!$B$135,LANÇ_MOV[ANO PAGAMENTO],$B$4,LANÇ_MOV[MÊS PAGAMENTO CORRESPONDENTE],D$6,LANÇ_MOV[EMPRESA],$C$4,LANÇ_MOV[CENTRO DE CUSTOS],$D$4)</f>
        <v>0</v>
      </c>
      <c r="E162" s="206">
        <f>SUMIFS(LANÇ_MOV[VALOR LÍQUIDO],LANÇ_MOV[RECEITA OU DESPESA],"Despesa",LANÇ_MOV[CONTAS],$C162,LANÇ_MOV[PLANO DE CONTAS],REL_DRE_FINANCEIRO!$B$135,LANÇ_MOV[ANO PAGAMENTO],$B$4,LANÇ_MOV[MÊS PAGAMENTO CORRESPONDENTE],E$6,LANÇ_MOV[EMPRESA],$C$4,LANÇ_MOV[CENTRO DE CUSTOS],$D$4)</f>
        <v>0</v>
      </c>
      <c r="F162" s="206">
        <f>SUMIFS(LANÇ_MOV[VALOR LÍQUIDO],LANÇ_MOV[RECEITA OU DESPESA],"Despesa",LANÇ_MOV[CONTAS],$C162,LANÇ_MOV[PLANO DE CONTAS],REL_DRE_FINANCEIRO!$B$135,LANÇ_MOV[ANO PAGAMENTO],$B$4,LANÇ_MOV[MÊS PAGAMENTO CORRESPONDENTE],F$6,LANÇ_MOV[EMPRESA],$C$4,LANÇ_MOV[CENTRO DE CUSTOS],$D$4)</f>
        <v>0</v>
      </c>
      <c r="G162" s="206">
        <f>SUMIFS(LANÇ_MOV[VALOR LÍQUIDO],LANÇ_MOV[RECEITA OU DESPESA],"Despesa",LANÇ_MOV[CONTAS],$C162,LANÇ_MOV[PLANO DE CONTAS],REL_DRE_FINANCEIRO!$B$135,LANÇ_MOV[ANO PAGAMENTO],$B$4,LANÇ_MOV[MÊS PAGAMENTO CORRESPONDENTE],G$6,LANÇ_MOV[EMPRESA],$C$4,LANÇ_MOV[CENTRO DE CUSTOS],$D$4)</f>
        <v>0</v>
      </c>
      <c r="H162" s="206">
        <f>SUMIFS(LANÇ_MOV[VALOR LÍQUIDO],LANÇ_MOV[RECEITA OU DESPESA],"Despesa",LANÇ_MOV[CONTAS],$C162,LANÇ_MOV[PLANO DE CONTAS],REL_DRE_FINANCEIRO!$B$135,LANÇ_MOV[ANO PAGAMENTO],$B$4,LANÇ_MOV[MÊS PAGAMENTO CORRESPONDENTE],H$6,LANÇ_MOV[EMPRESA],$C$4,LANÇ_MOV[CENTRO DE CUSTOS],$D$4)</f>
        <v>0</v>
      </c>
      <c r="I162" s="206">
        <f>SUMIFS(LANÇ_MOV[VALOR LÍQUIDO],LANÇ_MOV[RECEITA OU DESPESA],"Despesa",LANÇ_MOV[CONTAS],$C162,LANÇ_MOV[PLANO DE CONTAS],REL_DRE_FINANCEIRO!$B$135,LANÇ_MOV[ANO PAGAMENTO],$B$4,LANÇ_MOV[MÊS PAGAMENTO CORRESPONDENTE],I$6,LANÇ_MOV[EMPRESA],$C$4,LANÇ_MOV[CENTRO DE CUSTOS],$D$4)</f>
        <v>0</v>
      </c>
      <c r="J162" s="206">
        <f>SUMIFS(LANÇ_MOV[VALOR LÍQUIDO],LANÇ_MOV[RECEITA OU DESPESA],"Despesa",LANÇ_MOV[CONTAS],$C162,LANÇ_MOV[PLANO DE CONTAS],REL_DRE_FINANCEIRO!$B$135,LANÇ_MOV[ANO PAGAMENTO],$B$4,LANÇ_MOV[MÊS PAGAMENTO CORRESPONDENTE],J$6,LANÇ_MOV[EMPRESA],$C$4,LANÇ_MOV[CENTRO DE CUSTOS],$D$4)</f>
        <v>0</v>
      </c>
      <c r="K162" s="206">
        <f>SUMIFS(LANÇ_MOV[VALOR LÍQUIDO],LANÇ_MOV[RECEITA OU DESPESA],"Despesa",LANÇ_MOV[CONTAS],$C162,LANÇ_MOV[PLANO DE CONTAS],REL_DRE_FINANCEIRO!$B$135,LANÇ_MOV[ANO PAGAMENTO],$B$4,LANÇ_MOV[MÊS PAGAMENTO CORRESPONDENTE],K$6,LANÇ_MOV[EMPRESA],$C$4,LANÇ_MOV[CENTRO DE CUSTOS],$D$4)</f>
        <v>0</v>
      </c>
      <c r="L162" s="206">
        <f>SUMIFS(LANÇ_MOV[VALOR LÍQUIDO],LANÇ_MOV[RECEITA OU DESPESA],"Despesa",LANÇ_MOV[CONTAS],$C162,LANÇ_MOV[PLANO DE CONTAS],REL_DRE_FINANCEIRO!$B$135,LANÇ_MOV[ANO PAGAMENTO],$B$4,LANÇ_MOV[MÊS PAGAMENTO CORRESPONDENTE],L$6,LANÇ_MOV[EMPRESA],$C$4,LANÇ_MOV[CENTRO DE CUSTOS],$D$4)</f>
        <v>0</v>
      </c>
      <c r="M162" s="206">
        <f>SUMIFS(LANÇ_MOV[VALOR LÍQUIDO],LANÇ_MOV[RECEITA OU DESPESA],"Despesa",LANÇ_MOV[CONTAS],$C162,LANÇ_MOV[PLANO DE CONTAS],REL_DRE_FINANCEIRO!$B$135,LANÇ_MOV[ANO PAGAMENTO],$B$4,LANÇ_MOV[MÊS PAGAMENTO CORRESPONDENTE],M$6,LANÇ_MOV[EMPRESA],$C$4,LANÇ_MOV[CENTRO DE CUSTOS],$D$4)</f>
        <v>0</v>
      </c>
      <c r="N162" s="206">
        <f>SUMIFS(LANÇ_MOV[VALOR LÍQUIDO],LANÇ_MOV[RECEITA OU DESPESA],"Despesa",LANÇ_MOV[CONTAS],$C162,LANÇ_MOV[PLANO DE CONTAS],REL_DRE_FINANCEIRO!$B$135,LANÇ_MOV[ANO PAGAMENTO],$B$4,LANÇ_MOV[MÊS PAGAMENTO CORRESPONDENTE],N$6,LANÇ_MOV[EMPRESA],$C$4,LANÇ_MOV[CENTRO DE CUSTOS],$D$4)</f>
        <v>0</v>
      </c>
      <c r="O162" s="206">
        <f>SUMIFS(LANÇ_MOV[VALOR LÍQUIDO],LANÇ_MOV[RECEITA OU DESPESA],"Despesa",LANÇ_MOV[CONTAS],$C162,LANÇ_MOV[PLANO DE CONTAS],REL_DRE_FINANCEIRO!$B$135,LANÇ_MOV[ANO PAGAMENTO],$B$4,LANÇ_MOV[MÊS PAGAMENTO CORRESPONDENTE],O$6,LANÇ_MOV[EMPRESA],$C$4,LANÇ_MOV[CENTRO DE CUSTOS],$D$4)</f>
        <v>0</v>
      </c>
      <c r="P162" s="207">
        <f t="shared" si="30"/>
        <v>0</v>
      </c>
      <c r="Q162" s="333">
        <v>3.9499999999999998E-5</v>
      </c>
      <c r="R162" s="346">
        <f t="shared" si="32"/>
        <v>3.9499999999999998E-5</v>
      </c>
      <c r="S162" s="347" t="str">
        <f t="shared" si="33"/>
        <v xml:space="preserve">TRANSPORTADORA </v>
      </c>
      <c r="T162" s="347">
        <f t="shared" si="34"/>
        <v>0</v>
      </c>
      <c r="U162" s="347">
        <f>HLOOKUP(Apoio!$P$12,$D$134:$P$235,X162,FALSE)+Q162</f>
        <v>3.9499999999999998E-5</v>
      </c>
      <c r="V162" s="447" t="str">
        <f t="shared" si="31"/>
        <v xml:space="preserve">TRANSPORTADORA </v>
      </c>
      <c r="W162" s="448">
        <f>HLOOKUP(Apoio!$P$12,$D$134:$P$235,X162,FALSE)</f>
        <v>0</v>
      </c>
      <c r="X162" s="329">
        <v>29</v>
      </c>
    </row>
    <row r="163" spans="2:24" ht="30.05" customHeight="1" x14ac:dyDescent="0.35">
      <c r="B163" s="204" t="str">
        <f>'CAD_PL_REC-DESP'!K32</f>
        <v>2.1.28</v>
      </c>
      <c r="C163" s="205" t="str">
        <f>IF('CAD_PL_REC-DESP'!L32="","-",'CAD_PL_REC-DESP'!L32)</f>
        <v>TRANSPORTE</v>
      </c>
      <c r="D163" s="206">
        <f>SUMIFS(LANÇ_MOV[VALOR LÍQUIDO],LANÇ_MOV[RECEITA OU DESPESA],"Despesa",LANÇ_MOV[CONTAS],$C163,LANÇ_MOV[PLANO DE CONTAS],REL_DRE_FINANCEIRO!$B$135,LANÇ_MOV[ANO PAGAMENTO],$B$4,LANÇ_MOV[MÊS PAGAMENTO CORRESPONDENTE],D$6,LANÇ_MOV[EMPRESA],$C$4,LANÇ_MOV[CENTRO DE CUSTOS],$D$4)</f>
        <v>0</v>
      </c>
      <c r="E163" s="206">
        <f>SUMIFS(LANÇ_MOV[VALOR LÍQUIDO],LANÇ_MOV[RECEITA OU DESPESA],"Despesa",LANÇ_MOV[CONTAS],$C163,LANÇ_MOV[PLANO DE CONTAS],REL_DRE_FINANCEIRO!$B$135,LANÇ_MOV[ANO PAGAMENTO],$B$4,LANÇ_MOV[MÊS PAGAMENTO CORRESPONDENTE],E$6,LANÇ_MOV[EMPRESA],$C$4,LANÇ_MOV[CENTRO DE CUSTOS],$D$4)</f>
        <v>0</v>
      </c>
      <c r="F163" s="206">
        <f>SUMIFS(LANÇ_MOV[VALOR LÍQUIDO],LANÇ_MOV[RECEITA OU DESPESA],"Despesa",LANÇ_MOV[CONTAS],$C163,LANÇ_MOV[PLANO DE CONTAS],REL_DRE_FINANCEIRO!$B$135,LANÇ_MOV[ANO PAGAMENTO],$B$4,LANÇ_MOV[MÊS PAGAMENTO CORRESPONDENTE],F$6,LANÇ_MOV[EMPRESA],$C$4,LANÇ_MOV[CENTRO DE CUSTOS],$D$4)</f>
        <v>0</v>
      </c>
      <c r="G163" s="206">
        <f>SUMIFS(LANÇ_MOV[VALOR LÍQUIDO],LANÇ_MOV[RECEITA OU DESPESA],"Despesa",LANÇ_MOV[CONTAS],$C163,LANÇ_MOV[PLANO DE CONTAS],REL_DRE_FINANCEIRO!$B$135,LANÇ_MOV[ANO PAGAMENTO],$B$4,LANÇ_MOV[MÊS PAGAMENTO CORRESPONDENTE],G$6,LANÇ_MOV[EMPRESA],$C$4,LANÇ_MOV[CENTRO DE CUSTOS],$D$4)</f>
        <v>0</v>
      </c>
      <c r="H163" s="206">
        <f>SUMIFS(LANÇ_MOV[VALOR LÍQUIDO],LANÇ_MOV[RECEITA OU DESPESA],"Despesa",LANÇ_MOV[CONTAS],$C163,LANÇ_MOV[PLANO DE CONTAS],REL_DRE_FINANCEIRO!$B$135,LANÇ_MOV[ANO PAGAMENTO],$B$4,LANÇ_MOV[MÊS PAGAMENTO CORRESPONDENTE],H$6,LANÇ_MOV[EMPRESA],$C$4,LANÇ_MOV[CENTRO DE CUSTOS],$D$4)</f>
        <v>0</v>
      </c>
      <c r="I163" s="206">
        <f>SUMIFS(LANÇ_MOV[VALOR LÍQUIDO],LANÇ_MOV[RECEITA OU DESPESA],"Despesa",LANÇ_MOV[CONTAS],$C163,LANÇ_MOV[PLANO DE CONTAS],REL_DRE_FINANCEIRO!$B$135,LANÇ_MOV[ANO PAGAMENTO],$B$4,LANÇ_MOV[MÊS PAGAMENTO CORRESPONDENTE],I$6,LANÇ_MOV[EMPRESA],$C$4,LANÇ_MOV[CENTRO DE CUSTOS],$D$4)</f>
        <v>0</v>
      </c>
      <c r="J163" s="206">
        <f>SUMIFS(LANÇ_MOV[VALOR LÍQUIDO],LANÇ_MOV[RECEITA OU DESPESA],"Despesa",LANÇ_MOV[CONTAS],$C163,LANÇ_MOV[PLANO DE CONTAS],REL_DRE_FINANCEIRO!$B$135,LANÇ_MOV[ANO PAGAMENTO],$B$4,LANÇ_MOV[MÊS PAGAMENTO CORRESPONDENTE],J$6,LANÇ_MOV[EMPRESA],$C$4,LANÇ_MOV[CENTRO DE CUSTOS],$D$4)</f>
        <v>0</v>
      </c>
      <c r="K163" s="206">
        <f>SUMIFS(LANÇ_MOV[VALOR LÍQUIDO],LANÇ_MOV[RECEITA OU DESPESA],"Despesa",LANÇ_MOV[CONTAS],$C163,LANÇ_MOV[PLANO DE CONTAS],REL_DRE_FINANCEIRO!$B$135,LANÇ_MOV[ANO PAGAMENTO],$B$4,LANÇ_MOV[MÊS PAGAMENTO CORRESPONDENTE],K$6,LANÇ_MOV[EMPRESA],$C$4,LANÇ_MOV[CENTRO DE CUSTOS],$D$4)</f>
        <v>0</v>
      </c>
      <c r="L163" s="206">
        <f>SUMIFS(LANÇ_MOV[VALOR LÍQUIDO],LANÇ_MOV[RECEITA OU DESPESA],"Despesa",LANÇ_MOV[CONTAS],$C163,LANÇ_MOV[PLANO DE CONTAS],REL_DRE_FINANCEIRO!$B$135,LANÇ_MOV[ANO PAGAMENTO],$B$4,LANÇ_MOV[MÊS PAGAMENTO CORRESPONDENTE],L$6,LANÇ_MOV[EMPRESA],$C$4,LANÇ_MOV[CENTRO DE CUSTOS],$D$4)</f>
        <v>0</v>
      </c>
      <c r="M163" s="206">
        <f>SUMIFS(LANÇ_MOV[VALOR LÍQUIDO],LANÇ_MOV[RECEITA OU DESPESA],"Despesa",LANÇ_MOV[CONTAS],$C163,LANÇ_MOV[PLANO DE CONTAS],REL_DRE_FINANCEIRO!$B$135,LANÇ_MOV[ANO PAGAMENTO],$B$4,LANÇ_MOV[MÊS PAGAMENTO CORRESPONDENTE],M$6,LANÇ_MOV[EMPRESA],$C$4,LANÇ_MOV[CENTRO DE CUSTOS],$D$4)</f>
        <v>0</v>
      </c>
      <c r="N163" s="206">
        <f>SUMIFS(LANÇ_MOV[VALOR LÍQUIDO],LANÇ_MOV[RECEITA OU DESPESA],"Despesa",LANÇ_MOV[CONTAS],$C163,LANÇ_MOV[PLANO DE CONTAS],REL_DRE_FINANCEIRO!$B$135,LANÇ_MOV[ANO PAGAMENTO],$B$4,LANÇ_MOV[MÊS PAGAMENTO CORRESPONDENTE],N$6,LANÇ_MOV[EMPRESA],$C$4,LANÇ_MOV[CENTRO DE CUSTOS],$D$4)</f>
        <v>0</v>
      </c>
      <c r="O163" s="206">
        <f>SUMIFS(LANÇ_MOV[VALOR LÍQUIDO],LANÇ_MOV[RECEITA OU DESPESA],"Despesa",LANÇ_MOV[CONTAS],$C163,LANÇ_MOV[PLANO DE CONTAS],REL_DRE_FINANCEIRO!$B$135,LANÇ_MOV[ANO PAGAMENTO],$B$4,LANÇ_MOV[MÊS PAGAMENTO CORRESPONDENTE],O$6,LANÇ_MOV[EMPRESA],$C$4,LANÇ_MOV[CENTRO DE CUSTOS],$D$4)</f>
        <v>0</v>
      </c>
      <c r="P163" s="207">
        <f t="shared" si="30"/>
        <v>0</v>
      </c>
      <c r="Q163" s="333">
        <v>3.9400000000000002E-5</v>
      </c>
      <c r="R163" s="346">
        <f t="shared" si="32"/>
        <v>3.9400000000000002E-5</v>
      </c>
      <c r="S163" s="347" t="str">
        <f t="shared" si="33"/>
        <v>TRANSPORTE</v>
      </c>
      <c r="T163" s="347">
        <f t="shared" si="34"/>
        <v>0</v>
      </c>
      <c r="U163" s="347">
        <f>HLOOKUP(Apoio!$P$12,$D$134:$P$235,X163,FALSE)+Q163</f>
        <v>3.9400000000000002E-5</v>
      </c>
      <c r="V163" s="447" t="str">
        <f t="shared" si="31"/>
        <v>TRANSPORTE</v>
      </c>
      <c r="W163" s="448">
        <f>HLOOKUP(Apoio!$P$12,$D$134:$P$235,X163,FALSE)</f>
        <v>0</v>
      </c>
      <c r="X163" s="329">
        <v>30</v>
      </c>
    </row>
    <row r="164" spans="2:24" ht="30.05" customHeight="1" x14ac:dyDescent="0.35">
      <c r="B164" s="204" t="str">
        <f>'CAD_PL_REC-DESP'!K33</f>
        <v>2.1.29</v>
      </c>
      <c r="C164" s="205" t="str">
        <f>IF('CAD_PL_REC-DESP'!L33="","-",'CAD_PL_REC-DESP'!L33)</f>
        <v>-</v>
      </c>
      <c r="D164" s="206">
        <f>SUMIFS(LANÇ_MOV[VALOR LÍQUIDO],LANÇ_MOV[RECEITA OU DESPESA],"Despesa",LANÇ_MOV[CONTAS],$C164,LANÇ_MOV[PLANO DE CONTAS],REL_DRE_FINANCEIRO!$B$135,LANÇ_MOV[ANO PAGAMENTO],$B$4,LANÇ_MOV[MÊS PAGAMENTO CORRESPONDENTE],D$6,LANÇ_MOV[EMPRESA],$C$4,LANÇ_MOV[CENTRO DE CUSTOS],$D$4)</f>
        <v>0</v>
      </c>
      <c r="E164" s="206">
        <f>SUMIFS(LANÇ_MOV[VALOR LÍQUIDO],LANÇ_MOV[RECEITA OU DESPESA],"Despesa",LANÇ_MOV[CONTAS],$C164,LANÇ_MOV[PLANO DE CONTAS],REL_DRE_FINANCEIRO!$B$135,LANÇ_MOV[ANO PAGAMENTO],$B$4,LANÇ_MOV[MÊS PAGAMENTO CORRESPONDENTE],E$6,LANÇ_MOV[EMPRESA],$C$4,LANÇ_MOV[CENTRO DE CUSTOS],$D$4)</f>
        <v>0</v>
      </c>
      <c r="F164" s="206">
        <f>SUMIFS(LANÇ_MOV[VALOR LÍQUIDO],LANÇ_MOV[RECEITA OU DESPESA],"Despesa",LANÇ_MOV[CONTAS],$C164,LANÇ_MOV[PLANO DE CONTAS],REL_DRE_FINANCEIRO!$B$135,LANÇ_MOV[ANO PAGAMENTO],$B$4,LANÇ_MOV[MÊS PAGAMENTO CORRESPONDENTE],F$6,LANÇ_MOV[EMPRESA],$C$4,LANÇ_MOV[CENTRO DE CUSTOS],$D$4)</f>
        <v>0</v>
      </c>
      <c r="G164" s="206">
        <f>SUMIFS(LANÇ_MOV[VALOR LÍQUIDO],LANÇ_MOV[RECEITA OU DESPESA],"Despesa",LANÇ_MOV[CONTAS],$C164,LANÇ_MOV[PLANO DE CONTAS],REL_DRE_FINANCEIRO!$B$135,LANÇ_MOV[ANO PAGAMENTO],$B$4,LANÇ_MOV[MÊS PAGAMENTO CORRESPONDENTE],G$6,LANÇ_MOV[EMPRESA],$C$4,LANÇ_MOV[CENTRO DE CUSTOS],$D$4)</f>
        <v>0</v>
      </c>
      <c r="H164" s="206">
        <f>SUMIFS(LANÇ_MOV[VALOR LÍQUIDO],LANÇ_MOV[RECEITA OU DESPESA],"Despesa",LANÇ_MOV[CONTAS],$C164,LANÇ_MOV[PLANO DE CONTAS],REL_DRE_FINANCEIRO!$B$135,LANÇ_MOV[ANO PAGAMENTO],$B$4,LANÇ_MOV[MÊS PAGAMENTO CORRESPONDENTE],H$6,LANÇ_MOV[EMPRESA],$C$4,LANÇ_MOV[CENTRO DE CUSTOS],$D$4)</f>
        <v>0</v>
      </c>
      <c r="I164" s="206">
        <f>SUMIFS(LANÇ_MOV[VALOR LÍQUIDO],LANÇ_MOV[RECEITA OU DESPESA],"Despesa",LANÇ_MOV[CONTAS],$C164,LANÇ_MOV[PLANO DE CONTAS],REL_DRE_FINANCEIRO!$B$135,LANÇ_MOV[ANO PAGAMENTO],$B$4,LANÇ_MOV[MÊS PAGAMENTO CORRESPONDENTE],I$6,LANÇ_MOV[EMPRESA],$C$4,LANÇ_MOV[CENTRO DE CUSTOS],$D$4)</f>
        <v>0</v>
      </c>
      <c r="J164" s="206">
        <f>SUMIFS(LANÇ_MOV[VALOR LÍQUIDO],LANÇ_MOV[RECEITA OU DESPESA],"Despesa",LANÇ_MOV[CONTAS],$C164,LANÇ_MOV[PLANO DE CONTAS],REL_DRE_FINANCEIRO!$B$135,LANÇ_MOV[ANO PAGAMENTO],$B$4,LANÇ_MOV[MÊS PAGAMENTO CORRESPONDENTE],J$6,LANÇ_MOV[EMPRESA],$C$4,LANÇ_MOV[CENTRO DE CUSTOS],$D$4)</f>
        <v>0</v>
      </c>
      <c r="K164" s="206">
        <f>SUMIFS(LANÇ_MOV[VALOR LÍQUIDO],LANÇ_MOV[RECEITA OU DESPESA],"Despesa",LANÇ_MOV[CONTAS],$C164,LANÇ_MOV[PLANO DE CONTAS],REL_DRE_FINANCEIRO!$B$135,LANÇ_MOV[ANO PAGAMENTO],$B$4,LANÇ_MOV[MÊS PAGAMENTO CORRESPONDENTE],K$6,LANÇ_MOV[EMPRESA],$C$4,LANÇ_MOV[CENTRO DE CUSTOS],$D$4)</f>
        <v>0</v>
      </c>
      <c r="L164" s="206">
        <f>SUMIFS(LANÇ_MOV[VALOR LÍQUIDO],LANÇ_MOV[RECEITA OU DESPESA],"Despesa",LANÇ_MOV[CONTAS],$C164,LANÇ_MOV[PLANO DE CONTAS],REL_DRE_FINANCEIRO!$B$135,LANÇ_MOV[ANO PAGAMENTO],$B$4,LANÇ_MOV[MÊS PAGAMENTO CORRESPONDENTE],L$6,LANÇ_MOV[EMPRESA],$C$4,LANÇ_MOV[CENTRO DE CUSTOS],$D$4)</f>
        <v>0</v>
      </c>
      <c r="M164" s="206">
        <f>SUMIFS(LANÇ_MOV[VALOR LÍQUIDO],LANÇ_MOV[RECEITA OU DESPESA],"Despesa",LANÇ_MOV[CONTAS],$C164,LANÇ_MOV[PLANO DE CONTAS],REL_DRE_FINANCEIRO!$B$135,LANÇ_MOV[ANO PAGAMENTO],$B$4,LANÇ_MOV[MÊS PAGAMENTO CORRESPONDENTE],M$6,LANÇ_MOV[EMPRESA],$C$4,LANÇ_MOV[CENTRO DE CUSTOS],$D$4)</f>
        <v>0</v>
      </c>
      <c r="N164" s="206">
        <f>SUMIFS(LANÇ_MOV[VALOR LÍQUIDO],LANÇ_MOV[RECEITA OU DESPESA],"Despesa",LANÇ_MOV[CONTAS],$C164,LANÇ_MOV[PLANO DE CONTAS],REL_DRE_FINANCEIRO!$B$135,LANÇ_MOV[ANO PAGAMENTO],$B$4,LANÇ_MOV[MÊS PAGAMENTO CORRESPONDENTE],N$6,LANÇ_MOV[EMPRESA],$C$4,LANÇ_MOV[CENTRO DE CUSTOS],$D$4)</f>
        <v>0</v>
      </c>
      <c r="O164" s="206">
        <f>SUMIFS(LANÇ_MOV[VALOR LÍQUIDO],LANÇ_MOV[RECEITA OU DESPESA],"Despesa",LANÇ_MOV[CONTAS],$C164,LANÇ_MOV[PLANO DE CONTAS],REL_DRE_FINANCEIRO!$B$135,LANÇ_MOV[ANO PAGAMENTO],$B$4,LANÇ_MOV[MÊS PAGAMENTO CORRESPONDENTE],O$6,LANÇ_MOV[EMPRESA],$C$4,LANÇ_MOV[CENTRO DE CUSTOS],$D$4)</f>
        <v>0</v>
      </c>
      <c r="P164" s="207">
        <f t="shared" si="30"/>
        <v>0</v>
      </c>
      <c r="Q164" s="333">
        <v>3.93E-5</v>
      </c>
      <c r="R164" s="346">
        <f t="shared" si="32"/>
        <v>3.93E-5</v>
      </c>
      <c r="S164" s="347" t="str">
        <f t="shared" si="33"/>
        <v>-</v>
      </c>
      <c r="T164" s="347">
        <f t="shared" si="34"/>
        <v>0</v>
      </c>
      <c r="U164" s="347">
        <f>HLOOKUP(Apoio!$P$12,$D$134:$P$235,X164,FALSE)+Q164</f>
        <v>3.93E-5</v>
      </c>
      <c r="V164" s="447" t="str">
        <f t="shared" si="31"/>
        <v>-</v>
      </c>
      <c r="W164" s="448">
        <f>HLOOKUP(Apoio!$P$12,$D$134:$P$235,X164,FALSE)</f>
        <v>0</v>
      </c>
      <c r="X164" s="329">
        <v>31</v>
      </c>
    </row>
    <row r="165" spans="2:24" ht="30.05" customHeight="1" x14ac:dyDescent="0.35">
      <c r="B165" s="204" t="str">
        <f>'CAD_PL_REC-DESP'!K34</f>
        <v>2.1.30</v>
      </c>
      <c r="C165" s="205" t="str">
        <f>IF('CAD_PL_REC-DESP'!L34="","-",'CAD_PL_REC-DESP'!L34)</f>
        <v>-</v>
      </c>
      <c r="D165" s="206">
        <f>SUMIFS(LANÇ_MOV[VALOR LÍQUIDO],LANÇ_MOV[RECEITA OU DESPESA],"Despesa",LANÇ_MOV[CONTAS],$C165,LANÇ_MOV[PLANO DE CONTAS],REL_DRE_FINANCEIRO!$B$135,LANÇ_MOV[ANO PAGAMENTO],$B$4,LANÇ_MOV[MÊS PAGAMENTO CORRESPONDENTE],D$6,LANÇ_MOV[EMPRESA],$C$4,LANÇ_MOV[CENTRO DE CUSTOS],$D$4)</f>
        <v>0</v>
      </c>
      <c r="E165" s="206">
        <f>SUMIFS(LANÇ_MOV[VALOR LÍQUIDO],LANÇ_MOV[RECEITA OU DESPESA],"Despesa",LANÇ_MOV[CONTAS],$C165,LANÇ_MOV[PLANO DE CONTAS],REL_DRE_FINANCEIRO!$B$135,LANÇ_MOV[ANO PAGAMENTO],$B$4,LANÇ_MOV[MÊS PAGAMENTO CORRESPONDENTE],E$6,LANÇ_MOV[EMPRESA],$C$4,LANÇ_MOV[CENTRO DE CUSTOS],$D$4)</f>
        <v>0</v>
      </c>
      <c r="F165" s="206">
        <f>SUMIFS(LANÇ_MOV[VALOR LÍQUIDO],LANÇ_MOV[RECEITA OU DESPESA],"Despesa",LANÇ_MOV[CONTAS],$C165,LANÇ_MOV[PLANO DE CONTAS],REL_DRE_FINANCEIRO!$B$135,LANÇ_MOV[ANO PAGAMENTO],$B$4,LANÇ_MOV[MÊS PAGAMENTO CORRESPONDENTE],F$6,LANÇ_MOV[EMPRESA],$C$4,LANÇ_MOV[CENTRO DE CUSTOS],$D$4)</f>
        <v>0</v>
      </c>
      <c r="G165" s="206">
        <f>SUMIFS(LANÇ_MOV[VALOR LÍQUIDO],LANÇ_MOV[RECEITA OU DESPESA],"Despesa",LANÇ_MOV[CONTAS],$C165,LANÇ_MOV[PLANO DE CONTAS],REL_DRE_FINANCEIRO!$B$135,LANÇ_MOV[ANO PAGAMENTO],$B$4,LANÇ_MOV[MÊS PAGAMENTO CORRESPONDENTE],G$6,LANÇ_MOV[EMPRESA],$C$4,LANÇ_MOV[CENTRO DE CUSTOS],$D$4)</f>
        <v>0</v>
      </c>
      <c r="H165" s="206">
        <f>SUMIFS(LANÇ_MOV[VALOR LÍQUIDO],LANÇ_MOV[RECEITA OU DESPESA],"Despesa",LANÇ_MOV[CONTAS],$C165,LANÇ_MOV[PLANO DE CONTAS],REL_DRE_FINANCEIRO!$B$135,LANÇ_MOV[ANO PAGAMENTO],$B$4,LANÇ_MOV[MÊS PAGAMENTO CORRESPONDENTE],H$6,LANÇ_MOV[EMPRESA],$C$4,LANÇ_MOV[CENTRO DE CUSTOS],$D$4)</f>
        <v>0</v>
      </c>
      <c r="I165" s="206">
        <f>SUMIFS(LANÇ_MOV[VALOR LÍQUIDO],LANÇ_MOV[RECEITA OU DESPESA],"Despesa",LANÇ_MOV[CONTAS],$C165,LANÇ_MOV[PLANO DE CONTAS],REL_DRE_FINANCEIRO!$B$135,LANÇ_MOV[ANO PAGAMENTO],$B$4,LANÇ_MOV[MÊS PAGAMENTO CORRESPONDENTE],I$6,LANÇ_MOV[EMPRESA],$C$4,LANÇ_MOV[CENTRO DE CUSTOS],$D$4)</f>
        <v>0</v>
      </c>
      <c r="J165" s="206">
        <f>SUMIFS(LANÇ_MOV[VALOR LÍQUIDO],LANÇ_MOV[RECEITA OU DESPESA],"Despesa",LANÇ_MOV[CONTAS],$C165,LANÇ_MOV[PLANO DE CONTAS],REL_DRE_FINANCEIRO!$B$135,LANÇ_MOV[ANO PAGAMENTO],$B$4,LANÇ_MOV[MÊS PAGAMENTO CORRESPONDENTE],J$6,LANÇ_MOV[EMPRESA],$C$4,LANÇ_MOV[CENTRO DE CUSTOS],$D$4)</f>
        <v>0</v>
      </c>
      <c r="K165" s="206">
        <f>SUMIFS(LANÇ_MOV[VALOR LÍQUIDO],LANÇ_MOV[RECEITA OU DESPESA],"Despesa",LANÇ_MOV[CONTAS],$C165,LANÇ_MOV[PLANO DE CONTAS],REL_DRE_FINANCEIRO!$B$135,LANÇ_MOV[ANO PAGAMENTO],$B$4,LANÇ_MOV[MÊS PAGAMENTO CORRESPONDENTE],K$6,LANÇ_MOV[EMPRESA],$C$4,LANÇ_MOV[CENTRO DE CUSTOS],$D$4)</f>
        <v>0</v>
      </c>
      <c r="L165" s="206">
        <f>SUMIFS(LANÇ_MOV[VALOR LÍQUIDO],LANÇ_MOV[RECEITA OU DESPESA],"Despesa",LANÇ_MOV[CONTAS],$C165,LANÇ_MOV[PLANO DE CONTAS],REL_DRE_FINANCEIRO!$B$135,LANÇ_MOV[ANO PAGAMENTO],$B$4,LANÇ_MOV[MÊS PAGAMENTO CORRESPONDENTE],L$6,LANÇ_MOV[EMPRESA],$C$4,LANÇ_MOV[CENTRO DE CUSTOS],$D$4)</f>
        <v>0</v>
      </c>
      <c r="M165" s="206">
        <f>SUMIFS(LANÇ_MOV[VALOR LÍQUIDO],LANÇ_MOV[RECEITA OU DESPESA],"Despesa",LANÇ_MOV[CONTAS],$C165,LANÇ_MOV[PLANO DE CONTAS],REL_DRE_FINANCEIRO!$B$135,LANÇ_MOV[ANO PAGAMENTO],$B$4,LANÇ_MOV[MÊS PAGAMENTO CORRESPONDENTE],M$6,LANÇ_MOV[EMPRESA],$C$4,LANÇ_MOV[CENTRO DE CUSTOS],$D$4)</f>
        <v>0</v>
      </c>
      <c r="N165" s="206">
        <f>SUMIFS(LANÇ_MOV[VALOR LÍQUIDO],LANÇ_MOV[RECEITA OU DESPESA],"Despesa",LANÇ_MOV[CONTAS],$C165,LANÇ_MOV[PLANO DE CONTAS],REL_DRE_FINANCEIRO!$B$135,LANÇ_MOV[ANO PAGAMENTO],$B$4,LANÇ_MOV[MÊS PAGAMENTO CORRESPONDENTE],N$6,LANÇ_MOV[EMPRESA],$C$4,LANÇ_MOV[CENTRO DE CUSTOS],$D$4)</f>
        <v>0</v>
      </c>
      <c r="O165" s="206">
        <f>SUMIFS(LANÇ_MOV[VALOR LÍQUIDO],LANÇ_MOV[RECEITA OU DESPESA],"Despesa",LANÇ_MOV[CONTAS],$C165,LANÇ_MOV[PLANO DE CONTAS],REL_DRE_FINANCEIRO!$B$135,LANÇ_MOV[ANO PAGAMENTO],$B$4,LANÇ_MOV[MÊS PAGAMENTO CORRESPONDENTE],O$6,LANÇ_MOV[EMPRESA],$C$4,LANÇ_MOV[CENTRO DE CUSTOS],$D$4)</f>
        <v>0</v>
      </c>
      <c r="P165" s="207">
        <f t="shared" si="30"/>
        <v>0</v>
      </c>
      <c r="Q165" s="333">
        <v>3.9199999999999997E-5</v>
      </c>
      <c r="R165" s="346">
        <f t="shared" si="32"/>
        <v>3.9199999999999997E-5</v>
      </c>
      <c r="S165" s="347" t="str">
        <f t="shared" si="33"/>
        <v>-</v>
      </c>
      <c r="T165" s="347">
        <f t="shared" si="34"/>
        <v>0</v>
      </c>
      <c r="U165" s="347">
        <f>HLOOKUP(Apoio!$P$12,$D$134:$P$235,X165,FALSE)+Q165</f>
        <v>3.9199999999999997E-5</v>
      </c>
      <c r="V165" s="447" t="str">
        <f t="shared" si="31"/>
        <v>-</v>
      </c>
      <c r="W165" s="448">
        <f>HLOOKUP(Apoio!$P$12,$D$134:$P$235,X165,FALSE)</f>
        <v>0</v>
      </c>
      <c r="X165" s="329">
        <v>32</v>
      </c>
    </row>
    <row r="166" spans="2:24" ht="30.05" customHeight="1" x14ac:dyDescent="0.35">
      <c r="B166" s="204" t="str">
        <f>'CAD_PL_REC-DESP'!K35</f>
        <v>2.1.31</v>
      </c>
      <c r="C166" s="205" t="str">
        <f>IF('CAD_PL_REC-DESP'!L35="","-",'CAD_PL_REC-DESP'!L35)</f>
        <v>-</v>
      </c>
      <c r="D166" s="206">
        <f>SUMIFS(LANÇ_MOV[VALOR LÍQUIDO],LANÇ_MOV[RECEITA OU DESPESA],"Despesa",LANÇ_MOV[CONTAS],$C166,LANÇ_MOV[PLANO DE CONTAS],REL_DRE_FINANCEIRO!$B$135,LANÇ_MOV[ANO PAGAMENTO],$B$4,LANÇ_MOV[MÊS PAGAMENTO CORRESPONDENTE],D$6,LANÇ_MOV[EMPRESA],$C$4,LANÇ_MOV[CENTRO DE CUSTOS],$D$4)</f>
        <v>0</v>
      </c>
      <c r="E166" s="206">
        <f>SUMIFS(LANÇ_MOV[VALOR LÍQUIDO],LANÇ_MOV[RECEITA OU DESPESA],"Despesa",LANÇ_MOV[CONTAS],$C166,LANÇ_MOV[PLANO DE CONTAS],REL_DRE_FINANCEIRO!$B$135,LANÇ_MOV[ANO PAGAMENTO],$B$4,LANÇ_MOV[MÊS PAGAMENTO CORRESPONDENTE],E$6,LANÇ_MOV[EMPRESA],$C$4,LANÇ_MOV[CENTRO DE CUSTOS],$D$4)</f>
        <v>0</v>
      </c>
      <c r="F166" s="206">
        <f>SUMIFS(LANÇ_MOV[VALOR LÍQUIDO],LANÇ_MOV[RECEITA OU DESPESA],"Despesa",LANÇ_MOV[CONTAS],$C166,LANÇ_MOV[PLANO DE CONTAS],REL_DRE_FINANCEIRO!$B$135,LANÇ_MOV[ANO PAGAMENTO],$B$4,LANÇ_MOV[MÊS PAGAMENTO CORRESPONDENTE],F$6,LANÇ_MOV[EMPRESA],$C$4,LANÇ_MOV[CENTRO DE CUSTOS],$D$4)</f>
        <v>0</v>
      </c>
      <c r="G166" s="206">
        <f>SUMIFS(LANÇ_MOV[VALOR LÍQUIDO],LANÇ_MOV[RECEITA OU DESPESA],"Despesa",LANÇ_MOV[CONTAS],$C166,LANÇ_MOV[PLANO DE CONTAS],REL_DRE_FINANCEIRO!$B$135,LANÇ_MOV[ANO PAGAMENTO],$B$4,LANÇ_MOV[MÊS PAGAMENTO CORRESPONDENTE],G$6,LANÇ_MOV[EMPRESA],$C$4,LANÇ_MOV[CENTRO DE CUSTOS],$D$4)</f>
        <v>0</v>
      </c>
      <c r="H166" s="206">
        <f>SUMIFS(LANÇ_MOV[VALOR LÍQUIDO],LANÇ_MOV[RECEITA OU DESPESA],"Despesa",LANÇ_MOV[CONTAS],$C166,LANÇ_MOV[PLANO DE CONTAS],REL_DRE_FINANCEIRO!$B$135,LANÇ_MOV[ANO PAGAMENTO],$B$4,LANÇ_MOV[MÊS PAGAMENTO CORRESPONDENTE],H$6,LANÇ_MOV[EMPRESA],$C$4,LANÇ_MOV[CENTRO DE CUSTOS],$D$4)</f>
        <v>0</v>
      </c>
      <c r="I166" s="206">
        <f>SUMIFS(LANÇ_MOV[VALOR LÍQUIDO],LANÇ_MOV[RECEITA OU DESPESA],"Despesa",LANÇ_MOV[CONTAS],$C166,LANÇ_MOV[PLANO DE CONTAS],REL_DRE_FINANCEIRO!$B$135,LANÇ_MOV[ANO PAGAMENTO],$B$4,LANÇ_MOV[MÊS PAGAMENTO CORRESPONDENTE],I$6,LANÇ_MOV[EMPRESA],$C$4,LANÇ_MOV[CENTRO DE CUSTOS],$D$4)</f>
        <v>0</v>
      </c>
      <c r="J166" s="206">
        <f>SUMIFS(LANÇ_MOV[VALOR LÍQUIDO],LANÇ_MOV[RECEITA OU DESPESA],"Despesa",LANÇ_MOV[CONTAS],$C166,LANÇ_MOV[PLANO DE CONTAS],REL_DRE_FINANCEIRO!$B$135,LANÇ_MOV[ANO PAGAMENTO],$B$4,LANÇ_MOV[MÊS PAGAMENTO CORRESPONDENTE],J$6,LANÇ_MOV[EMPRESA],$C$4,LANÇ_MOV[CENTRO DE CUSTOS],$D$4)</f>
        <v>0</v>
      </c>
      <c r="K166" s="206">
        <f>SUMIFS(LANÇ_MOV[VALOR LÍQUIDO],LANÇ_MOV[RECEITA OU DESPESA],"Despesa",LANÇ_MOV[CONTAS],$C166,LANÇ_MOV[PLANO DE CONTAS],REL_DRE_FINANCEIRO!$B$135,LANÇ_MOV[ANO PAGAMENTO],$B$4,LANÇ_MOV[MÊS PAGAMENTO CORRESPONDENTE],K$6,LANÇ_MOV[EMPRESA],$C$4,LANÇ_MOV[CENTRO DE CUSTOS],$D$4)</f>
        <v>0</v>
      </c>
      <c r="L166" s="206">
        <f>SUMIFS(LANÇ_MOV[VALOR LÍQUIDO],LANÇ_MOV[RECEITA OU DESPESA],"Despesa",LANÇ_MOV[CONTAS],$C166,LANÇ_MOV[PLANO DE CONTAS],REL_DRE_FINANCEIRO!$B$135,LANÇ_MOV[ANO PAGAMENTO],$B$4,LANÇ_MOV[MÊS PAGAMENTO CORRESPONDENTE],L$6,LANÇ_MOV[EMPRESA],$C$4,LANÇ_MOV[CENTRO DE CUSTOS],$D$4)</f>
        <v>0</v>
      </c>
      <c r="M166" s="206">
        <f>SUMIFS(LANÇ_MOV[VALOR LÍQUIDO],LANÇ_MOV[RECEITA OU DESPESA],"Despesa",LANÇ_MOV[CONTAS],$C166,LANÇ_MOV[PLANO DE CONTAS],REL_DRE_FINANCEIRO!$B$135,LANÇ_MOV[ANO PAGAMENTO],$B$4,LANÇ_MOV[MÊS PAGAMENTO CORRESPONDENTE],M$6,LANÇ_MOV[EMPRESA],$C$4,LANÇ_MOV[CENTRO DE CUSTOS],$D$4)</f>
        <v>0</v>
      </c>
      <c r="N166" s="206">
        <f>SUMIFS(LANÇ_MOV[VALOR LÍQUIDO],LANÇ_MOV[RECEITA OU DESPESA],"Despesa",LANÇ_MOV[CONTAS],$C166,LANÇ_MOV[PLANO DE CONTAS],REL_DRE_FINANCEIRO!$B$135,LANÇ_MOV[ANO PAGAMENTO],$B$4,LANÇ_MOV[MÊS PAGAMENTO CORRESPONDENTE],N$6,LANÇ_MOV[EMPRESA],$C$4,LANÇ_MOV[CENTRO DE CUSTOS],$D$4)</f>
        <v>0</v>
      </c>
      <c r="O166" s="206">
        <f>SUMIFS(LANÇ_MOV[VALOR LÍQUIDO],LANÇ_MOV[RECEITA OU DESPESA],"Despesa",LANÇ_MOV[CONTAS],$C166,LANÇ_MOV[PLANO DE CONTAS],REL_DRE_FINANCEIRO!$B$135,LANÇ_MOV[ANO PAGAMENTO],$B$4,LANÇ_MOV[MÊS PAGAMENTO CORRESPONDENTE],O$6,LANÇ_MOV[EMPRESA],$C$4,LANÇ_MOV[CENTRO DE CUSTOS],$D$4)</f>
        <v>0</v>
      </c>
      <c r="P166" s="207">
        <f t="shared" si="30"/>
        <v>0</v>
      </c>
      <c r="Q166" s="333">
        <v>3.9100000000000002E-5</v>
      </c>
      <c r="R166" s="346">
        <f t="shared" si="32"/>
        <v>3.9100000000000002E-5</v>
      </c>
      <c r="S166" s="347" t="str">
        <f t="shared" si="33"/>
        <v>-</v>
      </c>
      <c r="T166" s="347">
        <f t="shared" si="34"/>
        <v>0</v>
      </c>
      <c r="U166" s="347">
        <f>HLOOKUP(Apoio!$P$12,$D$134:$P$235,X166,FALSE)+Q166</f>
        <v>3.9100000000000002E-5</v>
      </c>
      <c r="V166" s="447" t="str">
        <f t="shared" si="31"/>
        <v>-</v>
      </c>
      <c r="W166" s="448">
        <f>HLOOKUP(Apoio!$P$12,$D$134:$P$235,X166,FALSE)</f>
        <v>0</v>
      </c>
      <c r="X166" s="329">
        <v>33</v>
      </c>
    </row>
    <row r="167" spans="2:24" ht="30.05" customHeight="1" x14ac:dyDescent="0.35">
      <c r="B167" s="204" t="str">
        <f>'CAD_PL_REC-DESP'!K36</f>
        <v>2.1.32</v>
      </c>
      <c r="C167" s="205" t="str">
        <f>IF('CAD_PL_REC-DESP'!L36="","-",'CAD_PL_REC-DESP'!L36)</f>
        <v>-</v>
      </c>
      <c r="D167" s="206">
        <f>SUMIFS(LANÇ_MOV[VALOR LÍQUIDO],LANÇ_MOV[RECEITA OU DESPESA],"Despesa",LANÇ_MOV[CONTAS],$C167,LANÇ_MOV[PLANO DE CONTAS],REL_DRE_FINANCEIRO!$B$135,LANÇ_MOV[ANO PAGAMENTO],$B$4,LANÇ_MOV[MÊS PAGAMENTO CORRESPONDENTE],D$6,LANÇ_MOV[EMPRESA],$C$4,LANÇ_MOV[CENTRO DE CUSTOS],$D$4)</f>
        <v>0</v>
      </c>
      <c r="E167" s="206">
        <f>SUMIFS(LANÇ_MOV[VALOR LÍQUIDO],LANÇ_MOV[RECEITA OU DESPESA],"Despesa",LANÇ_MOV[CONTAS],$C167,LANÇ_MOV[PLANO DE CONTAS],REL_DRE_FINANCEIRO!$B$135,LANÇ_MOV[ANO PAGAMENTO],$B$4,LANÇ_MOV[MÊS PAGAMENTO CORRESPONDENTE],E$6,LANÇ_MOV[EMPRESA],$C$4,LANÇ_MOV[CENTRO DE CUSTOS],$D$4)</f>
        <v>0</v>
      </c>
      <c r="F167" s="206">
        <f>SUMIFS(LANÇ_MOV[VALOR LÍQUIDO],LANÇ_MOV[RECEITA OU DESPESA],"Despesa",LANÇ_MOV[CONTAS],$C167,LANÇ_MOV[PLANO DE CONTAS],REL_DRE_FINANCEIRO!$B$135,LANÇ_MOV[ANO PAGAMENTO],$B$4,LANÇ_MOV[MÊS PAGAMENTO CORRESPONDENTE],F$6,LANÇ_MOV[EMPRESA],$C$4,LANÇ_MOV[CENTRO DE CUSTOS],$D$4)</f>
        <v>0</v>
      </c>
      <c r="G167" s="206">
        <f>SUMIFS(LANÇ_MOV[VALOR LÍQUIDO],LANÇ_MOV[RECEITA OU DESPESA],"Despesa",LANÇ_MOV[CONTAS],$C167,LANÇ_MOV[PLANO DE CONTAS],REL_DRE_FINANCEIRO!$B$135,LANÇ_MOV[ANO PAGAMENTO],$B$4,LANÇ_MOV[MÊS PAGAMENTO CORRESPONDENTE],G$6,LANÇ_MOV[EMPRESA],$C$4,LANÇ_MOV[CENTRO DE CUSTOS],$D$4)</f>
        <v>0</v>
      </c>
      <c r="H167" s="206">
        <f>SUMIFS(LANÇ_MOV[VALOR LÍQUIDO],LANÇ_MOV[RECEITA OU DESPESA],"Despesa",LANÇ_MOV[CONTAS],$C167,LANÇ_MOV[PLANO DE CONTAS],REL_DRE_FINANCEIRO!$B$135,LANÇ_MOV[ANO PAGAMENTO],$B$4,LANÇ_MOV[MÊS PAGAMENTO CORRESPONDENTE],H$6,LANÇ_MOV[EMPRESA],$C$4,LANÇ_MOV[CENTRO DE CUSTOS],$D$4)</f>
        <v>0</v>
      </c>
      <c r="I167" s="206">
        <f>SUMIFS(LANÇ_MOV[VALOR LÍQUIDO],LANÇ_MOV[RECEITA OU DESPESA],"Despesa",LANÇ_MOV[CONTAS],$C167,LANÇ_MOV[PLANO DE CONTAS],REL_DRE_FINANCEIRO!$B$135,LANÇ_MOV[ANO PAGAMENTO],$B$4,LANÇ_MOV[MÊS PAGAMENTO CORRESPONDENTE],I$6,LANÇ_MOV[EMPRESA],$C$4,LANÇ_MOV[CENTRO DE CUSTOS],$D$4)</f>
        <v>0</v>
      </c>
      <c r="J167" s="206">
        <f>SUMIFS(LANÇ_MOV[VALOR LÍQUIDO],LANÇ_MOV[RECEITA OU DESPESA],"Despesa",LANÇ_MOV[CONTAS],$C167,LANÇ_MOV[PLANO DE CONTAS],REL_DRE_FINANCEIRO!$B$135,LANÇ_MOV[ANO PAGAMENTO],$B$4,LANÇ_MOV[MÊS PAGAMENTO CORRESPONDENTE],J$6,LANÇ_MOV[EMPRESA],$C$4,LANÇ_MOV[CENTRO DE CUSTOS],$D$4)</f>
        <v>0</v>
      </c>
      <c r="K167" s="206">
        <f>SUMIFS(LANÇ_MOV[VALOR LÍQUIDO],LANÇ_MOV[RECEITA OU DESPESA],"Despesa",LANÇ_MOV[CONTAS],$C167,LANÇ_MOV[PLANO DE CONTAS],REL_DRE_FINANCEIRO!$B$135,LANÇ_MOV[ANO PAGAMENTO],$B$4,LANÇ_MOV[MÊS PAGAMENTO CORRESPONDENTE],K$6,LANÇ_MOV[EMPRESA],$C$4,LANÇ_MOV[CENTRO DE CUSTOS],$D$4)</f>
        <v>0</v>
      </c>
      <c r="L167" s="206">
        <f>SUMIFS(LANÇ_MOV[VALOR LÍQUIDO],LANÇ_MOV[RECEITA OU DESPESA],"Despesa",LANÇ_MOV[CONTAS],$C167,LANÇ_MOV[PLANO DE CONTAS],REL_DRE_FINANCEIRO!$B$135,LANÇ_MOV[ANO PAGAMENTO],$B$4,LANÇ_MOV[MÊS PAGAMENTO CORRESPONDENTE],L$6,LANÇ_MOV[EMPRESA],$C$4,LANÇ_MOV[CENTRO DE CUSTOS],$D$4)</f>
        <v>0</v>
      </c>
      <c r="M167" s="206">
        <f>SUMIFS(LANÇ_MOV[VALOR LÍQUIDO],LANÇ_MOV[RECEITA OU DESPESA],"Despesa",LANÇ_MOV[CONTAS],$C167,LANÇ_MOV[PLANO DE CONTAS],REL_DRE_FINANCEIRO!$B$135,LANÇ_MOV[ANO PAGAMENTO],$B$4,LANÇ_MOV[MÊS PAGAMENTO CORRESPONDENTE],M$6,LANÇ_MOV[EMPRESA],$C$4,LANÇ_MOV[CENTRO DE CUSTOS],$D$4)</f>
        <v>0</v>
      </c>
      <c r="N167" s="206">
        <f>SUMIFS(LANÇ_MOV[VALOR LÍQUIDO],LANÇ_MOV[RECEITA OU DESPESA],"Despesa",LANÇ_MOV[CONTAS],$C167,LANÇ_MOV[PLANO DE CONTAS],REL_DRE_FINANCEIRO!$B$135,LANÇ_MOV[ANO PAGAMENTO],$B$4,LANÇ_MOV[MÊS PAGAMENTO CORRESPONDENTE],N$6,LANÇ_MOV[EMPRESA],$C$4,LANÇ_MOV[CENTRO DE CUSTOS],$D$4)</f>
        <v>0</v>
      </c>
      <c r="O167" s="206">
        <f>SUMIFS(LANÇ_MOV[VALOR LÍQUIDO],LANÇ_MOV[RECEITA OU DESPESA],"Despesa",LANÇ_MOV[CONTAS],$C167,LANÇ_MOV[PLANO DE CONTAS],REL_DRE_FINANCEIRO!$B$135,LANÇ_MOV[ANO PAGAMENTO],$B$4,LANÇ_MOV[MÊS PAGAMENTO CORRESPONDENTE],O$6,LANÇ_MOV[EMPRESA],$C$4,LANÇ_MOV[CENTRO DE CUSTOS],$D$4)</f>
        <v>0</v>
      </c>
      <c r="P167" s="207">
        <f t="shared" si="30"/>
        <v>0</v>
      </c>
      <c r="Q167" s="333">
        <v>3.8999999999999999E-5</v>
      </c>
      <c r="R167" s="346">
        <f t="shared" si="32"/>
        <v>3.8999999999999999E-5</v>
      </c>
      <c r="S167" s="347" t="str">
        <f t="shared" si="33"/>
        <v>-</v>
      </c>
      <c r="T167" s="347">
        <f t="shared" si="34"/>
        <v>0</v>
      </c>
      <c r="U167" s="347">
        <f>HLOOKUP(Apoio!$P$12,$D$134:$P$235,X167,FALSE)+Q167</f>
        <v>3.8999999999999999E-5</v>
      </c>
      <c r="V167" s="447" t="str">
        <f t="shared" si="31"/>
        <v>-</v>
      </c>
      <c r="W167" s="448">
        <f>HLOOKUP(Apoio!$P$12,$D$134:$P$235,X167,FALSE)</f>
        <v>0</v>
      </c>
      <c r="X167" s="329">
        <v>34</v>
      </c>
    </row>
    <row r="168" spans="2:24" ht="30.05" customHeight="1" x14ac:dyDescent="0.35">
      <c r="B168" s="204" t="str">
        <f>'CAD_PL_REC-DESP'!K37</f>
        <v>2.1.33</v>
      </c>
      <c r="C168" s="205" t="str">
        <f>IF('CAD_PL_REC-DESP'!L37="","-",'CAD_PL_REC-DESP'!L37)</f>
        <v>-</v>
      </c>
      <c r="D168" s="206">
        <f>SUMIFS(LANÇ_MOV[VALOR LÍQUIDO],LANÇ_MOV[RECEITA OU DESPESA],"Despesa",LANÇ_MOV[CONTAS],$C168,LANÇ_MOV[PLANO DE CONTAS],REL_DRE_FINANCEIRO!$B$135,LANÇ_MOV[ANO PAGAMENTO],$B$4,LANÇ_MOV[MÊS PAGAMENTO CORRESPONDENTE],D$6,LANÇ_MOV[EMPRESA],$C$4,LANÇ_MOV[CENTRO DE CUSTOS],$D$4)</f>
        <v>0</v>
      </c>
      <c r="E168" s="206">
        <f>SUMIFS(LANÇ_MOV[VALOR LÍQUIDO],LANÇ_MOV[RECEITA OU DESPESA],"Despesa",LANÇ_MOV[CONTAS],$C168,LANÇ_MOV[PLANO DE CONTAS],REL_DRE_FINANCEIRO!$B$135,LANÇ_MOV[ANO PAGAMENTO],$B$4,LANÇ_MOV[MÊS PAGAMENTO CORRESPONDENTE],E$6,LANÇ_MOV[EMPRESA],$C$4,LANÇ_MOV[CENTRO DE CUSTOS],$D$4)</f>
        <v>0</v>
      </c>
      <c r="F168" s="206">
        <f>SUMIFS(LANÇ_MOV[VALOR LÍQUIDO],LANÇ_MOV[RECEITA OU DESPESA],"Despesa",LANÇ_MOV[CONTAS],$C168,LANÇ_MOV[PLANO DE CONTAS],REL_DRE_FINANCEIRO!$B$135,LANÇ_MOV[ANO PAGAMENTO],$B$4,LANÇ_MOV[MÊS PAGAMENTO CORRESPONDENTE],F$6,LANÇ_MOV[EMPRESA],$C$4,LANÇ_MOV[CENTRO DE CUSTOS],$D$4)</f>
        <v>0</v>
      </c>
      <c r="G168" s="206">
        <f>SUMIFS(LANÇ_MOV[VALOR LÍQUIDO],LANÇ_MOV[RECEITA OU DESPESA],"Despesa",LANÇ_MOV[CONTAS],$C168,LANÇ_MOV[PLANO DE CONTAS],REL_DRE_FINANCEIRO!$B$135,LANÇ_MOV[ANO PAGAMENTO],$B$4,LANÇ_MOV[MÊS PAGAMENTO CORRESPONDENTE],G$6,LANÇ_MOV[EMPRESA],$C$4,LANÇ_MOV[CENTRO DE CUSTOS],$D$4)</f>
        <v>0</v>
      </c>
      <c r="H168" s="206">
        <f>SUMIFS(LANÇ_MOV[VALOR LÍQUIDO],LANÇ_MOV[RECEITA OU DESPESA],"Despesa",LANÇ_MOV[CONTAS],$C168,LANÇ_MOV[PLANO DE CONTAS],REL_DRE_FINANCEIRO!$B$135,LANÇ_MOV[ANO PAGAMENTO],$B$4,LANÇ_MOV[MÊS PAGAMENTO CORRESPONDENTE],H$6,LANÇ_MOV[EMPRESA],$C$4,LANÇ_MOV[CENTRO DE CUSTOS],$D$4)</f>
        <v>0</v>
      </c>
      <c r="I168" s="206">
        <f>SUMIFS(LANÇ_MOV[VALOR LÍQUIDO],LANÇ_MOV[RECEITA OU DESPESA],"Despesa",LANÇ_MOV[CONTAS],$C168,LANÇ_MOV[PLANO DE CONTAS],REL_DRE_FINANCEIRO!$B$135,LANÇ_MOV[ANO PAGAMENTO],$B$4,LANÇ_MOV[MÊS PAGAMENTO CORRESPONDENTE],I$6,LANÇ_MOV[EMPRESA],$C$4,LANÇ_MOV[CENTRO DE CUSTOS],$D$4)</f>
        <v>0</v>
      </c>
      <c r="J168" s="206">
        <f>SUMIFS(LANÇ_MOV[VALOR LÍQUIDO],LANÇ_MOV[RECEITA OU DESPESA],"Despesa",LANÇ_MOV[CONTAS],$C168,LANÇ_MOV[PLANO DE CONTAS],REL_DRE_FINANCEIRO!$B$135,LANÇ_MOV[ANO PAGAMENTO],$B$4,LANÇ_MOV[MÊS PAGAMENTO CORRESPONDENTE],J$6,LANÇ_MOV[EMPRESA],$C$4,LANÇ_MOV[CENTRO DE CUSTOS],$D$4)</f>
        <v>0</v>
      </c>
      <c r="K168" s="206">
        <f>SUMIFS(LANÇ_MOV[VALOR LÍQUIDO],LANÇ_MOV[RECEITA OU DESPESA],"Despesa",LANÇ_MOV[CONTAS],$C168,LANÇ_MOV[PLANO DE CONTAS],REL_DRE_FINANCEIRO!$B$135,LANÇ_MOV[ANO PAGAMENTO],$B$4,LANÇ_MOV[MÊS PAGAMENTO CORRESPONDENTE],K$6,LANÇ_MOV[EMPRESA],$C$4,LANÇ_MOV[CENTRO DE CUSTOS],$D$4)</f>
        <v>0</v>
      </c>
      <c r="L168" s="206">
        <f>SUMIFS(LANÇ_MOV[VALOR LÍQUIDO],LANÇ_MOV[RECEITA OU DESPESA],"Despesa",LANÇ_MOV[CONTAS],$C168,LANÇ_MOV[PLANO DE CONTAS],REL_DRE_FINANCEIRO!$B$135,LANÇ_MOV[ANO PAGAMENTO],$B$4,LANÇ_MOV[MÊS PAGAMENTO CORRESPONDENTE],L$6,LANÇ_MOV[EMPRESA],$C$4,LANÇ_MOV[CENTRO DE CUSTOS],$D$4)</f>
        <v>0</v>
      </c>
      <c r="M168" s="206">
        <f>SUMIFS(LANÇ_MOV[VALOR LÍQUIDO],LANÇ_MOV[RECEITA OU DESPESA],"Despesa",LANÇ_MOV[CONTAS],$C168,LANÇ_MOV[PLANO DE CONTAS],REL_DRE_FINANCEIRO!$B$135,LANÇ_MOV[ANO PAGAMENTO],$B$4,LANÇ_MOV[MÊS PAGAMENTO CORRESPONDENTE],M$6,LANÇ_MOV[EMPRESA],$C$4,LANÇ_MOV[CENTRO DE CUSTOS],$D$4)</f>
        <v>0</v>
      </c>
      <c r="N168" s="206">
        <f>SUMIFS(LANÇ_MOV[VALOR LÍQUIDO],LANÇ_MOV[RECEITA OU DESPESA],"Despesa",LANÇ_MOV[CONTAS],$C168,LANÇ_MOV[PLANO DE CONTAS],REL_DRE_FINANCEIRO!$B$135,LANÇ_MOV[ANO PAGAMENTO],$B$4,LANÇ_MOV[MÊS PAGAMENTO CORRESPONDENTE],N$6,LANÇ_MOV[EMPRESA],$C$4,LANÇ_MOV[CENTRO DE CUSTOS],$D$4)</f>
        <v>0</v>
      </c>
      <c r="O168" s="206">
        <f>SUMIFS(LANÇ_MOV[VALOR LÍQUIDO],LANÇ_MOV[RECEITA OU DESPESA],"Despesa",LANÇ_MOV[CONTAS],$C168,LANÇ_MOV[PLANO DE CONTAS],REL_DRE_FINANCEIRO!$B$135,LANÇ_MOV[ANO PAGAMENTO],$B$4,LANÇ_MOV[MÊS PAGAMENTO CORRESPONDENTE],O$6,LANÇ_MOV[EMPRESA],$C$4,LANÇ_MOV[CENTRO DE CUSTOS],$D$4)</f>
        <v>0</v>
      </c>
      <c r="P168" s="207">
        <f t="shared" si="30"/>
        <v>0</v>
      </c>
      <c r="Q168" s="333">
        <v>3.8899999999999997E-5</v>
      </c>
      <c r="R168" s="346">
        <f t="shared" si="32"/>
        <v>3.8899999999999997E-5</v>
      </c>
      <c r="S168" s="347" t="str">
        <f t="shared" si="33"/>
        <v>-</v>
      </c>
      <c r="T168" s="347">
        <f t="shared" si="34"/>
        <v>0</v>
      </c>
      <c r="U168" s="347">
        <f>HLOOKUP(Apoio!$P$12,$D$134:$P$235,X168,FALSE)+Q168</f>
        <v>3.8899999999999997E-5</v>
      </c>
      <c r="V168" s="447" t="str">
        <f t="shared" si="31"/>
        <v>-</v>
      </c>
      <c r="W168" s="448">
        <f>HLOOKUP(Apoio!$P$12,$D$134:$P$235,X168,FALSE)</f>
        <v>0</v>
      </c>
      <c r="X168" s="329">
        <v>35</v>
      </c>
    </row>
    <row r="169" spans="2:24" ht="30.05" customHeight="1" x14ac:dyDescent="0.35">
      <c r="B169" s="204" t="str">
        <f>'CAD_PL_REC-DESP'!K38</f>
        <v>2.1.34</v>
      </c>
      <c r="C169" s="205" t="str">
        <f>IF('CAD_PL_REC-DESP'!L38="","-",'CAD_PL_REC-DESP'!L38)</f>
        <v>-</v>
      </c>
      <c r="D169" s="206">
        <f>SUMIFS(LANÇ_MOV[VALOR LÍQUIDO],LANÇ_MOV[RECEITA OU DESPESA],"Despesa",LANÇ_MOV[CONTAS],$C169,LANÇ_MOV[PLANO DE CONTAS],REL_DRE_FINANCEIRO!$B$135,LANÇ_MOV[ANO PAGAMENTO],$B$4,LANÇ_MOV[MÊS PAGAMENTO CORRESPONDENTE],D$6,LANÇ_MOV[EMPRESA],$C$4,LANÇ_MOV[CENTRO DE CUSTOS],$D$4)</f>
        <v>0</v>
      </c>
      <c r="E169" s="206">
        <f>SUMIFS(LANÇ_MOV[VALOR LÍQUIDO],LANÇ_MOV[RECEITA OU DESPESA],"Despesa",LANÇ_MOV[CONTAS],$C169,LANÇ_MOV[PLANO DE CONTAS],REL_DRE_FINANCEIRO!$B$135,LANÇ_MOV[ANO PAGAMENTO],$B$4,LANÇ_MOV[MÊS PAGAMENTO CORRESPONDENTE],E$6,LANÇ_MOV[EMPRESA],$C$4,LANÇ_MOV[CENTRO DE CUSTOS],$D$4)</f>
        <v>0</v>
      </c>
      <c r="F169" s="206">
        <f>SUMIFS(LANÇ_MOV[VALOR LÍQUIDO],LANÇ_MOV[RECEITA OU DESPESA],"Despesa",LANÇ_MOV[CONTAS],$C169,LANÇ_MOV[PLANO DE CONTAS],REL_DRE_FINANCEIRO!$B$135,LANÇ_MOV[ANO PAGAMENTO],$B$4,LANÇ_MOV[MÊS PAGAMENTO CORRESPONDENTE],F$6,LANÇ_MOV[EMPRESA],$C$4,LANÇ_MOV[CENTRO DE CUSTOS],$D$4)</f>
        <v>0</v>
      </c>
      <c r="G169" s="206">
        <f>SUMIFS(LANÇ_MOV[VALOR LÍQUIDO],LANÇ_MOV[RECEITA OU DESPESA],"Despesa",LANÇ_MOV[CONTAS],$C169,LANÇ_MOV[PLANO DE CONTAS],REL_DRE_FINANCEIRO!$B$135,LANÇ_MOV[ANO PAGAMENTO],$B$4,LANÇ_MOV[MÊS PAGAMENTO CORRESPONDENTE],G$6,LANÇ_MOV[EMPRESA],$C$4,LANÇ_MOV[CENTRO DE CUSTOS],$D$4)</f>
        <v>0</v>
      </c>
      <c r="H169" s="206">
        <f>SUMIFS(LANÇ_MOV[VALOR LÍQUIDO],LANÇ_MOV[RECEITA OU DESPESA],"Despesa",LANÇ_MOV[CONTAS],$C169,LANÇ_MOV[PLANO DE CONTAS],REL_DRE_FINANCEIRO!$B$135,LANÇ_MOV[ANO PAGAMENTO],$B$4,LANÇ_MOV[MÊS PAGAMENTO CORRESPONDENTE],H$6,LANÇ_MOV[EMPRESA],$C$4,LANÇ_MOV[CENTRO DE CUSTOS],$D$4)</f>
        <v>0</v>
      </c>
      <c r="I169" s="206">
        <f>SUMIFS(LANÇ_MOV[VALOR LÍQUIDO],LANÇ_MOV[RECEITA OU DESPESA],"Despesa",LANÇ_MOV[CONTAS],$C169,LANÇ_MOV[PLANO DE CONTAS],REL_DRE_FINANCEIRO!$B$135,LANÇ_MOV[ANO PAGAMENTO],$B$4,LANÇ_MOV[MÊS PAGAMENTO CORRESPONDENTE],I$6,LANÇ_MOV[EMPRESA],$C$4,LANÇ_MOV[CENTRO DE CUSTOS],$D$4)</f>
        <v>0</v>
      </c>
      <c r="J169" s="206">
        <f>SUMIFS(LANÇ_MOV[VALOR LÍQUIDO],LANÇ_MOV[RECEITA OU DESPESA],"Despesa",LANÇ_MOV[CONTAS],$C169,LANÇ_MOV[PLANO DE CONTAS],REL_DRE_FINANCEIRO!$B$135,LANÇ_MOV[ANO PAGAMENTO],$B$4,LANÇ_MOV[MÊS PAGAMENTO CORRESPONDENTE],J$6,LANÇ_MOV[EMPRESA],$C$4,LANÇ_MOV[CENTRO DE CUSTOS],$D$4)</f>
        <v>0</v>
      </c>
      <c r="K169" s="206">
        <f>SUMIFS(LANÇ_MOV[VALOR LÍQUIDO],LANÇ_MOV[RECEITA OU DESPESA],"Despesa",LANÇ_MOV[CONTAS],$C169,LANÇ_MOV[PLANO DE CONTAS],REL_DRE_FINANCEIRO!$B$135,LANÇ_MOV[ANO PAGAMENTO],$B$4,LANÇ_MOV[MÊS PAGAMENTO CORRESPONDENTE],K$6,LANÇ_MOV[EMPRESA],$C$4,LANÇ_MOV[CENTRO DE CUSTOS],$D$4)</f>
        <v>0</v>
      </c>
      <c r="L169" s="206">
        <f>SUMIFS(LANÇ_MOV[VALOR LÍQUIDO],LANÇ_MOV[RECEITA OU DESPESA],"Despesa",LANÇ_MOV[CONTAS],$C169,LANÇ_MOV[PLANO DE CONTAS],REL_DRE_FINANCEIRO!$B$135,LANÇ_MOV[ANO PAGAMENTO],$B$4,LANÇ_MOV[MÊS PAGAMENTO CORRESPONDENTE],L$6,LANÇ_MOV[EMPRESA],$C$4,LANÇ_MOV[CENTRO DE CUSTOS],$D$4)</f>
        <v>0</v>
      </c>
      <c r="M169" s="206">
        <f>SUMIFS(LANÇ_MOV[VALOR LÍQUIDO],LANÇ_MOV[RECEITA OU DESPESA],"Despesa",LANÇ_MOV[CONTAS],$C169,LANÇ_MOV[PLANO DE CONTAS],REL_DRE_FINANCEIRO!$B$135,LANÇ_MOV[ANO PAGAMENTO],$B$4,LANÇ_MOV[MÊS PAGAMENTO CORRESPONDENTE],M$6,LANÇ_MOV[EMPRESA],$C$4,LANÇ_MOV[CENTRO DE CUSTOS],$D$4)</f>
        <v>0</v>
      </c>
      <c r="N169" s="206">
        <f>SUMIFS(LANÇ_MOV[VALOR LÍQUIDO],LANÇ_MOV[RECEITA OU DESPESA],"Despesa",LANÇ_MOV[CONTAS],$C169,LANÇ_MOV[PLANO DE CONTAS],REL_DRE_FINANCEIRO!$B$135,LANÇ_MOV[ANO PAGAMENTO],$B$4,LANÇ_MOV[MÊS PAGAMENTO CORRESPONDENTE],N$6,LANÇ_MOV[EMPRESA],$C$4,LANÇ_MOV[CENTRO DE CUSTOS],$D$4)</f>
        <v>0</v>
      </c>
      <c r="O169" s="206">
        <f>SUMIFS(LANÇ_MOV[VALOR LÍQUIDO],LANÇ_MOV[RECEITA OU DESPESA],"Despesa",LANÇ_MOV[CONTAS],$C169,LANÇ_MOV[PLANO DE CONTAS],REL_DRE_FINANCEIRO!$B$135,LANÇ_MOV[ANO PAGAMENTO],$B$4,LANÇ_MOV[MÊS PAGAMENTO CORRESPONDENTE],O$6,LANÇ_MOV[EMPRESA],$C$4,LANÇ_MOV[CENTRO DE CUSTOS],$D$4)</f>
        <v>0</v>
      </c>
      <c r="P169" s="207">
        <f t="shared" si="30"/>
        <v>0</v>
      </c>
      <c r="Q169" s="333">
        <v>3.8800000000000001E-5</v>
      </c>
      <c r="R169" s="346">
        <f t="shared" si="32"/>
        <v>3.8800000000000001E-5</v>
      </c>
      <c r="S169" s="347" t="str">
        <f t="shared" si="33"/>
        <v>-</v>
      </c>
      <c r="T169" s="347">
        <f t="shared" si="34"/>
        <v>0</v>
      </c>
      <c r="U169" s="347">
        <f>HLOOKUP(Apoio!$P$12,$D$134:$P$235,X169,FALSE)+Q169</f>
        <v>3.8800000000000001E-5</v>
      </c>
      <c r="V169" s="447" t="str">
        <f t="shared" si="31"/>
        <v>-</v>
      </c>
      <c r="W169" s="448">
        <f>HLOOKUP(Apoio!$P$12,$D$134:$P$235,X169,FALSE)</f>
        <v>0</v>
      </c>
      <c r="X169" s="329">
        <v>36</v>
      </c>
    </row>
    <row r="170" spans="2:24" ht="30.05" customHeight="1" x14ac:dyDescent="0.35">
      <c r="B170" s="204" t="str">
        <f>'CAD_PL_REC-DESP'!K39</f>
        <v>2.1.35</v>
      </c>
      <c r="C170" s="205" t="str">
        <f>IF('CAD_PL_REC-DESP'!L39="","-",'CAD_PL_REC-DESP'!L39)</f>
        <v>-</v>
      </c>
      <c r="D170" s="206">
        <f>SUMIFS(LANÇ_MOV[VALOR LÍQUIDO],LANÇ_MOV[RECEITA OU DESPESA],"Despesa",LANÇ_MOV[CONTAS],$C170,LANÇ_MOV[PLANO DE CONTAS],REL_DRE_FINANCEIRO!$B$135,LANÇ_MOV[ANO PAGAMENTO],$B$4,LANÇ_MOV[MÊS PAGAMENTO CORRESPONDENTE],D$6,LANÇ_MOV[EMPRESA],$C$4,LANÇ_MOV[CENTRO DE CUSTOS],$D$4)</f>
        <v>0</v>
      </c>
      <c r="E170" s="206">
        <f>SUMIFS(LANÇ_MOV[VALOR LÍQUIDO],LANÇ_MOV[RECEITA OU DESPESA],"Despesa",LANÇ_MOV[CONTAS],$C170,LANÇ_MOV[PLANO DE CONTAS],REL_DRE_FINANCEIRO!$B$135,LANÇ_MOV[ANO PAGAMENTO],$B$4,LANÇ_MOV[MÊS PAGAMENTO CORRESPONDENTE],E$6,LANÇ_MOV[EMPRESA],$C$4,LANÇ_MOV[CENTRO DE CUSTOS],$D$4)</f>
        <v>0</v>
      </c>
      <c r="F170" s="206">
        <f>SUMIFS(LANÇ_MOV[VALOR LÍQUIDO],LANÇ_MOV[RECEITA OU DESPESA],"Despesa",LANÇ_MOV[CONTAS],$C170,LANÇ_MOV[PLANO DE CONTAS],REL_DRE_FINANCEIRO!$B$135,LANÇ_MOV[ANO PAGAMENTO],$B$4,LANÇ_MOV[MÊS PAGAMENTO CORRESPONDENTE],F$6,LANÇ_MOV[EMPRESA],$C$4,LANÇ_MOV[CENTRO DE CUSTOS],$D$4)</f>
        <v>0</v>
      </c>
      <c r="G170" s="206">
        <f>SUMIFS(LANÇ_MOV[VALOR LÍQUIDO],LANÇ_MOV[RECEITA OU DESPESA],"Despesa",LANÇ_MOV[CONTAS],$C170,LANÇ_MOV[PLANO DE CONTAS],REL_DRE_FINANCEIRO!$B$135,LANÇ_MOV[ANO PAGAMENTO],$B$4,LANÇ_MOV[MÊS PAGAMENTO CORRESPONDENTE],G$6,LANÇ_MOV[EMPRESA],$C$4,LANÇ_MOV[CENTRO DE CUSTOS],$D$4)</f>
        <v>0</v>
      </c>
      <c r="H170" s="206">
        <f>SUMIFS(LANÇ_MOV[VALOR LÍQUIDO],LANÇ_MOV[RECEITA OU DESPESA],"Despesa",LANÇ_MOV[CONTAS],$C170,LANÇ_MOV[PLANO DE CONTAS],REL_DRE_FINANCEIRO!$B$135,LANÇ_MOV[ANO PAGAMENTO],$B$4,LANÇ_MOV[MÊS PAGAMENTO CORRESPONDENTE],H$6,LANÇ_MOV[EMPRESA],$C$4,LANÇ_MOV[CENTRO DE CUSTOS],$D$4)</f>
        <v>0</v>
      </c>
      <c r="I170" s="206">
        <f>SUMIFS(LANÇ_MOV[VALOR LÍQUIDO],LANÇ_MOV[RECEITA OU DESPESA],"Despesa",LANÇ_MOV[CONTAS],$C170,LANÇ_MOV[PLANO DE CONTAS],REL_DRE_FINANCEIRO!$B$135,LANÇ_MOV[ANO PAGAMENTO],$B$4,LANÇ_MOV[MÊS PAGAMENTO CORRESPONDENTE],I$6,LANÇ_MOV[EMPRESA],$C$4,LANÇ_MOV[CENTRO DE CUSTOS],$D$4)</f>
        <v>0</v>
      </c>
      <c r="J170" s="206">
        <f>SUMIFS(LANÇ_MOV[VALOR LÍQUIDO],LANÇ_MOV[RECEITA OU DESPESA],"Despesa",LANÇ_MOV[CONTAS],$C170,LANÇ_MOV[PLANO DE CONTAS],REL_DRE_FINANCEIRO!$B$135,LANÇ_MOV[ANO PAGAMENTO],$B$4,LANÇ_MOV[MÊS PAGAMENTO CORRESPONDENTE],J$6,LANÇ_MOV[EMPRESA],$C$4,LANÇ_MOV[CENTRO DE CUSTOS],$D$4)</f>
        <v>0</v>
      </c>
      <c r="K170" s="206">
        <f>SUMIFS(LANÇ_MOV[VALOR LÍQUIDO],LANÇ_MOV[RECEITA OU DESPESA],"Despesa",LANÇ_MOV[CONTAS],$C170,LANÇ_MOV[PLANO DE CONTAS],REL_DRE_FINANCEIRO!$B$135,LANÇ_MOV[ANO PAGAMENTO],$B$4,LANÇ_MOV[MÊS PAGAMENTO CORRESPONDENTE],K$6,LANÇ_MOV[EMPRESA],$C$4,LANÇ_MOV[CENTRO DE CUSTOS],$D$4)</f>
        <v>0</v>
      </c>
      <c r="L170" s="206">
        <f>SUMIFS(LANÇ_MOV[VALOR LÍQUIDO],LANÇ_MOV[RECEITA OU DESPESA],"Despesa",LANÇ_MOV[CONTAS],$C170,LANÇ_MOV[PLANO DE CONTAS],REL_DRE_FINANCEIRO!$B$135,LANÇ_MOV[ANO PAGAMENTO],$B$4,LANÇ_MOV[MÊS PAGAMENTO CORRESPONDENTE],L$6,LANÇ_MOV[EMPRESA],$C$4,LANÇ_MOV[CENTRO DE CUSTOS],$D$4)</f>
        <v>0</v>
      </c>
      <c r="M170" s="206">
        <f>SUMIFS(LANÇ_MOV[VALOR LÍQUIDO],LANÇ_MOV[RECEITA OU DESPESA],"Despesa",LANÇ_MOV[CONTAS],$C170,LANÇ_MOV[PLANO DE CONTAS],REL_DRE_FINANCEIRO!$B$135,LANÇ_MOV[ANO PAGAMENTO],$B$4,LANÇ_MOV[MÊS PAGAMENTO CORRESPONDENTE],M$6,LANÇ_MOV[EMPRESA],$C$4,LANÇ_MOV[CENTRO DE CUSTOS],$D$4)</f>
        <v>0</v>
      </c>
      <c r="N170" s="206">
        <f>SUMIFS(LANÇ_MOV[VALOR LÍQUIDO],LANÇ_MOV[RECEITA OU DESPESA],"Despesa",LANÇ_MOV[CONTAS],$C170,LANÇ_MOV[PLANO DE CONTAS],REL_DRE_FINANCEIRO!$B$135,LANÇ_MOV[ANO PAGAMENTO],$B$4,LANÇ_MOV[MÊS PAGAMENTO CORRESPONDENTE],N$6,LANÇ_MOV[EMPRESA],$C$4,LANÇ_MOV[CENTRO DE CUSTOS],$D$4)</f>
        <v>0</v>
      </c>
      <c r="O170" s="206">
        <f>SUMIFS(LANÇ_MOV[VALOR LÍQUIDO],LANÇ_MOV[RECEITA OU DESPESA],"Despesa",LANÇ_MOV[CONTAS],$C170,LANÇ_MOV[PLANO DE CONTAS],REL_DRE_FINANCEIRO!$B$135,LANÇ_MOV[ANO PAGAMENTO],$B$4,LANÇ_MOV[MÊS PAGAMENTO CORRESPONDENTE],O$6,LANÇ_MOV[EMPRESA],$C$4,LANÇ_MOV[CENTRO DE CUSTOS],$D$4)</f>
        <v>0</v>
      </c>
      <c r="P170" s="207">
        <f t="shared" si="30"/>
        <v>0</v>
      </c>
      <c r="Q170" s="333">
        <v>3.8699999999999999E-5</v>
      </c>
      <c r="R170" s="346">
        <f t="shared" si="32"/>
        <v>3.8699999999999999E-5</v>
      </c>
      <c r="S170" s="347" t="str">
        <f t="shared" si="33"/>
        <v>-</v>
      </c>
      <c r="T170" s="347">
        <f t="shared" si="34"/>
        <v>0</v>
      </c>
      <c r="U170" s="347">
        <f>HLOOKUP(Apoio!$P$12,$D$134:$P$235,X170,FALSE)+Q170</f>
        <v>3.8699999999999999E-5</v>
      </c>
      <c r="V170" s="447" t="str">
        <f t="shared" si="31"/>
        <v>-</v>
      </c>
      <c r="W170" s="448">
        <f>HLOOKUP(Apoio!$P$12,$D$134:$P$235,X170,FALSE)</f>
        <v>0</v>
      </c>
      <c r="X170" s="329">
        <v>37</v>
      </c>
    </row>
    <row r="171" spans="2:24" ht="30.05" customHeight="1" x14ac:dyDescent="0.35">
      <c r="B171" s="204" t="str">
        <f>'CAD_PL_REC-DESP'!K40</f>
        <v>2.1.36</v>
      </c>
      <c r="C171" s="205" t="str">
        <f>IF('CAD_PL_REC-DESP'!L40="","-",'CAD_PL_REC-DESP'!L40)</f>
        <v>-</v>
      </c>
      <c r="D171" s="206">
        <f>SUMIFS(LANÇ_MOV[VALOR LÍQUIDO],LANÇ_MOV[RECEITA OU DESPESA],"Despesa",LANÇ_MOV[CONTAS],$C171,LANÇ_MOV[PLANO DE CONTAS],REL_DRE_FINANCEIRO!$B$135,LANÇ_MOV[ANO PAGAMENTO],$B$4,LANÇ_MOV[MÊS PAGAMENTO CORRESPONDENTE],D$6,LANÇ_MOV[EMPRESA],$C$4,LANÇ_MOV[CENTRO DE CUSTOS],$D$4)</f>
        <v>0</v>
      </c>
      <c r="E171" s="206">
        <f>SUMIFS(LANÇ_MOV[VALOR LÍQUIDO],LANÇ_MOV[RECEITA OU DESPESA],"Despesa",LANÇ_MOV[CONTAS],$C171,LANÇ_MOV[PLANO DE CONTAS],REL_DRE_FINANCEIRO!$B$135,LANÇ_MOV[ANO PAGAMENTO],$B$4,LANÇ_MOV[MÊS PAGAMENTO CORRESPONDENTE],E$6,LANÇ_MOV[EMPRESA],$C$4,LANÇ_MOV[CENTRO DE CUSTOS],$D$4)</f>
        <v>0</v>
      </c>
      <c r="F171" s="206">
        <f>SUMIFS(LANÇ_MOV[VALOR LÍQUIDO],LANÇ_MOV[RECEITA OU DESPESA],"Despesa",LANÇ_MOV[CONTAS],$C171,LANÇ_MOV[PLANO DE CONTAS],REL_DRE_FINANCEIRO!$B$135,LANÇ_MOV[ANO PAGAMENTO],$B$4,LANÇ_MOV[MÊS PAGAMENTO CORRESPONDENTE],F$6,LANÇ_MOV[EMPRESA],$C$4,LANÇ_MOV[CENTRO DE CUSTOS],$D$4)</f>
        <v>0</v>
      </c>
      <c r="G171" s="206">
        <f>SUMIFS(LANÇ_MOV[VALOR LÍQUIDO],LANÇ_MOV[RECEITA OU DESPESA],"Despesa",LANÇ_MOV[CONTAS],$C171,LANÇ_MOV[PLANO DE CONTAS],REL_DRE_FINANCEIRO!$B$135,LANÇ_MOV[ANO PAGAMENTO],$B$4,LANÇ_MOV[MÊS PAGAMENTO CORRESPONDENTE],G$6,LANÇ_MOV[EMPRESA],$C$4,LANÇ_MOV[CENTRO DE CUSTOS],$D$4)</f>
        <v>0</v>
      </c>
      <c r="H171" s="206">
        <f>SUMIFS(LANÇ_MOV[VALOR LÍQUIDO],LANÇ_MOV[RECEITA OU DESPESA],"Despesa",LANÇ_MOV[CONTAS],$C171,LANÇ_MOV[PLANO DE CONTAS],REL_DRE_FINANCEIRO!$B$135,LANÇ_MOV[ANO PAGAMENTO],$B$4,LANÇ_MOV[MÊS PAGAMENTO CORRESPONDENTE],H$6,LANÇ_MOV[EMPRESA],$C$4,LANÇ_MOV[CENTRO DE CUSTOS],$D$4)</f>
        <v>0</v>
      </c>
      <c r="I171" s="206">
        <f>SUMIFS(LANÇ_MOV[VALOR LÍQUIDO],LANÇ_MOV[RECEITA OU DESPESA],"Despesa",LANÇ_MOV[CONTAS],$C171,LANÇ_MOV[PLANO DE CONTAS],REL_DRE_FINANCEIRO!$B$135,LANÇ_MOV[ANO PAGAMENTO],$B$4,LANÇ_MOV[MÊS PAGAMENTO CORRESPONDENTE],I$6,LANÇ_MOV[EMPRESA],$C$4,LANÇ_MOV[CENTRO DE CUSTOS],$D$4)</f>
        <v>0</v>
      </c>
      <c r="J171" s="206">
        <f>SUMIFS(LANÇ_MOV[VALOR LÍQUIDO],LANÇ_MOV[RECEITA OU DESPESA],"Despesa",LANÇ_MOV[CONTAS],$C171,LANÇ_MOV[PLANO DE CONTAS],REL_DRE_FINANCEIRO!$B$135,LANÇ_MOV[ANO PAGAMENTO],$B$4,LANÇ_MOV[MÊS PAGAMENTO CORRESPONDENTE],J$6,LANÇ_MOV[EMPRESA],$C$4,LANÇ_MOV[CENTRO DE CUSTOS],$D$4)</f>
        <v>0</v>
      </c>
      <c r="K171" s="206">
        <f>SUMIFS(LANÇ_MOV[VALOR LÍQUIDO],LANÇ_MOV[RECEITA OU DESPESA],"Despesa",LANÇ_MOV[CONTAS],$C171,LANÇ_MOV[PLANO DE CONTAS],REL_DRE_FINANCEIRO!$B$135,LANÇ_MOV[ANO PAGAMENTO],$B$4,LANÇ_MOV[MÊS PAGAMENTO CORRESPONDENTE],K$6,LANÇ_MOV[EMPRESA],$C$4,LANÇ_MOV[CENTRO DE CUSTOS],$D$4)</f>
        <v>0</v>
      </c>
      <c r="L171" s="206">
        <f>SUMIFS(LANÇ_MOV[VALOR LÍQUIDO],LANÇ_MOV[RECEITA OU DESPESA],"Despesa",LANÇ_MOV[CONTAS],$C171,LANÇ_MOV[PLANO DE CONTAS],REL_DRE_FINANCEIRO!$B$135,LANÇ_MOV[ANO PAGAMENTO],$B$4,LANÇ_MOV[MÊS PAGAMENTO CORRESPONDENTE],L$6,LANÇ_MOV[EMPRESA],$C$4,LANÇ_MOV[CENTRO DE CUSTOS],$D$4)</f>
        <v>0</v>
      </c>
      <c r="M171" s="206">
        <f>SUMIFS(LANÇ_MOV[VALOR LÍQUIDO],LANÇ_MOV[RECEITA OU DESPESA],"Despesa",LANÇ_MOV[CONTAS],$C171,LANÇ_MOV[PLANO DE CONTAS],REL_DRE_FINANCEIRO!$B$135,LANÇ_MOV[ANO PAGAMENTO],$B$4,LANÇ_MOV[MÊS PAGAMENTO CORRESPONDENTE],M$6,LANÇ_MOV[EMPRESA],$C$4,LANÇ_MOV[CENTRO DE CUSTOS],$D$4)</f>
        <v>0</v>
      </c>
      <c r="N171" s="206">
        <f>SUMIFS(LANÇ_MOV[VALOR LÍQUIDO],LANÇ_MOV[RECEITA OU DESPESA],"Despesa",LANÇ_MOV[CONTAS],$C171,LANÇ_MOV[PLANO DE CONTAS],REL_DRE_FINANCEIRO!$B$135,LANÇ_MOV[ANO PAGAMENTO],$B$4,LANÇ_MOV[MÊS PAGAMENTO CORRESPONDENTE],N$6,LANÇ_MOV[EMPRESA],$C$4,LANÇ_MOV[CENTRO DE CUSTOS],$D$4)</f>
        <v>0</v>
      </c>
      <c r="O171" s="206">
        <f>SUMIFS(LANÇ_MOV[VALOR LÍQUIDO],LANÇ_MOV[RECEITA OU DESPESA],"Despesa",LANÇ_MOV[CONTAS],$C171,LANÇ_MOV[PLANO DE CONTAS],REL_DRE_FINANCEIRO!$B$135,LANÇ_MOV[ANO PAGAMENTO],$B$4,LANÇ_MOV[MÊS PAGAMENTO CORRESPONDENTE],O$6,LANÇ_MOV[EMPRESA],$C$4,LANÇ_MOV[CENTRO DE CUSTOS],$D$4)</f>
        <v>0</v>
      </c>
      <c r="P171" s="207">
        <f t="shared" si="30"/>
        <v>0</v>
      </c>
      <c r="Q171" s="333">
        <v>3.8600000000000003E-5</v>
      </c>
      <c r="R171" s="346">
        <f t="shared" si="32"/>
        <v>3.8600000000000003E-5</v>
      </c>
      <c r="S171" s="347" t="str">
        <f t="shared" si="33"/>
        <v>-</v>
      </c>
      <c r="T171" s="347">
        <f t="shared" si="34"/>
        <v>0</v>
      </c>
      <c r="U171" s="347">
        <f>HLOOKUP(Apoio!$P$12,$D$134:$P$235,X171,FALSE)+Q171</f>
        <v>3.8600000000000003E-5</v>
      </c>
      <c r="V171" s="447" t="str">
        <f t="shared" si="31"/>
        <v>-</v>
      </c>
      <c r="W171" s="448">
        <f>HLOOKUP(Apoio!$P$12,$D$134:$P$235,X171,FALSE)</f>
        <v>0</v>
      </c>
      <c r="X171" s="329">
        <v>38</v>
      </c>
    </row>
    <row r="172" spans="2:24" ht="30.05" customHeight="1" x14ac:dyDescent="0.35">
      <c r="B172" s="204" t="str">
        <f>'CAD_PL_REC-DESP'!K41</f>
        <v>2.1.37</v>
      </c>
      <c r="C172" s="205" t="str">
        <f>IF('CAD_PL_REC-DESP'!L41="","-",'CAD_PL_REC-DESP'!L41)</f>
        <v>-</v>
      </c>
      <c r="D172" s="206">
        <f>SUMIFS(LANÇ_MOV[VALOR LÍQUIDO],LANÇ_MOV[RECEITA OU DESPESA],"Despesa",LANÇ_MOV[CONTAS],$C172,LANÇ_MOV[PLANO DE CONTAS],REL_DRE_FINANCEIRO!$B$135,LANÇ_MOV[ANO PAGAMENTO],$B$4,LANÇ_MOV[MÊS PAGAMENTO CORRESPONDENTE],D$6,LANÇ_MOV[EMPRESA],$C$4,LANÇ_MOV[CENTRO DE CUSTOS],$D$4)</f>
        <v>0</v>
      </c>
      <c r="E172" s="206">
        <f>SUMIFS(LANÇ_MOV[VALOR LÍQUIDO],LANÇ_MOV[RECEITA OU DESPESA],"Despesa",LANÇ_MOV[CONTAS],$C172,LANÇ_MOV[PLANO DE CONTAS],REL_DRE_FINANCEIRO!$B$135,LANÇ_MOV[ANO PAGAMENTO],$B$4,LANÇ_MOV[MÊS PAGAMENTO CORRESPONDENTE],E$6,LANÇ_MOV[EMPRESA],$C$4,LANÇ_MOV[CENTRO DE CUSTOS],$D$4)</f>
        <v>0</v>
      </c>
      <c r="F172" s="206">
        <f>SUMIFS(LANÇ_MOV[VALOR LÍQUIDO],LANÇ_MOV[RECEITA OU DESPESA],"Despesa",LANÇ_MOV[CONTAS],$C172,LANÇ_MOV[PLANO DE CONTAS],REL_DRE_FINANCEIRO!$B$135,LANÇ_MOV[ANO PAGAMENTO],$B$4,LANÇ_MOV[MÊS PAGAMENTO CORRESPONDENTE],F$6,LANÇ_MOV[EMPRESA],$C$4,LANÇ_MOV[CENTRO DE CUSTOS],$D$4)</f>
        <v>0</v>
      </c>
      <c r="G172" s="206">
        <f>SUMIFS(LANÇ_MOV[VALOR LÍQUIDO],LANÇ_MOV[RECEITA OU DESPESA],"Despesa",LANÇ_MOV[CONTAS],$C172,LANÇ_MOV[PLANO DE CONTAS],REL_DRE_FINANCEIRO!$B$135,LANÇ_MOV[ANO PAGAMENTO],$B$4,LANÇ_MOV[MÊS PAGAMENTO CORRESPONDENTE],G$6,LANÇ_MOV[EMPRESA],$C$4,LANÇ_MOV[CENTRO DE CUSTOS],$D$4)</f>
        <v>0</v>
      </c>
      <c r="H172" s="206">
        <f>SUMIFS(LANÇ_MOV[VALOR LÍQUIDO],LANÇ_MOV[RECEITA OU DESPESA],"Despesa",LANÇ_MOV[CONTAS],$C172,LANÇ_MOV[PLANO DE CONTAS],REL_DRE_FINANCEIRO!$B$135,LANÇ_MOV[ANO PAGAMENTO],$B$4,LANÇ_MOV[MÊS PAGAMENTO CORRESPONDENTE],H$6,LANÇ_MOV[EMPRESA],$C$4,LANÇ_MOV[CENTRO DE CUSTOS],$D$4)</f>
        <v>0</v>
      </c>
      <c r="I172" s="206">
        <f>SUMIFS(LANÇ_MOV[VALOR LÍQUIDO],LANÇ_MOV[RECEITA OU DESPESA],"Despesa",LANÇ_MOV[CONTAS],$C172,LANÇ_MOV[PLANO DE CONTAS],REL_DRE_FINANCEIRO!$B$135,LANÇ_MOV[ANO PAGAMENTO],$B$4,LANÇ_MOV[MÊS PAGAMENTO CORRESPONDENTE],I$6,LANÇ_MOV[EMPRESA],$C$4,LANÇ_MOV[CENTRO DE CUSTOS],$D$4)</f>
        <v>0</v>
      </c>
      <c r="J172" s="206">
        <f>SUMIFS(LANÇ_MOV[VALOR LÍQUIDO],LANÇ_MOV[RECEITA OU DESPESA],"Despesa",LANÇ_MOV[CONTAS],$C172,LANÇ_MOV[PLANO DE CONTAS],REL_DRE_FINANCEIRO!$B$135,LANÇ_MOV[ANO PAGAMENTO],$B$4,LANÇ_MOV[MÊS PAGAMENTO CORRESPONDENTE],J$6,LANÇ_MOV[EMPRESA],$C$4,LANÇ_MOV[CENTRO DE CUSTOS],$D$4)</f>
        <v>0</v>
      </c>
      <c r="K172" s="206">
        <f>SUMIFS(LANÇ_MOV[VALOR LÍQUIDO],LANÇ_MOV[RECEITA OU DESPESA],"Despesa",LANÇ_MOV[CONTAS],$C172,LANÇ_MOV[PLANO DE CONTAS],REL_DRE_FINANCEIRO!$B$135,LANÇ_MOV[ANO PAGAMENTO],$B$4,LANÇ_MOV[MÊS PAGAMENTO CORRESPONDENTE],K$6,LANÇ_MOV[EMPRESA],$C$4,LANÇ_MOV[CENTRO DE CUSTOS],$D$4)</f>
        <v>0</v>
      </c>
      <c r="L172" s="206">
        <f>SUMIFS(LANÇ_MOV[VALOR LÍQUIDO],LANÇ_MOV[RECEITA OU DESPESA],"Despesa",LANÇ_MOV[CONTAS],$C172,LANÇ_MOV[PLANO DE CONTAS],REL_DRE_FINANCEIRO!$B$135,LANÇ_MOV[ANO PAGAMENTO],$B$4,LANÇ_MOV[MÊS PAGAMENTO CORRESPONDENTE],L$6,LANÇ_MOV[EMPRESA],$C$4,LANÇ_MOV[CENTRO DE CUSTOS],$D$4)</f>
        <v>0</v>
      </c>
      <c r="M172" s="206">
        <f>SUMIFS(LANÇ_MOV[VALOR LÍQUIDO],LANÇ_MOV[RECEITA OU DESPESA],"Despesa",LANÇ_MOV[CONTAS],$C172,LANÇ_MOV[PLANO DE CONTAS],REL_DRE_FINANCEIRO!$B$135,LANÇ_MOV[ANO PAGAMENTO],$B$4,LANÇ_MOV[MÊS PAGAMENTO CORRESPONDENTE],M$6,LANÇ_MOV[EMPRESA],$C$4,LANÇ_MOV[CENTRO DE CUSTOS],$D$4)</f>
        <v>0</v>
      </c>
      <c r="N172" s="206">
        <f>SUMIFS(LANÇ_MOV[VALOR LÍQUIDO],LANÇ_MOV[RECEITA OU DESPESA],"Despesa",LANÇ_MOV[CONTAS],$C172,LANÇ_MOV[PLANO DE CONTAS],REL_DRE_FINANCEIRO!$B$135,LANÇ_MOV[ANO PAGAMENTO],$B$4,LANÇ_MOV[MÊS PAGAMENTO CORRESPONDENTE],N$6,LANÇ_MOV[EMPRESA],$C$4,LANÇ_MOV[CENTRO DE CUSTOS],$D$4)</f>
        <v>0</v>
      </c>
      <c r="O172" s="206">
        <f>SUMIFS(LANÇ_MOV[VALOR LÍQUIDO],LANÇ_MOV[RECEITA OU DESPESA],"Despesa",LANÇ_MOV[CONTAS],$C172,LANÇ_MOV[PLANO DE CONTAS],REL_DRE_FINANCEIRO!$B$135,LANÇ_MOV[ANO PAGAMENTO],$B$4,LANÇ_MOV[MÊS PAGAMENTO CORRESPONDENTE],O$6,LANÇ_MOV[EMPRESA],$C$4,LANÇ_MOV[CENTRO DE CUSTOS],$D$4)</f>
        <v>0</v>
      </c>
      <c r="P172" s="207">
        <f t="shared" si="30"/>
        <v>0</v>
      </c>
      <c r="Q172" s="333">
        <v>3.8500000000000001E-5</v>
      </c>
      <c r="R172" s="346">
        <f t="shared" si="32"/>
        <v>3.8500000000000001E-5</v>
      </c>
      <c r="S172" s="347" t="str">
        <f t="shared" si="33"/>
        <v>-</v>
      </c>
      <c r="T172" s="347">
        <f t="shared" si="34"/>
        <v>0</v>
      </c>
      <c r="U172" s="347">
        <f>HLOOKUP(Apoio!$P$12,$D$134:$P$235,X172,FALSE)+Q172</f>
        <v>3.8500000000000001E-5</v>
      </c>
      <c r="V172" s="447" t="str">
        <f t="shared" si="31"/>
        <v>-</v>
      </c>
      <c r="W172" s="448">
        <f>HLOOKUP(Apoio!$P$12,$D$134:$P$235,X172,FALSE)</f>
        <v>0</v>
      </c>
      <c r="X172" s="329">
        <v>39</v>
      </c>
    </row>
    <row r="173" spans="2:24" ht="30.05" customHeight="1" x14ac:dyDescent="0.35">
      <c r="B173" s="204" t="str">
        <f>'CAD_PL_REC-DESP'!K42</f>
        <v>2.1.38</v>
      </c>
      <c r="C173" s="205" t="str">
        <f>IF('CAD_PL_REC-DESP'!L42="","-",'CAD_PL_REC-DESP'!L42)</f>
        <v>-</v>
      </c>
      <c r="D173" s="206">
        <f>SUMIFS(LANÇ_MOV[VALOR LÍQUIDO],LANÇ_MOV[RECEITA OU DESPESA],"Despesa",LANÇ_MOV[CONTAS],$C173,LANÇ_MOV[PLANO DE CONTAS],REL_DRE_FINANCEIRO!$B$135,LANÇ_MOV[ANO PAGAMENTO],$B$4,LANÇ_MOV[MÊS PAGAMENTO CORRESPONDENTE],D$6,LANÇ_MOV[EMPRESA],$C$4,LANÇ_MOV[CENTRO DE CUSTOS],$D$4)</f>
        <v>0</v>
      </c>
      <c r="E173" s="206">
        <f>SUMIFS(LANÇ_MOV[VALOR LÍQUIDO],LANÇ_MOV[RECEITA OU DESPESA],"Despesa",LANÇ_MOV[CONTAS],$C173,LANÇ_MOV[PLANO DE CONTAS],REL_DRE_FINANCEIRO!$B$135,LANÇ_MOV[ANO PAGAMENTO],$B$4,LANÇ_MOV[MÊS PAGAMENTO CORRESPONDENTE],E$6,LANÇ_MOV[EMPRESA],$C$4,LANÇ_MOV[CENTRO DE CUSTOS],$D$4)</f>
        <v>0</v>
      </c>
      <c r="F173" s="206">
        <f>SUMIFS(LANÇ_MOV[VALOR LÍQUIDO],LANÇ_MOV[RECEITA OU DESPESA],"Despesa",LANÇ_MOV[CONTAS],$C173,LANÇ_MOV[PLANO DE CONTAS],REL_DRE_FINANCEIRO!$B$135,LANÇ_MOV[ANO PAGAMENTO],$B$4,LANÇ_MOV[MÊS PAGAMENTO CORRESPONDENTE],F$6,LANÇ_MOV[EMPRESA],$C$4,LANÇ_MOV[CENTRO DE CUSTOS],$D$4)</f>
        <v>0</v>
      </c>
      <c r="G173" s="206">
        <f>SUMIFS(LANÇ_MOV[VALOR LÍQUIDO],LANÇ_MOV[RECEITA OU DESPESA],"Despesa",LANÇ_MOV[CONTAS],$C173,LANÇ_MOV[PLANO DE CONTAS],REL_DRE_FINANCEIRO!$B$135,LANÇ_MOV[ANO PAGAMENTO],$B$4,LANÇ_MOV[MÊS PAGAMENTO CORRESPONDENTE],G$6,LANÇ_MOV[EMPRESA],$C$4,LANÇ_MOV[CENTRO DE CUSTOS],$D$4)</f>
        <v>0</v>
      </c>
      <c r="H173" s="206">
        <f>SUMIFS(LANÇ_MOV[VALOR LÍQUIDO],LANÇ_MOV[RECEITA OU DESPESA],"Despesa",LANÇ_MOV[CONTAS],$C173,LANÇ_MOV[PLANO DE CONTAS],REL_DRE_FINANCEIRO!$B$135,LANÇ_MOV[ANO PAGAMENTO],$B$4,LANÇ_MOV[MÊS PAGAMENTO CORRESPONDENTE],H$6,LANÇ_MOV[EMPRESA],$C$4,LANÇ_MOV[CENTRO DE CUSTOS],$D$4)</f>
        <v>0</v>
      </c>
      <c r="I173" s="206">
        <f>SUMIFS(LANÇ_MOV[VALOR LÍQUIDO],LANÇ_MOV[RECEITA OU DESPESA],"Despesa",LANÇ_MOV[CONTAS],$C173,LANÇ_MOV[PLANO DE CONTAS],REL_DRE_FINANCEIRO!$B$135,LANÇ_MOV[ANO PAGAMENTO],$B$4,LANÇ_MOV[MÊS PAGAMENTO CORRESPONDENTE],I$6,LANÇ_MOV[EMPRESA],$C$4,LANÇ_MOV[CENTRO DE CUSTOS],$D$4)</f>
        <v>0</v>
      </c>
      <c r="J173" s="206">
        <f>SUMIFS(LANÇ_MOV[VALOR LÍQUIDO],LANÇ_MOV[RECEITA OU DESPESA],"Despesa",LANÇ_MOV[CONTAS],$C173,LANÇ_MOV[PLANO DE CONTAS],REL_DRE_FINANCEIRO!$B$135,LANÇ_MOV[ANO PAGAMENTO],$B$4,LANÇ_MOV[MÊS PAGAMENTO CORRESPONDENTE],J$6,LANÇ_MOV[EMPRESA],$C$4,LANÇ_MOV[CENTRO DE CUSTOS],$D$4)</f>
        <v>0</v>
      </c>
      <c r="K173" s="206">
        <f>SUMIFS(LANÇ_MOV[VALOR LÍQUIDO],LANÇ_MOV[RECEITA OU DESPESA],"Despesa",LANÇ_MOV[CONTAS],$C173,LANÇ_MOV[PLANO DE CONTAS],REL_DRE_FINANCEIRO!$B$135,LANÇ_MOV[ANO PAGAMENTO],$B$4,LANÇ_MOV[MÊS PAGAMENTO CORRESPONDENTE],K$6,LANÇ_MOV[EMPRESA],$C$4,LANÇ_MOV[CENTRO DE CUSTOS],$D$4)</f>
        <v>0</v>
      </c>
      <c r="L173" s="206">
        <f>SUMIFS(LANÇ_MOV[VALOR LÍQUIDO],LANÇ_MOV[RECEITA OU DESPESA],"Despesa",LANÇ_MOV[CONTAS],$C173,LANÇ_MOV[PLANO DE CONTAS],REL_DRE_FINANCEIRO!$B$135,LANÇ_MOV[ANO PAGAMENTO],$B$4,LANÇ_MOV[MÊS PAGAMENTO CORRESPONDENTE],L$6,LANÇ_MOV[EMPRESA],$C$4,LANÇ_MOV[CENTRO DE CUSTOS],$D$4)</f>
        <v>0</v>
      </c>
      <c r="M173" s="206">
        <f>SUMIFS(LANÇ_MOV[VALOR LÍQUIDO],LANÇ_MOV[RECEITA OU DESPESA],"Despesa",LANÇ_MOV[CONTAS],$C173,LANÇ_MOV[PLANO DE CONTAS],REL_DRE_FINANCEIRO!$B$135,LANÇ_MOV[ANO PAGAMENTO],$B$4,LANÇ_MOV[MÊS PAGAMENTO CORRESPONDENTE],M$6,LANÇ_MOV[EMPRESA],$C$4,LANÇ_MOV[CENTRO DE CUSTOS],$D$4)</f>
        <v>0</v>
      </c>
      <c r="N173" s="206">
        <f>SUMIFS(LANÇ_MOV[VALOR LÍQUIDO],LANÇ_MOV[RECEITA OU DESPESA],"Despesa",LANÇ_MOV[CONTAS],$C173,LANÇ_MOV[PLANO DE CONTAS],REL_DRE_FINANCEIRO!$B$135,LANÇ_MOV[ANO PAGAMENTO],$B$4,LANÇ_MOV[MÊS PAGAMENTO CORRESPONDENTE],N$6,LANÇ_MOV[EMPRESA],$C$4,LANÇ_MOV[CENTRO DE CUSTOS],$D$4)</f>
        <v>0</v>
      </c>
      <c r="O173" s="206">
        <f>SUMIFS(LANÇ_MOV[VALOR LÍQUIDO],LANÇ_MOV[RECEITA OU DESPESA],"Despesa",LANÇ_MOV[CONTAS],$C173,LANÇ_MOV[PLANO DE CONTAS],REL_DRE_FINANCEIRO!$B$135,LANÇ_MOV[ANO PAGAMENTO],$B$4,LANÇ_MOV[MÊS PAGAMENTO CORRESPONDENTE],O$6,LANÇ_MOV[EMPRESA],$C$4,LANÇ_MOV[CENTRO DE CUSTOS],$D$4)</f>
        <v>0</v>
      </c>
      <c r="P173" s="207">
        <f t="shared" si="30"/>
        <v>0</v>
      </c>
      <c r="Q173" s="333">
        <v>3.8399999999999998E-5</v>
      </c>
      <c r="R173" s="346">
        <f t="shared" si="32"/>
        <v>3.8399999999999998E-5</v>
      </c>
      <c r="S173" s="347" t="str">
        <f t="shared" si="33"/>
        <v>-</v>
      </c>
      <c r="T173" s="347">
        <f t="shared" si="34"/>
        <v>0</v>
      </c>
      <c r="U173" s="347">
        <f>HLOOKUP(Apoio!$P$12,$D$134:$P$235,X173,FALSE)+Q173</f>
        <v>3.8399999999999998E-5</v>
      </c>
      <c r="V173" s="447" t="str">
        <f t="shared" si="31"/>
        <v>-</v>
      </c>
      <c r="W173" s="448">
        <f>HLOOKUP(Apoio!$P$12,$D$134:$P$235,X173,FALSE)</f>
        <v>0</v>
      </c>
      <c r="X173" s="329">
        <v>40</v>
      </c>
    </row>
    <row r="174" spans="2:24" ht="30.05" customHeight="1" x14ac:dyDescent="0.35">
      <c r="B174" s="204" t="str">
        <f>'CAD_PL_REC-DESP'!K43</f>
        <v>2.1.39</v>
      </c>
      <c r="C174" s="205" t="str">
        <f>IF('CAD_PL_REC-DESP'!L43="","-",'CAD_PL_REC-DESP'!L43)</f>
        <v>-</v>
      </c>
      <c r="D174" s="206">
        <f>SUMIFS(LANÇ_MOV[VALOR LÍQUIDO],LANÇ_MOV[RECEITA OU DESPESA],"Despesa",LANÇ_MOV[CONTAS],$C174,LANÇ_MOV[PLANO DE CONTAS],REL_DRE_FINANCEIRO!$B$135,LANÇ_MOV[ANO PAGAMENTO],$B$4,LANÇ_MOV[MÊS PAGAMENTO CORRESPONDENTE],D$6,LANÇ_MOV[EMPRESA],$C$4,LANÇ_MOV[CENTRO DE CUSTOS],$D$4)</f>
        <v>0</v>
      </c>
      <c r="E174" s="206">
        <f>SUMIFS(LANÇ_MOV[VALOR LÍQUIDO],LANÇ_MOV[RECEITA OU DESPESA],"Despesa",LANÇ_MOV[CONTAS],$C174,LANÇ_MOV[PLANO DE CONTAS],REL_DRE_FINANCEIRO!$B$135,LANÇ_MOV[ANO PAGAMENTO],$B$4,LANÇ_MOV[MÊS PAGAMENTO CORRESPONDENTE],E$6,LANÇ_MOV[EMPRESA],$C$4,LANÇ_MOV[CENTRO DE CUSTOS],$D$4)</f>
        <v>0</v>
      </c>
      <c r="F174" s="206">
        <f>SUMIFS(LANÇ_MOV[VALOR LÍQUIDO],LANÇ_MOV[RECEITA OU DESPESA],"Despesa",LANÇ_MOV[CONTAS],$C174,LANÇ_MOV[PLANO DE CONTAS],REL_DRE_FINANCEIRO!$B$135,LANÇ_MOV[ANO PAGAMENTO],$B$4,LANÇ_MOV[MÊS PAGAMENTO CORRESPONDENTE],F$6,LANÇ_MOV[EMPRESA],$C$4,LANÇ_MOV[CENTRO DE CUSTOS],$D$4)</f>
        <v>0</v>
      </c>
      <c r="G174" s="206">
        <f>SUMIFS(LANÇ_MOV[VALOR LÍQUIDO],LANÇ_MOV[RECEITA OU DESPESA],"Despesa",LANÇ_MOV[CONTAS],$C174,LANÇ_MOV[PLANO DE CONTAS],REL_DRE_FINANCEIRO!$B$135,LANÇ_MOV[ANO PAGAMENTO],$B$4,LANÇ_MOV[MÊS PAGAMENTO CORRESPONDENTE],G$6,LANÇ_MOV[EMPRESA],$C$4,LANÇ_MOV[CENTRO DE CUSTOS],$D$4)</f>
        <v>0</v>
      </c>
      <c r="H174" s="206">
        <f>SUMIFS(LANÇ_MOV[VALOR LÍQUIDO],LANÇ_MOV[RECEITA OU DESPESA],"Despesa",LANÇ_MOV[CONTAS],$C174,LANÇ_MOV[PLANO DE CONTAS],REL_DRE_FINANCEIRO!$B$135,LANÇ_MOV[ANO PAGAMENTO],$B$4,LANÇ_MOV[MÊS PAGAMENTO CORRESPONDENTE],H$6,LANÇ_MOV[EMPRESA],$C$4,LANÇ_MOV[CENTRO DE CUSTOS],$D$4)</f>
        <v>0</v>
      </c>
      <c r="I174" s="206">
        <f>SUMIFS(LANÇ_MOV[VALOR LÍQUIDO],LANÇ_MOV[RECEITA OU DESPESA],"Despesa",LANÇ_MOV[CONTAS],$C174,LANÇ_MOV[PLANO DE CONTAS],REL_DRE_FINANCEIRO!$B$135,LANÇ_MOV[ANO PAGAMENTO],$B$4,LANÇ_MOV[MÊS PAGAMENTO CORRESPONDENTE],I$6,LANÇ_MOV[EMPRESA],$C$4,LANÇ_MOV[CENTRO DE CUSTOS],$D$4)</f>
        <v>0</v>
      </c>
      <c r="J174" s="206">
        <f>SUMIFS(LANÇ_MOV[VALOR LÍQUIDO],LANÇ_MOV[RECEITA OU DESPESA],"Despesa",LANÇ_MOV[CONTAS],$C174,LANÇ_MOV[PLANO DE CONTAS],REL_DRE_FINANCEIRO!$B$135,LANÇ_MOV[ANO PAGAMENTO],$B$4,LANÇ_MOV[MÊS PAGAMENTO CORRESPONDENTE],J$6,LANÇ_MOV[EMPRESA],$C$4,LANÇ_MOV[CENTRO DE CUSTOS],$D$4)</f>
        <v>0</v>
      </c>
      <c r="K174" s="206">
        <f>SUMIFS(LANÇ_MOV[VALOR LÍQUIDO],LANÇ_MOV[RECEITA OU DESPESA],"Despesa",LANÇ_MOV[CONTAS],$C174,LANÇ_MOV[PLANO DE CONTAS],REL_DRE_FINANCEIRO!$B$135,LANÇ_MOV[ANO PAGAMENTO],$B$4,LANÇ_MOV[MÊS PAGAMENTO CORRESPONDENTE],K$6,LANÇ_MOV[EMPRESA],$C$4,LANÇ_MOV[CENTRO DE CUSTOS],$D$4)</f>
        <v>0</v>
      </c>
      <c r="L174" s="206">
        <f>SUMIFS(LANÇ_MOV[VALOR LÍQUIDO],LANÇ_MOV[RECEITA OU DESPESA],"Despesa",LANÇ_MOV[CONTAS],$C174,LANÇ_MOV[PLANO DE CONTAS],REL_DRE_FINANCEIRO!$B$135,LANÇ_MOV[ANO PAGAMENTO],$B$4,LANÇ_MOV[MÊS PAGAMENTO CORRESPONDENTE],L$6,LANÇ_MOV[EMPRESA],$C$4,LANÇ_MOV[CENTRO DE CUSTOS],$D$4)</f>
        <v>0</v>
      </c>
      <c r="M174" s="206">
        <f>SUMIFS(LANÇ_MOV[VALOR LÍQUIDO],LANÇ_MOV[RECEITA OU DESPESA],"Despesa",LANÇ_MOV[CONTAS],$C174,LANÇ_MOV[PLANO DE CONTAS],REL_DRE_FINANCEIRO!$B$135,LANÇ_MOV[ANO PAGAMENTO],$B$4,LANÇ_MOV[MÊS PAGAMENTO CORRESPONDENTE],M$6,LANÇ_MOV[EMPRESA],$C$4,LANÇ_MOV[CENTRO DE CUSTOS],$D$4)</f>
        <v>0</v>
      </c>
      <c r="N174" s="206">
        <f>SUMIFS(LANÇ_MOV[VALOR LÍQUIDO],LANÇ_MOV[RECEITA OU DESPESA],"Despesa",LANÇ_MOV[CONTAS],$C174,LANÇ_MOV[PLANO DE CONTAS],REL_DRE_FINANCEIRO!$B$135,LANÇ_MOV[ANO PAGAMENTO],$B$4,LANÇ_MOV[MÊS PAGAMENTO CORRESPONDENTE],N$6,LANÇ_MOV[EMPRESA],$C$4,LANÇ_MOV[CENTRO DE CUSTOS],$D$4)</f>
        <v>0</v>
      </c>
      <c r="O174" s="206">
        <f>SUMIFS(LANÇ_MOV[VALOR LÍQUIDO],LANÇ_MOV[RECEITA OU DESPESA],"Despesa",LANÇ_MOV[CONTAS],$C174,LANÇ_MOV[PLANO DE CONTAS],REL_DRE_FINANCEIRO!$B$135,LANÇ_MOV[ANO PAGAMENTO],$B$4,LANÇ_MOV[MÊS PAGAMENTO CORRESPONDENTE],O$6,LANÇ_MOV[EMPRESA],$C$4,LANÇ_MOV[CENTRO DE CUSTOS],$D$4)</f>
        <v>0</v>
      </c>
      <c r="P174" s="207">
        <f t="shared" si="30"/>
        <v>0</v>
      </c>
      <c r="Q174" s="333">
        <v>3.8300000000000003E-5</v>
      </c>
      <c r="R174" s="346">
        <f t="shared" si="32"/>
        <v>3.8300000000000003E-5</v>
      </c>
      <c r="S174" s="347" t="str">
        <f t="shared" si="33"/>
        <v>-</v>
      </c>
      <c r="T174" s="347">
        <f t="shared" si="34"/>
        <v>0</v>
      </c>
      <c r="U174" s="347">
        <f>HLOOKUP(Apoio!$P$12,$D$134:$P$235,X174,FALSE)+Q174</f>
        <v>3.8300000000000003E-5</v>
      </c>
      <c r="V174" s="447" t="str">
        <f t="shared" si="31"/>
        <v>-</v>
      </c>
      <c r="W174" s="448">
        <f>HLOOKUP(Apoio!$P$12,$D$134:$P$235,X174,FALSE)</f>
        <v>0</v>
      </c>
      <c r="X174" s="329">
        <v>41</v>
      </c>
    </row>
    <row r="175" spans="2:24" ht="30.05" customHeight="1" x14ac:dyDescent="0.35">
      <c r="B175" s="204" t="str">
        <f>'CAD_PL_REC-DESP'!K44</f>
        <v>2.1.40</v>
      </c>
      <c r="C175" s="205" t="str">
        <f>IF('CAD_PL_REC-DESP'!L44="","-",'CAD_PL_REC-DESP'!L44)</f>
        <v>-</v>
      </c>
      <c r="D175" s="206">
        <f>SUMIFS(LANÇ_MOV[VALOR LÍQUIDO],LANÇ_MOV[RECEITA OU DESPESA],"Despesa",LANÇ_MOV[CONTAS],$C175,LANÇ_MOV[PLANO DE CONTAS],REL_DRE_FINANCEIRO!$B$135,LANÇ_MOV[ANO PAGAMENTO],$B$4,LANÇ_MOV[MÊS PAGAMENTO CORRESPONDENTE],D$6,LANÇ_MOV[EMPRESA],$C$4,LANÇ_MOV[CENTRO DE CUSTOS],$D$4)</f>
        <v>0</v>
      </c>
      <c r="E175" s="206">
        <f>SUMIFS(LANÇ_MOV[VALOR LÍQUIDO],LANÇ_MOV[RECEITA OU DESPESA],"Despesa",LANÇ_MOV[CONTAS],$C175,LANÇ_MOV[PLANO DE CONTAS],REL_DRE_FINANCEIRO!$B$135,LANÇ_MOV[ANO PAGAMENTO],$B$4,LANÇ_MOV[MÊS PAGAMENTO CORRESPONDENTE],E$6,LANÇ_MOV[EMPRESA],$C$4,LANÇ_MOV[CENTRO DE CUSTOS],$D$4)</f>
        <v>0</v>
      </c>
      <c r="F175" s="206">
        <f>SUMIFS(LANÇ_MOV[VALOR LÍQUIDO],LANÇ_MOV[RECEITA OU DESPESA],"Despesa",LANÇ_MOV[CONTAS],$C175,LANÇ_MOV[PLANO DE CONTAS],REL_DRE_FINANCEIRO!$B$135,LANÇ_MOV[ANO PAGAMENTO],$B$4,LANÇ_MOV[MÊS PAGAMENTO CORRESPONDENTE],F$6,LANÇ_MOV[EMPRESA],$C$4,LANÇ_MOV[CENTRO DE CUSTOS],$D$4)</f>
        <v>0</v>
      </c>
      <c r="G175" s="206">
        <f>SUMIFS(LANÇ_MOV[VALOR LÍQUIDO],LANÇ_MOV[RECEITA OU DESPESA],"Despesa",LANÇ_MOV[CONTAS],$C175,LANÇ_MOV[PLANO DE CONTAS],REL_DRE_FINANCEIRO!$B$135,LANÇ_MOV[ANO PAGAMENTO],$B$4,LANÇ_MOV[MÊS PAGAMENTO CORRESPONDENTE],G$6,LANÇ_MOV[EMPRESA],$C$4,LANÇ_MOV[CENTRO DE CUSTOS],$D$4)</f>
        <v>0</v>
      </c>
      <c r="H175" s="206">
        <f>SUMIFS(LANÇ_MOV[VALOR LÍQUIDO],LANÇ_MOV[RECEITA OU DESPESA],"Despesa",LANÇ_MOV[CONTAS],$C175,LANÇ_MOV[PLANO DE CONTAS],REL_DRE_FINANCEIRO!$B$135,LANÇ_MOV[ANO PAGAMENTO],$B$4,LANÇ_MOV[MÊS PAGAMENTO CORRESPONDENTE],H$6,LANÇ_MOV[EMPRESA],$C$4,LANÇ_MOV[CENTRO DE CUSTOS],$D$4)</f>
        <v>0</v>
      </c>
      <c r="I175" s="206">
        <f>SUMIFS(LANÇ_MOV[VALOR LÍQUIDO],LANÇ_MOV[RECEITA OU DESPESA],"Despesa",LANÇ_MOV[CONTAS],$C175,LANÇ_MOV[PLANO DE CONTAS],REL_DRE_FINANCEIRO!$B$135,LANÇ_MOV[ANO PAGAMENTO],$B$4,LANÇ_MOV[MÊS PAGAMENTO CORRESPONDENTE],I$6,LANÇ_MOV[EMPRESA],$C$4,LANÇ_MOV[CENTRO DE CUSTOS],$D$4)</f>
        <v>0</v>
      </c>
      <c r="J175" s="206">
        <f>SUMIFS(LANÇ_MOV[VALOR LÍQUIDO],LANÇ_MOV[RECEITA OU DESPESA],"Despesa",LANÇ_MOV[CONTAS],$C175,LANÇ_MOV[PLANO DE CONTAS],REL_DRE_FINANCEIRO!$B$135,LANÇ_MOV[ANO PAGAMENTO],$B$4,LANÇ_MOV[MÊS PAGAMENTO CORRESPONDENTE],J$6,LANÇ_MOV[EMPRESA],$C$4,LANÇ_MOV[CENTRO DE CUSTOS],$D$4)</f>
        <v>0</v>
      </c>
      <c r="K175" s="206">
        <f>SUMIFS(LANÇ_MOV[VALOR LÍQUIDO],LANÇ_MOV[RECEITA OU DESPESA],"Despesa",LANÇ_MOV[CONTAS],$C175,LANÇ_MOV[PLANO DE CONTAS],REL_DRE_FINANCEIRO!$B$135,LANÇ_MOV[ANO PAGAMENTO],$B$4,LANÇ_MOV[MÊS PAGAMENTO CORRESPONDENTE],K$6,LANÇ_MOV[EMPRESA],$C$4,LANÇ_MOV[CENTRO DE CUSTOS],$D$4)</f>
        <v>0</v>
      </c>
      <c r="L175" s="206">
        <f>SUMIFS(LANÇ_MOV[VALOR LÍQUIDO],LANÇ_MOV[RECEITA OU DESPESA],"Despesa",LANÇ_MOV[CONTAS],$C175,LANÇ_MOV[PLANO DE CONTAS],REL_DRE_FINANCEIRO!$B$135,LANÇ_MOV[ANO PAGAMENTO],$B$4,LANÇ_MOV[MÊS PAGAMENTO CORRESPONDENTE],L$6,LANÇ_MOV[EMPRESA],$C$4,LANÇ_MOV[CENTRO DE CUSTOS],$D$4)</f>
        <v>0</v>
      </c>
      <c r="M175" s="206">
        <f>SUMIFS(LANÇ_MOV[VALOR LÍQUIDO],LANÇ_MOV[RECEITA OU DESPESA],"Despesa",LANÇ_MOV[CONTAS],$C175,LANÇ_MOV[PLANO DE CONTAS],REL_DRE_FINANCEIRO!$B$135,LANÇ_MOV[ANO PAGAMENTO],$B$4,LANÇ_MOV[MÊS PAGAMENTO CORRESPONDENTE],M$6,LANÇ_MOV[EMPRESA],$C$4,LANÇ_MOV[CENTRO DE CUSTOS],$D$4)</f>
        <v>0</v>
      </c>
      <c r="N175" s="206">
        <f>SUMIFS(LANÇ_MOV[VALOR LÍQUIDO],LANÇ_MOV[RECEITA OU DESPESA],"Despesa",LANÇ_MOV[CONTAS],$C175,LANÇ_MOV[PLANO DE CONTAS],REL_DRE_FINANCEIRO!$B$135,LANÇ_MOV[ANO PAGAMENTO],$B$4,LANÇ_MOV[MÊS PAGAMENTO CORRESPONDENTE],N$6,LANÇ_MOV[EMPRESA],$C$4,LANÇ_MOV[CENTRO DE CUSTOS],$D$4)</f>
        <v>0</v>
      </c>
      <c r="O175" s="206">
        <f>SUMIFS(LANÇ_MOV[VALOR LÍQUIDO],LANÇ_MOV[RECEITA OU DESPESA],"Despesa",LANÇ_MOV[CONTAS],$C175,LANÇ_MOV[PLANO DE CONTAS],REL_DRE_FINANCEIRO!$B$135,LANÇ_MOV[ANO PAGAMENTO],$B$4,LANÇ_MOV[MÊS PAGAMENTO CORRESPONDENTE],O$6,LANÇ_MOV[EMPRESA],$C$4,LANÇ_MOV[CENTRO DE CUSTOS],$D$4)</f>
        <v>0</v>
      </c>
      <c r="P175" s="207">
        <f t="shared" si="30"/>
        <v>0</v>
      </c>
      <c r="Q175" s="333">
        <v>3.82E-5</v>
      </c>
      <c r="R175" s="346">
        <f t="shared" si="32"/>
        <v>3.82E-5</v>
      </c>
      <c r="S175" s="347" t="str">
        <f t="shared" si="33"/>
        <v>-</v>
      </c>
      <c r="T175" s="347">
        <f t="shared" si="34"/>
        <v>0</v>
      </c>
      <c r="U175" s="347">
        <f>HLOOKUP(Apoio!$P$12,$D$134:$P$235,X175,FALSE)+Q175</f>
        <v>3.82E-5</v>
      </c>
      <c r="V175" s="447" t="str">
        <f t="shared" si="31"/>
        <v>-</v>
      </c>
      <c r="W175" s="448">
        <f>HLOOKUP(Apoio!$P$12,$D$134:$P$235,X175,FALSE)</f>
        <v>0</v>
      </c>
      <c r="X175" s="329">
        <v>42</v>
      </c>
    </row>
    <row r="176" spans="2:24" ht="30.05" customHeight="1" x14ac:dyDescent="0.35">
      <c r="B176" s="204" t="str">
        <f>'CAD_PL_REC-DESP'!K45</f>
        <v>2.1.41</v>
      </c>
      <c r="C176" s="205" t="str">
        <f>IF('CAD_PL_REC-DESP'!L45="","-",'CAD_PL_REC-DESP'!L45)</f>
        <v>-</v>
      </c>
      <c r="D176" s="206">
        <f>SUMIFS(LANÇ_MOV[VALOR LÍQUIDO],LANÇ_MOV[RECEITA OU DESPESA],"Despesa",LANÇ_MOV[CONTAS],$C176,LANÇ_MOV[PLANO DE CONTAS],REL_DRE_FINANCEIRO!$B$135,LANÇ_MOV[ANO PAGAMENTO],$B$4,LANÇ_MOV[MÊS PAGAMENTO CORRESPONDENTE],D$6,LANÇ_MOV[EMPRESA],$C$4,LANÇ_MOV[CENTRO DE CUSTOS],$D$4)</f>
        <v>0</v>
      </c>
      <c r="E176" s="206">
        <f>SUMIFS(LANÇ_MOV[VALOR LÍQUIDO],LANÇ_MOV[RECEITA OU DESPESA],"Despesa",LANÇ_MOV[CONTAS],$C176,LANÇ_MOV[PLANO DE CONTAS],REL_DRE_FINANCEIRO!$B$135,LANÇ_MOV[ANO PAGAMENTO],$B$4,LANÇ_MOV[MÊS PAGAMENTO CORRESPONDENTE],E$6,LANÇ_MOV[EMPRESA],$C$4,LANÇ_MOV[CENTRO DE CUSTOS],$D$4)</f>
        <v>0</v>
      </c>
      <c r="F176" s="206">
        <f>SUMIFS(LANÇ_MOV[VALOR LÍQUIDO],LANÇ_MOV[RECEITA OU DESPESA],"Despesa",LANÇ_MOV[CONTAS],$C176,LANÇ_MOV[PLANO DE CONTAS],REL_DRE_FINANCEIRO!$B$135,LANÇ_MOV[ANO PAGAMENTO],$B$4,LANÇ_MOV[MÊS PAGAMENTO CORRESPONDENTE],F$6,LANÇ_MOV[EMPRESA],$C$4,LANÇ_MOV[CENTRO DE CUSTOS],$D$4)</f>
        <v>0</v>
      </c>
      <c r="G176" s="206">
        <f>SUMIFS(LANÇ_MOV[VALOR LÍQUIDO],LANÇ_MOV[RECEITA OU DESPESA],"Despesa",LANÇ_MOV[CONTAS],$C176,LANÇ_MOV[PLANO DE CONTAS],REL_DRE_FINANCEIRO!$B$135,LANÇ_MOV[ANO PAGAMENTO],$B$4,LANÇ_MOV[MÊS PAGAMENTO CORRESPONDENTE],G$6,LANÇ_MOV[EMPRESA],$C$4,LANÇ_MOV[CENTRO DE CUSTOS],$D$4)</f>
        <v>0</v>
      </c>
      <c r="H176" s="206">
        <f>SUMIFS(LANÇ_MOV[VALOR LÍQUIDO],LANÇ_MOV[RECEITA OU DESPESA],"Despesa",LANÇ_MOV[CONTAS],$C176,LANÇ_MOV[PLANO DE CONTAS],REL_DRE_FINANCEIRO!$B$135,LANÇ_MOV[ANO PAGAMENTO],$B$4,LANÇ_MOV[MÊS PAGAMENTO CORRESPONDENTE],H$6,LANÇ_MOV[EMPRESA],$C$4,LANÇ_MOV[CENTRO DE CUSTOS],$D$4)</f>
        <v>0</v>
      </c>
      <c r="I176" s="206">
        <f>SUMIFS(LANÇ_MOV[VALOR LÍQUIDO],LANÇ_MOV[RECEITA OU DESPESA],"Despesa",LANÇ_MOV[CONTAS],$C176,LANÇ_MOV[PLANO DE CONTAS],REL_DRE_FINANCEIRO!$B$135,LANÇ_MOV[ANO PAGAMENTO],$B$4,LANÇ_MOV[MÊS PAGAMENTO CORRESPONDENTE],I$6,LANÇ_MOV[EMPRESA],$C$4,LANÇ_MOV[CENTRO DE CUSTOS],$D$4)</f>
        <v>0</v>
      </c>
      <c r="J176" s="206">
        <f>SUMIFS(LANÇ_MOV[VALOR LÍQUIDO],LANÇ_MOV[RECEITA OU DESPESA],"Despesa",LANÇ_MOV[CONTAS],$C176,LANÇ_MOV[PLANO DE CONTAS],REL_DRE_FINANCEIRO!$B$135,LANÇ_MOV[ANO PAGAMENTO],$B$4,LANÇ_MOV[MÊS PAGAMENTO CORRESPONDENTE],J$6,LANÇ_MOV[EMPRESA],$C$4,LANÇ_MOV[CENTRO DE CUSTOS],$D$4)</f>
        <v>0</v>
      </c>
      <c r="K176" s="206">
        <f>SUMIFS(LANÇ_MOV[VALOR LÍQUIDO],LANÇ_MOV[RECEITA OU DESPESA],"Despesa",LANÇ_MOV[CONTAS],$C176,LANÇ_MOV[PLANO DE CONTAS],REL_DRE_FINANCEIRO!$B$135,LANÇ_MOV[ANO PAGAMENTO],$B$4,LANÇ_MOV[MÊS PAGAMENTO CORRESPONDENTE],K$6,LANÇ_MOV[EMPRESA],$C$4,LANÇ_MOV[CENTRO DE CUSTOS],$D$4)</f>
        <v>0</v>
      </c>
      <c r="L176" s="206">
        <f>SUMIFS(LANÇ_MOV[VALOR LÍQUIDO],LANÇ_MOV[RECEITA OU DESPESA],"Despesa",LANÇ_MOV[CONTAS],$C176,LANÇ_MOV[PLANO DE CONTAS],REL_DRE_FINANCEIRO!$B$135,LANÇ_MOV[ANO PAGAMENTO],$B$4,LANÇ_MOV[MÊS PAGAMENTO CORRESPONDENTE],L$6,LANÇ_MOV[EMPRESA],$C$4,LANÇ_MOV[CENTRO DE CUSTOS],$D$4)</f>
        <v>0</v>
      </c>
      <c r="M176" s="206">
        <f>SUMIFS(LANÇ_MOV[VALOR LÍQUIDO],LANÇ_MOV[RECEITA OU DESPESA],"Despesa",LANÇ_MOV[CONTAS],$C176,LANÇ_MOV[PLANO DE CONTAS],REL_DRE_FINANCEIRO!$B$135,LANÇ_MOV[ANO PAGAMENTO],$B$4,LANÇ_MOV[MÊS PAGAMENTO CORRESPONDENTE],M$6,LANÇ_MOV[EMPRESA],$C$4,LANÇ_MOV[CENTRO DE CUSTOS],$D$4)</f>
        <v>0</v>
      </c>
      <c r="N176" s="206">
        <f>SUMIFS(LANÇ_MOV[VALOR LÍQUIDO],LANÇ_MOV[RECEITA OU DESPESA],"Despesa",LANÇ_MOV[CONTAS],$C176,LANÇ_MOV[PLANO DE CONTAS],REL_DRE_FINANCEIRO!$B$135,LANÇ_MOV[ANO PAGAMENTO],$B$4,LANÇ_MOV[MÊS PAGAMENTO CORRESPONDENTE],N$6,LANÇ_MOV[EMPRESA],$C$4,LANÇ_MOV[CENTRO DE CUSTOS],$D$4)</f>
        <v>0</v>
      </c>
      <c r="O176" s="206">
        <f>SUMIFS(LANÇ_MOV[VALOR LÍQUIDO],LANÇ_MOV[RECEITA OU DESPESA],"Despesa",LANÇ_MOV[CONTAS],$C176,LANÇ_MOV[PLANO DE CONTAS],REL_DRE_FINANCEIRO!$B$135,LANÇ_MOV[ANO PAGAMENTO],$B$4,LANÇ_MOV[MÊS PAGAMENTO CORRESPONDENTE],O$6,LANÇ_MOV[EMPRESA],$C$4,LANÇ_MOV[CENTRO DE CUSTOS],$D$4)</f>
        <v>0</v>
      </c>
      <c r="P176" s="207">
        <f t="shared" si="30"/>
        <v>0</v>
      </c>
      <c r="Q176" s="333">
        <v>3.8099999999999998E-5</v>
      </c>
      <c r="R176" s="346">
        <f t="shared" si="32"/>
        <v>3.8099999999999998E-5</v>
      </c>
      <c r="S176" s="347" t="str">
        <f t="shared" si="33"/>
        <v>-</v>
      </c>
      <c r="T176" s="347">
        <f t="shared" si="34"/>
        <v>0</v>
      </c>
      <c r="U176" s="347">
        <f>HLOOKUP(Apoio!$P$12,$D$134:$P$235,X176,FALSE)+Q176</f>
        <v>3.8099999999999998E-5</v>
      </c>
      <c r="V176" s="447" t="str">
        <f t="shared" si="31"/>
        <v>-</v>
      </c>
      <c r="W176" s="448">
        <f>HLOOKUP(Apoio!$P$12,$D$134:$P$235,X176,FALSE)</f>
        <v>0</v>
      </c>
      <c r="X176" s="329">
        <v>43</v>
      </c>
    </row>
    <row r="177" spans="2:24" ht="30.05" customHeight="1" x14ac:dyDescent="0.35">
      <c r="B177" s="204" t="str">
        <f>'CAD_PL_REC-DESP'!K46</f>
        <v>2.1.42</v>
      </c>
      <c r="C177" s="205" t="str">
        <f>IF('CAD_PL_REC-DESP'!L46="","-",'CAD_PL_REC-DESP'!L46)</f>
        <v>-</v>
      </c>
      <c r="D177" s="206">
        <f>SUMIFS(LANÇ_MOV[VALOR LÍQUIDO],LANÇ_MOV[RECEITA OU DESPESA],"Despesa",LANÇ_MOV[CONTAS],$C177,LANÇ_MOV[PLANO DE CONTAS],REL_DRE_FINANCEIRO!$B$135,LANÇ_MOV[ANO PAGAMENTO],$B$4,LANÇ_MOV[MÊS PAGAMENTO CORRESPONDENTE],D$6,LANÇ_MOV[EMPRESA],$C$4,LANÇ_MOV[CENTRO DE CUSTOS],$D$4)</f>
        <v>0</v>
      </c>
      <c r="E177" s="206">
        <f>SUMIFS(LANÇ_MOV[VALOR LÍQUIDO],LANÇ_MOV[RECEITA OU DESPESA],"Despesa",LANÇ_MOV[CONTAS],$C177,LANÇ_MOV[PLANO DE CONTAS],REL_DRE_FINANCEIRO!$B$135,LANÇ_MOV[ANO PAGAMENTO],$B$4,LANÇ_MOV[MÊS PAGAMENTO CORRESPONDENTE],E$6,LANÇ_MOV[EMPRESA],$C$4,LANÇ_MOV[CENTRO DE CUSTOS],$D$4)</f>
        <v>0</v>
      </c>
      <c r="F177" s="206">
        <f>SUMIFS(LANÇ_MOV[VALOR LÍQUIDO],LANÇ_MOV[RECEITA OU DESPESA],"Despesa",LANÇ_MOV[CONTAS],$C177,LANÇ_MOV[PLANO DE CONTAS],REL_DRE_FINANCEIRO!$B$135,LANÇ_MOV[ANO PAGAMENTO],$B$4,LANÇ_MOV[MÊS PAGAMENTO CORRESPONDENTE],F$6,LANÇ_MOV[EMPRESA],$C$4,LANÇ_MOV[CENTRO DE CUSTOS],$D$4)</f>
        <v>0</v>
      </c>
      <c r="G177" s="206">
        <f>SUMIFS(LANÇ_MOV[VALOR LÍQUIDO],LANÇ_MOV[RECEITA OU DESPESA],"Despesa",LANÇ_MOV[CONTAS],$C177,LANÇ_MOV[PLANO DE CONTAS],REL_DRE_FINANCEIRO!$B$135,LANÇ_MOV[ANO PAGAMENTO],$B$4,LANÇ_MOV[MÊS PAGAMENTO CORRESPONDENTE],G$6,LANÇ_MOV[EMPRESA],$C$4,LANÇ_MOV[CENTRO DE CUSTOS],$D$4)</f>
        <v>0</v>
      </c>
      <c r="H177" s="206">
        <f>SUMIFS(LANÇ_MOV[VALOR LÍQUIDO],LANÇ_MOV[RECEITA OU DESPESA],"Despesa",LANÇ_MOV[CONTAS],$C177,LANÇ_MOV[PLANO DE CONTAS],REL_DRE_FINANCEIRO!$B$135,LANÇ_MOV[ANO PAGAMENTO],$B$4,LANÇ_MOV[MÊS PAGAMENTO CORRESPONDENTE],H$6,LANÇ_MOV[EMPRESA],$C$4,LANÇ_MOV[CENTRO DE CUSTOS],$D$4)</f>
        <v>0</v>
      </c>
      <c r="I177" s="206">
        <f>SUMIFS(LANÇ_MOV[VALOR LÍQUIDO],LANÇ_MOV[RECEITA OU DESPESA],"Despesa",LANÇ_MOV[CONTAS],$C177,LANÇ_MOV[PLANO DE CONTAS],REL_DRE_FINANCEIRO!$B$135,LANÇ_MOV[ANO PAGAMENTO],$B$4,LANÇ_MOV[MÊS PAGAMENTO CORRESPONDENTE],I$6,LANÇ_MOV[EMPRESA],$C$4,LANÇ_MOV[CENTRO DE CUSTOS],$D$4)</f>
        <v>0</v>
      </c>
      <c r="J177" s="206">
        <f>SUMIFS(LANÇ_MOV[VALOR LÍQUIDO],LANÇ_MOV[RECEITA OU DESPESA],"Despesa",LANÇ_MOV[CONTAS],$C177,LANÇ_MOV[PLANO DE CONTAS],REL_DRE_FINANCEIRO!$B$135,LANÇ_MOV[ANO PAGAMENTO],$B$4,LANÇ_MOV[MÊS PAGAMENTO CORRESPONDENTE],J$6,LANÇ_MOV[EMPRESA],$C$4,LANÇ_MOV[CENTRO DE CUSTOS],$D$4)</f>
        <v>0</v>
      </c>
      <c r="K177" s="206">
        <f>SUMIFS(LANÇ_MOV[VALOR LÍQUIDO],LANÇ_MOV[RECEITA OU DESPESA],"Despesa",LANÇ_MOV[CONTAS],$C177,LANÇ_MOV[PLANO DE CONTAS],REL_DRE_FINANCEIRO!$B$135,LANÇ_MOV[ANO PAGAMENTO],$B$4,LANÇ_MOV[MÊS PAGAMENTO CORRESPONDENTE],K$6,LANÇ_MOV[EMPRESA],$C$4,LANÇ_MOV[CENTRO DE CUSTOS],$D$4)</f>
        <v>0</v>
      </c>
      <c r="L177" s="206">
        <f>SUMIFS(LANÇ_MOV[VALOR LÍQUIDO],LANÇ_MOV[RECEITA OU DESPESA],"Despesa",LANÇ_MOV[CONTAS],$C177,LANÇ_MOV[PLANO DE CONTAS],REL_DRE_FINANCEIRO!$B$135,LANÇ_MOV[ANO PAGAMENTO],$B$4,LANÇ_MOV[MÊS PAGAMENTO CORRESPONDENTE],L$6,LANÇ_MOV[EMPRESA],$C$4,LANÇ_MOV[CENTRO DE CUSTOS],$D$4)</f>
        <v>0</v>
      </c>
      <c r="M177" s="206">
        <f>SUMIFS(LANÇ_MOV[VALOR LÍQUIDO],LANÇ_MOV[RECEITA OU DESPESA],"Despesa",LANÇ_MOV[CONTAS],$C177,LANÇ_MOV[PLANO DE CONTAS],REL_DRE_FINANCEIRO!$B$135,LANÇ_MOV[ANO PAGAMENTO],$B$4,LANÇ_MOV[MÊS PAGAMENTO CORRESPONDENTE],M$6,LANÇ_MOV[EMPRESA],$C$4,LANÇ_MOV[CENTRO DE CUSTOS],$D$4)</f>
        <v>0</v>
      </c>
      <c r="N177" s="206">
        <f>SUMIFS(LANÇ_MOV[VALOR LÍQUIDO],LANÇ_MOV[RECEITA OU DESPESA],"Despesa",LANÇ_MOV[CONTAS],$C177,LANÇ_MOV[PLANO DE CONTAS],REL_DRE_FINANCEIRO!$B$135,LANÇ_MOV[ANO PAGAMENTO],$B$4,LANÇ_MOV[MÊS PAGAMENTO CORRESPONDENTE],N$6,LANÇ_MOV[EMPRESA],$C$4,LANÇ_MOV[CENTRO DE CUSTOS],$D$4)</f>
        <v>0</v>
      </c>
      <c r="O177" s="206">
        <f>SUMIFS(LANÇ_MOV[VALOR LÍQUIDO],LANÇ_MOV[RECEITA OU DESPESA],"Despesa",LANÇ_MOV[CONTAS],$C177,LANÇ_MOV[PLANO DE CONTAS],REL_DRE_FINANCEIRO!$B$135,LANÇ_MOV[ANO PAGAMENTO],$B$4,LANÇ_MOV[MÊS PAGAMENTO CORRESPONDENTE],O$6,LANÇ_MOV[EMPRESA],$C$4,LANÇ_MOV[CENTRO DE CUSTOS],$D$4)</f>
        <v>0</v>
      </c>
      <c r="P177" s="207">
        <f t="shared" si="30"/>
        <v>0</v>
      </c>
      <c r="Q177" s="333">
        <v>3.8000000000000002E-5</v>
      </c>
      <c r="R177" s="346">
        <f t="shared" si="32"/>
        <v>3.8000000000000002E-5</v>
      </c>
      <c r="S177" s="347" t="str">
        <f t="shared" si="33"/>
        <v>-</v>
      </c>
      <c r="T177" s="347">
        <f t="shared" si="34"/>
        <v>0</v>
      </c>
      <c r="U177" s="347">
        <f>HLOOKUP(Apoio!$P$12,$D$134:$P$235,X177,FALSE)+Q177</f>
        <v>3.8000000000000002E-5</v>
      </c>
      <c r="V177" s="447" t="str">
        <f t="shared" si="31"/>
        <v>-</v>
      </c>
      <c r="W177" s="448">
        <f>HLOOKUP(Apoio!$P$12,$D$134:$P$235,X177,FALSE)</f>
        <v>0</v>
      </c>
      <c r="X177" s="329">
        <v>44</v>
      </c>
    </row>
    <row r="178" spans="2:24" ht="30.05" customHeight="1" x14ac:dyDescent="0.35">
      <c r="B178" s="204" t="str">
        <f>'CAD_PL_REC-DESP'!K47</f>
        <v>2.1.43</v>
      </c>
      <c r="C178" s="205" t="str">
        <f>IF('CAD_PL_REC-DESP'!L47="","-",'CAD_PL_REC-DESP'!L47)</f>
        <v>-</v>
      </c>
      <c r="D178" s="206">
        <f>SUMIFS(LANÇ_MOV[VALOR LÍQUIDO],LANÇ_MOV[RECEITA OU DESPESA],"Despesa",LANÇ_MOV[CONTAS],$C178,LANÇ_MOV[PLANO DE CONTAS],REL_DRE_FINANCEIRO!$B$135,LANÇ_MOV[ANO PAGAMENTO],$B$4,LANÇ_MOV[MÊS PAGAMENTO CORRESPONDENTE],D$6,LANÇ_MOV[EMPRESA],$C$4,LANÇ_MOV[CENTRO DE CUSTOS],$D$4)</f>
        <v>0</v>
      </c>
      <c r="E178" s="206">
        <f>SUMIFS(LANÇ_MOV[VALOR LÍQUIDO],LANÇ_MOV[RECEITA OU DESPESA],"Despesa",LANÇ_MOV[CONTAS],$C178,LANÇ_MOV[PLANO DE CONTAS],REL_DRE_FINANCEIRO!$B$135,LANÇ_MOV[ANO PAGAMENTO],$B$4,LANÇ_MOV[MÊS PAGAMENTO CORRESPONDENTE],E$6,LANÇ_MOV[EMPRESA],$C$4,LANÇ_MOV[CENTRO DE CUSTOS],$D$4)</f>
        <v>0</v>
      </c>
      <c r="F178" s="206">
        <f>SUMIFS(LANÇ_MOV[VALOR LÍQUIDO],LANÇ_MOV[RECEITA OU DESPESA],"Despesa",LANÇ_MOV[CONTAS],$C178,LANÇ_MOV[PLANO DE CONTAS],REL_DRE_FINANCEIRO!$B$135,LANÇ_MOV[ANO PAGAMENTO],$B$4,LANÇ_MOV[MÊS PAGAMENTO CORRESPONDENTE],F$6,LANÇ_MOV[EMPRESA],$C$4,LANÇ_MOV[CENTRO DE CUSTOS],$D$4)</f>
        <v>0</v>
      </c>
      <c r="G178" s="206">
        <f>SUMIFS(LANÇ_MOV[VALOR LÍQUIDO],LANÇ_MOV[RECEITA OU DESPESA],"Despesa",LANÇ_MOV[CONTAS],$C178,LANÇ_MOV[PLANO DE CONTAS],REL_DRE_FINANCEIRO!$B$135,LANÇ_MOV[ANO PAGAMENTO],$B$4,LANÇ_MOV[MÊS PAGAMENTO CORRESPONDENTE],G$6,LANÇ_MOV[EMPRESA],$C$4,LANÇ_MOV[CENTRO DE CUSTOS],$D$4)</f>
        <v>0</v>
      </c>
      <c r="H178" s="206">
        <f>SUMIFS(LANÇ_MOV[VALOR LÍQUIDO],LANÇ_MOV[RECEITA OU DESPESA],"Despesa",LANÇ_MOV[CONTAS],$C178,LANÇ_MOV[PLANO DE CONTAS],REL_DRE_FINANCEIRO!$B$135,LANÇ_MOV[ANO PAGAMENTO],$B$4,LANÇ_MOV[MÊS PAGAMENTO CORRESPONDENTE],H$6,LANÇ_MOV[EMPRESA],$C$4,LANÇ_MOV[CENTRO DE CUSTOS],$D$4)</f>
        <v>0</v>
      </c>
      <c r="I178" s="206">
        <f>SUMIFS(LANÇ_MOV[VALOR LÍQUIDO],LANÇ_MOV[RECEITA OU DESPESA],"Despesa",LANÇ_MOV[CONTAS],$C178,LANÇ_MOV[PLANO DE CONTAS],REL_DRE_FINANCEIRO!$B$135,LANÇ_MOV[ANO PAGAMENTO],$B$4,LANÇ_MOV[MÊS PAGAMENTO CORRESPONDENTE],I$6,LANÇ_MOV[EMPRESA],$C$4,LANÇ_MOV[CENTRO DE CUSTOS],$D$4)</f>
        <v>0</v>
      </c>
      <c r="J178" s="206">
        <f>SUMIFS(LANÇ_MOV[VALOR LÍQUIDO],LANÇ_MOV[RECEITA OU DESPESA],"Despesa",LANÇ_MOV[CONTAS],$C178,LANÇ_MOV[PLANO DE CONTAS],REL_DRE_FINANCEIRO!$B$135,LANÇ_MOV[ANO PAGAMENTO],$B$4,LANÇ_MOV[MÊS PAGAMENTO CORRESPONDENTE],J$6,LANÇ_MOV[EMPRESA],$C$4,LANÇ_MOV[CENTRO DE CUSTOS],$D$4)</f>
        <v>0</v>
      </c>
      <c r="K178" s="206">
        <f>SUMIFS(LANÇ_MOV[VALOR LÍQUIDO],LANÇ_MOV[RECEITA OU DESPESA],"Despesa",LANÇ_MOV[CONTAS],$C178,LANÇ_MOV[PLANO DE CONTAS],REL_DRE_FINANCEIRO!$B$135,LANÇ_MOV[ANO PAGAMENTO],$B$4,LANÇ_MOV[MÊS PAGAMENTO CORRESPONDENTE],K$6,LANÇ_MOV[EMPRESA],$C$4,LANÇ_MOV[CENTRO DE CUSTOS],$D$4)</f>
        <v>0</v>
      </c>
      <c r="L178" s="206">
        <f>SUMIFS(LANÇ_MOV[VALOR LÍQUIDO],LANÇ_MOV[RECEITA OU DESPESA],"Despesa",LANÇ_MOV[CONTAS],$C178,LANÇ_MOV[PLANO DE CONTAS],REL_DRE_FINANCEIRO!$B$135,LANÇ_MOV[ANO PAGAMENTO],$B$4,LANÇ_MOV[MÊS PAGAMENTO CORRESPONDENTE],L$6,LANÇ_MOV[EMPRESA],$C$4,LANÇ_MOV[CENTRO DE CUSTOS],$D$4)</f>
        <v>0</v>
      </c>
      <c r="M178" s="206">
        <f>SUMIFS(LANÇ_MOV[VALOR LÍQUIDO],LANÇ_MOV[RECEITA OU DESPESA],"Despesa",LANÇ_MOV[CONTAS],$C178,LANÇ_MOV[PLANO DE CONTAS],REL_DRE_FINANCEIRO!$B$135,LANÇ_MOV[ANO PAGAMENTO],$B$4,LANÇ_MOV[MÊS PAGAMENTO CORRESPONDENTE],M$6,LANÇ_MOV[EMPRESA],$C$4,LANÇ_MOV[CENTRO DE CUSTOS],$D$4)</f>
        <v>0</v>
      </c>
      <c r="N178" s="206">
        <f>SUMIFS(LANÇ_MOV[VALOR LÍQUIDO],LANÇ_MOV[RECEITA OU DESPESA],"Despesa",LANÇ_MOV[CONTAS],$C178,LANÇ_MOV[PLANO DE CONTAS],REL_DRE_FINANCEIRO!$B$135,LANÇ_MOV[ANO PAGAMENTO],$B$4,LANÇ_MOV[MÊS PAGAMENTO CORRESPONDENTE],N$6,LANÇ_MOV[EMPRESA],$C$4,LANÇ_MOV[CENTRO DE CUSTOS],$D$4)</f>
        <v>0</v>
      </c>
      <c r="O178" s="206">
        <f>SUMIFS(LANÇ_MOV[VALOR LÍQUIDO],LANÇ_MOV[RECEITA OU DESPESA],"Despesa",LANÇ_MOV[CONTAS],$C178,LANÇ_MOV[PLANO DE CONTAS],REL_DRE_FINANCEIRO!$B$135,LANÇ_MOV[ANO PAGAMENTO],$B$4,LANÇ_MOV[MÊS PAGAMENTO CORRESPONDENTE],O$6,LANÇ_MOV[EMPRESA],$C$4,LANÇ_MOV[CENTRO DE CUSTOS],$D$4)</f>
        <v>0</v>
      </c>
      <c r="P178" s="207">
        <f t="shared" si="30"/>
        <v>0</v>
      </c>
      <c r="Q178" s="333">
        <v>3.79E-5</v>
      </c>
      <c r="R178" s="346">
        <f t="shared" si="32"/>
        <v>3.79E-5</v>
      </c>
      <c r="S178" s="347" t="str">
        <f t="shared" si="33"/>
        <v>-</v>
      </c>
      <c r="T178" s="347">
        <f t="shared" si="34"/>
        <v>0</v>
      </c>
      <c r="U178" s="347">
        <f>HLOOKUP(Apoio!$P$12,$D$134:$P$235,X178,FALSE)+Q178</f>
        <v>3.79E-5</v>
      </c>
      <c r="V178" s="447" t="str">
        <f t="shared" si="31"/>
        <v>-</v>
      </c>
      <c r="W178" s="448">
        <f>HLOOKUP(Apoio!$P$12,$D$134:$P$235,X178,FALSE)</f>
        <v>0</v>
      </c>
      <c r="X178" s="329">
        <v>45</v>
      </c>
    </row>
    <row r="179" spans="2:24" ht="30.05" customHeight="1" x14ac:dyDescent="0.35">
      <c r="B179" s="204" t="str">
        <f>'CAD_PL_REC-DESP'!K48</f>
        <v>2.1.44</v>
      </c>
      <c r="C179" s="205" t="str">
        <f>IF('CAD_PL_REC-DESP'!L48="","-",'CAD_PL_REC-DESP'!L48)</f>
        <v>-</v>
      </c>
      <c r="D179" s="206">
        <f>SUMIFS(LANÇ_MOV[VALOR LÍQUIDO],LANÇ_MOV[RECEITA OU DESPESA],"Despesa",LANÇ_MOV[CONTAS],$C179,LANÇ_MOV[PLANO DE CONTAS],REL_DRE_FINANCEIRO!$B$135,LANÇ_MOV[ANO PAGAMENTO],$B$4,LANÇ_MOV[MÊS PAGAMENTO CORRESPONDENTE],D$6,LANÇ_MOV[EMPRESA],$C$4,LANÇ_MOV[CENTRO DE CUSTOS],$D$4)</f>
        <v>0</v>
      </c>
      <c r="E179" s="206">
        <f>SUMIFS(LANÇ_MOV[VALOR LÍQUIDO],LANÇ_MOV[RECEITA OU DESPESA],"Despesa",LANÇ_MOV[CONTAS],$C179,LANÇ_MOV[PLANO DE CONTAS],REL_DRE_FINANCEIRO!$B$135,LANÇ_MOV[ANO PAGAMENTO],$B$4,LANÇ_MOV[MÊS PAGAMENTO CORRESPONDENTE],E$6,LANÇ_MOV[EMPRESA],$C$4,LANÇ_MOV[CENTRO DE CUSTOS],$D$4)</f>
        <v>0</v>
      </c>
      <c r="F179" s="206">
        <f>SUMIFS(LANÇ_MOV[VALOR LÍQUIDO],LANÇ_MOV[RECEITA OU DESPESA],"Despesa",LANÇ_MOV[CONTAS],$C179,LANÇ_MOV[PLANO DE CONTAS],REL_DRE_FINANCEIRO!$B$135,LANÇ_MOV[ANO PAGAMENTO],$B$4,LANÇ_MOV[MÊS PAGAMENTO CORRESPONDENTE],F$6,LANÇ_MOV[EMPRESA],$C$4,LANÇ_MOV[CENTRO DE CUSTOS],$D$4)</f>
        <v>0</v>
      </c>
      <c r="G179" s="206">
        <f>SUMIFS(LANÇ_MOV[VALOR LÍQUIDO],LANÇ_MOV[RECEITA OU DESPESA],"Despesa",LANÇ_MOV[CONTAS],$C179,LANÇ_MOV[PLANO DE CONTAS],REL_DRE_FINANCEIRO!$B$135,LANÇ_MOV[ANO PAGAMENTO],$B$4,LANÇ_MOV[MÊS PAGAMENTO CORRESPONDENTE],G$6,LANÇ_MOV[EMPRESA],$C$4,LANÇ_MOV[CENTRO DE CUSTOS],$D$4)</f>
        <v>0</v>
      </c>
      <c r="H179" s="206">
        <f>SUMIFS(LANÇ_MOV[VALOR LÍQUIDO],LANÇ_MOV[RECEITA OU DESPESA],"Despesa",LANÇ_MOV[CONTAS],$C179,LANÇ_MOV[PLANO DE CONTAS],REL_DRE_FINANCEIRO!$B$135,LANÇ_MOV[ANO PAGAMENTO],$B$4,LANÇ_MOV[MÊS PAGAMENTO CORRESPONDENTE],H$6,LANÇ_MOV[EMPRESA],$C$4,LANÇ_MOV[CENTRO DE CUSTOS],$D$4)</f>
        <v>0</v>
      </c>
      <c r="I179" s="206">
        <f>SUMIFS(LANÇ_MOV[VALOR LÍQUIDO],LANÇ_MOV[RECEITA OU DESPESA],"Despesa",LANÇ_MOV[CONTAS],$C179,LANÇ_MOV[PLANO DE CONTAS],REL_DRE_FINANCEIRO!$B$135,LANÇ_MOV[ANO PAGAMENTO],$B$4,LANÇ_MOV[MÊS PAGAMENTO CORRESPONDENTE],I$6,LANÇ_MOV[EMPRESA],$C$4,LANÇ_MOV[CENTRO DE CUSTOS],$D$4)</f>
        <v>0</v>
      </c>
      <c r="J179" s="206">
        <f>SUMIFS(LANÇ_MOV[VALOR LÍQUIDO],LANÇ_MOV[RECEITA OU DESPESA],"Despesa",LANÇ_MOV[CONTAS],$C179,LANÇ_MOV[PLANO DE CONTAS],REL_DRE_FINANCEIRO!$B$135,LANÇ_MOV[ANO PAGAMENTO],$B$4,LANÇ_MOV[MÊS PAGAMENTO CORRESPONDENTE],J$6,LANÇ_MOV[EMPRESA],$C$4,LANÇ_MOV[CENTRO DE CUSTOS],$D$4)</f>
        <v>0</v>
      </c>
      <c r="K179" s="206">
        <f>SUMIFS(LANÇ_MOV[VALOR LÍQUIDO],LANÇ_MOV[RECEITA OU DESPESA],"Despesa",LANÇ_MOV[CONTAS],$C179,LANÇ_MOV[PLANO DE CONTAS],REL_DRE_FINANCEIRO!$B$135,LANÇ_MOV[ANO PAGAMENTO],$B$4,LANÇ_MOV[MÊS PAGAMENTO CORRESPONDENTE],K$6,LANÇ_MOV[EMPRESA],$C$4,LANÇ_MOV[CENTRO DE CUSTOS],$D$4)</f>
        <v>0</v>
      </c>
      <c r="L179" s="206">
        <f>SUMIFS(LANÇ_MOV[VALOR LÍQUIDO],LANÇ_MOV[RECEITA OU DESPESA],"Despesa",LANÇ_MOV[CONTAS],$C179,LANÇ_MOV[PLANO DE CONTAS],REL_DRE_FINANCEIRO!$B$135,LANÇ_MOV[ANO PAGAMENTO],$B$4,LANÇ_MOV[MÊS PAGAMENTO CORRESPONDENTE],L$6,LANÇ_MOV[EMPRESA],$C$4,LANÇ_MOV[CENTRO DE CUSTOS],$D$4)</f>
        <v>0</v>
      </c>
      <c r="M179" s="206">
        <f>SUMIFS(LANÇ_MOV[VALOR LÍQUIDO],LANÇ_MOV[RECEITA OU DESPESA],"Despesa",LANÇ_MOV[CONTAS],$C179,LANÇ_MOV[PLANO DE CONTAS],REL_DRE_FINANCEIRO!$B$135,LANÇ_MOV[ANO PAGAMENTO],$B$4,LANÇ_MOV[MÊS PAGAMENTO CORRESPONDENTE],M$6,LANÇ_MOV[EMPRESA],$C$4,LANÇ_MOV[CENTRO DE CUSTOS],$D$4)</f>
        <v>0</v>
      </c>
      <c r="N179" s="206">
        <f>SUMIFS(LANÇ_MOV[VALOR LÍQUIDO],LANÇ_MOV[RECEITA OU DESPESA],"Despesa",LANÇ_MOV[CONTAS],$C179,LANÇ_MOV[PLANO DE CONTAS],REL_DRE_FINANCEIRO!$B$135,LANÇ_MOV[ANO PAGAMENTO],$B$4,LANÇ_MOV[MÊS PAGAMENTO CORRESPONDENTE],N$6,LANÇ_MOV[EMPRESA],$C$4,LANÇ_MOV[CENTRO DE CUSTOS],$D$4)</f>
        <v>0</v>
      </c>
      <c r="O179" s="206">
        <f>SUMIFS(LANÇ_MOV[VALOR LÍQUIDO],LANÇ_MOV[RECEITA OU DESPESA],"Despesa",LANÇ_MOV[CONTAS],$C179,LANÇ_MOV[PLANO DE CONTAS],REL_DRE_FINANCEIRO!$B$135,LANÇ_MOV[ANO PAGAMENTO],$B$4,LANÇ_MOV[MÊS PAGAMENTO CORRESPONDENTE],O$6,LANÇ_MOV[EMPRESA],$C$4,LANÇ_MOV[CENTRO DE CUSTOS],$D$4)</f>
        <v>0</v>
      </c>
      <c r="P179" s="207">
        <f t="shared" si="30"/>
        <v>0</v>
      </c>
      <c r="Q179" s="333">
        <v>3.7799999999999997E-5</v>
      </c>
      <c r="R179" s="346">
        <f t="shared" si="32"/>
        <v>3.7799999999999997E-5</v>
      </c>
      <c r="S179" s="347" t="str">
        <f t="shared" si="33"/>
        <v>-</v>
      </c>
      <c r="T179" s="347">
        <f t="shared" si="34"/>
        <v>0</v>
      </c>
      <c r="U179" s="347">
        <f>HLOOKUP(Apoio!$P$12,$D$134:$P$235,X179,FALSE)+Q179</f>
        <v>3.7799999999999997E-5</v>
      </c>
      <c r="V179" s="447" t="str">
        <f t="shared" si="31"/>
        <v>-</v>
      </c>
      <c r="W179" s="448">
        <f>HLOOKUP(Apoio!$P$12,$D$134:$P$235,X179,FALSE)</f>
        <v>0</v>
      </c>
      <c r="X179" s="329">
        <v>46</v>
      </c>
    </row>
    <row r="180" spans="2:24" ht="30.05" customHeight="1" x14ac:dyDescent="0.35">
      <c r="B180" s="204" t="str">
        <f>'CAD_PL_REC-DESP'!K49</f>
        <v>2.1.45</v>
      </c>
      <c r="C180" s="205" t="str">
        <f>IF('CAD_PL_REC-DESP'!L49="","-",'CAD_PL_REC-DESP'!L49)</f>
        <v>-</v>
      </c>
      <c r="D180" s="206">
        <f>SUMIFS(LANÇ_MOV[VALOR LÍQUIDO],LANÇ_MOV[RECEITA OU DESPESA],"Despesa",LANÇ_MOV[CONTAS],$C180,LANÇ_MOV[PLANO DE CONTAS],REL_DRE_FINANCEIRO!$B$135,LANÇ_MOV[ANO PAGAMENTO],$B$4,LANÇ_MOV[MÊS PAGAMENTO CORRESPONDENTE],D$6,LANÇ_MOV[EMPRESA],$C$4,LANÇ_MOV[CENTRO DE CUSTOS],$D$4)</f>
        <v>0</v>
      </c>
      <c r="E180" s="206">
        <f>SUMIFS(LANÇ_MOV[VALOR LÍQUIDO],LANÇ_MOV[RECEITA OU DESPESA],"Despesa",LANÇ_MOV[CONTAS],$C180,LANÇ_MOV[PLANO DE CONTAS],REL_DRE_FINANCEIRO!$B$135,LANÇ_MOV[ANO PAGAMENTO],$B$4,LANÇ_MOV[MÊS PAGAMENTO CORRESPONDENTE],E$6,LANÇ_MOV[EMPRESA],$C$4,LANÇ_MOV[CENTRO DE CUSTOS],$D$4)</f>
        <v>0</v>
      </c>
      <c r="F180" s="206">
        <f>SUMIFS(LANÇ_MOV[VALOR LÍQUIDO],LANÇ_MOV[RECEITA OU DESPESA],"Despesa",LANÇ_MOV[CONTAS],$C180,LANÇ_MOV[PLANO DE CONTAS],REL_DRE_FINANCEIRO!$B$135,LANÇ_MOV[ANO PAGAMENTO],$B$4,LANÇ_MOV[MÊS PAGAMENTO CORRESPONDENTE],F$6,LANÇ_MOV[EMPRESA],$C$4,LANÇ_MOV[CENTRO DE CUSTOS],$D$4)</f>
        <v>0</v>
      </c>
      <c r="G180" s="206">
        <f>SUMIFS(LANÇ_MOV[VALOR LÍQUIDO],LANÇ_MOV[RECEITA OU DESPESA],"Despesa",LANÇ_MOV[CONTAS],$C180,LANÇ_MOV[PLANO DE CONTAS],REL_DRE_FINANCEIRO!$B$135,LANÇ_MOV[ANO PAGAMENTO],$B$4,LANÇ_MOV[MÊS PAGAMENTO CORRESPONDENTE],G$6,LANÇ_MOV[EMPRESA],$C$4,LANÇ_MOV[CENTRO DE CUSTOS],$D$4)</f>
        <v>0</v>
      </c>
      <c r="H180" s="206">
        <f>SUMIFS(LANÇ_MOV[VALOR LÍQUIDO],LANÇ_MOV[RECEITA OU DESPESA],"Despesa",LANÇ_MOV[CONTAS],$C180,LANÇ_MOV[PLANO DE CONTAS],REL_DRE_FINANCEIRO!$B$135,LANÇ_MOV[ANO PAGAMENTO],$B$4,LANÇ_MOV[MÊS PAGAMENTO CORRESPONDENTE],H$6,LANÇ_MOV[EMPRESA],$C$4,LANÇ_MOV[CENTRO DE CUSTOS],$D$4)</f>
        <v>0</v>
      </c>
      <c r="I180" s="206">
        <f>SUMIFS(LANÇ_MOV[VALOR LÍQUIDO],LANÇ_MOV[RECEITA OU DESPESA],"Despesa",LANÇ_MOV[CONTAS],$C180,LANÇ_MOV[PLANO DE CONTAS],REL_DRE_FINANCEIRO!$B$135,LANÇ_MOV[ANO PAGAMENTO],$B$4,LANÇ_MOV[MÊS PAGAMENTO CORRESPONDENTE],I$6,LANÇ_MOV[EMPRESA],$C$4,LANÇ_MOV[CENTRO DE CUSTOS],$D$4)</f>
        <v>0</v>
      </c>
      <c r="J180" s="206">
        <f>SUMIFS(LANÇ_MOV[VALOR LÍQUIDO],LANÇ_MOV[RECEITA OU DESPESA],"Despesa",LANÇ_MOV[CONTAS],$C180,LANÇ_MOV[PLANO DE CONTAS],REL_DRE_FINANCEIRO!$B$135,LANÇ_MOV[ANO PAGAMENTO],$B$4,LANÇ_MOV[MÊS PAGAMENTO CORRESPONDENTE],J$6,LANÇ_MOV[EMPRESA],$C$4,LANÇ_MOV[CENTRO DE CUSTOS],$D$4)</f>
        <v>0</v>
      </c>
      <c r="K180" s="206">
        <f>SUMIFS(LANÇ_MOV[VALOR LÍQUIDO],LANÇ_MOV[RECEITA OU DESPESA],"Despesa",LANÇ_MOV[CONTAS],$C180,LANÇ_MOV[PLANO DE CONTAS],REL_DRE_FINANCEIRO!$B$135,LANÇ_MOV[ANO PAGAMENTO],$B$4,LANÇ_MOV[MÊS PAGAMENTO CORRESPONDENTE],K$6,LANÇ_MOV[EMPRESA],$C$4,LANÇ_MOV[CENTRO DE CUSTOS],$D$4)</f>
        <v>0</v>
      </c>
      <c r="L180" s="206">
        <f>SUMIFS(LANÇ_MOV[VALOR LÍQUIDO],LANÇ_MOV[RECEITA OU DESPESA],"Despesa",LANÇ_MOV[CONTAS],$C180,LANÇ_MOV[PLANO DE CONTAS],REL_DRE_FINANCEIRO!$B$135,LANÇ_MOV[ANO PAGAMENTO],$B$4,LANÇ_MOV[MÊS PAGAMENTO CORRESPONDENTE],L$6,LANÇ_MOV[EMPRESA],$C$4,LANÇ_MOV[CENTRO DE CUSTOS],$D$4)</f>
        <v>0</v>
      </c>
      <c r="M180" s="206">
        <f>SUMIFS(LANÇ_MOV[VALOR LÍQUIDO],LANÇ_MOV[RECEITA OU DESPESA],"Despesa",LANÇ_MOV[CONTAS],$C180,LANÇ_MOV[PLANO DE CONTAS],REL_DRE_FINANCEIRO!$B$135,LANÇ_MOV[ANO PAGAMENTO],$B$4,LANÇ_MOV[MÊS PAGAMENTO CORRESPONDENTE],M$6,LANÇ_MOV[EMPRESA],$C$4,LANÇ_MOV[CENTRO DE CUSTOS],$D$4)</f>
        <v>0</v>
      </c>
      <c r="N180" s="206">
        <f>SUMIFS(LANÇ_MOV[VALOR LÍQUIDO],LANÇ_MOV[RECEITA OU DESPESA],"Despesa",LANÇ_MOV[CONTAS],$C180,LANÇ_MOV[PLANO DE CONTAS],REL_DRE_FINANCEIRO!$B$135,LANÇ_MOV[ANO PAGAMENTO],$B$4,LANÇ_MOV[MÊS PAGAMENTO CORRESPONDENTE],N$6,LANÇ_MOV[EMPRESA],$C$4,LANÇ_MOV[CENTRO DE CUSTOS],$D$4)</f>
        <v>0</v>
      </c>
      <c r="O180" s="206">
        <f>SUMIFS(LANÇ_MOV[VALOR LÍQUIDO],LANÇ_MOV[RECEITA OU DESPESA],"Despesa",LANÇ_MOV[CONTAS],$C180,LANÇ_MOV[PLANO DE CONTAS],REL_DRE_FINANCEIRO!$B$135,LANÇ_MOV[ANO PAGAMENTO],$B$4,LANÇ_MOV[MÊS PAGAMENTO CORRESPONDENTE],O$6,LANÇ_MOV[EMPRESA],$C$4,LANÇ_MOV[CENTRO DE CUSTOS],$D$4)</f>
        <v>0</v>
      </c>
      <c r="P180" s="207">
        <f t="shared" si="30"/>
        <v>0</v>
      </c>
      <c r="Q180" s="333">
        <v>3.7700000000000002E-5</v>
      </c>
      <c r="R180" s="346">
        <f t="shared" si="32"/>
        <v>3.7700000000000002E-5</v>
      </c>
      <c r="S180" s="347" t="str">
        <f t="shared" si="33"/>
        <v>-</v>
      </c>
      <c r="T180" s="347">
        <f t="shared" si="34"/>
        <v>0</v>
      </c>
      <c r="U180" s="347">
        <f>HLOOKUP(Apoio!$P$12,$D$134:$P$235,X180,FALSE)+Q180</f>
        <v>3.7700000000000002E-5</v>
      </c>
      <c r="V180" s="447" t="str">
        <f t="shared" si="31"/>
        <v>-</v>
      </c>
      <c r="W180" s="448">
        <f>HLOOKUP(Apoio!$P$12,$D$134:$P$235,X180,FALSE)</f>
        <v>0</v>
      </c>
      <c r="X180" s="329">
        <v>47</v>
      </c>
    </row>
    <row r="181" spans="2:24" ht="30.05" customHeight="1" x14ac:dyDescent="0.35">
      <c r="B181" s="204" t="str">
        <f>'CAD_PL_REC-DESP'!K50</f>
        <v>2.1.46</v>
      </c>
      <c r="C181" s="205" t="str">
        <f>IF('CAD_PL_REC-DESP'!L50="","-",'CAD_PL_REC-DESP'!L50)</f>
        <v>-</v>
      </c>
      <c r="D181" s="206">
        <f>SUMIFS(LANÇ_MOV[VALOR LÍQUIDO],LANÇ_MOV[RECEITA OU DESPESA],"Despesa",LANÇ_MOV[CONTAS],$C181,LANÇ_MOV[PLANO DE CONTAS],REL_DRE_FINANCEIRO!$B$135,LANÇ_MOV[ANO PAGAMENTO],$B$4,LANÇ_MOV[MÊS PAGAMENTO CORRESPONDENTE],D$6,LANÇ_MOV[EMPRESA],$C$4,LANÇ_MOV[CENTRO DE CUSTOS],$D$4)</f>
        <v>0</v>
      </c>
      <c r="E181" s="206">
        <f>SUMIFS(LANÇ_MOV[VALOR LÍQUIDO],LANÇ_MOV[RECEITA OU DESPESA],"Despesa",LANÇ_MOV[CONTAS],$C181,LANÇ_MOV[PLANO DE CONTAS],REL_DRE_FINANCEIRO!$B$135,LANÇ_MOV[ANO PAGAMENTO],$B$4,LANÇ_MOV[MÊS PAGAMENTO CORRESPONDENTE],E$6,LANÇ_MOV[EMPRESA],$C$4,LANÇ_MOV[CENTRO DE CUSTOS],$D$4)</f>
        <v>0</v>
      </c>
      <c r="F181" s="206">
        <f>SUMIFS(LANÇ_MOV[VALOR LÍQUIDO],LANÇ_MOV[RECEITA OU DESPESA],"Despesa",LANÇ_MOV[CONTAS],$C181,LANÇ_MOV[PLANO DE CONTAS],REL_DRE_FINANCEIRO!$B$135,LANÇ_MOV[ANO PAGAMENTO],$B$4,LANÇ_MOV[MÊS PAGAMENTO CORRESPONDENTE],F$6,LANÇ_MOV[EMPRESA],$C$4,LANÇ_MOV[CENTRO DE CUSTOS],$D$4)</f>
        <v>0</v>
      </c>
      <c r="G181" s="206">
        <f>SUMIFS(LANÇ_MOV[VALOR LÍQUIDO],LANÇ_MOV[RECEITA OU DESPESA],"Despesa",LANÇ_MOV[CONTAS],$C181,LANÇ_MOV[PLANO DE CONTAS],REL_DRE_FINANCEIRO!$B$135,LANÇ_MOV[ANO PAGAMENTO],$B$4,LANÇ_MOV[MÊS PAGAMENTO CORRESPONDENTE],G$6,LANÇ_MOV[EMPRESA],$C$4,LANÇ_MOV[CENTRO DE CUSTOS],$D$4)</f>
        <v>0</v>
      </c>
      <c r="H181" s="206">
        <f>SUMIFS(LANÇ_MOV[VALOR LÍQUIDO],LANÇ_MOV[RECEITA OU DESPESA],"Despesa",LANÇ_MOV[CONTAS],$C181,LANÇ_MOV[PLANO DE CONTAS],REL_DRE_FINANCEIRO!$B$135,LANÇ_MOV[ANO PAGAMENTO],$B$4,LANÇ_MOV[MÊS PAGAMENTO CORRESPONDENTE],H$6,LANÇ_MOV[EMPRESA],$C$4,LANÇ_MOV[CENTRO DE CUSTOS],$D$4)</f>
        <v>0</v>
      </c>
      <c r="I181" s="206">
        <f>SUMIFS(LANÇ_MOV[VALOR LÍQUIDO],LANÇ_MOV[RECEITA OU DESPESA],"Despesa",LANÇ_MOV[CONTAS],$C181,LANÇ_MOV[PLANO DE CONTAS],REL_DRE_FINANCEIRO!$B$135,LANÇ_MOV[ANO PAGAMENTO],$B$4,LANÇ_MOV[MÊS PAGAMENTO CORRESPONDENTE],I$6,LANÇ_MOV[EMPRESA],$C$4,LANÇ_MOV[CENTRO DE CUSTOS],$D$4)</f>
        <v>0</v>
      </c>
      <c r="J181" s="206">
        <f>SUMIFS(LANÇ_MOV[VALOR LÍQUIDO],LANÇ_MOV[RECEITA OU DESPESA],"Despesa",LANÇ_MOV[CONTAS],$C181,LANÇ_MOV[PLANO DE CONTAS],REL_DRE_FINANCEIRO!$B$135,LANÇ_MOV[ANO PAGAMENTO],$B$4,LANÇ_MOV[MÊS PAGAMENTO CORRESPONDENTE],J$6,LANÇ_MOV[EMPRESA],$C$4,LANÇ_MOV[CENTRO DE CUSTOS],$D$4)</f>
        <v>0</v>
      </c>
      <c r="K181" s="206">
        <f>SUMIFS(LANÇ_MOV[VALOR LÍQUIDO],LANÇ_MOV[RECEITA OU DESPESA],"Despesa",LANÇ_MOV[CONTAS],$C181,LANÇ_MOV[PLANO DE CONTAS],REL_DRE_FINANCEIRO!$B$135,LANÇ_MOV[ANO PAGAMENTO],$B$4,LANÇ_MOV[MÊS PAGAMENTO CORRESPONDENTE],K$6,LANÇ_MOV[EMPRESA],$C$4,LANÇ_MOV[CENTRO DE CUSTOS],$D$4)</f>
        <v>0</v>
      </c>
      <c r="L181" s="206">
        <f>SUMIFS(LANÇ_MOV[VALOR LÍQUIDO],LANÇ_MOV[RECEITA OU DESPESA],"Despesa",LANÇ_MOV[CONTAS],$C181,LANÇ_MOV[PLANO DE CONTAS],REL_DRE_FINANCEIRO!$B$135,LANÇ_MOV[ANO PAGAMENTO],$B$4,LANÇ_MOV[MÊS PAGAMENTO CORRESPONDENTE],L$6,LANÇ_MOV[EMPRESA],$C$4,LANÇ_MOV[CENTRO DE CUSTOS],$D$4)</f>
        <v>0</v>
      </c>
      <c r="M181" s="206">
        <f>SUMIFS(LANÇ_MOV[VALOR LÍQUIDO],LANÇ_MOV[RECEITA OU DESPESA],"Despesa",LANÇ_MOV[CONTAS],$C181,LANÇ_MOV[PLANO DE CONTAS],REL_DRE_FINANCEIRO!$B$135,LANÇ_MOV[ANO PAGAMENTO],$B$4,LANÇ_MOV[MÊS PAGAMENTO CORRESPONDENTE],M$6,LANÇ_MOV[EMPRESA],$C$4,LANÇ_MOV[CENTRO DE CUSTOS],$D$4)</f>
        <v>0</v>
      </c>
      <c r="N181" s="206">
        <f>SUMIFS(LANÇ_MOV[VALOR LÍQUIDO],LANÇ_MOV[RECEITA OU DESPESA],"Despesa",LANÇ_MOV[CONTAS],$C181,LANÇ_MOV[PLANO DE CONTAS],REL_DRE_FINANCEIRO!$B$135,LANÇ_MOV[ANO PAGAMENTO],$B$4,LANÇ_MOV[MÊS PAGAMENTO CORRESPONDENTE],N$6,LANÇ_MOV[EMPRESA],$C$4,LANÇ_MOV[CENTRO DE CUSTOS],$D$4)</f>
        <v>0</v>
      </c>
      <c r="O181" s="206">
        <f>SUMIFS(LANÇ_MOV[VALOR LÍQUIDO],LANÇ_MOV[RECEITA OU DESPESA],"Despesa",LANÇ_MOV[CONTAS],$C181,LANÇ_MOV[PLANO DE CONTAS],REL_DRE_FINANCEIRO!$B$135,LANÇ_MOV[ANO PAGAMENTO],$B$4,LANÇ_MOV[MÊS PAGAMENTO CORRESPONDENTE],O$6,LANÇ_MOV[EMPRESA],$C$4,LANÇ_MOV[CENTRO DE CUSTOS],$D$4)</f>
        <v>0</v>
      </c>
      <c r="P181" s="207">
        <f t="shared" si="30"/>
        <v>0</v>
      </c>
      <c r="Q181" s="333">
        <v>3.7599999999999999E-5</v>
      </c>
      <c r="R181" s="346">
        <f t="shared" si="32"/>
        <v>3.7599999999999999E-5</v>
      </c>
      <c r="S181" s="347" t="str">
        <f t="shared" si="33"/>
        <v>-</v>
      </c>
      <c r="T181" s="347">
        <f t="shared" si="34"/>
        <v>0</v>
      </c>
      <c r="U181" s="347">
        <f>HLOOKUP(Apoio!$P$12,$D$134:$P$235,X181,FALSE)+Q181</f>
        <v>3.7599999999999999E-5</v>
      </c>
      <c r="V181" s="447" t="str">
        <f t="shared" si="31"/>
        <v>-</v>
      </c>
      <c r="W181" s="448">
        <f>HLOOKUP(Apoio!$P$12,$D$134:$P$235,X181,FALSE)</f>
        <v>0</v>
      </c>
      <c r="X181" s="329">
        <v>48</v>
      </c>
    </row>
    <row r="182" spans="2:24" ht="30.05" customHeight="1" x14ac:dyDescent="0.35">
      <c r="B182" s="204" t="str">
        <f>'CAD_PL_REC-DESP'!K51</f>
        <v>2.1.47</v>
      </c>
      <c r="C182" s="205" t="str">
        <f>IF('CAD_PL_REC-DESP'!L51="","-",'CAD_PL_REC-DESP'!L51)</f>
        <v>-</v>
      </c>
      <c r="D182" s="206">
        <f>SUMIFS(LANÇ_MOV[VALOR LÍQUIDO],LANÇ_MOV[RECEITA OU DESPESA],"Despesa",LANÇ_MOV[CONTAS],$C182,LANÇ_MOV[PLANO DE CONTAS],REL_DRE_FINANCEIRO!$B$135,LANÇ_MOV[ANO PAGAMENTO],$B$4,LANÇ_MOV[MÊS PAGAMENTO CORRESPONDENTE],D$6,LANÇ_MOV[EMPRESA],$C$4,LANÇ_MOV[CENTRO DE CUSTOS],$D$4)</f>
        <v>0</v>
      </c>
      <c r="E182" s="206">
        <f>SUMIFS(LANÇ_MOV[VALOR LÍQUIDO],LANÇ_MOV[RECEITA OU DESPESA],"Despesa",LANÇ_MOV[CONTAS],$C182,LANÇ_MOV[PLANO DE CONTAS],REL_DRE_FINANCEIRO!$B$135,LANÇ_MOV[ANO PAGAMENTO],$B$4,LANÇ_MOV[MÊS PAGAMENTO CORRESPONDENTE],E$6,LANÇ_MOV[EMPRESA],$C$4,LANÇ_MOV[CENTRO DE CUSTOS],$D$4)</f>
        <v>0</v>
      </c>
      <c r="F182" s="206">
        <f>SUMIFS(LANÇ_MOV[VALOR LÍQUIDO],LANÇ_MOV[RECEITA OU DESPESA],"Despesa",LANÇ_MOV[CONTAS],$C182,LANÇ_MOV[PLANO DE CONTAS],REL_DRE_FINANCEIRO!$B$135,LANÇ_MOV[ANO PAGAMENTO],$B$4,LANÇ_MOV[MÊS PAGAMENTO CORRESPONDENTE],F$6,LANÇ_MOV[EMPRESA],$C$4,LANÇ_MOV[CENTRO DE CUSTOS],$D$4)</f>
        <v>0</v>
      </c>
      <c r="G182" s="206">
        <f>SUMIFS(LANÇ_MOV[VALOR LÍQUIDO],LANÇ_MOV[RECEITA OU DESPESA],"Despesa",LANÇ_MOV[CONTAS],$C182,LANÇ_MOV[PLANO DE CONTAS],REL_DRE_FINANCEIRO!$B$135,LANÇ_MOV[ANO PAGAMENTO],$B$4,LANÇ_MOV[MÊS PAGAMENTO CORRESPONDENTE],G$6,LANÇ_MOV[EMPRESA],$C$4,LANÇ_MOV[CENTRO DE CUSTOS],$D$4)</f>
        <v>0</v>
      </c>
      <c r="H182" s="206">
        <f>SUMIFS(LANÇ_MOV[VALOR LÍQUIDO],LANÇ_MOV[RECEITA OU DESPESA],"Despesa",LANÇ_MOV[CONTAS],$C182,LANÇ_MOV[PLANO DE CONTAS],REL_DRE_FINANCEIRO!$B$135,LANÇ_MOV[ANO PAGAMENTO],$B$4,LANÇ_MOV[MÊS PAGAMENTO CORRESPONDENTE],H$6,LANÇ_MOV[EMPRESA],$C$4,LANÇ_MOV[CENTRO DE CUSTOS],$D$4)</f>
        <v>0</v>
      </c>
      <c r="I182" s="206">
        <f>SUMIFS(LANÇ_MOV[VALOR LÍQUIDO],LANÇ_MOV[RECEITA OU DESPESA],"Despesa",LANÇ_MOV[CONTAS],$C182,LANÇ_MOV[PLANO DE CONTAS],REL_DRE_FINANCEIRO!$B$135,LANÇ_MOV[ANO PAGAMENTO],$B$4,LANÇ_MOV[MÊS PAGAMENTO CORRESPONDENTE],I$6,LANÇ_MOV[EMPRESA],$C$4,LANÇ_MOV[CENTRO DE CUSTOS],$D$4)</f>
        <v>0</v>
      </c>
      <c r="J182" s="206">
        <f>SUMIFS(LANÇ_MOV[VALOR LÍQUIDO],LANÇ_MOV[RECEITA OU DESPESA],"Despesa",LANÇ_MOV[CONTAS],$C182,LANÇ_MOV[PLANO DE CONTAS],REL_DRE_FINANCEIRO!$B$135,LANÇ_MOV[ANO PAGAMENTO],$B$4,LANÇ_MOV[MÊS PAGAMENTO CORRESPONDENTE],J$6,LANÇ_MOV[EMPRESA],$C$4,LANÇ_MOV[CENTRO DE CUSTOS],$D$4)</f>
        <v>0</v>
      </c>
      <c r="K182" s="206">
        <f>SUMIFS(LANÇ_MOV[VALOR LÍQUIDO],LANÇ_MOV[RECEITA OU DESPESA],"Despesa",LANÇ_MOV[CONTAS],$C182,LANÇ_MOV[PLANO DE CONTAS],REL_DRE_FINANCEIRO!$B$135,LANÇ_MOV[ANO PAGAMENTO],$B$4,LANÇ_MOV[MÊS PAGAMENTO CORRESPONDENTE],K$6,LANÇ_MOV[EMPRESA],$C$4,LANÇ_MOV[CENTRO DE CUSTOS],$D$4)</f>
        <v>0</v>
      </c>
      <c r="L182" s="206">
        <f>SUMIFS(LANÇ_MOV[VALOR LÍQUIDO],LANÇ_MOV[RECEITA OU DESPESA],"Despesa",LANÇ_MOV[CONTAS],$C182,LANÇ_MOV[PLANO DE CONTAS],REL_DRE_FINANCEIRO!$B$135,LANÇ_MOV[ANO PAGAMENTO],$B$4,LANÇ_MOV[MÊS PAGAMENTO CORRESPONDENTE],L$6,LANÇ_MOV[EMPRESA],$C$4,LANÇ_MOV[CENTRO DE CUSTOS],$D$4)</f>
        <v>0</v>
      </c>
      <c r="M182" s="206">
        <f>SUMIFS(LANÇ_MOV[VALOR LÍQUIDO],LANÇ_MOV[RECEITA OU DESPESA],"Despesa",LANÇ_MOV[CONTAS],$C182,LANÇ_MOV[PLANO DE CONTAS],REL_DRE_FINANCEIRO!$B$135,LANÇ_MOV[ANO PAGAMENTO],$B$4,LANÇ_MOV[MÊS PAGAMENTO CORRESPONDENTE],M$6,LANÇ_MOV[EMPRESA],$C$4,LANÇ_MOV[CENTRO DE CUSTOS],$D$4)</f>
        <v>0</v>
      </c>
      <c r="N182" s="206">
        <f>SUMIFS(LANÇ_MOV[VALOR LÍQUIDO],LANÇ_MOV[RECEITA OU DESPESA],"Despesa",LANÇ_MOV[CONTAS],$C182,LANÇ_MOV[PLANO DE CONTAS],REL_DRE_FINANCEIRO!$B$135,LANÇ_MOV[ANO PAGAMENTO],$B$4,LANÇ_MOV[MÊS PAGAMENTO CORRESPONDENTE],N$6,LANÇ_MOV[EMPRESA],$C$4,LANÇ_MOV[CENTRO DE CUSTOS],$D$4)</f>
        <v>0</v>
      </c>
      <c r="O182" s="206">
        <f>SUMIFS(LANÇ_MOV[VALOR LÍQUIDO],LANÇ_MOV[RECEITA OU DESPESA],"Despesa",LANÇ_MOV[CONTAS],$C182,LANÇ_MOV[PLANO DE CONTAS],REL_DRE_FINANCEIRO!$B$135,LANÇ_MOV[ANO PAGAMENTO],$B$4,LANÇ_MOV[MÊS PAGAMENTO CORRESPONDENTE],O$6,LANÇ_MOV[EMPRESA],$C$4,LANÇ_MOV[CENTRO DE CUSTOS],$D$4)</f>
        <v>0</v>
      </c>
      <c r="P182" s="207">
        <f t="shared" si="30"/>
        <v>0</v>
      </c>
      <c r="Q182" s="333">
        <v>3.7499999999999997E-5</v>
      </c>
      <c r="R182" s="346">
        <f t="shared" si="32"/>
        <v>3.7499999999999997E-5</v>
      </c>
      <c r="S182" s="347" t="str">
        <f t="shared" si="33"/>
        <v>-</v>
      </c>
      <c r="T182" s="347">
        <f t="shared" si="34"/>
        <v>0</v>
      </c>
      <c r="U182" s="347">
        <f>HLOOKUP(Apoio!$P$12,$D$134:$P$235,X182,FALSE)+Q182</f>
        <v>3.7499999999999997E-5</v>
      </c>
      <c r="V182" s="447" t="str">
        <f t="shared" si="31"/>
        <v>-</v>
      </c>
      <c r="W182" s="448">
        <f>HLOOKUP(Apoio!$P$12,$D$134:$P$235,X182,FALSE)</f>
        <v>0</v>
      </c>
      <c r="X182" s="329">
        <v>49</v>
      </c>
    </row>
    <row r="183" spans="2:24" ht="30.05" customHeight="1" x14ac:dyDescent="0.35">
      <c r="B183" s="204" t="str">
        <f>'CAD_PL_REC-DESP'!K52</f>
        <v>2.1.48</v>
      </c>
      <c r="C183" s="205" t="str">
        <f>IF('CAD_PL_REC-DESP'!L52="","-",'CAD_PL_REC-DESP'!L52)</f>
        <v>-</v>
      </c>
      <c r="D183" s="206">
        <f>SUMIFS(LANÇ_MOV[VALOR LÍQUIDO],LANÇ_MOV[RECEITA OU DESPESA],"Despesa",LANÇ_MOV[CONTAS],$C183,LANÇ_MOV[PLANO DE CONTAS],REL_DRE_FINANCEIRO!$B$135,LANÇ_MOV[ANO PAGAMENTO],$B$4,LANÇ_MOV[MÊS PAGAMENTO CORRESPONDENTE],D$6,LANÇ_MOV[EMPRESA],$C$4,LANÇ_MOV[CENTRO DE CUSTOS],$D$4)</f>
        <v>0</v>
      </c>
      <c r="E183" s="206">
        <f>SUMIFS(LANÇ_MOV[VALOR LÍQUIDO],LANÇ_MOV[RECEITA OU DESPESA],"Despesa",LANÇ_MOV[CONTAS],$C183,LANÇ_MOV[PLANO DE CONTAS],REL_DRE_FINANCEIRO!$B$135,LANÇ_MOV[ANO PAGAMENTO],$B$4,LANÇ_MOV[MÊS PAGAMENTO CORRESPONDENTE],E$6,LANÇ_MOV[EMPRESA],$C$4,LANÇ_MOV[CENTRO DE CUSTOS],$D$4)</f>
        <v>0</v>
      </c>
      <c r="F183" s="206">
        <f>SUMIFS(LANÇ_MOV[VALOR LÍQUIDO],LANÇ_MOV[RECEITA OU DESPESA],"Despesa",LANÇ_MOV[CONTAS],$C183,LANÇ_MOV[PLANO DE CONTAS],REL_DRE_FINANCEIRO!$B$135,LANÇ_MOV[ANO PAGAMENTO],$B$4,LANÇ_MOV[MÊS PAGAMENTO CORRESPONDENTE],F$6,LANÇ_MOV[EMPRESA],$C$4,LANÇ_MOV[CENTRO DE CUSTOS],$D$4)</f>
        <v>0</v>
      </c>
      <c r="G183" s="206">
        <f>SUMIFS(LANÇ_MOV[VALOR LÍQUIDO],LANÇ_MOV[RECEITA OU DESPESA],"Despesa",LANÇ_MOV[CONTAS],$C183,LANÇ_MOV[PLANO DE CONTAS],REL_DRE_FINANCEIRO!$B$135,LANÇ_MOV[ANO PAGAMENTO],$B$4,LANÇ_MOV[MÊS PAGAMENTO CORRESPONDENTE],G$6,LANÇ_MOV[EMPRESA],$C$4,LANÇ_MOV[CENTRO DE CUSTOS],$D$4)</f>
        <v>0</v>
      </c>
      <c r="H183" s="206">
        <f>SUMIFS(LANÇ_MOV[VALOR LÍQUIDO],LANÇ_MOV[RECEITA OU DESPESA],"Despesa",LANÇ_MOV[CONTAS],$C183,LANÇ_MOV[PLANO DE CONTAS],REL_DRE_FINANCEIRO!$B$135,LANÇ_MOV[ANO PAGAMENTO],$B$4,LANÇ_MOV[MÊS PAGAMENTO CORRESPONDENTE],H$6,LANÇ_MOV[EMPRESA],$C$4,LANÇ_MOV[CENTRO DE CUSTOS],$D$4)</f>
        <v>0</v>
      </c>
      <c r="I183" s="206">
        <f>SUMIFS(LANÇ_MOV[VALOR LÍQUIDO],LANÇ_MOV[RECEITA OU DESPESA],"Despesa",LANÇ_MOV[CONTAS],$C183,LANÇ_MOV[PLANO DE CONTAS],REL_DRE_FINANCEIRO!$B$135,LANÇ_MOV[ANO PAGAMENTO],$B$4,LANÇ_MOV[MÊS PAGAMENTO CORRESPONDENTE],I$6,LANÇ_MOV[EMPRESA],$C$4,LANÇ_MOV[CENTRO DE CUSTOS],$D$4)</f>
        <v>0</v>
      </c>
      <c r="J183" s="206">
        <f>SUMIFS(LANÇ_MOV[VALOR LÍQUIDO],LANÇ_MOV[RECEITA OU DESPESA],"Despesa",LANÇ_MOV[CONTAS],$C183,LANÇ_MOV[PLANO DE CONTAS],REL_DRE_FINANCEIRO!$B$135,LANÇ_MOV[ANO PAGAMENTO],$B$4,LANÇ_MOV[MÊS PAGAMENTO CORRESPONDENTE],J$6,LANÇ_MOV[EMPRESA],$C$4,LANÇ_MOV[CENTRO DE CUSTOS],$D$4)</f>
        <v>0</v>
      </c>
      <c r="K183" s="206">
        <f>SUMIFS(LANÇ_MOV[VALOR LÍQUIDO],LANÇ_MOV[RECEITA OU DESPESA],"Despesa",LANÇ_MOV[CONTAS],$C183,LANÇ_MOV[PLANO DE CONTAS],REL_DRE_FINANCEIRO!$B$135,LANÇ_MOV[ANO PAGAMENTO],$B$4,LANÇ_MOV[MÊS PAGAMENTO CORRESPONDENTE],K$6,LANÇ_MOV[EMPRESA],$C$4,LANÇ_MOV[CENTRO DE CUSTOS],$D$4)</f>
        <v>0</v>
      </c>
      <c r="L183" s="206">
        <f>SUMIFS(LANÇ_MOV[VALOR LÍQUIDO],LANÇ_MOV[RECEITA OU DESPESA],"Despesa",LANÇ_MOV[CONTAS],$C183,LANÇ_MOV[PLANO DE CONTAS],REL_DRE_FINANCEIRO!$B$135,LANÇ_MOV[ANO PAGAMENTO],$B$4,LANÇ_MOV[MÊS PAGAMENTO CORRESPONDENTE],L$6,LANÇ_MOV[EMPRESA],$C$4,LANÇ_MOV[CENTRO DE CUSTOS],$D$4)</f>
        <v>0</v>
      </c>
      <c r="M183" s="206">
        <f>SUMIFS(LANÇ_MOV[VALOR LÍQUIDO],LANÇ_MOV[RECEITA OU DESPESA],"Despesa",LANÇ_MOV[CONTAS],$C183,LANÇ_MOV[PLANO DE CONTAS],REL_DRE_FINANCEIRO!$B$135,LANÇ_MOV[ANO PAGAMENTO],$B$4,LANÇ_MOV[MÊS PAGAMENTO CORRESPONDENTE],M$6,LANÇ_MOV[EMPRESA],$C$4,LANÇ_MOV[CENTRO DE CUSTOS],$D$4)</f>
        <v>0</v>
      </c>
      <c r="N183" s="206">
        <f>SUMIFS(LANÇ_MOV[VALOR LÍQUIDO],LANÇ_MOV[RECEITA OU DESPESA],"Despesa",LANÇ_MOV[CONTAS],$C183,LANÇ_MOV[PLANO DE CONTAS],REL_DRE_FINANCEIRO!$B$135,LANÇ_MOV[ANO PAGAMENTO],$B$4,LANÇ_MOV[MÊS PAGAMENTO CORRESPONDENTE],N$6,LANÇ_MOV[EMPRESA],$C$4,LANÇ_MOV[CENTRO DE CUSTOS],$D$4)</f>
        <v>0</v>
      </c>
      <c r="O183" s="206">
        <f>SUMIFS(LANÇ_MOV[VALOR LÍQUIDO],LANÇ_MOV[RECEITA OU DESPESA],"Despesa",LANÇ_MOV[CONTAS],$C183,LANÇ_MOV[PLANO DE CONTAS],REL_DRE_FINANCEIRO!$B$135,LANÇ_MOV[ANO PAGAMENTO],$B$4,LANÇ_MOV[MÊS PAGAMENTO CORRESPONDENTE],O$6,LANÇ_MOV[EMPRESA],$C$4,LANÇ_MOV[CENTRO DE CUSTOS],$D$4)</f>
        <v>0</v>
      </c>
      <c r="P183" s="207">
        <f t="shared" si="30"/>
        <v>0</v>
      </c>
      <c r="Q183" s="333">
        <v>3.7400000000000001E-5</v>
      </c>
      <c r="R183" s="346">
        <f t="shared" si="32"/>
        <v>3.7400000000000001E-5</v>
      </c>
      <c r="S183" s="347" t="str">
        <f t="shared" si="33"/>
        <v>-</v>
      </c>
      <c r="T183" s="347">
        <f t="shared" si="34"/>
        <v>0</v>
      </c>
      <c r="U183" s="347">
        <f>HLOOKUP(Apoio!$P$12,$D$134:$P$235,X183,FALSE)+Q183</f>
        <v>3.7400000000000001E-5</v>
      </c>
      <c r="V183" s="447" t="str">
        <f t="shared" si="31"/>
        <v>-</v>
      </c>
      <c r="W183" s="448">
        <f>HLOOKUP(Apoio!$P$12,$D$134:$P$235,X183,FALSE)</f>
        <v>0</v>
      </c>
      <c r="X183" s="329">
        <v>50</v>
      </c>
    </row>
    <row r="184" spans="2:24" ht="30.05" customHeight="1" x14ac:dyDescent="0.35">
      <c r="B184" s="204" t="str">
        <f>'CAD_PL_REC-DESP'!K53</f>
        <v>2.1.49</v>
      </c>
      <c r="C184" s="205" t="str">
        <f>IF('CAD_PL_REC-DESP'!L53="","-",'CAD_PL_REC-DESP'!L53)</f>
        <v>-</v>
      </c>
      <c r="D184" s="206">
        <f>SUMIFS(LANÇ_MOV[VALOR LÍQUIDO],LANÇ_MOV[RECEITA OU DESPESA],"Despesa",LANÇ_MOV[CONTAS],$C184,LANÇ_MOV[PLANO DE CONTAS],REL_DRE_FINANCEIRO!$B$135,LANÇ_MOV[ANO PAGAMENTO],$B$4,LANÇ_MOV[MÊS PAGAMENTO CORRESPONDENTE],D$6,LANÇ_MOV[EMPRESA],$C$4,LANÇ_MOV[CENTRO DE CUSTOS],$D$4)</f>
        <v>0</v>
      </c>
      <c r="E184" s="206">
        <f>SUMIFS(LANÇ_MOV[VALOR LÍQUIDO],LANÇ_MOV[RECEITA OU DESPESA],"Despesa",LANÇ_MOV[CONTAS],$C184,LANÇ_MOV[PLANO DE CONTAS],REL_DRE_FINANCEIRO!$B$135,LANÇ_MOV[ANO PAGAMENTO],$B$4,LANÇ_MOV[MÊS PAGAMENTO CORRESPONDENTE],E$6,LANÇ_MOV[EMPRESA],$C$4,LANÇ_MOV[CENTRO DE CUSTOS],$D$4)</f>
        <v>0</v>
      </c>
      <c r="F184" s="206">
        <f>SUMIFS(LANÇ_MOV[VALOR LÍQUIDO],LANÇ_MOV[RECEITA OU DESPESA],"Despesa",LANÇ_MOV[CONTAS],$C184,LANÇ_MOV[PLANO DE CONTAS],REL_DRE_FINANCEIRO!$B$135,LANÇ_MOV[ANO PAGAMENTO],$B$4,LANÇ_MOV[MÊS PAGAMENTO CORRESPONDENTE],F$6,LANÇ_MOV[EMPRESA],$C$4,LANÇ_MOV[CENTRO DE CUSTOS],$D$4)</f>
        <v>0</v>
      </c>
      <c r="G184" s="206">
        <f>SUMIFS(LANÇ_MOV[VALOR LÍQUIDO],LANÇ_MOV[RECEITA OU DESPESA],"Despesa",LANÇ_MOV[CONTAS],$C184,LANÇ_MOV[PLANO DE CONTAS],REL_DRE_FINANCEIRO!$B$135,LANÇ_MOV[ANO PAGAMENTO],$B$4,LANÇ_MOV[MÊS PAGAMENTO CORRESPONDENTE],G$6,LANÇ_MOV[EMPRESA],$C$4,LANÇ_MOV[CENTRO DE CUSTOS],$D$4)</f>
        <v>0</v>
      </c>
      <c r="H184" s="206">
        <f>SUMIFS(LANÇ_MOV[VALOR LÍQUIDO],LANÇ_MOV[RECEITA OU DESPESA],"Despesa",LANÇ_MOV[CONTAS],$C184,LANÇ_MOV[PLANO DE CONTAS],REL_DRE_FINANCEIRO!$B$135,LANÇ_MOV[ANO PAGAMENTO],$B$4,LANÇ_MOV[MÊS PAGAMENTO CORRESPONDENTE],H$6,LANÇ_MOV[EMPRESA],$C$4,LANÇ_MOV[CENTRO DE CUSTOS],$D$4)</f>
        <v>0</v>
      </c>
      <c r="I184" s="206">
        <f>SUMIFS(LANÇ_MOV[VALOR LÍQUIDO],LANÇ_MOV[RECEITA OU DESPESA],"Despesa",LANÇ_MOV[CONTAS],$C184,LANÇ_MOV[PLANO DE CONTAS],REL_DRE_FINANCEIRO!$B$135,LANÇ_MOV[ANO PAGAMENTO],$B$4,LANÇ_MOV[MÊS PAGAMENTO CORRESPONDENTE],I$6,LANÇ_MOV[EMPRESA],$C$4,LANÇ_MOV[CENTRO DE CUSTOS],$D$4)</f>
        <v>0</v>
      </c>
      <c r="J184" s="206">
        <f>SUMIFS(LANÇ_MOV[VALOR LÍQUIDO],LANÇ_MOV[RECEITA OU DESPESA],"Despesa",LANÇ_MOV[CONTAS],$C184,LANÇ_MOV[PLANO DE CONTAS],REL_DRE_FINANCEIRO!$B$135,LANÇ_MOV[ANO PAGAMENTO],$B$4,LANÇ_MOV[MÊS PAGAMENTO CORRESPONDENTE],J$6,LANÇ_MOV[EMPRESA],$C$4,LANÇ_MOV[CENTRO DE CUSTOS],$D$4)</f>
        <v>0</v>
      </c>
      <c r="K184" s="206">
        <f>SUMIFS(LANÇ_MOV[VALOR LÍQUIDO],LANÇ_MOV[RECEITA OU DESPESA],"Despesa",LANÇ_MOV[CONTAS],$C184,LANÇ_MOV[PLANO DE CONTAS],REL_DRE_FINANCEIRO!$B$135,LANÇ_MOV[ANO PAGAMENTO],$B$4,LANÇ_MOV[MÊS PAGAMENTO CORRESPONDENTE],K$6,LANÇ_MOV[EMPRESA],$C$4,LANÇ_MOV[CENTRO DE CUSTOS],$D$4)</f>
        <v>0</v>
      </c>
      <c r="L184" s="206">
        <f>SUMIFS(LANÇ_MOV[VALOR LÍQUIDO],LANÇ_MOV[RECEITA OU DESPESA],"Despesa",LANÇ_MOV[CONTAS],$C184,LANÇ_MOV[PLANO DE CONTAS],REL_DRE_FINANCEIRO!$B$135,LANÇ_MOV[ANO PAGAMENTO],$B$4,LANÇ_MOV[MÊS PAGAMENTO CORRESPONDENTE],L$6,LANÇ_MOV[EMPRESA],$C$4,LANÇ_MOV[CENTRO DE CUSTOS],$D$4)</f>
        <v>0</v>
      </c>
      <c r="M184" s="206">
        <f>SUMIFS(LANÇ_MOV[VALOR LÍQUIDO],LANÇ_MOV[RECEITA OU DESPESA],"Despesa",LANÇ_MOV[CONTAS],$C184,LANÇ_MOV[PLANO DE CONTAS],REL_DRE_FINANCEIRO!$B$135,LANÇ_MOV[ANO PAGAMENTO],$B$4,LANÇ_MOV[MÊS PAGAMENTO CORRESPONDENTE],M$6,LANÇ_MOV[EMPRESA],$C$4,LANÇ_MOV[CENTRO DE CUSTOS],$D$4)</f>
        <v>0</v>
      </c>
      <c r="N184" s="206">
        <f>SUMIFS(LANÇ_MOV[VALOR LÍQUIDO],LANÇ_MOV[RECEITA OU DESPESA],"Despesa",LANÇ_MOV[CONTAS],$C184,LANÇ_MOV[PLANO DE CONTAS],REL_DRE_FINANCEIRO!$B$135,LANÇ_MOV[ANO PAGAMENTO],$B$4,LANÇ_MOV[MÊS PAGAMENTO CORRESPONDENTE],N$6,LANÇ_MOV[EMPRESA],$C$4,LANÇ_MOV[CENTRO DE CUSTOS],$D$4)</f>
        <v>0</v>
      </c>
      <c r="O184" s="206">
        <f>SUMIFS(LANÇ_MOV[VALOR LÍQUIDO],LANÇ_MOV[RECEITA OU DESPESA],"Despesa",LANÇ_MOV[CONTAS],$C184,LANÇ_MOV[PLANO DE CONTAS],REL_DRE_FINANCEIRO!$B$135,LANÇ_MOV[ANO PAGAMENTO],$B$4,LANÇ_MOV[MÊS PAGAMENTO CORRESPONDENTE],O$6,LANÇ_MOV[EMPRESA],$C$4,LANÇ_MOV[CENTRO DE CUSTOS],$D$4)</f>
        <v>0</v>
      </c>
      <c r="P184" s="207">
        <f t="shared" si="30"/>
        <v>0</v>
      </c>
      <c r="Q184" s="333">
        <v>3.7299999999999999E-5</v>
      </c>
      <c r="R184" s="346">
        <f t="shared" si="32"/>
        <v>3.7299999999999999E-5</v>
      </c>
      <c r="S184" s="347" t="str">
        <f t="shared" si="33"/>
        <v>-</v>
      </c>
      <c r="T184" s="347">
        <f t="shared" si="34"/>
        <v>0</v>
      </c>
      <c r="U184" s="347">
        <f>HLOOKUP(Apoio!$P$12,$D$134:$P$235,X184,FALSE)+Q184</f>
        <v>3.7299999999999999E-5</v>
      </c>
      <c r="V184" s="447" t="str">
        <f t="shared" si="31"/>
        <v>-</v>
      </c>
      <c r="W184" s="448">
        <f>HLOOKUP(Apoio!$P$12,$D$134:$P$235,X184,FALSE)</f>
        <v>0</v>
      </c>
      <c r="X184" s="329">
        <v>51</v>
      </c>
    </row>
    <row r="185" spans="2:24" ht="30.05" customHeight="1" x14ac:dyDescent="0.35">
      <c r="B185" s="204" t="str">
        <f>'CAD_PL_REC-DESP'!K54</f>
        <v>2.1.50</v>
      </c>
      <c r="C185" s="205" t="str">
        <f>IF('CAD_PL_REC-DESP'!L54="","-",'CAD_PL_REC-DESP'!L54)</f>
        <v>-</v>
      </c>
      <c r="D185" s="206">
        <f>SUMIFS(LANÇ_MOV[VALOR LÍQUIDO],LANÇ_MOV[RECEITA OU DESPESA],"Despesa",LANÇ_MOV[CONTAS],$C185,LANÇ_MOV[PLANO DE CONTAS],REL_DRE_FINANCEIRO!$B$135,LANÇ_MOV[ANO PAGAMENTO],$B$4,LANÇ_MOV[MÊS PAGAMENTO CORRESPONDENTE],D$6,LANÇ_MOV[EMPRESA],$C$4,LANÇ_MOV[CENTRO DE CUSTOS],$D$4)</f>
        <v>0</v>
      </c>
      <c r="E185" s="206">
        <f>SUMIFS(LANÇ_MOV[VALOR LÍQUIDO],LANÇ_MOV[RECEITA OU DESPESA],"Despesa",LANÇ_MOV[CONTAS],$C185,LANÇ_MOV[PLANO DE CONTAS],REL_DRE_FINANCEIRO!$B$135,LANÇ_MOV[ANO PAGAMENTO],$B$4,LANÇ_MOV[MÊS PAGAMENTO CORRESPONDENTE],E$6,LANÇ_MOV[EMPRESA],$C$4,LANÇ_MOV[CENTRO DE CUSTOS],$D$4)</f>
        <v>0</v>
      </c>
      <c r="F185" s="206">
        <f>SUMIFS(LANÇ_MOV[VALOR LÍQUIDO],LANÇ_MOV[RECEITA OU DESPESA],"Despesa",LANÇ_MOV[CONTAS],$C185,LANÇ_MOV[PLANO DE CONTAS],REL_DRE_FINANCEIRO!$B$135,LANÇ_MOV[ANO PAGAMENTO],$B$4,LANÇ_MOV[MÊS PAGAMENTO CORRESPONDENTE],F$6,LANÇ_MOV[EMPRESA],$C$4,LANÇ_MOV[CENTRO DE CUSTOS],$D$4)</f>
        <v>0</v>
      </c>
      <c r="G185" s="206">
        <f>SUMIFS(LANÇ_MOV[VALOR LÍQUIDO],LANÇ_MOV[RECEITA OU DESPESA],"Despesa",LANÇ_MOV[CONTAS],$C185,LANÇ_MOV[PLANO DE CONTAS],REL_DRE_FINANCEIRO!$B$135,LANÇ_MOV[ANO PAGAMENTO],$B$4,LANÇ_MOV[MÊS PAGAMENTO CORRESPONDENTE],G$6,LANÇ_MOV[EMPRESA],$C$4,LANÇ_MOV[CENTRO DE CUSTOS],$D$4)</f>
        <v>0</v>
      </c>
      <c r="H185" s="206">
        <f>SUMIFS(LANÇ_MOV[VALOR LÍQUIDO],LANÇ_MOV[RECEITA OU DESPESA],"Despesa",LANÇ_MOV[CONTAS],$C185,LANÇ_MOV[PLANO DE CONTAS],REL_DRE_FINANCEIRO!$B$135,LANÇ_MOV[ANO PAGAMENTO],$B$4,LANÇ_MOV[MÊS PAGAMENTO CORRESPONDENTE],H$6,LANÇ_MOV[EMPRESA],$C$4,LANÇ_MOV[CENTRO DE CUSTOS],$D$4)</f>
        <v>0</v>
      </c>
      <c r="I185" s="206">
        <f>SUMIFS(LANÇ_MOV[VALOR LÍQUIDO],LANÇ_MOV[RECEITA OU DESPESA],"Despesa",LANÇ_MOV[CONTAS],$C185,LANÇ_MOV[PLANO DE CONTAS],REL_DRE_FINANCEIRO!$B$135,LANÇ_MOV[ANO PAGAMENTO],$B$4,LANÇ_MOV[MÊS PAGAMENTO CORRESPONDENTE],I$6,LANÇ_MOV[EMPRESA],$C$4,LANÇ_MOV[CENTRO DE CUSTOS],$D$4)</f>
        <v>0</v>
      </c>
      <c r="J185" s="206">
        <f>SUMIFS(LANÇ_MOV[VALOR LÍQUIDO],LANÇ_MOV[RECEITA OU DESPESA],"Despesa",LANÇ_MOV[CONTAS],$C185,LANÇ_MOV[PLANO DE CONTAS],REL_DRE_FINANCEIRO!$B$135,LANÇ_MOV[ANO PAGAMENTO],$B$4,LANÇ_MOV[MÊS PAGAMENTO CORRESPONDENTE],J$6,LANÇ_MOV[EMPRESA],$C$4,LANÇ_MOV[CENTRO DE CUSTOS],$D$4)</f>
        <v>0</v>
      </c>
      <c r="K185" s="206">
        <f>SUMIFS(LANÇ_MOV[VALOR LÍQUIDO],LANÇ_MOV[RECEITA OU DESPESA],"Despesa",LANÇ_MOV[CONTAS],$C185,LANÇ_MOV[PLANO DE CONTAS],REL_DRE_FINANCEIRO!$B$135,LANÇ_MOV[ANO PAGAMENTO],$B$4,LANÇ_MOV[MÊS PAGAMENTO CORRESPONDENTE],K$6,LANÇ_MOV[EMPRESA],$C$4,LANÇ_MOV[CENTRO DE CUSTOS],$D$4)</f>
        <v>0</v>
      </c>
      <c r="L185" s="206">
        <f>SUMIFS(LANÇ_MOV[VALOR LÍQUIDO],LANÇ_MOV[RECEITA OU DESPESA],"Despesa",LANÇ_MOV[CONTAS],$C185,LANÇ_MOV[PLANO DE CONTAS],REL_DRE_FINANCEIRO!$B$135,LANÇ_MOV[ANO PAGAMENTO],$B$4,LANÇ_MOV[MÊS PAGAMENTO CORRESPONDENTE],L$6,LANÇ_MOV[EMPRESA],$C$4,LANÇ_MOV[CENTRO DE CUSTOS],$D$4)</f>
        <v>0</v>
      </c>
      <c r="M185" s="206">
        <f>SUMIFS(LANÇ_MOV[VALOR LÍQUIDO],LANÇ_MOV[RECEITA OU DESPESA],"Despesa",LANÇ_MOV[CONTAS],$C185,LANÇ_MOV[PLANO DE CONTAS],REL_DRE_FINANCEIRO!$B$135,LANÇ_MOV[ANO PAGAMENTO],$B$4,LANÇ_MOV[MÊS PAGAMENTO CORRESPONDENTE],M$6,LANÇ_MOV[EMPRESA],$C$4,LANÇ_MOV[CENTRO DE CUSTOS],$D$4)</f>
        <v>0</v>
      </c>
      <c r="N185" s="206">
        <f>SUMIFS(LANÇ_MOV[VALOR LÍQUIDO],LANÇ_MOV[RECEITA OU DESPESA],"Despesa",LANÇ_MOV[CONTAS],$C185,LANÇ_MOV[PLANO DE CONTAS],REL_DRE_FINANCEIRO!$B$135,LANÇ_MOV[ANO PAGAMENTO],$B$4,LANÇ_MOV[MÊS PAGAMENTO CORRESPONDENTE],N$6,LANÇ_MOV[EMPRESA],$C$4,LANÇ_MOV[CENTRO DE CUSTOS],$D$4)</f>
        <v>0</v>
      </c>
      <c r="O185" s="206">
        <f>SUMIFS(LANÇ_MOV[VALOR LÍQUIDO],LANÇ_MOV[RECEITA OU DESPESA],"Despesa",LANÇ_MOV[CONTAS],$C185,LANÇ_MOV[PLANO DE CONTAS],REL_DRE_FINANCEIRO!$B$135,LANÇ_MOV[ANO PAGAMENTO],$B$4,LANÇ_MOV[MÊS PAGAMENTO CORRESPONDENTE],O$6,LANÇ_MOV[EMPRESA],$C$4,LANÇ_MOV[CENTRO DE CUSTOS],$D$4)</f>
        <v>0</v>
      </c>
      <c r="P185" s="207">
        <f t="shared" si="30"/>
        <v>0</v>
      </c>
      <c r="Q185" s="333">
        <v>3.7200000000000003E-5</v>
      </c>
      <c r="R185" s="346">
        <f t="shared" si="32"/>
        <v>3.7200000000000003E-5</v>
      </c>
      <c r="S185" s="347" t="str">
        <f t="shared" si="33"/>
        <v>-</v>
      </c>
      <c r="T185" s="347">
        <f t="shared" si="34"/>
        <v>0</v>
      </c>
      <c r="U185" s="347">
        <f>HLOOKUP(Apoio!$P$12,$D$134:$P$235,X185,FALSE)+Q185</f>
        <v>3.7200000000000003E-5</v>
      </c>
      <c r="V185" s="447" t="str">
        <f t="shared" si="31"/>
        <v>-</v>
      </c>
      <c r="W185" s="448">
        <f>HLOOKUP(Apoio!$P$12,$D$134:$P$235,X185,FALSE)</f>
        <v>0</v>
      </c>
      <c r="X185" s="329">
        <v>52</v>
      </c>
    </row>
    <row r="186" spans="2:24" ht="30.05" customHeight="1" x14ac:dyDescent="0.35">
      <c r="B186" s="204" t="str">
        <f>'CAD_PL_REC-DESP'!K55</f>
        <v>2.1.51</v>
      </c>
      <c r="C186" s="205" t="str">
        <f>IF('CAD_PL_REC-DESP'!L55="","-",'CAD_PL_REC-DESP'!L55)</f>
        <v>-</v>
      </c>
      <c r="D186" s="206">
        <f>SUMIFS(LANÇ_MOV[VALOR LÍQUIDO],LANÇ_MOV[RECEITA OU DESPESA],"Despesa",LANÇ_MOV[CONTAS],$C186,LANÇ_MOV[PLANO DE CONTAS],REL_DRE_FINANCEIRO!$B$135,LANÇ_MOV[ANO PAGAMENTO],$B$4,LANÇ_MOV[MÊS PAGAMENTO CORRESPONDENTE],D$6,LANÇ_MOV[EMPRESA],$C$4,LANÇ_MOV[CENTRO DE CUSTOS],$D$4)</f>
        <v>0</v>
      </c>
      <c r="E186" s="206">
        <f>SUMIFS(LANÇ_MOV[VALOR LÍQUIDO],LANÇ_MOV[RECEITA OU DESPESA],"Despesa",LANÇ_MOV[CONTAS],$C186,LANÇ_MOV[PLANO DE CONTAS],REL_DRE_FINANCEIRO!$B$135,LANÇ_MOV[ANO PAGAMENTO],$B$4,LANÇ_MOV[MÊS PAGAMENTO CORRESPONDENTE],E$6,LANÇ_MOV[EMPRESA],$C$4,LANÇ_MOV[CENTRO DE CUSTOS],$D$4)</f>
        <v>0</v>
      </c>
      <c r="F186" s="206">
        <f>SUMIFS(LANÇ_MOV[VALOR LÍQUIDO],LANÇ_MOV[RECEITA OU DESPESA],"Despesa",LANÇ_MOV[CONTAS],$C186,LANÇ_MOV[PLANO DE CONTAS],REL_DRE_FINANCEIRO!$B$135,LANÇ_MOV[ANO PAGAMENTO],$B$4,LANÇ_MOV[MÊS PAGAMENTO CORRESPONDENTE],F$6,LANÇ_MOV[EMPRESA],$C$4,LANÇ_MOV[CENTRO DE CUSTOS],$D$4)</f>
        <v>0</v>
      </c>
      <c r="G186" s="206">
        <f>SUMIFS(LANÇ_MOV[VALOR LÍQUIDO],LANÇ_MOV[RECEITA OU DESPESA],"Despesa",LANÇ_MOV[CONTAS],$C186,LANÇ_MOV[PLANO DE CONTAS],REL_DRE_FINANCEIRO!$B$135,LANÇ_MOV[ANO PAGAMENTO],$B$4,LANÇ_MOV[MÊS PAGAMENTO CORRESPONDENTE],G$6,LANÇ_MOV[EMPRESA],$C$4,LANÇ_MOV[CENTRO DE CUSTOS],$D$4)</f>
        <v>0</v>
      </c>
      <c r="H186" s="206">
        <f>SUMIFS(LANÇ_MOV[VALOR LÍQUIDO],LANÇ_MOV[RECEITA OU DESPESA],"Despesa",LANÇ_MOV[CONTAS],$C186,LANÇ_MOV[PLANO DE CONTAS],REL_DRE_FINANCEIRO!$B$135,LANÇ_MOV[ANO PAGAMENTO],$B$4,LANÇ_MOV[MÊS PAGAMENTO CORRESPONDENTE],H$6,LANÇ_MOV[EMPRESA],$C$4,LANÇ_MOV[CENTRO DE CUSTOS],$D$4)</f>
        <v>0</v>
      </c>
      <c r="I186" s="206">
        <f>SUMIFS(LANÇ_MOV[VALOR LÍQUIDO],LANÇ_MOV[RECEITA OU DESPESA],"Despesa",LANÇ_MOV[CONTAS],$C186,LANÇ_MOV[PLANO DE CONTAS],REL_DRE_FINANCEIRO!$B$135,LANÇ_MOV[ANO PAGAMENTO],$B$4,LANÇ_MOV[MÊS PAGAMENTO CORRESPONDENTE],I$6,LANÇ_MOV[EMPRESA],$C$4,LANÇ_MOV[CENTRO DE CUSTOS],$D$4)</f>
        <v>0</v>
      </c>
      <c r="J186" s="206">
        <f>SUMIFS(LANÇ_MOV[VALOR LÍQUIDO],LANÇ_MOV[RECEITA OU DESPESA],"Despesa",LANÇ_MOV[CONTAS],$C186,LANÇ_MOV[PLANO DE CONTAS],REL_DRE_FINANCEIRO!$B$135,LANÇ_MOV[ANO PAGAMENTO],$B$4,LANÇ_MOV[MÊS PAGAMENTO CORRESPONDENTE],J$6,LANÇ_MOV[EMPRESA],$C$4,LANÇ_MOV[CENTRO DE CUSTOS],$D$4)</f>
        <v>0</v>
      </c>
      <c r="K186" s="206">
        <f>SUMIFS(LANÇ_MOV[VALOR LÍQUIDO],LANÇ_MOV[RECEITA OU DESPESA],"Despesa",LANÇ_MOV[CONTAS],$C186,LANÇ_MOV[PLANO DE CONTAS],REL_DRE_FINANCEIRO!$B$135,LANÇ_MOV[ANO PAGAMENTO],$B$4,LANÇ_MOV[MÊS PAGAMENTO CORRESPONDENTE],K$6,LANÇ_MOV[EMPRESA],$C$4,LANÇ_MOV[CENTRO DE CUSTOS],$D$4)</f>
        <v>0</v>
      </c>
      <c r="L186" s="206">
        <f>SUMIFS(LANÇ_MOV[VALOR LÍQUIDO],LANÇ_MOV[RECEITA OU DESPESA],"Despesa",LANÇ_MOV[CONTAS],$C186,LANÇ_MOV[PLANO DE CONTAS],REL_DRE_FINANCEIRO!$B$135,LANÇ_MOV[ANO PAGAMENTO],$B$4,LANÇ_MOV[MÊS PAGAMENTO CORRESPONDENTE],L$6,LANÇ_MOV[EMPRESA],$C$4,LANÇ_MOV[CENTRO DE CUSTOS],$D$4)</f>
        <v>0</v>
      </c>
      <c r="M186" s="206">
        <f>SUMIFS(LANÇ_MOV[VALOR LÍQUIDO],LANÇ_MOV[RECEITA OU DESPESA],"Despesa",LANÇ_MOV[CONTAS],$C186,LANÇ_MOV[PLANO DE CONTAS],REL_DRE_FINANCEIRO!$B$135,LANÇ_MOV[ANO PAGAMENTO],$B$4,LANÇ_MOV[MÊS PAGAMENTO CORRESPONDENTE],M$6,LANÇ_MOV[EMPRESA],$C$4,LANÇ_MOV[CENTRO DE CUSTOS],$D$4)</f>
        <v>0</v>
      </c>
      <c r="N186" s="206">
        <f>SUMIFS(LANÇ_MOV[VALOR LÍQUIDO],LANÇ_MOV[RECEITA OU DESPESA],"Despesa",LANÇ_MOV[CONTAS],$C186,LANÇ_MOV[PLANO DE CONTAS],REL_DRE_FINANCEIRO!$B$135,LANÇ_MOV[ANO PAGAMENTO],$B$4,LANÇ_MOV[MÊS PAGAMENTO CORRESPONDENTE],N$6,LANÇ_MOV[EMPRESA],$C$4,LANÇ_MOV[CENTRO DE CUSTOS],$D$4)</f>
        <v>0</v>
      </c>
      <c r="O186" s="206">
        <f>SUMIFS(LANÇ_MOV[VALOR LÍQUIDO],LANÇ_MOV[RECEITA OU DESPESA],"Despesa",LANÇ_MOV[CONTAS],$C186,LANÇ_MOV[PLANO DE CONTAS],REL_DRE_FINANCEIRO!$B$135,LANÇ_MOV[ANO PAGAMENTO],$B$4,LANÇ_MOV[MÊS PAGAMENTO CORRESPONDENTE],O$6,LANÇ_MOV[EMPRESA],$C$4,LANÇ_MOV[CENTRO DE CUSTOS],$D$4)</f>
        <v>0</v>
      </c>
      <c r="P186" s="207">
        <f t="shared" si="30"/>
        <v>0</v>
      </c>
      <c r="Q186" s="333">
        <v>3.7100000000000001E-5</v>
      </c>
      <c r="R186" s="346">
        <f t="shared" si="32"/>
        <v>3.7100000000000001E-5</v>
      </c>
      <c r="S186" s="347" t="str">
        <f t="shared" si="33"/>
        <v>-</v>
      </c>
      <c r="T186" s="347">
        <f t="shared" si="34"/>
        <v>0</v>
      </c>
      <c r="U186" s="347">
        <f>HLOOKUP(Apoio!$P$12,$D$134:$P$235,X186,FALSE)+Q186</f>
        <v>3.7100000000000001E-5</v>
      </c>
      <c r="V186" s="447" t="str">
        <f t="shared" si="31"/>
        <v>-</v>
      </c>
      <c r="W186" s="448">
        <f>HLOOKUP(Apoio!$P$12,$D$134:$P$235,X186,FALSE)</f>
        <v>0</v>
      </c>
      <c r="X186" s="329">
        <v>53</v>
      </c>
    </row>
    <row r="187" spans="2:24" ht="30.05" customHeight="1" x14ac:dyDescent="0.35">
      <c r="B187" s="204" t="str">
        <f>'CAD_PL_REC-DESP'!K56</f>
        <v>2.1.52</v>
      </c>
      <c r="C187" s="205" t="str">
        <f>IF('CAD_PL_REC-DESP'!L56="","-",'CAD_PL_REC-DESP'!L56)</f>
        <v>-</v>
      </c>
      <c r="D187" s="206">
        <f>SUMIFS(LANÇ_MOV[VALOR LÍQUIDO],LANÇ_MOV[RECEITA OU DESPESA],"Despesa",LANÇ_MOV[CONTAS],$C187,LANÇ_MOV[PLANO DE CONTAS],REL_DRE_FINANCEIRO!$B$135,LANÇ_MOV[ANO PAGAMENTO],$B$4,LANÇ_MOV[MÊS PAGAMENTO CORRESPONDENTE],D$6,LANÇ_MOV[EMPRESA],$C$4,LANÇ_MOV[CENTRO DE CUSTOS],$D$4)</f>
        <v>0</v>
      </c>
      <c r="E187" s="206">
        <f>SUMIFS(LANÇ_MOV[VALOR LÍQUIDO],LANÇ_MOV[RECEITA OU DESPESA],"Despesa",LANÇ_MOV[CONTAS],$C187,LANÇ_MOV[PLANO DE CONTAS],REL_DRE_FINANCEIRO!$B$135,LANÇ_MOV[ANO PAGAMENTO],$B$4,LANÇ_MOV[MÊS PAGAMENTO CORRESPONDENTE],E$6,LANÇ_MOV[EMPRESA],$C$4,LANÇ_MOV[CENTRO DE CUSTOS],$D$4)</f>
        <v>0</v>
      </c>
      <c r="F187" s="206">
        <f>SUMIFS(LANÇ_MOV[VALOR LÍQUIDO],LANÇ_MOV[RECEITA OU DESPESA],"Despesa",LANÇ_MOV[CONTAS],$C187,LANÇ_MOV[PLANO DE CONTAS],REL_DRE_FINANCEIRO!$B$135,LANÇ_MOV[ANO PAGAMENTO],$B$4,LANÇ_MOV[MÊS PAGAMENTO CORRESPONDENTE],F$6,LANÇ_MOV[EMPRESA],$C$4,LANÇ_MOV[CENTRO DE CUSTOS],$D$4)</f>
        <v>0</v>
      </c>
      <c r="G187" s="206">
        <f>SUMIFS(LANÇ_MOV[VALOR LÍQUIDO],LANÇ_MOV[RECEITA OU DESPESA],"Despesa",LANÇ_MOV[CONTAS],$C187,LANÇ_MOV[PLANO DE CONTAS],REL_DRE_FINANCEIRO!$B$135,LANÇ_MOV[ANO PAGAMENTO],$B$4,LANÇ_MOV[MÊS PAGAMENTO CORRESPONDENTE],G$6,LANÇ_MOV[EMPRESA],$C$4,LANÇ_MOV[CENTRO DE CUSTOS],$D$4)</f>
        <v>0</v>
      </c>
      <c r="H187" s="206">
        <f>SUMIFS(LANÇ_MOV[VALOR LÍQUIDO],LANÇ_MOV[RECEITA OU DESPESA],"Despesa",LANÇ_MOV[CONTAS],$C187,LANÇ_MOV[PLANO DE CONTAS],REL_DRE_FINANCEIRO!$B$135,LANÇ_MOV[ANO PAGAMENTO],$B$4,LANÇ_MOV[MÊS PAGAMENTO CORRESPONDENTE],H$6,LANÇ_MOV[EMPRESA],$C$4,LANÇ_MOV[CENTRO DE CUSTOS],$D$4)</f>
        <v>0</v>
      </c>
      <c r="I187" s="206">
        <f>SUMIFS(LANÇ_MOV[VALOR LÍQUIDO],LANÇ_MOV[RECEITA OU DESPESA],"Despesa",LANÇ_MOV[CONTAS],$C187,LANÇ_MOV[PLANO DE CONTAS],REL_DRE_FINANCEIRO!$B$135,LANÇ_MOV[ANO PAGAMENTO],$B$4,LANÇ_MOV[MÊS PAGAMENTO CORRESPONDENTE],I$6,LANÇ_MOV[EMPRESA],$C$4,LANÇ_MOV[CENTRO DE CUSTOS],$D$4)</f>
        <v>0</v>
      </c>
      <c r="J187" s="206">
        <f>SUMIFS(LANÇ_MOV[VALOR LÍQUIDO],LANÇ_MOV[RECEITA OU DESPESA],"Despesa",LANÇ_MOV[CONTAS],$C187,LANÇ_MOV[PLANO DE CONTAS],REL_DRE_FINANCEIRO!$B$135,LANÇ_MOV[ANO PAGAMENTO],$B$4,LANÇ_MOV[MÊS PAGAMENTO CORRESPONDENTE],J$6,LANÇ_MOV[EMPRESA],$C$4,LANÇ_MOV[CENTRO DE CUSTOS],$D$4)</f>
        <v>0</v>
      </c>
      <c r="K187" s="206">
        <f>SUMIFS(LANÇ_MOV[VALOR LÍQUIDO],LANÇ_MOV[RECEITA OU DESPESA],"Despesa",LANÇ_MOV[CONTAS],$C187,LANÇ_MOV[PLANO DE CONTAS],REL_DRE_FINANCEIRO!$B$135,LANÇ_MOV[ANO PAGAMENTO],$B$4,LANÇ_MOV[MÊS PAGAMENTO CORRESPONDENTE],K$6,LANÇ_MOV[EMPRESA],$C$4,LANÇ_MOV[CENTRO DE CUSTOS],$D$4)</f>
        <v>0</v>
      </c>
      <c r="L187" s="206">
        <f>SUMIFS(LANÇ_MOV[VALOR LÍQUIDO],LANÇ_MOV[RECEITA OU DESPESA],"Despesa",LANÇ_MOV[CONTAS],$C187,LANÇ_MOV[PLANO DE CONTAS],REL_DRE_FINANCEIRO!$B$135,LANÇ_MOV[ANO PAGAMENTO],$B$4,LANÇ_MOV[MÊS PAGAMENTO CORRESPONDENTE],L$6,LANÇ_MOV[EMPRESA],$C$4,LANÇ_MOV[CENTRO DE CUSTOS],$D$4)</f>
        <v>0</v>
      </c>
      <c r="M187" s="206">
        <f>SUMIFS(LANÇ_MOV[VALOR LÍQUIDO],LANÇ_MOV[RECEITA OU DESPESA],"Despesa",LANÇ_MOV[CONTAS],$C187,LANÇ_MOV[PLANO DE CONTAS],REL_DRE_FINANCEIRO!$B$135,LANÇ_MOV[ANO PAGAMENTO],$B$4,LANÇ_MOV[MÊS PAGAMENTO CORRESPONDENTE],M$6,LANÇ_MOV[EMPRESA],$C$4,LANÇ_MOV[CENTRO DE CUSTOS],$D$4)</f>
        <v>0</v>
      </c>
      <c r="N187" s="206">
        <f>SUMIFS(LANÇ_MOV[VALOR LÍQUIDO],LANÇ_MOV[RECEITA OU DESPESA],"Despesa",LANÇ_MOV[CONTAS],$C187,LANÇ_MOV[PLANO DE CONTAS],REL_DRE_FINANCEIRO!$B$135,LANÇ_MOV[ANO PAGAMENTO],$B$4,LANÇ_MOV[MÊS PAGAMENTO CORRESPONDENTE],N$6,LANÇ_MOV[EMPRESA],$C$4,LANÇ_MOV[CENTRO DE CUSTOS],$D$4)</f>
        <v>0</v>
      </c>
      <c r="O187" s="206">
        <f>SUMIFS(LANÇ_MOV[VALOR LÍQUIDO],LANÇ_MOV[RECEITA OU DESPESA],"Despesa",LANÇ_MOV[CONTAS],$C187,LANÇ_MOV[PLANO DE CONTAS],REL_DRE_FINANCEIRO!$B$135,LANÇ_MOV[ANO PAGAMENTO],$B$4,LANÇ_MOV[MÊS PAGAMENTO CORRESPONDENTE],O$6,LANÇ_MOV[EMPRESA],$C$4,LANÇ_MOV[CENTRO DE CUSTOS],$D$4)</f>
        <v>0</v>
      </c>
      <c r="P187" s="207">
        <f t="shared" si="30"/>
        <v>0</v>
      </c>
      <c r="Q187" s="333">
        <v>3.6999999999999998E-5</v>
      </c>
      <c r="R187" s="346">
        <f t="shared" si="32"/>
        <v>3.6999999999999998E-5</v>
      </c>
      <c r="S187" s="347" t="str">
        <f t="shared" si="33"/>
        <v>-</v>
      </c>
      <c r="T187" s="347">
        <f t="shared" si="34"/>
        <v>0</v>
      </c>
      <c r="U187" s="347">
        <f>HLOOKUP(Apoio!$P$12,$D$134:$P$235,X187,FALSE)+Q187</f>
        <v>3.6999999999999998E-5</v>
      </c>
      <c r="V187" s="447" t="str">
        <f t="shared" si="31"/>
        <v>-</v>
      </c>
      <c r="W187" s="448">
        <f>HLOOKUP(Apoio!$P$12,$D$134:$P$235,X187,FALSE)</f>
        <v>0</v>
      </c>
      <c r="X187" s="329">
        <v>54</v>
      </c>
    </row>
    <row r="188" spans="2:24" ht="30.05" customHeight="1" x14ac:dyDescent="0.35">
      <c r="B188" s="204" t="str">
        <f>'CAD_PL_REC-DESP'!K57</f>
        <v>2.1.53</v>
      </c>
      <c r="C188" s="205" t="str">
        <f>IF('CAD_PL_REC-DESP'!L57="","-",'CAD_PL_REC-DESP'!L57)</f>
        <v>-</v>
      </c>
      <c r="D188" s="206">
        <f>SUMIFS(LANÇ_MOV[VALOR LÍQUIDO],LANÇ_MOV[RECEITA OU DESPESA],"Despesa",LANÇ_MOV[CONTAS],$C188,LANÇ_MOV[PLANO DE CONTAS],REL_DRE_FINANCEIRO!$B$135,LANÇ_MOV[ANO PAGAMENTO],$B$4,LANÇ_MOV[MÊS PAGAMENTO CORRESPONDENTE],D$6,LANÇ_MOV[EMPRESA],$C$4,LANÇ_MOV[CENTRO DE CUSTOS],$D$4)</f>
        <v>0</v>
      </c>
      <c r="E188" s="206">
        <f>SUMIFS(LANÇ_MOV[VALOR LÍQUIDO],LANÇ_MOV[RECEITA OU DESPESA],"Despesa",LANÇ_MOV[CONTAS],$C188,LANÇ_MOV[PLANO DE CONTAS],REL_DRE_FINANCEIRO!$B$135,LANÇ_MOV[ANO PAGAMENTO],$B$4,LANÇ_MOV[MÊS PAGAMENTO CORRESPONDENTE],E$6,LANÇ_MOV[EMPRESA],$C$4,LANÇ_MOV[CENTRO DE CUSTOS],$D$4)</f>
        <v>0</v>
      </c>
      <c r="F188" s="206">
        <f>SUMIFS(LANÇ_MOV[VALOR LÍQUIDO],LANÇ_MOV[RECEITA OU DESPESA],"Despesa",LANÇ_MOV[CONTAS],$C188,LANÇ_MOV[PLANO DE CONTAS],REL_DRE_FINANCEIRO!$B$135,LANÇ_MOV[ANO PAGAMENTO],$B$4,LANÇ_MOV[MÊS PAGAMENTO CORRESPONDENTE],F$6,LANÇ_MOV[EMPRESA],$C$4,LANÇ_MOV[CENTRO DE CUSTOS],$D$4)</f>
        <v>0</v>
      </c>
      <c r="G188" s="206">
        <f>SUMIFS(LANÇ_MOV[VALOR LÍQUIDO],LANÇ_MOV[RECEITA OU DESPESA],"Despesa",LANÇ_MOV[CONTAS],$C188,LANÇ_MOV[PLANO DE CONTAS],REL_DRE_FINANCEIRO!$B$135,LANÇ_MOV[ANO PAGAMENTO],$B$4,LANÇ_MOV[MÊS PAGAMENTO CORRESPONDENTE],G$6,LANÇ_MOV[EMPRESA],$C$4,LANÇ_MOV[CENTRO DE CUSTOS],$D$4)</f>
        <v>0</v>
      </c>
      <c r="H188" s="206">
        <f>SUMIFS(LANÇ_MOV[VALOR LÍQUIDO],LANÇ_MOV[RECEITA OU DESPESA],"Despesa",LANÇ_MOV[CONTAS],$C188,LANÇ_MOV[PLANO DE CONTAS],REL_DRE_FINANCEIRO!$B$135,LANÇ_MOV[ANO PAGAMENTO],$B$4,LANÇ_MOV[MÊS PAGAMENTO CORRESPONDENTE],H$6,LANÇ_MOV[EMPRESA],$C$4,LANÇ_MOV[CENTRO DE CUSTOS],$D$4)</f>
        <v>0</v>
      </c>
      <c r="I188" s="206">
        <f>SUMIFS(LANÇ_MOV[VALOR LÍQUIDO],LANÇ_MOV[RECEITA OU DESPESA],"Despesa",LANÇ_MOV[CONTAS],$C188,LANÇ_MOV[PLANO DE CONTAS],REL_DRE_FINANCEIRO!$B$135,LANÇ_MOV[ANO PAGAMENTO],$B$4,LANÇ_MOV[MÊS PAGAMENTO CORRESPONDENTE],I$6,LANÇ_MOV[EMPRESA],$C$4,LANÇ_MOV[CENTRO DE CUSTOS],$D$4)</f>
        <v>0</v>
      </c>
      <c r="J188" s="206">
        <f>SUMIFS(LANÇ_MOV[VALOR LÍQUIDO],LANÇ_MOV[RECEITA OU DESPESA],"Despesa",LANÇ_MOV[CONTAS],$C188,LANÇ_MOV[PLANO DE CONTAS],REL_DRE_FINANCEIRO!$B$135,LANÇ_MOV[ANO PAGAMENTO],$B$4,LANÇ_MOV[MÊS PAGAMENTO CORRESPONDENTE],J$6,LANÇ_MOV[EMPRESA],$C$4,LANÇ_MOV[CENTRO DE CUSTOS],$D$4)</f>
        <v>0</v>
      </c>
      <c r="K188" s="206">
        <f>SUMIFS(LANÇ_MOV[VALOR LÍQUIDO],LANÇ_MOV[RECEITA OU DESPESA],"Despesa",LANÇ_MOV[CONTAS],$C188,LANÇ_MOV[PLANO DE CONTAS],REL_DRE_FINANCEIRO!$B$135,LANÇ_MOV[ANO PAGAMENTO],$B$4,LANÇ_MOV[MÊS PAGAMENTO CORRESPONDENTE],K$6,LANÇ_MOV[EMPRESA],$C$4,LANÇ_MOV[CENTRO DE CUSTOS],$D$4)</f>
        <v>0</v>
      </c>
      <c r="L188" s="206">
        <f>SUMIFS(LANÇ_MOV[VALOR LÍQUIDO],LANÇ_MOV[RECEITA OU DESPESA],"Despesa",LANÇ_MOV[CONTAS],$C188,LANÇ_MOV[PLANO DE CONTAS],REL_DRE_FINANCEIRO!$B$135,LANÇ_MOV[ANO PAGAMENTO],$B$4,LANÇ_MOV[MÊS PAGAMENTO CORRESPONDENTE],L$6,LANÇ_MOV[EMPRESA],$C$4,LANÇ_MOV[CENTRO DE CUSTOS],$D$4)</f>
        <v>0</v>
      </c>
      <c r="M188" s="206">
        <f>SUMIFS(LANÇ_MOV[VALOR LÍQUIDO],LANÇ_MOV[RECEITA OU DESPESA],"Despesa",LANÇ_MOV[CONTAS],$C188,LANÇ_MOV[PLANO DE CONTAS],REL_DRE_FINANCEIRO!$B$135,LANÇ_MOV[ANO PAGAMENTO],$B$4,LANÇ_MOV[MÊS PAGAMENTO CORRESPONDENTE],M$6,LANÇ_MOV[EMPRESA],$C$4,LANÇ_MOV[CENTRO DE CUSTOS],$D$4)</f>
        <v>0</v>
      </c>
      <c r="N188" s="206">
        <f>SUMIFS(LANÇ_MOV[VALOR LÍQUIDO],LANÇ_MOV[RECEITA OU DESPESA],"Despesa",LANÇ_MOV[CONTAS],$C188,LANÇ_MOV[PLANO DE CONTAS],REL_DRE_FINANCEIRO!$B$135,LANÇ_MOV[ANO PAGAMENTO],$B$4,LANÇ_MOV[MÊS PAGAMENTO CORRESPONDENTE],N$6,LANÇ_MOV[EMPRESA],$C$4,LANÇ_MOV[CENTRO DE CUSTOS],$D$4)</f>
        <v>0</v>
      </c>
      <c r="O188" s="206">
        <f>SUMIFS(LANÇ_MOV[VALOR LÍQUIDO],LANÇ_MOV[RECEITA OU DESPESA],"Despesa",LANÇ_MOV[CONTAS],$C188,LANÇ_MOV[PLANO DE CONTAS],REL_DRE_FINANCEIRO!$B$135,LANÇ_MOV[ANO PAGAMENTO],$B$4,LANÇ_MOV[MÊS PAGAMENTO CORRESPONDENTE],O$6,LANÇ_MOV[EMPRESA],$C$4,LANÇ_MOV[CENTRO DE CUSTOS],$D$4)</f>
        <v>0</v>
      </c>
      <c r="P188" s="207">
        <f t="shared" si="30"/>
        <v>0</v>
      </c>
      <c r="Q188" s="333">
        <v>3.6900000000000002E-5</v>
      </c>
      <c r="R188" s="346">
        <f t="shared" si="32"/>
        <v>3.6900000000000002E-5</v>
      </c>
      <c r="S188" s="347" t="str">
        <f t="shared" si="33"/>
        <v>-</v>
      </c>
      <c r="T188" s="347">
        <f t="shared" si="34"/>
        <v>0</v>
      </c>
      <c r="U188" s="347">
        <f>HLOOKUP(Apoio!$P$12,$D$134:$P$235,X188,FALSE)+Q188</f>
        <v>3.6900000000000002E-5</v>
      </c>
      <c r="V188" s="447" t="str">
        <f t="shared" si="31"/>
        <v>-</v>
      </c>
      <c r="W188" s="448">
        <f>HLOOKUP(Apoio!$P$12,$D$134:$P$235,X188,FALSE)</f>
        <v>0</v>
      </c>
      <c r="X188" s="329">
        <v>55</v>
      </c>
    </row>
    <row r="189" spans="2:24" ht="30.05" customHeight="1" x14ac:dyDescent="0.35">
      <c r="B189" s="204" t="str">
        <f>'CAD_PL_REC-DESP'!K58</f>
        <v>2.1.54</v>
      </c>
      <c r="C189" s="205" t="str">
        <f>IF('CAD_PL_REC-DESP'!L58="","-",'CAD_PL_REC-DESP'!L58)</f>
        <v>-</v>
      </c>
      <c r="D189" s="206">
        <f>SUMIFS(LANÇ_MOV[VALOR LÍQUIDO],LANÇ_MOV[RECEITA OU DESPESA],"Despesa",LANÇ_MOV[CONTAS],$C189,LANÇ_MOV[PLANO DE CONTAS],REL_DRE_FINANCEIRO!$B$135,LANÇ_MOV[ANO PAGAMENTO],$B$4,LANÇ_MOV[MÊS PAGAMENTO CORRESPONDENTE],D$6,LANÇ_MOV[EMPRESA],$C$4,LANÇ_MOV[CENTRO DE CUSTOS],$D$4)</f>
        <v>0</v>
      </c>
      <c r="E189" s="206">
        <f>SUMIFS(LANÇ_MOV[VALOR LÍQUIDO],LANÇ_MOV[RECEITA OU DESPESA],"Despesa",LANÇ_MOV[CONTAS],$C189,LANÇ_MOV[PLANO DE CONTAS],REL_DRE_FINANCEIRO!$B$135,LANÇ_MOV[ANO PAGAMENTO],$B$4,LANÇ_MOV[MÊS PAGAMENTO CORRESPONDENTE],E$6,LANÇ_MOV[EMPRESA],$C$4,LANÇ_MOV[CENTRO DE CUSTOS],$D$4)</f>
        <v>0</v>
      </c>
      <c r="F189" s="206">
        <f>SUMIFS(LANÇ_MOV[VALOR LÍQUIDO],LANÇ_MOV[RECEITA OU DESPESA],"Despesa",LANÇ_MOV[CONTAS],$C189,LANÇ_MOV[PLANO DE CONTAS],REL_DRE_FINANCEIRO!$B$135,LANÇ_MOV[ANO PAGAMENTO],$B$4,LANÇ_MOV[MÊS PAGAMENTO CORRESPONDENTE],F$6,LANÇ_MOV[EMPRESA],$C$4,LANÇ_MOV[CENTRO DE CUSTOS],$D$4)</f>
        <v>0</v>
      </c>
      <c r="G189" s="206">
        <f>SUMIFS(LANÇ_MOV[VALOR LÍQUIDO],LANÇ_MOV[RECEITA OU DESPESA],"Despesa",LANÇ_MOV[CONTAS],$C189,LANÇ_MOV[PLANO DE CONTAS],REL_DRE_FINANCEIRO!$B$135,LANÇ_MOV[ANO PAGAMENTO],$B$4,LANÇ_MOV[MÊS PAGAMENTO CORRESPONDENTE],G$6,LANÇ_MOV[EMPRESA],$C$4,LANÇ_MOV[CENTRO DE CUSTOS],$D$4)</f>
        <v>0</v>
      </c>
      <c r="H189" s="206">
        <f>SUMIFS(LANÇ_MOV[VALOR LÍQUIDO],LANÇ_MOV[RECEITA OU DESPESA],"Despesa",LANÇ_MOV[CONTAS],$C189,LANÇ_MOV[PLANO DE CONTAS],REL_DRE_FINANCEIRO!$B$135,LANÇ_MOV[ANO PAGAMENTO],$B$4,LANÇ_MOV[MÊS PAGAMENTO CORRESPONDENTE],H$6,LANÇ_MOV[EMPRESA],$C$4,LANÇ_MOV[CENTRO DE CUSTOS],$D$4)</f>
        <v>0</v>
      </c>
      <c r="I189" s="206">
        <f>SUMIFS(LANÇ_MOV[VALOR LÍQUIDO],LANÇ_MOV[RECEITA OU DESPESA],"Despesa",LANÇ_MOV[CONTAS],$C189,LANÇ_MOV[PLANO DE CONTAS],REL_DRE_FINANCEIRO!$B$135,LANÇ_MOV[ANO PAGAMENTO],$B$4,LANÇ_MOV[MÊS PAGAMENTO CORRESPONDENTE],I$6,LANÇ_MOV[EMPRESA],$C$4,LANÇ_MOV[CENTRO DE CUSTOS],$D$4)</f>
        <v>0</v>
      </c>
      <c r="J189" s="206">
        <f>SUMIFS(LANÇ_MOV[VALOR LÍQUIDO],LANÇ_MOV[RECEITA OU DESPESA],"Despesa",LANÇ_MOV[CONTAS],$C189,LANÇ_MOV[PLANO DE CONTAS],REL_DRE_FINANCEIRO!$B$135,LANÇ_MOV[ANO PAGAMENTO],$B$4,LANÇ_MOV[MÊS PAGAMENTO CORRESPONDENTE],J$6,LANÇ_MOV[EMPRESA],$C$4,LANÇ_MOV[CENTRO DE CUSTOS],$D$4)</f>
        <v>0</v>
      </c>
      <c r="K189" s="206">
        <f>SUMIFS(LANÇ_MOV[VALOR LÍQUIDO],LANÇ_MOV[RECEITA OU DESPESA],"Despesa",LANÇ_MOV[CONTAS],$C189,LANÇ_MOV[PLANO DE CONTAS],REL_DRE_FINANCEIRO!$B$135,LANÇ_MOV[ANO PAGAMENTO],$B$4,LANÇ_MOV[MÊS PAGAMENTO CORRESPONDENTE],K$6,LANÇ_MOV[EMPRESA],$C$4,LANÇ_MOV[CENTRO DE CUSTOS],$D$4)</f>
        <v>0</v>
      </c>
      <c r="L189" s="206">
        <f>SUMIFS(LANÇ_MOV[VALOR LÍQUIDO],LANÇ_MOV[RECEITA OU DESPESA],"Despesa",LANÇ_MOV[CONTAS],$C189,LANÇ_MOV[PLANO DE CONTAS],REL_DRE_FINANCEIRO!$B$135,LANÇ_MOV[ANO PAGAMENTO],$B$4,LANÇ_MOV[MÊS PAGAMENTO CORRESPONDENTE],L$6,LANÇ_MOV[EMPRESA],$C$4,LANÇ_MOV[CENTRO DE CUSTOS],$D$4)</f>
        <v>0</v>
      </c>
      <c r="M189" s="206">
        <f>SUMIFS(LANÇ_MOV[VALOR LÍQUIDO],LANÇ_MOV[RECEITA OU DESPESA],"Despesa",LANÇ_MOV[CONTAS],$C189,LANÇ_MOV[PLANO DE CONTAS],REL_DRE_FINANCEIRO!$B$135,LANÇ_MOV[ANO PAGAMENTO],$B$4,LANÇ_MOV[MÊS PAGAMENTO CORRESPONDENTE],M$6,LANÇ_MOV[EMPRESA],$C$4,LANÇ_MOV[CENTRO DE CUSTOS],$D$4)</f>
        <v>0</v>
      </c>
      <c r="N189" s="206">
        <f>SUMIFS(LANÇ_MOV[VALOR LÍQUIDO],LANÇ_MOV[RECEITA OU DESPESA],"Despesa",LANÇ_MOV[CONTAS],$C189,LANÇ_MOV[PLANO DE CONTAS],REL_DRE_FINANCEIRO!$B$135,LANÇ_MOV[ANO PAGAMENTO],$B$4,LANÇ_MOV[MÊS PAGAMENTO CORRESPONDENTE],N$6,LANÇ_MOV[EMPRESA],$C$4,LANÇ_MOV[CENTRO DE CUSTOS],$D$4)</f>
        <v>0</v>
      </c>
      <c r="O189" s="206">
        <f>SUMIFS(LANÇ_MOV[VALOR LÍQUIDO],LANÇ_MOV[RECEITA OU DESPESA],"Despesa",LANÇ_MOV[CONTAS],$C189,LANÇ_MOV[PLANO DE CONTAS],REL_DRE_FINANCEIRO!$B$135,LANÇ_MOV[ANO PAGAMENTO],$B$4,LANÇ_MOV[MÊS PAGAMENTO CORRESPONDENTE],O$6,LANÇ_MOV[EMPRESA],$C$4,LANÇ_MOV[CENTRO DE CUSTOS],$D$4)</f>
        <v>0</v>
      </c>
      <c r="P189" s="207">
        <f t="shared" si="30"/>
        <v>0</v>
      </c>
      <c r="Q189" s="333">
        <v>3.68E-5</v>
      </c>
      <c r="R189" s="346">
        <f t="shared" si="32"/>
        <v>3.68E-5</v>
      </c>
      <c r="S189" s="347" t="str">
        <f t="shared" si="33"/>
        <v>-</v>
      </c>
      <c r="T189" s="347">
        <f t="shared" si="34"/>
        <v>0</v>
      </c>
      <c r="U189" s="347">
        <f>HLOOKUP(Apoio!$P$12,$D$134:$P$235,X189,FALSE)+Q189</f>
        <v>3.68E-5</v>
      </c>
      <c r="V189" s="447" t="str">
        <f t="shared" si="31"/>
        <v>-</v>
      </c>
      <c r="W189" s="448">
        <f>HLOOKUP(Apoio!$P$12,$D$134:$P$235,X189,FALSE)</f>
        <v>0</v>
      </c>
      <c r="X189" s="329">
        <v>56</v>
      </c>
    </row>
    <row r="190" spans="2:24" ht="30.05" customHeight="1" x14ac:dyDescent="0.35">
      <c r="B190" s="204" t="str">
        <f>'CAD_PL_REC-DESP'!K59</f>
        <v>2.1.55</v>
      </c>
      <c r="C190" s="205" t="str">
        <f>IF('CAD_PL_REC-DESP'!L59="","-",'CAD_PL_REC-DESP'!L59)</f>
        <v>-</v>
      </c>
      <c r="D190" s="206">
        <f>SUMIFS(LANÇ_MOV[VALOR LÍQUIDO],LANÇ_MOV[RECEITA OU DESPESA],"Despesa",LANÇ_MOV[CONTAS],$C190,LANÇ_MOV[PLANO DE CONTAS],REL_DRE_FINANCEIRO!$B$135,LANÇ_MOV[ANO PAGAMENTO],$B$4,LANÇ_MOV[MÊS PAGAMENTO CORRESPONDENTE],D$6,LANÇ_MOV[EMPRESA],$C$4,LANÇ_MOV[CENTRO DE CUSTOS],$D$4)</f>
        <v>0</v>
      </c>
      <c r="E190" s="206">
        <f>SUMIFS(LANÇ_MOV[VALOR LÍQUIDO],LANÇ_MOV[RECEITA OU DESPESA],"Despesa",LANÇ_MOV[CONTAS],$C190,LANÇ_MOV[PLANO DE CONTAS],REL_DRE_FINANCEIRO!$B$135,LANÇ_MOV[ANO PAGAMENTO],$B$4,LANÇ_MOV[MÊS PAGAMENTO CORRESPONDENTE],E$6,LANÇ_MOV[EMPRESA],$C$4,LANÇ_MOV[CENTRO DE CUSTOS],$D$4)</f>
        <v>0</v>
      </c>
      <c r="F190" s="206">
        <f>SUMIFS(LANÇ_MOV[VALOR LÍQUIDO],LANÇ_MOV[RECEITA OU DESPESA],"Despesa",LANÇ_MOV[CONTAS],$C190,LANÇ_MOV[PLANO DE CONTAS],REL_DRE_FINANCEIRO!$B$135,LANÇ_MOV[ANO PAGAMENTO],$B$4,LANÇ_MOV[MÊS PAGAMENTO CORRESPONDENTE],F$6,LANÇ_MOV[EMPRESA],$C$4,LANÇ_MOV[CENTRO DE CUSTOS],$D$4)</f>
        <v>0</v>
      </c>
      <c r="G190" s="206">
        <f>SUMIFS(LANÇ_MOV[VALOR LÍQUIDO],LANÇ_MOV[RECEITA OU DESPESA],"Despesa",LANÇ_MOV[CONTAS],$C190,LANÇ_MOV[PLANO DE CONTAS],REL_DRE_FINANCEIRO!$B$135,LANÇ_MOV[ANO PAGAMENTO],$B$4,LANÇ_MOV[MÊS PAGAMENTO CORRESPONDENTE],G$6,LANÇ_MOV[EMPRESA],$C$4,LANÇ_MOV[CENTRO DE CUSTOS],$D$4)</f>
        <v>0</v>
      </c>
      <c r="H190" s="206">
        <f>SUMIFS(LANÇ_MOV[VALOR LÍQUIDO],LANÇ_MOV[RECEITA OU DESPESA],"Despesa",LANÇ_MOV[CONTAS],$C190,LANÇ_MOV[PLANO DE CONTAS],REL_DRE_FINANCEIRO!$B$135,LANÇ_MOV[ANO PAGAMENTO],$B$4,LANÇ_MOV[MÊS PAGAMENTO CORRESPONDENTE],H$6,LANÇ_MOV[EMPRESA],$C$4,LANÇ_MOV[CENTRO DE CUSTOS],$D$4)</f>
        <v>0</v>
      </c>
      <c r="I190" s="206">
        <f>SUMIFS(LANÇ_MOV[VALOR LÍQUIDO],LANÇ_MOV[RECEITA OU DESPESA],"Despesa",LANÇ_MOV[CONTAS],$C190,LANÇ_MOV[PLANO DE CONTAS],REL_DRE_FINANCEIRO!$B$135,LANÇ_MOV[ANO PAGAMENTO],$B$4,LANÇ_MOV[MÊS PAGAMENTO CORRESPONDENTE],I$6,LANÇ_MOV[EMPRESA],$C$4,LANÇ_MOV[CENTRO DE CUSTOS],$D$4)</f>
        <v>0</v>
      </c>
      <c r="J190" s="206">
        <f>SUMIFS(LANÇ_MOV[VALOR LÍQUIDO],LANÇ_MOV[RECEITA OU DESPESA],"Despesa",LANÇ_MOV[CONTAS],$C190,LANÇ_MOV[PLANO DE CONTAS],REL_DRE_FINANCEIRO!$B$135,LANÇ_MOV[ANO PAGAMENTO],$B$4,LANÇ_MOV[MÊS PAGAMENTO CORRESPONDENTE],J$6,LANÇ_MOV[EMPRESA],$C$4,LANÇ_MOV[CENTRO DE CUSTOS],$D$4)</f>
        <v>0</v>
      </c>
      <c r="K190" s="206">
        <f>SUMIFS(LANÇ_MOV[VALOR LÍQUIDO],LANÇ_MOV[RECEITA OU DESPESA],"Despesa",LANÇ_MOV[CONTAS],$C190,LANÇ_MOV[PLANO DE CONTAS],REL_DRE_FINANCEIRO!$B$135,LANÇ_MOV[ANO PAGAMENTO],$B$4,LANÇ_MOV[MÊS PAGAMENTO CORRESPONDENTE],K$6,LANÇ_MOV[EMPRESA],$C$4,LANÇ_MOV[CENTRO DE CUSTOS],$D$4)</f>
        <v>0</v>
      </c>
      <c r="L190" s="206">
        <f>SUMIFS(LANÇ_MOV[VALOR LÍQUIDO],LANÇ_MOV[RECEITA OU DESPESA],"Despesa",LANÇ_MOV[CONTAS],$C190,LANÇ_MOV[PLANO DE CONTAS],REL_DRE_FINANCEIRO!$B$135,LANÇ_MOV[ANO PAGAMENTO],$B$4,LANÇ_MOV[MÊS PAGAMENTO CORRESPONDENTE],L$6,LANÇ_MOV[EMPRESA],$C$4,LANÇ_MOV[CENTRO DE CUSTOS],$D$4)</f>
        <v>0</v>
      </c>
      <c r="M190" s="206">
        <f>SUMIFS(LANÇ_MOV[VALOR LÍQUIDO],LANÇ_MOV[RECEITA OU DESPESA],"Despesa",LANÇ_MOV[CONTAS],$C190,LANÇ_MOV[PLANO DE CONTAS],REL_DRE_FINANCEIRO!$B$135,LANÇ_MOV[ANO PAGAMENTO],$B$4,LANÇ_MOV[MÊS PAGAMENTO CORRESPONDENTE],M$6,LANÇ_MOV[EMPRESA],$C$4,LANÇ_MOV[CENTRO DE CUSTOS],$D$4)</f>
        <v>0</v>
      </c>
      <c r="N190" s="206">
        <f>SUMIFS(LANÇ_MOV[VALOR LÍQUIDO],LANÇ_MOV[RECEITA OU DESPESA],"Despesa",LANÇ_MOV[CONTAS],$C190,LANÇ_MOV[PLANO DE CONTAS],REL_DRE_FINANCEIRO!$B$135,LANÇ_MOV[ANO PAGAMENTO],$B$4,LANÇ_MOV[MÊS PAGAMENTO CORRESPONDENTE],N$6,LANÇ_MOV[EMPRESA],$C$4,LANÇ_MOV[CENTRO DE CUSTOS],$D$4)</f>
        <v>0</v>
      </c>
      <c r="O190" s="206">
        <f>SUMIFS(LANÇ_MOV[VALOR LÍQUIDO],LANÇ_MOV[RECEITA OU DESPESA],"Despesa",LANÇ_MOV[CONTAS],$C190,LANÇ_MOV[PLANO DE CONTAS],REL_DRE_FINANCEIRO!$B$135,LANÇ_MOV[ANO PAGAMENTO],$B$4,LANÇ_MOV[MÊS PAGAMENTO CORRESPONDENTE],O$6,LANÇ_MOV[EMPRESA],$C$4,LANÇ_MOV[CENTRO DE CUSTOS],$D$4)</f>
        <v>0</v>
      </c>
      <c r="P190" s="207">
        <f t="shared" si="30"/>
        <v>0</v>
      </c>
      <c r="Q190" s="333">
        <v>3.6699999999999998E-5</v>
      </c>
      <c r="R190" s="346">
        <f t="shared" si="32"/>
        <v>3.6699999999999998E-5</v>
      </c>
      <c r="S190" s="347" t="str">
        <f t="shared" si="33"/>
        <v>-</v>
      </c>
      <c r="T190" s="347">
        <f t="shared" si="34"/>
        <v>0</v>
      </c>
      <c r="U190" s="347">
        <f>HLOOKUP(Apoio!$P$12,$D$134:$P$235,X190,FALSE)+Q190</f>
        <v>3.6699999999999998E-5</v>
      </c>
      <c r="V190" s="447" t="str">
        <f t="shared" si="31"/>
        <v>-</v>
      </c>
      <c r="W190" s="448">
        <f>HLOOKUP(Apoio!$P$12,$D$134:$P$235,X190,FALSE)</f>
        <v>0</v>
      </c>
      <c r="X190" s="329">
        <v>57</v>
      </c>
    </row>
    <row r="191" spans="2:24" ht="30.05" customHeight="1" x14ac:dyDescent="0.35">
      <c r="B191" s="204" t="str">
        <f>'CAD_PL_REC-DESP'!K60</f>
        <v>2.1.56</v>
      </c>
      <c r="C191" s="205" t="str">
        <f>IF('CAD_PL_REC-DESP'!L60="","-",'CAD_PL_REC-DESP'!L60)</f>
        <v>-</v>
      </c>
      <c r="D191" s="206">
        <f>SUMIFS(LANÇ_MOV[VALOR LÍQUIDO],LANÇ_MOV[RECEITA OU DESPESA],"Despesa",LANÇ_MOV[CONTAS],$C191,LANÇ_MOV[PLANO DE CONTAS],REL_DRE_FINANCEIRO!$B$135,LANÇ_MOV[ANO PAGAMENTO],$B$4,LANÇ_MOV[MÊS PAGAMENTO CORRESPONDENTE],D$6,LANÇ_MOV[EMPRESA],$C$4,LANÇ_MOV[CENTRO DE CUSTOS],$D$4)</f>
        <v>0</v>
      </c>
      <c r="E191" s="206">
        <f>SUMIFS(LANÇ_MOV[VALOR LÍQUIDO],LANÇ_MOV[RECEITA OU DESPESA],"Despesa",LANÇ_MOV[CONTAS],$C191,LANÇ_MOV[PLANO DE CONTAS],REL_DRE_FINANCEIRO!$B$135,LANÇ_MOV[ANO PAGAMENTO],$B$4,LANÇ_MOV[MÊS PAGAMENTO CORRESPONDENTE],E$6,LANÇ_MOV[EMPRESA],$C$4,LANÇ_MOV[CENTRO DE CUSTOS],$D$4)</f>
        <v>0</v>
      </c>
      <c r="F191" s="206">
        <f>SUMIFS(LANÇ_MOV[VALOR LÍQUIDO],LANÇ_MOV[RECEITA OU DESPESA],"Despesa",LANÇ_MOV[CONTAS],$C191,LANÇ_MOV[PLANO DE CONTAS],REL_DRE_FINANCEIRO!$B$135,LANÇ_MOV[ANO PAGAMENTO],$B$4,LANÇ_MOV[MÊS PAGAMENTO CORRESPONDENTE],F$6,LANÇ_MOV[EMPRESA],$C$4,LANÇ_MOV[CENTRO DE CUSTOS],$D$4)</f>
        <v>0</v>
      </c>
      <c r="G191" s="206">
        <f>SUMIFS(LANÇ_MOV[VALOR LÍQUIDO],LANÇ_MOV[RECEITA OU DESPESA],"Despesa",LANÇ_MOV[CONTAS],$C191,LANÇ_MOV[PLANO DE CONTAS],REL_DRE_FINANCEIRO!$B$135,LANÇ_MOV[ANO PAGAMENTO],$B$4,LANÇ_MOV[MÊS PAGAMENTO CORRESPONDENTE],G$6,LANÇ_MOV[EMPRESA],$C$4,LANÇ_MOV[CENTRO DE CUSTOS],$D$4)</f>
        <v>0</v>
      </c>
      <c r="H191" s="206">
        <f>SUMIFS(LANÇ_MOV[VALOR LÍQUIDO],LANÇ_MOV[RECEITA OU DESPESA],"Despesa",LANÇ_MOV[CONTAS],$C191,LANÇ_MOV[PLANO DE CONTAS],REL_DRE_FINANCEIRO!$B$135,LANÇ_MOV[ANO PAGAMENTO],$B$4,LANÇ_MOV[MÊS PAGAMENTO CORRESPONDENTE],H$6,LANÇ_MOV[EMPRESA],$C$4,LANÇ_MOV[CENTRO DE CUSTOS],$D$4)</f>
        <v>0</v>
      </c>
      <c r="I191" s="206">
        <f>SUMIFS(LANÇ_MOV[VALOR LÍQUIDO],LANÇ_MOV[RECEITA OU DESPESA],"Despesa",LANÇ_MOV[CONTAS],$C191,LANÇ_MOV[PLANO DE CONTAS],REL_DRE_FINANCEIRO!$B$135,LANÇ_MOV[ANO PAGAMENTO],$B$4,LANÇ_MOV[MÊS PAGAMENTO CORRESPONDENTE],I$6,LANÇ_MOV[EMPRESA],$C$4,LANÇ_MOV[CENTRO DE CUSTOS],$D$4)</f>
        <v>0</v>
      </c>
      <c r="J191" s="206">
        <f>SUMIFS(LANÇ_MOV[VALOR LÍQUIDO],LANÇ_MOV[RECEITA OU DESPESA],"Despesa",LANÇ_MOV[CONTAS],$C191,LANÇ_MOV[PLANO DE CONTAS],REL_DRE_FINANCEIRO!$B$135,LANÇ_MOV[ANO PAGAMENTO],$B$4,LANÇ_MOV[MÊS PAGAMENTO CORRESPONDENTE],J$6,LANÇ_MOV[EMPRESA],$C$4,LANÇ_MOV[CENTRO DE CUSTOS],$D$4)</f>
        <v>0</v>
      </c>
      <c r="K191" s="206">
        <f>SUMIFS(LANÇ_MOV[VALOR LÍQUIDO],LANÇ_MOV[RECEITA OU DESPESA],"Despesa",LANÇ_MOV[CONTAS],$C191,LANÇ_MOV[PLANO DE CONTAS],REL_DRE_FINANCEIRO!$B$135,LANÇ_MOV[ANO PAGAMENTO],$B$4,LANÇ_MOV[MÊS PAGAMENTO CORRESPONDENTE],K$6,LANÇ_MOV[EMPRESA],$C$4,LANÇ_MOV[CENTRO DE CUSTOS],$D$4)</f>
        <v>0</v>
      </c>
      <c r="L191" s="206">
        <f>SUMIFS(LANÇ_MOV[VALOR LÍQUIDO],LANÇ_MOV[RECEITA OU DESPESA],"Despesa",LANÇ_MOV[CONTAS],$C191,LANÇ_MOV[PLANO DE CONTAS],REL_DRE_FINANCEIRO!$B$135,LANÇ_MOV[ANO PAGAMENTO],$B$4,LANÇ_MOV[MÊS PAGAMENTO CORRESPONDENTE],L$6,LANÇ_MOV[EMPRESA],$C$4,LANÇ_MOV[CENTRO DE CUSTOS],$D$4)</f>
        <v>0</v>
      </c>
      <c r="M191" s="206">
        <f>SUMIFS(LANÇ_MOV[VALOR LÍQUIDO],LANÇ_MOV[RECEITA OU DESPESA],"Despesa",LANÇ_MOV[CONTAS],$C191,LANÇ_MOV[PLANO DE CONTAS],REL_DRE_FINANCEIRO!$B$135,LANÇ_MOV[ANO PAGAMENTO],$B$4,LANÇ_MOV[MÊS PAGAMENTO CORRESPONDENTE],M$6,LANÇ_MOV[EMPRESA],$C$4,LANÇ_MOV[CENTRO DE CUSTOS],$D$4)</f>
        <v>0</v>
      </c>
      <c r="N191" s="206">
        <f>SUMIFS(LANÇ_MOV[VALOR LÍQUIDO],LANÇ_MOV[RECEITA OU DESPESA],"Despesa",LANÇ_MOV[CONTAS],$C191,LANÇ_MOV[PLANO DE CONTAS],REL_DRE_FINANCEIRO!$B$135,LANÇ_MOV[ANO PAGAMENTO],$B$4,LANÇ_MOV[MÊS PAGAMENTO CORRESPONDENTE],N$6,LANÇ_MOV[EMPRESA],$C$4,LANÇ_MOV[CENTRO DE CUSTOS],$D$4)</f>
        <v>0</v>
      </c>
      <c r="O191" s="206">
        <f>SUMIFS(LANÇ_MOV[VALOR LÍQUIDO],LANÇ_MOV[RECEITA OU DESPESA],"Despesa",LANÇ_MOV[CONTAS],$C191,LANÇ_MOV[PLANO DE CONTAS],REL_DRE_FINANCEIRO!$B$135,LANÇ_MOV[ANO PAGAMENTO],$B$4,LANÇ_MOV[MÊS PAGAMENTO CORRESPONDENTE],O$6,LANÇ_MOV[EMPRESA],$C$4,LANÇ_MOV[CENTRO DE CUSTOS],$D$4)</f>
        <v>0</v>
      </c>
      <c r="P191" s="207">
        <f t="shared" si="30"/>
        <v>0</v>
      </c>
      <c r="Q191" s="333">
        <v>3.6600000000000002E-5</v>
      </c>
      <c r="R191" s="346">
        <f t="shared" si="32"/>
        <v>3.6600000000000002E-5</v>
      </c>
      <c r="S191" s="347" t="str">
        <f t="shared" si="33"/>
        <v>-</v>
      </c>
      <c r="T191" s="347">
        <f t="shared" si="34"/>
        <v>0</v>
      </c>
      <c r="U191" s="347">
        <f>HLOOKUP(Apoio!$P$12,$D$134:$P$235,X191,FALSE)+Q191</f>
        <v>3.6600000000000002E-5</v>
      </c>
      <c r="V191" s="447" t="str">
        <f t="shared" si="31"/>
        <v>-</v>
      </c>
      <c r="W191" s="448">
        <f>HLOOKUP(Apoio!$P$12,$D$134:$P$235,X191,FALSE)</f>
        <v>0</v>
      </c>
      <c r="X191" s="329">
        <v>58</v>
      </c>
    </row>
    <row r="192" spans="2:24" ht="30.05" customHeight="1" x14ac:dyDescent="0.35">
      <c r="B192" s="204" t="str">
        <f>'CAD_PL_REC-DESP'!K61</f>
        <v>2.1.57</v>
      </c>
      <c r="C192" s="205" t="str">
        <f>IF('CAD_PL_REC-DESP'!L61="","-",'CAD_PL_REC-DESP'!L61)</f>
        <v>-</v>
      </c>
      <c r="D192" s="206">
        <f>SUMIFS(LANÇ_MOV[VALOR LÍQUIDO],LANÇ_MOV[RECEITA OU DESPESA],"Despesa",LANÇ_MOV[CONTAS],$C192,LANÇ_MOV[PLANO DE CONTAS],REL_DRE_FINANCEIRO!$B$135,LANÇ_MOV[ANO PAGAMENTO],$B$4,LANÇ_MOV[MÊS PAGAMENTO CORRESPONDENTE],D$6,LANÇ_MOV[EMPRESA],$C$4,LANÇ_MOV[CENTRO DE CUSTOS],$D$4)</f>
        <v>0</v>
      </c>
      <c r="E192" s="206">
        <f>SUMIFS(LANÇ_MOV[VALOR LÍQUIDO],LANÇ_MOV[RECEITA OU DESPESA],"Despesa",LANÇ_MOV[CONTAS],$C192,LANÇ_MOV[PLANO DE CONTAS],REL_DRE_FINANCEIRO!$B$135,LANÇ_MOV[ANO PAGAMENTO],$B$4,LANÇ_MOV[MÊS PAGAMENTO CORRESPONDENTE],E$6,LANÇ_MOV[EMPRESA],$C$4,LANÇ_MOV[CENTRO DE CUSTOS],$D$4)</f>
        <v>0</v>
      </c>
      <c r="F192" s="206">
        <f>SUMIFS(LANÇ_MOV[VALOR LÍQUIDO],LANÇ_MOV[RECEITA OU DESPESA],"Despesa",LANÇ_MOV[CONTAS],$C192,LANÇ_MOV[PLANO DE CONTAS],REL_DRE_FINANCEIRO!$B$135,LANÇ_MOV[ANO PAGAMENTO],$B$4,LANÇ_MOV[MÊS PAGAMENTO CORRESPONDENTE],F$6,LANÇ_MOV[EMPRESA],$C$4,LANÇ_MOV[CENTRO DE CUSTOS],$D$4)</f>
        <v>0</v>
      </c>
      <c r="G192" s="206">
        <f>SUMIFS(LANÇ_MOV[VALOR LÍQUIDO],LANÇ_MOV[RECEITA OU DESPESA],"Despesa",LANÇ_MOV[CONTAS],$C192,LANÇ_MOV[PLANO DE CONTAS],REL_DRE_FINANCEIRO!$B$135,LANÇ_MOV[ANO PAGAMENTO],$B$4,LANÇ_MOV[MÊS PAGAMENTO CORRESPONDENTE],G$6,LANÇ_MOV[EMPRESA],$C$4,LANÇ_MOV[CENTRO DE CUSTOS],$D$4)</f>
        <v>0</v>
      </c>
      <c r="H192" s="206">
        <f>SUMIFS(LANÇ_MOV[VALOR LÍQUIDO],LANÇ_MOV[RECEITA OU DESPESA],"Despesa",LANÇ_MOV[CONTAS],$C192,LANÇ_MOV[PLANO DE CONTAS],REL_DRE_FINANCEIRO!$B$135,LANÇ_MOV[ANO PAGAMENTO],$B$4,LANÇ_MOV[MÊS PAGAMENTO CORRESPONDENTE],H$6,LANÇ_MOV[EMPRESA],$C$4,LANÇ_MOV[CENTRO DE CUSTOS],$D$4)</f>
        <v>0</v>
      </c>
      <c r="I192" s="206">
        <f>SUMIFS(LANÇ_MOV[VALOR LÍQUIDO],LANÇ_MOV[RECEITA OU DESPESA],"Despesa",LANÇ_MOV[CONTAS],$C192,LANÇ_MOV[PLANO DE CONTAS],REL_DRE_FINANCEIRO!$B$135,LANÇ_MOV[ANO PAGAMENTO],$B$4,LANÇ_MOV[MÊS PAGAMENTO CORRESPONDENTE],I$6,LANÇ_MOV[EMPRESA],$C$4,LANÇ_MOV[CENTRO DE CUSTOS],$D$4)</f>
        <v>0</v>
      </c>
      <c r="J192" s="206">
        <f>SUMIFS(LANÇ_MOV[VALOR LÍQUIDO],LANÇ_MOV[RECEITA OU DESPESA],"Despesa",LANÇ_MOV[CONTAS],$C192,LANÇ_MOV[PLANO DE CONTAS],REL_DRE_FINANCEIRO!$B$135,LANÇ_MOV[ANO PAGAMENTO],$B$4,LANÇ_MOV[MÊS PAGAMENTO CORRESPONDENTE],J$6,LANÇ_MOV[EMPRESA],$C$4,LANÇ_MOV[CENTRO DE CUSTOS],$D$4)</f>
        <v>0</v>
      </c>
      <c r="K192" s="206">
        <f>SUMIFS(LANÇ_MOV[VALOR LÍQUIDO],LANÇ_MOV[RECEITA OU DESPESA],"Despesa",LANÇ_MOV[CONTAS],$C192,LANÇ_MOV[PLANO DE CONTAS],REL_DRE_FINANCEIRO!$B$135,LANÇ_MOV[ANO PAGAMENTO],$B$4,LANÇ_MOV[MÊS PAGAMENTO CORRESPONDENTE],K$6,LANÇ_MOV[EMPRESA],$C$4,LANÇ_MOV[CENTRO DE CUSTOS],$D$4)</f>
        <v>0</v>
      </c>
      <c r="L192" s="206">
        <f>SUMIFS(LANÇ_MOV[VALOR LÍQUIDO],LANÇ_MOV[RECEITA OU DESPESA],"Despesa",LANÇ_MOV[CONTAS],$C192,LANÇ_MOV[PLANO DE CONTAS],REL_DRE_FINANCEIRO!$B$135,LANÇ_MOV[ANO PAGAMENTO],$B$4,LANÇ_MOV[MÊS PAGAMENTO CORRESPONDENTE],L$6,LANÇ_MOV[EMPRESA],$C$4,LANÇ_MOV[CENTRO DE CUSTOS],$D$4)</f>
        <v>0</v>
      </c>
      <c r="M192" s="206">
        <f>SUMIFS(LANÇ_MOV[VALOR LÍQUIDO],LANÇ_MOV[RECEITA OU DESPESA],"Despesa",LANÇ_MOV[CONTAS],$C192,LANÇ_MOV[PLANO DE CONTAS],REL_DRE_FINANCEIRO!$B$135,LANÇ_MOV[ANO PAGAMENTO],$B$4,LANÇ_MOV[MÊS PAGAMENTO CORRESPONDENTE],M$6,LANÇ_MOV[EMPRESA],$C$4,LANÇ_MOV[CENTRO DE CUSTOS],$D$4)</f>
        <v>0</v>
      </c>
      <c r="N192" s="206">
        <f>SUMIFS(LANÇ_MOV[VALOR LÍQUIDO],LANÇ_MOV[RECEITA OU DESPESA],"Despesa",LANÇ_MOV[CONTAS],$C192,LANÇ_MOV[PLANO DE CONTAS],REL_DRE_FINANCEIRO!$B$135,LANÇ_MOV[ANO PAGAMENTO],$B$4,LANÇ_MOV[MÊS PAGAMENTO CORRESPONDENTE],N$6,LANÇ_MOV[EMPRESA],$C$4,LANÇ_MOV[CENTRO DE CUSTOS],$D$4)</f>
        <v>0</v>
      </c>
      <c r="O192" s="206">
        <f>SUMIFS(LANÇ_MOV[VALOR LÍQUIDO],LANÇ_MOV[RECEITA OU DESPESA],"Despesa",LANÇ_MOV[CONTAS],$C192,LANÇ_MOV[PLANO DE CONTAS],REL_DRE_FINANCEIRO!$B$135,LANÇ_MOV[ANO PAGAMENTO],$B$4,LANÇ_MOV[MÊS PAGAMENTO CORRESPONDENTE],O$6,LANÇ_MOV[EMPRESA],$C$4,LANÇ_MOV[CENTRO DE CUSTOS],$D$4)</f>
        <v>0</v>
      </c>
      <c r="P192" s="207">
        <f t="shared" si="30"/>
        <v>0</v>
      </c>
      <c r="Q192" s="333">
        <v>3.65E-5</v>
      </c>
      <c r="R192" s="346">
        <f t="shared" si="32"/>
        <v>3.65E-5</v>
      </c>
      <c r="S192" s="347" t="str">
        <f t="shared" si="33"/>
        <v>-</v>
      </c>
      <c r="T192" s="347">
        <f t="shared" si="34"/>
        <v>0</v>
      </c>
      <c r="U192" s="347">
        <f>HLOOKUP(Apoio!$P$12,$D$134:$P$235,X192,FALSE)+Q192</f>
        <v>3.65E-5</v>
      </c>
      <c r="V192" s="447" t="str">
        <f t="shared" si="31"/>
        <v>-</v>
      </c>
      <c r="W192" s="448">
        <f>HLOOKUP(Apoio!$P$12,$D$134:$P$235,X192,FALSE)</f>
        <v>0</v>
      </c>
      <c r="X192" s="329">
        <v>59</v>
      </c>
    </row>
    <row r="193" spans="2:24" ht="30.05" customHeight="1" x14ac:dyDescent="0.35">
      <c r="B193" s="204" t="str">
        <f>'CAD_PL_REC-DESP'!K62</f>
        <v>2.1.58</v>
      </c>
      <c r="C193" s="205" t="str">
        <f>IF('CAD_PL_REC-DESP'!L62="","-",'CAD_PL_REC-DESP'!L62)</f>
        <v>-</v>
      </c>
      <c r="D193" s="206">
        <f>SUMIFS(LANÇ_MOV[VALOR LÍQUIDO],LANÇ_MOV[RECEITA OU DESPESA],"Despesa",LANÇ_MOV[CONTAS],$C193,LANÇ_MOV[PLANO DE CONTAS],REL_DRE_FINANCEIRO!$B$135,LANÇ_MOV[ANO PAGAMENTO],$B$4,LANÇ_MOV[MÊS PAGAMENTO CORRESPONDENTE],D$6,LANÇ_MOV[EMPRESA],$C$4,LANÇ_MOV[CENTRO DE CUSTOS],$D$4)</f>
        <v>0</v>
      </c>
      <c r="E193" s="206">
        <f>SUMIFS(LANÇ_MOV[VALOR LÍQUIDO],LANÇ_MOV[RECEITA OU DESPESA],"Despesa",LANÇ_MOV[CONTAS],$C193,LANÇ_MOV[PLANO DE CONTAS],REL_DRE_FINANCEIRO!$B$135,LANÇ_MOV[ANO PAGAMENTO],$B$4,LANÇ_MOV[MÊS PAGAMENTO CORRESPONDENTE],E$6,LANÇ_MOV[EMPRESA],$C$4,LANÇ_MOV[CENTRO DE CUSTOS],$D$4)</f>
        <v>0</v>
      </c>
      <c r="F193" s="206">
        <f>SUMIFS(LANÇ_MOV[VALOR LÍQUIDO],LANÇ_MOV[RECEITA OU DESPESA],"Despesa",LANÇ_MOV[CONTAS],$C193,LANÇ_MOV[PLANO DE CONTAS],REL_DRE_FINANCEIRO!$B$135,LANÇ_MOV[ANO PAGAMENTO],$B$4,LANÇ_MOV[MÊS PAGAMENTO CORRESPONDENTE],F$6,LANÇ_MOV[EMPRESA],$C$4,LANÇ_MOV[CENTRO DE CUSTOS],$D$4)</f>
        <v>0</v>
      </c>
      <c r="G193" s="206">
        <f>SUMIFS(LANÇ_MOV[VALOR LÍQUIDO],LANÇ_MOV[RECEITA OU DESPESA],"Despesa",LANÇ_MOV[CONTAS],$C193,LANÇ_MOV[PLANO DE CONTAS],REL_DRE_FINANCEIRO!$B$135,LANÇ_MOV[ANO PAGAMENTO],$B$4,LANÇ_MOV[MÊS PAGAMENTO CORRESPONDENTE],G$6,LANÇ_MOV[EMPRESA],$C$4,LANÇ_MOV[CENTRO DE CUSTOS],$D$4)</f>
        <v>0</v>
      </c>
      <c r="H193" s="206">
        <f>SUMIFS(LANÇ_MOV[VALOR LÍQUIDO],LANÇ_MOV[RECEITA OU DESPESA],"Despesa",LANÇ_MOV[CONTAS],$C193,LANÇ_MOV[PLANO DE CONTAS],REL_DRE_FINANCEIRO!$B$135,LANÇ_MOV[ANO PAGAMENTO],$B$4,LANÇ_MOV[MÊS PAGAMENTO CORRESPONDENTE],H$6,LANÇ_MOV[EMPRESA],$C$4,LANÇ_MOV[CENTRO DE CUSTOS],$D$4)</f>
        <v>0</v>
      </c>
      <c r="I193" s="206">
        <f>SUMIFS(LANÇ_MOV[VALOR LÍQUIDO],LANÇ_MOV[RECEITA OU DESPESA],"Despesa",LANÇ_MOV[CONTAS],$C193,LANÇ_MOV[PLANO DE CONTAS],REL_DRE_FINANCEIRO!$B$135,LANÇ_MOV[ANO PAGAMENTO],$B$4,LANÇ_MOV[MÊS PAGAMENTO CORRESPONDENTE],I$6,LANÇ_MOV[EMPRESA],$C$4,LANÇ_MOV[CENTRO DE CUSTOS],$D$4)</f>
        <v>0</v>
      </c>
      <c r="J193" s="206">
        <f>SUMIFS(LANÇ_MOV[VALOR LÍQUIDO],LANÇ_MOV[RECEITA OU DESPESA],"Despesa",LANÇ_MOV[CONTAS],$C193,LANÇ_MOV[PLANO DE CONTAS],REL_DRE_FINANCEIRO!$B$135,LANÇ_MOV[ANO PAGAMENTO],$B$4,LANÇ_MOV[MÊS PAGAMENTO CORRESPONDENTE],J$6,LANÇ_MOV[EMPRESA],$C$4,LANÇ_MOV[CENTRO DE CUSTOS],$D$4)</f>
        <v>0</v>
      </c>
      <c r="K193" s="206">
        <f>SUMIFS(LANÇ_MOV[VALOR LÍQUIDO],LANÇ_MOV[RECEITA OU DESPESA],"Despesa",LANÇ_MOV[CONTAS],$C193,LANÇ_MOV[PLANO DE CONTAS],REL_DRE_FINANCEIRO!$B$135,LANÇ_MOV[ANO PAGAMENTO],$B$4,LANÇ_MOV[MÊS PAGAMENTO CORRESPONDENTE],K$6,LANÇ_MOV[EMPRESA],$C$4,LANÇ_MOV[CENTRO DE CUSTOS],$D$4)</f>
        <v>0</v>
      </c>
      <c r="L193" s="206">
        <f>SUMIFS(LANÇ_MOV[VALOR LÍQUIDO],LANÇ_MOV[RECEITA OU DESPESA],"Despesa",LANÇ_MOV[CONTAS],$C193,LANÇ_MOV[PLANO DE CONTAS],REL_DRE_FINANCEIRO!$B$135,LANÇ_MOV[ANO PAGAMENTO],$B$4,LANÇ_MOV[MÊS PAGAMENTO CORRESPONDENTE],L$6,LANÇ_MOV[EMPRESA],$C$4,LANÇ_MOV[CENTRO DE CUSTOS],$D$4)</f>
        <v>0</v>
      </c>
      <c r="M193" s="206">
        <f>SUMIFS(LANÇ_MOV[VALOR LÍQUIDO],LANÇ_MOV[RECEITA OU DESPESA],"Despesa",LANÇ_MOV[CONTAS],$C193,LANÇ_MOV[PLANO DE CONTAS],REL_DRE_FINANCEIRO!$B$135,LANÇ_MOV[ANO PAGAMENTO],$B$4,LANÇ_MOV[MÊS PAGAMENTO CORRESPONDENTE],M$6,LANÇ_MOV[EMPRESA],$C$4,LANÇ_MOV[CENTRO DE CUSTOS],$D$4)</f>
        <v>0</v>
      </c>
      <c r="N193" s="206">
        <f>SUMIFS(LANÇ_MOV[VALOR LÍQUIDO],LANÇ_MOV[RECEITA OU DESPESA],"Despesa",LANÇ_MOV[CONTAS],$C193,LANÇ_MOV[PLANO DE CONTAS],REL_DRE_FINANCEIRO!$B$135,LANÇ_MOV[ANO PAGAMENTO],$B$4,LANÇ_MOV[MÊS PAGAMENTO CORRESPONDENTE],N$6,LANÇ_MOV[EMPRESA],$C$4,LANÇ_MOV[CENTRO DE CUSTOS],$D$4)</f>
        <v>0</v>
      </c>
      <c r="O193" s="206">
        <f>SUMIFS(LANÇ_MOV[VALOR LÍQUIDO],LANÇ_MOV[RECEITA OU DESPESA],"Despesa",LANÇ_MOV[CONTAS],$C193,LANÇ_MOV[PLANO DE CONTAS],REL_DRE_FINANCEIRO!$B$135,LANÇ_MOV[ANO PAGAMENTO],$B$4,LANÇ_MOV[MÊS PAGAMENTO CORRESPONDENTE],O$6,LANÇ_MOV[EMPRESA],$C$4,LANÇ_MOV[CENTRO DE CUSTOS],$D$4)</f>
        <v>0</v>
      </c>
      <c r="P193" s="207">
        <f t="shared" si="30"/>
        <v>0</v>
      </c>
      <c r="Q193" s="333">
        <v>3.6399999999999997E-5</v>
      </c>
      <c r="R193" s="346">
        <f t="shared" si="32"/>
        <v>3.6399999999999997E-5</v>
      </c>
      <c r="S193" s="347" t="str">
        <f t="shared" si="33"/>
        <v>-</v>
      </c>
      <c r="T193" s="347">
        <f t="shared" si="34"/>
        <v>0</v>
      </c>
      <c r="U193" s="347">
        <f>HLOOKUP(Apoio!$P$12,$D$134:$P$235,X193,FALSE)+Q193</f>
        <v>3.6399999999999997E-5</v>
      </c>
      <c r="V193" s="447" t="str">
        <f t="shared" si="31"/>
        <v>-</v>
      </c>
      <c r="W193" s="448">
        <f>HLOOKUP(Apoio!$P$12,$D$134:$P$235,X193,FALSE)</f>
        <v>0</v>
      </c>
      <c r="X193" s="329">
        <v>60</v>
      </c>
    </row>
    <row r="194" spans="2:24" ht="30.05" customHeight="1" x14ac:dyDescent="0.35">
      <c r="B194" s="204" t="str">
        <f>'CAD_PL_REC-DESP'!K63</f>
        <v>2.1.59</v>
      </c>
      <c r="C194" s="205" t="str">
        <f>IF('CAD_PL_REC-DESP'!L63="","-",'CAD_PL_REC-DESP'!L63)</f>
        <v>-</v>
      </c>
      <c r="D194" s="206">
        <f>SUMIFS(LANÇ_MOV[VALOR LÍQUIDO],LANÇ_MOV[RECEITA OU DESPESA],"Despesa",LANÇ_MOV[CONTAS],$C194,LANÇ_MOV[PLANO DE CONTAS],REL_DRE_FINANCEIRO!$B$135,LANÇ_MOV[ANO PAGAMENTO],$B$4,LANÇ_MOV[MÊS PAGAMENTO CORRESPONDENTE],D$6,LANÇ_MOV[EMPRESA],$C$4,LANÇ_MOV[CENTRO DE CUSTOS],$D$4)</f>
        <v>0</v>
      </c>
      <c r="E194" s="206">
        <f>SUMIFS(LANÇ_MOV[VALOR LÍQUIDO],LANÇ_MOV[RECEITA OU DESPESA],"Despesa",LANÇ_MOV[CONTAS],$C194,LANÇ_MOV[PLANO DE CONTAS],REL_DRE_FINANCEIRO!$B$135,LANÇ_MOV[ANO PAGAMENTO],$B$4,LANÇ_MOV[MÊS PAGAMENTO CORRESPONDENTE],E$6,LANÇ_MOV[EMPRESA],$C$4,LANÇ_MOV[CENTRO DE CUSTOS],$D$4)</f>
        <v>0</v>
      </c>
      <c r="F194" s="206">
        <f>SUMIFS(LANÇ_MOV[VALOR LÍQUIDO],LANÇ_MOV[RECEITA OU DESPESA],"Despesa",LANÇ_MOV[CONTAS],$C194,LANÇ_MOV[PLANO DE CONTAS],REL_DRE_FINANCEIRO!$B$135,LANÇ_MOV[ANO PAGAMENTO],$B$4,LANÇ_MOV[MÊS PAGAMENTO CORRESPONDENTE],F$6,LANÇ_MOV[EMPRESA],$C$4,LANÇ_MOV[CENTRO DE CUSTOS],$D$4)</f>
        <v>0</v>
      </c>
      <c r="G194" s="206">
        <f>SUMIFS(LANÇ_MOV[VALOR LÍQUIDO],LANÇ_MOV[RECEITA OU DESPESA],"Despesa",LANÇ_MOV[CONTAS],$C194,LANÇ_MOV[PLANO DE CONTAS],REL_DRE_FINANCEIRO!$B$135,LANÇ_MOV[ANO PAGAMENTO],$B$4,LANÇ_MOV[MÊS PAGAMENTO CORRESPONDENTE],G$6,LANÇ_MOV[EMPRESA],$C$4,LANÇ_MOV[CENTRO DE CUSTOS],$D$4)</f>
        <v>0</v>
      </c>
      <c r="H194" s="206">
        <f>SUMIFS(LANÇ_MOV[VALOR LÍQUIDO],LANÇ_MOV[RECEITA OU DESPESA],"Despesa",LANÇ_MOV[CONTAS],$C194,LANÇ_MOV[PLANO DE CONTAS],REL_DRE_FINANCEIRO!$B$135,LANÇ_MOV[ANO PAGAMENTO],$B$4,LANÇ_MOV[MÊS PAGAMENTO CORRESPONDENTE],H$6,LANÇ_MOV[EMPRESA],$C$4,LANÇ_MOV[CENTRO DE CUSTOS],$D$4)</f>
        <v>0</v>
      </c>
      <c r="I194" s="206">
        <f>SUMIFS(LANÇ_MOV[VALOR LÍQUIDO],LANÇ_MOV[RECEITA OU DESPESA],"Despesa",LANÇ_MOV[CONTAS],$C194,LANÇ_MOV[PLANO DE CONTAS],REL_DRE_FINANCEIRO!$B$135,LANÇ_MOV[ANO PAGAMENTO],$B$4,LANÇ_MOV[MÊS PAGAMENTO CORRESPONDENTE],I$6,LANÇ_MOV[EMPRESA],$C$4,LANÇ_MOV[CENTRO DE CUSTOS],$D$4)</f>
        <v>0</v>
      </c>
      <c r="J194" s="206">
        <f>SUMIFS(LANÇ_MOV[VALOR LÍQUIDO],LANÇ_MOV[RECEITA OU DESPESA],"Despesa",LANÇ_MOV[CONTAS],$C194,LANÇ_MOV[PLANO DE CONTAS],REL_DRE_FINANCEIRO!$B$135,LANÇ_MOV[ANO PAGAMENTO],$B$4,LANÇ_MOV[MÊS PAGAMENTO CORRESPONDENTE],J$6,LANÇ_MOV[EMPRESA],$C$4,LANÇ_MOV[CENTRO DE CUSTOS],$D$4)</f>
        <v>0</v>
      </c>
      <c r="K194" s="206">
        <f>SUMIFS(LANÇ_MOV[VALOR LÍQUIDO],LANÇ_MOV[RECEITA OU DESPESA],"Despesa",LANÇ_MOV[CONTAS],$C194,LANÇ_MOV[PLANO DE CONTAS],REL_DRE_FINANCEIRO!$B$135,LANÇ_MOV[ANO PAGAMENTO],$B$4,LANÇ_MOV[MÊS PAGAMENTO CORRESPONDENTE],K$6,LANÇ_MOV[EMPRESA],$C$4,LANÇ_MOV[CENTRO DE CUSTOS],$D$4)</f>
        <v>0</v>
      </c>
      <c r="L194" s="206">
        <f>SUMIFS(LANÇ_MOV[VALOR LÍQUIDO],LANÇ_MOV[RECEITA OU DESPESA],"Despesa",LANÇ_MOV[CONTAS],$C194,LANÇ_MOV[PLANO DE CONTAS],REL_DRE_FINANCEIRO!$B$135,LANÇ_MOV[ANO PAGAMENTO],$B$4,LANÇ_MOV[MÊS PAGAMENTO CORRESPONDENTE],L$6,LANÇ_MOV[EMPRESA],$C$4,LANÇ_MOV[CENTRO DE CUSTOS],$D$4)</f>
        <v>0</v>
      </c>
      <c r="M194" s="206">
        <f>SUMIFS(LANÇ_MOV[VALOR LÍQUIDO],LANÇ_MOV[RECEITA OU DESPESA],"Despesa",LANÇ_MOV[CONTAS],$C194,LANÇ_MOV[PLANO DE CONTAS],REL_DRE_FINANCEIRO!$B$135,LANÇ_MOV[ANO PAGAMENTO],$B$4,LANÇ_MOV[MÊS PAGAMENTO CORRESPONDENTE],M$6,LANÇ_MOV[EMPRESA],$C$4,LANÇ_MOV[CENTRO DE CUSTOS],$D$4)</f>
        <v>0</v>
      </c>
      <c r="N194" s="206">
        <f>SUMIFS(LANÇ_MOV[VALOR LÍQUIDO],LANÇ_MOV[RECEITA OU DESPESA],"Despesa",LANÇ_MOV[CONTAS],$C194,LANÇ_MOV[PLANO DE CONTAS],REL_DRE_FINANCEIRO!$B$135,LANÇ_MOV[ANO PAGAMENTO],$B$4,LANÇ_MOV[MÊS PAGAMENTO CORRESPONDENTE],N$6,LANÇ_MOV[EMPRESA],$C$4,LANÇ_MOV[CENTRO DE CUSTOS],$D$4)</f>
        <v>0</v>
      </c>
      <c r="O194" s="206">
        <f>SUMIFS(LANÇ_MOV[VALOR LÍQUIDO],LANÇ_MOV[RECEITA OU DESPESA],"Despesa",LANÇ_MOV[CONTAS],$C194,LANÇ_MOV[PLANO DE CONTAS],REL_DRE_FINANCEIRO!$B$135,LANÇ_MOV[ANO PAGAMENTO],$B$4,LANÇ_MOV[MÊS PAGAMENTO CORRESPONDENTE],O$6,LANÇ_MOV[EMPRESA],$C$4,LANÇ_MOV[CENTRO DE CUSTOS],$D$4)</f>
        <v>0</v>
      </c>
      <c r="P194" s="207">
        <f t="shared" si="30"/>
        <v>0</v>
      </c>
      <c r="Q194" s="333">
        <v>3.6300000000000001E-5</v>
      </c>
      <c r="R194" s="346">
        <f t="shared" si="32"/>
        <v>3.6300000000000001E-5</v>
      </c>
      <c r="S194" s="347" t="str">
        <f t="shared" si="33"/>
        <v>-</v>
      </c>
      <c r="T194" s="347">
        <f t="shared" si="34"/>
        <v>0</v>
      </c>
      <c r="U194" s="347">
        <f>HLOOKUP(Apoio!$P$12,$D$134:$P$235,X194,FALSE)+Q194</f>
        <v>3.6300000000000001E-5</v>
      </c>
      <c r="V194" s="447" t="str">
        <f t="shared" si="31"/>
        <v>-</v>
      </c>
      <c r="W194" s="448">
        <f>HLOOKUP(Apoio!$P$12,$D$134:$P$235,X194,FALSE)</f>
        <v>0</v>
      </c>
      <c r="X194" s="329">
        <v>61</v>
      </c>
    </row>
    <row r="195" spans="2:24" ht="30.05" customHeight="1" x14ac:dyDescent="0.35">
      <c r="B195" s="204" t="str">
        <f>'CAD_PL_REC-DESP'!K64</f>
        <v>2.1.60</v>
      </c>
      <c r="C195" s="205" t="str">
        <f>IF('CAD_PL_REC-DESP'!L64="","-",'CAD_PL_REC-DESP'!L64)</f>
        <v>-</v>
      </c>
      <c r="D195" s="206">
        <f>SUMIFS(LANÇ_MOV[VALOR LÍQUIDO],LANÇ_MOV[RECEITA OU DESPESA],"Despesa",LANÇ_MOV[CONTAS],$C195,LANÇ_MOV[PLANO DE CONTAS],REL_DRE_FINANCEIRO!$B$135,LANÇ_MOV[ANO PAGAMENTO],$B$4,LANÇ_MOV[MÊS PAGAMENTO CORRESPONDENTE],D$6,LANÇ_MOV[EMPRESA],$C$4,LANÇ_MOV[CENTRO DE CUSTOS],$D$4)</f>
        <v>0</v>
      </c>
      <c r="E195" s="206">
        <f>SUMIFS(LANÇ_MOV[VALOR LÍQUIDO],LANÇ_MOV[RECEITA OU DESPESA],"Despesa",LANÇ_MOV[CONTAS],$C195,LANÇ_MOV[PLANO DE CONTAS],REL_DRE_FINANCEIRO!$B$135,LANÇ_MOV[ANO PAGAMENTO],$B$4,LANÇ_MOV[MÊS PAGAMENTO CORRESPONDENTE],E$6,LANÇ_MOV[EMPRESA],$C$4,LANÇ_MOV[CENTRO DE CUSTOS],$D$4)</f>
        <v>0</v>
      </c>
      <c r="F195" s="206">
        <f>SUMIFS(LANÇ_MOV[VALOR LÍQUIDO],LANÇ_MOV[RECEITA OU DESPESA],"Despesa",LANÇ_MOV[CONTAS],$C195,LANÇ_MOV[PLANO DE CONTAS],REL_DRE_FINANCEIRO!$B$135,LANÇ_MOV[ANO PAGAMENTO],$B$4,LANÇ_MOV[MÊS PAGAMENTO CORRESPONDENTE],F$6,LANÇ_MOV[EMPRESA],$C$4,LANÇ_MOV[CENTRO DE CUSTOS],$D$4)</f>
        <v>0</v>
      </c>
      <c r="G195" s="206">
        <f>SUMIFS(LANÇ_MOV[VALOR LÍQUIDO],LANÇ_MOV[RECEITA OU DESPESA],"Despesa",LANÇ_MOV[CONTAS],$C195,LANÇ_MOV[PLANO DE CONTAS],REL_DRE_FINANCEIRO!$B$135,LANÇ_MOV[ANO PAGAMENTO],$B$4,LANÇ_MOV[MÊS PAGAMENTO CORRESPONDENTE],G$6,LANÇ_MOV[EMPRESA],$C$4,LANÇ_MOV[CENTRO DE CUSTOS],$D$4)</f>
        <v>0</v>
      </c>
      <c r="H195" s="206">
        <f>SUMIFS(LANÇ_MOV[VALOR LÍQUIDO],LANÇ_MOV[RECEITA OU DESPESA],"Despesa",LANÇ_MOV[CONTAS],$C195,LANÇ_MOV[PLANO DE CONTAS],REL_DRE_FINANCEIRO!$B$135,LANÇ_MOV[ANO PAGAMENTO],$B$4,LANÇ_MOV[MÊS PAGAMENTO CORRESPONDENTE],H$6,LANÇ_MOV[EMPRESA],$C$4,LANÇ_MOV[CENTRO DE CUSTOS],$D$4)</f>
        <v>0</v>
      </c>
      <c r="I195" s="206">
        <f>SUMIFS(LANÇ_MOV[VALOR LÍQUIDO],LANÇ_MOV[RECEITA OU DESPESA],"Despesa",LANÇ_MOV[CONTAS],$C195,LANÇ_MOV[PLANO DE CONTAS],REL_DRE_FINANCEIRO!$B$135,LANÇ_MOV[ANO PAGAMENTO],$B$4,LANÇ_MOV[MÊS PAGAMENTO CORRESPONDENTE],I$6,LANÇ_MOV[EMPRESA],$C$4,LANÇ_MOV[CENTRO DE CUSTOS],$D$4)</f>
        <v>0</v>
      </c>
      <c r="J195" s="206">
        <f>SUMIFS(LANÇ_MOV[VALOR LÍQUIDO],LANÇ_MOV[RECEITA OU DESPESA],"Despesa",LANÇ_MOV[CONTAS],$C195,LANÇ_MOV[PLANO DE CONTAS],REL_DRE_FINANCEIRO!$B$135,LANÇ_MOV[ANO PAGAMENTO],$B$4,LANÇ_MOV[MÊS PAGAMENTO CORRESPONDENTE],J$6,LANÇ_MOV[EMPRESA],$C$4,LANÇ_MOV[CENTRO DE CUSTOS],$D$4)</f>
        <v>0</v>
      </c>
      <c r="K195" s="206">
        <f>SUMIFS(LANÇ_MOV[VALOR LÍQUIDO],LANÇ_MOV[RECEITA OU DESPESA],"Despesa",LANÇ_MOV[CONTAS],$C195,LANÇ_MOV[PLANO DE CONTAS],REL_DRE_FINANCEIRO!$B$135,LANÇ_MOV[ANO PAGAMENTO],$B$4,LANÇ_MOV[MÊS PAGAMENTO CORRESPONDENTE],K$6,LANÇ_MOV[EMPRESA],$C$4,LANÇ_MOV[CENTRO DE CUSTOS],$D$4)</f>
        <v>0</v>
      </c>
      <c r="L195" s="206">
        <f>SUMIFS(LANÇ_MOV[VALOR LÍQUIDO],LANÇ_MOV[RECEITA OU DESPESA],"Despesa",LANÇ_MOV[CONTAS],$C195,LANÇ_MOV[PLANO DE CONTAS],REL_DRE_FINANCEIRO!$B$135,LANÇ_MOV[ANO PAGAMENTO],$B$4,LANÇ_MOV[MÊS PAGAMENTO CORRESPONDENTE],L$6,LANÇ_MOV[EMPRESA],$C$4,LANÇ_MOV[CENTRO DE CUSTOS],$D$4)</f>
        <v>0</v>
      </c>
      <c r="M195" s="206">
        <f>SUMIFS(LANÇ_MOV[VALOR LÍQUIDO],LANÇ_MOV[RECEITA OU DESPESA],"Despesa",LANÇ_MOV[CONTAS],$C195,LANÇ_MOV[PLANO DE CONTAS],REL_DRE_FINANCEIRO!$B$135,LANÇ_MOV[ANO PAGAMENTO],$B$4,LANÇ_MOV[MÊS PAGAMENTO CORRESPONDENTE],M$6,LANÇ_MOV[EMPRESA],$C$4,LANÇ_MOV[CENTRO DE CUSTOS],$D$4)</f>
        <v>0</v>
      </c>
      <c r="N195" s="206">
        <f>SUMIFS(LANÇ_MOV[VALOR LÍQUIDO],LANÇ_MOV[RECEITA OU DESPESA],"Despesa",LANÇ_MOV[CONTAS],$C195,LANÇ_MOV[PLANO DE CONTAS],REL_DRE_FINANCEIRO!$B$135,LANÇ_MOV[ANO PAGAMENTO],$B$4,LANÇ_MOV[MÊS PAGAMENTO CORRESPONDENTE],N$6,LANÇ_MOV[EMPRESA],$C$4,LANÇ_MOV[CENTRO DE CUSTOS],$D$4)</f>
        <v>0</v>
      </c>
      <c r="O195" s="206">
        <f>SUMIFS(LANÇ_MOV[VALOR LÍQUIDO],LANÇ_MOV[RECEITA OU DESPESA],"Despesa",LANÇ_MOV[CONTAS],$C195,LANÇ_MOV[PLANO DE CONTAS],REL_DRE_FINANCEIRO!$B$135,LANÇ_MOV[ANO PAGAMENTO],$B$4,LANÇ_MOV[MÊS PAGAMENTO CORRESPONDENTE],O$6,LANÇ_MOV[EMPRESA],$C$4,LANÇ_MOV[CENTRO DE CUSTOS],$D$4)</f>
        <v>0</v>
      </c>
      <c r="P195" s="207">
        <f t="shared" si="30"/>
        <v>0</v>
      </c>
      <c r="Q195" s="333">
        <v>3.6199999999999999E-5</v>
      </c>
      <c r="R195" s="346">
        <f t="shared" si="32"/>
        <v>3.6199999999999999E-5</v>
      </c>
      <c r="S195" s="347" t="str">
        <f t="shared" si="33"/>
        <v>-</v>
      </c>
      <c r="T195" s="347">
        <f t="shared" si="34"/>
        <v>0</v>
      </c>
      <c r="U195" s="347">
        <f>HLOOKUP(Apoio!$P$12,$D$134:$P$235,X195,FALSE)+Q195</f>
        <v>3.6199999999999999E-5</v>
      </c>
      <c r="V195" s="447" t="str">
        <f t="shared" si="31"/>
        <v>-</v>
      </c>
      <c r="W195" s="448">
        <f>HLOOKUP(Apoio!$P$12,$D$134:$P$235,X195,FALSE)</f>
        <v>0</v>
      </c>
      <c r="X195" s="329">
        <v>62</v>
      </c>
    </row>
    <row r="196" spans="2:24" ht="30.05" customHeight="1" x14ac:dyDescent="0.35">
      <c r="B196" s="204" t="str">
        <f>'CAD_PL_REC-DESP'!K65</f>
        <v>2.1.61</v>
      </c>
      <c r="C196" s="205" t="str">
        <f>IF('CAD_PL_REC-DESP'!L65="","-",'CAD_PL_REC-DESP'!L65)</f>
        <v>-</v>
      </c>
      <c r="D196" s="206">
        <f>SUMIFS(LANÇ_MOV[VALOR LÍQUIDO],LANÇ_MOV[RECEITA OU DESPESA],"Despesa",LANÇ_MOV[CONTAS],$C196,LANÇ_MOV[PLANO DE CONTAS],REL_DRE_FINANCEIRO!$B$135,LANÇ_MOV[ANO PAGAMENTO],$B$4,LANÇ_MOV[MÊS PAGAMENTO CORRESPONDENTE],D$6,LANÇ_MOV[EMPRESA],$C$4,LANÇ_MOV[CENTRO DE CUSTOS],$D$4)</f>
        <v>0</v>
      </c>
      <c r="E196" s="206">
        <f>SUMIFS(LANÇ_MOV[VALOR LÍQUIDO],LANÇ_MOV[RECEITA OU DESPESA],"Despesa",LANÇ_MOV[CONTAS],$C196,LANÇ_MOV[PLANO DE CONTAS],REL_DRE_FINANCEIRO!$B$135,LANÇ_MOV[ANO PAGAMENTO],$B$4,LANÇ_MOV[MÊS PAGAMENTO CORRESPONDENTE],E$6,LANÇ_MOV[EMPRESA],$C$4,LANÇ_MOV[CENTRO DE CUSTOS],$D$4)</f>
        <v>0</v>
      </c>
      <c r="F196" s="206">
        <f>SUMIFS(LANÇ_MOV[VALOR LÍQUIDO],LANÇ_MOV[RECEITA OU DESPESA],"Despesa",LANÇ_MOV[CONTAS],$C196,LANÇ_MOV[PLANO DE CONTAS],REL_DRE_FINANCEIRO!$B$135,LANÇ_MOV[ANO PAGAMENTO],$B$4,LANÇ_MOV[MÊS PAGAMENTO CORRESPONDENTE],F$6,LANÇ_MOV[EMPRESA],$C$4,LANÇ_MOV[CENTRO DE CUSTOS],$D$4)</f>
        <v>0</v>
      </c>
      <c r="G196" s="206">
        <f>SUMIFS(LANÇ_MOV[VALOR LÍQUIDO],LANÇ_MOV[RECEITA OU DESPESA],"Despesa",LANÇ_MOV[CONTAS],$C196,LANÇ_MOV[PLANO DE CONTAS],REL_DRE_FINANCEIRO!$B$135,LANÇ_MOV[ANO PAGAMENTO],$B$4,LANÇ_MOV[MÊS PAGAMENTO CORRESPONDENTE],G$6,LANÇ_MOV[EMPRESA],$C$4,LANÇ_MOV[CENTRO DE CUSTOS],$D$4)</f>
        <v>0</v>
      </c>
      <c r="H196" s="206">
        <f>SUMIFS(LANÇ_MOV[VALOR LÍQUIDO],LANÇ_MOV[RECEITA OU DESPESA],"Despesa",LANÇ_MOV[CONTAS],$C196,LANÇ_MOV[PLANO DE CONTAS],REL_DRE_FINANCEIRO!$B$135,LANÇ_MOV[ANO PAGAMENTO],$B$4,LANÇ_MOV[MÊS PAGAMENTO CORRESPONDENTE],H$6,LANÇ_MOV[EMPRESA],$C$4,LANÇ_MOV[CENTRO DE CUSTOS],$D$4)</f>
        <v>0</v>
      </c>
      <c r="I196" s="206">
        <f>SUMIFS(LANÇ_MOV[VALOR LÍQUIDO],LANÇ_MOV[RECEITA OU DESPESA],"Despesa",LANÇ_MOV[CONTAS],$C196,LANÇ_MOV[PLANO DE CONTAS],REL_DRE_FINANCEIRO!$B$135,LANÇ_MOV[ANO PAGAMENTO],$B$4,LANÇ_MOV[MÊS PAGAMENTO CORRESPONDENTE],I$6,LANÇ_MOV[EMPRESA],$C$4,LANÇ_MOV[CENTRO DE CUSTOS],$D$4)</f>
        <v>0</v>
      </c>
      <c r="J196" s="206">
        <f>SUMIFS(LANÇ_MOV[VALOR LÍQUIDO],LANÇ_MOV[RECEITA OU DESPESA],"Despesa",LANÇ_MOV[CONTAS],$C196,LANÇ_MOV[PLANO DE CONTAS],REL_DRE_FINANCEIRO!$B$135,LANÇ_MOV[ANO PAGAMENTO],$B$4,LANÇ_MOV[MÊS PAGAMENTO CORRESPONDENTE],J$6,LANÇ_MOV[EMPRESA],$C$4,LANÇ_MOV[CENTRO DE CUSTOS],$D$4)</f>
        <v>0</v>
      </c>
      <c r="K196" s="206">
        <f>SUMIFS(LANÇ_MOV[VALOR LÍQUIDO],LANÇ_MOV[RECEITA OU DESPESA],"Despesa",LANÇ_MOV[CONTAS],$C196,LANÇ_MOV[PLANO DE CONTAS],REL_DRE_FINANCEIRO!$B$135,LANÇ_MOV[ANO PAGAMENTO],$B$4,LANÇ_MOV[MÊS PAGAMENTO CORRESPONDENTE],K$6,LANÇ_MOV[EMPRESA],$C$4,LANÇ_MOV[CENTRO DE CUSTOS],$D$4)</f>
        <v>0</v>
      </c>
      <c r="L196" s="206">
        <f>SUMIFS(LANÇ_MOV[VALOR LÍQUIDO],LANÇ_MOV[RECEITA OU DESPESA],"Despesa",LANÇ_MOV[CONTAS],$C196,LANÇ_MOV[PLANO DE CONTAS],REL_DRE_FINANCEIRO!$B$135,LANÇ_MOV[ANO PAGAMENTO],$B$4,LANÇ_MOV[MÊS PAGAMENTO CORRESPONDENTE],L$6,LANÇ_MOV[EMPRESA],$C$4,LANÇ_MOV[CENTRO DE CUSTOS],$D$4)</f>
        <v>0</v>
      </c>
      <c r="M196" s="206">
        <f>SUMIFS(LANÇ_MOV[VALOR LÍQUIDO],LANÇ_MOV[RECEITA OU DESPESA],"Despesa",LANÇ_MOV[CONTAS],$C196,LANÇ_MOV[PLANO DE CONTAS],REL_DRE_FINANCEIRO!$B$135,LANÇ_MOV[ANO PAGAMENTO],$B$4,LANÇ_MOV[MÊS PAGAMENTO CORRESPONDENTE],M$6,LANÇ_MOV[EMPRESA],$C$4,LANÇ_MOV[CENTRO DE CUSTOS],$D$4)</f>
        <v>0</v>
      </c>
      <c r="N196" s="206">
        <f>SUMIFS(LANÇ_MOV[VALOR LÍQUIDO],LANÇ_MOV[RECEITA OU DESPESA],"Despesa",LANÇ_MOV[CONTAS],$C196,LANÇ_MOV[PLANO DE CONTAS],REL_DRE_FINANCEIRO!$B$135,LANÇ_MOV[ANO PAGAMENTO],$B$4,LANÇ_MOV[MÊS PAGAMENTO CORRESPONDENTE],N$6,LANÇ_MOV[EMPRESA],$C$4,LANÇ_MOV[CENTRO DE CUSTOS],$D$4)</f>
        <v>0</v>
      </c>
      <c r="O196" s="206">
        <f>SUMIFS(LANÇ_MOV[VALOR LÍQUIDO],LANÇ_MOV[RECEITA OU DESPESA],"Despesa",LANÇ_MOV[CONTAS],$C196,LANÇ_MOV[PLANO DE CONTAS],REL_DRE_FINANCEIRO!$B$135,LANÇ_MOV[ANO PAGAMENTO],$B$4,LANÇ_MOV[MÊS PAGAMENTO CORRESPONDENTE],O$6,LANÇ_MOV[EMPRESA],$C$4,LANÇ_MOV[CENTRO DE CUSTOS],$D$4)</f>
        <v>0</v>
      </c>
      <c r="P196" s="207">
        <f t="shared" si="30"/>
        <v>0</v>
      </c>
      <c r="Q196" s="333">
        <v>3.6100000000000003E-5</v>
      </c>
      <c r="R196" s="346">
        <f t="shared" si="32"/>
        <v>3.6100000000000003E-5</v>
      </c>
      <c r="S196" s="347" t="str">
        <f t="shared" si="33"/>
        <v>-</v>
      </c>
      <c r="T196" s="347">
        <f t="shared" si="34"/>
        <v>0</v>
      </c>
      <c r="U196" s="347">
        <f>HLOOKUP(Apoio!$P$12,$D$134:$P$235,X196,FALSE)+Q196</f>
        <v>3.6100000000000003E-5</v>
      </c>
      <c r="V196" s="447" t="str">
        <f t="shared" si="31"/>
        <v>-</v>
      </c>
      <c r="W196" s="448">
        <f>HLOOKUP(Apoio!$P$12,$D$134:$P$235,X196,FALSE)</f>
        <v>0</v>
      </c>
      <c r="X196" s="329">
        <v>63</v>
      </c>
    </row>
    <row r="197" spans="2:24" ht="30.05" customHeight="1" x14ac:dyDescent="0.35">
      <c r="B197" s="204" t="str">
        <f>'CAD_PL_REC-DESP'!K66</f>
        <v>2.1.62</v>
      </c>
      <c r="C197" s="205" t="str">
        <f>IF('CAD_PL_REC-DESP'!L66="","-",'CAD_PL_REC-DESP'!L66)</f>
        <v>-</v>
      </c>
      <c r="D197" s="206">
        <f>SUMIFS(LANÇ_MOV[VALOR LÍQUIDO],LANÇ_MOV[RECEITA OU DESPESA],"Despesa",LANÇ_MOV[CONTAS],$C197,LANÇ_MOV[PLANO DE CONTAS],REL_DRE_FINANCEIRO!$B$135,LANÇ_MOV[ANO PAGAMENTO],$B$4,LANÇ_MOV[MÊS PAGAMENTO CORRESPONDENTE],D$6,LANÇ_MOV[EMPRESA],$C$4,LANÇ_MOV[CENTRO DE CUSTOS],$D$4)</f>
        <v>0</v>
      </c>
      <c r="E197" s="206">
        <f>SUMIFS(LANÇ_MOV[VALOR LÍQUIDO],LANÇ_MOV[RECEITA OU DESPESA],"Despesa",LANÇ_MOV[CONTAS],$C197,LANÇ_MOV[PLANO DE CONTAS],REL_DRE_FINANCEIRO!$B$135,LANÇ_MOV[ANO PAGAMENTO],$B$4,LANÇ_MOV[MÊS PAGAMENTO CORRESPONDENTE],E$6,LANÇ_MOV[EMPRESA],$C$4,LANÇ_MOV[CENTRO DE CUSTOS],$D$4)</f>
        <v>0</v>
      </c>
      <c r="F197" s="206">
        <f>SUMIFS(LANÇ_MOV[VALOR LÍQUIDO],LANÇ_MOV[RECEITA OU DESPESA],"Despesa",LANÇ_MOV[CONTAS],$C197,LANÇ_MOV[PLANO DE CONTAS],REL_DRE_FINANCEIRO!$B$135,LANÇ_MOV[ANO PAGAMENTO],$B$4,LANÇ_MOV[MÊS PAGAMENTO CORRESPONDENTE],F$6,LANÇ_MOV[EMPRESA],$C$4,LANÇ_MOV[CENTRO DE CUSTOS],$D$4)</f>
        <v>0</v>
      </c>
      <c r="G197" s="206">
        <f>SUMIFS(LANÇ_MOV[VALOR LÍQUIDO],LANÇ_MOV[RECEITA OU DESPESA],"Despesa",LANÇ_MOV[CONTAS],$C197,LANÇ_MOV[PLANO DE CONTAS],REL_DRE_FINANCEIRO!$B$135,LANÇ_MOV[ANO PAGAMENTO],$B$4,LANÇ_MOV[MÊS PAGAMENTO CORRESPONDENTE],G$6,LANÇ_MOV[EMPRESA],$C$4,LANÇ_MOV[CENTRO DE CUSTOS],$D$4)</f>
        <v>0</v>
      </c>
      <c r="H197" s="206">
        <f>SUMIFS(LANÇ_MOV[VALOR LÍQUIDO],LANÇ_MOV[RECEITA OU DESPESA],"Despesa",LANÇ_MOV[CONTAS],$C197,LANÇ_MOV[PLANO DE CONTAS],REL_DRE_FINANCEIRO!$B$135,LANÇ_MOV[ANO PAGAMENTO],$B$4,LANÇ_MOV[MÊS PAGAMENTO CORRESPONDENTE],H$6,LANÇ_MOV[EMPRESA],$C$4,LANÇ_MOV[CENTRO DE CUSTOS],$D$4)</f>
        <v>0</v>
      </c>
      <c r="I197" s="206">
        <f>SUMIFS(LANÇ_MOV[VALOR LÍQUIDO],LANÇ_MOV[RECEITA OU DESPESA],"Despesa",LANÇ_MOV[CONTAS],$C197,LANÇ_MOV[PLANO DE CONTAS],REL_DRE_FINANCEIRO!$B$135,LANÇ_MOV[ANO PAGAMENTO],$B$4,LANÇ_MOV[MÊS PAGAMENTO CORRESPONDENTE],I$6,LANÇ_MOV[EMPRESA],$C$4,LANÇ_MOV[CENTRO DE CUSTOS],$D$4)</f>
        <v>0</v>
      </c>
      <c r="J197" s="206">
        <f>SUMIFS(LANÇ_MOV[VALOR LÍQUIDO],LANÇ_MOV[RECEITA OU DESPESA],"Despesa",LANÇ_MOV[CONTAS],$C197,LANÇ_MOV[PLANO DE CONTAS],REL_DRE_FINANCEIRO!$B$135,LANÇ_MOV[ANO PAGAMENTO],$B$4,LANÇ_MOV[MÊS PAGAMENTO CORRESPONDENTE],J$6,LANÇ_MOV[EMPRESA],$C$4,LANÇ_MOV[CENTRO DE CUSTOS],$D$4)</f>
        <v>0</v>
      </c>
      <c r="K197" s="206">
        <f>SUMIFS(LANÇ_MOV[VALOR LÍQUIDO],LANÇ_MOV[RECEITA OU DESPESA],"Despesa",LANÇ_MOV[CONTAS],$C197,LANÇ_MOV[PLANO DE CONTAS],REL_DRE_FINANCEIRO!$B$135,LANÇ_MOV[ANO PAGAMENTO],$B$4,LANÇ_MOV[MÊS PAGAMENTO CORRESPONDENTE],K$6,LANÇ_MOV[EMPRESA],$C$4,LANÇ_MOV[CENTRO DE CUSTOS],$D$4)</f>
        <v>0</v>
      </c>
      <c r="L197" s="206">
        <f>SUMIFS(LANÇ_MOV[VALOR LÍQUIDO],LANÇ_MOV[RECEITA OU DESPESA],"Despesa",LANÇ_MOV[CONTAS],$C197,LANÇ_MOV[PLANO DE CONTAS],REL_DRE_FINANCEIRO!$B$135,LANÇ_MOV[ANO PAGAMENTO],$B$4,LANÇ_MOV[MÊS PAGAMENTO CORRESPONDENTE],L$6,LANÇ_MOV[EMPRESA],$C$4,LANÇ_MOV[CENTRO DE CUSTOS],$D$4)</f>
        <v>0</v>
      </c>
      <c r="M197" s="206">
        <f>SUMIFS(LANÇ_MOV[VALOR LÍQUIDO],LANÇ_MOV[RECEITA OU DESPESA],"Despesa",LANÇ_MOV[CONTAS],$C197,LANÇ_MOV[PLANO DE CONTAS],REL_DRE_FINANCEIRO!$B$135,LANÇ_MOV[ANO PAGAMENTO],$B$4,LANÇ_MOV[MÊS PAGAMENTO CORRESPONDENTE],M$6,LANÇ_MOV[EMPRESA],$C$4,LANÇ_MOV[CENTRO DE CUSTOS],$D$4)</f>
        <v>0</v>
      </c>
      <c r="N197" s="206">
        <f>SUMIFS(LANÇ_MOV[VALOR LÍQUIDO],LANÇ_MOV[RECEITA OU DESPESA],"Despesa",LANÇ_MOV[CONTAS],$C197,LANÇ_MOV[PLANO DE CONTAS],REL_DRE_FINANCEIRO!$B$135,LANÇ_MOV[ANO PAGAMENTO],$B$4,LANÇ_MOV[MÊS PAGAMENTO CORRESPONDENTE],N$6,LANÇ_MOV[EMPRESA],$C$4,LANÇ_MOV[CENTRO DE CUSTOS],$D$4)</f>
        <v>0</v>
      </c>
      <c r="O197" s="206">
        <f>SUMIFS(LANÇ_MOV[VALOR LÍQUIDO],LANÇ_MOV[RECEITA OU DESPESA],"Despesa",LANÇ_MOV[CONTAS],$C197,LANÇ_MOV[PLANO DE CONTAS],REL_DRE_FINANCEIRO!$B$135,LANÇ_MOV[ANO PAGAMENTO],$B$4,LANÇ_MOV[MÊS PAGAMENTO CORRESPONDENTE],O$6,LANÇ_MOV[EMPRESA],$C$4,LANÇ_MOV[CENTRO DE CUSTOS],$D$4)</f>
        <v>0</v>
      </c>
      <c r="P197" s="207">
        <f t="shared" si="30"/>
        <v>0</v>
      </c>
      <c r="Q197" s="333">
        <v>3.6000000000000001E-5</v>
      </c>
      <c r="R197" s="346">
        <f t="shared" si="32"/>
        <v>3.6000000000000001E-5</v>
      </c>
      <c r="S197" s="347" t="str">
        <f t="shared" si="33"/>
        <v>-</v>
      </c>
      <c r="T197" s="347">
        <f t="shared" si="34"/>
        <v>0</v>
      </c>
      <c r="U197" s="347">
        <f>HLOOKUP(Apoio!$P$12,$D$134:$P$235,X197,FALSE)+Q197</f>
        <v>3.6000000000000001E-5</v>
      </c>
      <c r="V197" s="447" t="str">
        <f t="shared" si="31"/>
        <v>-</v>
      </c>
      <c r="W197" s="448">
        <f>HLOOKUP(Apoio!$P$12,$D$134:$P$235,X197,FALSE)</f>
        <v>0</v>
      </c>
      <c r="X197" s="329">
        <v>64</v>
      </c>
    </row>
    <row r="198" spans="2:24" ht="30.05" customHeight="1" x14ac:dyDescent="0.35">
      <c r="B198" s="204" t="str">
        <f>'CAD_PL_REC-DESP'!K67</f>
        <v>2.1.63</v>
      </c>
      <c r="C198" s="205" t="str">
        <f>IF('CAD_PL_REC-DESP'!L67="","-",'CAD_PL_REC-DESP'!L67)</f>
        <v>-</v>
      </c>
      <c r="D198" s="206">
        <f>SUMIFS(LANÇ_MOV[VALOR LÍQUIDO],LANÇ_MOV[RECEITA OU DESPESA],"Despesa",LANÇ_MOV[CONTAS],$C198,LANÇ_MOV[PLANO DE CONTAS],REL_DRE_FINANCEIRO!$B$135,LANÇ_MOV[ANO PAGAMENTO],$B$4,LANÇ_MOV[MÊS PAGAMENTO CORRESPONDENTE],D$6,LANÇ_MOV[EMPRESA],$C$4,LANÇ_MOV[CENTRO DE CUSTOS],$D$4)</f>
        <v>0</v>
      </c>
      <c r="E198" s="206">
        <f>SUMIFS(LANÇ_MOV[VALOR LÍQUIDO],LANÇ_MOV[RECEITA OU DESPESA],"Despesa",LANÇ_MOV[CONTAS],$C198,LANÇ_MOV[PLANO DE CONTAS],REL_DRE_FINANCEIRO!$B$135,LANÇ_MOV[ANO PAGAMENTO],$B$4,LANÇ_MOV[MÊS PAGAMENTO CORRESPONDENTE],E$6,LANÇ_MOV[EMPRESA],$C$4,LANÇ_MOV[CENTRO DE CUSTOS],$D$4)</f>
        <v>0</v>
      </c>
      <c r="F198" s="206">
        <f>SUMIFS(LANÇ_MOV[VALOR LÍQUIDO],LANÇ_MOV[RECEITA OU DESPESA],"Despesa",LANÇ_MOV[CONTAS],$C198,LANÇ_MOV[PLANO DE CONTAS],REL_DRE_FINANCEIRO!$B$135,LANÇ_MOV[ANO PAGAMENTO],$B$4,LANÇ_MOV[MÊS PAGAMENTO CORRESPONDENTE],F$6,LANÇ_MOV[EMPRESA],$C$4,LANÇ_MOV[CENTRO DE CUSTOS],$D$4)</f>
        <v>0</v>
      </c>
      <c r="G198" s="206">
        <f>SUMIFS(LANÇ_MOV[VALOR LÍQUIDO],LANÇ_MOV[RECEITA OU DESPESA],"Despesa",LANÇ_MOV[CONTAS],$C198,LANÇ_MOV[PLANO DE CONTAS],REL_DRE_FINANCEIRO!$B$135,LANÇ_MOV[ANO PAGAMENTO],$B$4,LANÇ_MOV[MÊS PAGAMENTO CORRESPONDENTE],G$6,LANÇ_MOV[EMPRESA],$C$4,LANÇ_MOV[CENTRO DE CUSTOS],$D$4)</f>
        <v>0</v>
      </c>
      <c r="H198" s="206">
        <f>SUMIFS(LANÇ_MOV[VALOR LÍQUIDO],LANÇ_MOV[RECEITA OU DESPESA],"Despesa",LANÇ_MOV[CONTAS],$C198,LANÇ_MOV[PLANO DE CONTAS],REL_DRE_FINANCEIRO!$B$135,LANÇ_MOV[ANO PAGAMENTO],$B$4,LANÇ_MOV[MÊS PAGAMENTO CORRESPONDENTE],H$6,LANÇ_MOV[EMPRESA],$C$4,LANÇ_MOV[CENTRO DE CUSTOS],$D$4)</f>
        <v>0</v>
      </c>
      <c r="I198" s="206">
        <f>SUMIFS(LANÇ_MOV[VALOR LÍQUIDO],LANÇ_MOV[RECEITA OU DESPESA],"Despesa",LANÇ_MOV[CONTAS],$C198,LANÇ_MOV[PLANO DE CONTAS],REL_DRE_FINANCEIRO!$B$135,LANÇ_MOV[ANO PAGAMENTO],$B$4,LANÇ_MOV[MÊS PAGAMENTO CORRESPONDENTE],I$6,LANÇ_MOV[EMPRESA],$C$4,LANÇ_MOV[CENTRO DE CUSTOS],$D$4)</f>
        <v>0</v>
      </c>
      <c r="J198" s="206">
        <f>SUMIFS(LANÇ_MOV[VALOR LÍQUIDO],LANÇ_MOV[RECEITA OU DESPESA],"Despesa",LANÇ_MOV[CONTAS],$C198,LANÇ_MOV[PLANO DE CONTAS],REL_DRE_FINANCEIRO!$B$135,LANÇ_MOV[ANO PAGAMENTO],$B$4,LANÇ_MOV[MÊS PAGAMENTO CORRESPONDENTE],J$6,LANÇ_MOV[EMPRESA],$C$4,LANÇ_MOV[CENTRO DE CUSTOS],$D$4)</f>
        <v>0</v>
      </c>
      <c r="K198" s="206">
        <f>SUMIFS(LANÇ_MOV[VALOR LÍQUIDO],LANÇ_MOV[RECEITA OU DESPESA],"Despesa",LANÇ_MOV[CONTAS],$C198,LANÇ_MOV[PLANO DE CONTAS],REL_DRE_FINANCEIRO!$B$135,LANÇ_MOV[ANO PAGAMENTO],$B$4,LANÇ_MOV[MÊS PAGAMENTO CORRESPONDENTE],K$6,LANÇ_MOV[EMPRESA],$C$4,LANÇ_MOV[CENTRO DE CUSTOS],$D$4)</f>
        <v>0</v>
      </c>
      <c r="L198" s="206">
        <f>SUMIFS(LANÇ_MOV[VALOR LÍQUIDO],LANÇ_MOV[RECEITA OU DESPESA],"Despesa",LANÇ_MOV[CONTAS],$C198,LANÇ_MOV[PLANO DE CONTAS],REL_DRE_FINANCEIRO!$B$135,LANÇ_MOV[ANO PAGAMENTO],$B$4,LANÇ_MOV[MÊS PAGAMENTO CORRESPONDENTE],L$6,LANÇ_MOV[EMPRESA],$C$4,LANÇ_MOV[CENTRO DE CUSTOS],$D$4)</f>
        <v>0</v>
      </c>
      <c r="M198" s="206">
        <f>SUMIFS(LANÇ_MOV[VALOR LÍQUIDO],LANÇ_MOV[RECEITA OU DESPESA],"Despesa",LANÇ_MOV[CONTAS],$C198,LANÇ_MOV[PLANO DE CONTAS],REL_DRE_FINANCEIRO!$B$135,LANÇ_MOV[ANO PAGAMENTO],$B$4,LANÇ_MOV[MÊS PAGAMENTO CORRESPONDENTE],M$6,LANÇ_MOV[EMPRESA],$C$4,LANÇ_MOV[CENTRO DE CUSTOS],$D$4)</f>
        <v>0</v>
      </c>
      <c r="N198" s="206">
        <f>SUMIFS(LANÇ_MOV[VALOR LÍQUIDO],LANÇ_MOV[RECEITA OU DESPESA],"Despesa",LANÇ_MOV[CONTAS],$C198,LANÇ_MOV[PLANO DE CONTAS],REL_DRE_FINANCEIRO!$B$135,LANÇ_MOV[ANO PAGAMENTO],$B$4,LANÇ_MOV[MÊS PAGAMENTO CORRESPONDENTE],N$6,LANÇ_MOV[EMPRESA],$C$4,LANÇ_MOV[CENTRO DE CUSTOS],$D$4)</f>
        <v>0</v>
      </c>
      <c r="O198" s="206">
        <f>SUMIFS(LANÇ_MOV[VALOR LÍQUIDO],LANÇ_MOV[RECEITA OU DESPESA],"Despesa",LANÇ_MOV[CONTAS],$C198,LANÇ_MOV[PLANO DE CONTAS],REL_DRE_FINANCEIRO!$B$135,LANÇ_MOV[ANO PAGAMENTO],$B$4,LANÇ_MOV[MÊS PAGAMENTO CORRESPONDENTE],O$6,LANÇ_MOV[EMPRESA],$C$4,LANÇ_MOV[CENTRO DE CUSTOS],$D$4)</f>
        <v>0</v>
      </c>
      <c r="P198" s="207">
        <f t="shared" si="30"/>
        <v>0</v>
      </c>
      <c r="Q198" s="333">
        <v>3.5899999999999998E-5</v>
      </c>
      <c r="R198" s="346">
        <f t="shared" si="32"/>
        <v>3.5899999999999998E-5</v>
      </c>
      <c r="S198" s="347" t="str">
        <f t="shared" si="33"/>
        <v>-</v>
      </c>
      <c r="T198" s="347">
        <f t="shared" si="34"/>
        <v>0</v>
      </c>
      <c r="U198" s="347">
        <f>HLOOKUP(Apoio!$P$12,$D$134:$P$235,X198,FALSE)+Q198</f>
        <v>3.5899999999999998E-5</v>
      </c>
      <c r="V198" s="447" t="str">
        <f t="shared" si="31"/>
        <v>-</v>
      </c>
      <c r="W198" s="448">
        <f>HLOOKUP(Apoio!$P$12,$D$134:$P$235,X198,FALSE)</f>
        <v>0</v>
      </c>
      <c r="X198" s="329">
        <v>65</v>
      </c>
    </row>
    <row r="199" spans="2:24" ht="30.05" customHeight="1" x14ac:dyDescent="0.35">
      <c r="B199" s="204" t="str">
        <f>'CAD_PL_REC-DESP'!K68</f>
        <v>2.1.64</v>
      </c>
      <c r="C199" s="205" t="str">
        <f>IF('CAD_PL_REC-DESP'!L68="","-",'CAD_PL_REC-DESP'!L68)</f>
        <v>-</v>
      </c>
      <c r="D199" s="206">
        <f>SUMIFS(LANÇ_MOV[VALOR LÍQUIDO],LANÇ_MOV[RECEITA OU DESPESA],"Despesa",LANÇ_MOV[CONTAS],$C199,LANÇ_MOV[PLANO DE CONTAS],REL_DRE_FINANCEIRO!$B$135,LANÇ_MOV[ANO PAGAMENTO],$B$4,LANÇ_MOV[MÊS PAGAMENTO CORRESPONDENTE],D$6,LANÇ_MOV[EMPRESA],$C$4,LANÇ_MOV[CENTRO DE CUSTOS],$D$4)</f>
        <v>0</v>
      </c>
      <c r="E199" s="206">
        <f>SUMIFS(LANÇ_MOV[VALOR LÍQUIDO],LANÇ_MOV[RECEITA OU DESPESA],"Despesa",LANÇ_MOV[CONTAS],$C199,LANÇ_MOV[PLANO DE CONTAS],REL_DRE_FINANCEIRO!$B$135,LANÇ_MOV[ANO PAGAMENTO],$B$4,LANÇ_MOV[MÊS PAGAMENTO CORRESPONDENTE],E$6,LANÇ_MOV[EMPRESA],$C$4,LANÇ_MOV[CENTRO DE CUSTOS],$D$4)</f>
        <v>0</v>
      </c>
      <c r="F199" s="206">
        <f>SUMIFS(LANÇ_MOV[VALOR LÍQUIDO],LANÇ_MOV[RECEITA OU DESPESA],"Despesa",LANÇ_MOV[CONTAS],$C199,LANÇ_MOV[PLANO DE CONTAS],REL_DRE_FINANCEIRO!$B$135,LANÇ_MOV[ANO PAGAMENTO],$B$4,LANÇ_MOV[MÊS PAGAMENTO CORRESPONDENTE],F$6,LANÇ_MOV[EMPRESA],$C$4,LANÇ_MOV[CENTRO DE CUSTOS],$D$4)</f>
        <v>0</v>
      </c>
      <c r="G199" s="206">
        <f>SUMIFS(LANÇ_MOV[VALOR LÍQUIDO],LANÇ_MOV[RECEITA OU DESPESA],"Despesa",LANÇ_MOV[CONTAS],$C199,LANÇ_MOV[PLANO DE CONTAS],REL_DRE_FINANCEIRO!$B$135,LANÇ_MOV[ANO PAGAMENTO],$B$4,LANÇ_MOV[MÊS PAGAMENTO CORRESPONDENTE],G$6,LANÇ_MOV[EMPRESA],$C$4,LANÇ_MOV[CENTRO DE CUSTOS],$D$4)</f>
        <v>0</v>
      </c>
      <c r="H199" s="206">
        <f>SUMIFS(LANÇ_MOV[VALOR LÍQUIDO],LANÇ_MOV[RECEITA OU DESPESA],"Despesa",LANÇ_MOV[CONTAS],$C199,LANÇ_MOV[PLANO DE CONTAS],REL_DRE_FINANCEIRO!$B$135,LANÇ_MOV[ANO PAGAMENTO],$B$4,LANÇ_MOV[MÊS PAGAMENTO CORRESPONDENTE],H$6,LANÇ_MOV[EMPRESA],$C$4,LANÇ_MOV[CENTRO DE CUSTOS],$D$4)</f>
        <v>0</v>
      </c>
      <c r="I199" s="206">
        <f>SUMIFS(LANÇ_MOV[VALOR LÍQUIDO],LANÇ_MOV[RECEITA OU DESPESA],"Despesa",LANÇ_MOV[CONTAS],$C199,LANÇ_MOV[PLANO DE CONTAS],REL_DRE_FINANCEIRO!$B$135,LANÇ_MOV[ANO PAGAMENTO],$B$4,LANÇ_MOV[MÊS PAGAMENTO CORRESPONDENTE],I$6,LANÇ_MOV[EMPRESA],$C$4,LANÇ_MOV[CENTRO DE CUSTOS],$D$4)</f>
        <v>0</v>
      </c>
      <c r="J199" s="206">
        <f>SUMIFS(LANÇ_MOV[VALOR LÍQUIDO],LANÇ_MOV[RECEITA OU DESPESA],"Despesa",LANÇ_MOV[CONTAS],$C199,LANÇ_MOV[PLANO DE CONTAS],REL_DRE_FINANCEIRO!$B$135,LANÇ_MOV[ANO PAGAMENTO],$B$4,LANÇ_MOV[MÊS PAGAMENTO CORRESPONDENTE],J$6,LANÇ_MOV[EMPRESA],$C$4,LANÇ_MOV[CENTRO DE CUSTOS],$D$4)</f>
        <v>0</v>
      </c>
      <c r="K199" s="206">
        <f>SUMIFS(LANÇ_MOV[VALOR LÍQUIDO],LANÇ_MOV[RECEITA OU DESPESA],"Despesa",LANÇ_MOV[CONTAS],$C199,LANÇ_MOV[PLANO DE CONTAS],REL_DRE_FINANCEIRO!$B$135,LANÇ_MOV[ANO PAGAMENTO],$B$4,LANÇ_MOV[MÊS PAGAMENTO CORRESPONDENTE],K$6,LANÇ_MOV[EMPRESA],$C$4,LANÇ_MOV[CENTRO DE CUSTOS],$D$4)</f>
        <v>0</v>
      </c>
      <c r="L199" s="206">
        <f>SUMIFS(LANÇ_MOV[VALOR LÍQUIDO],LANÇ_MOV[RECEITA OU DESPESA],"Despesa",LANÇ_MOV[CONTAS],$C199,LANÇ_MOV[PLANO DE CONTAS],REL_DRE_FINANCEIRO!$B$135,LANÇ_MOV[ANO PAGAMENTO],$B$4,LANÇ_MOV[MÊS PAGAMENTO CORRESPONDENTE],L$6,LANÇ_MOV[EMPRESA],$C$4,LANÇ_MOV[CENTRO DE CUSTOS],$D$4)</f>
        <v>0</v>
      </c>
      <c r="M199" s="206">
        <f>SUMIFS(LANÇ_MOV[VALOR LÍQUIDO],LANÇ_MOV[RECEITA OU DESPESA],"Despesa",LANÇ_MOV[CONTAS],$C199,LANÇ_MOV[PLANO DE CONTAS],REL_DRE_FINANCEIRO!$B$135,LANÇ_MOV[ANO PAGAMENTO],$B$4,LANÇ_MOV[MÊS PAGAMENTO CORRESPONDENTE],M$6,LANÇ_MOV[EMPRESA],$C$4,LANÇ_MOV[CENTRO DE CUSTOS],$D$4)</f>
        <v>0</v>
      </c>
      <c r="N199" s="206">
        <f>SUMIFS(LANÇ_MOV[VALOR LÍQUIDO],LANÇ_MOV[RECEITA OU DESPESA],"Despesa",LANÇ_MOV[CONTAS],$C199,LANÇ_MOV[PLANO DE CONTAS],REL_DRE_FINANCEIRO!$B$135,LANÇ_MOV[ANO PAGAMENTO],$B$4,LANÇ_MOV[MÊS PAGAMENTO CORRESPONDENTE],N$6,LANÇ_MOV[EMPRESA],$C$4,LANÇ_MOV[CENTRO DE CUSTOS],$D$4)</f>
        <v>0</v>
      </c>
      <c r="O199" s="206">
        <f>SUMIFS(LANÇ_MOV[VALOR LÍQUIDO],LANÇ_MOV[RECEITA OU DESPESA],"Despesa",LANÇ_MOV[CONTAS],$C199,LANÇ_MOV[PLANO DE CONTAS],REL_DRE_FINANCEIRO!$B$135,LANÇ_MOV[ANO PAGAMENTO],$B$4,LANÇ_MOV[MÊS PAGAMENTO CORRESPONDENTE],O$6,LANÇ_MOV[EMPRESA],$C$4,LANÇ_MOV[CENTRO DE CUSTOS],$D$4)</f>
        <v>0</v>
      </c>
      <c r="P199" s="207">
        <f t="shared" si="30"/>
        <v>0</v>
      </c>
      <c r="Q199" s="333">
        <v>3.5800000000000003E-5</v>
      </c>
      <c r="R199" s="346">
        <f t="shared" si="32"/>
        <v>3.5800000000000003E-5</v>
      </c>
      <c r="S199" s="347" t="str">
        <f t="shared" si="33"/>
        <v>-</v>
      </c>
      <c r="T199" s="347">
        <f t="shared" si="34"/>
        <v>0</v>
      </c>
      <c r="U199" s="347">
        <f>HLOOKUP(Apoio!$P$12,$D$134:$P$235,X199,FALSE)+Q199</f>
        <v>3.5800000000000003E-5</v>
      </c>
      <c r="V199" s="447" t="str">
        <f t="shared" si="31"/>
        <v>-</v>
      </c>
      <c r="W199" s="448">
        <f>HLOOKUP(Apoio!$P$12,$D$134:$P$235,X199,FALSE)</f>
        <v>0</v>
      </c>
      <c r="X199" s="329">
        <v>66</v>
      </c>
    </row>
    <row r="200" spans="2:24" ht="30.05" customHeight="1" x14ac:dyDescent="0.35">
      <c r="B200" s="204" t="str">
        <f>'CAD_PL_REC-DESP'!K69</f>
        <v>2.1.65</v>
      </c>
      <c r="C200" s="205" t="str">
        <f>IF('CAD_PL_REC-DESP'!L69="","-",'CAD_PL_REC-DESP'!L69)</f>
        <v>-</v>
      </c>
      <c r="D200" s="206">
        <f>SUMIFS(LANÇ_MOV[VALOR LÍQUIDO],LANÇ_MOV[RECEITA OU DESPESA],"Despesa",LANÇ_MOV[CONTAS],$C200,LANÇ_MOV[PLANO DE CONTAS],REL_DRE_FINANCEIRO!$B$135,LANÇ_MOV[ANO PAGAMENTO],$B$4,LANÇ_MOV[MÊS PAGAMENTO CORRESPONDENTE],D$6,LANÇ_MOV[EMPRESA],$C$4,LANÇ_MOV[CENTRO DE CUSTOS],$D$4)</f>
        <v>0</v>
      </c>
      <c r="E200" s="206">
        <f>SUMIFS(LANÇ_MOV[VALOR LÍQUIDO],LANÇ_MOV[RECEITA OU DESPESA],"Despesa",LANÇ_MOV[CONTAS],$C200,LANÇ_MOV[PLANO DE CONTAS],REL_DRE_FINANCEIRO!$B$135,LANÇ_MOV[ANO PAGAMENTO],$B$4,LANÇ_MOV[MÊS PAGAMENTO CORRESPONDENTE],E$6,LANÇ_MOV[EMPRESA],$C$4,LANÇ_MOV[CENTRO DE CUSTOS],$D$4)</f>
        <v>0</v>
      </c>
      <c r="F200" s="206">
        <f>SUMIFS(LANÇ_MOV[VALOR LÍQUIDO],LANÇ_MOV[RECEITA OU DESPESA],"Despesa",LANÇ_MOV[CONTAS],$C200,LANÇ_MOV[PLANO DE CONTAS],REL_DRE_FINANCEIRO!$B$135,LANÇ_MOV[ANO PAGAMENTO],$B$4,LANÇ_MOV[MÊS PAGAMENTO CORRESPONDENTE],F$6,LANÇ_MOV[EMPRESA],$C$4,LANÇ_MOV[CENTRO DE CUSTOS],$D$4)</f>
        <v>0</v>
      </c>
      <c r="G200" s="206">
        <f>SUMIFS(LANÇ_MOV[VALOR LÍQUIDO],LANÇ_MOV[RECEITA OU DESPESA],"Despesa",LANÇ_MOV[CONTAS],$C200,LANÇ_MOV[PLANO DE CONTAS],REL_DRE_FINANCEIRO!$B$135,LANÇ_MOV[ANO PAGAMENTO],$B$4,LANÇ_MOV[MÊS PAGAMENTO CORRESPONDENTE],G$6,LANÇ_MOV[EMPRESA],$C$4,LANÇ_MOV[CENTRO DE CUSTOS],$D$4)</f>
        <v>0</v>
      </c>
      <c r="H200" s="206">
        <f>SUMIFS(LANÇ_MOV[VALOR LÍQUIDO],LANÇ_MOV[RECEITA OU DESPESA],"Despesa",LANÇ_MOV[CONTAS],$C200,LANÇ_MOV[PLANO DE CONTAS],REL_DRE_FINANCEIRO!$B$135,LANÇ_MOV[ANO PAGAMENTO],$B$4,LANÇ_MOV[MÊS PAGAMENTO CORRESPONDENTE],H$6,LANÇ_MOV[EMPRESA],$C$4,LANÇ_MOV[CENTRO DE CUSTOS],$D$4)</f>
        <v>0</v>
      </c>
      <c r="I200" s="206">
        <f>SUMIFS(LANÇ_MOV[VALOR LÍQUIDO],LANÇ_MOV[RECEITA OU DESPESA],"Despesa",LANÇ_MOV[CONTAS],$C200,LANÇ_MOV[PLANO DE CONTAS],REL_DRE_FINANCEIRO!$B$135,LANÇ_MOV[ANO PAGAMENTO],$B$4,LANÇ_MOV[MÊS PAGAMENTO CORRESPONDENTE],I$6,LANÇ_MOV[EMPRESA],$C$4,LANÇ_MOV[CENTRO DE CUSTOS],$D$4)</f>
        <v>0</v>
      </c>
      <c r="J200" s="206">
        <f>SUMIFS(LANÇ_MOV[VALOR LÍQUIDO],LANÇ_MOV[RECEITA OU DESPESA],"Despesa",LANÇ_MOV[CONTAS],$C200,LANÇ_MOV[PLANO DE CONTAS],REL_DRE_FINANCEIRO!$B$135,LANÇ_MOV[ANO PAGAMENTO],$B$4,LANÇ_MOV[MÊS PAGAMENTO CORRESPONDENTE],J$6,LANÇ_MOV[EMPRESA],$C$4,LANÇ_MOV[CENTRO DE CUSTOS],$D$4)</f>
        <v>0</v>
      </c>
      <c r="K200" s="206">
        <f>SUMIFS(LANÇ_MOV[VALOR LÍQUIDO],LANÇ_MOV[RECEITA OU DESPESA],"Despesa",LANÇ_MOV[CONTAS],$C200,LANÇ_MOV[PLANO DE CONTAS],REL_DRE_FINANCEIRO!$B$135,LANÇ_MOV[ANO PAGAMENTO],$B$4,LANÇ_MOV[MÊS PAGAMENTO CORRESPONDENTE],K$6,LANÇ_MOV[EMPRESA],$C$4,LANÇ_MOV[CENTRO DE CUSTOS],$D$4)</f>
        <v>0</v>
      </c>
      <c r="L200" s="206">
        <f>SUMIFS(LANÇ_MOV[VALOR LÍQUIDO],LANÇ_MOV[RECEITA OU DESPESA],"Despesa",LANÇ_MOV[CONTAS],$C200,LANÇ_MOV[PLANO DE CONTAS],REL_DRE_FINANCEIRO!$B$135,LANÇ_MOV[ANO PAGAMENTO],$B$4,LANÇ_MOV[MÊS PAGAMENTO CORRESPONDENTE],L$6,LANÇ_MOV[EMPRESA],$C$4,LANÇ_MOV[CENTRO DE CUSTOS],$D$4)</f>
        <v>0</v>
      </c>
      <c r="M200" s="206">
        <f>SUMIFS(LANÇ_MOV[VALOR LÍQUIDO],LANÇ_MOV[RECEITA OU DESPESA],"Despesa",LANÇ_MOV[CONTAS],$C200,LANÇ_MOV[PLANO DE CONTAS],REL_DRE_FINANCEIRO!$B$135,LANÇ_MOV[ANO PAGAMENTO],$B$4,LANÇ_MOV[MÊS PAGAMENTO CORRESPONDENTE],M$6,LANÇ_MOV[EMPRESA],$C$4,LANÇ_MOV[CENTRO DE CUSTOS],$D$4)</f>
        <v>0</v>
      </c>
      <c r="N200" s="206">
        <f>SUMIFS(LANÇ_MOV[VALOR LÍQUIDO],LANÇ_MOV[RECEITA OU DESPESA],"Despesa",LANÇ_MOV[CONTAS],$C200,LANÇ_MOV[PLANO DE CONTAS],REL_DRE_FINANCEIRO!$B$135,LANÇ_MOV[ANO PAGAMENTO],$B$4,LANÇ_MOV[MÊS PAGAMENTO CORRESPONDENTE],N$6,LANÇ_MOV[EMPRESA],$C$4,LANÇ_MOV[CENTRO DE CUSTOS],$D$4)</f>
        <v>0</v>
      </c>
      <c r="O200" s="206">
        <f>SUMIFS(LANÇ_MOV[VALOR LÍQUIDO],LANÇ_MOV[RECEITA OU DESPESA],"Despesa",LANÇ_MOV[CONTAS],$C200,LANÇ_MOV[PLANO DE CONTAS],REL_DRE_FINANCEIRO!$B$135,LANÇ_MOV[ANO PAGAMENTO],$B$4,LANÇ_MOV[MÊS PAGAMENTO CORRESPONDENTE],O$6,LANÇ_MOV[EMPRESA],$C$4,LANÇ_MOV[CENTRO DE CUSTOS],$D$4)</f>
        <v>0</v>
      </c>
      <c r="P200" s="207">
        <f t="shared" ref="P200:P235" si="35">SUM(D200:O200)</f>
        <v>0</v>
      </c>
      <c r="Q200" s="333">
        <v>3.57E-5</v>
      </c>
      <c r="R200" s="346">
        <f t="shared" si="32"/>
        <v>3.57E-5</v>
      </c>
      <c r="S200" s="347" t="str">
        <f t="shared" si="33"/>
        <v>-</v>
      </c>
      <c r="T200" s="347">
        <f t="shared" si="34"/>
        <v>0</v>
      </c>
      <c r="U200" s="347">
        <f>HLOOKUP(Apoio!$P$12,$D$134:$P$235,X200,FALSE)+Q200</f>
        <v>3.57E-5</v>
      </c>
      <c r="V200" s="447" t="str">
        <f t="shared" ref="V200:V235" si="36">S200</f>
        <v>-</v>
      </c>
      <c r="W200" s="448">
        <f>HLOOKUP(Apoio!$P$12,$D$134:$P$235,X200,FALSE)</f>
        <v>0</v>
      </c>
      <c r="X200" s="329">
        <v>67</v>
      </c>
    </row>
    <row r="201" spans="2:24" ht="30.05" customHeight="1" x14ac:dyDescent="0.35">
      <c r="B201" s="204" t="str">
        <f>'CAD_PL_REC-DESP'!K70</f>
        <v>2.1.66</v>
      </c>
      <c r="C201" s="205" t="str">
        <f>IF('CAD_PL_REC-DESP'!L70="","-",'CAD_PL_REC-DESP'!L70)</f>
        <v>-</v>
      </c>
      <c r="D201" s="206">
        <f>SUMIFS(LANÇ_MOV[VALOR LÍQUIDO],LANÇ_MOV[RECEITA OU DESPESA],"Despesa",LANÇ_MOV[CONTAS],$C201,LANÇ_MOV[PLANO DE CONTAS],REL_DRE_FINANCEIRO!$B$135,LANÇ_MOV[ANO PAGAMENTO],$B$4,LANÇ_MOV[MÊS PAGAMENTO CORRESPONDENTE],D$6,LANÇ_MOV[EMPRESA],$C$4,LANÇ_MOV[CENTRO DE CUSTOS],$D$4)</f>
        <v>0</v>
      </c>
      <c r="E201" s="206">
        <f>SUMIFS(LANÇ_MOV[VALOR LÍQUIDO],LANÇ_MOV[RECEITA OU DESPESA],"Despesa",LANÇ_MOV[CONTAS],$C201,LANÇ_MOV[PLANO DE CONTAS],REL_DRE_FINANCEIRO!$B$135,LANÇ_MOV[ANO PAGAMENTO],$B$4,LANÇ_MOV[MÊS PAGAMENTO CORRESPONDENTE],E$6,LANÇ_MOV[EMPRESA],$C$4,LANÇ_MOV[CENTRO DE CUSTOS],$D$4)</f>
        <v>0</v>
      </c>
      <c r="F201" s="206">
        <f>SUMIFS(LANÇ_MOV[VALOR LÍQUIDO],LANÇ_MOV[RECEITA OU DESPESA],"Despesa",LANÇ_MOV[CONTAS],$C201,LANÇ_MOV[PLANO DE CONTAS],REL_DRE_FINANCEIRO!$B$135,LANÇ_MOV[ANO PAGAMENTO],$B$4,LANÇ_MOV[MÊS PAGAMENTO CORRESPONDENTE],F$6,LANÇ_MOV[EMPRESA],$C$4,LANÇ_MOV[CENTRO DE CUSTOS],$D$4)</f>
        <v>0</v>
      </c>
      <c r="G201" s="206">
        <f>SUMIFS(LANÇ_MOV[VALOR LÍQUIDO],LANÇ_MOV[RECEITA OU DESPESA],"Despesa",LANÇ_MOV[CONTAS],$C201,LANÇ_MOV[PLANO DE CONTAS],REL_DRE_FINANCEIRO!$B$135,LANÇ_MOV[ANO PAGAMENTO],$B$4,LANÇ_MOV[MÊS PAGAMENTO CORRESPONDENTE],G$6,LANÇ_MOV[EMPRESA],$C$4,LANÇ_MOV[CENTRO DE CUSTOS],$D$4)</f>
        <v>0</v>
      </c>
      <c r="H201" s="206">
        <f>SUMIFS(LANÇ_MOV[VALOR LÍQUIDO],LANÇ_MOV[RECEITA OU DESPESA],"Despesa",LANÇ_MOV[CONTAS],$C201,LANÇ_MOV[PLANO DE CONTAS],REL_DRE_FINANCEIRO!$B$135,LANÇ_MOV[ANO PAGAMENTO],$B$4,LANÇ_MOV[MÊS PAGAMENTO CORRESPONDENTE],H$6,LANÇ_MOV[EMPRESA],$C$4,LANÇ_MOV[CENTRO DE CUSTOS],$D$4)</f>
        <v>0</v>
      </c>
      <c r="I201" s="206">
        <f>SUMIFS(LANÇ_MOV[VALOR LÍQUIDO],LANÇ_MOV[RECEITA OU DESPESA],"Despesa",LANÇ_MOV[CONTAS],$C201,LANÇ_MOV[PLANO DE CONTAS],REL_DRE_FINANCEIRO!$B$135,LANÇ_MOV[ANO PAGAMENTO],$B$4,LANÇ_MOV[MÊS PAGAMENTO CORRESPONDENTE],I$6,LANÇ_MOV[EMPRESA],$C$4,LANÇ_MOV[CENTRO DE CUSTOS],$D$4)</f>
        <v>0</v>
      </c>
      <c r="J201" s="206">
        <f>SUMIFS(LANÇ_MOV[VALOR LÍQUIDO],LANÇ_MOV[RECEITA OU DESPESA],"Despesa",LANÇ_MOV[CONTAS],$C201,LANÇ_MOV[PLANO DE CONTAS],REL_DRE_FINANCEIRO!$B$135,LANÇ_MOV[ANO PAGAMENTO],$B$4,LANÇ_MOV[MÊS PAGAMENTO CORRESPONDENTE],J$6,LANÇ_MOV[EMPRESA],$C$4,LANÇ_MOV[CENTRO DE CUSTOS],$D$4)</f>
        <v>0</v>
      </c>
      <c r="K201" s="206">
        <f>SUMIFS(LANÇ_MOV[VALOR LÍQUIDO],LANÇ_MOV[RECEITA OU DESPESA],"Despesa",LANÇ_MOV[CONTAS],$C201,LANÇ_MOV[PLANO DE CONTAS],REL_DRE_FINANCEIRO!$B$135,LANÇ_MOV[ANO PAGAMENTO],$B$4,LANÇ_MOV[MÊS PAGAMENTO CORRESPONDENTE],K$6,LANÇ_MOV[EMPRESA],$C$4,LANÇ_MOV[CENTRO DE CUSTOS],$D$4)</f>
        <v>0</v>
      </c>
      <c r="L201" s="206">
        <f>SUMIFS(LANÇ_MOV[VALOR LÍQUIDO],LANÇ_MOV[RECEITA OU DESPESA],"Despesa",LANÇ_MOV[CONTAS],$C201,LANÇ_MOV[PLANO DE CONTAS],REL_DRE_FINANCEIRO!$B$135,LANÇ_MOV[ANO PAGAMENTO],$B$4,LANÇ_MOV[MÊS PAGAMENTO CORRESPONDENTE],L$6,LANÇ_MOV[EMPRESA],$C$4,LANÇ_MOV[CENTRO DE CUSTOS],$D$4)</f>
        <v>0</v>
      </c>
      <c r="M201" s="206">
        <f>SUMIFS(LANÇ_MOV[VALOR LÍQUIDO],LANÇ_MOV[RECEITA OU DESPESA],"Despesa",LANÇ_MOV[CONTAS],$C201,LANÇ_MOV[PLANO DE CONTAS],REL_DRE_FINANCEIRO!$B$135,LANÇ_MOV[ANO PAGAMENTO],$B$4,LANÇ_MOV[MÊS PAGAMENTO CORRESPONDENTE],M$6,LANÇ_MOV[EMPRESA],$C$4,LANÇ_MOV[CENTRO DE CUSTOS],$D$4)</f>
        <v>0</v>
      </c>
      <c r="N201" s="206">
        <f>SUMIFS(LANÇ_MOV[VALOR LÍQUIDO],LANÇ_MOV[RECEITA OU DESPESA],"Despesa",LANÇ_MOV[CONTAS],$C201,LANÇ_MOV[PLANO DE CONTAS],REL_DRE_FINANCEIRO!$B$135,LANÇ_MOV[ANO PAGAMENTO],$B$4,LANÇ_MOV[MÊS PAGAMENTO CORRESPONDENTE],N$6,LANÇ_MOV[EMPRESA],$C$4,LANÇ_MOV[CENTRO DE CUSTOS],$D$4)</f>
        <v>0</v>
      </c>
      <c r="O201" s="206">
        <f>SUMIFS(LANÇ_MOV[VALOR LÍQUIDO],LANÇ_MOV[RECEITA OU DESPESA],"Despesa",LANÇ_MOV[CONTAS],$C201,LANÇ_MOV[PLANO DE CONTAS],REL_DRE_FINANCEIRO!$B$135,LANÇ_MOV[ANO PAGAMENTO],$B$4,LANÇ_MOV[MÊS PAGAMENTO CORRESPONDENTE],O$6,LANÇ_MOV[EMPRESA],$C$4,LANÇ_MOV[CENTRO DE CUSTOS],$D$4)</f>
        <v>0</v>
      </c>
      <c r="P201" s="207">
        <f t="shared" si="35"/>
        <v>0</v>
      </c>
      <c r="Q201" s="333">
        <v>3.5599999999999998E-5</v>
      </c>
      <c r="R201" s="346">
        <f t="shared" ref="R201:R235" si="37">P201+Q201</f>
        <v>3.5599999999999998E-5</v>
      </c>
      <c r="S201" s="347" t="str">
        <f t="shared" ref="S201:S235" si="38">C201</f>
        <v>-</v>
      </c>
      <c r="T201" s="347">
        <f t="shared" ref="T201:T235" si="39">P201</f>
        <v>0</v>
      </c>
      <c r="U201" s="347">
        <f>HLOOKUP(Apoio!$P$12,$D$134:$P$235,X201,FALSE)+Q201</f>
        <v>3.5599999999999998E-5</v>
      </c>
      <c r="V201" s="447" t="str">
        <f t="shared" si="36"/>
        <v>-</v>
      </c>
      <c r="W201" s="448">
        <f>HLOOKUP(Apoio!$P$12,$D$134:$P$235,X201,FALSE)</f>
        <v>0</v>
      </c>
      <c r="X201" s="329">
        <v>68</v>
      </c>
    </row>
    <row r="202" spans="2:24" ht="30.05" customHeight="1" x14ac:dyDescent="0.35">
      <c r="B202" s="204" t="str">
        <f>'CAD_PL_REC-DESP'!K71</f>
        <v>2.1.67</v>
      </c>
      <c r="C202" s="205" t="str">
        <f>IF('CAD_PL_REC-DESP'!L71="","-",'CAD_PL_REC-DESP'!L71)</f>
        <v>-</v>
      </c>
      <c r="D202" s="206">
        <f>SUMIFS(LANÇ_MOV[VALOR LÍQUIDO],LANÇ_MOV[RECEITA OU DESPESA],"Despesa",LANÇ_MOV[CONTAS],$C202,LANÇ_MOV[PLANO DE CONTAS],REL_DRE_FINANCEIRO!$B$135,LANÇ_MOV[ANO PAGAMENTO],$B$4,LANÇ_MOV[MÊS PAGAMENTO CORRESPONDENTE],D$6,LANÇ_MOV[EMPRESA],$C$4,LANÇ_MOV[CENTRO DE CUSTOS],$D$4)</f>
        <v>0</v>
      </c>
      <c r="E202" s="206">
        <f>SUMIFS(LANÇ_MOV[VALOR LÍQUIDO],LANÇ_MOV[RECEITA OU DESPESA],"Despesa",LANÇ_MOV[CONTAS],$C202,LANÇ_MOV[PLANO DE CONTAS],REL_DRE_FINANCEIRO!$B$135,LANÇ_MOV[ANO PAGAMENTO],$B$4,LANÇ_MOV[MÊS PAGAMENTO CORRESPONDENTE],E$6,LANÇ_MOV[EMPRESA],$C$4,LANÇ_MOV[CENTRO DE CUSTOS],$D$4)</f>
        <v>0</v>
      </c>
      <c r="F202" s="206">
        <f>SUMIFS(LANÇ_MOV[VALOR LÍQUIDO],LANÇ_MOV[RECEITA OU DESPESA],"Despesa",LANÇ_MOV[CONTAS],$C202,LANÇ_MOV[PLANO DE CONTAS],REL_DRE_FINANCEIRO!$B$135,LANÇ_MOV[ANO PAGAMENTO],$B$4,LANÇ_MOV[MÊS PAGAMENTO CORRESPONDENTE],F$6,LANÇ_MOV[EMPRESA],$C$4,LANÇ_MOV[CENTRO DE CUSTOS],$D$4)</f>
        <v>0</v>
      </c>
      <c r="G202" s="206">
        <f>SUMIFS(LANÇ_MOV[VALOR LÍQUIDO],LANÇ_MOV[RECEITA OU DESPESA],"Despesa",LANÇ_MOV[CONTAS],$C202,LANÇ_MOV[PLANO DE CONTAS],REL_DRE_FINANCEIRO!$B$135,LANÇ_MOV[ANO PAGAMENTO],$B$4,LANÇ_MOV[MÊS PAGAMENTO CORRESPONDENTE],G$6,LANÇ_MOV[EMPRESA],$C$4,LANÇ_MOV[CENTRO DE CUSTOS],$D$4)</f>
        <v>0</v>
      </c>
      <c r="H202" s="206">
        <f>SUMIFS(LANÇ_MOV[VALOR LÍQUIDO],LANÇ_MOV[RECEITA OU DESPESA],"Despesa",LANÇ_MOV[CONTAS],$C202,LANÇ_MOV[PLANO DE CONTAS],REL_DRE_FINANCEIRO!$B$135,LANÇ_MOV[ANO PAGAMENTO],$B$4,LANÇ_MOV[MÊS PAGAMENTO CORRESPONDENTE],H$6,LANÇ_MOV[EMPRESA],$C$4,LANÇ_MOV[CENTRO DE CUSTOS],$D$4)</f>
        <v>0</v>
      </c>
      <c r="I202" s="206">
        <f>SUMIFS(LANÇ_MOV[VALOR LÍQUIDO],LANÇ_MOV[RECEITA OU DESPESA],"Despesa",LANÇ_MOV[CONTAS],$C202,LANÇ_MOV[PLANO DE CONTAS],REL_DRE_FINANCEIRO!$B$135,LANÇ_MOV[ANO PAGAMENTO],$B$4,LANÇ_MOV[MÊS PAGAMENTO CORRESPONDENTE],I$6,LANÇ_MOV[EMPRESA],$C$4,LANÇ_MOV[CENTRO DE CUSTOS],$D$4)</f>
        <v>0</v>
      </c>
      <c r="J202" s="206">
        <f>SUMIFS(LANÇ_MOV[VALOR LÍQUIDO],LANÇ_MOV[RECEITA OU DESPESA],"Despesa",LANÇ_MOV[CONTAS],$C202,LANÇ_MOV[PLANO DE CONTAS],REL_DRE_FINANCEIRO!$B$135,LANÇ_MOV[ANO PAGAMENTO],$B$4,LANÇ_MOV[MÊS PAGAMENTO CORRESPONDENTE],J$6,LANÇ_MOV[EMPRESA],$C$4,LANÇ_MOV[CENTRO DE CUSTOS],$D$4)</f>
        <v>0</v>
      </c>
      <c r="K202" s="206">
        <f>SUMIFS(LANÇ_MOV[VALOR LÍQUIDO],LANÇ_MOV[RECEITA OU DESPESA],"Despesa",LANÇ_MOV[CONTAS],$C202,LANÇ_MOV[PLANO DE CONTAS],REL_DRE_FINANCEIRO!$B$135,LANÇ_MOV[ANO PAGAMENTO],$B$4,LANÇ_MOV[MÊS PAGAMENTO CORRESPONDENTE],K$6,LANÇ_MOV[EMPRESA],$C$4,LANÇ_MOV[CENTRO DE CUSTOS],$D$4)</f>
        <v>0</v>
      </c>
      <c r="L202" s="206">
        <f>SUMIFS(LANÇ_MOV[VALOR LÍQUIDO],LANÇ_MOV[RECEITA OU DESPESA],"Despesa",LANÇ_MOV[CONTAS],$C202,LANÇ_MOV[PLANO DE CONTAS],REL_DRE_FINANCEIRO!$B$135,LANÇ_MOV[ANO PAGAMENTO],$B$4,LANÇ_MOV[MÊS PAGAMENTO CORRESPONDENTE],L$6,LANÇ_MOV[EMPRESA],$C$4,LANÇ_MOV[CENTRO DE CUSTOS],$D$4)</f>
        <v>0</v>
      </c>
      <c r="M202" s="206">
        <f>SUMIFS(LANÇ_MOV[VALOR LÍQUIDO],LANÇ_MOV[RECEITA OU DESPESA],"Despesa",LANÇ_MOV[CONTAS],$C202,LANÇ_MOV[PLANO DE CONTAS],REL_DRE_FINANCEIRO!$B$135,LANÇ_MOV[ANO PAGAMENTO],$B$4,LANÇ_MOV[MÊS PAGAMENTO CORRESPONDENTE],M$6,LANÇ_MOV[EMPRESA],$C$4,LANÇ_MOV[CENTRO DE CUSTOS],$D$4)</f>
        <v>0</v>
      </c>
      <c r="N202" s="206">
        <f>SUMIFS(LANÇ_MOV[VALOR LÍQUIDO],LANÇ_MOV[RECEITA OU DESPESA],"Despesa",LANÇ_MOV[CONTAS],$C202,LANÇ_MOV[PLANO DE CONTAS],REL_DRE_FINANCEIRO!$B$135,LANÇ_MOV[ANO PAGAMENTO],$B$4,LANÇ_MOV[MÊS PAGAMENTO CORRESPONDENTE],N$6,LANÇ_MOV[EMPRESA],$C$4,LANÇ_MOV[CENTRO DE CUSTOS],$D$4)</f>
        <v>0</v>
      </c>
      <c r="O202" s="206">
        <f>SUMIFS(LANÇ_MOV[VALOR LÍQUIDO],LANÇ_MOV[RECEITA OU DESPESA],"Despesa",LANÇ_MOV[CONTAS],$C202,LANÇ_MOV[PLANO DE CONTAS],REL_DRE_FINANCEIRO!$B$135,LANÇ_MOV[ANO PAGAMENTO],$B$4,LANÇ_MOV[MÊS PAGAMENTO CORRESPONDENTE],O$6,LANÇ_MOV[EMPRESA],$C$4,LANÇ_MOV[CENTRO DE CUSTOS],$D$4)</f>
        <v>0</v>
      </c>
      <c r="P202" s="207">
        <f t="shared" si="35"/>
        <v>0</v>
      </c>
      <c r="Q202" s="333">
        <v>3.5500000000000002E-5</v>
      </c>
      <c r="R202" s="346">
        <f t="shared" si="37"/>
        <v>3.5500000000000002E-5</v>
      </c>
      <c r="S202" s="347" t="str">
        <f t="shared" si="38"/>
        <v>-</v>
      </c>
      <c r="T202" s="347">
        <f t="shared" si="39"/>
        <v>0</v>
      </c>
      <c r="U202" s="347">
        <f>HLOOKUP(Apoio!$P$12,$D$134:$P$235,X202,FALSE)+Q202</f>
        <v>3.5500000000000002E-5</v>
      </c>
      <c r="V202" s="447" t="str">
        <f t="shared" si="36"/>
        <v>-</v>
      </c>
      <c r="W202" s="448">
        <f>HLOOKUP(Apoio!$P$12,$D$134:$P$235,X202,FALSE)</f>
        <v>0</v>
      </c>
      <c r="X202" s="329">
        <v>69</v>
      </c>
    </row>
    <row r="203" spans="2:24" ht="30.05" customHeight="1" x14ac:dyDescent="0.35">
      <c r="B203" s="204" t="str">
        <f>'CAD_PL_REC-DESP'!K72</f>
        <v>2.1.68</v>
      </c>
      <c r="C203" s="205" t="str">
        <f>IF('CAD_PL_REC-DESP'!L72="","-",'CAD_PL_REC-DESP'!L72)</f>
        <v>-</v>
      </c>
      <c r="D203" s="206">
        <f>SUMIFS(LANÇ_MOV[VALOR LÍQUIDO],LANÇ_MOV[RECEITA OU DESPESA],"Despesa",LANÇ_MOV[CONTAS],$C203,LANÇ_MOV[PLANO DE CONTAS],REL_DRE_FINANCEIRO!$B$135,LANÇ_MOV[ANO PAGAMENTO],$B$4,LANÇ_MOV[MÊS PAGAMENTO CORRESPONDENTE],D$6,LANÇ_MOV[EMPRESA],$C$4,LANÇ_MOV[CENTRO DE CUSTOS],$D$4)</f>
        <v>0</v>
      </c>
      <c r="E203" s="206">
        <f>SUMIFS(LANÇ_MOV[VALOR LÍQUIDO],LANÇ_MOV[RECEITA OU DESPESA],"Despesa",LANÇ_MOV[CONTAS],$C203,LANÇ_MOV[PLANO DE CONTAS],REL_DRE_FINANCEIRO!$B$135,LANÇ_MOV[ANO PAGAMENTO],$B$4,LANÇ_MOV[MÊS PAGAMENTO CORRESPONDENTE],E$6,LANÇ_MOV[EMPRESA],$C$4,LANÇ_MOV[CENTRO DE CUSTOS],$D$4)</f>
        <v>0</v>
      </c>
      <c r="F203" s="206">
        <f>SUMIFS(LANÇ_MOV[VALOR LÍQUIDO],LANÇ_MOV[RECEITA OU DESPESA],"Despesa",LANÇ_MOV[CONTAS],$C203,LANÇ_MOV[PLANO DE CONTAS],REL_DRE_FINANCEIRO!$B$135,LANÇ_MOV[ANO PAGAMENTO],$B$4,LANÇ_MOV[MÊS PAGAMENTO CORRESPONDENTE],F$6,LANÇ_MOV[EMPRESA],$C$4,LANÇ_MOV[CENTRO DE CUSTOS],$D$4)</f>
        <v>0</v>
      </c>
      <c r="G203" s="206">
        <f>SUMIFS(LANÇ_MOV[VALOR LÍQUIDO],LANÇ_MOV[RECEITA OU DESPESA],"Despesa",LANÇ_MOV[CONTAS],$C203,LANÇ_MOV[PLANO DE CONTAS],REL_DRE_FINANCEIRO!$B$135,LANÇ_MOV[ANO PAGAMENTO],$B$4,LANÇ_MOV[MÊS PAGAMENTO CORRESPONDENTE],G$6,LANÇ_MOV[EMPRESA],$C$4,LANÇ_MOV[CENTRO DE CUSTOS],$D$4)</f>
        <v>0</v>
      </c>
      <c r="H203" s="206">
        <f>SUMIFS(LANÇ_MOV[VALOR LÍQUIDO],LANÇ_MOV[RECEITA OU DESPESA],"Despesa",LANÇ_MOV[CONTAS],$C203,LANÇ_MOV[PLANO DE CONTAS],REL_DRE_FINANCEIRO!$B$135,LANÇ_MOV[ANO PAGAMENTO],$B$4,LANÇ_MOV[MÊS PAGAMENTO CORRESPONDENTE],H$6,LANÇ_MOV[EMPRESA],$C$4,LANÇ_MOV[CENTRO DE CUSTOS],$D$4)</f>
        <v>0</v>
      </c>
      <c r="I203" s="206">
        <f>SUMIFS(LANÇ_MOV[VALOR LÍQUIDO],LANÇ_MOV[RECEITA OU DESPESA],"Despesa",LANÇ_MOV[CONTAS],$C203,LANÇ_MOV[PLANO DE CONTAS],REL_DRE_FINANCEIRO!$B$135,LANÇ_MOV[ANO PAGAMENTO],$B$4,LANÇ_MOV[MÊS PAGAMENTO CORRESPONDENTE],I$6,LANÇ_MOV[EMPRESA],$C$4,LANÇ_MOV[CENTRO DE CUSTOS],$D$4)</f>
        <v>0</v>
      </c>
      <c r="J203" s="206">
        <f>SUMIFS(LANÇ_MOV[VALOR LÍQUIDO],LANÇ_MOV[RECEITA OU DESPESA],"Despesa",LANÇ_MOV[CONTAS],$C203,LANÇ_MOV[PLANO DE CONTAS],REL_DRE_FINANCEIRO!$B$135,LANÇ_MOV[ANO PAGAMENTO],$B$4,LANÇ_MOV[MÊS PAGAMENTO CORRESPONDENTE],J$6,LANÇ_MOV[EMPRESA],$C$4,LANÇ_MOV[CENTRO DE CUSTOS],$D$4)</f>
        <v>0</v>
      </c>
      <c r="K203" s="206">
        <f>SUMIFS(LANÇ_MOV[VALOR LÍQUIDO],LANÇ_MOV[RECEITA OU DESPESA],"Despesa",LANÇ_MOV[CONTAS],$C203,LANÇ_MOV[PLANO DE CONTAS],REL_DRE_FINANCEIRO!$B$135,LANÇ_MOV[ANO PAGAMENTO],$B$4,LANÇ_MOV[MÊS PAGAMENTO CORRESPONDENTE],K$6,LANÇ_MOV[EMPRESA],$C$4,LANÇ_MOV[CENTRO DE CUSTOS],$D$4)</f>
        <v>0</v>
      </c>
      <c r="L203" s="206">
        <f>SUMIFS(LANÇ_MOV[VALOR LÍQUIDO],LANÇ_MOV[RECEITA OU DESPESA],"Despesa",LANÇ_MOV[CONTAS],$C203,LANÇ_MOV[PLANO DE CONTAS],REL_DRE_FINANCEIRO!$B$135,LANÇ_MOV[ANO PAGAMENTO],$B$4,LANÇ_MOV[MÊS PAGAMENTO CORRESPONDENTE],L$6,LANÇ_MOV[EMPRESA],$C$4,LANÇ_MOV[CENTRO DE CUSTOS],$D$4)</f>
        <v>0</v>
      </c>
      <c r="M203" s="206">
        <f>SUMIFS(LANÇ_MOV[VALOR LÍQUIDO],LANÇ_MOV[RECEITA OU DESPESA],"Despesa",LANÇ_MOV[CONTAS],$C203,LANÇ_MOV[PLANO DE CONTAS],REL_DRE_FINANCEIRO!$B$135,LANÇ_MOV[ANO PAGAMENTO],$B$4,LANÇ_MOV[MÊS PAGAMENTO CORRESPONDENTE],M$6,LANÇ_MOV[EMPRESA],$C$4,LANÇ_MOV[CENTRO DE CUSTOS],$D$4)</f>
        <v>0</v>
      </c>
      <c r="N203" s="206">
        <f>SUMIFS(LANÇ_MOV[VALOR LÍQUIDO],LANÇ_MOV[RECEITA OU DESPESA],"Despesa",LANÇ_MOV[CONTAS],$C203,LANÇ_MOV[PLANO DE CONTAS],REL_DRE_FINANCEIRO!$B$135,LANÇ_MOV[ANO PAGAMENTO],$B$4,LANÇ_MOV[MÊS PAGAMENTO CORRESPONDENTE],N$6,LANÇ_MOV[EMPRESA],$C$4,LANÇ_MOV[CENTRO DE CUSTOS],$D$4)</f>
        <v>0</v>
      </c>
      <c r="O203" s="206">
        <f>SUMIFS(LANÇ_MOV[VALOR LÍQUIDO],LANÇ_MOV[RECEITA OU DESPESA],"Despesa",LANÇ_MOV[CONTAS],$C203,LANÇ_MOV[PLANO DE CONTAS],REL_DRE_FINANCEIRO!$B$135,LANÇ_MOV[ANO PAGAMENTO],$B$4,LANÇ_MOV[MÊS PAGAMENTO CORRESPONDENTE],O$6,LANÇ_MOV[EMPRESA],$C$4,LANÇ_MOV[CENTRO DE CUSTOS],$D$4)</f>
        <v>0</v>
      </c>
      <c r="P203" s="207">
        <f t="shared" si="35"/>
        <v>0</v>
      </c>
      <c r="Q203" s="333">
        <v>3.54E-5</v>
      </c>
      <c r="R203" s="346">
        <f t="shared" si="37"/>
        <v>3.54E-5</v>
      </c>
      <c r="S203" s="347" t="str">
        <f t="shared" si="38"/>
        <v>-</v>
      </c>
      <c r="T203" s="347">
        <f t="shared" si="39"/>
        <v>0</v>
      </c>
      <c r="U203" s="347">
        <f>HLOOKUP(Apoio!$P$12,$D$134:$P$235,X203,FALSE)+Q203</f>
        <v>3.54E-5</v>
      </c>
      <c r="V203" s="447" t="str">
        <f t="shared" si="36"/>
        <v>-</v>
      </c>
      <c r="W203" s="448">
        <f>HLOOKUP(Apoio!$P$12,$D$134:$P$235,X203,FALSE)</f>
        <v>0</v>
      </c>
      <c r="X203" s="329">
        <v>70</v>
      </c>
    </row>
    <row r="204" spans="2:24" ht="30.05" customHeight="1" x14ac:dyDescent="0.35">
      <c r="B204" s="204" t="str">
        <f>'CAD_PL_REC-DESP'!K73</f>
        <v>2.1.69</v>
      </c>
      <c r="C204" s="205" t="str">
        <f>IF('CAD_PL_REC-DESP'!L73="","-",'CAD_PL_REC-DESP'!L73)</f>
        <v>-</v>
      </c>
      <c r="D204" s="206">
        <f>SUMIFS(LANÇ_MOV[VALOR LÍQUIDO],LANÇ_MOV[RECEITA OU DESPESA],"Despesa",LANÇ_MOV[CONTAS],$C204,LANÇ_MOV[PLANO DE CONTAS],REL_DRE_FINANCEIRO!$B$135,LANÇ_MOV[ANO PAGAMENTO],$B$4,LANÇ_MOV[MÊS PAGAMENTO CORRESPONDENTE],D$6,LANÇ_MOV[EMPRESA],$C$4,LANÇ_MOV[CENTRO DE CUSTOS],$D$4)</f>
        <v>0</v>
      </c>
      <c r="E204" s="206">
        <f>SUMIFS(LANÇ_MOV[VALOR LÍQUIDO],LANÇ_MOV[RECEITA OU DESPESA],"Despesa",LANÇ_MOV[CONTAS],$C204,LANÇ_MOV[PLANO DE CONTAS],REL_DRE_FINANCEIRO!$B$135,LANÇ_MOV[ANO PAGAMENTO],$B$4,LANÇ_MOV[MÊS PAGAMENTO CORRESPONDENTE],E$6,LANÇ_MOV[EMPRESA],$C$4,LANÇ_MOV[CENTRO DE CUSTOS],$D$4)</f>
        <v>0</v>
      </c>
      <c r="F204" s="206">
        <f>SUMIFS(LANÇ_MOV[VALOR LÍQUIDO],LANÇ_MOV[RECEITA OU DESPESA],"Despesa",LANÇ_MOV[CONTAS],$C204,LANÇ_MOV[PLANO DE CONTAS],REL_DRE_FINANCEIRO!$B$135,LANÇ_MOV[ANO PAGAMENTO],$B$4,LANÇ_MOV[MÊS PAGAMENTO CORRESPONDENTE],F$6,LANÇ_MOV[EMPRESA],$C$4,LANÇ_MOV[CENTRO DE CUSTOS],$D$4)</f>
        <v>0</v>
      </c>
      <c r="G204" s="206">
        <f>SUMIFS(LANÇ_MOV[VALOR LÍQUIDO],LANÇ_MOV[RECEITA OU DESPESA],"Despesa",LANÇ_MOV[CONTAS],$C204,LANÇ_MOV[PLANO DE CONTAS],REL_DRE_FINANCEIRO!$B$135,LANÇ_MOV[ANO PAGAMENTO],$B$4,LANÇ_MOV[MÊS PAGAMENTO CORRESPONDENTE],G$6,LANÇ_MOV[EMPRESA],$C$4,LANÇ_MOV[CENTRO DE CUSTOS],$D$4)</f>
        <v>0</v>
      </c>
      <c r="H204" s="206">
        <f>SUMIFS(LANÇ_MOV[VALOR LÍQUIDO],LANÇ_MOV[RECEITA OU DESPESA],"Despesa",LANÇ_MOV[CONTAS],$C204,LANÇ_MOV[PLANO DE CONTAS],REL_DRE_FINANCEIRO!$B$135,LANÇ_MOV[ANO PAGAMENTO],$B$4,LANÇ_MOV[MÊS PAGAMENTO CORRESPONDENTE],H$6,LANÇ_MOV[EMPRESA],$C$4,LANÇ_MOV[CENTRO DE CUSTOS],$D$4)</f>
        <v>0</v>
      </c>
      <c r="I204" s="206">
        <f>SUMIFS(LANÇ_MOV[VALOR LÍQUIDO],LANÇ_MOV[RECEITA OU DESPESA],"Despesa",LANÇ_MOV[CONTAS],$C204,LANÇ_MOV[PLANO DE CONTAS],REL_DRE_FINANCEIRO!$B$135,LANÇ_MOV[ANO PAGAMENTO],$B$4,LANÇ_MOV[MÊS PAGAMENTO CORRESPONDENTE],I$6,LANÇ_MOV[EMPRESA],$C$4,LANÇ_MOV[CENTRO DE CUSTOS],$D$4)</f>
        <v>0</v>
      </c>
      <c r="J204" s="206">
        <f>SUMIFS(LANÇ_MOV[VALOR LÍQUIDO],LANÇ_MOV[RECEITA OU DESPESA],"Despesa",LANÇ_MOV[CONTAS],$C204,LANÇ_MOV[PLANO DE CONTAS],REL_DRE_FINANCEIRO!$B$135,LANÇ_MOV[ANO PAGAMENTO],$B$4,LANÇ_MOV[MÊS PAGAMENTO CORRESPONDENTE],J$6,LANÇ_MOV[EMPRESA],$C$4,LANÇ_MOV[CENTRO DE CUSTOS],$D$4)</f>
        <v>0</v>
      </c>
      <c r="K204" s="206">
        <f>SUMIFS(LANÇ_MOV[VALOR LÍQUIDO],LANÇ_MOV[RECEITA OU DESPESA],"Despesa",LANÇ_MOV[CONTAS],$C204,LANÇ_MOV[PLANO DE CONTAS],REL_DRE_FINANCEIRO!$B$135,LANÇ_MOV[ANO PAGAMENTO],$B$4,LANÇ_MOV[MÊS PAGAMENTO CORRESPONDENTE],K$6,LANÇ_MOV[EMPRESA],$C$4,LANÇ_MOV[CENTRO DE CUSTOS],$D$4)</f>
        <v>0</v>
      </c>
      <c r="L204" s="206">
        <f>SUMIFS(LANÇ_MOV[VALOR LÍQUIDO],LANÇ_MOV[RECEITA OU DESPESA],"Despesa",LANÇ_MOV[CONTAS],$C204,LANÇ_MOV[PLANO DE CONTAS],REL_DRE_FINANCEIRO!$B$135,LANÇ_MOV[ANO PAGAMENTO],$B$4,LANÇ_MOV[MÊS PAGAMENTO CORRESPONDENTE],L$6,LANÇ_MOV[EMPRESA],$C$4,LANÇ_MOV[CENTRO DE CUSTOS],$D$4)</f>
        <v>0</v>
      </c>
      <c r="M204" s="206">
        <f>SUMIFS(LANÇ_MOV[VALOR LÍQUIDO],LANÇ_MOV[RECEITA OU DESPESA],"Despesa",LANÇ_MOV[CONTAS],$C204,LANÇ_MOV[PLANO DE CONTAS],REL_DRE_FINANCEIRO!$B$135,LANÇ_MOV[ANO PAGAMENTO],$B$4,LANÇ_MOV[MÊS PAGAMENTO CORRESPONDENTE],M$6,LANÇ_MOV[EMPRESA],$C$4,LANÇ_MOV[CENTRO DE CUSTOS],$D$4)</f>
        <v>0</v>
      </c>
      <c r="N204" s="206">
        <f>SUMIFS(LANÇ_MOV[VALOR LÍQUIDO],LANÇ_MOV[RECEITA OU DESPESA],"Despesa",LANÇ_MOV[CONTAS],$C204,LANÇ_MOV[PLANO DE CONTAS],REL_DRE_FINANCEIRO!$B$135,LANÇ_MOV[ANO PAGAMENTO],$B$4,LANÇ_MOV[MÊS PAGAMENTO CORRESPONDENTE],N$6,LANÇ_MOV[EMPRESA],$C$4,LANÇ_MOV[CENTRO DE CUSTOS],$D$4)</f>
        <v>0</v>
      </c>
      <c r="O204" s="206">
        <f>SUMIFS(LANÇ_MOV[VALOR LÍQUIDO],LANÇ_MOV[RECEITA OU DESPESA],"Despesa",LANÇ_MOV[CONTAS],$C204,LANÇ_MOV[PLANO DE CONTAS],REL_DRE_FINANCEIRO!$B$135,LANÇ_MOV[ANO PAGAMENTO],$B$4,LANÇ_MOV[MÊS PAGAMENTO CORRESPONDENTE],O$6,LANÇ_MOV[EMPRESA],$C$4,LANÇ_MOV[CENTRO DE CUSTOS],$D$4)</f>
        <v>0</v>
      </c>
      <c r="P204" s="207">
        <f t="shared" si="35"/>
        <v>0</v>
      </c>
      <c r="Q204" s="333">
        <v>3.5299999999999997E-5</v>
      </c>
      <c r="R204" s="346">
        <f t="shared" si="37"/>
        <v>3.5299999999999997E-5</v>
      </c>
      <c r="S204" s="347" t="str">
        <f t="shared" si="38"/>
        <v>-</v>
      </c>
      <c r="T204" s="347">
        <f t="shared" si="39"/>
        <v>0</v>
      </c>
      <c r="U204" s="347">
        <f>HLOOKUP(Apoio!$P$12,$D$134:$P$235,X204,FALSE)+Q204</f>
        <v>3.5299999999999997E-5</v>
      </c>
      <c r="V204" s="447" t="str">
        <f t="shared" si="36"/>
        <v>-</v>
      </c>
      <c r="W204" s="448">
        <f>HLOOKUP(Apoio!$P$12,$D$134:$P$235,X204,FALSE)</f>
        <v>0</v>
      </c>
      <c r="X204" s="329">
        <v>71</v>
      </c>
    </row>
    <row r="205" spans="2:24" ht="30.05" customHeight="1" x14ac:dyDescent="0.35">
      <c r="B205" s="204" t="str">
        <f>'CAD_PL_REC-DESP'!K74</f>
        <v>2.1.70</v>
      </c>
      <c r="C205" s="205" t="str">
        <f>IF('CAD_PL_REC-DESP'!L74="","-",'CAD_PL_REC-DESP'!L74)</f>
        <v>-</v>
      </c>
      <c r="D205" s="206">
        <f>SUMIFS(LANÇ_MOV[VALOR LÍQUIDO],LANÇ_MOV[RECEITA OU DESPESA],"Despesa",LANÇ_MOV[CONTAS],$C205,LANÇ_MOV[PLANO DE CONTAS],REL_DRE_FINANCEIRO!$B$135,LANÇ_MOV[ANO PAGAMENTO],$B$4,LANÇ_MOV[MÊS PAGAMENTO CORRESPONDENTE],D$6,LANÇ_MOV[EMPRESA],$C$4,LANÇ_MOV[CENTRO DE CUSTOS],$D$4)</f>
        <v>0</v>
      </c>
      <c r="E205" s="206">
        <f>SUMIFS(LANÇ_MOV[VALOR LÍQUIDO],LANÇ_MOV[RECEITA OU DESPESA],"Despesa",LANÇ_MOV[CONTAS],$C205,LANÇ_MOV[PLANO DE CONTAS],REL_DRE_FINANCEIRO!$B$135,LANÇ_MOV[ANO PAGAMENTO],$B$4,LANÇ_MOV[MÊS PAGAMENTO CORRESPONDENTE],E$6,LANÇ_MOV[EMPRESA],$C$4,LANÇ_MOV[CENTRO DE CUSTOS],$D$4)</f>
        <v>0</v>
      </c>
      <c r="F205" s="206">
        <f>SUMIFS(LANÇ_MOV[VALOR LÍQUIDO],LANÇ_MOV[RECEITA OU DESPESA],"Despesa",LANÇ_MOV[CONTAS],$C205,LANÇ_MOV[PLANO DE CONTAS],REL_DRE_FINANCEIRO!$B$135,LANÇ_MOV[ANO PAGAMENTO],$B$4,LANÇ_MOV[MÊS PAGAMENTO CORRESPONDENTE],F$6,LANÇ_MOV[EMPRESA],$C$4,LANÇ_MOV[CENTRO DE CUSTOS],$D$4)</f>
        <v>0</v>
      </c>
      <c r="G205" s="206">
        <f>SUMIFS(LANÇ_MOV[VALOR LÍQUIDO],LANÇ_MOV[RECEITA OU DESPESA],"Despesa",LANÇ_MOV[CONTAS],$C205,LANÇ_MOV[PLANO DE CONTAS],REL_DRE_FINANCEIRO!$B$135,LANÇ_MOV[ANO PAGAMENTO],$B$4,LANÇ_MOV[MÊS PAGAMENTO CORRESPONDENTE],G$6,LANÇ_MOV[EMPRESA],$C$4,LANÇ_MOV[CENTRO DE CUSTOS],$D$4)</f>
        <v>0</v>
      </c>
      <c r="H205" s="206">
        <f>SUMIFS(LANÇ_MOV[VALOR LÍQUIDO],LANÇ_MOV[RECEITA OU DESPESA],"Despesa",LANÇ_MOV[CONTAS],$C205,LANÇ_MOV[PLANO DE CONTAS],REL_DRE_FINANCEIRO!$B$135,LANÇ_MOV[ANO PAGAMENTO],$B$4,LANÇ_MOV[MÊS PAGAMENTO CORRESPONDENTE],H$6,LANÇ_MOV[EMPRESA],$C$4,LANÇ_MOV[CENTRO DE CUSTOS],$D$4)</f>
        <v>0</v>
      </c>
      <c r="I205" s="206">
        <f>SUMIFS(LANÇ_MOV[VALOR LÍQUIDO],LANÇ_MOV[RECEITA OU DESPESA],"Despesa",LANÇ_MOV[CONTAS],$C205,LANÇ_MOV[PLANO DE CONTAS],REL_DRE_FINANCEIRO!$B$135,LANÇ_MOV[ANO PAGAMENTO],$B$4,LANÇ_MOV[MÊS PAGAMENTO CORRESPONDENTE],I$6,LANÇ_MOV[EMPRESA],$C$4,LANÇ_MOV[CENTRO DE CUSTOS],$D$4)</f>
        <v>0</v>
      </c>
      <c r="J205" s="206">
        <f>SUMIFS(LANÇ_MOV[VALOR LÍQUIDO],LANÇ_MOV[RECEITA OU DESPESA],"Despesa",LANÇ_MOV[CONTAS],$C205,LANÇ_MOV[PLANO DE CONTAS],REL_DRE_FINANCEIRO!$B$135,LANÇ_MOV[ANO PAGAMENTO],$B$4,LANÇ_MOV[MÊS PAGAMENTO CORRESPONDENTE],J$6,LANÇ_MOV[EMPRESA],$C$4,LANÇ_MOV[CENTRO DE CUSTOS],$D$4)</f>
        <v>0</v>
      </c>
      <c r="K205" s="206">
        <f>SUMIFS(LANÇ_MOV[VALOR LÍQUIDO],LANÇ_MOV[RECEITA OU DESPESA],"Despesa",LANÇ_MOV[CONTAS],$C205,LANÇ_MOV[PLANO DE CONTAS],REL_DRE_FINANCEIRO!$B$135,LANÇ_MOV[ANO PAGAMENTO],$B$4,LANÇ_MOV[MÊS PAGAMENTO CORRESPONDENTE],K$6,LANÇ_MOV[EMPRESA],$C$4,LANÇ_MOV[CENTRO DE CUSTOS],$D$4)</f>
        <v>0</v>
      </c>
      <c r="L205" s="206">
        <f>SUMIFS(LANÇ_MOV[VALOR LÍQUIDO],LANÇ_MOV[RECEITA OU DESPESA],"Despesa",LANÇ_MOV[CONTAS],$C205,LANÇ_MOV[PLANO DE CONTAS],REL_DRE_FINANCEIRO!$B$135,LANÇ_MOV[ANO PAGAMENTO],$B$4,LANÇ_MOV[MÊS PAGAMENTO CORRESPONDENTE],L$6,LANÇ_MOV[EMPRESA],$C$4,LANÇ_MOV[CENTRO DE CUSTOS],$D$4)</f>
        <v>0</v>
      </c>
      <c r="M205" s="206">
        <f>SUMIFS(LANÇ_MOV[VALOR LÍQUIDO],LANÇ_MOV[RECEITA OU DESPESA],"Despesa",LANÇ_MOV[CONTAS],$C205,LANÇ_MOV[PLANO DE CONTAS],REL_DRE_FINANCEIRO!$B$135,LANÇ_MOV[ANO PAGAMENTO],$B$4,LANÇ_MOV[MÊS PAGAMENTO CORRESPONDENTE],M$6,LANÇ_MOV[EMPRESA],$C$4,LANÇ_MOV[CENTRO DE CUSTOS],$D$4)</f>
        <v>0</v>
      </c>
      <c r="N205" s="206">
        <f>SUMIFS(LANÇ_MOV[VALOR LÍQUIDO],LANÇ_MOV[RECEITA OU DESPESA],"Despesa",LANÇ_MOV[CONTAS],$C205,LANÇ_MOV[PLANO DE CONTAS],REL_DRE_FINANCEIRO!$B$135,LANÇ_MOV[ANO PAGAMENTO],$B$4,LANÇ_MOV[MÊS PAGAMENTO CORRESPONDENTE],N$6,LANÇ_MOV[EMPRESA],$C$4,LANÇ_MOV[CENTRO DE CUSTOS],$D$4)</f>
        <v>0</v>
      </c>
      <c r="O205" s="206">
        <f>SUMIFS(LANÇ_MOV[VALOR LÍQUIDO],LANÇ_MOV[RECEITA OU DESPESA],"Despesa",LANÇ_MOV[CONTAS],$C205,LANÇ_MOV[PLANO DE CONTAS],REL_DRE_FINANCEIRO!$B$135,LANÇ_MOV[ANO PAGAMENTO],$B$4,LANÇ_MOV[MÊS PAGAMENTO CORRESPONDENTE],O$6,LANÇ_MOV[EMPRESA],$C$4,LANÇ_MOV[CENTRO DE CUSTOS],$D$4)</f>
        <v>0</v>
      </c>
      <c r="P205" s="207">
        <f t="shared" si="35"/>
        <v>0</v>
      </c>
      <c r="Q205" s="333">
        <v>3.5200000000000002E-5</v>
      </c>
      <c r="R205" s="346">
        <f t="shared" si="37"/>
        <v>3.5200000000000002E-5</v>
      </c>
      <c r="S205" s="347" t="str">
        <f t="shared" si="38"/>
        <v>-</v>
      </c>
      <c r="T205" s="347">
        <f t="shared" si="39"/>
        <v>0</v>
      </c>
      <c r="U205" s="347">
        <f>HLOOKUP(Apoio!$P$12,$D$134:$P$235,X205,FALSE)+Q205</f>
        <v>3.5200000000000002E-5</v>
      </c>
      <c r="V205" s="447" t="str">
        <f t="shared" si="36"/>
        <v>-</v>
      </c>
      <c r="W205" s="448">
        <f>HLOOKUP(Apoio!$P$12,$D$134:$P$235,X205,FALSE)</f>
        <v>0</v>
      </c>
      <c r="X205" s="329">
        <v>72</v>
      </c>
    </row>
    <row r="206" spans="2:24" ht="30.05" customHeight="1" x14ac:dyDescent="0.35">
      <c r="B206" s="204" t="str">
        <f>'CAD_PL_REC-DESP'!K75</f>
        <v>2.1.71</v>
      </c>
      <c r="C206" s="205" t="str">
        <f>IF('CAD_PL_REC-DESP'!L75="","-",'CAD_PL_REC-DESP'!L75)</f>
        <v>-</v>
      </c>
      <c r="D206" s="206">
        <f>SUMIFS(LANÇ_MOV[VALOR LÍQUIDO],LANÇ_MOV[RECEITA OU DESPESA],"Despesa",LANÇ_MOV[CONTAS],$C206,LANÇ_MOV[PLANO DE CONTAS],REL_DRE_FINANCEIRO!$B$135,LANÇ_MOV[ANO PAGAMENTO],$B$4,LANÇ_MOV[MÊS PAGAMENTO CORRESPONDENTE],D$6,LANÇ_MOV[EMPRESA],$C$4,LANÇ_MOV[CENTRO DE CUSTOS],$D$4)</f>
        <v>0</v>
      </c>
      <c r="E206" s="206">
        <f>SUMIFS(LANÇ_MOV[VALOR LÍQUIDO],LANÇ_MOV[RECEITA OU DESPESA],"Despesa",LANÇ_MOV[CONTAS],$C206,LANÇ_MOV[PLANO DE CONTAS],REL_DRE_FINANCEIRO!$B$135,LANÇ_MOV[ANO PAGAMENTO],$B$4,LANÇ_MOV[MÊS PAGAMENTO CORRESPONDENTE],E$6,LANÇ_MOV[EMPRESA],$C$4,LANÇ_MOV[CENTRO DE CUSTOS],$D$4)</f>
        <v>0</v>
      </c>
      <c r="F206" s="206">
        <f>SUMIFS(LANÇ_MOV[VALOR LÍQUIDO],LANÇ_MOV[RECEITA OU DESPESA],"Despesa",LANÇ_MOV[CONTAS],$C206,LANÇ_MOV[PLANO DE CONTAS],REL_DRE_FINANCEIRO!$B$135,LANÇ_MOV[ANO PAGAMENTO],$B$4,LANÇ_MOV[MÊS PAGAMENTO CORRESPONDENTE],F$6,LANÇ_MOV[EMPRESA],$C$4,LANÇ_MOV[CENTRO DE CUSTOS],$D$4)</f>
        <v>0</v>
      </c>
      <c r="G206" s="206">
        <f>SUMIFS(LANÇ_MOV[VALOR LÍQUIDO],LANÇ_MOV[RECEITA OU DESPESA],"Despesa",LANÇ_MOV[CONTAS],$C206,LANÇ_MOV[PLANO DE CONTAS],REL_DRE_FINANCEIRO!$B$135,LANÇ_MOV[ANO PAGAMENTO],$B$4,LANÇ_MOV[MÊS PAGAMENTO CORRESPONDENTE],G$6,LANÇ_MOV[EMPRESA],$C$4,LANÇ_MOV[CENTRO DE CUSTOS],$D$4)</f>
        <v>0</v>
      </c>
      <c r="H206" s="206">
        <f>SUMIFS(LANÇ_MOV[VALOR LÍQUIDO],LANÇ_MOV[RECEITA OU DESPESA],"Despesa",LANÇ_MOV[CONTAS],$C206,LANÇ_MOV[PLANO DE CONTAS],REL_DRE_FINANCEIRO!$B$135,LANÇ_MOV[ANO PAGAMENTO],$B$4,LANÇ_MOV[MÊS PAGAMENTO CORRESPONDENTE],H$6,LANÇ_MOV[EMPRESA],$C$4,LANÇ_MOV[CENTRO DE CUSTOS],$D$4)</f>
        <v>0</v>
      </c>
      <c r="I206" s="206">
        <f>SUMIFS(LANÇ_MOV[VALOR LÍQUIDO],LANÇ_MOV[RECEITA OU DESPESA],"Despesa",LANÇ_MOV[CONTAS],$C206,LANÇ_MOV[PLANO DE CONTAS],REL_DRE_FINANCEIRO!$B$135,LANÇ_MOV[ANO PAGAMENTO],$B$4,LANÇ_MOV[MÊS PAGAMENTO CORRESPONDENTE],I$6,LANÇ_MOV[EMPRESA],$C$4,LANÇ_MOV[CENTRO DE CUSTOS],$D$4)</f>
        <v>0</v>
      </c>
      <c r="J206" s="206">
        <f>SUMIFS(LANÇ_MOV[VALOR LÍQUIDO],LANÇ_MOV[RECEITA OU DESPESA],"Despesa",LANÇ_MOV[CONTAS],$C206,LANÇ_MOV[PLANO DE CONTAS],REL_DRE_FINANCEIRO!$B$135,LANÇ_MOV[ANO PAGAMENTO],$B$4,LANÇ_MOV[MÊS PAGAMENTO CORRESPONDENTE],J$6,LANÇ_MOV[EMPRESA],$C$4,LANÇ_MOV[CENTRO DE CUSTOS],$D$4)</f>
        <v>0</v>
      </c>
      <c r="K206" s="206">
        <f>SUMIFS(LANÇ_MOV[VALOR LÍQUIDO],LANÇ_MOV[RECEITA OU DESPESA],"Despesa",LANÇ_MOV[CONTAS],$C206,LANÇ_MOV[PLANO DE CONTAS],REL_DRE_FINANCEIRO!$B$135,LANÇ_MOV[ANO PAGAMENTO],$B$4,LANÇ_MOV[MÊS PAGAMENTO CORRESPONDENTE],K$6,LANÇ_MOV[EMPRESA],$C$4,LANÇ_MOV[CENTRO DE CUSTOS],$D$4)</f>
        <v>0</v>
      </c>
      <c r="L206" s="206">
        <f>SUMIFS(LANÇ_MOV[VALOR LÍQUIDO],LANÇ_MOV[RECEITA OU DESPESA],"Despesa",LANÇ_MOV[CONTAS],$C206,LANÇ_MOV[PLANO DE CONTAS],REL_DRE_FINANCEIRO!$B$135,LANÇ_MOV[ANO PAGAMENTO],$B$4,LANÇ_MOV[MÊS PAGAMENTO CORRESPONDENTE],L$6,LANÇ_MOV[EMPRESA],$C$4,LANÇ_MOV[CENTRO DE CUSTOS],$D$4)</f>
        <v>0</v>
      </c>
      <c r="M206" s="206">
        <f>SUMIFS(LANÇ_MOV[VALOR LÍQUIDO],LANÇ_MOV[RECEITA OU DESPESA],"Despesa",LANÇ_MOV[CONTAS],$C206,LANÇ_MOV[PLANO DE CONTAS],REL_DRE_FINANCEIRO!$B$135,LANÇ_MOV[ANO PAGAMENTO],$B$4,LANÇ_MOV[MÊS PAGAMENTO CORRESPONDENTE],M$6,LANÇ_MOV[EMPRESA],$C$4,LANÇ_MOV[CENTRO DE CUSTOS],$D$4)</f>
        <v>0</v>
      </c>
      <c r="N206" s="206">
        <f>SUMIFS(LANÇ_MOV[VALOR LÍQUIDO],LANÇ_MOV[RECEITA OU DESPESA],"Despesa",LANÇ_MOV[CONTAS],$C206,LANÇ_MOV[PLANO DE CONTAS],REL_DRE_FINANCEIRO!$B$135,LANÇ_MOV[ANO PAGAMENTO],$B$4,LANÇ_MOV[MÊS PAGAMENTO CORRESPONDENTE],N$6,LANÇ_MOV[EMPRESA],$C$4,LANÇ_MOV[CENTRO DE CUSTOS],$D$4)</f>
        <v>0</v>
      </c>
      <c r="O206" s="206">
        <f>SUMIFS(LANÇ_MOV[VALOR LÍQUIDO],LANÇ_MOV[RECEITA OU DESPESA],"Despesa",LANÇ_MOV[CONTAS],$C206,LANÇ_MOV[PLANO DE CONTAS],REL_DRE_FINANCEIRO!$B$135,LANÇ_MOV[ANO PAGAMENTO],$B$4,LANÇ_MOV[MÊS PAGAMENTO CORRESPONDENTE],O$6,LANÇ_MOV[EMPRESA],$C$4,LANÇ_MOV[CENTRO DE CUSTOS],$D$4)</f>
        <v>0</v>
      </c>
      <c r="P206" s="207">
        <f t="shared" si="35"/>
        <v>0</v>
      </c>
      <c r="Q206" s="333">
        <v>3.5099999999999999E-5</v>
      </c>
      <c r="R206" s="346">
        <f t="shared" si="37"/>
        <v>3.5099999999999999E-5</v>
      </c>
      <c r="S206" s="347" t="str">
        <f t="shared" si="38"/>
        <v>-</v>
      </c>
      <c r="T206" s="347">
        <f t="shared" si="39"/>
        <v>0</v>
      </c>
      <c r="U206" s="347">
        <f>HLOOKUP(Apoio!$P$12,$D$134:$P$235,X206,FALSE)+Q206</f>
        <v>3.5099999999999999E-5</v>
      </c>
      <c r="V206" s="447" t="str">
        <f t="shared" si="36"/>
        <v>-</v>
      </c>
      <c r="W206" s="448">
        <f>HLOOKUP(Apoio!$P$12,$D$134:$P$235,X206,FALSE)</f>
        <v>0</v>
      </c>
      <c r="X206" s="329">
        <v>73</v>
      </c>
    </row>
    <row r="207" spans="2:24" ht="30.05" customHeight="1" x14ac:dyDescent="0.35">
      <c r="B207" s="204" t="str">
        <f>'CAD_PL_REC-DESP'!K76</f>
        <v>2.1.72</v>
      </c>
      <c r="C207" s="205" t="str">
        <f>IF('CAD_PL_REC-DESP'!L76="","-",'CAD_PL_REC-DESP'!L76)</f>
        <v>-</v>
      </c>
      <c r="D207" s="206">
        <f>SUMIFS(LANÇ_MOV[VALOR LÍQUIDO],LANÇ_MOV[RECEITA OU DESPESA],"Despesa",LANÇ_MOV[CONTAS],$C207,LANÇ_MOV[PLANO DE CONTAS],REL_DRE_FINANCEIRO!$B$135,LANÇ_MOV[ANO PAGAMENTO],$B$4,LANÇ_MOV[MÊS PAGAMENTO CORRESPONDENTE],D$6,LANÇ_MOV[EMPRESA],$C$4,LANÇ_MOV[CENTRO DE CUSTOS],$D$4)</f>
        <v>0</v>
      </c>
      <c r="E207" s="206">
        <f>SUMIFS(LANÇ_MOV[VALOR LÍQUIDO],LANÇ_MOV[RECEITA OU DESPESA],"Despesa",LANÇ_MOV[CONTAS],$C207,LANÇ_MOV[PLANO DE CONTAS],REL_DRE_FINANCEIRO!$B$135,LANÇ_MOV[ANO PAGAMENTO],$B$4,LANÇ_MOV[MÊS PAGAMENTO CORRESPONDENTE],E$6,LANÇ_MOV[EMPRESA],$C$4,LANÇ_MOV[CENTRO DE CUSTOS],$D$4)</f>
        <v>0</v>
      </c>
      <c r="F207" s="206">
        <f>SUMIFS(LANÇ_MOV[VALOR LÍQUIDO],LANÇ_MOV[RECEITA OU DESPESA],"Despesa",LANÇ_MOV[CONTAS],$C207,LANÇ_MOV[PLANO DE CONTAS],REL_DRE_FINANCEIRO!$B$135,LANÇ_MOV[ANO PAGAMENTO],$B$4,LANÇ_MOV[MÊS PAGAMENTO CORRESPONDENTE],F$6,LANÇ_MOV[EMPRESA],$C$4,LANÇ_MOV[CENTRO DE CUSTOS],$D$4)</f>
        <v>0</v>
      </c>
      <c r="G207" s="206">
        <f>SUMIFS(LANÇ_MOV[VALOR LÍQUIDO],LANÇ_MOV[RECEITA OU DESPESA],"Despesa",LANÇ_MOV[CONTAS],$C207,LANÇ_MOV[PLANO DE CONTAS],REL_DRE_FINANCEIRO!$B$135,LANÇ_MOV[ANO PAGAMENTO],$B$4,LANÇ_MOV[MÊS PAGAMENTO CORRESPONDENTE],G$6,LANÇ_MOV[EMPRESA],$C$4,LANÇ_MOV[CENTRO DE CUSTOS],$D$4)</f>
        <v>0</v>
      </c>
      <c r="H207" s="206">
        <f>SUMIFS(LANÇ_MOV[VALOR LÍQUIDO],LANÇ_MOV[RECEITA OU DESPESA],"Despesa",LANÇ_MOV[CONTAS],$C207,LANÇ_MOV[PLANO DE CONTAS],REL_DRE_FINANCEIRO!$B$135,LANÇ_MOV[ANO PAGAMENTO],$B$4,LANÇ_MOV[MÊS PAGAMENTO CORRESPONDENTE],H$6,LANÇ_MOV[EMPRESA],$C$4,LANÇ_MOV[CENTRO DE CUSTOS],$D$4)</f>
        <v>0</v>
      </c>
      <c r="I207" s="206">
        <f>SUMIFS(LANÇ_MOV[VALOR LÍQUIDO],LANÇ_MOV[RECEITA OU DESPESA],"Despesa",LANÇ_MOV[CONTAS],$C207,LANÇ_MOV[PLANO DE CONTAS],REL_DRE_FINANCEIRO!$B$135,LANÇ_MOV[ANO PAGAMENTO],$B$4,LANÇ_MOV[MÊS PAGAMENTO CORRESPONDENTE],I$6,LANÇ_MOV[EMPRESA],$C$4,LANÇ_MOV[CENTRO DE CUSTOS],$D$4)</f>
        <v>0</v>
      </c>
      <c r="J207" s="206">
        <f>SUMIFS(LANÇ_MOV[VALOR LÍQUIDO],LANÇ_MOV[RECEITA OU DESPESA],"Despesa",LANÇ_MOV[CONTAS],$C207,LANÇ_MOV[PLANO DE CONTAS],REL_DRE_FINANCEIRO!$B$135,LANÇ_MOV[ANO PAGAMENTO],$B$4,LANÇ_MOV[MÊS PAGAMENTO CORRESPONDENTE],J$6,LANÇ_MOV[EMPRESA],$C$4,LANÇ_MOV[CENTRO DE CUSTOS],$D$4)</f>
        <v>0</v>
      </c>
      <c r="K207" s="206">
        <f>SUMIFS(LANÇ_MOV[VALOR LÍQUIDO],LANÇ_MOV[RECEITA OU DESPESA],"Despesa",LANÇ_MOV[CONTAS],$C207,LANÇ_MOV[PLANO DE CONTAS],REL_DRE_FINANCEIRO!$B$135,LANÇ_MOV[ANO PAGAMENTO],$B$4,LANÇ_MOV[MÊS PAGAMENTO CORRESPONDENTE],K$6,LANÇ_MOV[EMPRESA],$C$4,LANÇ_MOV[CENTRO DE CUSTOS],$D$4)</f>
        <v>0</v>
      </c>
      <c r="L207" s="206">
        <f>SUMIFS(LANÇ_MOV[VALOR LÍQUIDO],LANÇ_MOV[RECEITA OU DESPESA],"Despesa",LANÇ_MOV[CONTAS],$C207,LANÇ_MOV[PLANO DE CONTAS],REL_DRE_FINANCEIRO!$B$135,LANÇ_MOV[ANO PAGAMENTO],$B$4,LANÇ_MOV[MÊS PAGAMENTO CORRESPONDENTE],L$6,LANÇ_MOV[EMPRESA],$C$4,LANÇ_MOV[CENTRO DE CUSTOS],$D$4)</f>
        <v>0</v>
      </c>
      <c r="M207" s="206">
        <f>SUMIFS(LANÇ_MOV[VALOR LÍQUIDO],LANÇ_MOV[RECEITA OU DESPESA],"Despesa",LANÇ_MOV[CONTAS],$C207,LANÇ_MOV[PLANO DE CONTAS],REL_DRE_FINANCEIRO!$B$135,LANÇ_MOV[ANO PAGAMENTO],$B$4,LANÇ_MOV[MÊS PAGAMENTO CORRESPONDENTE],M$6,LANÇ_MOV[EMPRESA],$C$4,LANÇ_MOV[CENTRO DE CUSTOS],$D$4)</f>
        <v>0</v>
      </c>
      <c r="N207" s="206">
        <f>SUMIFS(LANÇ_MOV[VALOR LÍQUIDO],LANÇ_MOV[RECEITA OU DESPESA],"Despesa",LANÇ_MOV[CONTAS],$C207,LANÇ_MOV[PLANO DE CONTAS],REL_DRE_FINANCEIRO!$B$135,LANÇ_MOV[ANO PAGAMENTO],$B$4,LANÇ_MOV[MÊS PAGAMENTO CORRESPONDENTE],N$6,LANÇ_MOV[EMPRESA],$C$4,LANÇ_MOV[CENTRO DE CUSTOS],$D$4)</f>
        <v>0</v>
      </c>
      <c r="O207" s="206">
        <f>SUMIFS(LANÇ_MOV[VALOR LÍQUIDO],LANÇ_MOV[RECEITA OU DESPESA],"Despesa",LANÇ_MOV[CONTAS],$C207,LANÇ_MOV[PLANO DE CONTAS],REL_DRE_FINANCEIRO!$B$135,LANÇ_MOV[ANO PAGAMENTO],$B$4,LANÇ_MOV[MÊS PAGAMENTO CORRESPONDENTE],O$6,LANÇ_MOV[EMPRESA],$C$4,LANÇ_MOV[CENTRO DE CUSTOS],$D$4)</f>
        <v>0</v>
      </c>
      <c r="P207" s="207">
        <f t="shared" si="35"/>
        <v>0</v>
      </c>
      <c r="Q207" s="333">
        <v>3.4999999999999997E-5</v>
      </c>
      <c r="R207" s="346">
        <f t="shared" si="37"/>
        <v>3.4999999999999997E-5</v>
      </c>
      <c r="S207" s="347" t="str">
        <f t="shared" si="38"/>
        <v>-</v>
      </c>
      <c r="T207" s="347">
        <f t="shared" si="39"/>
        <v>0</v>
      </c>
      <c r="U207" s="347">
        <f>HLOOKUP(Apoio!$P$12,$D$134:$P$235,X207,FALSE)+Q207</f>
        <v>3.4999999999999997E-5</v>
      </c>
      <c r="V207" s="447" t="str">
        <f t="shared" si="36"/>
        <v>-</v>
      </c>
      <c r="W207" s="448">
        <f>HLOOKUP(Apoio!$P$12,$D$134:$P$235,X207,FALSE)</f>
        <v>0</v>
      </c>
      <c r="X207" s="329">
        <v>74</v>
      </c>
    </row>
    <row r="208" spans="2:24" ht="30.05" customHeight="1" x14ac:dyDescent="0.35">
      <c r="B208" s="204" t="str">
        <f>'CAD_PL_REC-DESP'!K77</f>
        <v>2.1.73</v>
      </c>
      <c r="C208" s="205" t="str">
        <f>IF('CAD_PL_REC-DESP'!L77="","-",'CAD_PL_REC-DESP'!L77)</f>
        <v>-</v>
      </c>
      <c r="D208" s="206">
        <f>SUMIFS(LANÇ_MOV[VALOR LÍQUIDO],LANÇ_MOV[RECEITA OU DESPESA],"Despesa",LANÇ_MOV[CONTAS],$C208,LANÇ_MOV[PLANO DE CONTAS],REL_DRE_FINANCEIRO!$B$135,LANÇ_MOV[ANO PAGAMENTO],$B$4,LANÇ_MOV[MÊS PAGAMENTO CORRESPONDENTE],D$6,LANÇ_MOV[EMPRESA],$C$4,LANÇ_MOV[CENTRO DE CUSTOS],$D$4)</f>
        <v>0</v>
      </c>
      <c r="E208" s="206">
        <f>SUMIFS(LANÇ_MOV[VALOR LÍQUIDO],LANÇ_MOV[RECEITA OU DESPESA],"Despesa",LANÇ_MOV[CONTAS],$C208,LANÇ_MOV[PLANO DE CONTAS],REL_DRE_FINANCEIRO!$B$135,LANÇ_MOV[ANO PAGAMENTO],$B$4,LANÇ_MOV[MÊS PAGAMENTO CORRESPONDENTE],E$6,LANÇ_MOV[EMPRESA],$C$4,LANÇ_MOV[CENTRO DE CUSTOS],$D$4)</f>
        <v>0</v>
      </c>
      <c r="F208" s="206">
        <f>SUMIFS(LANÇ_MOV[VALOR LÍQUIDO],LANÇ_MOV[RECEITA OU DESPESA],"Despesa",LANÇ_MOV[CONTAS],$C208,LANÇ_MOV[PLANO DE CONTAS],REL_DRE_FINANCEIRO!$B$135,LANÇ_MOV[ANO PAGAMENTO],$B$4,LANÇ_MOV[MÊS PAGAMENTO CORRESPONDENTE],F$6,LANÇ_MOV[EMPRESA],$C$4,LANÇ_MOV[CENTRO DE CUSTOS],$D$4)</f>
        <v>0</v>
      </c>
      <c r="G208" s="206">
        <f>SUMIFS(LANÇ_MOV[VALOR LÍQUIDO],LANÇ_MOV[RECEITA OU DESPESA],"Despesa",LANÇ_MOV[CONTAS],$C208,LANÇ_MOV[PLANO DE CONTAS],REL_DRE_FINANCEIRO!$B$135,LANÇ_MOV[ANO PAGAMENTO],$B$4,LANÇ_MOV[MÊS PAGAMENTO CORRESPONDENTE],G$6,LANÇ_MOV[EMPRESA],$C$4,LANÇ_MOV[CENTRO DE CUSTOS],$D$4)</f>
        <v>0</v>
      </c>
      <c r="H208" s="206">
        <f>SUMIFS(LANÇ_MOV[VALOR LÍQUIDO],LANÇ_MOV[RECEITA OU DESPESA],"Despesa",LANÇ_MOV[CONTAS],$C208,LANÇ_MOV[PLANO DE CONTAS],REL_DRE_FINANCEIRO!$B$135,LANÇ_MOV[ANO PAGAMENTO],$B$4,LANÇ_MOV[MÊS PAGAMENTO CORRESPONDENTE],H$6,LANÇ_MOV[EMPRESA],$C$4,LANÇ_MOV[CENTRO DE CUSTOS],$D$4)</f>
        <v>0</v>
      </c>
      <c r="I208" s="206">
        <f>SUMIFS(LANÇ_MOV[VALOR LÍQUIDO],LANÇ_MOV[RECEITA OU DESPESA],"Despesa",LANÇ_MOV[CONTAS],$C208,LANÇ_MOV[PLANO DE CONTAS],REL_DRE_FINANCEIRO!$B$135,LANÇ_MOV[ANO PAGAMENTO],$B$4,LANÇ_MOV[MÊS PAGAMENTO CORRESPONDENTE],I$6,LANÇ_MOV[EMPRESA],$C$4,LANÇ_MOV[CENTRO DE CUSTOS],$D$4)</f>
        <v>0</v>
      </c>
      <c r="J208" s="206">
        <f>SUMIFS(LANÇ_MOV[VALOR LÍQUIDO],LANÇ_MOV[RECEITA OU DESPESA],"Despesa",LANÇ_MOV[CONTAS],$C208,LANÇ_MOV[PLANO DE CONTAS],REL_DRE_FINANCEIRO!$B$135,LANÇ_MOV[ANO PAGAMENTO],$B$4,LANÇ_MOV[MÊS PAGAMENTO CORRESPONDENTE],J$6,LANÇ_MOV[EMPRESA],$C$4,LANÇ_MOV[CENTRO DE CUSTOS],$D$4)</f>
        <v>0</v>
      </c>
      <c r="K208" s="206">
        <f>SUMIFS(LANÇ_MOV[VALOR LÍQUIDO],LANÇ_MOV[RECEITA OU DESPESA],"Despesa",LANÇ_MOV[CONTAS],$C208,LANÇ_MOV[PLANO DE CONTAS],REL_DRE_FINANCEIRO!$B$135,LANÇ_MOV[ANO PAGAMENTO],$B$4,LANÇ_MOV[MÊS PAGAMENTO CORRESPONDENTE],K$6,LANÇ_MOV[EMPRESA],$C$4,LANÇ_MOV[CENTRO DE CUSTOS],$D$4)</f>
        <v>0</v>
      </c>
      <c r="L208" s="206">
        <f>SUMIFS(LANÇ_MOV[VALOR LÍQUIDO],LANÇ_MOV[RECEITA OU DESPESA],"Despesa",LANÇ_MOV[CONTAS],$C208,LANÇ_MOV[PLANO DE CONTAS],REL_DRE_FINANCEIRO!$B$135,LANÇ_MOV[ANO PAGAMENTO],$B$4,LANÇ_MOV[MÊS PAGAMENTO CORRESPONDENTE],L$6,LANÇ_MOV[EMPRESA],$C$4,LANÇ_MOV[CENTRO DE CUSTOS],$D$4)</f>
        <v>0</v>
      </c>
      <c r="M208" s="206">
        <f>SUMIFS(LANÇ_MOV[VALOR LÍQUIDO],LANÇ_MOV[RECEITA OU DESPESA],"Despesa",LANÇ_MOV[CONTAS],$C208,LANÇ_MOV[PLANO DE CONTAS],REL_DRE_FINANCEIRO!$B$135,LANÇ_MOV[ANO PAGAMENTO],$B$4,LANÇ_MOV[MÊS PAGAMENTO CORRESPONDENTE],M$6,LANÇ_MOV[EMPRESA],$C$4,LANÇ_MOV[CENTRO DE CUSTOS],$D$4)</f>
        <v>0</v>
      </c>
      <c r="N208" s="206">
        <f>SUMIFS(LANÇ_MOV[VALOR LÍQUIDO],LANÇ_MOV[RECEITA OU DESPESA],"Despesa",LANÇ_MOV[CONTAS],$C208,LANÇ_MOV[PLANO DE CONTAS],REL_DRE_FINANCEIRO!$B$135,LANÇ_MOV[ANO PAGAMENTO],$B$4,LANÇ_MOV[MÊS PAGAMENTO CORRESPONDENTE],N$6,LANÇ_MOV[EMPRESA],$C$4,LANÇ_MOV[CENTRO DE CUSTOS],$D$4)</f>
        <v>0</v>
      </c>
      <c r="O208" s="206">
        <f>SUMIFS(LANÇ_MOV[VALOR LÍQUIDO],LANÇ_MOV[RECEITA OU DESPESA],"Despesa",LANÇ_MOV[CONTAS],$C208,LANÇ_MOV[PLANO DE CONTAS],REL_DRE_FINANCEIRO!$B$135,LANÇ_MOV[ANO PAGAMENTO],$B$4,LANÇ_MOV[MÊS PAGAMENTO CORRESPONDENTE],O$6,LANÇ_MOV[EMPRESA],$C$4,LANÇ_MOV[CENTRO DE CUSTOS],$D$4)</f>
        <v>0</v>
      </c>
      <c r="P208" s="207">
        <f t="shared" si="35"/>
        <v>0</v>
      </c>
      <c r="Q208" s="333">
        <v>3.4900000000000001E-5</v>
      </c>
      <c r="R208" s="346">
        <f t="shared" si="37"/>
        <v>3.4900000000000001E-5</v>
      </c>
      <c r="S208" s="347" t="str">
        <f t="shared" si="38"/>
        <v>-</v>
      </c>
      <c r="T208" s="347">
        <f t="shared" si="39"/>
        <v>0</v>
      </c>
      <c r="U208" s="347">
        <f>HLOOKUP(Apoio!$P$12,$D$134:$P$235,X208,FALSE)+Q208</f>
        <v>3.4900000000000001E-5</v>
      </c>
      <c r="V208" s="447" t="str">
        <f t="shared" si="36"/>
        <v>-</v>
      </c>
      <c r="W208" s="448">
        <f>HLOOKUP(Apoio!$P$12,$D$134:$P$235,X208,FALSE)</f>
        <v>0</v>
      </c>
      <c r="X208" s="329">
        <v>75</v>
      </c>
    </row>
    <row r="209" spans="2:24" ht="30.05" customHeight="1" x14ac:dyDescent="0.35">
      <c r="B209" s="204" t="str">
        <f>'CAD_PL_REC-DESP'!K78</f>
        <v>2.1.74</v>
      </c>
      <c r="C209" s="205" t="str">
        <f>IF('CAD_PL_REC-DESP'!L78="","-",'CAD_PL_REC-DESP'!L78)</f>
        <v>-</v>
      </c>
      <c r="D209" s="206">
        <f>SUMIFS(LANÇ_MOV[VALOR LÍQUIDO],LANÇ_MOV[RECEITA OU DESPESA],"Despesa",LANÇ_MOV[CONTAS],$C209,LANÇ_MOV[PLANO DE CONTAS],REL_DRE_FINANCEIRO!$B$135,LANÇ_MOV[ANO PAGAMENTO],$B$4,LANÇ_MOV[MÊS PAGAMENTO CORRESPONDENTE],D$6,LANÇ_MOV[EMPRESA],$C$4,LANÇ_MOV[CENTRO DE CUSTOS],$D$4)</f>
        <v>0</v>
      </c>
      <c r="E209" s="206">
        <f>SUMIFS(LANÇ_MOV[VALOR LÍQUIDO],LANÇ_MOV[RECEITA OU DESPESA],"Despesa",LANÇ_MOV[CONTAS],$C209,LANÇ_MOV[PLANO DE CONTAS],REL_DRE_FINANCEIRO!$B$135,LANÇ_MOV[ANO PAGAMENTO],$B$4,LANÇ_MOV[MÊS PAGAMENTO CORRESPONDENTE],E$6,LANÇ_MOV[EMPRESA],$C$4,LANÇ_MOV[CENTRO DE CUSTOS],$D$4)</f>
        <v>0</v>
      </c>
      <c r="F209" s="206">
        <f>SUMIFS(LANÇ_MOV[VALOR LÍQUIDO],LANÇ_MOV[RECEITA OU DESPESA],"Despesa",LANÇ_MOV[CONTAS],$C209,LANÇ_MOV[PLANO DE CONTAS],REL_DRE_FINANCEIRO!$B$135,LANÇ_MOV[ANO PAGAMENTO],$B$4,LANÇ_MOV[MÊS PAGAMENTO CORRESPONDENTE],F$6,LANÇ_MOV[EMPRESA],$C$4,LANÇ_MOV[CENTRO DE CUSTOS],$D$4)</f>
        <v>0</v>
      </c>
      <c r="G209" s="206">
        <f>SUMIFS(LANÇ_MOV[VALOR LÍQUIDO],LANÇ_MOV[RECEITA OU DESPESA],"Despesa",LANÇ_MOV[CONTAS],$C209,LANÇ_MOV[PLANO DE CONTAS],REL_DRE_FINANCEIRO!$B$135,LANÇ_MOV[ANO PAGAMENTO],$B$4,LANÇ_MOV[MÊS PAGAMENTO CORRESPONDENTE],G$6,LANÇ_MOV[EMPRESA],$C$4,LANÇ_MOV[CENTRO DE CUSTOS],$D$4)</f>
        <v>0</v>
      </c>
      <c r="H209" s="206">
        <f>SUMIFS(LANÇ_MOV[VALOR LÍQUIDO],LANÇ_MOV[RECEITA OU DESPESA],"Despesa",LANÇ_MOV[CONTAS],$C209,LANÇ_MOV[PLANO DE CONTAS],REL_DRE_FINANCEIRO!$B$135,LANÇ_MOV[ANO PAGAMENTO],$B$4,LANÇ_MOV[MÊS PAGAMENTO CORRESPONDENTE],H$6,LANÇ_MOV[EMPRESA],$C$4,LANÇ_MOV[CENTRO DE CUSTOS],$D$4)</f>
        <v>0</v>
      </c>
      <c r="I209" s="206">
        <f>SUMIFS(LANÇ_MOV[VALOR LÍQUIDO],LANÇ_MOV[RECEITA OU DESPESA],"Despesa",LANÇ_MOV[CONTAS],$C209,LANÇ_MOV[PLANO DE CONTAS],REL_DRE_FINANCEIRO!$B$135,LANÇ_MOV[ANO PAGAMENTO],$B$4,LANÇ_MOV[MÊS PAGAMENTO CORRESPONDENTE],I$6,LANÇ_MOV[EMPRESA],$C$4,LANÇ_MOV[CENTRO DE CUSTOS],$D$4)</f>
        <v>0</v>
      </c>
      <c r="J209" s="206">
        <f>SUMIFS(LANÇ_MOV[VALOR LÍQUIDO],LANÇ_MOV[RECEITA OU DESPESA],"Despesa",LANÇ_MOV[CONTAS],$C209,LANÇ_MOV[PLANO DE CONTAS],REL_DRE_FINANCEIRO!$B$135,LANÇ_MOV[ANO PAGAMENTO],$B$4,LANÇ_MOV[MÊS PAGAMENTO CORRESPONDENTE],J$6,LANÇ_MOV[EMPRESA],$C$4,LANÇ_MOV[CENTRO DE CUSTOS],$D$4)</f>
        <v>0</v>
      </c>
      <c r="K209" s="206">
        <f>SUMIFS(LANÇ_MOV[VALOR LÍQUIDO],LANÇ_MOV[RECEITA OU DESPESA],"Despesa",LANÇ_MOV[CONTAS],$C209,LANÇ_MOV[PLANO DE CONTAS],REL_DRE_FINANCEIRO!$B$135,LANÇ_MOV[ANO PAGAMENTO],$B$4,LANÇ_MOV[MÊS PAGAMENTO CORRESPONDENTE],K$6,LANÇ_MOV[EMPRESA],$C$4,LANÇ_MOV[CENTRO DE CUSTOS],$D$4)</f>
        <v>0</v>
      </c>
      <c r="L209" s="206">
        <f>SUMIFS(LANÇ_MOV[VALOR LÍQUIDO],LANÇ_MOV[RECEITA OU DESPESA],"Despesa",LANÇ_MOV[CONTAS],$C209,LANÇ_MOV[PLANO DE CONTAS],REL_DRE_FINANCEIRO!$B$135,LANÇ_MOV[ANO PAGAMENTO],$B$4,LANÇ_MOV[MÊS PAGAMENTO CORRESPONDENTE],L$6,LANÇ_MOV[EMPRESA],$C$4,LANÇ_MOV[CENTRO DE CUSTOS],$D$4)</f>
        <v>0</v>
      </c>
      <c r="M209" s="206">
        <f>SUMIFS(LANÇ_MOV[VALOR LÍQUIDO],LANÇ_MOV[RECEITA OU DESPESA],"Despesa",LANÇ_MOV[CONTAS],$C209,LANÇ_MOV[PLANO DE CONTAS],REL_DRE_FINANCEIRO!$B$135,LANÇ_MOV[ANO PAGAMENTO],$B$4,LANÇ_MOV[MÊS PAGAMENTO CORRESPONDENTE],M$6,LANÇ_MOV[EMPRESA],$C$4,LANÇ_MOV[CENTRO DE CUSTOS],$D$4)</f>
        <v>0</v>
      </c>
      <c r="N209" s="206">
        <f>SUMIFS(LANÇ_MOV[VALOR LÍQUIDO],LANÇ_MOV[RECEITA OU DESPESA],"Despesa",LANÇ_MOV[CONTAS],$C209,LANÇ_MOV[PLANO DE CONTAS],REL_DRE_FINANCEIRO!$B$135,LANÇ_MOV[ANO PAGAMENTO],$B$4,LANÇ_MOV[MÊS PAGAMENTO CORRESPONDENTE],N$6,LANÇ_MOV[EMPRESA],$C$4,LANÇ_MOV[CENTRO DE CUSTOS],$D$4)</f>
        <v>0</v>
      </c>
      <c r="O209" s="206">
        <f>SUMIFS(LANÇ_MOV[VALOR LÍQUIDO],LANÇ_MOV[RECEITA OU DESPESA],"Despesa",LANÇ_MOV[CONTAS],$C209,LANÇ_MOV[PLANO DE CONTAS],REL_DRE_FINANCEIRO!$B$135,LANÇ_MOV[ANO PAGAMENTO],$B$4,LANÇ_MOV[MÊS PAGAMENTO CORRESPONDENTE],O$6,LANÇ_MOV[EMPRESA],$C$4,LANÇ_MOV[CENTRO DE CUSTOS],$D$4)</f>
        <v>0</v>
      </c>
      <c r="P209" s="207">
        <f t="shared" si="35"/>
        <v>0</v>
      </c>
      <c r="Q209" s="333">
        <v>3.4799999999999999E-5</v>
      </c>
      <c r="R209" s="346">
        <f t="shared" si="37"/>
        <v>3.4799999999999999E-5</v>
      </c>
      <c r="S209" s="347" t="str">
        <f t="shared" si="38"/>
        <v>-</v>
      </c>
      <c r="T209" s="347">
        <f t="shared" si="39"/>
        <v>0</v>
      </c>
      <c r="U209" s="347">
        <f>HLOOKUP(Apoio!$P$12,$D$134:$P$235,X209,FALSE)+Q209</f>
        <v>3.4799999999999999E-5</v>
      </c>
      <c r="V209" s="447" t="str">
        <f t="shared" si="36"/>
        <v>-</v>
      </c>
      <c r="W209" s="448">
        <f>HLOOKUP(Apoio!$P$12,$D$134:$P$235,X209,FALSE)</f>
        <v>0</v>
      </c>
      <c r="X209" s="329">
        <v>76</v>
      </c>
    </row>
    <row r="210" spans="2:24" ht="30.05" customHeight="1" x14ac:dyDescent="0.35">
      <c r="B210" s="204" t="str">
        <f>'CAD_PL_REC-DESP'!K79</f>
        <v>2.1.75</v>
      </c>
      <c r="C210" s="205" t="str">
        <f>IF('CAD_PL_REC-DESP'!L79="","-",'CAD_PL_REC-DESP'!L79)</f>
        <v>-</v>
      </c>
      <c r="D210" s="206">
        <f>SUMIFS(LANÇ_MOV[VALOR LÍQUIDO],LANÇ_MOV[RECEITA OU DESPESA],"Despesa",LANÇ_MOV[CONTAS],$C210,LANÇ_MOV[PLANO DE CONTAS],REL_DRE_FINANCEIRO!$B$135,LANÇ_MOV[ANO PAGAMENTO],$B$4,LANÇ_MOV[MÊS PAGAMENTO CORRESPONDENTE],D$6,LANÇ_MOV[EMPRESA],$C$4,LANÇ_MOV[CENTRO DE CUSTOS],$D$4)</f>
        <v>0</v>
      </c>
      <c r="E210" s="206">
        <f>SUMIFS(LANÇ_MOV[VALOR LÍQUIDO],LANÇ_MOV[RECEITA OU DESPESA],"Despesa",LANÇ_MOV[CONTAS],$C210,LANÇ_MOV[PLANO DE CONTAS],REL_DRE_FINANCEIRO!$B$135,LANÇ_MOV[ANO PAGAMENTO],$B$4,LANÇ_MOV[MÊS PAGAMENTO CORRESPONDENTE],E$6,LANÇ_MOV[EMPRESA],$C$4,LANÇ_MOV[CENTRO DE CUSTOS],$D$4)</f>
        <v>0</v>
      </c>
      <c r="F210" s="206">
        <f>SUMIFS(LANÇ_MOV[VALOR LÍQUIDO],LANÇ_MOV[RECEITA OU DESPESA],"Despesa",LANÇ_MOV[CONTAS],$C210,LANÇ_MOV[PLANO DE CONTAS],REL_DRE_FINANCEIRO!$B$135,LANÇ_MOV[ANO PAGAMENTO],$B$4,LANÇ_MOV[MÊS PAGAMENTO CORRESPONDENTE],F$6,LANÇ_MOV[EMPRESA],$C$4,LANÇ_MOV[CENTRO DE CUSTOS],$D$4)</f>
        <v>0</v>
      </c>
      <c r="G210" s="206">
        <f>SUMIFS(LANÇ_MOV[VALOR LÍQUIDO],LANÇ_MOV[RECEITA OU DESPESA],"Despesa",LANÇ_MOV[CONTAS],$C210,LANÇ_MOV[PLANO DE CONTAS],REL_DRE_FINANCEIRO!$B$135,LANÇ_MOV[ANO PAGAMENTO],$B$4,LANÇ_MOV[MÊS PAGAMENTO CORRESPONDENTE],G$6,LANÇ_MOV[EMPRESA],$C$4,LANÇ_MOV[CENTRO DE CUSTOS],$D$4)</f>
        <v>0</v>
      </c>
      <c r="H210" s="206">
        <f>SUMIFS(LANÇ_MOV[VALOR LÍQUIDO],LANÇ_MOV[RECEITA OU DESPESA],"Despesa",LANÇ_MOV[CONTAS],$C210,LANÇ_MOV[PLANO DE CONTAS],REL_DRE_FINANCEIRO!$B$135,LANÇ_MOV[ANO PAGAMENTO],$B$4,LANÇ_MOV[MÊS PAGAMENTO CORRESPONDENTE],H$6,LANÇ_MOV[EMPRESA],$C$4,LANÇ_MOV[CENTRO DE CUSTOS],$D$4)</f>
        <v>0</v>
      </c>
      <c r="I210" s="206">
        <f>SUMIFS(LANÇ_MOV[VALOR LÍQUIDO],LANÇ_MOV[RECEITA OU DESPESA],"Despesa",LANÇ_MOV[CONTAS],$C210,LANÇ_MOV[PLANO DE CONTAS],REL_DRE_FINANCEIRO!$B$135,LANÇ_MOV[ANO PAGAMENTO],$B$4,LANÇ_MOV[MÊS PAGAMENTO CORRESPONDENTE],I$6,LANÇ_MOV[EMPRESA],$C$4,LANÇ_MOV[CENTRO DE CUSTOS],$D$4)</f>
        <v>0</v>
      </c>
      <c r="J210" s="206">
        <f>SUMIFS(LANÇ_MOV[VALOR LÍQUIDO],LANÇ_MOV[RECEITA OU DESPESA],"Despesa",LANÇ_MOV[CONTAS],$C210,LANÇ_MOV[PLANO DE CONTAS],REL_DRE_FINANCEIRO!$B$135,LANÇ_MOV[ANO PAGAMENTO],$B$4,LANÇ_MOV[MÊS PAGAMENTO CORRESPONDENTE],J$6,LANÇ_MOV[EMPRESA],$C$4,LANÇ_MOV[CENTRO DE CUSTOS],$D$4)</f>
        <v>0</v>
      </c>
      <c r="K210" s="206">
        <f>SUMIFS(LANÇ_MOV[VALOR LÍQUIDO],LANÇ_MOV[RECEITA OU DESPESA],"Despesa",LANÇ_MOV[CONTAS],$C210,LANÇ_MOV[PLANO DE CONTAS],REL_DRE_FINANCEIRO!$B$135,LANÇ_MOV[ANO PAGAMENTO],$B$4,LANÇ_MOV[MÊS PAGAMENTO CORRESPONDENTE],K$6,LANÇ_MOV[EMPRESA],$C$4,LANÇ_MOV[CENTRO DE CUSTOS],$D$4)</f>
        <v>0</v>
      </c>
      <c r="L210" s="206">
        <f>SUMIFS(LANÇ_MOV[VALOR LÍQUIDO],LANÇ_MOV[RECEITA OU DESPESA],"Despesa",LANÇ_MOV[CONTAS],$C210,LANÇ_MOV[PLANO DE CONTAS],REL_DRE_FINANCEIRO!$B$135,LANÇ_MOV[ANO PAGAMENTO],$B$4,LANÇ_MOV[MÊS PAGAMENTO CORRESPONDENTE],L$6,LANÇ_MOV[EMPRESA],$C$4,LANÇ_MOV[CENTRO DE CUSTOS],$D$4)</f>
        <v>0</v>
      </c>
      <c r="M210" s="206">
        <f>SUMIFS(LANÇ_MOV[VALOR LÍQUIDO],LANÇ_MOV[RECEITA OU DESPESA],"Despesa",LANÇ_MOV[CONTAS],$C210,LANÇ_MOV[PLANO DE CONTAS],REL_DRE_FINANCEIRO!$B$135,LANÇ_MOV[ANO PAGAMENTO],$B$4,LANÇ_MOV[MÊS PAGAMENTO CORRESPONDENTE],M$6,LANÇ_MOV[EMPRESA],$C$4,LANÇ_MOV[CENTRO DE CUSTOS],$D$4)</f>
        <v>0</v>
      </c>
      <c r="N210" s="206">
        <f>SUMIFS(LANÇ_MOV[VALOR LÍQUIDO],LANÇ_MOV[RECEITA OU DESPESA],"Despesa",LANÇ_MOV[CONTAS],$C210,LANÇ_MOV[PLANO DE CONTAS],REL_DRE_FINANCEIRO!$B$135,LANÇ_MOV[ANO PAGAMENTO],$B$4,LANÇ_MOV[MÊS PAGAMENTO CORRESPONDENTE],N$6,LANÇ_MOV[EMPRESA],$C$4,LANÇ_MOV[CENTRO DE CUSTOS],$D$4)</f>
        <v>0</v>
      </c>
      <c r="O210" s="206">
        <f>SUMIFS(LANÇ_MOV[VALOR LÍQUIDO],LANÇ_MOV[RECEITA OU DESPESA],"Despesa",LANÇ_MOV[CONTAS],$C210,LANÇ_MOV[PLANO DE CONTAS],REL_DRE_FINANCEIRO!$B$135,LANÇ_MOV[ANO PAGAMENTO],$B$4,LANÇ_MOV[MÊS PAGAMENTO CORRESPONDENTE],O$6,LANÇ_MOV[EMPRESA],$C$4,LANÇ_MOV[CENTRO DE CUSTOS],$D$4)</f>
        <v>0</v>
      </c>
      <c r="P210" s="207">
        <f t="shared" si="35"/>
        <v>0</v>
      </c>
      <c r="Q210" s="333">
        <v>3.4700000000000003E-5</v>
      </c>
      <c r="R210" s="346">
        <f t="shared" si="37"/>
        <v>3.4700000000000003E-5</v>
      </c>
      <c r="S210" s="347" t="str">
        <f t="shared" si="38"/>
        <v>-</v>
      </c>
      <c r="T210" s="347">
        <f t="shared" si="39"/>
        <v>0</v>
      </c>
      <c r="U210" s="347">
        <f>HLOOKUP(Apoio!$P$12,$D$134:$P$235,X210,FALSE)+Q210</f>
        <v>3.4700000000000003E-5</v>
      </c>
      <c r="V210" s="447" t="str">
        <f t="shared" si="36"/>
        <v>-</v>
      </c>
      <c r="W210" s="448">
        <f>HLOOKUP(Apoio!$P$12,$D$134:$P$235,X210,FALSE)</f>
        <v>0</v>
      </c>
      <c r="X210" s="329">
        <v>77</v>
      </c>
    </row>
    <row r="211" spans="2:24" ht="30.05" customHeight="1" x14ac:dyDescent="0.35">
      <c r="B211" s="204" t="str">
        <f>'CAD_PL_REC-DESP'!K80</f>
        <v>2.1.76</v>
      </c>
      <c r="C211" s="205" t="str">
        <f>IF('CAD_PL_REC-DESP'!L80="","-",'CAD_PL_REC-DESP'!L80)</f>
        <v>-</v>
      </c>
      <c r="D211" s="206">
        <f>SUMIFS(LANÇ_MOV[VALOR LÍQUIDO],LANÇ_MOV[RECEITA OU DESPESA],"Despesa",LANÇ_MOV[CONTAS],$C211,LANÇ_MOV[PLANO DE CONTAS],REL_DRE_FINANCEIRO!$B$135,LANÇ_MOV[ANO PAGAMENTO],$B$4,LANÇ_MOV[MÊS PAGAMENTO CORRESPONDENTE],D$6,LANÇ_MOV[EMPRESA],$C$4,LANÇ_MOV[CENTRO DE CUSTOS],$D$4)</f>
        <v>0</v>
      </c>
      <c r="E211" s="206">
        <f>SUMIFS(LANÇ_MOV[VALOR LÍQUIDO],LANÇ_MOV[RECEITA OU DESPESA],"Despesa",LANÇ_MOV[CONTAS],$C211,LANÇ_MOV[PLANO DE CONTAS],REL_DRE_FINANCEIRO!$B$135,LANÇ_MOV[ANO PAGAMENTO],$B$4,LANÇ_MOV[MÊS PAGAMENTO CORRESPONDENTE],E$6,LANÇ_MOV[EMPRESA],$C$4,LANÇ_MOV[CENTRO DE CUSTOS],$D$4)</f>
        <v>0</v>
      </c>
      <c r="F211" s="206">
        <f>SUMIFS(LANÇ_MOV[VALOR LÍQUIDO],LANÇ_MOV[RECEITA OU DESPESA],"Despesa",LANÇ_MOV[CONTAS],$C211,LANÇ_MOV[PLANO DE CONTAS],REL_DRE_FINANCEIRO!$B$135,LANÇ_MOV[ANO PAGAMENTO],$B$4,LANÇ_MOV[MÊS PAGAMENTO CORRESPONDENTE],F$6,LANÇ_MOV[EMPRESA],$C$4,LANÇ_MOV[CENTRO DE CUSTOS],$D$4)</f>
        <v>0</v>
      </c>
      <c r="G211" s="206">
        <f>SUMIFS(LANÇ_MOV[VALOR LÍQUIDO],LANÇ_MOV[RECEITA OU DESPESA],"Despesa",LANÇ_MOV[CONTAS],$C211,LANÇ_MOV[PLANO DE CONTAS],REL_DRE_FINANCEIRO!$B$135,LANÇ_MOV[ANO PAGAMENTO],$B$4,LANÇ_MOV[MÊS PAGAMENTO CORRESPONDENTE],G$6,LANÇ_MOV[EMPRESA],$C$4,LANÇ_MOV[CENTRO DE CUSTOS],$D$4)</f>
        <v>0</v>
      </c>
      <c r="H211" s="206">
        <f>SUMIFS(LANÇ_MOV[VALOR LÍQUIDO],LANÇ_MOV[RECEITA OU DESPESA],"Despesa",LANÇ_MOV[CONTAS],$C211,LANÇ_MOV[PLANO DE CONTAS],REL_DRE_FINANCEIRO!$B$135,LANÇ_MOV[ANO PAGAMENTO],$B$4,LANÇ_MOV[MÊS PAGAMENTO CORRESPONDENTE],H$6,LANÇ_MOV[EMPRESA],$C$4,LANÇ_MOV[CENTRO DE CUSTOS],$D$4)</f>
        <v>0</v>
      </c>
      <c r="I211" s="206">
        <f>SUMIFS(LANÇ_MOV[VALOR LÍQUIDO],LANÇ_MOV[RECEITA OU DESPESA],"Despesa",LANÇ_MOV[CONTAS],$C211,LANÇ_MOV[PLANO DE CONTAS],REL_DRE_FINANCEIRO!$B$135,LANÇ_MOV[ANO PAGAMENTO],$B$4,LANÇ_MOV[MÊS PAGAMENTO CORRESPONDENTE],I$6,LANÇ_MOV[EMPRESA],$C$4,LANÇ_MOV[CENTRO DE CUSTOS],$D$4)</f>
        <v>0</v>
      </c>
      <c r="J211" s="206">
        <f>SUMIFS(LANÇ_MOV[VALOR LÍQUIDO],LANÇ_MOV[RECEITA OU DESPESA],"Despesa",LANÇ_MOV[CONTAS],$C211,LANÇ_MOV[PLANO DE CONTAS],REL_DRE_FINANCEIRO!$B$135,LANÇ_MOV[ANO PAGAMENTO],$B$4,LANÇ_MOV[MÊS PAGAMENTO CORRESPONDENTE],J$6,LANÇ_MOV[EMPRESA],$C$4,LANÇ_MOV[CENTRO DE CUSTOS],$D$4)</f>
        <v>0</v>
      </c>
      <c r="K211" s="206">
        <f>SUMIFS(LANÇ_MOV[VALOR LÍQUIDO],LANÇ_MOV[RECEITA OU DESPESA],"Despesa",LANÇ_MOV[CONTAS],$C211,LANÇ_MOV[PLANO DE CONTAS],REL_DRE_FINANCEIRO!$B$135,LANÇ_MOV[ANO PAGAMENTO],$B$4,LANÇ_MOV[MÊS PAGAMENTO CORRESPONDENTE],K$6,LANÇ_MOV[EMPRESA],$C$4,LANÇ_MOV[CENTRO DE CUSTOS],$D$4)</f>
        <v>0</v>
      </c>
      <c r="L211" s="206">
        <f>SUMIFS(LANÇ_MOV[VALOR LÍQUIDO],LANÇ_MOV[RECEITA OU DESPESA],"Despesa",LANÇ_MOV[CONTAS],$C211,LANÇ_MOV[PLANO DE CONTAS],REL_DRE_FINANCEIRO!$B$135,LANÇ_MOV[ANO PAGAMENTO],$B$4,LANÇ_MOV[MÊS PAGAMENTO CORRESPONDENTE],L$6,LANÇ_MOV[EMPRESA],$C$4,LANÇ_MOV[CENTRO DE CUSTOS],$D$4)</f>
        <v>0</v>
      </c>
      <c r="M211" s="206">
        <f>SUMIFS(LANÇ_MOV[VALOR LÍQUIDO],LANÇ_MOV[RECEITA OU DESPESA],"Despesa",LANÇ_MOV[CONTAS],$C211,LANÇ_MOV[PLANO DE CONTAS],REL_DRE_FINANCEIRO!$B$135,LANÇ_MOV[ANO PAGAMENTO],$B$4,LANÇ_MOV[MÊS PAGAMENTO CORRESPONDENTE],M$6,LANÇ_MOV[EMPRESA],$C$4,LANÇ_MOV[CENTRO DE CUSTOS],$D$4)</f>
        <v>0</v>
      </c>
      <c r="N211" s="206">
        <f>SUMIFS(LANÇ_MOV[VALOR LÍQUIDO],LANÇ_MOV[RECEITA OU DESPESA],"Despesa",LANÇ_MOV[CONTAS],$C211,LANÇ_MOV[PLANO DE CONTAS],REL_DRE_FINANCEIRO!$B$135,LANÇ_MOV[ANO PAGAMENTO],$B$4,LANÇ_MOV[MÊS PAGAMENTO CORRESPONDENTE],N$6,LANÇ_MOV[EMPRESA],$C$4,LANÇ_MOV[CENTRO DE CUSTOS],$D$4)</f>
        <v>0</v>
      </c>
      <c r="O211" s="206">
        <f>SUMIFS(LANÇ_MOV[VALOR LÍQUIDO],LANÇ_MOV[RECEITA OU DESPESA],"Despesa",LANÇ_MOV[CONTAS],$C211,LANÇ_MOV[PLANO DE CONTAS],REL_DRE_FINANCEIRO!$B$135,LANÇ_MOV[ANO PAGAMENTO],$B$4,LANÇ_MOV[MÊS PAGAMENTO CORRESPONDENTE],O$6,LANÇ_MOV[EMPRESA],$C$4,LANÇ_MOV[CENTRO DE CUSTOS],$D$4)</f>
        <v>0</v>
      </c>
      <c r="P211" s="207">
        <f t="shared" si="35"/>
        <v>0</v>
      </c>
      <c r="Q211" s="333">
        <v>3.4600000000000001E-5</v>
      </c>
      <c r="R211" s="346">
        <f t="shared" si="37"/>
        <v>3.4600000000000001E-5</v>
      </c>
      <c r="S211" s="347" t="str">
        <f t="shared" si="38"/>
        <v>-</v>
      </c>
      <c r="T211" s="347">
        <f t="shared" si="39"/>
        <v>0</v>
      </c>
      <c r="U211" s="347">
        <f>HLOOKUP(Apoio!$P$12,$D$134:$P$235,X211,FALSE)+Q211</f>
        <v>3.4600000000000001E-5</v>
      </c>
      <c r="V211" s="447" t="str">
        <f t="shared" si="36"/>
        <v>-</v>
      </c>
      <c r="W211" s="448">
        <f>HLOOKUP(Apoio!$P$12,$D$134:$P$235,X211,FALSE)</f>
        <v>0</v>
      </c>
      <c r="X211" s="329">
        <v>78</v>
      </c>
    </row>
    <row r="212" spans="2:24" ht="30.05" customHeight="1" x14ac:dyDescent="0.35">
      <c r="B212" s="204" t="str">
        <f>'CAD_PL_REC-DESP'!K81</f>
        <v>2.1.77</v>
      </c>
      <c r="C212" s="205" t="str">
        <f>IF('CAD_PL_REC-DESP'!L81="","-",'CAD_PL_REC-DESP'!L81)</f>
        <v>-</v>
      </c>
      <c r="D212" s="206">
        <f>SUMIFS(LANÇ_MOV[VALOR LÍQUIDO],LANÇ_MOV[RECEITA OU DESPESA],"Despesa",LANÇ_MOV[CONTAS],$C212,LANÇ_MOV[PLANO DE CONTAS],REL_DRE_FINANCEIRO!$B$135,LANÇ_MOV[ANO PAGAMENTO],$B$4,LANÇ_MOV[MÊS PAGAMENTO CORRESPONDENTE],D$6,LANÇ_MOV[EMPRESA],$C$4,LANÇ_MOV[CENTRO DE CUSTOS],$D$4)</f>
        <v>0</v>
      </c>
      <c r="E212" s="206">
        <f>SUMIFS(LANÇ_MOV[VALOR LÍQUIDO],LANÇ_MOV[RECEITA OU DESPESA],"Despesa",LANÇ_MOV[CONTAS],$C212,LANÇ_MOV[PLANO DE CONTAS],REL_DRE_FINANCEIRO!$B$135,LANÇ_MOV[ANO PAGAMENTO],$B$4,LANÇ_MOV[MÊS PAGAMENTO CORRESPONDENTE],E$6,LANÇ_MOV[EMPRESA],$C$4,LANÇ_MOV[CENTRO DE CUSTOS],$D$4)</f>
        <v>0</v>
      </c>
      <c r="F212" s="206">
        <f>SUMIFS(LANÇ_MOV[VALOR LÍQUIDO],LANÇ_MOV[RECEITA OU DESPESA],"Despesa",LANÇ_MOV[CONTAS],$C212,LANÇ_MOV[PLANO DE CONTAS],REL_DRE_FINANCEIRO!$B$135,LANÇ_MOV[ANO PAGAMENTO],$B$4,LANÇ_MOV[MÊS PAGAMENTO CORRESPONDENTE],F$6,LANÇ_MOV[EMPRESA],$C$4,LANÇ_MOV[CENTRO DE CUSTOS],$D$4)</f>
        <v>0</v>
      </c>
      <c r="G212" s="206">
        <f>SUMIFS(LANÇ_MOV[VALOR LÍQUIDO],LANÇ_MOV[RECEITA OU DESPESA],"Despesa",LANÇ_MOV[CONTAS],$C212,LANÇ_MOV[PLANO DE CONTAS],REL_DRE_FINANCEIRO!$B$135,LANÇ_MOV[ANO PAGAMENTO],$B$4,LANÇ_MOV[MÊS PAGAMENTO CORRESPONDENTE],G$6,LANÇ_MOV[EMPRESA],$C$4,LANÇ_MOV[CENTRO DE CUSTOS],$D$4)</f>
        <v>0</v>
      </c>
      <c r="H212" s="206">
        <f>SUMIFS(LANÇ_MOV[VALOR LÍQUIDO],LANÇ_MOV[RECEITA OU DESPESA],"Despesa",LANÇ_MOV[CONTAS],$C212,LANÇ_MOV[PLANO DE CONTAS],REL_DRE_FINANCEIRO!$B$135,LANÇ_MOV[ANO PAGAMENTO],$B$4,LANÇ_MOV[MÊS PAGAMENTO CORRESPONDENTE],H$6,LANÇ_MOV[EMPRESA],$C$4,LANÇ_MOV[CENTRO DE CUSTOS],$D$4)</f>
        <v>0</v>
      </c>
      <c r="I212" s="206">
        <f>SUMIFS(LANÇ_MOV[VALOR LÍQUIDO],LANÇ_MOV[RECEITA OU DESPESA],"Despesa",LANÇ_MOV[CONTAS],$C212,LANÇ_MOV[PLANO DE CONTAS],REL_DRE_FINANCEIRO!$B$135,LANÇ_MOV[ANO PAGAMENTO],$B$4,LANÇ_MOV[MÊS PAGAMENTO CORRESPONDENTE],I$6,LANÇ_MOV[EMPRESA],$C$4,LANÇ_MOV[CENTRO DE CUSTOS],$D$4)</f>
        <v>0</v>
      </c>
      <c r="J212" s="206">
        <f>SUMIFS(LANÇ_MOV[VALOR LÍQUIDO],LANÇ_MOV[RECEITA OU DESPESA],"Despesa",LANÇ_MOV[CONTAS],$C212,LANÇ_MOV[PLANO DE CONTAS],REL_DRE_FINANCEIRO!$B$135,LANÇ_MOV[ANO PAGAMENTO],$B$4,LANÇ_MOV[MÊS PAGAMENTO CORRESPONDENTE],J$6,LANÇ_MOV[EMPRESA],$C$4,LANÇ_MOV[CENTRO DE CUSTOS],$D$4)</f>
        <v>0</v>
      </c>
      <c r="K212" s="206">
        <f>SUMIFS(LANÇ_MOV[VALOR LÍQUIDO],LANÇ_MOV[RECEITA OU DESPESA],"Despesa",LANÇ_MOV[CONTAS],$C212,LANÇ_MOV[PLANO DE CONTAS],REL_DRE_FINANCEIRO!$B$135,LANÇ_MOV[ANO PAGAMENTO],$B$4,LANÇ_MOV[MÊS PAGAMENTO CORRESPONDENTE],K$6,LANÇ_MOV[EMPRESA],$C$4,LANÇ_MOV[CENTRO DE CUSTOS],$D$4)</f>
        <v>0</v>
      </c>
      <c r="L212" s="206">
        <f>SUMIFS(LANÇ_MOV[VALOR LÍQUIDO],LANÇ_MOV[RECEITA OU DESPESA],"Despesa",LANÇ_MOV[CONTAS],$C212,LANÇ_MOV[PLANO DE CONTAS],REL_DRE_FINANCEIRO!$B$135,LANÇ_MOV[ANO PAGAMENTO],$B$4,LANÇ_MOV[MÊS PAGAMENTO CORRESPONDENTE],L$6,LANÇ_MOV[EMPRESA],$C$4,LANÇ_MOV[CENTRO DE CUSTOS],$D$4)</f>
        <v>0</v>
      </c>
      <c r="M212" s="206">
        <f>SUMIFS(LANÇ_MOV[VALOR LÍQUIDO],LANÇ_MOV[RECEITA OU DESPESA],"Despesa",LANÇ_MOV[CONTAS],$C212,LANÇ_MOV[PLANO DE CONTAS],REL_DRE_FINANCEIRO!$B$135,LANÇ_MOV[ANO PAGAMENTO],$B$4,LANÇ_MOV[MÊS PAGAMENTO CORRESPONDENTE],M$6,LANÇ_MOV[EMPRESA],$C$4,LANÇ_MOV[CENTRO DE CUSTOS],$D$4)</f>
        <v>0</v>
      </c>
      <c r="N212" s="206">
        <f>SUMIFS(LANÇ_MOV[VALOR LÍQUIDO],LANÇ_MOV[RECEITA OU DESPESA],"Despesa",LANÇ_MOV[CONTAS],$C212,LANÇ_MOV[PLANO DE CONTAS],REL_DRE_FINANCEIRO!$B$135,LANÇ_MOV[ANO PAGAMENTO],$B$4,LANÇ_MOV[MÊS PAGAMENTO CORRESPONDENTE],N$6,LANÇ_MOV[EMPRESA],$C$4,LANÇ_MOV[CENTRO DE CUSTOS],$D$4)</f>
        <v>0</v>
      </c>
      <c r="O212" s="206">
        <f>SUMIFS(LANÇ_MOV[VALOR LÍQUIDO],LANÇ_MOV[RECEITA OU DESPESA],"Despesa",LANÇ_MOV[CONTAS],$C212,LANÇ_MOV[PLANO DE CONTAS],REL_DRE_FINANCEIRO!$B$135,LANÇ_MOV[ANO PAGAMENTO],$B$4,LANÇ_MOV[MÊS PAGAMENTO CORRESPONDENTE],O$6,LANÇ_MOV[EMPRESA],$C$4,LANÇ_MOV[CENTRO DE CUSTOS],$D$4)</f>
        <v>0</v>
      </c>
      <c r="P212" s="207">
        <f t="shared" si="35"/>
        <v>0</v>
      </c>
      <c r="Q212" s="333">
        <v>3.4499999999999998E-5</v>
      </c>
      <c r="R212" s="346">
        <f t="shared" si="37"/>
        <v>3.4499999999999998E-5</v>
      </c>
      <c r="S212" s="347" t="str">
        <f t="shared" si="38"/>
        <v>-</v>
      </c>
      <c r="T212" s="347">
        <f t="shared" si="39"/>
        <v>0</v>
      </c>
      <c r="U212" s="347">
        <f>HLOOKUP(Apoio!$P$12,$D$134:$P$235,X212,FALSE)+Q212</f>
        <v>3.4499999999999998E-5</v>
      </c>
      <c r="V212" s="447" t="str">
        <f t="shared" si="36"/>
        <v>-</v>
      </c>
      <c r="W212" s="448">
        <f>HLOOKUP(Apoio!$P$12,$D$134:$P$235,X212,FALSE)</f>
        <v>0</v>
      </c>
      <c r="X212" s="329">
        <v>79</v>
      </c>
    </row>
    <row r="213" spans="2:24" ht="30.05" customHeight="1" x14ac:dyDescent="0.35">
      <c r="B213" s="204" t="str">
        <f>'CAD_PL_REC-DESP'!K82</f>
        <v>2.1.78</v>
      </c>
      <c r="C213" s="205" t="str">
        <f>IF('CAD_PL_REC-DESP'!L82="","-",'CAD_PL_REC-DESP'!L82)</f>
        <v>-</v>
      </c>
      <c r="D213" s="206">
        <f>SUMIFS(LANÇ_MOV[VALOR LÍQUIDO],LANÇ_MOV[RECEITA OU DESPESA],"Despesa",LANÇ_MOV[CONTAS],$C213,LANÇ_MOV[PLANO DE CONTAS],REL_DRE_FINANCEIRO!$B$135,LANÇ_MOV[ANO PAGAMENTO],$B$4,LANÇ_MOV[MÊS PAGAMENTO CORRESPONDENTE],D$6,LANÇ_MOV[EMPRESA],$C$4,LANÇ_MOV[CENTRO DE CUSTOS],$D$4)</f>
        <v>0</v>
      </c>
      <c r="E213" s="206">
        <f>SUMIFS(LANÇ_MOV[VALOR LÍQUIDO],LANÇ_MOV[RECEITA OU DESPESA],"Despesa",LANÇ_MOV[CONTAS],$C213,LANÇ_MOV[PLANO DE CONTAS],REL_DRE_FINANCEIRO!$B$135,LANÇ_MOV[ANO PAGAMENTO],$B$4,LANÇ_MOV[MÊS PAGAMENTO CORRESPONDENTE],E$6,LANÇ_MOV[EMPRESA],$C$4,LANÇ_MOV[CENTRO DE CUSTOS],$D$4)</f>
        <v>0</v>
      </c>
      <c r="F213" s="206">
        <f>SUMIFS(LANÇ_MOV[VALOR LÍQUIDO],LANÇ_MOV[RECEITA OU DESPESA],"Despesa",LANÇ_MOV[CONTAS],$C213,LANÇ_MOV[PLANO DE CONTAS],REL_DRE_FINANCEIRO!$B$135,LANÇ_MOV[ANO PAGAMENTO],$B$4,LANÇ_MOV[MÊS PAGAMENTO CORRESPONDENTE],F$6,LANÇ_MOV[EMPRESA],$C$4,LANÇ_MOV[CENTRO DE CUSTOS],$D$4)</f>
        <v>0</v>
      </c>
      <c r="G213" s="206">
        <f>SUMIFS(LANÇ_MOV[VALOR LÍQUIDO],LANÇ_MOV[RECEITA OU DESPESA],"Despesa",LANÇ_MOV[CONTAS],$C213,LANÇ_MOV[PLANO DE CONTAS],REL_DRE_FINANCEIRO!$B$135,LANÇ_MOV[ANO PAGAMENTO],$B$4,LANÇ_MOV[MÊS PAGAMENTO CORRESPONDENTE],G$6,LANÇ_MOV[EMPRESA],$C$4,LANÇ_MOV[CENTRO DE CUSTOS],$D$4)</f>
        <v>0</v>
      </c>
      <c r="H213" s="206">
        <f>SUMIFS(LANÇ_MOV[VALOR LÍQUIDO],LANÇ_MOV[RECEITA OU DESPESA],"Despesa",LANÇ_MOV[CONTAS],$C213,LANÇ_MOV[PLANO DE CONTAS],REL_DRE_FINANCEIRO!$B$135,LANÇ_MOV[ANO PAGAMENTO],$B$4,LANÇ_MOV[MÊS PAGAMENTO CORRESPONDENTE],H$6,LANÇ_MOV[EMPRESA],$C$4,LANÇ_MOV[CENTRO DE CUSTOS],$D$4)</f>
        <v>0</v>
      </c>
      <c r="I213" s="206">
        <f>SUMIFS(LANÇ_MOV[VALOR LÍQUIDO],LANÇ_MOV[RECEITA OU DESPESA],"Despesa",LANÇ_MOV[CONTAS],$C213,LANÇ_MOV[PLANO DE CONTAS],REL_DRE_FINANCEIRO!$B$135,LANÇ_MOV[ANO PAGAMENTO],$B$4,LANÇ_MOV[MÊS PAGAMENTO CORRESPONDENTE],I$6,LANÇ_MOV[EMPRESA],$C$4,LANÇ_MOV[CENTRO DE CUSTOS],$D$4)</f>
        <v>0</v>
      </c>
      <c r="J213" s="206">
        <f>SUMIFS(LANÇ_MOV[VALOR LÍQUIDO],LANÇ_MOV[RECEITA OU DESPESA],"Despesa",LANÇ_MOV[CONTAS],$C213,LANÇ_MOV[PLANO DE CONTAS],REL_DRE_FINANCEIRO!$B$135,LANÇ_MOV[ANO PAGAMENTO],$B$4,LANÇ_MOV[MÊS PAGAMENTO CORRESPONDENTE],J$6,LANÇ_MOV[EMPRESA],$C$4,LANÇ_MOV[CENTRO DE CUSTOS],$D$4)</f>
        <v>0</v>
      </c>
      <c r="K213" s="206">
        <f>SUMIFS(LANÇ_MOV[VALOR LÍQUIDO],LANÇ_MOV[RECEITA OU DESPESA],"Despesa",LANÇ_MOV[CONTAS],$C213,LANÇ_MOV[PLANO DE CONTAS],REL_DRE_FINANCEIRO!$B$135,LANÇ_MOV[ANO PAGAMENTO],$B$4,LANÇ_MOV[MÊS PAGAMENTO CORRESPONDENTE],K$6,LANÇ_MOV[EMPRESA],$C$4,LANÇ_MOV[CENTRO DE CUSTOS],$D$4)</f>
        <v>0</v>
      </c>
      <c r="L213" s="206">
        <f>SUMIFS(LANÇ_MOV[VALOR LÍQUIDO],LANÇ_MOV[RECEITA OU DESPESA],"Despesa",LANÇ_MOV[CONTAS],$C213,LANÇ_MOV[PLANO DE CONTAS],REL_DRE_FINANCEIRO!$B$135,LANÇ_MOV[ANO PAGAMENTO],$B$4,LANÇ_MOV[MÊS PAGAMENTO CORRESPONDENTE],L$6,LANÇ_MOV[EMPRESA],$C$4,LANÇ_MOV[CENTRO DE CUSTOS],$D$4)</f>
        <v>0</v>
      </c>
      <c r="M213" s="206">
        <f>SUMIFS(LANÇ_MOV[VALOR LÍQUIDO],LANÇ_MOV[RECEITA OU DESPESA],"Despesa",LANÇ_MOV[CONTAS],$C213,LANÇ_MOV[PLANO DE CONTAS],REL_DRE_FINANCEIRO!$B$135,LANÇ_MOV[ANO PAGAMENTO],$B$4,LANÇ_MOV[MÊS PAGAMENTO CORRESPONDENTE],M$6,LANÇ_MOV[EMPRESA],$C$4,LANÇ_MOV[CENTRO DE CUSTOS],$D$4)</f>
        <v>0</v>
      </c>
      <c r="N213" s="206">
        <f>SUMIFS(LANÇ_MOV[VALOR LÍQUIDO],LANÇ_MOV[RECEITA OU DESPESA],"Despesa",LANÇ_MOV[CONTAS],$C213,LANÇ_MOV[PLANO DE CONTAS],REL_DRE_FINANCEIRO!$B$135,LANÇ_MOV[ANO PAGAMENTO],$B$4,LANÇ_MOV[MÊS PAGAMENTO CORRESPONDENTE],N$6,LANÇ_MOV[EMPRESA],$C$4,LANÇ_MOV[CENTRO DE CUSTOS],$D$4)</f>
        <v>0</v>
      </c>
      <c r="O213" s="206">
        <f>SUMIFS(LANÇ_MOV[VALOR LÍQUIDO],LANÇ_MOV[RECEITA OU DESPESA],"Despesa",LANÇ_MOV[CONTAS],$C213,LANÇ_MOV[PLANO DE CONTAS],REL_DRE_FINANCEIRO!$B$135,LANÇ_MOV[ANO PAGAMENTO],$B$4,LANÇ_MOV[MÊS PAGAMENTO CORRESPONDENTE],O$6,LANÇ_MOV[EMPRESA],$C$4,LANÇ_MOV[CENTRO DE CUSTOS],$D$4)</f>
        <v>0</v>
      </c>
      <c r="P213" s="207">
        <f t="shared" si="35"/>
        <v>0</v>
      </c>
      <c r="Q213" s="333">
        <v>3.4400000000000003E-5</v>
      </c>
      <c r="R213" s="346">
        <f t="shared" si="37"/>
        <v>3.4400000000000003E-5</v>
      </c>
      <c r="S213" s="347" t="str">
        <f t="shared" si="38"/>
        <v>-</v>
      </c>
      <c r="T213" s="347">
        <f t="shared" si="39"/>
        <v>0</v>
      </c>
      <c r="U213" s="347">
        <f>HLOOKUP(Apoio!$P$12,$D$134:$P$235,X213,FALSE)+Q213</f>
        <v>3.4400000000000003E-5</v>
      </c>
      <c r="V213" s="447" t="str">
        <f t="shared" si="36"/>
        <v>-</v>
      </c>
      <c r="W213" s="448">
        <f>HLOOKUP(Apoio!$P$12,$D$134:$P$235,X213,FALSE)</f>
        <v>0</v>
      </c>
      <c r="X213" s="329">
        <v>80</v>
      </c>
    </row>
    <row r="214" spans="2:24" ht="30.05" customHeight="1" x14ac:dyDescent="0.35">
      <c r="B214" s="204" t="str">
        <f>'CAD_PL_REC-DESP'!K83</f>
        <v>2.1.79</v>
      </c>
      <c r="C214" s="205" t="str">
        <f>IF('CAD_PL_REC-DESP'!L83="","-",'CAD_PL_REC-DESP'!L83)</f>
        <v>-</v>
      </c>
      <c r="D214" s="206">
        <f>SUMIFS(LANÇ_MOV[VALOR LÍQUIDO],LANÇ_MOV[RECEITA OU DESPESA],"Despesa",LANÇ_MOV[CONTAS],$C214,LANÇ_MOV[PLANO DE CONTAS],REL_DRE_FINANCEIRO!$B$135,LANÇ_MOV[ANO PAGAMENTO],$B$4,LANÇ_MOV[MÊS PAGAMENTO CORRESPONDENTE],D$6,LANÇ_MOV[EMPRESA],$C$4,LANÇ_MOV[CENTRO DE CUSTOS],$D$4)</f>
        <v>0</v>
      </c>
      <c r="E214" s="206">
        <f>SUMIFS(LANÇ_MOV[VALOR LÍQUIDO],LANÇ_MOV[RECEITA OU DESPESA],"Despesa",LANÇ_MOV[CONTAS],$C214,LANÇ_MOV[PLANO DE CONTAS],REL_DRE_FINANCEIRO!$B$135,LANÇ_MOV[ANO PAGAMENTO],$B$4,LANÇ_MOV[MÊS PAGAMENTO CORRESPONDENTE],E$6,LANÇ_MOV[EMPRESA],$C$4,LANÇ_MOV[CENTRO DE CUSTOS],$D$4)</f>
        <v>0</v>
      </c>
      <c r="F214" s="206">
        <f>SUMIFS(LANÇ_MOV[VALOR LÍQUIDO],LANÇ_MOV[RECEITA OU DESPESA],"Despesa",LANÇ_MOV[CONTAS],$C214,LANÇ_MOV[PLANO DE CONTAS],REL_DRE_FINANCEIRO!$B$135,LANÇ_MOV[ANO PAGAMENTO],$B$4,LANÇ_MOV[MÊS PAGAMENTO CORRESPONDENTE],F$6,LANÇ_MOV[EMPRESA],$C$4,LANÇ_MOV[CENTRO DE CUSTOS],$D$4)</f>
        <v>0</v>
      </c>
      <c r="G214" s="206">
        <f>SUMIFS(LANÇ_MOV[VALOR LÍQUIDO],LANÇ_MOV[RECEITA OU DESPESA],"Despesa",LANÇ_MOV[CONTAS],$C214,LANÇ_MOV[PLANO DE CONTAS],REL_DRE_FINANCEIRO!$B$135,LANÇ_MOV[ANO PAGAMENTO],$B$4,LANÇ_MOV[MÊS PAGAMENTO CORRESPONDENTE],G$6,LANÇ_MOV[EMPRESA],$C$4,LANÇ_MOV[CENTRO DE CUSTOS],$D$4)</f>
        <v>0</v>
      </c>
      <c r="H214" s="206">
        <f>SUMIFS(LANÇ_MOV[VALOR LÍQUIDO],LANÇ_MOV[RECEITA OU DESPESA],"Despesa",LANÇ_MOV[CONTAS],$C214,LANÇ_MOV[PLANO DE CONTAS],REL_DRE_FINANCEIRO!$B$135,LANÇ_MOV[ANO PAGAMENTO],$B$4,LANÇ_MOV[MÊS PAGAMENTO CORRESPONDENTE],H$6,LANÇ_MOV[EMPRESA],$C$4,LANÇ_MOV[CENTRO DE CUSTOS],$D$4)</f>
        <v>0</v>
      </c>
      <c r="I214" s="206">
        <f>SUMIFS(LANÇ_MOV[VALOR LÍQUIDO],LANÇ_MOV[RECEITA OU DESPESA],"Despesa",LANÇ_MOV[CONTAS],$C214,LANÇ_MOV[PLANO DE CONTAS],REL_DRE_FINANCEIRO!$B$135,LANÇ_MOV[ANO PAGAMENTO],$B$4,LANÇ_MOV[MÊS PAGAMENTO CORRESPONDENTE],I$6,LANÇ_MOV[EMPRESA],$C$4,LANÇ_MOV[CENTRO DE CUSTOS],$D$4)</f>
        <v>0</v>
      </c>
      <c r="J214" s="206">
        <f>SUMIFS(LANÇ_MOV[VALOR LÍQUIDO],LANÇ_MOV[RECEITA OU DESPESA],"Despesa",LANÇ_MOV[CONTAS],$C214,LANÇ_MOV[PLANO DE CONTAS],REL_DRE_FINANCEIRO!$B$135,LANÇ_MOV[ANO PAGAMENTO],$B$4,LANÇ_MOV[MÊS PAGAMENTO CORRESPONDENTE],J$6,LANÇ_MOV[EMPRESA],$C$4,LANÇ_MOV[CENTRO DE CUSTOS],$D$4)</f>
        <v>0</v>
      </c>
      <c r="K214" s="206">
        <f>SUMIFS(LANÇ_MOV[VALOR LÍQUIDO],LANÇ_MOV[RECEITA OU DESPESA],"Despesa",LANÇ_MOV[CONTAS],$C214,LANÇ_MOV[PLANO DE CONTAS],REL_DRE_FINANCEIRO!$B$135,LANÇ_MOV[ANO PAGAMENTO],$B$4,LANÇ_MOV[MÊS PAGAMENTO CORRESPONDENTE],K$6,LANÇ_MOV[EMPRESA],$C$4,LANÇ_MOV[CENTRO DE CUSTOS],$D$4)</f>
        <v>0</v>
      </c>
      <c r="L214" s="206">
        <f>SUMIFS(LANÇ_MOV[VALOR LÍQUIDO],LANÇ_MOV[RECEITA OU DESPESA],"Despesa",LANÇ_MOV[CONTAS],$C214,LANÇ_MOV[PLANO DE CONTAS],REL_DRE_FINANCEIRO!$B$135,LANÇ_MOV[ANO PAGAMENTO],$B$4,LANÇ_MOV[MÊS PAGAMENTO CORRESPONDENTE],L$6,LANÇ_MOV[EMPRESA],$C$4,LANÇ_MOV[CENTRO DE CUSTOS],$D$4)</f>
        <v>0</v>
      </c>
      <c r="M214" s="206">
        <f>SUMIFS(LANÇ_MOV[VALOR LÍQUIDO],LANÇ_MOV[RECEITA OU DESPESA],"Despesa",LANÇ_MOV[CONTAS],$C214,LANÇ_MOV[PLANO DE CONTAS],REL_DRE_FINANCEIRO!$B$135,LANÇ_MOV[ANO PAGAMENTO],$B$4,LANÇ_MOV[MÊS PAGAMENTO CORRESPONDENTE],M$6,LANÇ_MOV[EMPRESA],$C$4,LANÇ_MOV[CENTRO DE CUSTOS],$D$4)</f>
        <v>0</v>
      </c>
      <c r="N214" s="206">
        <f>SUMIFS(LANÇ_MOV[VALOR LÍQUIDO],LANÇ_MOV[RECEITA OU DESPESA],"Despesa",LANÇ_MOV[CONTAS],$C214,LANÇ_MOV[PLANO DE CONTAS],REL_DRE_FINANCEIRO!$B$135,LANÇ_MOV[ANO PAGAMENTO],$B$4,LANÇ_MOV[MÊS PAGAMENTO CORRESPONDENTE],N$6,LANÇ_MOV[EMPRESA],$C$4,LANÇ_MOV[CENTRO DE CUSTOS],$D$4)</f>
        <v>0</v>
      </c>
      <c r="O214" s="206">
        <f>SUMIFS(LANÇ_MOV[VALOR LÍQUIDO],LANÇ_MOV[RECEITA OU DESPESA],"Despesa",LANÇ_MOV[CONTAS],$C214,LANÇ_MOV[PLANO DE CONTAS],REL_DRE_FINANCEIRO!$B$135,LANÇ_MOV[ANO PAGAMENTO],$B$4,LANÇ_MOV[MÊS PAGAMENTO CORRESPONDENTE],O$6,LANÇ_MOV[EMPRESA],$C$4,LANÇ_MOV[CENTRO DE CUSTOS],$D$4)</f>
        <v>0</v>
      </c>
      <c r="P214" s="207">
        <f t="shared" si="35"/>
        <v>0</v>
      </c>
      <c r="Q214" s="333">
        <v>3.43E-5</v>
      </c>
      <c r="R214" s="346">
        <f t="shared" si="37"/>
        <v>3.43E-5</v>
      </c>
      <c r="S214" s="347" t="str">
        <f t="shared" si="38"/>
        <v>-</v>
      </c>
      <c r="T214" s="347">
        <f t="shared" si="39"/>
        <v>0</v>
      </c>
      <c r="U214" s="347">
        <f>HLOOKUP(Apoio!$P$12,$D$134:$P$235,X214,FALSE)+Q214</f>
        <v>3.43E-5</v>
      </c>
      <c r="V214" s="447" t="str">
        <f t="shared" si="36"/>
        <v>-</v>
      </c>
      <c r="W214" s="448">
        <f>HLOOKUP(Apoio!$P$12,$D$134:$P$235,X214,FALSE)</f>
        <v>0</v>
      </c>
      <c r="X214" s="329">
        <v>81</v>
      </c>
    </row>
    <row r="215" spans="2:24" ht="30.05" customHeight="1" x14ac:dyDescent="0.35">
      <c r="B215" s="204" t="str">
        <f>'CAD_PL_REC-DESP'!K84</f>
        <v>2.1.80</v>
      </c>
      <c r="C215" s="205" t="str">
        <f>IF('CAD_PL_REC-DESP'!L84="","-",'CAD_PL_REC-DESP'!L84)</f>
        <v>-</v>
      </c>
      <c r="D215" s="206">
        <f>SUMIFS(LANÇ_MOV[VALOR LÍQUIDO],LANÇ_MOV[RECEITA OU DESPESA],"Despesa",LANÇ_MOV[CONTAS],$C215,LANÇ_MOV[PLANO DE CONTAS],REL_DRE_FINANCEIRO!$B$135,LANÇ_MOV[ANO PAGAMENTO],$B$4,LANÇ_MOV[MÊS PAGAMENTO CORRESPONDENTE],D$6,LANÇ_MOV[EMPRESA],$C$4,LANÇ_MOV[CENTRO DE CUSTOS],$D$4)</f>
        <v>0</v>
      </c>
      <c r="E215" s="206">
        <f>SUMIFS(LANÇ_MOV[VALOR LÍQUIDO],LANÇ_MOV[RECEITA OU DESPESA],"Despesa",LANÇ_MOV[CONTAS],$C215,LANÇ_MOV[PLANO DE CONTAS],REL_DRE_FINANCEIRO!$B$135,LANÇ_MOV[ANO PAGAMENTO],$B$4,LANÇ_MOV[MÊS PAGAMENTO CORRESPONDENTE],E$6,LANÇ_MOV[EMPRESA],$C$4,LANÇ_MOV[CENTRO DE CUSTOS],$D$4)</f>
        <v>0</v>
      </c>
      <c r="F215" s="206">
        <f>SUMIFS(LANÇ_MOV[VALOR LÍQUIDO],LANÇ_MOV[RECEITA OU DESPESA],"Despesa",LANÇ_MOV[CONTAS],$C215,LANÇ_MOV[PLANO DE CONTAS],REL_DRE_FINANCEIRO!$B$135,LANÇ_MOV[ANO PAGAMENTO],$B$4,LANÇ_MOV[MÊS PAGAMENTO CORRESPONDENTE],F$6,LANÇ_MOV[EMPRESA],$C$4,LANÇ_MOV[CENTRO DE CUSTOS],$D$4)</f>
        <v>0</v>
      </c>
      <c r="G215" s="206">
        <f>SUMIFS(LANÇ_MOV[VALOR LÍQUIDO],LANÇ_MOV[RECEITA OU DESPESA],"Despesa",LANÇ_MOV[CONTAS],$C215,LANÇ_MOV[PLANO DE CONTAS],REL_DRE_FINANCEIRO!$B$135,LANÇ_MOV[ANO PAGAMENTO],$B$4,LANÇ_MOV[MÊS PAGAMENTO CORRESPONDENTE],G$6,LANÇ_MOV[EMPRESA],$C$4,LANÇ_MOV[CENTRO DE CUSTOS],$D$4)</f>
        <v>0</v>
      </c>
      <c r="H215" s="206">
        <f>SUMIFS(LANÇ_MOV[VALOR LÍQUIDO],LANÇ_MOV[RECEITA OU DESPESA],"Despesa",LANÇ_MOV[CONTAS],$C215,LANÇ_MOV[PLANO DE CONTAS],REL_DRE_FINANCEIRO!$B$135,LANÇ_MOV[ANO PAGAMENTO],$B$4,LANÇ_MOV[MÊS PAGAMENTO CORRESPONDENTE],H$6,LANÇ_MOV[EMPRESA],$C$4,LANÇ_MOV[CENTRO DE CUSTOS],$D$4)</f>
        <v>0</v>
      </c>
      <c r="I215" s="206">
        <f>SUMIFS(LANÇ_MOV[VALOR LÍQUIDO],LANÇ_MOV[RECEITA OU DESPESA],"Despesa",LANÇ_MOV[CONTAS],$C215,LANÇ_MOV[PLANO DE CONTAS],REL_DRE_FINANCEIRO!$B$135,LANÇ_MOV[ANO PAGAMENTO],$B$4,LANÇ_MOV[MÊS PAGAMENTO CORRESPONDENTE],I$6,LANÇ_MOV[EMPRESA],$C$4,LANÇ_MOV[CENTRO DE CUSTOS],$D$4)</f>
        <v>0</v>
      </c>
      <c r="J215" s="206">
        <f>SUMIFS(LANÇ_MOV[VALOR LÍQUIDO],LANÇ_MOV[RECEITA OU DESPESA],"Despesa",LANÇ_MOV[CONTAS],$C215,LANÇ_MOV[PLANO DE CONTAS],REL_DRE_FINANCEIRO!$B$135,LANÇ_MOV[ANO PAGAMENTO],$B$4,LANÇ_MOV[MÊS PAGAMENTO CORRESPONDENTE],J$6,LANÇ_MOV[EMPRESA],$C$4,LANÇ_MOV[CENTRO DE CUSTOS],$D$4)</f>
        <v>0</v>
      </c>
      <c r="K215" s="206">
        <f>SUMIFS(LANÇ_MOV[VALOR LÍQUIDO],LANÇ_MOV[RECEITA OU DESPESA],"Despesa",LANÇ_MOV[CONTAS],$C215,LANÇ_MOV[PLANO DE CONTAS],REL_DRE_FINANCEIRO!$B$135,LANÇ_MOV[ANO PAGAMENTO],$B$4,LANÇ_MOV[MÊS PAGAMENTO CORRESPONDENTE],K$6,LANÇ_MOV[EMPRESA],$C$4,LANÇ_MOV[CENTRO DE CUSTOS],$D$4)</f>
        <v>0</v>
      </c>
      <c r="L215" s="206">
        <f>SUMIFS(LANÇ_MOV[VALOR LÍQUIDO],LANÇ_MOV[RECEITA OU DESPESA],"Despesa",LANÇ_MOV[CONTAS],$C215,LANÇ_MOV[PLANO DE CONTAS],REL_DRE_FINANCEIRO!$B$135,LANÇ_MOV[ANO PAGAMENTO],$B$4,LANÇ_MOV[MÊS PAGAMENTO CORRESPONDENTE],L$6,LANÇ_MOV[EMPRESA],$C$4,LANÇ_MOV[CENTRO DE CUSTOS],$D$4)</f>
        <v>0</v>
      </c>
      <c r="M215" s="206">
        <f>SUMIFS(LANÇ_MOV[VALOR LÍQUIDO],LANÇ_MOV[RECEITA OU DESPESA],"Despesa",LANÇ_MOV[CONTAS],$C215,LANÇ_MOV[PLANO DE CONTAS],REL_DRE_FINANCEIRO!$B$135,LANÇ_MOV[ANO PAGAMENTO],$B$4,LANÇ_MOV[MÊS PAGAMENTO CORRESPONDENTE],M$6,LANÇ_MOV[EMPRESA],$C$4,LANÇ_MOV[CENTRO DE CUSTOS],$D$4)</f>
        <v>0</v>
      </c>
      <c r="N215" s="206">
        <f>SUMIFS(LANÇ_MOV[VALOR LÍQUIDO],LANÇ_MOV[RECEITA OU DESPESA],"Despesa",LANÇ_MOV[CONTAS],$C215,LANÇ_MOV[PLANO DE CONTAS],REL_DRE_FINANCEIRO!$B$135,LANÇ_MOV[ANO PAGAMENTO],$B$4,LANÇ_MOV[MÊS PAGAMENTO CORRESPONDENTE],N$6,LANÇ_MOV[EMPRESA],$C$4,LANÇ_MOV[CENTRO DE CUSTOS],$D$4)</f>
        <v>0</v>
      </c>
      <c r="O215" s="206">
        <f>SUMIFS(LANÇ_MOV[VALOR LÍQUIDO],LANÇ_MOV[RECEITA OU DESPESA],"Despesa",LANÇ_MOV[CONTAS],$C215,LANÇ_MOV[PLANO DE CONTAS],REL_DRE_FINANCEIRO!$B$135,LANÇ_MOV[ANO PAGAMENTO],$B$4,LANÇ_MOV[MÊS PAGAMENTO CORRESPONDENTE],O$6,LANÇ_MOV[EMPRESA],$C$4,LANÇ_MOV[CENTRO DE CUSTOS],$D$4)</f>
        <v>0</v>
      </c>
      <c r="P215" s="207">
        <f t="shared" si="35"/>
        <v>0</v>
      </c>
      <c r="Q215" s="333">
        <v>3.4199999999999998E-5</v>
      </c>
      <c r="R215" s="346">
        <f t="shared" si="37"/>
        <v>3.4199999999999998E-5</v>
      </c>
      <c r="S215" s="347" t="str">
        <f t="shared" si="38"/>
        <v>-</v>
      </c>
      <c r="T215" s="347">
        <f t="shared" si="39"/>
        <v>0</v>
      </c>
      <c r="U215" s="347">
        <f>HLOOKUP(Apoio!$P$12,$D$134:$P$235,X215,FALSE)+Q215</f>
        <v>3.4199999999999998E-5</v>
      </c>
      <c r="V215" s="447" t="str">
        <f t="shared" si="36"/>
        <v>-</v>
      </c>
      <c r="W215" s="448">
        <f>HLOOKUP(Apoio!$P$12,$D$134:$P$235,X215,FALSE)</f>
        <v>0</v>
      </c>
      <c r="X215" s="329">
        <v>82</v>
      </c>
    </row>
    <row r="216" spans="2:24" ht="30.05" customHeight="1" x14ac:dyDescent="0.35">
      <c r="B216" s="204" t="str">
        <f>'CAD_PL_REC-DESP'!K85</f>
        <v>2.1.81</v>
      </c>
      <c r="C216" s="205" t="str">
        <f>IF('CAD_PL_REC-DESP'!L85="","-",'CAD_PL_REC-DESP'!L85)</f>
        <v>-</v>
      </c>
      <c r="D216" s="206">
        <f>SUMIFS(LANÇ_MOV[VALOR LÍQUIDO],LANÇ_MOV[RECEITA OU DESPESA],"Despesa",LANÇ_MOV[CONTAS],$C216,LANÇ_MOV[PLANO DE CONTAS],REL_DRE_FINANCEIRO!$B$135,LANÇ_MOV[ANO PAGAMENTO],$B$4,LANÇ_MOV[MÊS PAGAMENTO CORRESPONDENTE],D$6,LANÇ_MOV[EMPRESA],$C$4,LANÇ_MOV[CENTRO DE CUSTOS],$D$4)</f>
        <v>0</v>
      </c>
      <c r="E216" s="206">
        <f>SUMIFS(LANÇ_MOV[VALOR LÍQUIDO],LANÇ_MOV[RECEITA OU DESPESA],"Despesa",LANÇ_MOV[CONTAS],$C216,LANÇ_MOV[PLANO DE CONTAS],REL_DRE_FINANCEIRO!$B$135,LANÇ_MOV[ANO PAGAMENTO],$B$4,LANÇ_MOV[MÊS PAGAMENTO CORRESPONDENTE],E$6,LANÇ_MOV[EMPRESA],$C$4,LANÇ_MOV[CENTRO DE CUSTOS],$D$4)</f>
        <v>0</v>
      </c>
      <c r="F216" s="206">
        <f>SUMIFS(LANÇ_MOV[VALOR LÍQUIDO],LANÇ_MOV[RECEITA OU DESPESA],"Despesa",LANÇ_MOV[CONTAS],$C216,LANÇ_MOV[PLANO DE CONTAS],REL_DRE_FINANCEIRO!$B$135,LANÇ_MOV[ANO PAGAMENTO],$B$4,LANÇ_MOV[MÊS PAGAMENTO CORRESPONDENTE],F$6,LANÇ_MOV[EMPRESA],$C$4,LANÇ_MOV[CENTRO DE CUSTOS],$D$4)</f>
        <v>0</v>
      </c>
      <c r="G216" s="206">
        <f>SUMIFS(LANÇ_MOV[VALOR LÍQUIDO],LANÇ_MOV[RECEITA OU DESPESA],"Despesa",LANÇ_MOV[CONTAS],$C216,LANÇ_MOV[PLANO DE CONTAS],REL_DRE_FINANCEIRO!$B$135,LANÇ_MOV[ANO PAGAMENTO],$B$4,LANÇ_MOV[MÊS PAGAMENTO CORRESPONDENTE],G$6,LANÇ_MOV[EMPRESA],$C$4,LANÇ_MOV[CENTRO DE CUSTOS],$D$4)</f>
        <v>0</v>
      </c>
      <c r="H216" s="206">
        <f>SUMIFS(LANÇ_MOV[VALOR LÍQUIDO],LANÇ_MOV[RECEITA OU DESPESA],"Despesa",LANÇ_MOV[CONTAS],$C216,LANÇ_MOV[PLANO DE CONTAS],REL_DRE_FINANCEIRO!$B$135,LANÇ_MOV[ANO PAGAMENTO],$B$4,LANÇ_MOV[MÊS PAGAMENTO CORRESPONDENTE],H$6,LANÇ_MOV[EMPRESA],$C$4,LANÇ_MOV[CENTRO DE CUSTOS],$D$4)</f>
        <v>0</v>
      </c>
      <c r="I216" s="206">
        <f>SUMIFS(LANÇ_MOV[VALOR LÍQUIDO],LANÇ_MOV[RECEITA OU DESPESA],"Despesa",LANÇ_MOV[CONTAS],$C216,LANÇ_MOV[PLANO DE CONTAS],REL_DRE_FINANCEIRO!$B$135,LANÇ_MOV[ANO PAGAMENTO],$B$4,LANÇ_MOV[MÊS PAGAMENTO CORRESPONDENTE],I$6,LANÇ_MOV[EMPRESA],$C$4,LANÇ_MOV[CENTRO DE CUSTOS],$D$4)</f>
        <v>0</v>
      </c>
      <c r="J216" s="206">
        <f>SUMIFS(LANÇ_MOV[VALOR LÍQUIDO],LANÇ_MOV[RECEITA OU DESPESA],"Despesa",LANÇ_MOV[CONTAS],$C216,LANÇ_MOV[PLANO DE CONTAS],REL_DRE_FINANCEIRO!$B$135,LANÇ_MOV[ANO PAGAMENTO],$B$4,LANÇ_MOV[MÊS PAGAMENTO CORRESPONDENTE],J$6,LANÇ_MOV[EMPRESA],$C$4,LANÇ_MOV[CENTRO DE CUSTOS],$D$4)</f>
        <v>0</v>
      </c>
      <c r="K216" s="206">
        <f>SUMIFS(LANÇ_MOV[VALOR LÍQUIDO],LANÇ_MOV[RECEITA OU DESPESA],"Despesa",LANÇ_MOV[CONTAS],$C216,LANÇ_MOV[PLANO DE CONTAS],REL_DRE_FINANCEIRO!$B$135,LANÇ_MOV[ANO PAGAMENTO],$B$4,LANÇ_MOV[MÊS PAGAMENTO CORRESPONDENTE],K$6,LANÇ_MOV[EMPRESA],$C$4,LANÇ_MOV[CENTRO DE CUSTOS],$D$4)</f>
        <v>0</v>
      </c>
      <c r="L216" s="206">
        <f>SUMIFS(LANÇ_MOV[VALOR LÍQUIDO],LANÇ_MOV[RECEITA OU DESPESA],"Despesa",LANÇ_MOV[CONTAS],$C216,LANÇ_MOV[PLANO DE CONTAS],REL_DRE_FINANCEIRO!$B$135,LANÇ_MOV[ANO PAGAMENTO],$B$4,LANÇ_MOV[MÊS PAGAMENTO CORRESPONDENTE],L$6,LANÇ_MOV[EMPRESA],$C$4,LANÇ_MOV[CENTRO DE CUSTOS],$D$4)</f>
        <v>0</v>
      </c>
      <c r="M216" s="206">
        <f>SUMIFS(LANÇ_MOV[VALOR LÍQUIDO],LANÇ_MOV[RECEITA OU DESPESA],"Despesa",LANÇ_MOV[CONTAS],$C216,LANÇ_MOV[PLANO DE CONTAS],REL_DRE_FINANCEIRO!$B$135,LANÇ_MOV[ANO PAGAMENTO],$B$4,LANÇ_MOV[MÊS PAGAMENTO CORRESPONDENTE],M$6,LANÇ_MOV[EMPRESA],$C$4,LANÇ_MOV[CENTRO DE CUSTOS],$D$4)</f>
        <v>0</v>
      </c>
      <c r="N216" s="206">
        <f>SUMIFS(LANÇ_MOV[VALOR LÍQUIDO],LANÇ_MOV[RECEITA OU DESPESA],"Despesa",LANÇ_MOV[CONTAS],$C216,LANÇ_MOV[PLANO DE CONTAS],REL_DRE_FINANCEIRO!$B$135,LANÇ_MOV[ANO PAGAMENTO],$B$4,LANÇ_MOV[MÊS PAGAMENTO CORRESPONDENTE],N$6,LANÇ_MOV[EMPRESA],$C$4,LANÇ_MOV[CENTRO DE CUSTOS],$D$4)</f>
        <v>0</v>
      </c>
      <c r="O216" s="206">
        <f>SUMIFS(LANÇ_MOV[VALOR LÍQUIDO],LANÇ_MOV[RECEITA OU DESPESA],"Despesa",LANÇ_MOV[CONTAS],$C216,LANÇ_MOV[PLANO DE CONTAS],REL_DRE_FINANCEIRO!$B$135,LANÇ_MOV[ANO PAGAMENTO],$B$4,LANÇ_MOV[MÊS PAGAMENTO CORRESPONDENTE],O$6,LANÇ_MOV[EMPRESA],$C$4,LANÇ_MOV[CENTRO DE CUSTOS],$D$4)</f>
        <v>0</v>
      </c>
      <c r="P216" s="207">
        <f t="shared" si="35"/>
        <v>0</v>
      </c>
      <c r="Q216" s="333">
        <v>3.4100000000000002E-5</v>
      </c>
      <c r="R216" s="346">
        <f t="shared" si="37"/>
        <v>3.4100000000000002E-5</v>
      </c>
      <c r="S216" s="347" t="str">
        <f t="shared" si="38"/>
        <v>-</v>
      </c>
      <c r="T216" s="347">
        <f t="shared" si="39"/>
        <v>0</v>
      </c>
      <c r="U216" s="347">
        <f>HLOOKUP(Apoio!$P$12,$D$134:$P$235,X216,FALSE)+Q216</f>
        <v>3.4100000000000002E-5</v>
      </c>
      <c r="V216" s="447" t="str">
        <f t="shared" si="36"/>
        <v>-</v>
      </c>
      <c r="W216" s="448">
        <f>HLOOKUP(Apoio!$P$12,$D$134:$P$235,X216,FALSE)</f>
        <v>0</v>
      </c>
      <c r="X216" s="329">
        <v>83</v>
      </c>
    </row>
    <row r="217" spans="2:24" ht="30.05" customHeight="1" x14ac:dyDescent="0.35">
      <c r="B217" s="204" t="str">
        <f>'CAD_PL_REC-DESP'!K86</f>
        <v>2.1.82</v>
      </c>
      <c r="C217" s="205" t="str">
        <f>IF('CAD_PL_REC-DESP'!L86="","-",'CAD_PL_REC-DESP'!L86)</f>
        <v>-</v>
      </c>
      <c r="D217" s="206">
        <f>SUMIFS(LANÇ_MOV[VALOR LÍQUIDO],LANÇ_MOV[RECEITA OU DESPESA],"Despesa",LANÇ_MOV[CONTAS],$C217,LANÇ_MOV[PLANO DE CONTAS],REL_DRE_FINANCEIRO!$B$135,LANÇ_MOV[ANO PAGAMENTO],$B$4,LANÇ_MOV[MÊS PAGAMENTO CORRESPONDENTE],D$6,LANÇ_MOV[EMPRESA],$C$4,LANÇ_MOV[CENTRO DE CUSTOS],$D$4)</f>
        <v>0</v>
      </c>
      <c r="E217" s="206">
        <f>SUMIFS(LANÇ_MOV[VALOR LÍQUIDO],LANÇ_MOV[RECEITA OU DESPESA],"Despesa",LANÇ_MOV[CONTAS],$C217,LANÇ_MOV[PLANO DE CONTAS],REL_DRE_FINANCEIRO!$B$135,LANÇ_MOV[ANO PAGAMENTO],$B$4,LANÇ_MOV[MÊS PAGAMENTO CORRESPONDENTE],E$6,LANÇ_MOV[EMPRESA],$C$4,LANÇ_MOV[CENTRO DE CUSTOS],$D$4)</f>
        <v>0</v>
      </c>
      <c r="F217" s="206">
        <f>SUMIFS(LANÇ_MOV[VALOR LÍQUIDO],LANÇ_MOV[RECEITA OU DESPESA],"Despesa",LANÇ_MOV[CONTAS],$C217,LANÇ_MOV[PLANO DE CONTAS],REL_DRE_FINANCEIRO!$B$135,LANÇ_MOV[ANO PAGAMENTO],$B$4,LANÇ_MOV[MÊS PAGAMENTO CORRESPONDENTE],F$6,LANÇ_MOV[EMPRESA],$C$4,LANÇ_MOV[CENTRO DE CUSTOS],$D$4)</f>
        <v>0</v>
      </c>
      <c r="G217" s="206">
        <f>SUMIFS(LANÇ_MOV[VALOR LÍQUIDO],LANÇ_MOV[RECEITA OU DESPESA],"Despesa",LANÇ_MOV[CONTAS],$C217,LANÇ_MOV[PLANO DE CONTAS],REL_DRE_FINANCEIRO!$B$135,LANÇ_MOV[ANO PAGAMENTO],$B$4,LANÇ_MOV[MÊS PAGAMENTO CORRESPONDENTE],G$6,LANÇ_MOV[EMPRESA],$C$4,LANÇ_MOV[CENTRO DE CUSTOS],$D$4)</f>
        <v>0</v>
      </c>
      <c r="H217" s="206">
        <f>SUMIFS(LANÇ_MOV[VALOR LÍQUIDO],LANÇ_MOV[RECEITA OU DESPESA],"Despesa",LANÇ_MOV[CONTAS],$C217,LANÇ_MOV[PLANO DE CONTAS],REL_DRE_FINANCEIRO!$B$135,LANÇ_MOV[ANO PAGAMENTO],$B$4,LANÇ_MOV[MÊS PAGAMENTO CORRESPONDENTE],H$6,LANÇ_MOV[EMPRESA],$C$4,LANÇ_MOV[CENTRO DE CUSTOS],$D$4)</f>
        <v>0</v>
      </c>
      <c r="I217" s="206">
        <f>SUMIFS(LANÇ_MOV[VALOR LÍQUIDO],LANÇ_MOV[RECEITA OU DESPESA],"Despesa",LANÇ_MOV[CONTAS],$C217,LANÇ_MOV[PLANO DE CONTAS],REL_DRE_FINANCEIRO!$B$135,LANÇ_MOV[ANO PAGAMENTO],$B$4,LANÇ_MOV[MÊS PAGAMENTO CORRESPONDENTE],I$6,LANÇ_MOV[EMPRESA],$C$4,LANÇ_MOV[CENTRO DE CUSTOS],$D$4)</f>
        <v>0</v>
      </c>
      <c r="J217" s="206">
        <f>SUMIFS(LANÇ_MOV[VALOR LÍQUIDO],LANÇ_MOV[RECEITA OU DESPESA],"Despesa",LANÇ_MOV[CONTAS],$C217,LANÇ_MOV[PLANO DE CONTAS],REL_DRE_FINANCEIRO!$B$135,LANÇ_MOV[ANO PAGAMENTO],$B$4,LANÇ_MOV[MÊS PAGAMENTO CORRESPONDENTE],J$6,LANÇ_MOV[EMPRESA],$C$4,LANÇ_MOV[CENTRO DE CUSTOS],$D$4)</f>
        <v>0</v>
      </c>
      <c r="K217" s="206">
        <f>SUMIFS(LANÇ_MOV[VALOR LÍQUIDO],LANÇ_MOV[RECEITA OU DESPESA],"Despesa",LANÇ_MOV[CONTAS],$C217,LANÇ_MOV[PLANO DE CONTAS],REL_DRE_FINANCEIRO!$B$135,LANÇ_MOV[ANO PAGAMENTO],$B$4,LANÇ_MOV[MÊS PAGAMENTO CORRESPONDENTE],K$6,LANÇ_MOV[EMPRESA],$C$4,LANÇ_MOV[CENTRO DE CUSTOS],$D$4)</f>
        <v>0</v>
      </c>
      <c r="L217" s="206">
        <f>SUMIFS(LANÇ_MOV[VALOR LÍQUIDO],LANÇ_MOV[RECEITA OU DESPESA],"Despesa",LANÇ_MOV[CONTAS],$C217,LANÇ_MOV[PLANO DE CONTAS],REL_DRE_FINANCEIRO!$B$135,LANÇ_MOV[ANO PAGAMENTO],$B$4,LANÇ_MOV[MÊS PAGAMENTO CORRESPONDENTE],L$6,LANÇ_MOV[EMPRESA],$C$4,LANÇ_MOV[CENTRO DE CUSTOS],$D$4)</f>
        <v>0</v>
      </c>
      <c r="M217" s="206">
        <f>SUMIFS(LANÇ_MOV[VALOR LÍQUIDO],LANÇ_MOV[RECEITA OU DESPESA],"Despesa",LANÇ_MOV[CONTAS],$C217,LANÇ_MOV[PLANO DE CONTAS],REL_DRE_FINANCEIRO!$B$135,LANÇ_MOV[ANO PAGAMENTO],$B$4,LANÇ_MOV[MÊS PAGAMENTO CORRESPONDENTE],M$6,LANÇ_MOV[EMPRESA],$C$4,LANÇ_MOV[CENTRO DE CUSTOS],$D$4)</f>
        <v>0</v>
      </c>
      <c r="N217" s="206">
        <f>SUMIFS(LANÇ_MOV[VALOR LÍQUIDO],LANÇ_MOV[RECEITA OU DESPESA],"Despesa",LANÇ_MOV[CONTAS],$C217,LANÇ_MOV[PLANO DE CONTAS],REL_DRE_FINANCEIRO!$B$135,LANÇ_MOV[ANO PAGAMENTO],$B$4,LANÇ_MOV[MÊS PAGAMENTO CORRESPONDENTE],N$6,LANÇ_MOV[EMPRESA],$C$4,LANÇ_MOV[CENTRO DE CUSTOS],$D$4)</f>
        <v>0</v>
      </c>
      <c r="O217" s="206">
        <f>SUMIFS(LANÇ_MOV[VALOR LÍQUIDO],LANÇ_MOV[RECEITA OU DESPESA],"Despesa",LANÇ_MOV[CONTAS],$C217,LANÇ_MOV[PLANO DE CONTAS],REL_DRE_FINANCEIRO!$B$135,LANÇ_MOV[ANO PAGAMENTO],$B$4,LANÇ_MOV[MÊS PAGAMENTO CORRESPONDENTE],O$6,LANÇ_MOV[EMPRESA],$C$4,LANÇ_MOV[CENTRO DE CUSTOS],$D$4)</f>
        <v>0</v>
      </c>
      <c r="P217" s="207">
        <f t="shared" si="35"/>
        <v>0</v>
      </c>
      <c r="Q217" s="333">
        <v>3.4E-5</v>
      </c>
      <c r="R217" s="346">
        <f t="shared" si="37"/>
        <v>3.4E-5</v>
      </c>
      <c r="S217" s="347" t="str">
        <f t="shared" si="38"/>
        <v>-</v>
      </c>
      <c r="T217" s="347">
        <f t="shared" si="39"/>
        <v>0</v>
      </c>
      <c r="U217" s="347">
        <f>HLOOKUP(Apoio!$P$12,$D$134:$P$235,X217,FALSE)+Q217</f>
        <v>3.4E-5</v>
      </c>
      <c r="V217" s="447" t="str">
        <f t="shared" si="36"/>
        <v>-</v>
      </c>
      <c r="W217" s="448">
        <f>HLOOKUP(Apoio!$P$12,$D$134:$P$235,X217,FALSE)</f>
        <v>0</v>
      </c>
      <c r="X217" s="329">
        <v>84</v>
      </c>
    </row>
    <row r="218" spans="2:24" ht="30.05" customHeight="1" x14ac:dyDescent="0.35">
      <c r="B218" s="204" t="str">
        <f>'CAD_PL_REC-DESP'!K87</f>
        <v>2.1.83</v>
      </c>
      <c r="C218" s="205" t="str">
        <f>IF('CAD_PL_REC-DESP'!L87="","-",'CAD_PL_REC-DESP'!L87)</f>
        <v>-</v>
      </c>
      <c r="D218" s="206">
        <f>SUMIFS(LANÇ_MOV[VALOR LÍQUIDO],LANÇ_MOV[RECEITA OU DESPESA],"Despesa",LANÇ_MOV[CONTAS],$C218,LANÇ_MOV[PLANO DE CONTAS],REL_DRE_FINANCEIRO!$B$135,LANÇ_MOV[ANO PAGAMENTO],$B$4,LANÇ_MOV[MÊS PAGAMENTO CORRESPONDENTE],D$6,LANÇ_MOV[EMPRESA],$C$4,LANÇ_MOV[CENTRO DE CUSTOS],$D$4)</f>
        <v>0</v>
      </c>
      <c r="E218" s="206">
        <f>SUMIFS(LANÇ_MOV[VALOR LÍQUIDO],LANÇ_MOV[RECEITA OU DESPESA],"Despesa",LANÇ_MOV[CONTAS],$C218,LANÇ_MOV[PLANO DE CONTAS],REL_DRE_FINANCEIRO!$B$135,LANÇ_MOV[ANO PAGAMENTO],$B$4,LANÇ_MOV[MÊS PAGAMENTO CORRESPONDENTE],E$6,LANÇ_MOV[EMPRESA],$C$4,LANÇ_MOV[CENTRO DE CUSTOS],$D$4)</f>
        <v>0</v>
      </c>
      <c r="F218" s="206">
        <f>SUMIFS(LANÇ_MOV[VALOR LÍQUIDO],LANÇ_MOV[RECEITA OU DESPESA],"Despesa",LANÇ_MOV[CONTAS],$C218,LANÇ_MOV[PLANO DE CONTAS],REL_DRE_FINANCEIRO!$B$135,LANÇ_MOV[ANO PAGAMENTO],$B$4,LANÇ_MOV[MÊS PAGAMENTO CORRESPONDENTE],F$6,LANÇ_MOV[EMPRESA],$C$4,LANÇ_MOV[CENTRO DE CUSTOS],$D$4)</f>
        <v>0</v>
      </c>
      <c r="G218" s="206">
        <f>SUMIFS(LANÇ_MOV[VALOR LÍQUIDO],LANÇ_MOV[RECEITA OU DESPESA],"Despesa",LANÇ_MOV[CONTAS],$C218,LANÇ_MOV[PLANO DE CONTAS],REL_DRE_FINANCEIRO!$B$135,LANÇ_MOV[ANO PAGAMENTO],$B$4,LANÇ_MOV[MÊS PAGAMENTO CORRESPONDENTE],G$6,LANÇ_MOV[EMPRESA],$C$4,LANÇ_MOV[CENTRO DE CUSTOS],$D$4)</f>
        <v>0</v>
      </c>
      <c r="H218" s="206">
        <f>SUMIFS(LANÇ_MOV[VALOR LÍQUIDO],LANÇ_MOV[RECEITA OU DESPESA],"Despesa",LANÇ_MOV[CONTAS],$C218,LANÇ_MOV[PLANO DE CONTAS],REL_DRE_FINANCEIRO!$B$135,LANÇ_MOV[ANO PAGAMENTO],$B$4,LANÇ_MOV[MÊS PAGAMENTO CORRESPONDENTE],H$6,LANÇ_MOV[EMPRESA],$C$4,LANÇ_MOV[CENTRO DE CUSTOS],$D$4)</f>
        <v>0</v>
      </c>
      <c r="I218" s="206">
        <f>SUMIFS(LANÇ_MOV[VALOR LÍQUIDO],LANÇ_MOV[RECEITA OU DESPESA],"Despesa",LANÇ_MOV[CONTAS],$C218,LANÇ_MOV[PLANO DE CONTAS],REL_DRE_FINANCEIRO!$B$135,LANÇ_MOV[ANO PAGAMENTO],$B$4,LANÇ_MOV[MÊS PAGAMENTO CORRESPONDENTE],I$6,LANÇ_MOV[EMPRESA],$C$4,LANÇ_MOV[CENTRO DE CUSTOS],$D$4)</f>
        <v>0</v>
      </c>
      <c r="J218" s="206">
        <f>SUMIFS(LANÇ_MOV[VALOR LÍQUIDO],LANÇ_MOV[RECEITA OU DESPESA],"Despesa",LANÇ_MOV[CONTAS],$C218,LANÇ_MOV[PLANO DE CONTAS],REL_DRE_FINANCEIRO!$B$135,LANÇ_MOV[ANO PAGAMENTO],$B$4,LANÇ_MOV[MÊS PAGAMENTO CORRESPONDENTE],J$6,LANÇ_MOV[EMPRESA],$C$4,LANÇ_MOV[CENTRO DE CUSTOS],$D$4)</f>
        <v>0</v>
      </c>
      <c r="K218" s="206">
        <f>SUMIFS(LANÇ_MOV[VALOR LÍQUIDO],LANÇ_MOV[RECEITA OU DESPESA],"Despesa",LANÇ_MOV[CONTAS],$C218,LANÇ_MOV[PLANO DE CONTAS],REL_DRE_FINANCEIRO!$B$135,LANÇ_MOV[ANO PAGAMENTO],$B$4,LANÇ_MOV[MÊS PAGAMENTO CORRESPONDENTE],K$6,LANÇ_MOV[EMPRESA],$C$4,LANÇ_MOV[CENTRO DE CUSTOS],$D$4)</f>
        <v>0</v>
      </c>
      <c r="L218" s="206">
        <f>SUMIFS(LANÇ_MOV[VALOR LÍQUIDO],LANÇ_MOV[RECEITA OU DESPESA],"Despesa",LANÇ_MOV[CONTAS],$C218,LANÇ_MOV[PLANO DE CONTAS],REL_DRE_FINANCEIRO!$B$135,LANÇ_MOV[ANO PAGAMENTO],$B$4,LANÇ_MOV[MÊS PAGAMENTO CORRESPONDENTE],L$6,LANÇ_MOV[EMPRESA],$C$4,LANÇ_MOV[CENTRO DE CUSTOS],$D$4)</f>
        <v>0</v>
      </c>
      <c r="M218" s="206">
        <f>SUMIFS(LANÇ_MOV[VALOR LÍQUIDO],LANÇ_MOV[RECEITA OU DESPESA],"Despesa",LANÇ_MOV[CONTAS],$C218,LANÇ_MOV[PLANO DE CONTAS],REL_DRE_FINANCEIRO!$B$135,LANÇ_MOV[ANO PAGAMENTO],$B$4,LANÇ_MOV[MÊS PAGAMENTO CORRESPONDENTE],M$6,LANÇ_MOV[EMPRESA],$C$4,LANÇ_MOV[CENTRO DE CUSTOS],$D$4)</f>
        <v>0</v>
      </c>
      <c r="N218" s="206">
        <f>SUMIFS(LANÇ_MOV[VALOR LÍQUIDO],LANÇ_MOV[RECEITA OU DESPESA],"Despesa",LANÇ_MOV[CONTAS],$C218,LANÇ_MOV[PLANO DE CONTAS],REL_DRE_FINANCEIRO!$B$135,LANÇ_MOV[ANO PAGAMENTO],$B$4,LANÇ_MOV[MÊS PAGAMENTO CORRESPONDENTE],N$6,LANÇ_MOV[EMPRESA],$C$4,LANÇ_MOV[CENTRO DE CUSTOS],$D$4)</f>
        <v>0</v>
      </c>
      <c r="O218" s="206">
        <f>SUMIFS(LANÇ_MOV[VALOR LÍQUIDO],LANÇ_MOV[RECEITA OU DESPESA],"Despesa",LANÇ_MOV[CONTAS],$C218,LANÇ_MOV[PLANO DE CONTAS],REL_DRE_FINANCEIRO!$B$135,LANÇ_MOV[ANO PAGAMENTO],$B$4,LANÇ_MOV[MÊS PAGAMENTO CORRESPONDENTE],O$6,LANÇ_MOV[EMPRESA],$C$4,LANÇ_MOV[CENTRO DE CUSTOS],$D$4)</f>
        <v>0</v>
      </c>
      <c r="P218" s="207">
        <f t="shared" si="35"/>
        <v>0</v>
      </c>
      <c r="Q218" s="333">
        <v>3.3899999999999997E-5</v>
      </c>
      <c r="R218" s="346">
        <f t="shared" si="37"/>
        <v>3.3899999999999997E-5</v>
      </c>
      <c r="S218" s="347" t="str">
        <f t="shared" si="38"/>
        <v>-</v>
      </c>
      <c r="T218" s="347">
        <f t="shared" si="39"/>
        <v>0</v>
      </c>
      <c r="U218" s="347">
        <f>HLOOKUP(Apoio!$P$12,$D$134:$P$235,X218,FALSE)+Q218</f>
        <v>3.3899999999999997E-5</v>
      </c>
      <c r="V218" s="447" t="str">
        <f t="shared" si="36"/>
        <v>-</v>
      </c>
      <c r="W218" s="448">
        <f>HLOOKUP(Apoio!$P$12,$D$134:$P$235,X218,FALSE)</f>
        <v>0</v>
      </c>
      <c r="X218" s="329">
        <v>85</v>
      </c>
    </row>
    <row r="219" spans="2:24" ht="30.05" customHeight="1" x14ac:dyDescent="0.35">
      <c r="B219" s="204" t="str">
        <f>'CAD_PL_REC-DESP'!K88</f>
        <v>2.1.84</v>
      </c>
      <c r="C219" s="205" t="str">
        <f>IF('CAD_PL_REC-DESP'!L88="","-",'CAD_PL_REC-DESP'!L88)</f>
        <v>-</v>
      </c>
      <c r="D219" s="206">
        <f>SUMIFS(LANÇ_MOV[VALOR LÍQUIDO],LANÇ_MOV[RECEITA OU DESPESA],"Despesa",LANÇ_MOV[CONTAS],$C219,LANÇ_MOV[PLANO DE CONTAS],REL_DRE_FINANCEIRO!$B$135,LANÇ_MOV[ANO PAGAMENTO],$B$4,LANÇ_MOV[MÊS PAGAMENTO CORRESPONDENTE],D$6,LANÇ_MOV[EMPRESA],$C$4,LANÇ_MOV[CENTRO DE CUSTOS],$D$4)</f>
        <v>0</v>
      </c>
      <c r="E219" s="206">
        <f>SUMIFS(LANÇ_MOV[VALOR LÍQUIDO],LANÇ_MOV[RECEITA OU DESPESA],"Despesa",LANÇ_MOV[CONTAS],$C219,LANÇ_MOV[PLANO DE CONTAS],REL_DRE_FINANCEIRO!$B$135,LANÇ_MOV[ANO PAGAMENTO],$B$4,LANÇ_MOV[MÊS PAGAMENTO CORRESPONDENTE],E$6,LANÇ_MOV[EMPRESA],$C$4,LANÇ_MOV[CENTRO DE CUSTOS],$D$4)</f>
        <v>0</v>
      </c>
      <c r="F219" s="206">
        <f>SUMIFS(LANÇ_MOV[VALOR LÍQUIDO],LANÇ_MOV[RECEITA OU DESPESA],"Despesa",LANÇ_MOV[CONTAS],$C219,LANÇ_MOV[PLANO DE CONTAS],REL_DRE_FINANCEIRO!$B$135,LANÇ_MOV[ANO PAGAMENTO],$B$4,LANÇ_MOV[MÊS PAGAMENTO CORRESPONDENTE],F$6,LANÇ_MOV[EMPRESA],$C$4,LANÇ_MOV[CENTRO DE CUSTOS],$D$4)</f>
        <v>0</v>
      </c>
      <c r="G219" s="206">
        <f>SUMIFS(LANÇ_MOV[VALOR LÍQUIDO],LANÇ_MOV[RECEITA OU DESPESA],"Despesa",LANÇ_MOV[CONTAS],$C219,LANÇ_MOV[PLANO DE CONTAS],REL_DRE_FINANCEIRO!$B$135,LANÇ_MOV[ANO PAGAMENTO],$B$4,LANÇ_MOV[MÊS PAGAMENTO CORRESPONDENTE],G$6,LANÇ_MOV[EMPRESA],$C$4,LANÇ_MOV[CENTRO DE CUSTOS],$D$4)</f>
        <v>0</v>
      </c>
      <c r="H219" s="206">
        <f>SUMIFS(LANÇ_MOV[VALOR LÍQUIDO],LANÇ_MOV[RECEITA OU DESPESA],"Despesa",LANÇ_MOV[CONTAS],$C219,LANÇ_MOV[PLANO DE CONTAS],REL_DRE_FINANCEIRO!$B$135,LANÇ_MOV[ANO PAGAMENTO],$B$4,LANÇ_MOV[MÊS PAGAMENTO CORRESPONDENTE],H$6,LANÇ_MOV[EMPRESA],$C$4,LANÇ_MOV[CENTRO DE CUSTOS],$D$4)</f>
        <v>0</v>
      </c>
      <c r="I219" s="206">
        <f>SUMIFS(LANÇ_MOV[VALOR LÍQUIDO],LANÇ_MOV[RECEITA OU DESPESA],"Despesa",LANÇ_MOV[CONTAS],$C219,LANÇ_MOV[PLANO DE CONTAS],REL_DRE_FINANCEIRO!$B$135,LANÇ_MOV[ANO PAGAMENTO],$B$4,LANÇ_MOV[MÊS PAGAMENTO CORRESPONDENTE],I$6,LANÇ_MOV[EMPRESA],$C$4,LANÇ_MOV[CENTRO DE CUSTOS],$D$4)</f>
        <v>0</v>
      </c>
      <c r="J219" s="206">
        <f>SUMIFS(LANÇ_MOV[VALOR LÍQUIDO],LANÇ_MOV[RECEITA OU DESPESA],"Despesa",LANÇ_MOV[CONTAS],$C219,LANÇ_MOV[PLANO DE CONTAS],REL_DRE_FINANCEIRO!$B$135,LANÇ_MOV[ANO PAGAMENTO],$B$4,LANÇ_MOV[MÊS PAGAMENTO CORRESPONDENTE],J$6,LANÇ_MOV[EMPRESA],$C$4,LANÇ_MOV[CENTRO DE CUSTOS],$D$4)</f>
        <v>0</v>
      </c>
      <c r="K219" s="206">
        <f>SUMIFS(LANÇ_MOV[VALOR LÍQUIDO],LANÇ_MOV[RECEITA OU DESPESA],"Despesa",LANÇ_MOV[CONTAS],$C219,LANÇ_MOV[PLANO DE CONTAS],REL_DRE_FINANCEIRO!$B$135,LANÇ_MOV[ANO PAGAMENTO],$B$4,LANÇ_MOV[MÊS PAGAMENTO CORRESPONDENTE],K$6,LANÇ_MOV[EMPRESA],$C$4,LANÇ_MOV[CENTRO DE CUSTOS],$D$4)</f>
        <v>0</v>
      </c>
      <c r="L219" s="206">
        <f>SUMIFS(LANÇ_MOV[VALOR LÍQUIDO],LANÇ_MOV[RECEITA OU DESPESA],"Despesa",LANÇ_MOV[CONTAS],$C219,LANÇ_MOV[PLANO DE CONTAS],REL_DRE_FINANCEIRO!$B$135,LANÇ_MOV[ANO PAGAMENTO],$B$4,LANÇ_MOV[MÊS PAGAMENTO CORRESPONDENTE],L$6,LANÇ_MOV[EMPRESA],$C$4,LANÇ_MOV[CENTRO DE CUSTOS],$D$4)</f>
        <v>0</v>
      </c>
      <c r="M219" s="206">
        <f>SUMIFS(LANÇ_MOV[VALOR LÍQUIDO],LANÇ_MOV[RECEITA OU DESPESA],"Despesa",LANÇ_MOV[CONTAS],$C219,LANÇ_MOV[PLANO DE CONTAS],REL_DRE_FINANCEIRO!$B$135,LANÇ_MOV[ANO PAGAMENTO],$B$4,LANÇ_MOV[MÊS PAGAMENTO CORRESPONDENTE],M$6,LANÇ_MOV[EMPRESA],$C$4,LANÇ_MOV[CENTRO DE CUSTOS],$D$4)</f>
        <v>0</v>
      </c>
      <c r="N219" s="206">
        <f>SUMIFS(LANÇ_MOV[VALOR LÍQUIDO],LANÇ_MOV[RECEITA OU DESPESA],"Despesa",LANÇ_MOV[CONTAS],$C219,LANÇ_MOV[PLANO DE CONTAS],REL_DRE_FINANCEIRO!$B$135,LANÇ_MOV[ANO PAGAMENTO],$B$4,LANÇ_MOV[MÊS PAGAMENTO CORRESPONDENTE],N$6,LANÇ_MOV[EMPRESA],$C$4,LANÇ_MOV[CENTRO DE CUSTOS],$D$4)</f>
        <v>0</v>
      </c>
      <c r="O219" s="206">
        <f>SUMIFS(LANÇ_MOV[VALOR LÍQUIDO],LANÇ_MOV[RECEITA OU DESPESA],"Despesa",LANÇ_MOV[CONTAS],$C219,LANÇ_MOV[PLANO DE CONTAS],REL_DRE_FINANCEIRO!$B$135,LANÇ_MOV[ANO PAGAMENTO],$B$4,LANÇ_MOV[MÊS PAGAMENTO CORRESPONDENTE],O$6,LANÇ_MOV[EMPRESA],$C$4,LANÇ_MOV[CENTRO DE CUSTOS],$D$4)</f>
        <v>0</v>
      </c>
      <c r="P219" s="207">
        <f t="shared" si="35"/>
        <v>0</v>
      </c>
      <c r="Q219" s="333">
        <v>3.3800000000000002E-5</v>
      </c>
      <c r="R219" s="346">
        <f t="shared" si="37"/>
        <v>3.3800000000000002E-5</v>
      </c>
      <c r="S219" s="347" t="str">
        <f t="shared" si="38"/>
        <v>-</v>
      </c>
      <c r="T219" s="347">
        <f t="shared" si="39"/>
        <v>0</v>
      </c>
      <c r="U219" s="347">
        <f>HLOOKUP(Apoio!$P$12,$D$134:$P$235,X219,FALSE)+Q219</f>
        <v>3.3800000000000002E-5</v>
      </c>
      <c r="V219" s="447" t="str">
        <f t="shared" si="36"/>
        <v>-</v>
      </c>
      <c r="W219" s="448">
        <f>HLOOKUP(Apoio!$P$12,$D$134:$P$235,X219,FALSE)</f>
        <v>0</v>
      </c>
      <c r="X219" s="329">
        <v>86</v>
      </c>
    </row>
    <row r="220" spans="2:24" ht="30.05" customHeight="1" x14ac:dyDescent="0.35">
      <c r="B220" s="204" t="str">
        <f>'CAD_PL_REC-DESP'!K89</f>
        <v>2.1.85</v>
      </c>
      <c r="C220" s="205" t="str">
        <f>IF('CAD_PL_REC-DESP'!L89="","-",'CAD_PL_REC-DESP'!L89)</f>
        <v>-</v>
      </c>
      <c r="D220" s="206">
        <f>SUMIFS(LANÇ_MOV[VALOR LÍQUIDO],LANÇ_MOV[RECEITA OU DESPESA],"Despesa",LANÇ_MOV[CONTAS],$C220,LANÇ_MOV[PLANO DE CONTAS],REL_DRE_FINANCEIRO!$B$135,LANÇ_MOV[ANO PAGAMENTO],$B$4,LANÇ_MOV[MÊS PAGAMENTO CORRESPONDENTE],D$6,LANÇ_MOV[EMPRESA],$C$4,LANÇ_MOV[CENTRO DE CUSTOS],$D$4)</f>
        <v>0</v>
      </c>
      <c r="E220" s="206">
        <f>SUMIFS(LANÇ_MOV[VALOR LÍQUIDO],LANÇ_MOV[RECEITA OU DESPESA],"Despesa",LANÇ_MOV[CONTAS],$C220,LANÇ_MOV[PLANO DE CONTAS],REL_DRE_FINANCEIRO!$B$135,LANÇ_MOV[ANO PAGAMENTO],$B$4,LANÇ_MOV[MÊS PAGAMENTO CORRESPONDENTE],E$6,LANÇ_MOV[EMPRESA],$C$4,LANÇ_MOV[CENTRO DE CUSTOS],$D$4)</f>
        <v>0</v>
      </c>
      <c r="F220" s="206">
        <f>SUMIFS(LANÇ_MOV[VALOR LÍQUIDO],LANÇ_MOV[RECEITA OU DESPESA],"Despesa",LANÇ_MOV[CONTAS],$C220,LANÇ_MOV[PLANO DE CONTAS],REL_DRE_FINANCEIRO!$B$135,LANÇ_MOV[ANO PAGAMENTO],$B$4,LANÇ_MOV[MÊS PAGAMENTO CORRESPONDENTE],F$6,LANÇ_MOV[EMPRESA],$C$4,LANÇ_MOV[CENTRO DE CUSTOS],$D$4)</f>
        <v>0</v>
      </c>
      <c r="G220" s="206">
        <f>SUMIFS(LANÇ_MOV[VALOR LÍQUIDO],LANÇ_MOV[RECEITA OU DESPESA],"Despesa",LANÇ_MOV[CONTAS],$C220,LANÇ_MOV[PLANO DE CONTAS],REL_DRE_FINANCEIRO!$B$135,LANÇ_MOV[ANO PAGAMENTO],$B$4,LANÇ_MOV[MÊS PAGAMENTO CORRESPONDENTE],G$6,LANÇ_MOV[EMPRESA],$C$4,LANÇ_MOV[CENTRO DE CUSTOS],$D$4)</f>
        <v>0</v>
      </c>
      <c r="H220" s="206">
        <f>SUMIFS(LANÇ_MOV[VALOR LÍQUIDO],LANÇ_MOV[RECEITA OU DESPESA],"Despesa",LANÇ_MOV[CONTAS],$C220,LANÇ_MOV[PLANO DE CONTAS],REL_DRE_FINANCEIRO!$B$135,LANÇ_MOV[ANO PAGAMENTO],$B$4,LANÇ_MOV[MÊS PAGAMENTO CORRESPONDENTE],H$6,LANÇ_MOV[EMPRESA],$C$4,LANÇ_MOV[CENTRO DE CUSTOS],$D$4)</f>
        <v>0</v>
      </c>
      <c r="I220" s="206">
        <f>SUMIFS(LANÇ_MOV[VALOR LÍQUIDO],LANÇ_MOV[RECEITA OU DESPESA],"Despesa",LANÇ_MOV[CONTAS],$C220,LANÇ_MOV[PLANO DE CONTAS],REL_DRE_FINANCEIRO!$B$135,LANÇ_MOV[ANO PAGAMENTO],$B$4,LANÇ_MOV[MÊS PAGAMENTO CORRESPONDENTE],I$6,LANÇ_MOV[EMPRESA],$C$4,LANÇ_MOV[CENTRO DE CUSTOS],$D$4)</f>
        <v>0</v>
      </c>
      <c r="J220" s="206">
        <f>SUMIFS(LANÇ_MOV[VALOR LÍQUIDO],LANÇ_MOV[RECEITA OU DESPESA],"Despesa",LANÇ_MOV[CONTAS],$C220,LANÇ_MOV[PLANO DE CONTAS],REL_DRE_FINANCEIRO!$B$135,LANÇ_MOV[ANO PAGAMENTO],$B$4,LANÇ_MOV[MÊS PAGAMENTO CORRESPONDENTE],J$6,LANÇ_MOV[EMPRESA],$C$4,LANÇ_MOV[CENTRO DE CUSTOS],$D$4)</f>
        <v>0</v>
      </c>
      <c r="K220" s="206">
        <f>SUMIFS(LANÇ_MOV[VALOR LÍQUIDO],LANÇ_MOV[RECEITA OU DESPESA],"Despesa",LANÇ_MOV[CONTAS],$C220,LANÇ_MOV[PLANO DE CONTAS],REL_DRE_FINANCEIRO!$B$135,LANÇ_MOV[ANO PAGAMENTO],$B$4,LANÇ_MOV[MÊS PAGAMENTO CORRESPONDENTE],K$6,LANÇ_MOV[EMPRESA],$C$4,LANÇ_MOV[CENTRO DE CUSTOS],$D$4)</f>
        <v>0</v>
      </c>
      <c r="L220" s="206">
        <f>SUMIFS(LANÇ_MOV[VALOR LÍQUIDO],LANÇ_MOV[RECEITA OU DESPESA],"Despesa",LANÇ_MOV[CONTAS],$C220,LANÇ_MOV[PLANO DE CONTAS],REL_DRE_FINANCEIRO!$B$135,LANÇ_MOV[ANO PAGAMENTO],$B$4,LANÇ_MOV[MÊS PAGAMENTO CORRESPONDENTE],L$6,LANÇ_MOV[EMPRESA],$C$4,LANÇ_MOV[CENTRO DE CUSTOS],$D$4)</f>
        <v>0</v>
      </c>
      <c r="M220" s="206">
        <f>SUMIFS(LANÇ_MOV[VALOR LÍQUIDO],LANÇ_MOV[RECEITA OU DESPESA],"Despesa",LANÇ_MOV[CONTAS],$C220,LANÇ_MOV[PLANO DE CONTAS],REL_DRE_FINANCEIRO!$B$135,LANÇ_MOV[ANO PAGAMENTO],$B$4,LANÇ_MOV[MÊS PAGAMENTO CORRESPONDENTE],M$6,LANÇ_MOV[EMPRESA],$C$4,LANÇ_MOV[CENTRO DE CUSTOS],$D$4)</f>
        <v>0</v>
      </c>
      <c r="N220" s="206">
        <f>SUMIFS(LANÇ_MOV[VALOR LÍQUIDO],LANÇ_MOV[RECEITA OU DESPESA],"Despesa",LANÇ_MOV[CONTAS],$C220,LANÇ_MOV[PLANO DE CONTAS],REL_DRE_FINANCEIRO!$B$135,LANÇ_MOV[ANO PAGAMENTO],$B$4,LANÇ_MOV[MÊS PAGAMENTO CORRESPONDENTE],N$6,LANÇ_MOV[EMPRESA],$C$4,LANÇ_MOV[CENTRO DE CUSTOS],$D$4)</f>
        <v>0</v>
      </c>
      <c r="O220" s="206">
        <f>SUMIFS(LANÇ_MOV[VALOR LÍQUIDO],LANÇ_MOV[RECEITA OU DESPESA],"Despesa",LANÇ_MOV[CONTAS],$C220,LANÇ_MOV[PLANO DE CONTAS],REL_DRE_FINANCEIRO!$B$135,LANÇ_MOV[ANO PAGAMENTO],$B$4,LANÇ_MOV[MÊS PAGAMENTO CORRESPONDENTE],O$6,LANÇ_MOV[EMPRESA],$C$4,LANÇ_MOV[CENTRO DE CUSTOS],$D$4)</f>
        <v>0</v>
      </c>
      <c r="P220" s="207">
        <f t="shared" si="35"/>
        <v>0</v>
      </c>
      <c r="Q220" s="333">
        <v>3.3699999999999999E-5</v>
      </c>
      <c r="R220" s="346">
        <f t="shared" si="37"/>
        <v>3.3699999999999999E-5</v>
      </c>
      <c r="S220" s="347" t="str">
        <f t="shared" si="38"/>
        <v>-</v>
      </c>
      <c r="T220" s="347">
        <f t="shared" si="39"/>
        <v>0</v>
      </c>
      <c r="U220" s="347">
        <f>HLOOKUP(Apoio!$P$12,$D$134:$P$235,X220,FALSE)+Q220</f>
        <v>3.3699999999999999E-5</v>
      </c>
      <c r="V220" s="447" t="str">
        <f t="shared" si="36"/>
        <v>-</v>
      </c>
      <c r="W220" s="448">
        <f>HLOOKUP(Apoio!$P$12,$D$134:$P$235,X220,FALSE)</f>
        <v>0</v>
      </c>
      <c r="X220" s="329">
        <v>87</v>
      </c>
    </row>
    <row r="221" spans="2:24" ht="30.05" customHeight="1" x14ac:dyDescent="0.35">
      <c r="B221" s="204" t="str">
        <f>'CAD_PL_REC-DESP'!K90</f>
        <v>2.1.86</v>
      </c>
      <c r="C221" s="205" t="str">
        <f>IF('CAD_PL_REC-DESP'!L90="","-",'CAD_PL_REC-DESP'!L90)</f>
        <v>-</v>
      </c>
      <c r="D221" s="206">
        <f>SUMIFS(LANÇ_MOV[VALOR LÍQUIDO],LANÇ_MOV[RECEITA OU DESPESA],"Despesa",LANÇ_MOV[CONTAS],$C221,LANÇ_MOV[PLANO DE CONTAS],REL_DRE_FINANCEIRO!$B$135,LANÇ_MOV[ANO PAGAMENTO],$B$4,LANÇ_MOV[MÊS PAGAMENTO CORRESPONDENTE],D$6,LANÇ_MOV[EMPRESA],$C$4,LANÇ_MOV[CENTRO DE CUSTOS],$D$4)</f>
        <v>0</v>
      </c>
      <c r="E221" s="206">
        <f>SUMIFS(LANÇ_MOV[VALOR LÍQUIDO],LANÇ_MOV[RECEITA OU DESPESA],"Despesa",LANÇ_MOV[CONTAS],$C221,LANÇ_MOV[PLANO DE CONTAS],REL_DRE_FINANCEIRO!$B$135,LANÇ_MOV[ANO PAGAMENTO],$B$4,LANÇ_MOV[MÊS PAGAMENTO CORRESPONDENTE],E$6,LANÇ_MOV[EMPRESA],$C$4,LANÇ_MOV[CENTRO DE CUSTOS],$D$4)</f>
        <v>0</v>
      </c>
      <c r="F221" s="206">
        <f>SUMIFS(LANÇ_MOV[VALOR LÍQUIDO],LANÇ_MOV[RECEITA OU DESPESA],"Despesa",LANÇ_MOV[CONTAS],$C221,LANÇ_MOV[PLANO DE CONTAS],REL_DRE_FINANCEIRO!$B$135,LANÇ_MOV[ANO PAGAMENTO],$B$4,LANÇ_MOV[MÊS PAGAMENTO CORRESPONDENTE],F$6,LANÇ_MOV[EMPRESA],$C$4,LANÇ_MOV[CENTRO DE CUSTOS],$D$4)</f>
        <v>0</v>
      </c>
      <c r="G221" s="206">
        <f>SUMIFS(LANÇ_MOV[VALOR LÍQUIDO],LANÇ_MOV[RECEITA OU DESPESA],"Despesa",LANÇ_MOV[CONTAS],$C221,LANÇ_MOV[PLANO DE CONTAS],REL_DRE_FINANCEIRO!$B$135,LANÇ_MOV[ANO PAGAMENTO],$B$4,LANÇ_MOV[MÊS PAGAMENTO CORRESPONDENTE],G$6,LANÇ_MOV[EMPRESA],$C$4,LANÇ_MOV[CENTRO DE CUSTOS],$D$4)</f>
        <v>0</v>
      </c>
      <c r="H221" s="206">
        <f>SUMIFS(LANÇ_MOV[VALOR LÍQUIDO],LANÇ_MOV[RECEITA OU DESPESA],"Despesa",LANÇ_MOV[CONTAS],$C221,LANÇ_MOV[PLANO DE CONTAS],REL_DRE_FINANCEIRO!$B$135,LANÇ_MOV[ANO PAGAMENTO],$B$4,LANÇ_MOV[MÊS PAGAMENTO CORRESPONDENTE],H$6,LANÇ_MOV[EMPRESA],$C$4,LANÇ_MOV[CENTRO DE CUSTOS],$D$4)</f>
        <v>0</v>
      </c>
      <c r="I221" s="206">
        <f>SUMIFS(LANÇ_MOV[VALOR LÍQUIDO],LANÇ_MOV[RECEITA OU DESPESA],"Despesa",LANÇ_MOV[CONTAS],$C221,LANÇ_MOV[PLANO DE CONTAS],REL_DRE_FINANCEIRO!$B$135,LANÇ_MOV[ANO PAGAMENTO],$B$4,LANÇ_MOV[MÊS PAGAMENTO CORRESPONDENTE],I$6,LANÇ_MOV[EMPRESA],$C$4,LANÇ_MOV[CENTRO DE CUSTOS],$D$4)</f>
        <v>0</v>
      </c>
      <c r="J221" s="206">
        <f>SUMIFS(LANÇ_MOV[VALOR LÍQUIDO],LANÇ_MOV[RECEITA OU DESPESA],"Despesa",LANÇ_MOV[CONTAS],$C221,LANÇ_MOV[PLANO DE CONTAS],REL_DRE_FINANCEIRO!$B$135,LANÇ_MOV[ANO PAGAMENTO],$B$4,LANÇ_MOV[MÊS PAGAMENTO CORRESPONDENTE],J$6,LANÇ_MOV[EMPRESA],$C$4,LANÇ_MOV[CENTRO DE CUSTOS],$D$4)</f>
        <v>0</v>
      </c>
      <c r="K221" s="206">
        <f>SUMIFS(LANÇ_MOV[VALOR LÍQUIDO],LANÇ_MOV[RECEITA OU DESPESA],"Despesa",LANÇ_MOV[CONTAS],$C221,LANÇ_MOV[PLANO DE CONTAS],REL_DRE_FINANCEIRO!$B$135,LANÇ_MOV[ANO PAGAMENTO],$B$4,LANÇ_MOV[MÊS PAGAMENTO CORRESPONDENTE],K$6,LANÇ_MOV[EMPRESA],$C$4,LANÇ_MOV[CENTRO DE CUSTOS],$D$4)</f>
        <v>0</v>
      </c>
      <c r="L221" s="206">
        <f>SUMIFS(LANÇ_MOV[VALOR LÍQUIDO],LANÇ_MOV[RECEITA OU DESPESA],"Despesa",LANÇ_MOV[CONTAS],$C221,LANÇ_MOV[PLANO DE CONTAS],REL_DRE_FINANCEIRO!$B$135,LANÇ_MOV[ANO PAGAMENTO],$B$4,LANÇ_MOV[MÊS PAGAMENTO CORRESPONDENTE],L$6,LANÇ_MOV[EMPRESA],$C$4,LANÇ_MOV[CENTRO DE CUSTOS],$D$4)</f>
        <v>0</v>
      </c>
      <c r="M221" s="206">
        <f>SUMIFS(LANÇ_MOV[VALOR LÍQUIDO],LANÇ_MOV[RECEITA OU DESPESA],"Despesa",LANÇ_MOV[CONTAS],$C221,LANÇ_MOV[PLANO DE CONTAS],REL_DRE_FINANCEIRO!$B$135,LANÇ_MOV[ANO PAGAMENTO],$B$4,LANÇ_MOV[MÊS PAGAMENTO CORRESPONDENTE],M$6,LANÇ_MOV[EMPRESA],$C$4,LANÇ_MOV[CENTRO DE CUSTOS],$D$4)</f>
        <v>0</v>
      </c>
      <c r="N221" s="206">
        <f>SUMIFS(LANÇ_MOV[VALOR LÍQUIDO],LANÇ_MOV[RECEITA OU DESPESA],"Despesa",LANÇ_MOV[CONTAS],$C221,LANÇ_MOV[PLANO DE CONTAS],REL_DRE_FINANCEIRO!$B$135,LANÇ_MOV[ANO PAGAMENTO],$B$4,LANÇ_MOV[MÊS PAGAMENTO CORRESPONDENTE],N$6,LANÇ_MOV[EMPRESA],$C$4,LANÇ_MOV[CENTRO DE CUSTOS],$D$4)</f>
        <v>0</v>
      </c>
      <c r="O221" s="206">
        <f>SUMIFS(LANÇ_MOV[VALOR LÍQUIDO],LANÇ_MOV[RECEITA OU DESPESA],"Despesa",LANÇ_MOV[CONTAS],$C221,LANÇ_MOV[PLANO DE CONTAS],REL_DRE_FINANCEIRO!$B$135,LANÇ_MOV[ANO PAGAMENTO],$B$4,LANÇ_MOV[MÊS PAGAMENTO CORRESPONDENTE],O$6,LANÇ_MOV[EMPRESA],$C$4,LANÇ_MOV[CENTRO DE CUSTOS],$D$4)</f>
        <v>0</v>
      </c>
      <c r="P221" s="207">
        <f t="shared" si="35"/>
        <v>0</v>
      </c>
      <c r="Q221" s="333">
        <v>3.3599999999999997E-5</v>
      </c>
      <c r="R221" s="346">
        <f t="shared" si="37"/>
        <v>3.3599999999999997E-5</v>
      </c>
      <c r="S221" s="347" t="str">
        <f t="shared" si="38"/>
        <v>-</v>
      </c>
      <c r="T221" s="347">
        <f t="shared" si="39"/>
        <v>0</v>
      </c>
      <c r="U221" s="347">
        <f>HLOOKUP(Apoio!$P$12,$D$134:$P$235,X221,FALSE)+Q221</f>
        <v>3.3599999999999997E-5</v>
      </c>
      <c r="V221" s="447" t="str">
        <f t="shared" si="36"/>
        <v>-</v>
      </c>
      <c r="W221" s="448">
        <f>HLOOKUP(Apoio!$P$12,$D$134:$P$235,X221,FALSE)</f>
        <v>0</v>
      </c>
      <c r="X221" s="329">
        <v>88</v>
      </c>
    </row>
    <row r="222" spans="2:24" ht="30.05" customHeight="1" x14ac:dyDescent="0.35">
      <c r="B222" s="204" t="str">
        <f>'CAD_PL_REC-DESP'!K91</f>
        <v>2.1.87</v>
      </c>
      <c r="C222" s="205" t="str">
        <f>IF('CAD_PL_REC-DESP'!L91="","-",'CAD_PL_REC-DESP'!L91)</f>
        <v>-</v>
      </c>
      <c r="D222" s="206">
        <f>SUMIFS(LANÇ_MOV[VALOR LÍQUIDO],LANÇ_MOV[RECEITA OU DESPESA],"Despesa",LANÇ_MOV[CONTAS],$C222,LANÇ_MOV[PLANO DE CONTAS],REL_DRE_FINANCEIRO!$B$135,LANÇ_MOV[ANO PAGAMENTO],$B$4,LANÇ_MOV[MÊS PAGAMENTO CORRESPONDENTE],D$6,LANÇ_MOV[EMPRESA],$C$4,LANÇ_MOV[CENTRO DE CUSTOS],$D$4)</f>
        <v>0</v>
      </c>
      <c r="E222" s="206">
        <f>SUMIFS(LANÇ_MOV[VALOR LÍQUIDO],LANÇ_MOV[RECEITA OU DESPESA],"Despesa",LANÇ_MOV[CONTAS],$C222,LANÇ_MOV[PLANO DE CONTAS],REL_DRE_FINANCEIRO!$B$135,LANÇ_MOV[ANO PAGAMENTO],$B$4,LANÇ_MOV[MÊS PAGAMENTO CORRESPONDENTE],E$6,LANÇ_MOV[EMPRESA],$C$4,LANÇ_MOV[CENTRO DE CUSTOS],$D$4)</f>
        <v>0</v>
      </c>
      <c r="F222" s="206">
        <f>SUMIFS(LANÇ_MOV[VALOR LÍQUIDO],LANÇ_MOV[RECEITA OU DESPESA],"Despesa",LANÇ_MOV[CONTAS],$C222,LANÇ_MOV[PLANO DE CONTAS],REL_DRE_FINANCEIRO!$B$135,LANÇ_MOV[ANO PAGAMENTO],$B$4,LANÇ_MOV[MÊS PAGAMENTO CORRESPONDENTE],F$6,LANÇ_MOV[EMPRESA],$C$4,LANÇ_MOV[CENTRO DE CUSTOS],$D$4)</f>
        <v>0</v>
      </c>
      <c r="G222" s="206">
        <f>SUMIFS(LANÇ_MOV[VALOR LÍQUIDO],LANÇ_MOV[RECEITA OU DESPESA],"Despesa",LANÇ_MOV[CONTAS],$C222,LANÇ_MOV[PLANO DE CONTAS],REL_DRE_FINANCEIRO!$B$135,LANÇ_MOV[ANO PAGAMENTO],$B$4,LANÇ_MOV[MÊS PAGAMENTO CORRESPONDENTE],G$6,LANÇ_MOV[EMPRESA],$C$4,LANÇ_MOV[CENTRO DE CUSTOS],$D$4)</f>
        <v>0</v>
      </c>
      <c r="H222" s="206">
        <f>SUMIFS(LANÇ_MOV[VALOR LÍQUIDO],LANÇ_MOV[RECEITA OU DESPESA],"Despesa",LANÇ_MOV[CONTAS],$C222,LANÇ_MOV[PLANO DE CONTAS],REL_DRE_FINANCEIRO!$B$135,LANÇ_MOV[ANO PAGAMENTO],$B$4,LANÇ_MOV[MÊS PAGAMENTO CORRESPONDENTE],H$6,LANÇ_MOV[EMPRESA],$C$4,LANÇ_MOV[CENTRO DE CUSTOS],$D$4)</f>
        <v>0</v>
      </c>
      <c r="I222" s="206">
        <f>SUMIFS(LANÇ_MOV[VALOR LÍQUIDO],LANÇ_MOV[RECEITA OU DESPESA],"Despesa",LANÇ_MOV[CONTAS],$C222,LANÇ_MOV[PLANO DE CONTAS],REL_DRE_FINANCEIRO!$B$135,LANÇ_MOV[ANO PAGAMENTO],$B$4,LANÇ_MOV[MÊS PAGAMENTO CORRESPONDENTE],I$6,LANÇ_MOV[EMPRESA],$C$4,LANÇ_MOV[CENTRO DE CUSTOS],$D$4)</f>
        <v>0</v>
      </c>
      <c r="J222" s="206">
        <f>SUMIFS(LANÇ_MOV[VALOR LÍQUIDO],LANÇ_MOV[RECEITA OU DESPESA],"Despesa",LANÇ_MOV[CONTAS],$C222,LANÇ_MOV[PLANO DE CONTAS],REL_DRE_FINANCEIRO!$B$135,LANÇ_MOV[ANO PAGAMENTO],$B$4,LANÇ_MOV[MÊS PAGAMENTO CORRESPONDENTE],J$6,LANÇ_MOV[EMPRESA],$C$4,LANÇ_MOV[CENTRO DE CUSTOS],$D$4)</f>
        <v>0</v>
      </c>
      <c r="K222" s="206">
        <f>SUMIFS(LANÇ_MOV[VALOR LÍQUIDO],LANÇ_MOV[RECEITA OU DESPESA],"Despesa",LANÇ_MOV[CONTAS],$C222,LANÇ_MOV[PLANO DE CONTAS],REL_DRE_FINANCEIRO!$B$135,LANÇ_MOV[ANO PAGAMENTO],$B$4,LANÇ_MOV[MÊS PAGAMENTO CORRESPONDENTE],K$6,LANÇ_MOV[EMPRESA],$C$4,LANÇ_MOV[CENTRO DE CUSTOS],$D$4)</f>
        <v>0</v>
      </c>
      <c r="L222" s="206">
        <f>SUMIFS(LANÇ_MOV[VALOR LÍQUIDO],LANÇ_MOV[RECEITA OU DESPESA],"Despesa",LANÇ_MOV[CONTAS],$C222,LANÇ_MOV[PLANO DE CONTAS],REL_DRE_FINANCEIRO!$B$135,LANÇ_MOV[ANO PAGAMENTO],$B$4,LANÇ_MOV[MÊS PAGAMENTO CORRESPONDENTE],L$6,LANÇ_MOV[EMPRESA],$C$4,LANÇ_MOV[CENTRO DE CUSTOS],$D$4)</f>
        <v>0</v>
      </c>
      <c r="M222" s="206">
        <f>SUMIFS(LANÇ_MOV[VALOR LÍQUIDO],LANÇ_MOV[RECEITA OU DESPESA],"Despesa",LANÇ_MOV[CONTAS],$C222,LANÇ_MOV[PLANO DE CONTAS],REL_DRE_FINANCEIRO!$B$135,LANÇ_MOV[ANO PAGAMENTO],$B$4,LANÇ_MOV[MÊS PAGAMENTO CORRESPONDENTE],M$6,LANÇ_MOV[EMPRESA],$C$4,LANÇ_MOV[CENTRO DE CUSTOS],$D$4)</f>
        <v>0</v>
      </c>
      <c r="N222" s="206">
        <f>SUMIFS(LANÇ_MOV[VALOR LÍQUIDO],LANÇ_MOV[RECEITA OU DESPESA],"Despesa",LANÇ_MOV[CONTAS],$C222,LANÇ_MOV[PLANO DE CONTAS],REL_DRE_FINANCEIRO!$B$135,LANÇ_MOV[ANO PAGAMENTO],$B$4,LANÇ_MOV[MÊS PAGAMENTO CORRESPONDENTE],N$6,LANÇ_MOV[EMPRESA],$C$4,LANÇ_MOV[CENTRO DE CUSTOS],$D$4)</f>
        <v>0</v>
      </c>
      <c r="O222" s="206">
        <f>SUMIFS(LANÇ_MOV[VALOR LÍQUIDO],LANÇ_MOV[RECEITA OU DESPESA],"Despesa",LANÇ_MOV[CONTAS],$C222,LANÇ_MOV[PLANO DE CONTAS],REL_DRE_FINANCEIRO!$B$135,LANÇ_MOV[ANO PAGAMENTO],$B$4,LANÇ_MOV[MÊS PAGAMENTO CORRESPONDENTE],O$6,LANÇ_MOV[EMPRESA],$C$4,LANÇ_MOV[CENTRO DE CUSTOS],$D$4)</f>
        <v>0</v>
      </c>
      <c r="P222" s="207">
        <f t="shared" si="35"/>
        <v>0</v>
      </c>
      <c r="Q222" s="333">
        <v>3.3500000000000001E-5</v>
      </c>
      <c r="R222" s="346">
        <f t="shared" si="37"/>
        <v>3.3500000000000001E-5</v>
      </c>
      <c r="S222" s="347" t="str">
        <f t="shared" si="38"/>
        <v>-</v>
      </c>
      <c r="T222" s="347">
        <f t="shared" si="39"/>
        <v>0</v>
      </c>
      <c r="U222" s="347">
        <f>HLOOKUP(Apoio!$P$12,$D$134:$P$235,X222,FALSE)+Q222</f>
        <v>3.3500000000000001E-5</v>
      </c>
      <c r="V222" s="447" t="str">
        <f t="shared" si="36"/>
        <v>-</v>
      </c>
      <c r="W222" s="448">
        <f>HLOOKUP(Apoio!$P$12,$D$134:$P$235,X222,FALSE)</f>
        <v>0</v>
      </c>
      <c r="X222" s="329">
        <v>89</v>
      </c>
    </row>
    <row r="223" spans="2:24" ht="30.05" customHeight="1" x14ac:dyDescent="0.35">
      <c r="B223" s="204" t="str">
        <f>'CAD_PL_REC-DESP'!K92</f>
        <v>2.1.88</v>
      </c>
      <c r="C223" s="205" t="str">
        <f>IF('CAD_PL_REC-DESP'!L92="","-",'CAD_PL_REC-DESP'!L92)</f>
        <v>-</v>
      </c>
      <c r="D223" s="206">
        <f>SUMIFS(LANÇ_MOV[VALOR LÍQUIDO],LANÇ_MOV[RECEITA OU DESPESA],"Despesa",LANÇ_MOV[CONTAS],$C223,LANÇ_MOV[PLANO DE CONTAS],REL_DRE_FINANCEIRO!$B$135,LANÇ_MOV[ANO PAGAMENTO],$B$4,LANÇ_MOV[MÊS PAGAMENTO CORRESPONDENTE],D$6,LANÇ_MOV[EMPRESA],$C$4,LANÇ_MOV[CENTRO DE CUSTOS],$D$4)</f>
        <v>0</v>
      </c>
      <c r="E223" s="206">
        <f>SUMIFS(LANÇ_MOV[VALOR LÍQUIDO],LANÇ_MOV[RECEITA OU DESPESA],"Despesa",LANÇ_MOV[CONTAS],$C223,LANÇ_MOV[PLANO DE CONTAS],REL_DRE_FINANCEIRO!$B$135,LANÇ_MOV[ANO PAGAMENTO],$B$4,LANÇ_MOV[MÊS PAGAMENTO CORRESPONDENTE],E$6,LANÇ_MOV[EMPRESA],$C$4,LANÇ_MOV[CENTRO DE CUSTOS],$D$4)</f>
        <v>0</v>
      </c>
      <c r="F223" s="206">
        <f>SUMIFS(LANÇ_MOV[VALOR LÍQUIDO],LANÇ_MOV[RECEITA OU DESPESA],"Despesa",LANÇ_MOV[CONTAS],$C223,LANÇ_MOV[PLANO DE CONTAS],REL_DRE_FINANCEIRO!$B$135,LANÇ_MOV[ANO PAGAMENTO],$B$4,LANÇ_MOV[MÊS PAGAMENTO CORRESPONDENTE],F$6,LANÇ_MOV[EMPRESA],$C$4,LANÇ_MOV[CENTRO DE CUSTOS],$D$4)</f>
        <v>0</v>
      </c>
      <c r="G223" s="206">
        <f>SUMIFS(LANÇ_MOV[VALOR LÍQUIDO],LANÇ_MOV[RECEITA OU DESPESA],"Despesa",LANÇ_MOV[CONTAS],$C223,LANÇ_MOV[PLANO DE CONTAS],REL_DRE_FINANCEIRO!$B$135,LANÇ_MOV[ANO PAGAMENTO],$B$4,LANÇ_MOV[MÊS PAGAMENTO CORRESPONDENTE],G$6,LANÇ_MOV[EMPRESA],$C$4,LANÇ_MOV[CENTRO DE CUSTOS],$D$4)</f>
        <v>0</v>
      </c>
      <c r="H223" s="206">
        <f>SUMIFS(LANÇ_MOV[VALOR LÍQUIDO],LANÇ_MOV[RECEITA OU DESPESA],"Despesa",LANÇ_MOV[CONTAS],$C223,LANÇ_MOV[PLANO DE CONTAS],REL_DRE_FINANCEIRO!$B$135,LANÇ_MOV[ANO PAGAMENTO],$B$4,LANÇ_MOV[MÊS PAGAMENTO CORRESPONDENTE],H$6,LANÇ_MOV[EMPRESA],$C$4,LANÇ_MOV[CENTRO DE CUSTOS],$D$4)</f>
        <v>0</v>
      </c>
      <c r="I223" s="206">
        <f>SUMIFS(LANÇ_MOV[VALOR LÍQUIDO],LANÇ_MOV[RECEITA OU DESPESA],"Despesa",LANÇ_MOV[CONTAS],$C223,LANÇ_MOV[PLANO DE CONTAS],REL_DRE_FINANCEIRO!$B$135,LANÇ_MOV[ANO PAGAMENTO],$B$4,LANÇ_MOV[MÊS PAGAMENTO CORRESPONDENTE],I$6,LANÇ_MOV[EMPRESA],$C$4,LANÇ_MOV[CENTRO DE CUSTOS],$D$4)</f>
        <v>0</v>
      </c>
      <c r="J223" s="206">
        <f>SUMIFS(LANÇ_MOV[VALOR LÍQUIDO],LANÇ_MOV[RECEITA OU DESPESA],"Despesa",LANÇ_MOV[CONTAS],$C223,LANÇ_MOV[PLANO DE CONTAS],REL_DRE_FINANCEIRO!$B$135,LANÇ_MOV[ANO PAGAMENTO],$B$4,LANÇ_MOV[MÊS PAGAMENTO CORRESPONDENTE],J$6,LANÇ_MOV[EMPRESA],$C$4,LANÇ_MOV[CENTRO DE CUSTOS],$D$4)</f>
        <v>0</v>
      </c>
      <c r="K223" s="206">
        <f>SUMIFS(LANÇ_MOV[VALOR LÍQUIDO],LANÇ_MOV[RECEITA OU DESPESA],"Despesa",LANÇ_MOV[CONTAS],$C223,LANÇ_MOV[PLANO DE CONTAS],REL_DRE_FINANCEIRO!$B$135,LANÇ_MOV[ANO PAGAMENTO],$B$4,LANÇ_MOV[MÊS PAGAMENTO CORRESPONDENTE],K$6,LANÇ_MOV[EMPRESA],$C$4,LANÇ_MOV[CENTRO DE CUSTOS],$D$4)</f>
        <v>0</v>
      </c>
      <c r="L223" s="206">
        <f>SUMIFS(LANÇ_MOV[VALOR LÍQUIDO],LANÇ_MOV[RECEITA OU DESPESA],"Despesa",LANÇ_MOV[CONTAS],$C223,LANÇ_MOV[PLANO DE CONTAS],REL_DRE_FINANCEIRO!$B$135,LANÇ_MOV[ANO PAGAMENTO],$B$4,LANÇ_MOV[MÊS PAGAMENTO CORRESPONDENTE],L$6,LANÇ_MOV[EMPRESA],$C$4,LANÇ_MOV[CENTRO DE CUSTOS],$D$4)</f>
        <v>0</v>
      </c>
      <c r="M223" s="206">
        <f>SUMIFS(LANÇ_MOV[VALOR LÍQUIDO],LANÇ_MOV[RECEITA OU DESPESA],"Despesa",LANÇ_MOV[CONTAS],$C223,LANÇ_MOV[PLANO DE CONTAS],REL_DRE_FINANCEIRO!$B$135,LANÇ_MOV[ANO PAGAMENTO],$B$4,LANÇ_MOV[MÊS PAGAMENTO CORRESPONDENTE],M$6,LANÇ_MOV[EMPRESA],$C$4,LANÇ_MOV[CENTRO DE CUSTOS],$D$4)</f>
        <v>0</v>
      </c>
      <c r="N223" s="206">
        <f>SUMIFS(LANÇ_MOV[VALOR LÍQUIDO],LANÇ_MOV[RECEITA OU DESPESA],"Despesa",LANÇ_MOV[CONTAS],$C223,LANÇ_MOV[PLANO DE CONTAS],REL_DRE_FINANCEIRO!$B$135,LANÇ_MOV[ANO PAGAMENTO],$B$4,LANÇ_MOV[MÊS PAGAMENTO CORRESPONDENTE],N$6,LANÇ_MOV[EMPRESA],$C$4,LANÇ_MOV[CENTRO DE CUSTOS],$D$4)</f>
        <v>0</v>
      </c>
      <c r="O223" s="206">
        <f>SUMIFS(LANÇ_MOV[VALOR LÍQUIDO],LANÇ_MOV[RECEITA OU DESPESA],"Despesa",LANÇ_MOV[CONTAS],$C223,LANÇ_MOV[PLANO DE CONTAS],REL_DRE_FINANCEIRO!$B$135,LANÇ_MOV[ANO PAGAMENTO],$B$4,LANÇ_MOV[MÊS PAGAMENTO CORRESPONDENTE],O$6,LANÇ_MOV[EMPRESA],$C$4,LANÇ_MOV[CENTRO DE CUSTOS],$D$4)</f>
        <v>0</v>
      </c>
      <c r="P223" s="207">
        <f t="shared" si="35"/>
        <v>0</v>
      </c>
      <c r="Q223" s="333">
        <v>3.3399999999999999E-5</v>
      </c>
      <c r="R223" s="346">
        <f t="shared" si="37"/>
        <v>3.3399999999999999E-5</v>
      </c>
      <c r="S223" s="347" t="str">
        <f t="shared" si="38"/>
        <v>-</v>
      </c>
      <c r="T223" s="347">
        <f t="shared" si="39"/>
        <v>0</v>
      </c>
      <c r="U223" s="347">
        <f>HLOOKUP(Apoio!$P$12,$D$134:$P$235,X223,FALSE)+Q223</f>
        <v>3.3399999999999999E-5</v>
      </c>
      <c r="V223" s="447" t="str">
        <f t="shared" si="36"/>
        <v>-</v>
      </c>
      <c r="W223" s="448">
        <f>HLOOKUP(Apoio!$P$12,$D$134:$P$235,X223,FALSE)</f>
        <v>0</v>
      </c>
      <c r="X223" s="329">
        <v>90</v>
      </c>
    </row>
    <row r="224" spans="2:24" ht="30.05" customHeight="1" x14ac:dyDescent="0.35">
      <c r="B224" s="204" t="str">
        <f>'CAD_PL_REC-DESP'!K93</f>
        <v>2.1.89</v>
      </c>
      <c r="C224" s="205" t="str">
        <f>IF('CAD_PL_REC-DESP'!L93="","-",'CAD_PL_REC-DESP'!L93)</f>
        <v>-</v>
      </c>
      <c r="D224" s="206">
        <f>SUMIFS(LANÇ_MOV[VALOR LÍQUIDO],LANÇ_MOV[RECEITA OU DESPESA],"Despesa",LANÇ_MOV[CONTAS],$C224,LANÇ_MOV[PLANO DE CONTAS],REL_DRE_FINANCEIRO!$B$135,LANÇ_MOV[ANO PAGAMENTO],$B$4,LANÇ_MOV[MÊS PAGAMENTO CORRESPONDENTE],D$6,LANÇ_MOV[EMPRESA],$C$4,LANÇ_MOV[CENTRO DE CUSTOS],$D$4)</f>
        <v>0</v>
      </c>
      <c r="E224" s="206">
        <f>SUMIFS(LANÇ_MOV[VALOR LÍQUIDO],LANÇ_MOV[RECEITA OU DESPESA],"Despesa",LANÇ_MOV[CONTAS],$C224,LANÇ_MOV[PLANO DE CONTAS],REL_DRE_FINANCEIRO!$B$135,LANÇ_MOV[ANO PAGAMENTO],$B$4,LANÇ_MOV[MÊS PAGAMENTO CORRESPONDENTE],E$6,LANÇ_MOV[EMPRESA],$C$4,LANÇ_MOV[CENTRO DE CUSTOS],$D$4)</f>
        <v>0</v>
      </c>
      <c r="F224" s="206">
        <f>SUMIFS(LANÇ_MOV[VALOR LÍQUIDO],LANÇ_MOV[RECEITA OU DESPESA],"Despesa",LANÇ_MOV[CONTAS],$C224,LANÇ_MOV[PLANO DE CONTAS],REL_DRE_FINANCEIRO!$B$135,LANÇ_MOV[ANO PAGAMENTO],$B$4,LANÇ_MOV[MÊS PAGAMENTO CORRESPONDENTE],F$6,LANÇ_MOV[EMPRESA],$C$4,LANÇ_MOV[CENTRO DE CUSTOS],$D$4)</f>
        <v>0</v>
      </c>
      <c r="G224" s="206">
        <f>SUMIFS(LANÇ_MOV[VALOR LÍQUIDO],LANÇ_MOV[RECEITA OU DESPESA],"Despesa",LANÇ_MOV[CONTAS],$C224,LANÇ_MOV[PLANO DE CONTAS],REL_DRE_FINANCEIRO!$B$135,LANÇ_MOV[ANO PAGAMENTO],$B$4,LANÇ_MOV[MÊS PAGAMENTO CORRESPONDENTE],G$6,LANÇ_MOV[EMPRESA],$C$4,LANÇ_MOV[CENTRO DE CUSTOS],$D$4)</f>
        <v>0</v>
      </c>
      <c r="H224" s="206">
        <f>SUMIFS(LANÇ_MOV[VALOR LÍQUIDO],LANÇ_MOV[RECEITA OU DESPESA],"Despesa",LANÇ_MOV[CONTAS],$C224,LANÇ_MOV[PLANO DE CONTAS],REL_DRE_FINANCEIRO!$B$135,LANÇ_MOV[ANO PAGAMENTO],$B$4,LANÇ_MOV[MÊS PAGAMENTO CORRESPONDENTE],H$6,LANÇ_MOV[EMPRESA],$C$4,LANÇ_MOV[CENTRO DE CUSTOS],$D$4)</f>
        <v>0</v>
      </c>
      <c r="I224" s="206">
        <f>SUMIFS(LANÇ_MOV[VALOR LÍQUIDO],LANÇ_MOV[RECEITA OU DESPESA],"Despesa",LANÇ_MOV[CONTAS],$C224,LANÇ_MOV[PLANO DE CONTAS],REL_DRE_FINANCEIRO!$B$135,LANÇ_MOV[ANO PAGAMENTO],$B$4,LANÇ_MOV[MÊS PAGAMENTO CORRESPONDENTE],I$6,LANÇ_MOV[EMPRESA],$C$4,LANÇ_MOV[CENTRO DE CUSTOS],$D$4)</f>
        <v>0</v>
      </c>
      <c r="J224" s="206">
        <f>SUMIFS(LANÇ_MOV[VALOR LÍQUIDO],LANÇ_MOV[RECEITA OU DESPESA],"Despesa",LANÇ_MOV[CONTAS],$C224,LANÇ_MOV[PLANO DE CONTAS],REL_DRE_FINANCEIRO!$B$135,LANÇ_MOV[ANO PAGAMENTO],$B$4,LANÇ_MOV[MÊS PAGAMENTO CORRESPONDENTE],J$6,LANÇ_MOV[EMPRESA],$C$4,LANÇ_MOV[CENTRO DE CUSTOS],$D$4)</f>
        <v>0</v>
      </c>
      <c r="K224" s="206">
        <f>SUMIFS(LANÇ_MOV[VALOR LÍQUIDO],LANÇ_MOV[RECEITA OU DESPESA],"Despesa",LANÇ_MOV[CONTAS],$C224,LANÇ_MOV[PLANO DE CONTAS],REL_DRE_FINANCEIRO!$B$135,LANÇ_MOV[ANO PAGAMENTO],$B$4,LANÇ_MOV[MÊS PAGAMENTO CORRESPONDENTE],K$6,LANÇ_MOV[EMPRESA],$C$4,LANÇ_MOV[CENTRO DE CUSTOS],$D$4)</f>
        <v>0</v>
      </c>
      <c r="L224" s="206">
        <f>SUMIFS(LANÇ_MOV[VALOR LÍQUIDO],LANÇ_MOV[RECEITA OU DESPESA],"Despesa",LANÇ_MOV[CONTAS],$C224,LANÇ_MOV[PLANO DE CONTAS],REL_DRE_FINANCEIRO!$B$135,LANÇ_MOV[ANO PAGAMENTO],$B$4,LANÇ_MOV[MÊS PAGAMENTO CORRESPONDENTE],L$6,LANÇ_MOV[EMPRESA],$C$4,LANÇ_MOV[CENTRO DE CUSTOS],$D$4)</f>
        <v>0</v>
      </c>
      <c r="M224" s="206">
        <f>SUMIFS(LANÇ_MOV[VALOR LÍQUIDO],LANÇ_MOV[RECEITA OU DESPESA],"Despesa",LANÇ_MOV[CONTAS],$C224,LANÇ_MOV[PLANO DE CONTAS],REL_DRE_FINANCEIRO!$B$135,LANÇ_MOV[ANO PAGAMENTO],$B$4,LANÇ_MOV[MÊS PAGAMENTO CORRESPONDENTE],M$6,LANÇ_MOV[EMPRESA],$C$4,LANÇ_MOV[CENTRO DE CUSTOS],$D$4)</f>
        <v>0</v>
      </c>
      <c r="N224" s="206">
        <f>SUMIFS(LANÇ_MOV[VALOR LÍQUIDO],LANÇ_MOV[RECEITA OU DESPESA],"Despesa",LANÇ_MOV[CONTAS],$C224,LANÇ_MOV[PLANO DE CONTAS],REL_DRE_FINANCEIRO!$B$135,LANÇ_MOV[ANO PAGAMENTO],$B$4,LANÇ_MOV[MÊS PAGAMENTO CORRESPONDENTE],N$6,LANÇ_MOV[EMPRESA],$C$4,LANÇ_MOV[CENTRO DE CUSTOS],$D$4)</f>
        <v>0</v>
      </c>
      <c r="O224" s="206">
        <f>SUMIFS(LANÇ_MOV[VALOR LÍQUIDO],LANÇ_MOV[RECEITA OU DESPESA],"Despesa",LANÇ_MOV[CONTAS],$C224,LANÇ_MOV[PLANO DE CONTAS],REL_DRE_FINANCEIRO!$B$135,LANÇ_MOV[ANO PAGAMENTO],$B$4,LANÇ_MOV[MÊS PAGAMENTO CORRESPONDENTE],O$6,LANÇ_MOV[EMPRESA],$C$4,LANÇ_MOV[CENTRO DE CUSTOS],$D$4)</f>
        <v>0</v>
      </c>
      <c r="P224" s="207">
        <f t="shared" si="35"/>
        <v>0</v>
      </c>
      <c r="Q224" s="333">
        <v>3.3300000000000003E-5</v>
      </c>
      <c r="R224" s="346">
        <f t="shared" si="37"/>
        <v>3.3300000000000003E-5</v>
      </c>
      <c r="S224" s="347" t="str">
        <f t="shared" si="38"/>
        <v>-</v>
      </c>
      <c r="T224" s="347">
        <f t="shared" si="39"/>
        <v>0</v>
      </c>
      <c r="U224" s="347">
        <f>HLOOKUP(Apoio!$P$12,$D$134:$P$235,X224,FALSE)+Q224</f>
        <v>3.3300000000000003E-5</v>
      </c>
      <c r="V224" s="447" t="str">
        <f t="shared" si="36"/>
        <v>-</v>
      </c>
      <c r="W224" s="448">
        <f>HLOOKUP(Apoio!$P$12,$D$134:$P$235,X224,FALSE)</f>
        <v>0</v>
      </c>
      <c r="X224" s="329">
        <v>91</v>
      </c>
    </row>
    <row r="225" spans="2:50" ht="30.05" customHeight="1" x14ac:dyDescent="0.35">
      <c r="B225" s="204" t="str">
        <f>'CAD_PL_REC-DESP'!K94</f>
        <v>2.1.90</v>
      </c>
      <c r="C225" s="205" t="str">
        <f>IF('CAD_PL_REC-DESP'!L94="","-",'CAD_PL_REC-DESP'!L94)</f>
        <v>-</v>
      </c>
      <c r="D225" s="206">
        <f>SUMIFS(LANÇ_MOV[VALOR LÍQUIDO],LANÇ_MOV[RECEITA OU DESPESA],"Despesa",LANÇ_MOV[CONTAS],$C225,LANÇ_MOV[PLANO DE CONTAS],REL_DRE_FINANCEIRO!$B$135,LANÇ_MOV[ANO PAGAMENTO],$B$4,LANÇ_MOV[MÊS PAGAMENTO CORRESPONDENTE],D$6,LANÇ_MOV[EMPRESA],$C$4,LANÇ_MOV[CENTRO DE CUSTOS],$D$4)</f>
        <v>0</v>
      </c>
      <c r="E225" s="206">
        <f>SUMIFS(LANÇ_MOV[VALOR LÍQUIDO],LANÇ_MOV[RECEITA OU DESPESA],"Despesa",LANÇ_MOV[CONTAS],$C225,LANÇ_MOV[PLANO DE CONTAS],REL_DRE_FINANCEIRO!$B$135,LANÇ_MOV[ANO PAGAMENTO],$B$4,LANÇ_MOV[MÊS PAGAMENTO CORRESPONDENTE],E$6,LANÇ_MOV[EMPRESA],$C$4,LANÇ_MOV[CENTRO DE CUSTOS],$D$4)</f>
        <v>0</v>
      </c>
      <c r="F225" s="206">
        <f>SUMIFS(LANÇ_MOV[VALOR LÍQUIDO],LANÇ_MOV[RECEITA OU DESPESA],"Despesa",LANÇ_MOV[CONTAS],$C225,LANÇ_MOV[PLANO DE CONTAS],REL_DRE_FINANCEIRO!$B$135,LANÇ_MOV[ANO PAGAMENTO],$B$4,LANÇ_MOV[MÊS PAGAMENTO CORRESPONDENTE],F$6,LANÇ_MOV[EMPRESA],$C$4,LANÇ_MOV[CENTRO DE CUSTOS],$D$4)</f>
        <v>0</v>
      </c>
      <c r="G225" s="206">
        <f>SUMIFS(LANÇ_MOV[VALOR LÍQUIDO],LANÇ_MOV[RECEITA OU DESPESA],"Despesa",LANÇ_MOV[CONTAS],$C225,LANÇ_MOV[PLANO DE CONTAS],REL_DRE_FINANCEIRO!$B$135,LANÇ_MOV[ANO PAGAMENTO],$B$4,LANÇ_MOV[MÊS PAGAMENTO CORRESPONDENTE],G$6,LANÇ_MOV[EMPRESA],$C$4,LANÇ_MOV[CENTRO DE CUSTOS],$D$4)</f>
        <v>0</v>
      </c>
      <c r="H225" s="206">
        <f>SUMIFS(LANÇ_MOV[VALOR LÍQUIDO],LANÇ_MOV[RECEITA OU DESPESA],"Despesa",LANÇ_MOV[CONTAS],$C225,LANÇ_MOV[PLANO DE CONTAS],REL_DRE_FINANCEIRO!$B$135,LANÇ_MOV[ANO PAGAMENTO],$B$4,LANÇ_MOV[MÊS PAGAMENTO CORRESPONDENTE],H$6,LANÇ_MOV[EMPRESA],$C$4,LANÇ_MOV[CENTRO DE CUSTOS],$D$4)</f>
        <v>0</v>
      </c>
      <c r="I225" s="206">
        <f>SUMIFS(LANÇ_MOV[VALOR LÍQUIDO],LANÇ_MOV[RECEITA OU DESPESA],"Despesa",LANÇ_MOV[CONTAS],$C225,LANÇ_MOV[PLANO DE CONTAS],REL_DRE_FINANCEIRO!$B$135,LANÇ_MOV[ANO PAGAMENTO],$B$4,LANÇ_MOV[MÊS PAGAMENTO CORRESPONDENTE],I$6,LANÇ_MOV[EMPRESA],$C$4,LANÇ_MOV[CENTRO DE CUSTOS],$D$4)</f>
        <v>0</v>
      </c>
      <c r="J225" s="206">
        <f>SUMIFS(LANÇ_MOV[VALOR LÍQUIDO],LANÇ_MOV[RECEITA OU DESPESA],"Despesa",LANÇ_MOV[CONTAS],$C225,LANÇ_MOV[PLANO DE CONTAS],REL_DRE_FINANCEIRO!$B$135,LANÇ_MOV[ANO PAGAMENTO],$B$4,LANÇ_MOV[MÊS PAGAMENTO CORRESPONDENTE],J$6,LANÇ_MOV[EMPRESA],$C$4,LANÇ_MOV[CENTRO DE CUSTOS],$D$4)</f>
        <v>0</v>
      </c>
      <c r="K225" s="206">
        <f>SUMIFS(LANÇ_MOV[VALOR LÍQUIDO],LANÇ_MOV[RECEITA OU DESPESA],"Despesa",LANÇ_MOV[CONTAS],$C225,LANÇ_MOV[PLANO DE CONTAS],REL_DRE_FINANCEIRO!$B$135,LANÇ_MOV[ANO PAGAMENTO],$B$4,LANÇ_MOV[MÊS PAGAMENTO CORRESPONDENTE],K$6,LANÇ_MOV[EMPRESA],$C$4,LANÇ_MOV[CENTRO DE CUSTOS],$D$4)</f>
        <v>0</v>
      </c>
      <c r="L225" s="206">
        <f>SUMIFS(LANÇ_MOV[VALOR LÍQUIDO],LANÇ_MOV[RECEITA OU DESPESA],"Despesa",LANÇ_MOV[CONTAS],$C225,LANÇ_MOV[PLANO DE CONTAS],REL_DRE_FINANCEIRO!$B$135,LANÇ_MOV[ANO PAGAMENTO],$B$4,LANÇ_MOV[MÊS PAGAMENTO CORRESPONDENTE],L$6,LANÇ_MOV[EMPRESA],$C$4,LANÇ_MOV[CENTRO DE CUSTOS],$D$4)</f>
        <v>0</v>
      </c>
      <c r="M225" s="206">
        <f>SUMIFS(LANÇ_MOV[VALOR LÍQUIDO],LANÇ_MOV[RECEITA OU DESPESA],"Despesa",LANÇ_MOV[CONTAS],$C225,LANÇ_MOV[PLANO DE CONTAS],REL_DRE_FINANCEIRO!$B$135,LANÇ_MOV[ANO PAGAMENTO],$B$4,LANÇ_MOV[MÊS PAGAMENTO CORRESPONDENTE],M$6,LANÇ_MOV[EMPRESA],$C$4,LANÇ_MOV[CENTRO DE CUSTOS],$D$4)</f>
        <v>0</v>
      </c>
      <c r="N225" s="206">
        <f>SUMIFS(LANÇ_MOV[VALOR LÍQUIDO],LANÇ_MOV[RECEITA OU DESPESA],"Despesa",LANÇ_MOV[CONTAS],$C225,LANÇ_MOV[PLANO DE CONTAS],REL_DRE_FINANCEIRO!$B$135,LANÇ_MOV[ANO PAGAMENTO],$B$4,LANÇ_MOV[MÊS PAGAMENTO CORRESPONDENTE],N$6,LANÇ_MOV[EMPRESA],$C$4,LANÇ_MOV[CENTRO DE CUSTOS],$D$4)</f>
        <v>0</v>
      </c>
      <c r="O225" s="206">
        <f>SUMIFS(LANÇ_MOV[VALOR LÍQUIDO],LANÇ_MOV[RECEITA OU DESPESA],"Despesa",LANÇ_MOV[CONTAS],$C225,LANÇ_MOV[PLANO DE CONTAS],REL_DRE_FINANCEIRO!$B$135,LANÇ_MOV[ANO PAGAMENTO],$B$4,LANÇ_MOV[MÊS PAGAMENTO CORRESPONDENTE],O$6,LANÇ_MOV[EMPRESA],$C$4,LANÇ_MOV[CENTRO DE CUSTOS],$D$4)</f>
        <v>0</v>
      </c>
      <c r="P225" s="207">
        <f t="shared" si="35"/>
        <v>0</v>
      </c>
      <c r="Q225" s="333">
        <v>3.3200000000000001E-5</v>
      </c>
      <c r="R225" s="346">
        <f t="shared" si="37"/>
        <v>3.3200000000000001E-5</v>
      </c>
      <c r="S225" s="347" t="str">
        <f t="shared" si="38"/>
        <v>-</v>
      </c>
      <c r="T225" s="347">
        <f t="shared" si="39"/>
        <v>0</v>
      </c>
      <c r="U225" s="347">
        <f>HLOOKUP(Apoio!$P$12,$D$134:$P$235,X225,FALSE)+Q225</f>
        <v>3.3200000000000001E-5</v>
      </c>
      <c r="V225" s="447" t="str">
        <f t="shared" si="36"/>
        <v>-</v>
      </c>
      <c r="W225" s="448">
        <f>HLOOKUP(Apoio!$P$12,$D$134:$P$235,X225,FALSE)</f>
        <v>0</v>
      </c>
      <c r="X225" s="329">
        <v>92</v>
      </c>
    </row>
    <row r="226" spans="2:50" ht="30.05" customHeight="1" x14ac:dyDescent="0.35">
      <c r="B226" s="204" t="str">
        <f>'CAD_PL_REC-DESP'!K95</f>
        <v>2.1.91</v>
      </c>
      <c r="C226" s="205" t="str">
        <f>IF('CAD_PL_REC-DESP'!L95="","-",'CAD_PL_REC-DESP'!L95)</f>
        <v>-</v>
      </c>
      <c r="D226" s="206">
        <f>SUMIFS(LANÇ_MOV[VALOR LÍQUIDO],LANÇ_MOV[RECEITA OU DESPESA],"Despesa",LANÇ_MOV[CONTAS],$C226,LANÇ_MOV[PLANO DE CONTAS],REL_DRE_FINANCEIRO!$B$135,LANÇ_MOV[ANO PAGAMENTO],$B$4,LANÇ_MOV[MÊS PAGAMENTO CORRESPONDENTE],D$6,LANÇ_MOV[EMPRESA],$C$4,LANÇ_MOV[CENTRO DE CUSTOS],$D$4)</f>
        <v>0</v>
      </c>
      <c r="E226" s="206">
        <f>SUMIFS(LANÇ_MOV[VALOR LÍQUIDO],LANÇ_MOV[RECEITA OU DESPESA],"Despesa",LANÇ_MOV[CONTAS],$C226,LANÇ_MOV[PLANO DE CONTAS],REL_DRE_FINANCEIRO!$B$135,LANÇ_MOV[ANO PAGAMENTO],$B$4,LANÇ_MOV[MÊS PAGAMENTO CORRESPONDENTE],E$6,LANÇ_MOV[EMPRESA],$C$4,LANÇ_MOV[CENTRO DE CUSTOS],$D$4)</f>
        <v>0</v>
      </c>
      <c r="F226" s="206">
        <f>SUMIFS(LANÇ_MOV[VALOR LÍQUIDO],LANÇ_MOV[RECEITA OU DESPESA],"Despesa",LANÇ_MOV[CONTAS],$C226,LANÇ_MOV[PLANO DE CONTAS],REL_DRE_FINANCEIRO!$B$135,LANÇ_MOV[ANO PAGAMENTO],$B$4,LANÇ_MOV[MÊS PAGAMENTO CORRESPONDENTE],F$6,LANÇ_MOV[EMPRESA],$C$4,LANÇ_MOV[CENTRO DE CUSTOS],$D$4)</f>
        <v>0</v>
      </c>
      <c r="G226" s="206">
        <f>SUMIFS(LANÇ_MOV[VALOR LÍQUIDO],LANÇ_MOV[RECEITA OU DESPESA],"Despesa",LANÇ_MOV[CONTAS],$C226,LANÇ_MOV[PLANO DE CONTAS],REL_DRE_FINANCEIRO!$B$135,LANÇ_MOV[ANO PAGAMENTO],$B$4,LANÇ_MOV[MÊS PAGAMENTO CORRESPONDENTE],G$6,LANÇ_MOV[EMPRESA],$C$4,LANÇ_MOV[CENTRO DE CUSTOS],$D$4)</f>
        <v>0</v>
      </c>
      <c r="H226" s="206">
        <f>SUMIFS(LANÇ_MOV[VALOR LÍQUIDO],LANÇ_MOV[RECEITA OU DESPESA],"Despesa",LANÇ_MOV[CONTAS],$C226,LANÇ_MOV[PLANO DE CONTAS],REL_DRE_FINANCEIRO!$B$135,LANÇ_MOV[ANO PAGAMENTO],$B$4,LANÇ_MOV[MÊS PAGAMENTO CORRESPONDENTE],H$6,LANÇ_MOV[EMPRESA],$C$4,LANÇ_MOV[CENTRO DE CUSTOS],$D$4)</f>
        <v>0</v>
      </c>
      <c r="I226" s="206">
        <f>SUMIFS(LANÇ_MOV[VALOR LÍQUIDO],LANÇ_MOV[RECEITA OU DESPESA],"Despesa",LANÇ_MOV[CONTAS],$C226,LANÇ_MOV[PLANO DE CONTAS],REL_DRE_FINANCEIRO!$B$135,LANÇ_MOV[ANO PAGAMENTO],$B$4,LANÇ_MOV[MÊS PAGAMENTO CORRESPONDENTE],I$6,LANÇ_MOV[EMPRESA],$C$4,LANÇ_MOV[CENTRO DE CUSTOS],$D$4)</f>
        <v>0</v>
      </c>
      <c r="J226" s="206">
        <f>SUMIFS(LANÇ_MOV[VALOR LÍQUIDO],LANÇ_MOV[RECEITA OU DESPESA],"Despesa",LANÇ_MOV[CONTAS],$C226,LANÇ_MOV[PLANO DE CONTAS],REL_DRE_FINANCEIRO!$B$135,LANÇ_MOV[ANO PAGAMENTO],$B$4,LANÇ_MOV[MÊS PAGAMENTO CORRESPONDENTE],J$6,LANÇ_MOV[EMPRESA],$C$4,LANÇ_MOV[CENTRO DE CUSTOS],$D$4)</f>
        <v>0</v>
      </c>
      <c r="K226" s="206">
        <f>SUMIFS(LANÇ_MOV[VALOR LÍQUIDO],LANÇ_MOV[RECEITA OU DESPESA],"Despesa",LANÇ_MOV[CONTAS],$C226,LANÇ_MOV[PLANO DE CONTAS],REL_DRE_FINANCEIRO!$B$135,LANÇ_MOV[ANO PAGAMENTO],$B$4,LANÇ_MOV[MÊS PAGAMENTO CORRESPONDENTE],K$6,LANÇ_MOV[EMPRESA],$C$4,LANÇ_MOV[CENTRO DE CUSTOS],$D$4)</f>
        <v>0</v>
      </c>
      <c r="L226" s="206">
        <f>SUMIFS(LANÇ_MOV[VALOR LÍQUIDO],LANÇ_MOV[RECEITA OU DESPESA],"Despesa",LANÇ_MOV[CONTAS],$C226,LANÇ_MOV[PLANO DE CONTAS],REL_DRE_FINANCEIRO!$B$135,LANÇ_MOV[ANO PAGAMENTO],$B$4,LANÇ_MOV[MÊS PAGAMENTO CORRESPONDENTE],L$6,LANÇ_MOV[EMPRESA],$C$4,LANÇ_MOV[CENTRO DE CUSTOS],$D$4)</f>
        <v>0</v>
      </c>
      <c r="M226" s="206">
        <f>SUMIFS(LANÇ_MOV[VALOR LÍQUIDO],LANÇ_MOV[RECEITA OU DESPESA],"Despesa",LANÇ_MOV[CONTAS],$C226,LANÇ_MOV[PLANO DE CONTAS],REL_DRE_FINANCEIRO!$B$135,LANÇ_MOV[ANO PAGAMENTO],$B$4,LANÇ_MOV[MÊS PAGAMENTO CORRESPONDENTE],M$6,LANÇ_MOV[EMPRESA],$C$4,LANÇ_MOV[CENTRO DE CUSTOS],$D$4)</f>
        <v>0</v>
      </c>
      <c r="N226" s="206">
        <f>SUMIFS(LANÇ_MOV[VALOR LÍQUIDO],LANÇ_MOV[RECEITA OU DESPESA],"Despesa",LANÇ_MOV[CONTAS],$C226,LANÇ_MOV[PLANO DE CONTAS],REL_DRE_FINANCEIRO!$B$135,LANÇ_MOV[ANO PAGAMENTO],$B$4,LANÇ_MOV[MÊS PAGAMENTO CORRESPONDENTE],N$6,LANÇ_MOV[EMPRESA],$C$4,LANÇ_MOV[CENTRO DE CUSTOS],$D$4)</f>
        <v>0</v>
      </c>
      <c r="O226" s="206">
        <f>SUMIFS(LANÇ_MOV[VALOR LÍQUIDO],LANÇ_MOV[RECEITA OU DESPESA],"Despesa",LANÇ_MOV[CONTAS],$C226,LANÇ_MOV[PLANO DE CONTAS],REL_DRE_FINANCEIRO!$B$135,LANÇ_MOV[ANO PAGAMENTO],$B$4,LANÇ_MOV[MÊS PAGAMENTO CORRESPONDENTE],O$6,LANÇ_MOV[EMPRESA],$C$4,LANÇ_MOV[CENTRO DE CUSTOS],$D$4)</f>
        <v>0</v>
      </c>
      <c r="P226" s="207">
        <f t="shared" si="35"/>
        <v>0</v>
      </c>
      <c r="Q226" s="333">
        <v>3.3099999999999998E-5</v>
      </c>
      <c r="R226" s="346">
        <f t="shared" si="37"/>
        <v>3.3099999999999998E-5</v>
      </c>
      <c r="S226" s="347" t="str">
        <f t="shared" si="38"/>
        <v>-</v>
      </c>
      <c r="T226" s="347">
        <f t="shared" si="39"/>
        <v>0</v>
      </c>
      <c r="U226" s="347">
        <f>HLOOKUP(Apoio!$P$12,$D$134:$P$235,X226,FALSE)+Q226</f>
        <v>3.3099999999999998E-5</v>
      </c>
      <c r="V226" s="447" t="str">
        <f t="shared" si="36"/>
        <v>-</v>
      </c>
      <c r="W226" s="448">
        <f>HLOOKUP(Apoio!$P$12,$D$134:$P$235,X226,FALSE)</f>
        <v>0</v>
      </c>
      <c r="X226" s="329">
        <v>93</v>
      </c>
    </row>
    <row r="227" spans="2:50" ht="30.05" customHeight="1" x14ac:dyDescent="0.35">
      <c r="B227" s="204" t="str">
        <f>'CAD_PL_REC-DESP'!K96</f>
        <v>2.1.92</v>
      </c>
      <c r="C227" s="205" t="str">
        <f>IF('CAD_PL_REC-DESP'!L96="","-",'CAD_PL_REC-DESP'!L96)</f>
        <v>-</v>
      </c>
      <c r="D227" s="206">
        <f>SUMIFS(LANÇ_MOV[VALOR LÍQUIDO],LANÇ_MOV[RECEITA OU DESPESA],"Despesa",LANÇ_MOV[CONTAS],$C227,LANÇ_MOV[PLANO DE CONTAS],REL_DRE_FINANCEIRO!$B$135,LANÇ_MOV[ANO PAGAMENTO],$B$4,LANÇ_MOV[MÊS PAGAMENTO CORRESPONDENTE],D$6,LANÇ_MOV[EMPRESA],$C$4,LANÇ_MOV[CENTRO DE CUSTOS],$D$4)</f>
        <v>0</v>
      </c>
      <c r="E227" s="206">
        <f>SUMIFS(LANÇ_MOV[VALOR LÍQUIDO],LANÇ_MOV[RECEITA OU DESPESA],"Despesa",LANÇ_MOV[CONTAS],$C227,LANÇ_MOV[PLANO DE CONTAS],REL_DRE_FINANCEIRO!$B$135,LANÇ_MOV[ANO PAGAMENTO],$B$4,LANÇ_MOV[MÊS PAGAMENTO CORRESPONDENTE],E$6,LANÇ_MOV[EMPRESA],$C$4,LANÇ_MOV[CENTRO DE CUSTOS],$D$4)</f>
        <v>0</v>
      </c>
      <c r="F227" s="206">
        <f>SUMIFS(LANÇ_MOV[VALOR LÍQUIDO],LANÇ_MOV[RECEITA OU DESPESA],"Despesa",LANÇ_MOV[CONTAS],$C227,LANÇ_MOV[PLANO DE CONTAS],REL_DRE_FINANCEIRO!$B$135,LANÇ_MOV[ANO PAGAMENTO],$B$4,LANÇ_MOV[MÊS PAGAMENTO CORRESPONDENTE],F$6,LANÇ_MOV[EMPRESA],$C$4,LANÇ_MOV[CENTRO DE CUSTOS],$D$4)</f>
        <v>0</v>
      </c>
      <c r="G227" s="206">
        <f>SUMIFS(LANÇ_MOV[VALOR LÍQUIDO],LANÇ_MOV[RECEITA OU DESPESA],"Despesa",LANÇ_MOV[CONTAS],$C227,LANÇ_MOV[PLANO DE CONTAS],REL_DRE_FINANCEIRO!$B$135,LANÇ_MOV[ANO PAGAMENTO],$B$4,LANÇ_MOV[MÊS PAGAMENTO CORRESPONDENTE],G$6,LANÇ_MOV[EMPRESA],$C$4,LANÇ_MOV[CENTRO DE CUSTOS],$D$4)</f>
        <v>0</v>
      </c>
      <c r="H227" s="206">
        <f>SUMIFS(LANÇ_MOV[VALOR LÍQUIDO],LANÇ_MOV[RECEITA OU DESPESA],"Despesa",LANÇ_MOV[CONTAS],$C227,LANÇ_MOV[PLANO DE CONTAS],REL_DRE_FINANCEIRO!$B$135,LANÇ_MOV[ANO PAGAMENTO],$B$4,LANÇ_MOV[MÊS PAGAMENTO CORRESPONDENTE],H$6,LANÇ_MOV[EMPRESA],$C$4,LANÇ_MOV[CENTRO DE CUSTOS],$D$4)</f>
        <v>0</v>
      </c>
      <c r="I227" s="206">
        <f>SUMIFS(LANÇ_MOV[VALOR LÍQUIDO],LANÇ_MOV[RECEITA OU DESPESA],"Despesa",LANÇ_MOV[CONTAS],$C227,LANÇ_MOV[PLANO DE CONTAS],REL_DRE_FINANCEIRO!$B$135,LANÇ_MOV[ANO PAGAMENTO],$B$4,LANÇ_MOV[MÊS PAGAMENTO CORRESPONDENTE],I$6,LANÇ_MOV[EMPRESA],$C$4,LANÇ_MOV[CENTRO DE CUSTOS],$D$4)</f>
        <v>0</v>
      </c>
      <c r="J227" s="206">
        <f>SUMIFS(LANÇ_MOV[VALOR LÍQUIDO],LANÇ_MOV[RECEITA OU DESPESA],"Despesa",LANÇ_MOV[CONTAS],$C227,LANÇ_MOV[PLANO DE CONTAS],REL_DRE_FINANCEIRO!$B$135,LANÇ_MOV[ANO PAGAMENTO],$B$4,LANÇ_MOV[MÊS PAGAMENTO CORRESPONDENTE],J$6,LANÇ_MOV[EMPRESA],$C$4,LANÇ_MOV[CENTRO DE CUSTOS],$D$4)</f>
        <v>0</v>
      </c>
      <c r="K227" s="206">
        <f>SUMIFS(LANÇ_MOV[VALOR LÍQUIDO],LANÇ_MOV[RECEITA OU DESPESA],"Despesa",LANÇ_MOV[CONTAS],$C227,LANÇ_MOV[PLANO DE CONTAS],REL_DRE_FINANCEIRO!$B$135,LANÇ_MOV[ANO PAGAMENTO],$B$4,LANÇ_MOV[MÊS PAGAMENTO CORRESPONDENTE],K$6,LANÇ_MOV[EMPRESA],$C$4,LANÇ_MOV[CENTRO DE CUSTOS],$D$4)</f>
        <v>0</v>
      </c>
      <c r="L227" s="206">
        <f>SUMIFS(LANÇ_MOV[VALOR LÍQUIDO],LANÇ_MOV[RECEITA OU DESPESA],"Despesa",LANÇ_MOV[CONTAS],$C227,LANÇ_MOV[PLANO DE CONTAS],REL_DRE_FINANCEIRO!$B$135,LANÇ_MOV[ANO PAGAMENTO],$B$4,LANÇ_MOV[MÊS PAGAMENTO CORRESPONDENTE],L$6,LANÇ_MOV[EMPRESA],$C$4,LANÇ_MOV[CENTRO DE CUSTOS],$D$4)</f>
        <v>0</v>
      </c>
      <c r="M227" s="206">
        <f>SUMIFS(LANÇ_MOV[VALOR LÍQUIDO],LANÇ_MOV[RECEITA OU DESPESA],"Despesa",LANÇ_MOV[CONTAS],$C227,LANÇ_MOV[PLANO DE CONTAS],REL_DRE_FINANCEIRO!$B$135,LANÇ_MOV[ANO PAGAMENTO],$B$4,LANÇ_MOV[MÊS PAGAMENTO CORRESPONDENTE],M$6,LANÇ_MOV[EMPRESA],$C$4,LANÇ_MOV[CENTRO DE CUSTOS],$D$4)</f>
        <v>0</v>
      </c>
      <c r="N227" s="206">
        <f>SUMIFS(LANÇ_MOV[VALOR LÍQUIDO],LANÇ_MOV[RECEITA OU DESPESA],"Despesa",LANÇ_MOV[CONTAS],$C227,LANÇ_MOV[PLANO DE CONTAS],REL_DRE_FINANCEIRO!$B$135,LANÇ_MOV[ANO PAGAMENTO],$B$4,LANÇ_MOV[MÊS PAGAMENTO CORRESPONDENTE],N$6,LANÇ_MOV[EMPRESA],$C$4,LANÇ_MOV[CENTRO DE CUSTOS],$D$4)</f>
        <v>0</v>
      </c>
      <c r="O227" s="206">
        <f>SUMIFS(LANÇ_MOV[VALOR LÍQUIDO],LANÇ_MOV[RECEITA OU DESPESA],"Despesa",LANÇ_MOV[CONTAS],$C227,LANÇ_MOV[PLANO DE CONTAS],REL_DRE_FINANCEIRO!$B$135,LANÇ_MOV[ANO PAGAMENTO],$B$4,LANÇ_MOV[MÊS PAGAMENTO CORRESPONDENTE],O$6,LANÇ_MOV[EMPRESA],$C$4,LANÇ_MOV[CENTRO DE CUSTOS],$D$4)</f>
        <v>0</v>
      </c>
      <c r="P227" s="207">
        <f t="shared" si="35"/>
        <v>0</v>
      </c>
      <c r="Q227" s="333">
        <v>3.3000000000000003E-5</v>
      </c>
      <c r="R227" s="346">
        <f t="shared" si="37"/>
        <v>3.3000000000000003E-5</v>
      </c>
      <c r="S227" s="347" t="str">
        <f t="shared" si="38"/>
        <v>-</v>
      </c>
      <c r="T227" s="347">
        <f t="shared" si="39"/>
        <v>0</v>
      </c>
      <c r="U227" s="347">
        <f>HLOOKUP(Apoio!$P$12,$D$134:$P$235,X227,FALSE)+Q227</f>
        <v>3.3000000000000003E-5</v>
      </c>
      <c r="V227" s="447" t="str">
        <f t="shared" si="36"/>
        <v>-</v>
      </c>
      <c r="W227" s="448">
        <f>HLOOKUP(Apoio!$P$12,$D$134:$P$235,X227,FALSE)</f>
        <v>0</v>
      </c>
      <c r="X227" s="329">
        <v>94</v>
      </c>
    </row>
    <row r="228" spans="2:50" ht="30.05" customHeight="1" x14ac:dyDescent="0.35">
      <c r="B228" s="204" t="str">
        <f>'CAD_PL_REC-DESP'!K97</f>
        <v>2.1.93</v>
      </c>
      <c r="C228" s="205" t="str">
        <f>IF('CAD_PL_REC-DESP'!L97="","-",'CAD_PL_REC-DESP'!L97)</f>
        <v>-</v>
      </c>
      <c r="D228" s="206">
        <f>SUMIFS(LANÇ_MOV[VALOR LÍQUIDO],LANÇ_MOV[RECEITA OU DESPESA],"Despesa",LANÇ_MOV[CONTAS],$C228,LANÇ_MOV[PLANO DE CONTAS],REL_DRE_FINANCEIRO!$B$135,LANÇ_MOV[ANO PAGAMENTO],$B$4,LANÇ_MOV[MÊS PAGAMENTO CORRESPONDENTE],D$6,LANÇ_MOV[EMPRESA],$C$4,LANÇ_MOV[CENTRO DE CUSTOS],$D$4)</f>
        <v>0</v>
      </c>
      <c r="E228" s="206">
        <f>SUMIFS(LANÇ_MOV[VALOR LÍQUIDO],LANÇ_MOV[RECEITA OU DESPESA],"Despesa",LANÇ_MOV[CONTAS],$C228,LANÇ_MOV[PLANO DE CONTAS],REL_DRE_FINANCEIRO!$B$135,LANÇ_MOV[ANO PAGAMENTO],$B$4,LANÇ_MOV[MÊS PAGAMENTO CORRESPONDENTE],E$6,LANÇ_MOV[EMPRESA],$C$4,LANÇ_MOV[CENTRO DE CUSTOS],$D$4)</f>
        <v>0</v>
      </c>
      <c r="F228" s="206">
        <f>SUMIFS(LANÇ_MOV[VALOR LÍQUIDO],LANÇ_MOV[RECEITA OU DESPESA],"Despesa",LANÇ_MOV[CONTAS],$C228,LANÇ_MOV[PLANO DE CONTAS],REL_DRE_FINANCEIRO!$B$135,LANÇ_MOV[ANO PAGAMENTO],$B$4,LANÇ_MOV[MÊS PAGAMENTO CORRESPONDENTE],F$6,LANÇ_MOV[EMPRESA],$C$4,LANÇ_MOV[CENTRO DE CUSTOS],$D$4)</f>
        <v>0</v>
      </c>
      <c r="G228" s="206">
        <f>SUMIFS(LANÇ_MOV[VALOR LÍQUIDO],LANÇ_MOV[RECEITA OU DESPESA],"Despesa",LANÇ_MOV[CONTAS],$C228,LANÇ_MOV[PLANO DE CONTAS],REL_DRE_FINANCEIRO!$B$135,LANÇ_MOV[ANO PAGAMENTO],$B$4,LANÇ_MOV[MÊS PAGAMENTO CORRESPONDENTE],G$6,LANÇ_MOV[EMPRESA],$C$4,LANÇ_MOV[CENTRO DE CUSTOS],$D$4)</f>
        <v>0</v>
      </c>
      <c r="H228" s="206">
        <f>SUMIFS(LANÇ_MOV[VALOR LÍQUIDO],LANÇ_MOV[RECEITA OU DESPESA],"Despesa",LANÇ_MOV[CONTAS],$C228,LANÇ_MOV[PLANO DE CONTAS],REL_DRE_FINANCEIRO!$B$135,LANÇ_MOV[ANO PAGAMENTO],$B$4,LANÇ_MOV[MÊS PAGAMENTO CORRESPONDENTE],H$6,LANÇ_MOV[EMPRESA],$C$4,LANÇ_MOV[CENTRO DE CUSTOS],$D$4)</f>
        <v>0</v>
      </c>
      <c r="I228" s="206">
        <f>SUMIFS(LANÇ_MOV[VALOR LÍQUIDO],LANÇ_MOV[RECEITA OU DESPESA],"Despesa",LANÇ_MOV[CONTAS],$C228,LANÇ_MOV[PLANO DE CONTAS],REL_DRE_FINANCEIRO!$B$135,LANÇ_MOV[ANO PAGAMENTO],$B$4,LANÇ_MOV[MÊS PAGAMENTO CORRESPONDENTE],I$6,LANÇ_MOV[EMPRESA],$C$4,LANÇ_MOV[CENTRO DE CUSTOS],$D$4)</f>
        <v>0</v>
      </c>
      <c r="J228" s="206">
        <f>SUMIFS(LANÇ_MOV[VALOR LÍQUIDO],LANÇ_MOV[RECEITA OU DESPESA],"Despesa",LANÇ_MOV[CONTAS],$C228,LANÇ_MOV[PLANO DE CONTAS],REL_DRE_FINANCEIRO!$B$135,LANÇ_MOV[ANO PAGAMENTO],$B$4,LANÇ_MOV[MÊS PAGAMENTO CORRESPONDENTE],J$6,LANÇ_MOV[EMPRESA],$C$4,LANÇ_MOV[CENTRO DE CUSTOS],$D$4)</f>
        <v>0</v>
      </c>
      <c r="K228" s="206">
        <f>SUMIFS(LANÇ_MOV[VALOR LÍQUIDO],LANÇ_MOV[RECEITA OU DESPESA],"Despesa",LANÇ_MOV[CONTAS],$C228,LANÇ_MOV[PLANO DE CONTAS],REL_DRE_FINANCEIRO!$B$135,LANÇ_MOV[ANO PAGAMENTO],$B$4,LANÇ_MOV[MÊS PAGAMENTO CORRESPONDENTE],K$6,LANÇ_MOV[EMPRESA],$C$4,LANÇ_MOV[CENTRO DE CUSTOS],$D$4)</f>
        <v>0</v>
      </c>
      <c r="L228" s="206">
        <f>SUMIFS(LANÇ_MOV[VALOR LÍQUIDO],LANÇ_MOV[RECEITA OU DESPESA],"Despesa",LANÇ_MOV[CONTAS],$C228,LANÇ_MOV[PLANO DE CONTAS],REL_DRE_FINANCEIRO!$B$135,LANÇ_MOV[ANO PAGAMENTO],$B$4,LANÇ_MOV[MÊS PAGAMENTO CORRESPONDENTE],L$6,LANÇ_MOV[EMPRESA],$C$4,LANÇ_MOV[CENTRO DE CUSTOS],$D$4)</f>
        <v>0</v>
      </c>
      <c r="M228" s="206">
        <f>SUMIFS(LANÇ_MOV[VALOR LÍQUIDO],LANÇ_MOV[RECEITA OU DESPESA],"Despesa",LANÇ_MOV[CONTAS],$C228,LANÇ_MOV[PLANO DE CONTAS],REL_DRE_FINANCEIRO!$B$135,LANÇ_MOV[ANO PAGAMENTO],$B$4,LANÇ_MOV[MÊS PAGAMENTO CORRESPONDENTE],M$6,LANÇ_MOV[EMPRESA],$C$4,LANÇ_MOV[CENTRO DE CUSTOS],$D$4)</f>
        <v>0</v>
      </c>
      <c r="N228" s="206">
        <f>SUMIFS(LANÇ_MOV[VALOR LÍQUIDO],LANÇ_MOV[RECEITA OU DESPESA],"Despesa",LANÇ_MOV[CONTAS],$C228,LANÇ_MOV[PLANO DE CONTAS],REL_DRE_FINANCEIRO!$B$135,LANÇ_MOV[ANO PAGAMENTO],$B$4,LANÇ_MOV[MÊS PAGAMENTO CORRESPONDENTE],N$6,LANÇ_MOV[EMPRESA],$C$4,LANÇ_MOV[CENTRO DE CUSTOS],$D$4)</f>
        <v>0</v>
      </c>
      <c r="O228" s="206">
        <f>SUMIFS(LANÇ_MOV[VALOR LÍQUIDO],LANÇ_MOV[RECEITA OU DESPESA],"Despesa",LANÇ_MOV[CONTAS],$C228,LANÇ_MOV[PLANO DE CONTAS],REL_DRE_FINANCEIRO!$B$135,LANÇ_MOV[ANO PAGAMENTO],$B$4,LANÇ_MOV[MÊS PAGAMENTO CORRESPONDENTE],O$6,LANÇ_MOV[EMPRESA],$C$4,LANÇ_MOV[CENTRO DE CUSTOS],$D$4)</f>
        <v>0</v>
      </c>
      <c r="P228" s="207">
        <f t="shared" si="35"/>
        <v>0</v>
      </c>
      <c r="Q228" s="333">
        <v>3.29E-5</v>
      </c>
      <c r="R228" s="346">
        <f t="shared" si="37"/>
        <v>3.29E-5</v>
      </c>
      <c r="S228" s="347" t="str">
        <f t="shared" si="38"/>
        <v>-</v>
      </c>
      <c r="T228" s="347">
        <f t="shared" si="39"/>
        <v>0</v>
      </c>
      <c r="U228" s="347">
        <f>HLOOKUP(Apoio!$P$12,$D$134:$P$235,X228,FALSE)+Q228</f>
        <v>3.29E-5</v>
      </c>
      <c r="V228" s="447" t="str">
        <f t="shared" si="36"/>
        <v>-</v>
      </c>
      <c r="W228" s="448">
        <f>HLOOKUP(Apoio!$P$12,$D$134:$P$235,X228,FALSE)</f>
        <v>0</v>
      </c>
      <c r="X228" s="329">
        <v>95</v>
      </c>
    </row>
    <row r="229" spans="2:50" ht="30.05" customHeight="1" x14ac:dyDescent="0.35">
      <c r="B229" s="204" t="str">
        <f>'CAD_PL_REC-DESP'!K98</f>
        <v>2.1.94</v>
      </c>
      <c r="C229" s="205" t="str">
        <f>IF('CAD_PL_REC-DESP'!L98="","-",'CAD_PL_REC-DESP'!L98)</f>
        <v>-</v>
      </c>
      <c r="D229" s="206">
        <f>SUMIFS(LANÇ_MOV[VALOR LÍQUIDO],LANÇ_MOV[RECEITA OU DESPESA],"Despesa",LANÇ_MOV[CONTAS],$C229,LANÇ_MOV[PLANO DE CONTAS],REL_DRE_FINANCEIRO!$B$135,LANÇ_MOV[ANO PAGAMENTO],$B$4,LANÇ_MOV[MÊS PAGAMENTO CORRESPONDENTE],D$6,LANÇ_MOV[EMPRESA],$C$4,LANÇ_MOV[CENTRO DE CUSTOS],$D$4)</f>
        <v>0</v>
      </c>
      <c r="E229" s="206">
        <f>SUMIFS(LANÇ_MOV[VALOR LÍQUIDO],LANÇ_MOV[RECEITA OU DESPESA],"Despesa",LANÇ_MOV[CONTAS],$C229,LANÇ_MOV[PLANO DE CONTAS],REL_DRE_FINANCEIRO!$B$135,LANÇ_MOV[ANO PAGAMENTO],$B$4,LANÇ_MOV[MÊS PAGAMENTO CORRESPONDENTE],E$6,LANÇ_MOV[EMPRESA],$C$4,LANÇ_MOV[CENTRO DE CUSTOS],$D$4)</f>
        <v>0</v>
      </c>
      <c r="F229" s="206">
        <f>SUMIFS(LANÇ_MOV[VALOR LÍQUIDO],LANÇ_MOV[RECEITA OU DESPESA],"Despesa",LANÇ_MOV[CONTAS],$C229,LANÇ_MOV[PLANO DE CONTAS],REL_DRE_FINANCEIRO!$B$135,LANÇ_MOV[ANO PAGAMENTO],$B$4,LANÇ_MOV[MÊS PAGAMENTO CORRESPONDENTE],F$6,LANÇ_MOV[EMPRESA],$C$4,LANÇ_MOV[CENTRO DE CUSTOS],$D$4)</f>
        <v>0</v>
      </c>
      <c r="G229" s="206">
        <f>SUMIFS(LANÇ_MOV[VALOR LÍQUIDO],LANÇ_MOV[RECEITA OU DESPESA],"Despesa",LANÇ_MOV[CONTAS],$C229,LANÇ_MOV[PLANO DE CONTAS],REL_DRE_FINANCEIRO!$B$135,LANÇ_MOV[ANO PAGAMENTO],$B$4,LANÇ_MOV[MÊS PAGAMENTO CORRESPONDENTE],G$6,LANÇ_MOV[EMPRESA],$C$4,LANÇ_MOV[CENTRO DE CUSTOS],$D$4)</f>
        <v>0</v>
      </c>
      <c r="H229" s="206">
        <f>SUMIFS(LANÇ_MOV[VALOR LÍQUIDO],LANÇ_MOV[RECEITA OU DESPESA],"Despesa",LANÇ_MOV[CONTAS],$C229,LANÇ_MOV[PLANO DE CONTAS],REL_DRE_FINANCEIRO!$B$135,LANÇ_MOV[ANO PAGAMENTO],$B$4,LANÇ_MOV[MÊS PAGAMENTO CORRESPONDENTE],H$6,LANÇ_MOV[EMPRESA],$C$4,LANÇ_MOV[CENTRO DE CUSTOS],$D$4)</f>
        <v>0</v>
      </c>
      <c r="I229" s="206">
        <f>SUMIFS(LANÇ_MOV[VALOR LÍQUIDO],LANÇ_MOV[RECEITA OU DESPESA],"Despesa",LANÇ_MOV[CONTAS],$C229,LANÇ_MOV[PLANO DE CONTAS],REL_DRE_FINANCEIRO!$B$135,LANÇ_MOV[ANO PAGAMENTO],$B$4,LANÇ_MOV[MÊS PAGAMENTO CORRESPONDENTE],I$6,LANÇ_MOV[EMPRESA],$C$4,LANÇ_MOV[CENTRO DE CUSTOS],$D$4)</f>
        <v>0</v>
      </c>
      <c r="J229" s="206">
        <f>SUMIFS(LANÇ_MOV[VALOR LÍQUIDO],LANÇ_MOV[RECEITA OU DESPESA],"Despesa",LANÇ_MOV[CONTAS],$C229,LANÇ_MOV[PLANO DE CONTAS],REL_DRE_FINANCEIRO!$B$135,LANÇ_MOV[ANO PAGAMENTO],$B$4,LANÇ_MOV[MÊS PAGAMENTO CORRESPONDENTE],J$6,LANÇ_MOV[EMPRESA],$C$4,LANÇ_MOV[CENTRO DE CUSTOS],$D$4)</f>
        <v>0</v>
      </c>
      <c r="K229" s="206">
        <f>SUMIFS(LANÇ_MOV[VALOR LÍQUIDO],LANÇ_MOV[RECEITA OU DESPESA],"Despesa",LANÇ_MOV[CONTAS],$C229,LANÇ_MOV[PLANO DE CONTAS],REL_DRE_FINANCEIRO!$B$135,LANÇ_MOV[ANO PAGAMENTO],$B$4,LANÇ_MOV[MÊS PAGAMENTO CORRESPONDENTE],K$6,LANÇ_MOV[EMPRESA],$C$4,LANÇ_MOV[CENTRO DE CUSTOS],$D$4)</f>
        <v>0</v>
      </c>
      <c r="L229" s="206">
        <f>SUMIFS(LANÇ_MOV[VALOR LÍQUIDO],LANÇ_MOV[RECEITA OU DESPESA],"Despesa",LANÇ_MOV[CONTAS],$C229,LANÇ_MOV[PLANO DE CONTAS],REL_DRE_FINANCEIRO!$B$135,LANÇ_MOV[ANO PAGAMENTO],$B$4,LANÇ_MOV[MÊS PAGAMENTO CORRESPONDENTE],L$6,LANÇ_MOV[EMPRESA],$C$4,LANÇ_MOV[CENTRO DE CUSTOS],$D$4)</f>
        <v>0</v>
      </c>
      <c r="M229" s="206">
        <f>SUMIFS(LANÇ_MOV[VALOR LÍQUIDO],LANÇ_MOV[RECEITA OU DESPESA],"Despesa",LANÇ_MOV[CONTAS],$C229,LANÇ_MOV[PLANO DE CONTAS],REL_DRE_FINANCEIRO!$B$135,LANÇ_MOV[ANO PAGAMENTO],$B$4,LANÇ_MOV[MÊS PAGAMENTO CORRESPONDENTE],M$6,LANÇ_MOV[EMPRESA],$C$4,LANÇ_MOV[CENTRO DE CUSTOS],$D$4)</f>
        <v>0</v>
      </c>
      <c r="N229" s="206">
        <f>SUMIFS(LANÇ_MOV[VALOR LÍQUIDO],LANÇ_MOV[RECEITA OU DESPESA],"Despesa",LANÇ_MOV[CONTAS],$C229,LANÇ_MOV[PLANO DE CONTAS],REL_DRE_FINANCEIRO!$B$135,LANÇ_MOV[ANO PAGAMENTO],$B$4,LANÇ_MOV[MÊS PAGAMENTO CORRESPONDENTE],N$6,LANÇ_MOV[EMPRESA],$C$4,LANÇ_MOV[CENTRO DE CUSTOS],$D$4)</f>
        <v>0</v>
      </c>
      <c r="O229" s="206">
        <f>SUMIFS(LANÇ_MOV[VALOR LÍQUIDO],LANÇ_MOV[RECEITA OU DESPESA],"Despesa",LANÇ_MOV[CONTAS],$C229,LANÇ_MOV[PLANO DE CONTAS],REL_DRE_FINANCEIRO!$B$135,LANÇ_MOV[ANO PAGAMENTO],$B$4,LANÇ_MOV[MÊS PAGAMENTO CORRESPONDENTE],O$6,LANÇ_MOV[EMPRESA],$C$4,LANÇ_MOV[CENTRO DE CUSTOS],$D$4)</f>
        <v>0</v>
      </c>
      <c r="P229" s="207">
        <f t="shared" si="35"/>
        <v>0</v>
      </c>
      <c r="Q229" s="333">
        <v>3.2799999999999998E-5</v>
      </c>
      <c r="R229" s="346">
        <f t="shared" si="37"/>
        <v>3.2799999999999998E-5</v>
      </c>
      <c r="S229" s="347" t="str">
        <f t="shared" si="38"/>
        <v>-</v>
      </c>
      <c r="T229" s="347">
        <f t="shared" si="39"/>
        <v>0</v>
      </c>
      <c r="U229" s="347">
        <f>HLOOKUP(Apoio!$P$12,$D$134:$P$235,X229,FALSE)+Q229</f>
        <v>3.2799999999999998E-5</v>
      </c>
      <c r="V229" s="447" t="str">
        <f t="shared" si="36"/>
        <v>-</v>
      </c>
      <c r="W229" s="448">
        <f>HLOOKUP(Apoio!$P$12,$D$134:$P$235,X229,FALSE)</f>
        <v>0</v>
      </c>
      <c r="X229" s="329">
        <v>96</v>
      </c>
    </row>
    <row r="230" spans="2:50" ht="30.05" customHeight="1" x14ac:dyDescent="0.35">
      <c r="B230" s="204" t="str">
        <f>'CAD_PL_REC-DESP'!K99</f>
        <v>2.1.95</v>
      </c>
      <c r="C230" s="205" t="str">
        <f>IF('CAD_PL_REC-DESP'!L99="","-",'CAD_PL_REC-DESP'!L99)</f>
        <v>-</v>
      </c>
      <c r="D230" s="206">
        <f>SUMIFS(LANÇ_MOV[VALOR LÍQUIDO],LANÇ_MOV[RECEITA OU DESPESA],"Despesa",LANÇ_MOV[CONTAS],$C230,LANÇ_MOV[PLANO DE CONTAS],REL_DRE_FINANCEIRO!$B$135,LANÇ_MOV[ANO PAGAMENTO],$B$4,LANÇ_MOV[MÊS PAGAMENTO CORRESPONDENTE],D$6,LANÇ_MOV[EMPRESA],$C$4,LANÇ_MOV[CENTRO DE CUSTOS],$D$4)</f>
        <v>0</v>
      </c>
      <c r="E230" s="206">
        <f>SUMIFS(LANÇ_MOV[VALOR LÍQUIDO],LANÇ_MOV[RECEITA OU DESPESA],"Despesa",LANÇ_MOV[CONTAS],$C230,LANÇ_MOV[PLANO DE CONTAS],REL_DRE_FINANCEIRO!$B$135,LANÇ_MOV[ANO PAGAMENTO],$B$4,LANÇ_MOV[MÊS PAGAMENTO CORRESPONDENTE],E$6,LANÇ_MOV[EMPRESA],$C$4,LANÇ_MOV[CENTRO DE CUSTOS],$D$4)</f>
        <v>0</v>
      </c>
      <c r="F230" s="206">
        <f>SUMIFS(LANÇ_MOV[VALOR LÍQUIDO],LANÇ_MOV[RECEITA OU DESPESA],"Despesa",LANÇ_MOV[CONTAS],$C230,LANÇ_MOV[PLANO DE CONTAS],REL_DRE_FINANCEIRO!$B$135,LANÇ_MOV[ANO PAGAMENTO],$B$4,LANÇ_MOV[MÊS PAGAMENTO CORRESPONDENTE],F$6,LANÇ_MOV[EMPRESA],$C$4,LANÇ_MOV[CENTRO DE CUSTOS],$D$4)</f>
        <v>0</v>
      </c>
      <c r="G230" s="206">
        <f>SUMIFS(LANÇ_MOV[VALOR LÍQUIDO],LANÇ_MOV[RECEITA OU DESPESA],"Despesa",LANÇ_MOV[CONTAS],$C230,LANÇ_MOV[PLANO DE CONTAS],REL_DRE_FINANCEIRO!$B$135,LANÇ_MOV[ANO PAGAMENTO],$B$4,LANÇ_MOV[MÊS PAGAMENTO CORRESPONDENTE],G$6,LANÇ_MOV[EMPRESA],$C$4,LANÇ_MOV[CENTRO DE CUSTOS],$D$4)</f>
        <v>0</v>
      </c>
      <c r="H230" s="206">
        <f>SUMIFS(LANÇ_MOV[VALOR LÍQUIDO],LANÇ_MOV[RECEITA OU DESPESA],"Despesa",LANÇ_MOV[CONTAS],$C230,LANÇ_MOV[PLANO DE CONTAS],REL_DRE_FINANCEIRO!$B$135,LANÇ_MOV[ANO PAGAMENTO],$B$4,LANÇ_MOV[MÊS PAGAMENTO CORRESPONDENTE],H$6,LANÇ_MOV[EMPRESA],$C$4,LANÇ_MOV[CENTRO DE CUSTOS],$D$4)</f>
        <v>0</v>
      </c>
      <c r="I230" s="206">
        <f>SUMIFS(LANÇ_MOV[VALOR LÍQUIDO],LANÇ_MOV[RECEITA OU DESPESA],"Despesa",LANÇ_MOV[CONTAS],$C230,LANÇ_MOV[PLANO DE CONTAS],REL_DRE_FINANCEIRO!$B$135,LANÇ_MOV[ANO PAGAMENTO],$B$4,LANÇ_MOV[MÊS PAGAMENTO CORRESPONDENTE],I$6,LANÇ_MOV[EMPRESA],$C$4,LANÇ_MOV[CENTRO DE CUSTOS],$D$4)</f>
        <v>0</v>
      </c>
      <c r="J230" s="206">
        <f>SUMIFS(LANÇ_MOV[VALOR LÍQUIDO],LANÇ_MOV[RECEITA OU DESPESA],"Despesa",LANÇ_MOV[CONTAS],$C230,LANÇ_MOV[PLANO DE CONTAS],REL_DRE_FINANCEIRO!$B$135,LANÇ_MOV[ANO PAGAMENTO],$B$4,LANÇ_MOV[MÊS PAGAMENTO CORRESPONDENTE],J$6,LANÇ_MOV[EMPRESA],$C$4,LANÇ_MOV[CENTRO DE CUSTOS],$D$4)</f>
        <v>0</v>
      </c>
      <c r="K230" s="206">
        <f>SUMIFS(LANÇ_MOV[VALOR LÍQUIDO],LANÇ_MOV[RECEITA OU DESPESA],"Despesa",LANÇ_MOV[CONTAS],$C230,LANÇ_MOV[PLANO DE CONTAS],REL_DRE_FINANCEIRO!$B$135,LANÇ_MOV[ANO PAGAMENTO],$B$4,LANÇ_MOV[MÊS PAGAMENTO CORRESPONDENTE],K$6,LANÇ_MOV[EMPRESA],$C$4,LANÇ_MOV[CENTRO DE CUSTOS],$D$4)</f>
        <v>0</v>
      </c>
      <c r="L230" s="206">
        <f>SUMIFS(LANÇ_MOV[VALOR LÍQUIDO],LANÇ_MOV[RECEITA OU DESPESA],"Despesa",LANÇ_MOV[CONTAS],$C230,LANÇ_MOV[PLANO DE CONTAS],REL_DRE_FINANCEIRO!$B$135,LANÇ_MOV[ANO PAGAMENTO],$B$4,LANÇ_MOV[MÊS PAGAMENTO CORRESPONDENTE],L$6,LANÇ_MOV[EMPRESA],$C$4,LANÇ_MOV[CENTRO DE CUSTOS],$D$4)</f>
        <v>0</v>
      </c>
      <c r="M230" s="206">
        <f>SUMIFS(LANÇ_MOV[VALOR LÍQUIDO],LANÇ_MOV[RECEITA OU DESPESA],"Despesa",LANÇ_MOV[CONTAS],$C230,LANÇ_MOV[PLANO DE CONTAS],REL_DRE_FINANCEIRO!$B$135,LANÇ_MOV[ANO PAGAMENTO],$B$4,LANÇ_MOV[MÊS PAGAMENTO CORRESPONDENTE],M$6,LANÇ_MOV[EMPRESA],$C$4,LANÇ_MOV[CENTRO DE CUSTOS],$D$4)</f>
        <v>0</v>
      </c>
      <c r="N230" s="206">
        <f>SUMIFS(LANÇ_MOV[VALOR LÍQUIDO],LANÇ_MOV[RECEITA OU DESPESA],"Despesa",LANÇ_MOV[CONTAS],$C230,LANÇ_MOV[PLANO DE CONTAS],REL_DRE_FINANCEIRO!$B$135,LANÇ_MOV[ANO PAGAMENTO],$B$4,LANÇ_MOV[MÊS PAGAMENTO CORRESPONDENTE],N$6,LANÇ_MOV[EMPRESA],$C$4,LANÇ_MOV[CENTRO DE CUSTOS],$D$4)</f>
        <v>0</v>
      </c>
      <c r="O230" s="206">
        <f>SUMIFS(LANÇ_MOV[VALOR LÍQUIDO],LANÇ_MOV[RECEITA OU DESPESA],"Despesa",LANÇ_MOV[CONTAS],$C230,LANÇ_MOV[PLANO DE CONTAS],REL_DRE_FINANCEIRO!$B$135,LANÇ_MOV[ANO PAGAMENTO],$B$4,LANÇ_MOV[MÊS PAGAMENTO CORRESPONDENTE],O$6,LANÇ_MOV[EMPRESA],$C$4,LANÇ_MOV[CENTRO DE CUSTOS],$D$4)</f>
        <v>0</v>
      </c>
      <c r="P230" s="207">
        <f t="shared" si="35"/>
        <v>0</v>
      </c>
      <c r="Q230" s="333">
        <v>3.2700000000000002E-5</v>
      </c>
      <c r="R230" s="346">
        <f t="shared" si="37"/>
        <v>3.2700000000000002E-5</v>
      </c>
      <c r="S230" s="347" t="str">
        <f t="shared" si="38"/>
        <v>-</v>
      </c>
      <c r="T230" s="347">
        <f t="shared" si="39"/>
        <v>0</v>
      </c>
      <c r="U230" s="347">
        <f>HLOOKUP(Apoio!$P$12,$D$134:$P$235,X230,FALSE)+Q230</f>
        <v>3.2700000000000002E-5</v>
      </c>
      <c r="V230" s="447" t="str">
        <f t="shared" si="36"/>
        <v>-</v>
      </c>
      <c r="W230" s="448">
        <f>HLOOKUP(Apoio!$P$12,$D$134:$P$235,X230,FALSE)</f>
        <v>0</v>
      </c>
      <c r="X230" s="329">
        <v>97</v>
      </c>
    </row>
    <row r="231" spans="2:50" ht="30.05" customHeight="1" x14ac:dyDescent="0.35">
      <c r="B231" s="204" t="str">
        <f>'CAD_PL_REC-DESP'!K100</f>
        <v>2.1.96</v>
      </c>
      <c r="C231" s="205" t="str">
        <f>IF('CAD_PL_REC-DESP'!L100="","-",'CAD_PL_REC-DESP'!L100)</f>
        <v>-</v>
      </c>
      <c r="D231" s="206">
        <f>SUMIFS(LANÇ_MOV[VALOR LÍQUIDO],LANÇ_MOV[RECEITA OU DESPESA],"Despesa",LANÇ_MOV[CONTAS],$C231,LANÇ_MOV[PLANO DE CONTAS],REL_DRE_FINANCEIRO!$B$135,LANÇ_MOV[ANO PAGAMENTO],$B$4,LANÇ_MOV[MÊS PAGAMENTO CORRESPONDENTE],D$6,LANÇ_MOV[EMPRESA],$C$4,LANÇ_MOV[CENTRO DE CUSTOS],$D$4)</f>
        <v>0</v>
      </c>
      <c r="E231" s="206">
        <f>SUMIFS(LANÇ_MOV[VALOR LÍQUIDO],LANÇ_MOV[RECEITA OU DESPESA],"Despesa",LANÇ_MOV[CONTAS],$C231,LANÇ_MOV[PLANO DE CONTAS],REL_DRE_FINANCEIRO!$B$135,LANÇ_MOV[ANO PAGAMENTO],$B$4,LANÇ_MOV[MÊS PAGAMENTO CORRESPONDENTE],E$6,LANÇ_MOV[EMPRESA],$C$4,LANÇ_MOV[CENTRO DE CUSTOS],$D$4)</f>
        <v>0</v>
      </c>
      <c r="F231" s="206">
        <f>SUMIFS(LANÇ_MOV[VALOR LÍQUIDO],LANÇ_MOV[RECEITA OU DESPESA],"Despesa",LANÇ_MOV[CONTAS],$C231,LANÇ_MOV[PLANO DE CONTAS],REL_DRE_FINANCEIRO!$B$135,LANÇ_MOV[ANO PAGAMENTO],$B$4,LANÇ_MOV[MÊS PAGAMENTO CORRESPONDENTE],F$6,LANÇ_MOV[EMPRESA],$C$4,LANÇ_MOV[CENTRO DE CUSTOS],$D$4)</f>
        <v>0</v>
      </c>
      <c r="G231" s="206">
        <f>SUMIFS(LANÇ_MOV[VALOR LÍQUIDO],LANÇ_MOV[RECEITA OU DESPESA],"Despesa",LANÇ_MOV[CONTAS],$C231,LANÇ_MOV[PLANO DE CONTAS],REL_DRE_FINANCEIRO!$B$135,LANÇ_MOV[ANO PAGAMENTO],$B$4,LANÇ_MOV[MÊS PAGAMENTO CORRESPONDENTE],G$6,LANÇ_MOV[EMPRESA],$C$4,LANÇ_MOV[CENTRO DE CUSTOS],$D$4)</f>
        <v>0</v>
      </c>
      <c r="H231" s="206">
        <f>SUMIFS(LANÇ_MOV[VALOR LÍQUIDO],LANÇ_MOV[RECEITA OU DESPESA],"Despesa",LANÇ_MOV[CONTAS],$C231,LANÇ_MOV[PLANO DE CONTAS],REL_DRE_FINANCEIRO!$B$135,LANÇ_MOV[ANO PAGAMENTO],$B$4,LANÇ_MOV[MÊS PAGAMENTO CORRESPONDENTE],H$6,LANÇ_MOV[EMPRESA],$C$4,LANÇ_MOV[CENTRO DE CUSTOS],$D$4)</f>
        <v>0</v>
      </c>
      <c r="I231" s="206">
        <f>SUMIFS(LANÇ_MOV[VALOR LÍQUIDO],LANÇ_MOV[RECEITA OU DESPESA],"Despesa",LANÇ_MOV[CONTAS],$C231,LANÇ_MOV[PLANO DE CONTAS],REL_DRE_FINANCEIRO!$B$135,LANÇ_MOV[ANO PAGAMENTO],$B$4,LANÇ_MOV[MÊS PAGAMENTO CORRESPONDENTE],I$6,LANÇ_MOV[EMPRESA],$C$4,LANÇ_MOV[CENTRO DE CUSTOS],$D$4)</f>
        <v>0</v>
      </c>
      <c r="J231" s="206">
        <f>SUMIFS(LANÇ_MOV[VALOR LÍQUIDO],LANÇ_MOV[RECEITA OU DESPESA],"Despesa",LANÇ_MOV[CONTAS],$C231,LANÇ_MOV[PLANO DE CONTAS],REL_DRE_FINANCEIRO!$B$135,LANÇ_MOV[ANO PAGAMENTO],$B$4,LANÇ_MOV[MÊS PAGAMENTO CORRESPONDENTE],J$6,LANÇ_MOV[EMPRESA],$C$4,LANÇ_MOV[CENTRO DE CUSTOS],$D$4)</f>
        <v>0</v>
      </c>
      <c r="K231" s="206">
        <f>SUMIFS(LANÇ_MOV[VALOR LÍQUIDO],LANÇ_MOV[RECEITA OU DESPESA],"Despesa",LANÇ_MOV[CONTAS],$C231,LANÇ_MOV[PLANO DE CONTAS],REL_DRE_FINANCEIRO!$B$135,LANÇ_MOV[ANO PAGAMENTO],$B$4,LANÇ_MOV[MÊS PAGAMENTO CORRESPONDENTE],K$6,LANÇ_MOV[EMPRESA],$C$4,LANÇ_MOV[CENTRO DE CUSTOS],$D$4)</f>
        <v>0</v>
      </c>
      <c r="L231" s="206">
        <f>SUMIFS(LANÇ_MOV[VALOR LÍQUIDO],LANÇ_MOV[RECEITA OU DESPESA],"Despesa",LANÇ_MOV[CONTAS],$C231,LANÇ_MOV[PLANO DE CONTAS],REL_DRE_FINANCEIRO!$B$135,LANÇ_MOV[ANO PAGAMENTO],$B$4,LANÇ_MOV[MÊS PAGAMENTO CORRESPONDENTE],L$6,LANÇ_MOV[EMPRESA],$C$4,LANÇ_MOV[CENTRO DE CUSTOS],$D$4)</f>
        <v>0</v>
      </c>
      <c r="M231" s="206">
        <f>SUMIFS(LANÇ_MOV[VALOR LÍQUIDO],LANÇ_MOV[RECEITA OU DESPESA],"Despesa",LANÇ_MOV[CONTAS],$C231,LANÇ_MOV[PLANO DE CONTAS],REL_DRE_FINANCEIRO!$B$135,LANÇ_MOV[ANO PAGAMENTO],$B$4,LANÇ_MOV[MÊS PAGAMENTO CORRESPONDENTE],M$6,LANÇ_MOV[EMPRESA],$C$4,LANÇ_MOV[CENTRO DE CUSTOS],$D$4)</f>
        <v>0</v>
      </c>
      <c r="N231" s="206">
        <f>SUMIFS(LANÇ_MOV[VALOR LÍQUIDO],LANÇ_MOV[RECEITA OU DESPESA],"Despesa",LANÇ_MOV[CONTAS],$C231,LANÇ_MOV[PLANO DE CONTAS],REL_DRE_FINANCEIRO!$B$135,LANÇ_MOV[ANO PAGAMENTO],$B$4,LANÇ_MOV[MÊS PAGAMENTO CORRESPONDENTE],N$6,LANÇ_MOV[EMPRESA],$C$4,LANÇ_MOV[CENTRO DE CUSTOS],$D$4)</f>
        <v>0</v>
      </c>
      <c r="O231" s="206">
        <f>SUMIFS(LANÇ_MOV[VALOR LÍQUIDO],LANÇ_MOV[RECEITA OU DESPESA],"Despesa",LANÇ_MOV[CONTAS],$C231,LANÇ_MOV[PLANO DE CONTAS],REL_DRE_FINANCEIRO!$B$135,LANÇ_MOV[ANO PAGAMENTO],$B$4,LANÇ_MOV[MÊS PAGAMENTO CORRESPONDENTE],O$6,LANÇ_MOV[EMPRESA],$C$4,LANÇ_MOV[CENTRO DE CUSTOS],$D$4)</f>
        <v>0</v>
      </c>
      <c r="P231" s="207">
        <f t="shared" si="35"/>
        <v>0</v>
      </c>
      <c r="Q231" s="333">
        <v>3.26E-5</v>
      </c>
      <c r="R231" s="346">
        <f t="shared" si="37"/>
        <v>3.26E-5</v>
      </c>
      <c r="S231" s="347" t="str">
        <f t="shared" si="38"/>
        <v>-</v>
      </c>
      <c r="T231" s="347">
        <f t="shared" si="39"/>
        <v>0</v>
      </c>
      <c r="U231" s="347">
        <f>HLOOKUP(Apoio!$P$12,$D$134:$P$235,X231,FALSE)+Q231</f>
        <v>3.26E-5</v>
      </c>
      <c r="V231" s="447" t="str">
        <f t="shared" si="36"/>
        <v>-</v>
      </c>
      <c r="W231" s="448">
        <f>HLOOKUP(Apoio!$P$12,$D$134:$P$235,X231,FALSE)</f>
        <v>0</v>
      </c>
      <c r="X231" s="329">
        <v>98</v>
      </c>
    </row>
    <row r="232" spans="2:50" ht="30.05" customHeight="1" x14ac:dyDescent="0.35">
      <c r="B232" s="204" t="str">
        <f>'CAD_PL_REC-DESP'!K101</f>
        <v>2.1.97</v>
      </c>
      <c r="C232" s="205" t="str">
        <f>IF('CAD_PL_REC-DESP'!L101="","-",'CAD_PL_REC-DESP'!L101)</f>
        <v>-</v>
      </c>
      <c r="D232" s="206">
        <f>SUMIFS(LANÇ_MOV[VALOR LÍQUIDO],LANÇ_MOV[RECEITA OU DESPESA],"Despesa",LANÇ_MOV[CONTAS],$C232,LANÇ_MOV[PLANO DE CONTAS],REL_DRE_FINANCEIRO!$B$135,LANÇ_MOV[ANO PAGAMENTO],$B$4,LANÇ_MOV[MÊS PAGAMENTO CORRESPONDENTE],D$6,LANÇ_MOV[EMPRESA],$C$4,LANÇ_MOV[CENTRO DE CUSTOS],$D$4)</f>
        <v>0</v>
      </c>
      <c r="E232" s="206">
        <f>SUMIFS(LANÇ_MOV[VALOR LÍQUIDO],LANÇ_MOV[RECEITA OU DESPESA],"Despesa",LANÇ_MOV[CONTAS],$C232,LANÇ_MOV[PLANO DE CONTAS],REL_DRE_FINANCEIRO!$B$135,LANÇ_MOV[ANO PAGAMENTO],$B$4,LANÇ_MOV[MÊS PAGAMENTO CORRESPONDENTE],E$6,LANÇ_MOV[EMPRESA],$C$4,LANÇ_MOV[CENTRO DE CUSTOS],$D$4)</f>
        <v>0</v>
      </c>
      <c r="F232" s="206">
        <f>SUMIFS(LANÇ_MOV[VALOR LÍQUIDO],LANÇ_MOV[RECEITA OU DESPESA],"Despesa",LANÇ_MOV[CONTAS],$C232,LANÇ_MOV[PLANO DE CONTAS],REL_DRE_FINANCEIRO!$B$135,LANÇ_MOV[ANO PAGAMENTO],$B$4,LANÇ_MOV[MÊS PAGAMENTO CORRESPONDENTE],F$6,LANÇ_MOV[EMPRESA],$C$4,LANÇ_MOV[CENTRO DE CUSTOS],$D$4)</f>
        <v>0</v>
      </c>
      <c r="G232" s="206">
        <f>SUMIFS(LANÇ_MOV[VALOR LÍQUIDO],LANÇ_MOV[RECEITA OU DESPESA],"Despesa",LANÇ_MOV[CONTAS],$C232,LANÇ_MOV[PLANO DE CONTAS],REL_DRE_FINANCEIRO!$B$135,LANÇ_MOV[ANO PAGAMENTO],$B$4,LANÇ_MOV[MÊS PAGAMENTO CORRESPONDENTE],G$6,LANÇ_MOV[EMPRESA],$C$4,LANÇ_MOV[CENTRO DE CUSTOS],$D$4)</f>
        <v>0</v>
      </c>
      <c r="H232" s="206">
        <f>SUMIFS(LANÇ_MOV[VALOR LÍQUIDO],LANÇ_MOV[RECEITA OU DESPESA],"Despesa",LANÇ_MOV[CONTAS],$C232,LANÇ_MOV[PLANO DE CONTAS],REL_DRE_FINANCEIRO!$B$135,LANÇ_MOV[ANO PAGAMENTO],$B$4,LANÇ_MOV[MÊS PAGAMENTO CORRESPONDENTE],H$6,LANÇ_MOV[EMPRESA],$C$4,LANÇ_MOV[CENTRO DE CUSTOS],$D$4)</f>
        <v>0</v>
      </c>
      <c r="I232" s="206">
        <f>SUMIFS(LANÇ_MOV[VALOR LÍQUIDO],LANÇ_MOV[RECEITA OU DESPESA],"Despesa",LANÇ_MOV[CONTAS],$C232,LANÇ_MOV[PLANO DE CONTAS],REL_DRE_FINANCEIRO!$B$135,LANÇ_MOV[ANO PAGAMENTO],$B$4,LANÇ_MOV[MÊS PAGAMENTO CORRESPONDENTE],I$6,LANÇ_MOV[EMPRESA],$C$4,LANÇ_MOV[CENTRO DE CUSTOS],$D$4)</f>
        <v>0</v>
      </c>
      <c r="J232" s="206">
        <f>SUMIFS(LANÇ_MOV[VALOR LÍQUIDO],LANÇ_MOV[RECEITA OU DESPESA],"Despesa",LANÇ_MOV[CONTAS],$C232,LANÇ_MOV[PLANO DE CONTAS],REL_DRE_FINANCEIRO!$B$135,LANÇ_MOV[ANO PAGAMENTO],$B$4,LANÇ_MOV[MÊS PAGAMENTO CORRESPONDENTE],J$6,LANÇ_MOV[EMPRESA],$C$4,LANÇ_MOV[CENTRO DE CUSTOS],$D$4)</f>
        <v>0</v>
      </c>
      <c r="K232" s="206">
        <f>SUMIFS(LANÇ_MOV[VALOR LÍQUIDO],LANÇ_MOV[RECEITA OU DESPESA],"Despesa",LANÇ_MOV[CONTAS],$C232,LANÇ_MOV[PLANO DE CONTAS],REL_DRE_FINANCEIRO!$B$135,LANÇ_MOV[ANO PAGAMENTO],$B$4,LANÇ_MOV[MÊS PAGAMENTO CORRESPONDENTE],K$6,LANÇ_MOV[EMPRESA],$C$4,LANÇ_MOV[CENTRO DE CUSTOS],$D$4)</f>
        <v>0</v>
      </c>
      <c r="L232" s="206">
        <f>SUMIFS(LANÇ_MOV[VALOR LÍQUIDO],LANÇ_MOV[RECEITA OU DESPESA],"Despesa",LANÇ_MOV[CONTAS],$C232,LANÇ_MOV[PLANO DE CONTAS],REL_DRE_FINANCEIRO!$B$135,LANÇ_MOV[ANO PAGAMENTO],$B$4,LANÇ_MOV[MÊS PAGAMENTO CORRESPONDENTE],L$6,LANÇ_MOV[EMPRESA],$C$4,LANÇ_MOV[CENTRO DE CUSTOS],$D$4)</f>
        <v>0</v>
      </c>
      <c r="M232" s="206">
        <f>SUMIFS(LANÇ_MOV[VALOR LÍQUIDO],LANÇ_MOV[RECEITA OU DESPESA],"Despesa",LANÇ_MOV[CONTAS],$C232,LANÇ_MOV[PLANO DE CONTAS],REL_DRE_FINANCEIRO!$B$135,LANÇ_MOV[ANO PAGAMENTO],$B$4,LANÇ_MOV[MÊS PAGAMENTO CORRESPONDENTE],M$6,LANÇ_MOV[EMPRESA],$C$4,LANÇ_MOV[CENTRO DE CUSTOS],$D$4)</f>
        <v>0</v>
      </c>
      <c r="N232" s="206">
        <f>SUMIFS(LANÇ_MOV[VALOR LÍQUIDO],LANÇ_MOV[RECEITA OU DESPESA],"Despesa",LANÇ_MOV[CONTAS],$C232,LANÇ_MOV[PLANO DE CONTAS],REL_DRE_FINANCEIRO!$B$135,LANÇ_MOV[ANO PAGAMENTO],$B$4,LANÇ_MOV[MÊS PAGAMENTO CORRESPONDENTE],N$6,LANÇ_MOV[EMPRESA],$C$4,LANÇ_MOV[CENTRO DE CUSTOS],$D$4)</f>
        <v>0</v>
      </c>
      <c r="O232" s="206">
        <f>SUMIFS(LANÇ_MOV[VALOR LÍQUIDO],LANÇ_MOV[RECEITA OU DESPESA],"Despesa",LANÇ_MOV[CONTAS],$C232,LANÇ_MOV[PLANO DE CONTAS],REL_DRE_FINANCEIRO!$B$135,LANÇ_MOV[ANO PAGAMENTO],$B$4,LANÇ_MOV[MÊS PAGAMENTO CORRESPONDENTE],O$6,LANÇ_MOV[EMPRESA],$C$4,LANÇ_MOV[CENTRO DE CUSTOS],$D$4)</f>
        <v>0</v>
      </c>
      <c r="P232" s="207">
        <f t="shared" si="35"/>
        <v>0</v>
      </c>
      <c r="Q232" s="333">
        <v>3.2499999999999997E-5</v>
      </c>
      <c r="R232" s="346">
        <f t="shared" si="37"/>
        <v>3.2499999999999997E-5</v>
      </c>
      <c r="S232" s="347" t="str">
        <f t="shared" si="38"/>
        <v>-</v>
      </c>
      <c r="T232" s="347">
        <f t="shared" si="39"/>
        <v>0</v>
      </c>
      <c r="U232" s="347">
        <f>HLOOKUP(Apoio!$P$12,$D$134:$P$235,X232,FALSE)+Q232</f>
        <v>3.2499999999999997E-5</v>
      </c>
      <c r="V232" s="447" t="str">
        <f t="shared" si="36"/>
        <v>-</v>
      </c>
      <c r="W232" s="448">
        <f>HLOOKUP(Apoio!$P$12,$D$134:$P$235,X232,FALSE)</f>
        <v>0</v>
      </c>
      <c r="X232" s="329">
        <v>99</v>
      </c>
    </row>
    <row r="233" spans="2:50" ht="30.05" customHeight="1" x14ac:dyDescent="0.35">
      <c r="B233" s="204" t="str">
        <f>'CAD_PL_REC-DESP'!K102</f>
        <v>2.1.98</v>
      </c>
      <c r="C233" s="205" t="str">
        <f>IF('CAD_PL_REC-DESP'!L102="","-",'CAD_PL_REC-DESP'!L102)</f>
        <v>-</v>
      </c>
      <c r="D233" s="206">
        <f>SUMIFS(LANÇ_MOV[VALOR LÍQUIDO],LANÇ_MOV[RECEITA OU DESPESA],"Despesa",LANÇ_MOV[CONTAS],$C233,LANÇ_MOV[PLANO DE CONTAS],REL_DRE_FINANCEIRO!$B$135,LANÇ_MOV[ANO PAGAMENTO],$B$4,LANÇ_MOV[MÊS PAGAMENTO CORRESPONDENTE],D$6,LANÇ_MOV[EMPRESA],$C$4,LANÇ_MOV[CENTRO DE CUSTOS],$D$4)</f>
        <v>0</v>
      </c>
      <c r="E233" s="206">
        <f>SUMIFS(LANÇ_MOV[VALOR LÍQUIDO],LANÇ_MOV[RECEITA OU DESPESA],"Despesa",LANÇ_MOV[CONTAS],$C233,LANÇ_MOV[PLANO DE CONTAS],REL_DRE_FINANCEIRO!$B$135,LANÇ_MOV[ANO PAGAMENTO],$B$4,LANÇ_MOV[MÊS PAGAMENTO CORRESPONDENTE],E$6,LANÇ_MOV[EMPRESA],$C$4,LANÇ_MOV[CENTRO DE CUSTOS],$D$4)</f>
        <v>0</v>
      </c>
      <c r="F233" s="206">
        <f>SUMIFS(LANÇ_MOV[VALOR LÍQUIDO],LANÇ_MOV[RECEITA OU DESPESA],"Despesa",LANÇ_MOV[CONTAS],$C233,LANÇ_MOV[PLANO DE CONTAS],REL_DRE_FINANCEIRO!$B$135,LANÇ_MOV[ANO PAGAMENTO],$B$4,LANÇ_MOV[MÊS PAGAMENTO CORRESPONDENTE],F$6,LANÇ_MOV[EMPRESA],$C$4,LANÇ_MOV[CENTRO DE CUSTOS],$D$4)</f>
        <v>0</v>
      </c>
      <c r="G233" s="206">
        <f>SUMIFS(LANÇ_MOV[VALOR LÍQUIDO],LANÇ_MOV[RECEITA OU DESPESA],"Despesa",LANÇ_MOV[CONTAS],$C233,LANÇ_MOV[PLANO DE CONTAS],REL_DRE_FINANCEIRO!$B$135,LANÇ_MOV[ANO PAGAMENTO],$B$4,LANÇ_MOV[MÊS PAGAMENTO CORRESPONDENTE],G$6,LANÇ_MOV[EMPRESA],$C$4,LANÇ_MOV[CENTRO DE CUSTOS],$D$4)</f>
        <v>0</v>
      </c>
      <c r="H233" s="206">
        <f>SUMIFS(LANÇ_MOV[VALOR LÍQUIDO],LANÇ_MOV[RECEITA OU DESPESA],"Despesa",LANÇ_MOV[CONTAS],$C233,LANÇ_MOV[PLANO DE CONTAS],REL_DRE_FINANCEIRO!$B$135,LANÇ_MOV[ANO PAGAMENTO],$B$4,LANÇ_MOV[MÊS PAGAMENTO CORRESPONDENTE],H$6,LANÇ_MOV[EMPRESA],$C$4,LANÇ_MOV[CENTRO DE CUSTOS],$D$4)</f>
        <v>0</v>
      </c>
      <c r="I233" s="206">
        <f>SUMIFS(LANÇ_MOV[VALOR LÍQUIDO],LANÇ_MOV[RECEITA OU DESPESA],"Despesa",LANÇ_MOV[CONTAS],$C233,LANÇ_MOV[PLANO DE CONTAS],REL_DRE_FINANCEIRO!$B$135,LANÇ_MOV[ANO PAGAMENTO],$B$4,LANÇ_MOV[MÊS PAGAMENTO CORRESPONDENTE],I$6,LANÇ_MOV[EMPRESA],$C$4,LANÇ_MOV[CENTRO DE CUSTOS],$D$4)</f>
        <v>0</v>
      </c>
      <c r="J233" s="206">
        <f>SUMIFS(LANÇ_MOV[VALOR LÍQUIDO],LANÇ_MOV[RECEITA OU DESPESA],"Despesa",LANÇ_MOV[CONTAS],$C233,LANÇ_MOV[PLANO DE CONTAS],REL_DRE_FINANCEIRO!$B$135,LANÇ_MOV[ANO PAGAMENTO],$B$4,LANÇ_MOV[MÊS PAGAMENTO CORRESPONDENTE],J$6,LANÇ_MOV[EMPRESA],$C$4,LANÇ_MOV[CENTRO DE CUSTOS],$D$4)</f>
        <v>0</v>
      </c>
      <c r="K233" s="206">
        <f>SUMIFS(LANÇ_MOV[VALOR LÍQUIDO],LANÇ_MOV[RECEITA OU DESPESA],"Despesa",LANÇ_MOV[CONTAS],$C233,LANÇ_MOV[PLANO DE CONTAS],REL_DRE_FINANCEIRO!$B$135,LANÇ_MOV[ANO PAGAMENTO],$B$4,LANÇ_MOV[MÊS PAGAMENTO CORRESPONDENTE],K$6,LANÇ_MOV[EMPRESA],$C$4,LANÇ_MOV[CENTRO DE CUSTOS],$D$4)</f>
        <v>0</v>
      </c>
      <c r="L233" s="206">
        <f>SUMIFS(LANÇ_MOV[VALOR LÍQUIDO],LANÇ_MOV[RECEITA OU DESPESA],"Despesa",LANÇ_MOV[CONTAS],$C233,LANÇ_MOV[PLANO DE CONTAS],REL_DRE_FINANCEIRO!$B$135,LANÇ_MOV[ANO PAGAMENTO],$B$4,LANÇ_MOV[MÊS PAGAMENTO CORRESPONDENTE],L$6,LANÇ_MOV[EMPRESA],$C$4,LANÇ_MOV[CENTRO DE CUSTOS],$D$4)</f>
        <v>0</v>
      </c>
      <c r="M233" s="206">
        <f>SUMIFS(LANÇ_MOV[VALOR LÍQUIDO],LANÇ_MOV[RECEITA OU DESPESA],"Despesa",LANÇ_MOV[CONTAS],$C233,LANÇ_MOV[PLANO DE CONTAS],REL_DRE_FINANCEIRO!$B$135,LANÇ_MOV[ANO PAGAMENTO],$B$4,LANÇ_MOV[MÊS PAGAMENTO CORRESPONDENTE],M$6,LANÇ_MOV[EMPRESA],$C$4,LANÇ_MOV[CENTRO DE CUSTOS],$D$4)</f>
        <v>0</v>
      </c>
      <c r="N233" s="206">
        <f>SUMIFS(LANÇ_MOV[VALOR LÍQUIDO],LANÇ_MOV[RECEITA OU DESPESA],"Despesa",LANÇ_MOV[CONTAS],$C233,LANÇ_MOV[PLANO DE CONTAS],REL_DRE_FINANCEIRO!$B$135,LANÇ_MOV[ANO PAGAMENTO],$B$4,LANÇ_MOV[MÊS PAGAMENTO CORRESPONDENTE],N$6,LANÇ_MOV[EMPRESA],$C$4,LANÇ_MOV[CENTRO DE CUSTOS],$D$4)</f>
        <v>0</v>
      </c>
      <c r="O233" s="206">
        <f>SUMIFS(LANÇ_MOV[VALOR LÍQUIDO],LANÇ_MOV[RECEITA OU DESPESA],"Despesa",LANÇ_MOV[CONTAS],$C233,LANÇ_MOV[PLANO DE CONTAS],REL_DRE_FINANCEIRO!$B$135,LANÇ_MOV[ANO PAGAMENTO],$B$4,LANÇ_MOV[MÊS PAGAMENTO CORRESPONDENTE],O$6,LANÇ_MOV[EMPRESA],$C$4,LANÇ_MOV[CENTRO DE CUSTOS],$D$4)</f>
        <v>0</v>
      </c>
      <c r="P233" s="207">
        <f t="shared" si="35"/>
        <v>0</v>
      </c>
      <c r="Q233" s="333">
        <v>3.2400000000000001E-5</v>
      </c>
      <c r="R233" s="346">
        <f t="shared" si="37"/>
        <v>3.2400000000000001E-5</v>
      </c>
      <c r="S233" s="347" t="str">
        <f t="shared" si="38"/>
        <v>-</v>
      </c>
      <c r="T233" s="347">
        <f t="shared" si="39"/>
        <v>0</v>
      </c>
      <c r="U233" s="347">
        <f>HLOOKUP(Apoio!$P$12,$D$134:$P$235,X233,FALSE)+Q233</f>
        <v>3.2400000000000001E-5</v>
      </c>
      <c r="V233" s="447" t="str">
        <f t="shared" si="36"/>
        <v>-</v>
      </c>
      <c r="W233" s="448">
        <f>HLOOKUP(Apoio!$P$12,$D$134:$P$235,X233,FALSE)</f>
        <v>0</v>
      </c>
      <c r="X233" s="329">
        <v>100</v>
      </c>
    </row>
    <row r="234" spans="2:50" ht="30.05" customHeight="1" x14ac:dyDescent="0.35">
      <c r="B234" s="204" t="str">
        <f>'CAD_PL_REC-DESP'!K103</f>
        <v>2.1.99</v>
      </c>
      <c r="C234" s="205" t="str">
        <f>IF('CAD_PL_REC-DESP'!L103="","-",'CAD_PL_REC-DESP'!L103)</f>
        <v>-</v>
      </c>
      <c r="D234" s="206">
        <f>SUMIFS(LANÇ_MOV[VALOR LÍQUIDO],LANÇ_MOV[RECEITA OU DESPESA],"Despesa",LANÇ_MOV[CONTAS],$C234,LANÇ_MOV[PLANO DE CONTAS],REL_DRE_FINANCEIRO!$B$135,LANÇ_MOV[ANO PAGAMENTO],$B$4,LANÇ_MOV[MÊS PAGAMENTO CORRESPONDENTE],D$6,LANÇ_MOV[EMPRESA],$C$4,LANÇ_MOV[CENTRO DE CUSTOS],$D$4)</f>
        <v>0</v>
      </c>
      <c r="E234" s="206">
        <f>SUMIFS(LANÇ_MOV[VALOR LÍQUIDO],LANÇ_MOV[RECEITA OU DESPESA],"Despesa",LANÇ_MOV[CONTAS],$C234,LANÇ_MOV[PLANO DE CONTAS],REL_DRE_FINANCEIRO!$B$135,LANÇ_MOV[ANO PAGAMENTO],$B$4,LANÇ_MOV[MÊS PAGAMENTO CORRESPONDENTE],E$6,LANÇ_MOV[EMPRESA],$C$4,LANÇ_MOV[CENTRO DE CUSTOS],$D$4)</f>
        <v>0</v>
      </c>
      <c r="F234" s="206">
        <f>SUMIFS(LANÇ_MOV[VALOR LÍQUIDO],LANÇ_MOV[RECEITA OU DESPESA],"Despesa",LANÇ_MOV[CONTAS],$C234,LANÇ_MOV[PLANO DE CONTAS],REL_DRE_FINANCEIRO!$B$135,LANÇ_MOV[ANO PAGAMENTO],$B$4,LANÇ_MOV[MÊS PAGAMENTO CORRESPONDENTE],F$6,LANÇ_MOV[EMPRESA],$C$4,LANÇ_MOV[CENTRO DE CUSTOS],$D$4)</f>
        <v>0</v>
      </c>
      <c r="G234" s="206">
        <f>SUMIFS(LANÇ_MOV[VALOR LÍQUIDO],LANÇ_MOV[RECEITA OU DESPESA],"Despesa",LANÇ_MOV[CONTAS],$C234,LANÇ_MOV[PLANO DE CONTAS],REL_DRE_FINANCEIRO!$B$135,LANÇ_MOV[ANO PAGAMENTO],$B$4,LANÇ_MOV[MÊS PAGAMENTO CORRESPONDENTE],G$6,LANÇ_MOV[EMPRESA],$C$4,LANÇ_MOV[CENTRO DE CUSTOS],$D$4)</f>
        <v>0</v>
      </c>
      <c r="H234" s="206">
        <f>SUMIFS(LANÇ_MOV[VALOR LÍQUIDO],LANÇ_MOV[RECEITA OU DESPESA],"Despesa",LANÇ_MOV[CONTAS],$C234,LANÇ_MOV[PLANO DE CONTAS],REL_DRE_FINANCEIRO!$B$135,LANÇ_MOV[ANO PAGAMENTO],$B$4,LANÇ_MOV[MÊS PAGAMENTO CORRESPONDENTE],H$6,LANÇ_MOV[EMPRESA],$C$4,LANÇ_MOV[CENTRO DE CUSTOS],$D$4)</f>
        <v>0</v>
      </c>
      <c r="I234" s="206">
        <f>SUMIFS(LANÇ_MOV[VALOR LÍQUIDO],LANÇ_MOV[RECEITA OU DESPESA],"Despesa",LANÇ_MOV[CONTAS],$C234,LANÇ_MOV[PLANO DE CONTAS],REL_DRE_FINANCEIRO!$B$135,LANÇ_MOV[ANO PAGAMENTO],$B$4,LANÇ_MOV[MÊS PAGAMENTO CORRESPONDENTE],I$6,LANÇ_MOV[EMPRESA],$C$4,LANÇ_MOV[CENTRO DE CUSTOS],$D$4)</f>
        <v>0</v>
      </c>
      <c r="J234" s="206">
        <f>SUMIFS(LANÇ_MOV[VALOR LÍQUIDO],LANÇ_MOV[RECEITA OU DESPESA],"Despesa",LANÇ_MOV[CONTAS],$C234,LANÇ_MOV[PLANO DE CONTAS],REL_DRE_FINANCEIRO!$B$135,LANÇ_MOV[ANO PAGAMENTO],$B$4,LANÇ_MOV[MÊS PAGAMENTO CORRESPONDENTE],J$6,LANÇ_MOV[EMPRESA],$C$4,LANÇ_MOV[CENTRO DE CUSTOS],$D$4)</f>
        <v>0</v>
      </c>
      <c r="K234" s="206">
        <f>SUMIFS(LANÇ_MOV[VALOR LÍQUIDO],LANÇ_MOV[RECEITA OU DESPESA],"Despesa",LANÇ_MOV[CONTAS],$C234,LANÇ_MOV[PLANO DE CONTAS],REL_DRE_FINANCEIRO!$B$135,LANÇ_MOV[ANO PAGAMENTO],$B$4,LANÇ_MOV[MÊS PAGAMENTO CORRESPONDENTE],K$6,LANÇ_MOV[EMPRESA],$C$4,LANÇ_MOV[CENTRO DE CUSTOS],$D$4)</f>
        <v>0</v>
      </c>
      <c r="L234" s="206">
        <f>SUMIFS(LANÇ_MOV[VALOR LÍQUIDO],LANÇ_MOV[RECEITA OU DESPESA],"Despesa",LANÇ_MOV[CONTAS],$C234,LANÇ_MOV[PLANO DE CONTAS],REL_DRE_FINANCEIRO!$B$135,LANÇ_MOV[ANO PAGAMENTO],$B$4,LANÇ_MOV[MÊS PAGAMENTO CORRESPONDENTE],L$6,LANÇ_MOV[EMPRESA],$C$4,LANÇ_MOV[CENTRO DE CUSTOS],$D$4)</f>
        <v>0</v>
      </c>
      <c r="M234" s="206">
        <f>SUMIFS(LANÇ_MOV[VALOR LÍQUIDO],LANÇ_MOV[RECEITA OU DESPESA],"Despesa",LANÇ_MOV[CONTAS],$C234,LANÇ_MOV[PLANO DE CONTAS],REL_DRE_FINANCEIRO!$B$135,LANÇ_MOV[ANO PAGAMENTO],$B$4,LANÇ_MOV[MÊS PAGAMENTO CORRESPONDENTE],M$6,LANÇ_MOV[EMPRESA],$C$4,LANÇ_MOV[CENTRO DE CUSTOS],$D$4)</f>
        <v>0</v>
      </c>
      <c r="N234" s="206">
        <f>SUMIFS(LANÇ_MOV[VALOR LÍQUIDO],LANÇ_MOV[RECEITA OU DESPESA],"Despesa",LANÇ_MOV[CONTAS],$C234,LANÇ_MOV[PLANO DE CONTAS],REL_DRE_FINANCEIRO!$B$135,LANÇ_MOV[ANO PAGAMENTO],$B$4,LANÇ_MOV[MÊS PAGAMENTO CORRESPONDENTE],N$6,LANÇ_MOV[EMPRESA],$C$4,LANÇ_MOV[CENTRO DE CUSTOS],$D$4)</f>
        <v>0</v>
      </c>
      <c r="O234" s="206">
        <f>SUMIFS(LANÇ_MOV[VALOR LÍQUIDO],LANÇ_MOV[RECEITA OU DESPESA],"Despesa",LANÇ_MOV[CONTAS],$C234,LANÇ_MOV[PLANO DE CONTAS],REL_DRE_FINANCEIRO!$B$135,LANÇ_MOV[ANO PAGAMENTO],$B$4,LANÇ_MOV[MÊS PAGAMENTO CORRESPONDENTE],O$6,LANÇ_MOV[EMPRESA],$C$4,LANÇ_MOV[CENTRO DE CUSTOS],$D$4)</f>
        <v>0</v>
      </c>
      <c r="P234" s="207">
        <f t="shared" si="35"/>
        <v>0</v>
      </c>
      <c r="Q234" s="333">
        <v>3.2299999999999999E-5</v>
      </c>
      <c r="R234" s="346">
        <f t="shared" si="37"/>
        <v>3.2299999999999999E-5</v>
      </c>
      <c r="S234" s="347" t="str">
        <f t="shared" si="38"/>
        <v>-</v>
      </c>
      <c r="T234" s="347">
        <f t="shared" si="39"/>
        <v>0</v>
      </c>
      <c r="U234" s="347">
        <f>HLOOKUP(Apoio!$P$12,$D$134:$P$235,X234,FALSE)+Q234</f>
        <v>3.2299999999999999E-5</v>
      </c>
      <c r="V234" s="447" t="str">
        <f t="shared" si="36"/>
        <v>-</v>
      </c>
      <c r="W234" s="448">
        <f>HLOOKUP(Apoio!$P$12,$D$134:$P$235,X234,FALSE)</f>
        <v>0</v>
      </c>
      <c r="X234" s="329">
        <v>101</v>
      </c>
    </row>
    <row r="235" spans="2:50" ht="30.05" customHeight="1" x14ac:dyDescent="0.35">
      <c r="B235" s="204" t="str">
        <f>'CAD_PL_REC-DESP'!K104</f>
        <v>2.1.100</v>
      </c>
      <c r="C235" s="205" t="str">
        <f>IF('CAD_PL_REC-DESP'!L104="","-",'CAD_PL_REC-DESP'!L104)</f>
        <v>-</v>
      </c>
      <c r="D235" s="206">
        <f>SUMIFS(LANÇ_MOV[VALOR LÍQUIDO],LANÇ_MOV[RECEITA OU DESPESA],"Despesa",LANÇ_MOV[CONTAS],$C235,LANÇ_MOV[PLANO DE CONTAS],REL_DRE_FINANCEIRO!$B$135,LANÇ_MOV[ANO PAGAMENTO],$B$4,LANÇ_MOV[MÊS PAGAMENTO CORRESPONDENTE],D$6,LANÇ_MOV[EMPRESA],$C$4,LANÇ_MOV[CENTRO DE CUSTOS],$D$4)</f>
        <v>0</v>
      </c>
      <c r="E235" s="206">
        <f>SUMIFS(LANÇ_MOV[VALOR LÍQUIDO],LANÇ_MOV[RECEITA OU DESPESA],"Despesa",LANÇ_MOV[CONTAS],$C235,LANÇ_MOV[PLANO DE CONTAS],REL_DRE_FINANCEIRO!$B$135,LANÇ_MOV[ANO PAGAMENTO],$B$4,LANÇ_MOV[MÊS PAGAMENTO CORRESPONDENTE],E$6,LANÇ_MOV[EMPRESA],$C$4,LANÇ_MOV[CENTRO DE CUSTOS],$D$4)</f>
        <v>0</v>
      </c>
      <c r="F235" s="206">
        <f>SUMIFS(LANÇ_MOV[VALOR LÍQUIDO],LANÇ_MOV[RECEITA OU DESPESA],"Despesa",LANÇ_MOV[CONTAS],$C235,LANÇ_MOV[PLANO DE CONTAS],REL_DRE_FINANCEIRO!$B$135,LANÇ_MOV[ANO PAGAMENTO],$B$4,LANÇ_MOV[MÊS PAGAMENTO CORRESPONDENTE],F$6,LANÇ_MOV[EMPRESA],$C$4,LANÇ_MOV[CENTRO DE CUSTOS],$D$4)</f>
        <v>0</v>
      </c>
      <c r="G235" s="206">
        <f>SUMIFS(LANÇ_MOV[VALOR LÍQUIDO],LANÇ_MOV[RECEITA OU DESPESA],"Despesa",LANÇ_MOV[CONTAS],$C235,LANÇ_MOV[PLANO DE CONTAS],REL_DRE_FINANCEIRO!$B$135,LANÇ_MOV[ANO PAGAMENTO],$B$4,LANÇ_MOV[MÊS PAGAMENTO CORRESPONDENTE],G$6,LANÇ_MOV[EMPRESA],$C$4,LANÇ_MOV[CENTRO DE CUSTOS],$D$4)</f>
        <v>0</v>
      </c>
      <c r="H235" s="206">
        <f>SUMIFS(LANÇ_MOV[VALOR LÍQUIDO],LANÇ_MOV[RECEITA OU DESPESA],"Despesa",LANÇ_MOV[CONTAS],$C235,LANÇ_MOV[PLANO DE CONTAS],REL_DRE_FINANCEIRO!$B$135,LANÇ_MOV[ANO PAGAMENTO],$B$4,LANÇ_MOV[MÊS PAGAMENTO CORRESPONDENTE],H$6,LANÇ_MOV[EMPRESA],$C$4,LANÇ_MOV[CENTRO DE CUSTOS],$D$4)</f>
        <v>0</v>
      </c>
      <c r="I235" s="206">
        <f>SUMIFS(LANÇ_MOV[VALOR LÍQUIDO],LANÇ_MOV[RECEITA OU DESPESA],"Despesa",LANÇ_MOV[CONTAS],$C235,LANÇ_MOV[PLANO DE CONTAS],REL_DRE_FINANCEIRO!$B$135,LANÇ_MOV[ANO PAGAMENTO],$B$4,LANÇ_MOV[MÊS PAGAMENTO CORRESPONDENTE],I$6,LANÇ_MOV[EMPRESA],$C$4,LANÇ_MOV[CENTRO DE CUSTOS],$D$4)</f>
        <v>0</v>
      </c>
      <c r="J235" s="206">
        <f>SUMIFS(LANÇ_MOV[VALOR LÍQUIDO],LANÇ_MOV[RECEITA OU DESPESA],"Despesa",LANÇ_MOV[CONTAS],$C235,LANÇ_MOV[PLANO DE CONTAS],REL_DRE_FINANCEIRO!$B$135,LANÇ_MOV[ANO PAGAMENTO],$B$4,LANÇ_MOV[MÊS PAGAMENTO CORRESPONDENTE],J$6,LANÇ_MOV[EMPRESA],$C$4,LANÇ_MOV[CENTRO DE CUSTOS],$D$4)</f>
        <v>0</v>
      </c>
      <c r="K235" s="206">
        <f>SUMIFS(LANÇ_MOV[VALOR LÍQUIDO],LANÇ_MOV[RECEITA OU DESPESA],"Despesa",LANÇ_MOV[CONTAS],$C235,LANÇ_MOV[PLANO DE CONTAS],REL_DRE_FINANCEIRO!$B$135,LANÇ_MOV[ANO PAGAMENTO],$B$4,LANÇ_MOV[MÊS PAGAMENTO CORRESPONDENTE],K$6,LANÇ_MOV[EMPRESA],$C$4,LANÇ_MOV[CENTRO DE CUSTOS],$D$4)</f>
        <v>0</v>
      </c>
      <c r="L235" s="206">
        <f>SUMIFS(LANÇ_MOV[VALOR LÍQUIDO],LANÇ_MOV[RECEITA OU DESPESA],"Despesa",LANÇ_MOV[CONTAS],$C235,LANÇ_MOV[PLANO DE CONTAS],REL_DRE_FINANCEIRO!$B$135,LANÇ_MOV[ANO PAGAMENTO],$B$4,LANÇ_MOV[MÊS PAGAMENTO CORRESPONDENTE],L$6,LANÇ_MOV[EMPRESA],$C$4,LANÇ_MOV[CENTRO DE CUSTOS],$D$4)</f>
        <v>0</v>
      </c>
      <c r="M235" s="206">
        <f>SUMIFS(LANÇ_MOV[VALOR LÍQUIDO],LANÇ_MOV[RECEITA OU DESPESA],"Despesa",LANÇ_MOV[CONTAS],$C235,LANÇ_MOV[PLANO DE CONTAS],REL_DRE_FINANCEIRO!$B$135,LANÇ_MOV[ANO PAGAMENTO],$B$4,LANÇ_MOV[MÊS PAGAMENTO CORRESPONDENTE],M$6,LANÇ_MOV[EMPRESA],$C$4,LANÇ_MOV[CENTRO DE CUSTOS],$D$4)</f>
        <v>0</v>
      </c>
      <c r="N235" s="206">
        <f>SUMIFS(LANÇ_MOV[VALOR LÍQUIDO],LANÇ_MOV[RECEITA OU DESPESA],"Despesa",LANÇ_MOV[CONTAS],$C235,LANÇ_MOV[PLANO DE CONTAS],REL_DRE_FINANCEIRO!$B$135,LANÇ_MOV[ANO PAGAMENTO],$B$4,LANÇ_MOV[MÊS PAGAMENTO CORRESPONDENTE],N$6,LANÇ_MOV[EMPRESA],$C$4,LANÇ_MOV[CENTRO DE CUSTOS],$D$4)</f>
        <v>0</v>
      </c>
      <c r="O235" s="206">
        <f>SUMIFS(LANÇ_MOV[VALOR LÍQUIDO],LANÇ_MOV[RECEITA OU DESPESA],"Despesa",LANÇ_MOV[CONTAS],$C235,LANÇ_MOV[PLANO DE CONTAS],REL_DRE_FINANCEIRO!$B$135,LANÇ_MOV[ANO PAGAMENTO],$B$4,LANÇ_MOV[MÊS PAGAMENTO CORRESPONDENTE],O$6,LANÇ_MOV[EMPRESA],$C$4,LANÇ_MOV[CENTRO DE CUSTOS],$D$4)</f>
        <v>0</v>
      </c>
      <c r="P235" s="207">
        <f t="shared" si="35"/>
        <v>0</v>
      </c>
      <c r="Q235" s="333">
        <v>3.2199999999999997E-5</v>
      </c>
      <c r="R235" s="346">
        <f t="shared" si="37"/>
        <v>3.2199999999999997E-5</v>
      </c>
      <c r="S235" s="347" t="str">
        <f t="shared" si="38"/>
        <v>-</v>
      </c>
      <c r="T235" s="347">
        <f t="shared" si="39"/>
        <v>0</v>
      </c>
      <c r="U235" s="347">
        <f>HLOOKUP(Apoio!$P$12,$D$134:$P$235,X235,FALSE)+Q235</f>
        <v>3.2199999999999997E-5</v>
      </c>
      <c r="V235" s="447" t="str">
        <f t="shared" si="36"/>
        <v>-</v>
      </c>
      <c r="W235" s="448">
        <f>HLOOKUP(Apoio!$P$12,$D$134:$P$235,X235,FALSE)</f>
        <v>0</v>
      </c>
      <c r="X235" s="329">
        <v>102</v>
      </c>
    </row>
    <row r="236" spans="2:50" ht="6.75" customHeight="1" x14ac:dyDescent="0.35">
      <c r="R236" s="346"/>
      <c r="S236" s="347"/>
      <c r="T236" s="347"/>
      <c r="U236" s="347"/>
      <c r="V236" s="447"/>
      <c r="W236" s="448"/>
      <c r="X236" s="346"/>
    </row>
    <row r="237" spans="2:50" s="15" customFormat="1" ht="30.05" customHeight="1" x14ac:dyDescent="0.35">
      <c r="B237" s="606" t="s">
        <v>1105</v>
      </c>
      <c r="C237" s="607"/>
      <c r="D237" s="202">
        <f t="shared" ref="D237:P237" si="40">D28-D133</f>
        <v>0</v>
      </c>
      <c r="E237" s="202">
        <f t="shared" si="40"/>
        <v>0</v>
      </c>
      <c r="F237" s="202">
        <f t="shared" si="40"/>
        <v>0</v>
      </c>
      <c r="G237" s="202">
        <f t="shared" si="40"/>
        <v>0</v>
      </c>
      <c r="H237" s="202">
        <f t="shared" si="40"/>
        <v>0</v>
      </c>
      <c r="I237" s="202">
        <f t="shared" si="40"/>
        <v>0</v>
      </c>
      <c r="J237" s="202">
        <f t="shared" si="40"/>
        <v>0</v>
      </c>
      <c r="K237" s="202">
        <f t="shared" si="40"/>
        <v>0</v>
      </c>
      <c r="L237" s="202">
        <f t="shared" si="40"/>
        <v>0</v>
      </c>
      <c r="M237" s="202">
        <f t="shared" si="40"/>
        <v>22067.45</v>
      </c>
      <c r="N237" s="202">
        <f t="shared" si="40"/>
        <v>7421.12</v>
      </c>
      <c r="O237" s="202">
        <f t="shared" si="40"/>
        <v>0</v>
      </c>
      <c r="P237" s="202">
        <f t="shared" si="40"/>
        <v>29488.57</v>
      </c>
      <c r="Q237" s="331"/>
      <c r="R237" s="349"/>
      <c r="S237" s="350"/>
      <c r="T237" s="350"/>
      <c r="U237" s="350"/>
      <c r="V237" s="449"/>
      <c r="W237" s="450"/>
      <c r="X237" s="349"/>
      <c r="Y237" s="331"/>
      <c r="Z237" s="342"/>
      <c r="AA237" s="342"/>
      <c r="AB237" s="342"/>
      <c r="AC237" s="439"/>
      <c r="AD237" s="342"/>
      <c r="AE237" s="342"/>
      <c r="AF237" s="343"/>
      <c r="AG237" s="343"/>
      <c r="AH237" s="343"/>
      <c r="AI237" s="343"/>
      <c r="AJ237" s="343"/>
      <c r="AK237" s="343"/>
      <c r="AL237" s="343"/>
      <c r="AM237" s="343"/>
      <c r="AN237" s="343"/>
      <c r="AO237" s="343"/>
      <c r="AP237" s="343"/>
      <c r="AQ237" s="343"/>
      <c r="AR237" s="343"/>
      <c r="AS237" s="343"/>
      <c r="AT237" s="121"/>
      <c r="AU237" s="121"/>
      <c r="AV237" s="121"/>
      <c r="AW237" s="121"/>
      <c r="AX237" s="121"/>
    </row>
    <row r="238" spans="2:50" ht="6.75" customHeight="1" x14ac:dyDescent="0.35">
      <c r="R238" s="346"/>
      <c r="S238" s="347"/>
      <c r="T238" s="347"/>
      <c r="U238" s="347"/>
      <c r="V238" s="447"/>
      <c r="W238" s="448"/>
      <c r="X238" s="346"/>
    </row>
    <row r="239" spans="2:50" s="15" customFormat="1" ht="30.05" customHeight="1" x14ac:dyDescent="0.35">
      <c r="B239" s="606" t="s">
        <v>1106</v>
      </c>
      <c r="C239" s="607"/>
      <c r="D239" s="202">
        <f>D241+D343+D445</f>
        <v>0</v>
      </c>
      <c r="E239" s="202">
        <f t="shared" ref="E239:P239" si="41">E241+E343+E445</f>
        <v>0</v>
      </c>
      <c r="F239" s="202">
        <f t="shared" si="41"/>
        <v>0</v>
      </c>
      <c r="G239" s="202">
        <f t="shared" si="41"/>
        <v>0</v>
      </c>
      <c r="H239" s="202">
        <f t="shared" si="41"/>
        <v>0</v>
      </c>
      <c r="I239" s="202">
        <f t="shared" si="41"/>
        <v>0</v>
      </c>
      <c r="J239" s="202">
        <f t="shared" si="41"/>
        <v>0</v>
      </c>
      <c r="K239" s="202">
        <f t="shared" si="41"/>
        <v>0</v>
      </c>
      <c r="L239" s="202">
        <f t="shared" si="41"/>
        <v>0</v>
      </c>
      <c r="M239" s="202">
        <f t="shared" si="41"/>
        <v>23373.65</v>
      </c>
      <c r="N239" s="202">
        <f t="shared" si="41"/>
        <v>5367.53</v>
      </c>
      <c r="O239" s="202">
        <f t="shared" si="41"/>
        <v>0</v>
      </c>
      <c r="P239" s="202">
        <f t="shared" si="41"/>
        <v>28741.18</v>
      </c>
      <c r="Q239" s="331"/>
      <c r="R239" s="349"/>
      <c r="S239" s="350"/>
      <c r="T239" s="350"/>
      <c r="U239" s="350"/>
      <c r="V239" s="449"/>
      <c r="W239" s="450"/>
      <c r="X239" s="349"/>
      <c r="Y239" s="331"/>
      <c r="Z239" s="342"/>
      <c r="AA239" s="342"/>
      <c r="AB239" s="342"/>
      <c r="AC239" s="439"/>
      <c r="AD239" s="342"/>
      <c r="AE239" s="342"/>
      <c r="AF239" s="343"/>
      <c r="AG239" s="343"/>
      <c r="AH239" s="343"/>
      <c r="AI239" s="343"/>
      <c r="AJ239" s="343"/>
      <c r="AK239" s="343"/>
      <c r="AL239" s="343"/>
      <c r="AM239" s="343"/>
      <c r="AN239" s="343"/>
      <c r="AO239" s="343"/>
      <c r="AP239" s="343"/>
      <c r="AQ239" s="343"/>
      <c r="AR239" s="343"/>
      <c r="AS239" s="343"/>
      <c r="AT239" s="121"/>
      <c r="AU239" s="121"/>
      <c r="AV239" s="121"/>
      <c r="AW239" s="121"/>
      <c r="AX239" s="121"/>
    </row>
    <row r="240" spans="2:50" s="110" customFormat="1" ht="6.75" customHeight="1" thickBot="1" x14ac:dyDescent="0.4">
      <c r="B240" s="111"/>
      <c r="C240" s="111"/>
      <c r="D240" s="25" t="s">
        <v>1044</v>
      </c>
      <c r="E240" s="25" t="s">
        <v>1045</v>
      </c>
      <c r="F240" s="25" t="s">
        <v>1046</v>
      </c>
      <c r="G240" s="25" t="s">
        <v>1047</v>
      </c>
      <c r="H240" s="25" t="s">
        <v>1048</v>
      </c>
      <c r="I240" s="25" t="s">
        <v>1049</v>
      </c>
      <c r="J240" s="25" t="s">
        <v>1050</v>
      </c>
      <c r="K240" s="25" t="s">
        <v>1051</v>
      </c>
      <c r="L240" s="25" t="s">
        <v>1052</v>
      </c>
      <c r="M240" s="25" t="s">
        <v>1053</v>
      </c>
      <c r="N240" s="25" t="s">
        <v>1054</v>
      </c>
      <c r="O240" s="25" t="s">
        <v>1055</v>
      </c>
      <c r="P240" s="135" t="s">
        <v>1198</v>
      </c>
      <c r="Q240" s="329"/>
      <c r="R240" s="346"/>
      <c r="S240" s="347"/>
      <c r="T240" s="347"/>
      <c r="U240" s="347"/>
      <c r="V240" s="447"/>
      <c r="W240" s="448"/>
      <c r="X240" s="346"/>
      <c r="Y240" s="329"/>
      <c r="Z240" s="340"/>
      <c r="AA240" s="340"/>
      <c r="AB240" s="340"/>
      <c r="AC240" s="437"/>
      <c r="AD240" s="340"/>
      <c r="AE240" s="340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  <c r="AU240" s="25"/>
      <c r="AV240" s="25"/>
      <c r="AW240" s="25"/>
      <c r="AX240" s="25"/>
    </row>
    <row r="241" spans="2:27" ht="30.05" customHeight="1" thickTop="1" x14ac:dyDescent="0.35">
      <c r="B241" s="601" t="str">
        <f>'CAD_PL_REC-DESP'!O4</f>
        <v>DESPESAS ADMINISTRATIVAS</v>
      </c>
      <c r="C241" s="602"/>
      <c r="D241" s="203">
        <f>SUM(D242:D341)</f>
        <v>0</v>
      </c>
      <c r="E241" s="203">
        <f t="shared" ref="E241:O241" si="42">SUM(E242:E341)</f>
        <v>0</v>
      </c>
      <c r="F241" s="203">
        <f t="shared" si="42"/>
        <v>0</v>
      </c>
      <c r="G241" s="203">
        <f t="shared" si="42"/>
        <v>0</v>
      </c>
      <c r="H241" s="203">
        <f t="shared" si="42"/>
        <v>0</v>
      </c>
      <c r="I241" s="203">
        <f t="shared" si="42"/>
        <v>0</v>
      </c>
      <c r="J241" s="203">
        <f t="shared" si="42"/>
        <v>0</v>
      </c>
      <c r="K241" s="203">
        <f t="shared" si="42"/>
        <v>0</v>
      </c>
      <c r="L241" s="203">
        <f t="shared" si="42"/>
        <v>0</v>
      </c>
      <c r="M241" s="203">
        <f t="shared" si="42"/>
        <v>12624.57</v>
      </c>
      <c r="N241" s="203">
        <f t="shared" si="42"/>
        <v>2500</v>
      </c>
      <c r="O241" s="203">
        <f t="shared" si="42"/>
        <v>0</v>
      </c>
      <c r="P241" s="203">
        <f>SUM(D241:O241)</f>
        <v>15124.57</v>
      </c>
      <c r="R241" s="346"/>
      <c r="S241" s="347"/>
      <c r="T241" s="347"/>
      <c r="U241" s="347"/>
      <c r="V241" s="447"/>
      <c r="W241" s="448"/>
      <c r="X241" s="346"/>
    </row>
    <row r="242" spans="2:27" ht="30.05" customHeight="1" x14ac:dyDescent="0.35">
      <c r="B242" s="204" t="str">
        <f>'CAD_PL_REC-DESP'!N5</f>
        <v>2.2.1</v>
      </c>
      <c r="C242" s="205" t="str">
        <f>IF('CAD_PL_REC-DESP'!O5="","-",'CAD_PL_REC-DESP'!O5)</f>
        <v>ÁGUA</v>
      </c>
      <c r="D242" s="206">
        <f>SUMIFS(LANÇ_MOV[VALOR LÍQUIDO],LANÇ_MOV[RECEITA OU DESPESA],"Despesa",LANÇ_MOV[CONTAS],$C242,LANÇ_MOV[PLANO DE CONTAS],REL_DRE_FINANCEIRO!$B$241,LANÇ_MOV[ANO PAGAMENTO],$B$4,LANÇ_MOV[MÊS PAGAMENTO CORRESPONDENTE],D$6,LANÇ_MOV[EMPRESA],$C$4,LANÇ_MOV[CENTRO DE CUSTOS],$D$4)</f>
        <v>0</v>
      </c>
      <c r="E242" s="206">
        <f>SUMIFS(LANÇ_MOV[VALOR LÍQUIDO],LANÇ_MOV[RECEITA OU DESPESA],"Despesa",LANÇ_MOV[CONTAS],$C242,LANÇ_MOV[PLANO DE CONTAS],REL_DRE_FINANCEIRO!$B$241,LANÇ_MOV[ANO PAGAMENTO],$B$4,LANÇ_MOV[MÊS PAGAMENTO CORRESPONDENTE],E$6,LANÇ_MOV[EMPRESA],$C$4,LANÇ_MOV[CENTRO DE CUSTOS],$D$4)</f>
        <v>0</v>
      </c>
      <c r="F242" s="206">
        <f>SUMIFS(LANÇ_MOV[VALOR LÍQUIDO],LANÇ_MOV[RECEITA OU DESPESA],"Despesa",LANÇ_MOV[CONTAS],$C242,LANÇ_MOV[PLANO DE CONTAS],REL_DRE_FINANCEIRO!$B$241,LANÇ_MOV[ANO PAGAMENTO],$B$4,LANÇ_MOV[MÊS PAGAMENTO CORRESPONDENTE],F$6,LANÇ_MOV[EMPRESA],$C$4,LANÇ_MOV[CENTRO DE CUSTOS],$D$4)</f>
        <v>0</v>
      </c>
      <c r="G242" s="206">
        <f>SUMIFS(LANÇ_MOV[VALOR LÍQUIDO],LANÇ_MOV[RECEITA OU DESPESA],"Despesa",LANÇ_MOV[CONTAS],$C242,LANÇ_MOV[PLANO DE CONTAS],REL_DRE_FINANCEIRO!$B$241,LANÇ_MOV[ANO PAGAMENTO],$B$4,LANÇ_MOV[MÊS PAGAMENTO CORRESPONDENTE],G$6,LANÇ_MOV[EMPRESA],$C$4,LANÇ_MOV[CENTRO DE CUSTOS],$D$4)</f>
        <v>0</v>
      </c>
      <c r="H242" s="206">
        <f>SUMIFS(LANÇ_MOV[VALOR LÍQUIDO],LANÇ_MOV[RECEITA OU DESPESA],"Despesa",LANÇ_MOV[CONTAS],$C242,LANÇ_MOV[PLANO DE CONTAS],REL_DRE_FINANCEIRO!$B$241,LANÇ_MOV[ANO PAGAMENTO],$B$4,LANÇ_MOV[MÊS PAGAMENTO CORRESPONDENTE],H$6,LANÇ_MOV[EMPRESA],$C$4,LANÇ_MOV[CENTRO DE CUSTOS],$D$4)</f>
        <v>0</v>
      </c>
      <c r="I242" s="206">
        <f>SUMIFS(LANÇ_MOV[VALOR LÍQUIDO],LANÇ_MOV[RECEITA OU DESPESA],"Despesa",LANÇ_MOV[CONTAS],$C242,LANÇ_MOV[PLANO DE CONTAS],REL_DRE_FINANCEIRO!$B$241,LANÇ_MOV[ANO PAGAMENTO],$B$4,LANÇ_MOV[MÊS PAGAMENTO CORRESPONDENTE],I$6,LANÇ_MOV[EMPRESA],$C$4,LANÇ_MOV[CENTRO DE CUSTOS],$D$4)</f>
        <v>0</v>
      </c>
      <c r="J242" s="206">
        <f>SUMIFS(LANÇ_MOV[VALOR LÍQUIDO],LANÇ_MOV[RECEITA OU DESPESA],"Despesa",LANÇ_MOV[CONTAS],$C242,LANÇ_MOV[PLANO DE CONTAS],REL_DRE_FINANCEIRO!$B$241,LANÇ_MOV[ANO PAGAMENTO],$B$4,LANÇ_MOV[MÊS PAGAMENTO CORRESPONDENTE],J$6,LANÇ_MOV[EMPRESA],$C$4,LANÇ_MOV[CENTRO DE CUSTOS],$D$4)</f>
        <v>0</v>
      </c>
      <c r="K242" s="206">
        <f>SUMIFS(LANÇ_MOV[VALOR LÍQUIDO],LANÇ_MOV[RECEITA OU DESPESA],"Despesa",LANÇ_MOV[CONTAS],$C242,LANÇ_MOV[PLANO DE CONTAS],REL_DRE_FINANCEIRO!$B$241,LANÇ_MOV[ANO PAGAMENTO],$B$4,LANÇ_MOV[MÊS PAGAMENTO CORRESPONDENTE],K$6,LANÇ_MOV[EMPRESA],$C$4,LANÇ_MOV[CENTRO DE CUSTOS],$D$4)</f>
        <v>0</v>
      </c>
      <c r="L242" s="206">
        <f>SUMIFS(LANÇ_MOV[VALOR LÍQUIDO],LANÇ_MOV[RECEITA OU DESPESA],"Despesa",LANÇ_MOV[CONTAS],$C242,LANÇ_MOV[PLANO DE CONTAS],REL_DRE_FINANCEIRO!$B$241,LANÇ_MOV[ANO PAGAMENTO],$B$4,LANÇ_MOV[MÊS PAGAMENTO CORRESPONDENTE],L$6,LANÇ_MOV[EMPRESA],$C$4,LANÇ_MOV[CENTRO DE CUSTOS],$D$4)</f>
        <v>0</v>
      </c>
      <c r="M242" s="206">
        <f>SUMIFS(LANÇ_MOV[VALOR LÍQUIDO],LANÇ_MOV[RECEITA OU DESPESA],"Despesa",LANÇ_MOV[CONTAS],$C242,LANÇ_MOV[PLANO DE CONTAS],REL_DRE_FINANCEIRO!$B$241,LANÇ_MOV[ANO PAGAMENTO],$B$4,LANÇ_MOV[MÊS PAGAMENTO CORRESPONDENTE],M$6,LANÇ_MOV[EMPRESA],$C$4,LANÇ_MOV[CENTRO DE CUSTOS],$D$4)</f>
        <v>0</v>
      </c>
      <c r="N242" s="206">
        <f>SUMIFS(LANÇ_MOV[VALOR LÍQUIDO],LANÇ_MOV[RECEITA OU DESPESA],"Despesa",LANÇ_MOV[CONTAS],$C242,LANÇ_MOV[PLANO DE CONTAS],REL_DRE_FINANCEIRO!$B$241,LANÇ_MOV[ANO PAGAMENTO],$B$4,LANÇ_MOV[MÊS PAGAMENTO CORRESPONDENTE],N$6,LANÇ_MOV[EMPRESA],$C$4,LANÇ_MOV[CENTRO DE CUSTOS],$D$4)</f>
        <v>0</v>
      </c>
      <c r="O242" s="206">
        <f>SUMIFS(LANÇ_MOV[VALOR LÍQUIDO],LANÇ_MOV[RECEITA OU DESPESA],"Despesa",LANÇ_MOV[CONTAS],$C242,LANÇ_MOV[PLANO DE CONTAS],REL_DRE_FINANCEIRO!$B$241,LANÇ_MOV[ANO PAGAMENTO],$B$4,LANÇ_MOV[MÊS PAGAMENTO CORRESPONDENTE],O$6,LANÇ_MOV[EMPRESA],$C$4,LANÇ_MOV[CENTRO DE CUSTOS],$D$4)</f>
        <v>0</v>
      </c>
      <c r="P242" s="207">
        <f t="shared" ref="P242:P305" si="43">SUM(D242:O242)</f>
        <v>0</v>
      </c>
      <c r="Q242" s="333">
        <v>1.0000000000000001E-5</v>
      </c>
      <c r="R242" s="346">
        <f>P242+Q242</f>
        <v>1.0000000000000001E-5</v>
      </c>
      <c r="S242" s="347" t="str">
        <f>C242</f>
        <v>ÁGUA</v>
      </c>
      <c r="T242" s="347">
        <f>P242</f>
        <v>0</v>
      </c>
      <c r="U242" s="347">
        <f>HLOOKUP(Apoio!$P$12,$D$240:$P$341,X242,FALSE)+Q242</f>
        <v>1.0000000000000001E-5</v>
      </c>
      <c r="V242" s="447" t="str">
        <f>S242</f>
        <v>ÁGUA</v>
      </c>
      <c r="W242" s="448">
        <f>HLOOKUP(Apoio!$P$12,$D$240:$P$341,X242,FALSE)</f>
        <v>0</v>
      </c>
      <c r="X242" s="329">
        <v>3</v>
      </c>
      <c r="Y242" s="329">
        <v>1</v>
      </c>
      <c r="Z242" s="340" t="str">
        <f>VLOOKUP(LARGE($R$242:$R$341,Y242),$R$242:$S$341,2,FALSE)</f>
        <v>OUTRAS DESPESAS ADMINISTRATIVAS</v>
      </c>
      <c r="AA242" s="340">
        <f>VLOOKUP(Z242,$S$242:$T$341,2,FALSE)</f>
        <v>11158.75</v>
      </c>
    </row>
    <row r="243" spans="2:27" ht="30.05" customHeight="1" x14ac:dyDescent="0.35">
      <c r="B243" s="204" t="str">
        <f>'CAD_PL_REC-DESP'!N6</f>
        <v>2.2.2</v>
      </c>
      <c r="C243" s="205" t="str">
        <f>IF('CAD_PL_REC-DESP'!O6="","-",'CAD_PL_REC-DESP'!O6)</f>
        <v>ALIMENTAÇÃO</v>
      </c>
      <c r="D243" s="206">
        <f>SUMIFS(LANÇ_MOV[VALOR LÍQUIDO],LANÇ_MOV[RECEITA OU DESPESA],"Despesa",LANÇ_MOV[CONTAS],$C243,LANÇ_MOV[PLANO DE CONTAS],REL_DRE_FINANCEIRO!$B$241,LANÇ_MOV[ANO PAGAMENTO],$B$4,LANÇ_MOV[MÊS PAGAMENTO CORRESPONDENTE],D$6,LANÇ_MOV[EMPRESA],$C$4,LANÇ_MOV[CENTRO DE CUSTOS],$D$4)</f>
        <v>0</v>
      </c>
      <c r="E243" s="206">
        <f>SUMIFS(LANÇ_MOV[VALOR LÍQUIDO],LANÇ_MOV[RECEITA OU DESPESA],"Despesa",LANÇ_MOV[CONTAS],$C243,LANÇ_MOV[PLANO DE CONTAS],REL_DRE_FINANCEIRO!$B$241,LANÇ_MOV[ANO PAGAMENTO],$B$4,LANÇ_MOV[MÊS PAGAMENTO CORRESPONDENTE],E$6,LANÇ_MOV[EMPRESA],$C$4,LANÇ_MOV[CENTRO DE CUSTOS],$D$4)</f>
        <v>0</v>
      </c>
      <c r="F243" s="206">
        <f>SUMIFS(LANÇ_MOV[VALOR LÍQUIDO],LANÇ_MOV[RECEITA OU DESPESA],"Despesa",LANÇ_MOV[CONTAS],$C243,LANÇ_MOV[PLANO DE CONTAS],REL_DRE_FINANCEIRO!$B$241,LANÇ_MOV[ANO PAGAMENTO],$B$4,LANÇ_MOV[MÊS PAGAMENTO CORRESPONDENTE],F$6,LANÇ_MOV[EMPRESA],$C$4,LANÇ_MOV[CENTRO DE CUSTOS],$D$4)</f>
        <v>0</v>
      </c>
      <c r="G243" s="206">
        <f>SUMIFS(LANÇ_MOV[VALOR LÍQUIDO],LANÇ_MOV[RECEITA OU DESPESA],"Despesa",LANÇ_MOV[CONTAS],$C243,LANÇ_MOV[PLANO DE CONTAS],REL_DRE_FINANCEIRO!$B$241,LANÇ_MOV[ANO PAGAMENTO],$B$4,LANÇ_MOV[MÊS PAGAMENTO CORRESPONDENTE],G$6,LANÇ_MOV[EMPRESA],$C$4,LANÇ_MOV[CENTRO DE CUSTOS],$D$4)</f>
        <v>0</v>
      </c>
      <c r="H243" s="206">
        <f>SUMIFS(LANÇ_MOV[VALOR LÍQUIDO],LANÇ_MOV[RECEITA OU DESPESA],"Despesa",LANÇ_MOV[CONTAS],$C243,LANÇ_MOV[PLANO DE CONTAS],REL_DRE_FINANCEIRO!$B$241,LANÇ_MOV[ANO PAGAMENTO],$B$4,LANÇ_MOV[MÊS PAGAMENTO CORRESPONDENTE],H$6,LANÇ_MOV[EMPRESA],$C$4,LANÇ_MOV[CENTRO DE CUSTOS],$D$4)</f>
        <v>0</v>
      </c>
      <c r="I243" s="206">
        <f>SUMIFS(LANÇ_MOV[VALOR LÍQUIDO],LANÇ_MOV[RECEITA OU DESPESA],"Despesa",LANÇ_MOV[CONTAS],$C243,LANÇ_MOV[PLANO DE CONTAS],REL_DRE_FINANCEIRO!$B$241,LANÇ_MOV[ANO PAGAMENTO],$B$4,LANÇ_MOV[MÊS PAGAMENTO CORRESPONDENTE],I$6,LANÇ_MOV[EMPRESA],$C$4,LANÇ_MOV[CENTRO DE CUSTOS],$D$4)</f>
        <v>0</v>
      </c>
      <c r="J243" s="206">
        <f>SUMIFS(LANÇ_MOV[VALOR LÍQUIDO],LANÇ_MOV[RECEITA OU DESPESA],"Despesa",LANÇ_MOV[CONTAS],$C243,LANÇ_MOV[PLANO DE CONTAS],REL_DRE_FINANCEIRO!$B$241,LANÇ_MOV[ANO PAGAMENTO],$B$4,LANÇ_MOV[MÊS PAGAMENTO CORRESPONDENTE],J$6,LANÇ_MOV[EMPRESA],$C$4,LANÇ_MOV[CENTRO DE CUSTOS],$D$4)</f>
        <v>0</v>
      </c>
      <c r="K243" s="206">
        <f>SUMIFS(LANÇ_MOV[VALOR LÍQUIDO],LANÇ_MOV[RECEITA OU DESPESA],"Despesa",LANÇ_MOV[CONTAS],$C243,LANÇ_MOV[PLANO DE CONTAS],REL_DRE_FINANCEIRO!$B$241,LANÇ_MOV[ANO PAGAMENTO],$B$4,LANÇ_MOV[MÊS PAGAMENTO CORRESPONDENTE],K$6,LANÇ_MOV[EMPRESA],$C$4,LANÇ_MOV[CENTRO DE CUSTOS],$D$4)</f>
        <v>0</v>
      </c>
      <c r="L243" s="206">
        <f>SUMIFS(LANÇ_MOV[VALOR LÍQUIDO],LANÇ_MOV[RECEITA OU DESPESA],"Despesa",LANÇ_MOV[CONTAS],$C243,LANÇ_MOV[PLANO DE CONTAS],REL_DRE_FINANCEIRO!$B$241,LANÇ_MOV[ANO PAGAMENTO],$B$4,LANÇ_MOV[MÊS PAGAMENTO CORRESPONDENTE],L$6,LANÇ_MOV[EMPRESA],$C$4,LANÇ_MOV[CENTRO DE CUSTOS],$D$4)</f>
        <v>0</v>
      </c>
      <c r="M243" s="206">
        <f>SUMIFS(LANÇ_MOV[VALOR LÍQUIDO],LANÇ_MOV[RECEITA OU DESPESA],"Despesa",LANÇ_MOV[CONTAS],$C243,LANÇ_MOV[PLANO DE CONTAS],REL_DRE_FINANCEIRO!$B$241,LANÇ_MOV[ANO PAGAMENTO],$B$4,LANÇ_MOV[MÊS PAGAMENTO CORRESPONDENTE],M$6,LANÇ_MOV[EMPRESA],$C$4,LANÇ_MOV[CENTRO DE CUSTOS],$D$4)</f>
        <v>0</v>
      </c>
      <c r="N243" s="206">
        <f>SUMIFS(LANÇ_MOV[VALOR LÍQUIDO],LANÇ_MOV[RECEITA OU DESPESA],"Despesa",LANÇ_MOV[CONTAS],$C243,LANÇ_MOV[PLANO DE CONTAS],REL_DRE_FINANCEIRO!$B$241,LANÇ_MOV[ANO PAGAMENTO],$B$4,LANÇ_MOV[MÊS PAGAMENTO CORRESPONDENTE],N$6,LANÇ_MOV[EMPRESA],$C$4,LANÇ_MOV[CENTRO DE CUSTOS],$D$4)</f>
        <v>0</v>
      </c>
      <c r="O243" s="206">
        <f>SUMIFS(LANÇ_MOV[VALOR LÍQUIDO],LANÇ_MOV[RECEITA OU DESPESA],"Despesa",LANÇ_MOV[CONTAS],$C243,LANÇ_MOV[PLANO DE CONTAS],REL_DRE_FINANCEIRO!$B$241,LANÇ_MOV[ANO PAGAMENTO],$B$4,LANÇ_MOV[MÊS PAGAMENTO CORRESPONDENTE],O$6,LANÇ_MOV[EMPRESA],$C$4,LANÇ_MOV[CENTRO DE CUSTOS],$D$4)</f>
        <v>0</v>
      </c>
      <c r="P243" s="207">
        <f t="shared" si="43"/>
        <v>0</v>
      </c>
      <c r="Q243" s="329">
        <v>9.9000000000000001E-6</v>
      </c>
      <c r="R243" s="346">
        <f t="shared" ref="R243:R306" si="44">P243+Q243</f>
        <v>9.9000000000000001E-6</v>
      </c>
      <c r="S243" s="347" t="str">
        <f t="shared" ref="S243:S306" si="45">C243</f>
        <v>ALIMENTAÇÃO</v>
      </c>
      <c r="T243" s="347">
        <f t="shared" ref="T243:T306" si="46">P243</f>
        <v>0</v>
      </c>
      <c r="U243" s="347">
        <f>HLOOKUP(Apoio!$P$12,$D$240:$P$341,X243,FALSE)+Q243</f>
        <v>9.9000000000000001E-6</v>
      </c>
      <c r="V243" s="447" t="str">
        <f t="shared" ref="V243:V306" si="47">S243</f>
        <v>ALIMENTAÇÃO</v>
      </c>
      <c r="W243" s="448">
        <f>HLOOKUP(Apoio!$P$12,$D$240:$P$341,X243,FALSE)</f>
        <v>0</v>
      </c>
      <c r="X243" s="329">
        <v>4</v>
      </c>
      <c r="Y243" s="329">
        <v>2</v>
      </c>
      <c r="Z243" s="340" t="str">
        <f>VLOOKUP(LARGE($R$242:$R$341,Y243),$R$242:$S$341,2,FALSE)</f>
        <v>CONTADOR</v>
      </c>
      <c r="AA243" s="340">
        <f>VLOOKUP(Z243,$S$242:$T$341,2,FALSE)</f>
        <v>2600</v>
      </c>
    </row>
    <row r="244" spans="2:27" ht="30.05" customHeight="1" x14ac:dyDescent="0.35">
      <c r="B244" s="204" t="str">
        <f>'CAD_PL_REC-DESP'!N7</f>
        <v>2.2.3</v>
      </c>
      <c r="C244" s="205" t="str">
        <f>IF('CAD_PL_REC-DESP'!O7="","-",'CAD_PL_REC-DESP'!O7)</f>
        <v>ALUGUEL</v>
      </c>
      <c r="D244" s="206">
        <f>SUMIFS(LANÇ_MOV[VALOR LÍQUIDO],LANÇ_MOV[RECEITA OU DESPESA],"Despesa",LANÇ_MOV[CONTAS],$C244,LANÇ_MOV[PLANO DE CONTAS],REL_DRE_FINANCEIRO!$B$241,LANÇ_MOV[ANO PAGAMENTO],$B$4,LANÇ_MOV[MÊS PAGAMENTO CORRESPONDENTE],D$6,LANÇ_MOV[EMPRESA],$C$4,LANÇ_MOV[CENTRO DE CUSTOS],$D$4)</f>
        <v>0</v>
      </c>
      <c r="E244" s="206">
        <f>SUMIFS(LANÇ_MOV[VALOR LÍQUIDO],LANÇ_MOV[RECEITA OU DESPESA],"Despesa",LANÇ_MOV[CONTAS],$C244,LANÇ_MOV[PLANO DE CONTAS],REL_DRE_FINANCEIRO!$B$241,LANÇ_MOV[ANO PAGAMENTO],$B$4,LANÇ_MOV[MÊS PAGAMENTO CORRESPONDENTE],E$6,LANÇ_MOV[EMPRESA],$C$4,LANÇ_MOV[CENTRO DE CUSTOS],$D$4)</f>
        <v>0</v>
      </c>
      <c r="F244" s="206">
        <f>SUMIFS(LANÇ_MOV[VALOR LÍQUIDO],LANÇ_MOV[RECEITA OU DESPESA],"Despesa",LANÇ_MOV[CONTAS],$C244,LANÇ_MOV[PLANO DE CONTAS],REL_DRE_FINANCEIRO!$B$241,LANÇ_MOV[ANO PAGAMENTO],$B$4,LANÇ_MOV[MÊS PAGAMENTO CORRESPONDENTE],F$6,LANÇ_MOV[EMPRESA],$C$4,LANÇ_MOV[CENTRO DE CUSTOS],$D$4)</f>
        <v>0</v>
      </c>
      <c r="G244" s="206">
        <f>SUMIFS(LANÇ_MOV[VALOR LÍQUIDO],LANÇ_MOV[RECEITA OU DESPESA],"Despesa",LANÇ_MOV[CONTAS],$C244,LANÇ_MOV[PLANO DE CONTAS],REL_DRE_FINANCEIRO!$B$241,LANÇ_MOV[ANO PAGAMENTO],$B$4,LANÇ_MOV[MÊS PAGAMENTO CORRESPONDENTE],G$6,LANÇ_MOV[EMPRESA],$C$4,LANÇ_MOV[CENTRO DE CUSTOS],$D$4)</f>
        <v>0</v>
      </c>
      <c r="H244" s="206">
        <f>SUMIFS(LANÇ_MOV[VALOR LÍQUIDO],LANÇ_MOV[RECEITA OU DESPESA],"Despesa",LANÇ_MOV[CONTAS],$C244,LANÇ_MOV[PLANO DE CONTAS],REL_DRE_FINANCEIRO!$B$241,LANÇ_MOV[ANO PAGAMENTO],$B$4,LANÇ_MOV[MÊS PAGAMENTO CORRESPONDENTE],H$6,LANÇ_MOV[EMPRESA],$C$4,LANÇ_MOV[CENTRO DE CUSTOS],$D$4)</f>
        <v>0</v>
      </c>
      <c r="I244" s="206">
        <f>SUMIFS(LANÇ_MOV[VALOR LÍQUIDO],LANÇ_MOV[RECEITA OU DESPESA],"Despesa",LANÇ_MOV[CONTAS],$C244,LANÇ_MOV[PLANO DE CONTAS],REL_DRE_FINANCEIRO!$B$241,LANÇ_MOV[ANO PAGAMENTO],$B$4,LANÇ_MOV[MÊS PAGAMENTO CORRESPONDENTE],I$6,LANÇ_MOV[EMPRESA],$C$4,LANÇ_MOV[CENTRO DE CUSTOS],$D$4)</f>
        <v>0</v>
      </c>
      <c r="J244" s="206">
        <f>SUMIFS(LANÇ_MOV[VALOR LÍQUIDO],LANÇ_MOV[RECEITA OU DESPESA],"Despesa",LANÇ_MOV[CONTAS],$C244,LANÇ_MOV[PLANO DE CONTAS],REL_DRE_FINANCEIRO!$B$241,LANÇ_MOV[ANO PAGAMENTO],$B$4,LANÇ_MOV[MÊS PAGAMENTO CORRESPONDENTE],J$6,LANÇ_MOV[EMPRESA],$C$4,LANÇ_MOV[CENTRO DE CUSTOS],$D$4)</f>
        <v>0</v>
      </c>
      <c r="K244" s="206">
        <f>SUMIFS(LANÇ_MOV[VALOR LÍQUIDO],LANÇ_MOV[RECEITA OU DESPESA],"Despesa",LANÇ_MOV[CONTAS],$C244,LANÇ_MOV[PLANO DE CONTAS],REL_DRE_FINANCEIRO!$B$241,LANÇ_MOV[ANO PAGAMENTO],$B$4,LANÇ_MOV[MÊS PAGAMENTO CORRESPONDENTE],K$6,LANÇ_MOV[EMPRESA],$C$4,LANÇ_MOV[CENTRO DE CUSTOS],$D$4)</f>
        <v>0</v>
      </c>
      <c r="L244" s="206">
        <f>SUMIFS(LANÇ_MOV[VALOR LÍQUIDO],LANÇ_MOV[RECEITA OU DESPESA],"Despesa",LANÇ_MOV[CONTAS],$C244,LANÇ_MOV[PLANO DE CONTAS],REL_DRE_FINANCEIRO!$B$241,LANÇ_MOV[ANO PAGAMENTO],$B$4,LANÇ_MOV[MÊS PAGAMENTO CORRESPONDENTE],L$6,LANÇ_MOV[EMPRESA],$C$4,LANÇ_MOV[CENTRO DE CUSTOS],$D$4)</f>
        <v>0</v>
      </c>
      <c r="M244" s="206">
        <f>SUMIFS(LANÇ_MOV[VALOR LÍQUIDO],LANÇ_MOV[RECEITA OU DESPESA],"Despesa",LANÇ_MOV[CONTAS],$C244,LANÇ_MOV[PLANO DE CONTAS],REL_DRE_FINANCEIRO!$B$241,LANÇ_MOV[ANO PAGAMENTO],$B$4,LANÇ_MOV[MÊS PAGAMENTO CORRESPONDENTE],M$6,LANÇ_MOV[EMPRESA],$C$4,LANÇ_MOV[CENTRO DE CUSTOS],$D$4)</f>
        <v>0</v>
      </c>
      <c r="N244" s="206">
        <f>SUMIFS(LANÇ_MOV[VALOR LÍQUIDO],LANÇ_MOV[RECEITA OU DESPESA],"Despesa",LANÇ_MOV[CONTAS],$C244,LANÇ_MOV[PLANO DE CONTAS],REL_DRE_FINANCEIRO!$B$241,LANÇ_MOV[ANO PAGAMENTO],$B$4,LANÇ_MOV[MÊS PAGAMENTO CORRESPONDENTE],N$6,LANÇ_MOV[EMPRESA],$C$4,LANÇ_MOV[CENTRO DE CUSTOS],$D$4)</f>
        <v>0</v>
      </c>
      <c r="O244" s="206">
        <f>SUMIFS(LANÇ_MOV[VALOR LÍQUIDO],LANÇ_MOV[RECEITA OU DESPESA],"Despesa",LANÇ_MOV[CONTAS],$C244,LANÇ_MOV[PLANO DE CONTAS],REL_DRE_FINANCEIRO!$B$241,LANÇ_MOV[ANO PAGAMENTO],$B$4,LANÇ_MOV[MÊS PAGAMENTO CORRESPONDENTE],O$6,LANÇ_MOV[EMPRESA],$C$4,LANÇ_MOV[CENTRO DE CUSTOS],$D$4)</f>
        <v>0</v>
      </c>
      <c r="P244" s="207">
        <f t="shared" si="43"/>
        <v>0</v>
      </c>
      <c r="Q244" s="329">
        <v>9.7999999999999993E-6</v>
      </c>
      <c r="R244" s="346">
        <f t="shared" si="44"/>
        <v>9.7999999999999993E-6</v>
      </c>
      <c r="S244" s="347" t="str">
        <f t="shared" si="45"/>
        <v>ALUGUEL</v>
      </c>
      <c r="T244" s="347">
        <f t="shared" si="46"/>
        <v>0</v>
      </c>
      <c r="U244" s="347">
        <f>HLOOKUP(Apoio!$P$12,$D$240:$P$341,X244,FALSE)+Q244</f>
        <v>9.7999999999999993E-6</v>
      </c>
      <c r="V244" s="447" t="str">
        <f t="shared" si="47"/>
        <v>ALUGUEL</v>
      </c>
      <c r="W244" s="448">
        <f>HLOOKUP(Apoio!$P$12,$D$240:$P$341,X244,FALSE)</f>
        <v>0</v>
      </c>
      <c r="X244" s="329">
        <v>5</v>
      </c>
      <c r="Y244" s="329">
        <v>3</v>
      </c>
      <c r="Z244" s="340" t="str">
        <f>VLOOKUP(LARGE($R$242:$R$341,Y244),$R$242:$S$341,2,FALSE)</f>
        <v>HONORÁRIOS ADVOCATÍCIOS</v>
      </c>
      <c r="AA244" s="340">
        <f>VLOOKUP(Z244,$S$242:$T$341,2,FALSE)</f>
        <v>1200</v>
      </c>
    </row>
    <row r="245" spans="2:27" ht="30.05" customHeight="1" x14ac:dyDescent="0.35">
      <c r="B245" s="204" t="str">
        <f>'CAD_PL_REC-DESP'!N8</f>
        <v>2.2.4</v>
      </c>
      <c r="C245" s="205" t="str">
        <f>IF('CAD_PL_REC-DESP'!O8="","-",'CAD_PL_REC-DESP'!O8)</f>
        <v xml:space="preserve">ASSESSORIA / CONSULTORIA </v>
      </c>
      <c r="D245" s="206">
        <f>SUMIFS(LANÇ_MOV[VALOR LÍQUIDO],LANÇ_MOV[RECEITA OU DESPESA],"Despesa",LANÇ_MOV[CONTAS],$C245,LANÇ_MOV[PLANO DE CONTAS],REL_DRE_FINANCEIRO!$B$241,LANÇ_MOV[ANO PAGAMENTO],$B$4,LANÇ_MOV[MÊS PAGAMENTO CORRESPONDENTE],D$6,LANÇ_MOV[EMPRESA],$C$4,LANÇ_MOV[CENTRO DE CUSTOS],$D$4)</f>
        <v>0</v>
      </c>
      <c r="E245" s="206">
        <f>SUMIFS(LANÇ_MOV[VALOR LÍQUIDO],LANÇ_MOV[RECEITA OU DESPESA],"Despesa",LANÇ_MOV[CONTAS],$C245,LANÇ_MOV[PLANO DE CONTAS],REL_DRE_FINANCEIRO!$B$241,LANÇ_MOV[ANO PAGAMENTO],$B$4,LANÇ_MOV[MÊS PAGAMENTO CORRESPONDENTE],E$6,LANÇ_MOV[EMPRESA],$C$4,LANÇ_MOV[CENTRO DE CUSTOS],$D$4)</f>
        <v>0</v>
      </c>
      <c r="F245" s="206">
        <f>SUMIFS(LANÇ_MOV[VALOR LÍQUIDO],LANÇ_MOV[RECEITA OU DESPESA],"Despesa",LANÇ_MOV[CONTAS],$C245,LANÇ_MOV[PLANO DE CONTAS],REL_DRE_FINANCEIRO!$B$241,LANÇ_MOV[ANO PAGAMENTO],$B$4,LANÇ_MOV[MÊS PAGAMENTO CORRESPONDENTE],F$6,LANÇ_MOV[EMPRESA],$C$4,LANÇ_MOV[CENTRO DE CUSTOS],$D$4)</f>
        <v>0</v>
      </c>
      <c r="G245" s="206">
        <f>SUMIFS(LANÇ_MOV[VALOR LÍQUIDO],LANÇ_MOV[RECEITA OU DESPESA],"Despesa",LANÇ_MOV[CONTAS],$C245,LANÇ_MOV[PLANO DE CONTAS],REL_DRE_FINANCEIRO!$B$241,LANÇ_MOV[ANO PAGAMENTO],$B$4,LANÇ_MOV[MÊS PAGAMENTO CORRESPONDENTE],G$6,LANÇ_MOV[EMPRESA],$C$4,LANÇ_MOV[CENTRO DE CUSTOS],$D$4)</f>
        <v>0</v>
      </c>
      <c r="H245" s="206">
        <f>SUMIFS(LANÇ_MOV[VALOR LÍQUIDO],LANÇ_MOV[RECEITA OU DESPESA],"Despesa",LANÇ_MOV[CONTAS],$C245,LANÇ_MOV[PLANO DE CONTAS],REL_DRE_FINANCEIRO!$B$241,LANÇ_MOV[ANO PAGAMENTO],$B$4,LANÇ_MOV[MÊS PAGAMENTO CORRESPONDENTE],H$6,LANÇ_MOV[EMPRESA],$C$4,LANÇ_MOV[CENTRO DE CUSTOS],$D$4)</f>
        <v>0</v>
      </c>
      <c r="I245" s="206">
        <f>SUMIFS(LANÇ_MOV[VALOR LÍQUIDO],LANÇ_MOV[RECEITA OU DESPESA],"Despesa",LANÇ_MOV[CONTAS],$C245,LANÇ_MOV[PLANO DE CONTAS],REL_DRE_FINANCEIRO!$B$241,LANÇ_MOV[ANO PAGAMENTO],$B$4,LANÇ_MOV[MÊS PAGAMENTO CORRESPONDENTE],I$6,LANÇ_MOV[EMPRESA],$C$4,LANÇ_MOV[CENTRO DE CUSTOS],$D$4)</f>
        <v>0</v>
      </c>
      <c r="J245" s="206">
        <f>SUMIFS(LANÇ_MOV[VALOR LÍQUIDO],LANÇ_MOV[RECEITA OU DESPESA],"Despesa",LANÇ_MOV[CONTAS],$C245,LANÇ_MOV[PLANO DE CONTAS],REL_DRE_FINANCEIRO!$B$241,LANÇ_MOV[ANO PAGAMENTO],$B$4,LANÇ_MOV[MÊS PAGAMENTO CORRESPONDENTE],J$6,LANÇ_MOV[EMPRESA],$C$4,LANÇ_MOV[CENTRO DE CUSTOS],$D$4)</f>
        <v>0</v>
      </c>
      <c r="K245" s="206">
        <f>SUMIFS(LANÇ_MOV[VALOR LÍQUIDO],LANÇ_MOV[RECEITA OU DESPESA],"Despesa",LANÇ_MOV[CONTAS],$C245,LANÇ_MOV[PLANO DE CONTAS],REL_DRE_FINANCEIRO!$B$241,LANÇ_MOV[ANO PAGAMENTO],$B$4,LANÇ_MOV[MÊS PAGAMENTO CORRESPONDENTE],K$6,LANÇ_MOV[EMPRESA],$C$4,LANÇ_MOV[CENTRO DE CUSTOS],$D$4)</f>
        <v>0</v>
      </c>
      <c r="L245" s="206">
        <f>SUMIFS(LANÇ_MOV[VALOR LÍQUIDO],LANÇ_MOV[RECEITA OU DESPESA],"Despesa",LANÇ_MOV[CONTAS],$C245,LANÇ_MOV[PLANO DE CONTAS],REL_DRE_FINANCEIRO!$B$241,LANÇ_MOV[ANO PAGAMENTO],$B$4,LANÇ_MOV[MÊS PAGAMENTO CORRESPONDENTE],L$6,LANÇ_MOV[EMPRESA],$C$4,LANÇ_MOV[CENTRO DE CUSTOS],$D$4)</f>
        <v>0</v>
      </c>
      <c r="M245" s="206">
        <f>SUMIFS(LANÇ_MOV[VALOR LÍQUIDO],LANÇ_MOV[RECEITA OU DESPESA],"Despesa",LANÇ_MOV[CONTAS],$C245,LANÇ_MOV[PLANO DE CONTAS],REL_DRE_FINANCEIRO!$B$241,LANÇ_MOV[ANO PAGAMENTO],$B$4,LANÇ_MOV[MÊS PAGAMENTO CORRESPONDENTE],M$6,LANÇ_MOV[EMPRESA],$C$4,LANÇ_MOV[CENTRO DE CUSTOS],$D$4)</f>
        <v>0</v>
      </c>
      <c r="N245" s="206">
        <f>SUMIFS(LANÇ_MOV[VALOR LÍQUIDO],LANÇ_MOV[RECEITA OU DESPESA],"Despesa",LANÇ_MOV[CONTAS],$C245,LANÇ_MOV[PLANO DE CONTAS],REL_DRE_FINANCEIRO!$B$241,LANÇ_MOV[ANO PAGAMENTO],$B$4,LANÇ_MOV[MÊS PAGAMENTO CORRESPONDENTE],N$6,LANÇ_MOV[EMPRESA],$C$4,LANÇ_MOV[CENTRO DE CUSTOS],$D$4)</f>
        <v>0</v>
      </c>
      <c r="O245" s="206">
        <f>SUMIFS(LANÇ_MOV[VALOR LÍQUIDO],LANÇ_MOV[RECEITA OU DESPESA],"Despesa",LANÇ_MOV[CONTAS],$C245,LANÇ_MOV[PLANO DE CONTAS],REL_DRE_FINANCEIRO!$B$241,LANÇ_MOV[ANO PAGAMENTO],$B$4,LANÇ_MOV[MÊS PAGAMENTO CORRESPONDENTE],O$6,LANÇ_MOV[EMPRESA],$C$4,LANÇ_MOV[CENTRO DE CUSTOS],$D$4)</f>
        <v>0</v>
      </c>
      <c r="P245" s="207">
        <f t="shared" si="43"/>
        <v>0</v>
      </c>
      <c r="Q245" s="329">
        <v>9.7000000000000003E-6</v>
      </c>
      <c r="R245" s="346">
        <f t="shared" si="44"/>
        <v>9.7000000000000003E-6</v>
      </c>
      <c r="S245" s="347" t="str">
        <f t="shared" si="45"/>
        <v xml:space="preserve">ASSESSORIA / CONSULTORIA </v>
      </c>
      <c r="T245" s="347">
        <f t="shared" si="46"/>
        <v>0</v>
      </c>
      <c r="U245" s="347">
        <f>HLOOKUP(Apoio!$P$12,$D$240:$P$341,X245,FALSE)+Q245</f>
        <v>9.7000000000000003E-6</v>
      </c>
      <c r="V245" s="447" t="str">
        <f t="shared" si="47"/>
        <v xml:space="preserve">ASSESSORIA / CONSULTORIA </v>
      </c>
      <c r="W245" s="448">
        <f>HLOOKUP(Apoio!$P$12,$D$240:$P$341,X245,FALSE)</f>
        <v>0</v>
      </c>
      <c r="X245" s="329">
        <v>6</v>
      </c>
      <c r="Y245" s="329">
        <v>4</v>
      </c>
      <c r="Z245" s="340" t="str">
        <f>VLOOKUP(LARGE($R$242:$R$341,Y245),$R$242:$S$341,2,FALSE)</f>
        <v>TELEFONE</v>
      </c>
      <c r="AA245" s="340">
        <f>VLOOKUP(Z245,$S$242:$T$341,2,FALSE)</f>
        <v>143.82</v>
      </c>
    </row>
    <row r="246" spans="2:27" ht="30.05" customHeight="1" x14ac:dyDescent="0.35">
      <c r="B246" s="204" t="str">
        <f>'CAD_PL_REC-DESP'!N9</f>
        <v>2.2.5</v>
      </c>
      <c r="C246" s="205" t="str">
        <f>IF('CAD_PL_REC-DESP'!O9="","-",'CAD_PL_REC-DESP'!O9)</f>
        <v>BENS DURÁVEIS DE PEQUENO VALOR</v>
      </c>
      <c r="D246" s="206">
        <f>SUMIFS(LANÇ_MOV[VALOR LÍQUIDO],LANÇ_MOV[RECEITA OU DESPESA],"Despesa",LANÇ_MOV[CONTAS],$C246,LANÇ_MOV[PLANO DE CONTAS],REL_DRE_FINANCEIRO!$B$241,LANÇ_MOV[ANO PAGAMENTO],$B$4,LANÇ_MOV[MÊS PAGAMENTO CORRESPONDENTE],D$6,LANÇ_MOV[EMPRESA],$C$4,LANÇ_MOV[CENTRO DE CUSTOS],$D$4)</f>
        <v>0</v>
      </c>
      <c r="E246" s="206">
        <f>SUMIFS(LANÇ_MOV[VALOR LÍQUIDO],LANÇ_MOV[RECEITA OU DESPESA],"Despesa",LANÇ_MOV[CONTAS],$C246,LANÇ_MOV[PLANO DE CONTAS],REL_DRE_FINANCEIRO!$B$241,LANÇ_MOV[ANO PAGAMENTO],$B$4,LANÇ_MOV[MÊS PAGAMENTO CORRESPONDENTE],E$6,LANÇ_MOV[EMPRESA],$C$4,LANÇ_MOV[CENTRO DE CUSTOS],$D$4)</f>
        <v>0</v>
      </c>
      <c r="F246" s="206">
        <f>SUMIFS(LANÇ_MOV[VALOR LÍQUIDO],LANÇ_MOV[RECEITA OU DESPESA],"Despesa",LANÇ_MOV[CONTAS],$C246,LANÇ_MOV[PLANO DE CONTAS],REL_DRE_FINANCEIRO!$B$241,LANÇ_MOV[ANO PAGAMENTO],$B$4,LANÇ_MOV[MÊS PAGAMENTO CORRESPONDENTE],F$6,LANÇ_MOV[EMPRESA],$C$4,LANÇ_MOV[CENTRO DE CUSTOS],$D$4)</f>
        <v>0</v>
      </c>
      <c r="G246" s="206">
        <f>SUMIFS(LANÇ_MOV[VALOR LÍQUIDO],LANÇ_MOV[RECEITA OU DESPESA],"Despesa",LANÇ_MOV[CONTAS],$C246,LANÇ_MOV[PLANO DE CONTAS],REL_DRE_FINANCEIRO!$B$241,LANÇ_MOV[ANO PAGAMENTO],$B$4,LANÇ_MOV[MÊS PAGAMENTO CORRESPONDENTE],G$6,LANÇ_MOV[EMPRESA],$C$4,LANÇ_MOV[CENTRO DE CUSTOS],$D$4)</f>
        <v>0</v>
      </c>
      <c r="H246" s="206">
        <f>SUMIFS(LANÇ_MOV[VALOR LÍQUIDO],LANÇ_MOV[RECEITA OU DESPESA],"Despesa",LANÇ_MOV[CONTAS],$C246,LANÇ_MOV[PLANO DE CONTAS],REL_DRE_FINANCEIRO!$B$241,LANÇ_MOV[ANO PAGAMENTO],$B$4,LANÇ_MOV[MÊS PAGAMENTO CORRESPONDENTE],H$6,LANÇ_MOV[EMPRESA],$C$4,LANÇ_MOV[CENTRO DE CUSTOS],$D$4)</f>
        <v>0</v>
      </c>
      <c r="I246" s="206">
        <f>SUMIFS(LANÇ_MOV[VALOR LÍQUIDO],LANÇ_MOV[RECEITA OU DESPESA],"Despesa",LANÇ_MOV[CONTAS],$C246,LANÇ_MOV[PLANO DE CONTAS],REL_DRE_FINANCEIRO!$B$241,LANÇ_MOV[ANO PAGAMENTO],$B$4,LANÇ_MOV[MÊS PAGAMENTO CORRESPONDENTE],I$6,LANÇ_MOV[EMPRESA],$C$4,LANÇ_MOV[CENTRO DE CUSTOS],$D$4)</f>
        <v>0</v>
      </c>
      <c r="J246" s="206">
        <f>SUMIFS(LANÇ_MOV[VALOR LÍQUIDO],LANÇ_MOV[RECEITA OU DESPESA],"Despesa",LANÇ_MOV[CONTAS],$C246,LANÇ_MOV[PLANO DE CONTAS],REL_DRE_FINANCEIRO!$B$241,LANÇ_MOV[ANO PAGAMENTO],$B$4,LANÇ_MOV[MÊS PAGAMENTO CORRESPONDENTE],J$6,LANÇ_MOV[EMPRESA],$C$4,LANÇ_MOV[CENTRO DE CUSTOS],$D$4)</f>
        <v>0</v>
      </c>
      <c r="K246" s="206">
        <f>SUMIFS(LANÇ_MOV[VALOR LÍQUIDO],LANÇ_MOV[RECEITA OU DESPESA],"Despesa",LANÇ_MOV[CONTAS],$C246,LANÇ_MOV[PLANO DE CONTAS],REL_DRE_FINANCEIRO!$B$241,LANÇ_MOV[ANO PAGAMENTO],$B$4,LANÇ_MOV[MÊS PAGAMENTO CORRESPONDENTE],K$6,LANÇ_MOV[EMPRESA],$C$4,LANÇ_MOV[CENTRO DE CUSTOS],$D$4)</f>
        <v>0</v>
      </c>
      <c r="L246" s="206">
        <f>SUMIFS(LANÇ_MOV[VALOR LÍQUIDO],LANÇ_MOV[RECEITA OU DESPESA],"Despesa",LANÇ_MOV[CONTAS],$C246,LANÇ_MOV[PLANO DE CONTAS],REL_DRE_FINANCEIRO!$B$241,LANÇ_MOV[ANO PAGAMENTO],$B$4,LANÇ_MOV[MÊS PAGAMENTO CORRESPONDENTE],L$6,LANÇ_MOV[EMPRESA],$C$4,LANÇ_MOV[CENTRO DE CUSTOS],$D$4)</f>
        <v>0</v>
      </c>
      <c r="M246" s="206">
        <f>SUMIFS(LANÇ_MOV[VALOR LÍQUIDO],LANÇ_MOV[RECEITA OU DESPESA],"Despesa",LANÇ_MOV[CONTAS],$C246,LANÇ_MOV[PLANO DE CONTAS],REL_DRE_FINANCEIRO!$B$241,LANÇ_MOV[ANO PAGAMENTO],$B$4,LANÇ_MOV[MÊS PAGAMENTO CORRESPONDENTE],M$6,LANÇ_MOV[EMPRESA],$C$4,LANÇ_MOV[CENTRO DE CUSTOS],$D$4)</f>
        <v>0</v>
      </c>
      <c r="N246" s="206">
        <f>SUMIFS(LANÇ_MOV[VALOR LÍQUIDO],LANÇ_MOV[RECEITA OU DESPESA],"Despesa",LANÇ_MOV[CONTAS],$C246,LANÇ_MOV[PLANO DE CONTAS],REL_DRE_FINANCEIRO!$B$241,LANÇ_MOV[ANO PAGAMENTO],$B$4,LANÇ_MOV[MÊS PAGAMENTO CORRESPONDENTE],N$6,LANÇ_MOV[EMPRESA],$C$4,LANÇ_MOV[CENTRO DE CUSTOS],$D$4)</f>
        <v>0</v>
      </c>
      <c r="O246" s="206">
        <f>SUMIFS(LANÇ_MOV[VALOR LÍQUIDO],LANÇ_MOV[RECEITA OU DESPESA],"Despesa",LANÇ_MOV[CONTAS],$C246,LANÇ_MOV[PLANO DE CONTAS],REL_DRE_FINANCEIRO!$B$241,LANÇ_MOV[ANO PAGAMENTO],$B$4,LANÇ_MOV[MÊS PAGAMENTO CORRESPONDENTE],O$6,LANÇ_MOV[EMPRESA],$C$4,LANÇ_MOV[CENTRO DE CUSTOS],$D$4)</f>
        <v>0</v>
      </c>
      <c r="P246" s="207">
        <f t="shared" si="43"/>
        <v>0</v>
      </c>
      <c r="Q246" s="329">
        <v>9.5999999999999996E-6</v>
      </c>
      <c r="R246" s="346">
        <f t="shared" si="44"/>
        <v>9.5999999999999996E-6</v>
      </c>
      <c r="S246" s="347" t="str">
        <f t="shared" si="45"/>
        <v>BENS DURÁVEIS DE PEQUENO VALOR</v>
      </c>
      <c r="T246" s="347">
        <f t="shared" si="46"/>
        <v>0</v>
      </c>
      <c r="U246" s="347">
        <f>HLOOKUP(Apoio!$P$12,$D$240:$P$341,X246,FALSE)+Q246</f>
        <v>9.5999999999999996E-6</v>
      </c>
      <c r="V246" s="447" t="str">
        <f t="shared" si="47"/>
        <v>BENS DURÁVEIS DE PEQUENO VALOR</v>
      </c>
      <c r="W246" s="448">
        <f>HLOOKUP(Apoio!$P$12,$D$240:$P$341,X246,FALSE)</f>
        <v>0</v>
      </c>
      <c r="X246" s="329">
        <v>7</v>
      </c>
      <c r="Y246" s="329">
        <v>5</v>
      </c>
      <c r="Z246" s="340" t="str">
        <f>VLOOKUP(LARGE($R$242:$R$341,Y246),$R$242:$S$341,2,FALSE)</f>
        <v xml:space="preserve">MATERIAL ESCRITORIO </v>
      </c>
      <c r="AA246" s="340">
        <f>VLOOKUP(Z246,$S$242:$T$341,2,FALSE)</f>
        <v>22</v>
      </c>
    </row>
    <row r="247" spans="2:27" ht="30.05" customHeight="1" x14ac:dyDescent="0.35">
      <c r="B247" s="204" t="str">
        <f>'CAD_PL_REC-DESP'!N10</f>
        <v>2.2.6</v>
      </c>
      <c r="C247" s="205" t="str">
        <f>IF('CAD_PL_REC-DESP'!O10="","-",'CAD_PL_REC-DESP'!O10)</f>
        <v>CARTÓRIO</v>
      </c>
      <c r="D247" s="206">
        <f>SUMIFS(LANÇ_MOV[VALOR LÍQUIDO],LANÇ_MOV[RECEITA OU DESPESA],"Despesa",LANÇ_MOV[CONTAS],$C247,LANÇ_MOV[PLANO DE CONTAS],REL_DRE_FINANCEIRO!$B$241,LANÇ_MOV[ANO PAGAMENTO],$B$4,LANÇ_MOV[MÊS PAGAMENTO CORRESPONDENTE],D$6,LANÇ_MOV[EMPRESA],$C$4,LANÇ_MOV[CENTRO DE CUSTOS],$D$4)</f>
        <v>0</v>
      </c>
      <c r="E247" s="206">
        <f>SUMIFS(LANÇ_MOV[VALOR LÍQUIDO],LANÇ_MOV[RECEITA OU DESPESA],"Despesa",LANÇ_MOV[CONTAS],$C247,LANÇ_MOV[PLANO DE CONTAS],REL_DRE_FINANCEIRO!$B$241,LANÇ_MOV[ANO PAGAMENTO],$B$4,LANÇ_MOV[MÊS PAGAMENTO CORRESPONDENTE],E$6,LANÇ_MOV[EMPRESA],$C$4,LANÇ_MOV[CENTRO DE CUSTOS],$D$4)</f>
        <v>0</v>
      </c>
      <c r="F247" s="206">
        <f>SUMIFS(LANÇ_MOV[VALOR LÍQUIDO],LANÇ_MOV[RECEITA OU DESPESA],"Despesa",LANÇ_MOV[CONTAS],$C247,LANÇ_MOV[PLANO DE CONTAS],REL_DRE_FINANCEIRO!$B$241,LANÇ_MOV[ANO PAGAMENTO],$B$4,LANÇ_MOV[MÊS PAGAMENTO CORRESPONDENTE],F$6,LANÇ_MOV[EMPRESA],$C$4,LANÇ_MOV[CENTRO DE CUSTOS],$D$4)</f>
        <v>0</v>
      </c>
      <c r="G247" s="206">
        <f>SUMIFS(LANÇ_MOV[VALOR LÍQUIDO],LANÇ_MOV[RECEITA OU DESPESA],"Despesa",LANÇ_MOV[CONTAS],$C247,LANÇ_MOV[PLANO DE CONTAS],REL_DRE_FINANCEIRO!$B$241,LANÇ_MOV[ANO PAGAMENTO],$B$4,LANÇ_MOV[MÊS PAGAMENTO CORRESPONDENTE],G$6,LANÇ_MOV[EMPRESA],$C$4,LANÇ_MOV[CENTRO DE CUSTOS],$D$4)</f>
        <v>0</v>
      </c>
      <c r="H247" s="206">
        <f>SUMIFS(LANÇ_MOV[VALOR LÍQUIDO],LANÇ_MOV[RECEITA OU DESPESA],"Despesa",LANÇ_MOV[CONTAS],$C247,LANÇ_MOV[PLANO DE CONTAS],REL_DRE_FINANCEIRO!$B$241,LANÇ_MOV[ANO PAGAMENTO],$B$4,LANÇ_MOV[MÊS PAGAMENTO CORRESPONDENTE],H$6,LANÇ_MOV[EMPRESA],$C$4,LANÇ_MOV[CENTRO DE CUSTOS],$D$4)</f>
        <v>0</v>
      </c>
      <c r="I247" s="206">
        <f>SUMIFS(LANÇ_MOV[VALOR LÍQUIDO],LANÇ_MOV[RECEITA OU DESPESA],"Despesa",LANÇ_MOV[CONTAS],$C247,LANÇ_MOV[PLANO DE CONTAS],REL_DRE_FINANCEIRO!$B$241,LANÇ_MOV[ANO PAGAMENTO],$B$4,LANÇ_MOV[MÊS PAGAMENTO CORRESPONDENTE],I$6,LANÇ_MOV[EMPRESA],$C$4,LANÇ_MOV[CENTRO DE CUSTOS],$D$4)</f>
        <v>0</v>
      </c>
      <c r="J247" s="206">
        <f>SUMIFS(LANÇ_MOV[VALOR LÍQUIDO],LANÇ_MOV[RECEITA OU DESPESA],"Despesa",LANÇ_MOV[CONTAS],$C247,LANÇ_MOV[PLANO DE CONTAS],REL_DRE_FINANCEIRO!$B$241,LANÇ_MOV[ANO PAGAMENTO],$B$4,LANÇ_MOV[MÊS PAGAMENTO CORRESPONDENTE],J$6,LANÇ_MOV[EMPRESA],$C$4,LANÇ_MOV[CENTRO DE CUSTOS],$D$4)</f>
        <v>0</v>
      </c>
      <c r="K247" s="206">
        <f>SUMIFS(LANÇ_MOV[VALOR LÍQUIDO],LANÇ_MOV[RECEITA OU DESPESA],"Despesa",LANÇ_MOV[CONTAS],$C247,LANÇ_MOV[PLANO DE CONTAS],REL_DRE_FINANCEIRO!$B$241,LANÇ_MOV[ANO PAGAMENTO],$B$4,LANÇ_MOV[MÊS PAGAMENTO CORRESPONDENTE],K$6,LANÇ_MOV[EMPRESA],$C$4,LANÇ_MOV[CENTRO DE CUSTOS],$D$4)</f>
        <v>0</v>
      </c>
      <c r="L247" s="206">
        <f>SUMIFS(LANÇ_MOV[VALOR LÍQUIDO],LANÇ_MOV[RECEITA OU DESPESA],"Despesa",LANÇ_MOV[CONTAS],$C247,LANÇ_MOV[PLANO DE CONTAS],REL_DRE_FINANCEIRO!$B$241,LANÇ_MOV[ANO PAGAMENTO],$B$4,LANÇ_MOV[MÊS PAGAMENTO CORRESPONDENTE],L$6,LANÇ_MOV[EMPRESA],$C$4,LANÇ_MOV[CENTRO DE CUSTOS],$D$4)</f>
        <v>0</v>
      </c>
      <c r="M247" s="206">
        <f>SUMIFS(LANÇ_MOV[VALOR LÍQUIDO],LANÇ_MOV[RECEITA OU DESPESA],"Despesa",LANÇ_MOV[CONTAS],$C247,LANÇ_MOV[PLANO DE CONTAS],REL_DRE_FINANCEIRO!$B$241,LANÇ_MOV[ANO PAGAMENTO],$B$4,LANÇ_MOV[MÊS PAGAMENTO CORRESPONDENTE],M$6,LANÇ_MOV[EMPRESA],$C$4,LANÇ_MOV[CENTRO DE CUSTOS],$D$4)</f>
        <v>0</v>
      </c>
      <c r="N247" s="206">
        <f>SUMIFS(LANÇ_MOV[VALOR LÍQUIDO],LANÇ_MOV[RECEITA OU DESPESA],"Despesa",LANÇ_MOV[CONTAS],$C247,LANÇ_MOV[PLANO DE CONTAS],REL_DRE_FINANCEIRO!$B$241,LANÇ_MOV[ANO PAGAMENTO],$B$4,LANÇ_MOV[MÊS PAGAMENTO CORRESPONDENTE],N$6,LANÇ_MOV[EMPRESA],$C$4,LANÇ_MOV[CENTRO DE CUSTOS],$D$4)</f>
        <v>0</v>
      </c>
      <c r="O247" s="206">
        <f>SUMIFS(LANÇ_MOV[VALOR LÍQUIDO],LANÇ_MOV[RECEITA OU DESPESA],"Despesa",LANÇ_MOV[CONTAS],$C247,LANÇ_MOV[PLANO DE CONTAS],REL_DRE_FINANCEIRO!$B$241,LANÇ_MOV[ANO PAGAMENTO],$B$4,LANÇ_MOV[MÊS PAGAMENTO CORRESPONDENTE],O$6,LANÇ_MOV[EMPRESA],$C$4,LANÇ_MOV[CENTRO DE CUSTOS],$D$4)</f>
        <v>0</v>
      </c>
      <c r="P247" s="207">
        <f t="shared" si="43"/>
        <v>0</v>
      </c>
      <c r="Q247" s="329">
        <v>9.5000000000000005E-6</v>
      </c>
      <c r="R247" s="346">
        <f t="shared" si="44"/>
        <v>9.5000000000000005E-6</v>
      </c>
      <c r="S247" s="347" t="str">
        <f t="shared" si="45"/>
        <v>CARTÓRIO</v>
      </c>
      <c r="T247" s="347">
        <f t="shared" si="46"/>
        <v>0</v>
      </c>
      <c r="U247" s="347">
        <f>HLOOKUP(Apoio!$P$12,$D$240:$P$341,X247,FALSE)+Q247</f>
        <v>9.5000000000000005E-6</v>
      </c>
      <c r="V247" s="447" t="str">
        <f t="shared" si="47"/>
        <v>CARTÓRIO</v>
      </c>
      <c r="W247" s="448">
        <f>HLOOKUP(Apoio!$P$12,$D$240:$P$341,X247,FALSE)</f>
        <v>0</v>
      </c>
      <c r="X247" s="329">
        <v>8</v>
      </c>
      <c r="Z247" s="340" t="s">
        <v>1121</v>
      </c>
      <c r="AA247" s="340" t="s">
        <v>1123</v>
      </c>
    </row>
    <row r="248" spans="2:27" ht="30.05" customHeight="1" x14ac:dyDescent="0.35">
      <c r="B248" s="204" t="str">
        <f>'CAD_PL_REC-DESP'!N11</f>
        <v>2.2.7</v>
      </c>
      <c r="C248" s="205" t="str">
        <f>IF('CAD_PL_REC-DESP'!O11="","-",'CAD_PL_REC-DESP'!O11)</f>
        <v>CERTIDÃO SIMPLIFICADA</v>
      </c>
      <c r="D248" s="206">
        <f>SUMIFS(LANÇ_MOV[VALOR LÍQUIDO],LANÇ_MOV[RECEITA OU DESPESA],"Despesa",LANÇ_MOV[CONTAS],$C248,LANÇ_MOV[PLANO DE CONTAS],REL_DRE_FINANCEIRO!$B$241,LANÇ_MOV[ANO PAGAMENTO],$B$4,LANÇ_MOV[MÊS PAGAMENTO CORRESPONDENTE],D$6,LANÇ_MOV[EMPRESA],$C$4,LANÇ_MOV[CENTRO DE CUSTOS],$D$4)</f>
        <v>0</v>
      </c>
      <c r="E248" s="206">
        <f>SUMIFS(LANÇ_MOV[VALOR LÍQUIDO],LANÇ_MOV[RECEITA OU DESPESA],"Despesa",LANÇ_MOV[CONTAS],$C248,LANÇ_MOV[PLANO DE CONTAS],REL_DRE_FINANCEIRO!$B$241,LANÇ_MOV[ANO PAGAMENTO],$B$4,LANÇ_MOV[MÊS PAGAMENTO CORRESPONDENTE],E$6,LANÇ_MOV[EMPRESA],$C$4,LANÇ_MOV[CENTRO DE CUSTOS],$D$4)</f>
        <v>0</v>
      </c>
      <c r="F248" s="206">
        <f>SUMIFS(LANÇ_MOV[VALOR LÍQUIDO],LANÇ_MOV[RECEITA OU DESPESA],"Despesa",LANÇ_MOV[CONTAS],$C248,LANÇ_MOV[PLANO DE CONTAS],REL_DRE_FINANCEIRO!$B$241,LANÇ_MOV[ANO PAGAMENTO],$B$4,LANÇ_MOV[MÊS PAGAMENTO CORRESPONDENTE],F$6,LANÇ_MOV[EMPRESA],$C$4,LANÇ_MOV[CENTRO DE CUSTOS],$D$4)</f>
        <v>0</v>
      </c>
      <c r="G248" s="206">
        <f>SUMIFS(LANÇ_MOV[VALOR LÍQUIDO],LANÇ_MOV[RECEITA OU DESPESA],"Despesa",LANÇ_MOV[CONTAS],$C248,LANÇ_MOV[PLANO DE CONTAS],REL_DRE_FINANCEIRO!$B$241,LANÇ_MOV[ANO PAGAMENTO],$B$4,LANÇ_MOV[MÊS PAGAMENTO CORRESPONDENTE],G$6,LANÇ_MOV[EMPRESA],$C$4,LANÇ_MOV[CENTRO DE CUSTOS],$D$4)</f>
        <v>0</v>
      </c>
      <c r="H248" s="206">
        <f>SUMIFS(LANÇ_MOV[VALOR LÍQUIDO],LANÇ_MOV[RECEITA OU DESPESA],"Despesa",LANÇ_MOV[CONTAS],$C248,LANÇ_MOV[PLANO DE CONTAS],REL_DRE_FINANCEIRO!$B$241,LANÇ_MOV[ANO PAGAMENTO],$B$4,LANÇ_MOV[MÊS PAGAMENTO CORRESPONDENTE],H$6,LANÇ_MOV[EMPRESA],$C$4,LANÇ_MOV[CENTRO DE CUSTOS],$D$4)</f>
        <v>0</v>
      </c>
      <c r="I248" s="206">
        <f>SUMIFS(LANÇ_MOV[VALOR LÍQUIDO],LANÇ_MOV[RECEITA OU DESPESA],"Despesa",LANÇ_MOV[CONTAS],$C248,LANÇ_MOV[PLANO DE CONTAS],REL_DRE_FINANCEIRO!$B$241,LANÇ_MOV[ANO PAGAMENTO],$B$4,LANÇ_MOV[MÊS PAGAMENTO CORRESPONDENTE],I$6,LANÇ_MOV[EMPRESA],$C$4,LANÇ_MOV[CENTRO DE CUSTOS],$D$4)</f>
        <v>0</v>
      </c>
      <c r="J248" s="206">
        <f>SUMIFS(LANÇ_MOV[VALOR LÍQUIDO],LANÇ_MOV[RECEITA OU DESPESA],"Despesa",LANÇ_MOV[CONTAS],$C248,LANÇ_MOV[PLANO DE CONTAS],REL_DRE_FINANCEIRO!$B$241,LANÇ_MOV[ANO PAGAMENTO],$B$4,LANÇ_MOV[MÊS PAGAMENTO CORRESPONDENTE],J$6,LANÇ_MOV[EMPRESA],$C$4,LANÇ_MOV[CENTRO DE CUSTOS],$D$4)</f>
        <v>0</v>
      </c>
      <c r="K248" s="206">
        <f>SUMIFS(LANÇ_MOV[VALOR LÍQUIDO],LANÇ_MOV[RECEITA OU DESPESA],"Despesa",LANÇ_MOV[CONTAS],$C248,LANÇ_MOV[PLANO DE CONTAS],REL_DRE_FINANCEIRO!$B$241,LANÇ_MOV[ANO PAGAMENTO],$B$4,LANÇ_MOV[MÊS PAGAMENTO CORRESPONDENTE],K$6,LANÇ_MOV[EMPRESA],$C$4,LANÇ_MOV[CENTRO DE CUSTOS],$D$4)</f>
        <v>0</v>
      </c>
      <c r="L248" s="206">
        <f>SUMIFS(LANÇ_MOV[VALOR LÍQUIDO],LANÇ_MOV[RECEITA OU DESPESA],"Despesa",LANÇ_MOV[CONTAS],$C248,LANÇ_MOV[PLANO DE CONTAS],REL_DRE_FINANCEIRO!$B$241,LANÇ_MOV[ANO PAGAMENTO],$B$4,LANÇ_MOV[MÊS PAGAMENTO CORRESPONDENTE],L$6,LANÇ_MOV[EMPRESA],$C$4,LANÇ_MOV[CENTRO DE CUSTOS],$D$4)</f>
        <v>0</v>
      </c>
      <c r="M248" s="206">
        <f>SUMIFS(LANÇ_MOV[VALOR LÍQUIDO],LANÇ_MOV[RECEITA OU DESPESA],"Despesa",LANÇ_MOV[CONTAS],$C248,LANÇ_MOV[PLANO DE CONTAS],REL_DRE_FINANCEIRO!$B$241,LANÇ_MOV[ANO PAGAMENTO],$B$4,LANÇ_MOV[MÊS PAGAMENTO CORRESPONDENTE],M$6,LANÇ_MOV[EMPRESA],$C$4,LANÇ_MOV[CENTRO DE CUSTOS],$D$4)</f>
        <v>0</v>
      </c>
      <c r="N248" s="206">
        <f>SUMIFS(LANÇ_MOV[VALOR LÍQUIDO],LANÇ_MOV[RECEITA OU DESPESA],"Despesa",LANÇ_MOV[CONTAS],$C248,LANÇ_MOV[PLANO DE CONTAS],REL_DRE_FINANCEIRO!$B$241,LANÇ_MOV[ANO PAGAMENTO],$B$4,LANÇ_MOV[MÊS PAGAMENTO CORRESPONDENTE],N$6,LANÇ_MOV[EMPRESA],$C$4,LANÇ_MOV[CENTRO DE CUSTOS],$D$4)</f>
        <v>0</v>
      </c>
      <c r="O248" s="206">
        <f>SUMIFS(LANÇ_MOV[VALOR LÍQUIDO],LANÇ_MOV[RECEITA OU DESPESA],"Despesa",LANÇ_MOV[CONTAS],$C248,LANÇ_MOV[PLANO DE CONTAS],REL_DRE_FINANCEIRO!$B$241,LANÇ_MOV[ANO PAGAMENTO],$B$4,LANÇ_MOV[MÊS PAGAMENTO CORRESPONDENTE],O$6,LANÇ_MOV[EMPRESA],$C$4,LANÇ_MOV[CENTRO DE CUSTOS],$D$4)</f>
        <v>0</v>
      </c>
      <c r="P248" s="207">
        <f t="shared" si="43"/>
        <v>0</v>
      </c>
      <c r="Q248" s="329">
        <v>9.3999999999999998E-6</v>
      </c>
      <c r="R248" s="346">
        <f t="shared" si="44"/>
        <v>9.3999999999999998E-6</v>
      </c>
      <c r="S248" s="347" t="str">
        <f t="shared" si="45"/>
        <v>CERTIDÃO SIMPLIFICADA</v>
      </c>
      <c r="T248" s="347">
        <f t="shared" si="46"/>
        <v>0</v>
      </c>
      <c r="U248" s="347">
        <f>HLOOKUP(Apoio!$P$12,$D$240:$P$341,X248,FALSE)+Q248</f>
        <v>9.3999999999999998E-6</v>
      </c>
      <c r="V248" s="447" t="str">
        <f t="shared" si="47"/>
        <v>CERTIDÃO SIMPLIFICADA</v>
      </c>
      <c r="W248" s="448">
        <f>HLOOKUP(Apoio!$P$12,$D$240:$P$341,X248,FALSE)</f>
        <v>0</v>
      </c>
      <c r="X248" s="329">
        <v>9</v>
      </c>
      <c r="Y248" s="329">
        <v>1</v>
      </c>
      <c r="Z248" s="340" t="str">
        <f>VLOOKUP(LARGE($U$242:$U$341,Y248),$U$242:$V$341,2,FALSE)</f>
        <v>OUTRAS DESPESAS ADMINISTRATIVAS</v>
      </c>
      <c r="AA248" s="340">
        <f>VLOOKUP(Z248,$V$242:$W$341,2,FALSE)</f>
        <v>11158.75</v>
      </c>
    </row>
    <row r="249" spans="2:27" ht="30.05" customHeight="1" x14ac:dyDescent="0.35">
      <c r="B249" s="204" t="str">
        <f>'CAD_PL_REC-DESP'!N12</f>
        <v>2.2.8</v>
      </c>
      <c r="C249" s="205" t="str">
        <f>IF('CAD_PL_REC-DESP'!O12="","-",'CAD_PL_REC-DESP'!O12)</f>
        <v>CERTIFICADO DIGITAL</v>
      </c>
      <c r="D249" s="206">
        <f>SUMIFS(LANÇ_MOV[VALOR LÍQUIDO],LANÇ_MOV[RECEITA OU DESPESA],"Despesa",LANÇ_MOV[CONTAS],$C249,LANÇ_MOV[PLANO DE CONTAS],REL_DRE_FINANCEIRO!$B$241,LANÇ_MOV[ANO PAGAMENTO],$B$4,LANÇ_MOV[MÊS PAGAMENTO CORRESPONDENTE],D$6,LANÇ_MOV[EMPRESA],$C$4,LANÇ_MOV[CENTRO DE CUSTOS],$D$4)</f>
        <v>0</v>
      </c>
      <c r="E249" s="206">
        <f>SUMIFS(LANÇ_MOV[VALOR LÍQUIDO],LANÇ_MOV[RECEITA OU DESPESA],"Despesa",LANÇ_MOV[CONTAS],$C249,LANÇ_MOV[PLANO DE CONTAS],REL_DRE_FINANCEIRO!$B$241,LANÇ_MOV[ANO PAGAMENTO],$B$4,LANÇ_MOV[MÊS PAGAMENTO CORRESPONDENTE],E$6,LANÇ_MOV[EMPRESA],$C$4,LANÇ_MOV[CENTRO DE CUSTOS],$D$4)</f>
        <v>0</v>
      </c>
      <c r="F249" s="206">
        <f>SUMIFS(LANÇ_MOV[VALOR LÍQUIDO],LANÇ_MOV[RECEITA OU DESPESA],"Despesa",LANÇ_MOV[CONTAS],$C249,LANÇ_MOV[PLANO DE CONTAS],REL_DRE_FINANCEIRO!$B$241,LANÇ_MOV[ANO PAGAMENTO],$B$4,LANÇ_MOV[MÊS PAGAMENTO CORRESPONDENTE],F$6,LANÇ_MOV[EMPRESA],$C$4,LANÇ_MOV[CENTRO DE CUSTOS],$D$4)</f>
        <v>0</v>
      </c>
      <c r="G249" s="206">
        <f>SUMIFS(LANÇ_MOV[VALOR LÍQUIDO],LANÇ_MOV[RECEITA OU DESPESA],"Despesa",LANÇ_MOV[CONTAS],$C249,LANÇ_MOV[PLANO DE CONTAS],REL_DRE_FINANCEIRO!$B$241,LANÇ_MOV[ANO PAGAMENTO],$B$4,LANÇ_MOV[MÊS PAGAMENTO CORRESPONDENTE],G$6,LANÇ_MOV[EMPRESA],$C$4,LANÇ_MOV[CENTRO DE CUSTOS],$D$4)</f>
        <v>0</v>
      </c>
      <c r="H249" s="206">
        <f>SUMIFS(LANÇ_MOV[VALOR LÍQUIDO],LANÇ_MOV[RECEITA OU DESPESA],"Despesa",LANÇ_MOV[CONTAS],$C249,LANÇ_MOV[PLANO DE CONTAS],REL_DRE_FINANCEIRO!$B$241,LANÇ_MOV[ANO PAGAMENTO],$B$4,LANÇ_MOV[MÊS PAGAMENTO CORRESPONDENTE],H$6,LANÇ_MOV[EMPRESA],$C$4,LANÇ_MOV[CENTRO DE CUSTOS],$D$4)</f>
        <v>0</v>
      </c>
      <c r="I249" s="206">
        <f>SUMIFS(LANÇ_MOV[VALOR LÍQUIDO],LANÇ_MOV[RECEITA OU DESPESA],"Despesa",LANÇ_MOV[CONTAS],$C249,LANÇ_MOV[PLANO DE CONTAS],REL_DRE_FINANCEIRO!$B$241,LANÇ_MOV[ANO PAGAMENTO],$B$4,LANÇ_MOV[MÊS PAGAMENTO CORRESPONDENTE],I$6,LANÇ_MOV[EMPRESA],$C$4,LANÇ_MOV[CENTRO DE CUSTOS],$D$4)</f>
        <v>0</v>
      </c>
      <c r="J249" s="206">
        <f>SUMIFS(LANÇ_MOV[VALOR LÍQUIDO],LANÇ_MOV[RECEITA OU DESPESA],"Despesa",LANÇ_MOV[CONTAS],$C249,LANÇ_MOV[PLANO DE CONTAS],REL_DRE_FINANCEIRO!$B$241,LANÇ_MOV[ANO PAGAMENTO],$B$4,LANÇ_MOV[MÊS PAGAMENTO CORRESPONDENTE],J$6,LANÇ_MOV[EMPRESA],$C$4,LANÇ_MOV[CENTRO DE CUSTOS],$D$4)</f>
        <v>0</v>
      </c>
      <c r="K249" s="206">
        <f>SUMIFS(LANÇ_MOV[VALOR LÍQUIDO],LANÇ_MOV[RECEITA OU DESPESA],"Despesa",LANÇ_MOV[CONTAS],$C249,LANÇ_MOV[PLANO DE CONTAS],REL_DRE_FINANCEIRO!$B$241,LANÇ_MOV[ANO PAGAMENTO],$B$4,LANÇ_MOV[MÊS PAGAMENTO CORRESPONDENTE],K$6,LANÇ_MOV[EMPRESA],$C$4,LANÇ_MOV[CENTRO DE CUSTOS],$D$4)</f>
        <v>0</v>
      </c>
      <c r="L249" s="206">
        <f>SUMIFS(LANÇ_MOV[VALOR LÍQUIDO],LANÇ_MOV[RECEITA OU DESPESA],"Despesa",LANÇ_MOV[CONTAS],$C249,LANÇ_MOV[PLANO DE CONTAS],REL_DRE_FINANCEIRO!$B$241,LANÇ_MOV[ANO PAGAMENTO],$B$4,LANÇ_MOV[MÊS PAGAMENTO CORRESPONDENTE],L$6,LANÇ_MOV[EMPRESA],$C$4,LANÇ_MOV[CENTRO DE CUSTOS],$D$4)</f>
        <v>0</v>
      </c>
      <c r="M249" s="206">
        <f>SUMIFS(LANÇ_MOV[VALOR LÍQUIDO],LANÇ_MOV[RECEITA OU DESPESA],"Despesa",LANÇ_MOV[CONTAS],$C249,LANÇ_MOV[PLANO DE CONTAS],REL_DRE_FINANCEIRO!$B$241,LANÇ_MOV[ANO PAGAMENTO],$B$4,LANÇ_MOV[MÊS PAGAMENTO CORRESPONDENTE],M$6,LANÇ_MOV[EMPRESA],$C$4,LANÇ_MOV[CENTRO DE CUSTOS],$D$4)</f>
        <v>0</v>
      </c>
      <c r="N249" s="206">
        <f>SUMIFS(LANÇ_MOV[VALOR LÍQUIDO],LANÇ_MOV[RECEITA OU DESPESA],"Despesa",LANÇ_MOV[CONTAS],$C249,LANÇ_MOV[PLANO DE CONTAS],REL_DRE_FINANCEIRO!$B$241,LANÇ_MOV[ANO PAGAMENTO],$B$4,LANÇ_MOV[MÊS PAGAMENTO CORRESPONDENTE],N$6,LANÇ_MOV[EMPRESA],$C$4,LANÇ_MOV[CENTRO DE CUSTOS],$D$4)</f>
        <v>0</v>
      </c>
      <c r="O249" s="206">
        <f>SUMIFS(LANÇ_MOV[VALOR LÍQUIDO],LANÇ_MOV[RECEITA OU DESPESA],"Despesa",LANÇ_MOV[CONTAS],$C249,LANÇ_MOV[PLANO DE CONTAS],REL_DRE_FINANCEIRO!$B$241,LANÇ_MOV[ANO PAGAMENTO],$B$4,LANÇ_MOV[MÊS PAGAMENTO CORRESPONDENTE],O$6,LANÇ_MOV[EMPRESA],$C$4,LANÇ_MOV[CENTRO DE CUSTOS],$D$4)</f>
        <v>0</v>
      </c>
      <c r="P249" s="207">
        <f t="shared" si="43"/>
        <v>0</v>
      </c>
      <c r="Q249" s="329">
        <v>9.3000000000000007E-6</v>
      </c>
      <c r="R249" s="346">
        <f t="shared" si="44"/>
        <v>9.3000000000000007E-6</v>
      </c>
      <c r="S249" s="347" t="str">
        <f t="shared" si="45"/>
        <v>CERTIFICADO DIGITAL</v>
      </c>
      <c r="T249" s="347">
        <f t="shared" si="46"/>
        <v>0</v>
      </c>
      <c r="U249" s="347">
        <f>HLOOKUP(Apoio!$P$12,$D$240:$P$341,X249,FALSE)+Q249</f>
        <v>9.3000000000000007E-6</v>
      </c>
      <c r="V249" s="447" t="str">
        <f t="shared" si="47"/>
        <v>CERTIFICADO DIGITAL</v>
      </c>
      <c r="W249" s="448">
        <f>HLOOKUP(Apoio!$P$12,$D$240:$P$341,X249,FALSE)</f>
        <v>0</v>
      </c>
      <c r="X249" s="329">
        <v>10</v>
      </c>
      <c r="Y249" s="329">
        <v>2</v>
      </c>
      <c r="Z249" s="340" t="str">
        <f>VLOOKUP(LARGE($U$242:$U$341,Y249),$U$242:$V$341,2,FALSE)</f>
        <v>CONTADOR</v>
      </c>
      <c r="AA249" s="340">
        <f>VLOOKUP(Z249,$V$242:$W$341,2,FALSE)</f>
        <v>2600</v>
      </c>
    </row>
    <row r="250" spans="2:27" ht="30.05" customHeight="1" x14ac:dyDescent="0.35">
      <c r="B250" s="204" t="str">
        <f>'CAD_PL_REC-DESP'!N13</f>
        <v>2.2.9</v>
      </c>
      <c r="C250" s="205" t="str">
        <f>IF('CAD_PL_REC-DESP'!O13="","-",'CAD_PL_REC-DESP'!O13)</f>
        <v>COMBUSTÍVEL</v>
      </c>
      <c r="D250" s="206">
        <f>SUMIFS(LANÇ_MOV[VALOR LÍQUIDO],LANÇ_MOV[RECEITA OU DESPESA],"Despesa",LANÇ_MOV[CONTAS],$C250,LANÇ_MOV[PLANO DE CONTAS],REL_DRE_FINANCEIRO!$B$241,LANÇ_MOV[ANO PAGAMENTO],$B$4,LANÇ_MOV[MÊS PAGAMENTO CORRESPONDENTE],D$6,LANÇ_MOV[EMPRESA],$C$4,LANÇ_MOV[CENTRO DE CUSTOS],$D$4)</f>
        <v>0</v>
      </c>
      <c r="E250" s="206">
        <f>SUMIFS(LANÇ_MOV[VALOR LÍQUIDO],LANÇ_MOV[RECEITA OU DESPESA],"Despesa",LANÇ_MOV[CONTAS],$C250,LANÇ_MOV[PLANO DE CONTAS],REL_DRE_FINANCEIRO!$B$241,LANÇ_MOV[ANO PAGAMENTO],$B$4,LANÇ_MOV[MÊS PAGAMENTO CORRESPONDENTE],E$6,LANÇ_MOV[EMPRESA],$C$4,LANÇ_MOV[CENTRO DE CUSTOS],$D$4)</f>
        <v>0</v>
      </c>
      <c r="F250" s="206">
        <f>SUMIFS(LANÇ_MOV[VALOR LÍQUIDO],LANÇ_MOV[RECEITA OU DESPESA],"Despesa",LANÇ_MOV[CONTAS],$C250,LANÇ_MOV[PLANO DE CONTAS],REL_DRE_FINANCEIRO!$B$241,LANÇ_MOV[ANO PAGAMENTO],$B$4,LANÇ_MOV[MÊS PAGAMENTO CORRESPONDENTE],F$6,LANÇ_MOV[EMPRESA],$C$4,LANÇ_MOV[CENTRO DE CUSTOS],$D$4)</f>
        <v>0</v>
      </c>
      <c r="G250" s="206">
        <f>SUMIFS(LANÇ_MOV[VALOR LÍQUIDO],LANÇ_MOV[RECEITA OU DESPESA],"Despesa",LANÇ_MOV[CONTAS],$C250,LANÇ_MOV[PLANO DE CONTAS],REL_DRE_FINANCEIRO!$B$241,LANÇ_MOV[ANO PAGAMENTO],$B$4,LANÇ_MOV[MÊS PAGAMENTO CORRESPONDENTE],G$6,LANÇ_MOV[EMPRESA],$C$4,LANÇ_MOV[CENTRO DE CUSTOS],$D$4)</f>
        <v>0</v>
      </c>
      <c r="H250" s="206">
        <f>SUMIFS(LANÇ_MOV[VALOR LÍQUIDO],LANÇ_MOV[RECEITA OU DESPESA],"Despesa",LANÇ_MOV[CONTAS],$C250,LANÇ_MOV[PLANO DE CONTAS],REL_DRE_FINANCEIRO!$B$241,LANÇ_MOV[ANO PAGAMENTO],$B$4,LANÇ_MOV[MÊS PAGAMENTO CORRESPONDENTE],H$6,LANÇ_MOV[EMPRESA],$C$4,LANÇ_MOV[CENTRO DE CUSTOS],$D$4)</f>
        <v>0</v>
      </c>
      <c r="I250" s="206">
        <f>SUMIFS(LANÇ_MOV[VALOR LÍQUIDO],LANÇ_MOV[RECEITA OU DESPESA],"Despesa",LANÇ_MOV[CONTAS],$C250,LANÇ_MOV[PLANO DE CONTAS],REL_DRE_FINANCEIRO!$B$241,LANÇ_MOV[ANO PAGAMENTO],$B$4,LANÇ_MOV[MÊS PAGAMENTO CORRESPONDENTE],I$6,LANÇ_MOV[EMPRESA],$C$4,LANÇ_MOV[CENTRO DE CUSTOS],$D$4)</f>
        <v>0</v>
      </c>
      <c r="J250" s="206">
        <f>SUMIFS(LANÇ_MOV[VALOR LÍQUIDO],LANÇ_MOV[RECEITA OU DESPESA],"Despesa",LANÇ_MOV[CONTAS],$C250,LANÇ_MOV[PLANO DE CONTAS],REL_DRE_FINANCEIRO!$B$241,LANÇ_MOV[ANO PAGAMENTO],$B$4,LANÇ_MOV[MÊS PAGAMENTO CORRESPONDENTE],J$6,LANÇ_MOV[EMPRESA],$C$4,LANÇ_MOV[CENTRO DE CUSTOS],$D$4)</f>
        <v>0</v>
      </c>
      <c r="K250" s="206">
        <f>SUMIFS(LANÇ_MOV[VALOR LÍQUIDO],LANÇ_MOV[RECEITA OU DESPESA],"Despesa",LANÇ_MOV[CONTAS],$C250,LANÇ_MOV[PLANO DE CONTAS],REL_DRE_FINANCEIRO!$B$241,LANÇ_MOV[ANO PAGAMENTO],$B$4,LANÇ_MOV[MÊS PAGAMENTO CORRESPONDENTE],K$6,LANÇ_MOV[EMPRESA],$C$4,LANÇ_MOV[CENTRO DE CUSTOS],$D$4)</f>
        <v>0</v>
      </c>
      <c r="L250" s="206">
        <f>SUMIFS(LANÇ_MOV[VALOR LÍQUIDO],LANÇ_MOV[RECEITA OU DESPESA],"Despesa",LANÇ_MOV[CONTAS],$C250,LANÇ_MOV[PLANO DE CONTAS],REL_DRE_FINANCEIRO!$B$241,LANÇ_MOV[ANO PAGAMENTO],$B$4,LANÇ_MOV[MÊS PAGAMENTO CORRESPONDENTE],L$6,LANÇ_MOV[EMPRESA],$C$4,LANÇ_MOV[CENTRO DE CUSTOS],$D$4)</f>
        <v>0</v>
      </c>
      <c r="M250" s="206">
        <f>SUMIFS(LANÇ_MOV[VALOR LÍQUIDO],LANÇ_MOV[RECEITA OU DESPESA],"Despesa",LANÇ_MOV[CONTAS],$C250,LANÇ_MOV[PLANO DE CONTAS],REL_DRE_FINANCEIRO!$B$241,LANÇ_MOV[ANO PAGAMENTO],$B$4,LANÇ_MOV[MÊS PAGAMENTO CORRESPONDENTE],M$6,LANÇ_MOV[EMPRESA],$C$4,LANÇ_MOV[CENTRO DE CUSTOS],$D$4)</f>
        <v>0</v>
      </c>
      <c r="N250" s="206">
        <f>SUMIFS(LANÇ_MOV[VALOR LÍQUIDO],LANÇ_MOV[RECEITA OU DESPESA],"Despesa",LANÇ_MOV[CONTAS],$C250,LANÇ_MOV[PLANO DE CONTAS],REL_DRE_FINANCEIRO!$B$241,LANÇ_MOV[ANO PAGAMENTO],$B$4,LANÇ_MOV[MÊS PAGAMENTO CORRESPONDENTE],N$6,LANÇ_MOV[EMPRESA],$C$4,LANÇ_MOV[CENTRO DE CUSTOS],$D$4)</f>
        <v>0</v>
      </c>
      <c r="O250" s="206">
        <f>SUMIFS(LANÇ_MOV[VALOR LÍQUIDO],LANÇ_MOV[RECEITA OU DESPESA],"Despesa",LANÇ_MOV[CONTAS],$C250,LANÇ_MOV[PLANO DE CONTAS],REL_DRE_FINANCEIRO!$B$241,LANÇ_MOV[ANO PAGAMENTO],$B$4,LANÇ_MOV[MÊS PAGAMENTO CORRESPONDENTE],O$6,LANÇ_MOV[EMPRESA],$C$4,LANÇ_MOV[CENTRO DE CUSTOS],$D$4)</f>
        <v>0</v>
      </c>
      <c r="P250" s="207">
        <f t="shared" si="43"/>
        <v>0</v>
      </c>
      <c r="Q250" s="329">
        <v>9.2E-6</v>
      </c>
      <c r="R250" s="346">
        <f t="shared" si="44"/>
        <v>9.2E-6</v>
      </c>
      <c r="S250" s="347" t="str">
        <f t="shared" si="45"/>
        <v>COMBUSTÍVEL</v>
      </c>
      <c r="T250" s="347">
        <f t="shared" si="46"/>
        <v>0</v>
      </c>
      <c r="U250" s="347">
        <f>HLOOKUP(Apoio!$P$12,$D$240:$P$341,X250,FALSE)+Q250</f>
        <v>9.2E-6</v>
      </c>
      <c r="V250" s="447" t="str">
        <f t="shared" si="47"/>
        <v>COMBUSTÍVEL</v>
      </c>
      <c r="W250" s="448">
        <f>HLOOKUP(Apoio!$P$12,$D$240:$P$341,X250,FALSE)</f>
        <v>0</v>
      </c>
      <c r="X250" s="329">
        <v>11</v>
      </c>
      <c r="Y250" s="329">
        <v>3</v>
      </c>
      <c r="Z250" s="340" t="str">
        <f>VLOOKUP(LARGE($U$242:$U$341,Y250),$U$242:$V$341,2,FALSE)</f>
        <v>HONORÁRIOS ADVOCATÍCIOS</v>
      </c>
      <c r="AA250" s="340">
        <f>VLOOKUP(Z250,$V$242:$W$341,2,FALSE)</f>
        <v>1200</v>
      </c>
    </row>
    <row r="251" spans="2:27" ht="30.05" customHeight="1" x14ac:dyDescent="0.35">
      <c r="B251" s="204" t="str">
        <f>'CAD_PL_REC-DESP'!N14</f>
        <v>2.2.10</v>
      </c>
      <c r="C251" s="205" t="str">
        <f>IF('CAD_PL_REC-DESP'!O14="","-",'CAD_PL_REC-DESP'!O14)</f>
        <v>CONTADOR</v>
      </c>
      <c r="D251" s="206">
        <f>SUMIFS(LANÇ_MOV[VALOR LÍQUIDO],LANÇ_MOV[RECEITA OU DESPESA],"Despesa",LANÇ_MOV[CONTAS],$C251,LANÇ_MOV[PLANO DE CONTAS],REL_DRE_FINANCEIRO!$B$241,LANÇ_MOV[ANO PAGAMENTO],$B$4,LANÇ_MOV[MÊS PAGAMENTO CORRESPONDENTE],D$6,LANÇ_MOV[EMPRESA],$C$4,LANÇ_MOV[CENTRO DE CUSTOS],$D$4)</f>
        <v>0</v>
      </c>
      <c r="E251" s="206">
        <f>SUMIFS(LANÇ_MOV[VALOR LÍQUIDO],LANÇ_MOV[RECEITA OU DESPESA],"Despesa",LANÇ_MOV[CONTAS],$C251,LANÇ_MOV[PLANO DE CONTAS],REL_DRE_FINANCEIRO!$B$241,LANÇ_MOV[ANO PAGAMENTO],$B$4,LANÇ_MOV[MÊS PAGAMENTO CORRESPONDENTE],E$6,LANÇ_MOV[EMPRESA],$C$4,LANÇ_MOV[CENTRO DE CUSTOS],$D$4)</f>
        <v>0</v>
      </c>
      <c r="F251" s="206">
        <f>SUMIFS(LANÇ_MOV[VALOR LÍQUIDO],LANÇ_MOV[RECEITA OU DESPESA],"Despesa",LANÇ_MOV[CONTAS],$C251,LANÇ_MOV[PLANO DE CONTAS],REL_DRE_FINANCEIRO!$B$241,LANÇ_MOV[ANO PAGAMENTO],$B$4,LANÇ_MOV[MÊS PAGAMENTO CORRESPONDENTE],F$6,LANÇ_MOV[EMPRESA],$C$4,LANÇ_MOV[CENTRO DE CUSTOS],$D$4)</f>
        <v>0</v>
      </c>
      <c r="G251" s="206">
        <f>SUMIFS(LANÇ_MOV[VALOR LÍQUIDO],LANÇ_MOV[RECEITA OU DESPESA],"Despesa",LANÇ_MOV[CONTAS],$C251,LANÇ_MOV[PLANO DE CONTAS],REL_DRE_FINANCEIRO!$B$241,LANÇ_MOV[ANO PAGAMENTO],$B$4,LANÇ_MOV[MÊS PAGAMENTO CORRESPONDENTE],G$6,LANÇ_MOV[EMPRESA],$C$4,LANÇ_MOV[CENTRO DE CUSTOS],$D$4)</f>
        <v>0</v>
      </c>
      <c r="H251" s="206">
        <f>SUMIFS(LANÇ_MOV[VALOR LÍQUIDO],LANÇ_MOV[RECEITA OU DESPESA],"Despesa",LANÇ_MOV[CONTAS],$C251,LANÇ_MOV[PLANO DE CONTAS],REL_DRE_FINANCEIRO!$B$241,LANÇ_MOV[ANO PAGAMENTO],$B$4,LANÇ_MOV[MÊS PAGAMENTO CORRESPONDENTE],H$6,LANÇ_MOV[EMPRESA],$C$4,LANÇ_MOV[CENTRO DE CUSTOS],$D$4)</f>
        <v>0</v>
      </c>
      <c r="I251" s="206">
        <f>SUMIFS(LANÇ_MOV[VALOR LÍQUIDO],LANÇ_MOV[RECEITA OU DESPESA],"Despesa",LANÇ_MOV[CONTAS],$C251,LANÇ_MOV[PLANO DE CONTAS],REL_DRE_FINANCEIRO!$B$241,LANÇ_MOV[ANO PAGAMENTO],$B$4,LANÇ_MOV[MÊS PAGAMENTO CORRESPONDENTE],I$6,LANÇ_MOV[EMPRESA],$C$4,LANÇ_MOV[CENTRO DE CUSTOS],$D$4)</f>
        <v>0</v>
      </c>
      <c r="J251" s="206">
        <f>SUMIFS(LANÇ_MOV[VALOR LÍQUIDO],LANÇ_MOV[RECEITA OU DESPESA],"Despesa",LANÇ_MOV[CONTAS],$C251,LANÇ_MOV[PLANO DE CONTAS],REL_DRE_FINANCEIRO!$B$241,LANÇ_MOV[ANO PAGAMENTO],$B$4,LANÇ_MOV[MÊS PAGAMENTO CORRESPONDENTE],J$6,LANÇ_MOV[EMPRESA],$C$4,LANÇ_MOV[CENTRO DE CUSTOS],$D$4)</f>
        <v>0</v>
      </c>
      <c r="K251" s="206">
        <f>SUMIFS(LANÇ_MOV[VALOR LÍQUIDO],LANÇ_MOV[RECEITA OU DESPESA],"Despesa",LANÇ_MOV[CONTAS],$C251,LANÇ_MOV[PLANO DE CONTAS],REL_DRE_FINANCEIRO!$B$241,LANÇ_MOV[ANO PAGAMENTO],$B$4,LANÇ_MOV[MÊS PAGAMENTO CORRESPONDENTE],K$6,LANÇ_MOV[EMPRESA],$C$4,LANÇ_MOV[CENTRO DE CUSTOS],$D$4)</f>
        <v>0</v>
      </c>
      <c r="L251" s="206">
        <f>SUMIFS(LANÇ_MOV[VALOR LÍQUIDO],LANÇ_MOV[RECEITA OU DESPESA],"Despesa",LANÇ_MOV[CONTAS],$C251,LANÇ_MOV[PLANO DE CONTAS],REL_DRE_FINANCEIRO!$B$241,LANÇ_MOV[ANO PAGAMENTO],$B$4,LANÇ_MOV[MÊS PAGAMENTO CORRESPONDENTE],L$6,LANÇ_MOV[EMPRESA],$C$4,LANÇ_MOV[CENTRO DE CUSTOS],$D$4)</f>
        <v>0</v>
      </c>
      <c r="M251" s="206">
        <f>SUMIFS(LANÇ_MOV[VALOR LÍQUIDO],LANÇ_MOV[RECEITA OU DESPESA],"Despesa",LANÇ_MOV[CONTAS],$C251,LANÇ_MOV[PLANO DE CONTAS],REL_DRE_FINANCEIRO!$B$241,LANÇ_MOV[ANO PAGAMENTO],$B$4,LANÇ_MOV[MÊS PAGAMENTO CORRESPONDENTE],M$6,LANÇ_MOV[EMPRESA],$C$4,LANÇ_MOV[CENTRO DE CUSTOS],$D$4)</f>
        <v>1300</v>
      </c>
      <c r="N251" s="206">
        <f>SUMIFS(LANÇ_MOV[VALOR LÍQUIDO],LANÇ_MOV[RECEITA OU DESPESA],"Despesa",LANÇ_MOV[CONTAS],$C251,LANÇ_MOV[PLANO DE CONTAS],REL_DRE_FINANCEIRO!$B$241,LANÇ_MOV[ANO PAGAMENTO],$B$4,LANÇ_MOV[MÊS PAGAMENTO CORRESPONDENTE],N$6,LANÇ_MOV[EMPRESA],$C$4,LANÇ_MOV[CENTRO DE CUSTOS],$D$4)</f>
        <v>1300</v>
      </c>
      <c r="O251" s="206">
        <f>SUMIFS(LANÇ_MOV[VALOR LÍQUIDO],LANÇ_MOV[RECEITA OU DESPESA],"Despesa",LANÇ_MOV[CONTAS],$C251,LANÇ_MOV[PLANO DE CONTAS],REL_DRE_FINANCEIRO!$B$241,LANÇ_MOV[ANO PAGAMENTO],$B$4,LANÇ_MOV[MÊS PAGAMENTO CORRESPONDENTE],O$6,LANÇ_MOV[EMPRESA],$C$4,LANÇ_MOV[CENTRO DE CUSTOS],$D$4)</f>
        <v>0</v>
      </c>
      <c r="P251" s="207">
        <f t="shared" si="43"/>
        <v>2600</v>
      </c>
      <c r="Q251" s="329">
        <v>9.0999999999999993E-6</v>
      </c>
      <c r="R251" s="346">
        <f t="shared" si="44"/>
        <v>2600.0000091000002</v>
      </c>
      <c r="S251" s="347" t="str">
        <f t="shared" si="45"/>
        <v>CONTADOR</v>
      </c>
      <c r="T251" s="347">
        <f t="shared" si="46"/>
        <v>2600</v>
      </c>
      <c r="U251" s="347">
        <f>HLOOKUP(Apoio!$P$12,$D$240:$P$341,X251,FALSE)+Q251</f>
        <v>2600.0000091000002</v>
      </c>
      <c r="V251" s="447" t="str">
        <f t="shared" si="47"/>
        <v>CONTADOR</v>
      </c>
      <c r="W251" s="448">
        <f>HLOOKUP(Apoio!$P$12,$D$240:$P$341,X251,FALSE)</f>
        <v>2600</v>
      </c>
      <c r="X251" s="329">
        <v>12</v>
      </c>
      <c r="Y251" s="329">
        <v>4</v>
      </c>
      <c r="Z251" s="340" t="str">
        <f>VLOOKUP(LARGE($U$242:$U$341,Y251),$U$242:$V$341,2,FALSE)</f>
        <v>TELEFONE</v>
      </c>
      <c r="AA251" s="340">
        <f>VLOOKUP(Z251,$V$242:$W$341,2,FALSE)</f>
        <v>143.82</v>
      </c>
    </row>
    <row r="252" spans="2:27" ht="30.05" customHeight="1" x14ac:dyDescent="0.35">
      <c r="B252" s="204" t="str">
        <f>'CAD_PL_REC-DESP'!N15</f>
        <v>2.2.11</v>
      </c>
      <c r="C252" s="205" t="str">
        <f>IF('CAD_PL_REC-DESP'!O15="","-",'CAD_PL_REC-DESP'!O15)</f>
        <v>DOMÍNIO DE EMAIL</v>
      </c>
      <c r="D252" s="206">
        <f>SUMIFS(LANÇ_MOV[VALOR LÍQUIDO],LANÇ_MOV[RECEITA OU DESPESA],"Despesa",LANÇ_MOV[CONTAS],$C252,LANÇ_MOV[PLANO DE CONTAS],REL_DRE_FINANCEIRO!$B$241,LANÇ_MOV[ANO PAGAMENTO],$B$4,LANÇ_MOV[MÊS PAGAMENTO CORRESPONDENTE],D$6,LANÇ_MOV[EMPRESA],$C$4,LANÇ_MOV[CENTRO DE CUSTOS],$D$4)</f>
        <v>0</v>
      </c>
      <c r="E252" s="206">
        <f>SUMIFS(LANÇ_MOV[VALOR LÍQUIDO],LANÇ_MOV[RECEITA OU DESPESA],"Despesa",LANÇ_MOV[CONTAS],$C252,LANÇ_MOV[PLANO DE CONTAS],REL_DRE_FINANCEIRO!$B$241,LANÇ_MOV[ANO PAGAMENTO],$B$4,LANÇ_MOV[MÊS PAGAMENTO CORRESPONDENTE],E$6,LANÇ_MOV[EMPRESA],$C$4,LANÇ_MOV[CENTRO DE CUSTOS],$D$4)</f>
        <v>0</v>
      </c>
      <c r="F252" s="206">
        <f>SUMIFS(LANÇ_MOV[VALOR LÍQUIDO],LANÇ_MOV[RECEITA OU DESPESA],"Despesa",LANÇ_MOV[CONTAS],$C252,LANÇ_MOV[PLANO DE CONTAS],REL_DRE_FINANCEIRO!$B$241,LANÇ_MOV[ANO PAGAMENTO],$B$4,LANÇ_MOV[MÊS PAGAMENTO CORRESPONDENTE],F$6,LANÇ_MOV[EMPRESA],$C$4,LANÇ_MOV[CENTRO DE CUSTOS],$D$4)</f>
        <v>0</v>
      </c>
      <c r="G252" s="206">
        <f>SUMIFS(LANÇ_MOV[VALOR LÍQUIDO],LANÇ_MOV[RECEITA OU DESPESA],"Despesa",LANÇ_MOV[CONTAS],$C252,LANÇ_MOV[PLANO DE CONTAS],REL_DRE_FINANCEIRO!$B$241,LANÇ_MOV[ANO PAGAMENTO],$B$4,LANÇ_MOV[MÊS PAGAMENTO CORRESPONDENTE],G$6,LANÇ_MOV[EMPRESA],$C$4,LANÇ_MOV[CENTRO DE CUSTOS],$D$4)</f>
        <v>0</v>
      </c>
      <c r="H252" s="206">
        <f>SUMIFS(LANÇ_MOV[VALOR LÍQUIDO],LANÇ_MOV[RECEITA OU DESPESA],"Despesa",LANÇ_MOV[CONTAS],$C252,LANÇ_MOV[PLANO DE CONTAS],REL_DRE_FINANCEIRO!$B$241,LANÇ_MOV[ANO PAGAMENTO],$B$4,LANÇ_MOV[MÊS PAGAMENTO CORRESPONDENTE],H$6,LANÇ_MOV[EMPRESA],$C$4,LANÇ_MOV[CENTRO DE CUSTOS],$D$4)</f>
        <v>0</v>
      </c>
      <c r="I252" s="206">
        <f>SUMIFS(LANÇ_MOV[VALOR LÍQUIDO],LANÇ_MOV[RECEITA OU DESPESA],"Despesa",LANÇ_MOV[CONTAS],$C252,LANÇ_MOV[PLANO DE CONTAS],REL_DRE_FINANCEIRO!$B$241,LANÇ_MOV[ANO PAGAMENTO],$B$4,LANÇ_MOV[MÊS PAGAMENTO CORRESPONDENTE],I$6,LANÇ_MOV[EMPRESA],$C$4,LANÇ_MOV[CENTRO DE CUSTOS],$D$4)</f>
        <v>0</v>
      </c>
      <c r="J252" s="206">
        <f>SUMIFS(LANÇ_MOV[VALOR LÍQUIDO],LANÇ_MOV[RECEITA OU DESPESA],"Despesa",LANÇ_MOV[CONTAS],$C252,LANÇ_MOV[PLANO DE CONTAS],REL_DRE_FINANCEIRO!$B$241,LANÇ_MOV[ANO PAGAMENTO],$B$4,LANÇ_MOV[MÊS PAGAMENTO CORRESPONDENTE],J$6,LANÇ_MOV[EMPRESA],$C$4,LANÇ_MOV[CENTRO DE CUSTOS],$D$4)</f>
        <v>0</v>
      </c>
      <c r="K252" s="206">
        <f>SUMIFS(LANÇ_MOV[VALOR LÍQUIDO],LANÇ_MOV[RECEITA OU DESPESA],"Despesa",LANÇ_MOV[CONTAS],$C252,LANÇ_MOV[PLANO DE CONTAS],REL_DRE_FINANCEIRO!$B$241,LANÇ_MOV[ANO PAGAMENTO],$B$4,LANÇ_MOV[MÊS PAGAMENTO CORRESPONDENTE],K$6,LANÇ_MOV[EMPRESA],$C$4,LANÇ_MOV[CENTRO DE CUSTOS],$D$4)</f>
        <v>0</v>
      </c>
      <c r="L252" s="206">
        <f>SUMIFS(LANÇ_MOV[VALOR LÍQUIDO],LANÇ_MOV[RECEITA OU DESPESA],"Despesa",LANÇ_MOV[CONTAS],$C252,LANÇ_MOV[PLANO DE CONTAS],REL_DRE_FINANCEIRO!$B$241,LANÇ_MOV[ANO PAGAMENTO],$B$4,LANÇ_MOV[MÊS PAGAMENTO CORRESPONDENTE],L$6,LANÇ_MOV[EMPRESA],$C$4,LANÇ_MOV[CENTRO DE CUSTOS],$D$4)</f>
        <v>0</v>
      </c>
      <c r="M252" s="206">
        <f>SUMIFS(LANÇ_MOV[VALOR LÍQUIDO],LANÇ_MOV[RECEITA OU DESPESA],"Despesa",LANÇ_MOV[CONTAS],$C252,LANÇ_MOV[PLANO DE CONTAS],REL_DRE_FINANCEIRO!$B$241,LANÇ_MOV[ANO PAGAMENTO],$B$4,LANÇ_MOV[MÊS PAGAMENTO CORRESPONDENTE],M$6,LANÇ_MOV[EMPRESA],$C$4,LANÇ_MOV[CENTRO DE CUSTOS],$D$4)</f>
        <v>0</v>
      </c>
      <c r="N252" s="206">
        <f>SUMIFS(LANÇ_MOV[VALOR LÍQUIDO],LANÇ_MOV[RECEITA OU DESPESA],"Despesa",LANÇ_MOV[CONTAS],$C252,LANÇ_MOV[PLANO DE CONTAS],REL_DRE_FINANCEIRO!$B$241,LANÇ_MOV[ANO PAGAMENTO],$B$4,LANÇ_MOV[MÊS PAGAMENTO CORRESPONDENTE],N$6,LANÇ_MOV[EMPRESA],$C$4,LANÇ_MOV[CENTRO DE CUSTOS],$D$4)</f>
        <v>0</v>
      </c>
      <c r="O252" s="206">
        <f>SUMIFS(LANÇ_MOV[VALOR LÍQUIDO],LANÇ_MOV[RECEITA OU DESPESA],"Despesa",LANÇ_MOV[CONTAS],$C252,LANÇ_MOV[PLANO DE CONTAS],REL_DRE_FINANCEIRO!$B$241,LANÇ_MOV[ANO PAGAMENTO],$B$4,LANÇ_MOV[MÊS PAGAMENTO CORRESPONDENTE],O$6,LANÇ_MOV[EMPRESA],$C$4,LANÇ_MOV[CENTRO DE CUSTOS],$D$4)</f>
        <v>0</v>
      </c>
      <c r="P252" s="207">
        <f t="shared" si="43"/>
        <v>0</v>
      </c>
      <c r="Q252" s="329">
        <v>9.0000000000000002E-6</v>
      </c>
      <c r="R252" s="346">
        <f t="shared" si="44"/>
        <v>9.0000000000000002E-6</v>
      </c>
      <c r="S252" s="347" t="str">
        <f t="shared" si="45"/>
        <v>DOMÍNIO DE EMAIL</v>
      </c>
      <c r="T252" s="347">
        <f t="shared" si="46"/>
        <v>0</v>
      </c>
      <c r="U252" s="347">
        <f>HLOOKUP(Apoio!$P$12,$D$240:$P$341,X252,FALSE)+Q252</f>
        <v>9.0000000000000002E-6</v>
      </c>
      <c r="V252" s="447" t="str">
        <f t="shared" si="47"/>
        <v>DOMÍNIO DE EMAIL</v>
      </c>
      <c r="W252" s="448">
        <f>HLOOKUP(Apoio!$P$12,$D$240:$P$341,X252,FALSE)</f>
        <v>0</v>
      </c>
      <c r="X252" s="329">
        <v>13</v>
      </c>
      <c r="Y252" s="329">
        <v>5</v>
      </c>
      <c r="Z252" s="340" t="str">
        <f>VLOOKUP(LARGE($U$242:$U$341,Y252),$U$242:$V$341,2,FALSE)</f>
        <v xml:space="preserve">MATERIAL ESCRITORIO </v>
      </c>
      <c r="AA252" s="340">
        <f>VLOOKUP(Z252,$V$242:$W$341,2,FALSE)</f>
        <v>22</v>
      </c>
    </row>
    <row r="253" spans="2:27" ht="30.05" customHeight="1" x14ac:dyDescent="0.35">
      <c r="B253" s="204" t="str">
        <f>'CAD_PL_REC-DESP'!N16</f>
        <v>2.2.12</v>
      </c>
      <c r="C253" s="205" t="str">
        <f>IF('CAD_PL_REC-DESP'!O16="","-",'CAD_PL_REC-DESP'!O16)</f>
        <v>ENERGIA</v>
      </c>
      <c r="D253" s="206">
        <f>SUMIFS(LANÇ_MOV[VALOR LÍQUIDO],LANÇ_MOV[RECEITA OU DESPESA],"Despesa",LANÇ_MOV[CONTAS],$C253,LANÇ_MOV[PLANO DE CONTAS],REL_DRE_FINANCEIRO!$B$241,LANÇ_MOV[ANO PAGAMENTO],$B$4,LANÇ_MOV[MÊS PAGAMENTO CORRESPONDENTE],D$6,LANÇ_MOV[EMPRESA],$C$4,LANÇ_MOV[CENTRO DE CUSTOS],$D$4)</f>
        <v>0</v>
      </c>
      <c r="E253" s="206">
        <f>SUMIFS(LANÇ_MOV[VALOR LÍQUIDO],LANÇ_MOV[RECEITA OU DESPESA],"Despesa",LANÇ_MOV[CONTAS],$C253,LANÇ_MOV[PLANO DE CONTAS],REL_DRE_FINANCEIRO!$B$241,LANÇ_MOV[ANO PAGAMENTO],$B$4,LANÇ_MOV[MÊS PAGAMENTO CORRESPONDENTE],E$6,LANÇ_MOV[EMPRESA],$C$4,LANÇ_MOV[CENTRO DE CUSTOS],$D$4)</f>
        <v>0</v>
      </c>
      <c r="F253" s="206">
        <f>SUMIFS(LANÇ_MOV[VALOR LÍQUIDO],LANÇ_MOV[RECEITA OU DESPESA],"Despesa",LANÇ_MOV[CONTAS],$C253,LANÇ_MOV[PLANO DE CONTAS],REL_DRE_FINANCEIRO!$B$241,LANÇ_MOV[ANO PAGAMENTO],$B$4,LANÇ_MOV[MÊS PAGAMENTO CORRESPONDENTE],F$6,LANÇ_MOV[EMPRESA],$C$4,LANÇ_MOV[CENTRO DE CUSTOS],$D$4)</f>
        <v>0</v>
      </c>
      <c r="G253" s="206">
        <f>SUMIFS(LANÇ_MOV[VALOR LÍQUIDO],LANÇ_MOV[RECEITA OU DESPESA],"Despesa",LANÇ_MOV[CONTAS],$C253,LANÇ_MOV[PLANO DE CONTAS],REL_DRE_FINANCEIRO!$B$241,LANÇ_MOV[ANO PAGAMENTO],$B$4,LANÇ_MOV[MÊS PAGAMENTO CORRESPONDENTE],G$6,LANÇ_MOV[EMPRESA],$C$4,LANÇ_MOV[CENTRO DE CUSTOS],$D$4)</f>
        <v>0</v>
      </c>
      <c r="H253" s="206">
        <f>SUMIFS(LANÇ_MOV[VALOR LÍQUIDO],LANÇ_MOV[RECEITA OU DESPESA],"Despesa",LANÇ_MOV[CONTAS],$C253,LANÇ_MOV[PLANO DE CONTAS],REL_DRE_FINANCEIRO!$B$241,LANÇ_MOV[ANO PAGAMENTO],$B$4,LANÇ_MOV[MÊS PAGAMENTO CORRESPONDENTE],H$6,LANÇ_MOV[EMPRESA],$C$4,LANÇ_MOV[CENTRO DE CUSTOS],$D$4)</f>
        <v>0</v>
      </c>
      <c r="I253" s="206">
        <f>SUMIFS(LANÇ_MOV[VALOR LÍQUIDO],LANÇ_MOV[RECEITA OU DESPESA],"Despesa",LANÇ_MOV[CONTAS],$C253,LANÇ_MOV[PLANO DE CONTAS],REL_DRE_FINANCEIRO!$B$241,LANÇ_MOV[ANO PAGAMENTO],$B$4,LANÇ_MOV[MÊS PAGAMENTO CORRESPONDENTE],I$6,LANÇ_MOV[EMPRESA],$C$4,LANÇ_MOV[CENTRO DE CUSTOS],$D$4)</f>
        <v>0</v>
      </c>
      <c r="J253" s="206">
        <f>SUMIFS(LANÇ_MOV[VALOR LÍQUIDO],LANÇ_MOV[RECEITA OU DESPESA],"Despesa",LANÇ_MOV[CONTAS],$C253,LANÇ_MOV[PLANO DE CONTAS],REL_DRE_FINANCEIRO!$B$241,LANÇ_MOV[ANO PAGAMENTO],$B$4,LANÇ_MOV[MÊS PAGAMENTO CORRESPONDENTE],J$6,LANÇ_MOV[EMPRESA],$C$4,LANÇ_MOV[CENTRO DE CUSTOS],$D$4)</f>
        <v>0</v>
      </c>
      <c r="K253" s="206">
        <f>SUMIFS(LANÇ_MOV[VALOR LÍQUIDO],LANÇ_MOV[RECEITA OU DESPESA],"Despesa",LANÇ_MOV[CONTAS],$C253,LANÇ_MOV[PLANO DE CONTAS],REL_DRE_FINANCEIRO!$B$241,LANÇ_MOV[ANO PAGAMENTO],$B$4,LANÇ_MOV[MÊS PAGAMENTO CORRESPONDENTE],K$6,LANÇ_MOV[EMPRESA],$C$4,LANÇ_MOV[CENTRO DE CUSTOS],$D$4)</f>
        <v>0</v>
      </c>
      <c r="L253" s="206">
        <f>SUMIFS(LANÇ_MOV[VALOR LÍQUIDO],LANÇ_MOV[RECEITA OU DESPESA],"Despesa",LANÇ_MOV[CONTAS],$C253,LANÇ_MOV[PLANO DE CONTAS],REL_DRE_FINANCEIRO!$B$241,LANÇ_MOV[ANO PAGAMENTO],$B$4,LANÇ_MOV[MÊS PAGAMENTO CORRESPONDENTE],L$6,LANÇ_MOV[EMPRESA],$C$4,LANÇ_MOV[CENTRO DE CUSTOS],$D$4)</f>
        <v>0</v>
      </c>
      <c r="M253" s="206">
        <f>SUMIFS(LANÇ_MOV[VALOR LÍQUIDO],LANÇ_MOV[RECEITA OU DESPESA],"Despesa",LANÇ_MOV[CONTAS],$C253,LANÇ_MOV[PLANO DE CONTAS],REL_DRE_FINANCEIRO!$B$241,LANÇ_MOV[ANO PAGAMENTO],$B$4,LANÇ_MOV[MÊS PAGAMENTO CORRESPONDENTE],M$6,LANÇ_MOV[EMPRESA],$C$4,LANÇ_MOV[CENTRO DE CUSTOS],$D$4)</f>
        <v>0</v>
      </c>
      <c r="N253" s="206">
        <f>SUMIFS(LANÇ_MOV[VALOR LÍQUIDO],LANÇ_MOV[RECEITA OU DESPESA],"Despesa",LANÇ_MOV[CONTAS],$C253,LANÇ_MOV[PLANO DE CONTAS],REL_DRE_FINANCEIRO!$B$241,LANÇ_MOV[ANO PAGAMENTO],$B$4,LANÇ_MOV[MÊS PAGAMENTO CORRESPONDENTE],N$6,LANÇ_MOV[EMPRESA],$C$4,LANÇ_MOV[CENTRO DE CUSTOS],$D$4)</f>
        <v>0</v>
      </c>
      <c r="O253" s="206">
        <f>SUMIFS(LANÇ_MOV[VALOR LÍQUIDO],LANÇ_MOV[RECEITA OU DESPESA],"Despesa",LANÇ_MOV[CONTAS],$C253,LANÇ_MOV[PLANO DE CONTAS],REL_DRE_FINANCEIRO!$B$241,LANÇ_MOV[ANO PAGAMENTO],$B$4,LANÇ_MOV[MÊS PAGAMENTO CORRESPONDENTE],O$6,LANÇ_MOV[EMPRESA],$C$4,LANÇ_MOV[CENTRO DE CUSTOS],$D$4)</f>
        <v>0</v>
      </c>
      <c r="P253" s="207">
        <f t="shared" si="43"/>
        <v>0</v>
      </c>
      <c r="Q253" s="329">
        <v>8.8999999999999995E-6</v>
      </c>
      <c r="R253" s="346">
        <f t="shared" si="44"/>
        <v>8.8999999999999995E-6</v>
      </c>
      <c r="S253" s="347" t="str">
        <f t="shared" si="45"/>
        <v>ENERGIA</v>
      </c>
      <c r="T253" s="347">
        <f t="shared" si="46"/>
        <v>0</v>
      </c>
      <c r="U253" s="347">
        <f>HLOOKUP(Apoio!$P$12,$D$240:$P$341,X253,FALSE)+Q253</f>
        <v>8.8999999999999995E-6</v>
      </c>
      <c r="V253" s="447" t="str">
        <f t="shared" si="47"/>
        <v>ENERGIA</v>
      </c>
      <c r="W253" s="448">
        <f>HLOOKUP(Apoio!$P$12,$D$240:$P$341,X253,FALSE)</f>
        <v>0</v>
      </c>
      <c r="X253" s="329">
        <v>14</v>
      </c>
      <c r="AA253" s="340">
        <f>SUM(AA248:AA252)</f>
        <v>15124.57</v>
      </c>
    </row>
    <row r="254" spans="2:27" ht="30.05" customHeight="1" x14ac:dyDescent="0.35">
      <c r="B254" s="204" t="str">
        <f>'CAD_PL_REC-DESP'!N17</f>
        <v>2.2.13</v>
      </c>
      <c r="C254" s="205" t="str">
        <f>IF('CAD_PL_REC-DESP'!O17="","-",'CAD_PL_REC-DESP'!O17)</f>
        <v>ESTACIONAMENTO</v>
      </c>
      <c r="D254" s="206">
        <f>SUMIFS(LANÇ_MOV[VALOR LÍQUIDO],LANÇ_MOV[RECEITA OU DESPESA],"Despesa",LANÇ_MOV[CONTAS],$C254,LANÇ_MOV[PLANO DE CONTAS],REL_DRE_FINANCEIRO!$B$241,LANÇ_MOV[ANO PAGAMENTO],$B$4,LANÇ_MOV[MÊS PAGAMENTO CORRESPONDENTE],D$6,LANÇ_MOV[EMPRESA],$C$4,LANÇ_MOV[CENTRO DE CUSTOS],$D$4)</f>
        <v>0</v>
      </c>
      <c r="E254" s="206">
        <f>SUMIFS(LANÇ_MOV[VALOR LÍQUIDO],LANÇ_MOV[RECEITA OU DESPESA],"Despesa",LANÇ_MOV[CONTAS],$C254,LANÇ_MOV[PLANO DE CONTAS],REL_DRE_FINANCEIRO!$B$241,LANÇ_MOV[ANO PAGAMENTO],$B$4,LANÇ_MOV[MÊS PAGAMENTO CORRESPONDENTE],E$6,LANÇ_MOV[EMPRESA],$C$4,LANÇ_MOV[CENTRO DE CUSTOS],$D$4)</f>
        <v>0</v>
      </c>
      <c r="F254" s="206">
        <f>SUMIFS(LANÇ_MOV[VALOR LÍQUIDO],LANÇ_MOV[RECEITA OU DESPESA],"Despesa",LANÇ_MOV[CONTAS],$C254,LANÇ_MOV[PLANO DE CONTAS],REL_DRE_FINANCEIRO!$B$241,LANÇ_MOV[ANO PAGAMENTO],$B$4,LANÇ_MOV[MÊS PAGAMENTO CORRESPONDENTE],F$6,LANÇ_MOV[EMPRESA],$C$4,LANÇ_MOV[CENTRO DE CUSTOS],$D$4)</f>
        <v>0</v>
      </c>
      <c r="G254" s="206">
        <f>SUMIFS(LANÇ_MOV[VALOR LÍQUIDO],LANÇ_MOV[RECEITA OU DESPESA],"Despesa",LANÇ_MOV[CONTAS],$C254,LANÇ_MOV[PLANO DE CONTAS],REL_DRE_FINANCEIRO!$B$241,LANÇ_MOV[ANO PAGAMENTO],$B$4,LANÇ_MOV[MÊS PAGAMENTO CORRESPONDENTE],G$6,LANÇ_MOV[EMPRESA],$C$4,LANÇ_MOV[CENTRO DE CUSTOS],$D$4)</f>
        <v>0</v>
      </c>
      <c r="H254" s="206">
        <f>SUMIFS(LANÇ_MOV[VALOR LÍQUIDO],LANÇ_MOV[RECEITA OU DESPESA],"Despesa",LANÇ_MOV[CONTAS],$C254,LANÇ_MOV[PLANO DE CONTAS],REL_DRE_FINANCEIRO!$B$241,LANÇ_MOV[ANO PAGAMENTO],$B$4,LANÇ_MOV[MÊS PAGAMENTO CORRESPONDENTE],H$6,LANÇ_MOV[EMPRESA],$C$4,LANÇ_MOV[CENTRO DE CUSTOS],$D$4)</f>
        <v>0</v>
      </c>
      <c r="I254" s="206">
        <f>SUMIFS(LANÇ_MOV[VALOR LÍQUIDO],LANÇ_MOV[RECEITA OU DESPESA],"Despesa",LANÇ_MOV[CONTAS],$C254,LANÇ_MOV[PLANO DE CONTAS],REL_DRE_FINANCEIRO!$B$241,LANÇ_MOV[ANO PAGAMENTO],$B$4,LANÇ_MOV[MÊS PAGAMENTO CORRESPONDENTE],I$6,LANÇ_MOV[EMPRESA],$C$4,LANÇ_MOV[CENTRO DE CUSTOS],$D$4)</f>
        <v>0</v>
      </c>
      <c r="J254" s="206">
        <f>SUMIFS(LANÇ_MOV[VALOR LÍQUIDO],LANÇ_MOV[RECEITA OU DESPESA],"Despesa",LANÇ_MOV[CONTAS],$C254,LANÇ_MOV[PLANO DE CONTAS],REL_DRE_FINANCEIRO!$B$241,LANÇ_MOV[ANO PAGAMENTO],$B$4,LANÇ_MOV[MÊS PAGAMENTO CORRESPONDENTE],J$6,LANÇ_MOV[EMPRESA],$C$4,LANÇ_MOV[CENTRO DE CUSTOS],$D$4)</f>
        <v>0</v>
      </c>
      <c r="K254" s="206">
        <f>SUMIFS(LANÇ_MOV[VALOR LÍQUIDO],LANÇ_MOV[RECEITA OU DESPESA],"Despesa",LANÇ_MOV[CONTAS],$C254,LANÇ_MOV[PLANO DE CONTAS],REL_DRE_FINANCEIRO!$B$241,LANÇ_MOV[ANO PAGAMENTO],$B$4,LANÇ_MOV[MÊS PAGAMENTO CORRESPONDENTE],K$6,LANÇ_MOV[EMPRESA],$C$4,LANÇ_MOV[CENTRO DE CUSTOS],$D$4)</f>
        <v>0</v>
      </c>
      <c r="L254" s="206">
        <f>SUMIFS(LANÇ_MOV[VALOR LÍQUIDO],LANÇ_MOV[RECEITA OU DESPESA],"Despesa",LANÇ_MOV[CONTAS],$C254,LANÇ_MOV[PLANO DE CONTAS],REL_DRE_FINANCEIRO!$B$241,LANÇ_MOV[ANO PAGAMENTO],$B$4,LANÇ_MOV[MÊS PAGAMENTO CORRESPONDENTE],L$6,LANÇ_MOV[EMPRESA],$C$4,LANÇ_MOV[CENTRO DE CUSTOS],$D$4)</f>
        <v>0</v>
      </c>
      <c r="M254" s="206">
        <f>SUMIFS(LANÇ_MOV[VALOR LÍQUIDO],LANÇ_MOV[RECEITA OU DESPESA],"Despesa",LANÇ_MOV[CONTAS],$C254,LANÇ_MOV[PLANO DE CONTAS],REL_DRE_FINANCEIRO!$B$241,LANÇ_MOV[ANO PAGAMENTO],$B$4,LANÇ_MOV[MÊS PAGAMENTO CORRESPONDENTE],M$6,LANÇ_MOV[EMPRESA],$C$4,LANÇ_MOV[CENTRO DE CUSTOS],$D$4)</f>
        <v>0</v>
      </c>
      <c r="N254" s="206">
        <f>SUMIFS(LANÇ_MOV[VALOR LÍQUIDO],LANÇ_MOV[RECEITA OU DESPESA],"Despesa",LANÇ_MOV[CONTAS],$C254,LANÇ_MOV[PLANO DE CONTAS],REL_DRE_FINANCEIRO!$B$241,LANÇ_MOV[ANO PAGAMENTO],$B$4,LANÇ_MOV[MÊS PAGAMENTO CORRESPONDENTE],N$6,LANÇ_MOV[EMPRESA],$C$4,LANÇ_MOV[CENTRO DE CUSTOS],$D$4)</f>
        <v>0</v>
      </c>
      <c r="O254" s="206">
        <f>SUMIFS(LANÇ_MOV[VALOR LÍQUIDO],LANÇ_MOV[RECEITA OU DESPESA],"Despesa",LANÇ_MOV[CONTAS],$C254,LANÇ_MOV[PLANO DE CONTAS],REL_DRE_FINANCEIRO!$B$241,LANÇ_MOV[ANO PAGAMENTO],$B$4,LANÇ_MOV[MÊS PAGAMENTO CORRESPONDENTE],O$6,LANÇ_MOV[EMPRESA],$C$4,LANÇ_MOV[CENTRO DE CUSTOS],$D$4)</f>
        <v>0</v>
      </c>
      <c r="P254" s="207">
        <f t="shared" si="43"/>
        <v>0</v>
      </c>
      <c r="Q254" s="329">
        <v>8.8000000000000004E-6</v>
      </c>
      <c r="R254" s="346">
        <f t="shared" si="44"/>
        <v>8.8000000000000004E-6</v>
      </c>
      <c r="S254" s="347" t="str">
        <f t="shared" si="45"/>
        <v>ESTACIONAMENTO</v>
      </c>
      <c r="T254" s="347">
        <f t="shared" si="46"/>
        <v>0</v>
      </c>
      <c r="U254" s="347">
        <f>HLOOKUP(Apoio!$P$12,$D$240:$P$341,X254,FALSE)+Q254</f>
        <v>8.8000000000000004E-6</v>
      </c>
      <c r="V254" s="447" t="str">
        <f t="shared" si="47"/>
        <v>ESTACIONAMENTO</v>
      </c>
      <c r="W254" s="448">
        <f>HLOOKUP(Apoio!$P$12,$D$240:$P$341,X254,FALSE)</f>
        <v>0</v>
      </c>
      <c r="X254" s="329">
        <v>15</v>
      </c>
    </row>
    <row r="255" spans="2:27" ht="30.05" customHeight="1" x14ac:dyDescent="0.35">
      <c r="B255" s="204" t="str">
        <f>'CAD_PL_REC-DESP'!N18</f>
        <v>2.2.14</v>
      </c>
      <c r="C255" s="205" t="str">
        <f>IF('CAD_PL_REC-DESP'!O18="","-",'CAD_PL_REC-DESP'!O18)</f>
        <v>FRETES</v>
      </c>
      <c r="D255" s="206">
        <f>SUMIFS(LANÇ_MOV[VALOR LÍQUIDO],LANÇ_MOV[RECEITA OU DESPESA],"Despesa",LANÇ_MOV[CONTAS],$C255,LANÇ_MOV[PLANO DE CONTAS],REL_DRE_FINANCEIRO!$B$241,LANÇ_MOV[ANO PAGAMENTO],$B$4,LANÇ_MOV[MÊS PAGAMENTO CORRESPONDENTE],D$6,LANÇ_MOV[EMPRESA],$C$4,LANÇ_MOV[CENTRO DE CUSTOS],$D$4)</f>
        <v>0</v>
      </c>
      <c r="E255" s="206">
        <f>SUMIFS(LANÇ_MOV[VALOR LÍQUIDO],LANÇ_MOV[RECEITA OU DESPESA],"Despesa",LANÇ_MOV[CONTAS],$C255,LANÇ_MOV[PLANO DE CONTAS],REL_DRE_FINANCEIRO!$B$241,LANÇ_MOV[ANO PAGAMENTO],$B$4,LANÇ_MOV[MÊS PAGAMENTO CORRESPONDENTE],E$6,LANÇ_MOV[EMPRESA],$C$4,LANÇ_MOV[CENTRO DE CUSTOS],$D$4)</f>
        <v>0</v>
      </c>
      <c r="F255" s="206">
        <f>SUMIFS(LANÇ_MOV[VALOR LÍQUIDO],LANÇ_MOV[RECEITA OU DESPESA],"Despesa",LANÇ_MOV[CONTAS],$C255,LANÇ_MOV[PLANO DE CONTAS],REL_DRE_FINANCEIRO!$B$241,LANÇ_MOV[ANO PAGAMENTO],$B$4,LANÇ_MOV[MÊS PAGAMENTO CORRESPONDENTE],F$6,LANÇ_MOV[EMPRESA],$C$4,LANÇ_MOV[CENTRO DE CUSTOS],$D$4)</f>
        <v>0</v>
      </c>
      <c r="G255" s="206">
        <f>SUMIFS(LANÇ_MOV[VALOR LÍQUIDO],LANÇ_MOV[RECEITA OU DESPESA],"Despesa",LANÇ_MOV[CONTAS],$C255,LANÇ_MOV[PLANO DE CONTAS],REL_DRE_FINANCEIRO!$B$241,LANÇ_MOV[ANO PAGAMENTO],$B$4,LANÇ_MOV[MÊS PAGAMENTO CORRESPONDENTE],G$6,LANÇ_MOV[EMPRESA],$C$4,LANÇ_MOV[CENTRO DE CUSTOS],$D$4)</f>
        <v>0</v>
      </c>
      <c r="H255" s="206">
        <f>SUMIFS(LANÇ_MOV[VALOR LÍQUIDO],LANÇ_MOV[RECEITA OU DESPESA],"Despesa",LANÇ_MOV[CONTAS],$C255,LANÇ_MOV[PLANO DE CONTAS],REL_DRE_FINANCEIRO!$B$241,LANÇ_MOV[ANO PAGAMENTO],$B$4,LANÇ_MOV[MÊS PAGAMENTO CORRESPONDENTE],H$6,LANÇ_MOV[EMPRESA],$C$4,LANÇ_MOV[CENTRO DE CUSTOS],$D$4)</f>
        <v>0</v>
      </c>
      <c r="I255" s="206">
        <f>SUMIFS(LANÇ_MOV[VALOR LÍQUIDO],LANÇ_MOV[RECEITA OU DESPESA],"Despesa",LANÇ_MOV[CONTAS],$C255,LANÇ_MOV[PLANO DE CONTAS],REL_DRE_FINANCEIRO!$B$241,LANÇ_MOV[ANO PAGAMENTO],$B$4,LANÇ_MOV[MÊS PAGAMENTO CORRESPONDENTE],I$6,LANÇ_MOV[EMPRESA],$C$4,LANÇ_MOV[CENTRO DE CUSTOS],$D$4)</f>
        <v>0</v>
      </c>
      <c r="J255" s="206">
        <f>SUMIFS(LANÇ_MOV[VALOR LÍQUIDO],LANÇ_MOV[RECEITA OU DESPESA],"Despesa",LANÇ_MOV[CONTAS],$C255,LANÇ_MOV[PLANO DE CONTAS],REL_DRE_FINANCEIRO!$B$241,LANÇ_MOV[ANO PAGAMENTO],$B$4,LANÇ_MOV[MÊS PAGAMENTO CORRESPONDENTE],J$6,LANÇ_MOV[EMPRESA],$C$4,LANÇ_MOV[CENTRO DE CUSTOS],$D$4)</f>
        <v>0</v>
      </c>
      <c r="K255" s="206">
        <f>SUMIFS(LANÇ_MOV[VALOR LÍQUIDO],LANÇ_MOV[RECEITA OU DESPESA],"Despesa",LANÇ_MOV[CONTAS],$C255,LANÇ_MOV[PLANO DE CONTAS],REL_DRE_FINANCEIRO!$B$241,LANÇ_MOV[ANO PAGAMENTO],$B$4,LANÇ_MOV[MÊS PAGAMENTO CORRESPONDENTE],K$6,LANÇ_MOV[EMPRESA],$C$4,LANÇ_MOV[CENTRO DE CUSTOS],$D$4)</f>
        <v>0</v>
      </c>
      <c r="L255" s="206">
        <f>SUMIFS(LANÇ_MOV[VALOR LÍQUIDO],LANÇ_MOV[RECEITA OU DESPESA],"Despesa",LANÇ_MOV[CONTAS],$C255,LANÇ_MOV[PLANO DE CONTAS],REL_DRE_FINANCEIRO!$B$241,LANÇ_MOV[ANO PAGAMENTO],$B$4,LANÇ_MOV[MÊS PAGAMENTO CORRESPONDENTE],L$6,LANÇ_MOV[EMPRESA],$C$4,LANÇ_MOV[CENTRO DE CUSTOS],$D$4)</f>
        <v>0</v>
      </c>
      <c r="M255" s="206">
        <f>SUMIFS(LANÇ_MOV[VALOR LÍQUIDO],LANÇ_MOV[RECEITA OU DESPESA],"Despesa",LANÇ_MOV[CONTAS],$C255,LANÇ_MOV[PLANO DE CONTAS],REL_DRE_FINANCEIRO!$B$241,LANÇ_MOV[ANO PAGAMENTO],$B$4,LANÇ_MOV[MÊS PAGAMENTO CORRESPONDENTE],M$6,LANÇ_MOV[EMPRESA],$C$4,LANÇ_MOV[CENTRO DE CUSTOS],$D$4)</f>
        <v>0</v>
      </c>
      <c r="N255" s="206">
        <f>SUMIFS(LANÇ_MOV[VALOR LÍQUIDO],LANÇ_MOV[RECEITA OU DESPESA],"Despesa",LANÇ_MOV[CONTAS],$C255,LANÇ_MOV[PLANO DE CONTAS],REL_DRE_FINANCEIRO!$B$241,LANÇ_MOV[ANO PAGAMENTO],$B$4,LANÇ_MOV[MÊS PAGAMENTO CORRESPONDENTE],N$6,LANÇ_MOV[EMPRESA],$C$4,LANÇ_MOV[CENTRO DE CUSTOS],$D$4)</f>
        <v>0</v>
      </c>
      <c r="O255" s="206">
        <f>SUMIFS(LANÇ_MOV[VALOR LÍQUIDO],LANÇ_MOV[RECEITA OU DESPESA],"Despesa",LANÇ_MOV[CONTAS],$C255,LANÇ_MOV[PLANO DE CONTAS],REL_DRE_FINANCEIRO!$B$241,LANÇ_MOV[ANO PAGAMENTO],$B$4,LANÇ_MOV[MÊS PAGAMENTO CORRESPONDENTE],O$6,LANÇ_MOV[EMPRESA],$C$4,LANÇ_MOV[CENTRO DE CUSTOS],$D$4)</f>
        <v>0</v>
      </c>
      <c r="P255" s="207">
        <f t="shared" si="43"/>
        <v>0</v>
      </c>
      <c r="Q255" s="329">
        <v>8.6999999999999997E-6</v>
      </c>
      <c r="R255" s="346">
        <f t="shared" si="44"/>
        <v>8.6999999999999997E-6</v>
      </c>
      <c r="S255" s="347" t="str">
        <f t="shared" si="45"/>
        <v>FRETES</v>
      </c>
      <c r="T255" s="347">
        <f t="shared" si="46"/>
        <v>0</v>
      </c>
      <c r="U255" s="347">
        <f>HLOOKUP(Apoio!$P$12,$D$240:$P$341,X255,FALSE)+Q255</f>
        <v>8.6999999999999997E-6</v>
      </c>
      <c r="V255" s="447" t="str">
        <f t="shared" si="47"/>
        <v>FRETES</v>
      </c>
      <c r="W255" s="448">
        <f>HLOOKUP(Apoio!$P$12,$D$240:$P$341,X255,FALSE)</f>
        <v>0</v>
      </c>
      <c r="X255" s="329">
        <v>16</v>
      </c>
    </row>
    <row r="256" spans="2:27" ht="30.05" customHeight="1" x14ac:dyDescent="0.35">
      <c r="B256" s="204" t="str">
        <f>'CAD_PL_REC-DESP'!N19</f>
        <v>2.2.15</v>
      </c>
      <c r="C256" s="205" t="str">
        <f>IF('CAD_PL_REC-DESP'!O19="","-",'CAD_PL_REC-DESP'!O19)</f>
        <v>GUARDA DE BENS IDENTIFICADA POR BOX N° 18</v>
      </c>
      <c r="D256" s="206">
        <f>SUMIFS(LANÇ_MOV[VALOR LÍQUIDO],LANÇ_MOV[RECEITA OU DESPESA],"Despesa",LANÇ_MOV[CONTAS],$C256,LANÇ_MOV[PLANO DE CONTAS],REL_DRE_FINANCEIRO!$B$241,LANÇ_MOV[ANO PAGAMENTO],$B$4,LANÇ_MOV[MÊS PAGAMENTO CORRESPONDENTE],D$6,LANÇ_MOV[EMPRESA],$C$4,LANÇ_MOV[CENTRO DE CUSTOS],$D$4)</f>
        <v>0</v>
      </c>
      <c r="E256" s="206">
        <f>SUMIFS(LANÇ_MOV[VALOR LÍQUIDO],LANÇ_MOV[RECEITA OU DESPESA],"Despesa",LANÇ_MOV[CONTAS],$C256,LANÇ_MOV[PLANO DE CONTAS],REL_DRE_FINANCEIRO!$B$241,LANÇ_MOV[ANO PAGAMENTO],$B$4,LANÇ_MOV[MÊS PAGAMENTO CORRESPONDENTE],E$6,LANÇ_MOV[EMPRESA],$C$4,LANÇ_MOV[CENTRO DE CUSTOS],$D$4)</f>
        <v>0</v>
      </c>
      <c r="F256" s="206">
        <f>SUMIFS(LANÇ_MOV[VALOR LÍQUIDO],LANÇ_MOV[RECEITA OU DESPESA],"Despesa",LANÇ_MOV[CONTAS],$C256,LANÇ_MOV[PLANO DE CONTAS],REL_DRE_FINANCEIRO!$B$241,LANÇ_MOV[ANO PAGAMENTO],$B$4,LANÇ_MOV[MÊS PAGAMENTO CORRESPONDENTE],F$6,LANÇ_MOV[EMPRESA],$C$4,LANÇ_MOV[CENTRO DE CUSTOS],$D$4)</f>
        <v>0</v>
      </c>
      <c r="G256" s="206">
        <f>SUMIFS(LANÇ_MOV[VALOR LÍQUIDO],LANÇ_MOV[RECEITA OU DESPESA],"Despesa",LANÇ_MOV[CONTAS],$C256,LANÇ_MOV[PLANO DE CONTAS],REL_DRE_FINANCEIRO!$B$241,LANÇ_MOV[ANO PAGAMENTO],$B$4,LANÇ_MOV[MÊS PAGAMENTO CORRESPONDENTE],G$6,LANÇ_MOV[EMPRESA],$C$4,LANÇ_MOV[CENTRO DE CUSTOS],$D$4)</f>
        <v>0</v>
      </c>
      <c r="H256" s="206">
        <f>SUMIFS(LANÇ_MOV[VALOR LÍQUIDO],LANÇ_MOV[RECEITA OU DESPESA],"Despesa",LANÇ_MOV[CONTAS],$C256,LANÇ_MOV[PLANO DE CONTAS],REL_DRE_FINANCEIRO!$B$241,LANÇ_MOV[ANO PAGAMENTO],$B$4,LANÇ_MOV[MÊS PAGAMENTO CORRESPONDENTE],H$6,LANÇ_MOV[EMPRESA],$C$4,LANÇ_MOV[CENTRO DE CUSTOS],$D$4)</f>
        <v>0</v>
      </c>
      <c r="I256" s="206">
        <f>SUMIFS(LANÇ_MOV[VALOR LÍQUIDO],LANÇ_MOV[RECEITA OU DESPESA],"Despesa",LANÇ_MOV[CONTAS],$C256,LANÇ_MOV[PLANO DE CONTAS],REL_DRE_FINANCEIRO!$B$241,LANÇ_MOV[ANO PAGAMENTO],$B$4,LANÇ_MOV[MÊS PAGAMENTO CORRESPONDENTE],I$6,LANÇ_MOV[EMPRESA],$C$4,LANÇ_MOV[CENTRO DE CUSTOS],$D$4)</f>
        <v>0</v>
      </c>
      <c r="J256" s="206">
        <f>SUMIFS(LANÇ_MOV[VALOR LÍQUIDO],LANÇ_MOV[RECEITA OU DESPESA],"Despesa",LANÇ_MOV[CONTAS],$C256,LANÇ_MOV[PLANO DE CONTAS],REL_DRE_FINANCEIRO!$B$241,LANÇ_MOV[ANO PAGAMENTO],$B$4,LANÇ_MOV[MÊS PAGAMENTO CORRESPONDENTE],J$6,LANÇ_MOV[EMPRESA],$C$4,LANÇ_MOV[CENTRO DE CUSTOS],$D$4)</f>
        <v>0</v>
      </c>
      <c r="K256" s="206">
        <f>SUMIFS(LANÇ_MOV[VALOR LÍQUIDO],LANÇ_MOV[RECEITA OU DESPESA],"Despesa",LANÇ_MOV[CONTAS],$C256,LANÇ_MOV[PLANO DE CONTAS],REL_DRE_FINANCEIRO!$B$241,LANÇ_MOV[ANO PAGAMENTO],$B$4,LANÇ_MOV[MÊS PAGAMENTO CORRESPONDENTE],K$6,LANÇ_MOV[EMPRESA],$C$4,LANÇ_MOV[CENTRO DE CUSTOS],$D$4)</f>
        <v>0</v>
      </c>
      <c r="L256" s="206">
        <f>SUMIFS(LANÇ_MOV[VALOR LÍQUIDO],LANÇ_MOV[RECEITA OU DESPESA],"Despesa",LANÇ_MOV[CONTAS],$C256,LANÇ_MOV[PLANO DE CONTAS],REL_DRE_FINANCEIRO!$B$241,LANÇ_MOV[ANO PAGAMENTO],$B$4,LANÇ_MOV[MÊS PAGAMENTO CORRESPONDENTE],L$6,LANÇ_MOV[EMPRESA],$C$4,LANÇ_MOV[CENTRO DE CUSTOS],$D$4)</f>
        <v>0</v>
      </c>
      <c r="M256" s="206">
        <f>SUMIFS(LANÇ_MOV[VALOR LÍQUIDO],LANÇ_MOV[RECEITA OU DESPESA],"Despesa",LANÇ_MOV[CONTAS],$C256,LANÇ_MOV[PLANO DE CONTAS],REL_DRE_FINANCEIRO!$B$241,LANÇ_MOV[ANO PAGAMENTO],$B$4,LANÇ_MOV[MÊS PAGAMENTO CORRESPONDENTE],M$6,LANÇ_MOV[EMPRESA],$C$4,LANÇ_MOV[CENTRO DE CUSTOS],$D$4)</f>
        <v>0</v>
      </c>
      <c r="N256" s="206">
        <f>SUMIFS(LANÇ_MOV[VALOR LÍQUIDO],LANÇ_MOV[RECEITA OU DESPESA],"Despesa",LANÇ_MOV[CONTAS],$C256,LANÇ_MOV[PLANO DE CONTAS],REL_DRE_FINANCEIRO!$B$241,LANÇ_MOV[ANO PAGAMENTO],$B$4,LANÇ_MOV[MÊS PAGAMENTO CORRESPONDENTE],N$6,LANÇ_MOV[EMPRESA],$C$4,LANÇ_MOV[CENTRO DE CUSTOS],$D$4)</f>
        <v>0</v>
      </c>
      <c r="O256" s="206">
        <f>SUMIFS(LANÇ_MOV[VALOR LÍQUIDO],LANÇ_MOV[RECEITA OU DESPESA],"Despesa",LANÇ_MOV[CONTAS],$C256,LANÇ_MOV[PLANO DE CONTAS],REL_DRE_FINANCEIRO!$B$241,LANÇ_MOV[ANO PAGAMENTO],$B$4,LANÇ_MOV[MÊS PAGAMENTO CORRESPONDENTE],O$6,LANÇ_MOV[EMPRESA],$C$4,LANÇ_MOV[CENTRO DE CUSTOS],$D$4)</f>
        <v>0</v>
      </c>
      <c r="P256" s="207">
        <f t="shared" si="43"/>
        <v>0</v>
      </c>
      <c r="Q256" s="329">
        <v>8.6000000000000007E-6</v>
      </c>
      <c r="R256" s="346">
        <f t="shared" si="44"/>
        <v>8.6000000000000007E-6</v>
      </c>
      <c r="S256" s="347" t="str">
        <f t="shared" si="45"/>
        <v>GUARDA DE BENS IDENTIFICADA POR BOX N° 18</v>
      </c>
      <c r="T256" s="347">
        <f t="shared" si="46"/>
        <v>0</v>
      </c>
      <c r="U256" s="347">
        <f>HLOOKUP(Apoio!$P$12,$D$240:$P$341,X256,FALSE)+Q256</f>
        <v>8.6000000000000007E-6</v>
      </c>
      <c r="V256" s="447" t="str">
        <f t="shared" si="47"/>
        <v>GUARDA DE BENS IDENTIFICADA POR BOX N° 18</v>
      </c>
      <c r="W256" s="448">
        <f>HLOOKUP(Apoio!$P$12,$D$240:$P$341,X256,FALSE)</f>
        <v>0</v>
      </c>
      <c r="X256" s="329">
        <v>17</v>
      </c>
    </row>
    <row r="257" spans="2:24" ht="30.05" customHeight="1" x14ac:dyDescent="0.35">
      <c r="B257" s="204" t="str">
        <f>'CAD_PL_REC-DESP'!N20</f>
        <v>2.2.16</v>
      </c>
      <c r="C257" s="205" t="str">
        <f>IF('CAD_PL_REC-DESP'!O20="","-",'CAD_PL_REC-DESP'!O20)</f>
        <v>HONORÁRIOS ADVOCATÍCIOS</v>
      </c>
      <c r="D257" s="206">
        <f>SUMIFS(LANÇ_MOV[VALOR LÍQUIDO],LANÇ_MOV[RECEITA OU DESPESA],"Despesa",LANÇ_MOV[CONTAS],$C257,LANÇ_MOV[PLANO DE CONTAS],REL_DRE_FINANCEIRO!$B$241,LANÇ_MOV[ANO PAGAMENTO],$B$4,LANÇ_MOV[MÊS PAGAMENTO CORRESPONDENTE],D$6,LANÇ_MOV[EMPRESA],$C$4,LANÇ_MOV[CENTRO DE CUSTOS],$D$4)</f>
        <v>0</v>
      </c>
      <c r="E257" s="206">
        <f>SUMIFS(LANÇ_MOV[VALOR LÍQUIDO],LANÇ_MOV[RECEITA OU DESPESA],"Despesa",LANÇ_MOV[CONTAS],$C257,LANÇ_MOV[PLANO DE CONTAS],REL_DRE_FINANCEIRO!$B$241,LANÇ_MOV[ANO PAGAMENTO],$B$4,LANÇ_MOV[MÊS PAGAMENTO CORRESPONDENTE],E$6,LANÇ_MOV[EMPRESA],$C$4,LANÇ_MOV[CENTRO DE CUSTOS],$D$4)</f>
        <v>0</v>
      </c>
      <c r="F257" s="206">
        <f>SUMIFS(LANÇ_MOV[VALOR LÍQUIDO],LANÇ_MOV[RECEITA OU DESPESA],"Despesa",LANÇ_MOV[CONTAS],$C257,LANÇ_MOV[PLANO DE CONTAS],REL_DRE_FINANCEIRO!$B$241,LANÇ_MOV[ANO PAGAMENTO],$B$4,LANÇ_MOV[MÊS PAGAMENTO CORRESPONDENTE],F$6,LANÇ_MOV[EMPRESA],$C$4,LANÇ_MOV[CENTRO DE CUSTOS],$D$4)</f>
        <v>0</v>
      </c>
      <c r="G257" s="206">
        <f>SUMIFS(LANÇ_MOV[VALOR LÍQUIDO],LANÇ_MOV[RECEITA OU DESPESA],"Despesa",LANÇ_MOV[CONTAS],$C257,LANÇ_MOV[PLANO DE CONTAS],REL_DRE_FINANCEIRO!$B$241,LANÇ_MOV[ANO PAGAMENTO],$B$4,LANÇ_MOV[MÊS PAGAMENTO CORRESPONDENTE],G$6,LANÇ_MOV[EMPRESA],$C$4,LANÇ_MOV[CENTRO DE CUSTOS],$D$4)</f>
        <v>0</v>
      </c>
      <c r="H257" s="206">
        <f>SUMIFS(LANÇ_MOV[VALOR LÍQUIDO],LANÇ_MOV[RECEITA OU DESPESA],"Despesa",LANÇ_MOV[CONTAS],$C257,LANÇ_MOV[PLANO DE CONTAS],REL_DRE_FINANCEIRO!$B$241,LANÇ_MOV[ANO PAGAMENTO],$B$4,LANÇ_MOV[MÊS PAGAMENTO CORRESPONDENTE],H$6,LANÇ_MOV[EMPRESA],$C$4,LANÇ_MOV[CENTRO DE CUSTOS],$D$4)</f>
        <v>0</v>
      </c>
      <c r="I257" s="206">
        <f>SUMIFS(LANÇ_MOV[VALOR LÍQUIDO],LANÇ_MOV[RECEITA OU DESPESA],"Despesa",LANÇ_MOV[CONTAS],$C257,LANÇ_MOV[PLANO DE CONTAS],REL_DRE_FINANCEIRO!$B$241,LANÇ_MOV[ANO PAGAMENTO],$B$4,LANÇ_MOV[MÊS PAGAMENTO CORRESPONDENTE],I$6,LANÇ_MOV[EMPRESA],$C$4,LANÇ_MOV[CENTRO DE CUSTOS],$D$4)</f>
        <v>0</v>
      </c>
      <c r="J257" s="206">
        <f>SUMIFS(LANÇ_MOV[VALOR LÍQUIDO],LANÇ_MOV[RECEITA OU DESPESA],"Despesa",LANÇ_MOV[CONTAS],$C257,LANÇ_MOV[PLANO DE CONTAS],REL_DRE_FINANCEIRO!$B$241,LANÇ_MOV[ANO PAGAMENTO],$B$4,LANÇ_MOV[MÊS PAGAMENTO CORRESPONDENTE],J$6,LANÇ_MOV[EMPRESA],$C$4,LANÇ_MOV[CENTRO DE CUSTOS],$D$4)</f>
        <v>0</v>
      </c>
      <c r="K257" s="206">
        <f>SUMIFS(LANÇ_MOV[VALOR LÍQUIDO],LANÇ_MOV[RECEITA OU DESPESA],"Despesa",LANÇ_MOV[CONTAS],$C257,LANÇ_MOV[PLANO DE CONTAS],REL_DRE_FINANCEIRO!$B$241,LANÇ_MOV[ANO PAGAMENTO],$B$4,LANÇ_MOV[MÊS PAGAMENTO CORRESPONDENTE],K$6,LANÇ_MOV[EMPRESA],$C$4,LANÇ_MOV[CENTRO DE CUSTOS],$D$4)</f>
        <v>0</v>
      </c>
      <c r="L257" s="206">
        <f>SUMIFS(LANÇ_MOV[VALOR LÍQUIDO],LANÇ_MOV[RECEITA OU DESPESA],"Despesa",LANÇ_MOV[CONTAS],$C257,LANÇ_MOV[PLANO DE CONTAS],REL_DRE_FINANCEIRO!$B$241,LANÇ_MOV[ANO PAGAMENTO],$B$4,LANÇ_MOV[MÊS PAGAMENTO CORRESPONDENTE],L$6,LANÇ_MOV[EMPRESA],$C$4,LANÇ_MOV[CENTRO DE CUSTOS],$D$4)</f>
        <v>0</v>
      </c>
      <c r="M257" s="206">
        <f>SUMIFS(LANÇ_MOV[VALOR LÍQUIDO],LANÇ_MOV[RECEITA OU DESPESA],"Despesa",LANÇ_MOV[CONTAS],$C257,LANÇ_MOV[PLANO DE CONTAS],REL_DRE_FINANCEIRO!$B$241,LANÇ_MOV[ANO PAGAMENTO],$B$4,LANÇ_MOV[MÊS PAGAMENTO CORRESPONDENTE],M$6,LANÇ_MOV[EMPRESA],$C$4,LANÇ_MOV[CENTRO DE CUSTOS],$D$4)</f>
        <v>0</v>
      </c>
      <c r="N257" s="206">
        <f>SUMIFS(LANÇ_MOV[VALOR LÍQUIDO],LANÇ_MOV[RECEITA OU DESPESA],"Despesa",LANÇ_MOV[CONTAS],$C257,LANÇ_MOV[PLANO DE CONTAS],REL_DRE_FINANCEIRO!$B$241,LANÇ_MOV[ANO PAGAMENTO],$B$4,LANÇ_MOV[MÊS PAGAMENTO CORRESPONDENTE],N$6,LANÇ_MOV[EMPRESA],$C$4,LANÇ_MOV[CENTRO DE CUSTOS],$D$4)</f>
        <v>1200</v>
      </c>
      <c r="O257" s="206">
        <f>SUMIFS(LANÇ_MOV[VALOR LÍQUIDO],LANÇ_MOV[RECEITA OU DESPESA],"Despesa",LANÇ_MOV[CONTAS],$C257,LANÇ_MOV[PLANO DE CONTAS],REL_DRE_FINANCEIRO!$B$241,LANÇ_MOV[ANO PAGAMENTO],$B$4,LANÇ_MOV[MÊS PAGAMENTO CORRESPONDENTE],O$6,LANÇ_MOV[EMPRESA],$C$4,LANÇ_MOV[CENTRO DE CUSTOS],$D$4)</f>
        <v>0</v>
      </c>
      <c r="P257" s="207">
        <f t="shared" si="43"/>
        <v>1200</v>
      </c>
      <c r="Q257" s="329">
        <v>8.4999999999999999E-6</v>
      </c>
      <c r="R257" s="346">
        <f t="shared" si="44"/>
        <v>1200.0000084999999</v>
      </c>
      <c r="S257" s="347" t="str">
        <f t="shared" si="45"/>
        <v>HONORÁRIOS ADVOCATÍCIOS</v>
      </c>
      <c r="T257" s="347">
        <f t="shared" si="46"/>
        <v>1200</v>
      </c>
      <c r="U257" s="347">
        <f>HLOOKUP(Apoio!$P$12,$D$240:$P$341,X257,FALSE)+Q257</f>
        <v>1200.0000084999999</v>
      </c>
      <c r="V257" s="447" t="str">
        <f t="shared" si="47"/>
        <v>HONORÁRIOS ADVOCATÍCIOS</v>
      </c>
      <c r="W257" s="448">
        <f>HLOOKUP(Apoio!$P$12,$D$240:$P$341,X257,FALSE)</f>
        <v>1200</v>
      </c>
      <c r="X257" s="329">
        <v>18</v>
      </c>
    </row>
    <row r="258" spans="2:24" ht="30.05" customHeight="1" x14ac:dyDescent="0.35">
      <c r="B258" s="204" t="str">
        <f>'CAD_PL_REC-DESP'!N21</f>
        <v>2.2.17</v>
      </c>
      <c r="C258" s="205" t="str">
        <f>IF('CAD_PL_REC-DESP'!O21="","-",'CAD_PL_REC-DESP'!O21)</f>
        <v>INFORMATICA</v>
      </c>
      <c r="D258" s="206">
        <f>SUMIFS(LANÇ_MOV[VALOR LÍQUIDO],LANÇ_MOV[RECEITA OU DESPESA],"Despesa",LANÇ_MOV[CONTAS],$C258,LANÇ_MOV[PLANO DE CONTAS],REL_DRE_FINANCEIRO!$B$241,LANÇ_MOV[ANO PAGAMENTO],$B$4,LANÇ_MOV[MÊS PAGAMENTO CORRESPONDENTE],D$6,LANÇ_MOV[EMPRESA],$C$4,LANÇ_MOV[CENTRO DE CUSTOS],$D$4)</f>
        <v>0</v>
      </c>
      <c r="E258" s="206">
        <f>SUMIFS(LANÇ_MOV[VALOR LÍQUIDO],LANÇ_MOV[RECEITA OU DESPESA],"Despesa",LANÇ_MOV[CONTAS],$C258,LANÇ_MOV[PLANO DE CONTAS],REL_DRE_FINANCEIRO!$B$241,LANÇ_MOV[ANO PAGAMENTO],$B$4,LANÇ_MOV[MÊS PAGAMENTO CORRESPONDENTE],E$6,LANÇ_MOV[EMPRESA],$C$4,LANÇ_MOV[CENTRO DE CUSTOS],$D$4)</f>
        <v>0</v>
      </c>
      <c r="F258" s="206">
        <f>SUMIFS(LANÇ_MOV[VALOR LÍQUIDO],LANÇ_MOV[RECEITA OU DESPESA],"Despesa",LANÇ_MOV[CONTAS],$C258,LANÇ_MOV[PLANO DE CONTAS],REL_DRE_FINANCEIRO!$B$241,LANÇ_MOV[ANO PAGAMENTO],$B$4,LANÇ_MOV[MÊS PAGAMENTO CORRESPONDENTE],F$6,LANÇ_MOV[EMPRESA],$C$4,LANÇ_MOV[CENTRO DE CUSTOS],$D$4)</f>
        <v>0</v>
      </c>
      <c r="G258" s="206">
        <f>SUMIFS(LANÇ_MOV[VALOR LÍQUIDO],LANÇ_MOV[RECEITA OU DESPESA],"Despesa",LANÇ_MOV[CONTAS],$C258,LANÇ_MOV[PLANO DE CONTAS],REL_DRE_FINANCEIRO!$B$241,LANÇ_MOV[ANO PAGAMENTO],$B$4,LANÇ_MOV[MÊS PAGAMENTO CORRESPONDENTE],G$6,LANÇ_MOV[EMPRESA],$C$4,LANÇ_MOV[CENTRO DE CUSTOS],$D$4)</f>
        <v>0</v>
      </c>
      <c r="H258" s="206">
        <f>SUMIFS(LANÇ_MOV[VALOR LÍQUIDO],LANÇ_MOV[RECEITA OU DESPESA],"Despesa",LANÇ_MOV[CONTAS],$C258,LANÇ_MOV[PLANO DE CONTAS],REL_DRE_FINANCEIRO!$B$241,LANÇ_MOV[ANO PAGAMENTO],$B$4,LANÇ_MOV[MÊS PAGAMENTO CORRESPONDENTE],H$6,LANÇ_MOV[EMPRESA],$C$4,LANÇ_MOV[CENTRO DE CUSTOS],$D$4)</f>
        <v>0</v>
      </c>
      <c r="I258" s="206">
        <f>SUMIFS(LANÇ_MOV[VALOR LÍQUIDO],LANÇ_MOV[RECEITA OU DESPESA],"Despesa",LANÇ_MOV[CONTAS],$C258,LANÇ_MOV[PLANO DE CONTAS],REL_DRE_FINANCEIRO!$B$241,LANÇ_MOV[ANO PAGAMENTO],$B$4,LANÇ_MOV[MÊS PAGAMENTO CORRESPONDENTE],I$6,LANÇ_MOV[EMPRESA],$C$4,LANÇ_MOV[CENTRO DE CUSTOS],$D$4)</f>
        <v>0</v>
      </c>
      <c r="J258" s="206">
        <f>SUMIFS(LANÇ_MOV[VALOR LÍQUIDO],LANÇ_MOV[RECEITA OU DESPESA],"Despesa",LANÇ_MOV[CONTAS],$C258,LANÇ_MOV[PLANO DE CONTAS],REL_DRE_FINANCEIRO!$B$241,LANÇ_MOV[ANO PAGAMENTO],$B$4,LANÇ_MOV[MÊS PAGAMENTO CORRESPONDENTE],J$6,LANÇ_MOV[EMPRESA],$C$4,LANÇ_MOV[CENTRO DE CUSTOS],$D$4)</f>
        <v>0</v>
      </c>
      <c r="K258" s="206">
        <f>SUMIFS(LANÇ_MOV[VALOR LÍQUIDO],LANÇ_MOV[RECEITA OU DESPESA],"Despesa",LANÇ_MOV[CONTAS],$C258,LANÇ_MOV[PLANO DE CONTAS],REL_DRE_FINANCEIRO!$B$241,LANÇ_MOV[ANO PAGAMENTO],$B$4,LANÇ_MOV[MÊS PAGAMENTO CORRESPONDENTE],K$6,LANÇ_MOV[EMPRESA],$C$4,LANÇ_MOV[CENTRO DE CUSTOS],$D$4)</f>
        <v>0</v>
      </c>
      <c r="L258" s="206">
        <f>SUMIFS(LANÇ_MOV[VALOR LÍQUIDO],LANÇ_MOV[RECEITA OU DESPESA],"Despesa",LANÇ_MOV[CONTAS],$C258,LANÇ_MOV[PLANO DE CONTAS],REL_DRE_FINANCEIRO!$B$241,LANÇ_MOV[ANO PAGAMENTO],$B$4,LANÇ_MOV[MÊS PAGAMENTO CORRESPONDENTE],L$6,LANÇ_MOV[EMPRESA],$C$4,LANÇ_MOV[CENTRO DE CUSTOS],$D$4)</f>
        <v>0</v>
      </c>
      <c r="M258" s="206">
        <f>SUMIFS(LANÇ_MOV[VALOR LÍQUIDO],LANÇ_MOV[RECEITA OU DESPESA],"Despesa",LANÇ_MOV[CONTAS],$C258,LANÇ_MOV[PLANO DE CONTAS],REL_DRE_FINANCEIRO!$B$241,LANÇ_MOV[ANO PAGAMENTO],$B$4,LANÇ_MOV[MÊS PAGAMENTO CORRESPONDENTE],M$6,LANÇ_MOV[EMPRESA],$C$4,LANÇ_MOV[CENTRO DE CUSTOS],$D$4)</f>
        <v>0</v>
      </c>
      <c r="N258" s="206">
        <f>SUMIFS(LANÇ_MOV[VALOR LÍQUIDO],LANÇ_MOV[RECEITA OU DESPESA],"Despesa",LANÇ_MOV[CONTAS],$C258,LANÇ_MOV[PLANO DE CONTAS],REL_DRE_FINANCEIRO!$B$241,LANÇ_MOV[ANO PAGAMENTO],$B$4,LANÇ_MOV[MÊS PAGAMENTO CORRESPONDENTE],N$6,LANÇ_MOV[EMPRESA],$C$4,LANÇ_MOV[CENTRO DE CUSTOS],$D$4)</f>
        <v>0</v>
      </c>
      <c r="O258" s="206">
        <f>SUMIFS(LANÇ_MOV[VALOR LÍQUIDO],LANÇ_MOV[RECEITA OU DESPESA],"Despesa",LANÇ_MOV[CONTAS],$C258,LANÇ_MOV[PLANO DE CONTAS],REL_DRE_FINANCEIRO!$B$241,LANÇ_MOV[ANO PAGAMENTO],$B$4,LANÇ_MOV[MÊS PAGAMENTO CORRESPONDENTE],O$6,LANÇ_MOV[EMPRESA],$C$4,LANÇ_MOV[CENTRO DE CUSTOS],$D$4)</f>
        <v>0</v>
      </c>
      <c r="P258" s="207">
        <f t="shared" si="43"/>
        <v>0</v>
      </c>
      <c r="Q258" s="329">
        <v>8.3999999999999992E-6</v>
      </c>
      <c r="R258" s="346">
        <f t="shared" si="44"/>
        <v>8.3999999999999992E-6</v>
      </c>
      <c r="S258" s="347" t="str">
        <f t="shared" si="45"/>
        <v>INFORMATICA</v>
      </c>
      <c r="T258" s="347">
        <f t="shared" si="46"/>
        <v>0</v>
      </c>
      <c r="U258" s="347">
        <f>HLOOKUP(Apoio!$P$12,$D$240:$P$341,X258,FALSE)+Q258</f>
        <v>8.3999999999999992E-6</v>
      </c>
      <c r="V258" s="447" t="str">
        <f t="shared" si="47"/>
        <v>INFORMATICA</v>
      </c>
      <c r="W258" s="448">
        <f>HLOOKUP(Apoio!$P$12,$D$240:$P$341,X258,FALSE)</f>
        <v>0</v>
      </c>
      <c r="X258" s="329">
        <v>19</v>
      </c>
    </row>
    <row r="259" spans="2:24" ht="30.05" customHeight="1" x14ac:dyDescent="0.35">
      <c r="B259" s="204" t="str">
        <f>'CAD_PL_REC-DESP'!N22</f>
        <v>2.2.18</v>
      </c>
      <c r="C259" s="205" t="str">
        <f>IF('CAD_PL_REC-DESP'!O22="","-",'CAD_PL_REC-DESP'!O22)</f>
        <v>INTERNET</v>
      </c>
      <c r="D259" s="206">
        <f>SUMIFS(LANÇ_MOV[VALOR LÍQUIDO],LANÇ_MOV[RECEITA OU DESPESA],"Despesa",LANÇ_MOV[CONTAS],$C259,LANÇ_MOV[PLANO DE CONTAS],REL_DRE_FINANCEIRO!$B$241,LANÇ_MOV[ANO PAGAMENTO],$B$4,LANÇ_MOV[MÊS PAGAMENTO CORRESPONDENTE],D$6,LANÇ_MOV[EMPRESA],$C$4,LANÇ_MOV[CENTRO DE CUSTOS],$D$4)</f>
        <v>0</v>
      </c>
      <c r="E259" s="206">
        <f>SUMIFS(LANÇ_MOV[VALOR LÍQUIDO],LANÇ_MOV[RECEITA OU DESPESA],"Despesa",LANÇ_MOV[CONTAS],$C259,LANÇ_MOV[PLANO DE CONTAS],REL_DRE_FINANCEIRO!$B$241,LANÇ_MOV[ANO PAGAMENTO],$B$4,LANÇ_MOV[MÊS PAGAMENTO CORRESPONDENTE],E$6,LANÇ_MOV[EMPRESA],$C$4,LANÇ_MOV[CENTRO DE CUSTOS],$D$4)</f>
        <v>0</v>
      </c>
      <c r="F259" s="206">
        <f>SUMIFS(LANÇ_MOV[VALOR LÍQUIDO],LANÇ_MOV[RECEITA OU DESPESA],"Despesa",LANÇ_MOV[CONTAS],$C259,LANÇ_MOV[PLANO DE CONTAS],REL_DRE_FINANCEIRO!$B$241,LANÇ_MOV[ANO PAGAMENTO],$B$4,LANÇ_MOV[MÊS PAGAMENTO CORRESPONDENTE],F$6,LANÇ_MOV[EMPRESA],$C$4,LANÇ_MOV[CENTRO DE CUSTOS],$D$4)</f>
        <v>0</v>
      </c>
      <c r="G259" s="206">
        <f>SUMIFS(LANÇ_MOV[VALOR LÍQUIDO],LANÇ_MOV[RECEITA OU DESPESA],"Despesa",LANÇ_MOV[CONTAS],$C259,LANÇ_MOV[PLANO DE CONTAS],REL_DRE_FINANCEIRO!$B$241,LANÇ_MOV[ANO PAGAMENTO],$B$4,LANÇ_MOV[MÊS PAGAMENTO CORRESPONDENTE],G$6,LANÇ_MOV[EMPRESA],$C$4,LANÇ_MOV[CENTRO DE CUSTOS],$D$4)</f>
        <v>0</v>
      </c>
      <c r="H259" s="206">
        <f>SUMIFS(LANÇ_MOV[VALOR LÍQUIDO],LANÇ_MOV[RECEITA OU DESPESA],"Despesa",LANÇ_MOV[CONTAS],$C259,LANÇ_MOV[PLANO DE CONTAS],REL_DRE_FINANCEIRO!$B$241,LANÇ_MOV[ANO PAGAMENTO],$B$4,LANÇ_MOV[MÊS PAGAMENTO CORRESPONDENTE],H$6,LANÇ_MOV[EMPRESA],$C$4,LANÇ_MOV[CENTRO DE CUSTOS],$D$4)</f>
        <v>0</v>
      </c>
      <c r="I259" s="206">
        <f>SUMIFS(LANÇ_MOV[VALOR LÍQUIDO],LANÇ_MOV[RECEITA OU DESPESA],"Despesa",LANÇ_MOV[CONTAS],$C259,LANÇ_MOV[PLANO DE CONTAS],REL_DRE_FINANCEIRO!$B$241,LANÇ_MOV[ANO PAGAMENTO],$B$4,LANÇ_MOV[MÊS PAGAMENTO CORRESPONDENTE],I$6,LANÇ_MOV[EMPRESA],$C$4,LANÇ_MOV[CENTRO DE CUSTOS],$D$4)</f>
        <v>0</v>
      </c>
      <c r="J259" s="206">
        <f>SUMIFS(LANÇ_MOV[VALOR LÍQUIDO],LANÇ_MOV[RECEITA OU DESPESA],"Despesa",LANÇ_MOV[CONTAS],$C259,LANÇ_MOV[PLANO DE CONTAS],REL_DRE_FINANCEIRO!$B$241,LANÇ_MOV[ANO PAGAMENTO],$B$4,LANÇ_MOV[MÊS PAGAMENTO CORRESPONDENTE],J$6,LANÇ_MOV[EMPRESA],$C$4,LANÇ_MOV[CENTRO DE CUSTOS],$D$4)</f>
        <v>0</v>
      </c>
      <c r="K259" s="206">
        <f>SUMIFS(LANÇ_MOV[VALOR LÍQUIDO],LANÇ_MOV[RECEITA OU DESPESA],"Despesa",LANÇ_MOV[CONTAS],$C259,LANÇ_MOV[PLANO DE CONTAS],REL_DRE_FINANCEIRO!$B$241,LANÇ_MOV[ANO PAGAMENTO],$B$4,LANÇ_MOV[MÊS PAGAMENTO CORRESPONDENTE],K$6,LANÇ_MOV[EMPRESA],$C$4,LANÇ_MOV[CENTRO DE CUSTOS],$D$4)</f>
        <v>0</v>
      </c>
      <c r="L259" s="206">
        <f>SUMIFS(LANÇ_MOV[VALOR LÍQUIDO],LANÇ_MOV[RECEITA OU DESPESA],"Despesa",LANÇ_MOV[CONTAS],$C259,LANÇ_MOV[PLANO DE CONTAS],REL_DRE_FINANCEIRO!$B$241,LANÇ_MOV[ANO PAGAMENTO],$B$4,LANÇ_MOV[MÊS PAGAMENTO CORRESPONDENTE],L$6,LANÇ_MOV[EMPRESA],$C$4,LANÇ_MOV[CENTRO DE CUSTOS],$D$4)</f>
        <v>0</v>
      </c>
      <c r="M259" s="206">
        <f>SUMIFS(LANÇ_MOV[VALOR LÍQUIDO],LANÇ_MOV[RECEITA OU DESPESA],"Despesa",LANÇ_MOV[CONTAS],$C259,LANÇ_MOV[PLANO DE CONTAS],REL_DRE_FINANCEIRO!$B$241,LANÇ_MOV[ANO PAGAMENTO],$B$4,LANÇ_MOV[MÊS PAGAMENTO CORRESPONDENTE],M$6,LANÇ_MOV[EMPRESA],$C$4,LANÇ_MOV[CENTRO DE CUSTOS],$D$4)</f>
        <v>0</v>
      </c>
      <c r="N259" s="206">
        <f>SUMIFS(LANÇ_MOV[VALOR LÍQUIDO],LANÇ_MOV[RECEITA OU DESPESA],"Despesa",LANÇ_MOV[CONTAS],$C259,LANÇ_MOV[PLANO DE CONTAS],REL_DRE_FINANCEIRO!$B$241,LANÇ_MOV[ANO PAGAMENTO],$B$4,LANÇ_MOV[MÊS PAGAMENTO CORRESPONDENTE],N$6,LANÇ_MOV[EMPRESA],$C$4,LANÇ_MOV[CENTRO DE CUSTOS],$D$4)</f>
        <v>0</v>
      </c>
      <c r="O259" s="206">
        <f>SUMIFS(LANÇ_MOV[VALOR LÍQUIDO],LANÇ_MOV[RECEITA OU DESPESA],"Despesa",LANÇ_MOV[CONTAS],$C259,LANÇ_MOV[PLANO DE CONTAS],REL_DRE_FINANCEIRO!$B$241,LANÇ_MOV[ANO PAGAMENTO],$B$4,LANÇ_MOV[MÊS PAGAMENTO CORRESPONDENTE],O$6,LANÇ_MOV[EMPRESA],$C$4,LANÇ_MOV[CENTRO DE CUSTOS],$D$4)</f>
        <v>0</v>
      </c>
      <c r="P259" s="207">
        <f t="shared" si="43"/>
        <v>0</v>
      </c>
      <c r="Q259" s="329">
        <v>8.3000000000000002E-6</v>
      </c>
      <c r="R259" s="346">
        <f t="shared" si="44"/>
        <v>8.3000000000000002E-6</v>
      </c>
      <c r="S259" s="347" t="str">
        <f t="shared" si="45"/>
        <v>INTERNET</v>
      </c>
      <c r="T259" s="347">
        <f t="shared" si="46"/>
        <v>0</v>
      </c>
      <c r="U259" s="347">
        <f>HLOOKUP(Apoio!$P$12,$D$240:$P$341,X259,FALSE)+Q259</f>
        <v>8.3000000000000002E-6</v>
      </c>
      <c r="V259" s="447" t="str">
        <f t="shared" si="47"/>
        <v>INTERNET</v>
      </c>
      <c r="W259" s="448">
        <f>HLOOKUP(Apoio!$P$12,$D$240:$P$341,X259,FALSE)</f>
        <v>0</v>
      </c>
      <c r="X259" s="329">
        <v>20</v>
      </c>
    </row>
    <row r="260" spans="2:24" ht="30.05" customHeight="1" x14ac:dyDescent="0.35">
      <c r="B260" s="204" t="str">
        <f>'CAD_PL_REC-DESP'!N23</f>
        <v>2.2.19</v>
      </c>
      <c r="C260" s="205" t="str">
        <f>IF('CAD_PL_REC-DESP'!O23="","-",'CAD_PL_REC-DESP'!O23)</f>
        <v>LANCHE</v>
      </c>
      <c r="D260" s="206">
        <f>SUMIFS(LANÇ_MOV[VALOR LÍQUIDO],LANÇ_MOV[RECEITA OU DESPESA],"Despesa",LANÇ_MOV[CONTAS],$C260,LANÇ_MOV[PLANO DE CONTAS],REL_DRE_FINANCEIRO!$B$241,LANÇ_MOV[ANO PAGAMENTO],$B$4,LANÇ_MOV[MÊS PAGAMENTO CORRESPONDENTE],D$6,LANÇ_MOV[EMPRESA],$C$4,LANÇ_MOV[CENTRO DE CUSTOS],$D$4)</f>
        <v>0</v>
      </c>
      <c r="E260" s="206">
        <f>SUMIFS(LANÇ_MOV[VALOR LÍQUIDO],LANÇ_MOV[RECEITA OU DESPESA],"Despesa",LANÇ_MOV[CONTAS],$C260,LANÇ_MOV[PLANO DE CONTAS],REL_DRE_FINANCEIRO!$B$241,LANÇ_MOV[ANO PAGAMENTO],$B$4,LANÇ_MOV[MÊS PAGAMENTO CORRESPONDENTE],E$6,LANÇ_MOV[EMPRESA],$C$4,LANÇ_MOV[CENTRO DE CUSTOS],$D$4)</f>
        <v>0</v>
      </c>
      <c r="F260" s="206">
        <f>SUMIFS(LANÇ_MOV[VALOR LÍQUIDO],LANÇ_MOV[RECEITA OU DESPESA],"Despesa",LANÇ_MOV[CONTAS],$C260,LANÇ_MOV[PLANO DE CONTAS],REL_DRE_FINANCEIRO!$B$241,LANÇ_MOV[ANO PAGAMENTO],$B$4,LANÇ_MOV[MÊS PAGAMENTO CORRESPONDENTE],F$6,LANÇ_MOV[EMPRESA],$C$4,LANÇ_MOV[CENTRO DE CUSTOS],$D$4)</f>
        <v>0</v>
      </c>
      <c r="G260" s="206">
        <f>SUMIFS(LANÇ_MOV[VALOR LÍQUIDO],LANÇ_MOV[RECEITA OU DESPESA],"Despesa",LANÇ_MOV[CONTAS],$C260,LANÇ_MOV[PLANO DE CONTAS],REL_DRE_FINANCEIRO!$B$241,LANÇ_MOV[ANO PAGAMENTO],$B$4,LANÇ_MOV[MÊS PAGAMENTO CORRESPONDENTE],G$6,LANÇ_MOV[EMPRESA],$C$4,LANÇ_MOV[CENTRO DE CUSTOS],$D$4)</f>
        <v>0</v>
      </c>
      <c r="H260" s="206">
        <f>SUMIFS(LANÇ_MOV[VALOR LÍQUIDO],LANÇ_MOV[RECEITA OU DESPESA],"Despesa",LANÇ_MOV[CONTAS],$C260,LANÇ_MOV[PLANO DE CONTAS],REL_DRE_FINANCEIRO!$B$241,LANÇ_MOV[ANO PAGAMENTO],$B$4,LANÇ_MOV[MÊS PAGAMENTO CORRESPONDENTE],H$6,LANÇ_MOV[EMPRESA],$C$4,LANÇ_MOV[CENTRO DE CUSTOS],$D$4)</f>
        <v>0</v>
      </c>
      <c r="I260" s="206">
        <f>SUMIFS(LANÇ_MOV[VALOR LÍQUIDO],LANÇ_MOV[RECEITA OU DESPESA],"Despesa",LANÇ_MOV[CONTAS],$C260,LANÇ_MOV[PLANO DE CONTAS],REL_DRE_FINANCEIRO!$B$241,LANÇ_MOV[ANO PAGAMENTO],$B$4,LANÇ_MOV[MÊS PAGAMENTO CORRESPONDENTE],I$6,LANÇ_MOV[EMPRESA],$C$4,LANÇ_MOV[CENTRO DE CUSTOS],$D$4)</f>
        <v>0</v>
      </c>
      <c r="J260" s="206">
        <f>SUMIFS(LANÇ_MOV[VALOR LÍQUIDO],LANÇ_MOV[RECEITA OU DESPESA],"Despesa",LANÇ_MOV[CONTAS],$C260,LANÇ_MOV[PLANO DE CONTAS],REL_DRE_FINANCEIRO!$B$241,LANÇ_MOV[ANO PAGAMENTO],$B$4,LANÇ_MOV[MÊS PAGAMENTO CORRESPONDENTE],J$6,LANÇ_MOV[EMPRESA],$C$4,LANÇ_MOV[CENTRO DE CUSTOS],$D$4)</f>
        <v>0</v>
      </c>
      <c r="K260" s="206">
        <f>SUMIFS(LANÇ_MOV[VALOR LÍQUIDO],LANÇ_MOV[RECEITA OU DESPESA],"Despesa",LANÇ_MOV[CONTAS],$C260,LANÇ_MOV[PLANO DE CONTAS],REL_DRE_FINANCEIRO!$B$241,LANÇ_MOV[ANO PAGAMENTO],$B$4,LANÇ_MOV[MÊS PAGAMENTO CORRESPONDENTE],K$6,LANÇ_MOV[EMPRESA],$C$4,LANÇ_MOV[CENTRO DE CUSTOS],$D$4)</f>
        <v>0</v>
      </c>
      <c r="L260" s="206">
        <f>SUMIFS(LANÇ_MOV[VALOR LÍQUIDO],LANÇ_MOV[RECEITA OU DESPESA],"Despesa",LANÇ_MOV[CONTAS],$C260,LANÇ_MOV[PLANO DE CONTAS],REL_DRE_FINANCEIRO!$B$241,LANÇ_MOV[ANO PAGAMENTO],$B$4,LANÇ_MOV[MÊS PAGAMENTO CORRESPONDENTE],L$6,LANÇ_MOV[EMPRESA],$C$4,LANÇ_MOV[CENTRO DE CUSTOS],$D$4)</f>
        <v>0</v>
      </c>
      <c r="M260" s="206">
        <f>SUMIFS(LANÇ_MOV[VALOR LÍQUIDO],LANÇ_MOV[RECEITA OU DESPESA],"Despesa",LANÇ_MOV[CONTAS],$C260,LANÇ_MOV[PLANO DE CONTAS],REL_DRE_FINANCEIRO!$B$241,LANÇ_MOV[ANO PAGAMENTO],$B$4,LANÇ_MOV[MÊS PAGAMENTO CORRESPONDENTE],M$6,LANÇ_MOV[EMPRESA],$C$4,LANÇ_MOV[CENTRO DE CUSTOS],$D$4)</f>
        <v>0</v>
      </c>
      <c r="N260" s="206">
        <f>SUMIFS(LANÇ_MOV[VALOR LÍQUIDO],LANÇ_MOV[RECEITA OU DESPESA],"Despesa",LANÇ_MOV[CONTAS],$C260,LANÇ_MOV[PLANO DE CONTAS],REL_DRE_FINANCEIRO!$B$241,LANÇ_MOV[ANO PAGAMENTO],$B$4,LANÇ_MOV[MÊS PAGAMENTO CORRESPONDENTE],N$6,LANÇ_MOV[EMPRESA],$C$4,LANÇ_MOV[CENTRO DE CUSTOS],$D$4)</f>
        <v>0</v>
      </c>
      <c r="O260" s="206">
        <f>SUMIFS(LANÇ_MOV[VALOR LÍQUIDO],LANÇ_MOV[RECEITA OU DESPESA],"Despesa",LANÇ_MOV[CONTAS],$C260,LANÇ_MOV[PLANO DE CONTAS],REL_DRE_FINANCEIRO!$B$241,LANÇ_MOV[ANO PAGAMENTO],$B$4,LANÇ_MOV[MÊS PAGAMENTO CORRESPONDENTE],O$6,LANÇ_MOV[EMPRESA],$C$4,LANÇ_MOV[CENTRO DE CUSTOS],$D$4)</f>
        <v>0</v>
      </c>
      <c r="P260" s="207">
        <f t="shared" si="43"/>
        <v>0</v>
      </c>
      <c r="Q260" s="329">
        <v>8.1999999999999994E-6</v>
      </c>
      <c r="R260" s="346">
        <f t="shared" si="44"/>
        <v>8.1999999999999994E-6</v>
      </c>
      <c r="S260" s="347" t="str">
        <f t="shared" si="45"/>
        <v>LANCHE</v>
      </c>
      <c r="T260" s="347">
        <f t="shared" si="46"/>
        <v>0</v>
      </c>
      <c r="U260" s="347">
        <f>HLOOKUP(Apoio!$P$12,$D$240:$P$341,X260,FALSE)+Q260</f>
        <v>8.1999999999999994E-6</v>
      </c>
      <c r="V260" s="447" t="str">
        <f t="shared" si="47"/>
        <v>LANCHE</v>
      </c>
      <c r="W260" s="448">
        <f>HLOOKUP(Apoio!$P$12,$D$240:$P$341,X260,FALSE)</f>
        <v>0</v>
      </c>
      <c r="X260" s="329">
        <v>21</v>
      </c>
    </row>
    <row r="261" spans="2:24" ht="30.05" customHeight="1" x14ac:dyDescent="0.35">
      <c r="B261" s="204" t="str">
        <f>'CAD_PL_REC-DESP'!N24</f>
        <v>2.2.20</v>
      </c>
      <c r="C261" s="205" t="str">
        <f>IF('CAD_PL_REC-DESP'!O24="","-",'CAD_PL_REC-DESP'!O24)</f>
        <v>MANUTENÇÃO ESCRITÓRIO</v>
      </c>
      <c r="D261" s="206">
        <f>SUMIFS(LANÇ_MOV[VALOR LÍQUIDO],LANÇ_MOV[RECEITA OU DESPESA],"Despesa",LANÇ_MOV[CONTAS],$C261,LANÇ_MOV[PLANO DE CONTAS],REL_DRE_FINANCEIRO!$B$241,LANÇ_MOV[ANO PAGAMENTO],$B$4,LANÇ_MOV[MÊS PAGAMENTO CORRESPONDENTE],D$6,LANÇ_MOV[EMPRESA],$C$4,LANÇ_MOV[CENTRO DE CUSTOS],$D$4)</f>
        <v>0</v>
      </c>
      <c r="E261" s="206">
        <f>SUMIFS(LANÇ_MOV[VALOR LÍQUIDO],LANÇ_MOV[RECEITA OU DESPESA],"Despesa",LANÇ_MOV[CONTAS],$C261,LANÇ_MOV[PLANO DE CONTAS],REL_DRE_FINANCEIRO!$B$241,LANÇ_MOV[ANO PAGAMENTO],$B$4,LANÇ_MOV[MÊS PAGAMENTO CORRESPONDENTE],E$6,LANÇ_MOV[EMPRESA],$C$4,LANÇ_MOV[CENTRO DE CUSTOS],$D$4)</f>
        <v>0</v>
      </c>
      <c r="F261" s="206">
        <f>SUMIFS(LANÇ_MOV[VALOR LÍQUIDO],LANÇ_MOV[RECEITA OU DESPESA],"Despesa",LANÇ_MOV[CONTAS],$C261,LANÇ_MOV[PLANO DE CONTAS],REL_DRE_FINANCEIRO!$B$241,LANÇ_MOV[ANO PAGAMENTO],$B$4,LANÇ_MOV[MÊS PAGAMENTO CORRESPONDENTE],F$6,LANÇ_MOV[EMPRESA],$C$4,LANÇ_MOV[CENTRO DE CUSTOS],$D$4)</f>
        <v>0</v>
      </c>
      <c r="G261" s="206">
        <f>SUMIFS(LANÇ_MOV[VALOR LÍQUIDO],LANÇ_MOV[RECEITA OU DESPESA],"Despesa",LANÇ_MOV[CONTAS],$C261,LANÇ_MOV[PLANO DE CONTAS],REL_DRE_FINANCEIRO!$B$241,LANÇ_MOV[ANO PAGAMENTO],$B$4,LANÇ_MOV[MÊS PAGAMENTO CORRESPONDENTE],G$6,LANÇ_MOV[EMPRESA],$C$4,LANÇ_MOV[CENTRO DE CUSTOS],$D$4)</f>
        <v>0</v>
      </c>
      <c r="H261" s="206">
        <f>SUMIFS(LANÇ_MOV[VALOR LÍQUIDO],LANÇ_MOV[RECEITA OU DESPESA],"Despesa",LANÇ_MOV[CONTAS],$C261,LANÇ_MOV[PLANO DE CONTAS],REL_DRE_FINANCEIRO!$B$241,LANÇ_MOV[ANO PAGAMENTO],$B$4,LANÇ_MOV[MÊS PAGAMENTO CORRESPONDENTE],H$6,LANÇ_MOV[EMPRESA],$C$4,LANÇ_MOV[CENTRO DE CUSTOS],$D$4)</f>
        <v>0</v>
      </c>
      <c r="I261" s="206">
        <f>SUMIFS(LANÇ_MOV[VALOR LÍQUIDO],LANÇ_MOV[RECEITA OU DESPESA],"Despesa",LANÇ_MOV[CONTAS],$C261,LANÇ_MOV[PLANO DE CONTAS],REL_DRE_FINANCEIRO!$B$241,LANÇ_MOV[ANO PAGAMENTO],$B$4,LANÇ_MOV[MÊS PAGAMENTO CORRESPONDENTE],I$6,LANÇ_MOV[EMPRESA],$C$4,LANÇ_MOV[CENTRO DE CUSTOS],$D$4)</f>
        <v>0</v>
      </c>
      <c r="J261" s="206">
        <f>SUMIFS(LANÇ_MOV[VALOR LÍQUIDO],LANÇ_MOV[RECEITA OU DESPESA],"Despesa",LANÇ_MOV[CONTAS],$C261,LANÇ_MOV[PLANO DE CONTAS],REL_DRE_FINANCEIRO!$B$241,LANÇ_MOV[ANO PAGAMENTO],$B$4,LANÇ_MOV[MÊS PAGAMENTO CORRESPONDENTE],J$6,LANÇ_MOV[EMPRESA],$C$4,LANÇ_MOV[CENTRO DE CUSTOS],$D$4)</f>
        <v>0</v>
      </c>
      <c r="K261" s="206">
        <f>SUMIFS(LANÇ_MOV[VALOR LÍQUIDO],LANÇ_MOV[RECEITA OU DESPESA],"Despesa",LANÇ_MOV[CONTAS],$C261,LANÇ_MOV[PLANO DE CONTAS],REL_DRE_FINANCEIRO!$B$241,LANÇ_MOV[ANO PAGAMENTO],$B$4,LANÇ_MOV[MÊS PAGAMENTO CORRESPONDENTE],K$6,LANÇ_MOV[EMPRESA],$C$4,LANÇ_MOV[CENTRO DE CUSTOS],$D$4)</f>
        <v>0</v>
      </c>
      <c r="L261" s="206">
        <f>SUMIFS(LANÇ_MOV[VALOR LÍQUIDO],LANÇ_MOV[RECEITA OU DESPESA],"Despesa",LANÇ_MOV[CONTAS],$C261,LANÇ_MOV[PLANO DE CONTAS],REL_DRE_FINANCEIRO!$B$241,LANÇ_MOV[ANO PAGAMENTO],$B$4,LANÇ_MOV[MÊS PAGAMENTO CORRESPONDENTE],L$6,LANÇ_MOV[EMPRESA],$C$4,LANÇ_MOV[CENTRO DE CUSTOS],$D$4)</f>
        <v>0</v>
      </c>
      <c r="M261" s="206">
        <f>SUMIFS(LANÇ_MOV[VALOR LÍQUIDO],LANÇ_MOV[RECEITA OU DESPESA],"Despesa",LANÇ_MOV[CONTAS],$C261,LANÇ_MOV[PLANO DE CONTAS],REL_DRE_FINANCEIRO!$B$241,LANÇ_MOV[ANO PAGAMENTO],$B$4,LANÇ_MOV[MÊS PAGAMENTO CORRESPONDENTE],M$6,LANÇ_MOV[EMPRESA],$C$4,LANÇ_MOV[CENTRO DE CUSTOS],$D$4)</f>
        <v>0</v>
      </c>
      <c r="N261" s="206">
        <f>SUMIFS(LANÇ_MOV[VALOR LÍQUIDO],LANÇ_MOV[RECEITA OU DESPESA],"Despesa",LANÇ_MOV[CONTAS],$C261,LANÇ_MOV[PLANO DE CONTAS],REL_DRE_FINANCEIRO!$B$241,LANÇ_MOV[ANO PAGAMENTO],$B$4,LANÇ_MOV[MÊS PAGAMENTO CORRESPONDENTE],N$6,LANÇ_MOV[EMPRESA],$C$4,LANÇ_MOV[CENTRO DE CUSTOS],$D$4)</f>
        <v>0</v>
      </c>
      <c r="O261" s="206">
        <f>SUMIFS(LANÇ_MOV[VALOR LÍQUIDO],LANÇ_MOV[RECEITA OU DESPESA],"Despesa",LANÇ_MOV[CONTAS],$C261,LANÇ_MOV[PLANO DE CONTAS],REL_DRE_FINANCEIRO!$B$241,LANÇ_MOV[ANO PAGAMENTO],$B$4,LANÇ_MOV[MÊS PAGAMENTO CORRESPONDENTE],O$6,LANÇ_MOV[EMPRESA],$C$4,LANÇ_MOV[CENTRO DE CUSTOS],$D$4)</f>
        <v>0</v>
      </c>
      <c r="P261" s="207">
        <f t="shared" si="43"/>
        <v>0</v>
      </c>
      <c r="Q261" s="329">
        <v>8.1000000000000004E-6</v>
      </c>
      <c r="R261" s="346">
        <f t="shared" si="44"/>
        <v>8.1000000000000004E-6</v>
      </c>
      <c r="S261" s="347" t="str">
        <f t="shared" si="45"/>
        <v>MANUTENÇÃO ESCRITÓRIO</v>
      </c>
      <c r="T261" s="347">
        <f t="shared" si="46"/>
        <v>0</v>
      </c>
      <c r="U261" s="347">
        <f>HLOOKUP(Apoio!$P$12,$D$240:$P$341,X261,FALSE)+Q261</f>
        <v>8.1000000000000004E-6</v>
      </c>
      <c r="V261" s="447" t="str">
        <f t="shared" si="47"/>
        <v>MANUTENÇÃO ESCRITÓRIO</v>
      </c>
      <c r="W261" s="448">
        <f>HLOOKUP(Apoio!$P$12,$D$240:$P$341,X261,FALSE)</f>
        <v>0</v>
      </c>
      <c r="X261" s="329">
        <v>22</v>
      </c>
    </row>
    <row r="262" spans="2:24" ht="30.05" customHeight="1" x14ac:dyDescent="0.35">
      <c r="B262" s="204" t="str">
        <f>'CAD_PL_REC-DESP'!N25</f>
        <v>2.2.21</v>
      </c>
      <c r="C262" s="205" t="str">
        <f>IF('CAD_PL_REC-DESP'!O25="","-",'CAD_PL_REC-DESP'!O25)</f>
        <v>MATERIAL DE LIMPEZA</v>
      </c>
      <c r="D262" s="206">
        <f>SUMIFS(LANÇ_MOV[VALOR LÍQUIDO],LANÇ_MOV[RECEITA OU DESPESA],"Despesa",LANÇ_MOV[CONTAS],$C262,LANÇ_MOV[PLANO DE CONTAS],REL_DRE_FINANCEIRO!$B$241,LANÇ_MOV[ANO PAGAMENTO],$B$4,LANÇ_MOV[MÊS PAGAMENTO CORRESPONDENTE],D$6,LANÇ_MOV[EMPRESA],$C$4,LANÇ_MOV[CENTRO DE CUSTOS],$D$4)</f>
        <v>0</v>
      </c>
      <c r="E262" s="206">
        <f>SUMIFS(LANÇ_MOV[VALOR LÍQUIDO],LANÇ_MOV[RECEITA OU DESPESA],"Despesa",LANÇ_MOV[CONTAS],$C262,LANÇ_MOV[PLANO DE CONTAS],REL_DRE_FINANCEIRO!$B$241,LANÇ_MOV[ANO PAGAMENTO],$B$4,LANÇ_MOV[MÊS PAGAMENTO CORRESPONDENTE],E$6,LANÇ_MOV[EMPRESA],$C$4,LANÇ_MOV[CENTRO DE CUSTOS],$D$4)</f>
        <v>0</v>
      </c>
      <c r="F262" s="206">
        <f>SUMIFS(LANÇ_MOV[VALOR LÍQUIDO],LANÇ_MOV[RECEITA OU DESPESA],"Despesa",LANÇ_MOV[CONTAS],$C262,LANÇ_MOV[PLANO DE CONTAS],REL_DRE_FINANCEIRO!$B$241,LANÇ_MOV[ANO PAGAMENTO],$B$4,LANÇ_MOV[MÊS PAGAMENTO CORRESPONDENTE],F$6,LANÇ_MOV[EMPRESA],$C$4,LANÇ_MOV[CENTRO DE CUSTOS],$D$4)</f>
        <v>0</v>
      </c>
      <c r="G262" s="206">
        <f>SUMIFS(LANÇ_MOV[VALOR LÍQUIDO],LANÇ_MOV[RECEITA OU DESPESA],"Despesa",LANÇ_MOV[CONTAS],$C262,LANÇ_MOV[PLANO DE CONTAS],REL_DRE_FINANCEIRO!$B$241,LANÇ_MOV[ANO PAGAMENTO],$B$4,LANÇ_MOV[MÊS PAGAMENTO CORRESPONDENTE],G$6,LANÇ_MOV[EMPRESA],$C$4,LANÇ_MOV[CENTRO DE CUSTOS],$D$4)</f>
        <v>0</v>
      </c>
      <c r="H262" s="206">
        <f>SUMIFS(LANÇ_MOV[VALOR LÍQUIDO],LANÇ_MOV[RECEITA OU DESPESA],"Despesa",LANÇ_MOV[CONTAS],$C262,LANÇ_MOV[PLANO DE CONTAS],REL_DRE_FINANCEIRO!$B$241,LANÇ_MOV[ANO PAGAMENTO],$B$4,LANÇ_MOV[MÊS PAGAMENTO CORRESPONDENTE],H$6,LANÇ_MOV[EMPRESA],$C$4,LANÇ_MOV[CENTRO DE CUSTOS],$D$4)</f>
        <v>0</v>
      </c>
      <c r="I262" s="206">
        <f>SUMIFS(LANÇ_MOV[VALOR LÍQUIDO],LANÇ_MOV[RECEITA OU DESPESA],"Despesa",LANÇ_MOV[CONTAS],$C262,LANÇ_MOV[PLANO DE CONTAS],REL_DRE_FINANCEIRO!$B$241,LANÇ_MOV[ANO PAGAMENTO],$B$4,LANÇ_MOV[MÊS PAGAMENTO CORRESPONDENTE],I$6,LANÇ_MOV[EMPRESA],$C$4,LANÇ_MOV[CENTRO DE CUSTOS],$D$4)</f>
        <v>0</v>
      </c>
      <c r="J262" s="206">
        <f>SUMIFS(LANÇ_MOV[VALOR LÍQUIDO],LANÇ_MOV[RECEITA OU DESPESA],"Despesa",LANÇ_MOV[CONTAS],$C262,LANÇ_MOV[PLANO DE CONTAS],REL_DRE_FINANCEIRO!$B$241,LANÇ_MOV[ANO PAGAMENTO],$B$4,LANÇ_MOV[MÊS PAGAMENTO CORRESPONDENTE],J$6,LANÇ_MOV[EMPRESA],$C$4,LANÇ_MOV[CENTRO DE CUSTOS],$D$4)</f>
        <v>0</v>
      </c>
      <c r="K262" s="206">
        <f>SUMIFS(LANÇ_MOV[VALOR LÍQUIDO],LANÇ_MOV[RECEITA OU DESPESA],"Despesa",LANÇ_MOV[CONTAS],$C262,LANÇ_MOV[PLANO DE CONTAS],REL_DRE_FINANCEIRO!$B$241,LANÇ_MOV[ANO PAGAMENTO],$B$4,LANÇ_MOV[MÊS PAGAMENTO CORRESPONDENTE],K$6,LANÇ_MOV[EMPRESA],$C$4,LANÇ_MOV[CENTRO DE CUSTOS],$D$4)</f>
        <v>0</v>
      </c>
      <c r="L262" s="206">
        <f>SUMIFS(LANÇ_MOV[VALOR LÍQUIDO],LANÇ_MOV[RECEITA OU DESPESA],"Despesa",LANÇ_MOV[CONTAS],$C262,LANÇ_MOV[PLANO DE CONTAS],REL_DRE_FINANCEIRO!$B$241,LANÇ_MOV[ANO PAGAMENTO],$B$4,LANÇ_MOV[MÊS PAGAMENTO CORRESPONDENTE],L$6,LANÇ_MOV[EMPRESA],$C$4,LANÇ_MOV[CENTRO DE CUSTOS],$D$4)</f>
        <v>0</v>
      </c>
      <c r="M262" s="206">
        <f>SUMIFS(LANÇ_MOV[VALOR LÍQUIDO],LANÇ_MOV[RECEITA OU DESPESA],"Despesa",LANÇ_MOV[CONTAS],$C262,LANÇ_MOV[PLANO DE CONTAS],REL_DRE_FINANCEIRO!$B$241,LANÇ_MOV[ANO PAGAMENTO],$B$4,LANÇ_MOV[MÊS PAGAMENTO CORRESPONDENTE],M$6,LANÇ_MOV[EMPRESA],$C$4,LANÇ_MOV[CENTRO DE CUSTOS],$D$4)</f>
        <v>0</v>
      </c>
      <c r="N262" s="206">
        <f>SUMIFS(LANÇ_MOV[VALOR LÍQUIDO],LANÇ_MOV[RECEITA OU DESPESA],"Despesa",LANÇ_MOV[CONTAS],$C262,LANÇ_MOV[PLANO DE CONTAS],REL_DRE_FINANCEIRO!$B$241,LANÇ_MOV[ANO PAGAMENTO],$B$4,LANÇ_MOV[MÊS PAGAMENTO CORRESPONDENTE],N$6,LANÇ_MOV[EMPRESA],$C$4,LANÇ_MOV[CENTRO DE CUSTOS],$D$4)</f>
        <v>0</v>
      </c>
      <c r="O262" s="206">
        <f>SUMIFS(LANÇ_MOV[VALOR LÍQUIDO],LANÇ_MOV[RECEITA OU DESPESA],"Despesa",LANÇ_MOV[CONTAS],$C262,LANÇ_MOV[PLANO DE CONTAS],REL_DRE_FINANCEIRO!$B$241,LANÇ_MOV[ANO PAGAMENTO],$B$4,LANÇ_MOV[MÊS PAGAMENTO CORRESPONDENTE],O$6,LANÇ_MOV[EMPRESA],$C$4,LANÇ_MOV[CENTRO DE CUSTOS],$D$4)</f>
        <v>0</v>
      </c>
      <c r="P262" s="207">
        <f t="shared" si="43"/>
        <v>0</v>
      </c>
      <c r="Q262" s="329">
        <v>7.9999999999999996E-6</v>
      </c>
      <c r="R262" s="346">
        <f t="shared" si="44"/>
        <v>7.9999999999999996E-6</v>
      </c>
      <c r="S262" s="347" t="str">
        <f t="shared" si="45"/>
        <v>MATERIAL DE LIMPEZA</v>
      </c>
      <c r="T262" s="347">
        <f t="shared" si="46"/>
        <v>0</v>
      </c>
      <c r="U262" s="347">
        <f>HLOOKUP(Apoio!$P$12,$D$240:$P$341,X262,FALSE)+Q262</f>
        <v>7.9999999999999996E-6</v>
      </c>
      <c r="V262" s="447" t="str">
        <f t="shared" si="47"/>
        <v>MATERIAL DE LIMPEZA</v>
      </c>
      <c r="W262" s="448">
        <f>HLOOKUP(Apoio!$P$12,$D$240:$P$341,X262,FALSE)</f>
        <v>0</v>
      </c>
      <c r="X262" s="329">
        <v>23</v>
      </c>
    </row>
    <row r="263" spans="2:24" ht="30.05" customHeight="1" x14ac:dyDescent="0.35">
      <c r="B263" s="204" t="str">
        <f>'CAD_PL_REC-DESP'!N26</f>
        <v>2.2.22</v>
      </c>
      <c r="C263" s="205" t="str">
        <f>IF('CAD_PL_REC-DESP'!O26="","-",'CAD_PL_REC-DESP'!O26)</f>
        <v xml:space="preserve">MATERIAL ESCRITORIO </v>
      </c>
      <c r="D263" s="206">
        <f>SUMIFS(LANÇ_MOV[VALOR LÍQUIDO],LANÇ_MOV[RECEITA OU DESPESA],"Despesa",LANÇ_MOV[CONTAS],$C263,LANÇ_MOV[PLANO DE CONTAS],REL_DRE_FINANCEIRO!$B$241,LANÇ_MOV[ANO PAGAMENTO],$B$4,LANÇ_MOV[MÊS PAGAMENTO CORRESPONDENTE],D$6,LANÇ_MOV[EMPRESA],$C$4,LANÇ_MOV[CENTRO DE CUSTOS],$D$4)</f>
        <v>0</v>
      </c>
      <c r="E263" s="206">
        <f>SUMIFS(LANÇ_MOV[VALOR LÍQUIDO],LANÇ_MOV[RECEITA OU DESPESA],"Despesa",LANÇ_MOV[CONTAS],$C263,LANÇ_MOV[PLANO DE CONTAS],REL_DRE_FINANCEIRO!$B$241,LANÇ_MOV[ANO PAGAMENTO],$B$4,LANÇ_MOV[MÊS PAGAMENTO CORRESPONDENTE],E$6,LANÇ_MOV[EMPRESA],$C$4,LANÇ_MOV[CENTRO DE CUSTOS],$D$4)</f>
        <v>0</v>
      </c>
      <c r="F263" s="206">
        <f>SUMIFS(LANÇ_MOV[VALOR LÍQUIDO],LANÇ_MOV[RECEITA OU DESPESA],"Despesa",LANÇ_MOV[CONTAS],$C263,LANÇ_MOV[PLANO DE CONTAS],REL_DRE_FINANCEIRO!$B$241,LANÇ_MOV[ANO PAGAMENTO],$B$4,LANÇ_MOV[MÊS PAGAMENTO CORRESPONDENTE],F$6,LANÇ_MOV[EMPRESA],$C$4,LANÇ_MOV[CENTRO DE CUSTOS],$D$4)</f>
        <v>0</v>
      </c>
      <c r="G263" s="206">
        <f>SUMIFS(LANÇ_MOV[VALOR LÍQUIDO],LANÇ_MOV[RECEITA OU DESPESA],"Despesa",LANÇ_MOV[CONTAS],$C263,LANÇ_MOV[PLANO DE CONTAS],REL_DRE_FINANCEIRO!$B$241,LANÇ_MOV[ANO PAGAMENTO],$B$4,LANÇ_MOV[MÊS PAGAMENTO CORRESPONDENTE],G$6,LANÇ_MOV[EMPRESA],$C$4,LANÇ_MOV[CENTRO DE CUSTOS],$D$4)</f>
        <v>0</v>
      </c>
      <c r="H263" s="206">
        <f>SUMIFS(LANÇ_MOV[VALOR LÍQUIDO],LANÇ_MOV[RECEITA OU DESPESA],"Despesa",LANÇ_MOV[CONTAS],$C263,LANÇ_MOV[PLANO DE CONTAS],REL_DRE_FINANCEIRO!$B$241,LANÇ_MOV[ANO PAGAMENTO],$B$4,LANÇ_MOV[MÊS PAGAMENTO CORRESPONDENTE],H$6,LANÇ_MOV[EMPRESA],$C$4,LANÇ_MOV[CENTRO DE CUSTOS],$D$4)</f>
        <v>0</v>
      </c>
      <c r="I263" s="206">
        <f>SUMIFS(LANÇ_MOV[VALOR LÍQUIDO],LANÇ_MOV[RECEITA OU DESPESA],"Despesa",LANÇ_MOV[CONTAS],$C263,LANÇ_MOV[PLANO DE CONTAS],REL_DRE_FINANCEIRO!$B$241,LANÇ_MOV[ANO PAGAMENTO],$B$4,LANÇ_MOV[MÊS PAGAMENTO CORRESPONDENTE],I$6,LANÇ_MOV[EMPRESA],$C$4,LANÇ_MOV[CENTRO DE CUSTOS],$D$4)</f>
        <v>0</v>
      </c>
      <c r="J263" s="206">
        <f>SUMIFS(LANÇ_MOV[VALOR LÍQUIDO],LANÇ_MOV[RECEITA OU DESPESA],"Despesa",LANÇ_MOV[CONTAS],$C263,LANÇ_MOV[PLANO DE CONTAS],REL_DRE_FINANCEIRO!$B$241,LANÇ_MOV[ANO PAGAMENTO],$B$4,LANÇ_MOV[MÊS PAGAMENTO CORRESPONDENTE],J$6,LANÇ_MOV[EMPRESA],$C$4,LANÇ_MOV[CENTRO DE CUSTOS],$D$4)</f>
        <v>0</v>
      </c>
      <c r="K263" s="206">
        <f>SUMIFS(LANÇ_MOV[VALOR LÍQUIDO],LANÇ_MOV[RECEITA OU DESPESA],"Despesa",LANÇ_MOV[CONTAS],$C263,LANÇ_MOV[PLANO DE CONTAS],REL_DRE_FINANCEIRO!$B$241,LANÇ_MOV[ANO PAGAMENTO],$B$4,LANÇ_MOV[MÊS PAGAMENTO CORRESPONDENTE],K$6,LANÇ_MOV[EMPRESA],$C$4,LANÇ_MOV[CENTRO DE CUSTOS],$D$4)</f>
        <v>0</v>
      </c>
      <c r="L263" s="206">
        <f>SUMIFS(LANÇ_MOV[VALOR LÍQUIDO],LANÇ_MOV[RECEITA OU DESPESA],"Despesa",LANÇ_MOV[CONTAS],$C263,LANÇ_MOV[PLANO DE CONTAS],REL_DRE_FINANCEIRO!$B$241,LANÇ_MOV[ANO PAGAMENTO],$B$4,LANÇ_MOV[MÊS PAGAMENTO CORRESPONDENTE],L$6,LANÇ_MOV[EMPRESA],$C$4,LANÇ_MOV[CENTRO DE CUSTOS],$D$4)</f>
        <v>0</v>
      </c>
      <c r="M263" s="206">
        <f>SUMIFS(LANÇ_MOV[VALOR LÍQUIDO],LANÇ_MOV[RECEITA OU DESPESA],"Despesa",LANÇ_MOV[CONTAS],$C263,LANÇ_MOV[PLANO DE CONTAS],REL_DRE_FINANCEIRO!$B$241,LANÇ_MOV[ANO PAGAMENTO],$B$4,LANÇ_MOV[MÊS PAGAMENTO CORRESPONDENTE],M$6,LANÇ_MOV[EMPRESA],$C$4,LANÇ_MOV[CENTRO DE CUSTOS],$D$4)</f>
        <v>22</v>
      </c>
      <c r="N263" s="206">
        <f>SUMIFS(LANÇ_MOV[VALOR LÍQUIDO],LANÇ_MOV[RECEITA OU DESPESA],"Despesa",LANÇ_MOV[CONTAS],$C263,LANÇ_MOV[PLANO DE CONTAS],REL_DRE_FINANCEIRO!$B$241,LANÇ_MOV[ANO PAGAMENTO],$B$4,LANÇ_MOV[MÊS PAGAMENTO CORRESPONDENTE],N$6,LANÇ_MOV[EMPRESA],$C$4,LANÇ_MOV[CENTRO DE CUSTOS],$D$4)</f>
        <v>0</v>
      </c>
      <c r="O263" s="206">
        <f>SUMIFS(LANÇ_MOV[VALOR LÍQUIDO],LANÇ_MOV[RECEITA OU DESPESA],"Despesa",LANÇ_MOV[CONTAS],$C263,LANÇ_MOV[PLANO DE CONTAS],REL_DRE_FINANCEIRO!$B$241,LANÇ_MOV[ANO PAGAMENTO],$B$4,LANÇ_MOV[MÊS PAGAMENTO CORRESPONDENTE],O$6,LANÇ_MOV[EMPRESA],$C$4,LANÇ_MOV[CENTRO DE CUSTOS],$D$4)</f>
        <v>0</v>
      </c>
      <c r="P263" s="207">
        <f t="shared" si="43"/>
        <v>22</v>
      </c>
      <c r="Q263" s="329">
        <v>7.9000000000000006E-6</v>
      </c>
      <c r="R263" s="346">
        <f t="shared" si="44"/>
        <v>22.0000079</v>
      </c>
      <c r="S263" s="347" t="str">
        <f t="shared" si="45"/>
        <v xml:space="preserve">MATERIAL ESCRITORIO </v>
      </c>
      <c r="T263" s="347">
        <f t="shared" si="46"/>
        <v>22</v>
      </c>
      <c r="U263" s="347">
        <f>HLOOKUP(Apoio!$P$12,$D$240:$P$341,X263,FALSE)+Q263</f>
        <v>22.0000079</v>
      </c>
      <c r="V263" s="447" t="str">
        <f t="shared" si="47"/>
        <v xml:space="preserve">MATERIAL ESCRITORIO </v>
      </c>
      <c r="W263" s="448">
        <f>HLOOKUP(Apoio!$P$12,$D$240:$P$341,X263,FALSE)</f>
        <v>22</v>
      </c>
      <c r="X263" s="329">
        <v>24</v>
      </c>
    </row>
    <row r="264" spans="2:24" ht="30.05" customHeight="1" x14ac:dyDescent="0.35">
      <c r="B264" s="204" t="str">
        <f>'CAD_PL_REC-DESP'!N27</f>
        <v>2.2.23</v>
      </c>
      <c r="C264" s="205" t="str">
        <f>IF('CAD_PL_REC-DESP'!O27="","-",'CAD_PL_REC-DESP'!O27)</f>
        <v>MATERIAL MANUTENÇÃO</v>
      </c>
      <c r="D264" s="206">
        <f>SUMIFS(LANÇ_MOV[VALOR LÍQUIDO],LANÇ_MOV[RECEITA OU DESPESA],"Despesa",LANÇ_MOV[CONTAS],$C264,LANÇ_MOV[PLANO DE CONTAS],REL_DRE_FINANCEIRO!$B$241,LANÇ_MOV[ANO PAGAMENTO],$B$4,LANÇ_MOV[MÊS PAGAMENTO CORRESPONDENTE],D$6,LANÇ_MOV[EMPRESA],$C$4,LANÇ_MOV[CENTRO DE CUSTOS],$D$4)</f>
        <v>0</v>
      </c>
      <c r="E264" s="206">
        <f>SUMIFS(LANÇ_MOV[VALOR LÍQUIDO],LANÇ_MOV[RECEITA OU DESPESA],"Despesa",LANÇ_MOV[CONTAS],$C264,LANÇ_MOV[PLANO DE CONTAS],REL_DRE_FINANCEIRO!$B$241,LANÇ_MOV[ANO PAGAMENTO],$B$4,LANÇ_MOV[MÊS PAGAMENTO CORRESPONDENTE],E$6,LANÇ_MOV[EMPRESA],$C$4,LANÇ_MOV[CENTRO DE CUSTOS],$D$4)</f>
        <v>0</v>
      </c>
      <c r="F264" s="206">
        <f>SUMIFS(LANÇ_MOV[VALOR LÍQUIDO],LANÇ_MOV[RECEITA OU DESPESA],"Despesa",LANÇ_MOV[CONTAS],$C264,LANÇ_MOV[PLANO DE CONTAS],REL_DRE_FINANCEIRO!$B$241,LANÇ_MOV[ANO PAGAMENTO],$B$4,LANÇ_MOV[MÊS PAGAMENTO CORRESPONDENTE],F$6,LANÇ_MOV[EMPRESA],$C$4,LANÇ_MOV[CENTRO DE CUSTOS],$D$4)</f>
        <v>0</v>
      </c>
      <c r="G264" s="206">
        <f>SUMIFS(LANÇ_MOV[VALOR LÍQUIDO],LANÇ_MOV[RECEITA OU DESPESA],"Despesa",LANÇ_MOV[CONTAS],$C264,LANÇ_MOV[PLANO DE CONTAS],REL_DRE_FINANCEIRO!$B$241,LANÇ_MOV[ANO PAGAMENTO],$B$4,LANÇ_MOV[MÊS PAGAMENTO CORRESPONDENTE],G$6,LANÇ_MOV[EMPRESA],$C$4,LANÇ_MOV[CENTRO DE CUSTOS],$D$4)</f>
        <v>0</v>
      </c>
      <c r="H264" s="206">
        <f>SUMIFS(LANÇ_MOV[VALOR LÍQUIDO],LANÇ_MOV[RECEITA OU DESPESA],"Despesa",LANÇ_MOV[CONTAS],$C264,LANÇ_MOV[PLANO DE CONTAS],REL_DRE_FINANCEIRO!$B$241,LANÇ_MOV[ANO PAGAMENTO],$B$4,LANÇ_MOV[MÊS PAGAMENTO CORRESPONDENTE],H$6,LANÇ_MOV[EMPRESA],$C$4,LANÇ_MOV[CENTRO DE CUSTOS],$D$4)</f>
        <v>0</v>
      </c>
      <c r="I264" s="206">
        <f>SUMIFS(LANÇ_MOV[VALOR LÍQUIDO],LANÇ_MOV[RECEITA OU DESPESA],"Despesa",LANÇ_MOV[CONTAS],$C264,LANÇ_MOV[PLANO DE CONTAS],REL_DRE_FINANCEIRO!$B$241,LANÇ_MOV[ANO PAGAMENTO],$B$4,LANÇ_MOV[MÊS PAGAMENTO CORRESPONDENTE],I$6,LANÇ_MOV[EMPRESA],$C$4,LANÇ_MOV[CENTRO DE CUSTOS],$D$4)</f>
        <v>0</v>
      </c>
      <c r="J264" s="206">
        <f>SUMIFS(LANÇ_MOV[VALOR LÍQUIDO],LANÇ_MOV[RECEITA OU DESPESA],"Despesa",LANÇ_MOV[CONTAS],$C264,LANÇ_MOV[PLANO DE CONTAS],REL_DRE_FINANCEIRO!$B$241,LANÇ_MOV[ANO PAGAMENTO],$B$4,LANÇ_MOV[MÊS PAGAMENTO CORRESPONDENTE],J$6,LANÇ_MOV[EMPRESA],$C$4,LANÇ_MOV[CENTRO DE CUSTOS],$D$4)</f>
        <v>0</v>
      </c>
      <c r="K264" s="206">
        <f>SUMIFS(LANÇ_MOV[VALOR LÍQUIDO],LANÇ_MOV[RECEITA OU DESPESA],"Despesa",LANÇ_MOV[CONTAS],$C264,LANÇ_MOV[PLANO DE CONTAS],REL_DRE_FINANCEIRO!$B$241,LANÇ_MOV[ANO PAGAMENTO],$B$4,LANÇ_MOV[MÊS PAGAMENTO CORRESPONDENTE],K$6,LANÇ_MOV[EMPRESA],$C$4,LANÇ_MOV[CENTRO DE CUSTOS],$D$4)</f>
        <v>0</v>
      </c>
      <c r="L264" s="206">
        <f>SUMIFS(LANÇ_MOV[VALOR LÍQUIDO],LANÇ_MOV[RECEITA OU DESPESA],"Despesa",LANÇ_MOV[CONTAS],$C264,LANÇ_MOV[PLANO DE CONTAS],REL_DRE_FINANCEIRO!$B$241,LANÇ_MOV[ANO PAGAMENTO],$B$4,LANÇ_MOV[MÊS PAGAMENTO CORRESPONDENTE],L$6,LANÇ_MOV[EMPRESA],$C$4,LANÇ_MOV[CENTRO DE CUSTOS],$D$4)</f>
        <v>0</v>
      </c>
      <c r="M264" s="206">
        <f>SUMIFS(LANÇ_MOV[VALOR LÍQUIDO],LANÇ_MOV[RECEITA OU DESPESA],"Despesa",LANÇ_MOV[CONTAS],$C264,LANÇ_MOV[PLANO DE CONTAS],REL_DRE_FINANCEIRO!$B$241,LANÇ_MOV[ANO PAGAMENTO],$B$4,LANÇ_MOV[MÊS PAGAMENTO CORRESPONDENTE],M$6,LANÇ_MOV[EMPRESA],$C$4,LANÇ_MOV[CENTRO DE CUSTOS],$D$4)</f>
        <v>0</v>
      </c>
      <c r="N264" s="206">
        <f>SUMIFS(LANÇ_MOV[VALOR LÍQUIDO],LANÇ_MOV[RECEITA OU DESPESA],"Despesa",LANÇ_MOV[CONTAS],$C264,LANÇ_MOV[PLANO DE CONTAS],REL_DRE_FINANCEIRO!$B$241,LANÇ_MOV[ANO PAGAMENTO],$B$4,LANÇ_MOV[MÊS PAGAMENTO CORRESPONDENTE],N$6,LANÇ_MOV[EMPRESA],$C$4,LANÇ_MOV[CENTRO DE CUSTOS],$D$4)</f>
        <v>0</v>
      </c>
      <c r="O264" s="206">
        <f>SUMIFS(LANÇ_MOV[VALOR LÍQUIDO],LANÇ_MOV[RECEITA OU DESPESA],"Despesa",LANÇ_MOV[CONTAS],$C264,LANÇ_MOV[PLANO DE CONTAS],REL_DRE_FINANCEIRO!$B$241,LANÇ_MOV[ANO PAGAMENTO],$B$4,LANÇ_MOV[MÊS PAGAMENTO CORRESPONDENTE],O$6,LANÇ_MOV[EMPRESA],$C$4,LANÇ_MOV[CENTRO DE CUSTOS],$D$4)</f>
        <v>0</v>
      </c>
      <c r="P264" s="207">
        <f t="shared" si="43"/>
        <v>0</v>
      </c>
      <c r="Q264" s="329">
        <v>7.7999999999999999E-6</v>
      </c>
      <c r="R264" s="346">
        <f t="shared" si="44"/>
        <v>7.7999999999999999E-6</v>
      </c>
      <c r="S264" s="347" t="str">
        <f t="shared" si="45"/>
        <v>MATERIAL MANUTENÇÃO</v>
      </c>
      <c r="T264" s="347">
        <f t="shared" si="46"/>
        <v>0</v>
      </c>
      <c r="U264" s="347">
        <f>HLOOKUP(Apoio!$P$12,$D$240:$P$341,X264,FALSE)+Q264</f>
        <v>7.7999999999999999E-6</v>
      </c>
      <c r="V264" s="447" t="str">
        <f t="shared" si="47"/>
        <v>MATERIAL MANUTENÇÃO</v>
      </c>
      <c r="W264" s="448">
        <f>HLOOKUP(Apoio!$P$12,$D$240:$P$341,X264,FALSE)</f>
        <v>0</v>
      </c>
      <c r="X264" s="329">
        <v>25</v>
      </c>
    </row>
    <row r="265" spans="2:24" ht="30.05" customHeight="1" x14ac:dyDescent="0.35">
      <c r="B265" s="204" t="str">
        <f>'CAD_PL_REC-DESP'!N28</f>
        <v>2.2.24</v>
      </c>
      <c r="C265" s="205" t="str">
        <f>IF('CAD_PL_REC-DESP'!O28="","-",'CAD_PL_REC-DESP'!O28)</f>
        <v>MOTOBOY</v>
      </c>
      <c r="D265" s="206">
        <f>SUMIFS(LANÇ_MOV[VALOR LÍQUIDO],LANÇ_MOV[RECEITA OU DESPESA],"Despesa",LANÇ_MOV[CONTAS],$C265,LANÇ_MOV[PLANO DE CONTAS],REL_DRE_FINANCEIRO!$B$241,LANÇ_MOV[ANO PAGAMENTO],$B$4,LANÇ_MOV[MÊS PAGAMENTO CORRESPONDENTE],D$6,LANÇ_MOV[EMPRESA],$C$4,LANÇ_MOV[CENTRO DE CUSTOS],$D$4)</f>
        <v>0</v>
      </c>
      <c r="E265" s="206">
        <f>SUMIFS(LANÇ_MOV[VALOR LÍQUIDO],LANÇ_MOV[RECEITA OU DESPESA],"Despesa",LANÇ_MOV[CONTAS],$C265,LANÇ_MOV[PLANO DE CONTAS],REL_DRE_FINANCEIRO!$B$241,LANÇ_MOV[ANO PAGAMENTO],$B$4,LANÇ_MOV[MÊS PAGAMENTO CORRESPONDENTE],E$6,LANÇ_MOV[EMPRESA],$C$4,LANÇ_MOV[CENTRO DE CUSTOS],$D$4)</f>
        <v>0</v>
      </c>
      <c r="F265" s="206">
        <f>SUMIFS(LANÇ_MOV[VALOR LÍQUIDO],LANÇ_MOV[RECEITA OU DESPESA],"Despesa",LANÇ_MOV[CONTAS],$C265,LANÇ_MOV[PLANO DE CONTAS],REL_DRE_FINANCEIRO!$B$241,LANÇ_MOV[ANO PAGAMENTO],$B$4,LANÇ_MOV[MÊS PAGAMENTO CORRESPONDENTE],F$6,LANÇ_MOV[EMPRESA],$C$4,LANÇ_MOV[CENTRO DE CUSTOS],$D$4)</f>
        <v>0</v>
      </c>
      <c r="G265" s="206">
        <f>SUMIFS(LANÇ_MOV[VALOR LÍQUIDO],LANÇ_MOV[RECEITA OU DESPESA],"Despesa",LANÇ_MOV[CONTAS],$C265,LANÇ_MOV[PLANO DE CONTAS],REL_DRE_FINANCEIRO!$B$241,LANÇ_MOV[ANO PAGAMENTO],$B$4,LANÇ_MOV[MÊS PAGAMENTO CORRESPONDENTE],G$6,LANÇ_MOV[EMPRESA],$C$4,LANÇ_MOV[CENTRO DE CUSTOS],$D$4)</f>
        <v>0</v>
      </c>
      <c r="H265" s="206">
        <f>SUMIFS(LANÇ_MOV[VALOR LÍQUIDO],LANÇ_MOV[RECEITA OU DESPESA],"Despesa",LANÇ_MOV[CONTAS],$C265,LANÇ_MOV[PLANO DE CONTAS],REL_DRE_FINANCEIRO!$B$241,LANÇ_MOV[ANO PAGAMENTO],$B$4,LANÇ_MOV[MÊS PAGAMENTO CORRESPONDENTE],H$6,LANÇ_MOV[EMPRESA],$C$4,LANÇ_MOV[CENTRO DE CUSTOS],$D$4)</f>
        <v>0</v>
      </c>
      <c r="I265" s="206">
        <f>SUMIFS(LANÇ_MOV[VALOR LÍQUIDO],LANÇ_MOV[RECEITA OU DESPESA],"Despesa",LANÇ_MOV[CONTAS],$C265,LANÇ_MOV[PLANO DE CONTAS],REL_DRE_FINANCEIRO!$B$241,LANÇ_MOV[ANO PAGAMENTO],$B$4,LANÇ_MOV[MÊS PAGAMENTO CORRESPONDENTE],I$6,LANÇ_MOV[EMPRESA],$C$4,LANÇ_MOV[CENTRO DE CUSTOS],$D$4)</f>
        <v>0</v>
      </c>
      <c r="J265" s="206">
        <f>SUMIFS(LANÇ_MOV[VALOR LÍQUIDO],LANÇ_MOV[RECEITA OU DESPESA],"Despesa",LANÇ_MOV[CONTAS],$C265,LANÇ_MOV[PLANO DE CONTAS],REL_DRE_FINANCEIRO!$B$241,LANÇ_MOV[ANO PAGAMENTO],$B$4,LANÇ_MOV[MÊS PAGAMENTO CORRESPONDENTE],J$6,LANÇ_MOV[EMPRESA],$C$4,LANÇ_MOV[CENTRO DE CUSTOS],$D$4)</f>
        <v>0</v>
      </c>
      <c r="K265" s="206">
        <f>SUMIFS(LANÇ_MOV[VALOR LÍQUIDO],LANÇ_MOV[RECEITA OU DESPESA],"Despesa",LANÇ_MOV[CONTAS],$C265,LANÇ_MOV[PLANO DE CONTAS],REL_DRE_FINANCEIRO!$B$241,LANÇ_MOV[ANO PAGAMENTO],$B$4,LANÇ_MOV[MÊS PAGAMENTO CORRESPONDENTE],K$6,LANÇ_MOV[EMPRESA],$C$4,LANÇ_MOV[CENTRO DE CUSTOS],$D$4)</f>
        <v>0</v>
      </c>
      <c r="L265" s="206">
        <f>SUMIFS(LANÇ_MOV[VALOR LÍQUIDO],LANÇ_MOV[RECEITA OU DESPESA],"Despesa",LANÇ_MOV[CONTAS],$C265,LANÇ_MOV[PLANO DE CONTAS],REL_DRE_FINANCEIRO!$B$241,LANÇ_MOV[ANO PAGAMENTO],$B$4,LANÇ_MOV[MÊS PAGAMENTO CORRESPONDENTE],L$6,LANÇ_MOV[EMPRESA],$C$4,LANÇ_MOV[CENTRO DE CUSTOS],$D$4)</f>
        <v>0</v>
      </c>
      <c r="M265" s="206">
        <f>SUMIFS(LANÇ_MOV[VALOR LÍQUIDO],LANÇ_MOV[RECEITA OU DESPESA],"Despesa",LANÇ_MOV[CONTAS],$C265,LANÇ_MOV[PLANO DE CONTAS],REL_DRE_FINANCEIRO!$B$241,LANÇ_MOV[ANO PAGAMENTO],$B$4,LANÇ_MOV[MÊS PAGAMENTO CORRESPONDENTE],M$6,LANÇ_MOV[EMPRESA],$C$4,LANÇ_MOV[CENTRO DE CUSTOS],$D$4)</f>
        <v>0</v>
      </c>
      <c r="N265" s="206">
        <f>SUMIFS(LANÇ_MOV[VALOR LÍQUIDO],LANÇ_MOV[RECEITA OU DESPESA],"Despesa",LANÇ_MOV[CONTAS],$C265,LANÇ_MOV[PLANO DE CONTAS],REL_DRE_FINANCEIRO!$B$241,LANÇ_MOV[ANO PAGAMENTO],$B$4,LANÇ_MOV[MÊS PAGAMENTO CORRESPONDENTE],N$6,LANÇ_MOV[EMPRESA],$C$4,LANÇ_MOV[CENTRO DE CUSTOS],$D$4)</f>
        <v>0</v>
      </c>
      <c r="O265" s="206">
        <f>SUMIFS(LANÇ_MOV[VALOR LÍQUIDO],LANÇ_MOV[RECEITA OU DESPESA],"Despesa",LANÇ_MOV[CONTAS],$C265,LANÇ_MOV[PLANO DE CONTAS],REL_DRE_FINANCEIRO!$B$241,LANÇ_MOV[ANO PAGAMENTO],$B$4,LANÇ_MOV[MÊS PAGAMENTO CORRESPONDENTE],O$6,LANÇ_MOV[EMPRESA],$C$4,LANÇ_MOV[CENTRO DE CUSTOS],$D$4)</f>
        <v>0</v>
      </c>
      <c r="P265" s="207">
        <f t="shared" si="43"/>
        <v>0</v>
      </c>
      <c r="Q265" s="329">
        <v>7.7000000000000008E-6</v>
      </c>
      <c r="R265" s="346">
        <f t="shared" si="44"/>
        <v>7.7000000000000008E-6</v>
      </c>
      <c r="S265" s="347" t="str">
        <f t="shared" si="45"/>
        <v>MOTOBOY</v>
      </c>
      <c r="T265" s="347">
        <f t="shared" si="46"/>
        <v>0</v>
      </c>
      <c r="U265" s="347">
        <f>HLOOKUP(Apoio!$P$12,$D$240:$P$341,X265,FALSE)+Q265</f>
        <v>7.7000000000000008E-6</v>
      </c>
      <c r="V265" s="447" t="str">
        <f t="shared" si="47"/>
        <v>MOTOBOY</v>
      </c>
      <c r="W265" s="448">
        <f>HLOOKUP(Apoio!$P$12,$D$240:$P$341,X265,FALSE)</f>
        <v>0</v>
      </c>
      <c r="X265" s="329">
        <v>26</v>
      </c>
    </row>
    <row r="266" spans="2:24" ht="30.05" customHeight="1" x14ac:dyDescent="0.35">
      <c r="B266" s="204" t="str">
        <f>'CAD_PL_REC-DESP'!N29</f>
        <v>2.2.25</v>
      </c>
      <c r="C266" s="205" t="str">
        <f>IF('CAD_PL_REC-DESP'!O29="","-",'CAD_PL_REC-DESP'!O29)</f>
        <v>OUTRAS DESPESAS ADMINISTRATIVAS</v>
      </c>
      <c r="D266" s="206">
        <f>SUMIFS(LANÇ_MOV[VALOR LÍQUIDO],LANÇ_MOV[RECEITA OU DESPESA],"Despesa",LANÇ_MOV[CONTAS],$C266,LANÇ_MOV[PLANO DE CONTAS],REL_DRE_FINANCEIRO!$B$241,LANÇ_MOV[ANO PAGAMENTO],$B$4,LANÇ_MOV[MÊS PAGAMENTO CORRESPONDENTE],D$6,LANÇ_MOV[EMPRESA],$C$4,LANÇ_MOV[CENTRO DE CUSTOS],$D$4)</f>
        <v>0</v>
      </c>
      <c r="E266" s="206">
        <f>SUMIFS(LANÇ_MOV[VALOR LÍQUIDO],LANÇ_MOV[RECEITA OU DESPESA],"Despesa",LANÇ_MOV[CONTAS],$C266,LANÇ_MOV[PLANO DE CONTAS],REL_DRE_FINANCEIRO!$B$241,LANÇ_MOV[ANO PAGAMENTO],$B$4,LANÇ_MOV[MÊS PAGAMENTO CORRESPONDENTE],E$6,LANÇ_MOV[EMPRESA],$C$4,LANÇ_MOV[CENTRO DE CUSTOS],$D$4)</f>
        <v>0</v>
      </c>
      <c r="F266" s="206">
        <f>SUMIFS(LANÇ_MOV[VALOR LÍQUIDO],LANÇ_MOV[RECEITA OU DESPESA],"Despesa",LANÇ_MOV[CONTAS],$C266,LANÇ_MOV[PLANO DE CONTAS],REL_DRE_FINANCEIRO!$B$241,LANÇ_MOV[ANO PAGAMENTO],$B$4,LANÇ_MOV[MÊS PAGAMENTO CORRESPONDENTE],F$6,LANÇ_MOV[EMPRESA],$C$4,LANÇ_MOV[CENTRO DE CUSTOS],$D$4)</f>
        <v>0</v>
      </c>
      <c r="G266" s="206">
        <f>SUMIFS(LANÇ_MOV[VALOR LÍQUIDO],LANÇ_MOV[RECEITA OU DESPESA],"Despesa",LANÇ_MOV[CONTAS],$C266,LANÇ_MOV[PLANO DE CONTAS],REL_DRE_FINANCEIRO!$B$241,LANÇ_MOV[ANO PAGAMENTO],$B$4,LANÇ_MOV[MÊS PAGAMENTO CORRESPONDENTE],G$6,LANÇ_MOV[EMPRESA],$C$4,LANÇ_MOV[CENTRO DE CUSTOS],$D$4)</f>
        <v>0</v>
      </c>
      <c r="H266" s="206">
        <f>SUMIFS(LANÇ_MOV[VALOR LÍQUIDO],LANÇ_MOV[RECEITA OU DESPESA],"Despesa",LANÇ_MOV[CONTAS],$C266,LANÇ_MOV[PLANO DE CONTAS],REL_DRE_FINANCEIRO!$B$241,LANÇ_MOV[ANO PAGAMENTO],$B$4,LANÇ_MOV[MÊS PAGAMENTO CORRESPONDENTE],H$6,LANÇ_MOV[EMPRESA],$C$4,LANÇ_MOV[CENTRO DE CUSTOS],$D$4)</f>
        <v>0</v>
      </c>
      <c r="I266" s="206">
        <f>SUMIFS(LANÇ_MOV[VALOR LÍQUIDO],LANÇ_MOV[RECEITA OU DESPESA],"Despesa",LANÇ_MOV[CONTAS],$C266,LANÇ_MOV[PLANO DE CONTAS],REL_DRE_FINANCEIRO!$B$241,LANÇ_MOV[ANO PAGAMENTO],$B$4,LANÇ_MOV[MÊS PAGAMENTO CORRESPONDENTE],I$6,LANÇ_MOV[EMPRESA],$C$4,LANÇ_MOV[CENTRO DE CUSTOS],$D$4)</f>
        <v>0</v>
      </c>
      <c r="J266" s="206">
        <f>SUMIFS(LANÇ_MOV[VALOR LÍQUIDO],LANÇ_MOV[RECEITA OU DESPESA],"Despesa",LANÇ_MOV[CONTAS],$C266,LANÇ_MOV[PLANO DE CONTAS],REL_DRE_FINANCEIRO!$B$241,LANÇ_MOV[ANO PAGAMENTO],$B$4,LANÇ_MOV[MÊS PAGAMENTO CORRESPONDENTE],J$6,LANÇ_MOV[EMPRESA],$C$4,LANÇ_MOV[CENTRO DE CUSTOS],$D$4)</f>
        <v>0</v>
      </c>
      <c r="K266" s="206">
        <f>SUMIFS(LANÇ_MOV[VALOR LÍQUIDO],LANÇ_MOV[RECEITA OU DESPESA],"Despesa",LANÇ_MOV[CONTAS],$C266,LANÇ_MOV[PLANO DE CONTAS],REL_DRE_FINANCEIRO!$B$241,LANÇ_MOV[ANO PAGAMENTO],$B$4,LANÇ_MOV[MÊS PAGAMENTO CORRESPONDENTE],K$6,LANÇ_MOV[EMPRESA],$C$4,LANÇ_MOV[CENTRO DE CUSTOS],$D$4)</f>
        <v>0</v>
      </c>
      <c r="L266" s="206">
        <f>SUMIFS(LANÇ_MOV[VALOR LÍQUIDO],LANÇ_MOV[RECEITA OU DESPESA],"Despesa",LANÇ_MOV[CONTAS],$C266,LANÇ_MOV[PLANO DE CONTAS],REL_DRE_FINANCEIRO!$B$241,LANÇ_MOV[ANO PAGAMENTO],$B$4,LANÇ_MOV[MÊS PAGAMENTO CORRESPONDENTE],L$6,LANÇ_MOV[EMPRESA],$C$4,LANÇ_MOV[CENTRO DE CUSTOS],$D$4)</f>
        <v>0</v>
      </c>
      <c r="M266" s="206">
        <f>SUMIFS(LANÇ_MOV[VALOR LÍQUIDO],LANÇ_MOV[RECEITA OU DESPESA],"Despesa",LANÇ_MOV[CONTAS],$C266,LANÇ_MOV[PLANO DE CONTAS],REL_DRE_FINANCEIRO!$B$241,LANÇ_MOV[ANO PAGAMENTO],$B$4,LANÇ_MOV[MÊS PAGAMENTO CORRESPONDENTE],M$6,LANÇ_MOV[EMPRESA],$C$4,LANÇ_MOV[CENTRO DE CUSTOS],$D$4)</f>
        <v>11158.75</v>
      </c>
      <c r="N266" s="206">
        <f>SUMIFS(LANÇ_MOV[VALOR LÍQUIDO],LANÇ_MOV[RECEITA OU DESPESA],"Despesa",LANÇ_MOV[CONTAS],$C266,LANÇ_MOV[PLANO DE CONTAS],REL_DRE_FINANCEIRO!$B$241,LANÇ_MOV[ANO PAGAMENTO],$B$4,LANÇ_MOV[MÊS PAGAMENTO CORRESPONDENTE],N$6,LANÇ_MOV[EMPRESA],$C$4,LANÇ_MOV[CENTRO DE CUSTOS],$D$4)</f>
        <v>0</v>
      </c>
      <c r="O266" s="206">
        <f>SUMIFS(LANÇ_MOV[VALOR LÍQUIDO],LANÇ_MOV[RECEITA OU DESPESA],"Despesa",LANÇ_MOV[CONTAS],$C266,LANÇ_MOV[PLANO DE CONTAS],REL_DRE_FINANCEIRO!$B$241,LANÇ_MOV[ANO PAGAMENTO],$B$4,LANÇ_MOV[MÊS PAGAMENTO CORRESPONDENTE],O$6,LANÇ_MOV[EMPRESA],$C$4,LANÇ_MOV[CENTRO DE CUSTOS],$D$4)</f>
        <v>0</v>
      </c>
      <c r="P266" s="207">
        <f t="shared" si="43"/>
        <v>11158.75</v>
      </c>
      <c r="Q266" s="329">
        <v>7.6000000000000001E-6</v>
      </c>
      <c r="R266" s="346">
        <f t="shared" si="44"/>
        <v>11158.7500076</v>
      </c>
      <c r="S266" s="347" t="str">
        <f t="shared" si="45"/>
        <v>OUTRAS DESPESAS ADMINISTRATIVAS</v>
      </c>
      <c r="T266" s="347">
        <f t="shared" si="46"/>
        <v>11158.75</v>
      </c>
      <c r="U266" s="347">
        <f>HLOOKUP(Apoio!$P$12,$D$240:$P$341,X266,FALSE)+Q266</f>
        <v>11158.7500076</v>
      </c>
      <c r="V266" s="447" t="str">
        <f t="shared" si="47"/>
        <v>OUTRAS DESPESAS ADMINISTRATIVAS</v>
      </c>
      <c r="W266" s="448">
        <f>HLOOKUP(Apoio!$P$12,$D$240:$P$341,X266,FALSE)</f>
        <v>11158.75</v>
      </c>
      <c r="X266" s="329">
        <v>27</v>
      </c>
    </row>
    <row r="267" spans="2:24" ht="30.05" customHeight="1" x14ac:dyDescent="0.35">
      <c r="B267" s="204" t="str">
        <f>'CAD_PL_REC-DESP'!N30</f>
        <v>2.2.26</v>
      </c>
      <c r="C267" s="205" t="str">
        <f>IF('CAD_PL_REC-DESP'!O30="","-",'CAD_PL_REC-DESP'!O30)</f>
        <v xml:space="preserve">REEMBOLSO </v>
      </c>
      <c r="D267" s="206">
        <f>SUMIFS(LANÇ_MOV[VALOR LÍQUIDO],LANÇ_MOV[RECEITA OU DESPESA],"Despesa",LANÇ_MOV[CONTAS],$C267,LANÇ_MOV[PLANO DE CONTAS],REL_DRE_FINANCEIRO!$B$241,LANÇ_MOV[ANO PAGAMENTO],$B$4,LANÇ_MOV[MÊS PAGAMENTO CORRESPONDENTE],D$6,LANÇ_MOV[EMPRESA],$C$4,LANÇ_MOV[CENTRO DE CUSTOS],$D$4)</f>
        <v>0</v>
      </c>
      <c r="E267" s="206">
        <f>SUMIFS(LANÇ_MOV[VALOR LÍQUIDO],LANÇ_MOV[RECEITA OU DESPESA],"Despesa",LANÇ_MOV[CONTAS],$C267,LANÇ_MOV[PLANO DE CONTAS],REL_DRE_FINANCEIRO!$B$241,LANÇ_MOV[ANO PAGAMENTO],$B$4,LANÇ_MOV[MÊS PAGAMENTO CORRESPONDENTE],E$6,LANÇ_MOV[EMPRESA],$C$4,LANÇ_MOV[CENTRO DE CUSTOS],$D$4)</f>
        <v>0</v>
      </c>
      <c r="F267" s="206">
        <f>SUMIFS(LANÇ_MOV[VALOR LÍQUIDO],LANÇ_MOV[RECEITA OU DESPESA],"Despesa",LANÇ_MOV[CONTAS],$C267,LANÇ_MOV[PLANO DE CONTAS],REL_DRE_FINANCEIRO!$B$241,LANÇ_MOV[ANO PAGAMENTO],$B$4,LANÇ_MOV[MÊS PAGAMENTO CORRESPONDENTE],F$6,LANÇ_MOV[EMPRESA],$C$4,LANÇ_MOV[CENTRO DE CUSTOS],$D$4)</f>
        <v>0</v>
      </c>
      <c r="G267" s="206">
        <f>SUMIFS(LANÇ_MOV[VALOR LÍQUIDO],LANÇ_MOV[RECEITA OU DESPESA],"Despesa",LANÇ_MOV[CONTAS],$C267,LANÇ_MOV[PLANO DE CONTAS],REL_DRE_FINANCEIRO!$B$241,LANÇ_MOV[ANO PAGAMENTO],$B$4,LANÇ_MOV[MÊS PAGAMENTO CORRESPONDENTE],G$6,LANÇ_MOV[EMPRESA],$C$4,LANÇ_MOV[CENTRO DE CUSTOS],$D$4)</f>
        <v>0</v>
      </c>
      <c r="H267" s="206">
        <f>SUMIFS(LANÇ_MOV[VALOR LÍQUIDO],LANÇ_MOV[RECEITA OU DESPESA],"Despesa",LANÇ_MOV[CONTAS],$C267,LANÇ_MOV[PLANO DE CONTAS],REL_DRE_FINANCEIRO!$B$241,LANÇ_MOV[ANO PAGAMENTO],$B$4,LANÇ_MOV[MÊS PAGAMENTO CORRESPONDENTE],H$6,LANÇ_MOV[EMPRESA],$C$4,LANÇ_MOV[CENTRO DE CUSTOS],$D$4)</f>
        <v>0</v>
      </c>
      <c r="I267" s="206">
        <f>SUMIFS(LANÇ_MOV[VALOR LÍQUIDO],LANÇ_MOV[RECEITA OU DESPESA],"Despesa",LANÇ_MOV[CONTAS],$C267,LANÇ_MOV[PLANO DE CONTAS],REL_DRE_FINANCEIRO!$B$241,LANÇ_MOV[ANO PAGAMENTO],$B$4,LANÇ_MOV[MÊS PAGAMENTO CORRESPONDENTE],I$6,LANÇ_MOV[EMPRESA],$C$4,LANÇ_MOV[CENTRO DE CUSTOS],$D$4)</f>
        <v>0</v>
      </c>
      <c r="J267" s="206">
        <f>SUMIFS(LANÇ_MOV[VALOR LÍQUIDO],LANÇ_MOV[RECEITA OU DESPESA],"Despesa",LANÇ_MOV[CONTAS],$C267,LANÇ_MOV[PLANO DE CONTAS],REL_DRE_FINANCEIRO!$B$241,LANÇ_MOV[ANO PAGAMENTO],$B$4,LANÇ_MOV[MÊS PAGAMENTO CORRESPONDENTE],J$6,LANÇ_MOV[EMPRESA],$C$4,LANÇ_MOV[CENTRO DE CUSTOS],$D$4)</f>
        <v>0</v>
      </c>
      <c r="K267" s="206">
        <f>SUMIFS(LANÇ_MOV[VALOR LÍQUIDO],LANÇ_MOV[RECEITA OU DESPESA],"Despesa",LANÇ_MOV[CONTAS],$C267,LANÇ_MOV[PLANO DE CONTAS],REL_DRE_FINANCEIRO!$B$241,LANÇ_MOV[ANO PAGAMENTO],$B$4,LANÇ_MOV[MÊS PAGAMENTO CORRESPONDENTE],K$6,LANÇ_MOV[EMPRESA],$C$4,LANÇ_MOV[CENTRO DE CUSTOS],$D$4)</f>
        <v>0</v>
      </c>
      <c r="L267" s="206">
        <f>SUMIFS(LANÇ_MOV[VALOR LÍQUIDO],LANÇ_MOV[RECEITA OU DESPESA],"Despesa",LANÇ_MOV[CONTAS],$C267,LANÇ_MOV[PLANO DE CONTAS],REL_DRE_FINANCEIRO!$B$241,LANÇ_MOV[ANO PAGAMENTO],$B$4,LANÇ_MOV[MÊS PAGAMENTO CORRESPONDENTE],L$6,LANÇ_MOV[EMPRESA],$C$4,LANÇ_MOV[CENTRO DE CUSTOS],$D$4)</f>
        <v>0</v>
      </c>
      <c r="M267" s="206">
        <f>SUMIFS(LANÇ_MOV[VALOR LÍQUIDO],LANÇ_MOV[RECEITA OU DESPESA],"Despesa",LANÇ_MOV[CONTAS],$C267,LANÇ_MOV[PLANO DE CONTAS],REL_DRE_FINANCEIRO!$B$241,LANÇ_MOV[ANO PAGAMENTO],$B$4,LANÇ_MOV[MÊS PAGAMENTO CORRESPONDENTE],M$6,LANÇ_MOV[EMPRESA],$C$4,LANÇ_MOV[CENTRO DE CUSTOS],$D$4)</f>
        <v>0</v>
      </c>
      <c r="N267" s="206">
        <f>SUMIFS(LANÇ_MOV[VALOR LÍQUIDO],LANÇ_MOV[RECEITA OU DESPESA],"Despesa",LANÇ_MOV[CONTAS],$C267,LANÇ_MOV[PLANO DE CONTAS],REL_DRE_FINANCEIRO!$B$241,LANÇ_MOV[ANO PAGAMENTO],$B$4,LANÇ_MOV[MÊS PAGAMENTO CORRESPONDENTE],N$6,LANÇ_MOV[EMPRESA],$C$4,LANÇ_MOV[CENTRO DE CUSTOS],$D$4)</f>
        <v>0</v>
      </c>
      <c r="O267" s="206">
        <f>SUMIFS(LANÇ_MOV[VALOR LÍQUIDO],LANÇ_MOV[RECEITA OU DESPESA],"Despesa",LANÇ_MOV[CONTAS],$C267,LANÇ_MOV[PLANO DE CONTAS],REL_DRE_FINANCEIRO!$B$241,LANÇ_MOV[ANO PAGAMENTO],$B$4,LANÇ_MOV[MÊS PAGAMENTO CORRESPONDENTE],O$6,LANÇ_MOV[EMPRESA],$C$4,LANÇ_MOV[CENTRO DE CUSTOS],$D$4)</f>
        <v>0</v>
      </c>
      <c r="P267" s="207">
        <f t="shared" si="43"/>
        <v>0</v>
      </c>
      <c r="Q267" s="329">
        <v>7.5000000000000002E-6</v>
      </c>
      <c r="R267" s="346">
        <f t="shared" si="44"/>
        <v>7.5000000000000002E-6</v>
      </c>
      <c r="S267" s="347" t="str">
        <f t="shared" si="45"/>
        <v xml:space="preserve">REEMBOLSO </v>
      </c>
      <c r="T267" s="347">
        <f t="shared" si="46"/>
        <v>0</v>
      </c>
      <c r="U267" s="347">
        <f>HLOOKUP(Apoio!$P$12,$D$240:$P$341,X267,FALSE)+Q267</f>
        <v>7.5000000000000002E-6</v>
      </c>
      <c r="V267" s="447" t="str">
        <f t="shared" si="47"/>
        <v xml:space="preserve">REEMBOLSO </v>
      </c>
      <c r="W267" s="448">
        <f>HLOOKUP(Apoio!$P$12,$D$240:$P$341,X267,FALSE)</f>
        <v>0</v>
      </c>
      <c r="X267" s="329">
        <v>28</v>
      </c>
    </row>
    <row r="268" spans="2:24" ht="30.05" customHeight="1" x14ac:dyDescent="0.35">
      <c r="B268" s="204" t="str">
        <f>'CAD_PL_REC-DESP'!N31</f>
        <v>2.2.27</v>
      </c>
      <c r="C268" s="205" t="str">
        <f>IF('CAD_PL_REC-DESP'!O31="","-",'CAD_PL_REC-DESP'!O31)</f>
        <v>REFORMAS</v>
      </c>
      <c r="D268" s="206">
        <f>SUMIFS(LANÇ_MOV[VALOR LÍQUIDO],LANÇ_MOV[RECEITA OU DESPESA],"Despesa",LANÇ_MOV[CONTAS],$C268,LANÇ_MOV[PLANO DE CONTAS],REL_DRE_FINANCEIRO!$B$241,LANÇ_MOV[ANO PAGAMENTO],$B$4,LANÇ_MOV[MÊS PAGAMENTO CORRESPONDENTE],D$6,LANÇ_MOV[EMPRESA],$C$4,LANÇ_MOV[CENTRO DE CUSTOS],$D$4)</f>
        <v>0</v>
      </c>
      <c r="E268" s="206">
        <f>SUMIFS(LANÇ_MOV[VALOR LÍQUIDO],LANÇ_MOV[RECEITA OU DESPESA],"Despesa",LANÇ_MOV[CONTAS],$C268,LANÇ_MOV[PLANO DE CONTAS],REL_DRE_FINANCEIRO!$B$241,LANÇ_MOV[ANO PAGAMENTO],$B$4,LANÇ_MOV[MÊS PAGAMENTO CORRESPONDENTE],E$6,LANÇ_MOV[EMPRESA],$C$4,LANÇ_MOV[CENTRO DE CUSTOS],$D$4)</f>
        <v>0</v>
      </c>
      <c r="F268" s="206">
        <f>SUMIFS(LANÇ_MOV[VALOR LÍQUIDO],LANÇ_MOV[RECEITA OU DESPESA],"Despesa",LANÇ_MOV[CONTAS],$C268,LANÇ_MOV[PLANO DE CONTAS],REL_DRE_FINANCEIRO!$B$241,LANÇ_MOV[ANO PAGAMENTO],$B$4,LANÇ_MOV[MÊS PAGAMENTO CORRESPONDENTE],F$6,LANÇ_MOV[EMPRESA],$C$4,LANÇ_MOV[CENTRO DE CUSTOS],$D$4)</f>
        <v>0</v>
      </c>
      <c r="G268" s="206">
        <f>SUMIFS(LANÇ_MOV[VALOR LÍQUIDO],LANÇ_MOV[RECEITA OU DESPESA],"Despesa",LANÇ_MOV[CONTAS],$C268,LANÇ_MOV[PLANO DE CONTAS],REL_DRE_FINANCEIRO!$B$241,LANÇ_MOV[ANO PAGAMENTO],$B$4,LANÇ_MOV[MÊS PAGAMENTO CORRESPONDENTE],G$6,LANÇ_MOV[EMPRESA],$C$4,LANÇ_MOV[CENTRO DE CUSTOS],$D$4)</f>
        <v>0</v>
      </c>
      <c r="H268" s="206">
        <f>SUMIFS(LANÇ_MOV[VALOR LÍQUIDO],LANÇ_MOV[RECEITA OU DESPESA],"Despesa",LANÇ_MOV[CONTAS],$C268,LANÇ_MOV[PLANO DE CONTAS],REL_DRE_FINANCEIRO!$B$241,LANÇ_MOV[ANO PAGAMENTO],$B$4,LANÇ_MOV[MÊS PAGAMENTO CORRESPONDENTE],H$6,LANÇ_MOV[EMPRESA],$C$4,LANÇ_MOV[CENTRO DE CUSTOS],$D$4)</f>
        <v>0</v>
      </c>
      <c r="I268" s="206">
        <f>SUMIFS(LANÇ_MOV[VALOR LÍQUIDO],LANÇ_MOV[RECEITA OU DESPESA],"Despesa",LANÇ_MOV[CONTAS],$C268,LANÇ_MOV[PLANO DE CONTAS],REL_DRE_FINANCEIRO!$B$241,LANÇ_MOV[ANO PAGAMENTO],$B$4,LANÇ_MOV[MÊS PAGAMENTO CORRESPONDENTE],I$6,LANÇ_MOV[EMPRESA],$C$4,LANÇ_MOV[CENTRO DE CUSTOS],$D$4)</f>
        <v>0</v>
      </c>
      <c r="J268" s="206">
        <f>SUMIFS(LANÇ_MOV[VALOR LÍQUIDO],LANÇ_MOV[RECEITA OU DESPESA],"Despesa",LANÇ_MOV[CONTAS],$C268,LANÇ_MOV[PLANO DE CONTAS],REL_DRE_FINANCEIRO!$B$241,LANÇ_MOV[ANO PAGAMENTO],$B$4,LANÇ_MOV[MÊS PAGAMENTO CORRESPONDENTE],J$6,LANÇ_MOV[EMPRESA],$C$4,LANÇ_MOV[CENTRO DE CUSTOS],$D$4)</f>
        <v>0</v>
      </c>
      <c r="K268" s="206">
        <f>SUMIFS(LANÇ_MOV[VALOR LÍQUIDO],LANÇ_MOV[RECEITA OU DESPESA],"Despesa",LANÇ_MOV[CONTAS],$C268,LANÇ_MOV[PLANO DE CONTAS],REL_DRE_FINANCEIRO!$B$241,LANÇ_MOV[ANO PAGAMENTO],$B$4,LANÇ_MOV[MÊS PAGAMENTO CORRESPONDENTE],K$6,LANÇ_MOV[EMPRESA],$C$4,LANÇ_MOV[CENTRO DE CUSTOS],$D$4)</f>
        <v>0</v>
      </c>
      <c r="L268" s="206">
        <f>SUMIFS(LANÇ_MOV[VALOR LÍQUIDO],LANÇ_MOV[RECEITA OU DESPESA],"Despesa",LANÇ_MOV[CONTAS],$C268,LANÇ_MOV[PLANO DE CONTAS],REL_DRE_FINANCEIRO!$B$241,LANÇ_MOV[ANO PAGAMENTO],$B$4,LANÇ_MOV[MÊS PAGAMENTO CORRESPONDENTE],L$6,LANÇ_MOV[EMPRESA],$C$4,LANÇ_MOV[CENTRO DE CUSTOS],$D$4)</f>
        <v>0</v>
      </c>
      <c r="M268" s="206">
        <f>SUMIFS(LANÇ_MOV[VALOR LÍQUIDO],LANÇ_MOV[RECEITA OU DESPESA],"Despesa",LANÇ_MOV[CONTAS],$C268,LANÇ_MOV[PLANO DE CONTAS],REL_DRE_FINANCEIRO!$B$241,LANÇ_MOV[ANO PAGAMENTO],$B$4,LANÇ_MOV[MÊS PAGAMENTO CORRESPONDENTE],M$6,LANÇ_MOV[EMPRESA],$C$4,LANÇ_MOV[CENTRO DE CUSTOS],$D$4)</f>
        <v>0</v>
      </c>
      <c r="N268" s="206">
        <f>SUMIFS(LANÇ_MOV[VALOR LÍQUIDO],LANÇ_MOV[RECEITA OU DESPESA],"Despesa",LANÇ_MOV[CONTAS],$C268,LANÇ_MOV[PLANO DE CONTAS],REL_DRE_FINANCEIRO!$B$241,LANÇ_MOV[ANO PAGAMENTO],$B$4,LANÇ_MOV[MÊS PAGAMENTO CORRESPONDENTE],N$6,LANÇ_MOV[EMPRESA],$C$4,LANÇ_MOV[CENTRO DE CUSTOS],$D$4)</f>
        <v>0</v>
      </c>
      <c r="O268" s="206">
        <f>SUMIFS(LANÇ_MOV[VALOR LÍQUIDO],LANÇ_MOV[RECEITA OU DESPESA],"Despesa",LANÇ_MOV[CONTAS],$C268,LANÇ_MOV[PLANO DE CONTAS],REL_DRE_FINANCEIRO!$B$241,LANÇ_MOV[ANO PAGAMENTO],$B$4,LANÇ_MOV[MÊS PAGAMENTO CORRESPONDENTE],O$6,LANÇ_MOV[EMPRESA],$C$4,LANÇ_MOV[CENTRO DE CUSTOS],$D$4)</f>
        <v>0</v>
      </c>
      <c r="P268" s="207">
        <f t="shared" si="43"/>
        <v>0</v>
      </c>
      <c r="Q268" s="329">
        <v>7.4000000000000003E-6</v>
      </c>
      <c r="R268" s="346">
        <f t="shared" si="44"/>
        <v>7.4000000000000003E-6</v>
      </c>
      <c r="S268" s="347" t="str">
        <f t="shared" si="45"/>
        <v>REFORMAS</v>
      </c>
      <c r="T268" s="347">
        <f t="shared" si="46"/>
        <v>0</v>
      </c>
      <c r="U268" s="347">
        <f>HLOOKUP(Apoio!$P$12,$D$240:$P$341,X268,FALSE)+Q268</f>
        <v>7.4000000000000003E-6</v>
      </c>
      <c r="V268" s="447" t="str">
        <f t="shared" si="47"/>
        <v>REFORMAS</v>
      </c>
      <c r="W268" s="448">
        <f>HLOOKUP(Apoio!$P$12,$D$240:$P$341,X268,FALSE)</f>
        <v>0</v>
      </c>
      <c r="X268" s="329">
        <v>29</v>
      </c>
    </row>
    <row r="269" spans="2:24" ht="30.05" customHeight="1" x14ac:dyDescent="0.35">
      <c r="B269" s="204" t="str">
        <f>'CAD_PL_REC-DESP'!N32</f>
        <v>2.2.28</v>
      </c>
      <c r="C269" s="205" t="str">
        <f>IF('CAD_PL_REC-DESP'!O32="","-",'CAD_PL_REC-DESP'!O32)</f>
        <v>REUNIÃO</v>
      </c>
      <c r="D269" s="206">
        <f>SUMIFS(LANÇ_MOV[VALOR LÍQUIDO],LANÇ_MOV[RECEITA OU DESPESA],"Despesa",LANÇ_MOV[CONTAS],$C269,LANÇ_MOV[PLANO DE CONTAS],REL_DRE_FINANCEIRO!$B$241,LANÇ_MOV[ANO PAGAMENTO],$B$4,LANÇ_MOV[MÊS PAGAMENTO CORRESPONDENTE],D$6,LANÇ_MOV[EMPRESA],$C$4,LANÇ_MOV[CENTRO DE CUSTOS],$D$4)</f>
        <v>0</v>
      </c>
      <c r="E269" s="206">
        <f>SUMIFS(LANÇ_MOV[VALOR LÍQUIDO],LANÇ_MOV[RECEITA OU DESPESA],"Despesa",LANÇ_MOV[CONTAS],$C269,LANÇ_MOV[PLANO DE CONTAS],REL_DRE_FINANCEIRO!$B$241,LANÇ_MOV[ANO PAGAMENTO],$B$4,LANÇ_MOV[MÊS PAGAMENTO CORRESPONDENTE],E$6,LANÇ_MOV[EMPRESA],$C$4,LANÇ_MOV[CENTRO DE CUSTOS],$D$4)</f>
        <v>0</v>
      </c>
      <c r="F269" s="206">
        <f>SUMIFS(LANÇ_MOV[VALOR LÍQUIDO],LANÇ_MOV[RECEITA OU DESPESA],"Despesa",LANÇ_MOV[CONTAS],$C269,LANÇ_MOV[PLANO DE CONTAS],REL_DRE_FINANCEIRO!$B$241,LANÇ_MOV[ANO PAGAMENTO],$B$4,LANÇ_MOV[MÊS PAGAMENTO CORRESPONDENTE],F$6,LANÇ_MOV[EMPRESA],$C$4,LANÇ_MOV[CENTRO DE CUSTOS],$D$4)</f>
        <v>0</v>
      </c>
      <c r="G269" s="206">
        <f>SUMIFS(LANÇ_MOV[VALOR LÍQUIDO],LANÇ_MOV[RECEITA OU DESPESA],"Despesa",LANÇ_MOV[CONTAS],$C269,LANÇ_MOV[PLANO DE CONTAS],REL_DRE_FINANCEIRO!$B$241,LANÇ_MOV[ANO PAGAMENTO],$B$4,LANÇ_MOV[MÊS PAGAMENTO CORRESPONDENTE],G$6,LANÇ_MOV[EMPRESA],$C$4,LANÇ_MOV[CENTRO DE CUSTOS],$D$4)</f>
        <v>0</v>
      </c>
      <c r="H269" s="206">
        <f>SUMIFS(LANÇ_MOV[VALOR LÍQUIDO],LANÇ_MOV[RECEITA OU DESPESA],"Despesa",LANÇ_MOV[CONTAS],$C269,LANÇ_MOV[PLANO DE CONTAS],REL_DRE_FINANCEIRO!$B$241,LANÇ_MOV[ANO PAGAMENTO],$B$4,LANÇ_MOV[MÊS PAGAMENTO CORRESPONDENTE],H$6,LANÇ_MOV[EMPRESA],$C$4,LANÇ_MOV[CENTRO DE CUSTOS],$D$4)</f>
        <v>0</v>
      </c>
      <c r="I269" s="206">
        <f>SUMIFS(LANÇ_MOV[VALOR LÍQUIDO],LANÇ_MOV[RECEITA OU DESPESA],"Despesa",LANÇ_MOV[CONTAS],$C269,LANÇ_MOV[PLANO DE CONTAS],REL_DRE_FINANCEIRO!$B$241,LANÇ_MOV[ANO PAGAMENTO],$B$4,LANÇ_MOV[MÊS PAGAMENTO CORRESPONDENTE],I$6,LANÇ_MOV[EMPRESA],$C$4,LANÇ_MOV[CENTRO DE CUSTOS],$D$4)</f>
        <v>0</v>
      </c>
      <c r="J269" s="206">
        <f>SUMIFS(LANÇ_MOV[VALOR LÍQUIDO],LANÇ_MOV[RECEITA OU DESPESA],"Despesa",LANÇ_MOV[CONTAS],$C269,LANÇ_MOV[PLANO DE CONTAS],REL_DRE_FINANCEIRO!$B$241,LANÇ_MOV[ANO PAGAMENTO],$B$4,LANÇ_MOV[MÊS PAGAMENTO CORRESPONDENTE],J$6,LANÇ_MOV[EMPRESA],$C$4,LANÇ_MOV[CENTRO DE CUSTOS],$D$4)</f>
        <v>0</v>
      </c>
      <c r="K269" s="206">
        <f>SUMIFS(LANÇ_MOV[VALOR LÍQUIDO],LANÇ_MOV[RECEITA OU DESPESA],"Despesa",LANÇ_MOV[CONTAS],$C269,LANÇ_MOV[PLANO DE CONTAS],REL_DRE_FINANCEIRO!$B$241,LANÇ_MOV[ANO PAGAMENTO],$B$4,LANÇ_MOV[MÊS PAGAMENTO CORRESPONDENTE],K$6,LANÇ_MOV[EMPRESA],$C$4,LANÇ_MOV[CENTRO DE CUSTOS],$D$4)</f>
        <v>0</v>
      </c>
      <c r="L269" s="206">
        <f>SUMIFS(LANÇ_MOV[VALOR LÍQUIDO],LANÇ_MOV[RECEITA OU DESPESA],"Despesa",LANÇ_MOV[CONTAS],$C269,LANÇ_MOV[PLANO DE CONTAS],REL_DRE_FINANCEIRO!$B$241,LANÇ_MOV[ANO PAGAMENTO],$B$4,LANÇ_MOV[MÊS PAGAMENTO CORRESPONDENTE],L$6,LANÇ_MOV[EMPRESA],$C$4,LANÇ_MOV[CENTRO DE CUSTOS],$D$4)</f>
        <v>0</v>
      </c>
      <c r="M269" s="206">
        <f>SUMIFS(LANÇ_MOV[VALOR LÍQUIDO],LANÇ_MOV[RECEITA OU DESPESA],"Despesa",LANÇ_MOV[CONTAS],$C269,LANÇ_MOV[PLANO DE CONTAS],REL_DRE_FINANCEIRO!$B$241,LANÇ_MOV[ANO PAGAMENTO],$B$4,LANÇ_MOV[MÊS PAGAMENTO CORRESPONDENTE],M$6,LANÇ_MOV[EMPRESA],$C$4,LANÇ_MOV[CENTRO DE CUSTOS],$D$4)</f>
        <v>0</v>
      </c>
      <c r="N269" s="206">
        <f>SUMIFS(LANÇ_MOV[VALOR LÍQUIDO],LANÇ_MOV[RECEITA OU DESPESA],"Despesa",LANÇ_MOV[CONTAS],$C269,LANÇ_MOV[PLANO DE CONTAS],REL_DRE_FINANCEIRO!$B$241,LANÇ_MOV[ANO PAGAMENTO],$B$4,LANÇ_MOV[MÊS PAGAMENTO CORRESPONDENTE],N$6,LANÇ_MOV[EMPRESA],$C$4,LANÇ_MOV[CENTRO DE CUSTOS],$D$4)</f>
        <v>0</v>
      </c>
      <c r="O269" s="206">
        <f>SUMIFS(LANÇ_MOV[VALOR LÍQUIDO],LANÇ_MOV[RECEITA OU DESPESA],"Despesa",LANÇ_MOV[CONTAS],$C269,LANÇ_MOV[PLANO DE CONTAS],REL_DRE_FINANCEIRO!$B$241,LANÇ_MOV[ANO PAGAMENTO],$B$4,LANÇ_MOV[MÊS PAGAMENTO CORRESPONDENTE],O$6,LANÇ_MOV[EMPRESA],$C$4,LANÇ_MOV[CENTRO DE CUSTOS],$D$4)</f>
        <v>0</v>
      </c>
      <c r="P269" s="207">
        <f t="shared" si="43"/>
        <v>0</v>
      </c>
      <c r="Q269" s="329">
        <v>7.3000000000000004E-6</v>
      </c>
      <c r="R269" s="346">
        <f t="shared" si="44"/>
        <v>7.3000000000000004E-6</v>
      </c>
      <c r="S269" s="347" t="str">
        <f t="shared" si="45"/>
        <v>REUNIÃO</v>
      </c>
      <c r="T269" s="347">
        <f t="shared" si="46"/>
        <v>0</v>
      </c>
      <c r="U269" s="347">
        <f>HLOOKUP(Apoio!$P$12,$D$240:$P$341,X269,FALSE)+Q269</f>
        <v>7.3000000000000004E-6</v>
      </c>
      <c r="V269" s="447" t="str">
        <f t="shared" si="47"/>
        <v>REUNIÃO</v>
      </c>
      <c r="W269" s="448">
        <f>HLOOKUP(Apoio!$P$12,$D$240:$P$341,X269,FALSE)</f>
        <v>0</v>
      </c>
      <c r="X269" s="329">
        <v>30</v>
      </c>
    </row>
    <row r="270" spans="2:24" ht="30.05" customHeight="1" x14ac:dyDescent="0.35">
      <c r="B270" s="204" t="str">
        <f>'CAD_PL_REC-DESP'!N33</f>
        <v>2.2.29</v>
      </c>
      <c r="C270" s="205" t="str">
        <f>IF('CAD_PL_REC-DESP'!O33="","-",'CAD_PL_REC-DESP'!O33)</f>
        <v>SISTEMA</v>
      </c>
      <c r="D270" s="206">
        <f>SUMIFS(LANÇ_MOV[VALOR LÍQUIDO],LANÇ_MOV[RECEITA OU DESPESA],"Despesa",LANÇ_MOV[CONTAS],$C270,LANÇ_MOV[PLANO DE CONTAS],REL_DRE_FINANCEIRO!$B$241,LANÇ_MOV[ANO PAGAMENTO],$B$4,LANÇ_MOV[MÊS PAGAMENTO CORRESPONDENTE],D$6,LANÇ_MOV[EMPRESA],$C$4,LANÇ_MOV[CENTRO DE CUSTOS],$D$4)</f>
        <v>0</v>
      </c>
      <c r="E270" s="206">
        <f>SUMIFS(LANÇ_MOV[VALOR LÍQUIDO],LANÇ_MOV[RECEITA OU DESPESA],"Despesa",LANÇ_MOV[CONTAS],$C270,LANÇ_MOV[PLANO DE CONTAS],REL_DRE_FINANCEIRO!$B$241,LANÇ_MOV[ANO PAGAMENTO],$B$4,LANÇ_MOV[MÊS PAGAMENTO CORRESPONDENTE],E$6,LANÇ_MOV[EMPRESA],$C$4,LANÇ_MOV[CENTRO DE CUSTOS],$D$4)</f>
        <v>0</v>
      </c>
      <c r="F270" s="206">
        <f>SUMIFS(LANÇ_MOV[VALOR LÍQUIDO],LANÇ_MOV[RECEITA OU DESPESA],"Despesa",LANÇ_MOV[CONTAS],$C270,LANÇ_MOV[PLANO DE CONTAS],REL_DRE_FINANCEIRO!$B$241,LANÇ_MOV[ANO PAGAMENTO],$B$4,LANÇ_MOV[MÊS PAGAMENTO CORRESPONDENTE],F$6,LANÇ_MOV[EMPRESA],$C$4,LANÇ_MOV[CENTRO DE CUSTOS],$D$4)</f>
        <v>0</v>
      </c>
      <c r="G270" s="206">
        <f>SUMIFS(LANÇ_MOV[VALOR LÍQUIDO],LANÇ_MOV[RECEITA OU DESPESA],"Despesa",LANÇ_MOV[CONTAS],$C270,LANÇ_MOV[PLANO DE CONTAS],REL_DRE_FINANCEIRO!$B$241,LANÇ_MOV[ANO PAGAMENTO],$B$4,LANÇ_MOV[MÊS PAGAMENTO CORRESPONDENTE],G$6,LANÇ_MOV[EMPRESA],$C$4,LANÇ_MOV[CENTRO DE CUSTOS],$D$4)</f>
        <v>0</v>
      </c>
      <c r="H270" s="206">
        <f>SUMIFS(LANÇ_MOV[VALOR LÍQUIDO],LANÇ_MOV[RECEITA OU DESPESA],"Despesa",LANÇ_MOV[CONTAS],$C270,LANÇ_MOV[PLANO DE CONTAS],REL_DRE_FINANCEIRO!$B$241,LANÇ_MOV[ANO PAGAMENTO],$B$4,LANÇ_MOV[MÊS PAGAMENTO CORRESPONDENTE],H$6,LANÇ_MOV[EMPRESA],$C$4,LANÇ_MOV[CENTRO DE CUSTOS],$D$4)</f>
        <v>0</v>
      </c>
      <c r="I270" s="206">
        <f>SUMIFS(LANÇ_MOV[VALOR LÍQUIDO],LANÇ_MOV[RECEITA OU DESPESA],"Despesa",LANÇ_MOV[CONTAS],$C270,LANÇ_MOV[PLANO DE CONTAS],REL_DRE_FINANCEIRO!$B$241,LANÇ_MOV[ANO PAGAMENTO],$B$4,LANÇ_MOV[MÊS PAGAMENTO CORRESPONDENTE],I$6,LANÇ_MOV[EMPRESA],$C$4,LANÇ_MOV[CENTRO DE CUSTOS],$D$4)</f>
        <v>0</v>
      </c>
      <c r="J270" s="206">
        <f>SUMIFS(LANÇ_MOV[VALOR LÍQUIDO],LANÇ_MOV[RECEITA OU DESPESA],"Despesa",LANÇ_MOV[CONTAS],$C270,LANÇ_MOV[PLANO DE CONTAS],REL_DRE_FINANCEIRO!$B$241,LANÇ_MOV[ANO PAGAMENTO],$B$4,LANÇ_MOV[MÊS PAGAMENTO CORRESPONDENTE],J$6,LANÇ_MOV[EMPRESA],$C$4,LANÇ_MOV[CENTRO DE CUSTOS],$D$4)</f>
        <v>0</v>
      </c>
      <c r="K270" s="206">
        <f>SUMIFS(LANÇ_MOV[VALOR LÍQUIDO],LANÇ_MOV[RECEITA OU DESPESA],"Despesa",LANÇ_MOV[CONTAS],$C270,LANÇ_MOV[PLANO DE CONTAS],REL_DRE_FINANCEIRO!$B$241,LANÇ_MOV[ANO PAGAMENTO],$B$4,LANÇ_MOV[MÊS PAGAMENTO CORRESPONDENTE],K$6,LANÇ_MOV[EMPRESA],$C$4,LANÇ_MOV[CENTRO DE CUSTOS],$D$4)</f>
        <v>0</v>
      </c>
      <c r="L270" s="206">
        <f>SUMIFS(LANÇ_MOV[VALOR LÍQUIDO],LANÇ_MOV[RECEITA OU DESPESA],"Despesa",LANÇ_MOV[CONTAS],$C270,LANÇ_MOV[PLANO DE CONTAS],REL_DRE_FINANCEIRO!$B$241,LANÇ_MOV[ANO PAGAMENTO],$B$4,LANÇ_MOV[MÊS PAGAMENTO CORRESPONDENTE],L$6,LANÇ_MOV[EMPRESA],$C$4,LANÇ_MOV[CENTRO DE CUSTOS],$D$4)</f>
        <v>0</v>
      </c>
      <c r="M270" s="206">
        <f>SUMIFS(LANÇ_MOV[VALOR LÍQUIDO],LANÇ_MOV[RECEITA OU DESPESA],"Despesa",LANÇ_MOV[CONTAS],$C270,LANÇ_MOV[PLANO DE CONTAS],REL_DRE_FINANCEIRO!$B$241,LANÇ_MOV[ANO PAGAMENTO],$B$4,LANÇ_MOV[MÊS PAGAMENTO CORRESPONDENTE],M$6,LANÇ_MOV[EMPRESA],$C$4,LANÇ_MOV[CENTRO DE CUSTOS],$D$4)</f>
        <v>0</v>
      </c>
      <c r="N270" s="206">
        <f>SUMIFS(LANÇ_MOV[VALOR LÍQUIDO],LANÇ_MOV[RECEITA OU DESPESA],"Despesa",LANÇ_MOV[CONTAS],$C270,LANÇ_MOV[PLANO DE CONTAS],REL_DRE_FINANCEIRO!$B$241,LANÇ_MOV[ANO PAGAMENTO],$B$4,LANÇ_MOV[MÊS PAGAMENTO CORRESPONDENTE],N$6,LANÇ_MOV[EMPRESA],$C$4,LANÇ_MOV[CENTRO DE CUSTOS],$D$4)</f>
        <v>0</v>
      </c>
      <c r="O270" s="206">
        <f>SUMIFS(LANÇ_MOV[VALOR LÍQUIDO],LANÇ_MOV[RECEITA OU DESPESA],"Despesa",LANÇ_MOV[CONTAS],$C270,LANÇ_MOV[PLANO DE CONTAS],REL_DRE_FINANCEIRO!$B$241,LANÇ_MOV[ANO PAGAMENTO],$B$4,LANÇ_MOV[MÊS PAGAMENTO CORRESPONDENTE],O$6,LANÇ_MOV[EMPRESA],$C$4,LANÇ_MOV[CENTRO DE CUSTOS],$D$4)</f>
        <v>0</v>
      </c>
      <c r="P270" s="207">
        <f t="shared" si="43"/>
        <v>0</v>
      </c>
      <c r="Q270" s="329">
        <v>7.1999999999999997E-6</v>
      </c>
      <c r="R270" s="346">
        <f t="shared" si="44"/>
        <v>7.1999999999999997E-6</v>
      </c>
      <c r="S270" s="347" t="str">
        <f t="shared" si="45"/>
        <v>SISTEMA</v>
      </c>
      <c r="T270" s="347">
        <f t="shared" si="46"/>
        <v>0</v>
      </c>
      <c r="U270" s="347">
        <f>HLOOKUP(Apoio!$P$12,$D$240:$P$341,X270,FALSE)+Q270</f>
        <v>7.1999999999999997E-6</v>
      </c>
      <c r="V270" s="447" t="str">
        <f t="shared" si="47"/>
        <v>SISTEMA</v>
      </c>
      <c r="W270" s="448">
        <f>HLOOKUP(Apoio!$P$12,$D$240:$P$341,X270,FALSE)</f>
        <v>0</v>
      </c>
      <c r="X270" s="329">
        <v>31</v>
      </c>
    </row>
    <row r="271" spans="2:24" ht="30.05" customHeight="1" x14ac:dyDescent="0.35">
      <c r="B271" s="204" t="str">
        <f>'CAD_PL_REC-DESP'!N34</f>
        <v>2.2.30</v>
      </c>
      <c r="C271" s="205" t="str">
        <f>IF('CAD_PL_REC-DESP'!O34="","-",'CAD_PL_REC-DESP'!O34)</f>
        <v>TARIFA BANCÁRIA</v>
      </c>
      <c r="D271" s="206">
        <f>SUMIFS(LANÇ_MOV[VALOR LÍQUIDO],LANÇ_MOV[RECEITA OU DESPESA],"Despesa",LANÇ_MOV[CONTAS],$C271,LANÇ_MOV[PLANO DE CONTAS],REL_DRE_FINANCEIRO!$B$241,LANÇ_MOV[ANO PAGAMENTO],$B$4,LANÇ_MOV[MÊS PAGAMENTO CORRESPONDENTE],D$6,LANÇ_MOV[EMPRESA],$C$4,LANÇ_MOV[CENTRO DE CUSTOS],$D$4)</f>
        <v>0</v>
      </c>
      <c r="E271" s="206">
        <f>SUMIFS(LANÇ_MOV[VALOR LÍQUIDO],LANÇ_MOV[RECEITA OU DESPESA],"Despesa",LANÇ_MOV[CONTAS],$C271,LANÇ_MOV[PLANO DE CONTAS],REL_DRE_FINANCEIRO!$B$241,LANÇ_MOV[ANO PAGAMENTO],$B$4,LANÇ_MOV[MÊS PAGAMENTO CORRESPONDENTE],E$6,LANÇ_MOV[EMPRESA],$C$4,LANÇ_MOV[CENTRO DE CUSTOS],$D$4)</f>
        <v>0</v>
      </c>
      <c r="F271" s="206">
        <f>SUMIFS(LANÇ_MOV[VALOR LÍQUIDO],LANÇ_MOV[RECEITA OU DESPESA],"Despesa",LANÇ_MOV[CONTAS],$C271,LANÇ_MOV[PLANO DE CONTAS],REL_DRE_FINANCEIRO!$B$241,LANÇ_MOV[ANO PAGAMENTO],$B$4,LANÇ_MOV[MÊS PAGAMENTO CORRESPONDENTE],F$6,LANÇ_MOV[EMPRESA],$C$4,LANÇ_MOV[CENTRO DE CUSTOS],$D$4)</f>
        <v>0</v>
      </c>
      <c r="G271" s="206">
        <f>SUMIFS(LANÇ_MOV[VALOR LÍQUIDO],LANÇ_MOV[RECEITA OU DESPESA],"Despesa",LANÇ_MOV[CONTAS],$C271,LANÇ_MOV[PLANO DE CONTAS],REL_DRE_FINANCEIRO!$B$241,LANÇ_MOV[ANO PAGAMENTO],$B$4,LANÇ_MOV[MÊS PAGAMENTO CORRESPONDENTE],G$6,LANÇ_MOV[EMPRESA],$C$4,LANÇ_MOV[CENTRO DE CUSTOS],$D$4)</f>
        <v>0</v>
      </c>
      <c r="H271" s="206">
        <f>SUMIFS(LANÇ_MOV[VALOR LÍQUIDO],LANÇ_MOV[RECEITA OU DESPESA],"Despesa",LANÇ_MOV[CONTAS],$C271,LANÇ_MOV[PLANO DE CONTAS],REL_DRE_FINANCEIRO!$B$241,LANÇ_MOV[ANO PAGAMENTO],$B$4,LANÇ_MOV[MÊS PAGAMENTO CORRESPONDENTE],H$6,LANÇ_MOV[EMPRESA],$C$4,LANÇ_MOV[CENTRO DE CUSTOS],$D$4)</f>
        <v>0</v>
      </c>
      <c r="I271" s="206">
        <f>SUMIFS(LANÇ_MOV[VALOR LÍQUIDO],LANÇ_MOV[RECEITA OU DESPESA],"Despesa",LANÇ_MOV[CONTAS],$C271,LANÇ_MOV[PLANO DE CONTAS],REL_DRE_FINANCEIRO!$B$241,LANÇ_MOV[ANO PAGAMENTO],$B$4,LANÇ_MOV[MÊS PAGAMENTO CORRESPONDENTE],I$6,LANÇ_MOV[EMPRESA],$C$4,LANÇ_MOV[CENTRO DE CUSTOS],$D$4)</f>
        <v>0</v>
      </c>
      <c r="J271" s="206">
        <f>SUMIFS(LANÇ_MOV[VALOR LÍQUIDO],LANÇ_MOV[RECEITA OU DESPESA],"Despesa",LANÇ_MOV[CONTAS],$C271,LANÇ_MOV[PLANO DE CONTAS],REL_DRE_FINANCEIRO!$B$241,LANÇ_MOV[ANO PAGAMENTO],$B$4,LANÇ_MOV[MÊS PAGAMENTO CORRESPONDENTE],J$6,LANÇ_MOV[EMPRESA],$C$4,LANÇ_MOV[CENTRO DE CUSTOS],$D$4)</f>
        <v>0</v>
      </c>
      <c r="K271" s="206">
        <f>SUMIFS(LANÇ_MOV[VALOR LÍQUIDO],LANÇ_MOV[RECEITA OU DESPESA],"Despesa",LANÇ_MOV[CONTAS],$C271,LANÇ_MOV[PLANO DE CONTAS],REL_DRE_FINANCEIRO!$B$241,LANÇ_MOV[ANO PAGAMENTO],$B$4,LANÇ_MOV[MÊS PAGAMENTO CORRESPONDENTE],K$6,LANÇ_MOV[EMPRESA],$C$4,LANÇ_MOV[CENTRO DE CUSTOS],$D$4)</f>
        <v>0</v>
      </c>
      <c r="L271" s="206">
        <f>SUMIFS(LANÇ_MOV[VALOR LÍQUIDO],LANÇ_MOV[RECEITA OU DESPESA],"Despesa",LANÇ_MOV[CONTAS],$C271,LANÇ_MOV[PLANO DE CONTAS],REL_DRE_FINANCEIRO!$B$241,LANÇ_MOV[ANO PAGAMENTO],$B$4,LANÇ_MOV[MÊS PAGAMENTO CORRESPONDENTE],L$6,LANÇ_MOV[EMPRESA],$C$4,LANÇ_MOV[CENTRO DE CUSTOS],$D$4)</f>
        <v>0</v>
      </c>
      <c r="M271" s="206">
        <f>SUMIFS(LANÇ_MOV[VALOR LÍQUIDO],LANÇ_MOV[RECEITA OU DESPESA],"Despesa",LANÇ_MOV[CONTAS],$C271,LANÇ_MOV[PLANO DE CONTAS],REL_DRE_FINANCEIRO!$B$241,LANÇ_MOV[ANO PAGAMENTO],$B$4,LANÇ_MOV[MÊS PAGAMENTO CORRESPONDENTE],M$6,LANÇ_MOV[EMPRESA],$C$4,LANÇ_MOV[CENTRO DE CUSTOS],$D$4)</f>
        <v>0</v>
      </c>
      <c r="N271" s="206">
        <f>SUMIFS(LANÇ_MOV[VALOR LÍQUIDO],LANÇ_MOV[RECEITA OU DESPESA],"Despesa",LANÇ_MOV[CONTAS],$C271,LANÇ_MOV[PLANO DE CONTAS],REL_DRE_FINANCEIRO!$B$241,LANÇ_MOV[ANO PAGAMENTO],$B$4,LANÇ_MOV[MÊS PAGAMENTO CORRESPONDENTE],N$6,LANÇ_MOV[EMPRESA],$C$4,LANÇ_MOV[CENTRO DE CUSTOS],$D$4)</f>
        <v>0</v>
      </c>
      <c r="O271" s="206">
        <f>SUMIFS(LANÇ_MOV[VALOR LÍQUIDO],LANÇ_MOV[RECEITA OU DESPESA],"Despesa",LANÇ_MOV[CONTAS],$C271,LANÇ_MOV[PLANO DE CONTAS],REL_DRE_FINANCEIRO!$B$241,LANÇ_MOV[ANO PAGAMENTO],$B$4,LANÇ_MOV[MÊS PAGAMENTO CORRESPONDENTE],O$6,LANÇ_MOV[EMPRESA],$C$4,LANÇ_MOV[CENTRO DE CUSTOS],$D$4)</f>
        <v>0</v>
      </c>
      <c r="P271" s="207">
        <f t="shared" si="43"/>
        <v>0</v>
      </c>
      <c r="Q271" s="329">
        <v>7.0999999999999998E-6</v>
      </c>
      <c r="R271" s="346">
        <f t="shared" si="44"/>
        <v>7.0999999999999998E-6</v>
      </c>
      <c r="S271" s="347" t="str">
        <f t="shared" si="45"/>
        <v>TARIFA BANCÁRIA</v>
      </c>
      <c r="T271" s="347">
        <f t="shared" si="46"/>
        <v>0</v>
      </c>
      <c r="U271" s="347">
        <f>HLOOKUP(Apoio!$P$12,$D$240:$P$341,X271,FALSE)+Q271</f>
        <v>7.0999999999999998E-6</v>
      </c>
      <c r="V271" s="447" t="str">
        <f t="shared" si="47"/>
        <v>TARIFA BANCÁRIA</v>
      </c>
      <c r="W271" s="448">
        <f>HLOOKUP(Apoio!$P$12,$D$240:$P$341,X271,FALSE)</f>
        <v>0</v>
      </c>
      <c r="X271" s="329">
        <v>32</v>
      </c>
    </row>
    <row r="272" spans="2:24" ht="30.05" customHeight="1" x14ac:dyDescent="0.35">
      <c r="B272" s="204" t="str">
        <f>'CAD_PL_REC-DESP'!N35</f>
        <v>2.2.31</v>
      </c>
      <c r="C272" s="205" t="str">
        <f>IF('CAD_PL_REC-DESP'!O35="","-",'CAD_PL_REC-DESP'!O35)</f>
        <v xml:space="preserve">TAXA CARTÃO </v>
      </c>
      <c r="D272" s="206">
        <f>SUMIFS(LANÇ_MOV[VALOR LÍQUIDO],LANÇ_MOV[RECEITA OU DESPESA],"Despesa",LANÇ_MOV[CONTAS],$C272,LANÇ_MOV[PLANO DE CONTAS],REL_DRE_FINANCEIRO!$B$241,LANÇ_MOV[ANO PAGAMENTO],$B$4,LANÇ_MOV[MÊS PAGAMENTO CORRESPONDENTE],D$6,LANÇ_MOV[EMPRESA],$C$4,LANÇ_MOV[CENTRO DE CUSTOS],$D$4)</f>
        <v>0</v>
      </c>
      <c r="E272" s="206">
        <f>SUMIFS(LANÇ_MOV[VALOR LÍQUIDO],LANÇ_MOV[RECEITA OU DESPESA],"Despesa",LANÇ_MOV[CONTAS],$C272,LANÇ_MOV[PLANO DE CONTAS],REL_DRE_FINANCEIRO!$B$241,LANÇ_MOV[ANO PAGAMENTO],$B$4,LANÇ_MOV[MÊS PAGAMENTO CORRESPONDENTE],E$6,LANÇ_MOV[EMPRESA],$C$4,LANÇ_MOV[CENTRO DE CUSTOS],$D$4)</f>
        <v>0</v>
      </c>
      <c r="F272" s="206">
        <f>SUMIFS(LANÇ_MOV[VALOR LÍQUIDO],LANÇ_MOV[RECEITA OU DESPESA],"Despesa",LANÇ_MOV[CONTAS],$C272,LANÇ_MOV[PLANO DE CONTAS],REL_DRE_FINANCEIRO!$B$241,LANÇ_MOV[ANO PAGAMENTO],$B$4,LANÇ_MOV[MÊS PAGAMENTO CORRESPONDENTE],F$6,LANÇ_MOV[EMPRESA],$C$4,LANÇ_MOV[CENTRO DE CUSTOS],$D$4)</f>
        <v>0</v>
      </c>
      <c r="G272" s="206">
        <f>SUMIFS(LANÇ_MOV[VALOR LÍQUIDO],LANÇ_MOV[RECEITA OU DESPESA],"Despesa",LANÇ_MOV[CONTAS],$C272,LANÇ_MOV[PLANO DE CONTAS],REL_DRE_FINANCEIRO!$B$241,LANÇ_MOV[ANO PAGAMENTO],$B$4,LANÇ_MOV[MÊS PAGAMENTO CORRESPONDENTE],G$6,LANÇ_MOV[EMPRESA],$C$4,LANÇ_MOV[CENTRO DE CUSTOS],$D$4)</f>
        <v>0</v>
      </c>
      <c r="H272" s="206">
        <f>SUMIFS(LANÇ_MOV[VALOR LÍQUIDO],LANÇ_MOV[RECEITA OU DESPESA],"Despesa",LANÇ_MOV[CONTAS],$C272,LANÇ_MOV[PLANO DE CONTAS],REL_DRE_FINANCEIRO!$B$241,LANÇ_MOV[ANO PAGAMENTO],$B$4,LANÇ_MOV[MÊS PAGAMENTO CORRESPONDENTE],H$6,LANÇ_MOV[EMPRESA],$C$4,LANÇ_MOV[CENTRO DE CUSTOS],$D$4)</f>
        <v>0</v>
      </c>
      <c r="I272" s="206">
        <f>SUMIFS(LANÇ_MOV[VALOR LÍQUIDO],LANÇ_MOV[RECEITA OU DESPESA],"Despesa",LANÇ_MOV[CONTAS],$C272,LANÇ_MOV[PLANO DE CONTAS],REL_DRE_FINANCEIRO!$B$241,LANÇ_MOV[ANO PAGAMENTO],$B$4,LANÇ_MOV[MÊS PAGAMENTO CORRESPONDENTE],I$6,LANÇ_MOV[EMPRESA],$C$4,LANÇ_MOV[CENTRO DE CUSTOS],$D$4)</f>
        <v>0</v>
      </c>
      <c r="J272" s="206">
        <f>SUMIFS(LANÇ_MOV[VALOR LÍQUIDO],LANÇ_MOV[RECEITA OU DESPESA],"Despesa",LANÇ_MOV[CONTAS],$C272,LANÇ_MOV[PLANO DE CONTAS],REL_DRE_FINANCEIRO!$B$241,LANÇ_MOV[ANO PAGAMENTO],$B$4,LANÇ_MOV[MÊS PAGAMENTO CORRESPONDENTE],J$6,LANÇ_MOV[EMPRESA],$C$4,LANÇ_MOV[CENTRO DE CUSTOS],$D$4)</f>
        <v>0</v>
      </c>
      <c r="K272" s="206">
        <f>SUMIFS(LANÇ_MOV[VALOR LÍQUIDO],LANÇ_MOV[RECEITA OU DESPESA],"Despesa",LANÇ_MOV[CONTAS],$C272,LANÇ_MOV[PLANO DE CONTAS],REL_DRE_FINANCEIRO!$B$241,LANÇ_MOV[ANO PAGAMENTO],$B$4,LANÇ_MOV[MÊS PAGAMENTO CORRESPONDENTE],K$6,LANÇ_MOV[EMPRESA],$C$4,LANÇ_MOV[CENTRO DE CUSTOS],$D$4)</f>
        <v>0</v>
      </c>
      <c r="L272" s="206">
        <f>SUMIFS(LANÇ_MOV[VALOR LÍQUIDO],LANÇ_MOV[RECEITA OU DESPESA],"Despesa",LANÇ_MOV[CONTAS],$C272,LANÇ_MOV[PLANO DE CONTAS],REL_DRE_FINANCEIRO!$B$241,LANÇ_MOV[ANO PAGAMENTO],$B$4,LANÇ_MOV[MÊS PAGAMENTO CORRESPONDENTE],L$6,LANÇ_MOV[EMPRESA],$C$4,LANÇ_MOV[CENTRO DE CUSTOS],$D$4)</f>
        <v>0</v>
      </c>
      <c r="M272" s="206">
        <f>SUMIFS(LANÇ_MOV[VALOR LÍQUIDO],LANÇ_MOV[RECEITA OU DESPESA],"Despesa",LANÇ_MOV[CONTAS],$C272,LANÇ_MOV[PLANO DE CONTAS],REL_DRE_FINANCEIRO!$B$241,LANÇ_MOV[ANO PAGAMENTO],$B$4,LANÇ_MOV[MÊS PAGAMENTO CORRESPONDENTE],M$6,LANÇ_MOV[EMPRESA],$C$4,LANÇ_MOV[CENTRO DE CUSTOS],$D$4)</f>
        <v>0</v>
      </c>
      <c r="N272" s="206">
        <f>SUMIFS(LANÇ_MOV[VALOR LÍQUIDO],LANÇ_MOV[RECEITA OU DESPESA],"Despesa",LANÇ_MOV[CONTAS],$C272,LANÇ_MOV[PLANO DE CONTAS],REL_DRE_FINANCEIRO!$B$241,LANÇ_MOV[ANO PAGAMENTO],$B$4,LANÇ_MOV[MÊS PAGAMENTO CORRESPONDENTE],N$6,LANÇ_MOV[EMPRESA],$C$4,LANÇ_MOV[CENTRO DE CUSTOS],$D$4)</f>
        <v>0</v>
      </c>
      <c r="O272" s="206">
        <f>SUMIFS(LANÇ_MOV[VALOR LÍQUIDO],LANÇ_MOV[RECEITA OU DESPESA],"Despesa",LANÇ_MOV[CONTAS],$C272,LANÇ_MOV[PLANO DE CONTAS],REL_DRE_FINANCEIRO!$B$241,LANÇ_MOV[ANO PAGAMENTO],$B$4,LANÇ_MOV[MÊS PAGAMENTO CORRESPONDENTE],O$6,LANÇ_MOV[EMPRESA],$C$4,LANÇ_MOV[CENTRO DE CUSTOS],$D$4)</f>
        <v>0</v>
      </c>
      <c r="P272" s="207">
        <f t="shared" si="43"/>
        <v>0</v>
      </c>
      <c r="Q272" s="329">
        <v>6.9999999999999999E-6</v>
      </c>
      <c r="R272" s="346">
        <f t="shared" si="44"/>
        <v>6.9999999999999999E-6</v>
      </c>
      <c r="S272" s="347" t="str">
        <f t="shared" si="45"/>
        <v xml:space="preserve">TAXA CARTÃO </v>
      </c>
      <c r="T272" s="347">
        <f t="shared" si="46"/>
        <v>0</v>
      </c>
      <c r="U272" s="347">
        <f>HLOOKUP(Apoio!$P$12,$D$240:$P$341,X272,FALSE)+Q272</f>
        <v>6.9999999999999999E-6</v>
      </c>
      <c r="V272" s="447" t="str">
        <f t="shared" si="47"/>
        <v xml:space="preserve">TAXA CARTÃO </v>
      </c>
      <c r="W272" s="448">
        <f>HLOOKUP(Apoio!$P$12,$D$240:$P$341,X272,FALSE)</f>
        <v>0</v>
      </c>
      <c r="X272" s="329">
        <v>33</v>
      </c>
    </row>
    <row r="273" spans="2:24" ht="30.05" customHeight="1" x14ac:dyDescent="0.35">
      <c r="B273" s="204" t="str">
        <f>'CAD_PL_REC-DESP'!N36</f>
        <v>2.2.32</v>
      </c>
      <c r="C273" s="205" t="str">
        <f>IF('CAD_PL_REC-DESP'!O36="","-",'CAD_PL_REC-DESP'!O36)</f>
        <v>TELEFONE</v>
      </c>
      <c r="D273" s="206">
        <f>SUMIFS(LANÇ_MOV[VALOR LÍQUIDO],LANÇ_MOV[RECEITA OU DESPESA],"Despesa",LANÇ_MOV[CONTAS],$C273,LANÇ_MOV[PLANO DE CONTAS],REL_DRE_FINANCEIRO!$B$241,LANÇ_MOV[ANO PAGAMENTO],$B$4,LANÇ_MOV[MÊS PAGAMENTO CORRESPONDENTE],D$6,LANÇ_MOV[EMPRESA],$C$4,LANÇ_MOV[CENTRO DE CUSTOS],$D$4)</f>
        <v>0</v>
      </c>
      <c r="E273" s="206">
        <f>SUMIFS(LANÇ_MOV[VALOR LÍQUIDO],LANÇ_MOV[RECEITA OU DESPESA],"Despesa",LANÇ_MOV[CONTAS],$C273,LANÇ_MOV[PLANO DE CONTAS],REL_DRE_FINANCEIRO!$B$241,LANÇ_MOV[ANO PAGAMENTO],$B$4,LANÇ_MOV[MÊS PAGAMENTO CORRESPONDENTE],E$6,LANÇ_MOV[EMPRESA],$C$4,LANÇ_MOV[CENTRO DE CUSTOS],$D$4)</f>
        <v>0</v>
      </c>
      <c r="F273" s="206">
        <f>SUMIFS(LANÇ_MOV[VALOR LÍQUIDO],LANÇ_MOV[RECEITA OU DESPESA],"Despesa",LANÇ_MOV[CONTAS],$C273,LANÇ_MOV[PLANO DE CONTAS],REL_DRE_FINANCEIRO!$B$241,LANÇ_MOV[ANO PAGAMENTO],$B$4,LANÇ_MOV[MÊS PAGAMENTO CORRESPONDENTE],F$6,LANÇ_MOV[EMPRESA],$C$4,LANÇ_MOV[CENTRO DE CUSTOS],$D$4)</f>
        <v>0</v>
      </c>
      <c r="G273" s="206">
        <f>SUMIFS(LANÇ_MOV[VALOR LÍQUIDO],LANÇ_MOV[RECEITA OU DESPESA],"Despesa",LANÇ_MOV[CONTAS],$C273,LANÇ_MOV[PLANO DE CONTAS],REL_DRE_FINANCEIRO!$B$241,LANÇ_MOV[ANO PAGAMENTO],$B$4,LANÇ_MOV[MÊS PAGAMENTO CORRESPONDENTE],G$6,LANÇ_MOV[EMPRESA],$C$4,LANÇ_MOV[CENTRO DE CUSTOS],$D$4)</f>
        <v>0</v>
      </c>
      <c r="H273" s="206">
        <f>SUMIFS(LANÇ_MOV[VALOR LÍQUIDO],LANÇ_MOV[RECEITA OU DESPESA],"Despesa",LANÇ_MOV[CONTAS],$C273,LANÇ_MOV[PLANO DE CONTAS],REL_DRE_FINANCEIRO!$B$241,LANÇ_MOV[ANO PAGAMENTO],$B$4,LANÇ_MOV[MÊS PAGAMENTO CORRESPONDENTE],H$6,LANÇ_MOV[EMPRESA],$C$4,LANÇ_MOV[CENTRO DE CUSTOS],$D$4)</f>
        <v>0</v>
      </c>
      <c r="I273" s="206">
        <f>SUMIFS(LANÇ_MOV[VALOR LÍQUIDO],LANÇ_MOV[RECEITA OU DESPESA],"Despesa",LANÇ_MOV[CONTAS],$C273,LANÇ_MOV[PLANO DE CONTAS],REL_DRE_FINANCEIRO!$B$241,LANÇ_MOV[ANO PAGAMENTO],$B$4,LANÇ_MOV[MÊS PAGAMENTO CORRESPONDENTE],I$6,LANÇ_MOV[EMPRESA],$C$4,LANÇ_MOV[CENTRO DE CUSTOS],$D$4)</f>
        <v>0</v>
      </c>
      <c r="J273" s="206">
        <f>SUMIFS(LANÇ_MOV[VALOR LÍQUIDO],LANÇ_MOV[RECEITA OU DESPESA],"Despesa",LANÇ_MOV[CONTAS],$C273,LANÇ_MOV[PLANO DE CONTAS],REL_DRE_FINANCEIRO!$B$241,LANÇ_MOV[ANO PAGAMENTO],$B$4,LANÇ_MOV[MÊS PAGAMENTO CORRESPONDENTE],J$6,LANÇ_MOV[EMPRESA],$C$4,LANÇ_MOV[CENTRO DE CUSTOS],$D$4)</f>
        <v>0</v>
      </c>
      <c r="K273" s="206">
        <f>SUMIFS(LANÇ_MOV[VALOR LÍQUIDO],LANÇ_MOV[RECEITA OU DESPESA],"Despesa",LANÇ_MOV[CONTAS],$C273,LANÇ_MOV[PLANO DE CONTAS],REL_DRE_FINANCEIRO!$B$241,LANÇ_MOV[ANO PAGAMENTO],$B$4,LANÇ_MOV[MÊS PAGAMENTO CORRESPONDENTE],K$6,LANÇ_MOV[EMPRESA],$C$4,LANÇ_MOV[CENTRO DE CUSTOS],$D$4)</f>
        <v>0</v>
      </c>
      <c r="L273" s="206">
        <f>SUMIFS(LANÇ_MOV[VALOR LÍQUIDO],LANÇ_MOV[RECEITA OU DESPESA],"Despesa",LANÇ_MOV[CONTAS],$C273,LANÇ_MOV[PLANO DE CONTAS],REL_DRE_FINANCEIRO!$B$241,LANÇ_MOV[ANO PAGAMENTO],$B$4,LANÇ_MOV[MÊS PAGAMENTO CORRESPONDENTE],L$6,LANÇ_MOV[EMPRESA],$C$4,LANÇ_MOV[CENTRO DE CUSTOS],$D$4)</f>
        <v>0</v>
      </c>
      <c r="M273" s="206">
        <f>SUMIFS(LANÇ_MOV[VALOR LÍQUIDO],LANÇ_MOV[RECEITA OU DESPESA],"Despesa",LANÇ_MOV[CONTAS],$C273,LANÇ_MOV[PLANO DE CONTAS],REL_DRE_FINANCEIRO!$B$241,LANÇ_MOV[ANO PAGAMENTO],$B$4,LANÇ_MOV[MÊS PAGAMENTO CORRESPONDENTE],M$6,LANÇ_MOV[EMPRESA],$C$4,LANÇ_MOV[CENTRO DE CUSTOS],$D$4)</f>
        <v>143.82</v>
      </c>
      <c r="N273" s="206">
        <f>SUMIFS(LANÇ_MOV[VALOR LÍQUIDO],LANÇ_MOV[RECEITA OU DESPESA],"Despesa",LANÇ_MOV[CONTAS],$C273,LANÇ_MOV[PLANO DE CONTAS],REL_DRE_FINANCEIRO!$B$241,LANÇ_MOV[ANO PAGAMENTO],$B$4,LANÇ_MOV[MÊS PAGAMENTO CORRESPONDENTE],N$6,LANÇ_MOV[EMPRESA],$C$4,LANÇ_MOV[CENTRO DE CUSTOS],$D$4)</f>
        <v>0</v>
      </c>
      <c r="O273" s="206">
        <f>SUMIFS(LANÇ_MOV[VALOR LÍQUIDO],LANÇ_MOV[RECEITA OU DESPESA],"Despesa",LANÇ_MOV[CONTAS],$C273,LANÇ_MOV[PLANO DE CONTAS],REL_DRE_FINANCEIRO!$B$241,LANÇ_MOV[ANO PAGAMENTO],$B$4,LANÇ_MOV[MÊS PAGAMENTO CORRESPONDENTE],O$6,LANÇ_MOV[EMPRESA],$C$4,LANÇ_MOV[CENTRO DE CUSTOS],$D$4)</f>
        <v>0</v>
      </c>
      <c r="P273" s="207">
        <f t="shared" si="43"/>
        <v>143.82</v>
      </c>
      <c r="Q273" s="329">
        <v>6.9E-6</v>
      </c>
      <c r="R273" s="346">
        <f t="shared" si="44"/>
        <v>143.82000689999998</v>
      </c>
      <c r="S273" s="347" t="str">
        <f t="shared" si="45"/>
        <v>TELEFONE</v>
      </c>
      <c r="T273" s="347">
        <f t="shared" si="46"/>
        <v>143.82</v>
      </c>
      <c r="U273" s="347">
        <f>HLOOKUP(Apoio!$P$12,$D$240:$P$341,X273,FALSE)+Q273</f>
        <v>143.82000689999998</v>
      </c>
      <c r="V273" s="447" t="str">
        <f t="shared" si="47"/>
        <v>TELEFONE</v>
      </c>
      <c r="W273" s="448">
        <f>HLOOKUP(Apoio!$P$12,$D$240:$P$341,X273,FALSE)</f>
        <v>143.82</v>
      </c>
      <c r="X273" s="329">
        <v>34</v>
      </c>
    </row>
    <row r="274" spans="2:24" ht="30.05" customHeight="1" x14ac:dyDescent="0.35">
      <c r="B274" s="204" t="str">
        <f>'CAD_PL_REC-DESP'!N37</f>
        <v>2.2.33</v>
      </c>
      <c r="C274" s="205" t="str">
        <f>IF('CAD_PL_REC-DESP'!O37="","-",'CAD_PL_REC-DESP'!O37)</f>
        <v>TRANSPORTE</v>
      </c>
      <c r="D274" s="206">
        <f>SUMIFS(LANÇ_MOV[VALOR LÍQUIDO],LANÇ_MOV[RECEITA OU DESPESA],"Despesa",LANÇ_MOV[CONTAS],$C274,LANÇ_MOV[PLANO DE CONTAS],REL_DRE_FINANCEIRO!$B$241,LANÇ_MOV[ANO PAGAMENTO],$B$4,LANÇ_MOV[MÊS PAGAMENTO CORRESPONDENTE],D$6,LANÇ_MOV[EMPRESA],$C$4,LANÇ_MOV[CENTRO DE CUSTOS],$D$4)</f>
        <v>0</v>
      </c>
      <c r="E274" s="206">
        <f>SUMIFS(LANÇ_MOV[VALOR LÍQUIDO],LANÇ_MOV[RECEITA OU DESPESA],"Despesa",LANÇ_MOV[CONTAS],$C274,LANÇ_MOV[PLANO DE CONTAS],REL_DRE_FINANCEIRO!$B$241,LANÇ_MOV[ANO PAGAMENTO],$B$4,LANÇ_MOV[MÊS PAGAMENTO CORRESPONDENTE],E$6,LANÇ_MOV[EMPRESA],$C$4,LANÇ_MOV[CENTRO DE CUSTOS],$D$4)</f>
        <v>0</v>
      </c>
      <c r="F274" s="206">
        <f>SUMIFS(LANÇ_MOV[VALOR LÍQUIDO],LANÇ_MOV[RECEITA OU DESPESA],"Despesa",LANÇ_MOV[CONTAS],$C274,LANÇ_MOV[PLANO DE CONTAS],REL_DRE_FINANCEIRO!$B$241,LANÇ_MOV[ANO PAGAMENTO],$B$4,LANÇ_MOV[MÊS PAGAMENTO CORRESPONDENTE],F$6,LANÇ_MOV[EMPRESA],$C$4,LANÇ_MOV[CENTRO DE CUSTOS],$D$4)</f>
        <v>0</v>
      </c>
      <c r="G274" s="206">
        <f>SUMIFS(LANÇ_MOV[VALOR LÍQUIDO],LANÇ_MOV[RECEITA OU DESPESA],"Despesa",LANÇ_MOV[CONTAS],$C274,LANÇ_MOV[PLANO DE CONTAS],REL_DRE_FINANCEIRO!$B$241,LANÇ_MOV[ANO PAGAMENTO],$B$4,LANÇ_MOV[MÊS PAGAMENTO CORRESPONDENTE],G$6,LANÇ_MOV[EMPRESA],$C$4,LANÇ_MOV[CENTRO DE CUSTOS],$D$4)</f>
        <v>0</v>
      </c>
      <c r="H274" s="206">
        <f>SUMIFS(LANÇ_MOV[VALOR LÍQUIDO],LANÇ_MOV[RECEITA OU DESPESA],"Despesa",LANÇ_MOV[CONTAS],$C274,LANÇ_MOV[PLANO DE CONTAS],REL_DRE_FINANCEIRO!$B$241,LANÇ_MOV[ANO PAGAMENTO],$B$4,LANÇ_MOV[MÊS PAGAMENTO CORRESPONDENTE],H$6,LANÇ_MOV[EMPRESA],$C$4,LANÇ_MOV[CENTRO DE CUSTOS],$D$4)</f>
        <v>0</v>
      </c>
      <c r="I274" s="206">
        <f>SUMIFS(LANÇ_MOV[VALOR LÍQUIDO],LANÇ_MOV[RECEITA OU DESPESA],"Despesa",LANÇ_MOV[CONTAS],$C274,LANÇ_MOV[PLANO DE CONTAS],REL_DRE_FINANCEIRO!$B$241,LANÇ_MOV[ANO PAGAMENTO],$B$4,LANÇ_MOV[MÊS PAGAMENTO CORRESPONDENTE],I$6,LANÇ_MOV[EMPRESA],$C$4,LANÇ_MOV[CENTRO DE CUSTOS],$D$4)</f>
        <v>0</v>
      </c>
      <c r="J274" s="206">
        <f>SUMIFS(LANÇ_MOV[VALOR LÍQUIDO],LANÇ_MOV[RECEITA OU DESPESA],"Despesa",LANÇ_MOV[CONTAS],$C274,LANÇ_MOV[PLANO DE CONTAS],REL_DRE_FINANCEIRO!$B$241,LANÇ_MOV[ANO PAGAMENTO],$B$4,LANÇ_MOV[MÊS PAGAMENTO CORRESPONDENTE],J$6,LANÇ_MOV[EMPRESA],$C$4,LANÇ_MOV[CENTRO DE CUSTOS],$D$4)</f>
        <v>0</v>
      </c>
      <c r="K274" s="206">
        <f>SUMIFS(LANÇ_MOV[VALOR LÍQUIDO],LANÇ_MOV[RECEITA OU DESPESA],"Despesa",LANÇ_MOV[CONTAS],$C274,LANÇ_MOV[PLANO DE CONTAS],REL_DRE_FINANCEIRO!$B$241,LANÇ_MOV[ANO PAGAMENTO],$B$4,LANÇ_MOV[MÊS PAGAMENTO CORRESPONDENTE],K$6,LANÇ_MOV[EMPRESA],$C$4,LANÇ_MOV[CENTRO DE CUSTOS],$D$4)</f>
        <v>0</v>
      </c>
      <c r="L274" s="206">
        <f>SUMIFS(LANÇ_MOV[VALOR LÍQUIDO],LANÇ_MOV[RECEITA OU DESPESA],"Despesa",LANÇ_MOV[CONTAS],$C274,LANÇ_MOV[PLANO DE CONTAS],REL_DRE_FINANCEIRO!$B$241,LANÇ_MOV[ANO PAGAMENTO],$B$4,LANÇ_MOV[MÊS PAGAMENTO CORRESPONDENTE],L$6,LANÇ_MOV[EMPRESA],$C$4,LANÇ_MOV[CENTRO DE CUSTOS],$D$4)</f>
        <v>0</v>
      </c>
      <c r="M274" s="206">
        <f>SUMIFS(LANÇ_MOV[VALOR LÍQUIDO],LANÇ_MOV[RECEITA OU DESPESA],"Despesa",LANÇ_MOV[CONTAS],$C274,LANÇ_MOV[PLANO DE CONTAS],REL_DRE_FINANCEIRO!$B$241,LANÇ_MOV[ANO PAGAMENTO],$B$4,LANÇ_MOV[MÊS PAGAMENTO CORRESPONDENTE],M$6,LANÇ_MOV[EMPRESA],$C$4,LANÇ_MOV[CENTRO DE CUSTOS],$D$4)</f>
        <v>0</v>
      </c>
      <c r="N274" s="206">
        <f>SUMIFS(LANÇ_MOV[VALOR LÍQUIDO],LANÇ_MOV[RECEITA OU DESPESA],"Despesa",LANÇ_MOV[CONTAS],$C274,LANÇ_MOV[PLANO DE CONTAS],REL_DRE_FINANCEIRO!$B$241,LANÇ_MOV[ANO PAGAMENTO],$B$4,LANÇ_MOV[MÊS PAGAMENTO CORRESPONDENTE],N$6,LANÇ_MOV[EMPRESA],$C$4,LANÇ_MOV[CENTRO DE CUSTOS],$D$4)</f>
        <v>0</v>
      </c>
      <c r="O274" s="206">
        <f>SUMIFS(LANÇ_MOV[VALOR LÍQUIDO],LANÇ_MOV[RECEITA OU DESPESA],"Despesa",LANÇ_MOV[CONTAS],$C274,LANÇ_MOV[PLANO DE CONTAS],REL_DRE_FINANCEIRO!$B$241,LANÇ_MOV[ANO PAGAMENTO],$B$4,LANÇ_MOV[MÊS PAGAMENTO CORRESPONDENTE],O$6,LANÇ_MOV[EMPRESA],$C$4,LANÇ_MOV[CENTRO DE CUSTOS],$D$4)</f>
        <v>0</v>
      </c>
      <c r="P274" s="207">
        <f t="shared" si="43"/>
        <v>0</v>
      </c>
      <c r="Q274" s="329">
        <v>6.8000000000000001E-6</v>
      </c>
      <c r="R274" s="346">
        <f t="shared" si="44"/>
        <v>6.8000000000000001E-6</v>
      </c>
      <c r="S274" s="347" t="str">
        <f t="shared" si="45"/>
        <v>TRANSPORTE</v>
      </c>
      <c r="T274" s="347">
        <f t="shared" si="46"/>
        <v>0</v>
      </c>
      <c r="U274" s="347">
        <f>HLOOKUP(Apoio!$P$12,$D$240:$P$341,X274,FALSE)+Q274</f>
        <v>6.8000000000000001E-6</v>
      </c>
      <c r="V274" s="447" t="str">
        <f t="shared" si="47"/>
        <v>TRANSPORTE</v>
      </c>
      <c r="W274" s="448">
        <f>HLOOKUP(Apoio!$P$12,$D$240:$P$341,X274,FALSE)</f>
        <v>0</v>
      </c>
      <c r="X274" s="329">
        <v>35</v>
      </c>
    </row>
    <row r="275" spans="2:24" ht="30.05" customHeight="1" x14ac:dyDescent="0.35">
      <c r="B275" s="204" t="str">
        <f>'CAD_PL_REC-DESP'!N38</f>
        <v>2.2.34</v>
      </c>
      <c r="C275" s="205" t="str">
        <f>IF('CAD_PL_REC-DESP'!O38="","-",'CAD_PL_REC-DESP'!O38)</f>
        <v>-</v>
      </c>
      <c r="D275" s="206">
        <f>SUMIFS(LANÇ_MOV[VALOR LÍQUIDO],LANÇ_MOV[RECEITA OU DESPESA],"Despesa",LANÇ_MOV[CONTAS],$C275,LANÇ_MOV[PLANO DE CONTAS],REL_DRE_FINANCEIRO!$B$241,LANÇ_MOV[ANO PAGAMENTO],$B$4,LANÇ_MOV[MÊS PAGAMENTO CORRESPONDENTE],D$6,LANÇ_MOV[EMPRESA],$C$4,LANÇ_MOV[CENTRO DE CUSTOS],$D$4)</f>
        <v>0</v>
      </c>
      <c r="E275" s="206">
        <f>SUMIFS(LANÇ_MOV[VALOR LÍQUIDO],LANÇ_MOV[RECEITA OU DESPESA],"Despesa",LANÇ_MOV[CONTAS],$C275,LANÇ_MOV[PLANO DE CONTAS],REL_DRE_FINANCEIRO!$B$241,LANÇ_MOV[ANO PAGAMENTO],$B$4,LANÇ_MOV[MÊS PAGAMENTO CORRESPONDENTE],E$6,LANÇ_MOV[EMPRESA],$C$4,LANÇ_MOV[CENTRO DE CUSTOS],$D$4)</f>
        <v>0</v>
      </c>
      <c r="F275" s="206">
        <f>SUMIFS(LANÇ_MOV[VALOR LÍQUIDO],LANÇ_MOV[RECEITA OU DESPESA],"Despesa",LANÇ_MOV[CONTAS],$C275,LANÇ_MOV[PLANO DE CONTAS],REL_DRE_FINANCEIRO!$B$241,LANÇ_MOV[ANO PAGAMENTO],$B$4,LANÇ_MOV[MÊS PAGAMENTO CORRESPONDENTE],F$6,LANÇ_MOV[EMPRESA],$C$4,LANÇ_MOV[CENTRO DE CUSTOS],$D$4)</f>
        <v>0</v>
      </c>
      <c r="G275" s="206">
        <f>SUMIFS(LANÇ_MOV[VALOR LÍQUIDO],LANÇ_MOV[RECEITA OU DESPESA],"Despesa",LANÇ_MOV[CONTAS],$C275,LANÇ_MOV[PLANO DE CONTAS],REL_DRE_FINANCEIRO!$B$241,LANÇ_MOV[ANO PAGAMENTO],$B$4,LANÇ_MOV[MÊS PAGAMENTO CORRESPONDENTE],G$6,LANÇ_MOV[EMPRESA],$C$4,LANÇ_MOV[CENTRO DE CUSTOS],$D$4)</f>
        <v>0</v>
      </c>
      <c r="H275" s="206">
        <f>SUMIFS(LANÇ_MOV[VALOR LÍQUIDO],LANÇ_MOV[RECEITA OU DESPESA],"Despesa",LANÇ_MOV[CONTAS],$C275,LANÇ_MOV[PLANO DE CONTAS],REL_DRE_FINANCEIRO!$B$241,LANÇ_MOV[ANO PAGAMENTO],$B$4,LANÇ_MOV[MÊS PAGAMENTO CORRESPONDENTE],H$6,LANÇ_MOV[EMPRESA],$C$4,LANÇ_MOV[CENTRO DE CUSTOS],$D$4)</f>
        <v>0</v>
      </c>
      <c r="I275" s="206">
        <f>SUMIFS(LANÇ_MOV[VALOR LÍQUIDO],LANÇ_MOV[RECEITA OU DESPESA],"Despesa",LANÇ_MOV[CONTAS],$C275,LANÇ_MOV[PLANO DE CONTAS],REL_DRE_FINANCEIRO!$B$241,LANÇ_MOV[ANO PAGAMENTO],$B$4,LANÇ_MOV[MÊS PAGAMENTO CORRESPONDENTE],I$6,LANÇ_MOV[EMPRESA],$C$4,LANÇ_MOV[CENTRO DE CUSTOS],$D$4)</f>
        <v>0</v>
      </c>
      <c r="J275" s="206">
        <f>SUMIFS(LANÇ_MOV[VALOR LÍQUIDO],LANÇ_MOV[RECEITA OU DESPESA],"Despesa",LANÇ_MOV[CONTAS],$C275,LANÇ_MOV[PLANO DE CONTAS],REL_DRE_FINANCEIRO!$B$241,LANÇ_MOV[ANO PAGAMENTO],$B$4,LANÇ_MOV[MÊS PAGAMENTO CORRESPONDENTE],J$6,LANÇ_MOV[EMPRESA],$C$4,LANÇ_MOV[CENTRO DE CUSTOS],$D$4)</f>
        <v>0</v>
      </c>
      <c r="K275" s="206">
        <f>SUMIFS(LANÇ_MOV[VALOR LÍQUIDO],LANÇ_MOV[RECEITA OU DESPESA],"Despesa",LANÇ_MOV[CONTAS],$C275,LANÇ_MOV[PLANO DE CONTAS],REL_DRE_FINANCEIRO!$B$241,LANÇ_MOV[ANO PAGAMENTO],$B$4,LANÇ_MOV[MÊS PAGAMENTO CORRESPONDENTE],K$6,LANÇ_MOV[EMPRESA],$C$4,LANÇ_MOV[CENTRO DE CUSTOS],$D$4)</f>
        <v>0</v>
      </c>
      <c r="L275" s="206">
        <f>SUMIFS(LANÇ_MOV[VALOR LÍQUIDO],LANÇ_MOV[RECEITA OU DESPESA],"Despesa",LANÇ_MOV[CONTAS],$C275,LANÇ_MOV[PLANO DE CONTAS],REL_DRE_FINANCEIRO!$B$241,LANÇ_MOV[ANO PAGAMENTO],$B$4,LANÇ_MOV[MÊS PAGAMENTO CORRESPONDENTE],L$6,LANÇ_MOV[EMPRESA],$C$4,LANÇ_MOV[CENTRO DE CUSTOS],$D$4)</f>
        <v>0</v>
      </c>
      <c r="M275" s="206">
        <f>SUMIFS(LANÇ_MOV[VALOR LÍQUIDO],LANÇ_MOV[RECEITA OU DESPESA],"Despesa",LANÇ_MOV[CONTAS],$C275,LANÇ_MOV[PLANO DE CONTAS],REL_DRE_FINANCEIRO!$B$241,LANÇ_MOV[ANO PAGAMENTO],$B$4,LANÇ_MOV[MÊS PAGAMENTO CORRESPONDENTE],M$6,LANÇ_MOV[EMPRESA],$C$4,LANÇ_MOV[CENTRO DE CUSTOS],$D$4)</f>
        <v>0</v>
      </c>
      <c r="N275" s="206">
        <f>SUMIFS(LANÇ_MOV[VALOR LÍQUIDO],LANÇ_MOV[RECEITA OU DESPESA],"Despesa",LANÇ_MOV[CONTAS],$C275,LANÇ_MOV[PLANO DE CONTAS],REL_DRE_FINANCEIRO!$B$241,LANÇ_MOV[ANO PAGAMENTO],$B$4,LANÇ_MOV[MÊS PAGAMENTO CORRESPONDENTE],N$6,LANÇ_MOV[EMPRESA],$C$4,LANÇ_MOV[CENTRO DE CUSTOS],$D$4)</f>
        <v>0</v>
      </c>
      <c r="O275" s="206">
        <f>SUMIFS(LANÇ_MOV[VALOR LÍQUIDO],LANÇ_MOV[RECEITA OU DESPESA],"Despesa",LANÇ_MOV[CONTAS],$C275,LANÇ_MOV[PLANO DE CONTAS],REL_DRE_FINANCEIRO!$B$241,LANÇ_MOV[ANO PAGAMENTO],$B$4,LANÇ_MOV[MÊS PAGAMENTO CORRESPONDENTE],O$6,LANÇ_MOV[EMPRESA],$C$4,LANÇ_MOV[CENTRO DE CUSTOS],$D$4)</f>
        <v>0</v>
      </c>
      <c r="P275" s="207">
        <f t="shared" si="43"/>
        <v>0</v>
      </c>
      <c r="Q275" s="329">
        <v>6.7000000000000002E-6</v>
      </c>
      <c r="R275" s="346">
        <f t="shared" si="44"/>
        <v>6.7000000000000002E-6</v>
      </c>
      <c r="S275" s="347" t="str">
        <f t="shared" si="45"/>
        <v>-</v>
      </c>
      <c r="T275" s="347">
        <f t="shared" si="46"/>
        <v>0</v>
      </c>
      <c r="U275" s="347">
        <f>HLOOKUP(Apoio!$P$12,$D$240:$P$341,X275,FALSE)+Q275</f>
        <v>6.7000000000000002E-6</v>
      </c>
      <c r="V275" s="447" t="str">
        <f t="shared" si="47"/>
        <v>-</v>
      </c>
      <c r="W275" s="448">
        <f>HLOOKUP(Apoio!$P$12,$D$240:$P$341,X275,FALSE)</f>
        <v>0</v>
      </c>
      <c r="X275" s="329">
        <v>36</v>
      </c>
    </row>
    <row r="276" spans="2:24" ht="30.05" customHeight="1" x14ac:dyDescent="0.35">
      <c r="B276" s="204" t="str">
        <f>'CAD_PL_REC-DESP'!N39</f>
        <v>2.2.35</v>
      </c>
      <c r="C276" s="205" t="str">
        <f>IF('CAD_PL_REC-DESP'!O39="","-",'CAD_PL_REC-DESP'!O39)</f>
        <v>-</v>
      </c>
      <c r="D276" s="206">
        <f>SUMIFS(LANÇ_MOV[VALOR LÍQUIDO],LANÇ_MOV[RECEITA OU DESPESA],"Despesa",LANÇ_MOV[CONTAS],$C276,LANÇ_MOV[PLANO DE CONTAS],REL_DRE_FINANCEIRO!$B$241,LANÇ_MOV[ANO PAGAMENTO],$B$4,LANÇ_MOV[MÊS PAGAMENTO CORRESPONDENTE],D$6,LANÇ_MOV[EMPRESA],$C$4,LANÇ_MOV[CENTRO DE CUSTOS],$D$4)</f>
        <v>0</v>
      </c>
      <c r="E276" s="206">
        <f>SUMIFS(LANÇ_MOV[VALOR LÍQUIDO],LANÇ_MOV[RECEITA OU DESPESA],"Despesa",LANÇ_MOV[CONTAS],$C276,LANÇ_MOV[PLANO DE CONTAS],REL_DRE_FINANCEIRO!$B$241,LANÇ_MOV[ANO PAGAMENTO],$B$4,LANÇ_MOV[MÊS PAGAMENTO CORRESPONDENTE],E$6,LANÇ_MOV[EMPRESA],$C$4,LANÇ_MOV[CENTRO DE CUSTOS],$D$4)</f>
        <v>0</v>
      </c>
      <c r="F276" s="206">
        <f>SUMIFS(LANÇ_MOV[VALOR LÍQUIDO],LANÇ_MOV[RECEITA OU DESPESA],"Despesa",LANÇ_MOV[CONTAS],$C276,LANÇ_MOV[PLANO DE CONTAS],REL_DRE_FINANCEIRO!$B$241,LANÇ_MOV[ANO PAGAMENTO],$B$4,LANÇ_MOV[MÊS PAGAMENTO CORRESPONDENTE],F$6,LANÇ_MOV[EMPRESA],$C$4,LANÇ_MOV[CENTRO DE CUSTOS],$D$4)</f>
        <v>0</v>
      </c>
      <c r="G276" s="206">
        <f>SUMIFS(LANÇ_MOV[VALOR LÍQUIDO],LANÇ_MOV[RECEITA OU DESPESA],"Despesa",LANÇ_MOV[CONTAS],$C276,LANÇ_MOV[PLANO DE CONTAS],REL_DRE_FINANCEIRO!$B$241,LANÇ_MOV[ANO PAGAMENTO],$B$4,LANÇ_MOV[MÊS PAGAMENTO CORRESPONDENTE],G$6,LANÇ_MOV[EMPRESA],$C$4,LANÇ_MOV[CENTRO DE CUSTOS],$D$4)</f>
        <v>0</v>
      </c>
      <c r="H276" s="206">
        <f>SUMIFS(LANÇ_MOV[VALOR LÍQUIDO],LANÇ_MOV[RECEITA OU DESPESA],"Despesa",LANÇ_MOV[CONTAS],$C276,LANÇ_MOV[PLANO DE CONTAS],REL_DRE_FINANCEIRO!$B$241,LANÇ_MOV[ANO PAGAMENTO],$B$4,LANÇ_MOV[MÊS PAGAMENTO CORRESPONDENTE],H$6,LANÇ_MOV[EMPRESA],$C$4,LANÇ_MOV[CENTRO DE CUSTOS],$D$4)</f>
        <v>0</v>
      </c>
      <c r="I276" s="206">
        <f>SUMIFS(LANÇ_MOV[VALOR LÍQUIDO],LANÇ_MOV[RECEITA OU DESPESA],"Despesa",LANÇ_MOV[CONTAS],$C276,LANÇ_MOV[PLANO DE CONTAS],REL_DRE_FINANCEIRO!$B$241,LANÇ_MOV[ANO PAGAMENTO],$B$4,LANÇ_MOV[MÊS PAGAMENTO CORRESPONDENTE],I$6,LANÇ_MOV[EMPRESA],$C$4,LANÇ_MOV[CENTRO DE CUSTOS],$D$4)</f>
        <v>0</v>
      </c>
      <c r="J276" s="206">
        <f>SUMIFS(LANÇ_MOV[VALOR LÍQUIDO],LANÇ_MOV[RECEITA OU DESPESA],"Despesa",LANÇ_MOV[CONTAS],$C276,LANÇ_MOV[PLANO DE CONTAS],REL_DRE_FINANCEIRO!$B$241,LANÇ_MOV[ANO PAGAMENTO],$B$4,LANÇ_MOV[MÊS PAGAMENTO CORRESPONDENTE],J$6,LANÇ_MOV[EMPRESA],$C$4,LANÇ_MOV[CENTRO DE CUSTOS],$D$4)</f>
        <v>0</v>
      </c>
      <c r="K276" s="206">
        <f>SUMIFS(LANÇ_MOV[VALOR LÍQUIDO],LANÇ_MOV[RECEITA OU DESPESA],"Despesa",LANÇ_MOV[CONTAS],$C276,LANÇ_MOV[PLANO DE CONTAS],REL_DRE_FINANCEIRO!$B$241,LANÇ_MOV[ANO PAGAMENTO],$B$4,LANÇ_MOV[MÊS PAGAMENTO CORRESPONDENTE],K$6,LANÇ_MOV[EMPRESA],$C$4,LANÇ_MOV[CENTRO DE CUSTOS],$D$4)</f>
        <v>0</v>
      </c>
      <c r="L276" s="206">
        <f>SUMIFS(LANÇ_MOV[VALOR LÍQUIDO],LANÇ_MOV[RECEITA OU DESPESA],"Despesa",LANÇ_MOV[CONTAS],$C276,LANÇ_MOV[PLANO DE CONTAS],REL_DRE_FINANCEIRO!$B$241,LANÇ_MOV[ANO PAGAMENTO],$B$4,LANÇ_MOV[MÊS PAGAMENTO CORRESPONDENTE],L$6,LANÇ_MOV[EMPRESA],$C$4,LANÇ_MOV[CENTRO DE CUSTOS],$D$4)</f>
        <v>0</v>
      </c>
      <c r="M276" s="206">
        <f>SUMIFS(LANÇ_MOV[VALOR LÍQUIDO],LANÇ_MOV[RECEITA OU DESPESA],"Despesa",LANÇ_MOV[CONTAS],$C276,LANÇ_MOV[PLANO DE CONTAS],REL_DRE_FINANCEIRO!$B$241,LANÇ_MOV[ANO PAGAMENTO],$B$4,LANÇ_MOV[MÊS PAGAMENTO CORRESPONDENTE],M$6,LANÇ_MOV[EMPRESA],$C$4,LANÇ_MOV[CENTRO DE CUSTOS],$D$4)</f>
        <v>0</v>
      </c>
      <c r="N276" s="206">
        <f>SUMIFS(LANÇ_MOV[VALOR LÍQUIDO],LANÇ_MOV[RECEITA OU DESPESA],"Despesa",LANÇ_MOV[CONTAS],$C276,LANÇ_MOV[PLANO DE CONTAS],REL_DRE_FINANCEIRO!$B$241,LANÇ_MOV[ANO PAGAMENTO],$B$4,LANÇ_MOV[MÊS PAGAMENTO CORRESPONDENTE],N$6,LANÇ_MOV[EMPRESA],$C$4,LANÇ_MOV[CENTRO DE CUSTOS],$D$4)</f>
        <v>0</v>
      </c>
      <c r="O276" s="206">
        <f>SUMIFS(LANÇ_MOV[VALOR LÍQUIDO],LANÇ_MOV[RECEITA OU DESPESA],"Despesa",LANÇ_MOV[CONTAS],$C276,LANÇ_MOV[PLANO DE CONTAS],REL_DRE_FINANCEIRO!$B$241,LANÇ_MOV[ANO PAGAMENTO],$B$4,LANÇ_MOV[MÊS PAGAMENTO CORRESPONDENTE],O$6,LANÇ_MOV[EMPRESA],$C$4,LANÇ_MOV[CENTRO DE CUSTOS],$D$4)</f>
        <v>0</v>
      </c>
      <c r="P276" s="207">
        <f t="shared" si="43"/>
        <v>0</v>
      </c>
      <c r="Q276" s="329">
        <v>6.6000000000000003E-6</v>
      </c>
      <c r="R276" s="346">
        <f t="shared" si="44"/>
        <v>6.6000000000000003E-6</v>
      </c>
      <c r="S276" s="347" t="str">
        <f t="shared" si="45"/>
        <v>-</v>
      </c>
      <c r="T276" s="347">
        <f t="shared" si="46"/>
        <v>0</v>
      </c>
      <c r="U276" s="347">
        <f>HLOOKUP(Apoio!$P$12,$D$240:$P$341,X276,FALSE)+Q276</f>
        <v>6.6000000000000003E-6</v>
      </c>
      <c r="V276" s="447" t="str">
        <f t="shared" si="47"/>
        <v>-</v>
      </c>
      <c r="W276" s="448">
        <f>HLOOKUP(Apoio!$P$12,$D$240:$P$341,X276,FALSE)</f>
        <v>0</v>
      </c>
      <c r="X276" s="329">
        <v>37</v>
      </c>
    </row>
    <row r="277" spans="2:24" ht="30.05" customHeight="1" x14ac:dyDescent="0.35">
      <c r="B277" s="204" t="str">
        <f>'CAD_PL_REC-DESP'!N40</f>
        <v>2.2.36</v>
      </c>
      <c r="C277" s="205" t="str">
        <f>IF('CAD_PL_REC-DESP'!O40="","-",'CAD_PL_REC-DESP'!O40)</f>
        <v>-</v>
      </c>
      <c r="D277" s="206">
        <f>SUMIFS(LANÇ_MOV[VALOR LÍQUIDO],LANÇ_MOV[RECEITA OU DESPESA],"Despesa",LANÇ_MOV[CONTAS],$C277,LANÇ_MOV[PLANO DE CONTAS],REL_DRE_FINANCEIRO!$B$241,LANÇ_MOV[ANO PAGAMENTO],$B$4,LANÇ_MOV[MÊS PAGAMENTO CORRESPONDENTE],D$6,LANÇ_MOV[EMPRESA],$C$4,LANÇ_MOV[CENTRO DE CUSTOS],$D$4)</f>
        <v>0</v>
      </c>
      <c r="E277" s="206">
        <f>SUMIFS(LANÇ_MOV[VALOR LÍQUIDO],LANÇ_MOV[RECEITA OU DESPESA],"Despesa",LANÇ_MOV[CONTAS],$C277,LANÇ_MOV[PLANO DE CONTAS],REL_DRE_FINANCEIRO!$B$241,LANÇ_MOV[ANO PAGAMENTO],$B$4,LANÇ_MOV[MÊS PAGAMENTO CORRESPONDENTE],E$6,LANÇ_MOV[EMPRESA],$C$4,LANÇ_MOV[CENTRO DE CUSTOS],$D$4)</f>
        <v>0</v>
      </c>
      <c r="F277" s="206">
        <f>SUMIFS(LANÇ_MOV[VALOR LÍQUIDO],LANÇ_MOV[RECEITA OU DESPESA],"Despesa",LANÇ_MOV[CONTAS],$C277,LANÇ_MOV[PLANO DE CONTAS],REL_DRE_FINANCEIRO!$B$241,LANÇ_MOV[ANO PAGAMENTO],$B$4,LANÇ_MOV[MÊS PAGAMENTO CORRESPONDENTE],F$6,LANÇ_MOV[EMPRESA],$C$4,LANÇ_MOV[CENTRO DE CUSTOS],$D$4)</f>
        <v>0</v>
      </c>
      <c r="G277" s="206">
        <f>SUMIFS(LANÇ_MOV[VALOR LÍQUIDO],LANÇ_MOV[RECEITA OU DESPESA],"Despesa",LANÇ_MOV[CONTAS],$C277,LANÇ_MOV[PLANO DE CONTAS],REL_DRE_FINANCEIRO!$B$241,LANÇ_MOV[ANO PAGAMENTO],$B$4,LANÇ_MOV[MÊS PAGAMENTO CORRESPONDENTE],G$6,LANÇ_MOV[EMPRESA],$C$4,LANÇ_MOV[CENTRO DE CUSTOS],$D$4)</f>
        <v>0</v>
      </c>
      <c r="H277" s="206">
        <f>SUMIFS(LANÇ_MOV[VALOR LÍQUIDO],LANÇ_MOV[RECEITA OU DESPESA],"Despesa",LANÇ_MOV[CONTAS],$C277,LANÇ_MOV[PLANO DE CONTAS],REL_DRE_FINANCEIRO!$B$241,LANÇ_MOV[ANO PAGAMENTO],$B$4,LANÇ_MOV[MÊS PAGAMENTO CORRESPONDENTE],H$6,LANÇ_MOV[EMPRESA],$C$4,LANÇ_MOV[CENTRO DE CUSTOS],$D$4)</f>
        <v>0</v>
      </c>
      <c r="I277" s="206">
        <f>SUMIFS(LANÇ_MOV[VALOR LÍQUIDO],LANÇ_MOV[RECEITA OU DESPESA],"Despesa",LANÇ_MOV[CONTAS],$C277,LANÇ_MOV[PLANO DE CONTAS],REL_DRE_FINANCEIRO!$B$241,LANÇ_MOV[ANO PAGAMENTO],$B$4,LANÇ_MOV[MÊS PAGAMENTO CORRESPONDENTE],I$6,LANÇ_MOV[EMPRESA],$C$4,LANÇ_MOV[CENTRO DE CUSTOS],$D$4)</f>
        <v>0</v>
      </c>
      <c r="J277" s="206">
        <f>SUMIFS(LANÇ_MOV[VALOR LÍQUIDO],LANÇ_MOV[RECEITA OU DESPESA],"Despesa",LANÇ_MOV[CONTAS],$C277,LANÇ_MOV[PLANO DE CONTAS],REL_DRE_FINANCEIRO!$B$241,LANÇ_MOV[ANO PAGAMENTO],$B$4,LANÇ_MOV[MÊS PAGAMENTO CORRESPONDENTE],J$6,LANÇ_MOV[EMPRESA],$C$4,LANÇ_MOV[CENTRO DE CUSTOS],$D$4)</f>
        <v>0</v>
      </c>
      <c r="K277" s="206">
        <f>SUMIFS(LANÇ_MOV[VALOR LÍQUIDO],LANÇ_MOV[RECEITA OU DESPESA],"Despesa",LANÇ_MOV[CONTAS],$C277,LANÇ_MOV[PLANO DE CONTAS],REL_DRE_FINANCEIRO!$B$241,LANÇ_MOV[ANO PAGAMENTO],$B$4,LANÇ_MOV[MÊS PAGAMENTO CORRESPONDENTE],K$6,LANÇ_MOV[EMPRESA],$C$4,LANÇ_MOV[CENTRO DE CUSTOS],$D$4)</f>
        <v>0</v>
      </c>
      <c r="L277" s="206">
        <f>SUMIFS(LANÇ_MOV[VALOR LÍQUIDO],LANÇ_MOV[RECEITA OU DESPESA],"Despesa",LANÇ_MOV[CONTAS],$C277,LANÇ_MOV[PLANO DE CONTAS],REL_DRE_FINANCEIRO!$B$241,LANÇ_MOV[ANO PAGAMENTO],$B$4,LANÇ_MOV[MÊS PAGAMENTO CORRESPONDENTE],L$6,LANÇ_MOV[EMPRESA],$C$4,LANÇ_MOV[CENTRO DE CUSTOS],$D$4)</f>
        <v>0</v>
      </c>
      <c r="M277" s="206">
        <f>SUMIFS(LANÇ_MOV[VALOR LÍQUIDO],LANÇ_MOV[RECEITA OU DESPESA],"Despesa",LANÇ_MOV[CONTAS],$C277,LANÇ_MOV[PLANO DE CONTAS],REL_DRE_FINANCEIRO!$B$241,LANÇ_MOV[ANO PAGAMENTO],$B$4,LANÇ_MOV[MÊS PAGAMENTO CORRESPONDENTE],M$6,LANÇ_MOV[EMPRESA],$C$4,LANÇ_MOV[CENTRO DE CUSTOS],$D$4)</f>
        <v>0</v>
      </c>
      <c r="N277" s="206">
        <f>SUMIFS(LANÇ_MOV[VALOR LÍQUIDO],LANÇ_MOV[RECEITA OU DESPESA],"Despesa",LANÇ_MOV[CONTAS],$C277,LANÇ_MOV[PLANO DE CONTAS],REL_DRE_FINANCEIRO!$B$241,LANÇ_MOV[ANO PAGAMENTO],$B$4,LANÇ_MOV[MÊS PAGAMENTO CORRESPONDENTE],N$6,LANÇ_MOV[EMPRESA],$C$4,LANÇ_MOV[CENTRO DE CUSTOS],$D$4)</f>
        <v>0</v>
      </c>
      <c r="O277" s="206">
        <f>SUMIFS(LANÇ_MOV[VALOR LÍQUIDO],LANÇ_MOV[RECEITA OU DESPESA],"Despesa",LANÇ_MOV[CONTAS],$C277,LANÇ_MOV[PLANO DE CONTAS],REL_DRE_FINANCEIRO!$B$241,LANÇ_MOV[ANO PAGAMENTO],$B$4,LANÇ_MOV[MÊS PAGAMENTO CORRESPONDENTE],O$6,LANÇ_MOV[EMPRESA],$C$4,LANÇ_MOV[CENTRO DE CUSTOS],$D$4)</f>
        <v>0</v>
      </c>
      <c r="P277" s="207">
        <f t="shared" si="43"/>
        <v>0</v>
      </c>
      <c r="Q277" s="329">
        <v>6.4999999999999996E-6</v>
      </c>
      <c r="R277" s="346">
        <f t="shared" si="44"/>
        <v>6.4999999999999996E-6</v>
      </c>
      <c r="S277" s="347" t="str">
        <f t="shared" si="45"/>
        <v>-</v>
      </c>
      <c r="T277" s="347">
        <f t="shared" si="46"/>
        <v>0</v>
      </c>
      <c r="U277" s="347">
        <f>HLOOKUP(Apoio!$P$12,$D$240:$P$341,X277,FALSE)+Q277</f>
        <v>6.4999999999999996E-6</v>
      </c>
      <c r="V277" s="447" t="str">
        <f t="shared" si="47"/>
        <v>-</v>
      </c>
      <c r="W277" s="448">
        <f>HLOOKUP(Apoio!$P$12,$D$240:$P$341,X277,FALSE)</f>
        <v>0</v>
      </c>
      <c r="X277" s="329">
        <v>38</v>
      </c>
    </row>
    <row r="278" spans="2:24" ht="30.05" customHeight="1" x14ac:dyDescent="0.35">
      <c r="B278" s="204" t="str">
        <f>'CAD_PL_REC-DESP'!N41</f>
        <v>2.2.37</v>
      </c>
      <c r="C278" s="205" t="str">
        <f>IF('CAD_PL_REC-DESP'!O41="","-",'CAD_PL_REC-DESP'!O41)</f>
        <v>-</v>
      </c>
      <c r="D278" s="206">
        <f>SUMIFS(LANÇ_MOV[VALOR LÍQUIDO],LANÇ_MOV[RECEITA OU DESPESA],"Despesa",LANÇ_MOV[CONTAS],$C278,LANÇ_MOV[PLANO DE CONTAS],REL_DRE_FINANCEIRO!$B$241,LANÇ_MOV[ANO PAGAMENTO],$B$4,LANÇ_MOV[MÊS PAGAMENTO CORRESPONDENTE],D$6,LANÇ_MOV[EMPRESA],$C$4,LANÇ_MOV[CENTRO DE CUSTOS],$D$4)</f>
        <v>0</v>
      </c>
      <c r="E278" s="206">
        <f>SUMIFS(LANÇ_MOV[VALOR LÍQUIDO],LANÇ_MOV[RECEITA OU DESPESA],"Despesa",LANÇ_MOV[CONTAS],$C278,LANÇ_MOV[PLANO DE CONTAS],REL_DRE_FINANCEIRO!$B$241,LANÇ_MOV[ANO PAGAMENTO],$B$4,LANÇ_MOV[MÊS PAGAMENTO CORRESPONDENTE],E$6,LANÇ_MOV[EMPRESA],$C$4,LANÇ_MOV[CENTRO DE CUSTOS],$D$4)</f>
        <v>0</v>
      </c>
      <c r="F278" s="206">
        <f>SUMIFS(LANÇ_MOV[VALOR LÍQUIDO],LANÇ_MOV[RECEITA OU DESPESA],"Despesa",LANÇ_MOV[CONTAS],$C278,LANÇ_MOV[PLANO DE CONTAS],REL_DRE_FINANCEIRO!$B$241,LANÇ_MOV[ANO PAGAMENTO],$B$4,LANÇ_MOV[MÊS PAGAMENTO CORRESPONDENTE],F$6,LANÇ_MOV[EMPRESA],$C$4,LANÇ_MOV[CENTRO DE CUSTOS],$D$4)</f>
        <v>0</v>
      </c>
      <c r="G278" s="206">
        <f>SUMIFS(LANÇ_MOV[VALOR LÍQUIDO],LANÇ_MOV[RECEITA OU DESPESA],"Despesa",LANÇ_MOV[CONTAS],$C278,LANÇ_MOV[PLANO DE CONTAS],REL_DRE_FINANCEIRO!$B$241,LANÇ_MOV[ANO PAGAMENTO],$B$4,LANÇ_MOV[MÊS PAGAMENTO CORRESPONDENTE],G$6,LANÇ_MOV[EMPRESA],$C$4,LANÇ_MOV[CENTRO DE CUSTOS],$D$4)</f>
        <v>0</v>
      </c>
      <c r="H278" s="206">
        <f>SUMIFS(LANÇ_MOV[VALOR LÍQUIDO],LANÇ_MOV[RECEITA OU DESPESA],"Despesa",LANÇ_MOV[CONTAS],$C278,LANÇ_MOV[PLANO DE CONTAS],REL_DRE_FINANCEIRO!$B$241,LANÇ_MOV[ANO PAGAMENTO],$B$4,LANÇ_MOV[MÊS PAGAMENTO CORRESPONDENTE],H$6,LANÇ_MOV[EMPRESA],$C$4,LANÇ_MOV[CENTRO DE CUSTOS],$D$4)</f>
        <v>0</v>
      </c>
      <c r="I278" s="206">
        <f>SUMIFS(LANÇ_MOV[VALOR LÍQUIDO],LANÇ_MOV[RECEITA OU DESPESA],"Despesa",LANÇ_MOV[CONTAS],$C278,LANÇ_MOV[PLANO DE CONTAS],REL_DRE_FINANCEIRO!$B$241,LANÇ_MOV[ANO PAGAMENTO],$B$4,LANÇ_MOV[MÊS PAGAMENTO CORRESPONDENTE],I$6,LANÇ_MOV[EMPRESA],$C$4,LANÇ_MOV[CENTRO DE CUSTOS],$D$4)</f>
        <v>0</v>
      </c>
      <c r="J278" s="206">
        <f>SUMIFS(LANÇ_MOV[VALOR LÍQUIDO],LANÇ_MOV[RECEITA OU DESPESA],"Despesa",LANÇ_MOV[CONTAS],$C278,LANÇ_MOV[PLANO DE CONTAS],REL_DRE_FINANCEIRO!$B$241,LANÇ_MOV[ANO PAGAMENTO],$B$4,LANÇ_MOV[MÊS PAGAMENTO CORRESPONDENTE],J$6,LANÇ_MOV[EMPRESA],$C$4,LANÇ_MOV[CENTRO DE CUSTOS],$D$4)</f>
        <v>0</v>
      </c>
      <c r="K278" s="206">
        <f>SUMIFS(LANÇ_MOV[VALOR LÍQUIDO],LANÇ_MOV[RECEITA OU DESPESA],"Despesa",LANÇ_MOV[CONTAS],$C278,LANÇ_MOV[PLANO DE CONTAS],REL_DRE_FINANCEIRO!$B$241,LANÇ_MOV[ANO PAGAMENTO],$B$4,LANÇ_MOV[MÊS PAGAMENTO CORRESPONDENTE],K$6,LANÇ_MOV[EMPRESA],$C$4,LANÇ_MOV[CENTRO DE CUSTOS],$D$4)</f>
        <v>0</v>
      </c>
      <c r="L278" s="206">
        <f>SUMIFS(LANÇ_MOV[VALOR LÍQUIDO],LANÇ_MOV[RECEITA OU DESPESA],"Despesa",LANÇ_MOV[CONTAS],$C278,LANÇ_MOV[PLANO DE CONTAS],REL_DRE_FINANCEIRO!$B$241,LANÇ_MOV[ANO PAGAMENTO],$B$4,LANÇ_MOV[MÊS PAGAMENTO CORRESPONDENTE],L$6,LANÇ_MOV[EMPRESA],$C$4,LANÇ_MOV[CENTRO DE CUSTOS],$D$4)</f>
        <v>0</v>
      </c>
      <c r="M278" s="206">
        <f>SUMIFS(LANÇ_MOV[VALOR LÍQUIDO],LANÇ_MOV[RECEITA OU DESPESA],"Despesa",LANÇ_MOV[CONTAS],$C278,LANÇ_MOV[PLANO DE CONTAS],REL_DRE_FINANCEIRO!$B$241,LANÇ_MOV[ANO PAGAMENTO],$B$4,LANÇ_MOV[MÊS PAGAMENTO CORRESPONDENTE],M$6,LANÇ_MOV[EMPRESA],$C$4,LANÇ_MOV[CENTRO DE CUSTOS],$D$4)</f>
        <v>0</v>
      </c>
      <c r="N278" s="206">
        <f>SUMIFS(LANÇ_MOV[VALOR LÍQUIDO],LANÇ_MOV[RECEITA OU DESPESA],"Despesa",LANÇ_MOV[CONTAS],$C278,LANÇ_MOV[PLANO DE CONTAS],REL_DRE_FINANCEIRO!$B$241,LANÇ_MOV[ANO PAGAMENTO],$B$4,LANÇ_MOV[MÊS PAGAMENTO CORRESPONDENTE],N$6,LANÇ_MOV[EMPRESA],$C$4,LANÇ_MOV[CENTRO DE CUSTOS],$D$4)</f>
        <v>0</v>
      </c>
      <c r="O278" s="206">
        <f>SUMIFS(LANÇ_MOV[VALOR LÍQUIDO],LANÇ_MOV[RECEITA OU DESPESA],"Despesa",LANÇ_MOV[CONTAS],$C278,LANÇ_MOV[PLANO DE CONTAS],REL_DRE_FINANCEIRO!$B$241,LANÇ_MOV[ANO PAGAMENTO],$B$4,LANÇ_MOV[MÊS PAGAMENTO CORRESPONDENTE],O$6,LANÇ_MOV[EMPRESA],$C$4,LANÇ_MOV[CENTRO DE CUSTOS],$D$4)</f>
        <v>0</v>
      </c>
      <c r="P278" s="207">
        <f t="shared" si="43"/>
        <v>0</v>
      </c>
      <c r="Q278" s="329">
        <v>6.3999999999999997E-6</v>
      </c>
      <c r="R278" s="346">
        <f t="shared" si="44"/>
        <v>6.3999999999999997E-6</v>
      </c>
      <c r="S278" s="347" t="str">
        <f t="shared" si="45"/>
        <v>-</v>
      </c>
      <c r="T278" s="347">
        <f t="shared" si="46"/>
        <v>0</v>
      </c>
      <c r="U278" s="347">
        <f>HLOOKUP(Apoio!$P$12,$D$240:$P$341,X278,FALSE)+Q278</f>
        <v>6.3999999999999997E-6</v>
      </c>
      <c r="V278" s="447" t="str">
        <f t="shared" si="47"/>
        <v>-</v>
      </c>
      <c r="W278" s="448">
        <f>HLOOKUP(Apoio!$P$12,$D$240:$P$341,X278,FALSE)</f>
        <v>0</v>
      </c>
      <c r="X278" s="329">
        <v>39</v>
      </c>
    </row>
    <row r="279" spans="2:24" ht="30.05" customHeight="1" x14ac:dyDescent="0.35">
      <c r="B279" s="204" t="str">
        <f>'CAD_PL_REC-DESP'!N42</f>
        <v>2.2.38</v>
      </c>
      <c r="C279" s="205" t="str">
        <f>IF('CAD_PL_REC-DESP'!O42="","-",'CAD_PL_REC-DESP'!O42)</f>
        <v>-</v>
      </c>
      <c r="D279" s="206">
        <f>SUMIFS(LANÇ_MOV[VALOR LÍQUIDO],LANÇ_MOV[RECEITA OU DESPESA],"Despesa",LANÇ_MOV[CONTAS],$C279,LANÇ_MOV[PLANO DE CONTAS],REL_DRE_FINANCEIRO!$B$241,LANÇ_MOV[ANO PAGAMENTO],$B$4,LANÇ_MOV[MÊS PAGAMENTO CORRESPONDENTE],D$6,LANÇ_MOV[EMPRESA],$C$4,LANÇ_MOV[CENTRO DE CUSTOS],$D$4)</f>
        <v>0</v>
      </c>
      <c r="E279" s="206">
        <f>SUMIFS(LANÇ_MOV[VALOR LÍQUIDO],LANÇ_MOV[RECEITA OU DESPESA],"Despesa",LANÇ_MOV[CONTAS],$C279,LANÇ_MOV[PLANO DE CONTAS],REL_DRE_FINANCEIRO!$B$241,LANÇ_MOV[ANO PAGAMENTO],$B$4,LANÇ_MOV[MÊS PAGAMENTO CORRESPONDENTE],E$6,LANÇ_MOV[EMPRESA],$C$4,LANÇ_MOV[CENTRO DE CUSTOS],$D$4)</f>
        <v>0</v>
      </c>
      <c r="F279" s="206">
        <f>SUMIFS(LANÇ_MOV[VALOR LÍQUIDO],LANÇ_MOV[RECEITA OU DESPESA],"Despesa",LANÇ_MOV[CONTAS],$C279,LANÇ_MOV[PLANO DE CONTAS],REL_DRE_FINANCEIRO!$B$241,LANÇ_MOV[ANO PAGAMENTO],$B$4,LANÇ_MOV[MÊS PAGAMENTO CORRESPONDENTE],F$6,LANÇ_MOV[EMPRESA],$C$4,LANÇ_MOV[CENTRO DE CUSTOS],$D$4)</f>
        <v>0</v>
      </c>
      <c r="G279" s="206">
        <f>SUMIFS(LANÇ_MOV[VALOR LÍQUIDO],LANÇ_MOV[RECEITA OU DESPESA],"Despesa",LANÇ_MOV[CONTAS],$C279,LANÇ_MOV[PLANO DE CONTAS],REL_DRE_FINANCEIRO!$B$241,LANÇ_MOV[ANO PAGAMENTO],$B$4,LANÇ_MOV[MÊS PAGAMENTO CORRESPONDENTE],G$6,LANÇ_MOV[EMPRESA],$C$4,LANÇ_MOV[CENTRO DE CUSTOS],$D$4)</f>
        <v>0</v>
      </c>
      <c r="H279" s="206">
        <f>SUMIFS(LANÇ_MOV[VALOR LÍQUIDO],LANÇ_MOV[RECEITA OU DESPESA],"Despesa",LANÇ_MOV[CONTAS],$C279,LANÇ_MOV[PLANO DE CONTAS],REL_DRE_FINANCEIRO!$B$241,LANÇ_MOV[ANO PAGAMENTO],$B$4,LANÇ_MOV[MÊS PAGAMENTO CORRESPONDENTE],H$6,LANÇ_MOV[EMPRESA],$C$4,LANÇ_MOV[CENTRO DE CUSTOS],$D$4)</f>
        <v>0</v>
      </c>
      <c r="I279" s="206">
        <f>SUMIFS(LANÇ_MOV[VALOR LÍQUIDO],LANÇ_MOV[RECEITA OU DESPESA],"Despesa",LANÇ_MOV[CONTAS],$C279,LANÇ_MOV[PLANO DE CONTAS],REL_DRE_FINANCEIRO!$B$241,LANÇ_MOV[ANO PAGAMENTO],$B$4,LANÇ_MOV[MÊS PAGAMENTO CORRESPONDENTE],I$6,LANÇ_MOV[EMPRESA],$C$4,LANÇ_MOV[CENTRO DE CUSTOS],$D$4)</f>
        <v>0</v>
      </c>
      <c r="J279" s="206">
        <f>SUMIFS(LANÇ_MOV[VALOR LÍQUIDO],LANÇ_MOV[RECEITA OU DESPESA],"Despesa",LANÇ_MOV[CONTAS],$C279,LANÇ_MOV[PLANO DE CONTAS],REL_DRE_FINANCEIRO!$B$241,LANÇ_MOV[ANO PAGAMENTO],$B$4,LANÇ_MOV[MÊS PAGAMENTO CORRESPONDENTE],J$6,LANÇ_MOV[EMPRESA],$C$4,LANÇ_MOV[CENTRO DE CUSTOS],$D$4)</f>
        <v>0</v>
      </c>
      <c r="K279" s="206">
        <f>SUMIFS(LANÇ_MOV[VALOR LÍQUIDO],LANÇ_MOV[RECEITA OU DESPESA],"Despesa",LANÇ_MOV[CONTAS],$C279,LANÇ_MOV[PLANO DE CONTAS],REL_DRE_FINANCEIRO!$B$241,LANÇ_MOV[ANO PAGAMENTO],$B$4,LANÇ_MOV[MÊS PAGAMENTO CORRESPONDENTE],K$6,LANÇ_MOV[EMPRESA],$C$4,LANÇ_MOV[CENTRO DE CUSTOS],$D$4)</f>
        <v>0</v>
      </c>
      <c r="L279" s="206">
        <f>SUMIFS(LANÇ_MOV[VALOR LÍQUIDO],LANÇ_MOV[RECEITA OU DESPESA],"Despesa",LANÇ_MOV[CONTAS],$C279,LANÇ_MOV[PLANO DE CONTAS],REL_DRE_FINANCEIRO!$B$241,LANÇ_MOV[ANO PAGAMENTO],$B$4,LANÇ_MOV[MÊS PAGAMENTO CORRESPONDENTE],L$6,LANÇ_MOV[EMPRESA],$C$4,LANÇ_MOV[CENTRO DE CUSTOS],$D$4)</f>
        <v>0</v>
      </c>
      <c r="M279" s="206">
        <f>SUMIFS(LANÇ_MOV[VALOR LÍQUIDO],LANÇ_MOV[RECEITA OU DESPESA],"Despesa",LANÇ_MOV[CONTAS],$C279,LANÇ_MOV[PLANO DE CONTAS],REL_DRE_FINANCEIRO!$B$241,LANÇ_MOV[ANO PAGAMENTO],$B$4,LANÇ_MOV[MÊS PAGAMENTO CORRESPONDENTE],M$6,LANÇ_MOV[EMPRESA],$C$4,LANÇ_MOV[CENTRO DE CUSTOS],$D$4)</f>
        <v>0</v>
      </c>
      <c r="N279" s="206">
        <f>SUMIFS(LANÇ_MOV[VALOR LÍQUIDO],LANÇ_MOV[RECEITA OU DESPESA],"Despesa",LANÇ_MOV[CONTAS],$C279,LANÇ_MOV[PLANO DE CONTAS],REL_DRE_FINANCEIRO!$B$241,LANÇ_MOV[ANO PAGAMENTO],$B$4,LANÇ_MOV[MÊS PAGAMENTO CORRESPONDENTE],N$6,LANÇ_MOV[EMPRESA],$C$4,LANÇ_MOV[CENTRO DE CUSTOS],$D$4)</f>
        <v>0</v>
      </c>
      <c r="O279" s="206">
        <f>SUMIFS(LANÇ_MOV[VALOR LÍQUIDO],LANÇ_MOV[RECEITA OU DESPESA],"Despesa",LANÇ_MOV[CONTAS],$C279,LANÇ_MOV[PLANO DE CONTAS],REL_DRE_FINANCEIRO!$B$241,LANÇ_MOV[ANO PAGAMENTO],$B$4,LANÇ_MOV[MÊS PAGAMENTO CORRESPONDENTE],O$6,LANÇ_MOV[EMPRESA],$C$4,LANÇ_MOV[CENTRO DE CUSTOS],$D$4)</f>
        <v>0</v>
      </c>
      <c r="P279" s="207">
        <f t="shared" si="43"/>
        <v>0</v>
      </c>
      <c r="Q279" s="329">
        <v>6.2999999999999998E-6</v>
      </c>
      <c r="R279" s="346">
        <f t="shared" si="44"/>
        <v>6.2999999999999998E-6</v>
      </c>
      <c r="S279" s="347" t="str">
        <f t="shared" si="45"/>
        <v>-</v>
      </c>
      <c r="T279" s="347">
        <f t="shared" si="46"/>
        <v>0</v>
      </c>
      <c r="U279" s="347">
        <f>HLOOKUP(Apoio!$P$12,$D$240:$P$341,X279,FALSE)+Q279</f>
        <v>6.2999999999999998E-6</v>
      </c>
      <c r="V279" s="447" t="str">
        <f t="shared" si="47"/>
        <v>-</v>
      </c>
      <c r="W279" s="448">
        <f>HLOOKUP(Apoio!$P$12,$D$240:$P$341,X279,FALSE)</f>
        <v>0</v>
      </c>
      <c r="X279" s="329">
        <v>40</v>
      </c>
    </row>
    <row r="280" spans="2:24" ht="30.05" customHeight="1" x14ac:dyDescent="0.35">
      <c r="B280" s="204" t="str">
        <f>'CAD_PL_REC-DESP'!N43</f>
        <v>2.2.39</v>
      </c>
      <c r="C280" s="205" t="str">
        <f>IF('CAD_PL_REC-DESP'!O43="","-",'CAD_PL_REC-DESP'!O43)</f>
        <v>-</v>
      </c>
      <c r="D280" s="206">
        <f>SUMIFS(LANÇ_MOV[VALOR LÍQUIDO],LANÇ_MOV[RECEITA OU DESPESA],"Despesa",LANÇ_MOV[CONTAS],$C280,LANÇ_MOV[PLANO DE CONTAS],REL_DRE_FINANCEIRO!$B$241,LANÇ_MOV[ANO PAGAMENTO],$B$4,LANÇ_MOV[MÊS PAGAMENTO CORRESPONDENTE],D$6,LANÇ_MOV[EMPRESA],$C$4,LANÇ_MOV[CENTRO DE CUSTOS],$D$4)</f>
        <v>0</v>
      </c>
      <c r="E280" s="206">
        <f>SUMIFS(LANÇ_MOV[VALOR LÍQUIDO],LANÇ_MOV[RECEITA OU DESPESA],"Despesa",LANÇ_MOV[CONTAS],$C280,LANÇ_MOV[PLANO DE CONTAS],REL_DRE_FINANCEIRO!$B$241,LANÇ_MOV[ANO PAGAMENTO],$B$4,LANÇ_MOV[MÊS PAGAMENTO CORRESPONDENTE],E$6,LANÇ_MOV[EMPRESA],$C$4,LANÇ_MOV[CENTRO DE CUSTOS],$D$4)</f>
        <v>0</v>
      </c>
      <c r="F280" s="206">
        <f>SUMIFS(LANÇ_MOV[VALOR LÍQUIDO],LANÇ_MOV[RECEITA OU DESPESA],"Despesa",LANÇ_MOV[CONTAS],$C280,LANÇ_MOV[PLANO DE CONTAS],REL_DRE_FINANCEIRO!$B$241,LANÇ_MOV[ANO PAGAMENTO],$B$4,LANÇ_MOV[MÊS PAGAMENTO CORRESPONDENTE],F$6,LANÇ_MOV[EMPRESA],$C$4,LANÇ_MOV[CENTRO DE CUSTOS],$D$4)</f>
        <v>0</v>
      </c>
      <c r="G280" s="206">
        <f>SUMIFS(LANÇ_MOV[VALOR LÍQUIDO],LANÇ_MOV[RECEITA OU DESPESA],"Despesa",LANÇ_MOV[CONTAS],$C280,LANÇ_MOV[PLANO DE CONTAS],REL_DRE_FINANCEIRO!$B$241,LANÇ_MOV[ANO PAGAMENTO],$B$4,LANÇ_MOV[MÊS PAGAMENTO CORRESPONDENTE],G$6,LANÇ_MOV[EMPRESA],$C$4,LANÇ_MOV[CENTRO DE CUSTOS],$D$4)</f>
        <v>0</v>
      </c>
      <c r="H280" s="206">
        <f>SUMIFS(LANÇ_MOV[VALOR LÍQUIDO],LANÇ_MOV[RECEITA OU DESPESA],"Despesa",LANÇ_MOV[CONTAS],$C280,LANÇ_MOV[PLANO DE CONTAS],REL_DRE_FINANCEIRO!$B$241,LANÇ_MOV[ANO PAGAMENTO],$B$4,LANÇ_MOV[MÊS PAGAMENTO CORRESPONDENTE],H$6,LANÇ_MOV[EMPRESA],$C$4,LANÇ_MOV[CENTRO DE CUSTOS],$D$4)</f>
        <v>0</v>
      </c>
      <c r="I280" s="206">
        <f>SUMIFS(LANÇ_MOV[VALOR LÍQUIDO],LANÇ_MOV[RECEITA OU DESPESA],"Despesa",LANÇ_MOV[CONTAS],$C280,LANÇ_MOV[PLANO DE CONTAS],REL_DRE_FINANCEIRO!$B$241,LANÇ_MOV[ANO PAGAMENTO],$B$4,LANÇ_MOV[MÊS PAGAMENTO CORRESPONDENTE],I$6,LANÇ_MOV[EMPRESA],$C$4,LANÇ_MOV[CENTRO DE CUSTOS],$D$4)</f>
        <v>0</v>
      </c>
      <c r="J280" s="206">
        <f>SUMIFS(LANÇ_MOV[VALOR LÍQUIDO],LANÇ_MOV[RECEITA OU DESPESA],"Despesa",LANÇ_MOV[CONTAS],$C280,LANÇ_MOV[PLANO DE CONTAS],REL_DRE_FINANCEIRO!$B$241,LANÇ_MOV[ANO PAGAMENTO],$B$4,LANÇ_MOV[MÊS PAGAMENTO CORRESPONDENTE],J$6,LANÇ_MOV[EMPRESA],$C$4,LANÇ_MOV[CENTRO DE CUSTOS],$D$4)</f>
        <v>0</v>
      </c>
      <c r="K280" s="206">
        <f>SUMIFS(LANÇ_MOV[VALOR LÍQUIDO],LANÇ_MOV[RECEITA OU DESPESA],"Despesa",LANÇ_MOV[CONTAS],$C280,LANÇ_MOV[PLANO DE CONTAS],REL_DRE_FINANCEIRO!$B$241,LANÇ_MOV[ANO PAGAMENTO],$B$4,LANÇ_MOV[MÊS PAGAMENTO CORRESPONDENTE],K$6,LANÇ_MOV[EMPRESA],$C$4,LANÇ_MOV[CENTRO DE CUSTOS],$D$4)</f>
        <v>0</v>
      </c>
      <c r="L280" s="206">
        <f>SUMIFS(LANÇ_MOV[VALOR LÍQUIDO],LANÇ_MOV[RECEITA OU DESPESA],"Despesa",LANÇ_MOV[CONTAS],$C280,LANÇ_MOV[PLANO DE CONTAS],REL_DRE_FINANCEIRO!$B$241,LANÇ_MOV[ANO PAGAMENTO],$B$4,LANÇ_MOV[MÊS PAGAMENTO CORRESPONDENTE],L$6,LANÇ_MOV[EMPRESA],$C$4,LANÇ_MOV[CENTRO DE CUSTOS],$D$4)</f>
        <v>0</v>
      </c>
      <c r="M280" s="206">
        <f>SUMIFS(LANÇ_MOV[VALOR LÍQUIDO],LANÇ_MOV[RECEITA OU DESPESA],"Despesa",LANÇ_MOV[CONTAS],$C280,LANÇ_MOV[PLANO DE CONTAS],REL_DRE_FINANCEIRO!$B$241,LANÇ_MOV[ANO PAGAMENTO],$B$4,LANÇ_MOV[MÊS PAGAMENTO CORRESPONDENTE],M$6,LANÇ_MOV[EMPRESA],$C$4,LANÇ_MOV[CENTRO DE CUSTOS],$D$4)</f>
        <v>0</v>
      </c>
      <c r="N280" s="206">
        <f>SUMIFS(LANÇ_MOV[VALOR LÍQUIDO],LANÇ_MOV[RECEITA OU DESPESA],"Despesa",LANÇ_MOV[CONTAS],$C280,LANÇ_MOV[PLANO DE CONTAS],REL_DRE_FINANCEIRO!$B$241,LANÇ_MOV[ANO PAGAMENTO],$B$4,LANÇ_MOV[MÊS PAGAMENTO CORRESPONDENTE],N$6,LANÇ_MOV[EMPRESA],$C$4,LANÇ_MOV[CENTRO DE CUSTOS],$D$4)</f>
        <v>0</v>
      </c>
      <c r="O280" s="206">
        <f>SUMIFS(LANÇ_MOV[VALOR LÍQUIDO],LANÇ_MOV[RECEITA OU DESPESA],"Despesa",LANÇ_MOV[CONTAS],$C280,LANÇ_MOV[PLANO DE CONTAS],REL_DRE_FINANCEIRO!$B$241,LANÇ_MOV[ANO PAGAMENTO],$B$4,LANÇ_MOV[MÊS PAGAMENTO CORRESPONDENTE],O$6,LANÇ_MOV[EMPRESA],$C$4,LANÇ_MOV[CENTRO DE CUSTOS],$D$4)</f>
        <v>0</v>
      </c>
      <c r="P280" s="207">
        <f t="shared" si="43"/>
        <v>0</v>
      </c>
      <c r="Q280" s="329">
        <v>6.1999999999999999E-6</v>
      </c>
      <c r="R280" s="346">
        <f t="shared" si="44"/>
        <v>6.1999999999999999E-6</v>
      </c>
      <c r="S280" s="347" t="str">
        <f t="shared" si="45"/>
        <v>-</v>
      </c>
      <c r="T280" s="347">
        <f t="shared" si="46"/>
        <v>0</v>
      </c>
      <c r="U280" s="347">
        <f>HLOOKUP(Apoio!$P$12,$D$240:$P$341,X280,FALSE)+Q280</f>
        <v>6.1999999999999999E-6</v>
      </c>
      <c r="V280" s="447" t="str">
        <f t="shared" si="47"/>
        <v>-</v>
      </c>
      <c r="W280" s="448">
        <f>HLOOKUP(Apoio!$P$12,$D$240:$P$341,X280,FALSE)</f>
        <v>0</v>
      </c>
      <c r="X280" s="329">
        <v>41</v>
      </c>
    </row>
    <row r="281" spans="2:24" ht="30.05" customHeight="1" x14ac:dyDescent="0.35">
      <c r="B281" s="204" t="str">
        <f>'CAD_PL_REC-DESP'!N44</f>
        <v>2.2.40</v>
      </c>
      <c r="C281" s="205" t="str">
        <f>IF('CAD_PL_REC-DESP'!O44="","-",'CAD_PL_REC-DESP'!O44)</f>
        <v>-</v>
      </c>
      <c r="D281" s="206">
        <f>SUMIFS(LANÇ_MOV[VALOR LÍQUIDO],LANÇ_MOV[RECEITA OU DESPESA],"Despesa",LANÇ_MOV[CONTAS],$C281,LANÇ_MOV[PLANO DE CONTAS],REL_DRE_FINANCEIRO!$B$241,LANÇ_MOV[ANO PAGAMENTO],$B$4,LANÇ_MOV[MÊS PAGAMENTO CORRESPONDENTE],D$6,LANÇ_MOV[EMPRESA],$C$4,LANÇ_MOV[CENTRO DE CUSTOS],$D$4)</f>
        <v>0</v>
      </c>
      <c r="E281" s="206">
        <f>SUMIFS(LANÇ_MOV[VALOR LÍQUIDO],LANÇ_MOV[RECEITA OU DESPESA],"Despesa",LANÇ_MOV[CONTAS],$C281,LANÇ_MOV[PLANO DE CONTAS],REL_DRE_FINANCEIRO!$B$241,LANÇ_MOV[ANO PAGAMENTO],$B$4,LANÇ_MOV[MÊS PAGAMENTO CORRESPONDENTE],E$6,LANÇ_MOV[EMPRESA],$C$4,LANÇ_MOV[CENTRO DE CUSTOS],$D$4)</f>
        <v>0</v>
      </c>
      <c r="F281" s="206">
        <f>SUMIFS(LANÇ_MOV[VALOR LÍQUIDO],LANÇ_MOV[RECEITA OU DESPESA],"Despesa",LANÇ_MOV[CONTAS],$C281,LANÇ_MOV[PLANO DE CONTAS],REL_DRE_FINANCEIRO!$B$241,LANÇ_MOV[ANO PAGAMENTO],$B$4,LANÇ_MOV[MÊS PAGAMENTO CORRESPONDENTE],F$6,LANÇ_MOV[EMPRESA],$C$4,LANÇ_MOV[CENTRO DE CUSTOS],$D$4)</f>
        <v>0</v>
      </c>
      <c r="G281" s="206">
        <f>SUMIFS(LANÇ_MOV[VALOR LÍQUIDO],LANÇ_MOV[RECEITA OU DESPESA],"Despesa",LANÇ_MOV[CONTAS],$C281,LANÇ_MOV[PLANO DE CONTAS],REL_DRE_FINANCEIRO!$B$241,LANÇ_MOV[ANO PAGAMENTO],$B$4,LANÇ_MOV[MÊS PAGAMENTO CORRESPONDENTE],G$6,LANÇ_MOV[EMPRESA],$C$4,LANÇ_MOV[CENTRO DE CUSTOS],$D$4)</f>
        <v>0</v>
      </c>
      <c r="H281" s="206">
        <f>SUMIFS(LANÇ_MOV[VALOR LÍQUIDO],LANÇ_MOV[RECEITA OU DESPESA],"Despesa",LANÇ_MOV[CONTAS],$C281,LANÇ_MOV[PLANO DE CONTAS],REL_DRE_FINANCEIRO!$B$241,LANÇ_MOV[ANO PAGAMENTO],$B$4,LANÇ_MOV[MÊS PAGAMENTO CORRESPONDENTE],H$6,LANÇ_MOV[EMPRESA],$C$4,LANÇ_MOV[CENTRO DE CUSTOS],$D$4)</f>
        <v>0</v>
      </c>
      <c r="I281" s="206">
        <f>SUMIFS(LANÇ_MOV[VALOR LÍQUIDO],LANÇ_MOV[RECEITA OU DESPESA],"Despesa",LANÇ_MOV[CONTAS],$C281,LANÇ_MOV[PLANO DE CONTAS],REL_DRE_FINANCEIRO!$B$241,LANÇ_MOV[ANO PAGAMENTO],$B$4,LANÇ_MOV[MÊS PAGAMENTO CORRESPONDENTE],I$6,LANÇ_MOV[EMPRESA],$C$4,LANÇ_MOV[CENTRO DE CUSTOS],$D$4)</f>
        <v>0</v>
      </c>
      <c r="J281" s="206">
        <f>SUMIFS(LANÇ_MOV[VALOR LÍQUIDO],LANÇ_MOV[RECEITA OU DESPESA],"Despesa",LANÇ_MOV[CONTAS],$C281,LANÇ_MOV[PLANO DE CONTAS],REL_DRE_FINANCEIRO!$B$241,LANÇ_MOV[ANO PAGAMENTO],$B$4,LANÇ_MOV[MÊS PAGAMENTO CORRESPONDENTE],J$6,LANÇ_MOV[EMPRESA],$C$4,LANÇ_MOV[CENTRO DE CUSTOS],$D$4)</f>
        <v>0</v>
      </c>
      <c r="K281" s="206">
        <f>SUMIFS(LANÇ_MOV[VALOR LÍQUIDO],LANÇ_MOV[RECEITA OU DESPESA],"Despesa",LANÇ_MOV[CONTAS],$C281,LANÇ_MOV[PLANO DE CONTAS],REL_DRE_FINANCEIRO!$B$241,LANÇ_MOV[ANO PAGAMENTO],$B$4,LANÇ_MOV[MÊS PAGAMENTO CORRESPONDENTE],K$6,LANÇ_MOV[EMPRESA],$C$4,LANÇ_MOV[CENTRO DE CUSTOS],$D$4)</f>
        <v>0</v>
      </c>
      <c r="L281" s="206">
        <f>SUMIFS(LANÇ_MOV[VALOR LÍQUIDO],LANÇ_MOV[RECEITA OU DESPESA],"Despesa",LANÇ_MOV[CONTAS],$C281,LANÇ_MOV[PLANO DE CONTAS],REL_DRE_FINANCEIRO!$B$241,LANÇ_MOV[ANO PAGAMENTO],$B$4,LANÇ_MOV[MÊS PAGAMENTO CORRESPONDENTE],L$6,LANÇ_MOV[EMPRESA],$C$4,LANÇ_MOV[CENTRO DE CUSTOS],$D$4)</f>
        <v>0</v>
      </c>
      <c r="M281" s="206">
        <f>SUMIFS(LANÇ_MOV[VALOR LÍQUIDO],LANÇ_MOV[RECEITA OU DESPESA],"Despesa",LANÇ_MOV[CONTAS],$C281,LANÇ_MOV[PLANO DE CONTAS],REL_DRE_FINANCEIRO!$B$241,LANÇ_MOV[ANO PAGAMENTO],$B$4,LANÇ_MOV[MÊS PAGAMENTO CORRESPONDENTE],M$6,LANÇ_MOV[EMPRESA],$C$4,LANÇ_MOV[CENTRO DE CUSTOS],$D$4)</f>
        <v>0</v>
      </c>
      <c r="N281" s="206">
        <f>SUMIFS(LANÇ_MOV[VALOR LÍQUIDO],LANÇ_MOV[RECEITA OU DESPESA],"Despesa",LANÇ_MOV[CONTAS],$C281,LANÇ_MOV[PLANO DE CONTAS],REL_DRE_FINANCEIRO!$B$241,LANÇ_MOV[ANO PAGAMENTO],$B$4,LANÇ_MOV[MÊS PAGAMENTO CORRESPONDENTE],N$6,LANÇ_MOV[EMPRESA],$C$4,LANÇ_MOV[CENTRO DE CUSTOS],$D$4)</f>
        <v>0</v>
      </c>
      <c r="O281" s="206">
        <f>SUMIFS(LANÇ_MOV[VALOR LÍQUIDO],LANÇ_MOV[RECEITA OU DESPESA],"Despesa",LANÇ_MOV[CONTAS],$C281,LANÇ_MOV[PLANO DE CONTAS],REL_DRE_FINANCEIRO!$B$241,LANÇ_MOV[ANO PAGAMENTO],$B$4,LANÇ_MOV[MÊS PAGAMENTO CORRESPONDENTE],O$6,LANÇ_MOV[EMPRESA],$C$4,LANÇ_MOV[CENTRO DE CUSTOS],$D$4)</f>
        <v>0</v>
      </c>
      <c r="P281" s="207">
        <f t="shared" si="43"/>
        <v>0</v>
      </c>
      <c r="Q281" s="329">
        <v>6.1E-6</v>
      </c>
      <c r="R281" s="346">
        <f t="shared" si="44"/>
        <v>6.1E-6</v>
      </c>
      <c r="S281" s="347" t="str">
        <f t="shared" si="45"/>
        <v>-</v>
      </c>
      <c r="T281" s="347">
        <f t="shared" si="46"/>
        <v>0</v>
      </c>
      <c r="U281" s="347">
        <f>HLOOKUP(Apoio!$P$12,$D$240:$P$341,X281,FALSE)+Q281</f>
        <v>6.1E-6</v>
      </c>
      <c r="V281" s="447" t="str">
        <f t="shared" si="47"/>
        <v>-</v>
      </c>
      <c r="W281" s="448">
        <f>HLOOKUP(Apoio!$P$12,$D$240:$P$341,X281,FALSE)</f>
        <v>0</v>
      </c>
      <c r="X281" s="329">
        <v>42</v>
      </c>
    </row>
    <row r="282" spans="2:24" ht="30.05" customHeight="1" x14ac:dyDescent="0.35">
      <c r="B282" s="204" t="str">
        <f>'CAD_PL_REC-DESP'!N45</f>
        <v>2.2.41</v>
      </c>
      <c r="C282" s="205" t="str">
        <f>IF('CAD_PL_REC-DESP'!O45="","-",'CAD_PL_REC-DESP'!O45)</f>
        <v>-</v>
      </c>
      <c r="D282" s="206">
        <f>SUMIFS(LANÇ_MOV[VALOR LÍQUIDO],LANÇ_MOV[RECEITA OU DESPESA],"Despesa",LANÇ_MOV[CONTAS],$C282,LANÇ_MOV[PLANO DE CONTAS],REL_DRE_FINANCEIRO!$B$241,LANÇ_MOV[ANO PAGAMENTO],$B$4,LANÇ_MOV[MÊS PAGAMENTO CORRESPONDENTE],D$6,LANÇ_MOV[EMPRESA],$C$4,LANÇ_MOV[CENTRO DE CUSTOS],$D$4)</f>
        <v>0</v>
      </c>
      <c r="E282" s="206">
        <f>SUMIFS(LANÇ_MOV[VALOR LÍQUIDO],LANÇ_MOV[RECEITA OU DESPESA],"Despesa",LANÇ_MOV[CONTAS],$C282,LANÇ_MOV[PLANO DE CONTAS],REL_DRE_FINANCEIRO!$B$241,LANÇ_MOV[ANO PAGAMENTO],$B$4,LANÇ_MOV[MÊS PAGAMENTO CORRESPONDENTE],E$6,LANÇ_MOV[EMPRESA],$C$4,LANÇ_MOV[CENTRO DE CUSTOS],$D$4)</f>
        <v>0</v>
      </c>
      <c r="F282" s="206">
        <f>SUMIFS(LANÇ_MOV[VALOR LÍQUIDO],LANÇ_MOV[RECEITA OU DESPESA],"Despesa",LANÇ_MOV[CONTAS],$C282,LANÇ_MOV[PLANO DE CONTAS],REL_DRE_FINANCEIRO!$B$241,LANÇ_MOV[ANO PAGAMENTO],$B$4,LANÇ_MOV[MÊS PAGAMENTO CORRESPONDENTE],F$6,LANÇ_MOV[EMPRESA],$C$4,LANÇ_MOV[CENTRO DE CUSTOS],$D$4)</f>
        <v>0</v>
      </c>
      <c r="G282" s="206">
        <f>SUMIFS(LANÇ_MOV[VALOR LÍQUIDO],LANÇ_MOV[RECEITA OU DESPESA],"Despesa",LANÇ_MOV[CONTAS],$C282,LANÇ_MOV[PLANO DE CONTAS],REL_DRE_FINANCEIRO!$B$241,LANÇ_MOV[ANO PAGAMENTO],$B$4,LANÇ_MOV[MÊS PAGAMENTO CORRESPONDENTE],G$6,LANÇ_MOV[EMPRESA],$C$4,LANÇ_MOV[CENTRO DE CUSTOS],$D$4)</f>
        <v>0</v>
      </c>
      <c r="H282" s="206">
        <f>SUMIFS(LANÇ_MOV[VALOR LÍQUIDO],LANÇ_MOV[RECEITA OU DESPESA],"Despesa",LANÇ_MOV[CONTAS],$C282,LANÇ_MOV[PLANO DE CONTAS],REL_DRE_FINANCEIRO!$B$241,LANÇ_MOV[ANO PAGAMENTO],$B$4,LANÇ_MOV[MÊS PAGAMENTO CORRESPONDENTE],H$6,LANÇ_MOV[EMPRESA],$C$4,LANÇ_MOV[CENTRO DE CUSTOS],$D$4)</f>
        <v>0</v>
      </c>
      <c r="I282" s="206">
        <f>SUMIFS(LANÇ_MOV[VALOR LÍQUIDO],LANÇ_MOV[RECEITA OU DESPESA],"Despesa",LANÇ_MOV[CONTAS],$C282,LANÇ_MOV[PLANO DE CONTAS],REL_DRE_FINANCEIRO!$B$241,LANÇ_MOV[ANO PAGAMENTO],$B$4,LANÇ_MOV[MÊS PAGAMENTO CORRESPONDENTE],I$6,LANÇ_MOV[EMPRESA],$C$4,LANÇ_MOV[CENTRO DE CUSTOS],$D$4)</f>
        <v>0</v>
      </c>
      <c r="J282" s="206">
        <f>SUMIFS(LANÇ_MOV[VALOR LÍQUIDO],LANÇ_MOV[RECEITA OU DESPESA],"Despesa",LANÇ_MOV[CONTAS],$C282,LANÇ_MOV[PLANO DE CONTAS],REL_DRE_FINANCEIRO!$B$241,LANÇ_MOV[ANO PAGAMENTO],$B$4,LANÇ_MOV[MÊS PAGAMENTO CORRESPONDENTE],J$6,LANÇ_MOV[EMPRESA],$C$4,LANÇ_MOV[CENTRO DE CUSTOS],$D$4)</f>
        <v>0</v>
      </c>
      <c r="K282" s="206">
        <f>SUMIFS(LANÇ_MOV[VALOR LÍQUIDO],LANÇ_MOV[RECEITA OU DESPESA],"Despesa",LANÇ_MOV[CONTAS],$C282,LANÇ_MOV[PLANO DE CONTAS],REL_DRE_FINANCEIRO!$B$241,LANÇ_MOV[ANO PAGAMENTO],$B$4,LANÇ_MOV[MÊS PAGAMENTO CORRESPONDENTE],K$6,LANÇ_MOV[EMPRESA],$C$4,LANÇ_MOV[CENTRO DE CUSTOS],$D$4)</f>
        <v>0</v>
      </c>
      <c r="L282" s="206">
        <f>SUMIFS(LANÇ_MOV[VALOR LÍQUIDO],LANÇ_MOV[RECEITA OU DESPESA],"Despesa",LANÇ_MOV[CONTAS],$C282,LANÇ_MOV[PLANO DE CONTAS],REL_DRE_FINANCEIRO!$B$241,LANÇ_MOV[ANO PAGAMENTO],$B$4,LANÇ_MOV[MÊS PAGAMENTO CORRESPONDENTE],L$6,LANÇ_MOV[EMPRESA],$C$4,LANÇ_MOV[CENTRO DE CUSTOS],$D$4)</f>
        <v>0</v>
      </c>
      <c r="M282" s="206">
        <f>SUMIFS(LANÇ_MOV[VALOR LÍQUIDO],LANÇ_MOV[RECEITA OU DESPESA],"Despesa",LANÇ_MOV[CONTAS],$C282,LANÇ_MOV[PLANO DE CONTAS],REL_DRE_FINANCEIRO!$B$241,LANÇ_MOV[ANO PAGAMENTO],$B$4,LANÇ_MOV[MÊS PAGAMENTO CORRESPONDENTE],M$6,LANÇ_MOV[EMPRESA],$C$4,LANÇ_MOV[CENTRO DE CUSTOS],$D$4)</f>
        <v>0</v>
      </c>
      <c r="N282" s="206">
        <f>SUMIFS(LANÇ_MOV[VALOR LÍQUIDO],LANÇ_MOV[RECEITA OU DESPESA],"Despesa",LANÇ_MOV[CONTAS],$C282,LANÇ_MOV[PLANO DE CONTAS],REL_DRE_FINANCEIRO!$B$241,LANÇ_MOV[ANO PAGAMENTO],$B$4,LANÇ_MOV[MÊS PAGAMENTO CORRESPONDENTE],N$6,LANÇ_MOV[EMPRESA],$C$4,LANÇ_MOV[CENTRO DE CUSTOS],$D$4)</f>
        <v>0</v>
      </c>
      <c r="O282" s="206">
        <f>SUMIFS(LANÇ_MOV[VALOR LÍQUIDO],LANÇ_MOV[RECEITA OU DESPESA],"Despesa",LANÇ_MOV[CONTAS],$C282,LANÇ_MOV[PLANO DE CONTAS],REL_DRE_FINANCEIRO!$B$241,LANÇ_MOV[ANO PAGAMENTO],$B$4,LANÇ_MOV[MÊS PAGAMENTO CORRESPONDENTE],O$6,LANÇ_MOV[EMPRESA],$C$4,LANÇ_MOV[CENTRO DE CUSTOS],$D$4)</f>
        <v>0</v>
      </c>
      <c r="P282" s="207">
        <f t="shared" si="43"/>
        <v>0</v>
      </c>
      <c r="Q282" s="329">
        <v>6.0000000000000002E-6</v>
      </c>
      <c r="R282" s="346">
        <f t="shared" si="44"/>
        <v>6.0000000000000002E-6</v>
      </c>
      <c r="S282" s="347" t="str">
        <f t="shared" si="45"/>
        <v>-</v>
      </c>
      <c r="T282" s="347">
        <f t="shared" si="46"/>
        <v>0</v>
      </c>
      <c r="U282" s="347">
        <f>HLOOKUP(Apoio!$P$12,$D$240:$P$341,X282,FALSE)+Q282</f>
        <v>6.0000000000000002E-6</v>
      </c>
      <c r="V282" s="447" t="str">
        <f t="shared" si="47"/>
        <v>-</v>
      </c>
      <c r="W282" s="448">
        <f>HLOOKUP(Apoio!$P$12,$D$240:$P$341,X282,FALSE)</f>
        <v>0</v>
      </c>
      <c r="X282" s="329">
        <v>43</v>
      </c>
    </row>
    <row r="283" spans="2:24" ht="30.05" customHeight="1" x14ac:dyDescent="0.35">
      <c r="B283" s="204" t="str">
        <f>'CAD_PL_REC-DESP'!N46</f>
        <v>2.2.42</v>
      </c>
      <c r="C283" s="205" t="str">
        <f>IF('CAD_PL_REC-DESP'!O46="","-",'CAD_PL_REC-DESP'!O46)</f>
        <v>-</v>
      </c>
      <c r="D283" s="206">
        <f>SUMIFS(LANÇ_MOV[VALOR LÍQUIDO],LANÇ_MOV[RECEITA OU DESPESA],"Despesa",LANÇ_MOV[CONTAS],$C283,LANÇ_MOV[PLANO DE CONTAS],REL_DRE_FINANCEIRO!$B$241,LANÇ_MOV[ANO PAGAMENTO],$B$4,LANÇ_MOV[MÊS PAGAMENTO CORRESPONDENTE],D$6,LANÇ_MOV[EMPRESA],$C$4,LANÇ_MOV[CENTRO DE CUSTOS],$D$4)</f>
        <v>0</v>
      </c>
      <c r="E283" s="206">
        <f>SUMIFS(LANÇ_MOV[VALOR LÍQUIDO],LANÇ_MOV[RECEITA OU DESPESA],"Despesa",LANÇ_MOV[CONTAS],$C283,LANÇ_MOV[PLANO DE CONTAS],REL_DRE_FINANCEIRO!$B$241,LANÇ_MOV[ANO PAGAMENTO],$B$4,LANÇ_MOV[MÊS PAGAMENTO CORRESPONDENTE],E$6,LANÇ_MOV[EMPRESA],$C$4,LANÇ_MOV[CENTRO DE CUSTOS],$D$4)</f>
        <v>0</v>
      </c>
      <c r="F283" s="206">
        <f>SUMIFS(LANÇ_MOV[VALOR LÍQUIDO],LANÇ_MOV[RECEITA OU DESPESA],"Despesa",LANÇ_MOV[CONTAS],$C283,LANÇ_MOV[PLANO DE CONTAS],REL_DRE_FINANCEIRO!$B$241,LANÇ_MOV[ANO PAGAMENTO],$B$4,LANÇ_MOV[MÊS PAGAMENTO CORRESPONDENTE],F$6,LANÇ_MOV[EMPRESA],$C$4,LANÇ_MOV[CENTRO DE CUSTOS],$D$4)</f>
        <v>0</v>
      </c>
      <c r="G283" s="206">
        <f>SUMIFS(LANÇ_MOV[VALOR LÍQUIDO],LANÇ_MOV[RECEITA OU DESPESA],"Despesa",LANÇ_MOV[CONTAS],$C283,LANÇ_MOV[PLANO DE CONTAS],REL_DRE_FINANCEIRO!$B$241,LANÇ_MOV[ANO PAGAMENTO],$B$4,LANÇ_MOV[MÊS PAGAMENTO CORRESPONDENTE],G$6,LANÇ_MOV[EMPRESA],$C$4,LANÇ_MOV[CENTRO DE CUSTOS],$D$4)</f>
        <v>0</v>
      </c>
      <c r="H283" s="206">
        <f>SUMIFS(LANÇ_MOV[VALOR LÍQUIDO],LANÇ_MOV[RECEITA OU DESPESA],"Despesa",LANÇ_MOV[CONTAS],$C283,LANÇ_MOV[PLANO DE CONTAS],REL_DRE_FINANCEIRO!$B$241,LANÇ_MOV[ANO PAGAMENTO],$B$4,LANÇ_MOV[MÊS PAGAMENTO CORRESPONDENTE],H$6,LANÇ_MOV[EMPRESA],$C$4,LANÇ_MOV[CENTRO DE CUSTOS],$D$4)</f>
        <v>0</v>
      </c>
      <c r="I283" s="206">
        <f>SUMIFS(LANÇ_MOV[VALOR LÍQUIDO],LANÇ_MOV[RECEITA OU DESPESA],"Despesa",LANÇ_MOV[CONTAS],$C283,LANÇ_MOV[PLANO DE CONTAS],REL_DRE_FINANCEIRO!$B$241,LANÇ_MOV[ANO PAGAMENTO],$B$4,LANÇ_MOV[MÊS PAGAMENTO CORRESPONDENTE],I$6,LANÇ_MOV[EMPRESA],$C$4,LANÇ_MOV[CENTRO DE CUSTOS],$D$4)</f>
        <v>0</v>
      </c>
      <c r="J283" s="206">
        <f>SUMIFS(LANÇ_MOV[VALOR LÍQUIDO],LANÇ_MOV[RECEITA OU DESPESA],"Despesa",LANÇ_MOV[CONTAS],$C283,LANÇ_MOV[PLANO DE CONTAS],REL_DRE_FINANCEIRO!$B$241,LANÇ_MOV[ANO PAGAMENTO],$B$4,LANÇ_MOV[MÊS PAGAMENTO CORRESPONDENTE],J$6,LANÇ_MOV[EMPRESA],$C$4,LANÇ_MOV[CENTRO DE CUSTOS],$D$4)</f>
        <v>0</v>
      </c>
      <c r="K283" s="206">
        <f>SUMIFS(LANÇ_MOV[VALOR LÍQUIDO],LANÇ_MOV[RECEITA OU DESPESA],"Despesa",LANÇ_MOV[CONTAS],$C283,LANÇ_MOV[PLANO DE CONTAS],REL_DRE_FINANCEIRO!$B$241,LANÇ_MOV[ANO PAGAMENTO],$B$4,LANÇ_MOV[MÊS PAGAMENTO CORRESPONDENTE],K$6,LANÇ_MOV[EMPRESA],$C$4,LANÇ_MOV[CENTRO DE CUSTOS],$D$4)</f>
        <v>0</v>
      </c>
      <c r="L283" s="206">
        <f>SUMIFS(LANÇ_MOV[VALOR LÍQUIDO],LANÇ_MOV[RECEITA OU DESPESA],"Despesa",LANÇ_MOV[CONTAS],$C283,LANÇ_MOV[PLANO DE CONTAS],REL_DRE_FINANCEIRO!$B$241,LANÇ_MOV[ANO PAGAMENTO],$B$4,LANÇ_MOV[MÊS PAGAMENTO CORRESPONDENTE],L$6,LANÇ_MOV[EMPRESA],$C$4,LANÇ_MOV[CENTRO DE CUSTOS],$D$4)</f>
        <v>0</v>
      </c>
      <c r="M283" s="206">
        <f>SUMIFS(LANÇ_MOV[VALOR LÍQUIDO],LANÇ_MOV[RECEITA OU DESPESA],"Despesa",LANÇ_MOV[CONTAS],$C283,LANÇ_MOV[PLANO DE CONTAS],REL_DRE_FINANCEIRO!$B$241,LANÇ_MOV[ANO PAGAMENTO],$B$4,LANÇ_MOV[MÊS PAGAMENTO CORRESPONDENTE],M$6,LANÇ_MOV[EMPRESA],$C$4,LANÇ_MOV[CENTRO DE CUSTOS],$D$4)</f>
        <v>0</v>
      </c>
      <c r="N283" s="206">
        <f>SUMIFS(LANÇ_MOV[VALOR LÍQUIDO],LANÇ_MOV[RECEITA OU DESPESA],"Despesa",LANÇ_MOV[CONTAS],$C283,LANÇ_MOV[PLANO DE CONTAS],REL_DRE_FINANCEIRO!$B$241,LANÇ_MOV[ANO PAGAMENTO],$B$4,LANÇ_MOV[MÊS PAGAMENTO CORRESPONDENTE],N$6,LANÇ_MOV[EMPRESA],$C$4,LANÇ_MOV[CENTRO DE CUSTOS],$D$4)</f>
        <v>0</v>
      </c>
      <c r="O283" s="206">
        <f>SUMIFS(LANÇ_MOV[VALOR LÍQUIDO],LANÇ_MOV[RECEITA OU DESPESA],"Despesa",LANÇ_MOV[CONTAS],$C283,LANÇ_MOV[PLANO DE CONTAS],REL_DRE_FINANCEIRO!$B$241,LANÇ_MOV[ANO PAGAMENTO],$B$4,LANÇ_MOV[MÊS PAGAMENTO CORRESPONDENTE],O$6,LANÇ_MOV[EMPRESA],$C$4,LANÇ_MOV[CENTRO DE CUSTOS],$D$4)</f>
        <v>0</v>
      </c>
      <c r="P283" s="207">
        <f t="shared" si="43"/>
        <v>0</v>
      </c>
      <c r="Q283" s="329">
        <v>5.9000000000000003E-6</v>
      </c>
      <c r="R283" s="346">
        <f t="shared" si="44"/>
        <v>5.9000000000000003E-6</v>
      </c>
      <c r="S283" s="347" t="str">
        <f t="shared" si="45"/>
        <v>-</v>
      </c>
      <c r="T283" s="347">
        <f t="shared" si="46"/>
        <v>0</v>
      </c>
      <c r="U283" s="347">
        <f>HLOOKUP(Apoio!$P$12,$D$240:$P$341,X283,FALSE)+Q283</f>
        <v>5.9000000000000003E-6</v>
      </c>
      <c r="V283" s="447" t="str">
        <f t="shared" si="47"/>
        <v>-</v>
      </c>
      <c r="W283" s="448">
        <f>HLOOKUP(Apoio!$P$12,$D$240:$P$341,X283,FALSE)</f>
        <v>0</v>
      </c>
      <c r="X283" s="329">
        <v>44</v>
      </c>
    </row>
    <row r="284" spans="2:24" ht="30.05" customHeight="1" x14ac:dyDescent="0.35">
      <c r="B284" s="204" t="str">
        <f>'CAD_PL_REC-DESP'!N47</f>
        <v>2.2.43</v>
      </c>
      <c r="C284" s="205" t="str">
        <f>IF('CAD_PL_REC-DESP'!O47="","-",'CAD_PL_REC-DESP'!O47)</f>
        <v>-</v>
      </c>
      <c r="D284" s="206">
        <f>SUMIFS(LANÇ_MOV[VALOR LÍQUIDO],LANÇ_MOV[RECEITA OU DESPESA],"Despesa",LANÇ_MOV[CONTAS],$C284,LANÇ_MOV[PLANO DE CONTAS],REL_DRE_FINANCEIRO!$B$241,LANÇ_MOV[ANO PAGAMENTO],$B$4,LANÇ_MOV[MÊS PAGAMENTO CORRESPONDENTE],D$6,LANÇ_MOV[EMPRESA],$C$4,LANÇ_MOV[CENTRO DE CUSTOS],$D$4)</f>
        <v>0</v>
      </c>
      <c r="E284" s="206">
        <f>SUMIFS(LANÇ_MOV[VALOR LÍQUIDO],LANÇ_MOV[RECEITA OU DESPESA],"Despesa",LANÇ_MOV[CONTAS],$C284,LANÇ_MOV[PLANO DE CONTAS],REL_DRE_FINANCEIRO!$B$241,LANÇ_MOV[ANO PAGAMENTO],$B$4,LANÇ_MOV[MÊS PAGAMENTO CORRESPONDENTE],E$6,LANÇ_MOV[EMPRESA],$C$4,LANÇ_MOV[CENTRO DE CUSTOS],$D$4)</f>
        <v>0</v>
      </c>
      <c r="F284" s="206">
        <f>SUMIFS(LANÇ_MOV[VALOR LÍQUIDO],LANÇ_MOV[RECEITA OU DESPESA],"Despesa",LANÇ_MOV[CONTAS],$C284,LANÇ_MOV[PLANO DE CONTAS],REL_DRE_FINANCEIRO!$B$241,LANÇ_MOV[ANO PAGAMENTO],$B$4,LANÇ_MOV[MÊS PAGAMENTO CORRESPONDENTE],F$6,LANÇ_MOV[EMPRESA],$C$4,LANÇ_MOV[CENTRO DE CUSTOS],$D$4)</f>
        <v>0</v>
      </c>
      <c r="G284" s="206">
        <f>SUMIFS(LANÇ_MOV[VALOR LÍQUIDO],LANÇ_MOV[RECEITA OU DESPESA],"Despesa",LANÇ_MOV[CONTAS],$C284,LANÇ_MOV[PLANO DE CONTAS],REL_DRE_FINANCEIRO!$B$241,LANÇ_MOV[ANO PAGAMENTO],$B$4,LANÇ_MOV[MÊS PAGAMENTO CORRESPONDENTE],G$6,LANÇ_MOV[EMPRESA],$C$4,LANÇ_MOV[CENTRO DE CUSTOS],$D$4)</f>
        <v>0</v>
      </c>
      <c r="H284" s="206">
        <f>SUMIFS(LANÇ_MOV[VALOR LÍQUIDO],LANÇ_MOV[RECEITA OU DESPESA],"Despesa",LANÇ_MOV[CONTAS],$C284,LANÇ_MOV[PLANO DE CONTAS],REL_DRE_FINANCEIRO!$B$241,LANÇ_MOV[ANO PAGAMENTO],$B$4,LANÇ_MOV[MÊS PAGAMENTO CORRESPONDENTE],H$6,LANÇ_MOV[EMPRESA],$C$4,LANÇ_MOV[CENTRO DE CUSTOS],$D$4)</f>
        <v>0</v>
      </c>
      <c r="I284" s="206">
        <f>SUMIFS(LANÇ_MOV[VALOR LÍQUIDO],LANÇ_MOV[RECEITA OU DESPESA],"Despesa",LANÇ_MOV[CONTAS],$C284,LANÇ_MOV[PLANO DE CONTAS],REL_DRE_FINANCEIRO!$B$241,LANÇ_MOV[ANO PAGAMENTO],$B$4,LANÇ_MOV[MÊS PAGAMENTO CORRESPONDENTE],I$6,LANÇ_MOV[EMPRESA],$C$4,LANÇ_MOV[CENTRO DE CUSTOS],$D$4)</f>
        <v>0</v>
      </c>
      <c r="J284" s="206">
        <f>SUMIFS(LANÇ_MOV[VALOR LÍQUIDO],LANÇ_MOV[RECEITA OU DESPESA],"Despesa",LANÇ_MOV[CONTAS],$C284,LANÇ_MOV[PLANO DE CONTAS],REL_DRE_FINANCEIRO!$B$241,LANÇ_MOV[ANO PAGAMENTO],$B$4,LANÇ_MOV[MÊS PAGAMENTO CORRESPONDENTE],J$6,LANÇ_MOV[EMPRESA],$C$4,LANÇ_MOV[CENTRO DE CUSTOS],$D$4)</f>
        <v>0</v>
      </c>
      <c r="K284" s="206">
        <f>SUMIFS(LANÇ_MOV[VALOR LÍQUIDO],LANÇ_MOV[RECEITA OU DESPESA],"Despesa",LANÇ_MOV[CONTAS],$C284,LANÇ_MOV[PLANO DE CONTAS],REL_DRE_FINANCEIRO!$B$241,LANÇ_MOV[ANO PAGAMENTO],$B$4,LANÇ_MOV[MÊS PAGAMENTO CORRESPONDENTE],K$6,LANÇ_MOV[EMPRESA],$C$4,LANÇ_MOV[CENTRO DE CUSTOS],$D$4)</f>
        <v>0</v>
      </c>
      <c r="L284" s="206">
        <f>SUMIFS(LANÇ_MOV[VALOR LÍQUIDO],LANÇ_MOV[RECEITA OU DESPESA],"Despesa",LANÇ_MOV[CONTAS],$C284,LANÇ_MOV[PLANO DE CONTAS],REL_DRE_FINANCEIRO!$B$241,LANÇ_MOV[ANO PAGAMENTO],$B$4,LANÇ_MOV[MÊS PAGAMENTO CORRESPONDENTE],L$6,LANÇ_MOV[EMPRESA],$C$4,LANÇ_MOV[CENTRO DE CUSTOS],$D$4)</f>
        <v>0</v>
      </c>
      <c r="M284" s="206">
        <f>SUMIFS(LANÇ_MOV[VALOR LÍQUIDO],LANÇ_MOV[RECEITA OU DESPESA],"Despesa",LANÇ_MOV[CONTAS],$C284,LANÇ_MOV[PLANO DE CONTAS],REL_DRE_FINANCEIRO!$B$241,LANÇ_MOV[ANO PAGAMENTO],$B$4,LANÇ_MOV[MÊS PAGAMENTO CORRESPONDENTE],M$6,LANÇ_MOV[EMPRESA],$C$4,LANÇ_MOV[CENTRO DE CUSTOS],$D$4)</f>
        <v>0</v>
      </c>
      <c r="N284" s="206">
        <f>SUMIFS(LANÇ_MOV[VALOR LÍQUIDO],LANÇ_MOV[RECEITA OU DESPESA],"Despesa",LANÇ_MOV[CONTAS],$C284,LANÇ_MOV[PLANO DE CONTAS],REL_DRE_FINANCEIRO!$B$241,LANÇ_MOV[ANO PAGAMENTO],$B$4,LANÇ_MOV[MÊS PAGAMENTO CORRESPONDENTE],N$6,LANÇ_MOV[EMPRESA],$C$4,LANÇ_MOV[CENTRO DE CUSTOS],$D$4)</f>
        <v>0</v>
      </c>
      <c r="O284" s="206">
        <f>SUMIFS(LANÇ_MOV[VALOR LÍQUIDO],LANÇ_MOV[RECEITA OU DESPESA],"Despesa",LANÇ_MOV[CONTAS],$C284,LANÇ_MOV[PLANO DE CONTAS],REL_DRE_FINANCEIRO!$B$241,LANÇ_MOV[ANO PAGAMENTO],$B$4,LANÇ_MOV[MÊS PAGAMENTO CORRESPONDENTE],O$6,LANÇ_MOV[EMPRESA],$C$4,LANÇ_MOV[CENTRO DE CUSTOS],$D$4)</f>
        <v>0</v>
      </c>
      <c r="P284" s="207">
        <f t="shared" si="43"/>
        <v>0</v>
      </c>
      <c r="Q284" s="329">
        <v>5.8000000000000004E-6</v>
      </c>
      <c r="R284" s="346">
        <f t="shared" si="44"/>
        <v>5.8000000000000004E-6</v>
      </c>
      <c r="S284" s="347" t="str">
        <f t="shared" si="45"/>
        <v>-</v>
      </c>
      <c r="T284" s="347">
        <f t="shared" si="46"/>
        <v>0</v>
      </c>
      <c r="U284" s="347">
        <f>HLOOKUP(Apoio!$P$12,$D$240:$P$341,X284,FALSE)+Q284</f>
        <v>5.8000000000000004E-6</v>
      </c>
      <c r="V284" s="447" t="str">
        <f t="shared" si="47"/>
        <v>-</v>
      </c>
      <c r="W284" s="448">
        <f>HLOOKUP(Apoio!$P$12,$D$240:$P$341,X284,FALSE)</f>
        <v>0</v>
      </c>
      <c r="X284" s="329">
        <v>45</v>
      </c>
    </row>
    <row r="285" spans="2:24" ht="30.05" customHeight="1" x14ac:dyDescent="0.35">
      <c r="B285" s="204" t="str">
        <f>'CAD_PL_REC-DESP'!N48</f>
        <v>2.2.44</v>
      </c>
      <c r="C285" s="205" t="str">
        <f>IF('CAD_PL_REC-DESP'!O48="","-",'CAD_PL_REC-DESP'!O48)</f>
        <v>-</v>
      </c>
      <c r="D285" s="206">
        <f>SUMIFS(LANÇ_MOV[VALOR LÍQUIDO],LANÇ_MOV[RECEITA OU DESPESA],"Despesa",LANÇ_MOV[CONTAS],$C285,LANÇ_MOV[PLANO DE CONTAS],REL_DRE_FINANCEIRO!$B$241,LANÇ_MOV[ANO PAGAMENTO],$B$4,LANÇ_MOV[MÊS PAGAMENTO CORRESPONDENTE],D$6,LANÇ_MOV[EMPRESA],$C$4,LANÇ_MOV[CENTRO DE CUSTOS],$D$4)</f>
        <v>0</v>
      </c>
      <c r="E285" s="206">
        <f>SUMIFS(LANÇ_MOV[VALOR LÍQUIDO],LANÇ_MOV[RECEITA OU DESPESA],"Despesa",LANÇ_MOV[CONTAS],$C285,LANÇ_MOV[PLANO DE CONTAS],REL_DRE_FINANCEIRO!$B$241,LANÇ_MOV[ANO PAGAMENTO],$B$4,LANÇ_MOV[MÊS PAGAMENTO CORRESPONDENTE],E$6,LANÇ_MOV[EMPRESA],$C$4,LANÇ_MOV[CENTRO DE CUSTOS],$D$4)</f>
        <v>0</v>
      </c>
      <c r="F285" s="206">
        <f>SUMIFS(LANÇ_MOV[VALOR LÍQUIDO],LANÇ_MOV[RECEITA OU DESPESA],"Despesa",LANÇ_MOV[CONTAS],$C285,LANÇ_MOV[PLANO DE CONTAS],REL_DRE_FINANCEIRO!$B$241,LANÇ_MOV[ANO PAGAMENTO],$B$4,LANÇ_MOV[MÊS PAGAMENTO CORRESPONDENTE],F$6,LANÇ_MOV[EMPRESA],$C$4,LANÇ_MOV[CENTRO DE CUSTOS],$D$4)</f>
        <v>0</v>
      </c>
      <c r="G285" s="206">
        <f>SUMIFS(LANÇ_MOV[VALOR LÍQUIDO],LANÇ_MOV[RECEITA OU DESPESA],"Despesa",LANÇ_MOV[CONTAS],$C285,LANÇ_MOV[PLANO DE CONTAS],REL_DRE_FINANCEIRO!$B$241,LANÇ_MOV[ANO PAGAMENTO],$B$4,LANÇ_MOV[MÊS PAGAMENTO CORRESPONDENTE],G$6,LANÇ_MOV[EMPRESA],$C$4,LANÇ_MOV[CENTRO DE CUSTOS],$D$4)</f>
        <v>0</v>
      </c>
      <c r="H285" s="206">
        <f>SUMIFS(LANÇ_MOV[VALOR LÍQUIDO],LANÇ_MOV[RECEITA OU DESPESA],"Despesa",LANÇ_MOV[CONTAS],$C285,LANÇ_MOV[PLANO DE CONTAS],REL_DRE_FINANCEIRO!$B$241,LANÇ_MOV[ANO PAGAMENTO],$B$4,LANÇ_MOV[MÊS PAGAMENTO CORRESPONDENTE],H$6,LANÇ_MOV[EMPRESA],$C$4,LANÇ_MOV[CENTRO DE CUSTOS],$D$4)</f>
        <v>0</v>
      </c>
      <c r="I285" s="206">
        <f>SUMIFS(LANÇ_MOV[VALOR LÍQUIDO],LANÇ_MOV[RECEITA OU DESPESA],"Despesa",LANÇ_MOV[CONTAS],$C285,LANÇ_MOV[PLANO DE CONTAS],REL_DRE_FINANCEIRO!$B$241,LANÇ_MOV[ANO PAGAMENTO],$B$4,LANÇ_MOV[MÊS PAGAMENTO CORRESPONDENTE],I$6,LANÇ_MOV[EMPRESA],$C$4,LANÇ_MOV[CENTRO DE CUSTOS],$D$4)</f>
        <v>0</v>
      </c>
      <c r="J285" s="206">
        <f>SUMIFS(LANÇ_MOV[VALOR LÍQUIDO],LANÇ_MOV[RECEITA OU DESPESA],"Despesa",LANÇ_MOV[CONTAS],$C285,LANÇ_MOV[PLANO DE CONTAS],REL_DRE_FINANCEIRO!$B$241,LANÇ_MOV[ANO PAGAMENTO],$B$4,LANÇ_MOV[MÊS PAGAMENTO CORRESPONDENTE],J$6,LANÇ_MOV[EMPRESA],$C$4,LANÇ_MOV[CENTRO DE CUSTOS],$D$4)</f>
        <v>0</v>
      </c>
      <c r="K285" s="206">
        <f>SUMIFS(LANÇ_MOV[VALOR LÍQUIDO],LANÇ_MOV[RECEITA OU DESPESA],"Despesa",LANÇ_MOV[CONTAS],$C285,LANÇ_MOV[PLANO DE CONTAS],REL_DRE_FINANCEIRO!$B$241,LANÇ_MOV[ANO PAGAMENTO],$B$4,LANÇ_MOV[MÊS PAGAMENTO CORRESPONDENTE],K$6,LANÇ_MOV[EMPRESA],$C$4,LANÇ_MOV[CENTRO DE CUSTOS],$D$4)</f>
        <v>0</v>
      </c>
      <c r="L285" s="206">
        <f>SUMIFS(LANÇ_MOV[VALOR LÍQUIDO],LANÇ_MOV[RECEITA OU DESPESA],"Despesa",LANÇ_MOV[CONTAS],$C285,LANÇ_MOV[PLANO DE CONTAS],REL_DRE_FINANCEIRO!$B$241,LANÇ_MOV[ANO PAGAMENTO],$B$4,LANÇ_MOV[MÊS PAGAMENTO CORRESPONDENTE],L$6,LANÇ_MOV[EMPRESA],$C$4,LANÇ_MOV[CENTRO DE CUSTOS],$D$4)</f>
        <v>0</v>
      </c>
      <c r="M285" s="206">
        <f>SUMIFS(LANÇ_MOV[VALOR LÍQUIDO],LANÇ_MOV[RECEITA OU DESPESA],"Despesa",LANÇ_MOV[CONTAS],$C285,LANÇ_MOV[PLANO DE CONTAS],REL_DRE_FINANCEIRO!$B$241,LANÇ_MOV[ANO PAGAMENTO],$B$4,LANÇ_MOV[MÊS PAGAMENTO CORRESPONDENTE],M$6,LANÇ_MOV[EMPRESA],$C$4,LANÇ_MOV[CENTRO DE CUSTOS],$D$4)</f>
        <v>0</v>
      </c>
      <c r="N285" s="206">
        <f>SUMIFS(LANÇ_MOV[VALOR LÍQUIDO],LANÇ_MOV[RECEITA OU DESPESA],"Despesa",LANÇ_MOV[CONTAS],$C285,LANÇ_MOV[PLANO DE CONTAS],REL_DRE_FINANCEIRO!$B$241,LANÇ_MOV[ANO PAGAMENTO],$B$4,LANÇ_MOV[MÊS PAGAMENTO CORRESPONDENTE],N$6,LANÇ_MOV[EMPRESA],$C$4,LANÇ_MOV[CENTRO DE CUSTOS],$D$4)</f>
        <v>0</v>
      </c>
      <c r="O285" s="206">
        <f>SUMIFS(LANÇ_MOV[VALOR LÍQUIDO],LANÇ_MOV[RECEITA OU DESPESA],"Despesa",LANÇ_MOV[CONTAS],$C285,LANÇ_MOV[PLANO DE CONTAS],REL_DRE_FINANCEIRO!$B$241,LANÇ_MOV[ANO PAGAMENTO],$B$4,LANÇ_MOV[MÊS PAGAMENTO CORRESPONDENTE],O$6,LANÇ_MOV[EMPRESA],$C$4,LANÇ_MOV[CENTRO DE CUSTOS],$D$4)</f>
        <v>0</v>
      </c>
      <c r="P285" s="207">
        <f t="shared" si="43"/>
        <v>0</v>
      </c>
      <c r="Q285" s="329">
        <v>5.6999999999999996E-6</v>
      </c>
      <c r="R285" s="346">
        <f t="shared" si="44"/>
        <v>5.6999999999999996E-6</v>
      </c>
      <c r="S285" s="347" t="str">
        <f t="shared" si="45"/>
        <v>-</v>
      </c>
      <c r="T285" s="347">
        <f t="shared" si="46"/>
        <v>0</v>
      </c>
      <c r="U285" s="347">
        <f>HLOOKUP(Apoio!$P$12,$D$240:$P$341,X285,FALSE)+Q285</f>
        <v>5.6999999999999996E-6</v>
      </c>
      <c r="V285" s="447" t="str">
        <f t="shared" si="47"/>
        <v>-</v>
      </c>
      <c r="W285" s="448">
        <f>HLOOKUP(Apoio!$P$12,$D$240:$P$341,X285,FALSE)</f>
        <v>0</v>
      </c>
      <c r="X285" s="329">
        <v>46</v>
      </c>
    </row>
    <row r="286" spans="2:24" ht="30.05" customHeight="1" x14ac:dyDescent="0.35">
      <c r="B286" s="204" t="str">
        <f>'CAD_PL_REC-DESP'!N49</f>
        <v>2.2.45</v>
      </c>
      <c r="C286" s="205" t="str">
        <f>IF('CAD_PL_REC-DESP'!O49="","-",'CAD_PL_REC-DESP'!O49)</f>
        <v>-</v>
      </c>
      <c r="D286" s="206">
        <f>SUMIFS(LANÇ_MOV[VALOR LÍQUIDO],LANÇ_MOV[RECEITA OU DESPESA],"Despesa",LANÇ_MOV[CONTAS],$C286,LANÇ_MOV[PLANO DE CONTAS],REL_DRE_FINANCEIRO!$B$241,LANÇ_MOV[ANO PAGAMENTO],$B$4,LANÇ_MOV[MÊS PAGAMENTO CORRESPONDENTE],D$6,LANÇ_MOV[EMPRESA],$C$4,LANÇ_MOV[CENTRO DE CUSTOS],$D$4)</f>
        <v>0</v>
      </c>
      <c r="E286" s="206">
        <f>SUMIFS(LANÇ_MOV[VALOR LÍQUIDO],LANÇ_MOV[RECEITA OU DESPESA],"Despesa",LANÇ_MOV[CONTAS],$C286,LANÇ_MOV[PLANO DE CONTAS],REL_DRE_FINANCEIRO!$B$241,LANÇ_MOV[ANO PAGAMENTO],$B$4,LANÇ_MOV[MÊS PAGAMENTO CORRESPONDENTE],E$6,LANÇ_MOV[EMPRESA],$C$4,LANÇ_MOV[CENTRO DE CUSTOS],$D$4)</f>
        <v>0</v>
      </c>
      <c r="F286" s="206">
        <f>SUMIFS(LANÇ_MOV[VALOR LÍQUIDO],LANÇ_MOV[RECEITA OU DESPESA],"Despesa",LANÇ_MOV[CONTAS],$C286,LANÇ_MOV[PLANO DE CONTAS],REL_DRE_FINANCEIRO!$B$241,LANÇ_MOV[ANO PAGAMENTO],$B$4,LANÇ_MOV[MÊS PAGAMENTO CORRESPONDENTE],F$6,LANÇ_MOV[EMPRESA],$C$4,LANÇ_MOV[CENTRO DE CUSTOS],$D$4)</f>
        <v>0</v>
      </c>
      <c r="G286" s="206">
        <f>SUMIFS(LANÇ_MOV[VALOR LÍQUIDO],LANÇ_MOV[RECEITA OU DESPESA],"Despesa",LANÇ_MOV[CONTAS],$C286,LANÇ_MOV[PLANO DE CONTAS],REL_DRE_FINANCEIRO!$B$241,LANÇ_MOV[ANO PAGAMENTO],$B$4,LANÇ_MOV[MÊS PAGAMENTO CORRESPONDENTE],G$6,LANÇ_MOV[EMPRESA],$C$4,LANÇ_MOV[CENTRO DE CUSTOS],$D$4)</f>
        <v>0</v>
      </c>
      <c r="H286" s="206">
        <f>SUMIFS(LANÇ_MOV[VALOR LÍQUIDO],LANÇ_MOV[RECEITA OU DESPESA],"Despesa",LANÇ_MOV[CONTAS],$C286,LANÇ_MOV[PLANO DE CONTAS],REL_DRE_FINANCEIRO!$B$241,LANÇ_MOV[ANO PAGAMENTO],$B$4,LANÇ_MOV[MÊS PAGAMENTO CORRESPONDENTE],H$6,LANÇ_MOV[EMPRESA],$C$4,LANÇ_MOV[CENTRO DE CUSTOS],$D$4)</f>
        <v>0</v>
      </c>
      <c r="I286" s="206">
        <f>SUMIFS(LANÇ_MOV[VALOR LÍQUIDO],LANÇ_MOV[RECEITA OU DESPESA],"Despesa",LANÇ_MOV[CONTAS],$C286,LANÇ_MOV[PLANO DE CONTAS],REL_DRE_FINANCEIRO!$B$241,LANÇ_MOV[ANO PAGAMENTO],$B$4,LANÇ_MOV[MÊS PAGAMENTO CORRESPONDENTE],I$6,LANÇ_MOV[EMPRESA],$C$4,LANÇ_MOV[CENTRO DE CUSTOS],$D$4)</f>
        <v>0</v>
      </c>
      <c r="J286" s="206">
        <f>SUMIFS(LANÇ_MOV[VALOR LÍQUIDO],LANÇ_MOV[RECEITA OU DESPESA],"Despesa",LANÇ_MOV[CONTAS],$C286,LANÇ_MOV[PLANO DE CONTAS],REL_DRE_FINANCEIRO!$B$241,LANÇ_MOV[ANO PAGAMENTO],$B$4,LANÇ_MOV[MÊS PAGAMENTO CORRESPONDENTE],J$6,LANÇ_MOV[EMPRESA],$C$4,LANÇ_MOV[CENTRO DE CUSTOS],$D$4)</f>
        <v>0</v>
      </c>
      <c r="K286" s="206">
        <f>SUMIFS(LANÇ_MOV[VALOR LÍQUIDO],LANÇ_MOV[RECEITA OU DESPESA],"Despesa",LANÇ_MOV[CONTAS],$C286,LANÇ_MOV[PLANO DE CONTAS],REL_DRE_FINANCEIRO!$B$241,LANÇ_MOV[ANO PAGAMENTO],$B$4,LANÇ_MOV[MÊS PAGAMENTO CORRESPONDENTE],K$6,LANÇ_MOV[EMPRESA],$C$4,LANÇ_MOV[CENTRO DE CUSTOS],$D$4)</f>
        <v>0</v>
      </c>
      <c r="L286" s="206">
        <f>SUMIFS(LANÇ_MOV[VALOR LÍQUIDO],LANÇ_MOV[RECEITA OU DESPESA],"Despesa",LANÇ_MOV[CONTAS],$C286,LANÇ_MOV[PLANO DE CONTAS],REL_DRE_FINANCEIRO!$B$241,LANÇ_MOV[ANO PAGAMENTO],$B$4,LANÇ_MOV[MÊS PAGAMENTO CORRESPONDENTE],L$6,LANÇ_MOV[EMPRESA],$C$4,LANÇ_MOV[CENTRO DE CUSTOS],$D$4)</f>
        <v>0</v>
      </c>
      <c r="M286" s="206">
        <f>SUMIFS(LANÇ_MOV[VALOR LÍQUIDO],LANÇ_MOV[RECEITA OU DESPESA],"Despesa",LANÇ_MOV[CONTAS],$C286,LANÇ_MOV[PLANO DE CONTAS],REL_DRE_FINANCEIRO!$B$241,LANÇ_MOV[ANO PAGAMENTO],$B$4,LANÇ_MOV[MÊS PAGAMENTO CORRESPONDENTE],M$6,LANÇ_MOV[EMPRESA],$C$4,LANÇ_MOV[CENTRO DE CUSTOS],$D$4)</f>
        <v>0</v>
      </c>
      <c r="N286" s="206">
        <f>SUMIFS(LANÇ_MOV[VALOR LÍQUIDO],LANÇ_MOV[RECEITA OU DESPESA],"Despesa",LANÇ_MOV[CONTAS],$C286,LANÇ_MOV[PLANO DE CONTAS],REL_DRE_FINANCEIRO!$B$241,LANÇ_MOV[ANO PAGAMENTO],$B$4,LANÇ_MOV[MÊS PAGAMENTO CORRESPONDENTE],N$6,LANÇ_MOV[EMPRESA],$C$4,LANÇ_MOV[CENTRO DE CUSTOS],$D$4)</f>
        <v>0</v>
      </c>
      <c r="O286" s="206">
        <f>SUMIFS(LANÇ_MOV[VALOR LÍQUIDO],LANÇ_MOV[RECEITA OU DESPESA],"Despesa",LANÇ_MOV[CONTAS],$C286,LANÇ_MOV[PLANO DE CONTAS],REL_DRE_FINANCEIRO!$B$241,LANÇ_MOV[ANO PAGAMENTO],$B$4,LANÇ_MOV[MÊS PAGAMENTO CORRESPONDENTE],O$6,LANÇ_MOV[EMPRESA],$C$4,LANÇ_MOV[CENTRO DE CUSTOS],$D$4)</f>
        <v>0</v>
      </c>
      <c r="P286" s="207">
        <f t="shared" si="43"/>
        <v>0</v>
      </c>
      <c r="Q286" s="329">
        <v>5.5999999999999997E-6</v>
      </c>
      <c r="R286" s="346">
        <f t="shared" si="44"/>
        <v>5.5999999999999997E-6</v>
      </c>
      <c r="S286" s="347" t="str">
        <f t="shared" si="45"/>
        <v>-</v>
      </c>
      <c r="T286" s="347">
        <f t="shared" si="46"/>
        <v>0</v>
      </c>
      <c r="U286" s="347">
        <f>HLOOKUP(Apoio!$P$12,$D$240:$P$341,X286,FALSE)+Q286</f>
        <v>5.5999999999999997E-6</v>
      </c>
      <c r="V286" s="447" t="str">
        <f t="shared" si="47"/>
        <v>-</v>
      </c>
      <c r="W286" s="448">
        <f>HLOOKUP(Apoio!$P$12,$D$240:$P$341,X286,FALSE)</f>
        <v>0</v>
      </c>
      <c r="X286" s="329">
        <v>47</v>
      </c>
    </row>
    <row r="287" spans="2:24" ht="30.05" customHeight="1" x14ac:dyDescent="0.35">
      <c r="B287" s="204" t="str">
        <f>'CAD_PL_REC-DESP'!N50</f>
        <v>2.2.46</v>
      </c>
      <c r="C287" s="205" t="str">
        <f>IF('CAD_PL_REC-DESP'!O50="","-",'CAD_PL_REC-DESP'!O50)</f>
        <v>-</v>
      </c>
      <c r="D287" s="206">
        <f>SUMIFS(LANÇ_MOV[VALOR LÍQUIDO],LANÇ_MOV[RECEITA OU DESPESA],"Despesa",LANÇ_MOV[CONTAS],$C287,LANÇ_MOV[PLANO DE CONTAS],REL_DRE_FINANCEIRO!$B$241,LANÇ_MOV[ANO PAGAMENTO],$B$4,LANÇ_MOV[MÊS PAGAMENTO CORRESPONDENTE],D$6,LANÇ_MOV[EMPRESA],$C$4,LANÇ_MOV[CENTRO DE CUSTOS],$D$4)</f>
        <v>0</v>
      </c>
      <c r="E287" s="206">
        <f>SUMIFS(LANÇ_MOV[VALOR LÍQUIDO],LANÇ_MOV[RECEITA OU DESPESA],"Despesa",LANÇ_MOV[CONTAS],$C287,LANÇ_MOV[PLANO DE CONTAS],REL_DRE_FINANCEIRO!$B$241,LANÇ_MOV[ANO PAGAMENTO],$B$4,LANÇ_MOV[MÊS PAGAMENTO CORRESPONDENTE],E$6,LANÇ_MOV[EMPRESA],$C$4,LANÇ_MOV[CENTRO DE CUSTOS],$D$4)</f>
        <v>0</v>
      </c>
      <c r="F287" s="206">
        <f>SUMIFS(LANÇ_MOV[VALOR LÍQUIDO],LANÇ_MOV[RECEITA OU DESPESA],"Despesa",LANÇ_MOV[CONTAS],$C287,LANÇ_MOV[PLANO DE CONTAS],REL_DRE_FINANCEIRO!$B$241,LANÇ_MOV[ANO PAGAMENTO],$B$4,LANÇ_MOV[MÊS PAGAMENTO CORRESPONDENTE],F$6,LANÇ_MOV[EMPRESA],$C$4,LANÇ_MOV[CENTRO DE CUSTOS],$D$4)</f>
        <v>0</v>
      </c>
      <c r="G287" s="206">
        <f>SUMIFS(LANÇ_MOV[VALOR LÍQUIDO],LANÇ_MOV[RECEITA OU DESPESA],"Despesa",LANÇ_MOV[CONTAS],$C287,LANÇ_MOV[PLANO DE CONTAS],REL_DRE_FINANCEIRO!$B$241,LANÇ_MOV[ANO PAGAMENTO],$B$4,LANÇ_MOV[MÊS PAGAMENTO CORRESPONDENTE],G$6,LANÇ_MOV[EMPRESA],$C$4,LANÇ_MOV[CENTRO DE CUSTOS],$D$4)</f>
        <v>0</v>
      </c>
      <c r="H287" s="206">
        <f>SUMIFS(LANÇ_MOV[VALOR LÍQUIDO],LANÇ_MOV[RECEITA OU DESPESA],"Despesa",LANÇ_MOV[CONTAS],$C287,LANÇ_MOV[PLANO DE CONTAS],REL_DRE_FINANCEIRO!$B$241,LANÇ_MOV[ANO PAGAMENTO],$B$4,LANÇ_MOV[MÊS PAGAMENTO CORRESPONDENTE],H$6,LANÇ_MOV[EMPRESA],$C$4,LANÇ_MOV[CENTRO DE CUSTOS],$D$4)</f>
        <v>0</v>
      </c>
      <c r="I287" s="206">
        <f>SUMIFS(LANÇ_MOV[VALOR LÍQUIDO],LANÇ_MOV[RECEITA OU DESPESA],"Despesa",LANÇ_MOV[CONTAS],$C287,LANÇ_MOV[PLANO DE CONTAS],REL_DRE_FINANCEIRO!$B$241,LANÇ_MOV[ANO PAGAMENTO],$B$4,LANÇ_MOV[MÊS PAGAMENTO CORRESPONDENTE],I$6,LANÇ_MOV[EMPRESA],$C$4,LANÇ_MOV[CENTRO DE CUSTOS],$D$4)</f>
        <v>0</v>
      </c>
      <c r="J287" s="206">
        <f>SUMIFS(LANÇ_MOV[VALOR LÍQUIDO],LANÇ_MOV[RECEITA OU DESPESA],"Despesa",LANÇ_MOV[CONTAS],$C287,LANÇ_MOV[PLANO DE CONTAS],REL_DRE_FINANCEIRO!$B$241,LANÇ_MOV[ANO PAGAMENTO],$B$4,LANÇ_MOV[MÊS PAGAMENTO CORRESPONDENTE],J$6,LANÇ_MOV[EMPRESA],$C$4,LANÇ_MOV[CENTRO DE CUSTOS],$D$4)</f>
        <v>0</v>
      </c>
      <c r="K287" s="206">
        <f>SUMIFS(LANÇ_MOV[VALOR LÍQUIDO],LANÇ_MOV[RECEITA OU DESPESA],"Despesa",LANÇ_MOV[CONTAS],$C287,LANÇ_MOV[PLANO DE CONTAS],REL_DRE_FINANCEIRO!$B$241,LANÇ_MOV[ANO PAGAMENTO],$B$4,LANÇ_MOV[MÊS PAGAMENTO CORRESPONDENTE],K$6,LANÇ_MOV[EMPRESA],$C$4,LANÇ_MOV[CENTRO DE CUSTOS],$D$4)</f>
        <v>0</v>
      </c>
      <c r="L287" s="206">
        <f>SUMIFS(LANÇ_MOV[VALOR LÍQUIDO],LANÇ_MOV[RECEITA OU DESPESA],"Despesa",LANÇ_MOV[CONTAS],$C287,LANÇ_MOV[PLANO DE CONTAS],REL_DRE_FINANCEIRO!$B$241,LANÇ_MOV[ANO PAGAMENTO],$B$4,LANÇ_MOV[MÊS PAGAMENTO CORRESPONDENTE],L$6,LANÇ_MOV[EMPRESA],$C$4,LANÇ_MOV[CENTRO DE CUSTOS],$D$4)</f>
        <v>0</v>
      </c>
      <c r="M287" s="206">
        <f>SUMIFS(LANÇ_MOV[VALOR LÍQUIDO],LANÇ_MOV[RECEITA OU DESPESA],"Despesa",LANÇ_MOV[CONTAS],$C287,LANÇ_MOV[PLANO DE CONTAS],REL_DRE_FINANCEIRO!$B$241,LANÇ_MOV[ANO PAGAMENTO],$B$4,LANÇ_MOV[MÊS PAGAMENTO CORRESPONDENTE],M$6,LANÇ_MOV[EMPRESA],$C$4,LANÇ_MOV[CENTRO DE CUSTOS],$D$4)</f>
        <v>0</v>
      </c>
      <c r="N287" s="206">
        <f>SUMIFS(LANÇ_MOV[VALOR LÍQUIDO],LANÇ_MOV[RECEITA OU DESPESA],"Despesa",LANÇ_MOV[CONTAS],$C287,LANÇ_MOV[PLANO DE CONTAS],REL_DRE_FINANCEIRO!$B$241,LANÇ_MOV[ANO PAGAMENTO],$B$4,LANÇ_MOV[MÊS PAGAMENTO CORRESPONDENTE],N$6,LANÇ_MOV[EMPRESA],$C$4,LANÇ_MOV[CENTRO DE CUSTOS],$D$4)</f>
        <v>0</v>
      </c>
      <c r="O287" s="206">
        <f>SUMIFS(LANÇ_MOV[VALOR LÍQUIDO],LANÇ_MOV[RECEITA OU DESPESA],"Despesa",LANÇ_MOV[CONTAS],$C287,LANÇ_MOV[PLANO DE CONTAS],REL_DRE_FINANCEIRO!$B$241,LANÇ_MOV[ANO PAGAMENTO],$B$4,LANÇ_MOV[MÊS PAGAMENTO CORRESPONDENTE],O$6,LANÇ_MOV[EMPRESA],$C$4,LANÇ_MOV[CENTRO DE CUSTOS],$D$4)</f>
        <v>0</v>
      </c>
      <c r="P287" s="207">
        <f t="shared" si="43"/>
        <v>0</v>
      </c>
      <c r="Q287" s="329">
        <v>5.4999999999999999E-6</v>
      </c>
      <c r="R287" s="346">
        <f t="shared" si="44"/>
        <v>5.4999999999999999E-6</v>
      </c>
      <c r="S287" s="347" t="str">
        <f t="shared" si="45"/>
        <v>-</v>
      </c>
      <c r="T287" s="347">
        <f t="shared" si="46"/>
        <v>0</v>
      </c>
      <c r="U287" s="347">
        <f>HLOOKUP(Apoio!$P$12,$D$240:$P$341,X287,FALSE)+Q287</f>
        <v>5.4999999999999999E-6</v>
      </c>
      <c r="V287" s="447" t="str">
        <f t="shared" si="47"/>
        <v>-</v>
      </c>
      <c r="W287" s="448">
        <f>HLOOKUP(Apoio!$P$12,$D$240:$P$341,X287,FALSE)</f>
        <v>0</v>
      </c>
      <c r="X287" s="329">
        <v>48</v>
      </c>
    </row>
    <row r="288" spans="2:24" ht="30.05" customHeight="1" x14ac:dyDescent="0.35">
      <c r="B288" s="204" t="str">
        <f>'CAD_PL_REC-DESP'!N51</f>
        <v>2.2.47</v>
      </c>
      <c r="C288" s="205" t="str">
        <f>IF('CAD_PL_REC-DESP'!O51="","-",'CAD_PL_REC-DESP'!O51)</f>
        <v>-</v>
      </c>
      <c r="D288" s="206">
        <f>SUMIFS(LANÇ_MOV[VALOR LÍQUIDO],LANÇ_MOV[RECEITA OU DESPESA],"Despesa",LANÇ_MOV[CONTAS],$C288,LANÇ_MOV[PLANO DE CONTAS],REL_DRE_FINANCEIRO!$B$241,LANÇ_MOV[ANO PAGAMENTO],$B$4,LANÇ_MOV[MÊS PAGAMENTO CORRESPONDENTE],D$6,LANÇ_MOV[EMPRESA],$C$4,LANÇ_MOV[CENTRO DE CUSTOS],$D$4)</f>
        <v>0</v>
      </c>
      <c r="E288" s="206">
        <f>SUMIFS(LANÇ_MOV[VALOR LÍQUIDO],LANÇ_MOV[RECEITA OU DESPESA],"Despesa",LANÇ_MOV[CONTAS],$C288,LANÇ_MOV[PLANO DE CONTAS],REL_DRE_FINANCEIRO!$B$241,LANÇ_MOV[ANO PAGAMENTO],$B$4,LANÇ_MOV[MÊS PAGAMENTO CORRESPONDENTE],E$6,LANÇ_MOV[EMPRESA],$C$4,LANÇ_MOV[CENTRO DE CUSTOS],$D$4)</f>
        <v>0</v>
      </c>
      <c r="F288" s="206">
        <f>SUMIFS(LANÇ_MOV[VALOR LÍQUIDO],LANÇ_MOV[RECEITA OU DESPESA],"Despesa",LANÇ_MOV[CONTAS],$C288,LANÇ_MOV[PLANO DE CONTAS],REL_DRE_FINANCEIRO!$B$241,LANÇ_MOV[ANO PAGAMENTO],$B$4,LANÇ_MOV[MÊS PAGAMENTO CORRESPONDENTE],F$6,LANÇ_MOV[EMPRESA],$C$4,LANÇ_MOV[CENTRO DE CUSTOS],$D$4)</f>
        <v>0</v>
      </c>
      <c r="G288" s="206">
        <f>SUMIFS(LANÇ_MOV[VALOR LÍQUIDO],LANÇ_MOV[RECEITA OU DESPESA],"Despesa",LANÇ_MOV[CONTAS],$C288,LANÇ_MOV[PLANO DE CONTAS],REL_DRE_FINANCEIRO!$B$241,LANÇ_MOV[ANO PAGAMENTO],$B$4,LANÇ_MOV[MÊS PAGAMENTO CORRESPONDENTE],G$6,LANÇ_MOV[EMPRESA],$C$4,LANÇ_MOV[CENTRO DE CUSTOS],$D$4)</f>
        <v>0</v>
      </c>
      <c r="H288" s="206">
        <f>SUMIFS(LANÇ_MOV[VALOR LÍQUIDO],LANÇ_MOV[RECEITA OU DESPESA],"Despesa",LANÇ_MOV[CONTAS],$C288,LANÇ_MOV[PLANO DE CONTAS],REL_DRE_FINANCEIRO!$B$241,LANÇ_MOV[ANO PAGAMENTO],$B$4,LANÇ_MOV[MÊS PAGAMENTO CORRESPONDENTE],H$6,LANÇ_MOV[EMPRESA],$C$4,LANÇ_MOV[CENTRO DE CUSTOS],$D$4)</f>
        <v>0</v>
      </c>
      <c r="I288" s="206">
        <f>SUMIFS(LANÇ_MOV[VALOR LÍQUIDO],LANÇ_MOV[RECEITA OU DESPESA],"Despesa",LANÇ_MOV[CONTAS],$C288,LANÇ_MOV[PLANO DE CONTAS],REL_DRE_FINANCEIRO!$B$241,LANÇ_MOV[ANO PAGAMENTO],$B$4,LANÇ_MOV[MÊS PAGAMENTO CORRESPONDENTE],I$6,LANÇ_MOV[EMPRESA],$C$4,LANÇ_MOV[CENTRO DE CUSTOS],$D$4)</f>
        <v>0</v>
      </c>
      <c r="J288" s="206">
        <f>SUMIFS(LANÇ_MOV[VALOR LÍQUIDO],LANÇ_MOV[RECEITA OU DESPESA],"Despesa",LANÇ_MOV[CONTAS],$C288,LANÇ_MOV[PLANO DE CONTAS],REL_DRE_FINANCEIRO!$B$241,LANÇ_MOV[ANO PAGAMENTO],$B$4,LANÇ_MOV[MÊS PAGAMENTO CORRESPONDENTE],J$6,LANÇ_MOV[EMPRESA],$C$4,LANÇ_MOV[CENTRO DE CUSTOS],$D$4)</f>
        <v>0</v>
      </c>
      <c r="K288" s="206">
        <f>SUMIFS(LANÇ_MOV[VALOR LÍQUIDO],LANÇ_MOV[RECEITA OU DESPESA],"Despesa",LANÇ_MOV[CONTAS],$C288,LANÇ_MOV[PLANO DE CONTAS],REL_DRE_FINANCEIRO!$B$241,LANÇ_MOV[ANO PAGAMENTO],$B$4,LANÇ_MOV[MÊS PAGAMENTO CORRESPONDENTE],K$6,LANÇ_MOV[EMPRESA],$C$4,LANÇ_MOV[CENTRO DE CUSTOS],$D$4)</f>
        <v>0</v>
      </c>
      <c r="L288" s="206">
        <f>SUMIFS(LANÇ_MOV[VALOR LÍQUIDO],LANÇ_MOV[RECEITA OU DESPESA],"Despesa",LANÇ_MOV[CONTAS],$C288,LANÇ_MOV[PLANO DE CONTAS],REL_DRE_FINANCEIRO!$B$241,LANÇ_MOV[ANO PAGAMENTO],$B$4,LANÇ_MOV[MÊS PAGAMENTO CORRESPONDENTE],L$6,LANÇ_MOV[EMPRESA],$C$4,LANÇ_MOV[CENTRO DE CUSTOS],$D$4)</f>
        <v>0</v>
      </c>
      <c r="M288" s="206">
        <f>SUMIFS(LANÇ_MOV[VALOR LÍQUIDO],LANÇ_MOV[RECEITA OU DESPESA],"Despesa",LANÇ_MOV[CONTAS],$C288,LANÇ_MOV[PLANO DE CONTAS],REL_DRE_FINANCEIRO!$B$241,LANÇ_MOV[ANO PAGAMENTO],$B$4,LANÇ_MOV[MÊS PAGAMENTO CORRESPONDENTE],M$6,LANÇ_MOV[EMPRESA],$C$4,LANÇ_MOV[CENTRO DE CUSTOS],$D$4)</f>
        <v>0</v>
      </c>
      <c r="N288" s="206">
        <f>SUMIFS(LANÇ_MOV[VALOR LÍQUIDO],LANÇ_MOV[RECEITA OU DESPESA],"Despesa",LANÇ_MOV[CONTAS],$C288,LANÇ_MOV[PLANO DE CONTAS],REL_DRE_FINANCEIRO!$B$241,LANÇ_MOV[ANO PAGAMENTO],$B$4,LANÇ_MOV[MÊS PAGAMENTO CORRESPONDENTE],N$6,LANÇ_MOV[EMPRESA],$C$4,LANÇ_MOV[CENTRO DE CUSTOS],$D$4)</f>
        <v>0</v>
      </c>
      <c r="O288" s="206">
        <f>SUMIFS(LANÇ_MOV[VALOR LÍQUIDO],LANÇ_MOV[RECEITA OU DESPESA],"Despesa",LANÇ_MOV[CONTAS],$C288,LANÇ_MOV[PLANO DE CONTAS],REL_DRE_FINANCEIRO!$B$241,LANÇ_MOV[ANO PAGAMENTO],$B$4,LANÇ_MOV[MÊS PAGAMENTO CORRESPONDENTE],O$6,LANÇ_MOV[EMPRESA],$C$4,LANÇ_MOV[CENTRO DE CUSTOS],$D$4)</f>
        <v>0</v>
      </c>
      <c r="P288" s="207">
        <f t="shared" si="43"/>
        <v>0</v>
      </c>
      <c r="Q288" s="329">
        <v>5.4E-6</v>
      </c>
      <c r="R288" s="346">
        <f t="shared" si="44"/>
        <v>5.4E-6</v>
      </c>
      <c r="S288" s="347" t="str">
        <f t="shared" si="45"/>
        <v>-</v>
      </c>
      <c r="T288" s="347">
        <f t="shared" si="46"/>
        <v>0</v>
      </c>
      <c r="U288" s="347">
        <f>HLOOKUP(Apoio!$P$12,$D$240:$P$341,X288,FALSE)+Q288</f>
        <v>5.4E-6</v>
      </c>
      <c r="V288" s="447" t="str">
        <f t="shared" si="47"/>
        <v>-</v>
      </c>
      <c r="W288" s="448">
        <f>HLOOKUP(Apoio!$P$12,$D$240:$P$341,X288,FALSE)</f>
        <v>0</v>
      </c>
      <c r="X288" s="329">
        <v>49</v>
      </c>
    </row>
    <row r="289" spans="2:24" ht="30.05" customHeight="1" x14ac:dyDescent="0.35">
      <c r="B289" s="204" t="str">
        <f>'CAD_PL_REC-DESP'!N52</f>
        <v>2.2.48</v>
      </c>
      <c r="C289" s="205" t="str">
        <f>IF('CAD_PL_REC-DESP'!O52="","-",'CAD_PL_REC-DESP'!O52)</f>
        <v>-</v>
      </c>
      <c r="D289" s="206">
        <f>SUMIFS(LANÇ_MOV[VALOR LÍQUIDO],LANÇ_MOV[RECEITA OU DESPESA],"Despesa",LANÇ_MOV[CONTAS],$C289,LANÇ_MOV[PLANO DE CONTAS],REL_DRE_FINANCEIRO!$B$241,LANÇ_MOV[ANO PAGAMENTO],$B$4,LANÇ_MOV[MÊS PAGAMENTO CORRESPONDENTE],D$6,LANÇ_MOV[EMPRESA],$C$4,LANÇ_MOV[CENTRO DE CUSTOS],$D$4)</f>
        <v>0</v>
      </c>
      <c r="E289" s="206">
        <f>SUMIFS(LANÇ_MOV[VALOR LÍQUIDO],LANÇ_MOV[RECEITA OU DESPESA],"Despesa",LANÇ_MOV[CONTAS],$C289,LANÇ_MOV[PLANO DE CONTAS],REL_DRE_FINANCEIRO!$B$241,LANÇ_MOV[ANO PAGAMENTO],$B$4,LANÇ_MOV[MÊS PAGAMENTO CORRESPONDENTE],E$6,LANÇ_MOV[EMPRESA],$C$4,LANÇ_MOV[CENTRO DE CUSTOS],$D$4)</f>
        <v>0</v>
      </c>
      <c r="F289" s="206">
        <f>SUMIFS(LANÇ_MOV[VALOR LÍQUIDO],LANÇ_MOV[RECEITA OU DESPESA],"Despesa",LANÇ_MOV[CONTAS],$C289,LANÇ_MOV[PLANO DE CONTAS],REL_DRE_FINANCEIRO!$B$241,LANÇ_MOV[ANO PAGAMENTO],$B$4,LANÇ_MOV[MÊS PAGAMENTO CORRESPONDENTE],F$6,LANÇ_MOV[EMPRESA],$C$4,LANÇ_MOV[CENTRO DE CUSTOS],$D$4)</f>
        <v>0</v>
      </c>
      <c r="G289" s="206">
        <f>SUMIFS(LANÇ_MOV[VALOR LÍQUIDO],LANÇ_MOV[RECEITA OU DESPESA],"Despesa",LANÇ_MOV[CONTAS],$C289,LANÇ_MOV[PLANO DE CONTAS],REL_DRE_FINANCEIRO!$B$241,LANÇ_MOV[ANO PAGAMENTO],$B$4,LANÇ_MOV[MÊS PAGAMENTO CORRESPONDENTE],G$6,LANÇ_MOV[EMPRESA],$C$4,LANÇ_MOV[CENTRO DE CUSTOS],$D$4)</f>
        <v>0</v>
      </c>
      <c r="H289" s="206">
        <f>SUMIFS(LANÇ_MOV[VALOR LÍQUIDO],LANÇ_MOV[RECEITA OU DESPESA],"Despesa",LANÇ_MOV[CONTAS],$C289,LANÇ_MOV[PLANO DE CONTAS],REL_DRE_FINANCEIRO!$B$241,LANÇ_MOV[ANO PAGAMENTO],$B$4,LANÇ_MOV[MÊS PAGAMENTO CORRESPONDENTE],H$6,LANÇ_MOV[EMPRESA],$C$4,LANÇ_MOV[CENTRO DE CUSTOS],$D$4)</f>
        <v>0</v>
      </c>
      <c r="I289" s="206">
        <f>SUMIFS(LANÇ_MOV[VALOR LÍQUIDO],LANÇ_MOV[RECEITA OU DESPESA],"Despesa",LANÇ_MOV[CONTAS],$C289,LANÇ_MOV[PLANO DE CONTAS],REL_DRE_FINANCEIRO!$B$241,LANÇ_MOV[ANO PAGAMENTO],$B$4,LANÇ_MOV[MÊS PAGAMENTO CORRESPONDENTE],I$6,LANÇ_MOV[EMPRESA],$C$4,LANÇ_MOV[CENTRO DE CUSTOS],$D$4)</f>
        <v>0</v>
      </c>
      <c r="J289" s="206">
        <f>SUMIFS(LANÇ_MOV[VALOR LÍQUIDO],LANÇ_MOV[RECEITA OU DESPESA],"Despesa",LANÇ_MOV[CONTAS],$C289,LANÇ_MOV[PLANO DE CONTAS],REL_DRE_FINANCEIRO!$B$241,LANÇ_MOV[ANO PAGAMENTO],$B$4,LANÇ_MOV[MÊS PAGAMENTO CORRESPONDENTE],J$6,LANÇ_MOV[EMPRESA],$C$4,LANÇ_MOV[CENTRO DE CUSTOS],$D$4)</f>
        <v>0</v>
      </c>
      <c r="K289" s="206">
        <f>SUMIFS(LANÇ_MOV[VALOR LÍQUIDO],LANÇ_MOV[RECEITA OU DESPESA],"Despesa",LANÇ_MOV[CONTAS],$C289,LANÇ_MOV[PLANO DE CONTAS],REL_DRE_FINANCEIRO!$B$241,LANÇ_MOV[ANO PAGAMENTO],$B$4,LANÇ_MOV[MÊS PAGAMENTO CORRESPONDENTE],K$6,LANÇ_MOV[EMPRESA],$C$4,LANÇ_MOV[CENTRO DE CUSTOS],$D$4)</f>
        <v>0</v>
      </c>
      <c r="L289" s="206">
        <f>SUMIFS(LANÇ_MOV[VALOR LÍQUIDO],LANÇ_MOV[RECEITA OU DESPESA],"Despesa",LANÇ_MOV[CONTAS],$C289,LANÇ_MOV[PLANO DE CONTAS],REL_DRE_FINANCEIRO!$B$241,LANÇ_MOV[ANO PAGAMENTO],$B$4,LANÇ_MOV[MÊS PAGAMENTO CORRESPONDENTE],L$6,LANÇ_MOV[EMPRESA],$C$4,LANÇ_MOV[CENTRO DE CUSTOS],$D$4)</f>
        <v>0</v>
      </c>
      <c r="M289" s="206">
        <f>SUMIFS(LANÇ_MOV[VALOR LÍQUIDO],LANÇ_MOV[RECEITA OU DESPESA],"Despesa",LANÇ_MOV[CONTAS],$C289,LANÇ_MOV[PLANO DE CONTAS],REL_DRE_FINANCEIRO!$B$241,LANÇ_MOV[ANO PAGAMENTO],$B$4,LANÇ_MOV[MÊS PAGAMENTO CORRESPONDENTE],M$6,LANÇ_MOV[EMPRESA],$C$4,LANÇ_MOV[CENTRO DE CUSTOS],$D$4)</f>
        <v>0</v>
      </c>
      <c r="N289" s="206">
        <f>SUMIFS(LANÇ_MOV[VALOR LÍQUIDO],LANÇ_MOV[RECEITA OU DESPESA],"Despesa",LANÇ_MOV[CONTAS],$C289,LANÇ_MOV[PLANO DE CONTAS],REL_DRE_FINANCEIRO!$B$241,LANÇ_MOV[ANO PAGAMENTO],$B$4,LANÇ_MOV[MÊS PAGAMENTO CORRESPONDENTE],N$6,LANÇ_MOV[EMPRESA],$C$4,LANÇ_MOV[CENTRO DE CUSTOS],$D$4)</f>
        <v>0</v>
      </c>
      <c r="O289" s="206">
        <f>SUMIFS(LANÇ_MOV[VALOR LÍQUIDO],LANÇ_MOV[RECEITA OU DESPESA],"Despesa",LANÇ_MOV[CONTAS],$C289,LANÇ_MOV[PLANO DE CONTAS],REL_DRE_FINANCEIRO!$B$241,LANÇ_MOV[ANO PAGAMENTO],$B$4,LANÇ_MOV[MÊS PAGAMENTO CORRESPONDENTE],O$6,LANÇ_MOV[EMPRESA],$C$4,LANÇ_MOV[CENTRO DE CUSTOS],$D$4)</f>
        <v>0</v>
      </c>
      <c r="P289" s="207">
        <f t="shared" si="43"/>
        <v>0</v>
      </c>
      <c r="Q289" s="329">
        <v>5.3000000000000001E-6</v>
      </c>
      <c r="R289" s="346">
        <f t="shared" si="44"/>
        <v>5.3000000000000001E-6</v>
      </c>
      <c r="S289" s="347" t="str">
        <f t="shared" si="45"/>
        <v>-</v>
      </c>
      <c r="T289" s="347">
        <f t="shared" si="46"/>
        <v>0</v>
      </c>
      <c r="U289" s="347">
        <f>HLOOKUP(Apoio!$P$12,$D$240:$P$341,X289,FALSE)+Q289</f>
        <v>5.3000000000000001E-6</v>
      </c>
      <c r="V289" s="447" t="str">
        <f t="shared" si="47"/>
        <v>-</v>
      </c>
      <c r="W289" s="448">
        <f>HLOOKUP(Apoio!$P$12,$D$240:$P$341,X289,FALSE)</f>
        <v>0</v>
      </c>
      <c r="X289" s="329">
        <v>50</v>
      </c>
    </row>
    <row r="290" spans="2:24" ht="30.05" customHeight="1" x14ac:dyDescent="0.35">
      <c r="B290" s="204" t="str">
        <f>'CAD_PL_REC-DESP'!N53</f>
        <v>2.2.49</v>
      </c>
      <c r="C290" s="205" t="str">
        <f>IF('CAD_PL_REC-DESP'!O53="","-",'CAD_PL_REC-DESP'!O53)</f>
        <v>-</v>
      </c>
      <c r="D290" s="206">
        <f>SUMIFS(LANÇ_MOV[VALOR LÍQUIDO],LANÇ_MOV[RECEITA OU DESPESA],"Despesa",LANÇ_MOV[CONTAS],$C290,LANÇ_MOV[PLANO DE CONTAS],REL_DRE_FINANCEIRO!$B$241,LANÇ_MOV[ANO PAGAMENTO],$B$4,LANÇ_MOV[MÊS PAGAMENTO CORRESPONDENTE],D$6,LANÇ_MOV[EMPRESA],$C$4,LANÇ_MOV[CENTRO DE CUSTOS],$D$4)</f>
        <v>0</v>
      </c>
      <c r="E290" s="206">
        <f>SUMIFS(LANÇ_MOV[VALOR LÍQUIDO],LANÇ_MOV[RECEITA OU DESPESA],"Despesa",LANÇ_MOV[CONTAS],$C290,LANÇ_MOV[PLANO DE CONTAS],REL_DRE_FINANCEIRO!$B$241,LANÇ_MOV[ANO PAGAMENTO],$B$4,LANÇ_MOV[MÊS PAGAMENTO CORRESPONDENTE],E$6,LANÇ_MOV[EMPRESA],$C$4,LANÇ_MOV[CENTRO DE CUSTOS],$D$4)</f>
        <v>0</v>
      </c>
      <c r="F290" s="206">
        <f>SUMIFS(LANÇ_MOV[VALOR LÍQUIDO],LANÇ_MOV[RECEITA OU DESPESA],"Despesa",LANÇ_MOV[CONTAS],$C290,LANÇ_MOV[PLANO DE CONTAS],REL_DRE_FINANCEIRO!$B$241,LANÇ_MOV[ANO PAGAMENTO],$B$4,LANÇ_MOV[MÊS PAGAMENTO CORRESPONDENTE],F$6,LANÇ_MOV[EMPRESA],$C$4,LANÇ_MOV[CENTRO DE CUSTOS],$D$4)</f>
        <v>0</v>
      </c>
      <c r="G290" s="206">
        <f>SUMIFS(LANÇ_MOV[VALOR LÍQUIDO],LANÇ_MOV[RECEITA OU DESPESA],"Despesa",LANÇ_MOV[CONTAS],$C290,LANÇ_MOV[PLANO DE CONTAS],REL_DRE_FINANCEIRO!$B$241,LANÇ_MOV[ANO PAGAMENTO],$B$4,LANÇ_MOV[MÊS PAGAMENTO CORRESPONDENTE],G$6,LANÇ_MOV[EMPRESA],$C$4,LANÇ_MOV[CENTRO DE CUSTOS],$D$4)</f>
        <v>0</v>
      </c>
      <c r="H290" s="206">
        <f>SUMIFS(LANÇ_MOV[VALOR LÍQUIDO],LANÇ_MOV[RECEITA OU DESPESA],"Despesa",LANÇ_MOV[CONTAS],$C290,LANÇ_MOV[PLANO DE CONTAS],REL_DRE_FINANCEIRO!$B$241,LANÇ_MOV[ANO PAGAMENTO],$B$4,LANÇ_MOV[MÊS PAGAMENTO CORRESPONDENTE],H$6,LANÇ_MOV[EMPRESA],$C$4,LANÇ_MOV[CENTRO DE CUSTOS],$D$4)</f>
        <v>0</v>
      </c>
      <c r="I290" s="206">
        <f>SUMIFS(LANÇ_MOV[VALOR LÍQUIDO],LANÇ_MOV[RECEITA OU DESPESA],"Despesa",LANÇ_MOV[CONTAS],$C290,LANÇ_MOV[PLANO DE CONTAS],REL_DRE_FINANCEIRO!$B$241,LANÇ_MOV[ANO PAGAMENTO],$B$4,LANÇ_MOV[MÊS PAGAMENTO CORRESPONDENTE],I$6,LANÇ_MOV[EMPRESA],$C$4,LANÇ_MOV[CENTRO DE CUSTOS],$D$4)</f>
        <v>0</v>
      </c>
      <c r="J290" s="206">
        <f>SUMIFS(LANÇ_MOV[VALOR LÍQUIDO],LANÇ_MOV[RECEITA OU DESPESA],"Despesa",LANÇ_MOV[CONTAS],$C290,LANÇ_MOV[PLANO DE CONTAS],REL_DRE_FINANCEIRO!$B$241,LANÇ_MOV[ANO PAGAMENTO],$B$4,LANÇ_MOV[MÊS PAGAMENTO CORRESPONDENTE],J$6,LANÇ_MOV[EMPRESA],$C$4,LANÇ_MOV[CENTRO DE CUSTOS],$D$4)</f>
        <v>0</v>
      </c>
      <c r="K290" s="206">
        <f>SUMIFS(LANÇ_MOV[VALOR LÍQUIDO],LANÇ_MOV[RECEITA OU DESPESA],"Despesa",LANÇ_MOV[CONTAS],$C290,LANÇ_MOV[PLANO DE CONTAS],REL_DRE_FINANCEIRO!$B$241,LANÇ_MOV[ANO PAGAMENTO],$B$4,LANÇ_MOV[MÊS PAGAMENTO CORRESPONDENTE],K$6,LANÇ_MOV[EMPRESA],$C$4,LANÇ_MOV[CENTRO DE CUSTOS],$D$4)</f>
        <v>0</v>
      </c>
      <c r="L290" s="206">
        <f>SUMIFS(LANÇ_MOV[VALOR LÍQUIDO],LANÇ_MOV[RECEITA OU DESPESA],"Despesa",LANÇ_MOV[CONTAS],$C290,LANÇ_MOV[PLANO DE CONTAS],REL_DRE_FINANCEIRO!$B$241,LANÇ_MOV[ANO PAGAMENTO],$B$4,LANÇ_MOV[MÊS PAGAMENTO CORRESPONDENTE],L$6,LANÇ_MOV[EMPRESA],$C$4,LANÇ_MOV[CENTRO DE CUSTOS],$D$4)</f>
        <v>0</v>
      </c>
      <c r="M290" s="206">
        <f>SUMIFS(LANÇ_MOV[VALOR LÍQUIDO],LANÇ_MOV[RECEITA OU DESPESA],"Despesa",LANÇ_MOV[CONTAS],$C290,LANÇ_MOV[PLANO DE CONTAS],REL_DRE_FINANCEIRO!$B$241,LANÇ_MOV[ANO PAGAMENTO],$B$4,LANÇ_MOV[MÊS PAGAMENTO CORRESPONDENTE],M$6,LANÇ_MOV[EMPRESA],$C$4,LANÇ_MOV[CENTRO DE CUSTOS],$D$4)</f>
        <v>0</v>
      </c>
      <c r="N290" s="206">
        <f>SUMIFS(LANÇ_MOV[VALOR LÍQUIDO],LANÇ_MOV[RECEITA OU DESPESA],"Despesa",LANÇ_MOV[CONTAS],$C290,LANÇ_MOV[PLANO DE CONTAS],REL_DRE_FINANCEIRO!$B$241,LANÇ_MOV[ANO PAGAMENTO],$B$4,LANÇ_MOV[MÊS PAGAMENTO CORRESPONDENTE],N$6,LANÇ_MOV[EMPRESA],$C$4,LANÇ_MOV[CENTRO DE CUSTOS],$D$4)</f>
        <v>0</v>
      </c>
      <c r="O290" s="206">
        <f>SUMIFS(LANÇ_MOV[VALOR LÍQUIDO],LANÇ_MOV[RECEITA OU DESPESA],"Despesa",LANÇ_MOV[CONTAS],$C290,LANÇ_MOV[PLANO DE CONTAS],REL_DRE_FINANCEIRO!$B$241,LANÇ_MOV[ANO PAGAMENTO],$B$4,LANÇ_MOV[MÊS PAGAMENTO CORRESPONDENTE],O$6,LANÇ_MOV[EMPRESA],$C$4,LANÇ_MOV[CENTRO DE CUSTOS],$D$4)</f>
        <v>0</v>
      </c>
      <c r="P290" s="207">
        <f t="shared" si="43"/>
        <v>0</v>
      </c>
      <c r="Q290" s="329">
        <v>5.2000000000000002E-6</v>
      </c>
      <c r="R290" s="346">
        <f t="shared" si="44"/>
        <v>5.2000000000000002E-6</v>
      </c>
      <c r="S290" s="347" t="str">
        <f t="shared" si="45"/>
        <v>-</v>
      </c>
      <c r="T290" s="347">
        <f t="shared" si="46"/>
        <v>0</v>
      </c>
      <c r="U290" s="347">
        <f>HLOOKUP(Apoio!$P$12,$D$240:$P$341,X290,FALSE)+Q290</f>
        <v>5.2000000000000002E-6</v>
      </c>
      <c r="V290" s="447" t="str">
        <f t="shared" si="47"/>
        <v>-</v>
      </c>
      <c r="W290" s="448">
        <f>HLOOKUP(Apoio!$P$12,$D$240:$P$341,X290,FALSE)</f>
        <v>0</v>
      </c>
      <c r="X290" s="329">
        <v>51</v>
      </c>
    </row>
    <row r="291" spans="2:24" ht="30.05" customHeight="1" x14ac:dyDescent="0.35">
      <c r="B291" s="204" t="str">
        <f>'CAD_PL_REC-DESP'!N54</f>
        <v>2.2.50</v>
      </c>
      <c r="C291" s="205" t="str">
        <f>IF('CAD_PL_REC-DESP'!O54="","-",'CAD_PL_REC-DESP'!O54)</f>
        <v>-</v>
      </c>
      <c r="D291" s="206">
        <f>SUMIFS(LANÇ_MOV[VALOR LÍQUIDO],LANÇ_MOV[RECEITA OU DESPESA],"Despesa",LANÇ_MOV[CONTAS],$C291,LANÇ_MOV[PLANO DE CONTAS],REL_DRE_FINANCEIRO!$B$241,LANÇ_MOV[ANO PAGAMENTO],$B$4,LANÇ_MOV[MÊS PAGAMENTO CORRESPONDENTE],D$6,LANÇ_MOV[EMPRESA],$C$4,LANÇ_MOV[CENTRO DE CUSTOS],$D$4)</f>
        <v>0</v>
      </c>
      <c r="E291" s="206">
        <f>SUMIFS(LANÇ_MOV[VALOR LÍQUIDO],LANÇ_MOV[RECEITA OU DESPESA],"Despesa",LANÇ_MOV[CONTAS],$C291,LANÇ_MOV[PLANO DE CONTAS],REL_DRE_FINANCEIRO!$B$241,LANÇ_MOV[ANO PAGAMENTO],$B$4,LANÇ_MOV[MÊS PAGAMENTO CORRESPONDENTE],E$6,LANÇ_MOV[EMPRESA],$C$4,LANÇ_MOV[CENTRO DE CUSTOS],$D$4)</f>
        <v>0</v>
      </c>
      <c r="F291" s="206">
        <f>SUMIFS(LANÇ_MOV[VALOR LÍQUIDO],LANÇ_MOV[RECEITA OU DESPESA],"Despesa",LANÇ_MOV[CONTAS],$C291,LANÇ_MOV[PLANO DE CONTAS],REL_DRE_FINANCEIRO!$B$241,LANÇ_MOV[ANO PAGAMENTO],$B$4,LANÇ_MOV[MÊS PAGAMENTO CORRESPONDENTE],F$6,LANÇ_MOV[EMPRESA],$C$4,LANÇ_MOV[CENTRO DE CUSTOS],$D$4)</f>
        <v>0</v>
      </c>
      <c r="G291" s="206">
        <f>SUMIFS(LANÇ_MOV[VALOR LÍQUIDO],LANÇ_MOV[RECEITA OU DESPESA],"Despesa",LANÇ_MOV[CONTAS],$C291,LANÇ_MOV[PLANO DE CONTAS],REL_DRE_FINANCEIRO!$B$241,LANÇ_MOV[ANO PAGAMENTO],$B$4,LANÇ_MOV[MÊS PAGAMENTO CORRESPONDENTE],G$6,LANÇ_MOV[EMPRESA],$C$4,LANÇ_MOV[CENTRO DE CUSTOS],$D$4)</f>
        <v>0</v>
      </c>
      <c r="H291" s="206">
        <f>SUMIFS(LANÇ_MOV[VALOR LÍQUIDO],LANÇ_MOV[RECEITA OU DESPESA],"Despesa",LANÇ_MOV[CONTAS],$C291,LANÇ_MOV[PLANO DE CONTAS],REL_DRE_FINANCEIRO!$B$241,LANÇ_MOV[ANO PAGAMENTO],$B$4,LANÇ_MOV[MÊS PAGAMENTO CORRESPONDENTE],H$6,LANÇ_MOV[EMPRESA],$C$4,LANÇ_MOV[CENTRO DE CUSTOS],$D$4)</f>
        <v>0</v>
      </c>
      <c r="I291" s="206">
        <f>SUMIFS(LANÇ_MOV[VALOR LÍQUIDO],LANÇ_MOV[RECEITA OU DESPESA],"Despesa",LANÇ_MOV[CONTAS],$C291,LANÇ_MOV[PLANO DE CONTAS],REL_DRE_FINANCEIRO!$B$241,LANÇ_MOV[ANO PAGAMENTO],$B$4,LANÇ_MOV[MÊS PAGAMENTO CORRESPONDENTE],I$6,LANÇ_MOV[EMPRESA],$C$4,LANÇ_MOV[CENTRO DE CUSTOS],$D$4)</f>
        <v>0</v>
      </c>
      <c r="J291" s="206">
        <f>SUMIFS(LANÇ_MOV[VALOR LÍQUIDO],LANÇ_MOV[RECEITA OU DESPESA],"Despesa",LANÇ_MOV[CONTAS],$C291,LANÇ_MOV[PLANO DE CONTAS],REL_DRE_FINANCEIRO!$B$241,LANÇ_MOV[ANO PAGAMENTO],$B$4,LANÇ_MOV[MÊS PAGAMENTO CORRESPONDENTE],J$6,LANÇ_MOV[EMPRESA],$C$4,LANÇ_MOV[CENTRO DE CUSTOS],$D$4)</f>
        <v>0</v>
      </c>
      <c r="K291" s="206">
        <f>SUMIFS(LANÇ_MOV[VALOR LÍQUIDO],LANÇ_MOV[RECEITA OU DESPESA],"Despesa",LANÇ_MOV[CONTAS],$C291,LANÇ_MOV[PLANO DE CONTAS],REL_DRE_FINANCEIRO!$B$241,LANÇ_MOV[ANO PAGAMENTO],$B$4,LANÇ_MOV[MÊS PAGAMENTO CORRESPONDENTE],K$6,LANÇ_MOV[EMPRESA],$C$4,LANÇ_MOV[CENTRO DE CUSTOS],$D$4)</f>
        <v>0</v>
      </c>
      <c r="L291" s="206">
        <f>SUMIFS(LANÇ_MOV[VALOR LÍQUIDO],LANÇ_MOV[RECEITA OU DESPESA],"Despesa",LANÇ_MOV[CONTAS],$C291,LANÇ_MOV[PLANO DE CONTAS],REL_DRE_FINANCEIRO!$B$241,LANÇ_MOV[ANO PAGAMENTO],$B$4,LANÇ_MOV[MÊS PAGAMENTO CORRESPONDENTE],L$6,LANÇ_MOV[EMPRESA],$C$4,LANÇ_MOV[CENTRO DE CUSTOS],$D$4)</f>
        <v>0</v>
      </c>
      <c r="M291" s="206">
        <f>SUMIFS(LANÇ_MOV[VALOR LÍQUIDO],LANÇ_MOV[RECEITA OU DESPESA],"Despesa",LANÇ_MOV[CONTAS],$C291,LANÇ_MOV[PLANO DE CONTAS],REL_DRE_FINANCEIRO!$B$241,LANÇ_MOV[ANO PAGAMENTO],$B$4,LANÇ_MOV[MÊS PAGAMENTO CORRESPONDENTE],M$6,LANÇ_MOV[EMPRESA],$C$4,LANÇ_MOV[CENTRO DE CUSTOS],$D$4)</f>
        <v>0</v>
      </c>
      <c r="N291" s="206">
        <f>SUMIFS(LANÇ_MOV[VALOR LÍQUIDO],LANÇ_MOV[RECEITA OU DESPESA],"Despesa",LANÇ_MOV[CONTAS],$C291,LANÇ_MOV[PLANO DE CONTAS],REL_DRE_FINANCEIRO!$B$241,LANÇ_MOV[ANO PAGAMENTO],$B$4,LANÇ_MOV[MÊS PAGAMENTO CORRESPONDENTE],N$6,LANÇ_MOV[EMPRESA],$C$4,LANÇ_MOV[CENTRO DE CUSTOS],$D$4)</f>
        <v>0</v>
      </c>
      <c r="O291" s="206">
        <f>SUMIFS(LANÇ_MOV[VALOR LÍQUIDO],LANÇ_MOV[RECEITA OU DESPESA],"Despesa",LANÇ_MOV[CONTAS],$C291,LANÇ_MOV[PLANO DE CONTAS],REL_DRE_FINANCEIRO!$B$241,LANÇ_MOV[ANO PAGAMENTO],$B$4,LANÇ_MOV[MÊS PAGAMENTO CORRESPONDENTE],O$6,LANÇ_MOV[EMPRESA],$C$4,LANÇ_MOV[CENTRO DE CUSTOS],$D$4)</f>
        <v>0</v>
      </c>
      <c r="P291" s="207">
        <f t="shared" si="43"/>
        <v>0</v>
      </c>
      <c r="Q291" s="329">
        <v>5.1000000000000003E-6</v>
      </c>
      <c r="R291" s="346">
        <f t="shared" si="44"/>
        <v>5.1000000000000003E-6</v>
      </c>
      <c r="S291" s="347" t="str">
        <f t="shared" si="45"/>
        <v>-</v>
      </c>
      <c r="T291" s="347">
        <f t="shared" si="46"/>
        <v>0</v>
      </c>
      <c r="U291" s="347">
        <f>HLOOKUP(Apoio!$P$12,$D$240:$P$341,X291,FALSE)+Q291</f>
        <v>5.1000000000000003E-6</v>
      </c>
      <c r="V291" s="447" t="str">
        <f t="shared" si="47"/>
        <v>-</v>
      </c>
      <c r="W291" s="448">
        <f>HLOOKUP(Apoio!$P$12,$D$240:$P$341,X291,FALSE)</f>
        <v>0</v>
      </c>
      <c r="X291" s="329">
        <v>52</v>
      </c>
    </row>
    <row r="292" spans="2:24" ht="30.05" customHeight="1" x14ac:dyDescent="0.35">
      <c r="B292" s="204" t="str">
        <f>'CAD_PL_REC-DESP'!N55</f>
        <v>2.2.51</v>
      </c>
      <c r="C292" s="205" t="str">
        <f>IF('CAD_PL_REC-DESP'!O55="","-",'CAD_PL_REC-DESP'!O55)</f>
        <v>-</v>
      </c>
      <c r="D292" s="206">
        <f>SUMIFS(LANÇ_MOV[VALOR LÍQUIDO],LANÇ_MOV[RECEITA OU DESPESA],"Despesa",LANÇ_MOV[CONTAS],$C292,LANÇ_MOV[PLANO DE CONTAS],REL_DRE_FINANCEIRO!$B$241,LANÇ_MOV[ANO PAGAMENTO],$B$4,LANÇ_MOV[MÊS PAGAMENTO CORRESPONDENTE],D$6,LANÇ_MOV[EMPRESA],$C$4,LANÇ_MOV[CENTRO DE CUSTOS],$D$4)</f>
        <v>0</v>
      </c>
      <c r="E292" s="206">
        <f>SUMIFS(LANÇ_MOV[VALOR LÍQUIDO],LANÇ_MOV[RECEITA OU DESPESA],"Despesa",LANÇ_MOV[CONTAS],$C292,LANÇ_MOV[PLANO DE CONTAS],REL_DRE_FINANCEIRO!$B$241,LANÇ_MOV[ANO PAGAMENTO],$B$4,LANÇ_MOV[MÊS PAGAMENTO CORRESPONDENTE],E$6,LANÇ_MOV[EMPRESA],$C$4,LANÇ_MOV[CENTRO DE CUSTOS],$D$4)</f>
        <v>0</v>
      </c>
      <c r="F292" s="206">
        <f>SUMIFS(LANÇ_MOV[VALOR LÍQUIDO],LANÇ_MOV[RECEITA OU DESPESA],"Despesa",LANÇ_MOV[CONTAS],$C292,LANÇ_MOV[PLANO DE CONTAS],REL_DRE_FINANCEIRO!$B$241,LANÇ_MOV[ANO PAGAMENTO],$B$4,LANÇ_MOV[MÊS PAGAMENTO CORRESPONDENTE],F$6,LANÇ_MOV[EMPRESA],$C$4,LANÇ_MOV[CENTRO DE CUSTOS],$D$4)</f>
        <v>0</v>
      </c>
      <c r="G292" s="206">
        <f>SUMIFS(LANÇ_MOV[VALOR LÍQUIDO],LANÇ_MOV[RECEITA OU DESPESA],"Despesa",LANÇ_MOV[CONTAS],$C292,LANÇ_MOV[PLANO DE CONTAS],REL_DRE_FINANCEIRO!$B$241,LANÇ_MOV[ANO PAGAMENTO],$B$4,LANÇ_MOV[MÊS PAGAMENTO CORRESPONDENTE],G$6,LANÇ_MOV[EMPRESA],$C$4,LANÇ_MOV[CENTRO DE CUSTOS],$D$4)</f>
        <v>0</v>
      </c>
      <c r="H292" s="206">
        <f>SUMIFS(LANÇ_MOV[VALOR LÍQUIDO],LANÇ_MOV[RECEITA OU DESPESA],"Despesa",LANÇ_MOV[CONTAS],$C292,LANÇ_MOV[PLANO DE CONTAS],REL_DRE_FINANCEIRO!$B$241,LANÇ_MOV[ANO PAGAMENTO],$B$4,LANÇ_MOV[MÊS PAGAMENTO CORRESPONDENTE],H$6,LANÇ_MOV[EMPRESA],$C$4,LANÇ_MOV[CENTRO DE CUSTOS],$D$4)</f>
        <v>0</v>
      </c>
      <c r="I292" s="206">
        <f>SUMIFS(LANÇ_MOV[VALOR LÍQUIDO],LANÇ_MOV[RECEITA OU DESPESA],"Despesa",LANÇ_MOV[CONTAS],$C292,LANÇ_MOV[PLANO DE CONTAS],REL_DRE_FINANCEIRO!$B$241,LANÇ_MOV[ANO PAGAMENTO],$B$4,LANÇ_MOV[MÊS PAGAMENTO CORRESPONDENTE],I$6,LANÇ_MOV[EMPRESA],$C$4,LANÇ_MOV[CENTRO DE CUSTOS],$D$4)</f>
        <v>0</v>
      </c>
      <c r="J292" s="206">
        <f>SUMIFS(LANÇ_MOV[VALOR LÍQUIDO],LANÇ_MOV[RECEITA OU DESPESA],"Despesa",LANÇ_MOV[CONTAS],$C292,LANÇ_MOV[PLANO DE CONTAS],REL_DRE_FINANCEIRO!$B$241,LANÇ_MOV[ANO PAGAMENTO],$B$4,LANÇ_MOV[MÊS PAGAMENTO CORRESPONDENTE],J$6,LANÇ_MOV[EMPRESA],$C$4,LANÇ_MOV[CENTRO DE CUSTOS],$D$4)</f>
        <v>0</v>
      </c>
      <c r="K292" s="206">
        <f>SUMIFS(LANÇ_MOV[VALOR LÍQUIDO],LANÇ_MOV[RECEITA OU DESPESA],"Despesa",LANÇ_MOV[CONTAS],$C292,LANÇ_MOV[PLANO DE CONTAS],REL_DRE_FINANCEIRO!$B$241,LANÇ_MOV[ANO PAGAMENTO],$B$4,LANÇ_MOV[MÊS PAGAMENTO CORRESPONDENTE],K$6,LANÇ_MOV[EMPRESA],$C$4,LANÇ_MOV[CENTRO DE CUSTOS],$D$4)</f>
        <v>0</v>
      </c>
      <c r="L292" s="206">
        <f>SUMIFS(LANÇ_MOV[VALOR LÍQUIDO],LANÇ_MOV[RECEITA OU DESPESA],"Despesa",LANÇ_MOV[CONTAS],$C292,LANÇ_MOV[PLANO DE CONTAS],REL_DRE_FINANCEIRO!$B$241,LANÇ_MOV[ANO PAGAMENTO],$B$4,LANÇ_MOV[MÊS PAGAMENTO CORRESPONDENTE],L$6,LANÇ_MOV[EMPRESA],$C$4,LANÇ_MOV[CENTRO DE CUSTOS],$D$4)</f>
        <v>0</v>
      </c>
      <c r="M292" s="206">
        <f>SUMIFS(LANÇ_MOV[VALOR LÍQUIDO],LANÇ_MOV[RECEITA OU DESPESA],"Despesa",LANÇ_MOV[CONTAS],$C292,LANÇ_MOV[PLANO DE CONTAS],REL_DRE_FINANCEIRO!$B$241,LANÇ_MOV[ANO PAGAMENTO],$B$4,LANÇ_MOV[MÊS PAGAMENTO CORRESPONDENTE],M$6,LANÇ_MOV[EMPRESA],$C$4,LANÇ_MOV[CENTRO DE CUSTOS],$D$4)</f>
        <v>0</v>
      </c>
      <c r="N292" s="206">
        <f>SUMIFS(LANÇ_MOV[VALOR LÍQUIDO],LANÇ_MOV[RECEITA OU DESPESA],"Despesa",LANÇ_MOV[CONTAS],$C292,LANÇ_MOV[PLANO DE CONTAS],REL_DRE_FINANCEIRO!$B$241,LANÇ_MOV[ANO PAGAMENTO],$B$4,LANÇ_MOV[MÊS PAGAMENTO CORRESPONDENTE],N$6,LANÇ_MOV[EMPRESA],$C$4,LANÇ_MOV[CENTRO DE CUSTOS],$D$4)</f>
        <v>0</v>
      </c>
      <c r="O292" s="206">
        <f>SUMIFS(LANÇ_MOV[VALOR LÍQUIDO],LANÇ_MOV[RECEITA OU DESPESA],"Despesa",LANÇ_MOV[CONTAS],$C292,LANÇ_MOV[PLANO DE CONTAS],REL_DRE_FINANCEIRO!$B$241,LANÇ_MOV[ANO PAGAMENTO],$B$4,LANÇ_MOV[MÊS PAGAMENTO CORRESPONDENTE],O$6,LANÇ_MOV[EMPRESA],$C$4,LANÇ_MOV[CENTRO DE CUSTOS],$D$4)</f>
        <v>0</v>
      </c>
      <c r="P292" s="207">
        <f t="shared" si="43"/>
        <v>0</v>
      </c>
      <c r="Q292" s="329">
        <v>5.0000000000000004E-6</v>
      </c>
      <c r="R292" s="346">
        <f t="shared" si="44"/>
        <v>5.0000000000000004E-6</v>
      </c>
      <c r="S292" s="347" t="str">
        <f t="shared" si="45"/>
        <v>-</v>
      </c>
      <c r="T292" s="347">
        <f t="shared" si="46"/>
        <v>0</v>
      </c>
      <c r="U292" s="347">
        <f>HLOOKUP(Apoio!$P$12,$D$240:$P$341,X292,FALSE)+Q292</f>
        <v>5.0000000000000004E-6</v>
      </c>
      <c r="V292" s="447" t="str">
        <f t="shared" si="47"/>
        <v>-</v>
      </c>
      <c r="W292" s="448">
        <f>HLOOKUP(Apoio!$P$12,$D$240:$P$341,X292,FALSE)</f>
        <v>0</v>
      </c>
      <c r="X292" s="329">
        <v>53</v>
      </c>
    </row>
    <row r="293" spans="2:24" ht="30.05" customHeight="1" x14ac:dyDescent="0.35">
      <c r="B293" s="204" t="str">
        <f>'CAD_PL_REC-DESP'!N56</f>
        <v>2.2.52</v>
      </c>
      <c r="C293" s="205" t="str">
        <f>IF('CAD_PL_REC-DESP'!O56="","-",'CAD_PL_REC-DESP'!O56)</f>
        <v>-</v>
      </c>
      <c r="D293" s="206">
        <f>SUMIFS(LANÇ_MOV[VALOR LÍQUIDO],LANÇ_MOV[RECEITA OU DESPESA],"Despesa",LANÇ_MOV[CONTAS],$C293,LANÇ_MOV[PLANO DE CONTAS],REL_DRE_FINANCEIRO!$B$241,LANÇ_MOV[ANO PAGAMENTO],$B$4,LANÇ_MOV[MÊS PAGAMENTO CORRESPONDENTE],D$6,LANÇ_MOV[EMPRESA],$C$4,LANÇ_MOV[CENTRO DE CUSTOS],$D$4)</f>
        <v>0</v>
      </c>
      <c r="E293" s="206">
        <f>SUMIFS(LANÇ_MOV[VALOR LÍQUIDO],LANÇ_MOV[RECEITA OU DESPESA],"Despesa",LANÇ_MOV[CONTAS],$C293,LANÇ_MOV[PLANO DE CONTAS],REL_DRE_FINANCEIRO!$B$241,LANÇ_MOV[ANO PAGAMENTO],$B$4,LANÇ_MOV[MÊS PAGAMENTO CORRESPONDENTE],E$6,LANÇ_MOV[EMPRESA],$C$4,LANÇ_MOV[CENTRO DE CUSTOS],$D$4)</f>
        <v>0</v>
      </c>
      <c r="F293" s="206">
        <f>SUMIFS(LANÇ_MOV[VALOR LÍQUIDO],LANÇ_MOV[RECEITA OU DESPESA],"Despesa",LANÇ_MOV[CONTAS],$C293,LANÇ_MOV[PLANO DE CONTAS],REL_DRE_FINANCEIRO!$B$241,LANÇ_MOV[ANO PAGAMENTO],$B$4,LANÇ_MOV[MÊS PAGAMENTO CORRESPONDENTE],F$6,LANÇ_MOV[EMPRESA],$C$4,LANÇ_MOV[CENTRO DE CUSTOS],$D$4)</f>
        <v>0</v>
      </c>
      <c r="G293" s="206">
        <f>SUMIFS(LANÇ_MOV[VALOR LÍQUIDO],LANÇ_MOV[RECEITA OU DESPESA],"Despesa",LANÇ_MOV[CONTAS],$C293,LANÇ_MOV[PLANO DE CONTAS],REL_DRE_FINANCEIRO!$B$241,LANÇ_MOV[ANO PAGAMENTO],$B$4,LANÇ_MOV[MÊS PAGAMENTO CORRESPONDENTE],G$6,LANÇ_MOV[EMPRESA],$C$4,LANÇ_MOV[CENTRO DE CUSTOS],$D$4)</f>
        <v>0</v>
      </c>
      <c r="H293" s="206">
        <f>SUMIFS(LANÇ_MOV[VALOR LÍQUIDO],LANÇ_MOV[RECEITA OU DESPESA],"Despesa",LANÇ_MOV[CONTAS],$C293,LANÇ_MOV[PLANO DE CONTAS],REL_DRE_FINANCEIRO!$B$241,LANÇ_MOV[ANO PAGAMENTO],$B$4,LANÇ_MOV[MÊS PAGAMENTO CORRESPONDENTE],H$6,LANÇ_MOV[EMPRESA],$C$4,LANÇ_MOV[CENTRO DE CUSTOS],$D$4)</f>
        <v>0</v>
      </c>
      <c r="I293" s="206">
        <f>SUMIFS(LANÇ_MOV[VALOR LÍQUIDO],LANÇ_MOV[RECEITA OU DESPESA],"Despesa",LANÇ_MOV[CONTAS],$C293,LANÇ_MOV[PLANO DE CONTAS],REL_DRE_FINANCEIRO!$B$241,LANÇ_MOV[ANO PAGAMENTO],$B$4,LANÇ_MOV[MÊS PAGAMENTO CORRESPONDENTE],I$6,LANÇ_MOV[EMPRESA],$C$4,LANÇ_MOV[CENTRO DE CUSTOS],$D$4)</f>
        <v>0</v>
      </c>
      <c r="J293" s="206">
        <f>SUMIFS(LANÇ_MOV[VALOR LÍQUIDO],LANÇ_MOV[RECEITA OU DESPESA],"Despesa",LANÇ_MOV[CONTAS],$C293,LANÇ_MOV[PLANO DE CONTAS],REL_DRE_FINANCEIRO!$B$241,LANÇ_MOV[ANO PAGAMENTO],$B$4,LANÇ_MOV[MÊS PAGAMENTO CORRESPONDENTE],J$6,LANÇ_MOV[EMPRESA],$C$4,LANÇ_MOV[CENTRO DE CUSTOS],$D$4)</f>
        <v>0</v>
      </c>
      <c r="K293" s="206">
        <f>SUMIFS(LANÇ_MOV[VALOR LÍQUIDO],LANÇ_MOV[RECEITA OU DESPESA],"Despesa",LANÇ_MOV[CONTAS],$C293,LANÇ_MOV[PLANO DE CONTAS],REL_DRE_FINANCEIRO!$B$241,LANÇ_MOV[ANO PAGAMENTO],$B$4,LANÇ_MOV[MÊS PAGAMENTO CORRESPONDENTE],K$6,LANÇ_MOV[EMPRESA],$C$4,LANÇ_MOV[CENTRO DE CUSTOS],$D$4)</f>
        <v>0</v>
      </c>
      <c r="L293" s="206">
        <f>SUMIFS(LANÇ_MOV[VALOR LÍQUIDO],LANÇ_MOV[RECEITA OU DESPESA],"Despesa",LANÇ_MOV[CONTAS],$C293,LANÇ_MOV[PLANO DE CONTAS],REL_DRE_FINANCEIRO!$B$241,LANÇ_MOV[ANO PAGAMENTO],$B$4,LANÇ_MOV[MÊS PAGAMENTO CORRESPONDENTE],L$6,LANÇ_MOV[EMPRESA],$C$4,LANÇ_MOV[CENTRO DE CUSTOS],$D$4)</f>
        <v>0</v>
      </c>
      <c r="M293" s="206">
        <f>SUMIFS(LANÇ_MOV[VALOR LÍQUIDO],LANÇ_MOV[RECEITA OU DESPESA],"Despesa",LANÇ_MOV[CONTAS],$C293,LANÇ_MOV[PLANO DE CONTAS],REL_DRE_FINANCEIRO!$B$241,LANÇ_MOV[ANO PAGAMENTO],$B$4,LANÇ_MOV[MÊS PAGAMENTO CORRESPONDENTE],M$6,LANÇ_MOV[EMPRESA],$C$4,LANÇ_MOV[CENTRO DE CUSTOS],$D$4)</f>
        <v>0</v>
      </c>
      <c r="N293" s="206">
        <f>SUMIFS(LANÇ_MOV[VALOR LÍQUIDO],LANÇ_MOV[RECEITA OU DESPESA],"Despesa",LANÇ_MOV[CONTAS],$C293,LANÇ_MOV[PLANO DE CONTAS],REL_DRE_FINANCEIRO!$B$241,LANÇ_MOV[ANO PAGAMENTO],$B$4,LANÇ_MOV[MÊS PAGAMENTO CORRESPONDENTE],N$6,LANÇ_MOV[EMPRESA],$C$4,LANÇ_MOV[CENTRO DE CUSTOS],$D$4)</f>
        <v>0</v>
      </c>
      <c r="O293" s="206">
        <f>SUMIFS(LANÇ_MOV[VALOR LÍQUIDO],LANÇ_MOV[RECEITA OU DESPESA],"Despesa",LANÇ_MOV[CONTAS],$C293,LANÇ_MOV[PLANO DE CONTAS],REL_DRE_FINANCEIRO!$B$241,LANÇ_MOV[ANO PAGAMENTO],$B$4,LANÇ_MOV[MÊS PAGAMENTO CORRESPONDENTE],O$6,LANÇ_MOV[EMPRESA],$C$4,LANÇ_MOV[CENTRO DE CUSTOS],$D$4)</f>
        <v>0</v>
      </c>
      <c r="P293" s="207">
        <f t="shared" si="43"/>
        <v>0</v>
      </c>
      <c r="Q293" s="329">
        <v>4.8999999999999997E-6</v>
      </c>
      <c r="R293" s="346">
        <f t="shared" si="44"/>
        <v>4.8999999999999997E-6</v>
      </c>
      <c r="S293" s="347" t="str">
        <f t="shared" si="45"/>
        <v>-</v>
      </c>
      <c r="T293" s="347">
        <f t="shared" si="46"/>
        <v>0</v>
      </c>
      <c r="U293" s="347">
        <f>HLOOKUP(Apoio!$P$12,$D$240:$P$341,X293,FALSE)+Q293</f>
        <v>4.8999999999999997E-6</v>
      </c>
      <c r="V293" s="447" t="str">
        <f t="shared" si="47"/>
        <v>-</v>
      </c>
      <c r="W293" s="448">
        <f>HLOOKUP(Apoio!$P$12,$D$240:$P$341,X293,FALSE)</f>
        <v>0</v>
      </c>
      <c r="X293" s="329">
        <v>54</v>
      </c>
    </row>
    <row r="294" spans="2:24" ht="30.05" customHeight="1" x14ac:dyDescent="0.35">
      <c r="B294" s="204" t="str">
        <f>'CAD_PL_REC-DESP'!N57</f>
        <v>2.2.53</v>
      </c>
      <c r="C294" s="205" t="str">
        <f>IF('CAD_PL_REC-DESP'!O57="","-",'CAD_PL_REC-DESP'!O57)</f>
        <v>-</v>
      </c>
      <c r="D294" s="206">
        <f>SUMIFS(LANÇ_MOV[VALOR LÍQUIDO],LANÇ_MOV[RECEITA OU DESPESA],"Despesa",LANÇ_MOV[CONTAS],$C294,LANÇ_MOV[PLANO DE CONTAS],REL_DRE_FINANCEIRO!$B$241,LANÇ_MOV[ANO PAGAMENTO],$B$4,LANÇ_MOV[MÊS PAGAMENTO CORRESPONDENTE],D$6,LANÇ_MOV[EMPRESA],$C$4,LANÇ_MOV[CENTRO DE CUSTOS],$D$4)</f>
        <v>0</v>
      </c>
      <c r="E294" s="206">
        <f>SUMIFS(LANÇ_MOV[VALOR LÍQUIDO],LANÇ_MOV[RECEITA OU DESPESA],"Despesa",LANÇ_MOV[CONTAS],$C294,LANÇ_MOV[PLANO DE CONTAS],REL_DRE_FINANCEIRO!$B$241,LANÇ_MOV[ANO PAGAMENTO],$B$4,LANÇ_MOV[MÊS PAGAMENTO CORRESPONDENTE],E$6,LANÇ_MOV[EMPRESA],$C$4,LANÇ_MOV[CENTRO DE CUSTOS],$D$4)</f>
        <v>0</v>
      </c>
      <c r="F294" s="206">
        <f>SUMIFS(LANÇ_MOV[VALOR LÍQUIDO],LANÇ_MOV[RECEITA OU DESPESA],"Despesa",LANÇ_MOV[CONTAS],$C294,LANÇ_MOV[PLANO DE CONTAS],REL_DRE_FINANCEIRO!$B$241,LANÇ_MOV[ANO PAGAMENTO],$B$4,LANÇ_MOV[MÊS PAGAMENTO CORRESPONDENTE],F$6,LANÇ_MOV[EMPRESA],$C$4,LANÇ_MOV[CENTRO DE CUSTOS],$D$4)</f>
        <v>0</v>
      </c>
      <c r="G294" s="206">
        <f>SUMIFS(LANÇ_MOV[VALOR LÍQUIDO],LANÇ_MOV[RECEITA OU DESPESA],"Despesa",LANÇ_MOV[CONTAS],$C294,LANÇ_MOV[PLANO DE CONTAS],REL_DRE_FINANCEIRO!$B$241,LANÇ_MOV[ANO PAGAMENTO],$B$4,LANÇ_MOV[MÊS PAGAMENTO CORRESPONDENTE],G$6,LANÇ_MOV[EMPRESA],$C$4,LANÇ_MOV[CENTRO DE CUSTOS],$D$4)</f>
        <v>0</v>
      </c>
      <c r="H294" s="206">
        <f>SUMIFS(LANÇ_MOV[VALOR LÍQUIDO],LANÇ_MOV[RECEITA OU DESPESA],"Despesa",LANÇ_MOV[CONTAS],$C294,LANÇ_MOV[PLANO DE CONTAS],REL_DRE_FINANCEIRO!$B$241,LANÇ_MOV[ANO PAGAMENTO],$B$4,LANÇ_MOV[MÊS PAGAMENTO CORRESPONDENTE],H$6,LANÇ_MOV[EMPRESA],$C$4,LANÇ_MOV[CENTRO DE CUSTOS],$D$4)</f>
        <v>0</v>
      </c>
      <c r="I294" s="206">
        <f>SUMIFS(LANÇ_MOV[VALOR LÍQUIDO],LANÇ_MOV[RECEITA OU DESPESA],"Despesa",LANÇ_MOV[CONTAS],$C294,LANÇ_MOV[PLANO DE CONTAS],REL_DRE_FINANCEIRO!$B$241,LANÇ_MOV[ANO PAGAMENTO],$B$4,LANÇ_MOV[MÊS PAGAMENTO CORRESPONDENTE],I$6,LANÇ_MOV[EMPRESA],$C$4,LANÇ_MOV[CENTRO DE CUSTOS],$D$4)</f>
        <v>0</v>
      </c>
      <c r="J294" s="206">
        <f>SUMIFS(LANÇ_MOV[VALOR LÍQUIDO],LANÇ_MOV[RECEITA OU DESPESA],"Despesa",LANÇ_MOV[CONTAS],$C294,LANÇ_MOV[PLANO DE CONTAS],REL_DRE_FINANCEIRO!$B$241,LANÇ_MOV[ANO PAGAMENTO],$B$4,LANÇ_MOV[MÊS PAGAMENTO CORRESPONDENTE],J$6,LANÇ_MOV[EMPRESA],$C$4,LANÇ_MOV[CENTRO DE CUSTOS],$D$4)</f>
        <v>0</v>
      </c>
      <c r="K294" s="206">
        <f>SUMIFS(LANÇ_MOV[VALOR LÍQUIDO],LANÇ_MOV[RECEITA OU DESPESA],"Despesa",LANÇ_MOV[CONTAS],$C294,LANÇ_MOV[PLANO DE CONTAS],REL_DRE_FINANCEIRO!$B$241,LANÇ_MOV[ANO PAGAMENTO],$B$4,LANÇ_MOV[MÊS PAGAMENTO CORRESPONDENTE],K$6,LANÇ_MOV[EMPRESA],$C$4,LANÇ_MOV[CENTRO DE CUSTOS],$D$4)</f>
        <v>0</v>
      </c>
      <c r="L294" s="206">
        <f>SUMIFS(LANÇ_MOV[VALOR LÍQUIDO],LANÇ_MOV[RECEITA OU DESPESA],"Despesa",LANÇ_MOV[CONTAS],$C294,LANÇ_MOV[PLANO DE CONTAS],REL_DRE_FINANCEIRO!$B$241,LANÇ_MOV[ANO PAGAMENTO],$B$4,LANÇ_MOV[MÊS PAGAMENTO CORRESPONDENTE],L$6,LANÇ_MOV[EMPRESA],$C$4,LANÇ_MOV[CENTRO DE CUSTOS],$D$4)</f>
        <v>0</v>
      </c>
      <c r="M294" s="206">
        <f>SUMIFS(LANÇ_MOV[VALOR LÍQUIDO],LANÇ_MOV[RECEITA OU DESPESA],"Despesa",LANÇ_MOV[CONTAS],$C294,LANÇ_MOV[PLANO DE CONTAS],REL_DRE_FINANCEIRO!$B$241,LANÇ_MOV[ANO PAGAMENTO],$B$4,LANÇ_MOV[MÊS PAGAMENTO CORRESPONDENTE],M$6,LANÇ_MOV[EMPRESA],$C$4,LANÇ_MOV[CENTRO DE CUSTOS],$D$4)</f>
        <v>0</v>
      </c>
      <c r="N294" s="206">
        <f>SUMIFS(LANÇ_MOV[VALOR LÍQUIDO],LANÇ_MOV[RECEITA OU DESPESA],"Despesa",LANÇ_MOV[CONTAS],$C294,LANÇ_MOV[PLANO DE CONTAS],REL_DRE_FINANCEIRO!$B$241,LANÇ_MOV[ANO PAGAMENTO],$B$4,LANÇ_MOV[MÊS PAGAMENTO CORRESPONDENTE],N$6,LANÇ_MOV[EMPRESA],$C$4,LANÇ_MOV[CENTRO DE CUSTOS],$D$4)</f>
        <v>0</v>
      </c>
      <c r="O294" s="206">
        <f>SUMIFS(LANÇ_MOV[VALOR LÍQUIDO],LANÇ_MOV[RECEITA OU DESPESA],"Despesa",LANÇ_MOV[CONTAS],$C294,LANÇ_MOV[PLANO DE CONTAS],REL_DRE_FINANCEIRO!$B$241,LANÇ_MOV[ANO PAGAMENTO],$B$4,LANÇ_MOV[MÊS PAGAMENTO CORRESPONDENTE],O$6,LANÇ_MOV[EMPRESA],$C$4,LANÇ_MOV[CENTRO DE CUSTOS],$D$4)</f>
        <v>0</v>
      </c>
      <c r="P294" s="207">
        <f t="shared" si="43"/>
        <v>0</v>
      </c>
      <c r="Q294" s="329">
        <v>4.7999999999999998E-6</v>
      </c>
      <c r="R294" s="346">
        <f t="shared" si="44"/>
        <v>4.7999999999999998E-6</v>
      </c>
      <c r="S294" s="347" t="str">
        <f t="shared" si="45"/>
        <v>-</v>
      </c>
      <c r="T294" s="347">
        <f t="shared" si="46"/>
        <v>0</v>
      </c>
      <c r="U294" s="347">
        <f>HLOOKUP(Apoio!$P$12,$D$240:$P$341,X294,FALSE)+Q294</f>
        <v>4.7999999999999998E-6</v>
      </c>
      <c r="V294" s="447" t="str">
        <f t="shared" si="47"/>
        <v>-</v>
      </c>
      <c r="W294" s="448">
        <f>HLOOKUP(Apoio!$P$12,$D$240:$P$341,X294,FALSE)</f>
        <v>0</v>
      </c>
      <c r="X294" s="329">
        <v>55</v>
      </c>
    </row>
    <row r="295" spans="2:24" ht="30.05" customHeight="1" x14ac:dyDescent="0.35">
      <c r="B295" s="204" t="str">
        <f>'CAD_PL_REC-DESP'!N58</f>
        <v>2.2.54</v>
      </c>
      <c r="C295" s="205" t="str">
        <f>IF('CAD_PL_REC-DESP'!O58="","-",'CAD_PL_REC-DESP'!O58)</f>
        <v>-</v>
      </c>
      <c r="D295" s="206">
        <f>SUMIFS(LANÇ_MOV[VALOR LÍQUIDO],LANÇ_MOV[RECEITA OU DESPESA],"Despesa",LANÇ_MOV[CONTAS],$C295,LANÇ_MOV[PLANO DE CONTAS],REL_DRE_FINANCEIRO!$B$241,LANÇ_MOV[ANO PAGAMENTO],$B$4,LANÇ_MOV[MÊS PAGAMENTO CORRESPONDENTE],D$6,LANÇ_MOV[EMPRESA],$C$4,LANÇ_MOV[CENTRO DE CUSTOS],$D$4)</f>
        <v>0</v>
      </c>
      <c r="E295" s="206">
        <f>SUMIFS(LANÇ_MOV[VALOR LÍQUIDO],LANÇ_MOV[RECEITA OU DESPESA],"Despesa",LANÇ_MOV[CONTAS],$C295,LANÇ_MOV[PLANO DE CONTAS],REL_DRE_FINANCEIRO!$B$241,LANÇ_MOV[ANO PAGAMENTO],$B$4,LANÇ_MOV[MÊS PAGAMENTO CORRESPONDENTE],E$6,LANÇ_MOV[EMPRESA],$C$4,LANÇ_MOV[CENTRO DE CUSTOS],$D$4)</f>
        <v>0</v>
      </c>
      <c r="F295" s="206">
        <f>SUMIFS(LANÇ_MOV[VALOR LÍQUIDO],LANÇ_MOV[RECEITA OU DESPESA],"Despesa",LANÇ_MOV[CONTAS],$C295,LANÇ_MOV[PLANO DE CONTAS],REL_DRE_FINANCEIRO!$B$241,LANÇ_MOV[ANO PAGAMENTO],$B$4,LANÇ_MOV[MÊS PAGAMENTO CORRESPONDENTE],F$6,LANÇ_MOV[EMPRESA],$C$4,LANÇ_MOV[CENTRO DE CUSTOS],$D$4)</f>
        <v>0</v>
      </c>
      <c r="G295" s="206">
        <f>SUMIFS(LANÇ_MOV[VALOR LÍQUIDO],LANÇ_MOV[RECEITA OU DESPESA],"Despesa",LANÇ_MOV[CONTAS],$C295,LANÇ_MOV[PLANO DE CONTAS],REL_DRE_FINANCEIRO!$B$241,LANÇ_MOV[ANO PAGAMENTO],$B$4,LANÇ_MOV[MÊS PAGAMENTO CORRESPONDENTE],G$6,LANÇ_MOV[EMPRESA],$C$4,LANÇ_MOV[CENTRO DE CUSTOS],$D$4)</f>
        <v>0</v>
      </c>
      <c r="H295" s="206">
        <f>SUMIFS(LANÇ_MOV[VALOR LÍQUIDO],LANÇ_MOV[RECEITA OU DESPESA],"Despesa",LANÇ_MOV[CONTAS],$C295,LANÇ_MOV[PLANO DE CONTAS],REL_DRE_FINANCEIRO!$B$241,LANÇ_MOV[ANO PAGAMENTO],$B$4,LANÇ_MOV[MÊS PAGAMENTO CORRESPONDENTE],H$6,LANÇ_MOV[EMPRESA],$C$4,LANÇ_MOV[CENTRO DE CUSTOS],$D$4)</f>
        <v>0</v>
      </c>
      <c r="I295" s="206">
        <f>SUMIFS(LANÇ_MOV[VALOR LÍQUIDO],LANÇ_MOV[RECEITA OU DESPESA],"Despesa",LANÇ_MOV[CONTAS],$C295,LANÇ_MOV[PLANO DE CONTAS],REL_DRE_FINANCEIRO!$B$241,LANÇ_MOV[ANO PAGAMENTO],$B$4,LANÇ_MOV[MÊS PAGAMENTO CORRESPONDENTE],I$6,LANÇ_MOV[EMPRESA],$C$4,LANÇ_MOV[CENTRO DE CUSTOS],$D$4)</f>
        <v>0</v>
      </c>
      <c r="J295" s="206">
        <f>SUMIFS(LANÇ_MOV[VALOR LÍQUIDO],LANÇ_MOV[RECEITA OU DESPESA],"Despesa",LANÇ_MOV[CONTAS],$C295,LANÇ_MOV[PLANO DE CONTAS],REL_DRE_FINANCEIRO!$B$241,LANÇ_MOV[ANO PAGAMENTO],$B$4,LANÇ_MOV[MÊS PAGAMENTO CORRESPONDENTE],J$6,LANÇ_MOV[EMPRESA],$C$4,LANÇ_MOV[CENTRO DE CUSTOS],$D$4)</f>
        <v>0</v>
      </c>
      <c r="K295" s="206">
        <f>SUMIFS(LANÇ_MOV[VALOR LÍQUIDO],LANÇ_MOV[RECEITA OU DESPESA],"Despesa",LANÇ_MOV[CONTAS],$C295,LANÇ_MOV[PLANO DE CONTAS],REL_DRE_FINANCEIRO!$B$241,LANÇ_MOV[ANO PAGAMENTO],$B$4,LANÇ_MOV[MÊS PAGAMENTO CORRESPONDENTE],K$6,LANÇ_MOV[EMPRESA],$C$4,LANÇ_MOV[CENTRO DE CUSTOS],$D$4)</f>
        <v>0</v>
      </c>
      <c r="L295" s="206">
        <f>SUMIFS(LANÇ_MOV[VALOR LÍQUIDO],LANÇ_MOV[RECEITA OU DESPESA],"Despesa",LANÇ_MOV[CONTAS],$C295,LANÇ_MOV[PLANO DE CONTAS],REL_DRE_FINANCEIRO!$B$241,LANÇ_MOV[ANO PAGAMENTO],$B$4,LANÇ_MOV[MÊS PAGAMENTO CORRESPONDENTE],L$6,LANÇ_MOV[EMPRESA],$C$4,LANÇ_MOV[CENTRO DE CUSTOS],$D$4)</f>
        <v>0</v>
      </c>
      <c r="M295" s="206">
        <f>SUMIFS(LANÇ_MOV[VALOR LÍQUIDO],LANÇ_MOV[RECEITA OU DESPESA],"Despesa",LANÇ_MOV[CONTAS],$C295,LANÇ_MOV[PLANO DE CONTAS],REL_DRE_FINANCEIRO!$B$241,LANÇ_MOV[ANO PAGAMENTO],$B$4,LANÇ_MOV[MÊS PAGAMENTO CORRESPONDENTE],M$6,LANÇ_MOV[EMPRESA],$C$4,LANÇ_MOV[CENTRO DE CUSTOS],$D$4)</f>
        <v>0</v>
      </c>
      <c r="N295" s="206">
        <f>SUMIFS(LANÇ_MOV[VALOR LÍQUIDO],LANÇ_MOV[RECEITA OU DESPESA],"Despesa",LANÇ_MOV[CONTAS],$C295,LANÇ_MOV[PLANO DE CONTAS],REL_DRE_FINANCEIRO!$B$241,LANÇ_MOV[ANO PAGAMENTO],$B$4,LANÇ_MOV[MÊS PAGAMENTO CORRESPONDENTE],N$6,LANÇ_MOV[EMPRESA],$C$4,LANÇ_MOV[CENTRO DE CUSTOS],$D$4)</f>
        <v>0</v>
      </c>
      <c r="O295" s="206">
        <f>SUMIFS(LANÇ_MOV[VALOR LÍQUIDO],LANÇ_MOV[RECEITA OU DESPESA],"Despesa",LANÇ_MOV[CONTAS],$C295,LANÇ_MOV[PLANO DE CONTAS],REL_DRE_FINANCEIRO!$B$241,LANÇ_MOV[ANO PAGAMENTO],$B$4,LANÇ_MOV[MÊS PAGAMENTO CORRESPONDENTE],O$6,LANÇ_MOV[EMPRESA],$C$4,LANÇ_MOV[CENTRO DE CUSTOS],$D$4)</f>
        <v>0</v>
      </c>
      <c r="P295" s="207">
        <f t="shared" si="43"/>
        <v>0</v>
      </c>
      <c r="Q295" s="329">
        <v>4.6999999999999999E-6</v>
      </c>
      <c r="R295" s="346">
        <f t="shared" si="44"/>
        <v>4.6999999999999999E-6</v>
      </c>
      <c r="S295" s="347" t="str">
        <f t="shared" si="45"/>
        <v>-</v>
      </c>
      <c r="T295" s="347">
        <f t="shared" si="46"/>
        <v>0</v>
      </c>
      <c r="U295" s="347">
        <f>HLOOKUP(Apoio!$P$12,$D$240:$P$341,X295,FALSE)+Q295</f>
        <v>4.6999999999999999E-6</v>
      </c>
      <c r="V295" s="447" t="str">
        <f t="shared" si="47"/>
        <v>-</v>
      </c>
      <c r="W295" s="448">
        <f>HLOOKUP(Apoio!$P$12,$D$240:$P$341,X295,FALSE)</f>
        <v>0</v>
      </c>
      <c r="X295" s="329">
        <v>56</v>
      </c>
    </row>
    <row r="296" spans="2:24" ht="30.05" customHeight="1" x14ac:dyDescent="0.35">
      <c r="B296" s="204" t="str">
        <f>'CAD_PL_REC-DESP'!N59</f>
        <v>2.2.55</v>
      </c>
      <c r="C296" s="205" t="str">
        <f>IF('CAD_PL_REC-DESP'!O59="","-",'CAD_PL_REC-DESP'!O59)</f>
        <v>-</v>
      </c>
      <c r="D296" s="206">
        <f>SUMIFS(LANÇ_MOV[VALOR LÍQUIDO],LANÇ_MOV[RECEITA OU DESPESA],"Despesa",LANÇ_MOV[CONTAS],$C296,LANÇ_MOV[PLANO DE CONTAS],REL_DRE_FINANCEIRO!$B$241,LANÇ_MOV[ANO PAGAMENTO],$B$4,LANÇ_MOV[MÊS PAGAMENTO CORRESPONDENTE],D$6,LANÇ_MOV[EMPRESA],$C$4,LANÇ_MOV[CENTRO DE CUSTOS],$D$4)</f>
        <v>0</v>
      </c>
      <c r="E296" s="206">
        <f>SUMIFS(LANÇ_MOV[VALOR LÍQUIDO],LANÇ_MOV[RECEITA OU DESPESA],"Despesa",LANÇ_MOV[CONTAS],$C296,LANÇ_MOV[PLANO DE CONTAS],REL_DRE_FINANCEIRO!$B$241,LANÇ_MOV[ANO PAGAMENTO],$B$4,LANÇ_MOV[MÊS PAGAMENTO CORRESPONDENTE],E$6,LANÇ_MOV[EMPRESA],$C$4,LANÇ_MOV[CENTRO DE CUSTOS],$D$4)</f>
        <v>0</v>
      </c>
      <c r="F296" s="206">
        <f>SUMIFS(LANÇ_MOV[VALOR LÍQUIDO],LANÇ_MOV[RECEITA OU DESPESA],"Despesa",LANÇ_MOV[CONTAS],$C296,LANÇ_MOV[PLANO DE CONTAS],REL_DRE_FINANCEIRO!$B$241,LANÇ_MOV[ANO PAGAMENTO],$B$4,LANÇ_MOV[MÊS PAGAMENTO CORRESPONDENTE],F$6,LANÇ_MOV[EMPRESA],$C$4,LANÇ_MOV[CENTRO DE CUSTOS],$D$4)</f>
        <v>0</v>
      </c>
      <c r="G296" s="206">
        <f>SUMIFS(LANÇ_MOV[VALOR LÍQUIDO],LANÇ_MOV[RECEITA OU DESPESA],"Despesa",LANÇ_MOV[CONTAS],$C296,LANÇ_MOV[PLANO DE CONTAS],REL_DRE_FINANCEIRO!$B$241,LANÇ_MOV[ANO PAGAMENTO],$B$4,LANÇ_MOV[MÊS PAGAMENTO CORRESPONDENTE],G$6,LANÇ_MOV[EMPRESA],$C$4,LANÇ_MOV[CENTRO DE CUSTOS],$D$4)</f>
        <v>0</v>
      </c>
      <c r="H296" s="206">
        <f>SUMIFS(LANÇ_MOV[VALOR LÍQUIDO],LANÇ_MOV[RECEITA OU DESPESA],"Despesa",LANÇ_MOV[CONTAS],$C296,LANÇ_MOV[PLANO DE CONTAS],REL_DRE_FINANCEIRO!$B$241,LANÇ_MOV[ANO PAGAMENTO],$B$4,LANÇ_MOV[MÊS PAGAMENTO CORRESPONDENTE],H$6,LANÇ_MOV[EMPRESA],$C$4,LANÇ_MOV[CENTRO DE CUSTOS],$D$4)</f>
        <v>0</v>
      </c>
      <c r="I296" s="206">
        <f>SUMIFS(LANÇ_MOV[VALOR LÍQUIDO],LANÇ_MOV[RECEITA OU DESPESA],"Despesa",LANÇ_MOV[CONTAS],$C296,LANÇ_MOV[PLANO DE CONTAS],REL_DRE_FINANCEIRO!$B$241,LANÇ_MOV[ANO PAGAMENTO],$B$4,LANÇ_MOV[MÊS PAGAMENTO CORRESPONDENTE],I$6,LANÇ_MOV[EMPRESA],$C$4,LANÇ_MOV[CENTRO DE CUSTOS],$D$4)</f>
        <v>0</v>
      </c>
      <c r="J296" s="206">
        <f>SUMIFS(LANÇ_MOV[VALOR LÍQUIDO],LANÇ_MOV[RECEITA OU DESPESA],"Despesa",LANÇ_MOV[CONTAS],$C296,LANÇ_MOV[PLANO DE CONTAS],REL_DRE_FINANCEIRO!$B$241,LANÇ_MOV[ANO PAGAMENTO],$B$4,LANÇ_MOV[MÊS PAGAMENTO CORRESPONDENTE],J$6,LANÇ_MOV[EMPRESA],$C$4,LANÇ_MOV[CENTRO DE CUSTOS],$D$4)</f>
        <v>0</v>
      </c>
      <c r="K296" s="206">
        <f>SUMIFS(LANÇ_MOV[VALOR LÍQUIDO],LANÇ_MOV[RECEITA OU DESPESA],"Despesa",LANÇ_MOV[CONTAS],$C296,LANÇ_MOV[PLANO DE CONTAS],REL_DRE_FINANCEIRO!$B$241,LANÇ_MOV[ANO PAGAMENTO],$B$4,LANÇ_MOV[MÊS PAGAMENTO CORRESPONDENTE],K$6,LANÇ_MOV[EMPRESA],$C$4,LANÇ_MOV[CENTRO DE CUSTOS],$D$4)</f>
        <v>0</v>
      </c>
      <c r="L296" s="206">
        <f>SUMIFS(LANÇ_MOV[VALOR LÍQUIDO],LANÇ_MOV[RECEITA OU DESPESA],"Despesa",LANÇ_MOV[CONTAS],$C296,LANÇ_MOV[PLANO DE CONTAS],REL_DRE_FINANCEIRO!$B$241,LANÇ_MOV[ANO PAGAMENTO],$B$4,LANÇ_MOV[MÊS PAGAMENTO CORRESPONDENTE],L$6,LANÇ_MOV[EMPRESA],$C$4,LANÇ_MOV[CENTRO DE CUSTOS],$D$4)</f>
        <v>0</v>
      </c>
      <c r="M296" s="206">
        <f>SUMIFS(LANÇ_MOV[VALOR LÍQUIDO],LANÇ_MOV[RECEITA OU DESPESA],"Despesa",LANÇ_MOV[CONTAS],$C296,LANÇ_MOV[PLANO DE CONTAS],REL_DRE_FINANCEIRO!$B$241,LANÇ_MOV[ANO PAGAMENTO],$B$4,LANÇ_MOV[MÊS PAGAMENTO CORRESPONDENTE],M$6,LANÇ_MOV[EMPRESA],$C$4,LANÇ_MOV[CENTRO DE CUSTOS],$D$4)</f>
        <v>0</v>
      </c>
      <c r="N296" s="206">
        <f>SUMIFS(LANÇ_MOV[VALOR LÍQUIDO],LANÇ_MOV[RECEITA OU DESPESA],"Despesa",LANÇ_MOV[CONTAS],$C296,LANÇ_MOV[PLANO DE CONTAS],REL_DRE_FINANCEIRO!$B$241,LANÇ_MOV[ANO PAGAMENTO],$B$4,LANÇ_MOV[MÊS PAGAMENTO CORRESPONDENTE],N$6,LANÇ_MOV[EMPRESA],$C$4,LANÇ_MOV[CENTRO DE CUSTOS],$D$4)</f>
        <v>0</v>
      </c>
      <c r="O296" s="206">
        <f>SUMIFS(LANÇ_MOV[VALOR LÍQUIDO],LANÇ_MOV[RECEITA OU DESPESA],"Despesa",LANÇ_MOV[CONTAS],$C296,LANÇ_MOV[PLANO DE CONTAS],REL_DRE_FINANCEIRO!$B$241,LANÇ_MOV[ANO PAGAMENTO],$B$4,LANÇ_MOV[MÊS PAGAMENTO CORRESPONDENTE],O$6,LANÇ_MOV[EMPRESA],$C$4,LANÇ_MOV[CENTRO DE CUSTOS],$D$4)</f>
        <v>0</v>
      </c>
      <c r="P296" s="207">
        <f t="shared" si="43"/>
        <v>0</v>
      </c>
      <c r="Q296" s="329">
        <v>4.6E-6</v>
      </c>
      <c r="R296" s="346">
        <f t="shared" si="44"/>
        <v>4.6E-6</v>
      </c>
      <c r="S296" s="347" t="str">
        <f t="shared" si="45"/>
        <v>-</v>
      </c>
      <c r="T296" s="347">
        <f t="shared" si="46"/>
        <v>0</v>
      </c>
      <c r="U296" s="347">
        <f>HLOOKUP(Apoio!$P$12,$D$240:$P$341,X296,FALSE)+Q296</f>
        <v>4.6E-6</v>
      </c>
      <c r="V296" s="447" t="str">
        <f t="shared" si="47"/>
        <v>-</v>
      </c>
      <c r="W296" s="448">
        <f>HLOOKUP(Apoio!$P$12,$D$240:$P$341,X296,FALSE)</f>
        <v>0</v>
      </c>
      <c r="X296" s="329">
        <v>57</v>
      </c>
    </row>
    <row r="297" spans="2:24" ht="30.05" customHeight="1" x14ac:dyDescent="0.35">
      <c r="B297" s="204" t="str">
        <f>'CAD_PL_REC-DESP'!N60</f>
        <v>2.2.56</v>
      </c>
      <c r="C297" s="205" t="str">
        <f>IF('CAD_PL_REC-DESP'!O60="","-",'CAD_PL_REC-DESP'!O60)</f>
        <v>-</v>
      </c>
      <c r="D297" s="206">
        <f>SUMIFS(LANÇ_MOV[VALOR LÍQUIDO],LANÇ_MOV[RECEITA OU DESPESA],"Despesa",LANÇ_MOV[CONTAS],$C297,LANÇ_MOV[PLANO DE CONTAS],REL_DRE_FINANCEIRO!$B$241,LANÇ_MOV[ANO PAGAMENTO],$B$4,LANÇ_MOV[MÊS PAGAMENTO CORRESPONDENTE],D$6,LANÇ_MOV[EMPRESA],$C$4,LANÇ_MOV[CENTRO DE CUSTOS],$D$4)</f>
        <v>0</v>
      </c>
      <c r="E297" s="206">
        <f>SUMIFS(LANÇ_MOV[VALOR LÍQUIDO],LANÇ_MOV[RECEITA OU DESPESA],"Despesa",LANÇ_MOV[CONTAS],$C297,LANÇ_MOV[PLANO DE CONTAS],REL_DRE_FINANCEIRO!$B$241,LANÇ_MOV[ANO PAGAMENTO],$B$4,LANÇ_MOV[MÊS PAGAMENTO CORRESPONDENTE],E$6,LANÇ_MOV[EMPRESA],$C$4,LANÇ_MOV[CENTRO DE CUSTOS],$D$4)</f>
        <v>0</v>
      </c>
      <c r="F297" s="206">
        <f>SUMIFS(LANÇ_MOV[VALOR LÍQUIDO],LANÇ_MOV[RECEITA OU DESPESA],"Despesa",LANÇ_MOV[CONTAS],$C297,LANÇ_MOV[PLANO DE CONTAS],REL_DRE_FINANCEIRO!$B$241,LANÇ_MOV[ANO PAGAMENTO],$B$4,LANÇ_MOV[MÊS PAGAMENTO CORRESPONDENTE],F$6,LANÇ_MOV[EMPRESA],$C$4,LANÇ_MOV[CENTRO DE CUSTOS],$D$4)</f>
        <v>0</v>
      </c>
      <c r="G297" s="206">
        <f>SUMIFS(LANÇ_MOV[VALOR LÍQUIDO],LANÇ_MOV[RECEITA OU DESPESA],"Despesa",LANÇ_MOV[CONTAS],$C297,LANÇ_MOV[PLANO DE CONTAS],REL_DRE_FINANCEIRO!$B$241,LANÇ_MOV[ANO PAGAMENTO],$B$4,LANÇ_MOV[MÊS PAGAMENTO CORRESPONDENTE],G$6,LANÇ_MOV[EMPRESA],$C$4,LANÇ_MOV[CENTRO DE CUSTOS],$D$4)</f>
        <v>0</v>
      </c>
      <c r="H297" s="206">
        <f>SUMIFS(LANÇ_MOV[VALOR LÍQUIDO],LANÇ_MOV[RECEITA OU DESPESA],"Despesa",LANÇ_MOV[CONTAS],$C297,LANÇ_MOV[PLANO DE CONTAS],REL_DRE_FINANCEIRO!$B$241,LANÇ_MOV[ANO PAGAMENTO],$B$4,LANÇ_MOV[MÊS PAGAMENTO CORRESPONDENTE],H$6,LANÇ_MOV[EMPRESA],$C$4,LANÇ_MOV[CENTRO DE CUSTOS],$D$4)</f>
        <v>0</v>
      </c>
      <c r="I297" s="206">
        <f>SUMIFS(LANÇ_MOV[VALOR LÍQUIDO],LANÇ_MOV[RECEITA OU DESPESA],"Despesa",LANÇ_MOV[CONTAS],$C297,LANÇ_MOV[PLANO DE CONTAS],REL_DRE_FINANCEIRO!$B$241,LANÇ_MOV[ANO PAGAMENTO],$B$4,LANÇ_MOV[MÊS PAGAMENTO CORRESPONDENTE],I$6,LANÇ_MOV[EMPRESA],$C$4,LANÇ_MOV[CENTRO DE CUSTOS],$D$4)</f>
        <v>0</v>
      </c>
      <c r="J297" s="206">
        <f>SUMIFS(LANÇ_MOV[VALOR LÍQUIDO],LANÇ_MOV[RECEITA OU DESPESA],"Despesa",LANÇ_MOV[CONTAS],$C297,LANÇ_MOV[PLANO DE CONTAS],REL_DRE_FINANCEIRO!$B$241,LANÇ_MOV[ANO PAGAMENTO],$B$4,LANÇ_MOV[MÊS PAGAMENTO CORRESPONDENTE],J$6,LANÇ_MOV[EMPRESA],$C$4,LANÇ_MOV[CENTRO DE CUSTOS],$D$4)</f>
        <v>0</v>
      </c>
      <c r="K297" s="206">
        <f>SUMIFS(LANÇ_MOV[VALOR LÍQUIDO],LANÇ_MOV[RECEITA OU DESPESA],"Despesa",LANÇ_MOV[CONTAS],$C297,LANÇ_MOV[PLANO DE CONTAS],REL_DRE_FINANCEIRO!$B$241,LANÇ_MOV[ANO PAGAMENTO],$B$4,LANÇ_MOV[MÊS PAGAMENTO CORRESPONDENTE],K$6,LANÇ_MOV[EMPRESA],$C$4,LANÇ_MOV[CENTRO DE CUSTOS],$D$4)</f>
        <v>0</v>
      </c>
      <c r="L297" s="206">
        <f>SUMIFS(LANÇ_MOV[VALOR LÍQUIDO],LANÇ_MOV[RECEITA OU DESPESA],"Despesa",LANÇ_MOV[CONTAS],$C297,LANÇ_MOV[PLANO DE CONTAS],REL_DRE_FINANCEIRO!$B$241,LANÇ_MOV[ANO PAGAMENTO],$B$4,LANÇ_MOV[MÊS PAGAMENTO CORRESPONDENTE],L$6,LANÇ_MOV[EMPRESA],$C$4,LANÇ_MOV[CENTRO DE CUSTOS],$D$4)</f>
        <v>0</v>
      </c>
      <c r="M297" s="206">
        <f>SUMIFS(LANÇ_MOV[VALOR LÍQUIDO],LANÇ_MOV[RECEITA OU DESPESA],"Despesa",LANÇ_MOV[CONTAS],$C297,LANÇ_MOV[PLANO DE CONTAS],REL_DRE_FINANCEIRO!$B$241,LANÇ_MOV[ANO PAGAMENTO],$B$4,LANÇ_MOV[MÊS PAGAMENTO CORRESPONDENTE],M$6,LANÇ_MOV[EMPRESA],$C$4,LANÇ_MOV[CENTRO DE CUSTOS],$D$4)</f>
        <v>0</v>
      </c>
      <c r="N297" s="206">
        <f>SUMIFS(LANÇ_MOV[VALOR LÍQUIDO],LANÇ_MOV[RECEITA OU DESPESA],"Despesa",LANÇ_MOV[CONTAS],$C297,LANÇ_MOV[PLANO DE CONTAS],REL_DRE_FINANCEIRO!$B$241,LANÇ_MOV[ANO PAGAMENTO],$B$4,LANÇ_MOV[MÊS PAGAMENTO CORRESPONDENTE],N$6,LANÇ_MOV[EMPRESA],$C$4,LANÇ_MOV[CENTRO DE CUSTOS],$D$4)</f>
        <v>0</v>
      </c>
      <c r="O297" s="206">
        <f>SUMIFS(LANÇ_MOV[VALOR LÍQUIDO],LANÇ_MOV[RECEITA OU DESPESA],"Despesa",LANÇ_MOV[CONTAS],$C297,LANÇ_MOV[PLANO DE CONTAS],REL_DRE_FINANCEIRO!$B$241,LANÇ_MOV[ANO PAGAMENTO],$B$4,LANÇ_MOV[MÊS PAGAMENTO CORRESPONDENTE],O$6,LANÇ_MOV[EMPRESA],$C$4,LANÇ_MOV[CENTRO DE CUSTOS],$D$4)</f>
        <v>0</v>
      </c>
      <c r="P297" s="207">
        <f t="shared" si="43"/>
        <v>0</v>
      </c>
      <c r="Q297" s="329">
        <v>4.5000000000000001E-6</v>
      </c>
      <c r="R297" s="346">
        <f t="shared" si="44"/>
        <v>4.5000000000000001E-6</v>
      </c>
      <c r="S297" s="347" t="str">
        <f t="shared" si="45"/>
        <v>-</v>
      </c>
      <c r="T297" s="347">
        <f t="shared" si="46"/>
        <v>0</v>
      </c>
      <c r="U297" s="347">
        <f>HLOOKUP(Apoio!$P$12,$D$240:$P$341,X297,FALSE)+Q297</f>
        <v>4.5000000000000001E-6</v>
      </c>
      <c r="V297" s="447" t="str">
        <f t="shared" si="47"/>
        <v>-</v>
      </c>
      <c r="W297" s="448">
        <f>HLOOKUP(Apoio!$P$12,$D$240:$P$341,X297,FALSE)</f>
        <v>0</v>
      </c>
      <c r="X297" s="329">
        <v>58</v>
      </c>
    </row>
    <row r="298" spans="2:24" ht="30.05" customHeight="1" x14ac:dyDescent="0.35">
      <c r="B298" s="204" t="str">
        <f>'CAD_PL_REC-DESP'!N61</f>
        <v>2.2.57</v>
      </c>
      <c r="C298" s="205" t="str">
        <f>IF('CAD_PL_REC-DESP'!O61="","-",'CAD_PL_REC-DESP'!O61)</f>
        <v>-</v>
      </c>
      <c r="D298" s="206">
        <f>SUMIFS(LANÇ_MOV[VALOR LÍQUIDO],LANÇ_MOV[RECEITA OU DESPESA],"Despesa",LANÇ_MOV[CONTAS],$C298,LANÇ_MOV[PLANO DE CONTAS],REL_DRE_FINANCEIRO!$B$241,LANÇ_MOV[ANO PAGAMENTO],$B$4,LANÇ_MOV[MÊS PAGAMENTO CORRESPONDENTE],D$6,LANÇ_MOV[EMPRESA],$C$4,LANÇ_MOV[CENTRO DE CUSTOS],$D$4)</f>
        <v>0</v>
      </c>
      <c r="E298" s="206">
        <f>SUMIFS(LANÇ_MOV[VALOR LÍQUIDO],LANÇ_MOV[RECEITA OU DESPESA],"Despesa",LANÇ_MOV[CONTAS],$C298,LANÇ_MOV[PLANO DE CONTAS],REL_DRE_FINANCEIRO!$B$241,LANÇ_MOV[ANO PAGAMENTO],$B$4,LANÇ_MOV[MÊS PAGAMENTO CORRESPONDENTE],E$6,LANÇ_MOV[EMPRESA],$C$4,LANÇ_MOV[CENTRO DE CUSTOS],$D$4)</f>
        <v>0</v>
      </c>
      <c r="F298" s="206">
        <f>SUMIFS(LANÇ_MOV[VALOR LÍQUIDO],LANÇ_MOV[RECEITA OU DESPESA],"Despesa",LANÇ_MOV[CONTAS],$C298,LANÇ_MOV[PLANO DE CONTAS],REL_DRE_FINANCEIRO!$B$241,LANÇ_MOV[ANO PAGAMENTO],$B$4,LANÇ_MOV[MÊS PAGAMENTO CORRESPONDENTE],F$6,LANÇ_MOV[EMPRESA],$C$4,LANÇ_MOV[CENTRO DE CUSTOS],$D$4)</f>
        <v>0</v>
      </c>
      <c r="G298" s="206">
        <f>SUMIFS(LANÇ_MOV[VALOR LÍQUIDO],LANÇ_MOV[RECEITA OU DESPESA],"Despesa",LANÇ_MOV[CONTAS],$C298,LANÇ_MOV[PLANO DE CONTAS],REL_DRE_FINANCEIRO!$B$241,LANÇ_MOV[ANO PAGAMENTO],$B$4,LANÇ_MOV[MÊS PAGAMENTO CORRESPONDENTE],G$6,LANÇ_MOV[EMPRESA],$C$4,LANÇ_MOV[CENTRO DE CUSTOS],$D$4)</f>
        <v>0</v>
      </c>
      <c r="H298" s="206">
        <f>SUMIFS(LANÇ_MOV[VALOR LÍQUIDO],LANÇ_MOV[RECEITA OU DESPESA],"Despesa",LANÇ_MOV[CONTAS],$C298,LANÇ_MOV[PLANO DE CONTAS],REL_DRE_FINANCEIRO!$B$241,LANÇ_MOV[ANO PAGAMENTO],$B$4,LANÇ_MOV[MÊS PAGAMENTO CORRESPONDENTE],H$6,LANÇ_MOV[EMPRESA],$C$4,LANÇ_MOV[CENTRO DE CUSTOS],$D$4)</f>
        <v>0</v>
      </c>
      <c r="I298" s="206">
        <f>SUMIFS(LANÇ_MOV[VALOR LÍQUIDO],LANÇ_MOV[RECEITA OU DESPESA],"Despesa",LANÇ_MOV[CONTAS],$C298,LANÇ_MOV[PLANO DE CONTAS],REL_DRE_FINANCEIRO!$B$241,LANÇ_MOV[ANO PAGAMENTO],$B$4,LANÇ_MOV[MÊS PAGAMENTO CORRESPONDENTE],I$6,LANÇ_MOV[EMPRESA],$C$4,LANÇ_MOV[CENTRO DE CUSTOS],$D$4)</f>
        <v>0</v>
      </c>
      <c r="J298" s="206">
        <f>SUMIFS(LANÇ_MOV[VALOR LÍQUIDO],LANÇ_MOV[RECEITA OU DESPESA],"Despesa",LANÇ_MOV[CONTAS],$C298,LANÇ_MOV[PLANO DE CONTAS],REL_DRE_FINANCEIRO!$B$241,LANÇ_MOV[ANO PAGAMENTO],$B$4,LANÇ_MOV[MÊS PAGAMENTO CORRESPONDENTE],J$6,LANÇ_MOV[EMPRESA],$C$4,LANÇ_MOV[CENTRO DE CUSTOS],$D$4)</f>
        <v>0</v>
      </c>
      <c r="K298" s="206">
        <f>SUMIFS(LANÇ_MOV[VALOR LÍQUIDO],LANÇ_MOV[RECEITA OU DESPESA],"Despesa",LANÇ_MOV[CONTAS],$C298,LANÇ_MOV[PLANO DE CONTAS],REL_DRE_FINANCEIRO!$B$241,LANÇ_MOV[ANO PAGAMENTO],$B$4,LANÇ_MOV[MÊS PAGAMENTO CORRESPONDENTE],K$6,LANÇ_MOV[EMPRESA],$C$4,LANÇ_MOV[CENTRO DE CUSTOS],$D$4)</f>
        <v>0</v>
      </c>
      <c r="L298" s="206">
        <f>SUMIFS(LANÇ_MOV[VALOR LÍQUIDO],LANÇ_MOV[RECEITA OU DESPESA],"Despesa",LANÇ_MOV[CONTAS],$C298,LANÇ_MOV[PLANO DE CONTAS],REL_DRE_FINANCEIRO!$B$241,LANÇ_MOV[ANO PAGAMENTO],$B$4,LANÇ_MOV[MÊS PAGAMENTO CORRESPONDENTE],L$6,LANÇ_MOV[EMPRESA],$C$4,LANÇ_MOV[CENTRO DE CUSTOS],$D$4)</f>
        <v>0</v>
      </c>
      <c r="M298" s="206">
        <f>SUMIFS(LANÇ_MOV[VALOR LÍQUIDO],LANÇ_MOV[RECEITA OU DESPESA],"Despesa",LANÇ_MOV[CONTAS],$C298,LANÇ_MOV[PLANO DE CONTAS],REL_DRE_FINANCEIRO!$B$241,LANÇ_MOV[ANO PAGAMENTO],$B$4,LANÇ_MOV[MÊS PAGAMENTO CORRESPONDENTE],M$6,LANÇ_MOV[EMPRESA],$C$4,LANÇ_MOV[CENTRO DE CUSTOS],$D$4)</f>
        <v>0</v>
      </c>
      <c r="N298" s="206">
        <f>SUMIFS(LANÇ_MOV[VALOR LÍQUIDO],LANÇ_MOV[RECEITA OU DESPESA],"Despesa",LANÇ_MOV[CONTAS],$C298,LANÇ_MOV[PLANO DE CONTAS],REL_DRE_FINANCEIRO!$B$241,LANÇ_MOV[ANO PAGAMENTO],$B$4,LANÇ_MOV[MÊS PAGAMENTO CORRESPONDENTE],N$6,LANÇ_MOV[EMPRESA],$C$4,LANÇ_MOV[CENTRO DE CUSTOS],$D$4)</f>
        <v>0</v>
      </c>
      <c r="O298" s="206">
        <f>SUMIFS(LANÇ_MOV[VALOR LÍQUIDO],LANÇ_MOV[RECEITA OU DESPESA],"Despesa",LANÇ_MOV[CONTAS],$C298,LANÇ_MOV[PLANO DE CONTAS],REL_DRE_FINANCEIRO!$B$241,LANÇ_MOV[ANO PAGAMENTO],$B$4,LANÇ_MOV[MÊS PAGAMENTO CORRESPONDENTE],O$6,LANÇ_MOV[EMPRESA],$C$4,LANÇ_MOV[CENTRO DE CUSTOS],$D$4)</f>
        <v>0</v>
      </c>
      <c r="P298" s="207">
        <f t="shared" si="43"/>
        <v>0</v>
      </c>
      <c r="Q298" s="329">
        <v>4.4000000000000002E-6</v>
      </c>
      <c r="R298" s="346">
        <f t="shared" si="44"/>
        <v>4.4000000000000002E-6</v>
      </c>
      <c r="S298" s="347" t="str">
        <f t="shared" si="45"/>
        <v>-</v>
      </c>
      <c r="T298" s="347">
        <f t="shared" si="46"/>
        <v>0</v>
      </c>
      <c r="U298" s="347">
        <f>HLOOKUP(Apoio!$P$12,$D$240:$P$341,X298,FALSE)+Q298</f>
        <v>4.4000000000000002E-6</v>
      </c>
      <c r="V298" s="447" t="str">
        <f t="shared" si="47"/>
        <v>-</v>
      </c>
      <c r="W298" s="448">
        <f>HLOOKUP(Apoio!$P$12,$D$240:$P$341,X298,FALSE)</f>
        <v>0</v>
      </c>
      <c r="X298" s="329">
        <v>59</v>
      </c>
    </row>
    <row r="299" spans="2:24" ht="30.05" customHeight="1" x14ac:dyDescent="0.35">
      <c r="B299" s="204" t="str">
        <f>'CAD_PL_REC-DESP'!N62</f>
        <v>2.2.58</v>
      </c>
      <c r="C299" s="205" t="str">
        <f>IF('CAD_PL_REC-DESP'!O62="","-",'CAD_PL_REC-DESP'!O62)</f>
        <v>-</v>
      </c>
      <c r="D299" s="206">
        <f>SUMIFS(LANÇ_MOV[VALOR LÍQUIDO],LANÇ_MOV[RECEITA OU DESPESA],"Despesa",LANÇ_MOV[CONTAS],$C299,LANÇ_MOV[PLANO DE CONTAS],REL_DRE_FINANCEIRO!$B$241,LANÇ_MOV[ANO PAGAMENTO],$B$4,LANÇ_MOV[MÊS PAGAMENTO CORRESPONDENTE],D$6,LANÇ_MOV[EMPRESA],$C$4,LANÇ_MOV[CENTRO DE CUSTOS],$D$4)</f>
        <v>0</v>
      </c>
      <c r="E299" s="206">
        <f>SUMIFS(LANÇ_MOV[VALOR LÍQUIDO],LANÇ_MOV[RECEITA OU DESPESA],"Despesa",LANÇ_MOV[CONTAS],$C299,LANÇ_MOV[PLANO DE CONTAS],REL_DRE_FINANCEIRO!$B$241,LANÇ_MOV[ANO PAGAMENTO],$B$4,LANÇ_MOV[MÊS PAGAMENTO CORRESPONDENTE],E$6,LANÇ_MOV[EMPRESA],$C$4,LANÇ_MOV[CENTRO DE CUSTOS],$D$4)</f>
        <v>0</v>
      </c>
      <c r="F299" s="206">
        <f>SUMIFS(LANÇ_MOV[VALOR LÍQUIDO],LANÇ_MOV[RECEITA OU DESPESA],"Despesa",LANÇ_MOV[CONTAS],$C299,LANÇ_MOV[PLANO DE CONTAS],REL_DRE_FINANCEIRO!$B$241,LANÇ_MOV[ANO PAGAMENTO],$B$4,LANÇ_MOV[MÊS PAGAMENTO CORRESPONDENTE],F$6,LANÇ_MOV[EMPRESA],$C$4,LANÇ_MOV[CENTRO DE CUSTOS],$D$4)</f>
        <v>0</v>
      </c>
      <c r="G299" s="206">
        <f>SUMIFS(LANÇ_MOV[VALOR LÍQUIDO],LANÇ_MOV[RECEITA OU DESPESA],"Despesa",LANÇ_MOV[CONTAS],$C299,LANÇ_MOV[PLANO DE CONTAS],REL_DRE_FINANCEIRO!$B$241,LANÇ_MOV[ANO PAGAMENTO],$B$4,LANÇ_MOV[MÊS PAGAMENTO CORRESPONDENTE],G$6,LANÇ_MOV[EMPRESA],$C$4,LANÇ_MOV[CENTRO DE CUSTOS],$D$4)</f>
        <v>0</v>
      </c>
      <c r="H299" s="206">
        <f>SUMIFS(LANÇ_MOV[VALOR LÍQUIDO],LANÇ_MOV[RECEITA OU DESPESA],"Despesa",LANÇ_MOV[CONTAS],$C299,LANÇ_MOV[PLANO DE CONTAS],REL_DRE_FINANCEIRO!$B$241,LANÇ_MOV[ANO PAGAMENTO],$B$4,LANÇ_MOV[MÊS PAGAMENTO CORRESPONDENTE],H$6,LANÇ_MOV[EMPRESA],$C$4,LANÇ_MOV[CENTRO DE CUSTOS],$D$4)</f>
        <v>0</v>
      </c>
      <c r="I299" s="206">
        <f>SUMIFS(LANÇ_MOV[VALOR LÍQUIDO],LANÇ_MOV[RECEITA OU DESPESA],"Despesa",LANÇ_MOV[CONTAS],$C299,LANÇ_MOV[PLANO DE CONTAS],REL_DRE_FINANCEIRO!$B$241,LANÇ_MOV[ANO PAGAMENTO],$B$4,LANÇ_MOV[MÊS PAGAMENTO CORRESPONDENTE],I$6,LANÇ_MOV[EMPRESA],$C$4,LANÇ_MOV[CENTRO DE CUSTOS],$D$4)</f>
        <v>0</v>
      </c>
      <c r="J299" s="206">
        <f>SUMIFS(LANÇ_MOV[VALOR LÍQUIDO],LANÇ_MOV[RECEITA OU DESPESA],"Despesa",LANÇ_MOV[CONTAS],$C299,LANÇ_MOV[PLANO DE CONTAS],REL_DRE_FINANCEIRO!$B$241,LANÇ_MOV[ANO PAGAMENTO],$B$4,LANÇ_MOV[MÊS PAGAMENTO CORRESPONDENTE],J$6,LANÇ_MOV[EMPRESA],$C$4,LANÇ_MOV[CENTRO DE CUSTOS],$D$4)</f>
        <v>0</v>
      </c>
      <c r="K299" s="206">
        <f>SUMIFS(LANÇ_MOV[VALOR LÍQUIDO],LANÇ_MOV[RECEITA OU DESPESA],"Despesa",LANÇ_MOV[CONTAS],$C299,LANÇ_MOV[PLANO DE CONTAS],REL_DRE_FINANCEIRO!$B$241,LANÇ_MOV[ANO PAGAMENTO],$B$4,LANÇ_MOV[MÊS PAGAMENTO CORRESPONDENTE],K$6,LANÇ_MOV[EMPRESA],$C$4,LANÇ_MOV[CENTRO DE CUSTOS],$D$4)</f>
        <v>0</v>
      </c>
      <c r="L299" s="206">
        <f>SUMIFS(LANÇ_MOV[VALOR LÍQUIDO],LANÇ_MOV[RECEITA OU DESPESA],"Despesa",LANÇ_MOV[CONTAS],$C299,LANÇ_MOV[PLANO DE CONTAS],REL_DRE_FINANCEIRO!$B$241,LANÇ_MOV[ANO PAGAMENTO],$B$4,LANÇ_MOV[MÊS PAGAMENTO CORRESPONDENTE],L$6,LANÇ_MOV[EMPRESA],$C$4,LANÇ_MOV[CENTRO DE CUSTOS],$D$4)</f>
        <v>0</v>
      </c>
      <c r="M299" s="206">
        <f>SUMIFS(LANÇ_MOV[VALOR LÍQUIDO],LANÇ_MOV[RECEITA OU DESPESA],"Despesa",LANÇ_MOV[CONTAS],$C299,LANÇ_MOV[PLANO DE CONTAS],REL_DRE_FINANCEIRO!$B$241,LANÇ_MOV[ANO PAGAMENTO],$B$4,LANÇ_MOV[MÊS PAGAMENTO CORRESPONDENTE],M$6,LANÇ_MOV[EMPRESA],$C$4,LANÇ_MOV[CENTRO DE CUSTOS],$D$4)</f>
        <v>0</v>
      </c>
      <c r="N299" s="206">
        <f>SUMIFS(LANÇ_MOV[VALOR LÍQUIDO],LANÇ_MOV[RECEITA OU DESPESA],"Despesa",LANÇ_MOV[CONTAS],$C299,LANÇ_MOV[PLANO DE CONTAS],REL_DRE_FINANCEIRO!$B$241,LANÇ_MOV[ANO PAGAMENTO],$B$4,LANÇ_MOV[MÊS PAGAMENTO CORRESPONDENTE],N$6,LANÇ_MOV[EMPRESA],$C$4,LANÇ_MOV[CENTRO DE CUSTOS],$D$4)</f>
        <v>0</v>
      </c>
      <c r="O299" s="206">
        <f>SUMIFS(LANÇ_MOV[VALOR LÍQUIDO],LANÇ_MOV[RECEITA OU DESPESA],"Despesa",LANÇ_MOV[CONTAS],$C299,LANÇ_MOV[PLANO DE CONTAS],REL_DRE_FINANCEIRO!$B$241,LANÇ_MOV[ANO PAGAMENTO],$B$4,LANÇ_MOV[MÊS PAGAMENTO CORRESPONDENTE],O$6,LANÇ_MOV[EMPRESA],$C$4,LANÇ_MOV[CENTRO DE CUSTOS],$D$4)</f>
        <v>0</v>
      </c>
      <c r="P299" s="207">
        <f t="shared" si="43"/>
        <v>0</v>
      </c>
      <c r="Q299" s="329">
        <v>4.3000000000000003E-6</v>
      </c>
      <c r="R299" s="346">
        <f t="shared" si="44"/>
        <v>4.3000000000000003E-6</v>
      </c>
      <c r="S299" s="347" t="str">
        <f t="shared" si="45"/>
        <v>-</v>
      </c>
      <c r="T299" s="347">
        <f t="shared" si="46"/>
        <v>0</v>
      </c>
      <c r="U299" s="347">
        <f>HLOOKUP(Apoio!$P$12,$D$240:$P$341,X299,FALSE)+Q299</f>
        <v>4.3000000000000003E-6</v>
      </c>
      <c r="V299" s="447" t="str">
        <f t="shared" si="47"/>
        <v>-</v>
      </c>
      <c r="W299" s="448">
        <f>HLOOKUP(Apoio!$P$12,$D$240:$P$341,X299,FALSE)</f>
        <v>0</v>
      </c>
      <c r="X299" s="329">
        <v>60</v>
      </c>
    </row>
    <row r="300" spans="2:24" ht="30.05" customHeight="1" x14ac:dyDescent="0.35">
      <c r="B300" s="204" t="str">
        <f>'CAD_PL_REC-DESP'!N63</f>
        <v>2.2.59</v>
      </c>
      <c r="C300" s="205" t="str">
        <f>IF('CAD_PL_REC-DESP'!O63="","-",'CAD_PL_REC-DESP'!O63)</f>
        <v>-</v>
      </c>
      <c r="D300" s="206">
        <f>SUMIFS(LANÇ_MOV[VALOR LÍQUIDO],LANÇ_MOV[RECEITA OU DESPESA],"Despesa",LANÇ_MOV[CONTAS],$C300,LANÇ_MOV[PLANO DE CONTAS],REL_DRE_FINANCEIRO!$B$241,LANÇ_MOV[ANO PAGAMENTO],$B$4,LANÇ_MOV[MÊS PAGAMENTO CORRESPONDENTE],D$6,LANÇ_MOV[EMPRESA],$C$4,LANÇ_MOV[CENTRO DE CUSTOS],$D$4)</f>
        <v>0</v>
      </c>
      <c r="E300" s="206">
        <f>SUMIFS(LANÇ_MOV[VALOR LÍQUIDO],LANÇ_MOV[RECEITA OU DESPESA],"Despesa",LANÇ_MOV[CONTAS],$C300,LANÇ_MOV[PLANO DE CONTAS],REL_DRE_FINANCEIRO!$B$241,LANÇ_MOV[ANO PAGAMENTO],$B$4,LANÇ_MOV[MÊS PAGAMENTO CORRESPONDENTE],E$6,LANÇ_MOV[EMPRESA],$C$4,LANÇ_MOV[CENTRO DE CUSTOS],$D$4)</f>
        <v>0</v>
      </c>
      <c r="F300" s="206">
        <f>SUMIFS(LANÇ_MOV[VALOR LÍQUIDO],LANÇ_MOV[RECEITA OU DESPESA],"Despesa",LANÇ_MOV[CONTAS],$C300,LANÇ_MOV[PLANO DE CONTAS],REL_DRE_FINANCEIRO!$B$241,LANÇ_MOV[ANO PAGAMENTO],$B$4,LANÇ_MOV[MÊS PAGAMENTO CORRESPONDENTE],F$6,LANÇ_MOV[EMPRESA],$C$4,LANÇ_MOV[CENTRO DE CUSTOS],$D$4)</f>
        <v>0</v>
      </c>
      <c r="G300" s="206">
        <f>SUMIFS(LANÇ_MOV[VALOR LÍQUIDO],LANÇ_MOV[RECEITA OU DESPESA],"Despesa",LANÇ_MOV[CONTAS],$C300,LANÇ_MOV[PLANO DE CONTAS],REL_DRE_FINANCEIRO!$B$241,LANÇ_MOV[ANO PAGAMENTO],$B$4,LANÇ_MOV[MÊS PAGAMENTO CORRESPONDENTE],G$6,LANÇ_MOV[EMPRESA],$C$4,LANÇ_MOV[CENTRO DE CUSTOS],$D$4)</f>
        <v>0</v>
      </c>
      <c r="H300" s="206">
        <f>SUMIFS(LANÇ_MOV[VALOR LÍQUIDO],LANÇ_MOV[RECEITA OU DESPESA],"Despesa",LANÇ_MOV[CONTAS],$C300,LANÇ_MOV[PLANO DE CONTAS],REL_DRE_FINANCEIRO!$B$241,LANÇ_MOV[ANO PAGAMENTO],$B$4,LANÇ_MOV[MÊS PAGAMENTO CORRESPONDENTE],H$6,LANÇ_MOV[EMPRESA],$C$4,LANÇ_MOV[CENTRO DE CUSTOS],$D$4)</f>
        <v>0</v>
      </c>
      <c r="I300" s="206">
        <f>SUMIFS(LANÇ_MOV[VALOR LÍQUIDO],LANÇ_MOV[RECEITA OU DESPESA],"Despesa",LANÇ_MOV[CONTAS],$C300,LANÇ_MOV[PLANO DE CONTAS],REL_DRE_FINANCEIRO!$B$241,LANÇ_MOV[ANO PAGAMENTO],$B$4,LANÇ_MOV[MÊS PAGAMENTO CORRESPONDENTE],I$6,LANÇ_MOV[EMPRESA],$C$4,LANÇ_MOV[CENTRO DE CUSTOS],$D$4)</f>
        <v>0</v>
      </c>
      <c r="J300" s="206">
        <f>SUMIFS(LANÇ_MOV[VALOR LÍQUIDO],LANÇ_MOV[RECEITA OU DESPESA],"Despesa",LANÇ_MOV[CONTAS],$C300,LANÇ_MOV[PLANO DE CONTAS],REL_DRE_FINANCEIRO!$B$241,LANÇ_MOV[ANO PAGAMENTO],$B$4,LANÇ_MOV[MÊS PAGAMENTO CORRESPONDENTE],J$6,LANÇ_MOV[EMPRESA],$C$4,LANÇ_MOV[CENTRO DE CUSTOS],$D$4)</f>
        <v>0</v>
      </c>
      <c r="K300" s="206">
        <f>SUMIFS(LANÇ_MOV[VALOR LÍQUIDO],LANÇ_MOV[RECEITA OU DESPESA],"Despesa",LANÇ_MOV[CONTAS],$C300,LANÇ_MOV[PLANO DE CONTAS],REL_DRE_FINANCEIRO!$B$241,LANÇ_MOV[ANO PAGAMENTO],$B$4,LANÇ_MOV[MÊS PAGAMENTO CORRESPONDENTE],K$6,LANÇ_MOV[EMPRESA],$C$4,LANÇ_MOV[CENTRO DE CUSTOS],$D$4)</f>
        <v>0</v>
      </c>
      <c r="L300" s="206">
        <f>SUMIFS(LANÇ_MOV[VALOR LÍQUIDO],LANÇ_MOV[RECEITA OU DESPESA],"Despesa",LANÇ_MOV[CONTAS],$C300,LANÇ_MOV[PLANO DE CONTAS],REL_DRE_FINANCEIRO!$B$241,LANÇ_MOV[ANO PAGAMENTO],$B$4,LANÇ_MOV[MÊS PAGAMENTO CORRESPONDENTE],L$6,LANÇ_MOV[EMPRESA],$C$4,LANÇ_MOV[CENTRO DE CUSTOS],$D$4)</f>
        <v>0</v>
      </c>
      <c r="M300" s="206">
        <f>SUMIFS(LANÇ_MOV[VALOR LÍQUIDO],LANÇ_MOV[RECEITA OU DESPESA],"Despesa",LANÇ_MOV[CONTAS],$C300,LANÇ_MOV[PLANO DE CONTAS],REL_DRE_FINANCEIRO!$B$241,LANÇ_MOV[ANO PAGAMENTO],$B$4,LANÇ_MOV[MÊS PAGAMENTO CORRESPONDENTE],M$6,LANÇ_MOV[EMPRESA],$C$4,LANÇ_MOV[CENTRO DE CUSTOS],$D$4)</f>
        <v>0</v>
      </c>
      <c r="N300" s="206">
        <f>SUMIFS(LANÇ_MOV[VALOR LÍQUIDO],LANÇ_MOV[RECEITA OU DESPESA],"Despesa",LANÇ_MOV[CONTAS],$C300,LANÇ_MOV[PLANO DE CONTAS],REL_DRE_FINANCEIRO!$B$241,LANÇ_MOV[ANO PAGAMENTO],$B$4,LANÇ_MOV[MÊS PAGAMENTO CORRESPONDENTE],N$6,LANÇ_MOV[EMPRESA],$C$4,LANÇ_MOV[CENTRO DE CUSTOS],$D$4)</f>
        <v>0</v>
      </c>
      <c r="O300" s="206">
        <f>SUMIFS(LANÇ_MOV[VALOR LÍQUIDO],LANÇ_MOV[RECEITA OU DESPESA],"Despesa",LANÇ_MOV[CONTAS],$C300,LANÇ_MOV[PLANO DE CONTAS],REL_DRE_FINANCEIRO!$B$241,LANÇ_MOV[ANO PAGAMENTO],$B$4,LANÇ_MOV[MÊS PAGAMENTO CORRESPONDENTE],O$6,LANÇ_MOV[EMPRESA],$C$4,LANÇ_MOV[CENTRO DE CUSTOS],$D$4)</f>
        <v>0</v>
      </c>
      <c r="P300" s="207">
        <f t="shared" si="43"/>
        <v>0</v>
      </c>
      <c r="Q300" s="329">
        <v>4.1999999999999996E-6</v>
      </c>
      <c r="R300" s="346">
        <f t="shared" si="44"/>
        <v>4.1999999999999996E-6</v>
      </c>
      <c r="S300" s="347" t="str">
        <f t="shared" si="45"/>
        <v>-</v>
      </c>
      <c r="T300" s="347">
        <f t="shared" si="46"/>
        <v>0</v>
      </c>
      <c r="U300" s="347">
        <f>HLOOKUP(Apoio!$P$12,$D$240:$P$341,X300,FALSE)+Q300</f>
        <v>4.1999999999999996E-6</v>
      </c>
      <c r="V300" s="447" t="str">
        <f t="shared" si="47"/>
        <v>-</v>
      </c>
      <c r="W300" s="448">
        <f>HLOOKUP(Apoio!$P$12,$D$240:$P$341,X300,FALSE)</f>
        <v>0</v>
      </c>
      <c r="X300" s="329">
        <v>61</v>
      </c>
    </row>
    <row r="301" spans="2:24" ht="30.05" customHeight="1" x14ac:dyDescent="0.35">
      <c r="B301" s="204" t="str">
        <f>'CAD_PL_REC-DESP'!N64</f>
        <v>2.2.60</v>
      </c>
      <c r="C301" s="205" t="str">
        <f>IF('CAD_PL_REC-DESP'!O64="","-",'CAD_PL_REC-DESP'!O64)</f>
        <v>-</v>
      </c>
      <c r="D301" s="206">
        <f>SUMIFS(LANÇ_MOV[VALOR LÍQUIDO],LANÇ_MOV[RECEITA OU DESPESA],"Despesa",LANÇ_MOV[CONTAS],$C301,LANÇ_MOV[PLANO DE CONTAS],REL_DRE_FINANCEIRO!$B$241,LANÇ_MOV[ANO PAGAMENTO],$B$4,LANÇ_MOV[MÊS PAGAMENTO CORRESPONDENTE],D$6,LANÇ_MOV[EMPRESA],$C$4,LANÇ_MOV[CENTRO DE CUSTOS],$D$4)</f>
        <v>0</v>
      </c>
      <c r="E301" s="206">
        <f>SUMIFS(LANÇ_MOV[VALOR LÍQUIDO],LANÇ_MOV[RECEITA OU DESPESA],"Despesa",LANÇ_MOV[CONTAS],$C301,LANÇ_MOV[PLANO DE CONTAS],REL_DRE_FINANCEIRO!$B$241,LANÇ_MOV[ANO PAGAMENTO],$B$4,LANÇ_MOV[MÊS PAGAMENTO CORRESPONDENTE],E$6,LANÇ_MOV[EMPRESA],$C$4,LANÇ_MOV[CENTRO DE CUSTOS],$D$4)</f>
        <v>0</v>
      </c>
      <c r="F301" s="206">
        <f>SUMIFS(LANÇ_MOV[VALOR LÍQUIDO],LANÇ_MOV[RECEITA OU DESPESA],"Despesa",LANÇ_MOV[CONTAS],$C301,LANÇ_MOV[PLANO DE CONTAS],REL_DRE_FINANCEIRO!$B$241,LANÇ_MOV[ANO PAGAMENTO],$B$4,LANÇ_MOV[MÊS PAGAMENTO CORRESPONDENTE],F$6,LANÇ_MOV[EMPRESA],$C$4,LANÇ_MOV[CENTRO DE CUSTOS],$D$4)</f>
        <v>0</v>
      </c>
      <c r="G301" s="206">
        <f>SUMIFS(LANÇ_MOV[VALOR LÍQUIDO],LANÇ_MOV[RECEITA OU DESPESA],"Despesa",LANÇ_MOV[CONTAS],$C301,LANÇ_MOV[PLANO DE CONTAS],REL_DRE_FINANCEIRO!$B$241,LANÇ_MOV[ANO PAGAMENTO],$B$4,LANÇ_MOV[MÊS PAGAMENTO CORRESPONDENTE],G$6,LANÇ_MOV[EMPRESA],$C$4,LANÇ_MOV[CENTRO DE CUSTOS],$D$4)</f>
        <v>0</v>
      </c>
      <c r="H301" s="206">
        <f>SUMIFS(LANÇ_MOV[VALOR LÍQUIDO],LANÇ_MOV[RECEITA OU DESPESA],"Despesa",LANÇ_MOV[CONTAS],$C301,LANÇ_MOV[PLANO DE CONTAS],REL_DRE_FINANCEIRO!$B$241,LANÇ_MOV[ANO PAGAMENTO],$B$4,LANÇ_MOV[MÊS PAGAMENTO CORRESPONDENTE],H$6,LANÇ_MOV[EMPRESA],$C$4,LANÇ_MOV[CENTRO DE CUSTOS],$D$4)</f>
        <v>0</v>
      </c>
      <c r="I301" s="206">
        <f>SUMIFS(LANÇ_MOV[VALOR LÍQUIDO],LANÇ_MOV[RECEITA OU DESPESA],"Despesa",LANÇ_MOV[CONTAS],$C301,LANÇ_MOV[PLANO DE CONTAS],REL_DRE_FINANCEIRO!$B$241,LANÇ_MOV[ANO PAGAMENTO],$B$4,LANÇ_MOV[MÊS PAGAMENTO CORRESPONDENTE],I$6,LANÇ_MOV[EMPRESA],$C$4,LANÇ_MOV[CENTRO DE CUSTOS],$D$4)</f>
        <v>0</v>
      </c>
      <c r="J301" s="206">
        <f>SUMIFS(LANÇ_MOV[VALOR LÍQUIDO],LANÇ_MOV[RECEITA OU DESPESA],"Despesa",LANÇ_MOV[CONTAS],$C301,LANÇ_MOV[PLANO DE CONTAS],REL_DRE_FINANCEIRO!$B$241,LANÇ_MOV[ANO PAGAMENTO],$B$4,LANÇ_MOV[MÊS PAGAMENTO CORRESPONDENTE],J$6,LANÇ_MOV[EMPRESA],$C$4,LANÇ_MOV[CENTRO DE CUSTOS],$D$4)</f>
        <v>0</v>
      </c>
      <c r="K301" s="206">
        <f>SUMIFS(LANÇ_MOV[VALOR LÍQUIDO],LANÇ_MOV[RECEITA OU DESPESA],"Despesa",LANÇ_MOV[CONTAS],$C301,LANÇ_MOV[PLANO DE CONTAS],REL_DRE_FINANCEIRO!$B$241,LANÇ_MOV[ANO PAGAMENTO],$B$4,LANÇ_MOV[MÊS PAGAMENTO CORRESPONDENTE],K$6,LANÇ_MOV[EMPRESA],$C$4,LANÇ_MOV[CENTRO DE CUSTOS],$D$4)</f>
        <v>0</v>
      </c>
      <c r="L301" s="206">
        <f>SUMIFS(LANÇ_MOV[VALOR LÍQUIDO],LANÇ_MOV[RECEITA OU DESPESA],"Despesa",LANÇ_MOV[CONTAS],$C301,LANÇ_MOV[PLANO DE CONTAS],REL_DRE_FINANCEIRO!$B$241,LANÇ_MOV[ANO PAGAMENTO],$B$4,LANÇ_MOV[MÊS PAGAMENTO CORRESPONDENTE],L$6,LANÇ_MOV[EMPRESA],$C$4,LANÇ_MOV[CENTRO DE CUSTOS],$D$4)</f>
        <v>0</v>
      </c>
      <c r="M301" s="206">
        <f>SUMIFS(LANÇ_MOV[VALOR LÍQUIDO],LANÇ_MOV[RECEITA OU DESPESA],"Despesa",LANÇ_MOV[CONTAS],$C301,LANÇ_MOV[PLANO DE CONTAS],REL_DRE_FINANCEIRO!$B$241,LANÇ_MOV[ANO PAGAMENTO],$B$4,LANÇ_MOV[MÊS PAGAMENTO CORRESPONDENTE],M$6,LANÇ_MOV[EMPRESA],$C$4,LANÇ_MOV[CENTRO DE CUSTOS],$D$4)</f>
        <v>0</v>
      </c>
      <c r="N301" s="206">
        <f>SUMIFS(LANÇ_MOV[VALOR LÍQUIDO],LANÇ_MOV[RECEITA OU DESPESA],"Despesa",LANÇ_MOV[CONTAS],$C301,LANÇ_MOV[PLANO DE CONTAS],REL_DRE_FINANCEIRO!$B$241,LANÇ_MOV[ANO PAGAMENTO],$B$4,LANÇ_MOV[MÊS PAGAMENTO CORRESPONDENTE],N$6,LANÇ_MOV[EMPRESA],$C$4,LANÇ_MOV[CENTRO DE CUSTOS],$D$4)</f>
        <v>0</v>
      </c>
      <c r="O301" s="206">
        <f>SUMIFS(LANÇ_MOV[VALOR LÍQUIDO],LANÇ_MOV[RECEITA OU DESPESA],"Despesa",LANÇ_MOV[CONTAS],$C301,LANÇ_MOV[PLANO DE CONTAS],REL_DRE_FINANCEIRO!$B$241,LANÇ_MOV[ANO PAGAMENTO],$B$4,LANÇ_MOV[MÊS PAGAMENTO CORRESPONDENTE],O$6,LANÇ_MOV[EMPRESA],$C$4,LANÇ_MOV[CENTRO DE CUSTOS],$D$4)</f>
        <v>0</v>
      </c>
      <c r="P301" s="207">
        <f t="shared" si="43"/>
        <v>0</v>
      </c>
      <c r="Q301" s="329">
        <v>4.0999999999999997E-6</v>
      </c>
      <c r="R301" s="346">
        <f t="shared" si="44"/>
        <v>4.0999999999999997E-6</v>
      </c>
      <c r="S301" s="347" t="str">
        <f t="shared" si="45"/>
        <v>-</v>
      </c>
      <c r="T301" s="347">
        <f t="shared" si="46"/>
        <v>0</v>
      </c>
      <c r="U301" s="347">
        <f>HLOOKUP(Apoio!$P$12,$D$240:$P$341,X301,FALSE)+Q301</f>
        <v>4.0999999999999997E-6</v>
      </c>
      <c r="V301" s="447" t="str">
        <f t="shared" si="47"/>
        <v>-</v>
      </c>
      <c r="W301" s="448">
        <f>HLOOKUP(Apoio!$P$12,$D$240:$P$341,X301,FALSE)</f>
        <v>0</v>
      </c>
      <c r="X301" s="329">
        <v>62</v>
      </c>
    </row>
    <row r="302" spans="2:24" ht="30.05" customHeight="1" x14ac:dyDescent="0.35">
      <c r="B302" s="204" t="str">
        <f>'CAD_PL_REC-DESP'!N65</f>
        <v>2.2.61</v>
      </c>
      <c r="C302" s="205" t="str">
        <f>IF('CAD_PL_REC-DESP'!O65="","-",'CAD_PL_REC-DESP'!O65)</f>
        <v>-</v>
      </c>
      <c r="D302" s="206">
        <f>SUMIFS(LANÇ_MOV[VALOR LÍQUIDO],LANÇ_MOV[RECEITA OU DESPESA],"Despesa",LANÇ_MOV[CONTAS],$C302,LANÇ_MOV[PLANO DE CONTAS],REL_DRE_FINANCEIRO!$B$241,LANÇ_MOV[ANO PAGAMENTO],$B$4,LANÇ_MOV[MÊS PAGAMENTO CORRESPONDENTE],D$6,LANÇ_MOV[EMPRESA],$C$4,LANÇ_MOV[CENTRO DE CUSTOS],$D$4)</f>
        <v>0</v>
      </c>
      <c r="E302" s="206">
        <f>SUMIFS(LANÇ_MOV[VALOR LÍQUIDO],LANÇ_MOV[RECEITA OU DESPESA],"Despesa",LANÇ_MOV[CONTAS],$C302,LANÇ_MOV[PLANO DE CONTAS],REL_DRE_FINANCEIRO!$B$241,LANÇ_MOV[ANO PAGAMENTO],$B$4,LANÇ_MOV[MÊS PAGAMENTO CORRESPONDENTE],E$6,LANÇ_MOV[EMPRESA],$C$4,LANÇ_MOV[CENTRO DE CUSTOS],$D$4)</f>
        <v>0</v>
      </c>
      <c r="F302" s="206">
        <f>SUMIFS(LANÇ_MOV[VALOR LÍQUIDO],LANÇ_MOV[RECEITA OU DESPESA],"Despesa",LANÇ_MOV[CONTAS],$C302,LANÇ_MOV[PLANO DE CONTAS],REL_DRE_FINANCEIRO!$B$241,LANÇ_MOV[ANO PAGAMENTO],$B$4,LANÇ_MOV[MÊS PAGAMENTO CORRESPONDENTE],F$6,LANÇ_MOV[EMPRESA],$C$4,LANÇ_MOV[CENTRO DE CUSTOS],$D$4)</f>
        <v>0</v>
      </c>
      <c r="G302" s="206">
        <f>SUMIFS(LANÇ_MOV[VALOR LÍQUIDO],LANÇ_MOV[RECEITA OU DESPESA],"Despesa",LANÇ_MOV[CONTAS],$C302,LANÇ_MOV[PLANO DE CONTAS],REL_DRE_FINANCEIRO!$B$241,LANÇ_MOV[ANO PAGAMENTO],$B$4,LANÇ_MOV[MÊS PAGAMENTO CORRESPONDENTE],G$6,LANÇ_MOV[EMPRESA],$C$4,LANÇ_MOV[CENTRO DE CUSTOS],$D$4)</f>
        <v>0</v>
      </c>
      <c r="H302" s="206">
        <f>SUMIFS(LANÇ_MOV[VALOR LÍQUIDO],LANÇ_MOV[RECEITA OU DESPESA],"Despesa",LANÇ_MOV[CONTAS],$C302,LANÇ_MOV[PLANO DE CONTAS],REL_DRE_FINANCEIRO!$B$241,LANÇ_MOV[ANO PAGAMENTO],$B$4,LANÇ_MOV[MÊS PAGAMENTO CORRESPONDENTE],H$6,LANÇ_MOV[EMPRESA],$C$4,LANÇ_MOV[CENTRO DE CUSTOS],$D$4)</f>
        <v>0</v>
      </c>
      <c r="I302" s="206">
        <f>SUMIFS(LANÇ_MOV[VALOR LÍQUIDO],LANÇ_MOV[RECEITA OU DESPESA],"Despesa",LANÇ_MOV[CONTAS],$C302,LANÇ_MOV[PLANO DE CONTAS],REL_DRE_FINANCEIRO!$B$241,LANÇ_MOV[ANO PAGAMENTO],$B$4,LANÇ_MOV[MÊS PAGAMENTO CORRESPONDENTE],I$6,LANÇ_MOV[EMPRESA],$C$4,LANÇ_MOV[CENTRO DE CUSTOS],$D$4)</f>
        <v>0</v>
      </c>
      <c r="J302" s="206">
        <f>SUMIFS(LANÇ_MOV[VALOR LÍQUIDO],LANÇ_MOV[RECEITA OU DESPESA],"Despesa",LANÇ_MOV[CONTAS],$C302,LANÇ_MOV[PLANO DE CONTAS],REL_DRE_FINANCEIRO!$B$241,LANÇ_MOV[ANO PAGAMENTO],$B$4,LANÇ_MOV[MÊS PAGAMENTO CORRESPONDENTE],J$6,LANÇ_MOV[EMPRESA],$C$4,LANÇ_MOV[CENTRO DE CUSTOS],$D$4)</f>
        <v>0</v>
      </c>
      <c r="K302" s="206">
        <f>SUMIFS(LANÇ_MOV[VALOR LÍQUIDO],LANÇ_MOV[RECEITA OU DESPESA],"Despesa",LANÇ_MOV[CONTAS],$C302,LANÇ_MOV[PLANO DE CONTAS],REL_DRE_FINANCEIRO!$B$241,LANÇ_MOV[ANO PAGAMENTO],$B$4,LANÇ_MOV[MÊS PAGAMENTO CORRESPONDENTE],K$6,LANÇ_MOV[EMPRESA],$C$4,LANÇ_MOV[CENTRO DE CUSTOS],$D$4)</f>
        <v>0</v>
      </c>
      <c r="L302" s="206">
        <f>SUMIFS(LANÇ_MOV[VALOR LÍQUIDO],LANÇ_MOV[RECEITA OU DESPESA],"Despesa",LANÇ_MOV[CONTAS],$C302,LANÇ_MOV[PLANO DE CONTAS],REL_DRE_FINANCEIRO!$B$241,LANÇ_MOV[ANO PAGAMENTO],$B$4,LANÇ_MOV[MÊS PAGAMENTO CORRESPONDENTE],L$6,LANÇ_MOV[EMPRESA],$C$4,LANÇ_MOV[CENTRO DE CUSTOS],$D$4)</f>
        <v>0</v>
      </c>
      <c r="M302" s="206">
        <f>SUMIFS(LANÇ_MOV[VALOR LÍQUIDO],LANÇ_MOV[RECEITA OU DESPESA],"Despesa",LANÇ_MOV[CONTAS],$C302,LANÇ_MOV[PLANO DE CONTAS],REL_DRE_FINANCEIRO!$B$241,LANÇ_MOV[ANO PAGAMENTO],$B$4,LANÇ_MOV[MÊS PAGAMENTO CORRESPONDENTE],M$6,LANÇ_MOV[EMPRESA],$C$4,LANÇ_MOV[CENTRO DE CUSTOS],$D$4)</f>
        <v>0</v>
      </c>
      <c r="N302" s="206">
        <f>SUMIFS(LANÇ_MOV[VALOR LÍQUIDO],LANÇ_MOV[RECEITA OU DESPESA],"Despesa",LANÇ_MOV[CONTAS],$C302,LANÇ_MOV[PLANO DE CONTAS],REL_DRE_FINANCEIRO!$B$241,LANÇ_MOV[ANO PAGAMENTO],$B$4,LANÇ_MOV[MÊS PAGAMENTO CORRESPONDENTE],N$6,LANÇ_MOV[EMPRESA],$C$4,LANÇ_MOV[CENTRO DE CUSTOS],$D$4)</f>
        <v>0</v>
      </c>
      <c r="O302" s="206">
        <f>SUMIFS(LANÇ_MOV[VALOR LÍQUIDO],LANÇ_MOV[RECEITA OU DESPESA],"Despesa",LANÇ_MOV[CONTAS],$C302,LANÇ_MOV[PLANO DE CONTAS],REL_DRE_FINANCEIRO!$B$241,LANÇ_MOV[ANO PAGAMENTO],$B$4,LANÇ_MOV[MÊS PAGAMENTO CORRESPONDENTE],O$6,LANÇ_MOV[EMPRESA],$C$4,LANÇ_MOV[CENTRO DE CUSTOS],$D$4)</f>
        <v>0</v>
      </c>
      <c r="P302" s="207">
        <f t="shared" si="43"/>
        <v>0</v>
      </c>
      <c r="Q302" s="329">
        <v>3.9999999999999998E-6</v>
      </c>
      <c r="R302" s="346">
        <f t="shared" si="44"/>
        <v>3.9999999999999998E-6</v>
      </c>
      <c r="S302" s="347" t="str">
        <f t="shared" si="45"/>
        <v>-</v>
      </c>
      <c r="T302" s="347">
        <f t="shared" si="46"/>
        <v>0</v>
      </c>
      <c r="U302" s="347">
        <f>HLOOKUP(Apoio!$P$12,$D$240:$P$341,X302,FALSE)+Q302</f>
        <v>3.9999999999999998E-6</v>
      </c>
      <c r="V302" s="447" t="str">
        <f t="shared" si="47"/>
        <v>-</v>
      </c>
      <c r="W302" s="448">
        <f>HLOOKUP(Apoio!$P$12,$D$240:$P$341,X302,FALSE)</f>
        <v>0</v>
      </c>
      <c r="X302" s="329">
        <v>63</v>
      </c>
    </row>
    <row r="303" spans="2:24" ht="30.05" customHeight="1" x14ac:dyDescent="0.35">
      <c r="B303" s="204" t="str">
        <f>'CAD_PL_REC-DESP'!N66</f>
        <v>2.2.62</v>
      </c>
      <c r="C303" s="205" t="str">
        <f>IF('CAD_PL_REC-DESP'!O66="","-",'CAD_PL_REC-DESP'!O66)</f>
        <v>-</v>
      </c>
      <c r="D303" s="206">
        <f>SUMIFS(LANÇ_MOV[VALOR LÍQUIDO],LANÇ_MOV[RECEITA OU DESPESA],"Despesa",LANÇ_MOV[CONTAS],$C303,LANÇ_MOV[PLANO DE CONTAS],REL_DRE_FINANCEIRO!$B$241,LANÇ_MOV[ANO PAGAMENTO],$B$4,LANÇ_MOV[MÊS PAGAMENTO CORRESPONDENTE],D$6,LANÇ_MOV[EMPRESA],$C$4,LANÇ_MOV[CENTRO DE CUSTOS],$D$4)</f>
        <v>0</v>
      </c>
      <c r="E303" s="206">
        <f>SUMIFS(LANÇ_MOV[VALOR LÍQUIDO],LANÇ_MOV[RECEITA OU DESPESA],"Despesa",LANÇ_MOV[CONTAS],$C303,LANÇ_MOV[PLANO DE CONTAS],REL_DRE_FINANCEIRO!$B$241,LANÇ_MOV[ANO PAGAMENTO],$B$4,LANÇ_MOV[MÊS PAGAMENTO CORRESPONDENTE],E$6,LANÇ_MOV[EMPRESA],$C$4,LANÇ_MOV[CENTRO DE CUSTOS],$D$4)</f>
        <v>0</v>
      </c>
      <c r="F303" s="206">
        <f>SUMIFS(LANÇ_MOV[VALOR LÍQUIDO],LANÇ_MOV[RECEITA OU DESPESA],"Despesa",LANÇ_MOV[CONTAS],$C303,LANÇ_MOV[PLANO DE CONTAS],REL_DRE_FINANCEIRO!$B$241,LANÇ_MOV[ANO PAGAMENTO],$B$4,LANÇ_MOV[MÊS PAGAMENTO CORRESPONDENTE],F$6,LANÇ_MOV[EMPRESA],$C$4,LANÇ_MOV[CENTRO DE CUSTOS],$D$4)</f>
        <v>0</v>
      </c>
      <c r="G303" s="206">
        <f>SUMIFS(LANÇ_MOV[VALOR LÍQUIDO],LANÇ_MOV[RECEITA OU DESPESA],"Despesa",LANÇ_MOV[CONTAS],$C303,LANÇ_MOV[PLANO DE CONTAS],REL_DRE_FINANCEIRO!$B$241,LANÇ_MOV[ANO PAGAMENTO],$B$4,LANÇ_MOV[MÊS PAGAMENTO CORRESPONDENTE],G$6,LANÇ_MOV[EMPRESA],$C$4,LANÇ_MOV[CENTRO DE CUSTOS],$D$4)</f>
        <v>0</v>
      </c>
      <c r="H303" s="206">
        <f>SUMIFS(LANÇ_MOV[VALOR LÍQUIDO],LANÇ_MOV[RECEITA OU DESPESA],"Despesa",LANÇ_MOV[CONTAS],$C303,LANÇ_MOV[PLANO DE CONTAS],REL_DRE_FINANCEIRO!$B$241,LANÇ_MOV[ANO PAGAMENTO],$B$4,LANÇ_MOV[MÊS PAGAMENTO CORRESPONDENTE],H$6,LANÇ_MOV[EMPRESA],$C$4,LANÇ_MOV[CENTRO DE CUSTOS],$D$4)</f>
        <v>0</v>
      </c>
      <c r="I303" s="206">
        <f>SUMIFS(LANÇ_MOV[VALOR LÍQUIDO],LANÇ_MOV[RECEITA OU DESPESA],"Despesa",LANÇ_MOV[CONTAS],$C303,LANÇ_MOV[PLANO DE CONTAS],REL_DRE_FINANCEIRO!$B$241,LANÇ_MOV[ANO PAGAMENTO],$B$4,LANÇ_MOV[MÊS PAGAMENTO CORRESPONDENTE],I$6,LANÇ_MOV[EMPRESA],$C$4,LANÇ_MOV[CENTRO DE CUSTOS],$D$4)</f>
        <v>0</v>
      </c>
      <c r="J303" s="206">
        <f>SUMIFS(LANÇ_MOV[VALOR LÍQUIDO],LANÇ_MOV[RECEITA OU DESPESA],"Despesa",LANÇ_MOV[CONTAS],$C303,LANÇ_MOV[PLANO DE CONTAS],REL_DRE_FINANCEIRO!$B$241,LANÇ_MOV[ANO PAGAMENTO],$B$4,LANÇ_MOV[MÊS PAGAMENTO CORRESPONDENTE],J$6,LANÇ_MOV[EMPRESA],$C$4,LANÇ_MOV[CENTRO DE CUSTOS],$D$4)</f>
        <v>0</v>
      </c>
      <c r="K303" s="206">
        <f>SUMIFS(LANÇ_MOV[VALOR LÍQUIDO],LANÇ_MOV[RECEITA OU DESPESA],"Despesa",LANÇ_MOV[CONTAS],$C303,LANÇ_MOV[PLANO DE CONTAS],REL_DRE_FINANCEIRO!$B$241,LANÇ_MOV[ANO PAGAMENTO],$B$4,LANÇ_MOV[MÊS PAGAMENTO CORRESPONDENTE],K$6,LANÇ_MOV[EMPRESA],$C$4,LANÇ_MOV[CENTRO DE CUSTOS],$D$4)</f>
        <v>0</v>
      </c>
      <c r="L303" s="206">
        <f>SUMIFS(LANÇ_MOV[VALOR LÍQUIDO],LANÇ_MOV[RECEITA OU DESPESA],"Despesa",LANÇ_MOV[CONTAS],$C303,LANÇ_MOV[PLANO DE CONTAS],REL_DRE_FINANCEIRO!$B$241,LANÇ_MOV[ANO PAGAMENTO],$B$4,LANÇ_MOV[MÊS PAGAMENTO CORRESPONDENTE],L$6,LANÇ_MOV[EMPRESA],$C$4,LANÇ_MOV[CENTRO DE CUSTOS],$D$4)</f>
        <v>0</v>
      </c>
      <c r="M303" s="206">
        <f>SUMIFS(LANÇ_MOV[VALOR LÍQUIDO],LANÇ_MOV[RECEITA OU DESPESA],"Despesa",LANÇ_MOV[CONTAS],$C303,LANÇ_MOV[PLANO DE CONTAS],REL_DRE_FINANCEIRO!$B$241,LANÇ_MOV[ANO PAGAMENTO],$B$4,LANÇ_MOV[MÊS PAGAMENTO CORRESPONDENTE],M$6,LANÇ_MOV[EMPRESA],$C$4,LANÇ_MOV[CENTRO DE CUSTOS],$D$4)</f>
        <v>0</v>
      </c>
      <c r="N303" s="206">
        <f>SUMIFS(LANÇ_MOV[VALOR LÍQUIDO],LANÇ_MOV[RECEITA OU DESPESA],"Despesa",LANÇ_MOV[CONTAS],$C303,LANÇ_MOV[PLANO DE CONTAS],REL_DRE_FINANCEIRO!$B$241,LANÇ_MOV[ANO PAGAMENTO],$B$4,LANÇ_MOV[MÊS PAGAMENTO CORRESPONDENTE],N$6,LANÇ_MOV[EMPRESA],$C$4,LANÇ_MOV[CENTRO DE CUSTOS],$D$4)</f>
        <v>0</v>
      </c>
      <c r="O303" s="206">
        <f>SUMIFS(LANÇ_MOV[VALOR LÍQUIDO],LANÇ_MOV[RECEITA OU DESPESA],"Despesa",LANÇ_MOV[CONTAS],$C303,LANÇ_MOV[PLANO DE CONTAS],REL_DRE_FINANCEIRO!$B$241,LANÇ_MOV[ANO PAGAMENTO],$B$4,LANÇ_MOV[MÊS PAGAMENTO CORRESPONDENTE],O$6,LANÇ_MOV[EMPRESA],$C$4,LANÇ_MOV[CENTRO DE CUSTOS],$D$4)</f>
        <v>0</v>
      </c>
      <c r="P303" s="207">
        <f t="shared" si="43"/>
        <v>0</v>
      </c>
      <c r="Q303" s="329">
        <v>3.8999999999999999E-6</v>
      </c>
      <c r="R303" s="346">
        <f t="shared" si="44"/>
        <v>3.8999999999999999E-6</v>
      </c>
      <c r="S303" s="347" t="str">
        <f t="shared" si="45"/>
        <v>-</v>
      </c>
      <c r="T303" s="347">
        <f t="shared" si="46"/>
        <v>0</v>
      </c>
      <c r="U303" s="347">
        <f>HLOOKUP(Apoio!$P$12,$D$240:$P$341,X303,FALSE)+Q303</f>
        <v>3.8999999999999999E-6</v>
      </c>
      <c r="V303" s="447" t="str">
        <f t="shared" si="47"/>
        <v>-</v>
      </c>
      <c r="W303" s="448">
        <f>HLOOKUP(Apoio!$P$12,$D$240:$P$341,X303,FALSE)</f>
        <v>0</v>
      </c>
      <c r="X303" s="329">
        <v>64</v>
      </c>
    </row>
    <row r="304" spans="2:24" ht="30.05" customHeight="1" x14ac:dyDescent="0.35">
      <c r="B304" s="204" t="str">
        <f>'CAD_PL_REC-DESP'!N67</f>
        <v>2.2.63</v>
      </c>
      <c r="C304" s="205" t="str">
        <f>IF('CAD_PL_REC-DESP'!O67="","-",'CAD_PL_REC-DESP'!O67)</f>
        <v>-</v>
      </c>
      <c r="D304" s="206">
        <f>SUMIFS(LANÇ_MOV[VALOR LÍQUIDO],LANÇ_MOV[RECEITA OU DESPESA],"Despesa",LANÇ_MOV[CONTAS],$C304,LANÇ_MOV[PLANO DE CONTAS],REL_DRE_FINANCEIRO!$B$241,LANÇ_MOV[ANO PAGAMENTO],$B$4,LANÇ_MOV[MÊS PAGAMENTO CORRESPONDENTE],D$6,LANÇ_MOV[EMPRESA],$C$4,LANÇ_MOV[CENTRO DE CUSTOS],$D$4)</f>
        <v>0</v>
      </c>
      <c r="E304" s="206">
        <f>SUMIFS(LANÇ_MOV[VALOR LÍQUIDO],LANÇ_MOV[RECEITA OU DESPESA],"Despesa",LANÇ_MOV[CONTAS],$C304,LANÇ_MOV[PLANO DE CONTAS],REL_DRE_FINANCEIRO!$B$241,LANÇ_MOV[ANO PAGAMENTO],$B$4,LANÇ_MOV[MÊS PAGAMENTO CORRESPONDENTE],E$6,LANÇ_MOV[EMPRESA],$C$4,LANÇ_MOV[CENTRO DE CUSTOS],$D$4)</f>
        <v>0</v>
      </c>
      <c r="F304" s="206">
        <f>SUMIFS(LANÇ_MOV[VALOR LÍQUIDO],LANÇ_MOV[RECEITA OU DESPESA],"Despesa",LANÇ_MOV[CONTAS],$C304,LANÇ_MOV[PLANO DE CONTAS],REL_DRE_FINANCEIRO!$B$241,LANÇ_MOV[ANO PAGAMENTO],$B$4,LANÇ_MOV[MÊS PAGAMENTO CORRESPONDENTE],F$6,LANÇ_MOV[EMPRESA],$C$4,LANÇ_MOV[CENTRO DE CUSTOS],$D$4)</f>
        <v>0</v>
      </c>
      <c r="G304" s="206">
        <f>SUMIFS(LANÇ_MOV[VALOR LÍQUIDO],LANÇ_MOV[RECEITA OU DESPESA],"Despesa",LANÇ_MOV[CONTAS],$C304,LANÇ_MOV[PLANO DE CONTAS],REL_DRE_FINANCEIRO!$B$241,LANÇ_MOV[ANO PAGAMENTO],$B$4,LANÇ_MOV[MÊS PAGAMENTO CORRESPONDENTE],G$6,LANÇ_MOV[EMPRESA],$C$4,LANÇ_MOV[CENTRO DE CUSTOS],$D$4)</f>
        <v>0</v>
      </c>
      <c r="H304" s="206">
        <f>SUMIFS(LANÇ_MOV[VALOR LÍQUIDO],LANÇ_MOV[RECEITA OU DESPESA],"Despesa",LANÇ_MOV[CONTAS],$C304,LANÇ_MOV[PLANO DE CONTAS],REL_DRE_FINANCEIRO!$B$241,LANÇ_MOV[ANO PAGAMENTO],$B$4,LANÇ_MOV[MÊS PAGAMENTO CORRESPONDENTE],H$6,LANÇ_MOV[EMPRESA],$C$4,LANÇ_MOV[CENTRO DE CUSTOS],$D$4)</f>
        <v>0</v>
      </c>
      <c r="I304" s="206">
        <f>SUMIFS(LANÇ_MOV[VALOR LÍQUIDO],LANÇ_MOV[RECEITA OU DESPESA],"Despesa",LANÇ_MOV[CONTAS],$C304,LANÇ_MOV[PLANO DE CONTAS],REL_DRE_FINANCEIRO!$B$241,LANÇ_MOV[ANO PAGAMENTO],$B$4,LANÇ_MOV[MÊS PAGAMENTO CORRESPONDENTE],I$6,LANÇ_MOV[EMPRESA],$C$4,LANÇ_MOV[CENTRO DE CUSTOS],$D$4)</f>
        <v>0</v>
      </c>
      <c r="J304" s="206">
        <f>SUMIFS(LANÇ_MOV[VALOR LÍQUIDO],LANÇ_MOV[RECEITA OU DESPESA],"Despesa",LANÇ_MOV[CONTAS],$C304,LANÇ_MOV[PLANO DE CONTAS],REL_DRE_FINANCEIRO!$B$241,LANÇ_MOV[ANO PAGAMENTO],$B$4,LANÇ_MOV[MÊS PAGAMENTO CORRESPONDENTE],J$6,LANÇ_MOV[EMPRESA],$C$4,LANÇ_MOV[CENTRO DE CUSTOS],$D$4)</f>
        <v>0</v>
      </c>
      <c r="K304" s="206">
        <f>SUMIFS(LANÇ_MOV[VALOR LÍQUIDO],LANÇ_MOV[RECEITA OU DESPESA],"Despesa",LANÇ_MOV[CONTAS],$C304,LANÇ_MOV[PLANO DE CONTAS],REL_DRE_FINANCEIRO!$B$241,LANÇ_MOV[ANO PAGAMENTO],$B$4,LANÇ_MOV[MÊS PAGAMENTO CORRESPONDENTE],K$6,LANÇ_MOV[EMPRESA],$C$4,LANÇ_MOV[CENTRO DE CUSTOS],$D$4)</f>
        <v>0</v>
      </c>
      <c r="L304" s="206">
        <f>SUMIFS(LANÇ_MOV[VALOR LÍQUIDO],LANÇ_MOV[RECEITA OU DESPESA],"Despesa",LANÇ_MOV[CONTAS],$C304,LANÇ_MOV[PLANO DE CONTAS],REL_DRE_FINANCEIRO!$B$241,LANÇ_MOV[ANO PAGAMENTO],$B$4,LANÇ_MOV[MÊS PAGAMENTO CORRESPONDENTE],L$6,LANÇ_MOV[EMPRESA],$C$4,LANÇ_MOV[CENTRO DE CUSTOS],$D$4)</f>
        <v>0</v>
      </c>
      <c r="M304" s="206">
        <f>SUMIFS(LANÇ_MOV[VALOR LÍQUIDO],LANÇ_MOV[RECEITA OU DESPESA],"Despesa",LANÇ_MOV[CONTAS],$C304,LANÇ_MOV[PLANO DE CONTAS],REL_DRE_FINANCEIRO!$B$241,LANÇ_MOV[ANO PAGAMENTO],$B$4,LANÇ_MOV[MÊS PAGAMENTO CORRESPONDENTE],M$6,LANÇ_MOV[EMPRESA],$C$4,LANÇ_MOV[CENTRO DE CUSTOS],$D$4)</f>
        <v>0</v>
      </c>
      <c r="N304" s="206">
        <f>SUMIFS(LANÇ_MOV[VALOR LÍQUIDO],LANÇ_MOV[RECEITA OU DESPESA],"Despesa",LANÇ_MOV[CONTAS],$C304,LANÇ_MOV[PLANO DE CONTAS],REL_DRE_FINANCEIRO!$B$241,LANÇ_MOV[ANO PAGAMENTO],$B$4,LANÇ_MOV[MÊS PAGAMENTO CORRESPONDENTE],N$6,LANÇ_MOV[EMPRESA],$C$4,LANÇ_MOV[CENTRO DE CUSTOS],$D$4)</f>
        <v>0</v>
      </c>
      <c r="O304" s="206">
        <f>SUMIFS(LANÇ_MOV[VALOR LÍQUIDO],LANÇ_MOV[RECEITA OU DESPESA],"Despesa",LANÇ_MOV[CONTAS],$C304,LANÇ_MOV[PLANO DE CONTAS],REL_DRE_FINANCEIRO!$B$241,LANÇ_MOV[ANO PAGAMENTO],$B$4,LANÇ_MOV[MÊS PAGAMENTO CORRESPONDENTE],O$6,LANÇ_MOV[EMPRESA],$C$4,LANÇ_MOV[CENTRO DE CUSTOS],$D$4)</f>
        <v>0</v>
      </c>
      <c r="P304" s="207">
        <f t="shared" si="43"/>
        <v>0</v>
      </c>
      <c r="Q304" s="329">
        <v>3.8E-6</v>
      </c>
      <c r="R304" s="346">
        <f t="shared" si="44"/>
        <v>3.8E-6</v>
      </c>
      <c r="S304" s="347" t="str">
        <f t="shared" si="45"/>
        <v>-</v>
      </c>
      <c r="T304" s="347">
        <f t="shared" si="46"/>
        <v>0</v>
      </c>
      <c r="U304" s="347">
        <f>HLOOKUP(Apoio!$P$12,$D$240:$P$341,X304,FALSE)+Q304</f>
        <v>3.8E-6</v>
      </c>
      <c r="V304" s="447" t="str">
        <f t="shared" si="47"/>
        <v>-</v>
      </c>
      <c r="W304" s="448">
        <f>HLOOKUP(Apoio!$P$12,$D$240:$P$341,X304,FALSE)</f>
        <v>0</v>
      </c>
      <c r="X304" s="329">
        <v>65</v>
      </c>
    </row>
    <row r="305" spans="2:24" ht="30.05" customHeight="1" x14ac:dyDescent="0.35">
      <c r="B305" s="204" t="str">
        <f>'CAD_PL_REC-DESP'!N68</f>
        <v>2.2.64</v>
      </c>
      <c r="C305" s="205" t="str">
        <f>IF('CAD_PL_REC-DESP'!O68="","-",'CAD_PL_REC-DESP'!O68)</f>
        <v>-</v>
      </c>
      <c r="D305" s="206">
        <f>SUMIFS(LANÇ_MOV[VALOR LÍQUIDO],LANÇ_MOV[RECEITA OU DESPESA],"Despesa",LANÇ_MOV[CONTAS],$C305,LANÇ_MOV[PLANO DE CONTAS],REL_DRE_FINANCEIRO!$B$241,LANÇ_MOV[ANO PAGAMENTO],$B$4,LANÇ_MOV[MÊS PAGAMENTO CORRESPONDENTE],D$6,LANÇ_MOV[EMPRESA],$C$4,LANÇ_MOV[CENTRO DE CUSTOS],$D$4)</f>
        <v>0</v>
      </c>
      <c r="E305" s="206">
        <f>SUMIFS(LANÇ_MOV[VALOR LÍQUIDO],LANÇ_MOV[RECEITA OU DESPESA],"Despesa",LANÇ_MOV[CONTAS],$C305,LANÇ_MOV[PLANO DE CONTAS],REL_DRE_FINANCEIRO!$B$241,LANÇ_MOV[ANO PAGAMENTO],$B$4,LANÇ_MOV[MÊS PAGAMENTO CORRESPONDENTE],E$6,LANÇ_MOV[EMPRESA],$C$4,LANÇ_MOV[CENTRO DE CUSTOS],$D$4)</f>
        <v>0</v>
      </c>
      <c r="F305" s="206">
        <f>SUMIFS(LANÇ_MOV[VALOR LÍQUIDO],LANÇ_MOV[RECEITA OU DESPESA],"Despesa",LANÇ_MOV[CONTAS],$C305,LANÇ_MOV[PLANO DE CONTAS],REL_DRE_FINANCEIRO!$B$241,LANÇ_MOV[ANO PAGAMENTO],$B$4,LANÇ_MOV[MÊS PAGAMENTO CORRESPONDENTE],F$6,LANÇ_MOV[EMPRESA],$C$4,LANÇ_MOV[CENTRO DE CUSTOS],$D$4)</f>
        <v>0</v>
      </c>
      <c r="G305" s="206">
        <f>SUMIFS(LANÇ_MOV[VALOR LÍQUIDO],LANÇ_MOV[RECEITA OU DESPESA],"Despesa",LANÇ_MOV[CONTAS],$C305,LANÇ_MOV[PLANO DE CONTAS],REL_DRE_FINANCEIRO!$B$241,LANÇ_MOV[ANO PAGAMENTO],$B$4,LANÇ_MOV[MÊS PAGAMENTO CORRESPONDENTE],G$6,LANÇ_MOV[EMPRESA],$C$4,LANÇ_MOV[CENTRO DE CUSTOS],$D$4)</f>
        <v>0</v>
      </c>
      <c r="H305" s="206">
        <f>SUMIFS(LANÇ_MOV[VALOR LÍQUIDO],LANÇ_MOV[RECEITA OU DESPESA],"Despesa",LANÇ_MOV[CONTAS],$C305,LANÇ_MOV[PLANO DE CONTAS],REL_DRE_FINANCEIRO!$B$241,LANÇ_MOV[ANO PAGAMENTO],$B$4,LANÇ_MOV[MÊS PAGAMENTO CORRESPONDENTE],H$6,LANÇ_MOV[EMPRESA],$C$4,LANÇ_MOV[CENTRO DE CUSTOS],$D$4)</f>
        <v>0</v>
      </c>
      <c r="I305" s="206">
        <f>SUMIFS(LANÇ_MOV[VALOR LÍQUIDO],LANÇ_MOV[RECEITA OU DESPESA],"Despesa",LANÇ_MOV[CONTAS],$C305,LANÇ_MOV[PLANO DE CONTAS],REL_DRE_FINANCEIRO!$B$241,LANÇ_MOV[ANO PAGAMENTO],$B$4,LANÇ_MOV[MÊS PAGAMENTO CORRESPONDENTE],I$6,LANÇ_MOV[EMPRESA],$C$4,LANÇ_MOV[CENTRO DE CUSTOS],$D$4)</f>
        <v>0</v>
      </c>
      <c r="J305" s="206">
        <f>SUMIFS(LANÇ_MOV[VALOR LÍQUIDO],LANÇ_MOV[RECEITA OU DESPESA],"Despesa",LANÇ_MOV[CONTAS],$C305,LANÇ_MOV[PLANO DE CONTAS],REL_DRE_FINANCEIRO!$B$241,LANÇ_MOV[ANO PAGAMENTO],$B$4,LANÇ_MOV[MÊS PAGAMENTO CORRESPONDENTE],J$6,LANÇ_MOV[EMPRESA],$C$4,LANÇ_MOV[CENTRO DE CUSTOS],$D$4)</f>
        <v>0</v>
      </c>
      <c r="K305" s="206">
        <f>SUMIFS(LANÇ_MOV[VALOR LÍQUIDO],LANÇ_MOV[RECEITA OU DESPESA],"Despesa",LANÇ_MOV[CONTAS],$C305,LANÇ_MOV[PLANO DE CONTAS],REL_DRE_FINANCEIRO!$B$241,LANÇ_MOV[ANO PAGAMENTO],$B$4,LANÇ_MOV[MÊS PAGAMENTO CORRESPONDENTE],K$6,LANÇ_MOV[EMPRESA],$C$4,LANÇ_MOV[CENTRO DE CUSTOS],$D$4)</f>
        <v>0</v>
      </c>
      <c r="L305" s="206">
        <f>SUMIFS(LANÇ_MOV[VALOR LÍQUIDO],LANÇ_MOV[RECEITA OU DESPESA],"Despesa",LANÇ_MOV[CONTAS],$C305,LANÇ_MOV[PLANO DE CONTAS],REL_DRE_FINANCEIRO!$B$241,LANÇ_MOV[ANO PAGAMENTO],$B$4,LANÇ_MOV[MÊS PAGAMENTO CORRESPONDENTE],L$6,LANÇ_MOV[EMPRESA],$C$4,LANÇ_MOV[CENTRO DE CUSTOS],$D$4)</f>
        <v>0</v>
      </c>
      <c r="M305" s="206">
        <f>SUMIFS(LANÇ_MOV[VALOR LÍQUIDO],LANÇ_MOV[RECEITA OU DESPESA],"Despesa",LANÇ_MOV[CONTAS],$C305,LANÇ_MOV[PLANO DE CONTAS],REL_DRE_FINANCEIRO!$B$241,LANÇ_MOV[ANO PAGAMENTO],$B$4,LANÇ_MOV[MÊS PAGAMENTO CORRESPONDENTE],M$6,LANÇ_MOV[EMPRESA],$C$4,LANÇ_MOV[CENTRO DE CUSTOS],$D$4)</f>
        <v>0</v>
      </c>
      <c r="N305" s="206">
        <f>SUMIFS(LANÇ_MOV[VALOR LÍQUIDO],LANÇ_MOV[RECEITA OU DESPESA],"Despesa",LANÇ_MOV[CONTAS],$C305,LANÇ_MOV[PLANO DE CONTAS],REL_DRE_FINANCEIRO!$B$241,LANÇ_MOV[ANO PAGAMENTO],$B$4,LANÇ_MOV[MÊS PAGAMENTO CORRESPONDENTE],N$6,LANÇ_MOV[EMPRESA],$C$4,LANÇ_MOV[CENTRO DE CUSTOS],$D$4)</f>
        <v>0</v>
      </c>
      <c r="O305" s="206">
        <f>SUMIFS(LANÇ_MOV[VALOR LÍQUIDO],LANÇ_MOV[RECEITA OU DESPESA],"Despesa",LANÇ_MOV[CONTAS],$C305,LANÇ_MOV[PLANO DE CONTAS],REL_DRE_FINANCEIRO!$B$241,LANÇ_MOV[ANO PAGAMENTO],$B$4,LANÇ_MOV[MÊS PAGAMENTO CORRESPONDENTE],O$6,LANÇ_MOV[EMPRESA],$C$4,LANÇ_MOV[CENTRO DE CUSTOS],$D$4)</f>
        <v>0</v>
      </c>
      <c r="P305" s="207">
        <f t="shared" si="43"/>
        <v>0</v>
      </c>
      <c r="Q305" s="329">
        <v>3.7000000000000002E-6</v>
      </c>
      <c r="R305" s="346">
        <f t="shared" si="44"/>
        <v>3.7000000000000002E-6</v>
      </c>
      <c r="S305" s="347" t="str">
        <f t="shared" si="45"/>
        <v>-</v>
      </c>
      <c r="T305" s="347">
        <f t="shared" si="46"/>
        <v>0</v>
      </c>
      <c r="U305" s="347">
        <f>HLOOKUP(Apoio!$P$12,$D$240:$P$341,X305,FALSE)+Q305</f>
        <v>3.7000000000000002E-6</v>
      </c>
      <c r="V305" s="447" t="str">
        <f t="shared" si="47"/>
        <v>-</v>
      </c>
      <c r="W305" s="448">
        <f>HLOOKUP(Apoio!$P$12,$D$240:$P$341,X305,FALSE)</f>
        <v>0</v>
      </c>
      <c r="X305" s="329">
        <v>66</v>
      </c>
    </row>
    <row r="306" spans="2:24" ht="30.05" customHeight="1" x14ac:dyDescent="0.35">
      <c r="B306" s="204" t="str">
        <f>'CAD_PL_REC-DESP'!N69</f>
        <v>2.2.65</v>
      </c>
      <c r="C306" s="205" t="str">
        <f>IF('CAD_PL_REC-DESP'!O69="","-",'CAD_PL_REC-DESP'!O69)</f>
        <v>-</v>
      </c>
      <c r="D306" s="206">
        <f>SUMIFS(LANÇ_MOV[VALOR LÍQUIDO],LANÇ_MOV[RECEITA OU DESPESA],"Despesa",LANÇ_MOV[CONTAS],$C306,LANÇ_MOV[PLANO DE CONTAS],REL_DRE_FINANCEIRO!$B$241,LANÇ_MOV[ANO PAGAMENTO],$B$4,LANÇ_MOV[MÊS PAGAMENTO CORRESPONDENTE],D$6,LANÇ_MOV[EMPRESA],$C$4,LANÇ_MOV[CENTRO DE CUSTOS],$D$4)</f>
        <v>0</v>
      </c>
      <c r="E306" s="206">
        <f>SUMIFS(LANÇ_MOV[VALOR LÍQUIDO],LANÇ_MOV[RECEITA OU DESPESA],"Despesa",LANÇ_MOV[CONTAS],$C306,LANÇ_MOV[PLANO DE CONTAS],REL_DRE_FINANCEIRO!$B$241,LANÇ_MOV[ANO PAGAMENTO],$B$4,LANÇ_MOV[MÊS PAGAMENTO CORRESPONDENTE],E$6,LANÇ_MOV[EMPRESA],$C$4,LANÇ_MOV[CENTRO DE CUSTOS],$D$4)</f>
        <v>0</v>
      </c>
      <c r="F306" s="206">
        <f>SUMIFS(LANÇ_MOV[VALOR LÍQUIDO],LANÇ_MOV[RECEITA OU DESPESA],"Despesa",LANÇ_MOV[CONTAS],$C306,LANÇ_MOV[PLANO DE CONTAS],REL_DRE_FINANCEIRO!$B$241,LANÇ_MOV[ANO PAGAMENTO],$B$4,LANÇ_MOV[MÊS PAGAMENTO CORRESPONDENTE],F$6,LANÇ_MOV[EMPRESA],$C$4,LANÇ_MOV[CENTRO DE CUSTOS],$D$4)</f>
        <v>0</v>
      </c>
      <c r="G306" s="206">
        <f>SUMIFS(LANÇ_MOV[VALOR LÍQUIDO],LANÇ_MOV[RECEITA OU DESPESA],"Despesa",LANÇ_MOV[CONTAS],$C306,LANÇ_MOV[PLANO DE CONTAS],REL_DRE_FINANCEIRO!$B$241,LANÇ_MOV[ANO PAGAMENTO],$B$4,LANÇ_MOV[MÊS PAGAMENTO CORRESPONDENTE],G$6,LANÇ_MOV[EMPRESA],$C$4,LANÇ_MOV[CENTRO DE CUSTOS],$D$4)</f>
        <v>0</v>
      </c>
      <c r="H306" s="206">
        <f>SUMIFS(LANÇ_MOV[VALOR LÍQUIDO],LANÇ_MOV[RECEITA OU DESPESA],"Despesa",LANÇ_MOV[CONTAS],$C306,LANÇ_MOV[PLANO DE CONTAS],REL_DRE_FINANCEIRO!$B$241,LANÇ_MOV[ANO PAGAMENTO],$B$4,LANÇ_MOV[MÊS PAGAMENTO CORRESPONDENTE],H$6,LANÇ_MOV[EMPRESA],$C$4,LANÇ_MOV[CENTRO DE CUSTOS],$D$4)</f>
        <v>0</v>
      </c>
      <c r="I306" s="206">
        <f>SUMIFS(LANÇ_MOV[VALOR LÍQUIDO],LANÇ_MOV[RECEITA OU DESPESA],"Despesa",LANÇ_MOV[CONTAS],$C306,LANÇ_MOV[PLANO DE CONTAS],REL_DRE_FINANCEIRO!$B$241,LANÇ_MOV[ANO PAGAMENTO],$B$4,LANÇ_MOV[MÊS PAGAMENTO CORRESPONDENTE],I$6,LANÇ_MOV[EMPRESA],$C$4,LANÇ_MOV[CENTRO DE CUSTOS],$D$4)</f>
        <v>0</v>
      </c>
      <c r="J306" s="206">
        <f>SUMIFS(LANÇ_MOV[VALOR LÍQUIDO],LANÇ_MOV[RECEITA OU DESPESA],"Despesa",LANÇ_MOV[CONTAS],$C306,LANÇ_MOV[PLANO DE CONTAS],REL_DRE_FINANCEIRO!$B$241,LANÇ_MOV[ANO PAGAMENTO],$B$4,LANÇ_MOV[MÊS PAGAMENTO CORRESPONDENTE],J$6,LANÇ_MOV[EMPRESA],$C$4,LANÇ_MOV[CENTRO DE CUSTOS],$D$4)</f>
        <v>0</v>
      </c>
      <c r="K306" s="206">
        <f>SUMIFS(LANÇ_MOV[VALOR LÍQUIDO],LANÇ_MOV[RECEITA OU DESPESA],"Despesa",LANÇ_MOV[CONTAS],$C306,LANÇ_MOV[PLANO DE CONTAS],REL_DRE_FINANCEIRO!$B$241,LANÇ_MOV[ANO PAGAMENTO],$B$4,LANÇ_MOV[MÊS PAGAMENTO CORRESPONDENTE],K$6,LANÇ_MOV[EMPRESA],$C$4,LANÇ_MOV[CENTRO DE CUSTOS],$D$4)</f>
        <v>0</v>
      </c>
      <c r="L306" s="206">
        <f>SUMIFS(LANÇ_MOV[VALOR LÍQUIDO],LANÇ_MOV[RECEITA OU DESPESA],"Despesa",LANÇ_MOV[CONTAS],$C306,LANÇ_MOV[PLANO DE CONTAS],REL_DRE_FINANCEIRO!$B$241,LANÇ_MOV[ANO PAGAMENTO],$B$4,LANÇ_MOV[MÊS PAGAMENTO CORRESPONDENTE],L$6,LANÇ_MOV[EMPRESA],$C$4,LANÇ_MOV[CENTRO DE CUSTOS],$D$4)</f>
        <v>0</v>
      </c>
      <c r="M306" s="206">
        <f>SUMIFS(LANÇ_MOV[VALOR LÍQUIDO],LANÇ_MOV[RECEITA OU DESPESA],"Despesa",LANÇ_MOV[CONTAS],$C306,LANÇ_MOV[PLANO DE CONTAS],REL_DRE_FINANCEIRO!$B$241,LANÇ_MOV[ANO PAGAMENTO],$B$4,LANÇ_MOV[MÊS PAGAMENTO CORRESPONDENTE],M$6,LANÇ_MOV[EMPRESA],$C$4,LANÇ_MOV[CENTRO DE CUSTOS],$D$4)</f>
        <v>0</v>
      </c>
      <c r="N306" s="206">
        <f>SUMIFS(LANÇ_MOV[VALOR LÍQUIDO],LANÇ_MOV[RECEITA OU DESPESA],"Despesa",LANÇ_MOV[CONTAS],$C306,LANÇ_MOV[PLANO DE CONTAS],REL_DRE_FINANCEIRO!$B$241,LANÇ_MOV[ANO PAGAMENTO],$B$4,LANÇ_MOV[MÊS PAGAMENTO CORRESPONDENTE],N$6,LANÇ_MOV[EMPRESA],$C$4,LANÇ_MOV[CENTRO DE CUSTOS],$D$4)</f>
        <v>0</v>
      </c>
      <c r="O306" s="206">
        <f>SUMIFS(LANÇ_MOV[VALOR LÍQUIDO],LANÇ_MOV[RECEITA OU DESPESA],"Despesa",LANÇ_MOV[CONTAS],$C306,LANÇ_MOV[PLANO DE CONTAS],REL_DRE_FINANCEIRO!$B$241,LANÇ_MOV[ANO PAGAMENTO],$B$4,LANÇ_MOV[MÊS PAGAMENTO CORRESPONDENTE],O$6,LANÇ_MOV[EMPRESA],$C$4,LANÇ_MOV[CENTRO DE CUSTOS],$D$4)</f>
        <v>0</v>
      </c>
      <c r="P306" s="207">
        <f t="shared" ref="P306:P341" si="48">SUM(D306:O306)</f>
        <v>0</v>
      </c>
      <c r="Q306" s="329">
        <v>3.5999999999999998E-6</v>
      </c>
      <c r="R306" s="346">
        <f t="shared" si="44"/>
        <v>3.5999999999999998E-6</v>
      </c>
      <c r="S306" s="347" t="str">
        <f t="shared" si="45"/>
        <v>-</v>
      </c>
      <c r="T306" s="347">
        <f t="shared" si="46"/>
        <v>0</v>
      </c>
      <c r="U306" s="347">
        <f>HLOOKUP(Apoio!$P$12,$D$240:$P$341,X306,FALSE)+Q306</f>
        <v>3.5999999999999998E-6</v>
      </c>
      <c r="V306" s="447" t="str">
        <f t="shared" si="47"/>
        <v>-</v>
      </c>
      <c r="W306" s="448">
        <f>HLOOKUP(Apoio!$P$12,$D$240:$P$341,X306,FALSE)</f>
        <v>0</v>
      </c>
      <c r="X306" s="329">
        <v>67</v>
      </c>
    </row>
    <row r="307" spans="2:24" ht="30.05" customHeight="1" x14ac:dyDescent="0.35">
      <c r="B307" s="204" t="str">
        <f>'CAD_PL_REC-DESP'!N70</f>
        <v>2.2.66</v>
      </c>
      <c r="C307" s="205" t="str">
        <f>IF('CAD_PL_REC-DESP'!O70="","-",'CAD_PL_REC-DESP'!O70)</f>
        <v>-</v>
      </c>
      <c r="D307" s="206">
        <f>SUMIFS(LANÇ_MOV[VALOR LÍQUIDO],LANÇ_MOV[RECEITA OU DESPESA],"Despesa",LANÇ_MOV[CONTAS],$C307,LANÇ_MOV[PLANO DE CONTAS],REL_DRE_FINANCEIRO!$B$241,LANÇ_MOV[ANO PAGAMENTO],$B$4,LANÇ_MOV[MÊS PAGAMENTO CORRESPONDENTE],D$6,LANÇ_MOV[EMPRESA],$C$4,LANÇ_MOV[CENTRO DE CUSTOS],$D$4)</f>
        <v>0</v>
      </c>
      <c r="E307" s="206">
        <f>SUMIFS(LANÇ_MOV[VALOR LÍQUIDO],LANÇ_MOV[RECEITA OU DESPESA],"Despesa",LANÇ_MOV[CONTAS],$C307,LANÇ_MOV[PLANO DE CONTAS],REL_DRE_FINANCEIRO!$B$241,LANÇ_MOV[ANO PAGAMENTO],$B$4,LANÇ_MOV[MÊS PAGAMENTO CORRESPONDENTE],E$6,LANÇ_MOV[EMPRESA],$C$4,LANÇ_MOV[CENTRO DE CUSTOS],$D$4)</f>
        <v>0</v>
      </c>
      <c r="F307" s="206">
        <f>SUMIFS(LANÇ_MOV[VALOR LÍQUIDO],LANÇ_MOV[RECEITA OU DESPESA],"Despesa",LANÇ_MOV[CONTAS],$C307,LANÇ_MOV[PLANO DE CONTAS],REL_DRE_FINANCEIRO!$B$241,LANÇ_MOV[ANO PAGAMENTO],$B$4,LANÇ_MOV[MÊS PAGAMENTO CORRESPONDENTE],F$6,LANÇ_MOV[EMPRESA],$C$4,LANÇ_MOV[CENTRO DE CUSTOS],$D$4)</f>
        <v>0</v>
      </c>
      <c r="G307" s="206">
        <f>SUMIFS(LANÇ_MOV[VALOR LÍQUIDO],LANÇ_MOV[RECEITA OU DESPESA],"Despesa",LANÇ_MOV[CONTAS],$C307,LANÇ_MOV[PLANO DE CONTAS],REL_DRE_FINANCEIRO!$B$241,LANÇ_MOV[ANO PAGAMENTO],$B$4,LANÇ_MOV[MÊS PAGAMENTO CORRESPONDENTE],G$6,LANÇ_MOV[EMPRESA],$C$4,LANÇ_MOV[CENTRO DE CUSTOS],$D$4)</f>
        <v>0</v>
      </c>
      <c r="H307" s="206">
        <f>SUMIFS(LANÇ_MOV[VALOR LÍQUIDO],LANÇ_MOV[RECEITA OU DESPESA],"Despesa",LANÇ_MOV[CONTAS],$C307,LANÇ_MOV[PLANO DE CONTAS],REL_DRE_FINANCEIRO!$B$241,LANÇ_MOV[ANO PAGAMENTO],$B$4,LANÇ_MOV[MÊS PAGAMENTO CORRESPONDENTE],H$6,LANÇ_MOV[EMPRESA],$C$4,LANÇ_MOV[CENTRO DE CUSTOS],$D$4)</f>
        <v>0</v>
      </c>
      <c r="I307" s="206">
        <f>SUMIFS(LANÇ_MOV[VALOR LÍQUIDO],LANÇ_MOV[RECEITA OU DESPESA],"Despesa",LANÇ_MOV[CONTAS],$C307,LANÇ_MOV[PLANO DE CONTAS],REL_DRE_FINANCEIRO!$B$241,LANÇ_MOV[ANO PAGAMENTO],$B$4,LANÇ_MOV[MÊS PAGAMENTO CORRESPONDENTE],I$6,LANÇ_MOV[EMPRESA],$C$4,LANÇ_MOV[CENTRO DE CUSTOS],$D$4)</f>
        <v>0</v>
      </c>
      <c r="J307" s="206">
        <f>SUMIFS(LANÇ_MOV[VALOR LÍQUIDO],LANÇ_MOV[RECEITA OU DESPESA],"Despesa",LANÇ_MOV[CONTAS],$C307,LANÇ_MOV[PLANO DE CONTAS],REL_DRE_FINANCEIRO!$B$241,LANÇ_MOV[ANO PAGAMENTO],$B$4,LANÇ_MOV[MÊS PAGAMENTO CORRESPONDENTE],J$6,LANÇ_MOV[EMPRESA],$C$4,LANÇ_MOV[CENTRO DE CUSTOS],$D$4)</f>
        <v>0</v>
      </c>
      <c r="K307" s="206">
        <f>SUMIFS(LANÇ_MOV[VALOR LÍQUIDO],LANÇ_MOV[RECEITA OU DESPESA],"Despesa",LANÇ_MOV[CONTAS],$C307,LANÇ_MOV[PLANO DE CONTAS],REL_DRE_FINANCEIRO!$B$241,LANÇ_MOV[ANO PAGAMENTO],$B$4,LANÇ_MOV[MÊS PAGAMENTO CORRESPONDENTE],K$6,LANÇ_MOV[EMPRESA],$C$4,LANÇ_MOV[CENTRO DE CUSTOS],$D$4)</f>
        <v>0</v>
      </c>
      <c r="L307" s="206">
        <f>SUMIFS(LANÇ_MOV[VALOR LÍQUIDO],LANÇ_MOV[RECEITA OU DESPESA],"Despesa",LANÇ_MOV[CONTAS],$C307,LANÇ_MOV[PLANO DE CONTAS],REL_DRE_FINANCEIRO!$B$241,LANÇ_MOV[ANO PAGAMENTO],$B$4,LANÇ_MOV[MÊS PAGAMENTO CORRESPONDENTE],L$6,LANÇ_MOV[EMPRESA],$C$4,LANÇ_MOV[CENTRO DE CUSTOS],$D$4)</f>
        <v>0</v>
      </c>
      <c r="M307" s="206">
        <f>SUMIFS(LANÇ_MOV[VALOR LÍQUIDO],LANÇ_MOV[RECEITA OU DESPESA],"Despesa",LANÇ_MOV[CONTAS],$C307,LANÇ_MOV[PLANO DE CONTAS],REL_DRE_FINANCEIRO!$B$241,LANÇ_MOV[ANO PAGAMENTO],$B$4,LANÇ_MOV[MÊS PAGAMENTO CORRESPONDENTE],M$6,LANÇ_MOV[EMPRESA],$C$4,LANÇ_MOV[CENTRO DE CUSTOS],$D$4)</f>
        <v>0</v>
      </c>
      <c r="N307" s="206">
        <f>SUMIFS(LANÇ_MOV[VALOR LÍQUIDO],LANÇ_MOV[RECEITA OU DESPESA],"Despesa",LANÇ_MOV[CONTAS],$C307,LANÇ_MOV[PLANO DE CONTAS],REL_DRE_FINANCEIRO!$B$241,LANÇ_MOV[ANO PAGAMENTO],$B$4,LANÇ_MOV[MÊS PAGAMENTO CORRESPONDENTE],N$6,LANÇ_MOV[EMPRESA],$C$4,LANÇ_MOV[CENTRO DE CUSTOS],$D$4)</f>
        <v>0</v>
      </c>
      <c r="O307" s="206">
        <f>SUMIFS(LANÇ_MOV[VALOR LÍQUIDO],LANÇ_MOV[RECEITA OU DESPESA],"Despesa",LANÇ_MOV[CONTAS],$C307,LANÇ_MOV[PLANO DE CONTAS],REL_DRE_FINANCEIRO!$B$241,LANÇ_MOV[ANO PAGAMENTO],$B$4,LANÇ_MOV[MÊS PAGAMENTO CORRESPONDENTE],O$6,LANÇ_MOV[EMPRESA],$C$4,LANÇ_MOV[CENTRO DE CUSTOS],$D$4)</f>
        <v>0</v>
      </c>
      <c r="P307" s="207">
        <f t="shared" si="48"/>
        <v>0</v>
      </c>
      <c r="Q307" s="329">
        <v>3.4999999999999999E-6</v>
      </c>
      <c r="R307" s="346">
        <f t="shared" ref="R307:R341" si="49">P307+Q307</f>
        <v>3.4999999999999999E-6</v>
      </c>
      <c r="S307" s="347" t="str">
        <f t="shared" ref="S307:S341" si="50">C307</f>
        <v>-</v>
      </c>
      <c r="T307" s="347">
        <f t="shared" ref="T307:T341" si="51">P307</f>
        <v>0</v>
      </c>
      <c r="U307" s="347">
        <f>HLOOKUP(Apoio!$P$12,$D$240:$P$341,X307,FALSE)+Q307</f>
        <v>3.4999999999999999E-6</v>
      </c>
      <c r="V307" s="447" t="str">
        <f t="shared" ref="V307:V341" si="52">S307</f>
        <v>-</v>
      </c>
      <c r="W307" s="448">
        <f>HLOOKUP(Apoio!$P$12,$D$240:$P$341,X307,FALSE)</f>
        <v>0</v>
      </c>
      <c r="X307" s="329">
        <v>68</v>
      </c>
    </row>
    <row r="308" spans="2:24" ht="30.05" customHeight="1" x14ac:dyDescent="0.35">
      <c r="B308" s="204" t="str">
        <f>'CAD_PL_REC-DESP'!N71</f>
        <v>2.2.67</v>
      </c>
      <c r="C308" s="205" t="str">
        <f>IF('CAD_PL_REC-DESP'!O71="","-",'CAD_PL_REC-DESP'!O71)</f>
        <v>-</v>
      </c>
      <c r="D308" s="206">
        <f>SUMIFS(LANÇ_MOV[VALOR LÍQUIDO],LANÇ_MOV[RECEITA OU DESPESA],"Despesa",LANÇ_MOV[CONTAS],$C308,LANÇ_MOV[PLANO DE CONTAS],REL_DRE_FINANCEIRO!$B$241,LANÇ_MOV[ANO PAGAMENTO],$B$4,LANÇ_MOV[MÊS PAGAMENTO CORRESPONDENTE],D$6,LANÇ_MOV[EMPRESA],$C$4,LANÇ_MOV[CENTRO DE CUSTOS],$D$4)</f>
        <v>0</v>
      </c>
      <c r="E308" s="206">
        <f>SUMIFS(LANÇ_MOV[VALOR LÍQUIDO],LANÇ_MOV[RECEITA OU DESPESA],"Despesa",LANÇ_MOV[CONTAS],$C308,LANÇ_MOV[PLANO DE CONTAS],REL_DRE_FINANCEIRO!$B$241,LANÇ_MOV[ANO PAGAMENTO],$B$4,LANÇ_MOV[MÊS PAGAMENTO CORRESPONDENTE],E$6,LANÇ_MOV[EMPRESA],$C$4,LANÇ_MOV[CENTRO DE CUSTOS],$D$4)</f>
        <v>0</v>
      </c>
      <c r="F308" s="206">
        <f>SUMIFS(LANÇ_MOV[VALOR LÍQUIDO],LANÇ_MOV[RECEITA OU DESPESA],"Despesa",LANÇ_MOV[CONTAS],$C308,LANÇ_MOV[PLANO DE CONTAS],REL_DRE_FINANCEIRO!$B$241,LANÇ_MOV[ANO PAGAMENTO],$B$4,LANÇ_MOV[MÊS PAGAMENTO CORRESPONDENTE],F$6,LANÇ_MOV[EMPRESA],$C$4,LANÇ_MOV[CENTRO DE CUSTOS],$D$4)</f>
        <v>0</v>
      </c>
      <c r="G308" s="206">
        <f>SUMIFS(LANÇ_MOV[VALOR LÍQUIDO],LANÇ_MOV[RECEITA OU DESPESA],"Despesa",LANÇ_MOV[CONTAS],$C308,LANÇ_MOV[PLANO DE CONTAS],REL_DRE_FINANCEIRO!$B$241,LANÇ_MOV[ANO PAGAMENTO],$B$4,LANÇ_MOV[MÊS PAGAMENTO CORRESPONDENTE],G$6,LANÇ_MOV[EMPRESA],$C$4,LANÇ_MOV[CENTRO DE CUSTOS],$D$4)</f>
        <v>0</v>
      </c>
      <c r="H308" s="206">
        <f>SUMIFS(LANÇ_MOV[VALOR LÍQUIDO],LANÇ_MOV[RECEITA OU DESPESA],"Despesa",LANÇ_MOV[CONTAS],$C308,LANÇ_MOV[PLANO DE CONTAS],REL_DRE_FINANCEIRO!$B$241,LANÇ_MOV[ANO PAGAMENTO],$B$4,LANÇ_MOV[MÊS PAGAMENTO CORRESPONDENTE],H$6,LANÇ_MOV[EMPRESA],$C$4,LANÇ_MOV[CENTRO DE CUSTOS],$D$4)</f>
        <v>0</v>
      </c>
      <c r="I308" s="206">
        <f>SUMIFS(LANÇ_MOV[VALOR LÍQUIDO],LANÇ_MOV[RECEITA OU DESPESA],"Despesa",LANÇ_MOV[CONTAS],$C308,LANÇ_MOV[PLANO DE CONTAS],REL_DRE_FINANCEIRO!$B$241,LANÇ_MOV[ANO PAGAMENTO],$B$4,LANÇ_MOV[MÊS PAGAMENTO CORRESPONDENTE],I$6,LANÇ_MOV[EMPRESA],$C$4,LANÇ_MOV[CENTRO DE CUSTOS],$D$4)</f>
        <v>0</v>
      </c>
      <c r="J308" s="206">
        <f>SUMIFS(LANÇ_MOV[VALOR LÍQUIDO],LANÇ_MOV[RECEITA OU DESPESA],"Despesa",LANÇ_MOV[CONTAS],$C308,LANÇ_MOV[PLANO DE CONTAS],REL_DRE_FINANCEIRO!$B$241,LANÇ_MOV[ANO PAGAMENTO],$B$4,LANÇ_MOV[MÊS PAGAMENTO CORRESPONDENTE],J$6,LANÇ_MOV[EMPRESA],$C$4,LANÇ_MOV[CENTRO DE CUSTOS],$D$4)</f>
        <v>0</v>
      </c>
      <c r="K308" s="206">
        <f>SUMIFS(LANÇ_MOV[VALOR LÍQUIDO],LANÇ_MOV[RECEITA OU DESPESA],"Despesa",LANÇ_MOV[CONTAS],$C308,LANÇ_MOV[PLANO DE CONTAS],REL_DRE_FINANCEIRO!$B$241,LANÇ_MOV[ANO PAGAMENTO],$B$4,LANÇ_MOV[MÊS PAGAMENTO CORRESPONDENTE],K$6,LANÇ_MOV[EMPRESA],$C$4,LANÇ_MOV[CENTRO DE CUSTOS],$D$4)</f>
        <v>0</v>
      </c>
      <c r="L308" s="206">
        <f>SUMIFS(LANÇ_MOV[VALOR LÍQUIDO],LANÇ_MOV[RECEITA OU DESPESA],"Despesa",LANÇ_MOV[CONTAS],$C308,LANÇ_MOV[PLANO DE CONTAS],REL_DRE_FINANCEIRO!$B$241,LANÇ_MOV[ANO PAGAMENTO],$B$4,LANÇ_MOV[MÊS PAGAMENTO CORRESPONDENTE],L$6,LANÇ_MOV[EMPRESA],$C$4,LANÇ_MOV[CENTRO DE CUSTOS],$D$4)</f>
        <v>0</v>
      </c>
      <c r="M308" s="206">
        <f>SUMIFS(LANÇ_MOV[VALOR LÍQUIDO],LANÇ_MOV[RECEITA OU DESPESA],"Despesa",LANÇ_MOV[CONTAS],$C308,LANÇ_MOV[PLANO DE CONTAS],REL_DRE_FINANCEIRO!$B$241,LANÇ_MOV[ANO PAGAMENTO],$B$4,LANÇ_MOV[MÊS PAGAMENTO CORRESPONDENTE],M$6,LANÇ_MOV[EMPRESA],$C$4,LANÇ_MOV[CENTRO DE CUSTOS],$D$4)</f>
        <v>0</v>
      </c>
      <c r="N308" s="206">
        <f>SUMIFS(LANÇ_MOV[VALOR LÍQUIDO],LANÇ_MOV[RECEITA OU DESPESA],"Despesa",LANÇ_MOV[CONTAS],$C308,LANÇ_MOV[PLANO DE CONTAS],REL_DRE_FINANCEIRO!$B$241,LANÇ_MOV[ANO PAGAMENTO],$B$4,LANÇ_MOV[MÊS PAGAMENTO CORRESPONDENTE],N$6,LANÇ_MOV[EMPRESA],$C$4,LANÇ_MOV[CENTRO DE CUSTOS],$D$4)</f>
        <v>0</v>
      </c>
      <c r="O308" s="206">
        <f>SUMIFS(LANÇ_MOV[VALOR LÍQUIDO],LANÇ_MOV[RECEITA OU DESPESA],"Despesa",LANÇ_MOV[CONTAS],$C308,LANÇ_MOV[PLANO DE CONTAS],REL_DRE_FINANCEIRO!$B$241,LANÇ_MOV[ANO PAGAMENTO],$B$4,LANÇ_MOV[MÊS PAGAMENTO CORRESPONDENTE],O$6,LANÇ_MOV[EMPRESA],$C$4,LANÇ_MOV[CENTRO DE CUSTOS],$D$4)</f>
        <v>0</v>
      </c>
      <c r="P308" s="207">
        <f t="shared" si="48"/>
        <v>0</v>
      </c>
      <c r="Q308" s="329">
        <v>3.4000000000000001E-6</v>
      </c>
      <c r="R308" s="346">
        <f t="shared" si="49"/>
        <v>3.4000000000000001E-6</v>
      </c>
      <c r="S308" s="347" t="str">
        <f t="shared" si="50"/>
        <v>-</v>
      </c>
      <c r="T308" s="347">
        <f t="shared" si="51"/>
        <v>0</v>
      </c>
      <c r="U308" s="347">
        <f>HLOOKUP(Apoio!$P$12,$D$240:$P$341,X308,FALSE)+Q308</f>
        <v>3.4000000000000001E-6</v>
      </c>
      <c r="V308" s="447" t="str">
        <f t="shared" si="52"/>
        <v>-</v>
      </c>
      <c r="W308" s="448">
        <f>HLOOKUP(Apoio!$P$12,$D$240:$P$341,X308,FALSE)</f>
        <v>0</v>
      </c>
      <c r="X308" s="329">
        <v>69</v>
      </c>
    </row>
    <row r="309" spans="2:24" ht="30.05" customHeight="1" x14ac:dyDescent="0.35">
      <c r="B309" s="204" t="str">
        <f>'CAD_PL_REC-DESP'!N72</f>
        <v>2.2.68</v>
      </c>
      <c r="C309" s="205" t="str">
        <f>IF('CAD_PL_REC-DESP'!O72="","-",'CAD_PL_REC-DESP'!O72)</f>
        <v>-</v>
      </c>
      <c r="D309" s="206">
        <f>SUMIFS(LANÇ_MOV[VALOR LÍQUIDO],LANÇ_MOV[RECEITA OU DESPESA],"Despesa",LANÇ_MOV[CONTAS],$C309,LANÇ_MOV[PLANO DE CONTAS],REL_DRE_FINANCEIRO!$B$241,LANÇ_MOV[ANO PAGAMENTO],$B$4,LANÇ_MOV[MÊS PAGAMENTO CORRESPONDENTE],D$6,LANÇ_MOV[EMPRESA],$C$4,LANÇ_MOV[CENTRO DE CUSTOS],$D$4)</f>
        <v>0</v>
      </c>
      <c r="E309" s="206">
        <f>SUMIFS(LANÇ_MOV[VALOR LÍQUIDO],LANÇ_MOV[RECEITA OU DESPESA],"Despesa",LANÇ_MOV[CONTAS],$C309,LANÇ_MOV[PLANO DE CONTAS],REL_DRE_FINANCEIRO!$B$241,LANÇ_MOV[ANO PAGAMENTO],$B$4,LANÇ_MOV[MÊS PAGAMENTO CORRESPONDENTE],E$6,LANÇ_MOV[EMPRESA],$C$4,LANÇ_MOV[CENTRO DE CUSTOS],$D$4)</f>
        <v>0</v>
      </c>
      <c r="F309" s="206">
        <f>SUMIFS(LANÇ_MOV[VALOR LÍQUIDO],LANÇ_MOV[RECEITA OU DESPESA],"Despesa",LANÇ_MOV[CONTAS],$C309,LANÇ_MOV[PLANO DE CONTAS],REL_DRE_FINANCEIRO!$B$241,LANÇ_MOV[ANO PAGAMENTO],$B$4,LANÇ_MOV[MÊS PAGAMENTO CORRESPONDENTE],F$6,LANÇ_MOV[EMPRESA],$C$4,LANÇ_MOV[CENTRO DE CUSTOS],$D$4)</f>
        <v>0</v>
      </c>
      <c r="G309" s="206">
        <f>SUMIFS(LANÇ_MOV[VALOR LÍQUIDO],LANÇ_MOV[RECEITA OU DESPESA],"Despesa",LANÇ_MOV[CONTAS],$C309,LANÇ_MOV[PLANO DE CONTAS],REL_DRE_FINANCEIRO!$B$241,LANÇ_MOV[ANO PAGAMENTO],$B$4,LANÇ_MOV[MÊS PAGAMENTO CORRESPONDENTE],G$6,LANÇ_MOV[EMPRESA],$C$4,LANÇ_MOV[CENTRO DE CUSTOS],$D$4)</f>
        <v>0</v>
      </c>
      <c r="H309" s="206">
        <f>SUMIFS(LANÇ_MOV[VALOR LÍQUIDO],LANÇ_MOV[RECEITA OU DESPESA],"Despesa",LANÇ_MOV[CONTAS],$C309,LANÇ_MOV[PLANO DE CONTAS],REL_DRE_FINANCEIRO!$B$241,LANÇ_MOV[ANO PAGAMENTO],$B$4,LANÇ_MOV[MÊS PAGAMENTO CORRESPONDENTE],H$6,LANÇ_MOV[EMPRESA],$C$4,LANÇ_MOV[CENTRO DE CUSTOS],$D$4)</f>
        <v>0</v>
      </c>
      <c r="I309" s="206">
        <f>SUMIFS(LANÇ_MOV[VALOR LÍQUIDO],LANÇ_MOV[RECEITA OU DESPESA],"Despesa",LANÇ_MOV[CONTAS],$C309,LANÇ_MOV[PLANO DE CONTAS],REL_DRE_FINANCEIRO!$B$241,LANÇ_MOV[ANO PAGAMENTO],$B$4,LANÇ_MOV[MÊS PAGAMENTO CORRESPONDENTE],I$6,LANÇ_MOV[EMPRESA],$C$4,LANÇ_MOV[CENTRO DE CUSTOS],$D$4)</f>
        <v>0</v>
      </c>
      <c r="J309" s="206">
        <f>SUMIFS(LANÇ_MOV[VALOR LÍQUIDO],LANÇ_MOV[RECEITA OU DESPESA],"Despesa",LANÇ_MOV[CONTAS],$C309,LANÇ_MOV[PLANO DE CONTAS],REL_DRE_FINANCEIRO!$B$241,LANÇ_MOV[ANO PAGAMENTO],$B$4,LANÇ_MOV[MÊS PAGAMENTO CORRESPONDENTE],J$6,LANÇ_MOV[EMPRESA],$C$4,LANÇ_MOV[CENTRO DE CUSTOS],$D$4)</f>
        <v>0</v>
      </c>
      <c r="K309" s="206">
        <f>SUMIFS(LANÇ_MOV[VALOR LÍQUIDO],LANÇ_MOV[RECEITA OU DESPESA],"Despesa",LANÇ_MOV[CONTAS],$C309,LANÇ_MOV[PLANO DE CONTAS],REL_DRE_FINANCEIRO!$B$241,LANÇ_MOV[ANO PAGAMENTO],$B$4,LANÇ_MOV[MÊS PAGAMENTO CORRESPONDENTE],K$6,LANÇ_MOV[EMPRESA],$C$4,LANÇ_MOV[CENTRO DE CUSTOS],$D$4)</f>
        <v>0</v>
      </c>
      <c r="L309" s="206">
        <f>SUMIFS(LANÇ_MOV[VALOR LÍQUIDO],LANÇ_MOV[RECEITA OU DESPESA],"Despesa",LANÇ_MOV[CONTAS],$C309,LANÇ_MOV[PLANO DE CONTAS],REL_DRE_FINANCEIRO!$B$241,LANÇ_MOV[ANO PAGAMENTO],$B$4,LANÇ_MOV[MÊS PAGAMENTO CORRESPONDENTE],L$6,LANÇ_MOV[EMPRESA],$C$4,LANÇ_MOV[CENTRO DE CUSTOS],$D$4)</f>
        <v>0</v>
      </c>
      <c r="M309" s="206">
        <f>SUMIFS(LANÇ_MOV[VALOR LÍQUIDO],LANÇ_MOV[RECEITA OU DESPESA],"Despesa",LANÇ_MOV[CONTAS],$C309,LANÇ_MOV[PLANO DE CONTAS],REL_DRE_FINANCEIRO!$B$241,LANÇ_MOV[ANO PAGAMENTO],$B$4,LANÇ_MOV[MÊS PAGAMENTO CORRESPONDENTE],M$6,LANÇ_MOV[EMPRESA],$C$4,LANÇ_MOV[CENTRO DE CUSTOS],$D$4)</f>
        <v>0</v>
      </c>
      <c r="N309" s="206">
        <f>SUMIFS(LANÇ_MOV[VALOR LÍQUIDO],LANÇ_MOV[RECEITA OU DESPESA],"Despesa",LANÇ_MOV[CONTAS],$C309,LANÇ_MOV[PLANO DE CONTAS],REL_DRE_FINANCEIRO!$B$241,LANÇ_MOV[ANO PAGAMENTO],$B$4,LANÇ_MOV[MÊS PAGAMENTO CORRESPONDENTE],N$6,LANÇ_MOV[EMPRESA],$C$4,LANÇ_MOV[CENTRO DE CUSTOS],$D$4)</f>
        <v>0</v>
      </c>
      <c r="O309" s="206">
        <f>SUMIFS(LANÇ_MOV[VALOR LÍQUIDO],LANÇ_MOV[RECEITA OU DESPESA],"Despesa",LANÇ_MOV[CONTAS],$C309,LANÇ_MOV[PLANO DE CONTAS],REL_DRE_FINANCEIRO!$B$241,LANÇ_MOV[ANO PAGAMENTO],$B$4,LANÇ_MOV[MÊS PAGAMENTO CORRESPONDENTE],O$6,LANÇ_MOV[EMPRESA],$C$4,LANÇ_MOV[CENTRO DE CUSTOS],$D$4)</f>
        <v>0</v>
      </c>
      <c r="P309" s="207">
        <f t="shared" si="48"/>
        <v>0</v>
      </c>
      <c r="Q309" s="329">
        <v>3.3000000000000002E-6</v>
      </c>
      <c r="R309" s="346">
        <f t="shared" si="49"/>
        <v>3.3000000000000002E-6</v>
      </c>
      <c r="S309" s="347" t="str">
        <f t="shared" si="50"/>
        <v>-</v>
      </c>
      <c r="T309" s="347">
        <f t="shared" si="51"/>
        <v>0</v>
      </c>
      <c r="U309" s="347">
        <f>HLOOKUP(Apoio!$P$12,$D$240:$P$341,X309,FALSE)+Q309</f>
        <v>3.3000000000000002E-6</v>
      </c>
      <c r="V309" s="447" t="str">
        <f t="shared" si="52"/>
        <v>-</v>
      </c>
      <c r="W309" s="448">
        <f>HLOOKUP(Apoio!$P$12,$D$240:$P$341,X309,FALSE)</f>
        <v>0</v>
      </c>
      <c r="X309" s="329">
        <v>70</v>
      </c>
    </row>
    <row r="310" spans="2:24" ht="30.05" customHeight="1" x14ac:dyDescent="0.35">
      <c r="B310" s="204" t="str">
        <f>'CAD_PL_REC-DESP'!N73</f>
        <v>2.2.69</v>
      </c>
      <c r="C310" s="205" t="str">
        <f>IF('CAD_PL_REC-DESP'!O73="","-",'CAD_PL_REC-DESP'!O73)</f>
        <v>-</v>
      </c>
      <c r="D310" s="206">
        <f>SUMIFS(LANÇ_MOV[VALOR LÍQUIDO],LANÇ_MOV[RECEITA OU DESPESA],"Despesa",LANÇ_MOV[CONTAS],$C310,LANÇ_MOV[PLANO DE CONTAS],REL_DRE_FINANCEIRO!$B$241,LANÇ_MOV[ANO PAGAMENTO],$B$4,LANÇ_MOV[MÊS PAGAMENTO CORRESPONDENTE],D$6,LANÇ_MOV[EMPRESA],$C$4,LANÇ_MOV[CENTRO DE CUSTOS],$D$4)</f>
        <v>0</v>
      </c>
      <c r="E310" s="206">
        <f>SUMIFS(LANÇ_MOV[VALOR LÍQUIDO],LANÇ_MOV[RECEITA OU DESPESA],"Despesa",LANÇ_MOV[CONTAS],$C310,LANÇ_MOV[PLANO DE CONTAS],REL_DRE_FINANCEIRO!$B$241,LANÇ_MOV[ANO PAGAMENTO],$B$4,LANÇ_MOV[MÊS PAGAMENTO CORRESPONDENTE],E$6,LANÇ_MOV[EMPRESA],$C$4,LANÇ_MOV[CENTRO DE CUSTOS],$D$4)</f>
        <v>0</v>
      </c>
      <c r="F310" s="206">
        <f>SUMIFS(LANÇ_MOV[VALOR LÍQUIDO],LANÇ_MOV[RECEITA OU DESPESA],"Despesa",LANÇ_MOV[CONTAS],$C310,LANÇ_MOV[PLANO DE CONTAS],REL_DRE_FINANCEIRO!$B$241,LANÇ_MOV[ANO PAGAMENTO],$B$4,LANÇ_MOV[MÊS PAGAMENTO CORRESPONDENTE],F$6,LANÇ_MOV[EMPRESA],$C$4,LANÇ_MOV[CENTRO DE CUSTOS],$D$4)</f>
        <v>0</v>
      </c>
      <c r="G310" s="206">
        <f>SUMIFS(LANÇ_MOV[VALOR LÍQUIDO],LANÇ_MOV[RECEITA OU DESPESA],"Despesa",LANÇ_MOV[CONTAS],$C310,LANÇ_MOV[PLANO DE CONTAS],REL_DRE_FINANCEIRO!$B$241,LANÇ_MOV[ANO PAGAMENTO],$B$4,LANÇ_MOV[MÊS PAGAMENTO CORRESPONDENTE],G$6,LANÇ_MOV[EMPRESA],$C$4,LANÇ_MOV[CENTRO DE CUSTOS],$D$4)</f>
        <v>0</v>
      </c>
      <c r="H310" s="206">
        <f>SUMIFS(LANÇ_MOV[VALOR LÍQUIDO],LANÇ_MOV[RECEITA OU DESPESA],"Despesa",LANÇ_MOV[CONTAS],$C310,LANÇ_MOV[PLANO DE CONTAS],REL_DRE_FINANCEIRO!$B$241,LANÇ_MOV[ANO PAGAMENTO],$B$4,LANÇ_MOV[MÊS PAGAMENTO CORRESPONDENTE],H$6,LANÇ_MOV[EMPRESA],$C$4,LANÇ_MOV[CENTRO DE CUSTOS],$D$4)</f>
        <v>0</v>
      </c>
      <c r="I310" s="206">
        <f>SUMIFS(LANÇ_MOV[VALOR LÍQUIDO],LANÇ_MOV[RECEITA OU DESPESA],"Despesa",LANÇ_MOV[CONTAS],$C310,LANÇ_MOV[PLANO DE CONTAS],REL_DRE_FINANCEIRO!$B$241,LANÇ_MOV[ANO PAGAMENTO],$B$4,LANÇ_MOV[MÊS PAGAMENTO CORRESPONDENTE],I$6,LANÇ_MOV[EMPRESA],$C$4,LANÇ_MOV[CENTRO DE CUSTOS],$D$4)</f>
        <v>0</v>
      </c>
      <c r="J310" s="206">
        <f>SUMIFS(LANÇ_MOV[VALOR LÍQUIDO],LANÇ_MOV[RECEITA OU DESPESA],"Despesa",LANÇ_MOV[CONTAS],$C310,LANÇ_MOV[PLANO DE CONTAS],REL_DRE_FINANCEIRO!$B$241,LANÇ_MOV[ANO PAGAMENTO],$B$4,LANÇ_MOV[MÊS PAGAMENTO CORRESPONDENTE],J$6,LANÇ_MOV[EMPRESA],$C$4,LANÇ_MOV[CENTRO DE CUSTOS],$D$4)</f>
        <v>0</v>
      </c>
      <c r="K310" s="206">
        <f>SUMIFS(LANÇ_MOV[VALOR LÍQUIDO],LANÇ_MOV[RECEITA OU DESPESA],"Despesa",LANÇ_MOV[CONTAS],$C310,LANÇ_MOV[PLANO DE CONTAS],REL_DRE_FINANCEIRO!$B$241,LANÇ_MOV[ANO PAGAMENTO],$B$4,LANÇ_MOV[MÊS PAGAMENTO CORRESPONDENTE],K$6,LANÇ_MOV[EMPRESA],$C$4,LANÇ_MOV[CENTRO DE CUSTOS],$D$4)</f>
        <v>0</v>
      </c>
      <c r="L310" s="206">
        <f>SUMIFS(LANÇ_MOV[VALOR LÍQUIDO],LANÇ_MOV[RECEITA OU DESPESA],"Despesa",LANÇ_MOV[CONTAS],$C310,LANÇ_MOV[PLANO DE CONTAS],REL_DRE_FINANCEIRO!$B$241,LANÇ_MOV[ANO PAGAMENTO],$B$4,LANÇ_MOV[MÊS PAGAMENTO CORRESPONDENTE],L$6,LANÇ_MOV[EMPRESA],$C$4,LANÇ_MOV[CENTRO DE CUSTOS],$D$4)</f>
        <v>0</v>
      </c>
      <c r="M310" s="206">
        <f>SUMIFS(LANÇ_MOV[VALOR LÍQUIDO],LANÇ_MOV[RECEITA OU DESPESA],"Despesa",LANÇ_MOV[CONTAS],$C310,LANÇ_MOV[PLANO DE CONTAS],REL_DRE_FINANCEIRO!$B$241,LANÇ_MOV[ANO PAGAMENTO],$B$4,LANÇ_MOV[MÊS PAGAMENTO CORRESPONDENTE],M$6,LANÇ_MOV[EMPRESA],$C$4,LANÇ_MOV[CENTRO DE CUSTOS],$D$4)</f>
        <v>0</v>
      </c>
      <c r="N310" s="206">
        <f>SUMIFS(LANÇ_MOV[VALOR LÍQUIDO],LANÇ_MOV[RECEITA OU DESPESA],"Despesa",LANÇ_MOV[CONTAS],$C310,LANÇ_MOV[PLANO DE CONTAS],REL_DRE_FINANCEIRO!$B$241,LANÇ_MOV[ANO PAGAMENTO],$B$4,LANÇ_MOV[MÊS PAGAMENTO CORRESPONDENTE],N$6,LANÇ_MOV[EMPRESA],$C$4,LANÇ_MOV[CENTRO DE CUSTOS],$D$4)</f>
        <v>0</v>
      </c>
      <c r="O310" s="206">
        <f>SUMIFS(LANÇ_MOV[VALOR LÍQUIDO],LANÇ_MOV[RECEITA OU DESPESA],"Despesa",LANÇ_MOV[CONTAS],$C310,LANÇ_MOV[PLANO DE CONTAS],REL_DRE_FINANCEIRO!$B$241,LANÇ_MOV[ANO PAGAMENTO],$B$4,LANÇ_MOV[MÊS PAGAMENTO CORRESPONDENTE],O$6,LANÇ_MOV[EMPRESA],$C$4,LANÇ_MOV[CENTRO DE CUSTOS],$D$4)</f>
        <v>0</v>
      </c>
      <c r="P310" s="207">
        <f t="shared" si="48"/>
        <v>0</v>
      </c>
      <c r="Q310" s="329">
        <v>3.1999999999999999E-6</v>
      </c>
      <c r="R310" s="346">
        <f t="shared" si="49"/>
        <v>3.1999999999999999E-6</v>
      </c>
      <c r="S310" s="347" t="str">
        <f t="shared" si="50"/>
        <v>-</v>
      </c>
      <c r="T310" s="347">
        <f t="shared" si="51"/>
        <v>0</v>
      </c>
      <c r="U310" s="347">
        <f>HLOOKUP(Apoio!$P$12,$D$240:$P$341,X310,FALSE)+Q310</f>
        <v>3.1999999999999999E-6</v>
      </c>
      <c r="V310" s="447" t="str">
        <f t="shared" si="52"/>
        <v>-</v>
      </c>
      <c r="W310" s="448">
        <f>HLOOKUP(Apoio!$P$12,$D$240:$P$341,X310,FALSE)</f>
        <v>0</v>
      </c>
      <c r="X310" s="329">
        <v>71</v>
      </c>
    </row>
    <row r="311" spans="2:24" ht="30.05" customHeight="1" x14ac:dyDescent="0.35">
      <c r="B311" s="204" t="str">
        <f>'CAD_PL_REC-DESP'!N74</f>
        <v>2.2.70</v>
      </c>
      <c r="C311" s="205" t="str">
        <f>IF('CAD_PL_REC-DESP'!O74="","-",'CAD_PL_REC-DESP'!O74)</f>
        <v>-</v>
      </c>
      <c r="D311" s="206">
        <f>SUMIFS(LANÇ_MOV[VALOR LÍQUIDO],LANÇ_MOV[RECEITA OU DESPESA],"Despesa",LANÇ_MOV[CONTAS],$C311,LANÇ_MOV[PLANO DE CONTAS],REL_DRE_FINANCEIRO!$B$241,LANÇ_MOV[ANO PAGAMENTO],$B$4,LANÇ_MOV[MÊS PAGAMENTO CORRESPONDENTE],D$6,LANÇ_MOV[EMPRESA],$C$4,LANÇ_MOV[CENTRO DE CUSTOS],$D$4)</f>
        <v>0</v>
      </c>
      <c r="E311" s="206">
        <f>SUMIFS(LANÇ_MOV[VALOR LÍQUIDO],LANÇ_MOV[RECEITA OU DESPESA],"Despesa",LANÇ_MOV[CONTAS],$C311,LANÇ_MOV[PLANO DE CONTAS],REL_DRE_FINANCEIRO!$B$241,LANÇ_MOV[ANO PAGAMENTO],$B$4,LANÇ_MOV[MÊS PAGAMENTO CORRESPONDENTE],E$6,LANÇ_MOV[EMPRESA],$C$4,LANÇ_MOV[CENTRO DE CUSTOS],$D$4)</f>
        <v>0</v>
      </c>
      <c r="F311" s="206">
        <f>SUMIFS(LANÇ_MOV[VALOR LÍQUIDO],LANÇ_MOV[RECEITA OU DESPESA],"Despesa",LANÇ_MOV[CONTAS],$C311,LANÇ_MOV[PLANO DE CONTAS],REL_DRE_FINANCEIRO!$B$241,LANÇ_MOV[ANO PAGAMENTO],$B$4,LANÇ_MOV[MÊS PAGAMENTO CORRESPONDENTE],F$6,LANÇ_MOV[EMPRESA],$C$4,LANÇ_MOV[CENTRO DE CUSTOS],$D$4)</f>
        <v>0</v>
      </c>
      <c r="G311" s="206">
        <f>SUMIFS(LANÇ_MOV[VALOR LÍQUIDO],LANÇ_MOV[RECEITA OU DESPESA],"Despesa",LANÇ_MOV[CONTAS],$C311,LANÇ_MOV[PLANO DE CONTAS],REL_DRE_FINANCEIRO!$B$241,LANÇ_MOV[ANO PAGAMENTO],$B$4,LANÇ_MOV[MÊS PAGAMENTO CORRESPONDENTE],G$6,LANÇ_MOV[EMPRESA],$C$4,LANÇ_MOV[CENTRO DE CUSTOS],$D$4)</f>
        <v>0</v>
      </c>
      <c r="H311" s="206">
        <f>SUMIFS(LANÇ_MOV[VALOR LÍQUIDO],LANÇ_MOV[RECEITA OU DESPESA],"Despesa",LANÇ_MOV[CONTAS],$C311,LANÇ_MOV[PLANO DE CONTAS],REL_DRE_FINANCEIRO!$B$241,LANÇ_MOV[ANO PAGAMENTO],$B$4,LANÇ_MOV[MÊS PAGAMENTO CORRESPONDENTE],H$6,LANÇ_MOV[EMPRESA],$C$4,LANÇ_MOV[CENTRO DE CUSTOS],$D$4)</f>
        <v>0</v>
      </c>
      <c r="I311" s="206">
        <f>SUMIFS(LANÇ_MOV[VALOR LÍQUIDO],LANÇ_MOV[RECEITA OU DESPESA],"Despesa",LANÇ_MOV[CONTAS],$C311,LANÇ_MOV[PLANO DE CONTAS],REL_DRE_FINANCEIRO!$B$241,LANÇ_MOV[ANO PAGAMENTO],$B$4,LANÇ_MOV[MÊS PAGAMENTO CORRESPONDENTE],I$6,LANÇ_MOV[EMPRESA],$C$4,LANÇ_MOV[CENTRO DE CUSTOS],$D$4)</f>
        <v>0</v>
      </c>
      <c r="J311" s="206">
        <f>SUMIFS(LANÇ_MOV[VALOR LÍQUIDO],LANÇ_MOV[RECEITA OU DESPESA],"Despesa",LANÇ_MOV[CONTAS],$C311,LANÇ_MOV[PLANO DE CONTAS],REL_DRE_FINANCEIRO!$B$241,LANÇ_MOV[ANO PAGAMENTO],$B$4,LANÇ_MOV[MÊS PAGAMENTO CORRESPONDENTE],J$6,LANÇ_MOV[EMPRESA],$C$4,LANÇ_MOV[CENTRO DE CUSTOS],$D$4)</f>
        <v>0</v>
      </c>
      <c r="K311" s="206">
        <f>SUMIFS(LANÇ_MOV[VALOR LÍQUIDO],LANÇ_MOV[RECEITA OU DESPESA],"Despesa",LANÇ_MOV[CONTAS],$C311,LANÇ_MOV[PLANO DE CONTAS],REL_DRE_FINANCEIRO!$B$241,LANÇ_MOV[ANO PAGAMENTO],$B$4,LANÇ_MOV[MÊS PAGAMENTO CORRESPONDENTE],K$6,LANÇ_MOV[EMPRESA],$C$4,LANÇ_MOV[CENTRO DE CUSTOS],$D$4)</f>
        <v>0</v>
      </c>
      <c r="L311" s="206">
        <f>SUMIFS(LANÇ_MOV[VALOR LÍQUIDO],LANÇ_MOV[RECEITA OU DESPESA],"Despesa",LANÇ_MOV[CONTAS],$C311,LANÇ_MOV[PLANO DE CONTAS],REL_DRE_FINANCEIRO!$B$241,LANÇ_MOV[ANO PAGAMENTO],$B$4,LANÇ_MOV[MÊS PAGAMENTO CORRESPONDENTE],L$6,LANÇ_MOV[EMPRESA],$C$4,LANÇ_MOV[CENTRO DE CUSTOS],$D$4)</f>
        <v>0</v>
      </c>
      <c r="M311" s="206">
        <f>SUMIFS(LANÇ_MOV[VALOR LÍQUIDO],LANÇ_MOV[RECEITA OU DESPESA],"Despesa",LANÇ_MOV[CONTAS],$C311,LANÇ_MOV[PLANO DE CONTAS],REL_DRE_FINANCEIRO!$B$241,LANÇ_MOV[ANO PAGAMENTO],$B$4,LANÇ_MOV[MÊS PAGAMENTO CORRESPONDENTE],M$6,LANÇ_MOV[EMPRESA],$C$4,LANÇ_MOV[CENTRO DE CUSTOS],$D$4)</f>
        <v>0</v>
      </c>
      <c r="N311" s="206">
        <f>SUMIFS(LANÇ_MOV[VALOR LÍQUIDO],LANÇ_MOV[RECEITA OU DESPESA],"Despesa",LANÇ_MOV[CONTAS],$C311,LANÇ_MOV[PLANO DE CONTAS],REL_DRE_FINANCEIRO!$B$241,LANÇ_MOV[ANO PAGAMENTO],$B$4,LANÇ_MOV[MÊS PAGAMENTO CORRESPONDENTE],N$6,LANÇ_MOV[EMPRESA],$C$4,LANÇ_MOV[CENTRO DE CUSTOS],$D$4)</f>
        <v>0</v>
      </c>
      <c r="O311" s="206">
        <f>SUMIFS(LANÇ_MOV[VALOR LÍQUIDO],LANÇ_MOV[RECEITA OU DESPESA],"Despesa",LANÇ_MOV[CONTAS],$C311,LANÇ_MOV[PLANO DE CONTAS],REL_DRE_FINANCEIRO!$B$241,LANÇ_MOV[ANO PAGAMENTO],$B$4,LANÇ_MOV[MÊS PAGAMENTO CORRESPONDENTE],O$6,LANÇ_MOV[EMPRESA],$C$4,LANÇ_MOV[CENTRO DE CUSTOS],$D$4)</f>
        <v>0</v>
      </c>
      <c r="P311" s="207">
        <f t="shared" si="48"/>
        <v>0</v>
      </c>
      <c r="Q311" s="329">
        <v>3.1E-6</v>
      </c>
      <c r="R311" s="346">
        <f t="shared" si="49"/>
        <v>3.1E-6</v>
      </c>
      <c r="S311" s="347" t="str">
        <f t="shared" si="50"/>
        <v>-</v>
      </c>
      <c r="T311" s="347">
        <f t="shared" si="51"/>
        <v>0</v>
      </c>
      <c r="U311" s="347">
        <f>HLOOKUP(Apoio!$P$12,$D$240:$P$341,X311,FALSE)+Q311</f>
        <v>3.1E-6</v>
      </c>
      <c r="V311" s="447" t="str">
        <f t="shared" si="52"/>
        <v>-</v>
      </c>
      <c r="W311" s="448">
        <f>HLOOKUP(Apoio!$P$12,$D$240:$P$341,X311,FALSE)</f>
        <v>0</v>
      </c>
      <c r="X311" s="329">
        <v>72</v>
      </c>
    </row>
    <row r="312" spans="2:24" ht="30.05" customHeight="1" x14ac:dyDescent="0.35">
      <c r="B312" s="204" t="str">
        <f>'CAD_PL_REC-DESP'!N75</f>
        <v>2.2.71</v>
      </c>
      <c r="C312" s="205" t="str">
        <f>IF('CAD_PL_REC-DESP'!O75="","-",'CAD_PL_REC-DESP'!O75)</f>
        <v>-</v>
      </c>
      <c r="D312" s="206">
        <f>SUMIFS(LANÇ_MOV[VALOR LÍQUIDO],LANÇ_MOV[RECEITA OU DESPESA],"Despesa",LANÇ_MOV[CONTAS],$C312,LANÇ_MOV[PLANO DE CONTAS],REL_DRE_FINANCEIRO!$B$241,LANÇ_MOV[ANO PAGAMENTO],$B$4,LANÇ_MOV[MÊS PAGAMENTO CORRESPONDENTE],D$6,LANÇ_MOV[EMPRESA],$C$4,LANÇ_MOV[CENTRO DE CUSTOS],$D$4)</f>
        <v>0</v>
      </c>
      <c r="E312" s="206">
        <f>SUMIFS(LANÇ_MOV[VALOR LÍQUIDO],LANÇ_MOV[RECEITA OU DESPESA],"Despesa",LANÇ_MOV[CONTAS],$C312,LANÇ_MOV[PLANO DE CONTAS],REL_DRE_FINANCEIRO!$B$241,LANÇ_MOV[ANO PAGAMENTO],$B$4,LANÇ_MOV[MÊS PAGAMENTO CORRESPONDENTE],E$6,LANÇ_MOV[EMPRESA],$C$4,LANÇ_MOV[CENTRO DE CUSTOS],$D$4)</f>
        <v>0</v>
      </c>
      <c r="F312" s="206">
        <f>SUMIFS(LANÇ_MOV[VALOR LÍQUIDO],LANÇ_MOV[RECEITA OU DESPESA],"Despesa",LANÇ_MOV[CONTAS],$C312,LANÇ_MOV[PLANO DE CONTAS],REL_DRE_FINANCEIRO!$B$241,LANÇ_MOV[ANO PAGAMENTO],$B$4,LANÇ_MOV[MÊS PAGAMENTO CORRESPONDENTE],F$6,LANÇ_MOV[EMPRESA],$C$4,LANÇ_MOV[CENTRO DE CUSTOS],$D$4)</f>
        <v>0</v>
      </c>
      <c r="G312" s="206">
        <f>SUMIFS(LANÇ_MOV[VALOR LÍQUIDO],LANÇ_MOV[RECEITA OU DESPESA],"Despesa",LANÇ_MOV[CONTAS],$C312,LANÇ_MOV[PLANO DE CONTAS],REL_DRE_FINANCEIRO!$B$241,LANÇ_MOV[ANO PAGAMENTO],$B$4,LANÇ_MOV[MÊS PAGAMENTO CORRESPONDENTE],G$6,LANÇ_MOV[EMPRESA],$C$4,LANÇ_MOV[CENTRO DE CUSTOS],$D$4)</f>
        <v>0</v>
      </c>
      <c r="H312" s="206">
        <f>SUMIFS(LANÇ_MOV[VALOR LÍQUIDO],LANÇ_MOV[RECEITA OU DESPESA],"Despesa",LANÇ_MOV[CONTAS],$C312,LANÇ_MOV[PLANO DE CONTAS],REL_DRE_FINANCEIRO!$B$241,LANÇ_MOV[ANO PAGAMENTO],$B$4,LANÇ_MOV[MÊS PAGAMENTO CORRESPONDENTE],H$6,LANÇ_MOV[EMPRESA],$C$4,LANÇ_MOV[CENTRO DE CUSTOS],$D$4)</f>
        <v>0</v>
      </c>
      <c r="I312" s="206">
        <f>SUMIFS(LANÇ_MOV[VALOR LÍQUIDO],LANÇ_MOV[RECEITA OU DESPESA],"Despesa",LANÇ_MOV[CONTAS],$C312,LANÇ_MOV[PLANO DE CONTAS],REL_DRE_FINANCEIRO!$B$241,LANÇ_MOV[ANO PAGAMENTO],$B$4,LANÇ_MOV[MÊS PAGAMENTO CORRESPONDENTE],I$6,LANÇ_MOV[EMPRESA],$C$4,LANÇ_MOV[CENTRO DE CUSTOS],$D$4)</f>
        <v>0</v>
      </c>
      <c r="J312" s="206">
        <f>SUMIFS(LANÇ_MOV[VALOR LÍQUIDO],LANÇ_MOV[RECEITA OU DESPESA],"Despesa",LANÇ_MOV[CONTAS],$C312,LANÇ_MOV[PLANO DE CONTAS],REL_DRE_FINANCEIRO!$B$241,LANÇ_MOV[ANO PAGAMENTO],$B$4,LANÇ_MOV[MÊS PAGAMENTO CORRESPONDENTE],J$6,LANÇ_MOV[EMPRESA],$C$4,LANÇ_MOV[CENTRO DE CUSTOS],$D$4)</f>
        <v>0</v>
      </c>
      <c r="K312" s="206">
        <f>SUMIFS(LANÇ_MOV[VALOR LÍQUIDO],LANÇ_MOV[RECEITA OU DESPESA],"Despesa",LANÇ_MOV[CONTAS],$C312,LANÇ_MOV[PLANO DE CONTAS],REL_DRE_FINANCEIRO!$B$241,LANÇ_MOV[ANO PAGAMENTO],$B$4,LANÇ_MOV[MÊS PAGAMENTO CORRESPONDENTE],K$6,LANÇ_MOV[EMPRESA],$C$4,LANÇ_MOV[CENTRO DE CUSTOS],$D$4)</f>
        <v>0</v>
      </c>
      <c r="L312" s="206">
        <f>SUMIFS(LANÇ_MOV[VALOR LÍQUIDO],LANÇ_MOV[RECEITA OU DESPESA],"Despesa",LANÇ_MOV[CONTAS],$C312,LANÇ_MOV[PLANO DE CONTAS],REL_DRE_FINANCEIRO!$B$241,LANÇ_MOV[ANO PAGAMENTO],$B$4,LANÇ_MOV[MÊS PAGAMENTO CORRESPONDENTE],L$6,LANÇ_MOV[EMPRESA],$C$4,LANÇ_MOV[CENTRO DE CUSTOS],$D$4)</f>
        <v>0</v>
      </c>
      <c r="M312" s="206">
        <f>SUMIFS(LANÇ_MOV[VALOR LÍQUIDO],LANÇ_MOV[RECEITA OU DESPESA],"Despesa",LANÇ_MOV[CONTAS],$C312,LANÇ_MOV[PLANO DE CONTAS],REL_DRE_FINANCEIRO!$B$241,LANÇ_MOV[ANO PAGAMENTO],$B$4,LANÇ_MOV[MÊS PAGAMENTO CORRESPONDENTE],M$6,LANÇ_MOV[EMPRESA],$C$4,LANÇ_MOV[CENTRO DE CUSTOS],$D$4)</f>
        <v>0</v>
      </c>
      <c r="N312" s="206">
        <f>SUMIFS(LANÇ_MOV[VALOR LÍQUIDO],LANÇ_MOV[RECEITA OU DESPESA],"Despesa",LANÇ_MOV[CONTAS],$C312,LANÇ_MOV[PLANO DE CONTAS],REL_DRE_FINANCEIRO!$B$241,LANÇ_MOV[ANO PAGAMENTO],$B$4,LANÇ_MOV[MÊS PAGAMENTO CORRESPONDENTE],N$6,LANÇ_MOV[EMPRESA],$C$4,LANÇ_MOV[CENTRO DE CUSTOS],$D$4)</f>
        <v>0</v>
      </c>
      <c r="O312" s="206">
        <f>SUMIFS(LANÇ_MOV[VALOR LÍQUIDO],LANÇ_MOV[RECEITA OU DESPESA],"Despesa",LANÇ_MOV[CONTAS],$C312,LANÇ_MOV[PLANO DE CONTAS],REL_DRE_FINANCEIRO!$B$241,LANÇ_MOV[ANO PAGAMENTO],$B$4,LANÇ_MOV[MÊS PAGAMENTO CORRESPONDENTE],O$6,LANÇ_MOV[EMPRESA],$C$4,LANÇ_MOV[CENTRO DE CUSTOS],$D$4)</f>
        <v>0</v>
      </c>
      <c r="P312" s="207">
        <f t="shared" si="48"/>
        <v>0</v>
      </c>
      <c r="Q312" s="329">
        <v>3.0000000000000001E-6</v>
      </c>
      <c r="R312" s="346">
        <f t="shared" si="49"/>
        <v>3.0000000000000001E-6</v>
      </c>
      <c r="S312" s="347" t="str">
        <f t="shared" si="50"/>
        <v>-</v>
      </c>
      <c r="T312" s="347">
        <f t="shared" si="51"/>
        <v>0</v>
      </c>
      <c r="U312" s="347">
        <f>HLOOKUP(Apoio!$P$12,$D$240:$P$341,X312,FALSE)+Q312</f>
        <v>3.0000000000000001E-6</v>
      </c>
      <c r="V312" s="447" t="str">
        <f t="shared" si="52"/>
        <v>-</v>
      </c>
      <c r="W312" s="448">
        <f>HLOOKUP(Apoio!$P$12,$D$240:$P$341,X312,FALSE)</f>
        <v>0</v>
      </c>
      <c r="X312" s="329">
        <v>73</v>
      </c>
    </row>
    <row r="313" spans="2:24" ht="30.05" customHeight="1" x14ac:dyDescent="0.35">
      <c r="B313" s="204" t="str">
        <f>'CAD_PL_REC-DESP'!N76</f>
        <v>2.2.72</v>
      </c>
      <c r="C313" s="205" t="str">
        <f>IF('CAD_PL_REC-DESP'!O76="","-",'CAD_PL_REC-DESP'!O76)</f>
        <v>-</v>
      </c>
      <c r="D313" s="206">
        <f>SUMIFS(LANÇ_MOV[VALOR LÍQUIDO],LANÇ_MOV[RECEITA OU DESPESA],"Despesa",LANÇ_MOV[CONTAS],$C313,LANÇ_MOV[PLANO DE CONTAS],REL_DRE_FINANCEIRO!$B$241,LANÇ_MOV[ANO PAGAMENTO],$B$4,LANÇ_MOV[MÊS PAGAMENTO CORRESPONDENTE],D$6,LANÇ_MOV[EMPRESA],$C$4,LANÇ_MOV[CENTRO DE CUSTOS],$D$4)</f>
        <v>0</v>
      </c>
      <c r="E313" s="206">
        <f>SUMIFS(LANÇ_MOV[VALOR LÍQUIDO],LANÇ_MOV[RECEITA OU DESPESA],"Despesa",LANÇ_MOV[CONTAS],$C313,LANÇ_MOV[PLANO DE CONTAS],REL_DRE_FINANCEIRO!$B$241,LANÇ_MOV[ANO PAGAMENTO],$B$4,LANÇ_MOV[MÊS PAGAMENTO CORRESPONDENTE],E$6,LANÇ_MOV[EMPRESA],$C$4,LANÇ_MOV[CENTRO DE CUSTOS],$D$4)</f>
        <v>0</v>
      </c>
      <c r="F313" s="206">
        <f>SUMIFS(LANÇ_MOV[VALOR LÍQUIDO],LANÇ_MOV[RECEITA OU DESPESA],"Despesa",LANÇ_MOV[CONTAS],$C313,LANÇ_MOV[PLANO DE CONTAS],REL_DRE_FINANCEIRO!$B$241,LANÇ_MOV[ANO PAGAMENTO],$B$4,LANÇ_MOV[MÊS PAGAMENTO CORRESPONDENTE],F$6,LANÇ_MOV[EMPRESA],$C$4,LANÇ_MOV[CENTRO DE CUSTOS],$D$4)</f>
        <v>0</v>
      </c>
      <c r="G313" s="206">
        <f>SUMIFS(LANÇ_MOV[VALOR LÍQUIDO],LANÇ_MOV[RECEITA OU DESPESA],"Despesa",LANÇ_MOV[CONTAS],$C313,LANÇ_MOV[PLANO DE CONTAS],REL_DRE_FINANCEIRO!$B$241,LANÇ_MOV[ANO PAGAMENTO],$B$4,LANÇ_MOV[MÊS PAGAMENTO CORRESPONDENTE],G$6,LANÇ_MOV[EMPRESA],$C$4,LANÇ_MOV[CENTRO DE CUSTOS],$D$4)</f>
        <v>0</v>
      </c>
      <c r="H313" s="206">
        <f>SUMIFS(LANÇ_MOV[VALOR LÍQUIDO],LANÇ_MOV[RECEITA OU DESPESA],"Despesa",LANÇ_MOV[CONTAS],$C313,LANÇ_MOV[PLANO DE CONTAS],REL_DRE_FINANCEIRO!$B$241,LANÇ_MOV[ANO PAGAMENTO],$B$4,LANÇ_MOV[MÊS PAGAMENTO CORRESPONDENTE],H$6,LANÇ_MOV[EMPRESA],$C$4,LANÇ_MOV[CENTRO DE CUSTOS],$D$4)</f>
        <v>0</v>
      </c>
      <c r="I313" s="206">
        <f>SUMIFS(LANÇ_MOV[VALOR LÍQUIDO],LANÇ_MOV[RECEITA OU DESPESA],"Despesa",LANÇ_MOV[CONTAS],$C313,LANÇ_MOV[PLANO DE CONTAS],REL_DRE_FINANCEIRO!$B$241,LANÇ_MOV[ANO PAGAMENTO],$B$4,LANÇ_MOV[MÊS PAGAMENTO CORRESPONDENTE],I$6,LANÇ_MOV[EMPRESA],$C$4,LANÇ_MOV[CENTRO DE CUSTOS],$D$4)</f>
        <v>0</v>
      </c>
      <c r="J313" s="206">
        <f>SUMIFS(LANÇ_MOV[VALOR LÍQUIDO],LANÇ_MOV[RECEITA OU DESPESA],"Despesa",LANÇ_MOV[CONTAS],$C313,LANÇ_MOV[PLANO DE CONTAS],REL_DRE_FINANCEIRO!$B$241,LANÇ_MOV[ANO PAGAMENTO],$B$4,LANÇ_MOV[MÊS PAGAMENTO CORRESPONDENTE],J$6,LANÇ_MOV[EMPRESA],$C$4,LANÇ_MOV[CENTRO DE CUSTOS],$D$4)</f>
        <v>0</v>
      </c>
      <c r="K313" s="206">
        <f>SUMIFS(LANÇ_MOV[VALOR LÍQUIDO],LANÇ_MOV[RECEITA OU DESPESA],"Despesa",LANÇ_MOV[CONTAS],$C313,LANÇ_MOV[PLANO DE CONTAS],REL_DRE_FINANCEIRO!$B$241,LANÇ_MOV[ANO PAGAMENTO],$B$4,LANÇ_MOV[MÊS PAGAMENTO CORRESPONDENTE],K$6,LANÇ_MOV[EMPRESA],$C$4,LANÇ_MOV[CENTRO DE CUSTOS],$D$4)</f>
        <v>0</v>
      </c>
      <c r="L313" s="206">
        <f>SUMIFS(LANÇ_MOV[VALOR LÍQUIDO],LANÇ_MOV[RECEITA OU DESPESA],"Despesa",LANÇ_MOV[CONTAS],$C313,LANÇ_MOV[PLANO DE CONTAS],REL_DRE_FINANCEIRO!$B$241,LANÇ_MOV[ANO PAGAMENTO],$B$4,LANÇ_MOV[MÊS PAGAMENTO CORRESPONDENTE],L$6,LANÇ_MOV[EMPRESA],$C$4,LANÇ_MOV[CENTRO DE CUSTOS],$D$4)</f>
        <v>0</v>
      </c>
      <c r="M313" s="206">
        <f>SUMIFS(LANÇ_MOV[VALOR LÍQUIDO],LANÇ_MOV[RECEITA OU DESPESA],"Despesa",LANÇ_MOV[CONTAS],$C313,LANÇ_MOV[PLANO DE CONTAS],REL_DRE_FINANCEIRO!$B$241,LANÇ_MOV[ANO PAGAMENTO],$B$4,LANÇ_MOV[MÊS PAGAMENTO CORRESPONDENTE],M$6,LANÇ_MOV[EMPRESA],$C$4,LANÇ_MOV[CENTRO DE CUSTOS],$D$4)</f>
        <v>0</v>
      </c>
      <c r="N313" s="206">
        <f>SUMIFS(LANÇ_MOV[VALOR LÍQUIDO],LANÇ_MOV[RECEITA OU DESPESA],"Despesa",LANÇ_MOV[CONTAS],$C313,LANÇ_MOV[PLANO DE CONTAS],REL_DRE_FINANCEIRO!$B$241,LANÇ_MOV[ANO PAGAMENTO],$B$4,LANÇ_MOV[MÊS PAGAMENTO CORRESPONDENTE],N$6,LANÇ_MOV[EMPRESA],$C$4,LANÇ_MOV[CENTRO DE CUSTOS],$D$4)</f>
        <v>0</v>
      </c>
      <c r="O313" s="206">
        <f>SUMIFS(LANÇ_MOV[VALOR LÍQUIDO],LANÇ_MOV[RECEITA OU DESPESA],"Despesa",LANÇ_MOV[CONTAS],$C313,LANÇ_MOV[PLANO DE CONTAS],REL_DRE_FINANCEIRO!$B$241,LANÇ_MOV[ANO PAGAMENTO],$B$4,LANÇ_MOV[MÊS PAGAMENTO CORRESPONDENTE],O$6,LANÇ_MOV[EMPRESA],$C$4,LANÇ_MOV[CENTRO DE CUSTOS],$D$4)</f>
        <v>0</v>
      </c>
      <c r="P313" s="207">
        <f t="shared" si="48"/>
        <v>0</v>
      </c>
      <c r="Q313" s="329">
        <v>2.9000000000000002E-6</v>
      </c>
      <c r="R313" s="346">
        <f t="shared" si="49"/>
        <v>2.9000000000000002E-6</v>
      </c>
      <c r="S313" s="347" t="str">
        <f t="shared" si="50"/>
        <v>-</v>
      </c>
      <c r="T313" s="347">
        <f t="shared" si="51"/>
        <v>0</v>
      </c>
      <c r="U313" s="347">
        <f>HLOOKUP(Apoio!$P$12,$D$240:$P$341,X313,FALSE)+Q313</f>
        <v>2.9000000000000002E-6</v>
      </c>
      <c r="V313" s="447" t="str">
        <f t="shared" si="52"/>
        <v>-</v>
      </c>
      <c r="W313" s="448">
        <f>HLOOKUP(Apoio!$P$12,$D$240:$P$341,X313,FALSE)</f>
        <v>0</v>
      </c>
      <c r="X313" s="329">
        <v>74</v>
      </c>
    </row>
    <row r="314" spans="2:24" ht="30.05" customHeight="1" x14ac:dyDescent="0.35">
      <c r="B314" s="204" t="str">
        <f>'CAD_PL_REC-DESP'!N77</f>
        <v>2.2.73</v>
      </c>
      <c r="C314" s="205" t="str">
        <f>IF('CAD_PL_REC-DESP'!O77="","-",'CAD_PL_REC-DESP'!O77)</f>
        <v>-</v>
      </c>
      <c r="D314" s="206">
        <f>SUMIFS(LANÇ_MOV[VALOR LÍQUIDO],LANÇ_MOV[RECEITA OU DESPESA],"Despesa",LANÇ_MOV[CONTAS],$C314,LANÇ_MOV[PLANO DE CONTAS],REL_DRE_FINANCEIRO!$B$241,LANÇ_MOV[ANO PAGAMENTO],$B$4,LANÇ_MOV[MÊS PAGAMENTO CORRESPONDENTE],D$6,LANÇ_MOV[EMPRESA],$C$4,LANÇ_MOV[CENTRO DE CUSTOS],$D$4)</f>
        <v>0</v>
      </c>
      <c r="E314" s="206">
        <f>SUMIFS(LANÇ_MOV[VALOR LÍQUIDO],LANÇ_MOV[RECEITA OU DESPESA],"Despesa",LANÇ_MOV[CONTAS],$C314,LANÇ_MOV[PLANO DE CONTAS],REL_DRE_FINANCEIRO!$B$241,LANÇ_MOV[ANO PAGAMENTO],$B$4,LANÇ_MOV[MÊS PAGAMENTO CORRESPONDENTE],E$6,LANÇ_MOV[EMPRESA],$C$4,LANÇ_MOV[CENTRO DE CUSTOS],$D$4)</f>
        <v>0</v>
      </c>
      <c r="F314" s="206">
        <f>SUMIFS(LANÇ_MOV[VALOR LÍQUIDO],LANÇ_MOV[RECEITA OU DESPESA],"Despesa",LANÇ_MOV[CONTAS],$C314,LANÇ_MOV[PLANO DE CONTAS],REL_DRE_FINANCEIRO!$B$241,LANÇ_MOV[ANO PAGAMENTO],$B$4,LANÇ_MOV[MÊS PAGAMENTO CORRESPONDENTE],F$6,LANÇ_MOV[EMPRESA],$C$4,LANÇ_MOV[CENTRO DE CUSTOS],$D$4)</f>
        <v>0</v>
      </c>
      <c r="G314" s="206">
        <f>SUMIFS(LANÇ_MOV[VALOR LÍQUIDO],LANÇ_MOV[RECEITA OU DESPESA],"Despesa",LANÇ_MOV[CONTAS],$C314,LANÇ_MOV[PLANO DE CONTAS],REL_DRE_FINANCEIRO!$B$241,LANÇ_MOV[ANO PAGAMENTO],$B$4,LANÇ_MOV[MÊS PAGAMENTO CORRESPONDENTE],G$6,LANÇ_MOV[EMPRESA],$C$4,LANÇ_MOV[CENTRO DE CUSTOS],$D$4)</f>
        <v>0</v>
      </c>
      <c r="H314" s="206">
        <f>SUMIFS(LANÇ_MOV[VALOR LÍQUIDO],LANÇ_MOV[RECEITA OU DESPESA],"Despesa",LANÇ_MOV[CONTAS],$C314,LANÇ_MOV[PLANO DE CONTAS],REL_DRE_FINANCEIRO!$B$241,LANÇ_MOV[ANO PAGAMENTO],$B$4,LANÇ_MOV[MÊS PAGAMENTO CORRESPONDENTE],H$6,LANÇ_MOV[EMPRESA],$C$4,LANÇ_MOV[CENTRO DE CUSTOS],$D$4)</f>
        <v>0</v>
      </c>
      <c r="I314" s="206">
        <f>SUMIFS(LANÇ_MOV[VALOR LÍQUIDO],LANÇ_MOV[RECEITA OU DESPESA],"Despesa",LANÇ_MOV[CONTAS],$C314,LANÇ_MOV[PLANO DE CONTAS],REL_DRE_FINANCEIRO!$B$241,LANÇ_MOV[ANO PAGAMENTO],$B$4,LANÇ_MOV[MÊS PAGAMENTO CORRESPONDENTE],I$6,LANÇ_MOV[EMPRESA],$C$4,LANÇ_MOV[CENTRO DE CUSTOS],$D$4)</f>
        <v>0</v>
      </c>
      <c r="J314" s="206">
        <f>SUMIFS(LANÇ_MOV[VALOR LÍQUIDO],LANÇ_MOV[RECEITA OU DESPESA],"Despesa",LANÇ_MOV[CONTAS],$C314,LANÇ_MOV[PLANO DE CONTAS],REL_DRE_FINANCEIRO!$B$241,LANÇ_MOV[ANO PAGAMENTO],$B$4,LANÇ_MOV[MÊS PAGAMENTO CORRESPONDENTE],J$6,LANÇ_MOV[EMPRESA],$C$4,LANÇ_MOV[CENTRO DE CUSTOS],$D$4)</f>
        <v>0</v>
      </c>
      <c r="K314" s="206">
        <f>SUMIFS(LANÇ_MOV[VALOR LÍQUIDO],LANÇ_MOV[RECEITA OU DESPESA],"Despesa",LANÇ_MOV[CONTAS],$C314,LANÇ_MOV[PLANO DE CONTAS],REL_DRE_FINANCEIRO!$B$241,LANÇ_MOV[ANO PAGAMENTO],$B$4,LANÇ_MOV[MÊS PAGAMENTO CORRESPONDENTE],K$6,LANÇ_MOV[EMPRESA],$C$4,LANÇ_MOV[CENTRO DE CUSTOS],$D$4)</f>
        <v>0</v>
      </c>
      <c r="L314" s="206">
        <f>SUMIFS(LANÇ_MOV[VALOR LÍQUIDO],LANÇ_MOV[RECEITA OU DESPESA],"Despesa",LANÇ_MOV[CONTAS],$C314,LANÇ_MOV[PLANO DE CONTAS],REL_DRE_FINANCEIRO!$B$241,LANÇ_MOV[ANO PAGAMENTO],$B$4,LANÇ_MOV[MÊS PAGAMENTO CORRESPONDENTE],L$6,LANÇ_MOV[EMPRESA],$C$4,LANÇ_MOV[CENTRO DE CUSTOS],$D$4)</f>
        <v>0</v>
      </c>
      <c r="M314" s="206">
        <f>SUMIFS(LANÇ_MOV[VALOR LÍQUIDO],LANÇ_MOV[RECEITA OU DESPESA],"Despesa",LANÇ_MOV[CONTAS],$C314,LANÇ_MOV[PLANO DE CONTAS],REL_DRE_FINANCEIRO!$B$241,LANÇ_MOV[ANO PAGAMENTO],$B$4,LANÇ_MOV[MÊS PAGAMENTO CORRESPONDENTE],M$6,LANÇ_MOV[EMPRESA],$C$4,LANÇ_MOV[CENTRO DE CUSTOS],$D$4)</f>
        <v>0</v>
      </c>
      <c r="N314" s="206">
        <f>SUMIFS(LANÇ_MOV[VALOR LÍQUIDO],LANÇ_MOV[RECEITA OU DESPESA],"Despesa",LANÇ_MOV[CONTAS],$C314,LANÇ_MOV[PLANO DE CONTAS],REL_DRE_FINANCEIRO!$B$241,LANÇ_MOV[ANO PAGAMENTO],$B$4,LANÇ_MOV[MÊS PAGAMENTO CORRESPONDENTE],N$6,LANÇ_MOV[EMPRESA],$C$4,LANÇ_MOV[CENTRO DE CUSTOS],$D$4)</f>
        <v>0</v>
      </c>
      <c r="O314" s="206">
        <f>SUMIFS(LANÇ_MOV[VALOR LÍQUIDO],LANÇ_MOV[RECEITA OU DESPESA],"Despesa",LANÇ_MOV[CONTAS],$C314,LANÇ_MOV[PLANO DE CONTAS],REL_DRE_FINANCEIRO!$B$241,LANÇ_MOV[ANO PAGAMENTO],$B$4,LANÇ_MOV[MÊS PAGAMENTO CORRESPONDENTE],O$6,LANÇ_MOV[EMPRESA],$C$4,LANÇ_MOV[CENTRO DE CUSTOS],$D$4)</f>
        <v>0</v>
      </c>
      <c r="P314" s="207">
        <f t="shared" si="48"/>
        <v>0</v>
      </c>
      <c r="Q314" s="329">
        <v>2.7999999999999999E-6</v>
      </c>
      <c r="R314" s="346">
        <f t="shared" si="49"/>
        <v>2.7999999999999999E-6</v>
      </c>
      <c r="S314" s="347" t="str">
        <f t="shared" si="50"/>
        <v>-</v>
      </c>
      <c r="T314" s="347">
        <f t="shared" si="51"/>
        <v>0</v>
      </c>
      <c r="U314" s="347">
        <f>HLOOKUP(Apoio!$P$12,$D$240:$P$341,X314,FALSE)+Q314</f>
        <v>2.7999999999999999E-6</v>
      </c>
      <c r="V314" s="447" t="str">
        <f t="shared" si="52"/>
        <v>-</v>
      </c>
      <c r="W314" s="448">
        <f>HLOOKUP(Apoio!$P$12,$D$240:$P$341,X314,FALSE)</f>
        <v>0</v>
      </c>
      <c r="X314" s="329">
        <v>75</v>
      </c>
    </row>
    <row r="315" spans="2:24" ht="30.05" customHeight="1" x14ac:dyDescent="0.35">
      <c r="B315" s="204" t="str">
        <f>'CAD_PL_REC-DESP'!N78</f>
        <v>2.2.74</v>
      </c>
      <c r="C315" s="205" t="str">
        <f>IF('CAD_PL_REC-DESP'!O78="","-",'CAD_PL_REC-DESP'!O78)</f>
        <v>-</v>
      </c>
      <c r="D315" s="206">
        <f>SUMIFS(LANÇ_MOV[VALOR LÍQUIDO],LANÇ_MOV[RECEITA OU DESPESA],"Despesa",LANÇ_MOV[CONTAS],$C315,LANÇ_MOV[PLANO DE CONTAS],REL_DRE_FINANCEIRO!$B$241,LANÇ_MOV[ANO PAGAMENTO],$B$4,LANÇ_MOV[MÊS PAGAMENTO CORRESPONDENTE],D$6,LANÇ_MOV[EMPRESA],$C$4,LANÇ_MOV[CENTRO DE CUSTOS],$D$4)</f>
        <v>0</v>
      </c>
      <c r="E315" s="206">
        <f>SUMIFS(LANÇ_MOV[VALOR LÍQUIDO],LANÇ_MOV[RECEITA OU DESPESA],"Despesa",LANÇ_MOV[CONTAS],$C315,LANÇ_MOV[PLANO DE CONTAS],REL_DRE_FINANCEIRO!$B$241,LANÇ_MOV[ANO PAGAMENTO],$B$4,LANÇ_MOV[MÊS PAGAMENTO CORRESPONDENTE],E$6,LANÇ_MOV[EMPRESA],$C$4,LANÇ_MOV[CENTRO DE CUSTOS],$D$4)</f>
        <v>0</v>
      </c>
      <c r="F315" s="206">
        <f>SUMIFS(LANÇ_MOV[VALOR LÍQUIDO],LANÇ_MOV[RECEITA OU DESPESA],"Despesa",LANÇ_MOV[CONTAS],$C315,LANÇ_MOV[PLANO DE CONTAS],REL_DRE_FINANCEIRO!$B$241,LANÇ_MOV[ANO PAGAMENTO],$B$4,LANÇ_MOV[MÊS PAGAMENTO CORRESPONDENTE],F$6,LANÇ_MOV[EMPRESA],$C$4,LANÇ_MOV[CENTRO DE CUSTOS],$D$4)</f>
        <v>0</v>
      </c>
      <c r="G315" s="206">
        <f>SUMIFS(LANÇ_MOV[VALOR LÍQUIDO],LANÇ_MOV[RECEITA OU DESPESA],"Despesa",LANÇ_MOV[CONTAS],$C315,LANÇ_MOV[PLANO DE CONTAS],REL_DRE_FINANCEIRO!$B$241,LANÇ_MOV[ANO PAGAMENTO],$B$4,LANÇ_MOV[MÊS PAGAMENTO CORRESPONDENTE],G$6,LANÇ_MOV[EMPRESA],$C$4,LANÇ_MOV[CENTRO DE CUSTOS],$D$4)</f>
        <v>0</v>
      </c>
      <c r="H315" s="206">
        <f>SUMIFS(LANÇ_MOV[VALOR LÍQUIDO],LANÇ_MOV[RECEITA OU DESPESA],"Despesa",LANÇ_MOV[CONTAS],$C315,LANÇ_MOV[PLANO DE CONTAS],REL_DRE_FINANCEIRO!$B$241,LANÇ_MOV[ANO PAGAMENTO],$B$4,LANÇ_MOV[MÊS PAGAMENTO CORRESPONDENTE],H$6,LANÇ_MOV[EMPRESA],$C$4,LANÇ_MOV[CENTRO DE CUSTOS],$D$4)</f>
        <v>0</v>
      </c>
      <c r="I315" s="206">
        <f>SUMIFS(LANÇ_MOV[VALOR LÍQUIDO],LANÇ_MOV[RECEITA OU DESPESA],"Despesa",LANÇ_MOV[CONTAS],$C315,LANÇ_MOV[PLANO DE CONTAS],REL_DRE_FINANCEIRO!$B$241,LANÇ_MOV[ANO PAGAMENTO],$B$4,LANÇ_MOV[MÊS PAGAMENTO CORRESPONDENTE],I$6,LANÇ_MOV[EMPRESA],$C$4,LANÇ_MOV[CENTRO DE CUSTOS],$D$4)</f>
        <v>0</v>
      </c>
      <c r="J315" s="206">
        <f>SUMIFS(LANÇ_MOV[VALOR LÍQUIDO],LANÇ_MOV[RECEITA OU DESPESA],"Despesa",LANÇ_MOV[CONTAS],$C315,LANÇ_MOV[PLANO DE CONTAS],REL_DRE_FINANCEIRO!$B$241,LANÇ_MOV[ANO PAGAMENTO],$B$4,LANÇ_MOV[MÊS PAGAMENTO CORRESPONDENTE],J$6,LANÇ_MOV[EMPRESA],$C$4,LANÇ_MOV[CENTRO DE CUSTOS],$D$4)</f>
        <v>0</v>
      </c>
      <c r="K315" s="206">
        <f>SUMIFS(LANÇ_MOV[VALOR LÍQUIDO],LANÇ_MOV[RECEITA OU DESPESA],"Despesa",LANÇ_MOV[CONTAS],$C315,LANÇ_MOV[PLANO DE CONTAS],REL_DRE_FINANCEIRO!$B$241,LANÇ_MOV[ANO PAGAMENTO],$B$4,LANÇ_MOV[MÊS PAGAMENTO CORRESPONDENTE],K$6,LANÇ_MOV[EMPRESA],$C$4,LANÇ_MOV[CENTRO DE CUSTOS],$D$4)</f>
        <v>0</v>
      </c>
      <c r="L315" s="206">
        <f>SUMIFS(LANÇ_MOV[VALOR LÍQUIDO],LANÇ_MOV[RECEITA OU DESPESA],"Despesa",LANÇ_MOV[CONTAS],$C315,LANÇ_MOV[PLANO DE CONTAS],REL_DRE_FINANCEIRO!$B$241,LANÇ_MOV[ANO PAGAMENTO],$B$4,LANÇ_MOV[MÊS PAGAMENTO CORRESPONDENTE],L$6,LANÇ_MOV[EMPRESA],$C$4,LANÇ_MOV[CENTRO DE CUSTOS],$D$4)</f>
        <v>0</v>
      </c>
      <c r="M315" s="206">
        <f>SUMIFS(LANÇ_MOV[VALOR LÍQUIDO],LANÇ_MOV[RECEITA OU DESPESA],"Despesa",LANÇ_MOV[CONTAS],$C315,LANÇ_MOV[PLANO DE CONTAS],REL_DRE_FINANCEIRO!$B$241,LANÇ_MOV[ANO PAGAMENTO],$B$4,LANÇ_MOV[MÊS PAGAMENTO CORRESPONDENTE],M$6,LANÇ_MOV[EMPRESA],$C$4,LANÇ_MOV[CENTRO DE CUSTOS],$D$4)</f>
        <v>0</v>
      </c>
      <c r="N315" s="206">
        <f>SUMIFS(LANÇ_MOV[VALOR LÍQUIDO],LANÇ_MOV[RECEITA OU DESPESA],"Despesa",LANÇ_MOV[CONTAS],$C315,LANÇ_MOV[PLANO DE CONTAS],REL_DRE_FINANCEIRO!$B$241,LANÇ_MOV[ANO PAGAMENTO],$B$4,LANÇ_MOV[MÊS PAGAMENTO CORRESPONDENTE],N$6,LANÇ_MOV[EMPRESA],$C$4,LANÇ_MOV[CENTRO DE CUSTOS],$D$4)</f>
        <v>0</v>
      </c>
      <c r="O315" s="206">
        <f>SUMIFS(LANÇ_MOV[VALOR LÍQUIDO],LANÇ_MOV[RECEITA OU DESPESA],"Despesa",LANÇ_MOV[CONTAS],$C315,LANÇ_MOV[PLANO DE CONTAS],REL_DRE_FINANCEIRO!$B$241,LANÇ_MOV[ANO PAGAMENTO],$B$4,LANÇ_MOV[MÊS PAGAMENTO CORRESPONDENTE],O$6,LANÇ_MOV[EMPRESA],$C$4,LANÇ_MOV[CENTRO DE CUSTOS],$D$4)</f>
        <v>0</v>
      </c>
      <c r="P315" s="207">
        <f t="shared" si="48"/>
        <v>0</v>
      </c>
      <c r="Q315" s="329">
        <v>2.7E-6</v>
      </c>
      <c r="R315" s="346">
        <f t="shared" si="49"/>
        <v>2.7E-6</v>
      </c>
      <c r="S315" s="347" t="str">
        <f t="shared" si="50"/>
        <v>-</v>
      </c>
      <c r="T315" s="347">
        <f t="shared" si="51"/>
        <v>0</v>
      </c>
      <c r="U315" s="347">
        <f>HLOOKUP(Apoio!$P$12,$D$240:$P$341,X315,FALSE)+Q315</f>
        <v>2.7E-6</v>
      </c>
      <c r="V315" s="447" t="str">
        <f t="shared" si="52"/>
        <v>-</v>
      </c>
      <c r="W315" s="448">
        <f>HLOOKUP(Apoio!$P$12,$D$240:$P$341,X315,FALSE)</f>
        <v>0</v>
      </c>
      <c r="X315" s="329">
        <v>76</v>
      </c>
    </row>
    <row r="316" spans="2:24" ht="30.05" customHeight="1" x14ac:dyDescent="0.35">
      <c r="B316" s="204" t="str">
        <f>'CAD_PL_REC-DESP'!N79</f>
        <v>2.2.75</v>
      </c>
      <c r="C316" s="205" t="str">
        <f>IF('CAD_PL_REC-DESP'!O79="","-",'CAD_PL_REC-DESP'!O79)</f>
        <v>-</v>
      </c>
      <c r="D316" s="206">
        <f>SUMIFS(LANÇ_MOV[VALOR LÍQUIDO],LANÇ_MOV[RECEITA OU DESPESA],"Despesa",LANÇ_MOV[CONTAS],$C316,LANÇ_MOV[PLANO DE CONTAS],REL_DRE_FINANCEIRO!$B$241,LANÇ_MOV[ANO PAGAMENTO],$B$4,LANÇ_MOV[MÊS PAGAMENTO CORRESPONDENTE],D$6,LANÇ_MOV[EMPRESA],$C$4,LANÇ_MOV[CENTRO DE CUSTOS],$D$4)</f>
        <v>0</v>
      </c>
      <c r="E316" s="206">
        <f>SUMIFS(LANÇ_MOV[VALOR LÍQUIDO],LANÇ_MOV[RECEITA OU DESPESA],"Despesa",LANÇ_MOV[CONTAS],$C316,LANÇ_MOV[PLANO DE CONTAS],REL_DRE_FINANCEIRO!$B$241,LANÇ_MOV[ANO PAGAMENTO],$B$4,LANÇ_MOV[MÊS PAGAMENTO CORRESPONDENTE],E$6,LANÇ_MOV[EMPRESA],$C$4,LANÇ_MOV[CENTRO DE CUSTOS],$D$4)</f>
        <v>0</v>
      </c>
      <c r="F316" s="206">
        <f>SUMIFS(LANÇ_MOV[VALOR LÍQUIDO],LANÇ_MOV[RECEITA OU DESPESA],"Despesa",LANÇ_MOV[CONTAS],$C316,LANÇ_MOV[PLANO DE CONTAS],REL_DRE_FINANCEIRO!$B$241,LANÇ_MOV[ANO PAGAMENTO],$B$4,LANÇ_MOV[MÊS PAGAMENTO CORRESPONDENTE],F$6,LANÇ_MOV[EMPRESA],$C$4,LANÇ_MOV[CENTRO DE CUSTOS],$D$4)</f>
        <v>0</v>
      </c>
      <c r="G316" s="206">
        <f>SUMIFS(LANÇ_MOV[VALOR LÍQUIDO],LANÇ_MOV[RECEITA OU DESPESA],"Despesa",LANÇ_MOV[CONTAS],$C316,LANÇ_MOV[PLANO DE CONTAS],REL_DRE_FINANCEIRO!$B$241,LANÇ_MOV[ANO PAGAMENTO],$B$4,LANÇ_MOV[MÊS PAGAMENTO CORRESPONDENTE],G$6,LANÇ_MOV[EMPRESA],$C$4,LANÇ_MOV[CENTRO DE CUSTOS],$D$4)</f>
        <v>0</v>
      </c>
      <c r="H316" s="206">
        <f>SUMIFS(LANÇ_MOV[VALOR LÍQUIDO],LANÇ_MOV[RECEITA OU DESPESA],"Despesa",LANÇ_MOV[CONTAS],$C316,LANÇ_MOV[PLANO DE CONTAS],REL_DRE_FINANCEIRO!$B$241,LANÇ_MOV[ANO PAGAMENTO],$B$4,LANÇ_MOV[MÊS PAGAMENTO CORRESPONDENTE],H$6,LANÇ_MOV[EMPRESA],$C$4,LANÇ_MOV[CENTRO DE CUSTOS],$D$4)</f>
        <v>0</v>
      </c>
      <c r="I316" s="206">
        <f>SUMIFS(LANÇ_MOV[VALOR LÍQUIDO],LANÇ_MOV[RECEITA OU DESPESA],"Despesa",LANÇ_MOV[CONTAS],$C316,LANÇ_MOV[PLANO DE CONTAS],REL_DRE_FINANCEIRO!$B$241,LANÇ_MOV[ANO PAGAMENTO],$B$4,LANÇ_MOV[MÊS PAGAMENTO CORRESPONDENTE],I$6,LANÇ_MOV[EMPRESA],$C$4,LANÇ_MOV[CENTRO DE CUSTOS],$D$4)</f>
        <v>0</v>
      </c>
      <c r="J316" s="206">
        <f>SUMIFS(LANÇ_MOV[VALOR LÍQUIDO],LANÇ_MOV[RECEITA OU DESPESA],"Despesa",LANÇ_MOV[CONTAS],$C316,LANÇ_MOV[PLANO DE CONTAS],REL_DRE_FINANCEIRO!$B$241,LANÇ_MOV[ANO PAGAMENTO],$B$4,LANÇ_MOV[MÊS PAGAMENTO CORRESPONDENTE],J$6,LANÇ_MOV[EMPRESA],$C$4,LANÇ_MOV[CENTRO DE CUSTOS],$D$4)</f>
        <v>0</v>
      </c>
      <c r="K316" s="206">
        <f>SUMIFS(LANÇ_MOV[VALOR LÍQUIDO],LANÇ_MOV[RECEITA OU DESPESA],"Despesa",LANÇ_MOV[CONTAS],$C316,LANÇ_MOV[PLANO DE CONTAS],REL_DRE_FINANCEIRO!$B$241,LANÇ_MOV[ANO PAGAMENTO],$B$4,LANÇ_MOV[MÊS PAGAMENTO CORRESPONDENTE],K$6,LANÇ_MOV[EMPRESA],$C$4,LANÇ_MOV[CENTRO DE CUSTOS],$D$4)</f>
        <v>0</v>
      </c>
      <c r="L316" s="206">
        <f>SUMIFS(LANÇ_MOV[VALOR LÍQUIDO],LANÇ_MOV[RECEITA OU DESPESA],"Despesa",LANÇ_MOV[CONTAS],$C316,LANÇ_MOV[PLANO DE CONTAS],REL_DRE_FINANCEIRO!$B$241,LANÇ_MOV[ANO PAGAMENTO],$B$4,LANÇ_MOV[MÊS PAGAMENTO CORRESPONDENTE],L$6,LANÇ_MOV[EMPRESA],$C$4,LANÇ_MOV[CENTRO DE CUSTOS],$D$4)</f>
        <v>0</v>
      </c>
      <c r="M316" s="206">
        <f>SUMIFS(LANÇ_MOV[VALOR LÍQUIDO],LANÇ_MOV[RECEITA OU DESPESA],"Despesa",LANÇ_MOV[CONTAS],$C316,LANÇ_MOV[PLANO DE CONTAS],REL_DRE_FINANCEIRO!$B$241,LANÇ_MOV[ANO PAGAMENTO],$B$4,LANÇ_MOV[MÊS PAGAMENTO CORRESPONDENTE],M$6,LANÇ_MOV[EMPRESA],$C$4,LANÇ_MOV[CENTRO DE CUSTOS],$D$4)</f>
        <v>0</v>
      </c>
      <c r="N316" s="206">
        <f>SUMIFS(LANÇ_MOV[VALOR LÍQUIDO],LANÇ_MOV[RECEITA OU DESPESA],"Despesa",LANÇ_MOV[CONTAS],$C316,LANÇ_MOV[PLANO DE CONTAS],REL_DRE_FINANCEIRO!$B$241,LANÇ_MOV[ANO PAGAMENTO],$B$4,LANÇ_MOV[MÊS PAGAMENTO CORRESPONDENTE],N$6,LANÇ_MOV[EMPRESA],$C$4,LANÇ_MOV[CENTRO DE CUSTOS],$D$4)</f>
        <v>0</v>
      </c>
      <c r="O316" s="206">
        <f>SUMIFS(LANÇ_MOV[VALOR LÍQUIDO],LANÇ_MOV[RECEITA OU DESPESA],"Despesa",LANÇ_MOV[CONTAS],$C316,LANÇ_MOV[PLANO DE CONTAS],REL_DRE_FINANCEIRO!$B$241,LANÇ_MOV[ANO PAGAMENTO],$B$4,LANÇ_MOV[MÊS PAGAMENTO CORRESPONDENTE],O$6,LANÇ_MOV[EMPRESA],$C$4,LANÇ_MOV[CENTRO DE CUSTOS],$D$4)</f>
        <v>0</v>
      </c>
      <c r="P316" s="207">
        <f t="shared" si="48"/>
        <v>0</v>
      </c>
      <c r="Q316" s="329">
        <v>2.6000000000000001E-6</v>
      </c>
      <c r="R316" s="346">
        <f t="shared" si="49"/>
        <v>2.6000000000000001E-6</v>
      </c>
      <c r="S316" s="347" t="str">
        <f t="shared" si="50"/>
        <v>-</v>
      </c>
      <c r="T316" s="347">
        <f t="shared" si="51"/>
        <v>0</v>
      </c>
      <c r="U316" s="347">
        <f>HLOOKUP(Apoio!$P$12,$D$240:$P$341,X316,FALSE)+Q316</f>
        <v>2.6000000000000001E-6</v>
      </c>
      <c r="V316" s="447" t="str">
        <f t="shared" si="52"/>
        <v>-</v>
      </c>
      <c r="W316" s="448">
        <f>HLOOKUP(Apoio!$P$12,$D$240:$P$341,X316,FALSE)</f>
        <v>0</v>
      </c>
      <c r="X316" s="329">
        <v>77</v>
      </c>
    </row>
    <row r="317" spans="2:24" ht="30.05" customHeight="1" x14ac:dyDescent="0.35">
      <c r="B317" s="204" t="str">
        <f>'CAD_PL_REC-DESP'!N80</f>
        <v>2.2.76</v>
      </c>
      <c r="C317" s="205" t="str">
        <f>IF('CAD_PL_REC-DESP'!O80="","-",'CAD_PL_REC-DESP'!O80)</f>
        <v>-</v>
      </c>
      <c r="D317" s="206">
        <f>SUMIFS(LANÇ_MOV[VALOR LÍQUIDO],LANÇ_MOV[RECEITA OU DESPESA],"Despesa",LANÇ_MOV[CONTAS],$C317,LANÇ_MOV[PLANO DE CONTAS],REL_DRE_FINANCEIRO!$B$241,LANÇ_MOV[ANO PAGAMENTO],$B$4,LANÇ_MOV[MÊS PAGAMENTO CORRESPONDENTE],D$6,LANÇ_MOV[EMPRESA],$C$4,LANÇ_MOV[CENTRO DE CUSTOS],$D$4)</f>
        <v>0</v>
      </c>
      <c r="E317" s="206">
        <f>SUMIFS(LANÇ_MOV[VALOR LÍQUIDO],LANÇ_MOV[RECEITA OU DESPESA],"Despesa",LANÇ_MOV[CONTAS],$C317,LANÇ_MOV[PLANO DE CONTAS],REL_DRE_FINANCEIRO!$B$241,LANÇ_MOV[ANO PAGAMENTO],$B$4,LANÇ_MOV[MÊS PAGAMENTO CORRESPONDENTE],E$6,LANÇ_MOV[EMPRESA],$C$4,LANÇ_MOV[CENTRO DE CUSTOS],$D$4)</f>
        <v>0</v>
      </c>
      <c r="F317" s="206">
        <f>SUMIFS(LANÇ_MOV[VALOR LÍQUIDO],LANÇ_MOV[RECEITA OU DESPESA],"Despesa",LANÇ_MOV[CONTAS],$C317,LANÇ_MOV[PLANO DE CONTAS],REL_DRE_FINANCEIRO!$B$241,LANÇ_MOV[ANO PAGAMENTO],$B$4,LANÇ_MOV[MÊS PAGAMENTO CORRESPONDENTE],F$6,LANÇ_MOV[EMPRESA],$C$4,LANÇ_MOV[CENTRO DE CUSTOS],$D$4)</f>
        <v>0</v>
      </c>
      <c r="G317" s="206">
        <f>SUMIFS(LANÇ_MOV[VALOR LÍQUIDO],LANÇ_MOV[RECEITA OU DESPESA],"Despesa",LANÇ_MOV[CONTAS],$C317,LANÇ_MOV[PLANO DE CONTAS],REL_DRE_FINANCEIRO!$B$241,LANÇ_MOV[ANO PAGAMENTO],$B$4,LANÇ_MOV[MÊS PAGAMENTO CORRESPONDENTE],G$6,LANÇ_MOV[EMPRESA],$C$4,LANÇ_MOV[CENTRO DE CUSTOS],$D$4)</f>
        <v>0</v>
      </c>
      <c r="H317" s="206">
        <f>SUMIFS(LANÇ_MOV[VALOR LÍQUIDO],LANÇ_MOV[RECEITA OU DESPESA],"Despesa",LANÇ_MOV[CONTAS],$C317,LANÇ_MOV[PLANO DE CONTAS],REL_DRE_FINANCEIRO!$B$241,LANÇ_MOV[ANO PAGAMENTO],$B$4,LANÇ_MOV[MÊS PAGAMENTO CORRESPONDENTE],H$6,LANÇ_MOV[EMPRESA],$C$4,LANÇ_MOV[CENTRO DE CUSTOS],$D$4)</f>
        <v>0</v>
      </c>
      <c r="I317" s="206">
        <f>SUMIFS(LANÇ_MOV[VALOR LÍQUIDO],LANÇ_MOV[RECEITA OU DESPESA],"Despesa",LANÇ_MOV[CONTAS],$C317,LANÇ_MOV[PLANO DE CONTAS],REL_DRE_FINANCEIRO!$B$241,LANÇ_MOV[ANO PAGAMENTO],$B$4,LANÇ_MOV[MÊS PAGAMENTO CORRESPONDENTE],I$6,LANÇ_MOV[EMPRESA],$C$4,LANÇ_MOV[CENTRO DE CUSTOS],$D$4)</f>
        <v>0</v>
      </c>
      <c r="J317" s="206">
        <f>SUMIFS(LANÇ_MOV[VALOR LÍQUIDO],LANÇ_MOV[RECEITA OU DESPESA],"Despesa",LANÇ_MOV[CONTAS],$C317,LANÇ_MOV[PLANO DE CONTAS],REL_DRE_FINANCEIRO!$B$241,LANÇ_MOV[ANO PAGAMENTO],$B$4,LANÇ_MOV[MÊS PAGAMENTO CORRESPONDENTE],J$6,LANÇ_MOV[EMPRESA],$C$4,LANÇ_MOV[CENTRO DE CUSTOS],$D$4)</f>
        <v>0</v>
      </c>
      <c r="K317" s="206">
        <f>SUMIFS(LANÇ_MOV[VALOR LÍQUIDO],LANÇ_MOV[RECEITA OU DESPESA],"Despesa",LANÇ_MOV[CONTAS],$C317,LANÇ_MOV[PLANO DE CONTAS],REL_DRE_FINANCEIRO!$B$241,LANÇ_MOV[ANO PAGAMENTO],$B$4,LANÇ_MOV[MÊS PAGAMENTO CORRESPONDENTE],K$6,LANÇ_MOV[EMPRESA],$C$4,LANÇ_MOV[CENTRO DE CUSTOS],$D$4)</f>
        <v>0</v>
      </c>
      <c r="L317" s="206">
        <f>SUMIFS(LANÇ_MOV[VALOR LÍQUIDO],LANÇ_MOV[RECEITA OU DESPESA],"Despesa",LANÇ_MOV[CONTAS],$C317,LANÇ_MOV[PLANO DE CONTAS],REL_DRE_FINANCEIRO!$B$241,LANÇ_MOV[ANO PAGAMENTO],$B$4,LANÇ_MOV[MÊS PAGAMENTO CORRESPONDENTE],L$6,LANÇ_MOV[EMPRESA],$C$4,LANÇ_MOV[CENTRO DE CUSTOS],$D$4)</f>
        <v>0</v>
      </c>
      <c r="M317" s="206">
        <f>SUMIFS(LANÇ_MOV[VALOR LÍQUIDO],LANÇ_MOV[RECEITA OU DESPESA],"Despesa",LANÇ_MOV[CONTAS],$C317,LANÇ_MOV[PLANO DE CONTAS],REL_DRE_FINANCEIRO!$B$241,LANÇ_MOV[ANO PAGAMENTO],$B$4,LANÇ_MOV[MÊS PAGAMENTO CORRESPONDENTE],M$6,LANÇ_MOV[EMPRESA],$C$4,LANÇ_MOV[CENTRO DE CUSTOS],$D$4)</f>
        <v>0</v>
      </c>
      <c r="N317" s="206">
        <f>SUMIFS(LANÇ_MOV[VALOR LÍQUIDO],LANÇ_MOV[RECEITA OU DESPESA],"Despesa",LANÇ_MOV[CONTAS],$C317,LANÇ_MOV[PLANO DE CONTAS],REL_DRE_FINANCEIRO!$B$241,LANÇ_MOV[ANO PAGAMENTO],$B$4,LANÇ_MOV[MÊS PAGAMENTO CORRESPONDENTE],N$6,LANÇ_MOV[EMPRESA],$C$4,LANÇ_MOV[CENTRO DE CUSTOS],$D$4)</f>
        <v>0</v>
      </c>
      <c r="O317" s="206">
        <f>SUMIFS(LANÇ_MOV[VALOR LÍQUIDO],LANÇ_MOV[RECEITA OU DESPESA],"Despesa",LANÇ_MOV[CONTAS],$C317,LANÇ_MOV[PLANO DE CONTAS],REL_DRE_FINANCEIRO!$B$241,LANÇ_MOV[ANO PAGAMENTO],$B$4,LANÇ_MOV[MÊS PAGAMENTO CORRESPONDENTE],O$6,LANÇ_MOV[EMPRESA],$C$4,LANÇ_MOV[CENTRO DE CUSTOS],$D$4)</f>
        <v>0</v>
      </c>
      <c r="P317" s="207">
        <f t="shared" si="48"/>
        <v>0</v>
      </c>
      <c r="Q317" s="329">
        <v>2.5000000000000002E-6</v>
      </c>
      <c r="R317" s="346">
        <f t="shared" si="49"/>
        <v>2.5000000000000002E-6</v>
      </c>
      <c r="S317" s="347" t="str">
        <f t="shared" si="50"/>
        <v>-</v>
      </c>
      <c r="T317" s="347">
        <f t="shared" si="51"/>
        <v>0</v>
      </c>
      <c r="U317" s="347">
        <f>HLOOKUP(Apoio!$P$12,$D$240:$P$341,X317,FALSE)+Q317</f>
        <v>2.5000000000000002E-6</v>
      </c>
      <c r="V317" s="447" t="str">
        <f t="shared" si="52"/>
        <v>-</v>
      </c>
      <c r="W317" s="448">
        <f>HLOOKUP(Apoio!$P$12,$D$240:$P$341,X317,FALSE)</f>
        <v>0</v>
      </c>
      <c r="X317" s="329">
        <v>78</v>
      </c>
    </row>
    <row r="318" spans="2:24" ht="30.05" customHeight="1" x14ac:dyDescent="0.35">
      <c r="B318" s="204" t="str">
        <f>'CAD_PL_REC-DESP'!N81</f>
        <v>2.2.77</v>
      </c>
      <c r="C318" s="205" t="str">
        <f>IF('CAD_PL_REC-DESP'!O81="","-",'CAD_PL_REC-DESP'!O81)</f>
        <v>-</v>
      </c>
      <c r="D318" s="206">
        <f>SUMIFS(LANÇ_MOV[VALOR LÍQUIDO],LANÇ_MOV[RECEITA OU DESPESA],"Despesa",LANÇ_MOV[CONTAS],$C318,LANÇ_MOV[PLANO DE CONTAS],REL_DRE_FINANCEIRO!$B$241,LANÇ_MOV[ANO PAGAMENTO],$B$4,LANÇ_MOV[MÊS PAGAMENTO CORRESPONDENTE],D$6,LANÇ_MOV[EMPRESA],$C$4,LANÇ_MOV[CENTRO DE CUSTOS],$D$4)</f>
        <v>0</v>
      </c>
      <c r="E318" s="206">
        <f>SUMIFS(LANÇ_MOV[VALOR LÍQUIDO],LANÇ_MOV[RECEITA OU DESPESA],"Despesa",LANÇ_MOV[CONTAS],$C318,LANÇ_MOV[PLANO DE CONTAS],REL_DRE_FINANCEIRO!$B$241,LANÇ_MOV[ANO PAGAMENTO],$B$4,LANÇ_MOV[MÊS PAGAMENTO CORRESPONDENTE],E$6,LANÇ_MOV[EMPRESA],$C$4,LANÇ_MOV[CENTRO DE CUSTOS],$D$4)</f>
        <v>0</v>
      </c>
      <c r="F318" s="206">
        <f>SUMIFS(LANÇ_MOV[VALOR LÍQUIDO],LANÇ_MOV[RECEITA OU DESPESA],"Despesa",LANÇ_MOV[CONTAS],$C318,LANÇ_MOV[PLANO DE CONTAS],REL_DRE_FINANCEIRO!$B$241,LANÇ_MOV[ANO PAGAMENTO],$B$4,LANÇ_MOV[MÊS PAGAMENTO CORRESPONDENTE],F$6,LANÇ_MOV[EMPRESA],$C$4,LANÇ_MOV[CENTRO DE CUSTOS],$D$4)</f>
        <v>0</v>
      </c>
      <c r="G318" s="206">
        <f>SUMIFS(LANÇ_MOV[VALOR LÍQUIDO],LANÇ_MOV[RECEITA OU DESPESA],"Despesa",LANÇ_MOV[CONTAS],$C318,LANÇ_MOV[PLANO DE CONTAS],REL_DRE_FINANCEIRO!$B$241,LANÇ_MOV[ANO PAGAMENTO],$B$4,LANÇ_MOV[MÊS PAGAMENTO CORRESPONDENTE],G$6,LANÇ_MOV[EMPRESA],$C$4,LANÇ_MOV[CENTRO DE CUSTOS],$D$4)</f>
        <v>0</v>
      </c>
      <c r="H318" s="206">
        <f>SUMIFS(LANÇ_MOV[VALOR LÍQUIDO],LANÇ_MOV[RECEITA OU DESPESA],"Despesa",LANÇ_MOV[CONTAS],$C318,LANÇ_MOV[PLANO DE CONTAS],REL_DRE_FINANCEIRO!$B$241,LANÇ_MOV[ANO PAGAMENTO],$B$4,LANÇ_MOV[MÊS PAGAMENTO CORRESPONDENTE],H$6,LANÇ_MOV[EMPRESA],$C$4,LANÇ_MOV[CENTRO DE CUSTOS],$D$4)</f>
        <v>0</v>
      </c>
      <c r="I318" s="206">
        <f>SUMIFS(LANÇ_MOV[VALOR LÍQUIDO],LANÇ_MOV[RECEITA OU DESPESA],"Despesa",LANÇ_MOV[CONTAS],$C318,LANÇ_MOV[PLANO DE CONTAS],REL_DRE_FINANCEIRO!$B$241,LANÇ_MOV[ANO PAGAMENTO],$B$4,LANÇ_MOV[MÊS PAGAMENTO CORRESPONDENTE],I$6,LANÇ_MOV[EMPRESA],$C$4,LANÇ_MOV[CENTRO DE CUSTOS],$D$4)</f>
        <v>0</v>
      </c>
      <c r="J318" s="206">
        <f>SUMIFS(LANÇ_MOV[VALOR LÍQUIDO],LANÇ_MOV[RECEITA OU DESPESA],"Despesa",LANÇ_MOV[CONTAS],$C318,LANÇ_MOV[PLANO DE CONTAS],REL_DRE_FINANCEIRO!$B$241,LANÇ_MOV[ANO PAGAMENTO],$B$4,LANÇ_MOV[MÊS PAGAMENTO CORRESPONDENTE],J$6,LANÇ_MOV[EMPRESA],$C$4,LANÇ_MOV[CENTRO DE CUSTOS],$D$4)</f>
        <v>0</v>
      </c>
      <c r="K318" s="206">
        <f>SUMIFS(LANÇ_MOV[VALOR LÍQUIDO],LANÇ_MOV[RECEITA OU DESPESA],"Despesa",LANÇ_MOV[CONTAS],$C318,LANÇ_MOV[PLANO DE CONTAS],REL_DRE_FINANCEIRO!$B$241,LANÇ_MOV[ANO PAGAMENTO],$B$4,LANÇ_MOV[MÊS PAGAMENTO CORRESPONDENTE],K$6,LANÇ_MOV[EMPRESA],$C$4,LANÇ_MOV[CENTRO DE CUSTOS],$D$4)</f>
        <v>0</v>
      </c>
      <c r="L318" s="206">
        <f>SUMIFS(LANÇ_MOV[VALOR LÍQUIDO],LANÇ_MOV[RECEITA OU DESPESA],"Despesa",LANÇ_MOV[CONTAS],$C318,LANÇ_MOV[PLANO DE CONTAS],REL_DRE_FINANCEIRO!$B$241,LANÇ_MOV[ANO PAGAMENTO],$B$4,LANÇ_MOV[MÊS PAGAMENTO CORRESPONDENTE],L$6,LANÇ_MOV[EMPRESA],$C$4,LANÇ_MOV[CENTRO DE CUSTOS],$D$4)</f>
        <v>0</v>
      </c>
      <c r="M318" s="206">
        <f>SUMIFS(LANÇ_MOV[VALOR LÍQUIDO],LANÇ_MOV[RECEITA OU DESPESA],"Despesa",LANÇ_MOV[CONTAS],$C318,LANÇ_MOV[PLANO DE CONTAS],REL_DRE_FINANCEIRO!$B$241,LANÇ_MOV[ANO PAGAMENTO],$B$4,LANÇ_MOV[MÊS PAGAMENTO CORRESPONDENTE],M$6,LANÇ_MOV[EMPRESA],$C$4,LANÇ_MOV[CENTRO DE CUSTOS],$D$4)</f>
        <v>0</v>
      </c>
      <c r="N318" s="206">
        <f>SUMIFS(LANÇ_MOV[VALOR LÍQUIDO],LANÇ_MOV[RECEITA OU DESPESA],"Despesa",LANÇ_MOV[CONTAS],$C318,LANÇ_MOV[PLANO DE CONTAS],REL_DRE_FINANCEIRO!$B$241,LANÇ_MOV[ANO PAGAMENTO],$B$4,LANÇ_MOV[MÊS PAGAMENTO CORRESPONDENTE],N$6,LANÇ_MOV[EMPRESA],$C$4,LANÇ_MOV[CENTRO DE CUSTOS],$D$4)</f>
        <v>0</v>
      </c>
      <c r="O318" s="206">
        <f>SUMIFS(LANÇ_MOV[VALOR LÍQUIDO],LANÇ_MOV[RECEITA OU DESPESA],"Despesa",LANÇ_MOV[CONTAS],$C318,LANÇ_MOV[PLANO DE CONTAS],REL_DRE_FINANCEIRO!$B$241,LANÇ_MOV[ANO PAGAMENTO],$B$4,LANÇ_MOV[MÊS PAGAMENTO CORRESPONDENTE],O$6,LANÇ_MOV[EMPRESA],$C$4,LANÇ_MOV[CENTRO DE CUSTOS],$D$4)</f>
        <v>0</v>
      </c>
      <c r="P318" s="207">
        <f t="shared" si="48"/>
        <v>0</v>
      </c>
      <c r="Q318" s="329">
        <v>2.3999999999999999E-6</v>
      </c>
      <c r="R318" s="346">
        <f t="shared" si="49"/>
        <v>2.3999999999999999E-6</v>
      </c>
      <c r="S318" s="347" t="str">
        <f t="shared" si="50"/>
        <v>-</v>
      </c>
      <c r="T318" s="347">
        <f t="shared" si="51"/>
        <v>0</v>
      </c>
      <c r="U318" s="347">
        <f>HLOOKUP(Apoio!$P$12,$D$240:$P$341,X318,FALSE)+Q318</f>
        <v>2.3999999999999999E-6</v>
      </c>
      <c r="V318" s="447" t="str">
        <f t="shared" si="52"/>
        <v>-</v>
      </c>
      <c r="W318" s="448">
        <f>HLOOKUP(Apoio!$P$12,$D$240:$P$341,X318,FALSE)</f>
        <v>0</v>
      </c>
      <c r="X318" s="329">
        <v>79</v>
      </c>
    </row>
    <row r="319" spans="2:24" ht="30.05" customHeight="1" x14ac:dyDescent="0.35">
      <c r="B319" s="204" t="str">
        <f>'CAD_PL_REC-DESP'!N82</f>
        <v>2.2.78</v>
      </c>
      <c r="C319" s="205" t="str">
        <f>IF('CAD_PL_REC-DESP'!O82="","-",'CAD_PL_REC-DESP'!O82)</f>
        <v>-</v>
      </c>
      <c r="D319" s="206">
        <f>SUMIFS(LANÇ_MOV[VALOR LÍQUIDO],LANÇ_MOV[RECEITA OU DESPESA],"Despesa",LANÇ_MOV[CONTAS],$C319,LANÇ_MOV[PLANO DE CONTAS],REL_DRE_FINANCEIRO!$B$241,LANÇ_MOV[ANO PAGAMENTO],$B$4,LANÇ_MOV[MÊS PAGAMENTO CORRESPONDENTE],D$6,LANÇ_MOV[EMPRESA],$C$4,LANÇ_MOV[CENTRO DE CUSTOS],$D$4)</f>
        <v>0</v>
      </c>
      <c r="E319" s="206">
        <f>SUMIFS(LANÇ_MOV[VALOR LÍQUIDO],LANÇ_MOV[RECEITA OU DESPESA],"Despesa",LANÇ_MOV[CONTAS],$C319,LANÇ_MOV[PLANO DE CONTAS],REL_DRE_FINANCEIRO!$B$241,LANÇ_MOV[ANO PAGAMENTO],$B$4,LANÇ_MOV[MÊS PAGAMENTO CORRESPONDENTE],E$6,LANÇ_MOV[EMPRESA],$C$4,LANÇ_MOV[CENTRO DE CUSTOS],$D$4)</f>
        <v>0</v>
      </c>
      <c r="F319" s="206">
        <f>SUMIFS(LANÇ_MOV[VALOR LÍQUIDO],LANÇ_MOV[RECEITA OU DESPESA],"Despesa",LANÇ_MOV[CONTAS],$C319,LANÇ_MOV[PLANO DE CONTAS],REL_DRE_FINANCEIRO!$B$241,LANÇ_MOV[ANO PAGAMENTO],$B$4,LANÇ_MOV[MÊS PAGAMENTO CORRESPONDENTE],F$6,LANÇ_MOV[EMPRESA],$C$4,LANÇ_MOV[CENTRO DE CUSTOS],$D$4)</f>
        <v>0</v>
      </c>
      <c r="G319" s="206">
        <f>SUMIFS(LANÇ_MOV[VALOR LÍQUIDO],LANÇ_MOV[RECEITA OU DESPESA],"Despesa",LANÇ_MOV[CONTAS],$C319,LANÇ_MOV[PLANO DE CONTAS],REL_DRE_FINANCEIRO!$B$241,LANÇ_MOV[ANO PAGAMENTO],$B$4,LANÇ_MOV[MÊS PAGAMENTO CORRESPONDENTE],G$6,LANÇ_MOV[EMPRESA],$C$4,LANÇ_MOV[CENTRO DE CUSTOS],$D$4)</f>
        <v>0</v>
      </c>
      <c r="H319" s="206">
        <f>SUMIFS(LANÇ_MOV[VALOR LÍQUIDO],LANÇ_MOV[RECEITA OU DESPESA],"Despesa",LANÇ_MOV[CONTAS],$C319,LANÇ_MOV[PLANO DE CONTAS],REL_DRE_FINANCEIRO!$B$241,LANÇ_MOV[ANO PAGAMENTO],$B$4,LANÇ_MOV[MÊS PAGAMENTO CORRESPONDENTE],H$6,LANÇ_MOV[EMPRESA],$C$4,LANÇ_MOV[CENTRO DE CUSTOS],$D$4)</f>
        <v>0</v>
      </c>
      <c r="I319" s="206">
        <f>SUMIFS(LANÇ_MOV[VALOR LÍQUIDO],LANÇ_MOV[RECEITA OU DESPESA],"Despesa",LANÇ_MOV[CONTAS],$C319,LANÇ_MOV[PLANO DE CONTAS],REL_DRE_FINANCEIRO!$B$241,LANÇ_MOV[ANO PAGAMENTO],$B$4,LANÇ_MOV[MÊS PAGAMENTO CORRESPONDENTE],I$6,LANÇ_MOV[EMPRESA],$C$4,LANÇ_MOV[CENTRO DE CUSTOS],$D$4)</f>
        <v>0</v>
      </c>
      <c r="J319" s="206">
        <f>SUMIFS(LANÇ_MOV[VALOR LÍQUIDO],LANÇ_MOV[RECEITA OU DESPESA],"Despesa",LANÇ_MOV[CONTAS],$C319,LANÇ_MOV[PLANO DE CONTAS],REL_DRE_FINANCEIRO!$B$241,LANÇ_MOV[ANO PAGAMENTO],$B$4,LANÇ_MOV[MÊS PAGAMENTO CORRESPONDENTE],J$6,LANÇ_MOV[EMPRESA],$C$4,LANÇ_MOV[CENTRO DE CUSTOS],$D$4)</f>
        <v>0</v>
      </c>
      <c r="K319" s="206">
        <f>SUMIFS(LANÇ_MOV[VALOR LÍQUIDO],LANÇ_MOV[RECEITA OU DESPESA],"Despesa",LANÇ_MOV[CONTAS],$C319,LANÇ_MOV[PLANO DE CONTAS],REL_DRE_FINANCEIRO!$B$241,LANÇ_MOV[ANO PAGAMENTO],$B$4,LANÇ_MOV[MÊS PAGAMENTO CORRESPONDENTE],K$6,LANÇ_MOV[EMPRESA],$C$4,LANÇ_MOV[CENTRO DE CUSTOS],$D$4)</f>
        <v>0</v>
      </c>
      <c r="L319" s="206">
        <f>SUMIFS(LANÇ_MOV[VALOR LÍQUIDO],LANÇ_MOV[RECEITA OU DESPESA],"Despesa",LANÇ_MOV[CONTAS],$C319,LANÇ_MOV[PLANO DE CONTAS],REL_DRE_FINANCEIRO!$B$241,LANÇ_MOV[ANO PAGAMENTO],$B$4,LANÇ_MOV[MÊS PAGAMENTO CORRESPONDENTE],L$6,LANÇ_MOV[EMPRESA],$C$4,LANÇ_MOV[CENTRO DE CUSTOS],$D$4)</f>
        <v>0</v>
      </c>
      <c r="M319" s="206">
        <f>SUMIFS(LANÇ_MOV[VALOR LÍQUIDO],LANÇ_MOV[RECEITA OU DESPESA],"Despesa",LANÇ_MOV[CONTAS],$C319,LANÇ_MOV[PLANO DE CONTAS],REL_DRE_FINANCEIRO!$B$241,LANÇ_MOV[ANO PAGAMENTO],$B$4,LANÇ_MOV[MÊS PAGAMENTO CORRESPONDENTE],M$6,LANÇ_MOV[EMPRESA],$C$4,LANÇ_MOV[CENTRO DE CUSTOS],$D$4)</f>
        <v>0</v>
      </c>
      <c r="N319" s="206">
        <f>SUMIFS(LANÇ_MOV[VALOR LÍQUIDO],LANÇ_MOV[RECEITA OU DESPESA],"Despesa",LANÇ_MOV[CONTAS],$C319,LANÇ_MOV[PLANO DE CONTAS],REL_DRE_FINANCEIRO!$B$241,LANÇ_MOV[ANO PAGAMENTO],$B$4,LANÇ_MOV[MÊS PAGAMENTO CORRESPONDENTE],N$6,LANÇ_MOV[EMPRESA],$C$4,LANÇ_MOV[CENTRO DE CUSTOS],$D$4)</f>
        <v>0</v>
      </c>
      <c r="O319" s="206">
        <f>SUMIFS(LANÇ_MOV[VALOR LÍQUIDO],LANÇ_MOV[RECEITA OU DESPESA],"Despesa",LANÇ_MOV[CONTAS],$C319,LANÇ_MOV[PLANO DE CONTAS],REL_DRE_FINANCEIRO!$B$241,LANÇ_MOV[ANO PAGAMENTO],$B$4,LANÇ_MOV[MÊS PAGAMENTO CORRESPONDENTE],O$6,LANÇ_MOV[EMPRESA],$C$4,LANÇ_MOV[CENTRO DE CUSTOS],$D$4)</f>
        <v>0</v>
      </c>
      <c r="P319" s="207">
        <f t="shared" si="48"/>
        <v>0</v>
      </c>
      <c r="Q319" s="329">
        <v>2.3E-6</v>
      </c>
      <c r="R319" s="346">
        <f t="shared" si="49"/>
        <v>2.3E-6</v>
      </c>
      <c r="S319" s="347" t="str">
        <f t="shared" si="50"/>
        <v>-</v>
      </c>
      <c r="T319" s="347">
        <f t="shared" si="51"/>
        <v>0</v>
      </c>
      <c r="U319" s="347">
        <f>HLOOKUP(Apoio!$P$12,$D$240:$P$341,X319,FALSE)+Q319</f>
        <v>2.3E-6</v>
      </c>
      <c r="V319" s="447" t="str">
        <f t="shared" si="52"/>
        <v>-</v>
      </c>
      <c r="W319" s="448">
        <f>HLOOKUP(Apoio!$P$12,$D$240:$P$341,X319,FALSE)</f>
        <v>0</v>
      </c>
      <c r="X319" s="329">
        <v>80</v>
      </c>
    </row>
    <row r="320" spans="2:24" ht="30.05" customHeight="1" x14ac:dyDescent="0.35">
      <c r="B320" s="204" t="str">
        <f>'CAD_PL_REC-DESP'!N83</f>
        <v>2.2.79</v>
      </c>
      <c r="C320" s="205" t="str">
        <f>IF('CAD_PL_REC-DESP'!O83="","-",'CAD_PL_REC-DESP'!O83)</f>
        <v>-</v>
      </c>
      <c r="D320" s="206">
        <f>SUMIFS(LANÇ_MOV[VALOR LÍQUIDO],LANÇ_MOV[RECEITA OU DESPESA],"Despesa",LANÇ_MOV[CONTAS],$C320,LANÇ_MOV[PLANO DE CONTAS],REL_DRE_FINANCEIRO!$B$241,LANÇ_MOV[ANO PAGAMENTO],$B$4,LANÇ_MOV[MÊS PAGAMENTO CORRESPONDENTE],D$6,LANÇ_MOV[EMPRESA],$C$4,LANÇ_MOV[CENTRO DE CUSTOS],$D$4)</f>
        <v>0</v>
      </c>
      <c r="E320" s="206">
        <f>SUMIFS(LANÇ_MOV[VALOR LÍQUIDO],LANÇ_MOV[RECEITA OU DESPESA],"Despesa",LANÇ_MOV[CONTAS],$C320,LANÇ_MOV[PLANO DE CONTAS],REL_DRE_FINANCEIRO!$B$241,LANÇ_MOV[ANO PAGAMENTO],$B$4,LANÇ_MOV[MÊS PAGAMENTO CORRESPONDENTE],E$6,LANÇ_MOV[EMPRESA],$C$4,LANÇ_MOV[CENTRO DE CUSTOS],$D$4)</f>
        <v>0</v>
      </c>
      <c r="F320" s="206">
        <f>SUMIFS(LANÇ_MOV[VALOR LÍQUIDO],LANÇ_MOV[RECEITA OU DESPESA],"Despesa",LANÇ_MOV[CONTAS],$C320,LANÇ_MOV[PLANO DE CONTAS],REL_DRE_FINANCEIRO!$B$241,LANÇ_MOV[ANO PAGAMENTO],$B$4,LANÇ_MOV[MÊS PAGAMENTO CORRESPONDENTE],F$6,LANÇ_MOV[EMPRESA],$C$4,LANÇ_MOV[CENTRO DE CUSTOS],$D$4)</f>
        <v>0</v>
      </c>
      <c r="G320" s="206">
        <f>SUMIFS(LANÇ_MOV[VALOR LÍQUIDO],LANÇ_MOV[RECEITA OU DESPESA],"Despesa",LANÇ_MOV[CONTAS],$C320,LANÇ_MOV[PLANO DE CONTAS],REL_DRE_FINANCEIRO!$B$241,LANÇ_MOV[ANO PAGAMENTO],$B$4,LANÇ_MOV[MÊS PAGAMENTO CORRESPONDENTE],G$6,LANÇ_MOV[EMPRESA],$C$4,LANÇ_MOV[CENTRO DE CUSTOS],$D$4)</f>
        <v>0</v>
      </c>
      <c r="H320" s="206">
        <f>SUMIFS(LANÇ_MOV[VALOR LÍQUIDO],LANÇ_MOV[RECEITA OU DESPESA],"Despesa",LANÇ_MOV[CONTAS],$C320,LANÇ_MOV[PLANO DE CONTAS],REL_DRE_FINANCEIRO!$B$241,LANÇ_MOV[ANO PAGAMENTO],$B$4,LANÇ_MOV[MÊS PAGAMENTO CORRESPONDENTE],H$6,LANÇ_MOV[EMPRESA],$C$4,LANÇ_MOV[CENTRO DE CUSTOS],$D$4)</f>
        <v>0</v>
      </c>
      <c r="I320" s="206">
        <f>SUMIFS(LANÇ_MOV[VALOR LÍQUIDO],LANÇ_MOV[RECEITA OU DESPESA],"Despesa",LANÇ_MOV[CONTAS],$C320,LANÇ_MOV[PLANO DE CONTAS],REL_DRE_FINANCEIRO!$B$241,LANÇ_MOV[ANO PAGAMENTO],$B$4,LANÇ_MOV[MÊS PAGAMENTO CORRESPONDENTE],I$6,LANÇ_MOV[EMPRESA],$C$4,LANÇ_MOV[CENTRO DE CUSTOS],$D$4)</f>
        <v>0</v>
      </c>
      <c r="J320" s="206">
        <f>SUMIFS(LANÇ_MOV[VALOR LÍQUIDO],LANÇ_MOV[RECEITA OU DESPESA],"Despesa",LANÇ_MOV[CONTAS],$C320,LANÇ_MOV[PLANO DE CONTAS],REL_DRE_FINANCEIRO!$B$241,LANÇ_MOV[ANO PAGAMENTO],$B$4,LANÇ_MOV[MÊS PAGAMENTO CORRESPONDENTE],J$6,LANÇ_MOV[EMPRESA],$C$4,LANÇ_MOV[CENTRO DE CUSTOS],$D$4)</f>
        <v>0</v>
      </c>
      <c r="K320" s="206">
        <f>SUMIFS(LANÇ_MOV[VALOR LÍQUIDO],LANÇ_MOV[RECEITA OU DESPESA],"Despesa",LANÇ_MOV[CONTAS],$C320,LANÇ_MOV[PLANO DE CONTAS],REL_DRE_FINANCEIRO!$B$241,LANÇ_MOV[ANO PAGAMENTO],$B$4,LANÇ_MOV[MÊS PAGAMENTO CORRESPONDENTE],K$6,LANÇ_MOV[EMPRESA],$C$4,LANÇ_MOV[CENTRO DE CUSTOS],$D$4)</f>
        <v>0</v>
      </c>
      <c r="L320" s="206">
        <f>SUMIFS(LANÇ_MOV[VALOR LÍQUIDO],LANÇ_MOV[RECEITA OU DESPESA],"Despesa",LANÇ_MOV[CONTAS],$C320,LANÇ_MOV[PLANO DE CONTAS],REL_DRE_FINANCEIRO!$B$241,LANÇ_MOV[ANO PAGAMENTO],$B$4,LANÇ_MOV[MÊS PAGAMENTO CORRESPONDENTE],L$6,LANÇ_MOV[EMPRESA],$C$4,LANÇ_MOV[CENTRO DE CUSTOS],$D$4)</f>
        <v>0</v>
      </c>
      <c r="M320" s="206">
        <f>SUMIFS(LANÇ_MOV[VALOR LÍQUIDO],LANÇ_MOV[RECEITA OU DESPESA],"Despesa",LANÇ_MOV[CONTAS],$C320,LANÇ_MOV[PLANO DE CONTAS],REL_DRE_FINANCEIRO!$B$241,LANÇ_MOV[ANO PAGAMENTO],$B$4,LANÇ_MOV[MÊS PAGAMENTO CORRESPONDENTE],M$6,LANÇ_MOV[EMPRESA],$C$4,LANÇ_MOV[CENTRO DE CUSTOS],$D$4)</f>
        <v>0</v>
      </c>
      <c r="N320" s="206">
        <f>SUMIFS(LANÇ_MOV[VALOR LÍQUIDO],LANÇ_MOV[RECEITA OU DESPESA],"Despesa",LANÇ_MOV[CONTAS],$C320,LANÇ_MOV[PLANO DE CONTAS],REL_DRE_FINANCEIRO!$B$241,LANÇ_MOV[ANO PAGAMENTO],$B$4,LANÇ_MOV[MÊS PAGAMENTO CORRESPONDENTE],N$6,LANÇ_MOV[EMPRESA],$C$4,LANÇ_MOV[CENTRO DE CUSTOS],$D$4)</f>
        <v>0</v>
      </c>
      <c r="O320" s="206">
        <f>SUMIFS(LANÇ_MOV[VALOR LÍQUIDO],LANÇ_MOV[RECEITA OU DESPESA],"Despesa",LANÇ_MOV[CONTAS],$C320,LANÇ_MOV[PLANO DE CONTAS],REL_DRE_FINANCEIRO!$B$241,LANÇ_MOV[ANO PAGAMENTO],$B$4,LANÇ_MOV[MÊS PAGAMENTO CORRESPONDENTE],O$6,LANÇ_MOV[EMPRESA],$C$4,LANÇ_MOV[CENTRO DE CUSTOS],$D$4)</f>
        <v>0</v>
      </c>
      <c r="P320" s="207">
        <f t="shared" si="48"/>
        <v>0</v>
      </c>
      <c r="Q320" s="329">
        <v>2.2000000000000001E-6</v>
      </c>
      <c r="R320" s="346">
        <f t="shared" si="49"/>
        <v>2.2000000000000001E-6</v>
      </c>
      <c r="S320" s="347" t="str">
        <f t="shared" si="50"/>
        <v>-</v>
      </c>
      <c r="T320" s="347">
        <f t="shared" si="51"/>
        <v>0</v>
      </c>
      <c r="U320" s="347">
        <f>HLOOKUP(Apoio!$P$12,$D$240:$P$341,X320,FALSE)+Q320</f>
        <v>2.2000000000000001E-6</v>
      </c>
      <c r="V320" s="447" t="str">
        <f t="shared" si="52"/>
        <v>-</v>
      </c>
      <c r="W320" s="448">
        <f>HLOOKUP(Apoio!$P$12,$D$240:$P$341,X320,FALSE)</f>
        <v>0</v>
      </c>
      <c r="X320" s="329">
        <v>81</v>
      </c>
    </row>
    <row r="321" spans="2:24" ht="30.05" customHeight="1" x14ac:dyDescent="0.35">
      <c r="B321" s="204" t="str">
        <f>'CAD_PL_REC-DESP'!N84</f>
        <v>2.2.80</v>
      </c>
      <c r="C321" s="205" t="str">
        <f>IF('CAD_PL_REC-DESP'!O84="","-",'CAD_PL_REC-DESP'!O84)</f>
        <v>-</v>
      </c>
      <c r="D321" s="206">
        <f>SUMIFS(LANÇ_MOV[VALOR LÍQUIDO],LANÇ_MOV[RECEITA OU DESPESA],"Despesa",LANÇ_MOV[CONTAS],$C321,LANÇ_MOV[PLANO DE CONTAS],REL_DRE_FINANCEIRO!$B$241,LANÇ_MOV[ANO PAGAMENTO],$B$4,LANÇ_MOV[MÊS PAGAMENTO CORRESPONDENTE],D$6,LANÇ_MOV[EMPRESA],$C$4,LANÇ_MOV[CENTRO DE CUSTOS],$D$4)</f>
        <v>0</v>
      </c>
      <c r="E321" s="206">
        <f>SUMIFS(LANÇ_MOV[VALOR LÍQUIDO],LANÇ_MOV[RECEITA OU DESPESA],"Despesa",LANÇ_MOV[CONTAS],$C321,LANÇ_MOV[PLANO DE CONTAS],REL_DRE_FINANCEIRO!$B$241,LANÇ_MOV[ANO PAGAMENTO],$B$4,LANÇ_MOV[MÊS PAGAMENTO CORRESPONDENTE],E$6,LANÇ_MOV[EMPRESA],$C$4,LANÇ_MOV[CENTRO DE CUSTOS],$D$4)</f>
        <v>0</v>
      </c>
      <c r="F321" s="206">
        <f>SUMIFS(LANÇ_MOV[VALOR LÍQUIDO],LANÇ_MOV[RECEITA OU DESPESA],"Despesa",LANÇ_MOV[CONTAS],$C321,LANÇ_MOV[PLANO DE CONTAS],REL_DRE_FINANCEIRO!$B$241,LANÇ_MOV[ANO PAGAMENTO],$B$4,LANÇ_MOV[MÊS PAGAMENTO CORRESPONDENTE],F$6,LANÇ_MOV[EMPRESA],$C$4,LANÇ_MOV[CENTRO DE CUSTOS],$D$4)</f>
        <v>0</v>
      </c>
      <c r="G321" s="206">
        <f>SUMIFS(LANÇ_MOV[VALOR LÍQUIDO],LANÇ_MOV[RECEITA OU DESPESA],"Despesa",LANÇ_MOV[CONTAS],$C321,LANÇ_MOV[PLANO DE CONTAS],REL_DRE_FINANCEIRO!$B$241,LANÇ_MOV[ANO PAGAMENTO],$B$4,LANÇ_MOV[MÊS PAGAMENTO CORRESPONDENTE],G$6,LANÇ_MOV[EMPRESA],$C$4,LANÇ_MOV[CENTRO DE CUSTOS],$D$4)</f>
        <v>0</v>
      </c>
      <c r="H321" s="206">
        <f>SUMIFS(LANÇ_MOV[VALOR LÍQUIDO],LANÇ_MOV[RECEITA OU DESPESA],"Despesa",LANÇ_MOV[CONTAS],$C321,LANÇ_MOV[PLANO DE CONTAS],REL_DRE_FINANCEIRO!$B$241,LANÇ_MOV[ANO PAGAMENTO],$B$4,LANÇ_MOV[MÊS PAGAMENTO CORRESPONDENTE],H$6,LANÇ_MOV[EMPRESA],$C$4,LANÇ_MOV[CENTRO DE CUSTOS],$D$4)</f>
        <v>0</v>
      </c>
      <c r="I321" s="206">
        <f>SUMIFS(LANÇ_MOV[VALOR LÍQUIDO],LANÇ_MOV[RECEITA OU DESPESA],"Despesa",LANÇ_MOV[CONTAS],$C321,LANÇ_MOV[PLANO DE CONTAS],REL_DRE_FINANCEIRO!$B$241,LANÇ_MOV[ANO PAGAMENTO],$B$4,LANÇ_MOV[MÊS PAGAMENTO CORRESPONDENTE],I$6,LANÇ_MOV[EMPRESA],$C$4,LANÇ_MOV[CENTRO DE CUSTOS],$D$4)</f>
        <v>0</v>
      </c>
      <c r="J321" s="206">
        <f>SUMIFS(LANÇ_MOV[VALOR LÍQUIDO],LANÇ_MOV[RECEITA OU DESPESA],"Despesa",LANÇ_MOV[CONTAS],$C321,LANÇ_MOV[PLANO DE CONTAS],REL_DRE_FINANCEIRO!$B$241,LANÇ_MOV[ANO PAGAMENTO],$B$4,LANÇ_MOV[MÊS PAGAMENTO CORRESPONDENTE],J$6,LANÇ_MOV[EMPRESA],$C$4,LANÇ_MOV[CENTRO DE CUSTOS],$D$4)</f>
        <v>0</v>
      </c>
      <c r="K321" s="206">
        <f>SUMIFS(LANÇ_MOV[VALOR LÍQUIDO],LANÇ_MOV[RECEITA OU DESPESA],"Despesa",LANÇ_MOV[CONTAS],$C321,LANÇ_MOV[PLANO DE CONTAS],REL_DRE_FINANCEIRO!$B$241,LANÇ_MOV[ANO PAGAMENTO],$B$4,LANÇ_MOV[MÊS PAGAMENTO CORRESPONDENTE],K$6,LANÇ_MOV[EMPRESA],$C$4,LANÇ_MOV[CENTRO DE CUSTOS],$D$4)</f>
        <v>0</v>
      </c>
      <c r="L321" s="206">
        <f>SUMIFS(LANÇ_MOV[VALOR LÍQUIDO],LANÇ_MOV[RECEITA OU DESPESA],"Despesa",LANÇ_MOV[CONTAS],$C321,LANÇ_MOV[PLANO DE CONTAS],REL_DRE_FINANCEIRO!$B$241,LANÇ_MOV[ANO PAGAMENTO],$B$4,LANÇ_MOV[MÊS PAGAMENTO CORRESPONDENTE],L$6,LANÇ_MOV[EMPRESA],$C$4,LANÇ_MOV[CENTRO DE CUSTOS],$D$4)</f>
        <v>0</v>
      </c>
      <c r="M321" s="206">
        <f>SUMIFS(LANÇ_MOV[VALOR LÍQUIDO],LANÇ_MOV[RECEITA OU DESPESA],"Despesa",LANÇ_MOV[CONTAS],$C321,LANÇ_MOV[PLANO DE CONTAS],REL_DRE_FINANCEIRO!$B$241,LANÇ_MOV[ANO PAGAMENTO],$B$4,LANÇ_MOV[MÊS PAGAMENTO CORRESPONDENTE],M$6,LANÇ_MOV[EMPRESA],$C$4,LANÇ_MOV[CENTRO DE CUSTOS],$D$4)</f>
        <v>0</v>
      </c>
      <c r="N321" s="206">
        <f>SUMIFS(LANÇ_MOV[VALOR LÍQUIDO],LANÇ_MOV[RECEITA OU DESPESA],"Despesa",LANÇ_MOV[CONTAS],$C321,LANÇ_MOV[PLANO DE CONTAS],REL_DRE_FINANCEIRO!$B$241,LANÇ_MOV[ANO PAGAMENTO],$B$4,LANÇ_MOV[MÊS PAGAMENTO CORRESPONDENTE],N$6,LANÇ_MOV[EMPRESA],$C$4,LANÇ_MOV[CENTRO DE CUSTOS],$D$4)</f>
        <v>0</v>
      </c>
      <c r="O321" s="206">
        <f>SUMIFS(LANÇ_MOV[VALOR LÍQUIDO],LANÇ_MOV[RECEITA OU DESPESA],"Despesa",LANÇ_MOV[CONTAS],$C321,LANÇ_MOV[PLANO DE CONTAS],REL_DRE_FINANCEIRO!$B$241,LANÇ_MOV[ANO PAGAMENTO],$B$4,LANÇ_MOV[MÊS PAGAMENTO CORRESPONDENTE],O$6,LANÇ_MOV[EMPRESA],$C$4,LANÇ_MOV[CENTRO DE CUSTOS],$D$4)</f>
        <v>0</v>
      </c>
      <c r="P321" s="207">
        <f t="shared" si="48"/>
        <v>0</v>
      </c>
      <c r="Q321" s="329">
        <v>2.0999999999999998E-6</v>
      </c>
      <c r="R321" s="346">
        <f t="shared" si="49"/>
        <v>2.0999999999999998E-6</v>
      </c>
      <c r="S321" s="347" t="str">
        <f t="shared" si="50"/>
        <v>-</v>
      </c>
      <c r="T321" s="347">
        <f t="shared" si="51"/>
        <v>0</v>
      </c>
      <c r="U321" s="347">
        <f>HLOOKUP(Apoio!$P$12,$D$240:$P$341,X321,FALSE)+Q321</f>
        <v>2.0999999999999998E-6</v>
      </c>
      <c r="V321" s="447" t="str">
        <f t="shared" si="52"/>
        <v>-</v>
      </c>
      <c r="W321" s="448">
        <f>HLOOKUP(Apoio!$P$12,$D$240:$P$341,X321,FALSE)</f>
        <v>0</v>
      </c>
      <c r="X321" s="329">
        <v>82</v>
      </c>
    </row>
    <row r="322" spans="2:24" ht="30.05" customHeight="1" x14ac:dyDescent="0.35">
      <c r="B322" s="204" t="str">
        <f>'CAD_PL_REC-DESP'!N85</f>
        <v>2.2.81</v>
      </c>
      <c r="C322" s="205" t="str">
        <f>IF('CAD_PL_REC-DESP'!O85="","-",'CAD_PL_REC-DESP'!O85)</f>
        <v>-</v>
      </c>
      <c r="D322" s="206">
        <f>SUMIFS(LANÇ_MOV[VALOR LÍQUIDO],LANÇ_MOV[RECEITA OU DESPESA],"Despesa",LANÇ_MOV[CONTAS],$C322,LANÇ_MOV[PLANO DE CONTAS],REL_DRE_FINANCEIRO!$B$241,LANÇ_MOV[ANO PAGAMENTO],$B$4,LANÇ_MOV[MÊS PAGAMENTO CORRESPONDENTE],D$6,LANÇ_MOV[EMPRESA],$C$4,LANÇ_MOV[CENTRO DE CUSTOS],$D$4)</f>
        <v>0</v>
      </c>
      <c r="E322" s="206">
        <f>SUMIFS(LANÇ_MOV[VALOR LÍQUIDO],LANÇ_MOV[RECEITA OU DESPESA],"Despesa",LANÇ_MOV[CONTAS],$C322,LANÇ_MOV[PLANO DE CONTAS],REL_DRE_FINANCEIRO!$B$241,LANÇ_MOV[ANO PAGAMENTO],$B$4,LANÇ_MOV[MÊS PAGAMENTO CORRESPONDENTE],E$6,LANÇ_MOV[EMPRESA],$C$4,LANÇ_MOV[CENTRO DE CUSTOS],$D$4)</f>
        <v>0</v>
      </c>
      <c r="F322" s="206">
        <f>SUMIFS(LANÇ_MOV[VALOR LÍQUIDO],LANÇ_MOV[RECEITA OU DESPESA],"Despesa",LANÇ_MOV[CONTAS],$C322,LANÇ_MOV[PLANO DE CONTAS],REL_DRE_FINANCEIRO!$B$241,LANÇ_MOV[ANO PAGAMENTO],$B$4,LANÇ_MOV[MÊS PAGAMENTO CORRESPONDENTE],F$6,LANÇ_MOV[EMPRESA],$C$4,LANÇ_MOV[CENTRO DE CUSTOS],$D$4)</f>
        <v>0</v>
      </c>
      <c r="G322" s="206">
        <f>SUMIFS(LANÇ_MOV[VALOR LÍQUIDO],LANÇ_MOV[RECEITA OU DESPESA],"Despesa",LANÇ_MOV[CONTAS],$C322,LANÇ_MOV[PLANO DE CONTAS],REL_DRE_FINANCEIRO!$B$241,LANÇ_MOV[ANO PAGAMENTO],$B$4,LANÇ_MOV[MÊS PAGAMENTO CORRESPONDENTE],G$6,LANÇ_MOV[EMPRESA],$C$4,LANÇ_MOV[CENTRO DE CUSTOS],$D$4)</f>
        <v>0</v>
      </c>
      <c r="H322" s="206">
        <f>SUMIFS(LANÇ_MOV[VALOR LÍQUIDO],LANÇ_MOV[RECEITA OU DESPESA],"Despesa",LANÇ_MOV[CONTAS],$C322,LANÇ_MOV[PLANO DE CONTAS],REL_DRE_FINANCEIRO!$B$241,LANÇ_MOV[ANO PAGAMENTO],$B$4,LANÇ_MOV[MÊS PAGAMENTO CORRESPONDENTE],H$6,LANÇ_MOV[EMPRESA],$C$4,LANÇ_MOV[CENTRO DE CUSTOS],$D$4)</f>
        <v>0</v>
      </c>
      <c r="I322" s="206">
        <f>SUMIFS(LANÇ_MOV[VALOR LÍQUIDO],LANÇ_MOV[RECEITA OU DESPESA],"Despesa",LANÇ_MOV[CONTAS],$C322,LANÇ_MOV[PLANO DE CONTAS],REL_DRE_FINANCEIRO!$B$241,LANÇ_MOV[ANO PAGAMENTO],$B$4,LANÇ_MOV[MÊS PAGAMENTO CORRESPONDENTE],I$6,LANÇ_MOV[EMPRESA],$C$4,LANÇ_MOV[CENTRO DE CUSTOS],$D$4)</f>
        <v>0</v>
      </c>
      <c r="J322" s="206">
        <f>SUMIFS(LANÇ_MOV[VALOR LÍQUIDO],LANÇ_MOV[RECEITA OU DESPESA],"Despesa",LANÇ_MOV[CONTAS],$C322,LANÇ_MOV[PLANO DE CONTAS],REL_DRE_FINANCEIRO!$B$241,LANÇ_MOV[ANO PAGAMENTO],$B$4,LANÇ_MOV[MÊS PAGAMENTO CORRESPONDENTE],J$6,LANÇ_MOV[EMPRESA],$C$4,LANÇ_MOV[CENTRO DE CUSTOS],$D$4)</f>
        <v>0</v>
      </c>
      <c r="K322" s="206">
        <f>SUMIFS(LANÇ_MOV[VALOR LÍQUIDO],LANÇ_MOV[RECEITA OU DESPESA],"Despesa",LANÇ_MOV[CONTAS],$C322,LANÇ_MOV[PLANO DE CONTAS],REL_DRE_FINANCEIRO!$B$241,LANÇ_MOV[ANO PAGAMENTO],$B$4,LANÇ_MOV[MÊS PAGAMENTO CORRESPONDENTE],K$6,LANÇ_MOV[EMPRESA],$C$4,LANÇ_MOV[CENTRO DE CUSTOS],$D$4)</f>
        <v>0</v>
      </c>
      <c r="L322" s="206">
        <f>SUMIFS(LANÇ_MOV[VALOR LÍQUIDO],LANÇ_MOV[RECEITA OU DESPESA],"Despesa",LANÇ_MOV[CONTAS],$C322,LANÇ_MOV[PLANO DE CONTAS],REL_DRE_FINANCEIRO!$B$241,LANÇ_MOV[ANO PAGAMENTO],$B$4,LANÇ_MOV[MÊS PAGAMENTO CORRESPONDENTE],L$6,LANÇ_MOV[EMPRESA],$C$4,LANÇ_MOV[CENTRO DE CUSTOS],$D$4)</f>
        <v>0</v>
      </c>
      <c r="M322" s="206">
        <f>SUMIFS(LANÇ_MOV[VALOR LÍQUIDO],LANÇ_MOV[RECEITA OU DESPESA],"Despesa",LANÇ_MOV[CONTAS],$C322,LANÇ_MOV[PLANO DE CONTAS],REL_DRE_FINANCEIRO!$B$241,LANÇ_MOV[ANO PAGAMENTO],$B$4,LANÇ_MOV[MÊS PAGAMENTO CORRESPONDENTE],M$6,LANÇ_MOV[EMPRESA],$C$4,LANÇ_MOV[CENTRO DE CUSTOS],$D$4)</f>
        <v>0</v>
      </c>
      <c r="N322" s="206">
        <f>SUMIFS(LANÇ_MOV[VALOR LÍQUIDO],LANÇ_MOV[RECEITA OU DESPESA],"Despesa",LANÇ_MOV[CONTAS],$C322,LANÇ_MOV[PLANO DE CONTAS],REL_DRE_FINANCEIRO!$B$241,LANÇ_MOV[ANO PAGAMENTO],$B$4,LANÇ_MOV[MÊS PAGAMENTO CORRESPONDENTE],N$6,LANÇ_MOV[EMPRESA],$C$4,LANÇ_MOV[CENTRO DE CUSTOS],$D$4)</f>
        <v>0</v>
      </c>
      <c r="O322" s="206">
        <f>SUMIFS(LANÇ_MOV[VALOR LÍQUIDO],LANÇ_MOV[RECEITA OU DESPESA],"Despesa",LANÇ_MOV[CONTAS],$C322,LANÇ_MOV[PLANO DE CONTAS],REL_DRE_FINANCEIRO!$B$241,LANÇ_MOV[ANO PAGAMENTO],$B$4,LANÇ_MOV[MÊS PAGAMENTO CORRESPONDENTE],O$6,LANÇ_MOV[EMPRESA],$C$4,LANÇ_MOV[CENTRO DE CUSTOS],$D$4)</f>
        <v>0</v>
      </c>
      <c r="P322" s="207">
        <f t="shared" si="48"/>
        <v>0</v>
      </c>
      <c r="Q322" s="329">
        <v>1.9999999999999999E-6</v>
      </c>
      <c r="R322" s="346">
        <f t="shared" si="49"/>
        <v>1.9999999999999999E-6</v>
      </c>
      <c r="S322" s="347" t="str">
        <f t="shared" si="50"/>
        <v>-</v>
      </c>
      <c r="T322" s="347">
        <f t="shared" si="51"/>
        <v>0</v>
      </c>
      <c r="U322" s="347">
        <f>HLOOKUP(Apoio!$P$12,$D$240:$P$341,X322,FALSE)+Q322</f>
        <v>1.9999999999999999E-6</v>
      </c>
      <c r="V322" s="447" t="str">
        <f t="shared" si="52"/>
        <v>-</v>
      </c>
      <c r="W322" s="448">
        <f>HLOOKUP(Apoio!$P$12,$D$240:$P$341,X322,FALSE)</f>
        <v>0</v>
      </c>
      <c r="X322" s="329">
        <v>83</v>
      </c>
    </row>
    <row r="323" spans="2:24" ht="30.05" customHeight="1" x14ac:dyDescent="0.35">
      <c r="B323" s="204" t="str">
        <f>'CAD_PL_REC-DESP'!N86</f>
        <v>2.2.82</v>
      </c>
      <c r="C323" s="205" t="str">
        <f>IF('CAD_PL_REC-DESP'!O86="","-",'CAD_PL_REC-DESP'!O86)</f>
        <v>-</v>
      </c>
      <c r="D323" s="206">
        <f>SUMIFS(LANÇ_MOV[VALOR LÍQUIDO],LANÇ_MOV[RECEITA OU DESPESA],"Despesa",LANÇ_MOV[CONTAS],$C323,LANÇ_MOV[PLANO DE CONTAS],REL_DRE_FINANCEIRO!$B$241,LANÇ_MOV[ANO PAGAMENTO],$B$4,LANÇ_MOV[MÊS PAGAMENTO CORRESPONDENTE],D$6,LANÇ_MOV[EMPRESA],$C$4,LANÇ_MOV[CENTRO DE CUSTOS],$D$4)</f>
        <v>0</v>
      </c>
      <c r="E323" s="206">
        <f>SUMIFS(LANÇ_MOV[VALOR LÍQUIDO],LANÇ_MOV[RECEITA OU DESPESA],"Despesa",LANÇ_MOV[CONTAS],$C323,LANÇ_MOV[PLANO DE CONTAS],REL_DRE_FINANCEIRO!$B$241,LANÇ_MOV[ANO PAGAMENTO],$B$4,LANÇ_MOV[MÊS PAGAMENTO CORRESPONDENTE],E$6,LANÇ_MOV[EMPRESA],$C$4,LANÇ_MOV[CENTRO DE CUSTOS],$D$4)</f>
        <v>0</v>
      </c>
      <c r="F323" s="206">
        <f>SUMIFS(LANÇ_MOV[VALOR LÍQUIDO],LANÇ_MOV[RECEITA OU DESPESA],"Despesa",LANÇ_MOV[CONTAS],$C323,LANÇ_MOV[PLANO DE CONTAS],REL_DRE_FINANCEIRO!$B$241,LANÇ_MOV[ANO PAGAMENTO],$B$4,LANÇ_MOV[MÊS PAGAMENTO CORRESPONDENTE],F$6,LANÇ_MOV[EMPRESA],$C$4,LANÇ_MOV[CENTRO DE CUSTOS],$D$4)</f>
        <v>0</v>
      </c>
      <c r="G323" s="206">
        <f>SUMIFS(LANÇ_MOV[VALOR LÍQUIDO],LANÇ_MOV[RECEITA OU DESPESA],"Despesa",LANÇ_MOV[CONTAS],$C323,LANÇ_MOV[PLANO DE CONTAS],REL_DRE_FINANCEIRO!$B$241,LANÇ_MOV[ANO PAGAMENTO],$B$4,LANÇ_MOV[MÊS PAGAMENTO CORRESPONDENTE],G$6,LANÇ_MOV[EMPRESA],$C$4,LANÇ_MOV[CENTRO DE CUSTOS],$D$4)</f>
        <v>0</v>
      </c>
      <c r="H323" s="206">
        <f>SUMIFS(LANÇ_MOV[VALOR LÍQUIDO],LANÇ_MOV[RECEITA OU DESPESA],"Despesa",LANÇ_MOV[CONTAS],$C323,LANÇ_MOV[PLANO DE CONTAS],REL_DRE_FINANCEIRO!$B$241,LANÇ_MOV[ANO PAGAMENTO],$B$4,LANÇ_MOV[MÊS PAGAMENTO CORRESPONDENTE],H$6,LANÇ_MOV[EMPRESA],$C$4,LANÇ_MOV[CENTRO DE CUSTOS],$D$4)</f>
        <v>0</v>
      </c>
      <c r="I323" s="206">
        <f>SUMIFS(LANÇ_MOV[VALOR LÍQUIDO],LANÇ_MOV[RECEITA OU DESPESA],"Despesa",LANÇ_MOV[CONTAS],$C323,LANÇ_MOV[PLANO DE CONTAS],REL_DRE_FINANCEIRO!$B$241,LANÇ_MOV[ANO PAGAMENTO],$B$4,LANÇ_MOV[MÊS PAGAMENTO CORRESPONDENTE],I$6,LANÇ_MOV[EMPRESA],$C$4,LANÇ_MOV[CENTRO DE CUSTOS],$D$4)</f>
        <v>0</v>
      </c>
      <c r="J323" s="206">
        <f>SUMIFS(LANÇ_MOV[VALOR LÍQUIDO],LANÇ_MOV[RECEITA OU DESPESA],"Despesa",LANÇ_MOV[CONTAS],$C323,LANÇ_MOV[PLANO DE CONTAS],REL_DRE_FINANCEIRO!$B$241,LANÇ_MOV[ANO PAGAMENTO],$B$4,LANÇ_MOV[MÊS PAGAMENTO CORRESPONDENTE],J$6,LANÇ_MOV[EMPRESA],$C$4,LANÇ_MOV[CENTRO DE CUSTOS],$D$4)</f>
        <v>0</v>
      </c>
      <c r="K323" s="206">
        <f>SUMIFS(LANÇ_MOV[VALOR LÍQUIDO],LANÇ_MOV[RECEITA OU DESPESA],"Despesa",LANÇ_MOV[CONTAS],$C323,LANÇ_MOV[PLANO DE CONTAS],REL_DRE_FINANCEIRO!$B$241,LANÇ_MOV[ANO PAGAMENTO],$B$4,LANÇ_MOV[MÊS PAGAMENTO CORRESPONDENTE],K$6,LANÇ_MOV[EMPRESA],$C$4,LANÇ_MOV[CENTRO DE CUSTOS],$D$4)</f>
        <v>0</v>
      </c>
      <c r="L323" s="206">
        <f>SUMIFS(LANÇ_MOV[VALOR LÍQUIDO],LANÇ_MOV[RECEITA OU DESPESA],"Despesa",LANÇ_MOV[CONTAS],$C323,LANÇ_MOV[PLANO DE CONTAS],REL_DRE_FINANCEIRO!$B$241,LANÇ_MOV[ANO PAGAMENTO],$B$4,LANÇ_MOV[MÊS PAGAMENTO CORRESPONDENTE],L$6,LANÇ_MOV[EMPRESA],$C$4,LANÇ_MOV[CENTRO DE CUSTOS],$D$4)</f>
        <v>0</v>
      </c>
      <c r="M323" s="206">
        <f>SUMIFS(LANÇ_MOV[VALOR LÍQUIDO],LANÇ_MOV[RECEITA OU DESPESA],"Despesa",LANÇ_MOV[CONTAS],$C323,LANÇ_MOV[PLANO DE CONTAS],REL_DRE_FINANCEIRO!$B$241,LANÇ_MOV[ANO PAGAMENTO],$B$4,LANÇ_MOV[MÊS PAGAMENTO CORRESPONDENTE],M$6,LANÇ_MOV[EMPRESA],$C$4,LANÇ_MOV[CENTRO DE CUSTOS],$D$4)</f>
        <v>0</v>
      </c>
      <c r="N323" s="206">
        <f>SUMIFS(LANÇ_MOV[VALOR LÍQUIDO],LANÇ_MOV[RECEITA OU DESPESA],"Despesa",LANÇ_MOV[CONTAS],$C323,LANÇ_MOV[PLANO DE CONTAS],REL_DRE_FINANCEIRO!$B$241,LANÇ_MOV[ANO PAGAMENTO],$B$4,LANÇ_MOV[MÊS PAGAMENTO CORRESPONDENTE],N$6,LANÇ_MOV[EMPRESA],$C$4,LANÇ_MOV[CENTRO DE CUSTOS],$D$4)</f>
        <v>0</v>
      </c>
      <c r="O323" s="206">
        <f>SUMIFS(LANÇ_MOV[VALOR LÍQUIDO],LANÇ_MOV[RECEITA OU DESPESA],"Despesa",LANÇ_MOV[CONTAS],$C323,LANÇ_MOV[PLANO DE CONTAS],REL_DRE_FINANCEIRO!$B$241,LANÇ_MOV[ANO PAGAMENTO],$B$4,LANÇ_MOV[MÊS PAGAMENTO CORRESPONDENTE],O$6,LANÇ_MOV[EMPRESA],$C$4,LANÇ_MOV[CENTRO DE CUSTOS],$D$4)</f>
        <v>0</v>
      </c>
      <c r="P323" s="207">
        <f t="shared" si="48"/>
        <v>0</v>
      </c>
      <c r="Q323" s="329">
        <v>1.9E-6</v>
      </c>
      <c r="R323" s="346">
        <f t="shared" si="49"/>
        <v>1.9E-6</v>
      </c>
      <c r="S323" s="347" t="str">
        <f t="shared" si="50"/>
        <v>-</v>
      </c>
      <c r="T323" s="347">
        <f t="shared" si="51"/>
        <v>0</v>
      </c>
      <c r="U323" s="347">
        <f>HLOOKUP(Apoio!$P$12,$D$240:$P$341,X323,FALSE)+Q323</f>
        <v>1.9E-6</v>
      </c>
      <c r="V323" s="447" t="str">
        <f t="shared" si="52"/>
        <v>-</v>
      </c>
      <c r="W323" s="448">
        <f>HLOOKUP(Apoio!$P$12,$D$240:$P$341,X323,FALSE)</f>
        <v>0</v>
      </c>
      <c r="X323" s="329">
        <v>84</v>
      </c>
    </row>
    <row r="324" spans="2:24" ht="30.05" customHeight="1" x14ac:dyDescent="0.35">
      <c r="B324" s="204" t="str">
        <f>'CAD_PL_REC-DESP'!N87</f>
        <v>2.2.83</v>
      </c>
      <c r="C324" s="205" t="str">
        <f>IF('CAD_PL_REC-DESP'!O87="","-",'CAD_PL_REC-DESP'!O87)</f>
        <v>-</v>
      </c>
      <c r="D324" s="206">
        <f>SUMIFS(LANÇ_MOV[VALOR LÍQUIDO],LANÇ_MOV[RECEITA OU DESPESA],"Despesa",LANÇ_MOV[CONTAS],$C324,LANÇ_MOV[PLANO DE CONTAS],REL_DRE_FINANCEIRO!$B$241,LANÇ_MOV[ANO PAGAMENTO],$B$4,LANÇ_MOV[MÊS PAGAMENTO CORRESPONDENTE],D$6,LANÇ_MOV[EMPRESA],$C$4,LANÇ_MOV[CENTRO DE CUSTOS],$D$4)</f>
        <v>0</v>
      </c>
      <c r="E324" s="206">
        <f>SUMIFS(LANÇ_MOV[VALOR LÍQUIDO],LANÇ_MOV[RECEITA OU DESPESA],"Despesa",LANÇ_MOV[CONTAS],$C324,LANÇ_MOV[PLANO DE CONTAS],REL_DRE_FINANCEIRO!$B$241,LANÇ_MOV[ANO PAGAMENTO],$B$4,LANÇ_MOV[MÊS PAGAMENTO CORRESPONDENTE],E$6,LANÇ_MOV[EMPRESA],$C$4,LANÇ_MOV[CENTRO DE CUSTOS],$D$4)</f>
        <v>0</v>
      </c>
      <c r="F324" s="206">
        <f>SUMIFS(LANÇ_MOV[VALOR LÍQUIDO],LANÇ_MOV[RECEITA OU DESPESA],"Despesa",LANÇ_MOV[CONTAS],$C324,LANÇ_MOV[PLANO DE CONTAS],REL_DRE_FINANCEIRO!$B$241,LANÇ_MOV[ANO PAGAMENTO],$B$4,LANÇ_MOV[MÊS PAGAMENTO CORRESPONDENTE],F$6,LANÇ_MOV[EMPRESA],$C$4,LANÇ_MOV[CENTRO DE CUSTOS],$D$4)</f>
        <v>0</v>
      </c>
      <c r="G324" s="206">
        <f>SUMIFS(LANÇ_MOV[VALOR LÍQUIDO],LANÇ_MOV[RECEITA OU DESPESA],"Despesa",LANÇ_MOV[CONTAS],$C324,LANÇ_MOV[PLANO DE CONTAS],REL_DRE_FINANCEIRO!$B$241,LANÇ_MOV[ANO PAGAMENTO],$B$4,LANÇ_MOV[MÊS PAGAMENTO CORRESPONDENTE],G$6,LANÇ_MOV[EMPRESA],$C$4,LANÇ_MOV[CENTRO DE CUSTOS],$D$4)</f>
        <v>0</v>
      </c>
      <c r="H324" s="206">
        <f>SUMIFS(LANÇ_MOV[VALOR LÍQUIDO],LANÇ_MOV[RECEITA OU DESPESA],"Despesa",LANÇ_MOV[CONTAS],$C324,LANÇ_MOV[PLANO DE CONTAS],REL_DRE_FINANCEIRO!$B$241,LANÇ_MOV[ANO PAGAMENTO],$B$4,LANÇ_MOV[MÊS PAGAMENTO CORRESPONDENTE],H$6,LANÇ_MOV[EMPRESA],$C$4,LANÇ_MOV[CENTRO DE CUSTOS],$D$4)</f>
        <v>0</v>
      </c>
      <c r="I324" s="206">
        <f>SUMIFS(LANÇ_MOV[VALOR LÍQUIDO],LANÇ_MOV[RECEITA OU DESPESA],"Despesa",LANÇ_MOV[CONTAS],$C324,LANÇ_MOV[PLANO DE CONTAS],REL_DRE_FINANCEIRO!$B$241,LANÇ_MOV[ANO PAGAMENTO],$B$4,LANÇ_MOV[MÊS PAGAMENTO CORRESPONDENTE],I$6,LANÇ_MOV[EMPRESA],$C$4,LANÇ_MOV[CENTRO DE CUSTOS],$D$4)</f>
        <v>0</v>
      </c>
      <c r="J324" s="206">
        <f>SUMIFS(LANÇ_MOV[VALOR LÍQUIDO],LANÇ_MOV[RECEITA OU DESPESA],"Despesa",LANÇ_MOV[CONTAS],$C324,LANÇ_MOV[PLANO DE CONTAS],REL_DRE_FINANCEIRO!$B$241,LANÇ_MOV[ANO PAGAMENTO],$B$4,LANÇ_MOV[MÊS PAGAMENTO CORRESPONDENTE],J$6,LANÇ_MOV[EMPRESA],$C$4,LANÇ_MOV[CENTRO DE CUSTOS],$D$4)</f>
        <v>0</v>
      </c>
      <c r="K324" s="206">
        <f>SUMIFS(LANÇ_MOV[VALOR LÍQUIDO],LANÇ_MOV[RECEITA OU DESPESA],"Despesa",LANÇ_MOV[CONTAS],$C324,LANÇ_MOV[PLANO DE CONTAS],REL_DRE_FINANCEIRO!$B$241,LANÇ_MOV[ANO PAGAMENTO],$B$4,LANÇ_MOV[MÊS PAGAMENTO CORRESPONDENTE],K$6,LANÇ_MOV[EMPRESA],$C$4,LANÇ_MOV[CENTRO DE CUSTOS],$D$4)</f>
        <v>0</v>
      </c>
      <c r="L324" s="206">
        <f>SUMIFS(LANÇ_MOV[VALOR LÍQUIDO],LANÇ_MOV[RECEITA OU DESPESA],"Despesa",LANÇ_MOV[CONTAS],$C324,LANÇ_MOV[PLANO DE CONTAS],REL_DRE_FINANCEIRO!$B$241,LANÇ_MOV[ANO PAGAMENTO],$B$4,LANÇ_MOV[MÊS PAGAMENTO CORRESPONDENTE],L$6,LANÇ_MOV[EMPRESA],$C$4,LANÇ_MOV[CENTRO DE CUSTOS],$D$4)</f>
        <v>0</v>
      </c>
      <c r="M324" s="206">
        <f>SUMIFS(LANÇ_MOV[VALOR LÍQUIDO],LANÇ_MOV[RECEITA OU DESPESA],"Despesa",LANÇ_MOV[CONTAS],$C324,LANÇ_MOV[PLANO DE CONTAS],REL_DRE_FINANCEIRO!$B$241,LANÇ_MOV[ANO PAGAMENTO],$B$4,LANÇ_MOV[MÊS PAGAMENTO CORRESPONDENTE],M$6,LANÇ_MOV[EMPRESA],$C$4,LANÇ_MOV[CENTRO DE CUSTOS],$D$4)</f>
        <v>0</v>
      </c>
      <c r="N324" s="206">
        <f>SUMIFS(LANÇ_MOV[VALOR LÍQUIDO],LANÇ_MOV[RECEITA OU DESPESA],"Despesa",LANÇ_MOV[CONTAS],$C324,LANÇ_MOV[PLANO DE CONTAS],REL_DRE_FINANCEIRO!$B$241,LANÇ_MOV[ANO PAGAMENTO],$B$4,LANÇ_MOV[MÊS PAGAMENTO CORRESPONDENTE],N$6,LANÇ_MOV[EMPRESA],$C$4,LANÇ_MOV[CENTRO DE CUSTOS],$D$4)</f>
        <v>0</v>
      </c>
      <c r="O324" s="206">
        <f>SUMIFS(LANÇ_MOV[VALOR LÍQUIDO],LANÇ_MOV[RECEITA OU DESPESA],"Despesa",LANÇ_MOV[CONTAS],$C324,LANÇ_MOV[PLANO DE CONTAS],REL_DRE_FINANCEIRO!$B$241,LANÇ_MOV[ANO PAGAMENTO],$B$4,LANÇ_MOV[MÊS PAGAMENTO CORRESPONDENTE],O$6,LANÇ_MOV[EMPRESA],$C$4,LANÇ_MOV[CENTRO DE CUSTOS],$D$4)</f>
        <v>0</v>
      </c>
      <c r="P324" s="207">
        <f t="shared" si="48"/>
        <v>0</v>
      </c>
      <c r="Q324" s="329">
        <v>1.7999999999999999E-6</v>
      </c>
      <c r="R324" s="346">
        <f t="shared" si="49"/>
        <v>1.7999999999999999E-6</v>
      </c>
      <c r="S324" s="347" t="str">
        <f t="shared" si="50"/>
        <v>-</v>
      </c>
      <c r="T324" s="347">
        <f t="shared" si="51"/>
        <v>0</v>
      </c>
      <c r="U324" s="347">
        <f>HLOOKUP(Apoio!$P$12,$D$240:$P$341,X324,FALSE)+Q324</f>
        <v>1.7999999999999999E-6</v>
      </c>
      <c r="V324" s="447" t="str">
        <f t="shared" si="52"/>
        <v>-</v>
      </c>
      <c r="W324" s="448">
        <f>HLOOKUP(Apoio!$P$12,$D$240:$P$341,X324,FALSE)</f>
        <v>0</v>
      </c>
      <c r="X324" s="329">
        <v>85</v>
      </c>
    </row>
    <row r="325" spans="2:24" ht="30.05" customHeight="1" x14ac:dyDescent="0.35">
      <c r="B325" s="204" t="str">
        <f>'CAD_PL_REC-DESP'!N88</f>
        <v>2.2.84</v>
      </c>
      <c r="C325" s="205" t="str">
        <f>IF('CAD_PL_REC-DESP'!O88="","-",'CAD_PL_REC-DESP'!O88)</f>
        <v>-</v>
      </c>
      <c r="D325" s="206">
        <f>SUMIFS(LANÇ_MOV[VALOR LÍQUIDO],LANÇ_MOV[RECEITA OU DESPESA],"Despesa",LANÇ_MOV[CONTAS],$C325,LANÇ_MOV[PLANO DE CONTAS],REL_DRE_FINANCEIRO!$B$241,LANÇ_MOV[ANO PAGAMENTO],$B$4,LANÇ_MOV[MÊS PAGAMENTO CORRESPONDENTE],D$6,LANÇ_MOV[EMPRESA],$C$4,LANÇ_MOV[CENTRO DE CUSTOS],$D$4)</f>
        <v>0</v>
      </c>
      <c r="E325" s="206">
        <f>SUMIFS(LANÇ_MOV[VALOR LÍQUIDO],LANÇ_MOV[RECEITA OU DESPESA],"Despesa",LANÇ_MOV[CONTAS],$C325,LANÇ_MOV[PLANO DE CONTAS],REL_DRE_FINANCEIRO!$B$241,LANÇ_MOV[ANO PAGAMENTO],$B$4,LANÇ_MOV[MÊS PAGAMENTO CORRESPONDENTE],E$6,LANÇ_MOV[EMPRESA],$C$4,LANÇ_MOV[CENTRO DE CUSTOS],$D$4)</f>
        <v>0</v>
      </c>
      <c r="F325" s="206">
        <f>SUMIFS(LANÇ_MOV[VALOR LÍQUIDO],LANÇ_MOV[RECEITA OU DESPESA],"Despesa",LANÇ_MOV[CONTAS],$C325,LANÇ_MOV[PLANO DE CONTAS],REL_DRE_FINANCEIRO!$B$241,LANÇ_MOV[ANO PAGAMENTO],$B$4,LANÇ_MOV[MÊS PAGAMENTO CORRESPONDENTE],F$6,LANÇ_MOV[EMPRESA],$C$4,LANÇ_MOV[CENTRO DE CUSTOS],$D$4)</f>
        <v>0</v>
      </c>
      <c r="G325" s="206">
        <f>SUMIFS(LANÇ_MOV[VALOR LÍQUIDO],LANÇ_MOV[RECEITA OU DESPESA],"Despesa",LANÇ_MOV[CONTAS],$C325,LANÇ_MOV[PLANO DE CONTAS],REL_DRE_FINANCEIRO!$B$241,LANÇ_MOV[ANO PAGAMENTO],$B$4,LANÇ_MOV[MÊS PAGAMENTO CORRESPONDENTE],G$6,LANÇ_MOV[EMPRESA],$C$4,LANÇ_MOV[CENTRO DE CUSTOS],$D$4)</f>
        <v>0</v>
      </c>
      <c r="H325" s="206">
        <f>SUMIFS(LANÇ_MOV[VALOR LÍQUIDO],LANÇ_MOV[RECEITA OU DESPESA],"Despesa",LANÇ_MOV[CONTAS],$C325,LANÇ_MOV[PLANO DE CONTAS],REL_DRE_FINANCEIRO!$B$241,LANÇ_MOV[ANO PAGAMENTO],$B$4,LANÇ_MOV[MÊS PAGAMENTO CORRESPONDENTE],H$6,LANÇ_MOV[EMPRESA],$C$4,LANÇ_MOV[CENTRO DE CUSTOS],$D$4)</f>
        <v>0</v>
      </c>
      <c r="I325" s="206">
        <f>SUMIFS(LANÇ_MOV[VALOR LÍQUIDO],LANÇ_MOV[RECEITA OU DESPESA],"Despesa",LANÇ_MOV[CONTAS],$C325,LANÇ_MOV[PLANO DE CONTAS],REL_DRE_FINANCEIRO!$B$241,LANÇ_MOV[ANO PAGAMENTO],$B$4,LANÇ_MOV[MÊS PAGAMENTO CORRESPONDENTE],I$6,LANÇ_MOV[EMPRESA],$C$4,LANÇ_MOV[CENTRO DE CUSTOS],$D$4)</f>
        <v>0</v>
      </c>
      <c r="J325" s="206">
        <f>SUMIFS(LANÇ_MOV[VALOR LÍQUIDO],LANÇ_MOV[RECEITA OU DESPESA],"Despesa",LANÇ_MOV[CONTAS],$C325,LANÇ_MOV[PLANO DE CONTAS],REL_DRE_FINANCEIRO!$B$241,LANÇ_MOV[ANO PAGAMENTO],$B$4,LANÇ_MOV[MÊS PAGAMENTO CORRESPONDENTE],J$6,LANÇ_MOV[EMPRESA],$C$4,LANÇ_MOV[CENTRO DE CUSTOS],$D$4)</f>
        <v>0</v>
      </c>
      <c r="K325" s="206">
        <f>SUMIFS(LANÇ_MOV[VALOR LÍQUIDO],LANÇ_MOV[RECEITA OU DESPESA],"Despesa",LANÇ_MOV[CONTAS],$C325,LANÇ_MOV[PLANO DE CONTAS],REL_DRE_FINANCEIRO!$B$241,LANÇ_MOV[ANO PAGAMENTO],$B$4,LANÇ_MOV[MÊS PAGAMENTO CORRESPONDENTE],K$6,LANÇ_MOV[EMPRESA],$C$4,LANÇ_MOV[CENTRO DE CUSTOS],$D$4)</f>
        <v>0</v>
      </c>
      <c r="L325" s="206">
        <f>SUMIFS(LANÇ_MOV[VALOR LÍQUIDO],LANÇ_MOV[RECEITA OU DESPESA],"Despesa",LANÇ_MOV[CONTAS],$C325,LANÇ_MOV[PLANO DE CONTAS],REL_DRE_FINANCEIRO!$B$241,LANÇ_MOV[ANO PAGAMENTO],$B$4,LANÇ_MOV[MÊS PAGAMENTO CORRESPONDENTE],L$6,LANÇ_MOV[EMPRESA],$C$4,LANÇ_MOV[CENTRO DE CUSTOS],$D$4)</f>
        <v>0</v>
      </c>
      <c r="M325" s="206">
        <f>SUMIFS(LANÇ_MOV[VALOR LÍQUIDO],LANÇ_MOV[RECEITA OU DESPESA],"Despesa",LANÇ_MOV[CONTAS],$C325,LANÇ_MOV[PLANO DE CONTAS],REL_DRE_FINANCEIRO!$B$241,LANÇ_MOV[ANO PAGAMENTO],$B$4,LANÇ_MOV[MÊS PAGAMENTO CORRESPONDENTE],M$6,LANÇ_MOV[EMPRESA],$C$4,LANÇ_MOV[CENTRO DE CUSTOS],$D$4)</f>
        <v>0</v>
      </c>
      <c r="N325" s="206">
        <f>SUMIFS(LANÇ_MOV[VALOR LÍQUIDO],LANÇ_MOV[RECEITA OU DESPESA],"Despesa",LANÇ_MOV[CONTAS],$C325,LANÇ_MOV[PLANO DE CONTAS],REL_DRE_FINANCEIRO!$B$241,LANÇ_MOV[ANO PAGAMENTO],$B$4,LANÇ_MOV[MÊS PAGAMENTO CORRESPONDENTE],N$6,LANÇ_MOV[EMPRESA],$C$4,LANÇ_MOV[CENTRO DE CUSTOS],$D$4)</f>
        <v>0</v>
      </c>
      <c r="O325" s="206">
        <f>SUMIFS(LANÇ_MOV[VALOR LÍQUIDO],LANÇ_MOV[RECEITA OU DESPESA],"Despesa",LANÇ_MOV[CONTAS],$C325,LANÇ_MOV[PLANO DE CONTAS],REL_DRE_FINANCEIRO!$B$241,LANÇ_MOV[ANO PAGAMENTO],$B$4,LANÇ_MOV[MÊS PAGAMENTO CORRESPONDENTE],O$6,LANÇ_MOV[EMPRESA],$C$4,LANÇ_MOV[CENTRO DE CUSTOS],$D$4)</f>
        <v>0</v>
      </c>
      <c r="P325" s="207">
        <f t="shared" si="48"/>
        <v>0</v>
      </c>
      <c r="Q325" s="329">
        <v>1.7E-6</v>
      </c>
      <c r="R325" s="346">
        <f t="shared" si="49"/>
        <v>1.7E-6</v>
      </c>
      <c r="S325" s="347" t="str">
        <f t="shared" si="50"/>
        <v>-</v>
      </c>
      <c r="T325" s="347">
        <f t="shared" si="51"/>
        <v>0</v>
      </c>
      <c r="U325" s="347">
        <f>HLOOKUP(Apoio!$P$12,$D$240:$P$341,X325,FALSE)+Q325</f>
        <v>1.7E-6</v>
      </c>
      <c r="V325" s="447" t="str">
        <f t="shared" si="52"/>
        <v>-</v>
      </c>
      <c r="W325" s="448">
        <f>HLOOKUP(Apoio!$P$12,$D$240:$P$341,X325,FALSE)</f>
        <v>0</v>
      </c>
      <c r="X325" s="329">
        <v>86</v>
      </c>
    </row>
    <row r="326" spans="2:24" ht="30.05" customHeight="1" x14ac:dyDescent="0.35">
      <c r="B326" s="204" t="str">
        <f>'CAD_PL_REC-DESP'!N89</f>
        <v>2.2.85</v>
      </c>
      <c r="C326" s="205" t="str">
        <f>IF('CAD_PL_REC-DESP'!O89="","-",'CAD_PL_REC-DESP'!O89)</f>
        <v>-</v>
      </c>
      <c r="D326" s="206">
        <f>SUMIFS(LANÇ_MOV[VALOR LÍQUIDO],LANÇ_MOV[RECEITA OU DESPESA],"Despesa",LANÇ_MOV[CONTAS],$C326,LANÇ_MOV[PLANO DE CONTAS],REL_DRE_FINANCEIRO!$B$241,LANÇ_MOV[ANO PAGAMENTO],$B$4,LANÇ_MOV[MÊS PAGAMENTO CORRESPONDENTE],D$6,LANÇ_MOV[EMPRESA],$C$4,LANÇ_MOV[CENTRO DE CUSTOS],$D$4)</f>
        <v>0</v>
      </c>
      <c r="E326" s="206">
        <f>SUMIFS(LANÇ_MOV[VALOR LÍQUIDO],LANÇ_MOV[RECEITA OU DESPESA],"Despesa",LANÇ_MOV[CONTAS],$C326,LANÇ_MOV[PLANO DE CONTAS],REL_DRE_FINANCEIRO!$B$241,LANÇ_MOV[ANO PAGAMENTO],$B$4,LANÇ_MOV[MÊS PAGAMENTO CORRESPONDENTE],E$6,LANÇ_MOV[EMPRESA],$C$4,LANÇ_MOV[CENTRO DE CUSTOS],$D$4)</f>
        <v>0</v>
      </c>
      <c r="F326" s="206">
        <f>SUMIFS(LANÇ_MOV[VALOR LÍQUIDO],LANÇ_MOV[RECEITA OU DESPESA],"Despesa",LANÇ_MOV[CONTAS],$C326,LANÇ_MOV[PLANO DE CONTAS],REL_DRE_FINANCEIRO!$B$241,LANÇ_MOV[ANO PAGAMENTO],$B$4,LANÇ_MOV[MÊS PAGAMENTO CORRESPONDENTE],F$6,LANÇ_MOV[EMPRESA],$C$4,LANÇ_MOV[CENTRO DE CUSTOS],$D$4)</f>
        <v>0</v>
      </c>
      <c r="G326" s="206">
        <f>SUMIFS(LANÇ_MOV[VALOR LÍQUIDO],LANÇ_MOV[RECEITA OU DESPESA],"Despesa",LANÇ_MOV[CONTAS],$C326,LANÇ_MOV[PLANO DE CONTAS],REL_DRE_FINANCEIRO!$B$241,LANÇ_MOV[ANO PAGAMENTO],$B$4,LANÇ_MOV[MÊS PAGAMENTO CORRESPONDENTE],G$6,LANÇ_MOV[EMPRESA],$C$4,LANÇ_MOV[CENTRO DE CUSTOS],$D$4)</f>
        <v>0</v>
      </c>
      <c r="H326" s="206">
        <f>SUMIFS(LANÇ_MOV[VALOR LÍQUIDO],LANÇ_MOV[RECEITA OU DESPESA],"Despesa",LANÇ_MOV[CONTAS],$C326,LANÇ_MOV[PLANO DE CONTAS],REL_DRE_FINANCEIRO!$B$241,LANÇ_MOV[ANO PAGAMENTO],$B$4,LANÇ_MOV[MÊS PAGAMENTO CORRESPONDENTE],H$6,LANÇ_MOV[EMPRESA],$C$4,LANÇ_MOV[CENTRO DE CUSTOS],$D$4)</f>
        <v>0</v>
      </c>
      <c r="I326" s="206">
        <f>SUMIFS(LANÇ_MOV[VALOR LÍQUIDO],LANÇ_MOV[RECEITA OU DESPESA],"Despesa",LANÇ_MOV[CONTAS],$C326,LANÇ_MOV[PLANO DE CONTAS],REL_DRE_FINANCEIRO!$B$241,LANÇ_MOV[ANO PAGAMENTO],$B$4,LANÇ_MOV[MÊS PAGAMENTO CORRESPONDENTE],I$6,LANÇ_MOV[EMPRESA],$C$4,LANÇ_MOV[CENTRO DE CUSTOS],$D$4)</f>
        <v>0</v>
      </c>
      <c r="J326" s="206">
        <f>SUMIFS(LANÇ_MOV[VALOR LÍQUIDO],LANÇ_MOV[RECEITA OU DESPESA],"Despesa",LANÇ_MOV[CONTAS],$C326,LANÇ_MOV[PLANO DE CONTAS],REL_DRE_FINANCEIRO!$B$241,LANÇ_MOV[ANO PAGAMENTO],$B$4,LANÇ_MOV[MÊS PAGAMENTO CORRESPONDENTE],J$6,LANÇ_MOV[EMPRESA],$C$4,LANÇ_MOV[CENTRO DE CUSTOS],$D$4)</f>
        <v>0</v>
      </c>
      <c r="K326" s="206">
        <f>SUMIFS(LANÇ_MOV[VALOR LÍQUIDO],LANÇ_MOV[RECEITA OU DESPESA],"Despesa",LANÇ_MOV[CONTAS],$C326,LANÇ_MOV[PLANO DE CONTAS],REL_DRE_FINANCEIRO!$B$241,LANÇ_MOV[ANO PAGAMENTO],$B$4,LANÇ_MOV[MÊS PAGAMENTO CORRESPONDENTE],K$6,LANÇ_MOV[EMPRESA],$C$4,LANÇ_MOV[CENTRO DE CUSTOS],$D$4)</f>
        <v>0</v>
      </c>
      <c r="L326" s="206">
        <f>SUMIFS(LANÇ_MOV[VALOR LÍQUIDO],LANÇ_MOV[RECEITA OU DESPESA],"Despesa",LANÇ_MOV[CONTAS],$C326,LANÇ_MOV[PLANO DE CONTAS],REL_DRE_FINANCEIRO!$B$241,LANÇ_MOV[ANO PAGAMENTO],$B$4,LANÇ_MOV[MÊS PAGAMENTO CORRESPONDENTE],L$6,LANÇ_MOV[EMPRESA],$C$4,LANÇ_MOV[CENTRO DE CUSTOS],$D$4)</f>
        <v>0</v>
      </c>
      <c r="M326" s="206">
        <f>SUMIFS(LANÇ_MOV[VALOR LÍQUIDO],LANÇ_MOV[RECEITA OU DESPESA],"Despesa",LANÇ_MOV[CONTAS],$C326,LANÇ_MOV[PLANO DE CONTAS],REL_DRE_FINANCEIRO!$B$241,LANÇ_MOV[ANO PAGAMENTO],$B$4,LANÇ_MOV[MÊS PAGAMENTO CORRESPONDENTE],M$6,LANÇ_MOV[EMPRESA],$C$4,LANÇ_MOV[CENTRO DE CUSTOS],$D$4)</f>
        <v>0</v>
      </c>
      <c r="N326" s="206">
        <f>SUMIFS(LANÇ_MOV[VALOR LÍQUIDO],LANÇ_MOV[RECEITA OU DESPESA],"Despesa",LANÇ_MOV[CONTAS],$C326,LANÇ_MOV[PLANO DE CONTAS],REL_DRE_FINANCEIRO!$B$241,LANÇ_MOV[ANO PAGAMENTO],$B$4,LANÇ_MOV[MÊS PAGAMENTO CORRESPONDENTE],N$6,LANÇ_MOV[EMPRESA],$C$4,LANÇ_MOV[CENTRO DE CUSTOS],$D$4)</f>
        <v>0</v>
      </c>
      <c r="O326" s="206">
        <f>SUMIFS(LANÇ_MOV[VALOR LÍQUIDO],LANÇ_MOV[RECEITA OU DESPESA],"Despesa",LANÇ_MOV[CONTAS],$C326,LANÇ_MOV[PLANO DE CONTAS],REL_DRE_FINANCEIRO!$B$241,LANÇ_MOV[ANO PAGAMENTO],$B$4,LANÇ_MOV[MÊS PAGAMENTO CORRESPONDENTE],O$6,LANÇ_MOV[EMPRESA],$C$4,LANÇ_MOV[CENTRO DE CUSTOS],$D$4)</f>
        <v>0</v>
      </c>
      <c r="P326" s="207">
        <f t="shared" si="48"/>
        <v>0</v>
      </c>
      <c r="Q326" s="329">
        <v>1.5999999999999999E-6</v>
      </c>
      <c r="R326" s="346">
        <f t="shared" si="49"/>
        <v>1.5999999999999999E-6</v>
      </c>
      <c r="S326" s="347" t="str">
        <f t="shared" si="50"/>
        <v>-</v>
      </c>
      <c r="T326" s="347">
        <f t="shared" si="51"/>
        <v>0</v>
      </c>
      <c r="U326" s="347">
        <f>HLOOKUP(Apoio!$P$12,$D$240:$P$341,X326,FALSE)+Q326</f>
        <v>1.5999999999999999E-6</v>
      </c>
      <c r="V326" s="447" t="str">
        <f t="shared" si="52"/>
        <v>-</v>
      </c>
      <c r="W326" s="448">
        <f>HLOOKUP(Apoio!$P$12,$D$240:$P$341,X326,FALSE)</f>
        <v>0</v>
      </c>
      <c r="X326" s="329">
        <v>87</v>
      </c>
    </row>
    <row r="327" spans="2:24" ht="30.05" customHeight="1" x14ac:dyDescent="0.35">
      <c r="B327" s="204" t="str">
        <f>'CAD_PL_REC-DESP'!N90</f>
        <v>2.2.86</v>
      </c>
      <c r="C327" s="205" t="str">
        <f>IF('CAD_PL_REC-DESP'!O90="","-",'CAD_PL_REC-DESP'!O90)</f>
        <v>-</v>
      </c>
      <c r="D327" s="206">
        <f>SUMIFS(LANÇ_MOV[VALOR LÍQUIDO],LANÇ_MOV[RECEITA OU DESPESA],"Despesa",LANÇ_MOV[CONTAS],$C327,LANÇ_MOV[PLANO DE CONTAS],REL_DRE_FINANCEIRO!$B$241,LANÇ_MOV[ANO PAGAMENTO],$B$4,LANÇ_MOV[MÊS PAGAMENTO CORRESPONDENTE],D$6,LANÇ_MOV[EMPRESA],$C$4,LANÇ_MOV[CENTRO DE CUSTOS],$D$4)</f>
        <v>0</v>
      </c>
      <c r="E327" s="206">
        <f>SUMIFS(LANÇ_MOV[VALOR LÍQUIDO],LANÇ_MOV[RECEITA OU DESPESA],"Despesa",LANÇ_MOV[CONTAS],$C327,LANÇ_MOV[PLANO DE CONTAS],REL_DRE_FINANCEIRO!$B$241,LANÇ_MOV[ANO PAGAMENTO],$B$4,LANÇ_MOV[MÊS PAGAMENTO CORRESPONDENTE],E$6,LANÇ_MOV[EMPRESA],$C$4,LANÇ_MOV[CENTRO DE CUSTOS],$D$4)</f>
        <v>0</v>
      </c>
      <c r="F327" s="206">
        <f>SUMIFS(LANÇ_MOV[VALOR LÍQUIDO],LANÇ_MOV[RECEITA OU DESPESA],"Despesa",LANÇ_MOV[CONTAS],$C327,LANÇ_MOV[PLANO DE CONTAS],REL_DRE_FINANCEIRO!$B$241,LANÇ_MOV[ANO PAGAMENTO],$B$4,LANÇ_MOV[MÊS PAGAMENTO CORRESPONDENTE],F$6,LANÇ_MOV[EMPRESA],$C$4,LANÇ_MOV[CENTRO DE CUSTOS],$D$4)</f>
        <v>0</v>
      </c>
      <c r="G327" s="206">
        <f>SUMIFS(LANÇ_MOV[VALOR LÍQUIDO],LANÇ_MOV[RECEITA OU DESPESA],"Despesa",LANÇ_MOV[CONTAS],$C327,LANÇ_MOV[PLANO DE CONTAS],REL_DRE_FINANCEIRO!$B$241,LANÇ_MOV[ANO PAGAMENTO],$B$4,LANÇ_MOV[MÊS PAGAMENTO CORRESPONDENTE],G$6,LANÇ_MOV[EMPRESA],$C$4,LANÇ_MOV[CENTRO DE CUSTOS],$D$4)</f>
        <v>0</v>
      </c>
      <c r="H327" s="206">
        <f>SUMIFS(LANÇ_MOV[VALOR LÍQUIDO],LANÇ_MOV[RECEITA OU DESPESA],"Despesa",LANÇ_MOV[CONTAS],$C327,LANÇ_MOV[PLANO DE CONTAS],REL_DRE_FINANCEIRO!$B$241,LANÇ_MOV[ANO PAGAMENTO],$B$4,LANÇ_MOV[MÊS PAGAMENTO CORRESPONDENTE],H$6,LANÇ_MOV[EMPRESA],$C$4,LANÇ_MOV[CENTRO DE CUSTOS],$D$4)</f>
        <v>0</v>
      </c>
      <c r="I327" s="206">
        <f>SUMIFS(LANÇ_MOV[VALOR LÍQUIDO],LANÇ_MOV[RECEITA OU DESPESA],"Despesa",LANÇ_MOV[CONTAS],$C327,LANÇ_MOV[PLANO DE CONTAS],REL_DRE_FINANCEIRO!$B$241,LANÇ_MOV[ANO PAGAMENTO],$B$4,LANÇ_MOV[MÊS PAGAMENTO CORRESPONDENTE],I$6,LANÇ_MOV[EMPRESA],$C$4,LANÇ_MOV[CENTRO DE CUSTOS],$D$4)</f>
        <v>0</v>
      </c>
      <c r="J327" s="206">
        <f>SUMIFS(LANÇ_MOV[VALOR LÍQUIDO],LANÇ_MOV[RECEITA OU DESPESA],"Despesa",LANÇ_MOV[CONTAS],$C327,LANÇ_MOV[PLANO DE CONTAS],REL_DRE_FINANCEIRO!$B$241,LANÇ_MOV[ANO PAGAMENTO],$B$4,LANÇ_MOV[MÊS PAGAMENTO CORRESPONDENTE],J$6,LANÇ_MOV[EMPRESA],$C$4,LANÇ_MOV[CENTRO DE CUSTOS],$D$4)</f>
        <v>0</v>
      </c>
      <c r="K327" s="206">
        <f>SUMIFS(LANÇ_MOV[VALOR LÍQUIDO],LANÇ_MOV[RECEITA OU DESPESA],"Despesa",LANÇ_MOV[CONTAS],$C327,LANÇ_MOV[PLANO DE CONTAS],REL_DRE_FINANCEIRO!$B$241,LANÇ_MOV[ANO PAGAMENTO],$B$4,LANÇ_MOV[MÊS PAGAMENTO CORRESPONDENTE],K$6,LANÇ_MOV[EMPRESA],$C$4,LANÇ_MOV[CENTRO DE CUSTOS],$D$4)</f>
        <v>0</v>
      </c>
      <c r="L327" s="206">
        <f>SUMIFS(LANÇ_MOV[VALOR LÍQUIDO],LANÇ_MOV[RECEITA OU DESPESA],"Despesa",LANÇ_MOV[CONTAS],$C327,LANÇ_MOV[PLANO DE CONTAS],REL_DRE_FINANCEIRO!$B$241,LANÇ_MOV[ANO PAGAMENTO],$B$4,LANÇ_MOV[MÊS PAGAMENTO CORRESPONDENTE],L$6,LANÇ_MOV[EMPRESA],$C$4,LANÇ_MOV[CENTRO DE CUSTOS],$D$4)</f>
        <v>0</v>
      </c>
      <c r="M327" s="206">
        <f>SUMIFS(LANÇ_MOV[VALOR LÍQUIDO],LANÇ_MOV[RECEITA OU DESPESA],"Despesa",LANÇ_MOV[CONTAS],$C327,LANÇ_MOV[PLANO DE CONTAS],REL_DRE_FINANCEIRO!$B$241,LANÇ_MOV[ANO PAGAMENTO],$B$4,LANÇ_MOV[MÊS PAGAMENTO CORRESPONDENTE],M$6,LANÇ_MOV[EMPRESA],$C$4,LANÇ_MOV[CENTRO DE CUSTOS],$D$4)</f>
        <v>0</v>
      </c>
      <c r="N327" s="206">
        <f>SUMIFS(LANÇ_MOV[VALOR LÍQUIDO],LANÇ_MOV[RECEITA OU DESPESA],"Despesa",LANÇ_MOV[CONTAS],$C327,LANÇ_MOV[PLANO DE CONTAS],REL_DRE_FINANCEIRO!$B$241,LANÇ_MOV[ANO PAGAMENTO],$B$4,LANÇ_MOV[MÊS PAGAMENTO CORRESPONDENTE],N$6,LANÇ_MOV[EMPRESA],$C$4,LANÇ_MOV[CENTRO DE CUSTOS],$D$4)</f>
        <v>0</v>
      </c>
      <c r="O327" s="206">
        <f>SUMIFS(LANÇ_MOV[VALOR LÍQUIDO],LANÇ_MOV[RECEITA OU DESPESA],"Despesa",LANÇ_MOV[CONTAS],$C327,LANÇ_MOV[PLANO DE CONTAS],REL_DRE_FINANCEIRO!$B$241,LANÇ_MOV[ANO PAGAMENTO],$B$4,LANÇ_MOV[MÊS PAGAMENTO CORRESPONDENTE],O$6,LANÇ_MOV[EMPRESA],$C$4,LANÇ_MOV[CENTRO DE CUSTOS],$D$4)</f>
        <v>0</v>
      </c>
      <c r="P327" s="207">
        <f t="shared" si="48"/>
        <v>0</v>
      </c>
      <c r="Q327" s="329">
        <v>1.5E-6</v>
      </c>
      <c r="R327" s="346">
        <f t="shared" si="49"/>
        <v>1.5E-6</v>
      </c>
      <c r="S327" s="347" t="str">
        <f t="shared" si="50"/>
        <v>-</v>
      </c>
      <c r="T327" s="347">
        <f t="shared" si="51"/>
        <v>0</v>
      </c>
      <c r="U327" s="347">
        <f>HLOOKUP(Apoio!$P$12,$D$240:$P$341,X327,FALSE)+Q327</f>
        <v>1.5E-6</v>
      </c>
      <c r="V327" s="447" t="str">
        <f t="shared" si="52"/>
        <v>-</v>
      </c>
      <c r="W327" s="448">
        <f>HLOOKUP(Apoio!$P$12,$D$240:$P$341,X327,FALSE)</f>
        <v>0</v>
      </c>
      <c r="X327" s="329">
        <v>88</v>
      </c>
    </row>
    <row r="328" spans="2:24" ht="30.05" customHeight="1" x14ac:dyDescent="0.35">
      <c r="B328" s="204" t="str">
        <f>'CAD_PL_REC-DESP'!N91</f>
        <v>2.2.87</v>
      </c>
      <c r="C328" s="205" t="str">
        <f>IF('CAD_PL_REC-DESP'!O91="","-",'CAD_PL_REC-DESP'!O91)</f>
        <v>-</v>
      </c>
      <c r="D328" s="206">
        <f>SUMIFS(LANÇ_MOV[VALOR LÍQUIDO],LANÇ_MOV[RECEITA OU DESPESA],"Despesa",LANÇ_MOV[CONTAS],$C328,LANÇ_MOV[PLANO DE CONTAS],REL_DRE_FINANCEIRO!$B$241,LANÇ_MOV[ANO PAGAMENTO],$B$4,LANÇ_MOV[MÊS PAGAMENTO CORRESPONDENTE],D$6,LANÇ_MOV[EMPRESA],$C$4,LANÇ_MOV[CENTRO DE CUSTOS],$D$4)</f>
        <v>0</v>
      </c>
      <c r="E328" s="206">
        <f>SUMIFS(LANÇ_MOV[VALOR LÍQUIDO],LANÇ_MOV[RECEITA OU DESPESA],"Despesa",LANÇ_MOV[CONTAS],$C328,LANÇ_MOV[PLANO DE CONTAS],REL_DRE_FINANCEIRO!$B$241,LANÇ_MOV[ANO PAGAMENTO],$B$4,LANÇ_MOV[MÊS PAGAMENTO CORRESPONDENTE],E$6,LANÇ_MOV[EMPRESA],$C$4,LANÇ_MOV[CENTRO DE CUSTOS],$D$4)</f>
        <v>0</v>
      </c>
      <c r="F328" s="206">
        <f>SUMIFS(LANÇ_MOV[VALOR LÍQUIDO],LANÇ_MOV[RECEITA OU DESPESA],"Despesa",LANÇ_MOV[CONTAS],$C328,LANÇ_MOV[PLANO DE CONTAS],REL_DRE_FINANCEIRO!$B$241,LANÇ_MOV[ANO PAGAMENTO],$B$4,LANÇ_MOV[MÊS PAGAMENTO CORRESPONDENTE],F$6,LANÇ_MOV[EMPRESA],$C$4,LANÇ_MOV[CENTRO DE CUSTOS],$D$4)</f>
        <v>0</v>
      </c>
      <c r="G328" s="206">
        <f>SUMIFS(LANÇ_MOV[VALOR LÍQUIDO],LANÇ_MOV[RECEITA OU DESPESA],"Despesa",LANÇ_MOV[CONTAS],$C328,LANÇ_MOV[PLANO DE CONTAS],REL_DRE_FINANCEIRO!$B$241,LANÇ_MOV[ANO PAGAMENTO],$B$4,LANÇ_MOV[MÊS PAGAMENTO CORRESPONDENTE],G$6,LANÇ_MOV[EMPRESA],$C$4,LANÇ_MOV[CENTRO DE CUSTOS],$D$4)</f>
        <v>0</v>
      </c>
      <c r="H328" s="206">
        <f>SUMIFS(LANÇ_MOV[VALOR LÍQUIDO],LANÇ_MOV[RECEITA OU DESPESA],"Despesa",LANÇ_MOV[CONTAS],$C328,LANÇ_MOV[PLANO DE CONTAS],REL_DRE_FINANCEIRO!$B$241,LANÇ_MOV[ANO PAGAMENTO],$B$4,LANÇ_MOV[MÊS PAGAMENTO CORRESPONDENTE],H$6,LANÇ_MOV[EMPRESA],$C$4,LANÇ_MOV[CENTRO DE CUSTOS],$D$4)</f>
        <v>0</v>
      </c>
      <c r="I328" s="206">
        <f>SUMIFS(LANÇ_MOV[VALOR LÍQUIDO],LANÇ_MOV[RECEITA OU DESPESA],"Despesa",LANÇ_MOV[CONTAS],$C328,LANÇ_MOV[PLANO DE CONTAS],REL_DRE_FINANCEIRO!$B$241,LANÇ_MOV[ANO PAGAMENTO],$B$4,LANÇ_MOV[MÊS PAGAMENTO CORRESPONDENTE],I$6,LANÇ_MOV[EMPRESA],$C$4,LANÇ_MOV[CENTRO DE CUSTOS],$D$4)</f>
        <v>0</v>
      </c>
      <c r="J328" s="206">
        <f>SUMIFS(LANÇ_MOV[VALOR LÍQUIDO],LANÇ_MOV[RECEITA OU DESPESA],"Despesa",LANÇ_MOV[CONTAS],$C328,LANÇ_MOV[PLANO DE CONTAS],REL_DRE_FINANCEIRO!$B$241,LANÇ_MOV[ANO PAGAMENTO],$B$4,LANÇ_MOV[MÊS PAGAMENTO CORRESPONDENTE],J$6,LANÇ_MOV[EMPRESA],$C$4,LANÇ_MOV[CENTRO DE CUSTOS],$D$4)</f>
        <v>0</v>
      </c>
      <c r="K328" s="206">
        <f>SUMIFS(LANÇ_MOV[VALOR LÍQUIDO],LANÇ_MOV[RECEITA OU DESPESA],"Despesa",LANÇ_MOV[CONTAS],$C328,LANÇ_MOV[PLANO DE CONTAS],REL_DRE_FINANCEIRO!$B$241,LANÇ_MOV[ANO PAGAMENTO],$B$4,LANÇ_MOV[MÊS PAGAMENTO CORRESPONDENTE],K$6,LANÇ_MOV[EMPRESA],$C$4,LANÇ_MOV[CENTRO DE CUSTOS],$D$4)</f>
        <v>0</v>
      </c>
      <c r="L328" s="206">
        <f>SUMIFS(LANÇ_MOV[VALOR LÍQUIDO],LANÇ_MOV[RECEITA OU DESPESA],"Despesa",LANÇ_MOV[CONTAS],$C328,LANÇ_MOV[PLANO DE CONTAS],REL_DRE_FINANCEIRO!$B$241,LANÇ_MOV[ANO PAGAMENTO],$B$4,LANÇ_MOV[MÊS PAGAMENTO CORRESPONDENTE],L$6,LANÇ_MOV[EMPRESA],$C$4,LANÇ_MOV[CENTRO DE CUSTOS],$D$4)</f>
        <v>0</v>
      </c>
      <c r="M328" s="206">
        <f>SUMIFS(LANÇ_MOV[VALOR LÍQUIDO],LANÇ_MOV[RECEITA OU DESPESA],"Despesa",LANÇ_MOV[CONTAS],$C328,LANÇ_MOV[PLANO DE CONTAS],REL_DRE_FINANCEIRO!$B$241,LANÇ_MOV[ANO PAGAMENTO],$B$4,LANÇ_MOV[MÊS PAGAMENTO CORRESPONDENTE],M$6,LANÇ_MOV[EMPRESA],$C$4,LANÇ_MOV[CENTRO DE CUSTOS],$D$4)</f>
        <v>0</v>
      </c>
      <c r="N328" s="206">
        <f>SUMIFS(LANÇ_MOV[VALOR LÍQUIDO],LANÇ_MOV[RECEITA OU DESPESA],"Despesa",LANÇ_MOV[CONTAS],$C328,LANÇ_MOV[PLANO DE CONTAS],REL_DRE_FINANCEIRO!$B$241,LANÇ_MOV[ANO PAGAMENTO],$B$4,LANÇ_MOV[MÊS PAGAMENTO CORRESPONDENTE],N$6,LANÇ_MOV[EMPRESA],$C$4,LANÇ_MOV[CENTRO DE CUSTOS],$D$4)</f>
        <v>0</v>
      </c>
      <c r="O328" s="206">
        <f>SUMIFS(LANÇ_MOV[VALOR LÍQUIDO],LANÇ_MOV[RECEITA OU DESPESA],"Despesa",LANÇ_MOV[CONTAS],$C328,LANÇ_MOV[PLANO DE CONTAS],REL_DRE_FINANCEIRO!$B$241,LANÇ_MOV[ANO PAGAMENTO],$B$4,LANÇ_MOV[MÊS PAGAMENTO CORRESPONDENTE],O$6,LANÇ_MOV[EMPRESA],$C$4,LANÇ_MOV[CENTRO DE CUSTOS],$D$4)</f>
        <v>0</v>
      </c>
      <c r="P328" s="207">
        <f t="shared" si="48"/>
        <v>0</v>
      </c>
      <c r="Q328" s="329">
        <v>1.3999999999999999E-6</v>
      </c>
      <c r="R328" s="346">
        <f t="shared" si="49"/>
        <v>1.3999999999999999E-6</v>
      </c>
      <c r="S328" s="347" t="str">
        <f t="shared" si="50"/>
        <v>-</v>
      </c>
      <c r="T328" s="347">
        <f t="shared" si="51"/>
        <v>0</v>
      </c>
      <c r="U328" s="347">
        <f>HLOOKUP(Apoio!$P$12,$D$240:$P$341,X328,FALSE)+Q328</f>
        <v>1.3999999999999999E-6</v>
      </c>
      <c r="V328" s="447" t="str">
        <f t="shared" si="52"/>
        <v>-</v>
      </c>
      <c r="W328" s="448">
        <f>HLOOKUP(Apoio!$P$12,$D$240:$P$341,X328,FALSE)</f>
        <v>0</v>
      </c>
      <c r="X328" s="329">
        <v>89</v>
      </c>
    </row>
    <row r="329" spans="2:24" ht="30.05" customHeight="1" x14ac:dyDescent="0.35">
      <c r="B329" s="204" t="str">
        <f>'CAD_PL_REC-DESP'!N92</f>
        <v>2.2.88</v>
      </c>
      <c r="C329" s="205" t="str">
        <f>IF('CAD_PL_REC-DESP'!O92="","-",'CAD_PL_REC-DESP'!O92)</f>
        <v>-</v>
      </c>
      <c r="D329" s="206">
        <f>SUMIFS(LANÇ_MOV[VALOR LÍQUIDO],LANÇ_MOV[RECEITA OU DESPESA],"Despesa",LANÇ_MOV[CONTAS],$C329,LANÇ_MOV[PLANO DE CONTAS],REL_DRE_FINANCEIRO!$B$241,LANÇ_MOV[ANO PAGAMENTO],$B$4,LANÇ_MOV[MÊS PAGAMENTO CORRESPONDENTE],D$6,LANÇ_MOV[EMPRESA],$C$4,LANÇ_MOV[CENTRO DE CUSTOS],$D$4)</f>
        <v>0</v>
      </c>
      <c r="E329" s="206">
        <f>SUMIFS(LANÇ_MOV[VALOR LÍQUIDO],LANÇ_MOV[RECEITA OU DESPESA],"Despesa",LANÇ_MOV[CONTAS],$C329,LANÇ_MOV[PLANO DE CONTAS],REL_DRE_FINANCEIRO!$B$241,LANÇ_MOV[ANO PAGAMENTO],$B$4,LANÇ_MOV[MÊS PAGAMENTO CORRESPONDENTE],E$6,LANÇ_MOV[EMPRESA],$C$4,LANÇ_MOV[CENTRO DE CUSTOS],$D$4)</f>
        <v>0</v>
      </c>
      <c r="F329" s="206">
        <f>SUMIFS(LANÇ_MOV[VALOR LÍQUIDO],LANÇ_MOV[RECEITA OU DESPESA],"Despesa",LANÇ_MOV[CONTAS],$C329,LANÇ_MOV[PLANO DE CONTAS],REL_DRE_FINANCEIRO!$B$241,LANÇ_MOV[ANO PAGAMENTO],$B$4,LANÇ_MOV[MÊS PAGAMENTO CORRESPONDENTE],F$6,LANÇ_MOV[EMPRESA],$C$4,LANÇ_MOV[CENTRO DE CUSTOS],$D$4)</f>
        <v>0</v>
      </c>
      <c r="G329" s="206">
        <f>SUMIFS(LANÇ_MOV[VALOR LÍQUIDO],LANÇ_MOV[RECEITA OU DESPESA],"Despesa",LANÇ_MOV[CONTAS],$C329,LANÇ_MOV[PLANO DE CONTAS],REL_DRE_FINANCEIRO!$B$241,LANÇ_MOV[ANO PAGAMENTO],$B$4,LANÇ_MOV[MÊS PAGAMENTO CORRESPONDENTE],G$6,LANÇ_MOV[EMPRESA],$C$4,LANÇ_MOV[CENTRO DE CUSTOS],$D$4)</f>
        <v>0</v>
      </c>
      <c r="H329" s="206">
        <f>SUMIFS(LANÇ_MOV[VALOR LÍQUIDO],LANÇ_MOV[RECEITA OU DESPESA],"Despesa",LANÇ_MOV[CONTAS],$C329,LANÇ_MOV[PLANO DE CONTAS],REL_DRE_FINANCEIRO!$B$241,LANÇ_MOV[ANO PAGAMENTO],$B$4,LANÇ_MOV[MÊS PAGAMENTO CORRESPONDENTE],H$6,LANÇ_MOV[EMPRESA],$C$4,LANÇ_MOV[CENTRO DE CUSTOS],$D$4)</f>
        <v>0</v>
      </c>
      <c r="I329" s="206">
        <f>SUMIFS(LANÇ_MOV[VALOR LÍQUIDO],LANÇ_MOV[RECEITA OU DESPESA],"Despesa",LANÇ_MOV[CONTAS],$C329,LANÇ_MOV[PLANO DE CONTAS],REL_DRE_FINANCEIRO!$B$241,LANÇ_MOV[ANO PAGAMENTO],$B$4,LANÇ_MOV[MÊS PAGAMENTO CORRESPONDENTE],I$6,LANÇ_MOV[EMPRESA],$C$4,LANÇ_MOV[CENTRO DE CUSTOS],$D$4)</f>
        <v>0</v>
      </c>
      <c r="J329" s="206">
        <f>SUMIFS(LANÇ_MOV[VALOR LÍQUIDO],LANÇ_MOV[RECEITA OU DESPESA],"Despesa",LANÇ_MOV[CONTAS],$C329,LANÇ_MOV[PLANO DE CONTAS],REL_DRE_FINANCEIRO!$B$241,LANÇ_MOV[ANO PAGAMENTO],$B$4,LANÇ_MOV[MÊS PAGAMENTO CORRESPONDENTE],J$6,LANÇ_MOV[EMPRESA],$C$4,LANÇ_MOV[CENTRO DE CUSTOS],$D$4)</f>
        <v>0</v>
      </c>
      <c r="K329" s="206">
        <f>SUMIFS(LANÇ_MOV[VALOR LÍQUIDO],LANÇ_MOV[RECEITA OU DESPESA],"Despesa",LANÇ_MOV[CONTAS],$C329,LANÇ_MOV[PLANO DE CONTAS],REL_DRE_FINANCEIRO!$B$241,LANÇ_MOV[ANO PAGAMENTO],$B$4,LANÇ_MOV[MÊS PAGAMENTO CORRESPONDENTE],K$6,LANÇ_MOV[EMPRESA],$C$4,LANÇ_MOV[CENTRO DE CUSTOS],$D$4)</f>
        <v>0</v>
      </c>
      <c r="L329" s="206">
        <f>SUMIFS(LANÇ_MOV[VALOR LÍQUIDO],LANÇ_MOV[RECEITA OU DESPESA],"Despesa",LANÇ_MOV[CONTAS],$C329,LANÇ_MOV[PLANO DE CONTAS],REL_DRE_FINANCEIRO!$B$241,LANÇ_MOV[ANO PAGAMENTO],$B$4,LANÇ_MOV[MÊS PAGAMENTO CORRESPONDENTE],L$6,LANÇ_MOV[EMPRESA],$C$4,LANÇ_MOV[CENTRO DE CUSTOS],$D$4)</f>
        <v>0</v>
      </c>
      <c r="M329" s="206">
        <f>SUMIFS(LANÇ_MOV[VALOR LÍQUIDO],LANÇ_MOV[RECEITA OU DESPESA],"Despesa",LANÇ_MOV[CONTAS],$C329,LANÇ_MOV[PLANO DE CONTAS],REL_DRE_FINANCEIRO!$B$241,LANÇ_MOV[ANO PAGAMENTO],$B$4,LANÇ_MOV[MÊS PAGAMENTO CORRESPONDENTE],M$6,LANÇ_MOV[EMPRESA],$C$4,LANÇ_MOV[CENTRO DE CUSTOS],$D$4)</f>
        <v>0</v>
      </c>
      <c r="N329" s="206">
        <f>SUMIFS(LANÇ_MOV[VALOR LÍQUIDO],LANÇ_MOV[RECEITA OU DESPESA],"Despesa",LANÇ_MOV[CONTAS],$C329,LANÇ_MOV[PLANO DE CONTAS],REL_DRE_FINANCEIRO!$B$241,LANÇ_MOV[ANO PAGAMENTO],$B$4,LANÇ_MOV[MÊS PAGAMENTO CORRESPONDENTE],N$6,LANÇ_MOV[EMPRESA],$C$4,LANÇ_MOV[CENTRO DE CUSTOS],$D$4)</f>
        <v>0</v>
      </c>
      <c r="O329" s="206">
        <f>SUMIFS(LANÇ_MOV[VALOR LÍQUIDO],LANÇ_MOV[RECEITA OU DESPESA],"Despesa",LANÇ_MOV[CONTAS],$C329,LANÇ_MOV[PLANO DE CONTAS],REL_DRE_FINANCEIRO!$B$241,LANÇ_MOV[ANO PAGAMENTO],$B$4,LANÇ_MOV[MÊS PAGAMENTO CORRESPONDENTE],O$6,LANÇ_MOV[EMPRESA],$C$4,LANÇ_MOV[CENTRO DE CUSTOS],$D$4)</f>
        <v>0</v>
      </c>
      <c r="P329" s="207">
        <f t="shared" si="48"/>
        <v>0</v>
      </c>
      <c r="Q329" s="329">
        <v>1.3E-6</v>
      </c>
      <c r="R329" s="346">
        <f t="shared" si="49"/>
        <v>1.3E-6</v>
      </c>
      <c r="S329" s="347" t="str">
        <f t="shared" si="50"/>
        <v>-</v>
      </c>
      <c r="T329" s="347">
        <f t="shared" si="51"/>
        <v>0</v>
      </c>
      <c r="U329" s="347">
        <f>HLOOKUP(Apoio!$P$12,$D$240:$P$341,X329,FALSE)+Q329</f>
        <v>1.3E-6</v>
      </c>
      <c r="V329" s="447" t="str">
        <f t="shared" si="52"/>
        <v>-</v>
      </c>
      <c r="W329" s="448">
        <f>HLOOKUP(Apoio!$P$12,$D$240:$P$341,X329,FALSE)</f>
        <v>0</v>
      </c>
      <c r="X329" s="329">
        <v>90</v>
      </c>
    </row>
    <row r="330" spans="2:24" ht="30.05" customHeight="1" x14ac:dyDescent="0.35">
      <c r="B330" s="204" t="str">
        <f>'CAD_PL_REC-DESP'!N93</f>
        <v>2.2.89</v>
      </c>
      <c r="C330" s="205" t="str">
        <f>IF('CAD_PL_REC-DESP'!O93="","-",'CAD_PL_REC-DESP'!O93)</f>
        <v>-</v>
      </c>
      <c r="D330" s="206">
        <f>SUMIFS(LANÇ_MOV[VALOR LÍQUIDO],LANÇ_MOV[RECEITA OU DESPESA],"Despesa",LANÇ_MOV[CONTAS],$C330,LANÇ_MOV[PLANO DE CONTAS],REL_DRE_FINANCEIRO!$B$241,LANÇ_MOV[ANO PAGAMENTO],$B$4,LANÇ_MOV[MÊS PAGAMENTO CORRESPONDENTE],D$6,LANÇ_MOV[EMPRESA],$C$4,LANÇ_MOV[CENTRO DE CUSTOS],$D$4)</f>
        <v>0</v>
      </c>
      <c r="E330" s="206">
        <f>SUMIFS(LANÇ_MOV[VALOR LÍQUIDO],LANÇ_MOV[RECEITA OU DESPESA],"Despesa",LANÇ_MOV[CONTAS],$C330,LANÇ_MOV[PLANO DE CONTAS],REL_DRE_FINANCEIRO!$B$241,LANÇ_MOV[ANO PAGAMENTO],$B$4,LANÇ_MOV[MÊS PAGAMENTO CORRESPONDENTE],E$6,LANÇ_MOV[EMPRESA],$C$4,LANÇ_MOV[CENTRO DE CUSTOS],$D$4)</f>
        <v>0</v>
      </c>
      <c r="F330" s="206">
        <f>SUMIFS(LANÇ_MOV[VALOR LÍQUIDO],LANÇ_MOV[RECEITA OU DESPESA],"Despesa",LANÇ_MOV[CONTAS],$C330,LANÇ_MOV[PLANO DE CONTAS],REL_DRE_FINANCEIRO!$B$241,LANÇ_MOV[ANO PAGAMENTO],$B$4,LANÇ_MOV[MÊS PAGAMENTO CORRESPONDENTE],F$6,LANÇ_MOV[EMPRESA],$C$4,LANÇ_MOV[CENTRO DE CUSTOS],$D$4)</f>
        <v>0</v>
      </c>
      <c r="G330" s="206">
        <f>SUMIFS(LANÇ_MOV[VALOR LÍQUIDO],LANÇ_MOV[RECEITA OU DESPESA],"Despesa",LANÇ_MOV[CONTAS],$C330,LANÇ_MOV[PLANO DE CONTAS],REL_DRE_FINANCEIRO!$B$241,LANÇ_MOV[ANO PAGAMENTO],$B$4,LANÇ_MOV[MÊS PAGAMENTO CORRESPONDENTE],G$6,LANÇ_MOV[EMPRESA],$C$4,LANÇ_MOV[CENTRO DE CUSTOS],$D$4)</f>
        <v>0</v>
      </c>
      <c r="H330" s="206">
        <f>SUMIFS(LANÇ_MOV[VALOR LÍQUIDO],LANÇ_MOV[RECEITA OU DESPESA],"Despesa",LANÇ_MOV[CONTAS],$C330,LANÇ_MOV[PLANO DE CONTAS],REL_DRE_FINANCEIRO!$B$241,LANÇ_MOV[ANO PAGAMENTO],$B$4,LANÇ_MOV[MÊS PAGAMENTO CORRESPONDENTE],H$6,LANÇ_MOV[EMPRESA],$C$4,LANÇ_MOV[CENTRO DE CUSTOS],$D$4)</f>
        <v>0</v>
      </c>
      <c r="I330" s="206">
        <f>SUMIFS(LANÇ_MOV[VALOR LÍQUIDO],LANÇ_MOV[RECEITA OU DESPESA],"Despesa",LANÇ_MOV[CONTAS],$C330,LANÇ_MOV[PLANO DE CONTAS],REL_DRE_FINANCEIRO!$B$241,LANÇ_MOV[ANO PAGAMENTO],$B$4,LANÇ_MOV[MÊS PAGAMENTO CORRESPONDENTE],I$6,LANÇ_MOV[EMPRESA],$C$4,LANÇ_MOV[CENTRO DE CUSTOS],$D$4)</f>
        <v>0</v>
      </c>
      <c r="J330" s="206">
        <f>SUMIFS(LANÇ_MOV[VALOR LÍQUIDO],LANÇ_MOV[RECEITA OU DESPESA],"Despesa",LANÇ_MOV[CONTAS],$C330,LANÇ_MOV[PLANO DE CONTAS],REL_DRE_FINANCEIRO!$B$241,LANÇ_MOV[ANO PAGAMENTO],$B$4,LANÇ_MOV[MÊS PAGAMENTO CORRESPONDENTE],J$6,LANÇ_MOV[EMPRESA],$C$4,LANÇ_MOV[CENTRO DE CUSTOS],$D$4)</f>
        <v>0</v>
      </c>
      <c r="K330" s="206">
        <f>SUMIFS(LANÇ_MOV[VALOR LÍQUIDO],LANÇ_MOV[RECEITA OU DESPESA],"Despesa",LANÇ_MOV[CONTAS],$C330,LANÇ_MOV[PLANO DE CONTAS],REL_DRE_FINANCEIRO!$B$241,LANÇ_MOV[ANO PAGAMENTO],$B$4,LANÇ_MOV[MÊS PAGAMENTO CORRESPONDENTE],K$6,LANÇ_MOV[EMPRESA],$C$4,LANÇ_MOV[CENTRO DE CUSTOS],$D$4)</f>
        <v>0</v>
      </c>
      <c r="L330" s="206">
        <f>SUMIFS(LANÇ_MOV[VALOR LÍQUIDO],LANÇ_MOV[RECEITA OU DESPESA],"Despesa",LANÇ_MOV[CONTAS],$C330,LANÇ_MOV[PLANO DE CONTAS],REL_DRE_FINANCEIRO!$B$241,LANÇ_MOV[ANO PAGAMENTO],$B$4,LANÇ_MOV[MÊS PAGAMENTO CORRESPONDENTE],L$6,LANÇ_MOV[EMPRESA],$C$4,LANÇ_MOV[CENTRO DE CUSTOS],$D$4)</f>
        <v>0</v>
      </c>
      <c r="M330" s="206">
        <f>SUMIFS(LANÇ_MOV[VALOR LÍQUIDO],LANÇ_MOV[RECEITA OU DESPESA],"Despesa",LANÇ_MOV[CONTAS],$C330,LANÇ_MOV[PLANO DE CONTAS],REL_DRE_FINANCEIRO!$B$241,LANÇ_MOV[ANO PAGAMENTO],$B$4,LANÇ_MOV[MÊS PAGAMENTO CORRESPONDENTE],M$6,LANÇ_MOV[EMPRESA],$C$4,LANÇ_MOV[CENTRO DE CUSTOS],$D$4)</f>
        <v>0</v>
      </c>
      <c r="N330" s="206">
        <f>SUMIFS(LANÇ_MOV[VALOR LÍQUIDO],LANÇ_MOV[RECEITA OU DESPESA],"Despesa",LANÇ_MOV[CONTAS],$C330,LANÇ_MOV[PLANO DE CONTAS],REL_DRE_FINANCEIRO!$B$241,LANÇ_MOV[ANO PAGAMENTO],$B$4,LANÇ_MOV[MÊS PAGAMENTO CORRESPONDENTE],N$6,LANÇ_MOV[EMPRESA],$C$4,LANÇ_MOV[CENTRO DE CUSTOS],$D$4)</f>
        <v>0</v>
      </c>
      <c r="O330" s="206">
        <f>SUMIFS(LANÇ_MOV[VALOR LÍQUIDO],LANÇ_MOV[RECEITA OU DESPESA],"Despesa",LANÇ_MOV[CONTAS],$C330,LANÇ_MOV[PLANO DE CONTAS],REL_DRE_FINANCEIRO!$B$241,LANÇ_MOV[ANO PAGAMENTO],$B$4,LANÇ_MOV[MÊS PAGAMENTO CORRESPONDENTE],O$6,LANÇ_MOV[EMPRESA],$C$4,LANÇ_MOV[CENTRO DE CUSTOS],$D$4)</f>
        <v>0</v>
      </c>
      <c r="P330" s="207">
        <f t="shared" si="48"/>
        <v>0</v>
      </c>
      <c r="Q330" s="329">
        <v>1.1999999999999999E-6</v>
      </c>
      <c r="R330" s="346">
        <f t="shared" si="49"/>
        <v>1.1999999999999999E-6</v>
      </c>
      <c r="S330" s="347" t="str">
        <f t="shared" si="50"/>
        <v>-</v>
      </c>
      <c r="T330" s="347">
        <f t="shared" si="51"/>
        <v>0</v>
      </c>
      <c r="U330" s="347">
        <f>HLOOKUP(Apoio!$P$12,$D$240:$P$341,X330,FALSE)+Q330</f>
        <v>1.1999999999999999E-6</v>
      </c>
      <c r="V330" s="447" t="str">
        <f t="shared" si="52"/>
        <v>-</v>
      </c>
      <c r="W330" s="448">
        <f>HLOOKUP(Apoio!$P$12,$D$240:$P$341,X330,FALSE)</f>
        <v>0</v>
      </c>
      <c r="X330" s="329">
        <v>91</v>
      </c>
    </row>
    <row r="331" spans="2:24" ht="30.05" customHeight="1" x14ac:dyDescent="0.35">
      <c r="B331" s="204" t="str">
        <f>'CAD_PL_REC-DESP'!N94</f>
        <v>2.2.90</v>
      </c>
      <c r="C331" s="205" t="str">
        <f>IF('CAD_PL_REC-DESP'!O94="","-",'CAD_PL_REC-DESP'!O94)</f>
        <v>-</v>
      </c>
      <c r="D331" s="206">
        <f>SUMIFS(LANÇ_MOV[VALOR LÍQUIDO],LANÇ_MOV[RECEITA OU DESPESA],"Despesa",LANÇ_MOV[CONTAS],$C331,LANÇ_MOV[PLANO DE CONTAS],REL_DRE_FINANCEIRO!$B$241,LANÇ_MOV[ANO PAGAMENTO],$B$4,LANÇ_MOV[MÊS PAGAMENTO CORRESPONDENTE],D$6,LANÇ_MOV[EMPRESA],$C$4,LANÇ_MOV[CENTRO DE CUSTOS],$D$4)</f>
        <v>0</v>
      </c>
      <c r="E331" s="206">
        <f>SUMIFS(LANÇ_MOV[VALOR LÍQUIDO],LANÇ_MOV[RECEITA OU DESPESA],"Despesa",LANÇ_MOV[CONTAS],$C331,LANÇ_MOV[PLANO DE CONTAS],REL_DRE_FINANCEIRO!$B$241,LANÇ_MOV[ANO PAGAMENTO],$B$4,LANÇ_MOV[MÊS PAGAMENTO CORRESPONDENTE],E$6,LANÇ_MOV[EMPRESA],$C$4,LANÇ_MOV[CENTRO DE CUSTOS],$D$4)</f>
        <v>0</v>
      </c>
      <c r="F331" s="206">
        <f>SUMIFS(LANÇ_MOV[VALOR LÍQUIDO],LANÇ_MOV[RECEITA OU DESPESA],"Despesa",LANÇ_MOV[CONTAS],$C331,LANÇ_MOV[PLANO DE CONTAS],REL_DRE_FINANCEIRO!$B$241,LANÇ_MOV[ANO PAGAMENTO],$B$4,LANÇ_MOV[MÊS PAGAMENTO CORRESPONDENTE],F$6,LANÇ_MOV[EMPRESA],$C$4,LANÇ_MOV[CENTRO DE CUSTOS],$D$4)</f>
        <v>0</v>
      </c>
      <c r="G331" s="206">
        <f>SUMIFS(LANÇ_MOV[VALOR LÍQUIDO],LANÇ_MOV[RECEITA OU DESPESA],"Despesa",LANÇ_MOV[CONTAS],$C331,LANÇ_MOV[PLANO DE CONTAS],REL_DRE_FINANCEIRO!$B$241,LANÇ_MOV[ANO PAGAMENTO],$B$4,LANÇ_MOV[MÊS PAGAMENTO CORRESPONDENTE],G$6,LANÇ_MOV[EMPRESA],$C$4,LANÇ_MOV[CENTRO DE CUSTOS],$D$4)</f>
        <v>0</v>
      </c>
      <c r="H331" s="206">
        <f>SUMIFS(LANÇ_MOV[VALOR LÍQUIDO],LANÇ_MOV[RECEITA OU DESPESA],"Despesa",LANÇ_MOV[CONTAS],$C331,LANÇ_MOV[PLANO DE CONTAS],REL_DRE_FINANCEIRO!$B$241,LANÇ_MOV[ANO PAGAMENTO],$B$4,LANÇ_MOV[MÊS PAGAMENTO CORRESPONDENTE],H$6,LANÇ_MOV[EMPRESA],$C$4,LANÇ_MOV[CENTRO DE CUSTOS],$D$4)</f>
        <v>0</v>
      </c>
      <c r="I331" s="206">
        <f>SUMIFS(LANÇ_MOV[VALOR LÍQUIDO],LANÇ_MOV[RECEITA OU DESPESA],"Despesa",LANÇ_MOV[CONTAS],$C331,LANÇ_MOV[PLANO DE CONTAS],REL_DRE_FINANCEIRO!$B$241,LANÇ_MOV[ANO PAGAMENTO],$B$4,LANÇ_MOV[MÊS PAGAMENTO CORRESPONDENTE],I$6,LANÇ_MOV[EMPRESA],$C$4,LANÇ_MOV[CENTRO DE CUSTOS],$D$4)</f>
        <v>0</v>
      </c>
      <c r="J331" s="206">
        <f>SUMIFS(LANÇ_MOV[VALOR LÍQUIDO],LANÇ_MOV[RECEITA OU DESPESA],"Despesa",LANÇ_MOV[CONTAS],$C331,LANÇ_MOV[PLANO DE CONTAS],REL_DRE_FINANCEIRO!$B$241,LANÇ_MOV[ANO PAGAMENTO],$B$4,LANÇ_MOV[MÊS PAGAMENTO CORRESPONDENTE],J$6,LANÇ_MOV[EMPRESA],$C$4,LANÇ_MOV[CENTRO DE CUSTOS],$D$4)</f>
        <v>0</v>
      </c>
      <c r="K331" s="206">
        <f>SUMIFS(LANÇ_MOV[VALOR LÍQUIDO],LANÇ_MOV[RECEITA OU DESPESA],"Despesa",LANÇ_MOV[CONTAS],$C331,LANÇ_MOV[PLANO DE CONTAS],REL_DRE_FINANCEIRO!$B$241,LANÇ_MOV[ANO PAGAMENTO],$B$4,LANÇ_MOV[MÊS PAGAMENTO CORRESPONDENTE],K$6,LANÇ_MOV[EMPRESA],$C$4,LANÇ_MOV[CENTRO DE CUSTOS],$D$4)</f>
        <v>0</v>
      </c>
      <c r="L331" s="206">
        <f>SUMIFS(LANÇ_MOV[VALOR LÍQUIDO],LANÇ_MOV[RECEITA OU DESPESA],"Despesa",LANÇ_MOV[CONTAS],$C331,LANÇ_MOV[PLANO DE CONTAS],REL_DRE_FINANCEIRO!$B$241,LANÇ_MOV[ANO PAGAMENTO],$B$4,LANÇ_MOV[MÊS PAGAMENTO CORRESPONDENTE],L$6,LANÇ_MOV[EMPRESA],$C$4,LANÇ_MOV[CENTRO DE CUSTOS],$D$4)</f>
        <v>0</v>
      </c>
      <c r="M331" s="206">
        <f>SUMIFS(LANÇ_MOV[VALOR LÍQUIDO],LANÇ_MOV[RECEITA OU DESPESA],"Despesa",LANÇ_MOV[CONTAS],$C331,LANÇ_MOV[PLANO DE CONTAS],REL_DRE_FINANCEIRO!$B$241,LANÇ_MOV[ANO PAGAMENTO],$B$4,LANÇ_MOV[MÊS PAGAMENTO CORRESPONDENTE],M$6,LANÇ_MOV[EMPRESA],$C$4,LANÇ_MOV[CENTRO DE CUSTOS],$D$4)</f>
        <v>0</v>
      </c>
      <c r="N331" s="206">
        <f>SUMIFS(LANÇ_MOV[VALOR LÍQUIDO],LANÇ_MOV[RECEITA OU DESPESA],"Despesa",LANÇ_MOV[CONTAS],$C331,LANÇ_MOV[PLANO DE CONTAS],REL_DRE_FINANCEIRO!$B$241,LANÇ_MOV[ANO PAGAMENTO],$B$4,LANÇ_MOV[MÊS PAGAMENTO CORRESPONDENTE],N$6,LANÇ_MOV[EMPRESA],$C$4,LANÇ_MOV[CENTRO DE CUSTOS],$D$4)</f>
        <v>0</v>
      </c>
      <c r="O331" s="206">
        <f>SUMIFS(LANÇ_MOV[VALOR LÍQUIDO],LANÇ_MOV[RECEITA OU DESPESA],"Despesa",LANÇ_MOV[CONTAS],$C331,LANÇ_MOV[PLANO DE CONTAS],REL_DRE_FINANCEIRO!$B$241,LANÇ_MOV[ANO PAGAMENTO],$B$4,LANÇ_MOV[MÊS PAGAMENTO CORRESPONDENTE],O$6,LANÇ_MOV[EMPRESA],$C$4,LANÇ_MOV[CENTRO DE CUSTOS],$D$4)</f>
        <v>0</v>
      </c>
      <c r="P331" s="207">
        <f t="shared" si="48"/>
        <v>0</v>
      </c>
      <c r="Q331" s="329">
        <v>1.1000000000000001E-6</v>
      </c>
      <c r="R331" s="346">
        <f t="shared" si="49"/>
        <v>1.1000000000000001E-6</v>
      </c>
      <c r="S331" s="347" t="str">
        <f t="shared" si="50"/>
        <v>-</v>
      </c>
      <c r="T331" s="347">
        <f t="shared" si="51"/>
        <v>0</v>
      </c>
      <c r="U331" s="347">
        <f>HLOOKUP(Apoio!$P$12,$D$240:$P$341,X331,FALSE)+Q331</f>
        <v>1.1000000000000001E-6</v>
      </c>
      <c r="V331" s="447" t="str">
        <f t="shared" si="52"/>
        <v>-</v>
      </c>
      <c r="W331" s="448">
        <f>HLOOKUP(Apoio!$P$12,$D$240:$P$341,X331,FALSE)</f>
        <v>0</v>
      </c>
      <c r="X331" s="329">
        <v>92</v>
      </c>
    </row>
    <row r="332" spans="2:24" ht="30.05" customHeight="1" x14ac:dyDescent="0.35">
      <c r="B332" s="204" t="str">
        <f>'CAD_PL_REC-DESP'!N95</f>
        <v>2.2.91</v>
      </c>
      <c r="C332" s="205" t="str">
        <f>IF('CAD_PL_REC-DESP'!O95="","-",'CAD_PL_REC-DESP'!O95)</f>
        <v>-</v>
      </c>
      <c r="D332" s="206">
        <f>SUMIFS(LANÇ_MOV[VALOR LÍQUIDO],LANÇ_MOV[RECEITA OU DESPESA],"Despesa",LANÇ_MOV[CONTAS],$C332,LANÇ_MOV[PLANO DE CONTAS],REL_DRE_FINANCEIRO!$B$241,LANÇ_MOV[ANO PAGAMENTO],$B$4,LANÇ_MOV[MÊS PAGAMENTO CORRESPONDENTE],D$6,LANÇ_MOV[EMPRESA],$C$4,LANÇ_MOV[CENTRO DE CUSTOS],$D$4)</f>
        <v>0</v>
      </c>
      <c r="E332" s="206">
        <f>SUMIFS(LANÇ_MOV[VALOR LÍQUIDO],LANÇ_MOV[RECEITA OU DESPESA],"Despesa",LANÇ_MOV[CONTAS],$C332,LANÇ_MOV[PLANO DE CONTAS],REL_DRE_FINANCEIRO!$B$241,LANÇ_MOV[ANO PAGAMENTO],$B$4,LANÇ_MOV[MÊS PAGAMENTO CORRESPONDENTE],E$6,LANÇ_MOV[EMPRESA],$C$4,LANÇ_MOV[CENTRO DE CUSTOS],$D$4)</f>
        <v>0</v>
      </c>
      <c r="F332" s="206">
        <f>SUMIFS(LANÇ_MOV[VALOR LÍQUIDO],LANÇ_MOV[RECEITA OU DESPESA],"Despesa",LANÇ_MOV[CONTAS],$C332,LANÇ_MOV[PLANO DE CONTAS],REL_DRE_FINANCEIRO!$B$241,LANÇ_MOV[ANO PAGAMENTO],$B$4,LANÇ_MOV[MÊS PAGAMENTO CORRESPONDENTE],F$6,LANÇ_MOV[EMPRESA],$C$4,LANÇ_MOV[CENTRO DE CUSTOS],$D$4)</f>
        <v>0</v>
      </c>
      <c r="G332" s="206">
        <f>SUMIFS(LANÇ_MOV[VALOR LÍQUIDO],LANÇ_MOV[RECEITA OU DESPESA],"Despesa",LANÇ_MOV[CONTAS],$C332,LANÇ_MOV[PLANO DE CONTAS],REL_DRE_FINANCEIRO!$B$241,LANÇ_MOV[ANO PAGAMENTO],$B$4,LANÇ_MOV[MÊS PAGAMENTO CORRESPONDENTE],G$6,LANÇ_MOV[EMPRESA],$C$4,LANÇ_MOV[CENTRO DE CUSTOS],$D$4)</f>
        <v>0</v>
      </c>
      <c r="H332" s="206">
        <f>SUMIFS(LANÇ_MOV[VALOR LÍQUIDO],LANÇ_MOV[RECEITA OU DESPESA],"Despesa",LANÇ_MOV[CONTAS],$C332,LANÇ_MOV[PLANO DE CONTAS],REL_DRE_FINANCEIRO!$B$241,LANÇ_MOV[ANO PAGAMENTO],$B$4,LANÇ_MOV[MÊS PAGAMENTO CORRESPONDENTE],H$6,LANÇ_MOV[EMPRESA],$C$4,LANÇ_MOV[CENTRO DE CUSTOS],$D$4)</f>
        <v>0</v>
      </c>
      <c r="I332" s="206">
        <f>SUMIFS(LANÇ_MOV[VALOR LÍQUIDO],LANÇ_MOV[RECEITA OU DESPESA],"Despesa",LANÇ_MOV[CONTAS],$C332,LANÇ_MOV[PLANO DE CONTAS],REL_DRE_FINANCEIRO!$B$241,LANÇ_MOV[ANO PAGAMENTO],$B$4,LANÇ_MOV[MÊS PAGAMENTO CORRESPONDENTE],I$6,LANÇ_MOV[EMPRESA],$C$4,LANÇ_MOV[CENTRO DE CUSTOS],$D$4)</f>
        <v>0</v>
      </c>
      <c r="J332" s="206">
        <f>SUMIFS(LANÇ_MOV[VALOR LÍQUIDO],LANÇ_MOV[RECEITA OU DESPESA],"Despesa",LANÇ_MOV[CONTAS],$C332,LANÇ_MOV[PLANO DE CONTAS],REL_DRE_FINANCEIRO!$B$241,LANÇ_MOV[ANO PAGAMENTO],$B$4,LANÇ_MOV[MÊS PAGAMENTO CORRESPONDENTE],J$6,LANÇ_MOV[EMPRESA],$C$4,LANÇ_MOV[CENTRO DE CUSTOS],$D$4)</f>
        <v>0</v>
      </c>
      <c r="K332" s="206">
        <f>SUMIFS(LANÇ_MOV[VALOR LÍQUIDO],LANÇ_MOV[RECEITA OU DESPESA],"Despesa",LANÇ_MOV[CONTAS],$C332,LANÇ_MOV[PLANO DE CONTAS],REL_DRE_FINANCEIRO!$B$241,LANÇ_MOV[ANO PAGAMENTO],$B$4,LANÇ_MOV[MÊS PAGAMENTO CORRESPONDENTE],K$6,LANÇ_MOV[EMPRESA],$C$4,LANÇ_MOV[CENTRO DE CUSTOS],$D$4)</f>
        <v>0</v>
      </c>
      <c r="L332" s="206">
        <f>SUMIFS(LANÇ_MOV[VALOR LÍQUIDO],LANÇ_MOV[RECEITA OU DESPESA],"Despesa",LANÇ_MOV[CONTAS],$C332,LANÇ_MOV[PLANO DE CONTAS],REL_DRE_FINANCEIRO!$B$241,LANÇ_MOV[ANO PAGAMENTO],$B$4,LANÇ_MOV[MÊS PAGAMENTO CORRESPONDENTE],L$6,LANÇ_MOV[EMPRESA],$C$4,LANÇ_MOV[CENTRO DE CUSTOS],$D$4)</f>
        <v>0</v>
      </c>
      <c r="M332" s="206">
        <f>SUMIFS(LANÇ_MOV[VALOR LÍQUIDO],LANÇ_MOV[RECEITA OU DESPESA],"Despesa",LANÇ_MOV[CONTAS],$C332,LANÇ_MOV[PLANO DE CONTAS],REL_DRE_FINANCEIRO!$B$241,LANÇ_MOV[ANO PAGAMENTO],$B$4,LANÇ_MOV[MÊS PAGAMENTO CORRESPONDENTE],M$6,LANÇ_MOV[EMPRESA],$C$4,LANÇ_MOV[CENTRO DE CUSTOS],$D$4)</f>
        <v>0</v>
      </c>
      <c r="N332" s="206">
        <f>SUMIFS(LANÇ_MOV[VALOR LÍQUIDO],LANÇ_MOV[RECEITA OU DESPESA],"Despesa",LANÇ_MOV[CONTAS],$C332,LANÇ_MOV[PLANO DE CONTAS],REL_DRE_FINANCEIRO!$B$241,LANÇ_MOV[ANO PAGAMENTO],$B$4,LANÇ_MOV[MÊS PAGAMENTO CORRESPONDENTE],N$6,LANÇ_MOV[EMPRESA],$C$4,LANÇ_MOV[CENTRO DE CUSTOS],$D$4)</f>
        <v>0</v>
      </c>
      <c r="O332" s="206">
        <f>SUMIFS(LANÇ_MOV[VALOR LÍQUIDO],LANÇ_MOV[RECEITA OU DESPESA],"Despesa",LANÇ_MOV[CONTAS],$C332,LANÇ_MOV[PLANO DE CONTAS],REL_DRE_FINANCEIRO!$B$241,LANÇ_MOV[ANO PAGAMENTO],$B$4,LANÇ_MOV[MÊS PAGAMENTO CORRESPONDENTE],O$6,LANÇ_MOV[EMPRESA],$C$4,LANÇ_MOV[CENTRO DE CUSTOS],$D$4)</f>
        <v>0</v>
      </c>
      <c r="P332" s="207">
        <f t="shared" si="48"/>
        <v>0</v>
      </c>
      <c r="Q332" s="329">
        <v>9.9999999999999995E-7</v>
      </c>
      <c r="R332" s="346">
        <f t="shared" si="49"/>
        <v>9.9999999999999995E-7</v>
      </c>
      <c r="S332" s="347" t="str">
        <f t="shared" si="50"/>
        <v>-</v>
      </c>
      <c r="T332" s="347">
        <f t="shared" si="51"/>
        <v>0</v>
      </c>
      <c r="U332" s="347">
        <f>HLOOKUP(Apoio!$P$12,$D$240:$P$341,X332,FALSE)+Q332</f>
        <v>9.9999999999999995E-7</v>
      </c>
      <c r="V332" s="447" t="str">
        <f t="shared" si="52"/>
        <v>-</v>
      </c>
      <c r="W332" s="448">
        <f>HLOOKUP(Apoio!$P$12,$D$240:$P$341,X332,FALSE)</f>
        <v>0</v>
      </c>
      <c r="X332" s="329">
        <v>93</v>
      </c>
    </row>
    <row r="333" spans="2:24" ht="30.05" customHeight="1" x14ac:dyDescent="0.35">
      <c r="B333" s="204" t="str">
        <f>'CAD_PL_REC-DESP'!N96</f>
        <v>2.2.92</v>
      </c>
      <c r="C333" s="205" t="str">
        <f>IF('CAD_PL_REC-DESP'!O96="","-",'CAD_PL_REC-DESP'!O96)</f>
        <v>-</v>
      </c>
      <c r="D333" s="206">
        <f>SUMIFS(LANÇ_MOV[VALOR LÍQUIDO],LANÇ_MOV[RECEITA OU DESPESA],"Despesa",LANÇ_MOV[CONTAS],$C333,LANÇ_MOV[PLANO DE CONTAS],REL_DRE_FINANCEIRO!$B$241,LANÇ_MOV[ANO PAGAMENTO],$B$4,LANÇ_MOV[MÊS PAGAMENTO CORRESPONDENTE],D$6,LANÇ_MOV[EMPRESA],$C$4,LANÇ_MOV[CENTRO DE CUSTOS],$D$4)</f>
        <v>0</v>
      </c>
      <c r="E333" s="206">
        <f>SUMIFS(LANÇ_MOV[VALOR LÍQUIDO],LANÇ_MOV[RECEITA OU DESPESA],"Despesa",LANÇ_MOV[CONTAS],$C333,LANÇ_MOV[PLANO DE CONTAS],REL_DRE_FINANCEIRO!$B$241,LANÇ_MOV[ANO PAGAMENTO],$B$4,LANÇ_MOV[MÊS PAGAMENTO CORRESPONDENTE],E$6,LANÇ_MOV[EMPRESA],$C$4,LANÇ_MOV[CENTRO DE CUSTOS],$D$4)</f>
        <v>0</v>
      </c>
      <c r="F333" s="206">
        <f>SUMIFS(LANÇ_MOV[VALOR LÍQUIDO],LANÇ_MOV[RECEITA OU DESPESA],"Despesa",LANÇ_MOV[CONTAS],$C333,LANÇ_MOV[PLANO DE CONTAS],REL_DRE_FINANCEIRO!$B$241,LANÇ_MOV[ANO PAGAMENTO],$B$4,LANÇ_MOV[MÊS PAGAMENTO CORRESPONDENTE],F$6,LANÇ_MOV[EMPRESA],$C$4,LANÇ_MOV[CENTRO DE CUSTOS],$D$4)</f>
        <v>0</v>
      </c>
      <c r="G333" s="206">
        <f>SUMIFS(LANÇ_MOV[VALOR LÍQUIDO],LANÇ_MOV[RECEITA OU DESPESA],"Despesa",LANÇ_MOV[CONTAS],$C333,LANÇ_MOV[PLANO DE CONTAS],REL_DRE_FINANCEIRO!$B$241,LANÇ_MOV[ANO PAGAMENTO],$B$4,LANÇ_MOV[MÊS PAGAMENTO CORRESPONDENTE],G$6,LANÇ_MOV[EMPRESA],$C$4,LANÇ_MOV[CENTRO DE CUSTOS],$D$4)</f>
        <v>0</v>
      </c>
      <c r="H333" s="206">
        <f>SUMIFS(LANÇ_MOV[VALOR LÍQUIDO],LANÇ_MOV[RECEITA OU DESPESA],"Despesa",LANÇ_MOV[CONTAS],$C333,LANÇ_MOV[PLANO DE CONTAS],REL_DRE_FINANCEIRO!$B$241,LANÇ_MOV[ANO PAGAMENTO],$B$4,LANÇ_MOV[MÊS PAGAMENTO CORRESPONDENTE],H$6,LANÇ_MOV[EMPRESA],$C$4,LANÇ_MOV[CENTRO DE CUSTOS],$D$4)</f>
        <v>0</v>
      </c>
      <c r="I333" s="206">
        <f>SUMIFS(LANÇ_MOV[VALOR LÍQUIDO],LANÇ_MOV[RECEITA OU DESPESA],"Despesa",LANÇ_MOV[CONTAS],$C333,LANÇ_MOV[PLANO DE CONTAS],REL_DRE_FINANCEIRO!$B$241,LANÇ_MOV[ANO PAGAMENTO],$B$4,LANÇ_MOV[MÊS PAGAMENTO CORRESPONDENTE],I$6,LANÇ_MOV[EMPRESA],$C$4,LANÇ_MOV[CENTRO DE CUSTOS],$D$4)</f>
        <v>0</v>
      </c>
      <c r="J333" s="206">
        <f>SUMIFS(LANÇ_MOV[VALOR LÍQUIDO],LANÇ_MOV[RECEITA OU DESPESA],"Despesa",LANÇ_MOV[CONTAS],$C333,LANÇ_MOV[PLANO DE CONTAS],REL_DRE_FINANCEIRO!$B$241,LANÇ_MOV[ANO PAGAMENTO],$B$4,LANÇ_MOV[MÊS PAGAMENTO CORRESPONDENTE],J$6,LANÇ_MOV[EMPRESA],$C$4,LANÇ_MOV[CENTRO DE CUSTOS],$D$4)</f>
        <v>0</v>
      </c>
      <c r="K333" s="206">
        <f>SUMIFS(LANÇ_MOV[VALOR LÍQUIDO],LANÇ_MOV[RECEITA OU DESPESA],"Despesa",LANÇ_MOV[CONTAS],$C333,LANÇ_MOV[PLANO DE CONTAS],REL_DRE_FINANCEIRO!$B$241,LANÇ_MOV[ANO PAGAMENTO],$B$4,LANÇ_MOV[MÊS PAGAMENTO CORRESPONDENTE],K$6,LANÇ_MOV[EMPRESA],$C$4,LANÇ_MOV[CENTRO DE CUSTOS],$D$4)</f>
        <v>0</v>
      </c>
      <c r="L333" s="206">
        <f>SUMIFS(LANÇ_MOV[VALOR LÍQUIDO],LANÇ_MOV[RECEITA OU DESPESA],"Despesa",LANÇ_MOV[CONTAS],$C333,LANÇ_MOV[PLANO DE CONTAS],REL_DRE_FINANCEIRO!$B$241,LANÇ_MOV[ANO PAGAMENTO],$B$4,LANÇ_MOV[MÊS PAGAMENTO CORRESPONDENTE],L$6,LANÇ_MOV[EMPRESA],$C$4,LANÇ_MOV[CENTRO DE CUSTOS],$D$4)</f>
        <v>0</v>
      </c>
      <c r="M333" s="206">
        <f>SUMIFS(LANÇ_MOV[VALOR LÍQUIDO],LANÇ_MOV[RECEITA OU DESPESA],"Despesa",LANÇ_MOV[CONTAS],$C333,LANÇ_MOV[PLANO DE CONTAS],REL_DRE_FINANCEIRO!$B$241,LANÇ_MOV[ANO PAGAMENTO],$B$4,LANÇ_MOV[MÊS PAGAMENTO CORRESPONDENTE],M$6,LANÇ_MOV[EMPRESA],$C$4,LANÇ_MOV[CENTRO DE CUSTOS],$D$4)</f>
        <v>0</v>
      </c>
      <c r="N333" s="206">
        <f>SUMIFS(LANÇ_MOV[VALOR LÍQUIDO],LANÇ_MOV[RECEITA OU DESPESA],"Despesa",LANÇ_MOV[CONTAS],$C333,LANÇ_MOV[PLANO DE CONTAS],REL_DRE_FINANCEIRO!$B$241,LANÇ_MOV[ANO PAGAMENTO],$B$4,LANÇ_MOV[MÊS PAGAMENTO CORRESPONDENTE],N$6,LANÇ_MOV[EMPRESA],$C$4,LANÇ_MOV[CENTRO DE CUSTOS],$D$4)</f>
        <v>0</v>
      </c>
      <c r="O333" s="206">
        <f>SUMIFS(LANÇ_MOV[VALOR LÍQUIDO],LANÇ_MOV[RECEITA OU DESPESA],"Despesa",LANÇ_MOV[CONTAS],$C333,LANÇ_MOV[PLANO DE CONTAS],REL_DRE_FINANCEIRO!$B$241,LANÇ_MOV[ANO PAGAMENTO],$B$4,LANÇ_MOV[MÊS PAGAMENTO CORRESPONDENTE],O$6,LANÇ_MOV[EMPRESA],$C$4,LANÇ_MOV[CENTRO DE CUSTOS],$D$4)</f>
        <v>0</v>
      </c>
      <c r="P333" s="207">
        <f t="shared" si="48"/>
        <v>0</v>
      </c>
      <c r="Q333" s="329">
        <v>8.9999999999999996E-7</v>
      </c>
      <c r="R333" s="346">
        <f t="shared" si="49"/>
        <v>8.9999999999999996E-7</v>
      </c>
      <c r="S333" s="347" t="str">
        <f t="shared" si="50"/>
        <v>-</v>
      </c>
      <c r="T333" s="347">
        <f t="shared" si="51"/>
        <v>0</v>
      </c>
      <c r="U333" s="347">
        <f>HLOOKUP(Apoio!$P$12,$D$240:$P$341,X333,FALSE)+Q333</f>
        <v>8.9999999999999996E-7</v>
      </c>
      <c r="V333" s="447" t="str">
        <f t="shared" si="52"/>
        <v>-</v>
      </c>
      <c r="W333" s="448">
        <f>HLOOKUP(Apoio!$P$12,$D$240:$P$341,X333,FALSE)</f>
        <v>0</v>
      </c>
      <c r="X333" s="329">
        <v>94</v>
      </c>
    </row>
    <row r="334" spans="2:24" ht="30.05" customHeight="1" x14ac:dyDescent="0.35">
      <c r="B334" s="204" t="str">
        <f>'CAD_PL_REC-DESP'!N97</f>
        <v>2.2.93</v>
      </c>
      <c r="C334" s="205" t="str">
        <f>IF('CAD_PL_REC-DESP'!O97="","-",'CAD_PL_REC-DESP'!O97)</f>
        <v>-</v>
      </c>
      <c r="D334" s="206">
        <f>SUMIFS(LANÇ_MOV[VALOR LÍQUIDO],LANÇ_MOV[RECEITA OU DESPESA],"Despesa",LANÇ_MOV[CONTAS],$C334,LANÇ_MOV[PLANO DE CONTAS],REL_DRE_FINANCEIRO!$B$241,LANÇ_MOV[ANO PAGAMENTO],$B$4,LANÇ_MOV[MÊS PAGAMENTO CORRESPONDENTE],D$6,LANÇ_MOV[EMPRESA],$C$4,LANÇ_MOV[CENTRO DE CUSTOS],$D$4)</f>
        <v>0</v>
      </c>
      <c r="E334" s="206">
        <f>SUMIFS(LANÇ_MOV[VALOR LÍQUIDO],LANÇ_MOV[RECEITA OU DESPESA],"Despesa",LANÇ_MOV[CONTAS],$C334,LANÇ_MOV[PLANO DE CONTAS],REL_DRE_FINANCEIRO!$B$241,LANÇ_MOV[ANO PAGAMENTO],$B$4,LANÇ_MOV[MÊS PAGAMENTO CORRESPONDENTE],E$6,LANÇ_MOV[EMPRESA],$C$4,LANÇ_MOV[CENTRO DE CUSTOS],$D$4)</f>
        <v>0</v>
      </c>
      <c r="F334" s="206">
        <f>SUMIFS(LANÇ_MOV[VALOR LÍQUIDO],LANÇ_MOV[RECEITA OU DESPESA],"Despesa",LANÇ_MOV[CONTAS],$C334,LANÇ_MOV[PLANO DE CONTAS],REL_DRE_FINANCEIRO!$B$241,LANÇ_MOV[ANO PAGAMENTO],$B$4,LANÇ_MOV[MÊS PAGAMENTO CORRESPONDENTE],F$6,LANÇ_MOV[EMPRESA],$C$4,LANÇ_MOV[CENTRO DE CUSTOS],$D$4)</f>
        <v>0</v>
      </c>
      <c r="G334" s="206">
        <f>SUMIFS(LANÇ_MOV[VALOR LÍQUIDO],LANÇ_MOV[RECEITA OU DESPESA],"Despesa",LANÇ_MOV[CONTAS],$C334,LANÇ_MOV[PLANO DE CONTAS],REL_DRE_FINANCEIRO!$B$241,LANÇ_MOV[ANO PAGAMENTO],$B$4,LANÇ_MOV[MÊS PAGAMENTO CORRESPONDENTE],G$6,LANÇ_MOV[EMPRESA],$C$4,LANÇ_MOV[CENTRO DE CUSTOS],$D$4)</f>
        <v>0</v>
      </c>
      <c r="H334" s="206">
        <f>SUMIFS(LANÇ_MOV[VALOR LÍQUIDO],LANÇ_MOV[RECEITA OU DESPESA],"Despesa",LANÇ_MOV[CONTAS],$C334,LANÇ_MOV[PLANO DE CONTAS],REL_DRE_FINANCEIRO!$B$241,LANÇ_MOV[ANO PAGAMENTO],$B$4,LANÇ_MOV[MÊS PAGAMENTO CORRESPONDENTE],H$6,LANÇ_MOV[EMPRESA],$C$4,LANÇ_MOV[CENTRO DE CUSTOS],$D$4)</f>
        <v>0</v>
      </c>
      <c r="I334" s="206">
        <f>SUMIFS(LANÇ_MOV[VALOR LÍQUIDO],LANÇ_MOV[RECEITA OU DESPESA],"Despesa",LANÇ_MOV[CONTAS],$C334,LANÇ_MOV[PLANO DE CONTAS],REL_DRE_FINANCEIRO!$B$241,LANÇ_MOV[ANO PAGAMENTO],$B$4,LANÇ_MOV[MÊS PAGAMENTO CORRESPONDENTE],I$6,LANÇ_MOV[EMPRESA],$C$4,LANÇ_MOV[CENTRO DE CUSTOS],$D$4)</f>
        <v>0</v>
      </c>
      <c r="J334" s="206">
        <f>SUMIFS(LANÇ_MOV[VALOR LÍQUIDO],LANÇ_MOV[RECEITA OU DESPESA],"Despesa",LANÇ_MOV[CONTAS],$C334,LANÇ_MOV[PLANO DE CONTAS],REL_DRE_FINANCEIRO!$B$241,LANÇ_MOV[ANO PAGAMENTO],$B$4,LANÇ_MOV[MÊS PAGAMENTO CORRESPONDENTE],J$6,LANÇ_MOV[EMPRESA],$C$4,LANÇ_MOV[CENTRO DE CUSTOS],$D$4)</f>
        <v>0</v>
      </c>
      <c r="K334" s="206">
        <f>SUMIFS(LANÇ_MOV[VALOR LÍQUIDO],LANÇ_MOV[RECEITA OU DESPESA],"Despesa",LANÇ_MOV[CONTAS],$C334,LANÇ_MOV[PLANO DE CONTAS],REL_DRE_FINANCEIRO!$B$241,LANÇ_MOV[ANO PAGAMENTO],$B$4,LANÇ_MOV[MÊS PAGAMENTO CORRESPONDENTE],K$6,LANÇ_MOV[EMPRESA],$C$4,LANÇ_MOV[CENTRO DE CUSTOS],$D$4)</f>
        <v>0</v>
      </c>
      <c r="L334" s="206">
        <f>SUMIFS(LANÇ_MOV[VALOR LÍQUIDO],LANÇ_MOV[RECEITA OU DESPESA],"Despesa",LANÇ_MOV[CONTAS],$C334,LANÇ_MOV[PLANO DE CONTAS],REL_DRE_FINANCEIRO!$B$241,LANÇ_MOV[ANO PAGAMENTO],$B$4,LANÇ_MOV[MÊS PAGAMENTO CORRESPONDENTE],L$6,LANÇ_MOV[EMPRESA],$C$4,LANÇ_MOV[CENTRO DE CUSTOS],$D$4)</f>
        <v>0</v>
      </c>
      <c r="M334" s="206">
        <f>SUMIFS(LANÇ_MOV[VALOR LÍQUIDO],LANÇ_MOV[RECEITA OU DESPESA],"Despesa",LANÇ_MOV[CONTAS],$C334,LANÇ_MOV[PLANO DE CONTAS],REL_DRE_FINANCEIRO!$B$241,LANÇ_MOV[ANO PAGAMENTO],$B$4,LANÇ_MOV[MÊS PAGAMENTO CORRESPONDENTE],M$6,LANÇ_MOV[EMPRESA],$C$4,LANÇ_MOV[CENTRO DE CUSTOS],$D$4)</f>
        <v>0</v>
      </c>
      <c r="N334" s="206">
        <f>SUMIFS(LANÇ_MOV[VALOR LÍQUIDO],LANÇ_MOV[RECEITA OU DESPESA],"Despesa",LANÇ_MOV[CONTAS],$C334,LANÇ_MOV[PLANO DE CONTAS],REL_DRE_FINANCEIRO!$B$241,LANÇ_MOV[ANO PAGAMENTO],$B$4,LANÇ_MOV[MÊS PAGAMENTO CORRESPONDENTE],N$6,LANÇ_MOV[EMPRESA],$C$4,LANÇ_MOV[CENTRO DE CUSTOS],$D$4)</f>
        <v>0</v>
      </c>
      <c r="O334" s="206">
        <f>SUMIFS(LANÇ_MOV[VALOR LÍQUIDO],LANÇ_MOV[RECEITA OU DESPESA],"Despesa",LANÇ_MOV[CONTAS],$C334,LANÇ_MOV[PLANO DE CONTAS],REL_DRE_FINANCEIRO!$B$241,LANÇ_MOV[ANO PAGAMENTO],$B$4,LANÇ_MOV[MÊS PAGAMENTO CORRESPONDENTE],O$6,LANÇ_MOV[EMPRESA],$C$4,LANÇ_MOV[CENTRO DE CUSTOS],$D$4)</f>
        <v>0</v>
      </c>
      <c r="P334" s="207">
        <f t="shared" si="48"/>
        <v>0</v>
      </c>
      <c r="Q334" s="329">
        <v>7.9999999999999996E-7</v>
      </c>
      <c r="R334" s="346">
        <f t="shared" si="49"/>
        <v>7.9999999999999996E-7</v>
      </c>
      <c r="S334" s="347" t="str">
        <f t="shared" si="50"/>
        <v>-</v>
      </c>
      <c r="T334" s="347">
        <f t="shared" si="51"/>
        <v>0</v>
      </c>
      <c r="U334" s="347">
        <f>HLOOKUP(Apoio!$P$12,$D$240:$P$341,X334,FALSE)+Q334</f>
        <v>7.9999999999999996E-7</v>
      </c>
      <c r="V334" s="447" t="str">
        <f t="shared" si="52"/>
        <v>-</v>
      </c>
      <c r="W334" s="448">
        <f>HLOOKUP(Apoio!$P$12,$D$240:$P$341,X334,FALSE)</f>
        <v>0</v>
      </c>
      <c r="X334" s="329">
        <v>95</v>
      </c>
    </row>
    <row r="335" spans="2:24" ht="30.05" customHeight="1" x14ac:dyDescent="0.35">
      <c r="B335" s="204" t="str">
        <f>'CAD_PL_REC-DESP'!N98</f>
        <v>2.2.94</v>
      </c>
      <c r="C335" s="205" t="str">
        <f>IF('CAD_PL_REC-DESP'!O98="","-",'CAD_PL_REC-DESP'!O98)</f>
        <v>-</v>
      </c>
      <c r="D335" s="206">
        <f>SUMIFS(LANÇ_MOV[VALOR LÍQUIDO],LANÇ_MOV[RECEITA OU DESPESA],"Despesa",LANÇ_MOV[CONTAS],$C335,LANÇ_MOV[PLANO DE CONTAS],REL_DRE_FINANCEIRO!$B$241,LANÇ_MOV[ANO PAGAMENTO],$B$4,LANÇ_MOV[MÊS PAGAMENTO CORRESPONDENTE],D$6,LANÇ_MOV[EMPRESA],$C$4,LANÇ_MOV[CENTRO DE CUSTOS],$D$4)</f>
        <v>0</v>
      </c>
      <c r="E335" s="206">
        <f>SUMIFS(LANÇ_MOV[VALOR LÍQUIDO],LANÇ_MOV[RECEITA OU DESPESA],"Despesa",LANÇ_MOV[CONTAS],$C335,LANÇ_MOV[PLANO DE CONTAS],REL_DRE_FINANCEIRO!$B$241,LANÇ_MOV[ANO PAGAMENTO],$B$4,LANÇ_MOV[MÊS PAGAMENTO CORRESPONDENTE],E$6,LANÇ_MOV[EMPRESA],$C$4,LANÇ_MOV[CENTRO DE CUSTOS],$D$4)</f>
        <v>0</v>
      </c>
      <c r="F335" s="206">
        <f>SUMIFS(LANÇ_MOV[VALOR LÍQUIDO],LANÇ_MOV[RECEITA OU DESPESA],"Despesa",LANÇ_MOV[CONTAS],$C335,LANÇ_MOV[PLANO DE CONTAS],REL_DRE_FINANCEIRO!$B$241,LANÇ_MOV[ANO PAGAMENTO],$B$4,LANÇ_MOV[MÊS PAGAMENTO CORRESPONDENTE],F$6,LANÇ_MOV[EMPRESA],$C$4,LANÇ_MOV[CENTRO DE CUSTOS],$D$4)</f>
        <v>0</v>
      </c>
      <c r="G335" s="206">
        <f>SUMIFS(LANÇ_MOV[VALOR LÍQUIDO],LANÇ_MOV[RECEITA OU DESPESA],"Despesa",LANÇ_MOV[CONTAS],$C335,LANÇ_MOV[PLANO DE CONTAS],REL_DRE_FINANCEIRO!$B$241,LANÇ_MOV[ANO PAGAMENTO],$B$4,LANÇ_MOV[MÊS PAGAMENTO CORRESPONDENTE],G$6,LANÇ_MOV[EMPRESA],$C$4,LANÇ_MOV[CENTRO DE CUSTOS],$D$4)</f>
        <v>0</v>
      </c>
      <c r="H335" s="206">
        <f>SUMIFS(LANÇ_MOV[VALOR LÍQUIDO],LANÇ_MOV[RECEITA OU DESPESA],"Despesa",LANÇ_MOV[CONTAS],$C335,LANÇ_MOV[PLANO DE CONTAS],REL_DRE_FINANCEIRO!$B$241,LANÇ_MOV[ANO PAGAMENTO],$B$4,LANÇ_MOV[MÊS PAGAMENTO CORRESPONDENTE],H$6,LANÇ_MOV[EMPRESA],$C$4,LANÇ_MOV[CENTRO DE CUSTOS],$D$4)</f>
        <v>0</v>
      </c>
      <c r="I335" s="206">
        <f>SUMIFS(LANÇ_MOV[VALOR LÍQUIDO],LANÇ_MOV[RECEITA OU DESPESA],"Despesa",LANÇ_MOV[CONTAS],$C335,LANÇ_MOV[PLANO DE CONTAS],REL_DRE_FINANCEIRO!$B$241,LANÇ_MOV[ANO PAGAMENTO],$B$4,LANÇ_MOV[MÊS PAGAMENTO CORRESPONDENTE],I$6,LANÇ_MOV[EMPRESA],$C$4,LANÇ_MOV[CENTRO DE CUSTOS],$D$4)</f>
        <v>0</v>
      </c>
      <c r="J335" s="206">
        <f>SUMIFS(LANÇ_MOV[VALOR LÍQUIDO],LANÇ_MOV[RECEITA OU DESPESA],"Despesa",LANÇ_MOV[CONTAS],$C335,LANÇ_MOV[PLANO DE CONTAS],REL_DRE_FINANCEIRO!$B$241,LANÇ_MOV[ANO PAGAMENTO],$B$4,LANÇ_MOV[MÊS PAGAMENTO CORRESPONDENTE],J$6,LANÇ_MOV[EMPRESA],$C$4,LANÇ_MOV[CENTRO DE CUSTOS],$D$4)</f>
        <v>0</v>
      </c>
      <c r="K335" s="206">
        <f>SUMIFS(LANÇ_MOV[VALOR LÍQUIDO],LANÇ_MOV[RECEITA OU DESPESA],"Despesa",LANÇ_MOV[CONTAS],$C335,LANÇ_MOV[PLANO DE CONTAS],REL_DRE_FINANCEIRO!$B$241,LANÇ_MOV[ANO PAGAMENTO],$B$4,LANÇ_MOV[MÊS PAGAMENTO CORRESPONDENTE],K$6,LANÇ_MOV[EMPRESA],$C$4,LANÇ_MOV[CENTRO DE CUSTOS],$D$4)</f>
        <v>0</v>
      </c>
      <c r="L335" s="206">
        <f>SUMIFS(LANÇ_MOV[VALOR LÍQUIDO],LANÇ_MOV[RECEITA OU DESPESA],"Despesa",LANÇ_MOV[CONTAS],$C335,LANÇ_MOV[PLANO DE CONTAS],REL_DRE_FINANCEIRO!$B$241,LANÇ_MOV[ANO PAGAMENTO],$B$4,LANÇ_MOV[MÊS PAGAMENTO CORRESPONDENTE],L$6,LANÇ_MOV[EMPRESA],$C$4,LANÇ_MOV[CENTRO DE CUSTOS],$D$4)</f>
        <v>0</v>
      </c>
      <c r="M335" s="206">
        <f>SUMIFS(LANÇ_MOV[VALOR LÍQUIDO],LANÇ_MOV[RECEITA OU DESPESA],"Despesa",LANÇ_MOV[CONTAS],$C335,LANÇ_MOV[PLANO DE CONTAS],REL_DRE_FINANCEIRO!$B$241,LANÇ_MOV[ANO PAGAMENTO],$B$4,LANÇ_MOV[MÊS PAGAMENTO CORRESPONDENTE],M$6,LANÇ_MOV[EMPRESA],$C$4,LANÇ_MOV[CENTRO DE CUSTOS],$D$4)</f>
        <v>0</v>
      </c>
      <c r="N335" s="206">
        <f>SUMIFS(LANÇ_MOV[VALOR LÍQUIDO],LANÇ_MOV[RECEITA OU DESPESA],"Despesa",LANÇ_MOV[CONTAS],$C335,LANÇ_MOV[PLANO DE CONTAS],REL_DRE_FINANCEIRO!$B$241,LANÇ_MOV[ANO PAGAMENTO],$B$4,LANÇ_MOV[MÊS PAGAMENTO CORRESPONDENTE],N$6,LANÇ_MOV[EMPRESA],$C$4,LANÇ_MOV[CENTRO DE CUSTOS],$D$4)</f>
        <v>0</v>
      </c>
      <c r="O335" s="206">
        <f>SUMIFS(LANÇ_MOV[VALOR LÍQUIDO],LANÇ_MOV[RECEITA OU DESPESA],"Despesa",LANÇ_MOV[CONTAS],$C335,LANÇ_MOV[PLANO DE CONTAS],REL_DRE_FINANCEIRO!$B$241,LANÇ_MOV[ANO PAGAMENTO],$B$4,LANÇ_MOV[MÊS PAGAMENTO CORRESPONDENTE],O$6,LANÇ_MOV[EMPRESA],$C$4,LANÇ_MOV[CENTRO DE CUSTOS],$D$4)</f>
        <v>0</v>
      </c>
      <c r="P335" s="207">
        <f t="shared" si="48"/>
        <v>0</v>
      </c>
      <c r="Q335" s="329">
        <v>6.9999999999999997E-7</v>
      </c>
      <c r="R335" s="346">
        <f t="shared" si="49"/>
        <v>6.9999999999999997E-7</v>
      </c>
      <c r="S335" s="347" t="str">
        <f t="shared" si="50"/>
        <v>-</v>
      </c>
      <c r="T335" s="347">
        <f t="shared" si="51"/>
        <v>0</v>
      </c>
      <c r="U335" s="347">
        <f>HLOOKUP(Apoio!$P$12,$D$240:$P$341,X335,FALSE)+Q335</f>
        <v>6.9999999999999997E-7</v>
      </c>
      <c r="V335" s="447" t="str">
        <f t="shared" si="52"/>
        <v>-</v>
      </c>
      <c r="W335" s="448">
        <f>HLOOKUP(Apoio!$P$12,$D$240:$P$341,X335,FALSE)</f>
        <v>0</v>
      </c>
      <c r="X335" s="329">
        <v>96</v>
      </c>
    </row>
    <row r="336" spans="2:24" ht="30.05" customHeight="1" x14ac:dyDescent="0.35">
      <c r="B336" s="204" t="str">
        <f>'CAD_PL_REC-DESP'!N99</f>
        <v>2.2.95</v>
      </c>
      <c r="C336" s="205" t="str">
        <f>IF('CAD_PL_REC-DESP'!O99="","-",'CAD_PL_REC-DESP'!O99)</f>
        <v>-</v>
      </c>
      <c r="D336" s="206">
        <f>SUMIFS(LANÇ_MOV[VALOR LÍQUIDO],LANÇ_MOV[RECEITA OU DESPESA],"Despesa",LANÇ_MOV[CONTAS],$C336,LANÇ_MOV[PLANO DE CONTAS],REL_DRE_FINANCEIRO!$B$241,LANÇ_MOV[ANO PAGAMENTO],$B$4,LANÇ_MOV[MÊS PAGAMENTO CORRESPONDENTE],D$6,LANÇ_MOV[EMPRESA],$C$4,LANÇ_MOV[CENTRO DE CUSTOS],$D$4)</f>
        <v>0</v>
      </c>
      <c r="E336" s="206">
        <f>SUMIFS(LANÇ_MOV[VALOR LÍQUIDO],LANÇ_MOV[RECEITA OU DESPESA],"Despesa",LANÇ_MOV[CONTAS],$C336,LANÇ_MOV[PLANO DE CONTAS],REL_DRE_FINANCEIRO!$B$241,LANÇ_MOV[ANO PAGAMENTO],$B$4,LANÇ_MOV[MÊS PAGAMENTO CORRESPONDENTE],E$6,LANÇ_MOV[EMPRESA],$C$4,LANÇ_MOV[CENTRO DE CUSTOS],$D$4)</f>
        <v>0</v>
      </c>
      <c r="F336" s="206">
        <f>SUMIFS(LANÇ_MOV[VALOR LÍQUIDO],LANÇ_MOV[RECEITA OU DESPESA],"Despesa",LANÇ_MOV[CONTAS],$C336,LANÇ_MOV[PLANO DE CONTAS],REL_DRE_FINANCEIRO!$B$241,LANÇ_MOV[ANO PAGAMENTO],$B$4,LANÇ_MOV[MÊS PAGAMENTO CORRESPONDENTE],F$6,LANÇ_MOV[EMPRESA],$C$4,LANÇ_MOV[CENTRO DE CUSTOS],$D$4)</f>
        <v>0</v>
      </c>
      <c r="G336" s="206">
        <f>SUMIFS(LANÇ_MOV[VALOR LÍQUIDO],LANÇ_MOV[RECEITA OU DESPESA],"Despesa",LANÇ_MOV[CONTAS],$C336,LANÇ_MOV[PLANO DE CONTAS],REL_DRE_FINANCEIRO!$B$241,LANÇ_MOV[ANO PAGAMENTO],$B$4,LANÇ_MOV[MÊS PAGAMENTO CORRESPONDENTE],G$6,LANÇ_MOV[EMPRESA],$C$4,LANÇ_MOV[CENTRO DE CUSTOS],$D$4)</f>
        <v>0</v>
      </c>
      <c r="H336" s="206">
        <f>SUMIFS(LANÇ_MOV[VALOR LÍQUIDO],LANÇ_MOV[RECEITA OU DESPESA],"Despesa",LANÇ_MOV[CONTAS],$C336,LANÇ_MOV[PLANO DE CONTAS],REL_DRE_FINANCEIRO!$B$241,LANÇ_MOV[ANO PAGAMENTO],$B$4,LANÇ_MOV[MÊS PAGAMENTO CORRESPONDENTE],H$6,LANÇ_MOV[EMPRESA],$C$4,LANÇ_MOV[CENTRO DE CUSTOS],$D$4)</f>
        <v>0</v>
      </c>
      <c r="I336" s="206">
        <f>SUMIFS(LANÇ_MOV[VALOR LÍQUIDO],LANÇ_MOV[RECEITA OU DESPESA],"Despesa",LANÇ_MOV[CONTAS],$C336,LANÇ_MOV[PLANO DE CONTAS],REL_DRE_FINANCEIRO!$B$241,LANÇ_MOV[ANO PAGAMENTO],$B$4,LANÇ_MOV[MÊS PAGAMENTO CORRESPONDENTE],I$6,LANÇ_MOV[EMPRESA],$C$4,LANÇ_MOV[CENTRO DE CUSTOS],$D$4)</f>
        <v>0</v>
      </c>
      <c r="J336" s="206">
        <f>SUMIFS(LANÇ_MOV[VALOR LÍQUIDO],LANÇ_MOV[RECEITA OU DESPESA],"Despesa",LANÇ_MOV[CONTAS],$C336,LANÇ_MOV[PLANO DE CONTAS],REL_DRE_FINANCEIRO!$B$241,LANÇ_MOV[ANO PAGAMENTO],$B$4,LANÇ_MOV[MÊS PAGAMENTO CORRESPONDENTE],J$6,LANÇ_MOV[EMPRESA],$C$4,LANÇ_MOV[CENTRO DE CUSTOS],$D$4)</f>
        <v>0</v>
      </c>
      <c r="K336" s="206">
        <f>SUMIFS(LANÇ_MOV[VALOR LÍQUIDO],LANÇ_MOV[RECEITA OU DESPESA],"Despesa",LANÇ_MOV[CONTAS],$C336,LANÇ_MOV[PLANO DE CONTAS],REL_DRE_FINANCEIRO!$B$241,LANÇ_MOV[ANO PAGAMENTO],$B$4,LANÇ_MOV[MÊS PAGAMENTO CORRESPONDENTE],K$6,LANÇ_MOV[EMPRESA],$C$4,LANÇ_MOV[CENTRO DE CUSTOS],$D$4)</f>
        <v>0</v>
      </c>
      <c r="L336" s="206">
        <f>SUMIFS(LANÇ_MOV[VALOR LÍQUIDO],LANÇ_MOV[RECEITA OU DESPESA],"Despesa",LANÇ_MOV[CONTAS],$C336,LANÇ_MOV[PLANO DE CONTAS],REL_DRE_FINANCEIRO!$B$241,LANÇ_MOV[ANO PAGAMENTO],$B$4,LANÇ_MOV[MÊS PAGAMENTO CORRESPONDENTE],L$6,LANÇ_MOV[EMPRESA],$C$4,LANÇ_MOV[CENTRO DE CUSTOS],$D$4)</f>
        <v>0</v>
      </c>
      <c r="M336" s="206">
        <f>SUMIFS(LANÇ_MOV[VALOR LÍQUIDO],LANÇ_MOV[RECEITA OU DESPESA],"Despesa",LANÇ_MOV[CONTAS],$C336,LANÇ_MOV[PLANO DE CONTAS],REL_DRE_FINANCEIRO!$B$241,LANÇ_MOV[ANO PAGAMENTO],$B$4,LANÇ_MOV[MÊS PAGAMENTO CORRESPONDENTE],M$6,LANÇ_MOV[EMPRESA],$C$4,LANÇ_MOV[CENTRO DE CUSTOS],$D$4)</f>
        <v>0</v>
      </c>
      <c r="N336" s="206">
        <f>SUMIFS(LANÇ_MOV[VALOR LÍQUIDO],LANÇ_MOV[RECEITA OU DESPESA],"Despesa",LANÇ_MOV[CONTAS],$C336,LANÇ_MOV[PLANO DE CONTAS],REL_DRE_FINANCEIRO!$B$241,LANÇ_MOV[ANO PAGAMENTO],$B$4,LANÇ_MOV[MÊS PAGAMENTO CORRESPONDENTE],N$6,LANÇ_MOV[EMPRESA],$C$4,LANÇ_MOV[CENTRO DE CUSTOS],$D$4)</f>
        <v>0</v>
      </c>
      <c r="O336" s="206">
        <f>SUMIFS(LANÇ_MOV[VALOR LÍQUIDO],LANÇ_MOV[RECEITA OU DESPESA],"Despesa",LANÇ_MOV[CONTAS],$C336,LANÇ_MOV[PLANO DE CONTAS],REL_DRE_FINANCEIRO!$B$241,LANÇ_MOV[ANO PAGAMENTO],$B$4,LANÇ_MOV[MÊS PAGAMENTO CORRESPONDENTE],O$6,LANÇ_MOV[EMPRESA],$C$4,LANÇ_MOV[CENTRO DE CUSTOS],$D$4)</f>
        <v>0</v>
      </c>
      <c r="P336" s="207">
        <f t="shared" si="48"/>
        <v>0</v>
      </c>
      <c r="Q336" s="329">
        <v>5.9999999999999997E-7</v>
      </c>
      <c r="R336" s="346">
        <f t="shared" si="49"/>
        <v>5.9999999999999997E-7</v>
      </c>
      <c r="S336" s="347" t="str">
        <f t="shared" si="50"/>
        <v>-</v>
      </c>
      <c r="T336" s="347">
        <f t="shared" si="51"/>
        <v>0</v>
      </c>
      <c r="U336" s="347">
        <f>HLOOKUP(Apoio!$P$12,$D$240:$P$341,X336,FALSE)+Q336</f>
        <v>5.9999999999999997E-7</v>
      </c>
      <c r="V336" s="447" t="str">
        <f t="shared" si="52"/>
        <v>-</v>
      </c>
      <c r="W336" s="448">
        <f>HLOOKUP(Apoio!$P$12,$D$240:$P$341,X336,FALSE)</f>
        <v>0</v>
      </c>
      <c r="X336" s="329">
        <v>97</v>
      </c>
    </row>
    <row r="337" spans="2:27" ht="30.05" customHeight="1" x14ac:dyDescent="0.35">
      <c r="B337" s="204" t="str">
        <f>'CAD_PL_REC-DESP'!N100</f>
        <v>2.2.96</v>
      </c>
      <c r="C337" s="205" t="str">
        <f>IF('CAD_PL_REC-DESP'!O100="","-",'CAD_PL_REC-DESP'!O100)</f>
        <v>-</v>
      </c>
      <c r="D337" s="206">
        <f>SUMIFS(LANÇ_MOV[VALOR LÍQUIDO],LANÇ_MOV[RECEITA OU DESPESA],"Despesa",LANÇ_MOV[CONTAS],$C337,LANÇ_MOV[PLANO DE CONTAS],REL_DRE_FINANCEIRO!$B$241,LANÇ_MOV[ANO PAGAMENTO],$B$4,LANÇ_MOV[MÊS PAGAMENTO CORRESPONDENTE],D$6,LANÇ_MOV[EMPRESA],$C$4,LANÇ_MOV[CENTRO DE CUSTOS],$D$4)</f>
        <v>0</v>
      </c>
      <c r="E337" s="206">
        <f>SUMIFS(LANÇ_MOV[VALOR LÍQUIDO],LANÇ_MOV[RECEITA OU DESPESA],"Despesa",LANÇ_MOV[CONTAS],$C337,LANÇ_MOV[PLANO DE CONTAS],REL_DRE_FINANCEIRO!$B$241,LANÇ_MOV[ANO PAGAMENTO],$B$4,LANÇ_MOV[MÊS PAGAMENTO CORRESPONDENTE],E$6,LANÇ_MOV[EMPRESA],$C$4,LANÇ_MOV[CENTRO DE CUSTOS],$D$4)</f>
        <v>0</v>
      </c>
      <c r="F337" s="206">
        <f>SUMIFS(LANÇ_MOV[VALOR LÍQUIDO],LANÇ_MOV[RECEITA OU DESPESA],"Despesa",LANÇ_MOV[CONTAS],$C337,LANÇ_MOV[PLANO DE CONTAS],REL_DRE_FINANCEIRO!$B$241,LANÇ_MOV[ANO PAGAMENTO],$B$4,LANÇ_MOV[MÊS PAGAMENTO CORRESPONDENTE],F$6,LANÇ_MOV[EMPRESA],$C$4,LANÇ_MOV[CENTRO DE CUSTOS],$D$4)</f>
        <v>0</v>
      </c>
      <c r="G337" s="206">
        <f>SUMIFS(LANÇ_MOV[VALOR LÍQUIDO],LANÇ_MOV[RECEITA OU DESPESA],"Despesa",LANÇ_MOV[CONTAS],$C337,LANÇ_MOV[PLANO DE CONTAS],REL_DRE_FINANCEIRO!$B$241,LANÇ_MOV[ANO PAGAMENTO],$B$4,LANÇ_MOV[MÊS PAGAMENTO CORRESPONDENTE],G$6,LANÇ_MOV[EMPRESA],$C$4,LANÇ_MOV[CENTRO DE CUSTOS],$D$4)</f>
        <v>0</v>
      </c>
      <c r="H337" s="206">
        <f>SUMIFS(LANÇ_MOV[VALOR LÍQUIDO],LANÇ_MOV[RECEITA OU DESPESA],"Despesa",LANÇ_MOV[CONTAS],$C337,LANÇ_MOV[PLANO DE CONTAS],REL_DRE_FINANCEIRO!$B$241,LANÇ_MOV[ANO PAGAMENTO],$B$4,LANÇ_MOV[MÊS PAGAMENTO CORRESPONDENTE],H$6,LANÇ_MOV[EMPRESA],$C$4,LANÇ_MOV[CENTRO DE CUSTOS],$D$4)</f>
        <v>0</v>
      </c>
      <c r="I337" s="206">
        <f>SUMIFS(LANÇ_MOV[VALOR LÍQUIDO],LANÇ_MOV[RECEITA OU DESPESA],"Despesa",LANÇ_MOV[CONTAS],$C337,LANÇ_MOV[PLANO DE CONTAS],REL_DRE_FINANCEIRO!$B$241,LANÇ_MOV[ANO PAGAMENTO],$B$4,LANÇ_MOV[MÊS PAGAMENTO CORRESPONDENTE],I$6,LANÇ_MOV[EMPRESA],$C$4,LANÇ_MOV[CENTRO DE CUSTOS],$D$4)</f>
        <v>0</v>
      </c>
      <c r="J337" s="206">
        <f>SUMIFS(LANÇ_MOV[VALOR LÍQUIDO],LANÇ_MOV[RECEITA OU DESPESA],"Despesa",LANÇ_MOV[CONTAS],$C337,LANÇ_MOV[PLANO DE CONTAS],REL_DRE_FINANCEIRO!$B$241,LANÇ_MOV[ANO PAGAMENTO],$B$4,LANÇ_MOV[MÊS PAGAMENTO CORRESPONDENTE],J$6,LANÇ_MOV[EMPRESA],$C$4,LANÇ_MOV[CENTRO DE CUSTOS],$D$4)</f>
        <v>0</v>
      </c>
      <c r="K337" s="206">
        <f>SUMIFS(LANÇ_MOV[VALOR LÍQUIDO],LANÇ_MOV[RECEITA OU DESPESA],"Despesa",LANÇ_MOV[CONTAS],$C337,LANÇ_MOV[PLANO DE CONTAS],REL_DRE_FINANCEIRO!$B$241,LANÇ_MOV[ANO PAGAMENTO],$B$4,LANÇ_MOV[MÊS PAGAMENTO CORRESPONDENTE],K$6,LANÇ_MOV[EMPRESA],$C$4,LANÇ_MOV[CENTRO DE CUSTOS],$D$4)</f>
        <v>0</v>
      </c>
      <c r="L337" s="206">
        <f>SUMIFS(LANÇ_MOV[VALOR LÍQUIDO],LANÇ_MOV[RECEITA OU DESPESA],"Despesa",LANÇ_MOV[CONTAS],$C337,LANÇ_MOV[PLANO DE CONTAS],REL_DRE_FINANCEIRO!$B$241,LANÇ_MOV[ANO PAGAMENTO],$B$4,LANÇ_MOV[MÊS PAGAMENTO CORRESPONDENTE],L$6,LANÇ_MOV[EMPRESA],$C$4,LANÇ_MOV[CENTRO DE CUSTOS],$D$4)</f>
        <v>0</v>
      </c>
      <c r="M337" s="206">
        <f>SUMIFS(LANÇ_MOV[VALOR LÍQUIDO],LANÇ_MOV[RECEITA OU DESPESA],"Despesa",LANÇ_MOV[CONTAS],$C337,LANÇ_MOV[PLANO DE CONTAS],REL_DRE_FINANCEIRO!$B$241,LANÇ_MOV[ANO PAGAMENTO],$B$4,LANÇ_MOV[MÊS PAGAMENTO CORRESPONDENTE],M$6,LANÇ_MOV[EMPRESA],$C$4,LANÇ_MOV[CENTRO DE CUSTOS],$D$4)</f>
        <v>0</v>
      </c>
      <c r="N337" s="206">
        <f>SUMIFS(LANÇ_MOV[VALOR LÍQUIDO],LANÇ_MOV[RECEITA OU DESPESA],"Despesa",LANÇ_MOV[CONTAS],$C337,LANÇ_MOV[PLANO DE CONTAS],REL_DRE_FINANCEIRO!$B$241,LANÇ_MOV[ANO PAGAMENTO],$B$4,LANÇ_MOV[MÊS PAGAMENTO CORRESPONDENTE],N$6,LANÇ_MOV[EMPRESA],$C$4,LANÇ_MOV[CENTRO DE CUSTOS],$D$4)</f>
        <v>0</v>
      </c>
      <c r="O337" s="206">
        <f>SUMIFS(LANÇ_MOV[VALOR LÍQUIDO],LANÇ_MOV[RECEITA OU DESPESA],"Despesa",LANÇ_MOV[CONTAS],$C337,LANÇ_MOV[PLANO DE CONTAS],REL_DRE_FINANCEIRO!$B$241,LANÇ_MOV[ANO PAGAMENTO],$B$4,LANÇ_MOV[MÊS PAGAMENTO CORRESPONDENTE],O$6,LANÇ_MOV[EMPRESA],$C$4,LANÇ_MOV[CENTRO DE CUSTOS],$D$4)</f>
        <v>0</v>
      </c>
      <c r="P337" s="207">
        <f t="shared" si="48"/>
        <v>0</v>
      </c>
      <c r="Q337" s="329">
        <v>4.9999999999999998E-7</v>
      </c>
      <c r="R337" s="346">
        <f t="shared" si="49"/>
        <v>4.9999999999999998E-7</v>
      </c>
      <c r="S337" s="347" t="str">
        <f t="shared" si="50"/>
        <v>-</v>
      </c>
      <c r="T337" s="347">
        <f t="shared" si="51"/>
        <v>0</v>
      </c>
      <c r="U337" s="347">
        <f>HLOOKUP(Apoio!$P$12,$D$240:$P$341,X337,FALSE)+Q337</f>
        <v>4.9999999999999998E-7</v>
      </c>
      <c r="V337" s="447" t="str">
        <f t="shared" si="52"/>
        <v>-</v>
      </c>
      <c r="W337" s="448">
        <f>HLOOKUP(Apoio!$P$12,$D$240:$P$341,X337,FALSE)</f>
        <v>0</v>
      </c>
      <c r="X337" s="329">
        <v>98</v>
      </c>
    </row>
    <row r="338" spans="2:27" ht="30.05" customHeight="1" x14ac:dyDescent="0.35">
      <c r="B338" s="204" t="str">
        <f>'CAD_PL_REC-DESP'!N101</f>
        <v>2.2.97</v>
      </c>
      <c r="C338" s="205" t="str">
        <f>IF('CAD_PL_REC-DESP'!O101="","-",'CAD_PL_REC-DESP'!O101)</f>
        <v>-</v>
      </c>
      <c r="D338" s="206">
        <f>SUMIFS(LANÇ_MOV[VALOR LÍQUIDO],LANÇ_MOV[RECEITA OU DESPESA],"Despesa",LANÇ_MOV[CONTAS],$C338,LANÇ_MOV[PLANO DE CONTAS],REL_DRE_FINANCEIRO!$B$241,LANÇ_MOV[ANO PAGAMENTO],$B$4,LANÇ_MOV[MÊS PAGAMENTO CORRESPONDENTE],D$6,LANÇ_MOV[EMPRESA],$C$4,LANÇ_MOV[CENTRO DE CUSTOS],$D$4)</f>
        <v>0</v>
      </c>
      <c r="E338" s="206">
        <f>SUMIFS(LANÇ_MOV[VALOR LÍQUIDO],LANÇ_MOV[RECEITA OU DESPESA],"Despesa",LANÇ_MOV[CONTAS],$C338,LANÇ_MOV[PLANO DE CONTAS],REL_DRE_FINANCEIRO!$B$241,LANÇ_MOV[ANO PAGAMENTO],$B$4,LANÇ_MOV[MÊS PAGAMENTO CORRESPONDENTE],E$6,LANÇ_MOV[EMPRESA],$C$4,LANÇ_MOV[CENTRO DE CUSTOS],$D$4)</f>
        <v>0</v>
      </c>
      <c r="F338" s="206">
        <f>SUMIFS(LANÇ_MOV[VALOR LÍQUIDO],LANÇ_MOV[RECEITA OU DESPESA],"Despesa",LANÇ_MOV[CONTAS],$C338,LANÇ_MOV[PLANO DE CONTAS],REL_DRE_FINANCEIRO!$B$241,LANÇ_MOV[ANO PAGAMENTO],$B$4,LANÇ_MOV[MÊS PAGAMENTO CORRESPONDENTE],F$6,LANÇ_MOV[EMPRESA],$C$4,LANÇ_MOV[CENTRO DE CUSTOS],$D$4)</f>
        <v>0</v>
      </c>
      <c r="G338" s="206">
        <f>SUMIFS(LANÇ_MOV[VALOR LÍQUIDO],LANÇ_MOV[RECEITA OU DESPESA],"Despesa",LANÇ_MOV[CONTAS],$C338,LANÇ_MOV[PLANO DE CONTAS],REL_DRE_FINANCEIRO!$B$241,LANÇ_MOV[ANO PAGAMENTO],$B$4,LANÇ_MOV[MÊS PAGAMENTO CORRESPONDENTE],G$6,LANÇ_MOV[EMPRESA],$C$4,LANÇ_MOV[CENTRO DE CUSTOS],$D$4)</f>
        <v>0</v>
      </c>
      <c r="H338" s="206">
        <f>SUMIFS(LANÇ_MOV[VALOR LÍQUIDO],LANÇ_MOV[RECEITA OU DESPESA],"Despesa",LANÇ_MOV[CONTAS],$C338,LANÇ_MOV[PLANO DE CONTAS],REL_DRE_FINANCEIRO!$B$241,LANÇ_MOV[ANO PAGAMENTO],$B$4,LANÇ_MOV[MÊS PAGAMENTO CORRESPONDENTE],H$6,LANÇ_MOV[EMPRESA],$C$4,LANÇ_MOV[CENTRO DE CUSTOS],$D$4)</f>
        <v>0</v>
      </c>
      <c r="I338" s="206">
        <f>SUMIFS(LANÇ_MOV[VALOR LÍQUIDO],LANÇ_MOV[RECEITA OU DESPESA],"Despesa",LANÇ_MOV[CONTAS],$C338,LANÇ_MOV[PLANO DE CONTAS],REL_DRE_FINANCEIRO!$B$241,LANÇ_MOV[ANO PAGAMENTO],$B$4,LANÇ_MOV[MÊS PAGAMENTO CORRESPONDENTE],I$6,LANÇ_MOV[EMPRESA],$C$4,LANÇ_MOV[CENTRO DE CUSTOS],$D$4)</f>
        <v>0</v>
      </c>
      <c r="J338" s="206">
        <f>SUMIFS(LANÇ_MOV[VALOR LÍQUIDO],LANÇ_MOV[RECEITA OU DESPESA],"Despesa",LANÇ_MOV[CONTAS],$C338,LANÇ_MOV[PLANO DE CONTAS],REL_DRE_FINANCEIRO!$B$241,LANÇ_MOV[ANO PAGAMENTO],$B$4,LANÇ_MOV[MÊS PAGAMENTO CORRESPONDENTE],J$6,LANÇ_MOV[EMPRESA],$C$4,LANÇ_MOV[CENTRO DE CUSTOS],$D$4)</f>
        <v>0</v>
      </c>
      <c r="K338" s="206">
        <f>SUMIFS(LANÇ_MOV[VALOR LÍQUIDO],LANÇ_MOV[RECEITA OU DESPESA],"Despesa",LANÇ_MOV[CONTAS],$C338,LANÇ_MOV[PLANO DE CONTAS],REL_DRE_FINANCEIRO!$B$241,LANÇ_MOV[ANO PAGAMENTO],$B$4,LANÇ_MOV[MÊS PAGAMENTO CORRESPONDENTE],K$6,LANÇ_MOV[EMPRESA],$C$4,LANÇ_MOV[CENTRO DE CUSTOS],$D$4)</f>
        <v>0</v>
      </c>
      <c r="L338" s="206">
        <f>SUMIFS(LANÇ_MOV[VALOR LÍQUIDO],LANÇ_MOV[RECEITA OU DESPESA],"Despesa",LANÇ_MOV[CONTAS],$C338,LANÇ_MOV[PLANO DE CONTAS],REL_DRE_FINANCEIRO!$B$241,LANÇ_MOV[ANO PAGAMENTO],$B$4,LANÇ_MOV[MÊS PAGAMENTO CORRESPONDENTE],L$6,LANÇ_MOV[EMPRESA],$C$4,LANÇ_MOV[CENTRO DE CUSTOS],$D$4)</f>
        <v>0</v>
      </c>
      <c r="M338" s="206">
        <f>SUMIFS(LANÇ_MOV[VALOR LÍQUIDO],LANÇ_MOV[RECEITA OU DESPESA],"Despesa",LANÇ_MOV[CONTAS],$C338,LANÇ_MOV[PLANO DE CONTAS],REL_DRE_FINANCEIRO!$B$241,LANÇ_MOV[ANO PAGAMENTO],$B$4,LANÇ_MOV[MÊS PAGAMENTO CORRESPONDENTE],M$6,LANÇ_MOV[EMPRESA],$C$4,LANÇ_MOV[CENTRO DE CUSTOS],$D$4)</f>
        <v>0</v>
      </c>
      <c r="N338" s="206">
        <f>SUMIFS(LANÇ_MOV[VALOR LÍQUIDO],LANÇ_MOV[RECEITA OU DESPESA],"Despesa",LANÇ_MOV[CONTAS],$C338,LANÇ_MOV[PLANO DE CONTAS],REL_DRE_FINANCEIRO!$B$241,LANÇ_MOV[ANO PAGAMENTO],$B$4,LANÇ_MOV[MÊS PAGAMENTO CORRESPONDENTE],N$6,LANÇ_MOV[EMPRESA],$C$4,LANÇ_MOV[CENTRO DE CUSTOS],$D$4)</f>
        <v>0</v>
      </c>
      <c r="O338" s="206">
        <f>SUMIFS(LANÇ_MOV[VALOR LÍQUIDO],LANÇ_MOV[RECEITA OU DESPESA],"Despesa",LANÇ_MOV[CONTAS],$C338,LANÇ_MOV[PLANO DE CONTAS],REL_DRE_FINANCEIRO!$B$241,LANÇ_MOV[ANO PAGAMENTO],$B$4,LANÇ_MOV[MÊS PAGAMENTO CORRESPONDENTE],O$6,LANÇ_MOV[EMPRESA],$C$4,LANÇ_MOV[CENTRO DE CUSTOS],$D$4)</f>
        <v>0</v>
      </c>
      <c r="P338" s="207">
        <f t="shared" si="48"/>
        <v>0</v>
      </c>
      <c r="Q338" s="329">
        <v>3.9999999999999998E-7</v>
      </c>
      <c r="R338" s="346">
        <f t="shared" si="49"/>
        <v>3.9999999999999998E-7</v>
      </c>
      <c r="S338" s="347" t="str">
        <f t="shared" si="50"/>
        <v>-</v>
      </c>
      <c r="T338" s="347">
        <f t="shared" si="51"/>
        <v>0</v>
      </c>
      <c r="U338" s="347">
        <f>HLOOKUP(Apoio!$P$12,$D$240:$P$341,X338,FALSE)+Q338</f>
        <v>3.9999999999999998E-7</v>
      </c>
      <c r="V338" s="447" t="str">
        <f t="shared" si="52"/>
        <v>-</v>
      </c>
      <c r="W338" s="448">
        <f>HLOOKUP(Apoio!$P$12,$D$240:$P$341,X338,FALSE)</f>
        <v>0</v>
      </c>
      <c r="X338" s="329">
        <v>99</v>
      </c>
    </row>
    <row r="339" spans="2:27" ht="30.05" customHeight="1" x14ac:dyDescent="0.35">
      <c r="B339" s="204" t="str">
        <f>'CAD_PL_REC-DESP'!N102</f>
        <v>2.2.98</v>
      </c>
      <c r="C339" s="205" t="str">
        <f>IF('CAD_PL_REC-DESP'!O102="","-",'CAD_PL_REC-DESP'!O102)</f>
        <v>-</v>
      </c>
      <c r="D339" s="206">
        <f>SUMIFS(LANÇ_MOV[VALOR LÍQUIDO],LANÇ_MOV[RECEITA OU DESPESA],"Despesa",LANÇ_MOV[CONTAS],$C339,LANÇ_MOV[PLANO DE CONTAS],REL_DRE_FINANCEIRO!$B$241,LANÇ_MOV[ANO PAGAMENTO],$B$4,LANÇ_MOV[MÊS PAGAMENTO CORRESPONDENTE],D$6,LANÇ_MOV[EMPRESA],$C$4,LANÇ_MOV[CENTRO DE CUSTOS],$D$4)</f>
        <v>0</v>
      </c>
      <c r="E339" s="206">
        <f>SUMIFS(LANÇ_MOV[VALOR LÍQUIDO],LANÇ_MOV[RECEITA OU DESPESA],"Despesa",LANÇ_MOV[CONTAS],$C339,LANÇ_MOV[PLANO DE CONTAS],REL_DRE_FINANCEIRO!$B$241,LANÇ_MOV[ANO PAGAMENTO],$B$4,LANÇ_MOV[MÊS PAGAMENTO CORRESPONDENTE],E$6,LANÇ_MOV[EMPRESA],$C$4,LANÇ_MOV[CENTRO DE CUSTOS],$D$4)</f>
        <v>0</v>
      </c>
      <c r="F339" s="206">
        <f>SUMIFS(LANÇ_MOV[VALOR LÍQUIDO],LANÇ_MOV[RECEITA OU DESPESA],"Despesa",LANÇ_MOV[CONTAS],$C339,LANÇ_MOV[PLANO DE CONTAS],REL_DRE_FINANCEIRO!$B$241,LANÇ_MOV[ANO PAGAMENTO],$B$4,LANÇ_MOV[MÊS PAGAMENTO CORRESPONDENTE],F$6,LANÇ_MOV[EMPRESA],$C$4,LANÇ_MOV[CENTRO DE CUSTOS],$D$4)</f>
        <v>0</v>
      </c>
      <c r="G339" s="206">
        <f>SUMIFS(LANÇ_MOV[VALOR LÍQUIDO],LANÇ_MOV[RECEITA OU DESPESA],"Despesa",LANÇ_MOV[CONTAS],$C339,LANÇ_MOV[PLANO DE CONTAS],REL_DRE_FINANCEIRO!$B$241,LANÇ_MOV[ANO PAGAMENTO],$B$4,LANÇ_MOV[MÊS PAGAMENTO CORRESPONDENTE],G$6,LANÇ_MOV[EMPRESA],$C$4,LANÇ_MOV[CENTRO DE CUSTOS],$D$4)</f>
        <v>0</v>
      </c>
      <c r="H339" s="206">
        <f>SUMIFS(LANÇ_MOV[VALOR LÍQUIDO],LANÇ_MOV[RECEITA OU DESPESA],"Despesa",LANÇ_MOV[CONTAS],$C339,LANÇ_MOV[PLANO DE CONTAS],REL_DRE_FINANCEIRO!$B$241,LANÇ_MOV[ANO PAGAMENTO],$B$4,LANÇ_MOV[MÊS PAGAMENTO CORRESPONDENTE],H$6,LANÇ_MOV[EMPRESA],$C$4,LANÇ_MOV[CENTRO DE CUSTOS],$D$4)</f>
        <v>0</v>
      </c>
      <c r="I339" s="206">
        <f>SUMIFS(LANÇ_MOV[VALOR LÍQUIDO],LANÇ_MOV[RECEITA OU DESPESA],"Despesa",LANÇ_MOV[CONTAS],$C339,LANÇ_MOV[PLANO DE CONTAS],REL_DRE_FINANCEIRO!$B$241,LANÇ_MOV[ANO PAGAMENTO],$B$4,LANÇ_MOV[MÊS PAGAMENTO CORRESPONDENTE],I$6,LANÇ_MOV[EMPRESA],$C$4,LANÇ_MOV[CENTRO DE CUSTOS],$D$4)</f>
        <v>0</v>
      </c>
      <c r="J339" s="206">
        <f>SUMIFS(LANÇ_MOV[VALOR LÍQUIDO],LANÇ_MOV[RECEITA OU DESPESA],"Despesa",LANÇ_MOV[CONTAS],$C339,LANÇ_MOV[PLANO DE CONTAS],REL_DRE_FINANCEIRO!$B$241,LANÇ_MOV[ANO PAGAMENTO],$B$4,LANÇ_MOV[MÊS PAGAMENTO CORRESPONDENTE],J$6,LANÇ_MOV[EMPRESA],$C$4,LANÇ_MOV[CENTRO DE CUSTOS],$D$4)</f>
        <v>0</v>
      </c>
      <c r="K339" s="206">
        <f>SUMIFS(LANÇ_MOV[VALOR LÍQUIDO],LANÇ_MOV[RECEITA OU DESPESA],"Despesa",LANÇ_MOV[CONTAS],$C339,LANÇ_MOV[PLANO DE CONTAS],REL_DRE_FINANCEIRO!$B$241,LANÇ_MOV[ANO PAGAMENTO],$B$4,LANÇ_MOV[MÊS PAGAMENTO CORRESPONDENTE],K$6,LANÇ_MOV[EMPRESA],$C$4,LANÇ_MOV[CENTRO DE CUSTOS],$D$4)</f>
        <v>0</v>
      </c>
      <c r="L339" s="206">
        <f>SUMIFS(LANÇ_MOV[VALOR LÍQUIDO],LANÇ_MOV[RECEITA OU DESPESA],"Despesa",LANÇ_MOV[CONTAS],$C339,LANÇ_MOV[PLANO DE CONTAS],REL_DRE_FINANCEIRO!$B$241,LANÇ_MOV[ANO PAGAMENTO],$B$4,LANÇ_MOV[MÊS PAGAMENTO CORRESPONDENTE],L$6,LANÇ_MOV[EMPRESA],$C$4,LANÇ_MOV[CENTRO DE CUSTOS],$D$4)</f>
        <v>0</v>
      </c>
      <c r="M339" s="206">
        <f>SUMIFS(LANÇ_MOV[VALOR LÍQUIDO],LANÇ_MOV[RECEITA OU DESPESA],"Despesa",LANÇ_MOV[CONTAS],$C339,LANÇ_MOV[PLANO DE CONTAS],REL_DRE_FINANCEIRO!$B$241,LANÇ_MOV[ANO PAGAMENTO],$B$4,LANÇ_MOV[MÊS PAGAMENTO CORRESPONDENTE],M$6,LANÇ_MOV[EMPRESA],$C$4,LANÇ_MOV[CENTRO DE CUSTOS],$D$4)</f>
        <v>0</v>
      </c>
      <c r="N339" s="206">
        <f>SUMIFS(LANÇ_MOV[VALOR LÍQUIDO],LANÇ_MOV[RECEITA OU DESPESA],"Despesa",LANÇ_MOV[CONTAS],$C339,LANÇ_MOV[PLANO DE CONTAS],REL_DRE_FINANCEIRO!$B$241,LANÇ_MOV[ANO PAGAMENTO],$B$4,LANÇ_MOV[MÊS PAGAMENTO CORRESPONDENTE],N$6,LANÇ_MOV[EMPRESA],$C$4,LANÇ_MOV[CENTRO DE CUSTOS],$D$4)</f>
        <v>0</v>
      </c>
      <c r="O339" s="206">
        <f>SUMIFS(LANÇ_MOV[VALOR LÍQUIDO],LANÇ_MOV[RECEITA OU DESPESA],"Despesa",LANÇ_MOV[CONTAS],$C339,LANÇ_MOV[PLANO DE CONTAS],REL_DRE_FINANCEIRO!$B$241,LANÇ_MOV[ANO PAGAMENTO],$B$4,LANÇ_MOV[MÊS PAGAMENTO CORRESPONDENTE],O$6,LANÇ_MOV[EMPRESA],$C$4,LANÇ_MOV[CENTRO DE CUSTOS],$D$4)</f>
        <v>0</v>
      </c>
      <c r="P339" s="207">
        <f t="shared" si="48"/>
        <v>0</v>
      </c>
      <c r="Q339" s="329">
        <v>2.9999999999999999E-7</v>
      </c>
      <c r="R339" s="346">
        <f t="shared" si="49"/>
        <v>2.9999999999999999E-7</v>
      </c>
      <c r="S339" s="347" t="str">
        <f t="shared" si="50"/>
        <v>-</v>
      </c>
      <c r="T339" s="347">
        <f t="shared" si="51"/>
        <v>0</v>
      </c>
      <c r="U339" s="347">
        <f>HLOOKUP(Apoio!$P$12,$D$240:$P$341,X339,FALSE)+Q339</f>
        <v>2.9999999999999999E-7</v>
      </c>
      <c r="V339" s="447" t="str">
        <f t="shared" si="52"/>
        <v>-</v>
      </c>
      <c r="W339" s="448">
        <f>HLOOKUP(Apoio!$P$12,$D$240:$P$341,X339,FALSE)</f>
        <v>0</v>
      </c>
      <c r="X339" s="329">
        <v>100</v>
      </c>
    </row>
    <row r="340" spans="2:27" ht="30.05" customHeight="1" x14ac:dyDescent="0.35">
      <c r="B340" s="204" t="str">
        <f>'CAD_PL_REC-DESP'!N103</f>
        <v>2.2.99</v>
      </c>
      <c r="C340" s="205" t="str">
        <f>IF('CAD_PL_REC-DESP'!O103="","-",'CAD_PL_REC-DESP'!O103)</f>
        <v>-</v>
      </c>
      <c r="D340" s="206">
        <f>SUMIFS(LANÇ_MOV[VALOR LÍQUIDO],LANÇ_MOV[RECEITA OU DESPESA],"Despesa",LANÇ_MOV[CONTAS],$C340,LANÇ_MOV[PLANO DE CONTAS],REL_DRE_FINANCEIRO!$B$241,LANÇ_MOV[ANO PAGAMENTO],$B$4,LANÇ_MOV[MÊS PAGAMENTO CORRESPONDENTE],D$6,LANÇ_MOV[EMPRESA],$C$4,LANÇ_MOV[CENTRO DE CUSTOS],$D$4)</f>
        <v>0</v>
      </c>
      <c r="E340" s="206">
        <f>SUMIFS(LANÇ_MOV[VALOR LÍQUIDO],LANÇ_MOV[RECEITA OU DESPESA],"Despesa",LANÇ_MOV[CONTAS],$C340,LANÇ_MOV[PLANO DE CONTAS],REL_DRE_FINANCEIRO!$B$241,LANÇ_MOV[ANO PAGAMENTO],$B$4,LANÇ_MOV[MÊS PAGAMENTO CORRESPONDENTE],E$6,LANÇ_MOV[EMPRESA],$C$4,LANÇ_MOV[CENTRO DE CUSTOS],$D$4)</f>
        <v>0</v>
      </c>
      <c r="F340" s="206">
        <f>SUMIFS(LANÇ_MOV[VALOR LÍQUIDO],LANÇ_MOV[RECEITA OU DESPESA],"Despesa",LANÇ_MOV[CONTAS],$C340,LANÇ_MOV[PLANO DE CONTAS],REL_DRE_FINANCEIRO!$B$241,LANÇ_MOV[ANO PAGAMENTO],$B$4,LANÇ_MOV[MÊS PAGAMENTO CORRESPONDENTE],F$6,LANÇ_MOV[EMPRESA],$C$4,LANÇ_MOV[CENTRO DE CUSTOS],$D$4)</f>
        <v>0</v>
      </c>
      <c r="G340" s="206">
        <f>SUMIFS(LANÇ_MOV[VALOR LÍQUIDO],LANÇ_MOV[RECEITA OU DESPESA],"Despesa",LANÇ_MOV[CONTAS],$C340,LANÇ_MOV[PLANO DE CONTAS],REL_DRE_FINANCEIRO!$B$241,LANÇ_MOV[ANO PAGAMENTO],$B$4,LANÇ_MOV[MÊS PAGAMENTO CORRESPONDENTE],G$6,LANÇ_MOV[EMPRESA],$C$4,LANÇ_MOV[CENTRO DE CUSTOS],$D$4)</f>
        <v>0</v>
      </c>
      <c r="H340" s="206">
        <f>SUMIFS(LANÇ_MOV[VALOR LÍQUIDO],LANÇ_MOV[RECEITA OU DESPESA],"Despesa",LANÇ_MOV[CONTAS],$C340,LANÇ_MOV[PLANO DE CONTAS],REL_DRE_FINANCEIRO!$B$241,LANÇ_MOV[ANO PAGAMENTO],$B$4,LANÇ_MOV[MÊS PAGAMENTO CORRESPONDENTE],H$6,LANÇ_MOV[EMPRESA],$C$4,LANÇ_MOV[CENTRO DE CUSTOS],$D$4)</f>
        <v>0</v>
      </c>
      <c r="I340" s="206">
        <f>SUMIFS(LANÇ_MOV[VALOR LÍQUIDO],LANÇ_MOV[RECEITA OU DESPESA],"Despesa",LANÇ_MOV[CONTAS],$C340,LANÇ_MOV[PLANO DE CONTAS],REL_DRE_FINANCEIRO!$B$241,LANÇ_MOV[ANO PAGAMENTO],$B$4,LANÇ_MOV[MÊS PAGAMENTO CORRESPONDENTE],I$6,LANÇ_MOV[EMPRESA],$C$4,LANÇ_MOV[CENTRO DE CUSTOS],$D$4)</f>
        <v>0</v>
      </c>
      <c r="J340" s="206">
        <f>SUMIFS(LANÇ_MOV[VALOR LÍQUIDO],LANÇ_MOV[RECEITA OU DESPESA],"Despesa",LANÇ_MOV[CONTAS],$C340,LANÇ_MOV[PLANO DE CONTAS],REL_DRE_FINANCEIRO!$B$241,LANÇ_MOV[ANO PAGAMENTO],$B$4,LANÇ_MOV[MÊS PAGAMENTO CORRESPONDENTE],J$6,LANÇ_MOV[EMPRESA],$C$4,LANÇ_MOV[CENTRO DE CUSTOS],$D$4)</f>
        <v>0</v>
      </c>
      <c r="K340" s="206">
        <f>SUMIFS(LANÇ_MOV[VALOR LÍQUIDO],LANÇ_MOV[RECEITA OU DESPESA],"Despesa",LANÇ_MOV[CONTAS],$C340,LANÇ_MOV[PLANO DE CONTAS],REL_DRE_FINANCEIRO!$B$241,LANÇ_MOV[ANO PAGAMENTO],$B$4,LANÇ_MOV[MÊS PAGAMENTO CORRESPONDENTE],K$6,LANÇ_MOV[EMPRESA],$C$4,LANÇ_MOV[CENTRO DE CUSTOS],$D$4)</f>
        <v>0</v>
      </c>
      <c r="L340" s="206">
        <f>SUMIFS(LANÇ_MOV[VALOR LÍQUIDO],LANÇ_MOV[RECEITA OU DESPESA],"Despesa",LANÇ_MOV[CONTAS],$C340,LANÇ_MOV[PLANO DE CONTAS],REL_DRE_FINANCEIRO!$B$241,LANÇ_MOV[ANO PAGAMENTO],$B$4,LANÇ_MOV[MÊS PAGAMENTO CORRESPONDENTE],L$6,LANÇ_MOV[EMPRESA],$C$4,LANÇ_MOV[CENTRO DE CUSTOS],$D$4)</f>
        <v>0</v>
      </c>
      <c r="M340" s="206">
        <f>SUMIFS(LANÇ_MOV[VALOR LÍQUIDO],LANÇ_MOV[RECEITA OU DESPESA],"Despesa",LANÇ_MOV[CONTAS],$C340,LANÇ_MOV[PLANO DE CONTAS],REL_DRE_FINANCEIRO!$B$241,LANÇ_MOV[ANO PAGAMENTO],$B$4,LANÇ_MOV[MÊS PAGAMENTO CORRESPONDENTE],M$6,LANÇ_MOV[EMPRESA],$C$4,LANÇ_MOV[CENTRO DE CUSTOS],$D$4)</f>
        <v>0</v>
      </c>
      <c r="N340" s="206">
        <f>SUMIFS(LANÇ_MOV[VALOR LÍQUIDO],LANÇ_MOV[RECEITA OU DESPESA],"Despesa",LANÇ_MOV[CONTAS],$C340,LANÇ_MOV[PLANO DE CONTAS],REL_DRE_FINANCEIRO!$B$241,LANÇ_MOV[ANO PAGAMENTO],$B$4,LANÇ_MOV[MÊS PAGAMENTO CORRESPONDENTE],N$6,LANÇ_MOV[EMPRESA],$C$4,LANÇ_MOV[CENTRO DE CUSTOS],$D$4)</f>
        <v>0</v>
      </c>
      <c r="O340" s="206">
        <f>SUMIFS(LANÇ_MOV[VALOR LÍQUIDO],LANÇ_MOV[RECEITA OU DESPESA],"Despesa",LANÇ_MOV[CONTAS],$C340,LANÇ_MOV[PLANO DE CONTAS],REL_DRE_FINANCEIRO!$B$241,LANÇ_MOV[ANO PAGAMENTO],$B$4,LANÇ_MOV[MÊS PAGAMENTO CORRESPONDENTE],O$6,LANÇ_MOV[EMPRESA],$C$4,LANÇ_MOV[CENTRO DE CUSTOS],$D$4)</f>
        <v>0</v>
      </c>
      <c r="P340" s="207">
        <f t="shared" si="48"/>
        <v>0</v>
      </c>
      <c r="Q340" s="329">
        <v>1.9999999999999999E-7</v>
      </c>
      <c r="R340" s="346">
        <f t="shared" si="49"/>
        <v>1.9999999999999999E-7</v>
      </c>
      <c r="S340" s="347" t="str">
        <f t="shared" si="50"/>
        <v>-</v>
      </c>
      <c r="T340" s="347">
        <f t="shared" si="51"/>
        <v>0</v>
      </c>
      <c r="U340" s="347">
        <f>HLOOKUP(Apoio!$P$12,$D$240:$P$341,X340,FALSE)+Q340</f>
        <v>1.9999999999999999E-7</v>
      </c>
      <c r="V340" s="447" t="str">
        <f t="shared" si="52"/>
        <v>-</v>
      </c>
      <c r="W340" s="448">
        <f>HLOOKUP(Apoio!$P$12,$D$240:$P$341,X340,FALSE)</f>
        <v>0</v>
      </c>
      <c r="X340" s="329">
        <v>101</v>
      </c>
    </row>
    <row r="341" spans="2:27" ht="30.05" customHeight="1" x14ac:dyDescent="0.35">
      <c r="B341" s="204" t="str">
        <f>'CAD_PL_REC-DESP'!N104</f>
        <v>2.2.100</v>
      </c>
      <c r="C341" s="205" t="str">
        <f>IF('CAD_PL_REC-DESP'!O104="","-",'CAD_PL_REC-DESP'!O104)</f>
        <v>-</v>
      </c>
      <c r="D341" s="206">
        <f>SUMIFS(LANÇ_MOV[VALOR LÍQUIDO],LANÇ_MOV[RECEITA OU DESPESA],"Despesa",LANÇ_MOV[CONTAS],$C341,LANÇ_MOV[PLANO DE CONTAS],REL_DRE_FINANCEIRO!$B$241,LANÇ_MOV[ANO PAGAMENTO],$B$4,LANÇ_MOV[MÊS PAGAMENTO CORRESPONDENTE],D$6,LANÇ_MOV[EMPRESA],$C$4,LANÇ_MOV[CENTRO DE CUSTOS],$D$4)</f>
        <v>0</v>
      </c>
      <c r="E341" s="206">
        <f>SUMIFS(LANÇ_MOV[VALOR LÍQUIDO],LANÇ_MOV[RECEITA OU DESPESA],"Despesa",LANÇ_MOV[CONTAS],$C341,LANÇ_MOV[PLANO DE CONTAS],REL_DRE_FINANCEIRO!$B$241,LANÇ_MOV[ANO PAGAMENTO],$B$4,LANÇ_MOV[MÊS PAGAMENTO CORRESPONDENTE],E$6,LANÇ_MOV[EMPRESA],$C$4,LANÇ_MOV[CENTRO DE CUSTOS],$D$4)</f>
        <v>0</v>
      </c>
      <c r="F341" s="206">
        <f>SUMIFS(LANÇ_MOV[VALOR LÍQUIDO],LANÇ_MOV[RECEITA OU DESPESA],"Despesa",LANÇ_MOV[CONTAS],$C341,LANÇ_MOV[PLANO DE CONTAS],REL_DRE_FINANCEIRO!$B$241,LANÇ_MOV[ANO PAGAMENTO],$B$4,LANÇ_MOV[MÊS PAGAMENTO CORRESPONDENTE],F$6,LANÇ_MOV[EMPRESA],$C$4,LANÇ_MOV[CENTRO DE CUSTOS],$D$4)</f>
        <v>0</v>
      </c>
      <c r="G341" s="206">
        <f>SUMIFS(LANÇ_MOV[VALOR LÍQUIDO],LANÇ_MOV[RECEITA OU DESPESA],"Despesa",LANÇ_MOV[CONTAS],$C341,LANÇ_MOV[PLANO DE CONTAS],REL_DRE_FINANCEIRO!$B$241,LANÇ_MOV[ANO PAGAMENTO],$B$4,LANÇ_MOV[MÊS PAGAMENTO CORRESPONDENTE],G$6,LANÇ_MOV[EMPRESA],$C$4,LANÇ_MOV[CENTRO DE CUSTOS],$D$4)</f>
        <v>0</v>
      </c>
      <c r="H341" s="206">
        <f>SUMIFS(LANÇ_MOV[VALOR LÍQUIDO],LANÇ_MOV[RECEITA OU DESPESA],"Despesa",LANÇ_MOV[CONTAS],$C341,LANÇ_MOV[PLANO DE CONTAS],REL_DRE_FINANCEIRO!$B$241,LANÇ_MOV[ANO PAGAMENTO],$B$4,LANÇ_MOV[MÊS PAGAMENTO CORRESPONDENTE],H$6,LANÇ_MOV[EMPRESA],$C$4,LANÇ_MOV[CENTRO DE CUSTOS],$D$4)</f>
        <v>0</v>
      </c>
      <c r="I341" s="206">
        <f>SUMIFS(LANÇ_MOV[VALOR LÍQUIDO],LANÇ_MOV[RECEITA OU DESPESA],"Despesa",LANÇ_MOV[CONTAS],$C341,LANÇ_MOV[PLANO DE CONTAS],REL_DRE_FINANCEIRO!$B$241,LANÇ_MOV[ANO PAGAMENTO],$B$4,LANÇ_MOV[MÊS PAGAMENTO CORRESPONDENTE],I$6,LANÇ_MOV[EMPRESA],$C$4,LANÇ_MOV[CENTRO DE CUSTOS],$D$4)</f>
        <v>0</v>
      </c>
      <c r="J341" s="206">
        <f>SUMIFS(LANÇ_MOV[VALOR LÍQUIDO],LANÇ_MOV[RECEITA OU DESPESA],"Despesa",LANÇ_MOV[CONTAS],$C341,LANÇ_MOV[PLANO DE CONTAS],REL_DRE_FINANCEIRO!$B$241,LANÇ_MOV[ANO PAGAMENTO],$B$4,LANÇ_MOV[MÊS PAGAMENTO CORRESPONDENTE],J$6,LANÇ_MOV[EMPRESA],$C$4,LANÇ_MOV[CENTRO DE CUSTOS],$D$4)</f>
        <v>0</v>
      </c>
      <c r="K341" s="206">
        <f>SUMIFS(LANÇ_MOV[VALOR LÍQUIDO],LANÇ_MOV[RECEITA OU DESPESA],"Despesa",LANÇ_MOV[CONTAS],$C341,LANÇ_MOV[PLANO DE CONTAS],REL_DRE_FINANCEIRO!$B$241,LANÇ_MOV[ANO PAGAMENTO],$B$4,LANÇ_MOV[MÊS PAGAMENTO CORRESPONDENTE],K$6,LANÇ_MOV[EMPRESA],$C$4,LANÇ_MOV[CENTRO DE CUSTOS],$D$4)</f>
        <v>0</v>
      </c>
      <c r="L341" s="206">
        <f>SUMIFS(LANÇ_MOV[VALOR LÍQUIDO],LANÇ_MOV[RECEITA OU DESPESA],"Despesa",LANÇ_MOV[CONTAS],$C341,LANÇ_MOV[PLANO DE CONTAS],REL_DRE_FINANCEIRO!$B$241,LANÇ_MOV[ANO PAGAMENTO],$B$4,LANÇ_MOV[MÊS PAGAMENTO CORRESPONDENTE],L$6,LANÇ_MOV[EMPRESA],$C$4,LANÇ_MOV[CENTRO DE CUSTOS],$D$4)</f>
        <v>0</v>
      </c>
      <c r="M341" s="206">
        <f>SUMIFS(LANÇ_MOV[VALOR LÍQUIDO],LANÇ_MOV[RECEITA OU DESPESA],"Despesa",LANÇ_MOV[CONTAS],$C341,LANÇ_MOV[PLANO DE CONTAS],REL_DRE_FINANCEIRO!$B$241,LANÇ_MOV[ANO PAGAMENTO],$B$4,LANÇ_MOV[MÊS PAGAMENTO CORRESPONDENTE],M$6,LANÇ_MOV[EMPRESA],$C$4,LANÇ_MOV[CENTRO DE CUSTOS],$D$4)</f>
        <v>0</v>
      </c>
      <c r="N341" s="206">
        <f>SUMIFS(LANÇ_MOV[VALOR LÍQUIDO],LANÇ_MOV[RECEITA OU DESPESA],"Despesa",LANÇ_MOV[CONTAS],$C341,LANÇ_MOV[PLANO DE CONTAS],REL_DRE_FINANCEIRO!$B$241,LANÇ_MOV[ANO PAGAMENTO],$B$4,LANÇ_MOV[MÊS PAGAMENTO CORRESPONDENTE],N$6,LANÇ_MOV[EMPRESA],$C$4,LANÇ_MOV[CENTRO DE CUSTOS],$D$4)</f>
        <v>0</v>
      </c>
      <c r="O341" s="206">
        <f>SUMIFS(LANÇ_MOV[VALOR LÍQUIDO],LANÇ_MOV[RECEITA OU DESPESA],"Despesa",LANÇ_MOV[CONTAS],$C341,LANÇ_MOV[PLANO DE CONTAS],REL_DRE_FINANCEIRO!$B$241,LANÇ_MOV[ANO PAGAMENTO],$B$4,LANÇ_MOV[MÊS PAGAMENTO CORRESPONDENTE],O$6,LANÇ_MOV[EMPRESA],$C$4,LANÇ_MOV[CENTRO DE CUSTOS],$D$4)</f>
        <v>0</v>
      </c>
      <c r="P341" s="207">
        <f t="shared" si="48"/>
        <v>0</v>
      </c>
      <c r="Q341" s="329">
        <v>9.9999999999999995E-8</v>
      </c>
      <c r="R341" s="346">
        <f t="shared" si="49"/>
        <v>9.9999999999999995E-8</v>
      </c>
      <c r="S341" s="347" t="str">
        <f t="shared" si="50"/>
        <v>-</v>
      </c>
      <c r="T341" s="347">
        <f t="shared" si="51"/>
        <v>0</v>
      </c>
      <c r="U341" s="347">
        <f>HLOOKUP(Apoio!$P$12,$D$240:$P$341,X341,FALSE)+Q341</f>
        <v>9.9999999999999995E-8</v>
      </c>
      <c r="V341" s="447" t="str">
        <f t="shared" si="52"/>
        <v>-</v>
      </c>
      <c r="W341" s="448">
        <f>HLOOKUP(Apoio!$P$12,$D$240:$P$341,X341,FALSE)</f>
        <v>0</v>
      </c>
      <c r="X341" s="329">
        <v>102</v>
      </c>
    </row>
    <row r="342" spans="2:27" ht="6.75" customHeight="1" thickBot="1" x14ac:dyDescent="0.4">
      <c r="D342" s="25" t="s">
        <v>1044</v>
      </c>
      <c r="E342" s="25" t="s">
        <v>1045</v>
      </c>
      <c r="F342" s="25" t="s">
        <v>1046</v>
      </c>
      <c r="G342" s="25" t="s">
        <v>1047</v>
      </c>
      <c r="H342" s="25" t="s">
        <v>1048</v>
      </c>
      <c r="I342" s="25" t="s">
        <v>1049</v>
      </c>
      <c r="J342" s="25" t="s">
        <v>1050</v>
      </c>
      <c r="K342" s="25" t="s">
        <v>1051</v>
      </c>
      <c r="L342" s="25" t="s">
        <v>1052</v>
      </c>
      <c r="M342" s="25" t="s">
        <v>1053</v>
      </c>
      <c r="N342" s="25" t="s">
        <v>1054</v>
      </c>
      <c r="O342" s="25" t="s">
        <v>1055</v>
      </c>
      <c r="P342" s="135" t="s">
        <v>1198</v>
      </c>
      <c r="R342" s="346"/>
      <c r="S342" s="347"/>
      <c r="T342" s="347"/>
      <c r="U342" s="347"/>
      <c r="V342" s="447"/>
      <c r="W342" s="448"/>
      <c r="X342" s="346"/>
    </row>
    <row r="343" spans="2:27" ht="30.05" customHeight="1" thickTop="1" x14ac:dyDescent="0.35">
      <c r="B343" s="601" t="str">
        <f>'CAD_PL_REC-DESP'!R4</f>
        <v>DESPESAS COMERCIAIS</v>
      </c>
      <c r="C343" s="602"/>
      <c r="D343" s="203">
        <f>SUM(D344:D443)</f>
        <v>0</v>
      </c>
      <c r="E343" s="203">
        <f t="shared" ref="E343:O343" si="53">SUM(E344:E443)</f>
        <v>0</v>
      </c>
      <c r="F343" s="203">
        <f t="shared" si="53"/>
        <v>0</v>
      </c>
      <c r="G343" s="203">
        <f t="shared" si="53"/>
        <v>0</v>
      </c>
      <c r="H343" s="203">
        <f t="shared" si="53"/>
        <v>0</v>
      </c>
      <c r="I343" s="203">
        <f t="shared" si="53"/>
        <v>0</v>
      </c>
      <c r="J343" s="203">
        <f t="shared" si="53"/>
        <v>0</v>
      </c>
      <c r="K343" s="203">
        <f t="shared" si="53"/>
        <v>0</v>
      </c>
      <c r="L343" s="203">
        <f t="shared" si="53"/>
        <v>0</v>
      </c>
      <c r="M343" s="203">
        <f t="shared" si="53"/>
        <v>0</v>
      </c>
      <c r="N343" s="203">
        <f t="shared" si="53"/>
        <v>0</v>
      </c>
      <c r="O343" s="203">
        <f t="shared" si="53"/>
        <v>0</v>
      </c>
      <c r="P343" s="203">
        <f>SUM(D343:O343)</f>
        <v>0</v>
      </c>
      <c r="R343" s="346"/>
      <c r="S343" s="347"/>
      <c r="T343" s="347"/>
      <c r="U343" s="347"/>
      <c r="V343" s="447"/>
      <c r="W343" s="448"/>
      <c r="X343" s="346"/>
    </row>
    <row r="344" spans="2:27" ht="30.05" customHeight="1" x14ac:dyDescent="0.35">
      <c r="B344" s="204" t="str">
        <f>'CAD_PL_REC-DESP'!Q5</f>
        <v>2.3.1</v>
      </c>
      <c r="C344" s="205" t="str">
        <f>IF('CAD_PL_REC-DESP'!R5="","-",'CAD_PL_REC-DESP'!R5)</f>
        <v>BRINDES</v>
      </c>
      <c r="D344" s="206">
        <f>SUMIFS(LANÇ_MOV[VALOR LÍQUIDO],LANÇ_MOV[RECEITA OU DESPESA],"Despesa",LANÇ_MOV[CONTAS],$C344,LANÇ_MOV[PLANO DE CONTAS],REL_DRE_FINANCEIRO!$B$343,LANÇ_MOV[ANO PAGAMENTO],$B$4,LANÇ_MOV[MÊS PAGAMENTO CORRESPONDENTE],D$6,LANÇ_MOV[EMPRESA],$C$4,LANÇ_MOV[CENTRO DE CUSTOS],$D$4)</f>
        <v>0</v>
      </c>
      <c r="E344" s="206">
        <f>SUMIFS(LANÇ_MOV[VALOR LÍQUIDO],LANÇ_MOV[RECEITA OU DESPESA],"Despesa",LANÇ_MOV[CONTAS],$C344,LANÇ_MOV[PLANO DE CONTAS],REL_DRE_FINANCEIRO!$B$343,LANÇ_MOV[ANO PAGAMENTO],$B$4,LANÇ_MOV[MÊS PAGAMENTO CORRESPONDENTE],E$6,LANÇ_MOV[EMPRESA],$C$4,LANÇ_MOV[CENTRO DE CUSTOS],$D$4)</f>
        <v>0</v>
      </c>
      <c r="F344" s="206">
        <f>SUMIFS(LANÇ_MOV[VALOR LÍQUIDO],LANÇ_MOV[RECEITA OU DESPESA],"Despesa",LANÇ_MOV[CONTAS],$C344,LANÇ_MOV[PLANO DE CONTAS],REL_DRE_FINANCEIRO!$B$343,LANÇ_MOV[ANO PAGAMENTO],$B$4,LANÇ_MOV[MÊS PAGAMENTO CORRESPONDENTE],F$6,LANÇ_MOV[EMPRESA],$C$4,LANÇ_MOV[CENTRO DE CUSTOS],$D$4)</f>
        <v>0</v>
      </c>
      <c r="G344" s="206">
        <f>SUMIFS(LANÇ_MOV[VALOR LÍQUIDO],LANÇ_MOV[RECEITA OU DESPESA],"Despesa",LANÇ_MOV[CONTAS],$C344,LANÇ_MOV[PLANO DE CONTAS],REL_DRE_FINANCEIRO!$B$343,LANÇ_MOV[ANO PAGAMENTO],$B$4,LANÇ_MOV[MÊS PAGAMENTO CORRESPONDENTE],G$6,LANÇ_MOV[EMPRESA],$C$4,LANÇ_MOV[CENTRO DE CUSTOS],$D$4)</f>
        <v>0</v>
      </c>
      <c r="H344" s="206">
        <f>SUMIFS(LANÇ_MOV[VALOR LÍQUIDO],LANÇ_MOV[RECEITA OU DESPESA],"Despesa",LANÇ_MOV[CONTAS],$C344,LANÇ_MOV[PLANO DE CONTAS],REL_DRE_FINANCEIRO!$B$343,LANÇ_MOV[ANO PAGAMENTO],$B$4,LANÇ_MOV[MÊS PAGAMENTO CORRESPONDENTE],H$6,LANÇ_MOV[EMPRESA],$C$4,LANÇ_MOV[CENTRO DE CUSTOS],$D$4)</f>
        <v>0</v>
      </c>
      <c r="I344" s="206">
        <f>SUMIFS(LANÇ_MOV[VALOR LÍQUIDO],LANÇ_MOV[RECEITA OU DESPESA],"Despesa",LANÇ_MOV[CONTAS],$C344,LANÇ_MOV[PLANO DE CONTAS],REL_DRE_FINANCEIRO!$B$343,LANÇ_MOV[ANO PAGAMENTO],$B$4,LANÇ_MOV[MÊS PAGAMENTO CORRESPONDENTE],I$6,LANÇ_MOV[EMPRESA],$C$4,LANÇ_MOV[CENTRO DE CUSTOS],$D$4)</f>
        <v>0</v>
      </c>
      <c r="J344" s="206">
        <f>SUMIFS(LANÇ_MOV[VALOR LÍQUIDO],LANÇ_MOV[RECEITA OU DESPESA],"Despesa",LANÇ_MOV[CONTAS],$C344,LANÇ_MOV[PLANO DE CONTAS],REL_DRE_FINANCEIRO!$B$343,LANÇ_MOV[ANO PAGAMENTO],$B$4,LANÇ_MOV[MÊS PAGAMENTO CORRESPONDENTE],J$6,LANÇ_MOV[EMPRESA],$C$4,LANÇ_MOV[CENTRO DE CUSTOS],$D$4)</f>
        <v>0</v>
      </c>
      <c r="K344" s="206">
        <f>SUMIFS(LANÇ_MOV[VALOR LÍQUIDO],LANÇ_MOV[RECEITA OU DESPESA],"Despesa",LANÇ_MOV[CONTAS],$C344,LANÇ_MOV[PLANO DE CONTAS],REL_DRE_FINANCEIRO!$B$343,LANÇ_MOV[ANO PAGAMENTO],$B$4,LANÇ_MOV[MÊS PAGAMENTO CORRESPONDENTE],K$6,LANÇ_MOV[EMPRESA],$C$4,LANÇ_MOV[CENTRO DE CUSTOS],$D$4)</f>
        <v>0</v>
      </c>
      <c r="L344" s="206">
        <f>SUMIFS(LANÇ_MOV[VALOR LÍQUIDO],LANÇ_MOV[RECEITA OU DESPESA],"Despesa",LANÇ_MOV[CONTAS],$C344,LANÇ_MOV[PLANO DE CONTAS],REL_DRE_FINANCEIRO!$B$343,LANÇ_MOV[ANO PAGAMENTO],$B$4,LANÇ_MOV[MÊS PAGAMENTO CORRESPONDENTE],L$6,LANÇ_MOV[EMPRESA],$C$4,LANÇ_MOV[CENTRO DE CUSTOS],$D$4)</f>
        <v>0</v>
      </c>
      <c r="M344" s="206">
        <f>SUMIFS(LANÇ_MOV[VALOR LÍQUIDO],LANÇ_MOV[RECEITA OU DESPESA],"Despesa",LANÇ_MOV[CONTAS],$C344,LANÇ_MOV[PLANO DE CONTAS],REL_DRE_FINANCEIRO!$B$343,LANÇ_MOV[ANO PAGAMENTO],$B$4,LANÇ_MOV[MÊS PAGAMENTO CORRESPONDENTE],M$6,LANÇ_MOV[EMPRESA],$C$4,LANÇ_MOV[CENTRO DE CUSTOS],$D$4)</f>
        <v>0</v>
      </c>
      <c r="N344" s="206">
        <f>SUMIFS(LANÇ_MOV[VALOR LÍQUIDO],LANÇ_MOV[RECEITA OU DESPESA],"Despesa",LANÇ_MOV[CONTAS],$C344,LANÇ_MOV[PLANO DE CONTAS],REL_DRE_FINANCEIRO!$B$343,LANÇ_MOV[ANO PAGAMENTO],$B$4,LANÇ_MOV[MÊS PAGAMENTO CORRESPONDENTE],N$6,LANÇ_MOV[EMPRESA],$C$4,LANÇ_MOV[CENTRO DE CUSTOS],$D$4)</f>
        <v>0</v>
      </c>
      <c r="O344" s="206">
        <f>SUMIFS(LANÇ_MOV[VALOR LÍQUIDO],LANÇ_MOV[RECEITA OU DESPESA],"Despesa",LANÇ_MOV[CONTAS],$C344,LANÇ_MOV[PLANO DE CONTAS],REL_DRE_FINANCEIRO!$B$343,LANÇ_MOV[ANO PAGAMENTO],$B$4,LANÇ_MOV[MÊS PAGAMENTO CORRESPONDENTE],O$6,LANÇ_MOV[EMPRESA],$C$4,LANÇ_MOV[CENTRO DE CUSTOS],$D$4)</f>
        <v>0</v>
      </c>
      <c r="P344" s="207">
        <f t="shared" ref="P344:P407" si="54">SUM(D344:O344)</f>
        <v>0</v>
      </c>
      <c r="Q344" s="329">
        <v>1.0000000000000001E-5</v>
      </c>
      <c r="R344" s="346">
        <f>P344+Q344</f>
        <v>1.0000000000000001E-5</v>
      </c>
      <c r="S344" s="347" t="str">
        <f>C344</f>
        <v>BRINDES</v>
      </c>
      <c r="T344" s="347">
        <f>P344</f>
        <v>0</v>
      </c>
      <c r="U344" s="347">
        <f>HLOOKUP(Apoio!$P$12,$D$342:$P$443,X344,FALSE)+Q344</f>
        <v>1.0000000000000001E-5</v>
      </c>
      <c r="V344" s="447" t="str">
        <f>S344</f>
        <v>BRINDES</v>
      </c>
      <c r="W344" s="448">
        <f>HLOOKUP(Apoio!$P$12,$D$342:$P$443,X344,FALSE)</f>
        <v>0</v>
      </c>
      <c r="X344" s="329">
        <v>3</v>
      </c>
      <c r="Y344" s="329">
        <v>1</v>
      </c>
      <c r="Z344" s="340" t="str">
        <f>VLOOKUP(LARGE($R$344:$R$443,Y344),$R$344:$S$443,2,FALSE)</f>
        <v>BRINDES</v>
      </c>
      <c r="AA344" s="340">
        <f>VLOOKUP(Z344,$S$344:$T$443,2,FALSE)</f>
        <v>0</v>
      </c>
    </row>
    <row r="345" spans="2:27" ht="30.05" customHeight="1" x14ac:dyDescent="0.35">
      <c r="B345" s="204" t="str">
        <f>'CAD_PL_REC-DESP'!Q6</f>
        <v>2.3.2</v>
      </c>
      <c r="C345" s="205" t="str">
        <f>IF('CAD_PL_REC-DESP'!R6="","-",'CAD_PL_REC-DESP'!R6)</f>
        <v>MATERIAL DIVULGAÇÃO</v>
      </c>
      <c r="D345" s="206">
        <f>SUMIFS(LANÇ_MOV[VALOR LÍQUIDO],LANÇ_MOV[RECEITA OU DESPESA],"Despesa",LANÇ_MOV[CONTAS],$C345,LANÇ_MOV[PLANO DE CONTAS],REL_DRE_FINANCEIRO!$B$343,LANÇ_MOV[ANO PAGAMENTO],$B$4,LANÇ_MOV[MÊS PAGAMENTO CORRESPONDENTE],D$6,LANÇ_MOV[EMPRESA],$C$4,LANÇ_MOV[CENTRO DE CUSTOS],$D$4)</f>
        <v>0</v>
      </c>
      <c r="E345" s="206">
        <f>SUMIFS(LANÇ_MOV[VALOR LÍQUIDO],LANÇ_MOV[RECEITA OU DESPESA],"Despesa",LANÇ_MOV[CONTAS],$C345,LANÇ_MOV[PLANO DE CONTAS],REL_DRE_FINANCEIRO!$B$343,LANÇ_MOV[ANO PAGAMENTO],$B$4,LANÇ_MOV[MÊS PAGAMENTO CORRESPONDENTE],E$6,LANÇ_MOV[EMPRESA],$C$4,LANÇ_MOV[CENTRO DE CUSTOS],$D$4)</f>
        <v>0</v>
      </c>
      <c r="F345" s="206">
        <f>SUMIFS(LANÇ_MOV[VALOR LÍQUIDO],LANÇ_MOV[RECEITA OU DESPESA],"Despesa",LANÇ_MOV[CONTAS],$C345,LANÇ_MOV[PLANO DE CONTAS],REL_DRE_FINANCEIRO!$B$343,LANÇ_MOV[ANO PAGAMENTO],$B$4,LANÇ_MOV[MÊS PAGAMENTO CORRESPONDENTE],F$6,LANÇ_MOV[EMPRESA],$C$4,LANÇ_MOV[CENTRO DE CUSTOS],$D$4)</f>
        <v>0</v>
      </c>
      <c r="G345" s="206">
        <f>SUMIFS(LANÇ_MOV[VALOR LÍQUIDO],LANÇ_MOV[RECEITA OU DESPESA],"Despesa",LANÇ_MOV[CONTAS],$C345,LANÇ_MOV[PLANO DE CONTAS],REL_DRE_FINANCEIRO!$B$343,LANÇ_MOV[ANO PAGAMENTO],$B$4,LANÇ_MOV[MÊS PAGAMENTO CORRESPONDENTE],G$6,LANÇ_MOV[EMPRESA],$C$4,LANÇ_MOV[CENTRO DE CUSTOS],$D$4)</f>
        <v>0</v>
      </c>
      <c r="H345" s="206">
        <f>SUMIFS(LANÇ_MOV[VALOR LÍQUIDO],LANÇ_MOV[RECEITA OU DESPESA],"Despesa",LANÇ_MOV[CONTAS],$C345,LANÇ_MOV[PLANO DE CONTAS],REL_DRE_FINANCEIRO!$B$343,LANÇ_MOV[ANO PAGAMENTO],$B$4,LANÇ_MOV[MÊS PAGAMENTO CORRESPONDENTE],H$6,LANÇ_MOV[EMPRESA],$C$4,LANÇ_MOV[CENTRO DE CUSTOS],$D$4)</f>
        <v>0</v>
      </c>
      <c r="I345" s="206">
        <f>SUMIFS(LANÇ_MOV[VALOR LÍQUIDO],LANÇ_MOV[RECEITA OU DESPESA],"Despesa",LANÇ_MOV[CONTAS],$C345,LANÇ_MOV[PLANO DE CONTAS],REL_DRE_FINANCEIRO!$B$343,LANÇ_MOV[ANO PAGAMENTO],$B$4,LANÇ_MOV[MÊS PAGAMENTO CORRESPONDENTE],I$6,LANÇ_MOV[EMPRESA],$C$4,LANÇ_MOV[CENTRO DE CUSTOS],$D$4)</f>
        <v>0</v>
      </c>
      <c r="J345" s="206">
        <f>SUMIFS(LANÇ_MOV[VALOR LÍQUIDO],LANÇ_MOV[RECEITA OU DESPESA],"Despesa",LANÇ_MOV[CONTAS],$C345,LANÇ_MOV[PLANO DE CONTAS],REL_DRE_FINANCEIRO!$B$343,LANÇ_MOV[ANO PAGAMENTO],$B$4,LANÇ_MOV[MÊS PAGAMENTO CORRESPONDENTE],J$6,LANÇ_MOV[EMPRESA],$C$4,LANÇ_MOV[CENTRO DE CUSTOS],$D$4)</f>
        <v>0</v>
      </c>
      <c r="K345" s="206">
        <f>SUMIFS(LANÇ_MOV[VALOR LÍQUIDO],LANÇ_MOV[RECEITA OU DESPESA],"Despesa",LANÇ_MOV[CONTAS],$C345,LANÇ_MOV[PLANO DE CONTAS],REL_DRE_FINANCEIRO!$B$343,LANÇ_MOV[ANO PAGAMENTO],$B$4,LANÇ_MOV[MÊS PAGAMENTO CORRESPONDENTE],K$6,LANÇ_MOV[EMPRESA],$C$4,LANÇ_MOV[CENTRO DE CUSTOS],$D$4)</f>
        <v>0</v>
      </c>
      <c r="L345" s="206">
        <f>SUMIFS(LANÇ_MOV[VALOR LÍQUIDO],LANÇ_MOV[RECEITA OU DESPESA],"Despesa",LANÇ_MOV[CONTAS],$C345,LANÇ_MOV[PLANO DE CONTAS],REL_DRE_FINANCEIRO!$B$343,LANÇ_MOV[ANO PAGAMENTO],$B$4,LANÇ_MOV[MÊS PAGAMENTO CORRESPONDENTE],L$6,LANÇ_MOV[EMPRESA],$C$4,LANÇ_MOV[CENTRO DE CUSTOS],$D$4)</f>
        <v>0</v>
      </c>
      <c r="M345" s="206">
        <f>SUMIFS(LANÇ_MOV[VALOR LÍQUIDO],LANÇ_MOV[RECEITA OU DESPESA],"Despesa",LANÇ_MOV[CONTAS],$C345,LANÇ_MOV[PLANO DE CONTAS],REL_DRE_FINANCEIRO!$B$343,LANÇ_MOV[ANO PAGAMENTO],$B$4,LANÇ_MOV[MÊS PAGAMENTO CORRESPONDENTE],M$6,LANÇ_MOV[EMPRESA],$C$4,LANÇ_MOV[CENTRO DE CUSTOS],$D$4)</f>
        <v>0</v>
      </c>
      <c r="N345" s="206">
        <f>SUMIFS(LANÇ_MOV[VALOR LÍQUIDO],LANÇ_MOV[RECEITA OU DESPESA],"Despesa",LANÇ_MOV[CONTAS],$C345,LANÇ_MOV[PLANO DE CONTAS],REL_DRE_FINANCEIRO!$B$343,LANÇ_MOV[ANO PAGAMENTO],$B$4,LANÇ_MOV[MÊS PAGAMENTO CORRESPONDENTE],N$6,LANÇ_MOV[EMPRESA],$C$4,LANÇ_MOV[CENTRO DE CUSTOS],$D$4)</f>
        <v>0</v>
      </c>
      <c r="O345" s="206">
        <f>SUMIFS(LANÇ_MOV[VALOR LÍQUIDO],LANÇ_MOV[RECEITA OU DESPESA],"Despesa",LANÇ_MOV[CONTAS],$C345,LANÇ_MOV[PLANO DE CONTAS],REL_DRE_FINANCEIRO!$B$343,LANÇ_MOV[ANO PAGAMENTO],$B$4,LANÇ_MOV[MÊS PAGAMENTO CORRESPONDENTE],O$6,LANÇ_MOV[EMPRESA],$C$4,LANÇ_MOV[CENTRO DE CUSTOS],$D$4)</f>
        <v>0</v>
      </c>
      <c r="P345" s="207">
        <f t="shared" si="54"/>
        <v>0</v>
      </c>
      <c r="Q345" s="329">
        <v>9.9000000000000001E-6</v>
      </c>
      <c r="R345" s="346">
        <f t="shared" ref="R345:R408" si="55">P345+Q345</f>
        <v>9.9000000000000001E-6</v>
      </c>
      <c r="S345" s="347" t="str">
        <f t="shared" ref="S345:S408" si="56">C345</f>
        <v>MATERIAL DIVULGAÇÃO</v>
      </c>
      <c r="T345" s="347">
        <f t="shared" ref="T345:T408" si="57">P345</f>
        <v>0</v>
      </c>
      <c r="U345" s="347">
        <f>HLOOKUP(Apoio!$P$12,$D$342:$P$443,X345,FALSE)+Q345</f>
        <v>9.9000000000000001E-6</v>
      </c>
      <c r="V345" s="447" t="str">
        <f t="shared" ref="V345:V408" si="58">S345</f>
        <v>MATERIAL DIVULGAÇÃO</v>
      </c>
      <c r="W345" s="448">
        <f>HLOOKUP(Apoio!$P$12,$D$342:$P$443,X345,FALSE)</f>
        <v>0</v>
      </c>
      <c r="X345" s="329">
        <v>4</v>
      </c>
      <c r="Y345" s="329">
        <v>2</v>
      </c>
      <c r="Z345" s="340" t="str">
        <f>VLOOKUP(LARGE($R$344:$R$443,Y345),$R$344:$S$443,2,FALSE)</f>
        <v>MATERIAL DIVULGAÇÃO</v>
      </c>
      <c r="AA345" s="340">
        <f>VLOOKUP(Z345,$S$344:$T$443,2,FALSE)</f>
        <v>0</v>
      </c>
    </row>
    <row r="346" spans="2:27" ht="30.05" customHeight="1" x14ac:dyDescent="0.35">
      <c r="B346" s="204" t="str">
        <f>'CAD_PL_REC-DESP'!Q7</f>
        <v>2.3.3</v>
      </c>
      <c r="C346" s="205" t="str">
        <f>IF('CAD_PL_REC-DESP'!R7="","-",'CAD_PL_REC-DESP'!R7)</f>
        <v>OUTRAS DESPESAS COMERCIAIS</v>
      </c>
      <c r="D346" s="206">
        <f>SUMIFS(LANÇ_MOV[VALOR LÍQUIDO],LANÇ_MOV[RECEITA OU DESPESA],"Despesa",LANÇ_MOV[CONTAS],$C346,LANÇ_MOV[PLANO DE CONTAS],REL_DRE_FINANCEIRO!$B$343,LANÇ_MOV[ANO PAGAMENTO],$B$4,LANÇ_MOV[MÊS PAGAMENTO CORRESPONDENTE],D$6,LANÇ_MOV[EMPRESA],$C$4,LANÇ_MOV[CENTRO DE CUSTOS],$D$4)</f>
        <v>0</v>
      </c>
      <c r="E346" s="206">
        <f>SUMIFS(LANÇ_MOV[VALOR LÍQUIDO],LANÇ_MOV[RECEITA OU DESPESA],"Despesa",LANÇ_MOV[CONTAS],$C346,LANÇ_MOV[PLANO DE CONTAS],REL_DRE_FINANCEIRO!$B$343,LANÇ_MOV[ANO PAGAMENTO],$B$4,LANÇ_MOV[MÊS PAGAMENTO CORRESPONDENTE],E$6,LANÇ_MOV[EMPRESA],$C$4,LANÇ_MOV[CENTRO DE CUSTOS],$D$4)</f>
        <v>0</v>
      </c>
      <c r="F346" s="206">
        <f>SUMIFS(LANÇ_MOV[VALOR LÍQUIDO],LANÇ_MOV[RECEITA OU DESPESA],"Despesa",LANÇ_MOV[CONTAS],$C346,LANÇ_MOV[PLANO DE CONTAS],REL_DRE_FINANCEIRO!$B$343,LANÇ_MOV[ANO PAGAMENTO],$B$4,LANÇ_MOV[MÊS PAGAMENTO CORRESPONDENTE],F$6,LANÇ_MOV[EMPRESA],$C$4,LANÇ_MOV[CENTRO DE CUSTOS],$D$4)</f>
        <v>0</v>
      </c>
      <c r="G346" s="206">
        <f>SUMIFS(LANÇ_MOV[VALOR LÍQUIDO],LANÇ_MOV[RECEITA OU DESPESA],"Despesa",LANÇ_MOV[CONTAS],$C346,LANÇ_MOV[PLANO DE CONTAS],REL_DRE_FINANCEIRO!$B$343,LANÇ_MOV[ANO PAGAMENTO],$B$4,LANÇ_MOV[MÊS PAGAMENTO CORRESPONDENTE],G$6,LANÇ_MOV[EMPRESA],$C$4,LANÇ_MOV[CENTRO DE CUSTOS],$D$4)</f>
        <v>0</v>
      </c>
      <c r="H346" s="206">
        <f>SUMIFS(LANÇ_MOV[VALOR LÍQUIDO],LANÇ_MOV[RECEITA OU DESPESA],"Despesa",LANÇ_MOV[CONTAS],$C346,LANÇ_MOV[PLANO DE CONTAS],REL_DRE_FINANCEIRO!$B$343,LANÇ_MOV[ANO PAGAMENTO],$B$4,LANÇ_MOV[MÊS PAGAMENTO CORRESPONDENTE],H$6,LANÇ_MOV[EMPRESA],$C$4,LANÇ_MOV[CENTRO DE CUSTOS],$D$4)</f>
        <v>0</v>
      </c>
      <c r="I346" s="206">
        <f>SUMIFS(LANÇ_MOV[VALOR LÍQUIDO],LANÇ_MOV[RECEITA OU DESPESA],"Despesa",LANÇ_MOV[CONTAS],$C346,LANÇ_MOV[PLANO DE CONTAS],REL_DRE_FINANCEIRO!$B$343,LANÇ_MOV[ANO PAGAMENTO],$B$4,LANÇ_MOV[MÊS PAGAMENTO CORRESPONDENTE],I$6,LANÇ_MOV[EMPRESA],$C$4,LANÇ_MOV[CENTRO DE CUSTOS],$D$4)</f>
        <v>0</v>
      </c>
      <c r="J346" s="206">
        <f>SUMIFS(LANÇ_MOV[VALOR LÍQUIDO],LANÇ_MOV[RECEITA OU DESPESA],"Despesa",LANÇ_MOV[CONTAS],$C346,LANÇ_MOV[PLANO DE CONTAS],REL_DRE_FINANCEIRO!$B$343,LANÇ_MOV[ANO PAGAMENTO],$B$4,LANÇ_MOV[MÊS PAGAMENTO CORRESPONDENTE],J$6,LANÇ_MOV[EMPRESA],$C$4,LANÇ_MOV[CENTRO DE CUSTOS],$D$4)</f>
        <v>0</v>
      </c>
      <c r="K346" s="206">
        <f>SUMIFS(LANÇ_MOV[VALOR LÍQUIDO],LANÇ_MOV[RECEITA OU DESPESA],"Despesa",LANÇ_MOV[CONTAS],$C346,LANÇ_MOV[PLANO DE CONTAS],REL_DRE_FINANCEIRO!$B$343,LANÇ_MOV[ANO PAGAMENTO],$B$4,LANÇ_MOV[MÊS PAGAMENTO CORRESPONDENTE],K$6,LANÇ_MOV[EMPRESA],$C$4,LANÇ_MOV[CENTRO DE CUSTOS],$D$4)</f>
        <v>0</v>
      </c>
      <c r="L346" s="206">
        <f>SUMIFS(LANÇ_MOV[VALOR LÍQUIDO],LANÇ_MOV[RECEITA OU DESPESA],"Despesa",LANÇ_MOV[CONTAS],$C346,LANÇ_MOV[PLANO DE CONTAS],REL_DRE_FINANCEIRO!$B$343,LANÇ_MOV[ANO PAGAMENTO],$B$4,LANÇ_MOV[MÊS PAGAMENTO CORRESPONDENTE],L$6,LANÇ_MOV[EMPRESA],$C$4,LANÇ_MOV[CENTRO DE CUSTOS],$D$4)</f>
        <v>0</v>
      </c>
      <c r="M346" s="206">
        <f>SUMIFS(LANÇ_MOV[VALOR LÍQUIDO],LANÇ_MOV[RECEITA OU DESPESA],"Despesa",LANÇ_MOV[CONTAS],$C346,LANÇ_MOV[PLANO DE CONTAS],REL_DRE_FINANCEIRO!$B$343,LANÇ_MOV[ANO PAGAMENTO],$B$4,LANÇ_MOV[MÊS PAGAMENTO CORRESPONDENTE],M$6,LANÇ_MOV[EMPRESA],$C$4,LANÇ_MOV[CENTRO DE CUSTOS],$D$4)</f>
        <v>0</v>
      </c>
      <c r="N346" s="206">
        <f>SUMIFS(LANÇ_MOV[VALOR LÍQUIDO],LANÇ_MOV[RECEITA OU DESPESA],"Despesa",LANÇ_MOV[CONTAS],$C346,LANÇ_MOV[PLANO DE CONTAS],REL_DRE_FINANCEIRO!$B$343,LANÇ_MOV[ANO PAGAMENTO],$B$4,LANÇ_MOV[MÊS PAGAMENTO CORRESPONDENTE],N$6,LANÇ_MOV[EMPRESA],$C$4,LANÇ_MOV[CENTRO DE CUSTOS],$D$4)</f>
        <v>0</v>
      </c>
      <c r="O346" s="206">
        <f>SUMIFS(LANÇ_MOV[VALOR LÍQUIDO],LANÇ_MOV[RECEITA OU DESPESA],"Despesa",LANÇ_MOV[CONTAS],$C346,LANÇ_MOV[PLANO DE CONTAS],REL_DRE_FINANCEIRO!$B$343,LANÇ_MOV[ANO PAGAMENTO],$B$4,LANÇ_MOV[MÊS PAGAMENTO CORRESPONDENTE],O$6,LANÇ_MOV[EMPRESA],$C$4,LANÇ_MOV[CENTRO DE CUSTOS],$D$4)</f>
        <v>0</v>
      </c>
      <c r="P346" s="207">
        <f t="shared" si="54"/>
        <v>0</v>
      </c>
      <c r="Q346" s="329">
        <v>9.7999999999999993E-6</v>
      </c>
      <c r="R346" s="346">
        <f t="shared" si="55"/>
        <v>9.7999999999999993E-6</v>
      </c>
      <c r="S346" s="347" t="str">
        <f t="shared" si="56"/>
        <v>OUTRAS DESPESAS COMERCIAIS</v>
      </c>
      <c r="T346" s="347">
        <f t="shared" si="57"/>
        <v>0</v>
      </c>
      <c r="U346" s="347">
        <f>HLOOKUP(Apoio!$P$12,$D$342:$P$443,X346,FALSE)+Q346</f>
        <v>9.7999999999999993E-6</v>
      </c>
      <c r="V346" s="447" t="str">
        <f t="shared" si="58"/>
        <v>OUTRAS DESPESAS COMERCIAIS</v>
      </c>
      <c r="W346" s="448">
        <f>HLOOKUP(Apoio!$P$12,$D$342:$P$443,X346,FALSE)</f>
        <v>0</v>
      </c>
      <c r="X346" s="329">
        <v>5</v>
      </c>
      <c r="Y346" s="329">
        <v>3</v>
      </c>
      <c r="Z346" s="340" t="str">
        <f>VLOOKUP(LARGE($R$344:$R$443,Y346),$R$344:$S$443,2,FALSE)</f>
        <v>OUTRAS DESPESAS COMERCIAIS</v>
      </c>
      <c r="AA346" s="340">
        <f>VLOOKUP(Z346,$S$344:$T$443,2,FALSE)</f>
        <v>0</v>
      </c>
    </row>
    <row r="347" spans="2:27" ht="30.05" customHeight="1" x14ac:dyDescent="0.35">
      <c r="B347" s="204" t="str">
        <f>'CAD_PL_REC-DESP'!Q8</f>
        <v>2.3.4</v>
      </c>
      <c r="C347" s="205" t="str">
        <f>IF('CAD_PL_REC-DESP'!R8="","-",'CAD_PL_REC-DESP'!R8)</f>
        <v>PROPAGANDA</v>
      </c>
      <c r="D347" s="206">
        <f>SUMIFS(LANÇ_MOV[VALOR LÍQUIDO],LANÇ_MOV[RECEITA OU DESPESA],"Despesa",LANÇ_MOV[CONTAS],$C347,LANÇ_MOV[PLANO DE CONTAS],REL_DRE_FINANCEIRO!$B$343,LANÇ_MOV[ANO PAGAMENTO],$B$4,LANÇ_MOV[MÊS PAGAMENTO CORRESPONDENTE],D$6,LANÇ_MOV[EMPRESA],$C$4,LANÇ_MOV[CENTRO DE CUSTOS],$D$4)</f>
        <v>0</v>
      </c>
      <c r="E347" s="206">
        <f>SUMIFS(LANÇ_MOV[VALOR LÍQUIDO],LANÇ_MOV[RECEITA OU DESPESA],"Despesa",LANÇ_MOV[CONTAS],$C347,LANÇ_MOV[PLANO DE CONTAS],REL_DRE_FINANCEIRO!$B$343,LANÇ_MOV[ANO PAGAMENTO],$B$4,LANÇ_MOV[MÊS PAGAMENTO CORRESPONDENTE],E$6,LANÇ_MOV[EMPRESA],$C$4,LANÇ_MOV[CENTRO DE CUSTOS],$D$4)</f>
        <v>0</v>
      </c>
      <c r="F347" s="206">
        <f>SUMIFS(LANÇ_MOV[VALOR LÍQUIDO],LANÇ_MOV[RECEITA OU DESPESA],"Despesa",LANÇ_MOV[CONTAS],$C347,LANÇ_MOV[PLANO DE CONTAS],REL_DRE_FINANCEIRO!$B$343,LANÇ_MOV[ANO PAGAMENTO],$B$4,LANÇ_MOV[MÊS PAGAMENTO CORRESPONDENTE],F$6,LANÇ_MOV[EMPRESA],$C$4,LANÇ_MOV[CENTRO DE CUSTOS],$D$4)</f>
        <v>0</v>
      </c>
      <c r="G347" s="206">
        <f>SUMIFS(LANÇ_MOV[VALOR LÍQUIDO],LANÇ_MOV[RECEITA OU DESPESA],"Despesa",LANÇ_MOV[CONTAS],$C347,LANÇ_MOV[PLANO DE CONTAS],REL_DRE_FINANCEIRO!$B$343,LANÇ_MOV[ANO PAGAMENTO],$B$4,LANÇ_MOV[MÊS PAGAMENTO CORRESPONDENTE],G$6,LANÇ_MOV[EMPRESA],$C$4,LANÇ_MOV[CENTRO DE CUSTOS],$D$4)</f>
        <v>0</v>
      </c>
      <c r="H347" s="206">
        <f>SUMIFS(LANÇ_MOV[VALOR LÍQUIDO],LANÇ_MOV[RECEITA OU DESPESA],"Despesa",LANÇ_MOV[CONTAS],$C347,LANÇ_MOV[PLANO DE CONTAS],REL_DRE_FINANCEIRO!$B$343,LANÇ_MOV[ANO PAGAMENTO],$B$4,LANÇ_MOV[MÊS PAGAMENTO CORRESPONDENTE],H$6,LANÇ_MOV[EMPRESA],$C$4,LANÇ_MOV[CENTRO DE CUSTOS],$D$4)</f>
        <v>0</v>
      </c>
      <c r="I347" s="206">
        <f>SUMIFS(LANÇ_MOV[VALOR LÍQUIDO],LANÇ_MOV[RECEITA OU DESPESA],"Despesa",LANÇ_MOV[CONTAS],$C347,LANÇ_MOV[PLANO DE CONTAS],REL_DRE_FINANCEIRO!$B$343,LANÇ_MOV[ANO PAGAMENTO],$B$4,LANÇ_MOV[MÊS PAGAMENTO CORRESPONDENTE],I$6,LANÇ_MOV[EMPRESA],$C$4,LANÇ_MOV[CENTRO DE CUSTOS],$D$4)</f>
        <v>0</v>
      </c>
      <c r="J347" s="206">
        <f>SUMIFS(LANÇ_MOV[VALOR LÍQUIDO],LANÇ_MOV[RECEITA OU DESPESA],"Despesa",LANÇ_MOV[CONTAS],$C347,LANÇ_MOV[PLANO DE CONTAS],REL_DRE_FINANCEIRO!$B$343,LANÇ_MOV[ANO PAGAMENTO],$B$4,LANÇ_MOV[MÊS PAGAMENTO CORRESPONDENTE],J$6,LANÇ_MOV[EMPRESA],$C$4,LANÇ_MOV[CENTRO DE CUSTOS],$D$4)</f>
        <v>0</v>
      </c>
      <c r="K347" s="206">
        <f>SUMIFS(LANÇ_MOV[VALOR LÍQUIDO],LANÇ_MOV[RECEITA OU DESPESA],"Despesa",LANÇ_MOV[CONTAS],$C347,LANÇ_MOV[PLANO DE CONTAS],REL_DRE_FINANCEIRO!$B$343,LANÇ_MOV[ANO PAGAMENTO],$B$4,LANÇ_MOV[MÊS PAGAMENTO CORRESPONDENTE],K$6,LANÇ_MOV[EMPRESA],$C$4,LANÇ_MOV[CENTRO DE CUSTOS],$D$4)</f>
        <v>0</v>
      </c>
      <c r="L347" s="206">
        <f>SUMIFS(LANÇ_MOV[VALOR LÍQUIDO],LANÇ_MOV[RECEITA OU DESPESA],"Despesa",LANÇ_MOV[CONTAS],$C347,LANÇ_MOV[PLANO DE CONTAS],REL_DRE_FINANCEIRO!$B$343,LANÇ_MOV[ANO PAGAMENTO],$B$4,LANÇ_MOV[MÊS PAGAMENTO CORRESPONDENTE],L$6,LANÇ_MOV[EMPRESA],$C$4,LANÇ_MOV[CENTRO DE CUSTOS],$D$4)</f>
        <v>0</v>
      </c>
      <c r="M347" s="206">
        <f>SUMIFS(LANÇ_MOV[VALOR LÍQUIDO],LANÇ_MOV[RECEITA OU DESPESA],"Despesa",LANÇ_MOV[CONTAS],$C347,LANÇ_MOV[PLANO DE CONTAS],REL_DRE_FINANCEIRO!$B$343,LANÇ_MOV[ANO PAGAMENTO],$B$4,LANÇ_MOV[MÊS PAGAMENTO CORRESPONDENTE],M$6,LANÇ_MOV[EMPRESA],$C$4,LANÇ_MOV[CENTRO DE CUSTOS],$D$4)</f>
        <v>0</v>
      </c>
      <c r="N347" s="206">
        <f>SUMIFS(LANÇ_MOV[VALOR LÍQUIDO],LANÇ_MOV[RECEITA OU DESPESA],"Despesa",LANÇ_MOV[CONTAS],$C347,LANÇ_MOV[PLANO DE CONTAS],REL_DRE_FINANCEIRO!$B$343,LANÇ_MOV[ANO PAGAMENTO],$B$4,LANÇ_MOV[MÊS PAGAMENTO CORRESPONDENTE],N$6,LANÇ_MOV[EMPRESA],$C$4,LANÇ_MOV[CENTRO DE CUSTOS],$D$4)</f>
        <v>0</v>
      </c>
      <c r="O347" s="206">
        <f>SUMIFS(LANÇ_MOV[VALOR LÍQUIDO],LANÇ_MOV[RECEITA OU DESPESA],"Despesa",LANÇ_MOV[CONTAS],$C347,LANÇ_MOV[PLANO DE CONTAS],REL_DRE_FINANCEIRO!$B$343,LANÇ_MOV[ANO PAGAMENTO],$B$4,LANÇ_MOV[MÊS PAGAMENTO CORRESPONDENTE],O$6,LANÇ_MOV[EMPRESA],$C$4,LANÇ_MOV[CENTRO DE CUSTOS],$D$4)</f>
        <v>0</v>
      </c>
      <c r="P347" s="207">
        <f t="shared" si="54"/>
        <v>0</v>
      </c>
      <c r="Q347" s="329">
        <v>9.7000000000000003E-6</v>
      </c>
      <c r="R347" s="346">
        <f t="shared" si="55"/>
        <v>9.7000000000000003E-6</v>
      </c>
      <c r="S347" s="347" t="str">
        <f t="shared" si="56"/>
        <v>PROPAGANDA</v>
      </c>
      <c r="T347" s="347">
        <f t="shared" si="57"/>
        <v>0</v>
      </c>
      <c r="U347" s="347">
        <f>HLOOKUP(Apoio!$P$12,$D$342:$P$443,X347,FALSE)+Q347</f>
        <v>9.7000000000000003E-6</v>
      </c>
      <c r="V347" s="447" t="str">
        <f t="shared" si="58"/>
        <v>PROPAGANDA</v>
      </c>
      <c r="W347" s="448">
        <f>HLOOKUP(Apoio!$P$12,$D$342:$P$443,X347,FALSE)</f>
        <v>0</v>
      </c>
      <c r="X347" s="329">
        <v>6</v>
      </c>
      <c r="Y347" s="329">
        <v>4</v>
      </c>
      <c r="Z347" s="340" t="str">
        <f>VLOOKUP(LARGE($R$344:$R$443,Y347),$R$344:$S$443,2,FALSE)</f>
        <v>PROPAGANDA</v>
      </c>
      <c r="AA347" s="340">
        <f>VLOOKUP(Z347,$S$344:$T$443,2,FALSE)</f>
        <v>0</v>
      </c>
    </row>
    <row r="348" spans="2:27" ht="30.05" customHeight="1" x14ac:dyDescent="0.35">
      <c r="B348" s="204" t="str">
        <f>'CAD_PL_REC-DESP'!Q9</f>
        <v>2.3.5</v>
      </c>
      <c r="C348" s="205" t="str">
        <f>IF('CAD_PL_REC-DESP'!R9="","-",'CAD_PL_REC-DESP'!R9)</f>
        <v>-</v>
      </c>
      <c r="D348" s="206">
        <f>SUMIFS(LANÇ_MOV[VALOR LÍQUIDO],LANÇ_MOV[RECEITA OU DESPESA],"Despesa",LANÇ_MOV[CONTAS],$C348,LANÇ_MOV[PLANO DE CONTAS],REL_DRE_FINANCEIRO!$B$343,LANÇ_MOV[ANO PAGAMENTO],$B$4,LANÇ_MOV[MÊS PAGAMENTO CORRESPONDENTE],D$6,LANÇ_MOV[EMPRESA],$C$4,LANÇ_MOV[CENTRO DE CUSTOS],$D$4)</f>
        <v>0</v>
      </c>
      <c r="E348" s="206">
        <f>SUMIFS(LANÇ_MOV[VALOR LÍQUIDO],LANÇ_MOV[RECEITA OU DESPESA],"Despesa",LANÇ_MOV[CONTAS],$C348,LANÇ_MOV[PLANO DE CONTAS],REL_DRE_FINANCEIRO!$B$343,LANÇ_MOV[ANO PAGAMENTO],$B$4,LANÇ_MOV[MÊS PAGAMENTO CORRESPONDENTE],E$6,LANÇ_MOV[EMPRESA],$C$4,LANÇ_MOV[CENTRO DE CUSTOS],$D$4)</f>
        <v>0</v>
      </c>
      <c r="F348" s="206">
        <f>SUMIFS(LANÇ_MOV[VALOR LÍQUIDO],LANÇ_MOV[RECEITA OU DESPESA],"Despesa",LANÇ_MOV[CONTAS],$C348,LANÇ_MOV[PLANO DE CONTAS],REL_DRE_FINANCEIRO!$B$343,LANÇ_MOV[ANO PAGAMENTO],$B$4,LANÇ_MOV[MÊS PAGAMENTO CORRESPONDENTE],F$6,LANÇ_MOV[EMPRESA],$C$4,LANÇ_MOV[CENTRO DE CUSTOS],$D$4)</f>
        <v>0</v>
      </c>
      <c r="G348" s="206">
        <f>SUMIFS(LANÇ_MOV[VALOR LÍQUIDO],LANÇ_MOV[RECEITA OU DESPESA],"Despesa",LANÇ_MOV[CONTAS],$C348,LANÇ_MOV[PLANO DE CONTAS],REL_DRE_FINANCEIRO!$B$343,LANÇ_MOV[ANO PAGAMENTO],$B$4,LANÇ_MOV[MÊS PAGAMENTO CORRESPONDENTE],G$6,LANÇ_MOV[EMPRESA],$C$4,LANÇ_MOV[CENTRO DE CUSTOS],$D$4)</f>
        <v>0</v>
      </c>
      <c r="H348" s="206">
        <f>SUMIFS(LANÇ_MOV[VALOR LÍQUIDO],LANÇ_MOV[RECEITA OU DESPESA],"Despesa",LANÇ_MOV[CONTAS],$C348,LANÇ_MOV[PLANO DE CONTAS],REL_DRE_FINANCEIRO!$B$343,LANÇ_MOV[ANO PAGAMENTO],$B$4,LANÇ_MOV[MÊS PAGAMENTO CORRESPONDENTE],H$6,LANÇ_MOV[EMPRESA],$C$4,LANÇ_MOV[CENTRO DE CUSTOS],$D$4)</f>
        <v>0</v>
      </c>
      <c r="I348" s="206">
        <f>SUMIFS(LANÇ_MOV[VALOR LÍQUIDO],LANÇ_MOV[RECEITA OU DESPESA],"Despesa",LANÇ_MOV[CONTAS],$C348,LANÇ_MOV[PLANO DE CONTAS],REL_DRE_FINANCEIRO!$B$343,LANÇ_MOV[ANO PAGAMENTO],$B$4,LANÇ_MOV[MÊS PAGAMENTO CORRESPONDENTE],I$6,LANÇ_MOV[EMPRESA],$C$4,LANÇ_MOV[CENTRO DE CUSTOS],$D$4)</f>
        <v>0</v>
      </c>
      <c r="J348" s="206">
        <f>SUMIFS(LANÇ_MOV[VALOR LÍQUIDO],LANÇ_MOV[RECEITA OU DESPESA],"Despesa",LANÇ_MOV[CONTAS],$C348,LANÇ_MOV[PLANO DE CONTAS],REL_DRE_FINANCEIRO!$B$343,LANÇ_MOV[ANO PAGAMENTO],$B$4,LANÇ_MOV[MÊS PAGAMENTO CORRESPONDENTE],J$6,LANÇ_MOV[EMPRESA],$C$4,LANÇ_MOV[CENTRO DE CUSTOS],$D$4)</f>
        <v>0</v>
      </c>
      <c r="K348" s="206">
        <f>SUMIFS(LANÇ_MOV[VALOR LÍQUIDO],LANÇ_MOV[RECEITA OU DESPESA],"Despesa",LANÇ_MOV[CONTAS],$C348,LANÇ_MOV[PLANO DE CONTAS],REL_DRE_FINANCEIRO!$B$343,LANÇ_MOV[ANO PAGAMENTO],$B$4,LANÇ_MOV[MÊS PAGAMENTO CORRESPONDENTE],K$6,LANÇ_MOV[EMPRESA],$C$4,LANÇ_MOV[CENTRO DE CUSTOS],$D$4)</f>
        <v>0</v>
      </c>
      <c r="L348" s="206">
        <f>SUMIFS(LANÇ_MOV[VALOR LÍQUIDO],LANÇ_MOV[RECEITA OU DESPESA],"Despesa",LANÇ_MOV[CONTAS],$C348,LANÇ_MOV[PLANO DE CONTAS],REL_DRE_FINANCEIRO!$B$343,LANÇ_MOV[ANO PAGAMENTO],$B$4,LANÇ_MOV[MÊS PAGAMENTO CORRESPONDENTE],L$6,LANÇ_MOV[EMPRESA],$C$4,LANÇ_MOV[CENTRO DE CUSTOS],$D$4)</f>
        <v>0</v>
      </c>
      <c r="M348" s="206">
        <f>SUMIFS(LANÇ_MOV[VALOR LÍQUIDO],LANÇ_MOV[RECEITA OU DESPESA],"Despesa",LANÇ_MOV[CONTAS],$C348,LANÇ_MOV[PLANO DE CONTAS],REL_DRE_FINANCEIRO!$B$343,LANÇ_MOV[ANO PAGAMENTO],$B$4,LANÇ_MOV[MÊS PAGAMENTO CORRESPONDENTE],M$6,LANÇ_MOV[EMPRESA],$C$4,LANÇ_MOV[CENTRO DE CUSTOS],$D$4)</f>
        <v>0</v>
      </c>
      <c r="N348" s="206">
        <f>SUMIFS(LANÇ_MOV[VALOR LÍQUIDO],LANÇ_MOV[RECEITA OU DESPESA],"Despesa",LANÇ_MOV[CONTAS],$C348,LANÇ_MOV[PLANO DE CONTAS],REL_DRE_FINANCEIRO!$B$343,LANÇ_MOV[ANO PAGAMENTO],$B$4,LANÇ_MOV[MÊS PAGAMENTO CORRESPONDENTE],N$6,LANÇ_MOV[EMPRESA],$C$4,LANÇ_MOV[CENTRO DE CUSTOS],$D$4)</f>
        <v>0</v>
      </c>
      <c r="O348" s="206">
        <f>SUMIFS(LANÇ_MOV[VALOR LÍQUIDO],LANÇ_MOV[RECEITA OU DESPESA],"Despesa",LANÇ_MOV[CONTAS],$C348,LANÇ_MOV[PLANO DE CONTAS],REL_DRE_FINANCEIRO!$B$343,LANÇ_MOV[ANO PAGAMENTO],$B$4,LANÇ_MOV[MÊS PAGAMENTO CORRESPONDENTE],O$6,LANÇ_MOV[EMPRESA],$C$4,LANÇ_MOV[CENTRO DE CUSTOS],$D$4)</f>
        <v>0</v>
      </c>
      <c r="P348" s="207">
        <f t="shared" si="54"/>
        <v>0</v>
      </c>
      <c r="Q348" s="329">
        <v>9.5999999999999996E-6</v>
      </c>
      <c r="R348" s="346">
        <f t="shared" si="55"/>
        <v>9.5999999999999996E-6</v>
      </c>
      <c r="S348" s="347" t="str">
        <f t="shared" si="56"/>
        <v>-</v>
      </c>
      <c r="T348" s="347">
        <f t="shared" si="57"/>
        <v>0</v>
      </c>
      <c r="U348" s="347">
        <f>HLOOKUP(Apoio!$P$12,$D$342:$P$443,X348,FALSE)+Q348</f>
        <v>9.5999999999999996E-6</v>
      </c>
      <c r="V348" s="447" t="str">
        <f t="shared" si="58"/>
        <v>-</v>
      </c>
      <c r="W348" s="448">
        <f>HLOOKUP(Apoio!$P$12,$D$342:$P$443,X348,FALSE)</f>
        <v>0</v>
      </c>
      <c r="X348" s="329">
        <v>7</v>
      </c>
      <c r="Y348" s="329">
        <v>5</v>
      </c>
      <c r="Z348" s="340" t="str">
        <f>VLOOKUP(LARGE($R$344:$R$443,Y348),$R$344:$S$443,2,FALSE)</f>
        <v>-</v>
      </c>
      <c r="AA348" s="340">
        <f>VLOOKUP(Z348,$S$344:$T$443,2,FALSE)</f>
        <v>0</v>
      </c>
    </row>
    <row r="349" spans="2:27" ht="30.05" customHeight="1" x14ac:dyDescent="0.35">
      <c r="B349" s="204" t="str">
        <f>'CAD_PL_REC-DESP'!Q10</f>
        <v>2.3.6</v>
      </c>
      <c r="C349" s="205" t="str">
        <f>IF('CAD_PL_REC-DESP'!R10="","-",'CAD_PL_REC-DESP'!R10)</f>
        <v>-</v>
      </c>
      <c r="D349" s="206">
        <f>SUMIFS(LANÇ_MOV[VALOR LÍQUIDO],LANÇ_MOV[RECEITA OU DESPESA],"Despesa",LANÇ_MOV[CONTAS],$C349,LANÇ_MOV[PLANO DE CONTAS],REL_DRE_FINANCEIRO!$B$343,LANÇ_MOV[ANO PAGAMENTO],$B$4,LANÇ_MOV[MÊS PAGAMENTO CORRESPONDENTE],D$6,LANÇ_MOV[EMPRESA],$C$4,LANÇ_MOV[CENTRO DE CUSTOS],$D$4)</f>
        <v>0</v>
      </c>
      <c r="E349" s="206">
        <f>SUMIFS(LANÇ_MOV[VALOR LÍQUIDO],LANÇ_MOV[RECEITA OU DESPESA],"Despesa",LANÇ_MOV[CONTAS],$C349,LANÇ_MOV[PLANO DE CONTAS],REL_DRE_FINANCEIRO!$B$343,LANÇ_MOV[ANO PAGAMENTO],$B$4,LANÇ_MOV[MÊS PAGAMENTO CORRESPONDENTE],E$6,LANÇ_MOV[EMPRESA],$C$4,LANÇ_MOV[CENTRO DE CUSTOS],$D$4)</f>
        <v>0</v>
      </c>
      <c r="F349" s="206">
        <f>SUMIFS(LANÇ_MOV[VALOR LÍQUIDO],LANÇ_MOV[RECEITA OU DESPESA],"Despesa",LANÇ_MOV[CONTAS],$C349,LANÇ_MOV[PLANO DE CONTAS],REL_DRE_FINANCEIRO!$B$343,LANÇ_MOV[ANO PAGAMENTO],$B$4,LANÇ_MOV[MÊS PAGAMENTO CORRESPONDENTE],F$6,LANÇ_MOV[EMPRESA],$C$4,LANÇ_MOV[CENTRO DE CUSTOS],$D$4)</f>
        <v>0</v>
      </c>
      <c r="G349" s="206">
        <f>SUMIFS(LANÇ_MOV[VALOR LÍQUIDO],LANÇ_MOV[RECEITA OU DESPESA],"Despesa",LANÇ_MOV[CONTAS],$C349,LANÇ_MOV[PLANO DE CONTAS],REL_DRE_FINANCEIRO!$B$343,LANÇ_MOV[ANO PAGAMENTO],$B$4,LANÇ_MOV[MÊS PAGAMENTO CORRESPONDENTE],G$6,LANÇ_MOV[EMPRESA],$C$4,LANÇ_MOV[CENTRO DE CUSTOS],$D$4)</f>
        <v>0</v>
      </c>
      <c r="H349" s="206">
        <f>SUMIFS(LANÇ_MOV[VALOR LÍQUIDO],LANÇ_MOV[RECEITA OU DESPESA],"Despesa",LANÇ_MOV[CONTAS],$C349,LANÇ_MOV[PLANO DE CONTAS],REL_DRE_FINANCEIRO!$B$343,LANÇ_MOV[ANO PAGAMENTO],$B$4,LANÇ_MOV[MÊS PAGAMENTO CORRESPONDENTE],H$6,LANÇ_MOV[EMPRESA],$C$4,LANÇ_MOV[CENTRO DE CUSTOS],$D$4)</f>
        <v>0</v>
      </c>
      <c r="I349" s="206">
        <f>SUMIFS(LANÇ_MOV[VALOR LÍQUIDO],LANÇ_MOV[RECEITA OU DESPESA],"Despesa",LANÇ_MOV[CONTAS],$C349,LANÇ_MOV[PLANO DE CONTAS],REL_DRE_FINANCEIRO!$B$343,LANÇ_MOV[ANO PAGAMENTO],$B$4,LANÇ_MOV[MÊS PAGAMENTO CORRESPONDENTE],I$6,LANÇ_MOV[EMPRESA],$C$4,LANÇ_MOV[CENTRO DE CUSTOS],$D$4)</f>
        <v>0</v>
      </c>
      <c r="J349" s="206">
        <f>SUMIFS(LANÇ_MOV[VALOR LÍQUIDO],LANÇ_MOV[RECEITA OU DESPESA],"Despesa",LANÇ_MOV[CONTAS],$C349,LANÇ_MOV[PLANO DE CONTAS],REL_DRE_FINANCEIRO!$B$343,LANÇ_MOV[ANO PAGAMENTO],$B$4,LANÇ_MOV[MÊS PAGAMENTO CORRESPONDENTE],J$6,LANÇ_MOV[EMPRESA],$C$4,LANÇ_MOV[CENTRO DE CUSTOS],$D$4)</f>
        <v>0</v>
      </c>
      <c r="K349" s="206">
        <f>SUMIFS(LANÇ_MOV[VALOR LÍQUIDO],LANÇ_MOV[RECEITA OU DESPESA],"Despesa",LANÇ_MOV[CONTAS],$C349,LANÇ_MOV[PLANO DE CONTAS],REL_DRE_FINANCEIRO!$B$343,LANÇ_MOV[ANO PAGAMENTO],$B$4,LANÇ_MOV[MÊS PAGAMENTO CORRESPONDENTE],K$6,LANÇ_MOV[EMPRESA],$C$4,LANÇ_MOV[CENTRO DE CUSTOS],$D$4)</f>
        <v>0</v>
      </c>
      <c r="L349" s="206">
        <f>SUMIFS(LANÇ_MOV[VALOR LÍQUIDO],LANÇ_MOV[RECEITA OU DESPESA],"Despesa",LANÇ_MOV[CONTAS],$C349,LANÇ_MOV[PLANO DE CONTAS],REL_DRE_FINANCEIRO!$B$343,LANÇ_MOV[ANO PAGAMENTO],$B$4,LANÇ_MOV[MÊS PAGAMENTO CORRESPONDENTE],L$6,LANÇ_MOV[EMPRESA],$C$4,LANÇ_MOV[CENTRO DE CUSTOS],$D$4)</f>
        <v>0</v>
      </c>
      <c r="M349" s="206">
        <f>SUMIFS(LANÇ_MOV[VALOR LÍQUIDO],LANÇ_MOV[RECEITA OU DESPESA],"Despesa",LANÇ_MOV[CONTAS],$C349,LANÇ_MOV[PLANO DE CONTAS],REL_DRE_FINANCEIRO!$B$343,LANÇ_MOV[ANO PAGAMENTO],$B$4,LANÇ_MOV[MÊS PAGAMENTO CORRESPONDENTE],M$6,LANÇ_MOV[EMPRESA],$C$4,LANÇ_MOV[CENTRO DE CUSTOS],$D$4)</f>
        <v>0</v>
      </c>
      <c r="N349" s="206">
        <f>SUMIFS(LANÇ_MOV[VALOR LÍQUIDO],LANÇ_MOV[RECEITA OU DESPESA],"Despesa",LANÇ_MOV[CONTAS],$C349,LANÇ_MOV[PLANO DE CONTAS],REL_DRE_FINANCEIRO!$B$343,LANÇ_MOV[ANO PAGAMENTO],$B$4,LANÇ_MOV[MÊS PAGAMENTO CORRESPONDENTE],N$6,LANÇ_MOV[EMPRESA],$C$4,LANÇ_MOV[CENTRO DE CUSTOS],$D$4)</f>
        <v>0</v>
      </c>
      <c r="O349" s="206">
        <f>SUMIFS(LANÇ_MOV[VALOR LÍQUIDO],LANÇ_MOV[RECEITA OU DESPESA],"Despesa",LANÇ_MOV[CONTAS],$C349,LANÇ_MOV[PLANO DE CONTAS],REL_DRE_FINANCEIRO!$B$343,LANÇ_MOV[ANO PAGAMENTO],$B$4,LANÇ_MOV[MÊS PAGAMENTO CORRESPONDENTE],O$6,LANÇ_MOV[EMPRESA],$C$4,LANÇ_MOV[CENTRO DE CUSTOS],$D$4)</f>
        <v>0</v>
      </c>
      <c r="P349" s="207">
        <f t="shared" si="54"/>
        <v>0</v>
      </c>
      <c r="Q349" s="329">
        <v>9.5000000000000005E-6</v>
      </c>
      <c r="R349" s="346">
        <f t="shared" si="55"/>
        <v>9.5000000000000005E-6</v>
      </c>
      <c r="S349" s="347" t="str">
        <f t="shared" si="56"/>
        <v>-</v>
      </c>
      <c r="T349" s="347">
        <f t="shared" si="57"/>
        <v>0</v>
      </c>
      <c r="U349" s="347">
        <f>HLOOKUP(Apoio!$P$12,$D$342:$P$443,X349,FALSE)+Q349</f>
        <v>9.5000000000000005E-6</v>
      </c>
      <c r="V349" s="447" t="str">
        <f t="shared" si="58"/>
        <v>-</v>
      </c>
      <c r="W349" s="448">
        <f>HLOOKUP(Apoio!$P$12,$D$342:$P$443,X349,FALSE)</f>
        <v>0</v>
      </c>
      <c r="X349" s="329">
        <v>8</v>
      </c>
      <c r="Z349" s="340" t="s">
        <v>1121</v>
      </c>
      <c r="AA349" s="340" t="s">
        <v>1123</v>
      </c>
    </row>
    <row r="350" spans="2:27" ht="30.05" customHeight="1" x14ac:dyDescent="0.35">
      <c r="B350" s="204" t="str">
        <f>'CAD_PL_REC-DESP'!Q11</f>
        <v>2.3.7</v>
      </c>
      <c r="C350" s="205" t="str">
        <f>IF('CAD_PL_REC-DESP'!R11="","-",'CAD_PL_REC-DESP'!R11)</f>
        <v>-</v>
      </c>
      <c r="D350" s="206">
        <f>SUMIFS(LANÇ_MOV[VALOR LÍQUIDO],LANÇ_MOV[RECEITA OU DESPESA],"Despesa",LANÇ_MOV[CONTAS],$C350,LANÇ_MOV[PLANO DE CONTAS],REL_DRE_FINANCEIRO!$B$343,LANÇ_MOV[ANO PAGAMENTO],$B$4,LANÇ_MOV[MÊS PAGAMENTO CORRESPONDENTE],D$6,LANÇ_MOV[EMPRESA],$C$4,LANÇ_MOV[CENTRO DE CUSTOS],$D$4)</f>
        <v>0</v>
      </c>
      <c r="E350" s="206">
        <f>SUMIFS(LANÇ_MOV[VALOR LÍQUIDO],LANÇ_MOV[RECEITA OU DESPESA],"Despesa",LANÇ_MOV[CONTAS],$C350,LANÇ_MOV[PLANO DE CONTAS],REL_DRE_FINANCEIRO!$B$343,LANÇ_MOV[ANO PAGAMENTO],$B$4,LANÇ_MOV[MÊS PAGAMENTO CORRESPONDENTE],E$6,LANÇ_MOV[EMPRESA],$C$4,LANÇ_MOV[CENTRO DE CUSTOS],$D$4)</f>
        <v>0</v>
      </c>
      <c r="F350" s="206">
        <f>SUMIFS(LANÇ_MOV[VALOR LÍQUIDO],LANÇ_MOV[RECEITA OU DESPESA],"Despesa",LANÇ_MOV[CONTAS],$C350,LANÇ_MOV[PLANO DE CONTAS],REL_DRE_FINANCEIRO!$B$343,LANÇ_MOV[ANO PAGAMENTO],$B$4,LANÇ_MOV[MÊS PAGAMENTO CORRESPONDENTE],F$6,LANÇ_MOV[EMPRESA],$C$4,LANÇ_MOV[CENTRO DE CUSTOS],$D$4)</f>
        <v>0</v>
      </c>
      <c r="G350" s="206">
        <f>SUMIFS(LANÇ_MOV[VALOR LÍQUIDO],LANÇ_MOV[RECEITA OU DESPESA],"Despesa",LANÇ_MOV[CONTAS],$C350,LANÇ_MOV[PLANO DE CONTAS],REL_DRE_FINANCEIRO!$B$343,LANÇ_MOV[ANO PAGAMENTO],$B$4,LANÇ_MOV[MÊS PAGAMENTO CORRESPONDENTE],G$6,LANÇ_MOV[EMPRESA],$C$4,LANÇ_MOV[CENTRO DE CUSTOS],$D$4)</f>
        <v>0</v>
      </c>
      <c r="H350" s="206">
        <f>SUMIFS(LANÇ_MOV[VALOR LÍQUIDO],LANÇ_MOV[RECEITA OU DESPESA],"Despesa",LANÇ_MOV[CONTAS],$C350,LANÇ_MOV[PLANO DE CONTAS],REL_DRE_FINANCEIRO!$B$343,LANÇ_MOV[ANO PAGAMENTO],$B$4,LANÇ_MOV[MÊS PAGAMENTO CORRESPONDENTE],H$6,LANÇ_MOV[EMPRESA],$C$4,LANÇ_MOV[CENTRO DE CUSTOS],$D$4)</f>
        <v>0</v>
      </c>
      <c r="I350" s="206">
        <f>SUMIFS(LANÇ_MOV[VALOR LÍQUIDO],LANÇ_MOV[RECEITA OU DESPESA],"Despesa",LANÇ_MOV[CONTAS],$C350,LANÇ_MOV[PLANO DE CONTAS],REL_DRE_FINANCEIRO!$B$343,LANÇ_MOV[ANO PAGAMENTO],$B$4,LANÇ_MOV[MÊS PAGAMENTO CORRESPONDENTE],I$6,LANÇ_MOV[EMPRESA],$C$4,LANÇ_MOV[CENTRO DE CUSTOS],$D$4)</f>
        <v>0</v>
      </c>
      <c r="J350" s="206">
        <f>SUMIFS(LANÇ_MOV[VALOR LÍQUIDO],LANÇ_MOV[RECEITA OU DESPESA],"Despesa",LANÇ_MOV[CONTAS],$C350,LANÇ_MOV[PLANO DE CONTAS],REL_DRE_FINANCEIRO!$B$343,LANÇ_MOV[ANO PAGAMENTO],$B$4,LANÇ_MOV[MÊS PAGAMENTO CORRESPONDENTE],J$6,LANÇ_MOV[EMPRESA],$C$4,LANÇ_MOV[CENTRO DE CUSTOS],$D$4)</f>
        <v>0</v>
      </c>
      <c r="K350" s="206">
        <f>SUMIFS(LANÇ_MOV[VALOR LÍQUIDO],LANÇ_MOV[RECEITA OU DESPESA],"Despesa",LANÇ_MOV[CONTAS],$C350,LANÇ_MOV[PLANO DE CONTAS],REL_DRE_FINANCEIRO!$B$343,LANÇ_MOV[ANO PAGAMENTO],$B$4,LANÇ_MOV[MÊS PAGAMENTO CORRESPONDENTE],K$6,LANÇ_MOV[EMPRESA],$C$4,LANÇ_MOV[CENTRO DE CUSTOS],$D$4)</f>
        <v>0</v>
      </c>
      <c r="L350" s="206">
        <f>SUMIFS(LANÇ_MOV[VALOR LÍQUIDO],LANÇ_MOV[RECEITA OU DESPESA],"Despesa",LANÇ_MOV[CONTAS],$C350,LANÇ_MOV[PLANO DE CONTAS],REL_DRE_FINANCEIRO!$B$343,LANÇ_MOV[ANO PAGAMENTO],$B$4,LANÇ_MOV[MÊS PAGAMENTO CORRESPONDENTE],L$6,LANÇ_MOV[EMPRESA],$C$4,LANÇ_MOV[CENTRO DE CUSTOS],$D$4)</f>
        <v>0</v>
      </c>
      <c r="M350" s="206">
        <f>SUMIFS(LANÇ_MOV[VALOR LÍQUIDO],LANÇ_MOV[RECEITA OU DESPESA],"Despesa",LANÇ_MOV[CONTAS],$C350,LANÇ_MOV[PLANO DE CONTAS],REL_DRE_FINANCEIRO!$B$343,LANÇ_MOV[ANO PAGAMENTO],$B$4,LANÇ_MOV[MÊS PAGAMENTO CORRESPONDENTE],M$6,LANÇ_MOV[EMPRESA],$C$4,LANÇ_MOV[CENTRO DE CUSTOS],$D$4)</f>
        <v>0</v>
      </c>
      <c r="N350" s="206">
        <f>SUMIFS(LANÇ_MOV[VALOR LÍQUIDO],LANÇ_MOV[RECEITA OU DESPESA],"Despesa",LANÇ_MOV[CONTAS],$C350,LANÇ_MOV[PLANO DE CONTAS],REL_DRE_FINANCEIRO!$B$343,LANÇ_MOV[ANO PAGAMENTO],$B$4,LANÇ_MOV[MÊS PAGAMENTO CORRESPONDENTE],N$6,LANÇ_MOV[EMPRESA],$C$4,LANÇ_MOV[CENTRO DE CUSTOS],$D$4)</f>
        <v>0</v>
      </c>
      <c r="O350" s="206">
        <f>SUMIFS(LANÇ_MOV[VALOR LÍQUIDO],LANÇ_MOV[RECEITA OU DESPESA],"Despesa",LANÇ_MOV[CONTAS],$C350,LANÇ_MOV[PLANO DE CONTAS],REL_DRE_FINANCEIRO!$B$343,LANÇ_MOV[ANO PAGAMENTO],$B$4,LANÇ_MOV[MÊS PAGAMENTO CORRESPONDENTE],O$6,LANÇ_MOV[EMPRESA],$C$4,LANÇ_MOV[CENTRO DE CUSTOS],$D$4)</f>
        <v>0</v>
      </c>
      <c r="P350" s="207">
        <f t="shared" si="54"/>
        <v>0</v>
      </c>
      <c r="Q350" s="329">
        <v>9.3999999999999998E-6</v>
      </c>
      <c r="R350" s="346">
        <f t="shared" si="55"/>
        <v>9.3999999999999998E-6</v>
      </c>
      <c r="S350" s="347" t="str">
        <f t="shared" si="56"/>
        <v>-</v>
      </c>
      <c r="T350" s="347">
        <f t="shared" si="57"/>
        <v>0</v>
      </c>
      <c r="U350" s="347">
        <f>HLOOKUP(Apoio!$P$12,$D$342:$P$443,X350,FALSE)+Q350</f>
        <v>9.3999999999999998E-6</v>
      </c>
      <c r="V350" s="447" t="str">
        <f t="shared" si="58"/>
        <v>-</v>
      </c>
      <c r="W350" s="448">
        <f>HLOOKUP(Apoio!$P$12,$D$342:$P$443,X350,FALSE)</f>
        <v>0</v>
      </c>
      <c r="X350" s="329">
        <v>9</v>
      </c>
      <c r="Y350" s="329">
        <v>1</v>
      </c>
      <c r="Z350" s="340" t="str">
        <f>VLOOKUP(LARGE($U$344:$U$443,Y350),$U$344:$V$443,2,FALSE)</f>
        <v>BRINDES</v>
      </c>
      <c r="AA350" s="340">
        <f>VLOOKUP(Z350,$V$344:$W$443,2,FALSE)</f>
        <v>0</v>
      </c>
    </row>
    <row r="351" spans="2:27" ht="30.05" customHeight="1" x14ac:dyDescent="0.35">
      <c r="B351" s="204" t="str">
        <f>'CAD_PL_REC-DESP'!Q12</f>
        <v>2.3.8</v>
      </c>
      <c r="C351" s="205" t="str">
        <f>IF('CAD_PL_REC-DESP'!R12="","-",'CAD_PL_REC-DESP'!R12)</f>
        <v>-</v>
      </c>
      <c r="D351" s="206">
        <f>SUMIFS(LANÇ_MOV[VALOR LÍQUIDO],LANÇ_MOV[RECEITA OU DESPESA],"Despesa",LANÇ_MOV[CONTAS],$C351,LANÇ_MOV[PLANO DE CONTAS],REL_DRE_FINANCEIRO!$B$343,LANÇ_MOV[ANO PAGAMENTO],$B$4,LANÇ_MOV[MÊS PAGAMENTO CORRESPONDENTE],D$6,LANÇ_MOV[EMPRESA],$C$4,LANÇ_MOV[CENTRO DE CUSTOS],$D$4)</f>
        <v>0</v>
      </c>
      <c r="E351" s="206">
        <f>SUMIFS(LANÇ_MOV[VALOR LÍQUIDO],LANÇ_MOV[RECEITA OU DESPESA],"Despesa",LANÇ_MOV[CONTAS],$C351,LANÇ_MOV[PLANO DE CONTAS],REL_DRE_FINANCEIRO!$B$343,LANÇ_MOV[ANO PAGAMENTO],$B$4,LANÇ_MOV[MÊS PAGAMENTO CORRESPONDENTE],E$6,LANÇ_MOV[EMPRESA],$C$4,LANÇ_MOV[CENTRO DE CUSTOS],$D$4)</f>
        <v>0</v>
      </c>
      <c r="F351" s="206">
        <f>SUMIFS(LANÇ_MOV[VALOR LÍQUIDO],LANÇ_MOV[RECEITA OU DESPESA],"Despesa",LANÇ_MOV[CONTAS],$C351,LANÇ_MOV[PLANO DE CONTAS],REL_DRE_FINANCEIRO!$B$343,LANÇ_MOV[ANO PAGAMENTO],$B$4,LANÇ_MOV[MÊS PAGAMENTO CORRESPONDENTE],F$6,LANÇ_MOV[EMPRESA],$C$4,LANÇ_MOV[CENTRO DE CUSTOS],$D$4)</f>
        <v>0</v>
      </c>
      <c r="G351" s="206">
        <f>SUMIFS(LANÇ_MOV[VALOR LÍQUIDO],LANÇ_MOV[RECEITA OU DESPESA],"Despesa",LANÇ_MOV[CONTAS],$C351,LANÇ_MOV[PLANO DE CONTAS],REL_DRE_FINANCEIRO!$B$343,LANÇ_MOV[ANO PAGAMENTO],$B$4,LANÇ_MOV[MÊS PAGAMENTO CORRESPONDENTE],G$6,LANÇ_MOV[EMPRESA],$C$4,LANÇ_MOV[CENTRO DE CUSTOS],$D$4)</f>
        <v>0</v>
      </c>
      <c r="H351" s="206">
        <f>SUMIFS(LANÇ_MOV[VALOR LÍQUIDO],LANÇ_MOV[RECEITA OU DESPESA],"Despesa",LANÇ_MOV[CONTAS],$C351,LANÇ_MOV[PLANO DE CONTAS],REL_DRE_FINANCEIRO!$B$343,LANÇ_MOV[ANO PAGAMENTO],$B$4,LANÇ_MOV[MÊS PAGAMENTO CORRESPONDENTE],H$6,LANÇ_MOV[EMPRESA],$C$4,LANÇ_MOV[CENTRO DE CUSTOS],$D$4)</f>
        <v>0</v>
      </c>
      <c r="I351" s="206">
        <f>SUMIFS(LANÇ_MOV[VALOR LÍQUIDO],LANÇ_MOV[RECEITA OU DESPESA],"Despesa",LANÇ_MOV[CONTAS],$C351,LANÇ_MOV[PLANO DE CONTAS],REL_DRE_FINANCEIRO!$B$343,LANÇ_MOV[ANO PAGAMENTO],$B$4,LANÇ_MOV[MÊS PAGAMENTO CORRESPONDENTE],I$6,LANÇ_MOV[EMPRESA],$C$4,LANÇ_MOV[CENTRO DE CUSTOS],$D$4)</f>
        <v>0</v>
      </c>
      <c r="J351" s="206">
        <f>SUMIFS(LANÇ_MOV[VALOR LÍQUIDO],LANÇ_MOV[RECEITA OU DESPESA],"Despesa",LANÇ_MOV[CONTAS],$C351,LANÇ_MOV[PLANO DE CONTAS],REL_DRE_FINANCEIRO!$B$343,LANÇ_MOV[ANO PAGAMENTO],$B$4,LANÇ_MOV[MÊS PAGAMENTO CORRESPONDENTE],J$6,LANÇ_MOV[EMPRESA],$C$4,LANÇ_MOV[CENTRO DE CUSTOS],$D$4)</f>
        <v>0</v>
      </c>
      <c r="K351" s="206">
        <f>SUMIFS(LANÇ_MOV[VALOR LÍQUIDO],LANÇ_MOV[RECEITA OU DESPESA],"Despesa",LANÇ_MOV[CONTAS],$C351,LANÇ_MOV[PLANO DE CONTAS],REL_DRE_FINANCEIRO!$B$343,LANÇ_MOV[ANO PAGAMENTO],$B$4,LANÇ_MOV[MÊS PAGAMENTO CORRESPONDENTE],K$6,LANÇ_MOV[EMPRESA],$C$4,LANÇ_MOV[CENTRO DE CUSTOS],$D$4)</f>
        <v>0</v>
      </c>
      <c r="L351" s="206">
        <f>SUMIFS(LANÇ_MOV[VALOR LÍQUIDO],LANÇ_MOV[RECEITA OU DESPESA],"Despesa",LANÇ_MOV[CONTAS],$C351,LANÇ_MOV[PLANO DE CONTAS],REL_DRE_FINANCEIRO!$B$343,LANÇ_MOV[ANO PAGAMENTO],$B$4,LANÇ_MOV[MÊS PAGAMENTO CORRESPONDENTE],L$6,LANÇ_MOV[EMPRESA],$C$4,LANÇ_MOV[CENTRO DE CUSTOS],$D$4)</f>
        <v>0</v>
      </c>
      <c r="M351" s="206">
        <f>SUMIFS(LANÇ_MOV[VALOR LÍQUIDO],LANÇ_MOV[RECEITA OU DESPESA],"Despesa",LANÇ_MOV[CONTAS],$C351,LANÇ_MOV[PLANO DE CONTAS],REL_DRE_FINANCEIRO!$B$343,LANÇ_MOV[ANO PAGAMENTO],$B$4,LANÇ_MOV[MÊS PAGAMENTO CORRESPONDENTE],M$6,LANÇ_MOV[EMPRESA],$C$4,LANÇ_MOV[CENTRO DE CUSTOS],$D$4)</f>
        <v>0</v>
      </c>
      <c r="N351" s="206">
        <f>SUMIFS(LANÇ_MOV[VALOR LÍQUIDO],LANÇ_MOV[RECEITA OU DESPESA],"Despesa",LANÇ_MOV[CONTAS],$C351,LANÇ_MOV[PLANO DE CONTAS],REL_DRE_FINANCEIRO!$B$343,LANÇ_MOV[ANO PAGAMENTO],$B$4,LANÇ_MOV[MÊS PAGAMENTO CORRESPONDENTE],N$6,LANÇ_MOV[EMPRESA],$C$4,LANÇ_MOV[CENTRO DE CUSTOS],$D$4)</f>
        <v>0</v>
      </c>
      <c r="O351" s="206">
        <f>SUMIFS(LANÇ_MOV[VALOR LÍQUIDO],LANÇ_MOV[RECEITA OU DESPESA],"Despesa",LANÇ_MOV[CONTAS],$C351,LANÇ_MOV[PLANO DE CONTAS],REL_DRE_FINANCEIRO!$B$343,LANÇ_MOV[ANO PAGAMENTO],$B$4,LANÇ_MOV[MÊS PAGAMENTO CORRESPONDENTE],O$6,LANÇ_MOV[EMPRESA],$C$4,LANÇ_MOV[CENTRO DE CUSTOS],$D$4)</f>
        <v>0</v>
      </c>
      <c r="P351" s="207">
        <f t="shared" si="54"/>
        <v>0</v>
      </c>
      <c r="Q351" s="329">
        <v>9.3000000000000007E-6</v>
      </c>
      <c r="R351" s="346">
        <f t="shared" si="55"/>
        <v>9.3000000000000007E-6</v>
      </c>
      <c r="S351" s="347" t="str">
        <f t="shared" si="56"/>
        <v>-</v>
      </c>
      <c r="T351" s="347">
        <f t="shared" si="57"/>
        <v>0</v>
      </c>
      <c r="U351" s="347">
        <f>HLOOKUP(Apoio!$P$12,$D$342:$P$443,X351,FALSE)+Q351</f>
        <v>9.3000000000000007E-6</v>
      </c>
      <c r="V351" s="447" t="str">
        <f t="shared" si="58"/>
        <v>-</v>
      </c>
      <c r="W351" s="448">
        <f>HLOOKUP(Apoio!$P$12,$D$342:$P$443,X351,FALSE)</f>
        <v>0</v>
      </c>
      <c r="X351" s="329">
        <v>10</v>
      </c>
      <c r="Y351" s="329">
        <v>2</v>
      </c>
      <c r="Z351" s="340" t="str">
        <f>VLOOKUP(LARGE($U$344:$U$443,Y351),$U$344:$V$443,2,FALSE)</f>
        <v>MATERIAL DIVULGAÇÃO</v>
      </c>
      <c r="AA351" s="340">
        <f>VLOOKUP(Z351,$V$344:$W$443,2,FALSE)</f>
        <v>0</v>
      </c>
    </row>
    <row r="352" spans="2:27" ht="30.05" customHeight="1" x14ac:dyDescent="0.35">
      <c r="B352" s="204" t="str">
        <f>'CAD_PL_REC-DESP'!Q13</f>
        <v>2.3.9</v>
      </c>
      <c r="C352" s="205" t="str">
        <f>IF('CAD_PL_REC-DESP'!R13="","-",'CAD_PL_REC-DESP'!R13)</f>
        <v>-</v>
      </c>
      <c r="D352" s="206">
        <f>SUMIFS(LANÇ_MOV[VALOR LÍQUIDO],LANÇ_MOV[RECEITA OU DESPESA],"Despesa",LANÇ_MOV[CONTAS],$C352,LANÇ_MOV[PLANO DE CONTAS],REL_DRE_FINANCEIRO!$B$343,LANÇ_MOV[ANO PAGAMENTO],$B$4,LANÇ_MOV[MÊS PAGAMENTO CORRESPONDENTE],D$6,LANÇ_MOV[EMPRESA],$C$4,LANÇ_MOV[CENTRO DE CUSTOS],$D$4)</f>
        <v>0</v>
      </c>
      <c r="E352" s="206">
        <f>SUMIFS(LANÇ_MOV[VALOR LÍQUIDO],LANÇ_MOV[RECEITA OU DESPESA],"Despesa",LANÇ_MOV[CONTAS],$C352,LANÇ_MOV[PLANO DE CONTAS],REL_DRE_FINANCEIRO!$B$343,LANÇ_MOV[ANO PAGAMENTO],$B$4,LANÇ_MOV[MÊS PAGAMENTO CORRESPONDENTE],E$6,LANÇ_MOV[EMPRESA],$C$4,LANÇ_MOV[CENTRO DE CUSTOS],$D$4)</f>
        <v>0</v>
      </c>
      <c r="F352" s="206">
        <f>SUMIFS(LANÇ_MOV[VALOR LÍQUIDO],LANÇ_MOV[RECEITA OU DESPESA],"Despesa",LANÇ_MOV[CONTAS],$C352,LANÇ_MOV[PLANO DE CONTAS],REL_DRE_FINANCEIRO!$B$343,LANÇ_MOV[ANO PAGAMENTO],$B$4,LANÇ_MOV[MÊS PAGAMENTO CORRESPONDENTE],F$6,LANÇ_MOV[EMPRESA],$C$4,LANÇ_MOV[CENTRO DE CUSTOS],$D$4)</f>
        <v>0</v>
      </c>
      <c r="G352" s="206">
        <f>SUMIFS(LANÇ_MOV[VALOR LÍQUIDO],LANÇ_MOV[RECEITA OU DESPESA],"Despesa",LANÇ_MOV[CONTAS],$C352,LANÇ_MOV[PLANO DE CONTAS],REL_DRE_FINANCEIRO!$B$343,LANÇ_MOV[ANO PAGAMENTO],$B$4,LANÇ_MOV[MÊS PAGAMENTO CORRESPONDENTE],G$6,LANÇ_MOV[EMPRESA],$C$4,LANÇ_MOV[CENTRO DE CUSTOS],$D$4)</f>
        <v>0</v>
      </c>
      <c r="H352" s="206">
        <f>SUMIFS(LANÇ_MOV[VALOR LÍQUIDO],LANÇ_MOV[RECEITA OU DESPESA],"Despesa",LANÇ_MOV[CONTAS],$C352,LANÇ_MOV[PLANO DE CONTAS],REL_DRE_FINANCEIRO!$B$343,LANÇ_MOV[ANO PAGAMENTO],$B$4,LANÇ_MOV[MÊS PAGAMENTO CORRESPONDENTE],H$6,LANÇ_MOV[EMPRESA],$C$4,LANÇ_MOV[CENTRO DE CUSTOS],$D$4)</f>
        <v>0</v>
      </c>
      <c r="I352" s="206">
        <f>SUMIFS(LANÇ_MOV[VALOR LÍQUIDO],LANÇ_MOV[RECEITA OU DESPESA],"Despesa",LANÇ_MOV[CONTAS],$C352,LANÇ_MOV[PLANO DE CONTAS],REL_DRE_FINANCEIRO!$B$343,LANÇ_MOV[ANO PAGAMENTO],$B$4,LANÇ_MOV[MÊS PAGAMENTO CORRESPONDENTE],I$6,LANÇ_MOV[EMPRESA],$C$4,LANÇ_MOV[CENTRO DE CUSTOS],$D$4)</f>
        <v>0</v>
      </c>
      <c r="J352" s="206">
        <f>SUMIFS(LANÇ_MOV[VALOR LÍQUIDO],LANÇ_MOV[RECEITA OU DESPESA],"Despesa",LANÇ_MOV[CONTAS],$C352,LANÇ_MOV[PLANO DE CONTAS],REL_DRE_FINANCEIRO!$B$343,LANÇ_MOV[ANO PAGAMENTO],$B$4,LANÇ_MOV[MÊS PAGAMENTO CORRESPONDENTE],J$6,LANÇ_MOV[EMPRESA],$C$4,LANÇ_MOV[CENTRO DE CUSTOS],$D$4)</f>
        <v>0</v>
      </c>
      <c r="K352" s="206">
        <f>SUMIFS(LANÇ_MOV[VALOR LÍQUIDO],LANÇ_MOV[RECEITA OU DESPESA],"Despesa",LANÇ_MOV[CONTAS],$C352,LANÇ_MOV[PLANO DE CONTAS],REL_DRE_FINANCEIRO!$B$343,LANÇ_MOV[ANO PAGAMENTO],$B$4,LANÇ_MOV[MÊS PAGAMENTO CORRESPONDENTE],K$6,LANÇ_MOV[EMPRESA],$C$4,LANÇ_MOV[CENTRO DE CUSTOS],$D$4)</f>
        <v>0</v>
      </c>
      <c r="L352" s="206">
        <f>SUMIFS(LANÇ_MOV[VALOR LÍQUIDO],LANÇ_MOV[RECEITA OU DESPESA],"Despesa",LANÇ_MOV[CONTAS],$C352,LANÇ_MOV[PLANO DE CONTAS],REL_DRE_FINANCEIRO!$B$343,LANÇ_MOV[ANO PAGAMENTO],$B$4,LANÇ_MOV[MÊS PAGAMENTO CORRESPONDENTE],L$6,LANÇ_MOV[EMPRESA],$C$4,LANÇ_MOV[CENTRO DE CUSTOS],$D$4)</f>
        <v>0</v>
      </c>
      <c r="M352" s="206">
        <f>SUMIFS(LANÇ_MOV[VALOR LÍQUIDO],LANÇ_MOV[RECEITA OU DESPESA],"Despesa",LANÇ_MOV[CONTAS],$C352,LANÇ_MOV[PLANO DE CONTAS],REL_DRE_FINANCEIRO!$B$343,LANÇ_MOV[ANO PAGAMENTO],$B$4,LANÇ_MOV[MÊS PAGAMENTO CORRESPONDENTE],M$6,LANÇ_MOV[EMPRESA],$C$4,LANÇ_MOV[CENTRO DE CUSTOS],$D$4)</f>
        <v>0</v>
      </c>
      <c r="N352" s="206">
        <f>SUMIFS(LANÇ_MOV[VALOR LÍQUIDO],LANÇ_MOV[RECEITA OU DESPESA],"Despesa",LANÇ_MOV[CONTAS],$C352,LANÇ_MOV[PLANO DE CONTAS],REL_DRE_FINANCEIRO!$B$343,LANÇ_MOV[ANO PAGAMENTO],$B$4,LANÇ_MOV[MÊS PAGAMENTO CORRESPONDENTE],N$6,LANÇ_MOV[EMPRESA],$C$4,LANÇ_MOV[CENTRO DE CUSTOS],$D$4)</f>
        <v>0</v>
      </c>
      <c r="O352" s="206">
        <f>SUMIFS(LANÇ_MOV[VALOR LÍQUIDO],LANÇ_MOV[RECEITA OU DESPESA],"Despesa",LANÇ_MOV[CONTAS],$C352,LANÇ_MOV[PLANO DE CONTAS],REL_DRE_FINANCEIRO!$B$343,LANÇ_MOV[ANO PAGAMENTO],$B$4,LANÇ_MOV[MÊS PAGAMENTO CORRESPONDENTE],O$6,LANÇ_MOV[EMPRESA],$C$4,LANÇ_MOV[CENTRO DE CUSTOS],$D$4)</f>
        <v>0</v>
      </c>
      <c r="P352" s="207">
        <f t="shared" si="54"/>
        <v>0</v>
      </c>
      <c r="Q352" s="329">
        <v>9.2E-6</v>
      </c>
      <c r="R352" s="346">
        <f t="shared" si="55"/>
        <v>9.2E-6</v>
      </c>
      <c r="S352" s="347" t="str">
        <f t="shared" si="56"/>
        <v>-</v>
      </c>
      <c r="T352" s="347">
        <f t="shared" si="57"/>
        <v>0</v>
      </c>
      <c r="U352" s="347">
        <f>HLOOKUP(Apoio!$P$12,$D$342:$P$443,X352,FALSE)+Q352</f>
        <v>9.2E-6</v>
      </c>
      <c r="V352" s="447" t="str">
        <f t="shared" si="58"/>
        <v>-</v>
      </c>
      <c r="W352" s="448">
        <f>HLOOKUP(Apoio!$P$12,$D$342:$P$443,X352,FALSE)</f>
        <v>0</v>
      </c>
      <c r="X352" s="329">
        <v>11</v>
      </c>
      <c r="Y352" s="329">
        <v>3</v>
      </c>
      <c r="Z352" s="340" t="str">
        <f>VLOOKUP(LARGE($U$344:$U$443,Y352),$U$344:$V$443,2,FALSE)</f>
        <v>OUTRAS DESPESAS COMERCIAIS</v>
      </c>
      <c r="AA352" s="340">
        <f>VLOOKUP(Z352,$V$344:$W$443,2,FALSE)</f>
        <v>0</v>
      </c>
    </row>
    <row r="353" spans="2:27" ht="30.05" customHeight="1" x14ac:dyDescent="0.35">
      <c r="B353" s="204" t="str">
        <f>'CAD_PL_REC-DESP'!Q14</f>
        <v>2.3.10</v>
      </c>
      <c r="C353" s="205" t="str">
        <f>IF('CAD_PL_REC-DESP'!R14="","-",'CAD_PL_REC-DESP'!R14)</f>
        <v>-</v>
      </c>
      <c r="D353" s="206">
        <f>SUMIFS(LANÇ_MOV[VALOR LÍQUIDO],LANÇ_MOV[RECEITA OU DESPESA],"Despesa",LANÇ_MOV[CONTAS],$C353,LANÇ_MOV[PLANO DE CONTAS],REL_DRE_FINANCEIRO!$B$343,LANÇ_MOV[ANO PAGAMENTO],$B$4,LANÇ_MOV[MÊS PAGAMENTO CORRESPONDENTE],D$6,LANÇ_MOV[EMPRESA],$C$4,LANÇ_MOV[CENTRO DE CUSTOS],$D$4)</f>
        <v>0</v>
      </c>
      <c r="E353" s="206">
        <f>SUMIFS(LANÇ_MOV[VALOR LÍQUIDO],LANÇ_MOV[RECEITA OU DESPESA],"Despesa",LANÇ_MOV[CONTAS],$C353,LANÇ_MOV[PLANO DE CONTAS],REL_DRE_FINANCEIRO!$B$343,LANÇ_MOV[ANO PAGAMENTO],$B$4,LANÇ_MOV[MÊS PAGAMENTO CORRESPONDENTE],E$6,LANÇ_MOV[EMPRESA],$C$4,LANÇ_MOV[CENTRO DE CUSTOS],$D$4)</f>
        <v>0</v>
      </c>
      <c r="F353" s="206">
        <f>SUMIFS(LANÇ_MOV[VALOR LÍQUIDO],LANÇ_MOV[RECEITA OU DESPESA],"Despesa",LANÇ_MOV[CONTAS],$C353,LANÇ_MOV[PLANO DE CONTAS],REL_DRE_FINANCEIRO!$B$343,LANÇ_MOV[ANO PAGAMENTO],$B$4,LANÇ_MOV[MÊS PAGAMENTO CORRESPONDENTE],F$6,LANÇ_MOV[EMPRESA],$C$4,LANÇ_MOV[CENTRO DE CUSTOS],$D$4)</f>
        <v>0</v>
      </c>
      <c r="G353" s="206">
        <f>SUMIFS(LANÇ_MOV[VALOR LÍQUIDO],LANÇ_MOV[RECEITA OU DESPESA],"Despesa",LANÇ_MOV[CONTAS],$C353,LANÇ_MOV[PLANO DE CONTAS],REL_DRE_FINANCEIRO!$B$343,LANÇ_MOV[ANO PAGAMENTO],$B$4,LANÇ_MOV[MÊS PAGAMENTO CORRESPONDENTE],G$6,LANÇ_MOV[EMPRESA],$C$4,LANÇ_MOV[CENTRO DE CUSTOS],$D$4)</f>
        <v>0</v>
      </c>
      <c r="H353" s="206">
        <f>SUMIFS(LANÇ_MOV[VALOR LÍQUIDO],LANÇ_MOV[RECEITA OU DESPESA],"Despesa",LANÇ_MOV[CONTAS],$C353,LANÇ_MOV[PLANO DE CONTAS],REL_DRE_FINANCEIRO!$B$343,LANÇ_MOV[ANO PAGAMENTO],$B$4,LANÇ_MOV[MÊS PAGAMENTO CORRESPONDENTE],H$6,LANÇ_MOV[EMPRESA],$C$4,LANÇ_MOV[CENTRO DE CUSTOS],$D$4)</f>
        <v>0</v>
      </c>
      <c r="I353" s="206">
        <f>SUMIFS(LANÇ_MOV[VALOR LÍQUIDO],LANÇ_MOV[RECEITA OU DESPESA],"Despesa",LANÇ_MOV[CONTAS],$C353,LANÇ_MOV[PLANO DE CONTAS],REL_DRE_FINANCEIRO!$B$343,LANÇ_MOV[ANO PAGAMENTO],$B$4,LANÇ_MOV[MÊS PAGAMENTO CORRESPONDENTE],I$6,LANÇ_MOV[EMPRESA],$C$4,LANÇ_MOV[CENTRO DE CUSTOS],$D$4)</f>
        <v>0</v>
      </c>
      <c r="J353" s="206">
        <f>SUMIFS(LANÇ_MOV[VALOR LÍQUIDO],LANÇ_MOV[RECEITA OU DESPESA],"Despesa",LANÇ_MOV[CONTAS],$C353,LANÇ_MOV[PLANO DE CONTAS],REL_DRE_FINANCEIRO!$B$343,LANÇ_MOV[ANO PAGAMENTO],$B$4,LANÇ_MOV[MÊS PAGAMENTO CORRESPONDENTE],J$6,LANÇ_MOV[EMPRESA],$C$4,LANÇ_MOV[CENTRO DE CUSTOS],$D$4)</f>
        <v>0</v>
      </c>
      <c r="K353" s="206">
        <f>SUMIFS(LANÇ_MOV[VALOR LÍQUIDO],LANÇ_MOV[RECEITA OU DESPESA],"Despesa",LANÇ_MOV[CONTAS],$C353,LANÇ_MOV[PLANO DE CONTAS],REL_DRE_FINANCEIRO!$B$343,LANÇ_MOV[ANO PAGAMENTO],$B$4,LANÇ_MOV[MÊS PAGAMENTO CORRESPONDENTE],K$6,LANÇ_MOV[EMPRESA],$C$4,LANÇ_MOV[CENTRO DE CUSTOS],$D$4)</f>
        <v>0</v>
      </c>
      <c r="L353" s="206">
        <f>SUMIFS(LANÇ_MOV[VALOR LÍQUIDO],LANÇ_MOV[RECEITA OU DESPESA],"Despesa",LANÇ_MOV[CONTAS],$C353,LANÇ_MOV[PLANO DE CONTAS],REL_DRE_FINANCEIRO!$B$343,LANÇ_MOV[ANO PAGAMENTO],$B$4,LANÇ_MOV[MÊS PAGAMENTO CORRESPONDENTE],L$6,LANÇ_MOV[EMPRESA],$C$4,LANÇ_MOV[CENTRO DE CUSTOS],$D$4)</f>
        <v>0</v>
      </c>
      <c r="M353" s="206">
        <f>SUMIFS(LANÇ_MOV[VALOR LÍQUIDO],LANÇ_MOV[RECEITA OU DESPESA],"Despesa",LANÇ_MOV[CONTAS],$C353,LANÇ_MOV[PLANO DE CONTAS],REL_DRE_FINANCEIRO!$B$343,LANÇ_MOV[ANO PAGAMENTO],$B$4,LANÇ_MOV[MÊS PAGAMENTO CORRESPONDENTE],M$6,LANÇ_MOV[EMPRESA],$C$4,LANÇ_MOV[CENTRO DE CUSTOS],$D$4)</f>
        <v>0</v>
      </c>
      <c r="N353" s="206">
        <f>SUMIFS(LANÇ_MOV[VALOR LÍQUIDO],LANÇ_MOV[RECEITA OU DESPESA],"Despesa",LANÇ_MOV[CONTAS],$C353,LANÇ_MOV[PLANO DE CONTAS],REL_DRE_FINANCEIRO!$B$343,LANÇ_MOV[ANO PAGAMENTO],$B$4,LANÇ_MOV[MÊS PAGAMENTO CORRESPONDENTE],N$6,LANÇ_MOV[EMPRESA],$C$4,LANÇ_MOV[CENTRO DE CUSTOS],$D$4)</f>
        <v>0</v>
      </c>
      <c r="O353" s="206">
        <f>SUMIFS(LANÇ_MOV[VALOR LÍQUIDO],LANÇ_MOV[RECEITA OU DESPESA],"Despesa",LANÇ_MOV[CONTAS],$C353,LANÇ_MOV[PLANO DE CONTAS],REL_DRE_FINANCEIRO!$B$343,LANÇ_MOV[ANO PAGAMENTO],$B$4,LANÇ_MOV[MÊS PAGAMENTO CORRESPONDENTE],O$6,LANÇ_MOV[EMPRESA],$C$4,LANÇ_MOV[CENTRO DE CUSTOS],$D$4)</f>
        <v>0</v>
      </c>
      <c r="P353" s="207">
        <f t="shared" si="54"/>
        <v>0</v>
      </c>
      <c r="Q353" s="329">
        <v>9.0999999999999993E-6</v>
      </c>
      <c r="R353" s="346">
        <f t="shared" si="55"/>
        <v>9.0999999999999993E-6</v>
      </c>
      <c r="S353" s="347" t="str">
        <f t="shared" si="56"/>
        <v>-</v>
      </c>
      <c r="T353" s="347">
        <f t="shared" si="57"/>
        <v>0</v>
      </c>
      <c r="U353" s="347">
        <f>HLOOKUP(Apoio!$P$12,$D$342:$P$443,X353,FALSE)+Q353</f>
        <v>9.0999999999999993E-6</v>
      </c>
      <c r="V353" s="447" t="str">
        <f t="shared" si="58"/>
        <v>-</v>
      </c>
      <c r="W353" s="448">
        <f>HLOOKUP(Apoio!$P$12,$D$342:$P$443,X353,FALSE)</f>
        <v>0</v>
      </c>
      <c r="X353" s="329">
        <v>12</v>
      </c>
      <c r="Y353" s="329">
        <v>4</v>
      </c>
      <c r="Z353" s="340" t="str">
        <f>VLOOKUP(LARGE($U$344:$U$443,Y353),$U$344:$V$443,2,FALSE)</f>
        <v>PROPAGANDA</v>
      </c>
      <c r="AA353" s="340">
        <f>VLOOKUP(Z353,$V$344:$W$443,2,FALSE)</f>
        <v>0</v>
      </c>
    </row>
    <row r="354" spans="2:27" ht="30.05" customHeight="1" x14ac:dyDescent="0.35">
      <c r="B354" s="204" t="str">
        <f>'CAD_PL_REC-DESP'!Q15</f>
        <v>2.3.11</v>
      </c>
      <c r="C354" s="205" t="str">
        <f>IF('CAD_PL_REC-DESP'!R15="","-",'CAD_PL_REC-DESP'!R15)</f>
        <v>-</v>
      </c>
      <c r="D354" s="206">
        <f>SUMIFS(LANÇ_MOV[VALOR LÍQUIDO],LANÇ_MOV[RECEITA OU DESPESA],"Despesa",LANÇ_MOV[CONTAS],$C354,LANÇ_MOV[PLANO DE CONTAS],REL_DRE_FINANCEIRO!$B$343,LANÇ_MOV[ANO PAGAMENTO],$B$4,LANÇ_MOV[MÊS PAGAMENTO CORRESPONDENTE],D$6,LANÇ_MOV[EMPRESA],$C$4,LANÇ_MOV[CENTRO DE CUSTOS],$D$4)</f>
        <v>0</v>
      </c>
      <c r="E354" s="206">
        <f>SUMIFS(LANÇ_MOV[VALOR LÍQUIDO],LANÇ_MOV[RECEITA OU DESPESA],"Despesa",LANÇ_MOV[CONTAS],$C354,LANÇ_MOV[PLANO DE CONTAS],REL_DRE_FINANCEIRO!$B$343,LANÇ_MOV[ANO PAGAMENTO],$B$4,LANÇ_MOV[MÊS PAGAMENTO CORRESPONDENTE],E$6,LANÇ_MOV[EMPRESA],$C$4,LANÇ_MOV[CENTRO DE CUSTOS],$D$4)</f>
        <v>0</v>
      </c>
      <c r="F354" s="206">
        <f>SUMIFS(LANÇ_MOV[VALOR LÍQUIDO],LANÇ_MOV[RECEITA OU DESPESA],"Despesa",LANÇ_MOV[CONTAS],$C354,LANÇ_MOV[PLANO DE CONTAS],REL_DRE_FINANCEIRO!$B$343,LANÇ_MOV[ANO PAGAMENTO],$B$4,LANÇ_MOV[MÊS PAGAMENTO CORRESPONDENTE],F$6,LANÇ_MOV[EMPRESA],$C$4,LANÇ_MOV[CENTRO DE CUSTOS],$D$4)</f>
        <v>0</v>
      </c>
      <c r="G354" s="206">
        <f>SUMIFS(LANÇ_MOV[VALOR LÍQUIDO],LANÇ_MOV[RECEITA OU DESPESA],"Despesa",LANÇ_MOV[CONTAS],$C354,LANÇ_MOV[PLANO DE CONTAS],REL_DRE_FINANCEIRO!$B$343,LANÇ_MOV[ANO PAGAMENTO],$B$4,LANÇ_MOV[MÊS PAGAMENTO CORRESPONDENTE],G$6,LANÇ_MOV[EMPRESA],$C$4,LANÇ_MOV[CENTRO DE CUSTOS],$D$4)</f>
        <v>0</v>
      </c>
      <c r="H354" s="206">
        <f>SUMIFS(LANÇ_MOV[VALOR LÍQUIDO],LANÇ_MOV[RECEITA OU DESPESA],"Despesa",LANÇ_MOV[CONTAS],$C354,LANÇ_MOV[PLANO DE CONTAS],REL_DRE_FINANCEIRO!$B$343,LANÇ_MOV[ANO PAGAMENTO],$B$4,LANÇ_MOV[MÊS PAGAMENTO CORRESPONDENTE],H$6,LANÇ_MOV[EMPRESA],$C$4,LANÇ_MOV[CENTRO DE CUSTOS],$D$4)</f>
        <v>0</v>
      </c>
      <c r="I354" s="206">
        <f>SUMIFS(LANÇ_MOV[VALOR LÍQUIDO],LANÇ_MOV[RECEITA OU DESPESA],"Despesa",LANÇ_MOV[CONTAS],$C354,LANÇ_MOV[PLANO DE CONTAS],REL_DRE_FINANCEIRO!$B$343,LANÇ_MOV[ANO PAGAMENTO],$B$4,LANÇ_MOV[MÊS PAGAMENTO CORRESPONDENTE],I$6,LANÇ_MOV[EMPRESA],$C$4,LANÇ_MOV[CENTRO DE CUSTOS],$D$4)</f>
        <v>0</v>
      </c>
      <c r="J354" s="206">
        <f>SUMIFS(LANÇ_MOV[VALOR LÍQUIDO],LANÇ_MOV[RECEITA OU DESPESA],"Despesa",LANÇ_MOV[CONTAS],$C354,LANÇ_MOV[PLANO DE CONTAS],REL_DRE_FINANCEIRO!$B$343,LANÇ_MOV[ANO PAGAMENTO],$B$4,LANÇ_MOV[MÊS PAGAMENTO CORRESPONDENTE],J$6,LANÇ_MOV[EMPRESA],$C$4,LANÇ_MOV[CENTRO DE CUSTOS],$D$4)</f>
        <v>0</v>
      </c>
      <c r="K354" s="206">
        <f>SUMIFS(LANÇ_MOV[VALOR LÍQUIDO],LANÇ_MOV[RECEITA OU DESPESA],"Despesa",LANÇ_MOV[CONTAS],$C354,LANÇ_MOV[PLANO DE CONTAS],REL_DRE_FINANCEIRO!$B$343,LANÇ_MOV[ANO PAGAMENTO],$B$4,LANÇ_MOV[MÊS PAGAMENTO CORRESPONDENTE],K$6,LANÇ_MOV[EMPRESA],$C$4,LANÇ_MOV[CENTRO DE CUSTOS],$D$4)</f>
        <v>0</v>
      </c>
      <c r="L354" s="206">
        <f>SUMIFS(LANÇ_MOV[VALOR LÍQUIDO],LANÇ_MOV[RECEITA OU DESPESA],"Despesa",LANÇ_MOV[CONTAS],$C354,LANÇ_MOV[PLANO DE CONTAS],REL_DRE_FINANCEIRO!$B$343,LANÇ_MOV[ANO PAGAMENTO],$B$4,LANÇ_MOV[MÊS PAGAMENTO CORRESPONDENTE],L$6,LANÇ_MOV[EMPRESA],$C$4,LANÇ_MOV[CENTRO DE CUSTOS],$D$4)</f>
        <v>0</v>
      </c>
      <c r="M354" s="206">
        <f>SUMIFS(LANÇ_MOV[VALOR LÍQUIDO],LANÇ_MOV[RECEITA OU DESPESA],"Despesa",LANÇ_MOV[CONTAS],$C354,LANÇ_MOV[PLANO DE CONTAS],REL_DRE_FINANCEIRO!$B$343,LANÇ_MOV[ANO PAGAMENTO],$B$4,LANÇ_MOV[MÊS PAGAMENTO CORRESPONDENTE],M$6,LANÇ_MOV[EMPRESA],$C$4,LANÇ_MOV[CENTRO DE CUSTOS],$D$4)</f>
        <v>0</v>
      </c>
      <c r="N354" s="206">
        <f>SUMIFS(LANÇ_MOV[VALOR LÍQUIDO],LANÇ_MOV[RECEITA OU DESPESA],"Despesa",LANÇ_MOV[CONTAS],$C354,LANÇ_MOV[PLANO DE CONTAS],REL_DRE_FINANCEIRO!$B$343,LANÇ_MOV[ANO PAGAMENTO],$B$4,LANÇ_MOV[MÊS PAGAMENTO CORRESPONDENTE],N$6,LANÇ_MOV[EMPRESA],$C$4,LANÇ_MOV[CENTRO DE CUSTOS],$D$4)</f>
        <v>0</v>
      </c>
      <c r="O354" s="206">
        <f>SUMIFS(LANÇ_MOV[VALOR LÍQUIDO],LANÇ_MOV[RECEITA OU DESPESA],"Despesa",LANÇ_MOV[CONTAS],$C354,LANÇ_MOV[PLANO DE CONTAS],REL_DRE_FINANCEIRO!$B$343,LANÇ_MOV[ANO PAGAMENTO],$B$4,LANÇ_MOV[MÊS PAGAMENTO CORRESPONDENTE],O$6,LANÇ_MOV[EMPRESA],$C$4,LANÇ_MOV[CENTRO DE CUSTOS],$D$4)</f>
        <v>0</v>
      </c>
      <c r="P354" s="207">
        <f t="shared" si="54"/>
        <v>0</v>
      </c>
      <c r="Q354" s="329">
        <v>9.0000000000000002E-6</v>
      </c>
      <c r="R354" s="346">
        <f t="shared" si="55"/>
        <v>9.0000000000000002E-6</v>
      </c>
      <c r="S354" s="347" t="str">
        <f t="shared" si="56"/>
        <v>-</v>
      </c>
      <c r="T354" s="347">
        <f t="shared" si="57"/>
        <v>0</v>
      </c>
      <c r="U354" s="347">
        <f>HLOOKUP(Apoio!$P$12,$D$342:$P$443,X354,FALSE)+Q354</f>
        <v>9.0000000000000002E-6</v>
      </c>
      <c r="V354" s="447" t="str">
        <f t="shared" si="58"/>
        <v>-</v>
      </c>
      <c r="W354" s="448">
        <f>HLOOKUP(Apoio!$P$12,$D$342:$P$443,X354,FALSE)</f>
        <v>0</v>
      </c>
      <c r="X354" s="329">
        <v>13</v>
      </c>
      <c r="Y354" s="329">
        <v>5</v>
      </c>
      <c r="Z354" s="340" t="str">
        <f>VLOOKUP(LARGE($U$344:$U$443,Y354),$U$344:$V$443,2,FALSE)</f>
        <v>-</v>
      </c>
      <c r="AA354" s="340">
        <f>VLOOKUP(Z354,$V$344:$W$443,2,FALSE)</f>
        <v>0</v>
      </c>
    </row>
    <row r="355" spans="2:27" ht="30.05" customHeight="1" x14ac:dyDescent="0.35">
      <c r="B355" s="204" t="str">
        <f>'CAD_PL_REC-DESP'!Q16</f>
        <v>2.3.12</v>
      </c>
      <c r="C355" s="205" t="str">
        <f>IF('CAD_PL_REC-DESP'!R16="","-",'CAD_PL_REC-DESP'!R16)</f>
        <v>-</v>
      </c>
      <c r="D355" s="206">
        <f>SUMIFS(LANÇ_MOV[VALOR LÍQUIDO],LANÇ_MOV[RECEITA OU DESPESA],"Despesa",LANÇ_MOV[CONTAS],$C355,LANÇ_MOV[PLANO DE CONTAS],REL_DRE_FINANCEIRO!$B$343,LANÇ_MOV[ANO PAGAMENTO],$B$4,LANÇ_MOV[MÊS PAGAMENTO CORRESPONDENTE],D$6,LANÇ_MOV[EMPRESA],$C$4,LANÇ_MOV[CENTRO DE CUSTOS],$D$4)</f>
        <v>0</v>
      </c>
      <c r="E355" s="206">
        <f>SUMIFS(LANÇ_MOV[VALOR LÍQUIDO],LANÇ_MOV[RECEITA OU DESPESA],"Despesa",LANÇ_MOV[CONTAS],$C355,LANÇ_MOV[PLANO DE CONTAS],REL_DRE_FINANCEIRO!$B$343,LANÇ_MOV[ANO PAGAMENTO],$B$4,LANÇ_MOV[MÊS PAGAMENTO CORRESPONDENTE],E$6,LANÇ_MOV[EMPRESA],$C$4,LANÇ_MOV[CENTRO DE CUSTOS],$D$4)</f>
        <v>0</v>
      </c>
      <c r="F355" s="206">
        <f>SUMIFS(LANÇ_MOV[VALOR LÍQUIDO],LANÇ_MOV[RECEITA OU DESPESA],"Despesa",LANÇ_MOV[CONTAS],$C355,LANÇ_MOV[PLANO DE CONTAS],REL_DRE_FINANCEIRO!$B$343,LANÇ_MOV[ANO PAGAMENTO],$B$4,LANÇ_MOV[MÊS PAGAMENTO CORRESPONDENTE],F$6,LANÇ_MOV[EMPRESA],$C$4,LANÇ_MOV[CENTRO DE CUSTOS],$D$4)</f>
        <v>0</v>
      </c>
      <c r="G355" s="206">
        <f>SUMIFS(LANÇ_MOV[VALOR LÍQUIDO],LANÇ_MOV[RECEITA OU DESPESA],"Despesa",LANÇ_MOV[CONTAS],$C355,LANÇ_MOV[PLANO DE CONTAS],REL_DRE_FINANCEIRO!$B$343,LANÇ_MOV[ANO PAGAMENTO],$B$4,LANÇ_MOV[MÊS PAGAMENTO CORRESPONDENTE],G$6,LANÇ_MOV[EMPRESA],$C$4,LANÇ_MOV[CENTRO DE CUSTOS],$D$4)</f>
        <v>0</v>
      </c>
      <c r="H355" s="206">
        <f>SUMIFS(LANÇ_MOV[VALOR LÍQUIDO],LANÇ_MOV[RECEITA OU DESPESA],"Despesa",LANÇ_MOV[CONTAS],$C355,LANÇ_MOV[PLANO DE CONTAS],REL_DRE_FINANCEIRO!$B$343,LANÇ_MOV[ANO PAGAMENTO],$B$4,LANÇ_MOV[MÊS PAGAMENTO CORRESPONDENTE],H$6,LANÇ_MOV[EMPRESA],$C$4,LANÇ_MOV[CENTRO DE CUSTOS],$D$4)</f>
        <v>0</v>
      </c>
      <c r="I355" s="206">
        <f>SUMIFS(LANÇ_MOV[VALOR LÍQUIDO],LANÇ_MOV[RECEITA OU DESPESA],"Despesa",LANÇ_MOV[CONTAS],$C355,LANÇ_MOV[PLANO DE CONTAS],REL_DRE_FINANCEIRO!$B$343,LANÇ_MOV[ANO PAGAMENTO],$B$4,LANÇ_MOV[MÊS PAGAMENTO CORRESPONDENTE],I$6,LANÇ_MOV[EMPRESA],$C$4,LANÇ_MOV[CENTRO DE CUSTOS],$D$4)</f>
        <v>0</v>
      </c>
      <c r="J355" s="206">
        <f>SUMIFS(LANÇ_MOV[VALOR LÍQUIDO],LANÇ_MOV[RECEITA OU DESPESA],"Despesa",LANÇ_MOV[CONTAS],$C355,LANÇ_MOV[PLANO DE CONTAS],REL_DRE_FINANCEIRO!$B$343,LANÇ_MOV[ANO PAGAMENTO],$B$4,LANÇ_MOV[MÊS PAGAMENTO CORRESPONDENTE],J$6,LANÇ_MOV[EMPRESA],$C$4,LANÇ_MOV[CENTRO DE CUSTOS],$D$4)</f>
        <v>0</v>
      </c>
      <c r="K355" s="206">
        <f>SUMIFS(LANÇ_MOV[VALOR LÍQUIDO],LANÇ_MOV[RECEITA OU DESPESA],"Despesa",LANÇ_MOV[CONTAS],$C355,LANÇ_MOV[PLANO DE CONTAS],REL_DRE_FINANCEIRO!$B$343,LANÇ_MOV[ANO PAGAMENTO],$B$4,LANÇ_MOV[MÊS PAGAMENTO CORRESPONDENTE],K$6,LANÇ_MOV[EMPRESA],$C$4,LANÇ_MOV[CENTRO DE CUSTOS],$D$4)</f>
        <v>0</v>
      </c>
      <c r="L355" s="206">
        <f>SUMIFS(LANÇ_MOV[VALOR LÍQUIDO],LANÇ_MOV[RECEITA OU DESPESA],"Despesa",LANÇ_MOV[CONTAS],$C355,LANÇ_MOV[PLANO DE CONTAS],REL_DRE_FINANCEIRO!$B$343,LANÇ_MOV[ANO PAGAMENTO],$B$4,LANÇ_MOV[MÊS PAGAMENTO CORRESPONDENTE],L$6,LANÇ_MOV[EMPRESA],$C$4,LANÇ_MOV[CENTRO DE CUSTOS],$D$4)</f>
        <v>0</v>
      </c>
      <c r="M355" s="206">
        <f>SUMIFS(LANÇ_MOV[VALOR LÍQUIDO],LANÇ_MOV[RECEITA OU DESPESA],"Despesa",LANÇ_MOV[CONTAS],$C355,LANÇ_MOV[PLANO DE CONTAS],REL_DRE_FINANCEIRO!$B$343,LANÇ_MOV[ANO PAGAMENTO],$B$4,LANÇ_MOV[MÊS PAGAMENTO CORRESPONDENTE],M$6,LANÇ_MOV[EMPRESA],$C$4,LANÇ_MOV[CENTRO DE CUSTOS],$D$4)</f>
        <v>0</v>
      </c>
      <c r="N355" s="206">
        <f>SUMIFS(LANÇ_MOV[VALOR LÍQUIDO],LANÇ_MOV[RECEITA OU DESPESA],"Despesa",LANÇ_MOV[CONTAS],$C355,LANÇ_MOV[PLANO DE CONTAS],REL_DRE_FINANCEIRO!$B$343,LANÇ_MOV[ANO PAGAMENTO],$B$4,LANÇ_MOV[MÊS PAGAMENTO CORRESPONDENTE],N$6,LANÇ_MOV[EMPRESA],$C$4,LANÇ_MOV[CENTRO DE CUSTOS],$D$4)</f>
        <v>0</v>
      </c>
      <c r="O355" s="206">
        <f>SUMIFS(LANÇ_MOV[VALOR LÍQUIDO],LANÇ_MOV[RECEITA OU DESPESA],"Despesa",LANÇ_MOV[CONTAS],$C355,LANÇ_MOV[PLANO DE CONTAS],REL_DRE_FINANCEIRO!$B$343,LANÇ_MOV[ANO PAGAMENTO],$B$4,LANÇ_MOV[MÊS PAGAMENTO CORRESPONDENTE],O$6,LANÇ_MOV[EMPRESA],$C$4,LANÇ_MOV[CENTRO DE CUSTOS],$D$4)</f>
        <v>0</v>
      </c>
      <c r="P355" s="207">
        <f t="shared" si="54"/>
        <v>0</v>
      </c>
      <c r="Q355" s="329">
        <v>8.8999999999999995E-6</v>
      </c>
      <c r="R355" s="346">
        <f t="shared" si="55"/>
        <v>8.8999999999999995E-6</v>
      </c>
      <c r="S355" s="347" t="str">
        <f t="shared" si="56"/>
        <v>-</v>
      </c>
      <c r="T355" s="347">
        <f t="shared" si="57"/>
        <v>0</v>
      </c>
      <c r="U355" s="347">
        <f>HLOOKUP(Apoio!$P$12,$D$342:$P$443,X355,FALSE)+Q355</f>
        <v>8.8999999999999995E-6</v>
      </c>
      <c r="V355" s="447" t="str">
        <f t="shared" si="58"/>
        <v>-</v>
      </c>
      <c r="W355" s="448">
        <f>HLOOKUP(Apoio!$P$12,$D$342:$P$443,X355,FALSE)</f>
        <v>0</v>
      </c>
      <c r="X355" s="329">
        <v>14</v>
      </c>
      <c r="AA355" s="340">
        <f>SUM(AA350:AA354)</f>
        <v>0</v>
      </c>
    </row>
    <row r="356" spans="2:27" ht="30.05" customHeight="1" x14ac:dyDescent="0.35">
      <c r="B356" s="204" t="str">
        <f>'CAD_PL_REC-DESP'!Q17</f>
        <v>2.3.13</v>
      </c>
      <c r="C356" s="205" t="str">
        <f>IF('CAD_PL_REC-DESP'!R17="","-",'CAD_PL_REC-DESP'!R17)</f>
        <v>-</v>
      </c>
      <c r="D356" s="206">
        <f>SUMIFS(LANÇ_MOV[VALOR LÍQUIDO],LANÇ_MOV[RECEITA OU DESPESA],"Despesa",LANÇ_MOV[CONTAS],$C356,LANÇ_MOV[PLANO DE CONTAS],REL_DRE_FINANCEIRO!$B$343,LANÇ_MOV[ANO PAGAMENTO],$B$4,LANÇ_MOV[MÊS PAGAMENTO CORRESPONDENTE],D$6,LANÇ_MOV[EMPRESA],$C$4,LANÇ_MOV[CENTRO DE CUSTOS],$D$4)</f>
        <v>0</v>
      </c>
      <c r="E356" s="206">
        <f>SUMIFS(LANÇ_MOV[VALOR LÍQUIDO],LANÇ_MOV[RECEITA OU DESPESA],"Despesa",LANÇ_MOV[CONTAS],$C356,LANÇ_MOV[PLANO DE CONTAS],REL_DRE_FINANCEIRO!$B$343,LANÇ_MOV[ANO PAGAMENTO],$B$4,LANÇ_MOV[MÊS PAGAMENTO CORRESPONDENTE],E$6,LANÇ_MOV[EMPRESA],$C$4,LANÇ_MOV[CENTRO DE CUSTOS],$D$4)</f>
        <v>0</v>
      </c>
      <c r="F356" s="206">
        <f>SUMIFS(LANÇ_MOV[VALOR LÍQUIDO],LANÇ_MOV[RECEITA OU DESPESA],"Despesa",LANÇ_MOV[CONTAS],$C356,LANÇ_MOV[PLANO DE CONTAS],REL_DRE_FINANCEIRO!$B$343,LANÇ_MOV[ANO PAGAMENTO],$B$4,LANÇ_MOV[MÊS PAGAMENTO CORRESPONDENTE],F$6,LANÇ_MOV[EMPRESA],$C$4,LANÇ_MOV[CENTRO DE CUSTOS],$D$4)</f>
        <v>0</v>
      </c>
      <c r="G356" s="206">
        <f>SUMIFS(LANÇ_MOV[VALOR LÍQUIDO],LANÇ_MOV[RECEITA OU DESPESA],"Despesa",LANÇ_MOV[CONTAS],$C356,LANÇ_MOV[PLANO DE CONTAS],REL_DRE_FINANCEIRO!$B$343,LANÇ_MOV[ANO PAGAMENTO],$B$4,LANÇ_MOV[MÊS PAGAMENTO CORRESPONDENTE],G$6,LANÇ_MOV[EMPRESA],$C$4,LANÇ_MOV[CENTRO DE CUSTOS],$D$4)</f>
        <v>0</v>
      </c>
      <c r="H356" s="206">
        <f>SUMIFS(LANÇ_MOV[VALOR LÍQUIDO],LANÇ_MOV[RECEITA OU DESPESA],"Despesa",LANÇ_MOV[CONTAS],$C356,LANÇ_MOV[PLANO DE CONTAS],REL_DRE_FINANCEIRO!$B$343,LANÇ_MOV[ANO PAGAMENTO],$B$4,LANÇ_MOV[MÊS PAGAMENTO CORRESPONDENTE],H$6,LANÇ_MOV[EMPRESA],$C$4,LANÇ_MOV[CENTRO DE CUSTOS],$D$4)</f>
        <v>0</v>
      </c>
      <c r="I356" s="206">
        <f>SUMIFS(LANÇ_MOV[VALOR LÍQUIDO],LANÇ_MOV[RECEITA OU DESPESA],"Despesa",LANÇ_MOV[CONTAS],$C356,LANÇ_MOV[PLANO DE CONTAS],REL_DRE_FINANCEIRO!$B$343,LANÇ_MOV[ANO PAGAMENTO],$B$4,LANÇ_MOV[MÊS PAGAMENTO CORRESPONDENTE],I$6,LANÇ_MOV[EMPRESA],$C$4,LANÇ_MOV[CENTRO DE CUSTOS],$D$4)</f>
        <v>0</v>
      </c>
      <c r="J356" s="206">
        <f>SUMIFS(LANÇ_MOV[VALOR LÍQUIDO],LANÇ_MOV[RECEITA OU DESPESA],"Despesa",LANÇ_MOV[CONTAS],$C356,LANÇ_MOV[PLANO DE CONTAS],REL_DRE_FINANCEIRO!$B$343,LANÇ_MOV[ANO PAGAMENTO],$B$4,LANÇ_MOV[MÊS PAGAMENTO CORRESPONDENTE],J$6,LANÇ_MOV[EMPRESA],$C$4,LANÇ_MOV[CENTRO DE CUSTOS],$D$4)</f>
        <v>0</v>
      </c>
      <c r="K356" s="206">
        <f>SUMIFS(LANÇ_MOV[VALOR LÍQUIDO],LANÇ_MOV[RECEITA OU DESPESA],"Despesa",LANÇ_MOV[CONTAS],$C356,LANÇ_MOV[PLANO DE CONTAS],REL_DRE_FINANCEIRO!$B$343,LANÇ_MOV[ANO PAGAMENTO],$B$4,LANÇ_MOV[MÊS PAGAMENTO CORRESPONDENTE],K$6,LANÇ_MOV[EMPRESA],$C$4,LANÇ_MOV[CENTRO DE CUSTOS],$D$4)</f>
        <v>0</v>
      </c>
      <c r="L356" s="206">
        <f>SUMIFS(LANÇ_MOV[VALOR LÍQUIDO],LANÇ_MOV[RECEITA OU DESPESA],"Despesa",LANÇ_MOV[CONTAS],$C356,LANÇ_MOV[PLANO DE CONTAS],REL_DRE_FINANCEIRO!$B$343,LANÇ_MOV[ANO PAGAMENTO],$B$4,LANÇ_MOV[MÊS PAGAMENTO CORRESPONDENTE],L$6,LANÇ_MOV[EMPRESA],$C$4,LANÇ_MOV[CENTRO DE CUSTOS],$D$4)</f>
        <v>0</v>
      </c>
      <c r="M356" s="206">
        <f>SUMIFS(LANÇ_MOV[VALOR LÍQUIDO],LANÇ_MOV[RECEITA OU DESPESA],"Despesa",LANÇ_MOV[CONTAS],$C356,LANÇ_MOV[PLANO DE CONTAS],REL_DRE_FINANCEIRO!$B$343,LANÇ_MOV[ANO PAGAMENTO],$B$4,LANÇ_MOV[MÊS PAGAMENTO CORRESPONDENTE],M$6,LANÇ_MOV[EMPRESA],$C$4,LANÇ_MOV[CENTRO DE CUSTOS],$D$4)</f>
        <v>0</v>
      </c>
      <c r="N356" s="206">
        <f>SUMIFS(LANÇ_MOV[VALOR LÍQUIDO],LANÇ_MOV[RECEITA OU DESPESA],"Despesa",LANÇ_MOV[CONTAS],$C356,LANÇ_MOV[PLANO DE CONTAS],REL_DRE_FINANCEIRO!$B$343,LANÇ_MOV[ANO PAGAMENTO],$B$4,LANÇ_MOV[MÊS PAGAMENTO CORRESPONDENTE],N$6,LANÇ_MOV[EMPRESA],$C$4,LANÇ_MOV[CENTRO DE CUSTOS],$D$4)</f>
        <v>0</v>
      </c>
      <c r="O356" s="206">
        <f>SUMIFS(LANÇ_MOV[VALOR LÍQUIDO],LANÇ_MOV[RECEITA OU DESPESA],"Despesa",LANÇ_MOV[CONTAS],$C356,LANÇ_MOV[PLANO DE CONTAS],REL_DRE_FINANCEIRO!$B$343,LANÇ_MOV[ANO PAGAMENTO],$B$4,LANÇ_MOV[MÊS PAGAMENTO CORRESPONDENTE],O$6,LANÇ_MOV[EMPRESA],$C$4,LANÇ_MOV[CENTRO DE CUSTOS],$D$4)</f>
        <v>0</v>
      </c>
      <c r="P356" s="207">
        <f t="shared" si="54"/>
        <v>0</v>
      </c>
      <c r="Q356" s="329">
        <v>8.8000000000000004E-6</v>
      </c>
      <c r="R356" s="346">
        <f t="shared" si="55"/>
        <v>8.8000000000000004E-6</v>
      </c>
      <c r="S356" s="347" t="str">
        <f t="shared" si="56"/>
        <v>-</v>
      </c>
      <c r="T356" s="347">
        <f t="shared" si="57"/>
        <v>0</v>
      </c>
      <c r="U356" s="347">
        <f>HLOOKUP(Apoio!$P$12,$D$342:$P$443,X356,FALSE)+Q356</f>
        <v>8.8000000000000004E-6</v>
      </c>
      <c r="V356" s="447" t="str">
        <f t="shared" si="58"/>
        <v>-</v>
      </c>
      <c r="W356" s="448">
        <f>HLOOKUP(Apoio!$P$12,$D$342:$P$443,X356,FALSE)</f>
        <v>0</v>
      </c>
      <c r="X356" s="329">
        <v>15</v>
      </c>
    </row>
    <row r="357" spans="2:27" ht="30.05" customHeight="1" x14ac:dyDescent="0.35">
      <c r="B357" s="204" t="str">
        <f>'CAD_PL_REC-DESP'!Q18</f>
        <v>2.3.14</v>
      </c>
      <c r="C357" s="205" t="str">
        <f>IF('CAD_PL_REC-DESP'!R18="","-",'CAD_PL_REC-DESP'!R18)</f>
        <v>-</v>
      </c>
      <c r="D357" s="206">
        <f>SUMIFS(LANÇ_MOV[VALOR LÍQUIDO],LANÇ_MOV[RECEITA OU DESPESA],"Despesa",LANÇ_MOV[CONTAS],$C357,LANÇ_MOV[PLANO DE CONTAS],REL_DRE_FINANCEIRO!$B$343,LANÇ_MOV[ANO PAGAMENTO],$B$4,LANÇ_MOV[MÊS PAGAMENTO CORRESPONDENTE],D$6,LANÇ_MOV[EMPRESA],$C$4,LANÇ_MOV[CENTRO DE CUSTOS],$D$4)</f>
        <v>0</v>
      </c>
      <c r="E357" s="206">
        <f>SUMIFS(LANÇ_MOV[VALOR LÍQUIDO],LANÇ_MOV[RECEITA OU DESPESA],"Despesa",LANÇ_MOV[CONTAS],$C357,LANÇ_MOV[PLANO DE CONTAS],REL_DRE_FINANCEIRO!$B$343,LANÇ_MOV[ANO PAGAMENTO],$B$4,LANÇ_MOV[MÊS PAGAMENTO CORRESPONDENTE],E$6,LANÇ_MOV[EMPRESA],$C$4,LANÇ_MOV[CENTRO DE CUSTOS],$D$4)</f>
        <v>0</v>
      </c>
      <c r="F357" s="206">
        <f>SUMIFS(LANÇ_MOV[VALOR LÍQUIDO],LANÇ_MOV[RECEITA OU DESPESA],"Despesa",LANÇ_MOV[CONTAS],$C357,LANÇ_MOV[PLANO DE CONTAS],REL_DRE_FINANCEIRO!$B$343,LANÇ_MOV[ANO PAGAMENTO],$B$4,LANÇ_MOV[MÊS PAGAMENTO CORRESPONDENTE],F$6,LANÇ_MOV[EMPRESA],$C$4,LANÇ_MOV[CENTRO DE CUSTOS],$D$4)</f>
        <v>0</v>
      </c>
      <c r="G357" s="206">
        <f>SUMIFS(LANÇ_MOV[VALOR LÍQUIDO],LANÇ_MOV[RECEITA OU DESPESA],"Despesa",LANÇ_MOV[CONTAS],$C357,LANÇ_MOV[PLANO DE CONTAS],REL_DRE_FINANCEIRO!$B$343,LANÇ_MOV[ANO PAGAMENTO],$B$4,LANÇ_MOV[MÊS PAGAMENTO CORRESPONDENTE],G$6,LANÇ_MOV[EMPRESA],$C$4,LANÇ_MOV[CENTRO DE CUSTOS],$D$4)</f>
        <v>0</v>
      </c>
      <c r="H357" s="206">
        <f>SUMIFS(LANÇ_MOV[VALOR LÍQUIDO],LANÇ_MOV[RECEITA OU DESPESA],"Despesa",LANÇ_MOV[CONTAS],$C357,LANÇ_MOV[PLANO DE CONTAS],REL_DRE_FINANCEIRO!$B$343,LANÇ_MOV[ANO PAGAMENTO],$B$4,LANÇ_MOV[MÊS PAGAMENTO CORRESPONDENTE],H$6,LANÇ_MOV[EMPRESA],$C$4,LANÇ_MOV[CENTRO DE CUSTOS],$D$4)</f>
        <v>0</v>
      </c>
      <c r="I357" s="206">
        <f>SUMIFS(LANÇ_MOV[VALOR LÍQUIDO],LANÇ_MOV[RECEITA OU DESPESA],"Despesa",LANÇ_MOV[CONTAS],$C357,LANÇ_MOV[PLANO DE CONTAS],REL_DRE_FINANCEIRO!$B$343,LANÇ_MOV[ANO PAGAMENTO],$B$4,LANÇ_MOV[MÊS PAGAMENTO CORRESPONDENTE],I$6,LANÇ_MOV[EMPRESA],$C$4,LANÇ_MOV[CENTRO DE CUSTOS],$D$4)</f>
        <v>0</v>
      </c>
      <c r="J357" s="206">
        <f>SUMIFS(LANÇ_MOV[VALOR LÍQUIDO],LANÇ_MOV[RECEITA OU DESPESA],"Despesa",LANÇ_MOV[CONTAS],$C357,LANÇ_MOV[PLANO DE CONTAS],REL_DRE_FINANCEIRO!$B$343,LANÇ_MOV[ANO PAGAMENTO],$B$4,LANÇ_MOV[MÊS PAGAMENTO CORRESPONDENTE],J$6,LANÇ_MOV[EMPRESA],$C$4,LANÇ_MOV[CENTRO DE CUSTOS],$D$4)</f>
        <v>0</v>
      </c>
      <c r="K357" s="206">
        <f>SUMIFS(LANÇ_MOV[VALOR LÍQUIDO],LANÇ_MOV[RECEITA OU DESPESA],"Despesa",LANÇ_MOV[CONTAS],$C357,LANÇ_MOV[PLANO DE CONTAS],REL_DRE_FINANCEIRO!$B$343,LANÇ_MOV[ANO PAGAMENTO],$B$4,LANÇ_MOV[MÊS PAGAMENTO CORRESPONDENTE],K$6,LANÇ_MOV[EMPRESA],$C$4,LANÇ_MOV[CENTRO DE CUSTOS],$D$4)</f>
        <v>0</v>
      </c>
      <c r="L357" s="206">
        <f>SUMIFS(LANÇ_MOV[VALOR LÍQUIDO],LANÇ_MOV[RECEITA OU DESPESA],"Despesa",LANÇ_MOV[CONTAS],$C357,LANÇ_MOV[PLANO DE CONTAS],REL_DRE_FINANCEIRO!$B$343,LANÇ_MOV[ANO PAGAMENTO],$B$4,LANÇ_MOV[MÊS PAGAMENTO CORRESPONDENTE],L$6,LANÇ_MOV[EMPRESA],$C$4,LANÇ_MOV[CENTRO DE CUSTOS],$D$4)</f>
        <v>0</v>
      </c>
      <c r="M357" s="206">
        <f>SUMIFS(LANÇ_MOV[VALOR LÍQUIDO],LANÇ_MOV[RECEITA OU DESPESA],"Despesa",LANÇ_MOV[CONTAS],$C357,LANÇ_MOV[PLANO DE CONTAS],REL_DRE_FINANCEIRO!$B$343,LANÇ_MOV[ANO PAGAMENTO],$B$4,LANÇ_MOV[MÊS PAGAMENTO CORRESPONDENTE],M$6,LANÇ_MOV[EMPRESA],$C$4,LANÇ_MOV[CENTRO DE CUSTOS],$D$4)</f>
        <v>0</v>
      </c>
      <c r="N357" s="206">
        <f>SUMIFS(LANÇ_MOV[VALOR LÍQUIDO],LANÇ_MOV[RECEITA OU DESPESA],"Despesa",LANÇ_MOV[CONTAS],$C357,LANÇ_MOV[PLANO DE CONTAS],REL_DRE_FINANCEIRO!$B$343,LANÇ_MOV[ANO PAGAMENTO],$B$4,LANÇ_MOV[MÊS PAGAMENTO CORRESPONDENTE],N$6,LANÇ_MOV[EMPRESA],$C$4,LANÇ_MOV[CENTRO DE CUSTOS],$D$4)</f>
        <v>0</v>
      </c>
      <c r="O357" s="206">
        <f>SUMIFS(LANÇ_MOV[VALOR LÍQUIDO],LANÇ_MOV[RECEITA OU DESPESA],"Despesa",LANÇ_MOV[CONTAS],$C357,LANÇ_MOV[PLANO DE CONTAS],REL_DRE_FINANCEIRO!$B$343,LANÇ_MOV[ANO PAGAMENTO],$B$4,LANÇ_MOV[MÊS PAGAMENTO CORRESPONDENTE],O$6,LANÇ_MOV[EMPRESA],$C$4,LANÇ_MOV[CENTRO DE CUSTOS],$D$4)</f>
        <v>0</v>
      </c>
      <c r="P357" s="207">
        <f t="shared" si="54"/>
        <v>0</v>
      </c>
      <c r="Q357" s="329">
        <v>8.6999999999999997E-6</v>
      </c>
      <c r="R357" s="346">
        <f t="shared" si="55"/>
        <v>8.6999999999999997E-6</v>
      </c>
      <c r="S357" s="347" t="str">
        <f t="shared" si="56"/>
        <v>-</v>
      </c>
      <c r="T357" s="347">
        <f t="shared" si="57"/>
        <v>0</v>
      </c>
      <c r="U357" s="347">
        <f>HLOOKUP(Apoio!$P$12,$D$342:$P$443,X357,FALSE)+Q357</f>
        <v>8.6999999999999997E-6</v>
      </c>
      <c r="V357" s="447" t="str">
        <f t="shared" si="58"/>
        <v>-</v>
      </c>
      <c r="W357" s="448">
        <f>HLOOKUP(Apoio!$P$12,$D$342:$P$443,X357,FALSE)</f>
        <v>0</v>
      </c>
      <c r="X357" s="329">
        <v>16</v>
      </c>
    </row>
    <row r="358" spans="2:27" ht="30.05" customHeight="1" x14ac:dyDescent="0.35">
      <c r="B358" s="204" t="str">
        <f>'CAD_PL_REC-DESP'!Q19</f>
        <v>2.3.15</v>
      </c>
      <c r="C358" s="205" t="str">
        <f>IF('CAD_PL_REC-DESP'!R19="","-",'CAD_PL_REC-DESP'!R19)</f>
        <v>-</v>
      </c>
      <c r="D358" s="206">
        <f>SUMIFS(LANÇ_MOV[VALOR LÍQUIDO],LANÇ_MOV[RECEITA OU DESPESA],"Despesa",LANÇ_MOV[CONTAS],$C358,LANÇ_MOV[PLANO DE CONTAS],REL_DRE_FINANCEIRO!$B$343,LANÇ_MOV[ANO PAGAMENTO],$B$4,LANÇ_MOV[MÊS PAGAMENTO CORRESPONDENTE],D$6,LANÇ_MOV[EMPRESA],$C$4,LANÇ_MOV[CENTRO DE CUSTOS],$D$4)</f>
        <v>0</v>
      </c>
      <c r="E358" s="206">
        <f>SUMIFS(LANÇ_MOV[VALOR LÍQUIDO],LANÇ_MOV[RECEITA OU DESPESA],"Despesa",LANÇ_MOV[CONTAS],$C358,LANÇ_MOV[PLANO DE CONTAS],REL_DRE_FINANCEIRO!$B$343,LANÇ_MOV[ANO PAGAMENTO],$B$4,LANÇ_MOV[MÊS PAGAMENTO CORRESPONDENTE],E$6,LANÇ_MOV[EMPRESA],$C$4,LANÇ_MOV[CENTRO DE CUSTOS],$D$4)</f>
        <v>0</v>
      </c>
      <c r="F358" s="206">
        <f>SUMIFS(LANÇ_MOV[VALOR LÍQUIDO],LANÇ_MOV[RECEITA OU DESPESA],"Despesa",LANÇ_MOV[CONTAS],$C358,LANÇ_MOV[PLANO DE CONTAS],REL_DRE_FINANCEIRO!$B$343,LANÇ_MOV[ANO PAGAMENTO],$B$4,LANÇ_MOV[MÊS PAGAMENTO CORRESPONDENTE],F$6,LANÇ_MOV[EMPRESA],$C$4,LANÇ_MOV[CENTRO DE CUSTOS],$D$4)</f>
        <v>0</v>
      </c>
      <c r="G358" s="206">
        <f>SUMIFS(LANÇ_MOV[VALOR LÍQUIDO],LANÇ_MOV[RECEITA OU DESPESA],"Despesa",LANÇ_MOV[CONTAS],$C358,LANÇ_MOV[PLANO DE CONTAS],REL_DRE_FINANCEIRO!$B$343,LANÇ_MOV[ANO PAGAMENTO],$B$4,LANÇ_MOV[MÊS PAGAMENTO CORRESPONDENTE],G$6,LANÇ_MOV[EMPRESA],$C$4,LANÇ_MOV[CENTRO DE CUSTOS],$D$4)</f>
        <v>0</v>
      </c>
      <c r="H358" s="206">
        <f>SUMIFS(LANÇ_MOV[VALOR LÍQUIDO],LANÇ_MOV[RECEITA OU DESPESA],"Despesa",LANÇ_MOV[CONTAS],$C358,LANÇ_MOV[PLANO DE CONTAS],REL_DRE_FINANCEIRO!$B$343,LANÇ_MOV[ANO PAGAMENTO],$B$4,LANÇ_MOV[MÊS PAGAMENTO CORRESPONDENTE],H$6,LANÇ_MOV[EMPRESA],$C$4,LANÇ_MOV[CENTRO DE CUSTOS],$D$4)</f>
        <v>0</v>
      </c>
      <c r="I358" s="206">
        <f>SUMIFS(LANÇ_MOV[VALOR LÍQUIDO],LANÇ_MOV[RECEITA OU DESPESA],"Despesa",LANÇ_MOV[CONTAS],$C358,LANÇ_MOV[PLANO DE CONTAS],REL_DRE_FINANCEIRO!$B$343,LANÇ_MOV[ANO PAGAMENTO],$B$4,LANÇ_MOV[MÊS PAGAMENTO CORRESPONDENTE],I$6,LANÇ_MOV[EMPRESA],$C$4,LANÇ_MOV[CENTRO DE CUSTOS],$D$4)</f>
        <v>0</v>
      </c>
      <c r="J358" s="206">
        <f>SUMIFS(LANÇ_MOV[VALOR LÍQUIDO],LANÇ_MOV[RECEITA OU DESPESA],"Despesa",LANÇ_MOV[CONTAS],$C358,LANÇ_MOV[PLANO DE CONTAS],REL_DRE_FINANCEIRO!$B$343,LANÇ_MOV[ANO PAGAMENTO],$B$4,LANÇ_MOV[MÊS PAGAMENTO CORRESPONDENTE],J$6,LANÇ_MOV[EMPRESA],$C$4,LANÇ_MOV[CENTRO DE CUSTOS],$D$4)</f>
        <v>0</v>
      </c>
      <c r="K358" s="206">
        <f>SUMIFS(LANÇ_MOV[VALOR LÍQUIDO],LANÇ_MOV[RECEITA OU DESPESA],"Despesa",LANÇ_MOV[CONTAS],$C358,LANÇ_MOV[PLANO DE CONTAS],REL_DRE_FINANCEIRO!$B$343,LANÇ_MOV[ANO PAGAMENTO],$B$4,LANÇ_MOV[MÊS PAGAMENTO CORRESPONDENTE],K$6,LANÇ_MOV[EMPRESA],$C$4,LANÇ_MOV[CENTRO DE CUSTOS],$D$4)</f>
        <v>0</v>
      </c>
      <c r="L358" s="206">
        <f>SUMIFS(LANÇ_MOV[VALOR LÍQUIDO],LANÇ_MOV[RECEITA OU DESPESA],"Despesa",LANÇ_MOV[CONTAS],$C358,LANÇ_MOV[PLANO DE CONTAS],REL_DRE_FINANCEIRO!$B$343,LANÇ_MOV[ANO PAGAMENTO],$B$4,LANÇ_MOV[MÊS PAGAMENTO CORRESPONDENTE],L$6,LANÇ_MOV[EMPRESA],$C$4,LANÇ_MOV[CENTRO DE CUSTOS],$D$4)</f>
        <v>0</v>
      </c>
      <c r="M358" s="206">
        <f>SUMIFS(LANÇ_MOV[VALOR LÍQUIDO],LANÇ_MOV[RECEITA OU DESPESA],"Despesa",LANÇ_MOV[CONTAS],$C358,LANÇ_MOV[PLANO DE CONTAS],REL_DRE_FINANCEIRO!$B$343,LANÇ_MOV[ANO PAGAMENTO],$B$4,LANÇ_MOV[MÊS PAGAMENTO CORRESPONDENTE],M$6,LANÇ_MOV[EMPRESA],$C$4,LANÇ_MOV[CENTRO DE CUSTOS],$D$4)</f>
        <v>0</v>
      </c>
      <c r="N358" s="206">
        <f>SUMIFS(LANÇ_MOV[VALOR LÍQUIDO],LANÇ_MOV[RECEITA OU DESPESA],"Despesa",LANÇ_MOV[CONTAS],$C358,LANÇ_MOV[PLANO DE CONTAS],REL_DRE_FINANCEIRO!$B$343,LANÇ_MOV[ANO PAGAMENTO],$B$4,LANÇ_MOV[MÊS PAGAMENTO CORRESPONDENTE],N$6,LANÇ_MOV[EMPRESA],$C$4,LANÇ_MOV[CENTRO DE CUSTOS],$D$4)</f>
        <v>0</v>
      </c>
      <c r="O358" s="206">
        <f>SUMIFS(LANÇ_MOV[VALOR LÍQUIDO],LANÇ_MOV[RECEITA OU DESPESA],"Despesa",LANÇ_MOV[CONTAS],$C358,LANÇ_MOV[PLANO DE CONTAS],REL_DRE_FINANCEIRO!$B$343,LANÇ_MOV[ANO PAGAMENTO],$B$4,LANÇ_MOV[MÊS PAGAMENTO CORRESPONDENTE],O$6,LANÇ_MOV[EMPRESA],$C$4,LANÇ_MOV[CENTRO DE CUSTOS],$D$4)</f>
        <v>0</v>
      </c>
      <c r="P358" s="207">
        <f t="shared" si="54"/>
        <v>0</v>
      </c>
      <c r="Q358" s="329">
        <v>8.6000000000000007E-6</v>
      </c>
      <c r="R358" s="346">
        <f t="shared" si="55"/>
        <v>8.6000000000000007E-6</v>
      </c>
      <c r="S358" s="347" t="str">
        <f t="shared" si="56"/>
        <v>-</v>
      </c>
      <c r="T358" s="347">
        <f t="shared" si="57"/>
        <v>0</v>
      </c>
      <c r="U358" s="347">
        <f>HLOOKUP(Apoio!$P$12,$D$342:$P$443,X358,FALSE)+Q358</f>
        <v>8.6000000000000007E-6</v>
      </c>
      <c r="V358" s="447" t="str">
        <f t="shared" si="58"/>
        <v>-</v>
      </c>
      <c r="W358" s="448">
        <f>HLOOKUP(Apoio!$P$12,$D$342:$P$443,X358,FALSE)</f>
        <v>0</v>
      </c>
      <c r="X358" s="329">
        <v>17</v>
      </c>
    </row>
    <row r="359" spans="2:27" ht="30.05" customHeight="1" x14ac:dyDescent="0.35">
      <c r="B359" s="204" t="str">
        <f>'CAD_PL_REC-DESP'!Q20</f>
        <v>2.3.16</v>
      </c>
      <c r="C359" s="205" t="str">
        <f>IF('CAD_PL_REC-DESP'!R20="","-",'CAD_PL_REC-DESP'!R20)</f>
        <v>-</v>
      </c>
      <c r="D359" s="206">
        <f>SUMIFS(LANÇ_MOV[VALOR LÍQUIDO],LANÇ_MOV[RECEITA OU DESPESA],"Despesa",LANÇ_MOV[CONTAS],$C359,LANÇ_MOV[PLANO DE CONTAS],REL_DRE_FINANCEIRO!$B$343,LANÇ_MOV[ANO PAGAMENTO],$B$4,LANÇ_MOV[MÊS PAGAMENTO CORRESPONDENTE],D$6,LANÇ_MOV[EMPRESA],$C$4,LANÇ_MOV[CENTRO DE CUSTOS],$D$4)</f>
        <v>0</v>
      </c>
      <c r="E359" s="206">
        <f>SUMIFS(LANÇ_MOV[VALOR LÍQUIDO],LANÇ_MOV[RECEITA OU DESPESA],"Despesa",LANÇ_MOV[CONTAS],$C359,LANÇ_MOV[PLANO DE CONTAS],REL_DRE_FINANCEIRO!$B$343,LANÇ_MOV[ANO PAGAMENTO],$B$4,LANÇ_MOV[MÊS PAGAMENTO CORRESPONDENTE],E$6,LANÇ_MOV[EMPRESA],$C$4,LANÇ_MOV[CENTRO DE CUSTOS],$D$4)</f>
        <v>0</v>
      </c>
      <c r="F359" s="206">
        <f>SUMIFS(LANÇ_MOV[VALOR LÍQUIDO],LANÇ_MOV[RECEITA OU DESPESA],"Despesa",LANÇ_MOV[CONTAS],$C359,LANÇ_MOV[PLANO DE CONTAS],REL_DRE_FINANCEIRO!$B$343,LANÇ_MOV[ANO PAGAMENTO],$B$4,LANÇ_MOV[MÊS PAGAMENTO CORRESPONDENTE],F$6,LANÇ_MOV[EMPRESA],$C$4,LANÇ_MOV[CENTRO DE CUSTOS],$D$4)</f>
        <v>0</v>
      </c>
      <c r="G359" s="206">
        <f>SUMIFS(LANÇ_MOV[VALOR LÍQUIDO],LANÇ_MOV[RECEITA OU DESPESA],"Despesa",LANÇ_MOV[CONTAS],$C359,LANÇ_MOV[PLANO DE CONTAS],REL_DRE_FINANCEIRO!$B$343,LANÇ_MOV[ANO PAGAMENTO],$B$4,LANÇ_MOV[MÊS PAGAMENTO CORRESPONDENTE],G$6,LANÇ_MOV[EMPRESA],$C$4,LANÇ_MOV[CENTRO DE CUSTOS],$D$4)</f>
        <v>0</v>
      </c>
      <c r="H359" s="206">
        <f>SUMIFS(LANÇ_MOV[VALOR LÍQUIDO],LANÇ_MOV[RECEITA OU DESPESA],"Despesa",LANÇ_MOV[CONTAS],$C359,LANÇ_MOV[PLANO DE CONTAS],REL_DRE_FINANCEIRO!$B$343,LANÇ_MOV[ANO PAGAMENTO],$B$4,LANÇ_MOV[MÊS PAGAMENTO CORRESPONDENTE],H$6,LANÇ_MOV[EMPRESA],$C$4,LANÇ_MOV[CENTRO DE CUSTOS],$D$4)</f>
        <v>0</v>
      </c>
      <c r="I359" s="206">
        <f>SUMIFS(LANÇ_MOV[VALOR LÍQUIDO],LANÇ_MOV[RECEITA OU DESPESA],"Despesa",LANÇ_MOV[CONTAS],$C359,LANÇ_MOV[PLANO DE CONTAS],REL_DRE_FINANCEIRO!$B$343,LANÇ_MOV[ANO PAGAMENTO],$B$4,LANÇ_MOV[MÊS PAGAMENTO CORRESPONDENTE],I$6,LANÇ_MOV[EMPRESA],$C$4,LANÇ_MOV[CENTRO DE CUSTOS],$D$4)</f>
        <v>0</v>
      </c>
      <c r="J359" s="206">
        <f>SUMIFS(LANÇ_MOV[VALOR LÍQUIDO],LANÇ_MOV[RECEITA OU DESPESA],"Despesa",LANÇ_MOV[CONTAS],$C359,LANÇ_MOV[PLANO DE CONTAS],REL_DRE_FINANCEIRO!$B$343,LANÇ_MOV[ANO PAGAMENTO],$B$4,LANÇ_MOV[MÊS PAGAMENTO CORRESPONDENTE],J$6,LANÇ_MOV[EMPRESA],$C$4,LANÇ_MOV[CENTRO DE CUSTOS],$D$4)</f>
        <v>0</v>
      </c>
      <c r="K359" s="206">
        <f>SUMIFS(LANÇ_MOV[VALOR LÍQUIDO],LANÇ_MOV[RECEITA OU DESPESA],"Despesa",LANÇ_MOV[CONTAS],$C359,LANÇ_MOV[PLANO DE CONTAS],REL_DRE_FINANCEIRO!$B$343,LANÇ_MOV[ANO PAGAMENTO],$B$4,LANÇ_MOV[MÊS PAGAMENTO CORRESPONDENTE],K$6,LANÇ_MOV[EMPRESA],$C$4,LANÇ_MOV[CENTRO DE CUSTOS],$D$4)</f>
        <v>0</v>
      </c>
      <c r="L359" s="206">
        <f>SUMIFS(LANÇ_MOV[VALOR LÍQUIDO],LANÇ_MOV[RECEITA OU DESPESA],"Despesa",LANÇ_MOV[CONTAS],$C359,LANÇ_MOV[PLANO DE CONTAS],REL_DRE_FINANCEIRO!$B$343,LANÇ_MOV[ANO PAGAMENTO],$B$4,LANÇ_MOV[MÊS PAGAMENTO CORRESPONDENTE],L$6,LANÇ_MOV[EMPRESA],$C$4,LANÇ_MOV[CENTRO DE CUSTOS],$D$4)</f>
        <v>0</v>
      </c>
      <c r="M359" s="206">
        <f>SUMIFS(LANÇ_MOV[VALOR LÍQUIDO],LANÇ_MOV[RECEITA OU DESPESA],"Despesa",LANÇ_MOV[CONTAS],$C359,LANÇ_MOV[PLANO DE CONTAS],REL_DRE_FINANCEIRO!$B$343,LANÇ_MOV[ANO PAGAMENTO],$B$4,LANÇ_MOV[MÊS PAGAMENTO CORRESPONDENTE],M$6,LANÇ_MOV[EMPRESA],$C$4,LANÇ_MOV[CENTRO DE CUSTOS],$D$4)</f>
        <v>0</v>
      </c>
      <c r="N359" s="206">
        <f>SUMIFS(LANÇ_MOV[VALOR LÍQUIDO],LANÇ_MOV[RECEITA OU DESPESA],"Despesa",LANÇ_MOV[CONTAS],$C359,LANÇ_MOV[PLANO DE CONTAS],REL_DRE_FINANCEIRO!$B$343,LANÇ_MOV[ANO PAGAMENTO],$B$4,LANÇ_MOV[MÊS PAGAMENTO CORRESPONDENTE],N$6,LANÇ_MOV[EMPRESA],$C$4,LANÇ_MOV[CENTRO DE CUSTOS],$D$4)</f>
        <v>0</v>
      </c>
      <c r="O359" s="206">
        <f>SUMIFS(LANÇ_MOV[VALOR LÍQUIDO],LANÇ_MOV[RECEITA OU DESPESA],"Despesa",LANÇ_MOV[CONTAS],$C359,LANÇ_MOV[PLANO DE CONTAS],REL_DRE_FINANCEIRO!$B$343,LANÇ_MOV[ANO PAGAMENTO],$B$4,LANÇ_MOV[MÊS PAGAMENTO CORRESPONDENTE],O$6,LANÇ_MOV[EMPRESA],$C$4,LANÇ_MOV[CENTRO DE CUSTOS],$D$4)</f>
        <v>0</v>
      </c>
      <c r="P359" s="207">
        <f t="shared" si="54"/>
        <v>0</v>
      </c>
      <c r="Q359" s="329">
        <v>8.4999999999999999E-6</v>
      </c>
      <c r="R359" s="346">
        <f t="shared" si="55"/>
        <v>8.4999999999999999E-6</v>
      </c>
      <c r="S359" s="347" t="str">
        <f t="shared" si="56"/>
        <v>-</v>
      </c>
      <c r="T359" s="347">
        <f t="shared" si="57"/>
        <v>0</v>
      </c>
      <c r="U359" s="347">
        <f>HLOOKUP(Apoio!$P$12,$D$342:$P$443,X359,FALSE)+Q359</f>
        <v>8.4999999999999999E-6</v>
      </c>
      <c r="V359" s="447" t="str">
        <f t="shared" si="58"/>
        <v>-</v>
      </c>
      <c r="W359" s="448">
        <f>HLOOKUP(Apoio!$P$12,$D$342:$P$443,X359,FALSE)</f>
        <v>0</v>
      </c>
      <c r="X359" s="329">
        <v>18</v>
      </c>
    </row>
    <row r="360" spans="2:27" ht="30.05" customHeight="1" x14ac:dyDescent="0.35">
      <c r="B360" s="204" t="str">
        <f>'CAD_PL_REC-DESP'!Q21</f>
        <v>2.3.17</v>
      </c>
      <c r="C360" s="205" t="str">
        <f>IF('CAD_PL_REC-DESP'!R21="","-",'CAD_PL_REC-DESP'!R21)</f>
        <v>-</v>
      </c>
      <c r="D360" s="206">
        <f>SUMIFS(LANÇ_MOV[VALOR LÍQUIDO],LANÇ_MOV[RECEITA OU DESPESA],"Despesa",LANÇ_MOV[CONTAS],$C360,LANÇ_MOV[PLANO DE CONTAS],REL_DRE_FINANCEIRO!$B$343,LANÇ_MOV[ANO PAGAMENTO],$B$4,LANÇ_MOV[MÊS PAGAMENTO CORRESPONDENTE],D$6,LANÇ_MOV[EMPRESA],$C$4,LANÇ_MOV[CENTRO DE CUSTOS],$D$4)</f>
        <v>0</v>
      </c>
      <c r="E360" s="206">
        <f>SUMIFS(LANÇ_MOV[VALOR LÍQUIDO],LANÇ_MOV[RECEITA OU DESPESA],"Despesa",LANÇ_MOV[CONTAS],$C360,LANÇ_MOV[PLANO DE CONTAS],REL_DRE_FINANCEIRO!$B$343,LANÇ_MOV[ANO PAGAMENTO],$B$4,LANÇ_MOV[MÊS PAGAMENTO CORRESPONDENTE],E$6,LANÇ_MOV[EMPRESA],$C$4,LANÇ_MOV[CENTRO DE CUSTOS],$D$4)</f>
        <v>0</v>
      </c>
      <c r="F360" s="206">
        <f>SUMIFS(LANÇ_MOV[VALOR LÍQUIDO],LANÇ_MOV[RECEITA OU DESPESA],"Despesa",LANÇ_MOV[CONTAS],$C360,LANÇ_MOV[PLANO DE CONTAS],REL_DRE_FINANCEIRO!$B$343,LANÇ_MOV[ANO PAGAMENTO],$B$4,LANÇ_MOV[MÊS PAGAMENTO CORRESPONDENTE],F$6,LANÇ_MOV[EMPRESA],$C$4,LANÇ_MOV[CENTRO DE CUSTOS],$D$4)</f>
        <v>0</v>
      </c>
      <c r="G360" s="206">
        <f>SUMIFS(LANÇ_MOV[VALOR LÍQUIDO],LANÇ_MOV[RECEITA OU DESPESA],"Despesa",LANÇ_MOV[CONTAS],$C360,LANÇ_MOV[PLANO DE CONTAS],REL_DRE_FINANCEIRO!$B$343,LANÇ_MOV[ANO PAGAMENTO],$B$4,LANÇ_MOV[MÊS PAGAMENTO CORRESPONDENTE],G$6,LANÇ_MOV[EMPRESA],$C$4,LANÇ_MOV[CENTRO DE CUSTOS],$D$4)</f>
        <v>0</v>
      </c>
      <c r="H360" s="206">
        <f>SUMIFS(LANÇ_MOV[VALOR LÍQUIDO],LANÇ_MOV[RECEITA OU DESPESA],"Despesa",LANÇ_MOV[CONTAS],$C360,LANÇ_MOV[PLANO DE CONTAS],REL_DRE_FINANCEIRO!$B$343,LANÇ_MOV[ANO PAGAMENTO],$B$4,LANÇ_MOV[MÊS PAGAMENTO CORRESPONDENTE],H$6,LANÇ_MOV[EMPRESA],$C$4,LANÇ_MOV[CENTRO DE CUSTOS],$D$4)</f>
        <v>0</v>
      </c>
      <c r="I360" s="206">
        <f>SUMIFS(LANÇ_MOV[VALOR LÍQUIDO],LANÇ_MOV[RECEITA OU DESPESA],"Despesa",LANÇ_MOV[CONTAS],$C360,LANÇ_MOV[PLANO DE CONTAS],REL_DRE_FINANCEIRO!$B$343,LANÇ_MOV[ANO PAGAMENTO],$B$4,LANÇ_MOV[MÊS PAGAMENTO CORRESPONDENTE],I$6,LANÇ_MOV[EMPRESA],$C$4,LANÇ_MOV[CENTRO DE CUSTOS],$D$4)</f>
        <v>0</v>
      </c>
      <c r="J360" s="206">
        <f>SUMIFS(LANÇ_MOV[VALOR LÍQUIDO],LANÇ_MOV[RECEITA OU DESPESA],"Despesa",LANÇ_MOV[CONTAS],$C360,LANÇ_MOV[PLANO DE CONTAS],REL_DRE_FINANCEIRO!$B$343,LANÇ_MOV[ANO PAGAMENTO],$B$4,LANÇ_MOV[MÊS PAGAMENTO CORRESPONDENTE],J$6,LANÇ_MOV[EMPRESA],$C$4,LANÇ_MOV[CENTRO DE CUSTOS],$D$4)</f>
        <v>0</v>
      </c>
      <c r="K360" s="206">
        <f>SUMIFS(LANÇ_MOV[VALOR LÍQUIDO],LANÇ_MOV[RECEITA OU DESPESA],"Despesa",LANÇ_MOV[CONTAS],$C360,LANÇ_MOV[PLANO DE CONTAS],REL_DRE_FINANCEIRO!$B$343,LANÇ_MOV[ANO PAGAMENTO],$B$4,LANÇ_MOV[MÊS PAGAMENTO CORRESPONDENTE],K$6,LANÇ_MOV[EMPRESA],$C$4,LANÇ_MOV[CENTRO DE CUSTOS],$D$4)</f>
        <v>0</v>
      </c>
      <c r="L360" s="206">
        <f>SUMIFS(LANÇ_MOV[VALOR LÍQUIDO],LANÇ_MOV[RECEITA OU DESPESA],"Despesa",LANÇ_MOV[CONTAS],$C360,LANÇ_MOV[PLANO DE CONTAS],REL_DRE_FINANCEIRO!$B$343,LANÇ_MOV[ANO PAGAMENTO],$B$4,LANÇ_MOV[MÊS PAGAMENTO CORRESPONDENTE],L$6,LANÇ_MOV[EMPRESA],$C$4,LANÇ_MOV[CENTRO DE CUSTOS],$D$4)</f>
        <v>0</v>
      </c>
      <c r="M360" s="206">
        <f>SUMIFS(LANÇ_MOV[VALOR LÍQUIDO],LANÇ_MOV[RECEITA OU DESPESA],"Despesa",LANÇ_MOV[CONTAS],$C360,LANÇ_MOV[PLANO DE CONTAS],REL_DRE_FINANCEIRO!$B$343,LANÇ_MOV[ANO PAGAMENTO],$B$4,LANÇ_MOV[MÊS PAGAMENTO CORRESPONDENTE],M$6,LANÇ_MOV[EMPRESA],$C$4,LANÇ_MOV[CENTRO DE CUSTOS],$D$4)</f>
        <v>0</v>
      </c>
      <c r="N360" s="206">
        <f>SUMIFS(LANÇ_MOV[VALOR LÍQUIDO],LANÇ_MOV[RECEITA OU DESPESA],"Despesa",LANÇ_MOV[CONTAS],$C360,LANÇ_MOV[PLANO DE CONTAS],REL_DRE_FINANCEIRO!$B$343,LANÇ_MOV[ANO PAGAMENTO],$B$4,LANÇ_MOV[MÊS PAGAMENTO CORRESPONDENTE],N$6,LANÇ_MOV[EMPRESA],$C$4,LANÇ_MOV[CENTRO DE CUSTOS],$D$4)</f>
        <v>0</v>
      </c>
      <c r="O360" s="206">
        <f>SUMIFS(LANÇ_MOV[VALOR LÍQUIDO],LANÇ_MOV[RECEITA OU DESPESA],"Despesa",LANÇ_MOV[CONTAS],$C360,LANÇ_MOV[PLANO DE CONTAS],REL_DRE_FINANCEIRO!$B$343,LANÇ_MOV[ANO PAGAMENTO],$B$4,LANÇ_MOV[MÊS PAGAMENTO CORRESPONDENTE],O$6,LANÇ_MOV[EMPRESA],$C$4,LANÇ_MOV[CENTRO DE CUSTOS],$D$4)</f>
        <v>0</v>
      </c>
      <c r="P360" s="207">
        <f t="shared" si="54"/>
        <v>0</v>
      </c>
      <c r="Q360" s="329">
        <v>8.3999999999999992E-6</v>
      </c>
      <c r="R360" s="346">
        <f t="shared" si="55"/>
        <v>8.3999999999999992E-6</v>
      </c>
      <c r="S360" s="347" t="str">
        <f t="shared" si="56"/>
        <v>-</v>
      </c>
      <c r="T360" s="347">
        <f t="shared" si="57"/>
        <v>0</v>
      </c>
      <c r="U360" s="347">
        <f>HLOOKUP(Apoio!$P$12,$D$342:$P$443,X360,FALSE)+Q360</f>
        <v>8.3999999999999992E-6</v>
      </c>
      <c r="V360" s="447" t="str">
        <f t="shared" si="58"/>
        <v>-</v>
      </c>
      <c r="W360" s="448">
        <f>HLOOKUP(Apoio!$P$12,$D$342:$P$443,X360,FALSE)</f>
        <v>0</v>
      </c>
      <c r="X360" s="329">
        <v>19</v>
      </c>
    </row>
    <row r="361" spans="2:27" ht="30.05" customHeight="1" x14ac:dyDescent="0.35">
      <c r="B361" s="204" t="str">
        <f>'CAD_PL_REC-DESP'!Q22</f>
        <v>2.3.18</v>
      </c>
      <c r="C361" s="205" t="str">
        <f>IF('CAD_PL_REC-DESP'!R22="","-",'CAD_PL_REC-DESP'!R22)</f>
        <v>-</v>
      </c>
      <c r="D361" s="206">
        <f>SUMIFS(LANÇ_MOV[VALOR LÍQUIDO],LANÇ_MOV[RECEITA OU DESPESA],"Despesa",LANÇ_MOV[CONTAS],$C361,LANÇ_MOV[PLANO DE CONTAS],REL_DRE_FINANCEIRO!$B$343,LANÇ_MOV[ANO PAGAMENTO],$B$4,LANÇ_MOV[MÊS PAGAMENTO CORRESPONDENTE],D$6,LANÇ_MOV[EMPRESA],$C$4,LANÇ_MOV[CENTRO DE CUSTOS],$D$4)</f>
        <v>0</v>
      </c>
      <c r="E361" s="206">
        <f>SUMIFS(LANÇ_MOV[VALOR LÍQUIDO],LANÇ_MOV[RECEITA OU DESPESA],"Despesa",LANÇ_MOV[CONTAS],$C361,LANÇ_MOV[PLANO DE CONTAS],REL_DRE_FINANCEIRO!$B$343,LANÇ_MOV[ANO PAGAMENTO],$B$4,LANÇ_MOV[MÊS PAGAMENTO CORRESPONDENTE],E$6,LANÇ_MOV[EMPRESA],$C$4,LANÇ_MOV[CENTRO DE CUSTOS],$D$4)</f>
        <v>0</v>
      </c>
      <c r="F361" s="206">
        <f>SUMIFS(LANÇ_MOV[VALOR LÍQUIDO],LANÇ_MOV[RECEITA OU DESPESA],"Despesa",LANÇ_MOV[CONTAS],$C361,LANÇ_MOV[PLANO DE CONTAS],REL_DRE_FINANCEIRO!$B$343,LANÇ_MOV[ANO PAGAMENTO],$B$4,LANÇ_MOV[MÊS PAGAMENTO CORRESPONDENTE],F$6,LANÇ_MOV[EMPRESA],$C$4,LANÇ_MOV[CENTRO DE CUSTOS],$D$4)</f>
        <v>0</v>
      </c>
      <c r="G361" s="206">
        <f>SUMIFS(LANÇ_MOV[VALOR LÍQUIDO],LANÇ_MOV[RECEITA OU DESPESA],"Despesa",LANÇ_MOV[CONTAS],$C361,LANÇ_MOV[PLANO DE CONTAS],REL_DRE_FINANCEIRO!$B$343,LANÇ_MOV[ANO PAGAMENTO],$B$4,LANÇ_MOV[MÊS PAGAMENTO CORRESPONDENTE],G$6,LANÇ_MOV[EMPRESA],$C$4,LANÇ_MOV[CENTRO DE CUSTOS],$D$4)</f>
        <v>0</v>
      </c>
      <c r="H361" s="206">
        <f>SUMIFS(LANÇ_MOV[VALOR LÍQUIDO],LANÇ_MOV[RECEITA OU DESPESA],"Despesa",LANÇ_MOV[CONTAS],$C361,LANÇ_MOV[PLANO DE CONTAS],REL_DRE_FINANCEIRO!$B$343,LANÇ_MOV[ANO PAGAMENTO],$B$4,LANÇ_MOV[MÊS PAGAMENTO CORRESPONDENTE],H$6,LANÇ_MOV[EMPRESA],$C$4,LANÇ_MOV[CENTRO DE CUSTOS],$D$4)</f>
        <v>0</v>
      </c>
      <c r="I361" s="206">
        <f>SUMIFS(LANÇ_MOV[VALOR LÍQUIDO],LANÇ_MOV[RECEITA OU DESPESA],"Despesa",LANÇ_MOV[CONTAS],$C361,LANÇ_MOV[PLANO DE CONTAS],REL_DRE_FINANCEIRO!$B$343,LANÇ_MOV[ANO PAGAMENTO],$B$4,LANÇ_MOV[MÊS PAGAMENTO CORRESPONDENTE],I$6,LANÇ_MOV[EMPRESA],$C$4,LANÇ_MOV[CENTRO DE CUSTOS],$D$4)</f>
        <v>0</v>
      </c>
      <c r="J361" s="206">
        <f>SUMIFS(LANÇ_MOV[VALOR LÍQUIDO],LANÇ_MOV[RECEITA OU DESPESA],"Despesa",LANÇ_MOV[CONTAS],$C361,LANÇ_MOV[PLANO DE CONTAS],REL_DRE_FINANCEIRO!$B$343,LANÇ_MOV[ANO PAGAMENTO],$B$4,LANÇ_MOV[MÊS PAGAMENTO CORRESPONDENTE],J$6,LANÇ_MOV[EMPRESA],$C$4,LANÇ_MOV[CENTRO DE CUSTOS],$D$4)</f>
        <v>0</v>
      </c>
      <c r="K361" s="206">
        <f>SUMIFS(LANÇ_MOV[VALOR LÍQUIDO],LANÇ_MOV[RECEITA OU DESPESA],"Despesa",LANÇ_MOV[CONTAS],$C361,LANÇ_MOV[PLANO DE CONTAS],REL_DRE_FINANCEIRO!$B$343,LANÇ_MOV[ANO PAGAMENTO],$B$4,LANÇ_MOV[MÊS PAGAMENTO CORRESPONDENTE],K$6,LANÇ_MOV[EMPRESA],$C$4,LANÇ_MOV[CENTRO DE CUSTOS],$D$4)</f>
        <v>0</v>
      </c>
      <c r="L361" s="206">
        <f>SUMIFS(LANÇ_MOV[VALOR LÍQUIDO],LANÇ_MOV[RECEITA OU DESPESA],"Despesa",LANÇ_MOV[CONTAS],$C361,LANÇ_MOV[PLANO DE CONTAS],REL_DRE_FINANCEIRO!$B$343,LANÇ_MOV[ANO PAGAMENTO],$B$4,LANÇ_MOV[MÊS PAGAMENTO CORRESPONDENTE],L$6,LANÇ_MOV[EMPRESA],$C$4,LANÇ_MOV[CENTRO DE CUSTOS],$D$4)</f>
        <v>0</v>
      </c>
      <c r="M361" s="206">
        <f>SUMIFS(LANÇ_MOV[VALOR LÍQUIDO],LANÇ_MOV[RECEITA OU DESPESA],"Despesa",LANÇ_MOV[CONTAS],$C361,LANÇ_MOV[PLANO DE CONTAS],REL_DRE_FINANCEIRO!$B$343,LANÇ_MOV[ANO PAGAMENTO],$B$4,LANÇ_MOV[MÊS PAGAMENTO CORRESPONDENTE],M$6,LANÇ_MOV[EMPRESA],$C$4,LANÇ_MOV[CENTRO DE CUSTOS],$D$4)</f>
        <v>0</v>
      </c>
      <c r="N361" s="206">
        <f>SUMIFS(LANÇ_MOV[VALOR LÍQUIDO],LANÇ_MOV[RECEITA OU DESPESA],"Despesa",LANÇ_MOV[CONTAS],$C361,LANÇ_MOV[PLANO DE CONTAS],REL_DRE_FINANCEIRO!$B$343,LANÇ_MOV[ANO PAGAMENTO],$B$4,LANÇ_MOV[MÊS PAGAMENTO CORRESPONDENTE],N$6,LANÇ_MOV[EMPRESA],$C$4,LANÇ_MOV[CENTRO DE CUSTOS],$D$4)</f>
        <v>0</v>
      </c>
      <c r="O361" s="206">
        <f>SUMIFS(LANÇ_MOV[VALOR LÍQUIDO],LANÇ_MOV[RECEITA OU DESPESA],"Despesa",LANÇ_MOV[CONTAS],$C361,LANÇ_MOV[PLANO DE CONTAS],REL_DRE_FINANCEIRO!$B$343,LANÇ_MOV[ANO PAGAMENTO],$B$4,LANÇ_MOV[MÊS PAGAMENTO CORRESPONDENTE],O$6,LANÇ_MOV[EMPRESA],$C$4,LANÇ_MOV[CENTRO DE CUSTOS],$D$4)</f>
        <v>0</v>
      </c>
      <c r="P361" s="207">
        <f t="shared" si="54"/>
        <v>0</v>
      </c>
      <c r="Q361" s="329">
        <v>8.3000000000000002E-6</v>
      </c>
      <c r="R361" s="346">
        <f t="shared" si="55"/>
        <v>8.3000000000000002E-6</v>
      </c>
      <c r="S361" s="347" t="str">
        <f t="shared" si="56"/>
        <v>-</v>
      </c>
      <c r="T361" s="347">
        <f t="shared" si="57"/>
        <v>0</v>
      </c>
      <c r="U361" s="347">
        <f>HLOOKUP(Apoio!$P$12,$D$342:$P$443,X361,FALSE)+Q361</f>
        <v>8.3000000000000002E-6</v>
      </c>
      <c r="V361" s="447" t="str">
        <f t="shared" si="58"/>
        <v>-</v>
      </c>
      <c r="W361" s="448">
        <f>HLOOKUP(Apoio!$P$12,$D$342:$P$443,X361,FALSE)</f>
        <v>0</v>
      </c>
      <c r="X361" s="329">
        <v>20</v>
      </c>
    </row>
    <row r="362" spans="2:27" ht="30.05" customHeight="1" x14ac:dyDescent="0.35">
      <c r="B362" s="204" t="str">
        <f>'CAD_PL_REC-DESP'!Q23</f>
        <v>2.3.19</v>
      </c>
      <c r="C362" s="205" t="str">
        <f>IF('CAD_PL_REC-DESP'!R23="","-",'CAD_PL_REC-DESP'!R23)</f>
        <v>-</v>
      </c>
      <c r="D362" s="206">
        <f>SUMIFS(LANÇ_MOV[VALOR LÍQUIDO],LANÇ_MOV[RECEITA OU DESPESA],"Despesa",LANÇ_MOV[CONTAS],$C362,LANÇ_MOV[PLANO DE CONTAS],REL_DRE_FINANCEIRO!$B$343,LANÇ_MOV[ANO PAGAMENTO],$B$4,LANÇ_MOV[MÊS PAGAMENTO CORRESPONDENTE],D$6,LANÇ_MOV[EMPRESA],$C$4,LANÇ_MOV[CENTRO DE CUSTOS],$D$4)</f>
        <v>0</v>
      </c>
      <c r="E362" s="206">
        <f>SUMIFS(LANÇ_MOV[VALOR LÍQUIDO],LANÇ_MOV[RECEITA OU DESPESA],"Despesa",LANÇ_MOV[CONTAS],$C362,LANÇ_MOV[PLANO DE CONTAS],REL_DRE_FINANCEIRO!$B$343,LANÇ_MOV[ANO PAGAMENTO],$B$4,LANÇ_MOV[MÊS PAGAMENTO CORRESPONDENTE],E$6,LANÇ_MOV[EMPRESA],$C$4,LANÇ_MOV[CENTRO DE CUSTOS],$D$4)</f>
        <v>0</v>
      </c>
      <c r="F362" s="206">
        <f>SUMIFS(LANÇ_MOV[VALOR LÍQUIDO],LANÇ_MOV[RECEITA OU DESPESA],"Despesa",LANÇ_MOV[CONTAS],$C362,LANÇ_MOV[PLANO DE CONTAS],REL_DRE_FINANCEIRO!$B$343,LANÇ_MOV[ANO PAGAMENTO],$B$4,LANÇ_MOV[MÊS PAGAMENTO CORRESPONDENTE],F$6,LANÇ_MOV[EMPRESA],$C$4,LANÇ_MOV[CENTRO DE CUSTOS],$D$4)</f>
        <v>0</v>
      </c>
      <c r="G362" s="206">
        <f>SUMIFS(LANÇ_MOV[VALOR LÍQUIDO],LANÇ_MOV[RECEITA OU DESPESA],"Despesa",LANÇ_MOV[CONTAS],$C362,LANÇ_MOV[PLANO DE CONTAS],REL_DRE_FINANCEIRO!$B$343,LANÇ_MOV[ANO PAGAMENTO],$B$4,LANÇ_MOV[MÊS PAGAMENTO CORRESPONDENTE],G$6,LANÇ_MOV[EMPRESA],$C$4,LANÇ_MOV[CENTRO DE CUSTOS],$D$4)</f>
        <v>0</v>
      </c>
      <c r="H362" s="206">
        <f>SUMIFS(LANÇ_MOV[VALOR LÍQUIDO],LANÇ_MOV[RECEITA OU DESPESA],"Despesa",LANÇ_MOV[CONTAS],$C362,LANÇ_MOV[PLANO DE CONTAS],REL_DRE_FINANCEIRO!$B$343,LANÇ_MOV[ANO PAGAMENTO],$B$4,LANÇ_MOV[MÊS PAGAMENTO CORRESPONDENTE],H$6,LANÇ_MOV[EMPRESA],$C$4,LANÇ_MOV[CENTRO DE CUSTOS],$D$4)</f>
        <v>0</v>
      </c>
      <c r="I362" s="206">
        <f>SUMIFS(LANÇ_MOV[VALOR LÍQUIDO],LANÇ_MOV[RECEITA OU DESPESA],"Despesa",LANÇ_MOV[CONTAS],$C362,LANÇ_MOV[PLANO DE CONTAS],REL_DRE_FINANCEIRO!$B$343,LANÇ_MOV[ANO PAGAMENTO],$B$4,LANÇ_MOV[MÊS PAGAMENTO CORRESPONDENTE],I$6,LANÇ_MOV[EMPRESA],$C$4,LANÇ_MOV[CENTRO DE CUSTOS],$D$4)</f>
        <v>0</v>
      </c>
      <c r="J362" s="206">
        <f>SUMIFS(LANÇ_MOV[VALOR LÍQUIDO],LANÇ_MOV[RECEITA OU DESPESA],"Despesa",LANÇ_MOV[CONTAS],$C362,LANÇ_MOV[PLANO DE CONTAS],REL_DRE_FINANCEIRO!$B$343,LANÇ_MOV[ANO PAGAMENTO],$B$4,LANÇ_MOV[MÊS PAGAMENTO CORRESPONDENTE],J$6,LANÇ_MOV[EMPRESA],$C$4,LANÇ_MOV[CENTRO DE CUSTOS],$D$4)</f>
        <v>0</v>
      </c>
      <c r="K362" s="206">
        <f>SUMIFS(LANÇ_MOV[VALOR LÍQUIDO],LANÇ_MOV[RECEITA OU DESPESA],"Despesa",LANÇ_MOV[CONTAS],$C362,LANÇ_MOV[PLANO DE CONTAS],REL_DRE_FINANCEIRO!$B$343,LANÇ_MOV[ANO PAGAMENTO],$B$4,LANÇ_MOV[MÊS PAGAMENTO CORRESPONDENTE],K$6,LANÇ_MOV[EMPRESA],$C$4,LANÇ_MOV[CENTRO DE CUSTOS],$D$4)</f>
        <v>0</v>
      </c>
      <c r="L362" s="206">
        <f>SUMIFS(LANÇ_MOV[VALOR LÍQUIDO],LANÇ_MOV[RECEITA OU DESPESA],"Despesa",LANÇ_MOV[CONTAS],$C362,LANÇ_MOV[PLANO DE CONTAS],REL_DRE_FINANCEIRO!$B$343,LANÇ_MOV[ANO PAGAMENTO],$B$4,LANÇ_MOV[MÊS PAGAMENTO CORRESPONDENTE],L$6,LANÇ_MOV[EMPRESA],$C$4,LANÇ_MOV[CENTRO DE CUSTOS],$D$4)</f>
        <v>0</v>
      </c>
      <c r="M362" s="206">
        <f>SUMIFS(LANÇ_MOV[VALOR LÍQUIDO],LANÇ_MOV[RECEITA OU DESPESA],"Despesa",LANÇ_MOV[CONTAS],$C362,LANÇ_MOV[PLANO DE CONTAS],REL_DRE_FINANCEIRO!$B$343,LANÇ_MOV[ANO PAGAMENTO],$B$4,LANÇ_MOV[MÊS PAGAMENTO CORRESPONDENTE],M$6,LANÇ_MOV[EMPRESA],$C$4,LANÇ_MOV[CENTRO DE CUSTOS],$D$4)</f>
        <v>0</v>
      </c>
      <c r="N362" s="206">
        <f>SUMIFS(LANÇ_MOV[VALOR LÍQUIDO],LANÇ_MOV[RECEITA OU DESPESA],"Despesa",LANÇ_MOV[CONTAS],$C362,LANÇ_MOV[PLANO DE CONTAS],REL_DRE_FINANCEIRO!$B$343,LANÇ_MOV[ANO PAGAMENTO],$B$4,LANÇ_MOV[MÊS PAGAMENTO CORRESPONDENTE],N$6,LANÇ_MOV[EMPRESA],$C$4,LANÇ_MOV[CENTRO DE CUSTOS],$D$4)</f>
        <v>0</v>
      </c>
      <c r="O362" s="206">
        <f>SUMIFS(LANÇ_MOV[VALOR LÍQUIDO],LANÇ_MOV[RECEITA OU DESPESA],"Despesa",LANÇ_MOV[CONTAS],$C362,LANÇ_MOV[PLANO DE CONTAS],REL_DRE_FINANCEIRO!$B$343,LANÇ_MOV[ANO PAGAMENTO],$B$4,LANÇ_MOV[MÊS PAGAMENTO CORRESPONDENTE],O$6,LANÇ_MOV[EMPRESA],$C$4,LANÇ_MOV[CENTRO DE CUSTOS],$D$4)</f>
        <v>0</v>
      </c>
      <c r="P362" s="207">
        <f t="shared" si="54"/>
        <v>0</v>
      </c>
      <c r="Q362" s="329">
        <v>8.1999999999999994E-6</v>
      </c>
      <c r="R362" s="346">
        <f t="shared" si="55"/>
        <v>8.1999999999999994E-6</v>
      </c>
      <c r="S362" s="347" t="str">
        <f t="shared" si="56"/>
        <v>-</v>
      </c>
      <c r="T362" s="347">
        <f t="shared" si="57"/>
        <v>0</v>
      </c>
      <c r="U362" s="347">
        <f>HLOOKUP(Apoio!$P$12,$D$342:$P$443,X362,FALSE)+Q362</f>
        <v>8.1999999999999994E-6</v>
      </c>
      <c r="V362" s="447" t="str">
        <f t="shared" si="58"/>
        <v>-</v>
      </c>
      <c r="W362" s="448">
        <f>HLOOKUP(Apoio!$P$12,$D$342:$P$443,X362,FALSE)</f>
        <v>0</v>
      </c>
      <c r="X362" s="329">
        <v>21</v>
      </c>
    </row>
    <row r="363" spans="2:27" ht="30.05" customHeight="1" x14ac:dyDescent="0.35">
      <c r="B363" s="204" t="str">
        <f>'CAD_PL_REC-DESP'!Q24</f>
        <v>2.3.20</v>
      </c>
      <c r="C363" s="205" t="str">
        <f>IF('CAD_PL_REC-DESP'!R24="","-",'CAD_PL_REC-DESP'!R24)</f>
        <v>-</v>
      </c>
      <c r="D363" s="206">
        <f>SUMIFS(LANÇ_MOV[VALOR LÍQUIDO],LANÇ_MOV[RECEITA OU DESPESA],"Despesa",LANÇ_MOV[CONTAS],$C363,LANÇ_MOV[PLANO DE CONTAS],REL_DRE_FINANCEIRO!$B$343,LANÇ_MOV[ANO PAGAMENTO],$B$4,LANÇ_MOV[MÊS PAGAMENTO CORRESPONDENTE],D$6,LANÇ_MOV[EMPRESA],$C$4,LANÇ_MOV[CENTRO DE CUSTOS],$D$4)</f>
        <v>0</v>
      </c>
      <c r="E363" s="206">
        <f>SUMIFS(LANÇ_MOV[VALOR LÍQUIDO],LANÇ_MOV[RECEITA OU DESPESA],"Despesa",LANÇ_MOV[CONTAS],$C363,LANÇ_MOV[PLANO DE CONTAS],REL_DRE_FINANCEIRO!$B$343,LANÇ_MOV[ANO PAGAMENTO],$B$4,LANÇ_MOV[MÊS PAGAMENTO CORRESPONDENTE],E$6,LANÇ_MOV[EMPRESA],$C$4,LANÇ_MOV[CENTRO DE CUSTOS],$D$4)</f>
        <v>0</v>
      </c>
      <c r="F363" s="206">
        <f>SUMIFS(LANÇ_MOV[VALOR LÍQUIDO],LANÇ_MOV[RECEITA OU DESPESA],"Despesa",LANÇ_MOV[CONTAS],$C363,LANÇ_MOV[PLANO DE CONTAS],REL_DRE_FINANCEIRO!$B$343,LANÇ_MOV[ANO PAGAMENTO],$B$4,LANÇ_MOV[MÊS PAGAMENTO CORRESPONDENTE],F$6,LANÇ_MOV[EMPRESA],$C$4,LANÇ_MOV[CENTRO DE CUSTOS],$D$4)</f>
        <v>0</v>
      </c>
      <c r="G363" s="206">
        <f>SUMIFS(LANÇ_MOV[VALOR LÍQUIDO],LANÇ_MOV[RECEITA OU DESPESA],"Despesa",LANÇ_MOV[CONTAS],$C363,LANÇ_MOV[PLANO DE CONTAS],REL_DRE_FINANCEIRO!$B$343,LANÇ_MOV[ANO PAGAMENTO],$B$4,LANÇ_MOV[MÊS PAGAMENTO CORRESPONDENTE],G$6,LANÇ_MOV[EMPRESA],$C$4,LANÇ_MOV[CENTRO DE CUSTOS],$D$4)</f>
        <v>0</v>
      </c>
      <c r="H363" s="206">
        <f>SUMIFS(LANÇ_MOV[VALOR LÍQUIDO],LANÇ_MOV[RECEITA OU DESPESA],"Despesa",LANÇ_MOV[CONTAS],$C363,LANÇ_MOV[PLANO DE CONTAS],REL_DRE_FINANCEIRO!$B$343,LANÇ_MOV[ANO PAGAMENTO],$B$4,LANÇ_MOV[MÊS PAGAMENTO CORRESPONDENTE],H$6,LANÇ_MOV[EMPRESA],$C$4,LANÇ_MOV[CENTRO DE CUSTOS],$D$4)</f>
        <v>0</v>
      </c>
      <c r="I363" s="206">
        <f>SUMIFS(LANÇ_MOV[VALOR LÍQUIDO],LANÇ_MOV[RECEITA OU DESPESA],"Despesa",LANÇ_MOV[CONTAS],$C363,LANÇ_MOV[PLANO DE CONTAS],REL_DRE_FINANCEIRO!$B$343,LANÇ_MOV[ANO PAGAMENTO],$B$4,LANÇ_MOV[MÊS PAGAMENTO CORRESPONDENTE],I$6,LANÇ_MOV[EMPRESA],$C$4,LANÇ_MOV[CENTRO DE CUSTOS],$D$4)</f>
        <v>0</v>
      </c>
      <c r="J363" s="206">
        <f>SUMIFS(LANÇ_MOV[VALOR LÍQUIDO],LANÇ_MOV[RECEITA OU DESPESA],"Despesa",LANÇ_MOV[CONTAS],$C363,LANÇ_MOV[PLANO DE CONTAS],REL_DRE_FINANCEIRO!$B$343,LANÇ_MOV[ANO PAGAMENTO],$B$4,LANÇ_MOV[MÊS PAGAMENTO CORRESPONDENTE],J$6,LANÇ_MOV[EMPRESA],$C$4,LANÇ_MOV[CENTRO DE CUSTOS],$D$4)</f>
        <v>0</v>
      </c>
      <c r="K363" s="206">
        <f>SUMIFS(LANÇ_MOV[VALOR LÍQUIDO],LANÇ_MOV[RECEITA OU DESPESA],"Despesa",LANÇ_MOV[CONTAS],$C363,LANÇ_MOV[PLANO DE CONTAS],REL_DRE_FINANCEIRO!$B$343,LANÇ_MOV[ANO PAGAMENTO],$B$4,LANÇ_MOV[MÊS PAGAMENTO CORRESPONDENTE],K$6,LANÇ_MOV[EMPRESA],$C$4,LANÇ_MOV[CENTRO DE CUSTOS],$D$4)</f>
        <v>0</v>
      </c>
      <c r="L363" s="206">
        <f>SUMIFS(LANÇ_MOV[VALOR LÍQUIDO],LANÇ_MOV[RECEITA OU DESPESA],"Despesa",LANÇ_MOV[CONTAS],$C363,LANÇ_MOV[PLANO DE CONTAS],REL_DRE_FINANCEIRO!$B$343,LANÇ_MOV[ANO PAGAMENTO],$B$4,LANÇ_MOV[MÊS PAGAMENTO CORRESPONDENTE],L$6,LANÇ_MOV[EMPRESA],$C$4,LANÇ_MOV[CENTRO DE CUSTOS],$D$4)</f>
        <v>0</v>
      </c>
      <c r="M363" s="206">
        <f>SUMIFS(LANÇ_MOV[VALOR LÍQUIDO],LANÇ_MOV[RECEITA OU DESPESA],"Despesa",LANÇ_MOV[CONTAS],$C363,LANÇ_MOV[PLANO DE CONTAS],REL_DRE_FINANCEIRO!$B$343,LANÇ_MOV[ANO PAGAMENTO],$B$4,LANÇ_MOV[MÊS PAGAMENTO CORRESPONDENTE],M$6,LANÇ_MOV[EMPRESA],$C$4,LANÇ_MOV[CENTRO DE CUSTOS],$D$4)</f>
        <v>0</v>
      </c>
      <c r="N363" s="206">
        <f>SUMIFS(LANÇ_MOV[VALOR LÍQUIDO],LANÇ_MOV[RECEITA OU DESPESA],"Despesa",LANÇ_MOV[CONTAS],$C363,LANÇ_MOV[PLANO DE CONTAS],REL_DRE_FINANCEIRO!$B$343,LANÇ_MOV[ANO PAGAMENTO],$B$4,LANÇ_MOV[MÊS PAGAMENTO CORRESPONDENTE],N$6,LANÇ_MOV[EMPRESA],$C$4,LANÇ_MOV[CENTRO DE CUSTOS],$D$4)</f>
        <v>0</v>
      </c>
      <c r="O363" s="206">
        <f>SUMIFS(LANÇ_MOV[VALOR LÍQUIDO],LANÇ_MOV[RECEITA OU DESPESA],"Despesa",LANÇ_MOV[CONTAS],$C363,LANÇ_MOV[PLANO DE CONTAS],REL_DRE_FINANCEIRO!$B$343,LANÇ_MOV[ANO PAGAMENTO],$B$4,LANÇ_MOV[MÊS PAGAMENTO CORRESPONDENTE],O$6,LANÇ_MOV[EMPRESA],$C$4,LANÇ_MOV[CENTRO DE CUSTOS],$D$4)</f>
        <v>0</v>
      </c>
      <c r="P363" s="207">
        <f t="shared" si="54"/>
        <v>0</v>
      </c>
      <c r="Q363" s="329">
        <v>8.1000000000000004E-6</v>
      </c>
      <c r="R363" s="346">
        <f t="shared" si="55"/>
        <v>8.1000000000000004E-6</v>
      </c>
      <c r="S363" s="347" t="str">
        <f t="shared" si="56"/>
        <v>-</v>
      </c>
      <c r="T363" s="347">
        <f t="shared" si="57"/>
        <v>0</v>
      </c>
      <c r="U363" s="347">
        <f>HLOOKUP(Apoio!$P$12,$D$342:$P$443,X363,FALSE)+Q363</f>
        <v>8.1000000000000004E-6</v>
      </c>
      <c r="V363" s="447" t="str">
        <f t="shared" si="58"/>
        <v>-</v>
      </c>
      <c r="W363" s="448">
        <f>HLOOKUP(Apoio!$P$12,$D$342:$P$443,X363,FALSE)</f>
        <v>0</v>
      </c>
      <c r="X363" s="329">
        <v>22</v>
      </c>
    </row>
    <row r="364" spans="2:27" ht="30.05" customHeight="1" x14ac:dyDescent="0.35">
      <c r="B364" s="204" t="str">
        <f>'CAD_PL_REC-DESP'!Q25</f>
        <v>2.3.21</v>
      </c>
      <c r="C364" s="205" t="str">
        <f>IF('CAD_PL_REC-DESP'!R25="","-",'CAD_PL_REC-DESP'!R25)</f>
        <v>-</v>
      </c>
      <c r="D364" s="206">
        <f>SUMIFS(LANÇ_MOV[VALOR LÍQUIDO],LANÇ_MOV[RECEITA OU DESPESA],"Despesa",LANÇ_MOV[CONTAS],$C364,LANÇ_MOV[PLANO DE CONTAS],REL_DRE_FINANCEIRO!$B$343,LANÇ_MOV[ANO PAGAMENTO],$B$4,LANÇ_MOV[MÊS PAGAMENTO CORRESPONDENTE],D$6,LANÇ_MOV[EMPRESA],$C$4,LANÇ_MOV[CENTRO DE CUSTOS],$D$4)</f>
        <v>0</v>
      </c>
      <c r="E364" s="206">
        <f>SUMIFS(LANÇ_MOV[VALOR LÍQUIDO],LANÇ_MOV[RECEITA OU DESPESA],"Despesa",LANÇ_MOV[CONTAS],$C364,LANÇ_MOV[PLANO DE CONTAS],REL_DRE_FINANCEIRO!$B$343,LANÇ_MOV[ANO PAGAMENTO],$B$4,LANÇ_MOV[MÊS PAGAMENTO CORRESPONDENTE],E$6,LANÇ_MOV[EMPRESA],$C$4,LANÇ_MOV[CENTRO DE CUSTOS],$D$4)</f>
        <v>0</v>
      </c>
      <c r="F364" s="206">
        <f>SUMIFS(LANÇ_MOV[VALOR LÍQUIDO],LANÇ_MOV[RECEITA OU DESPESA],"Despesa",LANÇ_MOV[CONTAS],$C364,LANÇ_MOV[PLANO DE CONTAS],REL_DRE_FINANCEIRO!$B$343,LANÇ_MOV[ANO PAGAMENTO],$B$4,LANÇ_MOV[MÊS PAGAMENTO CORRESPONDENTE],F$6,LANÇ_MOV[EMPRESA],$C$4,LANÇ_MOV[CENTRO DE CUSTOS],$D$4)</f>
        <v>0</v>
      </c>
      <c r="G364" s="206">
        <f>SUMIFS(LANÇ_MOV[VALOR LÍQUIDO],LANÇ_MOV[RECEITA OU DESPESA],"Despesa",LANÇ_MOV[CONTAS],$C364,LANÇ_MOV[PLANO DE CONTAS],REL_DRE_FINANCEIRO!$B$343,LANÇ_MOV[ANO PAGAMENTO],$B$4,LANÇ_MOV[MÊS PAGAMENTO CORRESPONDENTE],G$6,LANÇ_MOV[EMPRESA],$C$4,LANÇ_MOV[CENTRO DE CUSTOS],$D$4)</f>
        <v>0</v>
      </c>
      <c r="H364" s="206">
        <f>SUMIFS(LANÇ_MOV[VALOR LÍQUIDO],LANÇ_MOV[RECEITA OU DESPESA],"Despesa",LANÇ_MOV[CONTAS],$C364,LANÇ_MOV[PLANO DE CONTAS],REL_DRE_FINANCEIRO!$B$343,LANÇ_MOV[ANO PAGAMENTO],$B$4,LANÇ_MOV[MÊS PAGAMENTO CORRESPONDENTE],H$6,LANÇ_MOV[EMPRESA],$C$4,LANÇ_MOV[CENTRO DE CUSTOS],$D$4)</f>
        <v>0</v>
      </c>
      <c r="I364" s="206">
        <f>SUMIFS(LANÇ_MOV[VALOR LÍQUIDO],LANÇ_MOV[RECEITA OU DESPESA],"Despesa",LANÇ_MOV[CONTAS],$C364,LANÇ_MOV[PLANO DE CONTAS],REL_DRE_FINANCEIRO!$B$343,LANÇ_MOV[ANO PAGAMENTO],$B$4,LANÇ_MOV[MÊS PAGAMENTO CORRESPONDENTE],I$6,LANÇ_MOV[EMPRESA],$C$4,LANÇ_MOV[CENTRO DE CUSTOS],$D$4)</f>
        <v>0</v>
      </c>
      <c r="J364" s="206">
        <f>SUMIFS(LANÇ_MOV[VALOR LÍQUIDO],LANÇ_MOV[RECEITA OU DESPESA],"Despesa",LANÇ_MOV[CONTAS],$C364,LANÇ_MOV[PLANO DE CONTAS],REL_DRE_FINANCEIRO!$B$343,LANÇ_MOV[ANO PAGAMENTO],$B$4,LANÇ_MOV[MÊS PAGAMENTO CORRESPONDENTE],J$6,LANÇ_MOV[EMPRESA],$C$4,LANÇ_MOV[CENTRO DE CUSTOS],$D$4)</f>
        <v>0</v>
      </c>
      <c r="K364" s="206">
        <f>SUMIFS(LANÇ_MOV[VALOR LÍQUIDO],LANÇ_MOV[RECEITA OU DESPESA],"Despesa",LANÇ_MOV[CONTAS],$C364,LANÇ_MOV[PLANO DE CONTAS],REL_DRE_FINANCEIRO!$B$343,LANÇ_MOV[ANO PAGAMENTO],$B$4,LANÇ_MOV[MÊS PAGAMENTO CORRESPONDENTE],K$6,LANÇ_MOV[EMPRESA],$C$4,LANÇ_MOV[CENTRO DE CUSTOS],$D$4)</f>
        <v>0</v>
      </c>
      <c r="L364" s="206">
        <f>SUMIFS(LANÇ_MOV[VALOR LÍQUIDO],LANÇ_MOV[RECEITA OU DESPESA],"Despesa",LANÇ_MOV[CONTAS],$C364,LANÇ_MOV[PLANO DE CONTAS],REL_DRE_FINANCEIRO!$B$343,LANÇ_MOV[ANO PAGAMENTO],$B$4,LANÇ_MOV[MÊS PAGAMENTO CORRESPONDENTE],L$6,LANÇ_MOV[EMPRESA],$C$4,LANÇ_MOV[CENTRO DE CUSTOS],$D$4)</f>
        <v>0</v>
      </c>
      <c r="M364" s="206">
        <f>SUMIFS(LANÇ_MOV[VALOR LÍQUIDO],LANÇ_MOV[RECEITA OU DESPESA],"Despesa",LANÇ_MOV[CONTAS],$C364,LANÇ_MOV[PLANO DE CONTAS],REL_DRE_FINANCEIRO!$B$343,LANÇ_MOV[ANO PAGAMENTO],$B$4,LANÇ_MOV[MÊS PAGAMENTO CORRESPONDENTE],M$6,LANÇ_MOV[EMPRESA],$C$4,LANÇ_MOV[CENTRO DE CUSTOS],$D$4)</f>
        <v>0</v>
      </c>
      <c r="N364" s="206">
        <f>SUMIFS(LANÇ_MOV[VALOR LÍQUIDO],LANÇ_MOV[RECEITA OU DESPESA],"Despesa",LANÇ_MOV[CONTAS],$C364,LANÇ_MOV[PLANO DE CONTAS],REL_DRE_FINANCEIRO!$B$343,LANÇ_MOV[ANO PAGAMENTO],$B$4,LANÇ_MOV[MÊS PAGAMENTO CORRESPONDENTE],N$6,LANÇ_MOV[EMPRESA],$C$4,LANÇ_MOV[CENTRO DE CUSTOS],$D$4)</f>
        <v>0</v>
      </c>
      <c r="O364" s="206">
        <f>SUMIFS(LANÇ_MOV[VALOR LÍQUIDO],LANÇ_MOV[RECEITA OU DESPESA],"Despesa",LANÇ_MOV[CONTAS],$C364,LANÇ_MOV[PLANO DE CONTAS],REL_DRE_FINANCEIRO!$B$343,LANÇ_MOV[ANO PAGAMENTO],$B$4,LANÇ_MOV[MÊS PAGAMENTO CORRESPONDENTE],O$6,LANÇ_MOV[EMPRESA],$C$4,LANÇ_MOV[CENTRO DE CUSTOS],$D$4)</f>
        <v>0</v>
      </c>
      <c r="P364" s="207">
        <f t="shared" si="54"/>
        <v>0</v>
      </c>
      <c r="Q364" s="329">
        <v>7.9999999999999996E-6</v>
      </c>
      <c r="R364" s="346">
        <f t="shared" si="55"/>
        <v>7.9999999999999996E-6</v>
      </c>
      <c r="S364" s="347" t="str">
        <f t="shared" si="56"/>
        <v>-</v>
      </c>
      <c r="T364" s="347">
        <f t="shared" si="57"/>
        <v>0</v>
      </c>
      <c r="U364" s="347">
        <f>HLOOKUP(Apoio!$P$12,$D$342:$P$443,X364,FALSE)+Q364</f>
        <v>7.9999999999999996E-6</v>
      </c>
      <c r="V364" s="447" t="str">
        <f t="shared" si="58"/>
        <v>-</v>
      </c>
      <c r="W364" s="448">
        <f>HLOOKUP(Apoio!$P$12,$D$342:$P$443,X364,FALSE)</f>
        <v>0</v>
      </c>
      <c r="X364" s="329">
        <v>23</v>
      </c>
    </row>
    <row r="365" spans="2:27" ht="30.05" customHeight="1" x14ac:dyDescent="0.35">
      <c r="B365" s="204" t="str">
        <f>'CAD_PL_REC-DESP'!Q26</f>
        <v>2.3.22</v>
      </c>
      <c r="C365" s="205" t="str">
        <f>IF('CAD_PL_REC-DESP'!R26="","-",'CAD_PL_REC-DESP'!R26)</f>
        <v>-</v>
      </c>
      <c r="D365" s="206">
        <f>SUMIFS(LANÇ_MOV[VALOR LÍQUIDO],LANÇ_MOV[RECEITA OU DESPESA],"Despesa",LANÇ_MOV[CONTAS],$C365,LANÇ_MOV[PLANO DE CONTAS],REL_DRE_FINANCEIRO!$B$343,LANÇ_MOV[ANO PAGAMENTO],$B$4,LANÇ_MOV[MÊS PAGAMENTO CORRESPONDENTE],D$6,LANÇ_MOV[EMPRESA],$C$4,LANÇ_MOV[CENTRO DE CUSTOS],$D$4)</f>
        <v>0</v>
      </c>
      <c r="E365" s="206">
        <f>SUMIFS(LANÇ_MOV[VALOR LÍQUIDO],LANÇ_MOV[RECEITA OU DESPESA],"Despesa",LANÇ_MOV[CONTAS],$C365,LANÇ_MOV[PLANO DE CONTAS],REL_DRE_FINANCEIRO!$B$343,LANÇ_MOV[ANO PAGAMENTO],$B$4,LANÇ_MOV[MÊS PAGAMENTO CORRESPONDENTE],E$6,LANÇ_MOV[EMPRESA],$C$4,LANÇ_MOV[CENTRO DE CUSTOS],$D$4)</f>
        <v>0</v>
      </c>
      <c r="F365" s="206">
        <f>SUMIFS(LANÇ_MOV[VALOR LÍQUIDO],LANÇ_MOV[RECEITA OU DESPESA],"Despesa",LANÇ_MOV[CONTAS],$C365,LANÇ_MOV[PLANO DE CONTAS],REL_DRE_FINANCEIRO!$B$343,LANÇ_MOV[ANO PAGAMENTO],$B$4,LANÇ_MOV[MÊS PAGAMENTO CORRESPONDENTE],F$6,LANÇ_MOV[EMPRESA],$C$4,LANÇ_MOV[CENTRO DE CUSTOS],$D$4)</f>
        <v>0</v>
      </c>
      <c r="G365" s="206">
        <f>SUMIFS(LANÇ_MOV[VALOR LÍQUIDO],LANÇ_MOV[RECEITA OU DESPESA],"Despesa",LANÇ_MOV[CONTAS],$C365,LANÇ_MOV[PLANO DE CONTAS],REL_DRE_FINANCEIRO!$B$343,LANÇ_MOV[ANO PAGAMENTO],$B$4,LANÇ_MOV[MÊS PAGAMENTO CORRESPONDENTE],G$6,LANÇ_MOV[EMPRESA],$C$4,LANÇ_MOV[CENTRO DE CUSTOS],$D$4)</f>
        <v>0</v>
      </c>
      <c r="H365" s="206">
        <f>SUMIFS(LANÇ_MOV[VALOR LÍQUIDO],LANÇ_MOV[RECEITA OU DESPESA],"Despesa",LANÇ_MOV[CONTAS],$C365,LANÇ_MOV[PLANO DE CONTAS],REL_DRE_FINANCEIRO!$B$343,LANÇ_MOV[ANO PAGAMENTO],$B$4,LANÇ_MOV[MÊS PAGAMENTO CORRESPONDENTE],H$6,LANÇ_MOV[EMPRESA],$C$4,LANÇ_MOV[CENTRO DE CUSTOS],$D$4)</f>
        <v>0</v>
      </c>
      <c r="I365" s="206">
        <f>SUMIFS(LANÇ_MOV[VALOR LÍQUIDO],LANÇ_MOV[RECEITA OU DESPESA],"Despesa",LANÇ_MOV[CONTAS],$C365,LANÇ_MOV[PLANO DE CONTAS],REL_DRE_FINANCEIRO!$B$343,LANÇ_MOV[ANO PAGAMENTO],$B$4,LANÇ_MOV[MÊS PAGAMENTO CORRESPONDENTE],I$6,LANÇ_MOV[EMPRESA],$C$4,LANÇ_MOV[CENTRO DE CUSTOS],$D$4)</f>
        <v>0</v>
      </c>
      <c r="J365" s="206">
        <f>SUMIFS(LANÇ_MOV[VALOR LÍQUIDO],LANÇ_MOV[RECEITA OU DESPESA],"Despesa",LANÇ_MOV[CONTAS],$C365,LANÇ_MOV[PLANO DE CONTAS],REL_DRE_FINANCEIRO!$B$343,LANÇ_MOV[ANO PAGAMENTO],$B$4,LANÇ_MOV[MÊS PAGAMENTO CORRESPONDENTE],J$6,LANÇ_MOV[EMPRESA],$C$4,LANÇ_MOV[CENTRO DE CUSTOS],$D$4)</f>
        <v>0</v>
      </c>
      <c r="K365" s="206">
        <f>SUMIFS(LANÇ_MOV[VALOR LÍQUIDO],LANÇ_MOV[RECEITA OU DESPESA],"Despesa",LANÇ_MOV[CONTAS],$C365,LANÇ_MOV[PLANO DE CONTAS],REL_DRE_FINANCEIRO!$B$343,LANÇ_MOV[ANO PAGAMENTO],$B$4,LANÇ_MOV[MÊS PAGAMENTO CORRESPONDENTE],K$6,LANÇ_MOV[EMPRESA],$C$4,LANÇ_MOV[CENTRO DE CUSTOS],$D$4)</f>
        <v>0</v>
      </c>
      <c r="L365" s="206">
        <f>SUMIFS(LANÇ_MOV[VALOR LÍQUIDO],LANÇ_MOV[RECEITA OU DESPESA],"Despesa",LANÇ_MOV[CONTAS],$C365,LANÇ_MOV[PLANO DE CONTAS],REL_DRE_FINANCEIRO!$B$343,LANÇ_MOV[ANO PAGAMENTO],$B$4,LANÇ_MOV[MÊS PAGAMENTO CORRESPONDENTE],L$6,LANÇ_MOV[EMPRESA],$C$4,LANÇ_MOV[CENTRO DE CUSTOS],$D$4)</f>
        <v>0</v>
      </c>
      <c r="M365" s="206">
        <f>SUMIFS(LANÇ_MOV[VALOR LÍQUIDO],LANÇ_MOV[RECEITA OU DESPESA],"Despesa",LANÇ_MOV[CONTAS],$C365,LANÇ_MOV[PLANO DE CONTAS],REL_DRE_FINANCEIRO!$B$343,LANÇ_MOV[ANO PAGAMENTO],$B$4,LANÇ_MOV[MÊS PAGAMENTO CORRESPONDENTE],M$6,LANÇ_MOV[EMPRESA],$C$4,LANÇ_MOV[CENTRO DE CUSTOS],$D$4)</f>
        <v>0</v>
      </c>
      <c r="N365" s="206">
        <f>SUMIFS(LANÇ_MOV[VALOR LÍQUIDO],LANÇ_MOV[RECEITA OU DESPESA],"Despesa",LANÇ_MOV[CONTAS],$C365,LANÇ_MOV[PLANO DE CONTAS],REL_DRE_FINANCEIRO!$B$343,LANÇ_MOV[ANO PAGAMENTO],$B$4,LANÇ_MOV[MÊS PAGAMENTO CORRESPONDENTE],N$6,LANÇ_MOV[EMPRESA],$C$4,LANÇ_MOV[CENTRO DE CUSTOS],$D$4)</f>
        <v>0</v>
      </c>
      <c r="O365" s="206">
        <f>SUMIFS(LANÇ_MOV[VALOR LÍQUIDO],LANÇ_MOV[RECEITA OU DESPESA],"Despesa",LANÇ_MOV[CONTAS],$C365,LANÇ_MOV[PLANO DE CONTAS],REL_DRE_FINANCEIRO!$B$343,LANÇ_MOV[ANO PAGAMENTO],$B$4,LANÇ_MOV[MÊS PAGAMENTO CORRESPONDENTE],O$6,LANÇ_MOV[EMPRESA],$C$4,LANÇ_MOV[CENTRO DE CUSTOS],$D$4)</f>
        <v>0</v>
      </c>
      <c r="P365" s="207">
        <f t="shared" si="54"/>
        <v>0</v>
      </c>
      <c r="Q365" s="329">
        <v>7.9000000000000006E-6</v>
      </c>
      <c r="R365" s="346">
        <f t="shared" si="55"/>
        <v>7.9000000000000006E-6</v>
      </c>
      <c r="S365" s="347" t="str">
        <f t="shared" si="56"/>
        <v>-</v>
      </c>
      <c r="T365" s="347">
        <f t="shared" si="57"/>
        <v>0</v>
      </c>
      <c r="U365" s="347">
        <f>HLOOKUP(Apoio!$P$12,$D$342:$P$443,X365,FALSE)+Q365</f>
        <v>7.9000000000000006E-6</v>
      </c>
      <c r="V365" s="447" t="str">
        <f t="shared" si="58"/>
        <v>-</v>
      </c>
      <c r="W365" s="448">
        <f>HLOOKUP(Apoio!$P$12,$D$342:$P$443,X365,FALSE)</f>
        <v>0</v>
      </c>
      <c r="X365" s="329">
        <v>24</v>
      </c>
    </row>
    <row r="366" spans="2:27" ht="30.05" customHeight="1" x14ac:dyDescent="0.35">
      <c r="B366" s="204" t="str">
        <f>'CAD_PL_REC-DESP'!Q27</f>
        <v>2.3.23</v>
      </c>
      <c r="C366" s="205" t="str">
        <f>IF('CAD_PL_REC-DESP'!R27="","-",'CAD_PL_REC-DESP'!R27)</f>
        <v>-</v>
      </c>
      <c r="D366" s="206">
        <f>SUMIFS(LANÇ_MOV[VALOR LÍQUIDO],LANÇ_MOV[RECEITA OU DESPESA],"Despesa",LANÇ_MOV[CONTAS],$C366,LANÇ_MOV[PLANO DE CONTAS],REL_DRE_FINANCEIRO!$B$343,LANÇ_MOV[ANO PAGAMENTO],$B$4,LANÇ_MOV[MÊS PAGAMENTO CORRESPONDENTE],D$6,LANÇ_MOV[EMPRESA],$C$4,LANÇ_MOV[CENTRO DE CUSTOS],$D$4)</f>
        <v>0</v>
      </c>
      <c r="E366" s="206">
        <f>SUMIFS(LANÇ_MOV[VALOR LÍQUIDO],LANÇ_MOV[RECEITA OU DESPESA],"Despesa",LANÇ_MOV[CONTAS],$C366,LANÇ_MOV[PLANO DE CONTAS],REL_DRE_FINANCEIRO!$B$343,LANÇ_MOV[ANO PAGAMENTO],$B$4,LANÇ_MOV[MÊS PAGAMENTO CORRESPONDENTE],E$6,LANÇ_MOV[EMPRESA],$C$4,LANÇ_MOV[CENTRO DE CUSTOS],$D$4)</f>
        <v>0</v>
      </c>
      <c r="F366" s="206">
        <f>SUMIFS(LANÇ_MOV[VALOR LÍQUIDO],LANÇ_MOV[RECEITA OU DESPESA],"Despesa",LANÇ_MOV[CONTAS],$C366,LANÇ_MOV[PLANO DE CONTAS],REL_DRE_FINANCEIRO!$B$343,LANÇ_MOV[ANO PAGAMENTO],$B$4,LANÇ_MOV[MÊS PAGAMENTO CORRESPONDENTE],F$6,LANÇ_MOV[EMPRESA],$C$4,LANÇ_MOV[CENTRO DE CUSTOS],$D$4)</f>
        <v>0</v>
      </c>
      <c r="G366" s="206">
        <f>SUMIFS(LANÇ_MOV[VALOR LÍQUIDO],LANÇ_MOV[RECEITA OU DESPESA],"Despesa",LANÇ_MOV[CONTAS],$C366,LANÇ_MOV[PLANO DE CONTAS],REL_DRE_FINANCEIRO!$B$343,LANÇ_MOV[ANO PAGAMENTO],$B$4,LANÇ_MOV[MÊS PAGAMENTO CORRESPONDENTE],G$6,LANÇ_MOV[EMPRESA],$C$4,LANÇ_MOV[CENTRO DE CUSTOS],$D$4)</f>
        <v>0</v>
      </c>
      <c r="H366" s="206">
        <f>SUMIFS(LANÇ_MOV[VALOR LÍQUIDO],LANÇ_MOV[RECEITA OU DESPESA],"Despesa",LANÇ_MOV[CONTAS],$C366,LANÇ_MOV[PLANO DE CONTAS],REL_DRE_FINANCEIRO!$B$343,LANÇ_MOV[ANO PAGAMENTO],$B$4,LANÇ_MOV[MÊS PAGAMENTO CORRESPONDENTE],H$6,LANÇ_MOV[EMPRESA],$C$4,LANÇ_MOV[CENTRO DE CUSTOS],$D$4)</f>
        <v>0</v>
      </c>
      <c r="I366" s="206">
        <f>SUMIFS(LANÇ_MOV[VALOR LÍQUIDO],LANÇ_MOV[RECEITA OU DESPESA],"Despesa",LANÇ_MOV[CONTAS],$C366,LANÇ_MOV[PLANO DE CONTAS],REL_DRE_FINANCEIRO!$B$343,LANÇ_MOV[ANO PAGAMENTO],$B$4,LANÇ_MOV[MÊS PAGAMENTO CORRESPONDENTE],I$6,LANÇ_MOV[EMPRESA],$C$4,LANÇ_MOV[CENTRO DE CUSTOS],$D$4)</f>
        <v>0</v>
      </c>
      <c r="J366" s="206">
        <f>SUMIFS(LANÇ_MOV[VALOR LÍQUIDO],LANÇ_MOV[RECEITA OU DESPESA],"Despesa",LANÇ_MOV[CONTAS],$C366,LANÇ_MOV[PLANO DE CONTAS],REL_DRE_FINANCEIRO!$B$343,LANÇ_MOV[ANO PAGAMENTO],$B$4,LANÇ_MOV[MÊS PAGAMENTO CORRESPONDENTE],J$6,LANÇ_MOV[EMPRESA],$C$4,LANÇ_MOV[CENTRO DE CUSTOS],$D$4)</f>
        <v>0</v>
      </c>
      <c r="K366" s="206">
        <f>SUMIFS(LANÇ_MOV[VALOR LÍQUIDO],LANÇ_MOV[RECEITA OU DESPESA],"Despesa",LANÇ_MOV[CONTAS],$C366,LANÇ_MOV[PLANO DE CONTAS],REL_DRE_FINANCEIRO!$B$343,LANÇ_MOV[ANO PAGAMENTO],$B$4,LANÇ_MOV[MÊS PAGAMENTO CORRESPONDENTE],K$6,LANÇ_MOV[EMPRESA],$C$4,LANÇ_MOV[CENTRO DE CUSTOS],$D$4)</f>
        <v>0</v>
      </c>
      <c r="L366" s="206">
        <f>SUMIFS(LANÇ_MOV[VALOR LÍQUIDO],LANÇ_MOV[RECEITA OU DESPESA],"Despesa",LANÇ_MOV[CONTAS],$C366,LANÇ_MOV[PLANO DE CONTAS],REL_DRE_FINANCEIRO!$B$343,LANÇ_MOV[ANO PAGAMENTO],$B$4,LANÇ_MOV[MÊS PAGAMENTO CORRESPONDENTE],L$6,LANÇ_MOV[EMPRESA],$C$4,LANÇ_MOV[CENTRO DE CUSTOS],$D$4)</f>
        <v>0</v>
      </c>
      <c r="M366" s="206">
        <f>SUMIFS(LANÇ_MOV[VALOR LÍQUIDO],LANÇ_MOV[RECEITA OU DESPESA],"Despesa",LANÇ_MOV[CONTAS],$C366,LANÇ_MOV[PLANO DE CONTAS],REL_DRE_FINANCEIRO!$B$343,LANÇ_MOV[ANO PAGAMENTO],$B$4,LANÇ_MOV[MÊS PAGAMENTO CORRESPONDENTE],M$6,LANÇ_MOV[EMPRESA],$C$4,LANÇ_MOV[CENTRO DE CUSTOS],$D$4)</f>
        <v>0</v>
      </c>
      <c r="N366" s="206">
        <f>SUMIFS(LANÇ_MOV[VALOR LÍQUIDO],LANÇ_MOV[RECEITA OU DESPESA],"Despesa",LANÇ_MOV[CONTAS],$C366,LANÇ_MOV[PLANO DE CONTAS],REL_DRE_FINANCEIRO!$B$343,LANÇ_MOV[ANO PAGAMENTO],$B$4,LANÇ_MOV[MÊS PAGAMENTO CORRESPONDENTE],N$6,LANÇ_MOV[EMPRESA],$C$4,LANÇ_MOV[CENTRO DE CUSTOS],$D$4)</f>
        <v>0</v>
      </c>
      <c r="O366" s="206">
        <f>SUMIFS(LANÇ_MOV[VALOR LÍQUIDO],LANÇ_MOV[RECEITA OU DESPESA],"Despesa",LANÇ_MOV[CONTAS],$C366,LANÇ_MOV[PLANO DE CONTAS],REL_DRE_FINANCEIRO!$B$343,LANÇ_MOV[ANO PAGAMENTO],$B$4,LANÇ_MOV[MÊS PAGAMENTO CORRESPONDENTE],O$6,LANÇ_MOV[EMPRESA],$C$4,LANÇ_MOV[CENTRO DE CUSTOS],$D$4)</f>
        <v>0</v>
      </c>
      <c r="P366" s="207">
        <f t="shared" si="54"/>
        <v>0</v>
      </c>
      <c r="Q366" s="329">
        <v>7.7999999999999999E-6</v>
      </c>
      <c r="R366" s="346">
        <f t="shared" si="55"/>
        <v>7.7999999999999999E-6</v>
      </c>
      <c r="S366" s="347" t="str">
        <f t="shared" si="56"/>
        <v>-</v>
      </c>
      <c r="T366" s="347">
        <f t="shared" si="57"/>
        <v>0</v>
      </c>
      <c r="U366" s="347">
        <f>HLOOKUP(Apoio!$P$12,$D$342:$P$443,X366,FALSE)+Q366</f>
        <v>7.7999999999999999E-6</v>
      </c>
      <c r="V366" s="447" t="str">
        <f t="shared" si="58"/>
        <v>-</v>
      </c>
      <c r="W366" s="448">
        <f>HLOOKUP(Apoio!$P$12,$D$342:$P$443,X366,FALSE)</f>
        <v>0</v>
      </c>
      <c r="X366" s="329">
        <v>25</v>
      </c>
    </row>
    <row r="367" spans="2:27" ht="30.05" customHeight="1" x14ac:dyDescent="0.35">
      <c r="B367" s="204" t="str">
        <f>'CAD_PL_REC-DESP'!Q28</f>
        <v>2.3.24</v>
      </c>
      <c r="C367" s="205" t="str">
        <f>IF('CAD_PL_REC-DESP'!R28="","-",'CAD_PL_REC-DESP'!R28)</f>
        <v>-</v>
      </c>
      <c r="D367" s="206">
        <f>SUMIFS(LANÇ_MOV[VALOR LÍQUIDO],LANÇ_MOV[RECEITA OU DESPESA],"Despesa",LANÇ_MOV[CONTAS],$C367,LANÇ_MOV[PLANO DE CONTAS],REL_DRE_FINANCEIRO!$B$343,LANÇ_MOV[ANO PAGAMENTO],$B$4,LANÇ_MOV[MÊS PAGAMENTO CORRESPONDENTE],D$6,LANÇ_MOV[EMPRESA],$C$4,LANÇ_MOV[CENTRO DE CUSTOS],$D$4)</f>
        <v>0</v>
      </c>
      <c r="E367" s="206">
        <f>SUMIFS(LANÇ_MOV[VALOR LÍQUIDO],LANÇ_MOV[RECEITA OU DESPESA],"Despesa",LANÇ_MOV[CONTAS],$C367,LANÇ_MOV[PLANO DE CONTAS],REL_DRE_FINANCEIRO!$B$343,LANÇ_MOV[ANO PAGAMENTO],$B$4,LANÇ_MOV[MÊS PAGAMENTO CORRESPONDENTE],E$6,LANÇ_MOV[EMPRESA],$C$4,LANÇ_MOV[CENTRO DE CUSTOS],$D$4)</f>
        <v>0</v>
      </c>
      <c r="F367" s="206">
        <f>SUMIFS(LANÇ_MOV[VALOR LÍQUIDO],LANÇ_MOV[RECEITA OU DESPESA],"Despesa",LANÇ_MOV[CONTAS],$C367,LANÇ_MOV[PLANO DE CONTAS],REL_DRE_FINANCEIRO!$B$343,LANÇ_MOV[ANO PAGAMENTO],$B$4,LANÇ_MOV[MÊS PAGAMENTO CORRESPONDENTE],F$6,LANÇ_MOV[EMPRESA],$C$4,LANÇ_MOV[CENTRO DE CUSTOS],$D$4)</f>
        <v>0</v>
      </c>
      <c r="G367" s="206">
        <f>SUMIFS(LANÇ_MOV[VALOR LÍQUIDO],LANÇ_MOV[RECEITA OU DESPESA],"Despesa",LANÇ_MOV[CONTAS],$C367,LANÇ_MOV[PLANO DE CONTAS],REL_DRE_FINANCEIRO!$B$343,LANÇ_MOV[ANO PAGAMENTO],$B$4,LANÇ_MOV[MÊS PAGAMENTO CORRESPONDENTE],G$6,LANÇ_MOV[EMPRESA],$C$4,LANÇ_MOV[CENTRO DE CUSTOS],$D$4)</f>
        <v>0</v>
      </c>
      <c r="H367" s="206">
        <f>SUMIFS(LANÇ_MOV[VALOR LÍQUIDO],LANÇ_MOV[RECEITA OU DESPESA],"Despesa",LANÇ_MOV[CONTAS],$C367,LANÇ_MOV[PLANO DE CONTAS],REL_DRE_FINANCEIRO!$B$343,LANÇ_MOV[ANO PAGAMENTO],$B$4,LANÇ_MOV[MÊS PAGAMENTO CORRESPONDENTE],H$6,LANÇ_MOV[EMPRESA],$C$4,LANÇ_MOV[CENTRO DE CUSTOS],$D$4)</f>
        <v>0</v>
      </c>
      <c r="I367" s="206">
        <f>SUMIFS(LANÇ_MOV[VALOR LÍQUIDO],LANÇ_MOV[RECEITA OU DESPESA],"Despesa",LANÇ_MOV[CONTAS],$C367,LANÇ_MOV[PLANO DE CONTAS],REL_DRE_FINANCEIRO!$B$343,LANÇ_MOV[ANO PAGAMENTO],$B$4,LANÇ_MOV[MÊS PAGAMENTO CORRESPONDENTE],I$6,LANÇ_MOV[EMPRESA],$C$4,LANÇ_MOV[CENTRO DE CUSTOS],$D$4)</f>
        <v>0</v>
      </c>
      <c r="J367" s="206">
        <f>SUMIFS(LANÇ_MOV[VALOR LÍQUIDO],LANÇ_MOV[RECEITA OU DESPESA],"Despesa",LANÇ_MOV[CONTAS],$C367,LANÇ_MOV[PLANO DE CONTAS],REL_DRE_FINANCEIRO!$B$343,LANÇ_MOV[ANO PAGAMENTO],$B$4,LANÇ_MOV[MÊS PAGAMENTO CORRESPONDENTE],J$6,LANÇ_MOV[EMPRESA],$C$4,LANÇ_MOV[CENTRO DE CUSTOS],$D$4)</f>
        <v>0</v>
      </c>
      <c r="K367" s="206">
        <f>SUMIFS(LANÇ_MOV[VALOR LÍQUIDO],LANÇ_MOV[RECEITA OU DESPESA],"Despesa",LANÇ_MOV[CONTAS],$C367,LANÇ_MOV[PLANO DE CONTAS],REL_DRE_FINANCEIRO!$B$343,LANÇ_MOV[ANO PAGAMENTO],$B$4,LANÇ_MOV[MÊS PAGAMENTO CORRESPONDENTE],K$6,LANÇ_MOV[EMPRESA],$C$4,LANÇ_MOV[CENTRO DE CUSTOS],$D$4)</f>
        <v>0</v>
      </c>
      <c r="L367" s="206">
        <f>SUMIFS(LANÇ_MOV[VALOR LÍQUIDO],LANÇ_MOV[RECEITA OU DESPESA],"Despesa",LANÇ_MOV[CONTAS],$C367,LANÇ_MOV[PLANO DE CONTAS],REL_DRE_FINANCEIRO!$B$343,LANÇ_MOV[ANO PAGAMENTO],$B$4,LANÇ_MOV[MÊS PAGAMENTO CORRESPONDENTE],L$6,LANÇ_MOV[EMPRESA],$C$4,LANÇ_MOV[CENTRO DE CUSTOS],$D$4)</f>
        <v>0</v>
      </c>
      <c r="M367" s="206">
        <f>SUMIFS(LANÇ_MOV[VALOR LÍQUIDO],LANÇ_MOV[RECEITA OU DESPESA],"Despesa",LANÇ_MOV[CONTAS],$C367,LANÇ_MOV[PLANO DE CONTAS],REL_DRE_FINANCEIRO!$B$343,LANÇ_MOV[ANO PAGAMENTO],$B$4,LANÇ_MOV[MÊS PAGAMENTO CORRESPONDENTE],M$6,LANÇ_MOV[EMPRESA],$C$4,LANÇ_MOV[CENTRO DE CUSTOS],$D$4)</f>
        <v>0</v>
      </c>
      <c r="N367" s="206">
        <f>SUMIFS(LANÇ_MOV[VALOR LÍQUIDO],LANÇ_MOV[RECEITA OU DESPESA],"Despesa",LANÇ_MOV[CONTAS],$C367,LANÇ_MOV[PLANO DE CONTAS],REL_DRE_FINANCEIRO!$B$343,LANÇ_MOV[ANO PAGAMENTO],$B$4,LANÇ_MOV[MÊS PAGAMENTO CORRESPONDENTE],N$6,LANÇ_MOV[EMPRESA],$C$4,LANÇ_MOV[CENTRO DE CUSTOS],$D$4)</f>
        <v>0</v>
      </c>
      <c r="O367" s="206">
        <f>SUMIFS(LANÇ_MOV[VALOR LÍQUIDO],LANÇ_MOV[RECEITA OU DESPESA],"Despesa",LANÇ_MOV[CONTAS],$C367,LANÇ_MOV[PLANO DE CONTAS],REL_DRE_FINANCEIRO!$B$343,LANÇ_MOV[ANO PAGAMENTO],$B$4,LANÇ_MOV[MÊS PAGAMENTO CORRESPONDENTE],O$6,LANÇ_MOV[EMPRESA],$C$4,LANÇ_MOV[CENTRO DE CUSTOS],$D$4)</f>
        <v>0</v>
      </c>
      <c r="P367" s="207">
        <f t="shared" si="54"/>
        <v>0</v>
      </c>
      <c r="Q367" s="329">
        <v>7.7000000000000008E-6</v>
      </c>
      <c r="R367" s="346">
        <f t="shared" si="55"/>
        <v>7.7000000000000008E-6</v>
      </c>
      <c r="S367" s="347" t="str">
        <f t="shared" si="56"/>
        <v>-</v>
      </c>
      <c r="T367" s="347">
        <f t="shared" si="57"/>
        <v>0</v>
      </c>
      <c r="U367" s="347">
        <f>HLOOKUP(Apoio!$P$12,$D$342:$P$443,X367,FALSE)+Q367</f>
        <v>7.7000000000000008E-6</v>
      </c>
      <c r="V367" s="447" t="str">
        <f t="shared" si="58"/>
        <v>-</v>
      </c>
      <c r="W367" s="448">
        <f>HLOOKUP(Apoio!$P$12,$D$342:$P$443,X367,FALSE)</f>
        <v>0</v>
      </c>
      <c r="X367" s="329">
        <v>26</v>
      </c>
    </row>
    <row r="368" spans="2:27" ht="30.05" customHeight="1" x14ac:dyDescent="0.35">
      <c r="B368" s="204" t="str">
        <f>'CAD_PL_REC-DESP'!Q29</f>
        <v>2.3.25</v>
      </c>
      <c r="C368" s="205" t="str">
        <f>IF('CAD_PL_REC-DESP'!R29="","-",'CAD_PL_REC-DESP'!R29)</f>
        <v>-</v>
      </c>
      <c r="D368" s="206">
        <f>SUMIFS(LANÇ_MOV[VALOR LÍQUIDO],LANÇ_MOV[RECEITA OU DESPESA],"Despesa",LANÇ_MOV[CONTAS],$C368,LANÇ_MOV[PLANO DE CONTAS],REL_DRE_FINANCEIRO!$B$343,LANÇ_MOV[ANO PAGAMENTO],$B$4,LANÇ_MOV[MÊS PAGAMENTO CORRESPONDENTE],D$6,LANÇ_MOV[EMPRESA],$C$4,LANÇ_MOV[CENTRO DE CUSTOS],$D$4)</f>
        <v>0</v>
      </c>
      <c r="E368" s="206">
        <f>SUMIFS(LANÇ_MOV[VALOR LÍQUIDO],LANÇ_MOV[RECEITA OU DESPESA],"Despesa",LANÇ_MOV[CONTAS],$C368,LANÇ_MOV[PLANO DE CONTAS],REL_DRE_FINANCEIRO!$B$343,LANÇ_MOV[ANO PAGAMENTO],$B$4,LANÇ_MOV[MÊS PAGAMENTO CORRESPONDENTE],E$6,LANÇ_MOV[EMPRESA],$C$4,LANÇ_MOV[CENTRO DE CUSTOS],$D$4)</f>
        <v>0</v>
      </c>
      <c r="F368" s="206">
        <f>SUMIFS(LANÇ_MOV[VALOR LÍQUIDO],LANÇ_MOV[RECEITA OU DESPESA],"Despesa",LANÇ_MOV[CONTAS],$C368,LANÇ_MOV[PLANO DE CONTAS],REL_DRE_FINANCEIRO!$B$343,LANÇ_MOV[ANO PAGAMENTO],$B$4,LANÇ_MOV[MÊS PAGAMENTO CORRESPONDENTE],F$6,LANÇ_MOV[EMPRESA],$C$4,LANÇ_MOV[CENTRO DE CUSTOS],$D$4)</f>
        <v>0</v>
      </c>
      <c r="G368" s="206">
        <f>SUMIFS(LANÇ_MOV[VALOR LÍQUIDO],LANÇ_MOV[RECEITA OU DESPESA],"Despesa",LANÇ_MOV[CONTAS],$C368,LANÇ_MOV[PLANO DE CONTAS],REL_DRE_FINANCEIRO!$B$343,LANÇ_MOV[ANO PAGAMENTO],$B$4,LANÇ_MOV[MÊS PAGAMENTO CORRESPONDENTE],G$6,LANÇ_MOV[EMPRESA],$C$4,LANÇ_MOV[CENTRO DE CUSTOS],$D$4)</f>
        <v>0</v>
      </c>
      <c r="H368" s="206">
        <f>SUMIFS(LANÇ_MOV[VALOR LÍQUIDO],LANÇ_MOV[RECEITA OU DESPESA],"Despesa",LANÇ_MOV[CONTAS],$C368,LANÇ_MOV[PLANO DE CONTAS],REL_DRE_FINANCEIRO!$B$343,LANÇ_MOV[ANO PAGAMENTO],$B$4,LANÇ_MOV[MÊS PAGAMENTO CORRESPONDENTE],H$6,LANÇ_MOV[EMPRESA],$C$4,LANÇ_MOV[CENTRO DE CUSTOS],$D$4)</f>
        <v>0</v>
      </c>
      <c r="I368" s="206">
        <f>SUMIFS(LANÇ_MOV[VALOR LÍQUIDO],LANÇ_MOV[RECEITA OU DESPESA],"Despesa",LANÇ_MOV[CONTAS],$C368,LANÇ_MOV[PLANO DE CONTAS],REL_DRE_FINANCEIRO!$B$343,LANÇ_MOV[ANO PAGAMENTO],$B$4,LANÇ_MOV[MÊS PAGAMENTO CORRESPONDENTE],I$6,LANÇ_MOV[EMPRESA],$C$4,LANÇ_MOV[CENTRO DE CUSTOS],$D$4)</f>
        <v>0</v>
      </c>
      <c r="J368" s="206">
        <f>SUMIFS(LANÇ_MOV[VALOR LÍQUIDO],LANÇ_MOV[RECEITA OU DESPESA],"Despesa",LANÇ_MOV[CONTAS],$C368,LANÇ_MOV[PLANO DE CONTAS],REL_DRE_FINANCEIRO!$B$343,LANÇ_MOV[ANO PAGAMENTO],$B$4,LANÇ_MOV[MÊS PAGAMENTO CORRESPONDENTE],J$6,LANÇ_MOV[EMPRESA],$C$4,LANÇ_MOV[CENTRO DE CUSTOS],$D$4)</f>
        <v>0</v>
      </c>
      <c r="K368" s="206">
        <f>SUMIFS(LANÇ_MOV[VALOR LÍQUIDO],LANÇ_MOV[RECEITA OU DESPESA],"Despesa",LANÇ_MOV[CONTAS],$C368,LANÇ_MOV[PLANO DE CONTAS],REL_DRE_FINANCEIRO!$B$343,LANÇ_MOV[ANO PAGAMENTO],$B$4,LANÇ_MOV[MÊS PAGAMENTO CORRESPONDENTE],K$6,LANÇ_MOV[EMPRESA],$C$4,LANÇ_MOV[CENTRO DE CUSTOS],$D$4)</f>
        <v>0</v>
      </c>
      <c r="L368" s="206">
        <f>SUMIFS(LANÇ_MOV[VALOR LÍQUIDO],LANÇ_MOV[RECEITA OU DESPESA],"Despesa",LANÇ_MOV[CONTAS],$C368,LANÇ_MOV[PLANO DE CONTAS],REL_DRE_FINANCEIRO!$B$343,LANÇ_MOV[ANO PAGAMENTO],$B$4,LANÇ_MOV[MÊS PAGAMENTO CORRESPONDENTE],L$6,LANÇ_MOV[EMPRESA],$C$4,LANÇ_MOV[CENTRO DE CUSTOS],$D$4)</f>
        <v>0</v>
      </c>
      <c r="M368" s="206">
        <f>SUMIFS(LANÇ_MOV[VALOR LÍQUIDO],LANÇ_MOV[RECEITA OU DESPESA],"Despesa",LANÇ_MOV[CONTAS],$C368,LANÇ_MOV[PLANO DE CONTAS],REL_DRE_FINANCEIRO!$B$343,LANÇ_MOV[ANO PAGAMENTO],$B$4,LANÇ_MOV[MÊS PAGAMENTO CORRESPONDENTE],M$6,LANÇ_MOV[EMPRESA],$C$4,LANÇ_MOV[CENTRO DE CUSTOS],$D$4)</f>
        <v>0</v>
      </c>
      <c r="N368" s="206">
        <f>SUMIFS(LANÇ_MOV[VALOR LÍQUIDO],LANÇ_MOV[RECEITA OU DESPESA],"Despesa",LANÇ_MOV[CONTAS],$C368,LANÇ_MOV[PLANO DE CONTAS],REL_DRE_FINANCEIRO!$B$343,LANÇ_MOV[ANO PAGAMENTO],$B$4,LANÇ_MOV[MÊS PAGAMENTO CORRESPONDENTE],N$6,LANÇ_MOV[EMPRESA],$C$4,LANÇ_MOV[CENTRO DE CUSTOS],$D$4)</f>
        <v>0</v>
      </c>
      <c r="O368" s="206">
        <f>SUMIFS(LANÇ_MOV[VALOR LÍQUIDO],LANÇ_MOV[RECEITA OU DESPESA],"Despesa",LANÇ_MOV[CONTAS],$C368,LANÇ_MOV[PLANO DE CONTAS],REL_DRE_FINANCEIRO!$B$343,LANÇ_MOV[ANO PAGAMENTO],$B$4,LANÇ_MOV[MÊS PAGAMENTO CORRESPONDENTE],O$6,LANÇ_MOV[EMPRESA],$C$4,LANÇ_MOV[CENTRO DE CUSTOS],$D$4)</f>
        <v>0</v>
      </c>
      <c r="P368" s="207">
        <f t="shared" si="54"/>
        <v>0</v>
      </c>
      <c r="Q368" s="329">
        <v>7.6000000000000001E-6</v>
      </c>
      <c r="R368" s="346">
        <f t="shared" si="55"/>
        <v>7.6000000000000001E-6</v>
      </c>
      <c r="S368" s="347" t="str">
        <f t="shared" si="56"/>
        <v>-</v>
      </c>
      <c r="T368" s="347">
        <f t="shared" si="57"/>
        <v>0</v>
      </c>
      <c r="U368" s="347">
        <f>HLOOKUP(Apoio!$P$12,$D$342:$P$443,X368,FALSE)+Q368</f>
        <v>7.6000000000000001E-6</v>
      </c>
      <c r="V368" s="447" t="str">
        <f t="shared" si="58"/>
        <v>-</v>
      </c>
      <c r="W368" s="448">
        <f>HLOOKUP(Apoio!$P$12,$D$342:$P$443,X368,FALSE)</f>
        <v>0</v>
      </c>
      <c r="X368" s="329">
        <v>27</v>
      </c>
    </row>
    <row r="369" spans="2:24" ht="30.05" customHeight="1" x14ac:dyDescent="0.35">
      <c r="B369" s="204" t="str">
        <f>'CAD_PL_REC-DESP'!Q30</f>
        <v>2.3.26</v>
      </c>
      <c r="C369" s="205" t="str">
        <f>IF('CAD_PL_REC-DESP'!R30="","-",'CAD_PL_REC-DESP'!R30)</f>
        <v>-</v>
      </c>
      <c r="D369" s="206">
        <f>SUMIFS(LANÇ_MOV[VALOR LÍQUIDO],LANÇ_MOV[RECEITA OU DESPESA],"Despesa",LANÇ_MOV[CONTAS],$C369,LANÇ_MOV[PLANO DE CONTAS],REL_DRE_FINANCEIRO!$B$343,LANÇ_MOV[ANO PAGAMENTO],$B$4,LANÇ_MOV[MÊS PAGAMENTO CORRESPONDENTE],D$6,LANÇ_MOV[EMPRESA],$C$4,LANÇ_MOV[CENTRO DE CUSTOS],$D$4)</f>
        <v>0</v>
      </c>
      <c r="E369" s="206">
        <f>SUMIFS(LANÇ_MOV[VALOR LÍQUIDO],LANÇ_MOV[RECEITA OU DESPESA],"Despesa",LANÇ_MOV[CONTAS],$C369,LANÇ_MOV[PLANO DE CONTAS],REL_DRE_FINANCEIRO!$B$343,LANÇ_MOV[ANO PAGAMENTO],$B$4,LANÇ_MOV[MÊS PAGAMENTO CORRESPONDENTE],E$6,LANÇ_MOV[EMPRESA],$C$4,LANÇ_MOV[CENTRO DE CUSTOS],$D$4)</f>
        <v>0</v>
      </c>
      <c r="F369" s="206">
        <f>SUMIFS(LANÇ_MOV[VALOR LÍQUIDO],LANÇ_MOV[RECEITA OU DESPESA],"Despesa",LANÇ_MOV[CONTAS],$C369,LANÇ_MOV[PLANO DE CONTAS],REL_DRE_FINANCEIRO!$B$343,LANÇ_MOV[ANO PAGAMENTO],$B$4,LANÇ_MOV[MÊS PAGAMENTO CORRESPONDENTE],F$6,LANÇ_MOV[EMPRESA],$C$4,LANÇ_MOV[CENTRO DE CUSTOS],$D$4)</f>
        <v>0</v>
      </c>
      <c r="G369" s="206">
        <f>SUMIFS(LANÇ_MOV[VALOR LÍQUIDO],LANÇ_MOV[RECEITA OU DESPESA],"Despesa",LANÇ_MOV[CONTAS],$C369,LANÇ_MOV[PLANO DE CONTAS],REL_DRE_FINANCEIRO!$B$343,LANÇ_MOV[ANO PAGAMENTO],$B$4,LANÇ_MOV[MÊS PAGAMENTO CORRESPONDENTE],G$6,LANÇ_MOV[EMPRESA],$C$4,LANÇ_MOV[CENTRO DE CUSTOS],$D$4)</f>
        <v>0</v>
      </c>
      <c r="H369" s="206">
        <f>SUMIFS(LANÇ_MOV[VALOR LÍQUIDO],LANÇ_MOV[RECEITA OU DESPESA],"Despesa",LANÇ_MOV[CONTAS],$C369,LANÇ_MOV[PLANO DE CONTAS],REL_DRE_FINANCEIRO!$B$343,LANÇ_MOV[ANO PAGAMENTO],$B$4,LANÇ_MOV[MÊS PAGAMENTO CORRESPONDENTE],H$6,LANÇ_MOV[EMPRESA],$C$4,LANÇ_MOV[CENTRO DE CUSTOS],$D$4)</f>
        <v>0</v>
      </c>
      <c r="I369" s="206">
        <f>SUMIFS(LANÇ_MOV[VALOR LÍQUIDO],LANÇ_MOV[RECEITA OU DESPESA],"Despesa",LANÇ_MOV[CONTAS],$C369,LANÇ_MOV[PLANO DE CONTAS],REL_DRE_FINANCEIRO!$B$343,LANÇ_MOV[ANO PAGAMENTO],$B$4,LANÇ_MOV[MÊS PAGAMENTO CORRESPONDENTE],I$6,LANÇ_MOV[EMPRESA],$C$4,LANÇ_MOV[CENTRO DE CUSTOS],$D$4)</f>
        <v>0</v>
      </c>
      <c r="J369" s="206">
        <f>SUMIFS(LANÇ_MOV[VALOR LÍQUIDO],LANÇ_MOV[RECEITA OU DESPESA],"Despesa",LANÇ_MOV[CONTAS],$C369,LANÇ_MOV[PLANO DE CONTAS],REL_DRE_FINANCEIRO!$B$343,LANÇ_MOV[ANO PAGAMENTO],$B$4,LANÇ_MOV[MÊS PAGAMENTO CORRESPONDENTE],J$6,LANÇ_MOV[EMPRESA],$C$4,LANÇ_MOV[CENTRO DE CUSTOS],$D$4)</f>
        <v>0</v>
      </c>
      <c r="K369" s="206">
        <f>SUMIFS(LANÇ_MOV[VALOR LÍQUIDO],LANÇ_MOV[RECEITA OU DESPESA],"Despesa",LANÇ_MOV[CONTAS],$C369,LANÇ_MOV[PLANO DE CONTAS],REL_DRE_FINANCEIRO!$B$343,LANÇ_MOV[ANO PAGAMENTO],$B$4,LANÇ_MOV[MÊS PAGAMENTO CORRESPONDENTE],K$6,LANÇ_MOV[EMPRESA],$C$4,LANÇ_MOV[CENTRO DE CUSTOS],$D$4)</f>
        <v>0</v>
      </c>
      <c r="L369" s="206">
        <f>SUMIFS(LANÇ_MOV[VALOR LÍQUIDO],LANÇ_MOV[RECEITA OU DESPESA],"Despesa",LANÇ_MOV[CONTAS],$C369,LANÇ_MOV[PLANO DE CONTAS],REL_DRE_FINANCEIRO!$B$343,LANÇ_MOV[ANO PAGAMENTO],$B$4,LANÇ_MOV[MÊS PAGAMENTO CORRESPONDENTE],L$6,LANÇ_MOV[EMPRESA],$C$4,LANÇ_MOV[CENTRO DE CUSTOS],$D$4)</f>
        <v>0</v>
      </c>
      <c r="M369" s="206">
        <f>SUMIFS(LANÇ_MOV[VALOR LÍQUIDO],LANÇ_MOV[RECEITA OU DESPESA],"Despesa",LANÇ_MOV[CONTAS],$C369,LANÇ_MOV[PLANO DE CONTAS],REL_DRE_FINANCEIRO!$B$343,LANÇ_MOV[ANO PAGAMENTO],$B$4,LANÇ_MOV[MÊS PAGAMENTO CORRESPONDENTE],M$6,LANÇ_MOV[EMPRESA],$C$4,LANÇ_MOV[CENTRO DE CUSTOS],$D$4)</f>
        <v>0</v>
      </c>
      <c r="N369" s="206">
        <f>SUMIFS(LANÇ_MOV[VALOR LÍQUIDO],LANÇ_MOV[RECEITA OU DESPESA],"Despesa",LANÇ_MOV[CONTAS],$C369,LANÇ_MOV[PLANO DE CONTAS],REL_DRE_FINANCEIRO!$B$343,LANÇ_MOV[ANO PAGAMENTO],$B$4,LANÇ_MOV[MÊS PAGAMENTO CORRESPONDENTE],N$6,LANÇ_MOV[EMPRESA],$C$4,LANÇ_MOV[CENTRO DE CUSTOS],$D$4)</f>
        <v>0</v>
      </c>
      <c r="O369" s="206">
        <f>SUMIFS(LANÇ_MOV[VALOR LÍQUIDO],LANÇ_MOV[RECEITA OU DESPESA],"Despesa",LANÇ_MOV[CONTAS],$C369,LANÇ_MOV[PLANO DE CONTAS],REL_DRE_FINANCEIRO!$B$343,LANÇ_MOV[ANO PAGAMENTO],$B$4,LANÇ_MOV[MÊS PAGAMENTO CORRESPONDENTE],O$6,LANÇ_MOV[EMPRESA],$C$4,LANÇ_MOV[CENTRO DE CUSTOS],$D$4)</f>
        <v>0</v>
      </c>
      <c r="P369" s="207">
        <f t="shared" si="54"/>
        <v>0</v>
      </c>
      <c r="Q369" s="329">
        <v>7.5000000000000002E-6</v>
      </c>
      <c r="R369" s="346">
        <f t="shared" si="55"/>
        <v>7.5000000000000002E-6</v>
      </c>
      <c r="S369" s="347" t="str">
        <f t="shared" si="56"/>
        <v>-</v>
      </c>
      <c r="T369" s="347">
        <f t="shared" si="57"/>
        <v>0</v>
      </c>
      <c r="U369" s="347">
        <f>HLOOKUP(Apoio!$P$12,$D$342:$P$443,X369,FALSE)+Q369</f>
        <v>7.5000000000000002E-6</v>
      </c>
      <c r="V369" s="447" t="str">
        <f t="shared" si="58"/>
        <v>-</v>
      </c>
      <c r="W369" s="448">
        <f>HLOOKUP(Apoio!$P$12,$D$342:$P$443,X369,FALSE)</f>
        <v>0</v>
      </c>
      <c r="X369" s="329">
        <v>28</v>
      </c>
    </row>
    <row r="370" spans="2:24" ht="30.05" customHeight="1" x14ac:dyDescent="0.35">
      <c r="B370" s="204" t="str">
        <f>'CAD_PL_REC-DESP'!Q31</f>
        <v>2.3.27</v>
      </c>
      <c r="C370" s="205" t="str">
        <f>IF('CAD_PL_REC-DESP'!R31="","-",'CAD_PL_REC-DESP'!R31)</f>
        <v>-</v>
      </c>
      <c r="D370" s="206">
        <f>SUMIFS(LANÇ_MOV[VALOR LÍQUIDO],LANÇ_MOV[RECEITA OU DESPESA],"Despesa",LANÇ_MOV[CONTAS],$C370,LANÇ_MOV[PLANO DE CONTAS],REL_DRE_FINANCEIRO!$B$343,LANÇ_MOV[ANO PAGAMENTO],$B$4,LANÇ_MOV[MÊS PAGAMENTO CORRESPONDENTE],D$6,LANÇ_MOV[EMPRESA],$C$4,LANÇ_MOV[CENTRO DE CUSTOS],$D$4)</f>
        <v>0</v>
      </c>
      <c r="E370" s="206">
        <f>SUMIFS(LANÇ_MOV[VALOR LÍQUIDO],LANÇ_MOV[RECEITA OU DESPESA],"Despesa",LANÇ_MOV[CONTAS],$C370,LANÇ_MOV[PLANO DE CONTAS],REL_DRE_FINANCEIRO!$B$343,LANÇ_MOV[ANO PAGAMENTO],$B$4,LANÇ_MOV[MÊS PAGAMENTO CORRESPONDENTE],E$6,LANÇ_MOV[EMPRESA],$C$4,LANÇ_MOV[CENTRO DE CUSTOS],$D$4)</f>
        <v>0</v>
      </c>
      <c r="F370" s="206">
        <f>SUMIFS(LANÇ_MOV[VALOR LÍQUIDO],LANÇ_MOV[RECEITA OU DESPESA],"Despesa",LANÇ_MOV[CONTAS],$C370,LANÇ_MOV[PLANO DE CONTAS],REL_DRE_FINANCEIRO!$B$343,LANÇ_MOV[ANO PAGAMENTO],$B$4,LANÇ_MOV[MÊS PAGAMENTO CORRESPONDENTE],F$6,LANÇ_MOV[EMPRESA],$C$4,LANÇ_MOV[CENTRO DE CUSTOS],$D$4)</f>
        <v>0</v>
      </c>
      <c r="G370" s="206">
        <f>SUMIFS(LANÇ_MOV[VALOR LÍQUIDO],LANÇ_MOV[RECEITA OU DESPESA],"Despesa",LANÇ_MOV[CONTAS],$C370,LANÇ_MOV[PLANO DE CONTAS],REL_DRE_FINANCEIRO!$B$343,LANÇ_MOV[ANO PAGAMENTO],$B$4,LANÇ_MOV[MÊS PAGAMENTO CORRESPONDENTE],G$6,LANÇ_MOV[EMPRESA],$C$4,LANÇ_MOV[CENTRO DE CUSTOS],$D$4)</f>
        <v>0</v>
      </c>
      <c r="H370" s="206">
        <f>SUMIFS(LANÇ_MOV[VALOR LÍQUIDO],LANÇ_MOV[RECEITA OU DESPESA],"Despesa",LANÇ_MOV[CONTAS],$C370,LANÇ_MOV[PLANO DE CONTAS],REL_DRE_FINANCEIRO!$B$343,LANÇ_MOV[ANO PAGAMENTO],$B$4,LANÇ_MOV[MÊS PAGAMENTO CORRESPONDENTE],H$6,LANÇ_MOV[EMPRESA],$C$4,LANÇ_MOV[CENTRO DE CUSTOS],$D$4)</f>
        <v>0</v>
      </c>
      <c r="I370" s="206">
        <f>SUMIFS(LANÇ_MOV[VALOR LÍQUIDO],LANÇ_MOV[RECEITA OU DESPESA],"Despesa",LANÇ_MOV[CONTAS],$C370,LANÇ_MOV[PLANO DE CONTAS],REL_DRE_FINANCEIRO!$B$343,LANÇ_MOV[ANO PAGAMENTO],$B$4,LANÇ_MOV[MÊS PAGAMENTO CORRESPONDENTE],I$6,LANÇ_MOV[EMPRESA],$C$4,LANÇ_MOV[CENTRO DE CUSTOS],$D$4)</f>
        <v>0</v>
      </c>
      <c r="J370" s="206">
        <f>SUMIFS(LANÇ_MOV[VALOR LÍQUIDO],LANÇ_MOV[RECEITA OU DESPESA],"Despesa",LANÇ_MOV[CONTAS],$C370,LANÇ_MOV[PLANO DE CONTAS],REL_DRE_FINANCEIRO!$B$343,LANÇ_MOV[ANO PAGAMENTO],$B$4,LANÇ_MOV[MÊS PAGAMENTO CORRESPONDENTE],J$6,LANÇ_MOV[EMPRESA],$C$4,LANÇ_MOV[CENTRO DE CUSTOS],$D$4)</f>
        <v>0</v>
      </c>
      <c r="K370" s="206">
        <f>SUMIFS(LANÇ_MOV[VALOR LÍQUIDO],LANÇ_MOV[RECEITA OU DESPESA],"Despesa",LANÇ_MOV[CONTAS],$C370,LANÇ_MOV[PLANO DE CONTAS],REL_DRE_FINANCEIRO!$B$343,LANÇ_MOV[ANO PAGAMENTO],$B$4,LANÇ_MOV[MÊS PAGAMENTO CORRESPONDENTE],K$6,LANÇ_MOV[EMPRESA],$C$4,LANÇ_MOV[CENTRO DE CUSTOS],$D$4)</f>
        <v>0</v>
      </c>
      <c r="L370" s="206">
        <f>SUMIFS(LANÇ_MOV[VALOR LÍQUIDO],LANÇ_MOV[RECEITA OU DESPESA],"Despesa",LANÇ_MOV[CONTAS],$C370,LANÇ_MOV[PLANO DE CONTAS],REL_DRE_FINANCEIRO!$B$343,LANÇ_MOV[ANO PAGAMENTO],$B$4,LANÇ_MOV[MÊS PAGAMENTO CORRESPONDENTE],L$6,LANÇ_MOV[EMPRESA],$C$4,LANÇ_MOV[CENTRO DE CUSTOS],$D$4)</f>
        <v>0</v>
      </c>
      <c r="M370" s="206">
        <f>SUMIFS(LANÇ_MOV[VALOR LÍQUIDO],LANÇ_MOV[RECEITA OU DESPESA],"Despesa",LANÇ_MOV[CONTAS],$C370,LANÇ_MOV[PLANO DE CONTAS],REL_DRE_FINANCEIRO!$B$343,LANÇ_MOV[ANO PAGAMENTO],$B$4,LANÇ_MOV[MÊS PAGAMENTO CORRESPONDENTE],M$6,LANÇ_MOV[EMPRESA],$C$4,LANÇ_MOV[CENTRO DE CUSTOS],$D$4)</f>
        <v>0</v>
      </c>
      <c r="N370" s="206">
        <f>SUMIFS(LANÇ_MOV[VALOR LÍQUIDO],LANÇ_MOV[RECEITA OU DESPESA],"Despesa",LANÇ_MOV[CONTAS],$C370,LANÇ_MOV[PLANO DE CONTAS],REL_DRE_FINANCEIRO!$B$343,LANÇ_MOV[ANO PAGAMENTO],$B$4,LANÇ_MOV[MÊS PAGAMENTO CORRESPONDENTE],N$6,LANÇ_MOV[EMPRESA],$C$4,LANÇ_MOV[CENTRO DE CUSTOS],$D$4)</f>
        <v>0</v>
      </c>
      <c r="O370" s="206">
        <f>SUMIFS(LANÇ_MOV[VALOR LÍQUIDO],LANÇ_MOV[RECEITA OU DESPESA],"Despesa",LANÇ_MOV[CONTAS],$C370,LANÇ_MOV[PLANO DE CONTAS],REL_DRE_FINANCEIRO!$B$343,LANÇ_MOV[ANO PAGAMENTO],$B$4,LANÇ_MOV[MÊS PAGAMENTO CORRESPONDENTE],O$6,LANÇ_MOV[EMPRESA],$C$4,LANÇ_MOV[CENTRO DE CUSTOS],$D$4)</f>
        <v>0</v>
      </c>
      <c r="P370" s="207">
        <f t="shared" si="54"/>
        <v>0</v>
      </c>
      <c r="Q370" s="329">
        <v>7.4000000000000003E-6</v>
      </c>
      <c r="R370" s="346">
        <f t="shared" si="55"/>
        <v>7.4000000000000003E-6</v>
      </c>
      <c r="S370" s="347" t="str">
        <f t="shared" si="56"/>
        <v>-</v>
      </c>
      <c r="T370" s="347">
        <f t="shared" si="57"/>
        <v>0</v>
      </c>
      <c r="U370" s="347">
        <f>HLOOKUP(Apoio!$P$12,$D$342:$P$443,X370,FALSE)+Q370</f>
        <v>7.4000000000000003E-6</v>
      </c>
      <c r="V370" s="447" t="str">
        <f t="shared" si="58"/>
        <v>-</v>
      </c>
      <c r="W370" s="448">
        <f>HLOOKUP(Apoio!$P$12,$D$342:$P$443,X370,FALSE)</f>
        <v>0</v>
      </c>
      <c r="X370" s="329">
        <v>29</v>
      </c>
    </row>
    <row r="371" spans="2:24" ht="30.05" customHeight="1" x14ac:dyDescent="0.35">
      <c r="B371" s="204" t="str">
        <f>'CAD_PL_REC-DESP'!Q32</f>
        <v>2.3.28</v>
      </c>
      <c r="C371" s="205" t="str">
        <f>IF('CAD_PL_REC-DESP'!R32="","-",'CAD_PL_REC-DESP'!R32)</f>
        <v>-</v>
      </c>
      <c r="D371" s="206">
        <f>SUMIFS(LANÇ_MOV[VALOR LÍQUIDO],LANÇ_MOV[RECEITA OU DESPESA],"Despesa",LANÇ_MOV[CONTAS],$C371,LANÇ_MOV[PLANO DE CONTAS],REL_DRE_FINANCEIRO!$B$343,LANÇ_MOV[ANO PAGAMENTO],$B$4,LANÇ_MOV[MÊS PAGAMENTO CORRESPONDENTE],D$6,LANÇ_MOV[EMPRESA],$C$4,LANÇ_MOV[CENTRO DE CUSTOS],$D$4)</f>
        <v>0</v>
      </c>
      <c r="E371" s="206">
        <f>SUMIFS(LANÇ_MOV[VALOR LÍQUIDO],LANÇ_MOV[RECEITA OU DESPESA],"Despesa",LANÇ_MOV[CONTAS],$C371,LANÇ_MOV[PLANO DE CONTAS],REL_DRE_FINANCEIRO!$B$343,LANÇ_MOV[ANO PAGAMENTO],$B$4,LANÇ_MOV[MÊS PAGAMENTO CORRESPONDENTE],E$6,LANÇ_MOV[EMPRESA],$C$4,LANÇ_MOV[CENTRO DE CUSTOS],$D$4)</f>
        <v>0</v>
      </c>
      <c r="F371" s="206">
        <f>SUMIFS(LANÇ_MOV[VALOR LÍQUIDO],LANÇ_MOV[RECEITA OU DESPESA],"Despesa",LANÇ_MOV[CONTAS],$C371,LANÇ_MOV[PLANO DE CONTAS],REL_DRE_FINANCEIRO!$B$343,LANÇ_MOV[ANO PAGAMENTO],$B$4,LANÇ_MOV[MÊS PAGAMENTO CORRESPONDENTE],F$6,LANÇ_MOV[EMPRESA],$C$4,LANÇ_MOV[CENTRO DE CUSTOS],$D$4)</f>
        <v>0</v>
      </c>
      <c r="G371" s="206">
        <f>SUMIFS(LANÇ_MOV[VALOR LÍQUIDO],LANÇ_MOV[RECEITA OU DESPESA],"Despesa",LANÇ_MOV[CONTAS],$C371,LANÇ_MOV[PLANO DE CONTAS],REL_DRE_FINANCEIRO!$B$343,LANÇ_MOV[ANO PAGAMENTO],$B$4,LANÇ_MOV[MÊS PAGAMENTO CORRESPONDENTE],G$6,LANÇ_MOV[EMPRESA],$C$4,LANÇ_MOV[CENTRO DE CUSTOS],$D$4)</f>
        <v>0</v>
      </c>
      <c r="H371" s="206">
        <f>SUMIFS(LANÇ_MOV[VALOR LÍQUIDO],LANÇ_MOV[RECEITA OU DESPESA],"Despesa",LANÇ_MOV[CONTAS],$C371,LANÇ_MOV[PLANO DE CONTAS],REL_DRE_FINANCEIRO!$B$343,LANÇ_MOV[ANO PAGAMENTO],$B$4,LANÇ_MOV[MÊS PAGAMENTO CORRESPONDENTE],H$6,LANÇ_MOV[EMPRESA],$C$4,LANÇ_MOV[CENTRO DE CUSTOS],$D$4)</f>
        <v>0</v>
      </c>
      <c r="I371" s="206">
        <f>SUMIFS(LANÇ_MOV[VALOR LÍQUIDO],LANÇ_MOV[RECEITA OU DESPESA],"Despesa",LANÇ_MOV[CONTAS],$C371,LANÇ_MOV[PLANO DE CONTAS],REL_DRE_FINANCEIRO!$B$343,LANÇ_MOV[ANO PAGAMENTO],$B$4,LANÇ_MOV[MÊS PAGAMENTO CORRESPONDENTE],I$6,LANÇ_MOV[EMPRESA],$C$4,LANÇ_MOV[CENTRO DE CUSTOS],$D$4)</f>
        <v>0</v>
      </c>
      <c r="J371" s="206">
        <f>SUMIFS(LANÇ_MOV[VALOR LÍQUIDO],LANÇ_MOV[RECEITA OU DESPESA],"Despesa",LANÇ_MOV[CONTAS],$C371,LANÇ_MOV[PLANO DE CONTAS],REL_DRE_FINANCEIRO!$B$343,LANÇ_MOV[ANO PAGAMENTO],$B$4,LANÇ_MOV[MÊS PAGAMENTO CORRESPONDENTE],J$6,LANÇ_MOV[EMPRESA],$C$4,LANÇ_MOV[CENTRO DE CUSTOS],$D$4)</f>
        <v>0</v>
      </c>
      <c r="K371" s="206">
        <f>SUMIFS(LANÇ_MOV[VALOR LÍQUIDO],LANÇ_MOV[RECEITA OU DESPESA],"Despesa",LANÇ_MOV[CONTAS],$C371,LANÇ_MOV[PLANO DE CONTAS],REL_DRE_FINANCEIRO!$B$343,LANÇ_MOV[ANO PAGAMENTO],$B$4,LANÇ_MOV[MÊS PAGAMENTO CORRESPONDENTE],K$6,LANÇ_MOV[EMPRESA],$C$4,LANÇ_MOV[CENTRO DE CUSTOS],$D$4)</f>
        <v>0</v>
      </c>
      <c r="L371" s="206">
        <f>SUMIFS(LANÇ_MOV[VALOR LÍQUIDO],LANÇ_MOV[RECEITA OU DESPESA],"Despesa",LANÇ_MOV[CONTAS],$C371,LANÇ_MOV[PLANO DE CONTAS],REL_DRE_FINANCEIRO!$B$343,LANÇ_MOV[ANO PAGAMENTO],$B$4,LANÇ_MOV[MÊS PAGAMENTO CORRESPONDENTE],L$6,LANÇ_MOV[EMPRESA],$C$4,LANÇ_MOV[CENTRO DE CUSTOS],$D$4)</f>
        <v>0</v>
      </c>
      <c r="M371" s="206">
        <f>SUMIFS(LANÇ_MOV[VALOR LÍQUIDO],LANÇ_MOV[RECEITA OU DESPESA],"Despesa",LANÇ_MOV[CONTAS],$C371,LANÇ_MOV[PLANO DE CONTAS],REL_DRE_FINANCEIRO!$B$343,LANÇ_MOV[ANO PAGAMENTO],$B$4,LANÇ_MOV[MÊS PAGAMENTO CORRESPONDENTE],M$6,LANÇ_MOV[EMPRESA],$C$4,LANÇ_MOV[CENTRO DE CUSTOS],$D$4)</f>
        <v>0</v>
      </c>
      <c r="N371" s="206">
        <f>SUMIFS(LANÇ_MOV[VALOR LÍQUIDO],LANÇ_MOV[RECEITA OU DESPESA],"Despesa",LANÇ_MOV[CONTAS],$C371,LANÇ_MOV[PLANO DE CONTAS],REL_DRE_FINANCEIRO!$B$343,LANÇ_MOV[ANO PAGAMENTO],$B$4,LANÇ_MOV[MÊS PAGAMENTO CORRESPONDENTE],N$6,LANÇ_MOV[EMPRESA],$C$4,LANÇ_MOV[CENTRO DE CUSTOS],$D$4)</f>
        <v>0</v>
      </c>
      <c r="O371" s="206">
        <f>SUMIFS(LANÇ_MOV[VALOR LÍQUIDO],LANÇ_MOV[RECEITA OU DESPESA],"Despesa",LANÇ_MOV[CONTAS],$C371,LANÇ_MOV[PLANO DE CONTAS],REL_DRE_FINANCEIRO!$B$343,LANÇ_MOV[ANO PAGAMENTO],$B$4,LANÇ_MOV[MÊS PAGAMENTO CORRESPONDENTE],O$6,LANÇ_MOV[EMPRESA],$C$4,LANÇ_MOV[CENTRO DE CUSTOS],$D$4)</f>
        <v>0</v>
      </c>
      <c r="P371" s="207">
        <f t="shared" si="54"/>
        <v>0</v>
      </c>
      <c r="Q371" s="329">
        <v>7.3000000000000004E-6</v>
      </c>
      <c r="R371" s="346">
        <f t="shared" si="55"/>
        <v>7.3000000000000004E-6</v>
      </c>
      <c r="S371" s="347" t="str">
        <f t="shared" si="56"/>
        <v>-</v>
      </c>
      <c r="T371" s="347">
        <f t="shared" si="57"/>
        <v>0</v>
      </c>
      <c r="U371" s="347">
        <f>HLOOKUP(Apoio!$P$12,$D$342:$P$443,X371,FALSE)+Q371</f>
        <v>7.3000000000000004E-6</v>
      </c>
      <c r="V371" s="447" t="str">
        <f t="shared" si="58"/>
        <v>-</v>
      </c>
      <c r="W371" s="448">
        <f>HLOOKUP(Apoio!$P$12,$D$342:$P$443,X371,FALSE)</f>
        <v>0</v>
      </c>
      <c r="X371" s="329">
        <v>30</v>
      </c>
    </row>
    <row r="372" spans="2:24" ht="30.05" customHeight="1" x14ac:dyDescent="0.35">
      <c r="B372" s="204" t="str">
        <f>'CAD_PL_REC-DESP'!Q33</f>
        <v>2.3.29</v>
      </c>
      <c r="C372" s="205" t="str">
        <f>IF('CAD_PL_REC-DESP'!R33="","-",'CAD_PL_REC-DESP'!R33)</f>
        <v>-</v>
      </c>
      <c r="D372" s="206">
        <f>SUMIFS(LANÇ_MOV[VALOR LÍQUIDO],LANÇ_MOV[RECEITA OU DESPESA],"Despesa",LANÇ_MOV[CONTAS],$C372,LANÇ_MOV[PLANO DE CONTAS],REL_DRE_FINANCEIRO!$B$343,LANÇ_MOV[ANO PAGAMENTO],$B$4,LANÇ_MOV[MÊS PAGAMENTO CORRESPONDENTE],D$6,LANÇ_MOV[EMPRESA],$C$4,LANÇ_MOV[CENTRO DE CUSTOS],$D$4)</f>
        <v>0</v>
      </c>
      <c r="E372" s="206">
        <f>SUMIFS(LANÇ_MOV[VALOR LÍQUIDO],LANÇ_MOV[RECEITA OU DESPESA],"Despesa",LANÇ_MOV[CONTAS],$C372,LANÇ_MOV[PLANO DE CONTAS],REL_DRE_FINANCEIRO!$B$343,LANÇ_MOV[ANO PAGAMENTO],$B$4,LANÇ_MOV[MÊS PAGAMENTO CORRESPONDENTE],E$6,LANÇ_MOV[EMPRESA],$C$4,LANÇ_MOV[CENTRO DE CUSTOS],$D$4)</f>
        <v>0</v>
      </c>
      <c r="F372" s="206">
        <f>SUMIFS(LANÇ_MOV[VALOR LÍQUIDO],LANÇ_MOV[RECEITA OU DESPESA],"Despesa",LANÇ_MOV[CONTAS],$C372,LANÇ_MOV[PLANO DE CONTAS],REL_DRE_FINANCEIRO!$B$343,LANÇ_MOV[ANO PAGAMENTO],$B$4,LANÇ_MOV[MÊS PAGAMENTO CORRESPONDENTE],F$6,LANÇ_MOV[EMPRESA],$C$4,LANÇ_MOV[CENTRO DE CUSTOS],$D$4)</f>
        <v>0</v>
      </c>
      <c r="G372" s="206">
        <f>SUMIFS(LANÇ_MOV[VALOR LÍQUIDO],LANÇ_MOV[RECEITA OU DESPESA],"Despesa",LANÇ_MOV[CONTAS],$C372,LANÇ_MOV[PLANO DE CONTAS],REL_DRE_FINANCEIRO!$B$343,LANÇ_MOV[ANO PAGAMENTO],$B$4,LANÇ_MOV[MÊS PAGAMENTO CORRESPONDENTE],G$6,LANÇ_MOV[EMPRESA],$C$4,LANÇ_MOV[CENTRO DE CUSTOS],$D$4)</f>
        <v>0</v>
      </c>
      <c r="H372" s="206">
        <f>SUMIFS(LANÇ_MOV[VALOR LÍQUIDO],LANÇ_MOV[RECEITA OU DESPESA],"Despesa",LANÇ_MOV[CONTAS],$C372,LANÇ_MOV[PLANO DE CONTAS],REL_DRE_FINANCEIRO!$B$343,LANÇ_MOV[ANO PAGAMENTO],$B$4,LANÇ_MOV[MÊS PAGAMENTO CORRESPONDENTE],H$6,LANÇ_MOV[EMPRESA],$C$4,LANÇ_MOV[CENTRO DE CUSTOS],$D$4)</f>
        <v>0</v>
      </c>
      <c r="I372" s="206">
        <f>SUMIFS(LANÇ_MOV[VALOR LÍQUIDO],LANÇ_MOV[RECEITA OU DESPESA],"Despesa",LANÇ_MOV[CONTAS],$C372,LANÇ_MOV[PLANO DE CONTAS],REL_DRE_FINANCEIRO!$B$343,LANÇ_MOV[ANO PAGAMENTO],$B$4,LANÇ_MOV[MÊS PAGAMENTO CORRESPONDENTE],I$6,LANÇ_MOV[EMPRESA],$C$4,LANÇ_MOV[CENTRO DE CUSTOS],$D$4)</f>
        <v>0</v>
      </c>
      <c r="J372" s="206">
        <f>SUMIFS(LANÇ_MOV[VALOR LÍQUIDO],LANÇ_MOV[RECEITA OU DESPESA],"Despesa",LANÇ_MOV[CONTAS],$C372,LANÇ_MOV[PLANO DE CONTAS],REL_DRE_FINANCEIRO!$B$343,LANÇ_MOV[ANO PAGAMENTO],$B$4,LANÇ_MOV[MÊS PAGAMENTO CORRESPONDENTE],J$6,LANÇ_MOV[EMPRESA],$C$4,LANÇ_MOV[CENTRO DE CUSTOS],$D$4)</f>
        <v>0</v>
      </c>
      <c r="K372" s="206">
        <f>SUMIFS(LANÇ_MOV[VALOR LÍQUIDO],LANÇ_MOV[RECEITA OU DESPESA],"Despesa",LANÇ_MOV[CONTAS],$C372,LANÇ_MOV[PLANO DE CONTAS],REL_DRE_FINANCEIRO!$B$343,LANÇ_MOV[ANO PAGAMENTO],$B$4,LANÇ_MOV[MÊS PAGAMENTO CORRESPONDENTE],K$6,LANÇ_MOV[EMPRESA],$C$4,LANÇ_MOV[CENTRO DE CUSTOS],$D$4)</f>
        <v>0</v>
      </c>
      <c r="L372" s="206">
        <f>SUMIFS(LANÇ_MOV[VALOR LÍQUIDO],LANÇ_MOV[RECEITA OU DESPESA],"Despesa",LANÇ_MOV[CONTAS],$C372,LANÇ_MOV[PLANO DE CONTAS],REL_DRE_FINANCEIRO!$B$343,LANÇ_MOV[ANO PAGAMENTO],$B$4,LANÇ_MOV[MÊS PAGAMENTO CORRESPONDENTE],L$6,LANÇ_MOV[EMPRESA],$C$4,LANÇ_MOV[CENTRO DE CUSTOS],$D$4)</f>
        <v>0</v>
      </c>
      <c r="M372" s="206">
        <f>SUMIFS(LANÇ_MOV[VALOR LÍQUIDO],LANÇ_MOV[RECEITA OU DESPESA],"Despesa",LANÇ_MOV[CONTAS],$C372,LANÇ_MOV[PLANO DE CONTAS],REL_DRE_FINANCEIRO!$B$343,LANÇ_MOV[ANO PAGAMENTO],$B$4,LANÇ_MOV[MÊS PAGAMENTO CORRESPONDENTE],M$6,LANÇ_MOV[EMPRESA],$C$4,LANÇ_MOV[CENTRO DE CUSTOS],$D$4)</f>
        <v>0</v>
      </c>
      <c r="N372" s="206">
        <f>SUMIFS(LANÇ_MOV[VALOR LÍQUIDO],LANÇ_MOV[RECEITA OU DESPESA],"Despesa",LANÇ_MOV[CONTAS],$C372,LANÇ_MOV[PLANO DE CONTAS],REL_DRE_FINANCEIRO!$B$343,LANÇ_MOV[ANO PAGAMENTO],$B$4,LANÇ_MOV[MÊS PAGAMENTO CORRESPONDENTE],N$6,LANÇ_MOV[EMPRESA],$C$4,LANÇ_MOV[CENTRO DE CUSTOS],$D$4)</f>
        <v>0</v>
      </c>
      <c r="O372" s="206">
        <f>SUMIFS(LANÇ_MOV[VALOR LÍQUIDO],LANÇ_MOV[RECEITA OU DESPESA],"Despesa",LANÇ_MOV[CONTAS],$C372,LANÇ_MOV[PLANO DE CONTAS],REL_DRE_FINANCEIRO!$B$343,LANÇ_MOV[ANO PAGAMENTO],$B$4,LANÇ_MOV[MÊS PAGAMENTO CORRESPONDENTE],O$6,LANÇ_MOV[EMPRESA],$C$4,LANÇ_MOV[CENTRO DE CUSTOS],$D$4)</f>
        <v>0</v>
      </c>
      <c r="P372" s="207">
        <f t="shared" si="54"/>
        <v>0</v>
      </c>
      <c r="Q372" s="329">
        <v>7.1999999999999997E-6</v>
      </c>
      <c r="R372" s="346">
        <f t="shared" si="55"/>
        <v>7.1999999999999997E-6</v>
      </c>
      <c r="S372" s="347" t="str">
        <f t="shared" si="56"/>
        <v>-</v>
      </c>
      <c r="T372" s="347">
        <f t="shared" si="57"/>
        <v>0</v>
      </c>
      <c r="U372" s="347">
        <f>HLOOKUP(Apoio!$P$12,$D$342:$P$443,X372,FALSE)+Q372</f>
        <v>7.1999999999999997E-6</v>
      </c>
      <c r="V372" s="447" t="str">
        <f t="shared" si="58"/>
        <v>-</v>
      </c>
      <c r="W372" s="448">
        <f>HLOOKUP(Apoio!$P$12,$D$342:$P$443,X372,FALSE)</f>
        <v>0</v>
      </c>
      <c r="X372" s="329">
        <v>31</v>
      </c>
    </row>
    <row r="373" spans="2:24" ht="30.05" customHeight="1" x14ac:dyDescent="0.35">
      <c r="B373" s="204" t="str">
        <f>'CAD_PL_REC-DESP'!Q34</f>
        <v>2.3.30</v>
      </c>
      <c r="C373" s="205" t="str">
        <f>IF('CAD_PL_REC-DESP'!R34="","-",'CAD_PL_REC-DESP'!R34)</f>
        <v>-</v>
      </c>
      <c r="D373" s="206">
        <f>SUMIFS(LANÇ_MOV[VALOR LÍQUIDO],LANÇ_MOV[RECEITA OU DESPESA],"Despesa",LANÇ_MOV[CONTAS],$C373,LANÇ_MOV[PLANO DE CONTAS],REL_DRE_FINANCEIRO!$B$343,LANÇ_MOV[ANO PAGAMENTO],$B$4,LANÇ_MOV[MÊS PAGAMENTO CORRESPONDENTE],D$6,LANÇ_MOV[EMPRESA],$C$4,LANÇ_MOV[CENTRO DE CUSTOS],$D$4)</f>
        <v>0</v>
      </c>
      <c r="E373" s="206">
        <f>SUMIFS(LANÇ_MOV[VALOR LÍQUIDO],LANÇ_MOV[RECEITA OU DESPESA],"Despesa",LANÇ_MOV[CONTAS],$C373,LANÇ_MOV[PLANO DE CONTAS],REL_DRE_FINANCEIRO!$B$343,LANÇ_MOV[ANO PAGAMENTO],$B$4,LANÇ_MOV[MÊS PAGAMENTO CORRESPONDENTE],E$6,LANÇ_MOV[EMPRESA],$C$4,LANÇ_MOV[CENTRO DE CUSTOS],$D$4)</f>
        <v>0</v>
      </c>
      <c r="F373" s="206">
        <f>SUMIFS(LANÇ_MOV[VALOR LÍQUIDO],LANÇ_MOV[RECEITA OU DESPESA],"Despesa",LANÇ_MOV[CONTAS],$C373,LANÇ_MOV[PLANO DE CONTAS],REL_DRE_FINANCEIRO!$B$343,LANÇ_MOV[ANO PAGAMENTO],$B$4,LANÇ_MOV[MÊS PAGAMENTO CORRESPONDENTE],F$6,LANÇ_MOV[EMPRESA],$C$4,LANÇ_MOV[CENTRO DE CUSTOS],$D$4)</f>
        <v>0</v>
      </c>
      <c r="G373" s="206">
        <f>SUMIFS(LANÇ_MOV[VALOR LÍQUIDO],LANÇ_MOV[RECEITA OU DESPESA],"Despesa",LANÇ_MOV[CONTAS],$C373,LANÇ_MOV[PLANO DE CONTAS],REL_DRE_FINANCEIRO!$B$343,LANÇ_MOV[ANO PAGAMENTO],$B$4,LANÇ_MOV[MÊS PAGAMENTO CORRESPONDENTE],G$6,LANÇ_MOV[EMPRESA],$C$4,LANÇ_MOV[CENTRO DE CUSTOS],$D$4)</f>
        <v>0</v>
      </c>
      <c r="H373" s="206">
        <f>SUMIFS(LANÇ_MOV[VALOR LÍQUIDO],LANÇ_MOV[RECEITA OU DESPESA],"Despesa",LANÇ_MOV[CONTAS],$C373,LANÇ_MOV[PLANO DE CONTAS],REL_DRE_FINANCEIRO!$B$343,LANÇ_MOV[ANO PAGAMENTO],$B$4,LANÇ_MOV[MÊS PAGAMENTO CORRESPONDENTE],H$6,LANÇ_MOV[EMPRESA],$C$4,LANÇ_MOV[CENTRO DE CUSTOS],$D$4)</f>
        <v>0</v>
      </c>
      <c r="I373" s="206">
        <f>SUMIFS(LANÇ_MOV[VALOR LÍQUIDO],LANÇ_MOV[RECEITA OU DESPESA],"Despesa",LANÇ_MOV[CONTAS],$C373,LANÇ_MOV[PLANO DE CONTAS],REL_DRE_FINANCEIRO!$B$343,LANÇ_MOV[ANO PAGAMENTO],$B$4,LANÇ_MOV[MÊS PAGAMENTO CORRESPONDENTE],I$6,LANÇ_MOV[EMPRESA],$C$4,LANÇ_MOV[CENTRO DE CUSTOS],$D$4)</f>
        <v>0</v>
      </c>
      <c r="J373" s="206">
        <f>SUMIFS(LANÇ_MOV[VALOR LÍQUIDO],LANÇ_MOV[RECEITA OU DESPESA],"Despesa",LANÇ_MOV[CONTAS],$C373,LANÇ_MOV[PLANO DE CONTAS],REL_DRE_FINANCEIRO!$B$343,LANÇ_MOV[ANO PAGAMENTO],$B$4,LANÇ_MOV[MÊS PAGAMENTO CORRESPONDENTE],J$6,LANÇ_MOV[EMPRESA],$C$4,LANÇ_MOV[CENTRO DE CUSTOS],$D$4)</f>
        <v>0</v>
      </c>
      <c r="K373" s="206">
        <f>SUMIFS(LANÇ_MOV[VALOR LÍQUIDO],LANÇ_MOV[RECEITA OU DESPESA],"Despesa",LANÇ_MOV[CONTAS],$C373,LANÇ_MOV[PLANO DE CONTAS],REL_DRE_FINANCEIRO!$B$343,LANÇ_MOV[ANO PAGAMENTO],$B$4,LANÇ_MOV[MÊS PAGAMENTO CORRESPONDENTE],K$6,LANÇ_MOV[EMPRESA],$C$4,LANÇ_MOV[CENTRO DE CUSTOS],$D$4)</f>
        <v>0</v>
      </c>
      <c r="L373" s="206">
        <f>SUMIFS(LANÇ_MOV[VALOR LÍQUIDO],LANÇ_MOV[RECEITA OU DESPESA],"Despesa",LANÇ_MOV[CONTAS],$C373,LANÇ_MOV[PLANO DE CONTAS],REL_DRE_FINANCEIRO!$B$343,LANÇ_MOV[ANO PAGAMENTO],$B$4,LANÇ_MOV[MÊS PAGAMENTO CORRESPONDENTE],L$6,LANÇ_MOV[EMPRESA],$C$4,LANÇ_MOV[CENTRO DE CUSTOS],$D$4)</f>
        <v>0</v>
      </c>
      <c r="M373" s="206">
        <f>SUMIFS(LANÇ_MOV[VALOR LÍQUIDO],LANÇ_MOV[RECEITA OU DESPESA],"Despesa",LANÇ_MOV[CONTAS],$C373,LANÇ_MOV[PLANO DE CONTAS],REL_DRE_FINANCEIRO!$B$343,LANÇ_MOV[ANO PAGAMENTO],$B$4,LANÇ_MOV[MÊS PAGAMENTO CORRESPONDENTE],M$6,LANÇ_MOV[EMPRESA],$C$4,LANÇ_MOV[CENTRO DE CUSTOS],$D$4)</f>
        <v>0</v>
      </c>
      <c r="N373" s="206">
        <f>SUMIFS(LANÇ_MOV[VALOR LÍQUIDO],LANÇ_MOV[RECEITA OU DESPESA],"Despesa",LANÇ_MOV[CONTAS],$C373,LANÇ_MOV[PLANO DE CONTAS],REL_DRE_FINANCEIRO!$B$343,LANÇ_MOV[ANO PAGAMENTO],$B$4,LANÇ_MOV[MÊS PAGAMENTO CORRESPONDENTE],N$6,LANÇ_MOV[EMPRESA],$C$4,LANÇ_MOV[CENTRO DE CUSTOS],$D$4)</f>
        <v>0</v>
      </c>
      <c r="O373" s="206">
        <f>SUMIFS(LANÇ_MOV[VALOR LÍQUIDO],LANÇ_MOV[RECEITA OU DESPESA],"Despesa",LANÇ_MOV[CONTAS],$C373,LANÇ_MOV[PLANO DE CONTAS],REL_DRE_FINANCEIRO!$B$343,LANÇ_MOV[ANO PAGAMENTO],$B$4,LANÇ_MOV[MÊS PAGAMENTO CORRESPONDENTE],O$6,LANÇ_MOV[EMPRESA],$C$4,LANÇ_MOV[CENTRO DE CUSTOS],$D$4)</f>
        <v>0</v>
      </c>
      <c r="P373" s="207">
        <f t="shared" si="54"/>
        <v>0</v>
      </c>
      <c r="Q373" s="329">
        <v>7.0999999999999998E-6</v>
      </c>
      <c r="R373" s="346">
        <f t="shared" si="55"/>
        <v>7.0999999999999998E-6</v>
      </c>
      <c r="S373" s="347" t="str">
        <f t="shared" si="56"/>
        <v>-</v>
      </c>
      <c r="T373" s="347">
        <f t="shared" si="57"/>
        <v>0</v>
      </c>
      <c r="U373" s="347">
        <f>HLOOKUP(Apoio!$P$12,$D$342:$P$443,X373,FALSE)+Q373</f>
        <v>7.0999999999999998E-6</v>
      </c>
      <c r="V373" s="447" t="str">
        <f t="shared" si="58"/>
        <v>-</v>
      </c>
      <c r="W373" s="448">
        <f>HLOOKUP(Apoio!$P$12,$D$342:$P$443,X373,FALSE)</f>
        <v>0</v>
      </c>
      <c r="X373" s="329">
        <v>32</v>
      </c>
    </row>
    <row r="374" spans="2:24" ht="30.05" customHeight="1" x14ac:dyDescent="0.35">
      <c r="B374" s="204" t="str">
        <f>'CAD_PL_REC-DESP'!Q35</f>
        <v>2.3.31</v>
      </c>
      <c r="C374" s="205" t="str">
        <f>IF('CAD_PL_REC-DESP'!R35="","-",'CAD_PL_REC-DESP'!R35)</f>
        <v>-</v>
      </c>
      <c r="D374" s="206">
        <f>SUMIFS(LANÇ_MOV[VALOR LÍQUIDO],LANÇ_MOV[RECEITA OU DESPESA],"Despesa",LANÇ_MOV[CONTAS],$C374,LANÇ_MOV[PLANO DE CONTAS],REL_DRE_FINANCEIRO!$B$343,LANÇ_MOV[ANO PAGAMENTO],$B$4,LANÇ_MOV[MÊS PAGAMENTO CORRESPONDENTE],D$6,LANÇ_MOV[EMPRESA],$C$4,LANÇ_MOV[CENTRO DE CUSTOS],$D$4)</f>
        <v>0</v>
      </c>
      <c r="E374" s="206">
        <f>SUMIFS(LANÇ_MOV[VALOR LÍQUIDO],LANÇ_MOV[RECEITA OU DESPESA],"Despesa",LANÇ_MOV[CONTAS],$C374,LANÇ_MOV[PLANO DE CONTAS],REL_DRE_FINANCEIRO!$B$343,LANÇ_MOV[ANO PAGAMENTO],$B$4,LANÇ_MOV[MÊS PAGAMENTO CORRESPONDENTE],E$6,LANÇ_MOV[EMPRESA],$C$4,LANÇ_MOV[CENTRO DE CUSTOS],$D$4)</f>
        <v>0</v>
      </c>
      <c r="F374" s="206">
        <f>SUMIFS(LANÇ_MOV[VALOR LÍQUIDO],LANÇ_MOV[RECEITA OU DESPESA],"Despesa",LANÇ_MOV[CONTAS],$C374,LANÇ_MOV[PLANO DE CONTAS],REL_DRE_FINANCEIRO!$B$343,LANÇ_MOV[ANO PAGAMENTO],$B$4,LANÇ_MOV[MÊS PAGAMENTO CORRESPONDENTE],F$6,LANÇ_MOV[EMPRESA],$C$4,LANÇ_MOV[CENTRO DE CUSTOS],$D$4)</f>
        <v>0</v>
      </c>
      <c r="G374" s="206">
        <f>SUMIFS(LANÇ_MOV[VALOR LÍQUIDO],LANÇ_MOV[RECEITA OU DESPESA],"Despesa",LANÇ_MOV[CONTAS],$C374,LANÇ_MOV[PLANO DE CONTAS],REL_DRE_FINANCEIRO!$B$343,LANÇ_MOV[ANO PAGAMENTO],$B$4,LANÇ_MOV[MÊS PAGAMENTO CORRESPONDENTE],G$6,LANÇ_MOV[EMPRESA],$C$4,LANÇ_MOV[CENTRO DE CUSTOS],$D$4)</f>
        <v>0</v>
      </c>
      <c r="H374" s="206">
        <f>SUMIFS(LANÇ_MOV[VALOR LÍQUIDO],LANÇ_MOV[RECEITA OU DESPESA],"Despesa",LANÇ_MOV[CONTAS],$C374,LANÇ_MOV[PLANO DE CONTAS],REL_DRE_FINANCEIRO!$B$343,LANÇ_MOV[ANO PAGAMENTO],$B$4,LANÇ_MOV[MÊS PAGAMENTO CORRESPONDENTE],H$6,LANÇ_MOV[EMPRESA],$C$4,LANÇ_MOV[CENTRO DE CUSTOS],$D$4)</f>
        <v>0</v>
      </c>
      <c r="I374" s="206">
        <f>SUMIFS(LANÇ_MOV[VALOR LÍQUIDO],LANÇ_MOV[RECEITA OU DESPESA],"Despesa",LANÇ_MOV[CONTAS],$C374,LANÇ_MOV[PLANO DE CONTAS],REL_DRE_FINANCEIRO!$B$343,LANÇ_MOV[ANO PAGAMENTO],$B$4,LANÇ_MOV[MÊS PAGAMENTO CORRESPONDENTE],I$6,LANÇ_MOV[EMPRESA],$C$4,LANÇ_MOV[CENTRO DE CUSTOS],$D$4)</f>
        <v>0</v>
      </c>
      <c r="J374" s="206">
        <f>SUMIFS(LANÇ_MOV[VALOR LÍQUIDO],LANÇ_MOV[RECEITA OU DESPESA],"Despesa",LANÇ_MOV[CONTAS],$C374,LANÇ_MOV[PLANO DE CONTAS],REL_DRE_FINANCEIRO!$B$343,LANÇ_MOV[ANO PAGAMENTO],$B$4,LANÇ_MOV[MÊS PAGAMENTO CORRESPONDENTE],J$6,LANÇ_MOV[EMPRESA],$C$4,LANÇ_MOV[CENTRO DE CUSTOS],$D$4)</f>
        <v>0</v>
      </c>
      <c r="K374" s="206">
        <f>SUMIFS(LANÇ_MOV[VALOR LÍQUIDO],LANÇ_MOV[RECEITA OU DESPESA],"Despesa",LANÇ_MOV[CONTAS],$C374,LANÇ_MOV[PLANO DE CONTAS],REL_DRE_FINANCEIRO!$B$343,LANÇ_MOV[ANO PAGAMENTO],$B$4,LANÇ_MOV[MÊS PAGAMENTO CORRESPONDENTE],K$6,LANÇ_MOV[EMPRESA],$C$4,LANÇ_MOV[CENTRO DE CUSTOS],$D$4)</f>
        <v>0</v>
      </c>
      <c r="L374" s="206">
        <f>SUMIFS(LANÇ_MOV[VALOR LÍQUIDO],LANÇ_MOV[RECEITA OU DESPESA],"Despesa",LANÇ_MOV[CONTAS],$C374,LANÇ_MOV[PLANO DE CONTAS],REL_DRE_FINANCEIRO!$B$343,LANÇ_MOV[ANO PAGAMENTO],$B$4,LANÇ_MOV[MÊS PAGAMENTO CORRESPONDENTE],L$6,LANÇ_MOV[EMPRESA],$C$4,LANÇ_MOV[CENTRO DE CUSTOS],$D$4)</f>
        <v>0</v>
      </c>
      <c r="M374" s="206">
        <f>SUMIFS(LANÇ_MOV[VALOR LÍQUIDO],LANÇ_MOV[RECEITA OU DESPESA],"Despesa",LANÇ_MOV[CONTAS],$C374,LANÇ_MOV[PLANO DE CONTAS],REL_DRE_FINANCEIRO!$B$343,LANÇ_MOV[ANO PAGAMENTO],$B$4,LANÇ_MOV[MÊS PAGAMENTO CORRESPONDENTE],M$6,LANÇ_MOV[EMPRESA],$C$4,LANÇ_MOV[CENTRO DE CUSTOS],$D$4)</f>
        <v>0</v>
      </c>
      <c r="N374" s="206">
        <f>SUMIFS(LANÇ_MOV[VALOR LÍQUIDO],LANÇ_MOV[RECEITA OU DESPESA],"Despesa",LANÇ_MOV[CONTAS],$C374,LANÇ_MOV[PLANO DE CONTAS],REL_DRE_FINANCEIRO!$B$343,LANÇ_MOV[ANO PAGAMENTO],$B$4,LANÇ_MOV[MÊS PAGAMENTO CORRESPONDENTE],N$6,LANÇ_MOV[EMPRESA],$C$4,LANÇ_MOV[CENTRO DE CUSTOS],$D$4)</f>
        <v>0</v>
      </c>
      <c r="O374" s="206">
        <f>SUMIFS(LANÇ_MOV[VALOR LÍQUIDO],LANÇ_MOV[RECEITA OU DESPESA],"Despesa",LANÇ_MOV[CONTAS],$C374,LANÇ_MOV[PLANO DE CONTAS],REL_DRE_FINANCEIRO!$B$343,LANÇ_MOV[ANO PAGAMENTO],$B$4,LANÇ_MOV[MÊS PAGAMENTO CORRESPONDENTE],O$6,LANÇ_MOV[EMPRESA],$C$4,LANÇ_MOV[CENTRO DE CUSTOS],$D$4)</f>
        <v>0</v>
      </c>
      <c r="P374" s="207">
        <f t="shared" si="54"/>
        <v>0</v>
      </c>
      <c r="Q374" s="329">
        <v>6.9999999999999999E-6</v>
      </c>
      <c r="R374" s="346">
        <f t="shared" si="55"/>
        <v>6.9999999999999999E-6</v>
      </c>
      <c r="S374" s="347" t="str">
        <f t="shared" si="56"/>
        <v>-</v>
      </c>
      <c r="T374" s="347">
        <f t="shared" si="57"/>
        <v>0</v>
      </c>
      <c r="U374" s="347">
        <f>HLOOKUP(Apoio!$P$12,$D$342:$P$443,X374,FALSE)+Q374</f>
        <v>6.9999999999999999E-6</v>
      </c>
      <c r="V374" s="447" t="str">
        <f t="shared" si="58"/>
        <v>-</v>
      </c>
      <c r="W374" s="448">
        <f>HLOOKUP(Apoio!$P$12,$D$342:$P$443,X374,FALSE)</f>
        <v>0</v>
      </c>
      <c r="X374" s="329">
        <v>33</v>
      </c>
    </row>
    <row r="375" spans="2:24" ht="30.05" customHeight="1" x14ac:dyDescent="0.35">
      <c r="B375" s="204" t="str">
        <f>'CAD_PL_REC-DESP'!Q36</f>
        <v>2.3.32</v>
      </c>
      <c r="C375" s="205" t="str">
        <f>IF('CAD_PL_REC-DESP'!R36="","-",'CAD_PL_REC-DESP'!R36)</f>
        <v>-</v>
      </c>
      <c r="D375" s="206">
        <f>SUMIFS(LANÇ_MOV[VALOR LÍQUIDO],LANÇ_MOV[RECEITA OU DESPESA],"Despesa",LANÇ_MOV[CONTAS],$C375,LANÇ_MOV[PLANO DE CONTAS],REL_DRE_FINANCEIRO!$B$343,LANÇ_MOV[ANO PAGAMENTO],$B$4,LANÇ_MOV[MÊS PAGAMENTO CORRESPONDENTE],D$6,LANÇ_MOV[EMPRESA],$C$4,LANÇ_MOV[CENTRO DE CUSTOS],$D$4)</f>
        <v>0</v>
      </c>
      <c r="E375" s="206">
        <f>SUMIFS(LANÇ_MOV[VALOR LÍQUIDO],LANÇ_MOV[RECEITA OU DESPESA],"Despesa",LANÇ_MOV[CONTAS],$C375,LANÇ_MOV[PLANO DE CONTAS],REL_DRE_FINANCEIRO!$B$343,LANÇ_MOV[ANO PAGAMENTO],$B$4,LANÇ_MOV[MÊS PAGAMENTO CORRESPONDENTE],E$6,LANÇ_MOV[EMPRESA],$C$4,LANÇ_MOV[CENTRO DE CUSTOS],$D$4)</f>
        <v>0</v>
      </c>
      <c r="F375" s="206">
        <f>SUMIFS(LANÇ_MOV[VALOR LÍQUIDO],LANÇ_MOV[RECEITA OU DESPESA],"Despesa",LANÇ_MOV[CONTAS],$C375,LANÇ_MOV[PLANO DE CONTAS],REL_DRE_FINANCEIRO!$B$343,LANÇ_MOV[ANO PAGAMENTO],$B$4,LANÇ_MOV[MÊS PAGAMENTO CORRESPONDENTE],F$6,LANÇ_MOV[EMPRESA],$C$4,LANÇ_MOV[CENTRO DE CUSTOS],$D$4)</f>
        <v>0</v>
      </c>
      <c r="G375" s="206">
        <f>SUMIFS(LANÇ_MOV[VALOR LÍQUIDO],LANÇ_MOV[RECEITA OU DESPESA],"Despesa",LANÇ_MOV[CONTAS],$C375,LANÇ_MOV[PLANO DE CONTAS],REL_DRE_FINANCEIRO!$B$343,LANÇ_MOV[ANO PAGAMENTO],$B$4,LANÇ_MOV[MÊS PAGAMENTO CORRESPONDENTE],G$6,LANÇ_MOV[EMPRESA],$C$4,LANÇ_MOV[CENTRO DE CUSTOS],$D$4)</f>
        <v>0</v>
      </c>
      <c r="H375" s="206">
        <f>SUMIFS(LANÇ_MOV[VALOR LÍQUIDO],LANÇ_MOV[RECEITA OU DESPESA],"Despesa",LANÇ_MOV[CONTAS],$C375,LANÇ_MOV[PLANO DE CONTAS],REL_DRE_FINANCEIRO!$B$343,LANÇ_MOV[ANO PAGAMENTO],$B$4,LANÇ_MOV[MÊS PAGAMENTO CORRESPONDENTE],H$6,LANÇ_MOV[EMPRESA],$C$4,LANÇ_MOV[CENTRO DE CUSTOS],$D$4)</f>
        <v>0</v>
      </c>
      <c r="I375" s="206">
        <f>SUMIFS(LANÇ_MOV[VALOR LÍQUIDO],LANÇ_MOV[RECEITA OU DESPESA],"Despesa",LANÇ_MOV[CONTAS],$C375,LANÇ_MOV[PLANO DE CONTAS],REL_DRE_FINANCEIRO!$B$343,LANÇ_MOV[ANO PAGAMENTO],$B$4,LANÇ_MOV[MÊS PAGAMENTO CORRESPONDENTE],I$6,LANÇ_MOV[EMPRESA],$C$4,LANÇ_MOV[CENTRO DE CUSTOS],$D$4)</f>
        <v>0</v>
      </c>
      <c r="J375" s="206">
        <f>SUMIFS(LANÇ_MOV[VALOR LÍQUIDO],LANÇ_MOV[RECEITA OU DESPESA],"Despesa",LANÇ_MOV[CONTAS],$C375,LANÇ_MOV[PLANO DE CONTAS],REL_DRE_FINANCEIRO!$B$343,LANÇ_MOV[ANO PAGAMENTO],$B$4,LANÇ_MOV[MÊS PAGAMENTO CORRESPONDENTE],J$6,LANÇ_MOV[EMPRESA],$C$4,LANÇ_MOV[CENTRO DE CUSTOS],$D$4)</f>
        <v>0</v>
      </c>
      <c r="K375" s="206">
        <f>SUMIFS(LANÇ_MOV[VALOR LÍQUIDO],LANÇ_MOV[RECEITA OU DESPESA],"Despesa",LANÇ_MOV[CONTAS],$C375,LANÇ_MOV[PLANO DE CONTAS],REL_DRE_FINANCEIRO!$B$343,LANÇ_MOV[ANO PAGAMENTO],$B$4,LANÇ_MOV[MÊS PAGAMENTO CORRESPONDENTE],K$6,LANÇ_MOV[EMPRESA],$C$4,LANÇ_MOV[CENTRO DE CUSTOS],$D$4)</f>
        <v>0</v>
      </c>
      <c r="L375" s="206">
        <f>SUMIFS(LANÇ_MOV[VALOR LÍQUIDO],LANÇ_MOV[RECEITA OU DESPESA],"Despesa",LANÇ_MOV[CONTAS],$C375,LANÇ_MOV[PLANO DE CONTAS],REL_DRE_FINANCEIRO!$B$343,LANÇ_MOV[ANO PAGAMENTO],$B$4,LANÇ_MOV[MÊS PAGAMENTO CORRESPONDENTE],L$6,LANÇ_MOV[EMPRESA],$C$4,LANÇ_MOV[CENTRO DE CUSTOS],$D$4)</f>
        <v>0</v>
      </c>
      <c r="M375" s="206">
        <f>SUMIFS(LANÇ_MOV[VALOR LÍQUIDO],LANÇ_MOV[RECEITA OU DESPESA],"Despesa",LANÇ_MOV[CONTAS],$C375,LANÇ_MOV[PLANO DE CONTAS],REL_DRE_FINANCEIRO!$B$343,LANÇ_MOV[ANO PAGAMENTO],$B$4,LANÇ_MOV[MÊS PAGAMENTO CORRESPONDENTE],M$6,LANÇ_MOV[EMPRESA],$C$4,LANÇ_MOV[CENTRO DE CUSTOS],$D$4)</f>
        <v>0</v>
      </c>
      <c r="N375" s="206">
        <f>SUMIFS(LANÇ_MOV[VALOR LÍQUIDO],LANÇ_MOV[RECEITA OU DESPESA],"Despesa",LANÇ_MOV[CONTAS],$C375,LANÇ_MOV[PLANO DE CONTAS],REL_DRE_FINANCEIRO!$B$343,LANÇ_MOV[ANO PAGAMENTO],$B$4,LANÇ_MOV[MÊS PAGAMENTO CORRESPONDENTE],N$6,LANÇ_MOV[EMPRESA],$C$4,LANÇ_MOV[CENTRO DE CUSTOS],$D$4)</f>
        <v>0</v>
      </c>
      <c r="O375" s="206">
        <f>SUMIFS(LANÇ_MOV[VALOR LÍQUIDO],LANÇ_MOV[RECEITA OU DESPESA],"Despesa",LANÇ_MOV[CONTAS],$C375,LANÇ_MOV[PLANO DE CONTAS],REL_DRE_FINANCEIRO!$B$343,LANÇ_MOV[ANO PAGAMENTO],$B$4,LANÇ_MOV[MÊS PAGAMENTO CORRESPONDENTE],O$6,LANÇ_MOV[EMPRESA],$C$4,LANÇ_MOV[CENTRO DE CUSTOS],$D$4)</f>
        <v>0</v>
      </c>
      <c r="P375" s="207">
        <f t="shared" si="54"/>
        <v>0</v>
      </c>
      <c r="Q375" s="329">
        <v>6.9E-6</v>
      </c>
      <c r="R375" s="346">
        <f t="shared" si="55"/>
        <v>6.9E-6</v>
      </c>
      <c r="S375" s="347" t="str">
        <f t="shared" si="56"/>
        <v>-</v>
      </c>
      <c r="T375" s="347">
        <f t="shared" si="57"/>
        <v>0</v>
      </c>
      <c r="U375" s="347">
        <f>HLOOKUP(Apoio!$P$12,$D$342:$P$443,X375,FALSE)+Q375</f>
        <v>6.9E-6</v>
      </c>
      <c r="V375" s="447" t="str">
        <f t="shared" si="58"/>
        <v>-</v>
      </c>
      <c r="W375" s="448">
        <f>HLOOKUP(Apoio!$P$12,$D$342:$P$443,X375,FALSE)</f>
        <v>0</v>
      </c>
      <c r="X375" s="329">
        <v>34</v>
      </c>
    </row>
    <row r="376" spans="2:24" ht="30.05" customHeight="1" x14ac:dyDescent="0.35">
      <c r="B376" s="204" t="str">
        <f>'CAD_PL_REC-DESP'!Q37</f>
        <v>2.3.33</v>
      </c>
      <c r="C376" s="205" t="str">
        <f>IF('CAD_PL_REC-DESP'!R37="","-",'CAD_PL_REC-DESP'!R37)</f>
        <v>-</v>
      </c>
      <c r="D376" s="206">
        <f>SUMIFS(LANÇ_MOV[VALOR LÍQUIDO],LANÇ_MOV[RECEITA OU DESPESA],"Despesa",LANÇ_MOV[CONTAS],$C376,LANÇ_MOV[PLANO DE CONTAS],REL_DRE_FINANCEIRO!$B$343,LANÇ_MOV[ANO PAGAMENTO],$B$4,LANÇ_MOV[MÊS PAGAMENTO CORRESPONDENTE],D$6,LANÇ_MOV[EMPRESA],$C$4,LANÇ_MOV[CENTRO DE CUSTOS],$D$4)</f>
        <v>0</v>
      </c>
      <c r="E376" s="206">
        <f>SUMIFS(LANÇ_MOV[VALOR LÍQUIDO],LANÇ_MOV[RECEITA OU DESPESA],"Despesa",LANÇ_MOV[CONTAS],$C376,LANÇ_MOV[PLANO DE CONTAS],REL_DRE_FINANCEIRO!$B$343,LANÇ_MOV[ANO PAGAMENTO],$B$4,LANÇ_MOV[MÊS PAGAMENTO CORRESPONDENTE],E$6,LANÇ_MOV[EMPRESA],$C$4,LANÇ_MOV[CENTRO DE CUSTOS],$D$4)</f>
        <v>0</v>
      </c>
      <c r="F376" s="206">
        <f>SUMIFS(LANÇ_MOV[VALOR LÍQUIDO],LANÇ_MOV[RECEITA OU DESPESA],"Despesa",LANÇ_MOV[CONTAS],$C376,LANÇ_MOV[PLANO DE CONTAS],REL_DRE_FINANCEIRO!$B$343,LANÇ_MOV[ANO PAGAMENTO],$B$4,LANÇ_MOV[MÊS PAGAMENTO CORRESPONDENTE],F$6,LANÇ_MOV[EMPRESA],$C$4,LANÇ_MOV[CENTRO DE CUSTOS],$D$4)</f>
        <v>0</v>
      </c>
      <c r="G376" s="206">
        <f>SUMIFS(LANÇ_MOV[VALOR LÍQUIDO],LANÇ_MOV[RECEITA OU DESPESA],"Despesa",LANÇ_MOV[CONTAS],$C376,LANÇ_MOV[PLANO DE CONTAS],REL_DRE_FINANCEIRO!$B$343,LANÇ_MOV[ANO PAGAMENTO],$B$4,LANÇ_MOV[MÊS PAGAMENTO CORRESPONDENTE],G$6,LANÇ_MOV[EMPRESA],$C$4,LANÇ_MOV[CENTRO DE CUSTOS],$D$4)</f>
        <v>0</v>
      </c>
      <c r="H376" s="206">
        <f>SUMIFS(LANÇ_MOV[VALOR LÍQUIDO],LANÇ_MOV[RECEITA OU DESPESA],"Despesa",LANÇ_MOV[CONTAS],$C376,LANÇ_MOV[PLANO DE CONTAS],REL_DRE_FINANCEIRO!$B$343,LANÇ_MOV[ANO PAGAMENTO],$B$4,LANÇ_MOV[MÊS PAGAMENTO CORRESPONDENTE],H$6,LANÇ_MOV[EMPRESA],$C$4,LANÇ_MOV[CENTRO DE CUSTOS],$D$4)</f>
        <v>0</v>
      </c>
      <c r="I376" s="206">
        <f>SUMIFS(LANÇ_MOV[VALOR LÍQUIDO],LANÇ_MOV[RECEITA OU DESPESA],"Despesa",LANÇ_MOV[CONTAS],$C376,LANÇ_MOV[PLANO DE CONTAS],REL_DRE_FINANCEIRO!$B$343,LANÇ_MOV[ANO PAGAMENTO],$B$4,LANÇ_MOV[MÊS PAGAMENTO CORRESPONDENTE],I$6,LANÇ_MOV[EMPRESA],$C$4,LANÇ_MOV[CENTRO DE CUSTOS],$D$4)</f>
        <v>0</v>
      </c>
      <c r="J376" s="206">
        <f>SUMIFS(LANÇ_MOV[VALOR LÍQUIDO],LANÇ_MOV[RECEITA OU DESPESA],"Despesa",LANÇ_MOV[CONTAS],$C376,LANÇ_MOV[PLANO DE CONTAS],REL_DRE_FINANCEIRO!$B$343,LANÇ_MOV[ANO PAGAMENTO],$B$4,LANÇ_MOV[MÊS PAGAMENTO CORRESPONDENTE],J$6,LANÇ_MOV[EMPRESA],$C$4,LANÇ_MOV[CENTRO DE CUSTOS],$D$4)</f>
        <v>0</v>
      </c>
      <c r="K376" s="206">
        <f>SUMIFS(LANÇ_MOV[VALOR LÍQUIDO],LANÇ_MOV[RECEITA OU DESPESA],"Despesa",LANÇ_MOV[CONTAS],$C376,LANÇ_MOV[PLANO DE CONTAS],REL_DRE_FINANCEIRO!$B$343,LANÇ_MOV[ANO PAGAMENTO],$B$4,LANÇ_MOV[MÊS PAGAMENTO CORRESPONDENTE],K$6,LANÇ_MOV[EMPRESA],$C$4,LANÇ_MOV[CENTRO DE CUSTOS],$D$4)</f>
        <v>0</v>
      </c>
      <c r="L376" s="206">
        <f>SUMIFS(LANÇ_MOV[VALOR LÍQUIDO],LANÇ_MOV[RECEITA OU DESPESA],"Despesa",LANÇ_MOV[CONTAS],$C376,LANÇ_MOV[PLANO DE CONTAS],REL_DRE_FINANCEIRO!$B$343,LANÇ_MOV[ANO PAGAMENTO],$B$4,LANÇ_MOV[MÊS PAGAMENTO CORRESPONDENTE],L$6,LANÇ_MOV[EMPRESA],$C$4,LANÇ_MOV[CENTRO DE CUSTOS],$D$4)</f>
        <v>0</v>
      </c>
      <c r="M376" s="206">
        <f>SUMIFS(LANÇ_MOV[VALOR LÍQUIDO],LANÇ_MOV[RECEITA OU DESPESA],"Despesa",LANÇ_MOV[CONTAS],$C376,LANÇ_MOV[PLANO DE CONTAS],REL_DRE_FINANCEIRO!$B$343,LANÇ_MOV[ANO PAGAMENTO],$B$4,LANÇ_MOV[MÊS PAGAMENTO CORRESPONDENTE],M$6,LANÇ_MOV[EMPRESA],$C$4,LANÇ_MOV[CENTRO DE CUSTOS],$D$4)</f>
        <v>0</v>
      </c>
      <c r="N376" s="206">
        <f>SUMIFS(LANÇ_MOV[VALOR LÍQUIDO],LANÇ_MOV[RECEITA OU DESPESA],"Despesa",LANÇ_MOV[CONTAS],$C376,LANÇ_MOV[PLANO DE CONTAS],REL_DRE_FINANCEIRO!$B$343,LANÇ_MOV[ANO PAGAMENTO],$B$4,LANÇ_MOV[MÊS PAGAMENTO CORRESPONDENTE],N$6,LANÇ_MOV[EMPRESA],$C$4,LANÇ_MOV[CENTRO DE CUSTOS],$D$4)</f>
        <v>0</v>
      </c>
      <c r="O376" s="206">
        <f>SUMIFS(LANÇ_MOV[VALOR LÍQUIDO],LANÇ_MOV[RECEITA OU DESPESA],"Despesa",LANÇ_MOV[CONTAS],$C376,LANÇ_MOV[PLANO DE CONTAS],REL_DRE_FINANCEIRO!$B$343,LANÇ_MOV[ANO PAGAMENTO],$B$4,LANÇ_MOV[MÊS PAGAMENTO CORRESPONDENTE],O$6,LANÇ_MOV[EMPRESA],$C$4,LANÇ_MOV[CENTRO DE CUSTOS],$D$4)</f>
        <v>0</v>
      </c>
      <c r="P376" s="207">
        <f t="shared" si="54"/>
        <v>0</v>
      </c>
      <c r="Q376" s="329">
        <v>6.8000000000000001E-6</v>
      </c>
      <c r="R376" s="346">
        <f t="shared" si="55"/>
        <v>6.8000000000000001E-6</v>
      </c>
      <c r="S376" s="347" t="str">
        <f t="shared" si="56"/>
        <v>-</v>
      </c>
      <c r="T376" s="347">
        <f t="shared" si="57"/>
        <v>0</v>
      </c>
      <c r="U376" s="347">
        <f>HLOOKUP(Apoio!$P$12,$D$342:$P$443,X376,FALSE)+Q376</f>
        <v>6.8000000000000001E-6</v>
      </c>
      <c r="V376" s="447" t="str">
        <f t="shared" si="58"/>
        <v>-</v>
      </c>
      <c r="W376" s="448">
        <f>HLOOKUP(Apoio!$P$12,$D$342:$P$443,X376,FALSE)</f>
        <v>0</v>
      </c>
      <c r="X376" s="329">
        <v>35</v>
      </c>
    </row>
    <row r="377" spans="2:24" ht="30.05" customHeight="1" x14ac:dyDescent="0.35">
      <c r="B377" s="204" t="str">
        <f>'CAD_PL_REC-DESP'!Q38</f>
        <v>2.3.34</v>
      </c>
      <c r="C377" s="205" t="str">
        <f>IF('CAD_PL_REC-DESP'!R38="","-",'CAD_PL_REC-DESP'!R38)</f>
        <v>-</v>
      </c>
      <c r="D377" s="206">
        <f>SUMIFS(LANÇ_MOV[VALOR LÍQUIDO],LANÇ_MOV[RECEITA OU DESPESA],"Despesa",LANÇ_MOV[CONTAS],$C377,LANÇ_MOV[PLANO DE CONTAS],REL_DRE_FINANCEIRO!$B$343,LANÇ_MOV[ANO PAGAMENTO],$B$4,LANÇ_MOV[MÊS PAGAMENTO CORRESPONDENTE],D$6,LANÇ_MOV[EMPRESA],$C$4,LANÇ_MOV[CENTRO DE CUSTOS],$D$4)</f>
        <v>0</v>
      </c>
      <c r="E377" s="206">
        <f>SUMIFS(LANÇ_MOV[VALOR LÍQUIDO],LANÇ_MOV[RECEITA OU DESPESA],"Despesa",LANÇ_MOV[CONTAS],$C377,LANÇ_MOV[PLANO DE CONTAS],REL_DRE_FINANCEIRO!$B$343,LANÇ_MOV[ANO PAGAMENTO],$B$4,LANÇ_MOV[MÊS PAGAMENTO CORRESPONDENTE],E$6,LANÇ_MOV[EMPRESA],$C$4,LANÇ_MOV[CENTRO DE CUSTOS],$D$4)</f>
        <v>0</v>
      </c>
      <c r="F377" s="206">
        <f>SUMIFS(LANÇ_MOV[VALOR LÍQUIDO],LANÇ_MOV[RECEITA OU DESPESA],"Despesa",LANÇ_MOV[CONTAS],$C377,LANÇ_MOV[PLANO DE CONTAS],REL_DRE_FINANCEIRO!$B$343,LANÇ_MOV[ANO PAGAMENTO],$B$4,LANÇ_MOV[MÊS PAGAMENTO CORRESPONDENTE],F$6,LANÇ_MOV[EMPRESA],$C$4,LANÇ_MOV[CENTRO DE CUSTOS],$D$4)</f>
        <v>0</v>
      </c>
      <c r="G377" s="206">
        <f>SUMIFS(LANÇ_MOV[VALOR LÍQUIDO],LANÇ_MOV[RECEITA OU DESPESA],"Despesa",LANÇ_MOV[CONTAS],$C377,LANÇ_MOV[PLANO DE CONTAS],REL_DRE_FINANCEIRO!$B$343,LANÇ_MOV[ANO PAGAMENTO],$B$4,LANÇ_MOV[MÊS PAGAMENTO CORRESPONDENTE],G$6,LANÇ_MOV[EMPRESA],$C$4,LANÇ_MOV[CENTRO DE CUSTOS],$D$4)</f>
        <v>0</v>
      </c>
      <c r="H377" s="206">
        <f>SUMIFS(LANÇ_MOV[VALOR LÍQUIDO],LANÇ_MOV[RECEITA OU DESPESA],"Despesa",LANÇ_MOV[CONTAS],$C377,LANÇ_MOV[PLANO DE CONTAS],REL_DRE_FINANCEIRO!$B$343,LANÇ_MOV[ANO PAGAMENTO],$B$4,LANÇ_MOV[MÊS PAGAMENTO CORRESPONDENTE],H$6,LANÇ_MOV[EMPRESA],$C$4,LANÇ_MOV[CENTRO DE CUSTOS],$D$4)</f>
        <v>0</v>
      </c>
      <c r="I377" s="206">
        <f>SUMIFS(LANÇ_MOV[VALOR LÍQUIDO],LANÇ_MOV[RECEITA OU DESPESA],"Despesa",LANÇ_MOV[CONTAS],$C377,LANÇ_MOV[PLANO DE CONTAS],REL_DRE_FINANCEIRO!$B$343,LANÇ_MOV[ANO PAGAMENTO],$B$4,LANÇ_MOV[MÊS PAGAMENTO CORRESPONDENTE],I$6,LANÇ_MOV[EMPRESA],$C$4,LANÇ_MOV[CENTRO DE CUSTOS],$D$4)</f>
        <v>0</v>
      </c>
      <c r="J377" s="206">
        <f>SUMIFS(LANÇ_MOV[VALOR LÍQUIDO],LANÇ_MOV[RECEITA OU DESPESA],"Despesa",LANÇ_MOV[CONTAS],$C377,LANÇ_MOV[PLANO DE CONTAS],REL_DRE_FINANCEIRO!$B$343,LANÇ_MOV[ANO PAGAMENTO],$B$4,LANÇ_MOV[MÊS PAGAMENTO CORRESPONDENTE],J$6,LANÇ_MOV[EMPRESA],$C$4,LANÇ_MOV[CENTRO DE CUSTOS],$D$4)</f>
        <v>0</v>
      </c>
      <c r="K377" s="206">
        <f>SUMIFS(LANÇ_MOV[VALOR LÍQUIDO],LANÇ_MOV[RECEITA OU DESPESA],"Despesa",LANÇ_MOV[CONTAS],$C377,LANÇ_MOV[PLANO DE CONTAS],REL_DRE_FINANCEIRO!$B$343,LANÇ_MOV[ANO PAGAMENTO],$B$4,LANÇ_MOV[MÊS PAGAMENTO CORRESPONDENTE],K$6,LANÇ_MOV[EMPRESA],$C$4,LANÇ_MOV[CENTRO DE CUSTOS],$D$4)</f>
        <v>0</v>
      </c>
      <c r="L377" s="206">
        <f>SUMIFS(LANÇ_MOV[VALOR LÍQUIDO],LANÇ_MOV[RECEITA OU DESPESA],"Despesa",LANÇ_MOV[CONTAS],$C377,LANÇ_MOV[PLANO DE CONTAS],REL_DRE_FINANCEIRO!$B$343,LANÇ_MOV[ANO PAGAMENTO],$B$4,LANÇ_MOV[MÊS PAGAMENTO CORRESPONDENTE],L$6,LANÇ_MOV[EMPRESA],$C$4,LANÇ_MOV[CENTRO DE CUSTOS],$D$4)</f>
        <v>0</v>
      </c>
      <c r="M377" s="206">
        <f>SUMIFS(LANÇ_MOV[VALOR LÍQUIDO],LANÇ_MOV[RECEITA OU DESPESA],"Despesa",LANÇ_MOV[CONTAS],$C377,LANÇ_MOV[PLANO DE CONTAS],REL_DRE_FINANCEIRO!$B$343,LANÇ_MOV[ANO PAGAMENTO],$B$4,LANÇ_MOV[MÊS PAGAMENTO CORRESPONDENTE],M$6,LANÇ_MOV[EMPRESA],$C$4,LANÇ_MOV[CENTRO DE CUSTOS],$D$4)</f>
        <v>0</v>
      </c>
      <c r="N377" s="206">
        <f>SUMIFS(LANÇ_MOV[VALOR LÍQUIDO],LANÇ_MOV[RECEITA OU DESPESA],"Despesa",LANÇ_MOV[CONTAS],$C377,LANÇ_MOV[PLANO DE CONTAS],REL_DRE_FINANCEIRO!$B$343,LANÇ_MOV[ANO PAGAMENTO],$B$4,LANÇ_MOV[MÊS PAGAMENTO CORRESPONDENTE],N$6,LANÇ_MOV[EMPRESA],$C$4,LANÇ_MOV[CENTRO DE CUSTOS],$D$4)</f>
        <v>0</v>
      </c>
      <c r="O377" s="206">
        <f>SUMIFS(LANÇ_MOV[VALOR LÍQUIDO],LANÇ_MOV[RECEITA OU DESPESA],"Despesa",LANÇ_MOV[CONTAS],$C377,LANÇ_MOV[PLANO DE CONTAS],REL_DRE_FINANCEIRO!$B$343,LANÇ_MOV[ANO PAGAMENTO],$B$4,LANÇ_MOV[MÊS PAGAMENTO CORRESPONDENTE],O$6,LANÇ_MOV[EMPRESA],$C$4,LANÇ_MOV[CENTRO DE CUSTOS],$D$4)</f>
        <v>0</v>
      </c>
      <c r="P377" s="207">
        <f t="shared" si="54"/>
        <v>0</v>
      </c>
      <c r="Q377" s="329">
        <v>6.7000000000000002E-6</v>
      </c>
      <c r="R377" s="346">
        <f t="shared" si="55"/>
        <v>6.7000000000000002E-6</v>
      </c>
      <c r="S377" s="347" t="str">
        <f t="shared" si="56"/>
        <v>-</v>
      </c>
      <c r="T377" s="347">
        <f t="shared" si="57"/>
        <v>0</v>
      </c>
      <c r="U377" s="347">
        <f>HLOOKUP(Apoio!$P$12,$D$342:$P$443,X377,FALSE)+Q377</f>
        <v>6.7000000000000002E-6</v>
      </c>
      <c r="V377" s="447" t="str">
        <f t="shared" si="58"/>
        <v>-</v>
      </c>
      <c r="W377" s="448">
        <f>HLOOKUP(Apoio!$P$12,$D$342:$P$443,X377,FALSE)</f>
        <v>0</v>
      </c>
      <c r="X377" s="329">
        <v>36</v>
      </c>
    </row>
    <row r="378" spans="2:24" ht="30.05" customHeight="1" x14ac:dyDescent="0.35">
      <c r="B378" s="204" t="str">
        <f>'CAD_PL_REC-DESP'!Q39</f>
        <v>2.3.35</v>
      </c>
      <c r="C378" s="205" t="str">
        <f>IF('CAD_PL_REC-DESP'!R39="","-",'CAD_PL_REC-DESP'!R39)</f>
        <v>-</v>
      </c>
      <c r="D378" s="206">
        <f>SUMIFS(LANÇ_MOV[VALOR LÍQUIDO],LANÇ_MOV[RECEITA OU DESPESA],"Despesa",LANÇ_MOV[CONTAS],$C378,LANÇ_MOV[PLANO DE CONTAS],REL_DRE_FINANCEIRO!$B$343,LANÇ_MOV[ANO PAGAMENTO],$B$4,LANÇ_MOV[MÊS PAGAMENTO CORRESPONDENTE],D$6,LANÇ_MOV[EMPRESA],$C$4,LANÇ_MOV[CENTRO DE CUSTOS],$D$4)</f>
        <v>0</v>
      </c>
      <c r="E378" s="206">
        <f>SUMIFS(LANÇ_MOV[VALOR LÍQUIDO],LANÇ_MOV[RECEITA OU DESPESA],"Despesa",LANÇ_MOV[CONTAS],$C378,LANÇ_MOV[PLANO DE CONTAS],REL_DRE_FINANCEIRO!$B$343,LANÇ_MOV[ANO PAGAMENTO],$B$4,LANÇ_MOV[MÊS PAGAMENTO CORRESPONDENTE],E$6,LANÇ_MOV[EMPRESA],$C$4,LANÇ_MOV[CENTRO DE CUSTOS],$D$4)</f>
        <v>0</v>
      </c>
      <c r="F378" s="206">
        <f>SUMIFS(LANÇ_MOV[VALOR LÍQUIDO],LANÇ_MOV[RECEITA OU DESPESA],"Despesa",LANÇ_MOV[CONTAS],$C378,LANÇ_MOV[PLANO DE CONTAS],REL_DRE_FINANCEIRO!$B$343,LANÇ_MOV[ANO PAGAMENTO],$B$4,LANÇ_MOV[MÊS PAGAMENTO CORRESPONDENTE],F$6,LANÇ_MOV[EMPRESA],$C$4,LANÇ_MOV[CENTRO DE CUSTOS],$D$4)</f>
        <v>0</v>
      </c>
      <c r="G378" s="206">
        <f>SUMIFS(LANÇ_MOV[VALOR LÍQUIDO],LANÇ_MOV[RECEITA OU DESPESA],"Despesa",LANÇ_MOV[CONTAS],$C378,LANÇ_MOV[PLANO DE CONTAS],REL_DRE_FINANCEIRO!$B$343,LANÇ_MOV[ANO PAGAMENTO],$B$4,LANÇ_MOV[MÊS PAGAMENTO CORRESPONDENTE],G$6,LANÇ_MOV[EMPRESA],$C$4,LANÇ_MOV[CENTRO DE CUSTOS],$D$4)</f>
        <v>0</v>
      </c>
      <c r="H378" s="206">
        <f>SUMIFS(LANÇ_MOV[VALOR LÍQUIDO],LANÇ_MOV[RECEITA OU DESPESA],"Despesa",LANÇ_MOV[CONTAS],$C378,LANÇ_MOV[PLANO DE CONTAS],REL_DRE_FINANCEIRO!$B$343,LANÇ_MOV[ANO PAGAMENTO],$B$4,LANÇ_MOV[MÊS PAGAMENTO CORRESPONDENTE],H$6,LANÇ_MOV[EMPRESA],$C$4,LANÇ_MOV[CENTRO DE CUSTOS],$D$4)</f>
        <v>0</v>
      </c>
      <c r="I378" s="206">
        <f>SUMIFS(LANÇ_MOV[VALOR LÍQUIDO],LANÇ_MOV[RECEITA OU DESPESA],"Despesa",LANÇ_MOV[CONTAS],$C378,LANÇ_MOV[PLANO DE CONTAS],REL_DRE_FINANCEIRO!$B$343,LANÇ_MOV[ANO PAGAMENTO],$B$4,LANÇ_MOV[MÊS PAGAMENTO CORRESPONDENTE],I$6,LANÇ_MOV[EMPRESA],$C$4,LANÇ_MOV[CENTRO DE CUSTOS],$D$4)</f>
        <v>0</v>
      </c>
      <c r="J378" s="206">
        <f>SUMIFS(LANÇ_MOV[VALOR LÍQUIDO],LANÇ_MOV[RECEITA OU DESPESA],"Despesa",LANÇ_MOV[CONTAS],$C378,LANÇ_MOV[PLANO DE CONTAS],REL_DRE_FINANCEIRO!$B$343,LANÇ_MOV[ANO PAGAMENTO],$B$4,LANÇ_MOV[MÊS PAGAMENTO CORRESPONDENTE],J$6,LANÇ_MOV[EMPRESA],$C$4,LANÇ_MOV[CENTRO DE CUSTOS],$D$4)</f>
        <v>0</v>
      </c>
      <c r="K378" s="206">
        <f>SUMIFS(LANÇ_MOV[VALOR LÍQUIDO],LANÇ_MOV[RECEITA OU DESPESA],"Despesa",LANÇ_MOV[CONTAS],$C378,LANÇ_MOV[PLANO DE CONTAS],REL_DRE_FINANCEIRO!$B$343,LANÇ_MOV[ANO PAGAMENTO],$B$4,LANÇ_MOV[MÊS PAGAMENTO CORRESPONDENTE],K$6,LANÇ_MOV[EMPRESA],$C$4,LANÇ_MOV[CENTRO DE CUSTOS],$D$4)</f>
        <v>0</v>
      </c>
      <c r="L378" s="206">
        <f>SUMIFS(LANÇ_MOV[VALOR LÍQUIDO],LANÇ_MOV[RECEITA OU DESPESA],"Despesa",LANÇ_MOV[CONTAS],$C378,LANÇ_MOV[PLANO DE CONTAS],REL_DRE_FINANCEIRO!$B$343,LANÇ_MOV[ANO PAGAMENTO],$B$4,LANÇ_MOV[MÊS PAGAMENTO CORRESPONDENTE],L$6,LANÇ_MOV[EMPRESA],$C$4,LANÇ_MOV[CENTRO DE CUSTOS],$D$4)</f>
        <v>0</v>
      </c>
      <c r="M378" s="206">
        <f>SUMIFS(LANÇ_MOV[VALOR LÍQUIDO],LANÇ_MOV[RECEITA OU DESPESA],"Despesa",LANÇ_MOV[CONTAS],$C378,LANÇ_MOV[PLANO DE CONTAS],REL_DRE_FINANCEIRO!$B$343,LANÇ_MOV[ANO PAGAMENTO],$B$4,LANÇ_MOV[MÊS PAGAMENTO CORRESPONDENTE],M$6,LANÇ_MOV[EMPRESA],$C$4,LANÇ_MOV[CENTRO DE CUSTOS],$D$4)</f>
        <v>0</v>
      </c>
      <c r="N378" s="206">
        <f>SUMIFS(LANÇ_MOV[VALOR LÍQUIDO],LANÇ_MOV[RECEITA OU DESPESA],"Despesa",LANÇ_MOV[CONTAS],$C378,LANÇ_MOV[PLANO DE CONTAS],REL_DRE_FINANCEIRO!$B$343,LANÇ_MOV[ANO PAGAMENTO],$B$4,LANÇ_MOV[MÊS PAGAMENTO CORRESPONDENTE],N$6,LANÇ_MOV[EMPRESA],$C$4,LANÇ_MOV[CENTRO DE CUSTOS],$D$4)</f>
        <v>0</v>
      </c>
      <c r="O378" s="206">
        <f>SUMIFS(LANÇ_MOV[VALOR LÍQUIDO],LANÇ_MOV[RECEITA OU DESPESA],"Despesa",LANÇ_MOV[CONTAS],$C378,LANÇ_MOV[PLANO DE CONTAS],REL_DRE_FINANCEIRO!$B$343,LANÇ_MOV[ANO PAGAMENTO],$B$4,LANÇ_MOV[MÊS PAGAMENTO CORRESPONDENTE],O$6,LANÇ_MOV[EMPRESA],$C$4,LANÇ_MOV[CENTRO DE CUSTOS],$D$4)</f>
        <v>0</v>
      </c>
      <c r="P378" s="207">
        <f t="shared" si="54"/>
        <v>0</v>
      </c>
      <c r="Q378" s="329">
        <v>6.6000000000000003E-6</v>
      </c>
      <c r="R378" s="346">
        <f t="shared" si="55"/>
        <v>6.6000000000000003E-6</v>
      </c>
      <c r="S378" s="347" t="str">
        <f t="shared" si="56"/>
        <v>-</v>
      </c>
      <c r="T378" s="347">
        <f t="shared" si="57"/>
        <v>0</v>
      </c>
      <c r="U378" s="347">
        <f>HLOOKUP(Apoio!$P$12,$D$342:$P$443,X378,FALSE)+Q378</f>
        <v>6.6000000000000003E-6</v>
      </c>
      <c r="V378" s="447" t="str">
        <f t="shared" si="58"/>
        <v>-</v>
      </c>
      <c r="W378" s="448">
        <f>HLOOKUP(Apoio!$P$12,$D$342:$P$443,X378,FALSE)</f>
        <v>0</v>
      </c>
      <c r="X378" s="329">
        <v>37</v>
      </c>
    </row>
    <row r="379" spans="2:24" ht="30.05" customHeight="1" x14ac:dyDescent="0.35">
      <c r="B379" s="204" t="str">
        <f>'CAD_PL_REC-DESP'!Q40</f>
        <v>2.3.36</v>
      </c>
      <c r="C379" s="205" t="str">
        <f>IF('CAD_PL_REC-DESP'!R40="","-",'CAD_PL_REC-DESP'!R40)</f>
        <v>-</v>
      </c>
      <c r="D379" s="206">
        <f>SUMIFS(LANÇ_MOV[VALOR LÍQUIDO],LANÇ_MOV[RECEITA OU DESPESA],"Despesa",LANÇ_MOV[CONTAS],$C379,LANÇ_MOV[PLANO DE CONTAS],REL_DRE_FINANCEIRO!$B$343,LANÇ_MOV[ANO PAGAMENTO],$B$4,LANÇ_MOV[MÊS PAGAMENTO CORRESPONDENTE],D$6,LANÇ_MOV[EMPRESA],$C$4,LANÇ_MOV[CENTRO DE CUSTOS],$D$4)</f>
        <v>0</v>
      </c>
      <c r="E379" s="206">
        <f>SUMIFS(LANÇ_MOV[VALOR LÍQUIDO],LANÇ_MOV[RECEITA OU DESPESA],"Despesa",LANÇ_MOV[CONTAS],$C379,LANÇ_MOV[PLANO DE CONTAS],REL_DRE_FINANCEIRO!$B$343,LANÇ_MOV[ANO PAGAMENTO],$B$4,LANÇ_MOV[MÊS PAGAMENTO CORRESPONDENTE],E$6,LANÇ_MOV[EMPRESA],$C$4,LANÇ_MOV[CENTRO DE CUSTOS],$D$4)</f>
        <v>0</v>
      </c>
      <c r="F379" s="206">
        <f>SUMIFS(LANÇ_MOV[VALOR LÍQUIDO],LANÇ_MOV[RECEITA OU DESPESA],"Despesa",LANÇ_MOV[CONTAS],$C379,LANÇ_MOV[PLANO DE CONTAS],REL_DRE_FINANCEIRO!$B$343,LANÇ_MOV[ANO PAGAMENTO],$B$4,LANÇ_MOV[MÊS PAGAMENTO CORRESPONDENTE],F$6,LANÇ_MOV[EMPRESA],$C$4,LANÇ_MOV[CENTRO DE CUSTOS],$D$4)</f>
        <v>0</v>
      </c>
      <c r="G379" s="206">
        <f>SUMIFS(LANÇ_MOV[VALOR LÍQUIDO],LANÇ_MOV[RECEITA OU DESPESA],"Despesa",LANÇ_MOV[CONTAS],$C379,LANÇ_MOV[PLANO DE CONTAS],REL_DRE_FINANCEIRO!$B$343,LANÇ_MOV[ANO PAGAMENTO],$B$4,LANÇ_MOV[MÊS PAGAMENTO CORRESPONDENTE],G$6,LANÇ_MOV[EMPRESA],$C$4,LANÇ_MOV[CENTRO DE CUSTOS],$D$4)</f>
        <v>0</v>
      </c>
      <c r="H379" s="206">
        <f>SUMIFS(LANÇ_MOV[VALOR LÍQUIDO],LANÇ_MOV[RECEITA OU DESPESA],"Despesa",LANÇ_MOV[CONTAS],$C379,LANÇ_MOV[PLANO DE CONTAS],REL_DRE_FINANCEIRO!$B$343,LANÇ_MOV[ANO PAGAMENTO],$B$4,LANÇ_MOV[MÊS PAGAMENTO CORRESPONDENTE],H$6,LANÇ_MOV[EMPRESA],$C$4,LANÇ_MOV[CENTRO DE CUSTOS],$D$4)</f>
        <v>0</v>
      </c>
      <c r="I379" s="206">
        <f>SUMIFS(LANÇ_MOV[VALOR LÍQUIDO],LANÇ_MOV[RECEITA OU DESPESA],"Despesa",LANÇ_MOV[CONTAS],$C379,LANÇ_MOV[PLANO DE CONTAS],REL_DRE_FINANCEIRO!$B$343,LANÇ_MOV[ANO PAGAMENTO],$B$4,LANÇ_MOV[MÊS PAGAMENTO CORRESPONDENTE],I$6,LANÇ_MOV[EMPRESA],$C$4,LANÇ_MOV[CENTRO DE CUSTOS],$D$4)</f>
        <v>0</v>
      </c>
      <c r="J379" s="206">
        <f>SUMIFS(LANÇ_MOV[VALOR LÍQUIDO],LANÇ_MOV[RECEITA OU DESPESA],"Despesa",LANÇ_MOV[CONTAS],$C379,LANÇ_MOV[PLANO DE CONTAS],REL_DRE_FINANCEIRO!$B$343,LANÇ_MOV[ANO PAGAMENTO],$B$4,LANÇ_MOV[MÊS PAGAMENTO CORRESPONDENTE],J$6,LANÇ_MOV[EMPRESA],$C$4,LANÇ_MOV[CENTRO DE CUSTOS],$D$4)</f>
        <v>0</v>
      </c>
      <c r="K379" s="206">
        <f>SUMIFS(LANÇ_MOV[VALOR LÍQUIDO],LANÇ_MOV[RECEITA OU DESPESA],"Despesa",LANÇ_MOV[CONTAS],$C379,LANÇ_MOV[PLANO DE CONTAS],REL_DRE_FINANCEIRO!$B$343,LANÇ_MOV[ANO PAGAMENTO],$B$4,LANÇ_MOV[MÊS PAGAMENTO CORRESPONDENTE],K$6,LANÇ_MOV[EMPRESA],$C$4,LANÇ_MOV[CENTRO DE CUSTOS],$D$4)</f>
        <v>0</v>
      </c>
      <c r="L379" s="206">
        <f>SUMIFS(LANÇ_MOV[VALOR LÍQUIDO],LANÇ_MOV[RECEITA OU DESPESA],"Despesa",LANÇ_MOV[CONTAS],$C379,LANÇ_MOV[PLANO DE CONTAS],REL_DRE_FINANCEIRO!$B$343,LANÇ_MOV[ANO PAGAMENTO],$B$4,LANÇ_MOV[MÊS PAGAMENTO CORRESPONDENTE],L$6,LANÇ_MOV[EMPRESA],$C$4,LANÇ_MOV[CENTRO DE CUSTOS],$D$4)</f>
        <v>0</v>
      </c>
      <c r="M379" s="206">
        <f>SUMIFS(LANÇ_MOV[VALOR LÍQUIDO],LANÇ_MOV[RECEITA OU DESPESA],"Despesa",LANÇ_MOV[CONTAS],$C379,LANÇ_MOV[PLANO DE CONTAS],REL_DRE_FINANCEIRO!$B$343,LANÇ_MOV[ANO PAGAMENTO],$B$4,LANÇ_MOV[MÊS PAGAMENTO CORRESPONDENTE],M$6,LANÇ_MOV[EMPRESA],$C$4,LANÇ_MOV[CENTRO DE CUSTOS],$D$4)</f>
        <v>0</v>
      </c>
      <c r="N379" s="206">
        <f>SUMIFS(LANÇ_MOV[VALOR LÍQUIDO],LANÇ_MOV[RECEITA OU DESPESA],"Despesa",LANÇ_MOV[CONTAS],$C379,LANÇ_MOV[PLANO DE CONTAS],REL_DRE_FINANCEIRO!$B$343,LANÇ_MOV[ANO PAGAMENTO],$B$4,LANÇ_MOV[MÊS PAGAMENTO CORRESPONDENTE],N$6,LANÇ_MOV[EMPRESA],$C$4,LANÇ_MOV[CENTRO DE CUSTOS],$D$4)</f>
        <v>0</v>
      </c>
      <c r="O379" s="206">
        <f>SUMIFS(LANÇ_MOV[VALOR LÍQUIDO],LANÇ_MOV[RECEITA OU DESPESA],"Despesa",LANÇ_MOV[CONTAS],$C379,LANÇ_MOV[PLANO DE CONTAS],REL_DRE_FINANCEIRO!$B$343,LANÇ_MOV[ANO PAGAMENTO],$B$4,LANÇ_MOV[MÊS PAGAMENTO CORRESPONDENTE],O$6,LANÇ_MOV[EMPRESA],$C$4,LANÇ_MOV[CENTRO DE CUSTOS],$D$4)</f>
        <v>0</v>
      </c>
      <c r="P379" s="207">
        <f t="shared" si="54"/>
        <v>0</v>
      </c>
      <c r="Q379" s="329">
        <v>6.4999999999999996E-6</v>
      </c>
      <c r="R379" s="346">
        <f t="shared" si="55"/>
        <v>6.4999999999999996E-6</v>
      </c>
      <c r="S379" s="347" t="str">
        <f t="shared" si="56"/>
        <v>-</v>
      </c>
      <c r="T379" s="347">
        <f t="shared" si="57"/>
        <v>0</v>
      </c>
      <c r="U379" s="347">
        <f>HLOOKUP(Apoio!$P$12,$D$342:$P$443,X379,FALSE)+Q379</f>
        <v>6.4999999999999996E-6</v>
      </c>
      <c r="V379" s="447" t="str">
        <f t="shared" si="58"/>
        <v>-</v>
      </c>
      <c r="W379" s="448">
        <f>HLOOKUP(Apoio!$P$12,$D$342:$P$443,X379,FALSE)</f>
        <v>0</v>
      </c>
      <c r="X379" s="329">
        <v>38</v>
      </c>
    </row>
    <row r="380" spans="2:24" ht="30.05" customHeight="1" x14ac:dyDescent="0.35">
      <c r="B380" s="204" t="str">
        <f>'CAD_PL_REC-DESP'!Q41</f>
        <v>2.3.37</v>
      </c>
      <c r="C380" s="205" t="str">
        <f>IF('CAD_PL_REC-DESP'!R41="","-",'CAD_PL_REC-DESP'!R41)</f>
        <v>-</v>
      </c>
      <c r="D380" s="206">
        <f>SUMIFS(LANÇ_MOV[VALOR LÍQUIDO],LANÇ_MOV[RECEITA OU DESPESA],"Despesa",LANÇ_MOV[CONTAS],$C380,LANÇ_MOV[PLANO DE CONTAS],REL_DRE_FINANCEIRO!$B$343,LANÇ_MOV[ANO PAGAMENTO],$B$4,LANÇ_MOV[MÊS PAGAMENTO CORRESPONDENTE],D$6,LANÇ_MOV[EMPRESA],$C$4,LANÇ_MOV[CENTRO DE CUSTOS],$D$4)</f>
        <v>0</v>
      </c>
      <c r="E380" s="206">
        <f>SUMIFS(LANÇ_MOV[VALOR LÍQUIDO],LANÇ_MOV[RECEITA OU DESPESA],"Despesa",LANÇ_MOV[CONTAS],$C380,LANÇ_MOV[PLANO DE CONTAS],REL_DRE_FINANCEIRO!$B$343,LANÇ_MOV[ANO PAGAMENTO],$B$4,LANÇ_MOV[MÊS PAGAMENTO CORRESPONDENTE],E$6,LANÇ_MOV[EMPRESA],$C$4,LANÇ_MOV[CENTRO DE CUSTOS],$D$4)</f>
        <v>0</v>
      </c>
      <c r="F380" s="206">
        <f>SUMIFS(LANÇ_MOV[VALOR LÍQUIDO],LANÇ_MOV[RECEITA OU DESPESA],"Despesa",LANÇ_MOV[CONTAS],$C380,LANÇ_MOV[PLANO DE CONTAS],REL_DRE_FINANCEIRO!$B$343,LANÇ_MOV[ANO PAGAMENTO],$B$4,LANÇ_MOV[MÊS PAGAMENTO CORRESPONDENTE],F$6,LANÇ_MOV[EMPRESA],$C$4,LANÇ_MOV[CENTRO DE CUSTOS],$D$4)</f>
        <v>0</v>
      </c>
      <c r="G380" s="206">
        <f>SUMIFS(LANÇ_MOV[VALOR LÍQUIDO],LANÇ_MOV[RECEITA OU DESPESA],"Despesa",LANÇ_MOV[CONTAS],$C380,LANÇ_MOV[PLANO DE CONTAS],REL_DRE_FINANCEIRO!$B$343,LANÇ_MOV[ANO PAGAMENTO],$B$4,LANÇ_MOV[MÊS PAGAMENTO CORRESPONDENTE],G$6,LANÇ_MOV[EMPRESA],$C$4,LANÇ_MOV[CENTRO DE CUSTOS],$D$4)</f>
        <v>0</v>
      </c>
      <c r="H380" s="206">
        <f>SUMIFS(LANÇ_MOV[VALOR LÍQUIDO],LANÇ_MOV[RECEITA OU DESPESA],"Despesa",LANÇ_MOV[CONTAS],$C380,LANÇ_MOV[PLANO DE CONTAS],REL_DRE_FINANCEIRO!$B$343,LANÇ_MOV[ANO PAGAMENTO],$B$4,LANÇ_MOV[MÊS PAGAMENTO CORRESPONDENTE],H$6,LANÇ_MOV[EMPRESA],$C$4,LANÇ_MOV[CENTRO DE CUSTOS],$D$4)</f>
        <v>0</v>
      </c>
      <c r="I380" s="206">
        <f>SUMIFS(LANÇ_MOV[VALOR LÍQUIDO],LANÇ_MOV[RECEITA OU DESPESA],"Despesa",LANÇ_MOV[CONTAS],$C380,LANÇ_MOV[PLANO DE CONTAS],REL_DRE_FINANCEIRO!$B$343,LANÇ_MOV[ANO PAGAMENTO],$B$4,LANÇ_MOV[MÊS PAGAMENTO CORRESPONDENTE],I$6,LANÇ_MOV[EMPRESA],$C$4,LANÇ_MOV[CENTRO DE CUSTOS],$D$4)</f>
        <v>0</v>
      </c>
      <c r="J380" s="206">
        <f>SUMIFS(LANÇ_MOV[VALOR LÍQUIDO],LANÇ_MOV[RECEITA OU DESPESA],"Despesa",LANÇ_MOV[CONTAS],$C380,LANÇ_MOV[PLANO DE CONTAS],REL_DRE_FINANCEIRO!$B$343,LANÇ_MOV[ANO PAGAMENTO],$B$4,LANÇ_MOV[MÊS PAGAMENTO CORRESPONDENTE],J$6,LANÇ_MOV[EMPRESA],$C$4,LANÇ_MOV[CENTRO DE CUSTOS],$D$4)</f>
        <v>0</v>
      </c>
      <c r="K380" s="206">
        <f>SUMIFS(LANÇ_MOV[VALOR LÍQUIDO],LANÇ_MOV[RECEITA OU DESPESA],"Despesa",LANÇ_MOV[CONTAS],$C380,LANÇ_MOV[PLANO DE CONTAS],REL_DRE_FINANCEIRO!$B$343,LANÇ_MOV[ANO PAGAMENTO],$B$4,LANÇ_MOV[MÊS PAGAMENTO CORRESPONDENTE],K$6,LANÇ_MOV[EMPRESA],$C$4,LANÇ_MOV[CENTRO DE CUSTOS],$D$4)</f>
        <v>0</v>
      </c>
      <c r="L380" s="206">
        <f>SUMIFS(LANÇ_MOV[VALOR LÍQUIDO],LANÇ_MOV[RECEITA OU DESPESA],"Despesa",LANÇ_MOV[CONTAS],$C380,LANÇ_MOV[PLANO DE CONTAS],REL_DRE_FINANCEIRO!$B$343,LANÇ_MOV[ANO PAGAMENTO],$B$4,LANÇ_MOV[MÊS PAGAMENTO CORRESPONDENTE],L$6,LANÇ_MOV[EMPRESA],$C$4,LANÇ_MOV[CENTRO DE CUSTOS],$D$4)</f>
        <v>0</v>
      </c>
      <c r="M380" s="206">
        <f>SUMIFS(LANÇ_MOV[VALOR LÍQUIDO],LANÇ_MOV[RECEITA OU DESPESA],"Despesa",LANÇ_MOV[CONTAS],$C380,LANÇ_MOV[PLANO DE CONTAS],REL_DRE_FINANCEIRO!$B$343,LANÇ_MOV[ANO PAGAMENTO],$B$4,LANÇ_MOV[MÊS PAGAMENTO CORRESPONDENTE],M$6,LANÇ_MOV[EMPRESA],$C$4,LANÇ_MOV[CENTRO DE CUSTOS],$D$4)</f>
        <v>0</v>
      </c>
      <c r="N380" s="206">
        <f>SUMIFS(LANÇ_MOV[VALOR LÍQUIDO],LANÇ_MOV[RECEITA OU DESPESA],"Despesa",LANÇ_MOV[CONTAS],$C380,LANÇ_MOV[PLANO DE CONTAS],REL_DRE_FINANCEIRO!$B$343,LANÇ_MOV[ANO PAGAMENTO],$B$4,LANÇ_MOV[MÊS PAGAMENTO CORRESPONDENTE],N$6,LANÇ_MOV[EMPRESA],$C$4,LANÇ_MOV[CENTRO DE CUSTOS],$D$4)</f>
        <v>0</v>
      </c>
      <c r="O380" s="206">
        <f>SUMIFS(LANÇ_MOV[VALOR LÍQUIDO],LANÇ_MOV[RECEITA OU DESPESA],"Despesa",LANÇ_MOV[CONTAS],$C380,LANÇ_MOV[PLANO DE CONTAS],REL_DRE_FINANCEIRO!$B$343,LANÇ_MOV[ANO PAGAMENTO],$B$4,LANÇ_MOV[MÊS PAGAMENTO CORRESPONDENTE],O$6,LANÇ_MOV[EMPRESA],$C$4,LANÇ_MOV[CENTRO DE CUSTOS],$D$4)</f>
        <v>0</v>
      </c>
      <c r="P380" s="207">
        <f t="shared" si="54"/>
        <v>0</v>
      </c>
      <c r="Q380" s="329">
        <v>6.3999999999999997E-6</v>
      </c>
      <c r="R380" s="346">
        <f t="shared" si="55"/>
        <v>6.3999999999999997E-6</v>
      </c>
      <c r="S380" s="347" t="str">
        <f t="shared" si="56"/>
        <v>-</v>
      </c>
      <c r="T380" s="347">
        <f t="shared" si="57"/>
        <v>0</v>
      </c>
      <c r="U380" s="347">
        <f>HLOOKUP(Apoio!$P$12,$D$342:$P$443,X380,FALSE)+Q380</f>
        <v>6.3999999999999997E-6</v>
      </c>
      <c r="V380" s="447" t="str">
        <f t="shared" si="58"/>
        <v>-</v>
      </c>
      <c r="W380" s="448">
        <f>HLOOKUP(Apoio!$P$12,$D$342:$P$443,X380,FALSE)</f>
        <v>0</v>
      </c>
      <c r="X380" s="329">
        <v>39</v>
      </c>
    </row>
    <row r="381" spans="2:24" ht="30.05" customHeight="1" x14ac:dyDescent="0.35">
      <c r="B381" s="204" t="str">
        <f>'CAD_PL_REC-DESP'!Q42</f>
        <v>2.3.38</v>
      </c>
      <c r="C381" s="205" t="str">
        <f>IF('CAD_PL_REC-DESP'!R42="","-",'CAD_PL_REC-DESP'!R42)</f>
        <v>-</v>
      </c>
      <c r="D381" s="206">
        <f>SUMIFS(LANÇ_MOV[VALOR LÍQUIDO],LANÇ_MOV[RECEITA OU DESPESA],"Despesa",LANÇ_MOV[CONTAS],$C381,LANÇ_MOV[PLANO DE CONTAS],REL_DRE_FINANCEIRO!$B$343,LANÇ_MOV[ANO PAGAMENTO],$B$4,LANÇ_MOV[MÊS PAGAMENTO CORRESPONDENTE],D$6,LANÇ_MOV[EMPRESA],$C$4,LANÇ_MOV[CENTRO DE CUSTOS],$D$4)</f>
        <v>0</v>
      </c>
      <c r="E381" s="206">
        <f>SUMIFS(LANÇ_MOV[VALOR LÍQUIDO],LANÇ_MOV[RECEITA OU DESPESA],"Despesa",LANÇ_MOV[CONTAS],$C381,LANÇ_MOV[PLANO DE CONTAS],REL_DRE_FINANCEIRO!$B$343,LANÇ_MOV[ANO PAGAMENTO],$B$4,LANÇ_MOV[MÊS PAGAMENTO CORRESPONDENTE],E$6,LANÇ_MOV[EMPRESA],$C$4,LANÇ_MOV[CENTRO DE CUSTOS],$D$4)</f>
        <v>0</v>
      </c>
      <c r="F381" s="206">
        <f>SUMIFS(LANÇ_MOV[VALOR LÍQUIDO],LANÇ_MOV[RECEITA OU DESPESA],"Despesa",LANÇ_MOV[CONTAS],$C381,LANÇ_MOV[PLANO DE CONTAS],REL_DRE_FINANCEIRO!$B$343,LANÇ_MOV[ANO PAGAMENTO],$B$4,LANÇ_MOV[MÊS PAGAMENTO CORRESPONDENTE],F$6,LANÇ_MOV[EMPRESA],$C$4,LANÇ_MOV[CENTRO DE CUSTOS],$D$4)</f>
        <v>0</v>
      </c>
      <c r="G381" s="206">
        <f>SUMIFS(LANÇ_MOV[VALOR LÍQUIDO],LANÇ_MOV[RECEITA OU DESPESA],"Despesa",LANÇ_MOV[CONTAS],$C381,LANÇ_MOV[PLANO DE CONTAS],REL_DRE_FINANCEIRO!$B$343,LANÇ_MOV[ANO PAGAMENTO],$B$4,LANÇ_MOV[MÊS PAGAMENTO CORRESPONDENTE],G$6,LANÇ_MOV[EMPRESA],$C$4,LANÇ_MOV[CENTRO DE CUSTOS],$D$4)</f>
        <v>0</v>
      </c>
      <c r="H381" s="206">
        <f>SUMIFS(LANÇ_MOV[VALOR LÍQUIDO],LANÇ_MOV[RECEITA OU DESPESA],"Despesa",LANÇ_MOV[CONTAS],$C381,LANÇ_MOV[PLANO DE CONTAS],REL_DRE_FINANCEIRO!$B$343,LANÇ_MOV[ANO PAGAMENTO],$B$4,LANÇ_MOV[MÊS PAGAMENTO CORRESPONDENTE],H$6,LANÇ_MOV[EMPRESA],$C$4,LANÇ_MOV[CENTRO DE CUSTOS],$D$4)</f>
        <v>0</v>
      </c>
      <c r="I381" s="206">
        <f>SUMIFS(LANÇ_MOV[VALOR LÍQUIDO],LANÇ_MOV[RECEITA OU DESPESA],"Despesa",LANÇ_MOV[CONTAS],$C381,LANÇ_MOV[PLANO DE CONTAS],REL_DRE_FINANCEIRO!$B$343,LANÇ_MOV[ANO PAGAMENTO],$B$4,LANÇ_MOV[MÊS PAGAMENTO CORRESPONDENTE],I$6,LANÇ_MOV[EMPRESA],$C$4,LANÇ_MOV[CENTRO DE CUSTOS],$D$4)</f>
        <v>0</v>
      </c>
      <c r="J381" s="206">
        <f>SUMIFS(LANÇ_MOV[VALOR LÍQUIDO],LANÇ_MOV[RECEITA OU DESPESA],"Despesa",LANÇ_MOV[CONTAS],$C381,LANÇ_MOV[PLANO DE CONTAS],REL_DRE_FINANCEIRO!$B$343,LANÇ_MOV[ANO PAGAMENTO],$B$4,LANÇ_MOV[MÊS PAGAMENTO CORRESPONDENTE],J$6,LANÇ_MOV[EMPRESA],$C$4,LANÇ_MOV[CENTRO DE CUSTOS],$D$4)</f>
        <v>0</v>
      </c>
      <c r="K381" s="206">
        <f>SUMIFS(LANÇ_MOV[VALOR LÍQUIDO],LANÇ_MOV[RECEITA OU DESPESA],"Despesa",LANÇ_MOV[CONTAS],$C381,LANÇ_MOV[PLANO DE CONTAS],REL_DRE_FINANCEIRO!$B$343,LANÇ_MOV[ANO PAGAMENTO],$B$4,LANÇ_MOV[MÊS PAGAMENTO CORRESPONDENTE],K$6,LANÇ_MOV[EMPRESA],$C$4,LANÇ_MOV[CENTRO DE CUSTOS],$D$4)</f>
        <v>0</v>
      </c>
      <c r="L381" s="206">
        <f>SUMIFS(LANÇ_MOV[VALOR LÍQUIDO],LANÇ_MOV[RECEITA OU DESPESA],"Despesa",LANÇ_MOV[CONTAS],$C381,LANÇ_MOV[PLANO DE CONTAS],REL_DRE_FINANCEIRO!$B$343,LANÇ_MOV[ANO PAGAMENTO],$B$4,LANÇ_MOV[MÊS PAGAMENTO CORRESPONDENTE],L$6,LANÇ_MOV[EMPRESA],$C$4,LANÇ_MOV[CENTRO DE CUSTOS],$D$4)</f>
        <v>0</v>
      </c>
      <c r="M381" s="206">
        <f>SUMIFS(LANÇ_MOV[VALOR LÍQUIDO],LANÇ_MOV[RECEITA OU DESPESA],"Despesa",LANÇ_MOV[CONTAS],$C381,LANÇ_MOV[PLANO DE CONTAS],REL_DRE_FINANCEIRO!$B$343,LANÇ_MOV[ANO PAGAMENTO],$B$4,LANÇ_MOV[MÊS PAGAMENTO CORRESPONDENTE],M$6,LANÇ_MOV[EMPRESA],$C$4,LANÇ_MOV[CENTRO DE CUSTOS],$D$4)</f>
        <v>0</v>
      </c>
      <c r="N381" s="206">
        <f>SUMIFS(LANÇ_MOV[VALOR LÍQUIDO],LANÇ_MOV[RECEITA OU DESPESA],"Despesa",LANÇ_MOV[CONTAS],$C381,LANÇ_MOV[PLANO DE CONTAS],REL_DRE_FINANCEIRO!$B$343,LANÇ_MOV[ANO PAGAMENTO],$B$4,LANÇ_MOV[MÊS PAGAMENTO CORRESPONDENTE],N$6,LANÇ_MOV[EMPRESA],$C$4,LANÇ_MOV[CENTRO DE CUSTOS],$D$4)</f>
        <v>0</v>
      </c>
      <c r="O381" s="206">
        <f>SUMIFS(LANÇ_MOV[VALOR LÍQUIDO],LANÇ_MOV[RECEITA OU DESPESA],"Despesa",LANÇ_MOV[CONTAS],$C381,LANÇ_MOV[PLANO DE CONTAS],REL_DRE_FINANCEIRO!$B$343,LANÇ_MOV[ANO PAGAMENTO],$B$4,LANÇ_MOV[MÊS PAGAMENTO CORRESPONDENTE],O$6,LANÇ_MOV[EMPRESA],$C$4,LANÇ_MOV[CENTRO DE CUSTOS],$D$4)</f>
        <v>0</v>
      </c>
      <c r="P381" s="207">
        <f t="shared" si="54"/>
        <v>0</v>
      </c>
      <c r="Q381" s="329">
        <v>6.2999999999999998E-6</v>
      </c>
      <c r="R381" s="346">
        <f t="shared" si="55"/>
        <v>6.2999999999999998E-6</v>
      </c>
      <c r="S381" s="347" t="str">
        <f t="shared" si="56"/>
        <v>-</v>
      </c>
      <c r="T381" s="347">
        <f t="shared" si="57"/>
        <v>0</v>
      </c>
      <c r="U381" s="347">
        <f>HLOOKUP(Apoio!$P$12,$D$342:$P$443,X381,FALSE)+Q381</f>
        <v>6.2999999999999998E-6</v>
      </c>
      <c r="V381" s="447" t="str">
        <f t="shared" si="58"/>
        <v>-</v>
      </c>
      <c r="W381" s="448">
        <f>HLOOKUP(Apoio!$P$12,$D$342:$P$443,X381,FALSE)</f>
        <v>0</v>
      </c>
      <c r="X381" s="329">
        <v>40</v>
      </c>
    </row>
    <row r="382" spans="2:24" ht="30.05" customHeight="1" x14ac:dyDescent="0.35">
      <c r="B382" s="204" t="str">
        <f>'CAD_PL_REC-DESP'!Q43</f>
        <v>2.3.39</v>
      </c>
      <c r="C382" s="205" t="str">
        <f>IF('CAD_PL_REC-DESP'!R43="","-",'CAD_PL_REC-DESP'!R43)</f>
        <v>-</v>
      </c>
      <c r="D382" s="206">
        <f>SUMIFS(LANÇ_MOV[VALOR LÍQUIDO],LANÇ_MOV[RECEITA OU DESPESA],"Despesa",LANÇ_MOV[CONTAS],$C382,LANÇ_MOV[PLANO DE CONTAS],REL_DRE_FINANCEIRO!$B$343,LANÇ_MOV[ANO PAGAMENTO],$B$4,LANÇ_MOV[MÊS PAGAMENTO CORRESPONDENTE],D$6,LANÇ_MOV[EMPRESA],$C$4,LANÇ_MOV[CENTRO DE CUSTOS],$D$4)</f>
        <v>0</v>
      </c>
      <c r="E382" s="206">
        <f>SUMIFS(LANÇ_MOV[VALOR LÍQUIDO],LANÇ_MOV[RECEITA OU DESPESA],"Despesa",LANÇ_MOV[CONTAS],$C382,LANÇ_MOV[PLANO DE CONTAS],REL_DRE_FINANCEIRO!$B$343,LANÇ_MOV[ANO PAGAMENTO],$B$4,LANÇ_MOV[MÊS PAGAMENTO CORRESPONDENTE],E$6,LANÇ_MOV[EMPRESA],$C$4,LANÇ_MOV[CENTRO DE CUSTOS],$D$4)</f>
        <v>0</v>
      </c>
      <c r="F382" s="206">
        <f>SUMIFS(LANÇ_MOV[VALOR LÍQUIDO],LANÇ_MOV[RECEITA OU DESPESA],"Despesa",LANÇ_MOV[CONTAS],$C382,LANÇ_MOV[PLANO DE CONTAS],REL_DRE_FINANCEIRO!$B$343,LANÇ_MOV[ANO PAGAMENTO],$B$4,LANÇ_MOV[MÊS PAGAMENTO CORRESPONDENTE],F$6,LANÇ_MOV[EMPRESA],$C$4,LANÇ_MOV[CENTRO DE CUSTOS],$D$4)</f>
        <v>0</v>
      </c>
      <c r="G382" s="206">
        <f>SUMIFS(LANÇ_MOV[VALOR LÍQUIDO],LANÇ_MOV[RECEITA OU DESPESA],"Despesa",LANÇ_MOV[CONTAS],$C382,LANÇ_MOV[PLANO DE CONTAS],REL_DRE_FINANCEIRO!$B$343,LANÇ_MOV[ANO PAGAMENTO],$B$4,LANÇ_MOV[MÊS PAGAMENTO CORRESPONDENTE],G$6,LANÇ_MOV[EMPRESA],$C$4,LANÇ_MOV[CENTRO DE CUSTOS],$D$4)</f>
        <v>0</v>
      </c>
      <c r="H382" s="206">
        <f>SUMIFS(LANÇ_MOV[VALOR LÍQUIDO],LANÇ_MOV[RECEITA OU DESPESA],"Despesa",LANÇ_MOV[CONTAS],$C382,LANÇ_MOV[PLANO DE CONTAS],REL_DRE_FINANCEIRO!$B$343,LANÇ_MOV[ANO PAGAMENTO],$B$4,LANÇ_MOV[MÊS PAGAMENTO CORRESPONDENTE],H$6,LANÇ_MOV[EMPRESA],$C$4,LANÇ_MOV[CENTRO DE CUSTOS],$D$4)</f>
        <v>0</v>
      </c>
      <c r="I382" s="206">
        <f>SUMIFS(LANÇ_MOV[VALOR LÍQUIDO],LANÇ_MOV[RECEITA OU DESPESA],"Despesa",LANÇ_MOV[CONTAS],$C382,LANÇ_MOV[PLANO DE CONTAS],REL_DRE_FINANCEIRO!$B$343,LANÇ_MOV[ANO PAGAMENTO],$B$4,LANÇ_MOV[MÊS PAGAMENTO CORRESPONDENTE],I$6,LANÇ_MOV[EMPRESA],$C$4,LANÇ_MOV[CENTRO DE CUSTOS],$D$4)</f>
        <v>0</v>
      </c>
      <c r="J382" s="206">
        <f>SUMIFS(LANÇ_MOV[VALOR LÍQUIDO],LANÇ_MOV[RECEITA OU DESPESA],"Despesa",LANÇ_MOV[CONTAS],$C382,LANÇ_MOV[PLANO DE CONTAS],REL_DRE_FINANCEIRO!$B$343,LANÇ_MOV[ANO PAGAMENTO],$B$4,LANÇ_MOV[MÊS PAGAMENTO CORRESPONDENTE],J$6,LANÇ_MOV[EMPRESA],$C$4,LANÇ_MOV[CENTRO DE CUSTOS],$D$4)</f>
        <v>0</v>
      </c>
      <c r="K382" s="206">
        <f>SUMIFS(LANÇ_MOV[VALOR LÍQUIDO],LANÇ_MOV[RECEITA OU DESPESA],"Despesa",LANÇ_MOV[CONTAS],$C382,LANÇ_MOV[PLANO DE CONTAS],REL_DRE_FINANCEIRO!$B$343,LANÇ_MOV[ANO PAGAMENTO],$B$4,LANÇ_MOV[MÊS PAGAMENTO CORRESPONDENTE],K$6,LANÇ_MOV[EMPRESA],$C$4,LANÇ_MOV[CENTRO DE CUSTOS],$D$4)</f>
        <v>0</v>
      </c>
      <c r="L382" s="206">
        <f>SUMIFS(LANÇ_MOV[VALOR LÍQUIDO],LANÇ_MOV[RECEITA OU DESPESA],"Despesa",LANÇ_MOV[CONTAS],$C382,LANÇ_MOV[PLANO DE CONTAS],REL_DRE_FINANCEIRO!$B$343,LANÇ_MOV[ANO PAGAMENTO],$B$4,LANÇ_MOV[MÊS PAGAMENTO CORRESPONDENTE],L$6,LANÇ_MOV[EMPRESA],$C$4,LANÇ_MOV[CENTRO DE CUSTOS],$D$4)</f>
        <v>0</v>
      </c>
      <c r="M382" s="206">
        <f>SUMIFS(LANÇ_MOV[VALOR LÍQUIDO],LANÇ_MOV[RECEITA OU DESPESA],"Despesa",LANÇ_MOV[CONTAS],$C382,LANÇ_MOV[PLANO DE CONTAS],REL_DRE_FINANCEIRO!$B$343,LANÇ_MOV[ANO PAGAMENTO],$B$4,LANÇ_MOV[MÊS PAGAMENTO CORRESPONDENTE],M$6,LANÇ_MOV[EMPRESA],$C$4,LANÇ_MOV[CENTRO DE CUSTOS],$D$4)</f>
        <v>0</v>
      </c>
      <c r="N382" s="206">
        <f>SUMIFS(LANÇ_MOV[VALOR LÍQUIDO],LANÇ_MOV[RECEITA OU DESPESA],"Despesa",LANÇ_MOV[CONTAS],$C382,LANÇ_MOV[PLANO DE CONTAS],REL_DRE_FINANCEIRO!$B$343,LANÇ_MOV[ANO PAGAMENTO],$B$4,LANÇ_MOV[MÊS PAGAMENTO CORRESPONDENTE],N$6,LANÇ_MOV[EMPRESA],$C$4,LANÇ_MOV[CENTRO DE CUSTOS],$D$4)</f>
        <v>0</v>
      </c>
      <c r="O382" s="206">
        <f>SUMIFS(LANÇ_MOV[VALOR LÍQUIDO],LANÇ_MOV[RECEITA OU DESPESA],"Despesa",LANÇ_MOV[CONTAS],$C382,LANÇ_MOV[PLANO DE CONTAS],REL_DRE_FINANCEIRO!$B$343,LANÇ_MOV[ANO PAGAMENTO],$B$4,LANÇ_MOV[MÊS PAGAMENTO CORRESPONDENTE],O$6,LANÇ_MOV[EMPRESA],$C$4,LANÇ_MOV[CENTRO DE CUSTOS],$D$4)</f>
        <v>0</v>
      </c>
      <c r="P382" s="207">
        <f t="shared" si="54"/>
        <v>0</v>
      </c>
      <c r="Q382" s="329">
        <v>6.1999999999999999E-6</v>
      </c>
      <c r="R382" s="346">
        <f t="shared" si="55"/>
        <v>6.1999999999999999E-6</v>
      </c>
      <c r="S382" s="347" t="str">
        <f t="shared" si="56"/>
        <v>-</v>
      </c>
      <c r="T382" s="347">
        <f t="shared" si="57"/>
        <v>0</v>
      </c>
      <c r="U382" s="347">
        <f>HLOOKUP(Apoio!$P$12,$D$342:$P$443,X382,FALSE)+Q382</f>
        <v>6.1999999999999999E-6</v>
      </c>
      <c r="V382" s="447" t="str">
        <f t="shared" si="58"/>
        <v>-</v>
      </c>
      <c r="W382" s="448">
        <f>HLOOKUP(Apoio!$P$12,$D$342:$P$443,X382,FALSE)</f>
        <v>0</v>
      </c>
      <c r="X382" s="329">
        <v>41</v>
      </c>
    </row>
    <row r="383" spans="2:24" ht="30.05" customHeight="1" x14ac:dyDescent="0.35">
      <c r="B383" s="204" t="str">
        <f>'CAD_PL_REC-DESP'!Q44</f>
        <v>2.3.40</v>
      </c>
      <c r="C383" s="205" t="str">
        <f>IF('CAD_PL_REC-DESP'!R44="","-",'CAD_PL_REC-DESP'!R44)</f>
        <v>-</v>
      </c>
      <c r="D383" s="206">
        <f>SUMIFS(LANÇ_MOV[VALOR LÍQUIDO],LANÇ_MOV[RECEITA OU DESPESA],"Despesa",LANÇ_MOV[CONTAS],$C383,LANÇ_MOV[PLANO DE CONTAS],REL_DRE_FINANCEIRO!$B$343,LANÇ_MOV[ANO PAGAMENTO],$B$4,LANÇ_MOV[MÊS PAGAMENTO CORRESPONDENTE],D$6,LANÇ_MOV[EMPRESA],$C$4,LANÇ_MOV[CENTRO DE CUSTOS],$D$4)</f>
        <v>0</v>
      </c>
      <c r="E383" s="206">
        <f>SUMIFS(LANÇ_MOV[VALOR LÍQUIDO],LANÇ_MOV[RECEITA OU DESPESA],"Despesa",LANÇ_MOV[CONTAS],$C383,LANÇ_MOV[PLANO DE CONTAS],REL_DRE_FINANCEIRO!$B$343,LANÇ_MOV[ANO PAGAMENTO],$B$4,LANÇ_MOV[MÊS PAGAMENTO CORRESPONDENTE],E$6,LANÇ_MOV[EMPRESA],$C$4,LANÇ_MOV[CENTRO DE CUSTOS],$D$4)</f>
        <v>0</v>
      </c>
      <c r="F383" s="206">
        <f>SUMIFS(LANÇ_MOV[VALOR LÍQUIDO],LANÇ_MOV[RECEITA OU DESPESA],"Despesa",LANÇ_MOV[CONTAS],$C383,LANÇ_MOV[PLANO DE CONTAS],REL_DRE_FINANCEIRO!$B$343,LANÇ_MOV[ANO PAGAMENTO],$B$4,LANÇ_MOV[MÊS PAGAMENTO CORRESPONDENTE],F$6,LANÇ_MOV[EMPRESA],$C$4,LANÇ_MOV[CENTRO DE CUSTOS],$D$4)</f>
        <v>0</v>
      </c>
      <c r="G383" s="206">
        <f>SUMIFS(LANÇ_MOV[VALOR LÍQUIDO],LANÇ_MOV[RECEITA OU DESPESA],"Despesa",LANÇ_MOV[CONTAS],$C383,LANÇ_MOV[PLANO DE CONTAS],REL_DRE_FINANCEIRO!$B$343,LANÇ_MOV[ANO PAGAMENTO],$B$4,LANÇ_MOV[MÊS PAGAMENTO CORRESPONDENTE],G$6,LANÇ_MOV[EMPRESA],$C$4,LANÇ_MOV[CENTRO DE CUSTOS],$D$4)</f>
        <v>0</v>
      </c>
      <c r="H383" s="206">
        <f>SUMIFS(LANÇ_MOV[VALOR LÍQUIDO],LANÇ_MOV[RECEITA OU DESPESA],"Despesa",LANÇ_MOV[CONTAS],$C383,LANÇ_MOV[PLANO DE CONTAS],REL_DRE_FINANCEIRO!$B$343,LANÇ_MOV[ANO PAGAMENTO],$B$4,LANÇ_MOV[MÊS PAGAMENTO CORRESPONDENTE],H$6,LANÇ_MOV[EMPRESA],$C$4,LANÇ_MOV[CENTRO DE CUSTOS],$D$4)</f>
        <v>0</v>
      </c>
      <c r="I383" s="206">
        <f>SUMIFS(LANÇ_MOV[VALOR LÍQUIDO],LANÇ_MOV[RECEITA OU DESPESA],"Despesa",LANÇ_MOV[CONTAS],$C383,LANÇ_MOV[PLANO DE CONTAS],REL_DRE_FINANCEIRO!$B$343,LANÇ_MOV[ANO PAGAMENTO],$B$4,LANÇ_MOV[MÊS PAGAMENTO CORRESPONDENTE],I$6,LANÇ_MOV[EMPRESA],$C$4,LANÇ_MOV[CENTRO DE CUSTOS],$D$4)</f>
        <v>0</v>
      </c>
      <c r="J383" s="206">
        <f>SUMIFS(LANÇ_MOV[VALOR LÍQUIDO],LANÇ_MOV[RECEITA OU DESPESA],"Despesa",LANÇ_MOV[CONTAS],$C383,LANÇ_MOV[PLANO DE CONTAS],REL_DRE_FINANCEIRO!$B$343,LANÇ_MOV[ANO PAGAMENTO],$B$4,LANÇ_MOV[MÊS PAGAMENTO CORRESPONDENTE],J$6,LANÇ_MOV[EMPRESA],$C$4,LANÇ_MOV[CENTRO DE CUSTOS],$D$4)</f>
        <v>0</v>
      </c>
      <c r="K383" s="206">
        <f>SUMIFS(LANÇ_MOV[VALOR LÍQUIDO],LANÇ_MOV[RECEITA OU DESPESA],"Despesa",LANÇ_MOV[CONTAS],$C383,LANÇ_MOV[PLANO DE CONTAS],REL_DRE_FINANCEIRO!$B$343,LANÇ_MOV[ANO PAGAMENTO],$B$4,LANÇ_MOV[MÊS PAGAMENTO CORRESPONDENTE],K$6,LANÇ_MOV[EMPRESA],$C$4,LANÇ_MOV[CENTRO DE CUSTOS],$D$4)</f>
        <v>0</v>
      </c>
      <c r="L383" s="206">
        <f>SUMIFS(LANÇ_MOV[VALOR LÍQUIDO],LANÇ_MOV[RECEITA OU DESPESA],"Despesa",LANÇ_MOV[CONTAS],$C383,LANÇ_MOV[PLANO DE CONTAS],REL_DRE_FINANCEIRO!$B$343,LANÇ_MOV[ANO PAGAMENTO],$B$4,LANÇ_MOV[MÊS PAGAMENTO CORRESPONDENTE],L$6,LANÇ_MOV[EMPRESA],$C$4,LANÇ_MOV[CENTRO DE CUSTOS],$D$4)</f>
        <v>0</v>
      </c>
      <c r="M383" s="206">
        <f>SUMIFS(LANÇ_MOV[VALOR LÍQUIDO],LANÇ_MOV[RECEITA OU DESPESA],"Despesa",LANÇ_MOV[CONTAS],$C383,LANÇ_MOV[PLANO DE CONTAS],REL_DRE_FINANCEIRO!$B$343,LANÇ_MOV[ANO PAGAMENTO],$B$4,LANÇ_MOV[MÊS PAGAMENTO CORRESPONDENTE],M$6,LANÇ_MOV[EMPRESA],$C$4,LANÇ_MOV[CENTRO DE CUSTOS],$D$4)</f>
        <v>0</v>
      </c>
      <c r="N383" s="206">
        <f>SUMIFS(LANÇ_MOV[VALOR LÍQUIDO],LANÇ_MOV[RECEITA OU DESPESA],"Despesa",LANÇ_MOV[CONTAS],$C383,LANÇ_MOV[PLANO DE CONTAS],REL_DRE_FINANCEIRO!$B$343,LANÇ_MOV[ANO PAGAMENTO],$B$4,LANÇ_MOV[MÊS PAGAMENTO CORRESPONDENTE],N$6,LANÇ_MOV[EMPRESA],$C$4,LANÇ_MOV[CENTRO DE CUSTOS],$D$4)</f>
        <v>0</v>
      </c>
      <c r="O383" s="206">
        <f>SUMIFS(LANÇ_MOV[VALOR LÍQUIDO],LANÇ_MOV[RECEITA OU DESPESA],"Despesa",LANÇ_MOV[CONTAS],$C383,LANÇ_MOV[PLANO DE CONTAS],REL_DRE_FINANCEIRO!$B$343,LANÇ_MOV[ANO PAGAMENTO],$B$4,LANÇ_MOV[MÊS PAGAMENTO CORRESPONDENTE],O$6,LANÇ_MOV[EMPRESA],$C$4,LANÇ_MOV[CENTRO DE CUSTOS],$D$4)</f>
        <v>0</v>
      </c>
      <c r="P383" s="207">
        <f t="shared" si="54"/>
        <v>0</v>
      </c>
      <c r="Q383" s="329">
        <v>6.1E-6</v>
      </c>
      <c r="R383" s="346">
        <f t="shared" si="55"/>
        <v>6.1E-6</v>
      </c>
      <c r="S383" s="347" t="str">
        <f t="shared" si="56"/>
        <v>-</v>
      </c>
      <c r="T383" s="347">
        <f t="shared" si="57"/>
        <v>0</v>
      </c>
      <c r="U383" s="347">
        <f>HLOOKUP(Apoio!$P$12,$D$342:$P$443,X383,FALSE)+Q383</f>
        <v>6.1E-6</v>
      </c>
      <c r="V383" s="447" t="str">
        <f t="shared" si="58"/>
        <v>-</v>
      </c>
      <c r="W383" s="448">
        <f>HLOOKUP(Apoio!$P$12,$D$342:$P$443,X383,FALSE)</f>
        <v>0</v>
      </c>
      <c r="X383" s="329">
        <v>42</v>
      </c>
    </row>
    <row r="384" spans="2:24" ht="30.05" customHeight="1" x14ac:dyDescent="0.35">
      <c r="B384" s="204" t="str">
        <f>'CAD_PL_REC-DESP'!Q45</f>
        <v>2.3.41</v>
      </c>
      <c r="C384" s="205" t="str">
        <f>IF('CAD_PL_REC-DESP'!R45="","-",'CAD_PL_REC-DESP'!R45)</f>
        <v>-</v>
      </c>
      <c r="D384" s="206">
        <f>SUMIFS(LANÇ_MOV[VALOR LÍQUIDO],LANÇ_MOV[RECEITA OU DESPESA],"Despesa",LANÇ_MOV[CONTAS],$C384,LANÇ_MOV[PLANO DE CONTAS],REL_DRE_FINANCEIRO!$B$343,LANÇ_MOV[ANO PAGAMENTO],$B$4,LANÇ_MOV[MÊS PAGAMENTO CORRESPONDENTE],D$6,LANÇ_MOV[EMPRESA],$C$4,LANÇ_MOV[CENTRO DE CUSTOS],$D$4)</f>
        <v>0</v>
      </c>
      <c r="E384" s="206">
        <f>SUMIFS(LANÇ_MOV[VALOR LÍQUIDO],LANÇ_MOV[RECEITA OU DESPESA],"Despesa",LANÇ_MOV[CONTAS],$C384,LANÇ_MOV[PLANO DE CONTAS],REL_DRE_FINANCEIRO!$B$343,LANÇ_MOV[ANO PAGAMENTO],$B$4,LANÇ_MOV[MÊS PAGAMENTO CORRESPONDENTE],E$6,LANÇ_MOV[EMPRESA],$C$4,LANÇ_MOV[CENTRO DE CUSTOS],$D$4)</f>
        <v>0</v>
      </c>
      <c r="F384" s="206">
        <f>SUMIFS(LANÇ_MOV[VALOR LÍQUIDO],LANÇ_MOV[RECEITA OU DESPESA],"Despesa",LANÇ_MOV[CONTAS],$C384,LANÇ_MOV[PLANO DE CONTAS],REL_DRE_FINANCEIRO!$B$343,LANÇ_MOV[ANO PAGAMENTO],$B$4,LANÇ_MOV[MÊS PAGAMENTO CORRESPONDENTE],F$6,LANÇ_MOV[EMPRESA],$C$4,LANÇ_MOV[CENTRO DE CUSTOS],$D$4)</f>
        <v>0</v>
      </c>
      <c r="G384" s="206">
        <f>SUMIFS(LANÇ_MOV[VALOR LÍQUIDO],LANÇ_MOV[RECEITA OU DESPESA],"Despesa",LANÇ_MOV[CONTAS],$C384,LANÇ_MOV[PLANO DE CONTAS],REL_DRE_FINANCEIRO!$B$343,LANÇ_MOV[ANO PAGAMENTO],$B$4,LANÇ_MOV[MÊS PAGAMENTO CORRESPONDENTE],G$6,LANÇ_MOV[EMPRESA],$C$4,LANÇ_MOV[CENTRO DE CUSTOS],$D$4)</f>
        <v>0</v>
      </c>
      <c r="H384" s="206">
        <f>SUMIFS(LANÇ_MOV[VALOR LÍQUIDO],LANÇ_MOV[RECEITA OU DESPESA],"Despesa",LANÇ_MOV[CONTAS],$C384,LANÇ_MOV[PLANO DE CONTAS],REL_DRE_FINANCEIRO!$B$343,LANÇ_MOV[ANO PAGAMENTO],$B$4,LANÇ_MOV[MÊS PAGAMENTO CORRESPONDENTE],H$6,LANÇ_MOV[EMPRESA],$C$4,LANÇ_MOV[CENTRO DE CUSTOS],$D$4)</f>
        <v>0</v>
      </c>
      <c r="I384" s="206">
        <f>SUMIFS(LANÇ_MOV[VALOR LÍQUIDO],LANÇ_MOV[RECEITA OU DESPESA],"Despesa",LANÇ_MOV[CONTAS],$C384,LANÇ_MOV[PLANO DE CONTAS],REL_DRE_FINANCEIRO!$B$343,LANÇ_MOV[ANO PAGAMENTO],$B$4,LANÇ_MOV[MÊS PAGAMENTO CORRESPONDENTE],I$6,LANÇ_MOV[EMPRESA],$C$4,LANÇ_MOV[CENTRO DE CUSTOS],$D$4)</f>
        <v>0</v>
      </c>
      <c r="J384" s="206">
        <f>SUMIFS(LANÇ_MOV[VALOR LÍQUIDO],LANÇ_MOV[RECEITA OU DESPESA],"Despesa",LANÇ_MOV[CONTAS],$C384,LANÇ_MOV[PLANO DE CONTAS],REL_DRE_FINANCEIRO!$B$343,LANÇ_MOV[ANO PAGAMENTO],$B$4,LANÇ_MOV[MÊS PAGAMENTO CORRESPONDENTE],J$6,LANÇ_MOV[EMPRESA],$C$4,LANÇ_MOV[CENTRO DE CUSTOS],$D$4)</f>
        <v>0</v>
      </c>
      <c r="K384" s="206">
        <f>SUMIFS(LANÇ_MOV[VALOR LÍQUIDO],LANÇ_MOV[RECEITA OU DESPESA],"Despesa",LANÇ_MOV[CONTAS],$C384,LANÇ_MOV[PLANO DE CONTAS],REL_DRE_FINANCEIRO!$B$343,LANÇ_MOV[ANO PAGAMENTO],$B$4,LANÇ_MOV[MÊS PAGAMENTO CORRESPONDENTE],K$6,LANÇ_MOV[EMPRESA],$C$4,LANÇ_MOV[CENTRO DE CUSTOS],$D$4)</f>
        <v>0</v>
      </c>
      <c r="L384" s="206">
        <f>SUMIFS(LANÇ_MOV[VALOR LÍQUIDO],LANÇ_MOV[RECEITA OU DESPESA],"Despesa",LANÇ_MOV[CONTAS],$C384,LANÇ_MOV[PLANO DE CONTAS],REL_DRE_FINANCEIRO!$B$343,LANÇ_MOV[ANO PAGAMENTO],$B$4,LANÇ_MOV[MÊS PAGAMENTO CORRESPONDENTE],L$6,LANÇ_MOV[EMPRESA],$C$4,LANÇ_MOV[CENTRO DE CUSTOS],$D$4)</f>
        <v>0</v>
      </c>
      <c r="M384" s="206">
        <f>SUMIFS(LANÇ_MOV[VALOR LÍQUIDO],LANÇ_MOV[RECEITA OU DESPESA],"Despesa",LANÇ_MOV[CONTAS],$C384,LANÇ_MOV[PLANO DE CONTAS],REL_DRE_FINANCEIRO!$B$343,LANÇ_MOV[ANO PAGAMENTO],$B$4,LANÇ_MOV[MÊS PAGAMENTO CORRESPONDENTE],M$6,LANÇ_MOV[EMPRESA],$C$4,LANÇ_MOV[CENTRO DE CUSTOS],$D$4)</f>
        <v>0</v>
      </c>
      <c r="N384" s="206">
        <f>SUMIFS(LANÇ_MOV[VALOR LÍQUIDO],LANÇ_MOV[RECEITA OU DESPESA],"Despesa",LANÇ_MOV[CONTAS],$C384,LANÇ_MOV[PLANO DE CONTAS],REL_DRE_FINANCEIRO!$B$343,LANÇ_MOV[ANO PAGAMENTO],$B$4,LANÇ_MOV[MÊS PAGAMENTO CORRESPONDENTE],N$6,LANÇ_MOV[EMPRESA],$C$4,LANÇ_MOV[CENTRO DE CUSTOS],$D$4)</f>
        <v>0</v>
      </c>
      <c r="O384" s="206">
        <f>SUMIFS(LANÇ_MOV[VALOR LÍQUIDO],LANÇ_MOV[RECEITA OU DESPESA],"Despesa",LANÇ_MOV[CONTAS],$C384,LANÇ_MOV[PLANO DE CONTAS],REL_DRE_FINANCEIRO!$B$343,LANÇ_MOV[ANO PAGAMENTO],$B$4,LANÇ_MOV[MÊS PAGAMENTO CORRESPONDENTE],O$6,LANÇ_MOV[EMPRESA],$C$4,LANÇ_MOV[CENTRO DE CUSTOS],$D$4)</f>
        <v>0</v>
      </c>
      <c r="P384" s="207">
        <f t="shared" si="54"/>
        <v>0</v>
      </c>
      <c r="Q384" s="329">
        <v>6.0000000000000002E-6</v>
      </c>
      <c r="R384" s="346">
        <f t="shared" si="55"/>
        <v>6.0000000000000002E-6</v>
      </c>
      <c r="S384" s="347" t="str">
        <f t="shared" si="56"/>
        <v>-</v>
      </c>
      <c r="T384" s="347">
        <f t="shared" si="57"/>
        <v>0</v>
      </c>
      <c r="U384" s="347">
        <f>HLOOKUP(Apoio!$P$12,$D$342:$P$443,X384,FALSE)+Q384</f>
        <v>6.0000000000000002E-6</v>
      </c>
      <c r="V384" s="447" t="str">
        <f t="shared" si="58"/>
        <v>-</v>
      </c>
      <c r="W384" s="448">
        <f>HLOOKUP(Apoio!$P$12,$D$342:$P$443,X384,FALSE)</f>
        <v>0</v>
      </c>
      <c r="X384" s="329">
        <v>43</v>
      </c>
    </row>
    <row r="385" spans="2:24" ht="30.05" customHeight="1" x14ac:dyDescent="0.35">
      <c r="B385" s="204" t="str">
        <f>'CAD_PL_REC-DESP'!Q46</f>
        <v>2.3.42</v>
      </c>
      <c r="C385" s="205" t="str">
        <f>IF('CAD_PL_REC-DESP'!R46="","-",'CAD_PL_REC-DESP'!R46)</f>
        <v>-</v>
      </c>
      <c r="D385" s="206">
        <f>SUMIFS(LANÇ_MOV[VALOR LÍQUIDO],LANÇ_MOV[RECEITA OU DESPESA],"Despesa",LANÇ_MOV[CONTAS],$C385,LANÇ_MOV[PLANO DE CONTAS],REL_DRE_FINANCEIRO!$B$343,LANÇ_MOV[ANO PAGAMENTO],$B$4,LANÇ_MOV[MÊS PAGAMENTO CORRESPONDENTE],D$6,LANÇ_MOV[EMPRESA],$C$4,LANÇ_MOV[CENTRO DE CUSTOS],$D$4)</f>
        <v>0</v>
      </c>
      <c r="E385" s="206">
        <f>SUMIFS(LANÇ_MOV[VALOR LÍQUIDO],LANÇ_MOV[RECEITA OU DESPESA],"Despesa",LANÇ_MOV[CONTAS],$C385,LANÇ_MOV[PLANO DE CONTAS],REL_DRE_FINANCEIRO!$B$343,LANÇ_MOV[ANO PAGAMENTO],$B$4,LANÇ_MOV[MÊS PAGAMENTO CORRESPONDENTE],E$6,LANÇ_MOV[EMPRESA],$C$4,LANÇ_MOV[CENTRO DE CUSTOS],$D$4)</f>
        <v>0</v>
      </c>
      <c r="F385" s="206">
        <f>SUMIFS(LANÇ_MOV[VALOR LÍQUIDO],LANÇ_MOV[RECEITA OU DESPESA],"Despesa",LANÇ_MOV[CONTAS],$C385,LANÇ_MOV[PLANO DE CONTAS],REL_DRE_FINANCEIRO!$B$343,LANÇ_MOV[ANO PAGAMENTO],$B$4,LANÇ_MOV[MÊS PAGAMENTO CORRESPONDENTE],F$6,LANÇ_MOV[EMPRESA],$C$4,LANÇ_MOV[CENTRO DE CUSTOS],$D$4)</f>
        <v>0</v>
      </c>
      <c r="G385" s="206">
        <f>SUMIFS(LANÇ_MOV[VALOR LÍQUIDO],LANÇ_MOV[RECEITA OU DESPESA],"Despesa",LANÇ_MOV[CONTAS],$C385,LANÇ_MOV[PLANO DE CONTAS],REL_DRE_FINANCEIRO!$B$343,LANÇ_MOV[ANO PAGAMENTO],$B$4,LANÇ_MOV[MÊS PAGAMENTO CORRESPONDENTE],G$6,LANÇ_MOV[EMPRESA],$C$4,LANÇ_MOV[CENTRO DE CUSTOS],$D$4)</f>
        <v>0</v>
      </c>
      <c r="H385" s="206">
        <f>SUMIFS(LANÇ_MOV[VALOR LÍQUIDO],LANÇ_MOV[RECEITA OU DESPESA],"Despesa",LANÇ_MOV[CONTAS],$C385,LANÇ_MOV[PLANO DE CONTAS],REL_DRE_FINANCEIRO!$B$343,LANÇ_MOV[ANO PAGAMENTO],$B$4,LANÇ_MOV[MÊS PAGAMENTO CORRESPONDENTE],H$6,LANÇ_MOV[EMPRESA],$C$4,LANÇ_MOV[CENTRO DE CUSTOS],$D$4)</f>
        <v>0</v>
      </c>
      <c r="I385" s="206">
        <f>SUMIFS(LANÇ_MOV[VALOR LÍQUIDO],LANÇ_MOV[RECEITA OU DESPESA],"Despesa",LANÇ_MOV[CONTAS],$C385,LANÇ_MOV[PLANO DE CONTAS],REL_DRE_FINANCEIRO!$B$343,LANÇ_MOV[ANO PAGAMENTO],$B$4,LANÇ_MOV[MÊS PAGAMENTO CORRESPONDENTE],I$6,LANÇ_MOV[EMPRESA],$C$4,LANÇ_MOV[CENTRO DE CUSTOS],$D$4)</f>
        <v>0</v>
      </c>
      <c r="J385" s="206">
        <f>SUMIFS(LANÇ_MOV[VALOR LÍQUIDO],LANÇ_MOV[RECEITA OU DESPESA],"Despesa",LANÇ_MOV[CONTAS],$C385,LANÇ_MOV[PLANO DE CONTAS],REL_DRE_FINANCEIRO!$B$343,LANÇ_MOV[ANO PAGAMENTO],$B$4,LANÇ_MOV[MÊS PAGAMENTO CORRESPONDENTE],J$6,LANÇ_MOV[EMPRESA],$C$4,LANÇ_MOV[CENTRO DE CUSTOS],$D$4)</f>
        <v>0</v>
      </c>
      <c r="K385" s="206">
        <f>SUMIFS(LANÇ_MOV[VALOR LÍQUIDO],LANÇ_MOV[RECEITA OU DESPESA],"Despesa",LANÇ_MOV[CONTAS],$C385,LANÇ_MOV[PLANO DE CONTAS],REL_DRE_FINANCEIRO!$B$343,LANÇ_MOV[ANO PAGAMENTO],$B$4,LANÇ_MOV[MÊS PAGAMENTO CORRESPONDENTE],K$6,LANÇ_MOV[EMPRESA],$C$4,LANÇ_MOV[CENTRO DE CUSTOS],$D$4)</f>
        <v>0</v>
      </c>
      <c r="L385" s="206">
        <f>SUMIFS(LANÇ_MOV[VALOR LÍQUIDO],LANÇ_MOV[RECEITA OU DESPESA],"Despesa",LANÇ_MOV[CONTAS],$C385,LANÇ_MOV[PLANO DE CONTAS],REL_DRE_FINANCEIRO!$B$343,LANÇ_MOV[ANO PAGAMENTO],$B$4,LANÇ_MOV[MÊS PAGAMENTO CORRESPONDENTE],L$6,LANÇ_MOV[EMPRESA],$C$4,LANÇ_MOV[CENTRO DE CUSTOS],$D$4)</f>
        <v>0</v>
      </c>
      <c r="M385" s="206">
        <f>SUMIFS(LANÇ_MOV[VALOR LÍQUIDO],LANÇ_MOV[RECEITA OU DESPESA],"Despesa",LANÇ_MOV[CONTAS],$C385,LANÇ_MOV[PLANO DE CONTAS],REL_DRE_FINANCEIRO!$B$343,LANÇ_MOV[ANO PAGAMENTO],$B$4,LANÇ_MOV[MÊS PAGAMENTO CORRESPONDENTE],M$6,LANÇ_MOV[EMPRESA],$C$4,LANÇ_MOV[CENTRO DE CUSTOS],$D$4)</f>
        <v>0</v>
      </c>
      <c r="N385" s="206">
        <f>SUMIFS(LANÇ_MOV[VALOR LÍQUIDO],LANÇ_MOV[RECEITA OU DESPESA],"Despesa",LANÇ_MOV[CONTAS],$C385,LANÇ_MOV[PLANO DE CONTAS],REL_DRE_FINANCEIRO!$B$343,LANÇ_MOV[ANO PAGAMENTO],$B$4,LANÇ_MOV[MÊS PAGAMENTO CORRESPONDENTE],N$6,LANÇ_MOV[EMPRESA],$C$4,LANÇ_MOV[CENTRO DE CUSTOS],$D$4)</f>
        <v>0</v>
      </c>
      <c r="O385" s="206">
        <f>SUMIFS(LANÇ_MOV[VALOR LÍQUIDO],LANÇ_MOV[RECEITA OU DESPESA],"Despesa",LANÇ_MOV[CONTAS],$C385,LANÇ_MOV[PLANO DE CONTAS],REL_DRE_FINANCEIRO!$B$343,LANÇ_MOV[ANO PAGAMENTO],$B$4,LANÇ_MOV[MÊS PAGAMENTO CORRESPONDENTE],O$6,LANÇ_MOV[EMPRESA],$C$4,LANÇ_MOV[CENTRO DE CUSTOS],$D$4)</f>
        <v>0</v>
      </c>
      <c r="P385" s="207">
        <f t="shared" si="54"/>
        <v>0</v>
      </c>
      <c r="Q385" s="329">
        <v>5.9000000000000003E-6</v>
      </c>
      <c r="R385" s="346">
        <f t="shared" si="55"/>
        <v>5.9000000000000003E-6</v>
      </c>
      <c r="S385" s="347" t="str">
        <f t="shared" si="56"/>
        <v>-</v>
      </c>
      <c r="T385" s="347">
        <f t="shared" si="57"/>
        <v>0</v>
      </c>
      <c r="U385" s="347">
        <f>HLOOKUP(Apoio!$P$12,$D$342:$P$443,X385,FALSE)+Q385</f>
        <v>5.9000000000000003E-6</v>
      </c>
      <c r="V385" s="447" t="str">
        <f t="shared" si="58"/>
        <v>-</v>
      </c>
      <c r="W385" s="448">
        <f>HLOOKUP(Apoio!$P$12,$D$342:$P$443,X385,FALSE)</f>
        <v>0</v>
      </c>
      <c r="X385" s="329">
        <v>44</v>
      </c>
    </row>
    <row r="386" spans="2:24" ht="30.05" customHeight="1" x14ac:dyDescent="0.35">
      <c r="B386" s="204" t="str">
        <f>'CAD_PL_REC-DESP'!Q47</f>
        <v>2.3.43</v>
      </c>
      <c r="C386" s="205" t="str">
        <f>IF('CAD_PL_REC-DESP'!R47="","-",'CAD_PL_REC-DESP'!R47)</f>
        <v>-</v>
      </c>
      <c r="D386" s="206">
        <f>SUMIFS(LANÇ_MOV[VALOR LÍQUIDO],LANÇ_MOV[RECEITA OU DESPESA],"Despesa",LANÇ_MOV[CONTAS],$C386,LANÇ_MOV[PLANO DE CONTAS],REL_DRE_FINANCEIRO!$B$343,LANÇ_MOV[ANO PAGAMENTO],$B$4,LANÇ_MOV[MÊS PAGAMENTO CORRESPONDENTE],D$6,LANÇ_MOV[EMPRESA],$C$4,LANÇ_MOV[CENTRO DE CUSTOS],$D$4)</f>
        <v>0</v>
      </c>
      <c r="E386" s="206">
        <f>SUMIFS(LANÇ_MOV[VALOR LÍQUIDO],LANÇ_MOV[RECEITA OU DESPESA],"Despesa",LANÇ_MOV[CONTAS],$C386,LANÇ_MOV[PLANO DE CONTAS],REL_DRE_FINANCEIRO!$B$343,LANÇ_MOV[ANO PAGAMENTO],$B$4,LANÇ_MOV[MÊS PAGAMENTO CORRESPONDENTE],E$6,LANÇ_MOV[EMPRESA],$C$4,LANÇ_MOV[CENTRO DE CUSTOS],$D$4)</f>
        <v>0</v>
      </c>
      <c r="F386" s="206">
        <f>SUMIFS(LANÇ_MOV[VALOR LÍQUIDO],LANÇ_MOV[RECEITA OU DESPESA],"Despesa",LANÇ_MOV[CONTAS],$C386,LANÇ_MOV[PLANO DE CONTAS],REL_DRE_FINANCEIRO!$B$343,LANÇ_MOV[ANO PAGAMENTO],$B$4,LANÇ_MOV[MÊS PAGAMENTO CORRESPONDENTE],F$6,LANÇ_MOV[EMPRESA],$C$4,LANÇ_MOV[CENTRO DE CUSTOS],$D$4)</f>
        <v>0</v>
      </c>
      <c r="G386" s="206">
        <f>SUMIFS(LANÇ_MOV[VALOR LÍQUIDO],LANÇ_MOV[RECEITA OU DESPESA],"Despesa",LANÇ_MOV[CONTAS],$C386,LANÇ_MOV[PLANO DE CONTAS],REL_DRE_FINANCEIRO!$B$343,LANÇ_MOV[ANO PAGAMENTO],$B$4,LANÇ_MOV[MÊS PAGAMENTO CORRESPONDENTE],G$6,LANÇ_MOV[EMPRESA],$C$4,LANÇ_MOV[CENTRO DE CUSTOS],$D$4)</f>
        <v>0</v>
      </c>
      <c r="H386" s="206">
        <f>SUMIFS(LANÇ_MOV[VALOR LÍQUIDO],LANÇ_MOV[RECEITA OU DESPESA],"Despesa",LANÇ_MOV[CONTAS],$C386,LANÇ_MOV[PLANO DE CONTAS],REL_DRE_FINANCEIRO!$B$343,LANÇ_MOV[ANO PAGAMENTO],$B$4,LANÇ_MOV[MÊS PAGAMENTO CORRESPONDENTE],H$6,LANÇ_MOV[EMPRESA],$C$4,LANÇ_MOV[CENTRO DE CUSTOS],$D$4)</f>
        <v>0</v>
      </c>
      <c r="I386" s="206">
        <f>SUMIFS(LANÇ_MOV[VALOR LÍQUIDO],LANÇ_MOV[RECEITA OU DESPESA],"Despesa",LANÇ_MOV[CONTAS],$C386,LANÇ_MOV[PLANO DE CONTAS],REL_DRE_FINANCEIRO!$B$343,LANÇ_MOV[ANO PAGAMENTO],$B$4,LANÇ_MOV[MÊS PAGAMENTO CORRESPONDENTE],I$6,LANÇ_MOV[EMPRESA],$C$4,LANÇ_MOV[CENTRO DE CUSTOS],$D$4)</f>
        <v>0</v>
      </c>
      <c r="J386" s="206">
        <f>SUMIFS(LANÇ_MOV[VALOR LÍQUIDO],LANÇ_MOV[RECEITA OU DESPESA],"Despesa",LANÇ_MOV[CONTAS],$C386,LANÇ_MOV[PLANO DE CONTAS],REL_DRE_FINANCEIRO!$B$343,LANÇ_MOV[ANO PAGAMENTO],$B$4,LANÇ_MOV[MÊS PAGAMENTO CORRESPONDENTE],J$6,LANÇ_MOV[EMPRESA],$C$4,LANÇ_MOV[CENTRO DE CUSTOS],$D$4)</f>
        <v>0</v>
      </c>
      <c r="K386" s="206">
        <f>SUMIFS(LANÇ_MOV[VALOR LÍQUIDO],LANÇ_MOV[RECEITA OU DESPESA],"Despesa",LANÇ_MOV[CONTAS],$C386,LANÇ_MOV[PLANO DE CONTAS],REL_DRE_FINANCEIRO!$B$343,LANÇ_MOV[ANO PAGAMENTO],$B$4,LANÇ_MOV[MÊS PAGAMENTO CORRESPONDENTE],K$6,LANÇ_MOV[EMPRESA],$C$4,LANÇ_MOV[CENTRO DE CUSTOS],$D$4)</f>
        <v>0</v>
      </c>
      <c r="L386" s="206">
        <f>SUMIFS(LANÇ_MOV[VALOR LÍQUIDO],LANÇ_MOV[RECEITA OU DESPESA],"Despesa",LANÇ_MOV[CONTAS],$C386,LANÇ_MOV[PLANO DE CONTAS],REL_DRE_FINANCEIRO!$B$343,LANÇ_MOV[ANO PAGAMENTO],$B$4,LANÇ_MOV[MÊS PAGAMENTO CORRESPONDENTE],L$6,LANÇ_MOV[EMPRESA],$C$4,LANÇ_MOV[CENTRO DE CUSTOS],$D$4)</f>
        <v>0</v>
      </c>
      <c r="M386" s="206">
        <f>SUMIFS(LANÇ_MOV[VALOR LÍQUIDO],LANÇ_MOV[RECEITA OU DESPESA],"Despesa",LANÇ_MOV[CONTAS],$C386,LANÇ_MOV[PLANO DE CONTAS],REL_DRE_FINANCEIRO!$B$343,LANÇ_MOV[ANO PAGAMENTO],$B$4,LANÇ_MOV[MÊS PAGAMENTO CORRESPONDENTE],M$6,LANÇ_MOV[EMPRESA],$C$4,LANÇ_MOV[CENTRO DE CUSTOS],$D$4)</f>
        <v>0</v>
      </c>
      <c r="N386" s="206">
        <f>SUMIFS(LANÇ_MOV[VALOR LÍQUIDO],LANÇ_MOV[RECEITA OU DESPESA],"Despesa",LANÇ_MOV[CONTAS],$C386,LANÇ_MOV[PLANO DE CONTAS],REL_DRE_FINANCEIRO!$B$343,LANÇ_MOV[ANO PAGAMENTO],$B$4,LANÇ_MOV[MÊS PAGAMENTO CORRESPONDENTE],N$6,LANÇ_MOV[EMPRESA],$C$4,LANÇ_MOV[CENTRO DE CUSTOS],$D$4)</f>
        <v>0</v>
      </c>
      <c r="O386" s="206">
        <f>SUMIFS(LANÇ_MOV[VALOR LÍQUIDO],LANÇ_MOV[RECEITA OU DESPESA],"Despesa",LANÇ_MOV[CONTAS],$C386,LANÇ_MOV[PLANO DE CONTAS],REL_DRE_FINANCEIRO!$B$343,LANÇ_MOV[ANO PAGAMENTO],$B$4,LANÇ_MOV[MÊS PAGAMENTO CORRESPONDENTE],O$6,LANÇ_MOV[EMPRESA],$C$4,LANÇ_MOV[CENTRO DE CUSTOS],$D$4)</f>
        <v>0</v>
      </c>
      <c r="P386" s="207">
        <f t="shared" si="54"/>
        <v>0</v>
      </c>
      <c r="Q386" s="329">
        <v>5.8000000000000004E-6</v>
      </c>
      <c r="R386" s="346">
        <f t="shared" si="55"/>
        <v>5.8000000000000004E-6</v>
      </c>
      <c r="S386" s="347" t="str">
        <f t="shared" si="56"/>
        <v>-</v>
      </c>
      <c r="T386" s="347">
        <f t="shared" si="57"/>
        <v>0</v>
      </c>
      <c r="U386" s="347">
        <f>HLOOKUP(Apoio!$P$12,$D$342:$P$443,X386,FALSE)+Q386</f>
        <v>5.8000000000000004E-6</v>
      </c>
      <c r="V386" s="447" t="str">
        <f t="shared" si="58"/>
        <v>-</v>
      </c>
      <c r="W386" s="448">
        <f>HLOOKUP(Apoio!$P$12,$D$342:$P$443,X386,FALSE)</f>
        <v>0</v>
      </c>
      <c r="X386" s="329">
        <v>45</v>
      </c>
    </row>
    <row r="387" spans="2:24" ht="30.05" customHeight="1" x14ac:dyDescent="0.35">
      <c r="B387" s="204" t="str">
        <f>'CAD_PL_REC-DESP'!Q48</f>
        <v>2.3.44</v>
      </c>
      <c r="C387" s="205" t="str">
        <f>IF('CAD_PL_REC-DESP'!R48="","-",'CAD_PL_REC-DESP'!R48)</f>
        <v>-</v>
      </c>
      <c r="D387" s="206">
        <f>SUMIFS(LANÇ_MOV[VALOR LÍQUIDO],LANÇ_MOV[RECEITA OU DESPESA],"Despesa",LANÇ_MOV[CONTAS],$C387,LANÇ_MOV[PLANO DE CONTAS],REL_DRE_FINANCEIRO!$B$343,LANÇ_MOV[ANO PAGAMENTO],$B$4,LANÇ_MOV[MÊS PAGAMENTO CORRESPONDENTE],D$6,LANÇ_MOV[EMPRESA],$C$4,LANÇ_MOV[CENTRO DE CUSTOS],$D$4)</f>
        <v>0</v>
      </c>
      <c r="E387" s="206">
        <f>SUMIFS(LANÇ_MOV[VALOR LÍQUIDO],LANÇ_MOV[RECEITA OU DESPESA],"Despesa",LANÇ_MOV[CONTAS],$C387,LANÇ_MOV[PLANO DE CONTAS],REL_DRE_FINANCEIRO!$B$343,LANÇ_MOV[ANO PAGAMENTO],$B$4,LANÇ_MOV[MÊS PAGAMENTO CORRESPONDENTE],E$6,LANÇ_MOV[EMPRESA],$C$4,LANÇ_MOV[CENTRO DE CUSTOS],$D$4)</f>
        <v>0</v>
      </c>
      <c r="F387" s="206">
        <f>SUMIFS(LANÇ_MOV[VALOR LÍQUIDO],LANÇ_MOV[RECEITA OU DESPESA],"Despesa",LANÇ_MOV[CONTAS],$C387,LANÇ_MOV[PLANO DE CONTAS],REL_DRE_FINANCEIRO!$B$343,LANÇ_MOV[ANO PAGAMENTO],$B$4,LANÇ_MOV[MÊS PAGAMENTO CORRESPONDENTE],F$6,LANÇ_MOV[EMPRESA],$C$4,LANÇ_MOV[CENTRO DE CUSTOS],$D$4)</f>
        <v>0</v>
      </c>
      <c r="G387" s="206">
        <f>SUMIFS(LANÇ_MOV[VALOR LÍQUIDO],LANÇ_MOV[RECEITA OU DESPESA],"Despesa",LANÇ_MOV[CONTAS],$C387,LANÇ_MOV[PLANO DE CONTAS],REL_DRE_FINANCEIRO!$B$343,LANÇ_MOV[ANO PAGAMENTO],$B$4,LANÇ_MOV[MÊS PAGAMENTO CORRESPONDENTE],G$6,LANÇ_MOV[EMPRESA],$C$4,LANÇ_MOV[CENTRO DE CUSTOS],$D$4)</f>
        <v>0</v>
      </c>
      <c r="H387" s="206">
        <f>SUMIFS(LANÇ_MOV[VALOR LÍQUIDO],LANÇ_MOV[RECEITA OU DESPESA],"Despesa",LANÇ_MOV[CONTAS],$C387,LANÇ_MOV[PLANO DE CONTAS],REL_DRE_FINANCEIRO!$B$343,LANÇ_MOV[ANO PAGAMENTO],$B$4,LANÇ_MOV[MÊS PAGAMENTO CORRESPONDENTE],H$6,LANÇ_MOV[EMPRESA],$C$4,LANÇ_MOV[CENTRO DE CUSTOS],$D$4)</f>
        <v>0</v>
      </c>
      <c r="I387" s="206">
        <f>SUMIFS(LANÇ_MOV[VALOR LÍQUIDO],LANÇ_MOV[RECEITA OU DESPESA],"Despesa",LANÇ_MOV[CONTAS],$C387,LANÇ_MOV[PLANO DE CONTAS],REL_DRE_FINANCEIRO!$B$343,LANÇ_MOV[ANO PAGAMENTO],$B$4,LANÇ_MOV[MÊS PAGAMENTO CORRESPONDENTE],I$6,LANÇ_MOV[EMPRESA],$C$4,LANÇ_MOV[CENTRO DE CUSTOS],$D$4)</f>
        <v>0</v>
      </c>
      <c r="J387" s="206">
        <f>SUMIFS(LANÇ_MOV[VALOR LÍQUIDO],LANÇ_MOV[RECEITA OU DESPESA],"Despesa",LANÇ_MOV[CONTAS],$C387,LANÇ_MOV[PLANO DE CONTAS],REL_DRE_FINANCEIRO!$B$343,LANÇ_MOV[ANO PAGAMENTO],$B$4,LANÇ_MOV[MÊS PAGAMENTO CORRESPONDENTE],J$6,LANÇ_MOV[EMPRESA],$C$4,LANÇ_MOV[CENTRO DE CUSTOS],$D$4)</f>
        <v>0</v>
      </c>
      <c r="K387" s="206">
        <f>SUMIFS(LANÇ_MOV[VALOR LÍQUIDO],LANÇ_MOV[RECEITA OU DESPESA],"Despesa",LANÇ_MOV[CONTAS],$C387,LANÇ_MOV[PLANO DE CONTAS],REL_DRE_FINANCEIRO!$B$343,LANÇ_MOV[ANO PAGAMENTO],$B$4,LANÇ_MOV[MÊS PAGAMENTO CORRESPONDENTE],K$6,LANÇ_MOV[EMPRESA],$C$4,LANÇ_MOV[CENTRO DE CUSTOS],$D$4)</f>
        <v>0</v>
      </c>
      <c r="L387" s="206">
        <f>SUMIFS(LANÇ_MOV[VALOR LÍQUIDO],LANÇ_MOV[RECEITA OU DESPESA],"Despesa",LANÇ_MOV[CONTAS],$C387,LANÇ_MOV[PLANO DE CONTAS],REL_DRE_FINANCEIRO!$B$343,LANÇ_MOV[ANO PAGAMENTO],$B$4,LANÇ_MOV[MÊS PAGAMENTO CORRESPONDENTE],L$6,LANÇ_MOV[EMPRESA],$C$4,LANÇ_MOV[CENTRO DE CUSTOS],$D$4)</f>
        <v>0</v>
      </c>
      <c r="M387" s="206">
        <f>SUMIFS(LANÇ_MOV[VALOR LÍQUIDO],LANÇ_MOV[RECEITA OU DESPESA],"Despesa",LANÇ_MOV[CONTAS],$C387,LANÇ_MOV[PLANO DE CONTAS],REL_DRE_FINANCEIRO!$B$343,LANÇ_MOV[ANO PAGAMENTO],$B$4,LANÇ_MOV[MÊS PAGAMENTO CORRESPONDENTE],M$6,LANÇ_MOV[EMPRESA],$C$4,LANÇ_MOV[CENTRO DE CUSTOS],$D$4)</f>
        <v>0</v>
      </c>
      <c r="N387" s="206">
        <f>SUMIFS(LANÇ_MOV[VALOR LÍQUIDO],LANÇ_MOV[RECEITA OU DESPESA],"Despesa",LANÇ_MOV[CONTAS],$C387,LANÇ_MOV[PLANO DE CONTAS],REL_DRE_FINANCEIRO!$B$343,LANÇ_MOV[ANO PAGAMENTO],$B$4,LANÇ_MOV[MÊS PAGAMENTO CORRESPONDENTE],N$6,LANÇ_MOV[EMPRESA],$C$4,LANÇ_MOV[CENTRO DE CUSTOS],$D$4)</f>
        <v>0</v>
      </c>
      <c r="O387" s="206">
        <f>SUMIFS(LANÇ_MOV[VALOR LÍQUIDO],LANÇ_MOV[RECEITA OU DESPESA],"Despesa",LANÇ_MOV[CONTAS],$C387,LANÇ_MOV[PLANO DE CONTAS],REL_DRE_FINANCEIRO!$B$343,LANÇ_MOV[ANO PAGAMENTO],$B$4,LANÇ_MOV[MÊS PAGAMENTO CORRESPONDENTE],O$6,LANÇ_MOV[EMPRESA],$C$4,LANÇ_MOV[CENTRO DE CUSTOS],$D$4)</f>
        <v>0</v>
      </c>
      <c r="P387" s="207">
        <f t="shared" si="54"/>
        <v>0</v>
      </c>
      <c r="Q387" s="329">
        <v>5.6999999999999996E-6</v>
      </c>
      <c r="R387" s="346">
        <f t="shared" si="55"/>
        <v>5.6999999999999996E-6</v>
      </c>
      <c r="S387" s="347" t="str">
        <f t="shared" si="56"/>
        <v>-</v>
      </c>
      <c r="T387" s="347">
        <f t="shared" si="57"/>
        <v>0</v>
      </c>
      <c r="U387" s="347">
        <f>HLOOKUP(Apoio!$P$12,$D$342:$P$443,X387,FALSE)+Q387</f>
        <v>5.6999999999999996E-6</v>
      </c>
      <c r="V387" s="447" t="str">
        <f t="shared" si="58"/>
        <v>-</v>
      </c>
      <c r="W387" s="448">
        <f>HLOOKUP(Apoio!$P$12,$D$342:$P$443,X387,FALSE)</f>
        <v>0</v>
      </c>
      <c r="X387" s="329">
        <v>46</v>
      </c>
    </row>
    <row r="388" spans="2:24" ht="30.05" customHeight="1" x14ac:dyDescent="0.35">
      <c r="B388" s="204" t="str">
        <f>'CAD_PL_REC-DESP'!Q49</f>
        <v>2.3.45</v>
      </c>
      <c r="C388" s="205" t="str">
        <f>IF('CAD_PL_REC-DESP'!R49="","-",'CAD_PL_REC-DESP'!R49)</f>
        <v>-</v>
      </c>
      <c r="D388" s="206">
        <f>SUMIFS(LANÇ_MOV[VALOR LÍQUIDO],LANÇ_MOV[RECEITA OU DESPESA],"Despesa",LANÇ_MOV[CONTAS],$C388,LANÇ_MOV[PLANO DE CONTAS],REL_DRE_FINANCEIRO!$B$343,LANÇ_MOV[ANO PAGAMENTO],$B$4,LANÇ_MOV[MÊS PAGAMENTO CORRESPONDENTE],D$6,LANÇ_MOV[EMPRESA],$C$4,LANÇ_MOV[CENTRO DE CUSTOS],$D$4)</f>
        <v>0</v>
      </c>
      <c r="E388" s="206">
        <f>SUMIFS(LANÇ_MOV[VALOR LÍQUIDO],LANÇ_MOV[RECEITA OU DESPESA],"Despesa",LANÇ_MOV[CONTAS],$C388,LANÇ_MOV[PLANO DE CONTAS],REL_DRE_FINANCEIRO!$B$343,LANÇ_MOV[ANO PAGAMENTO],$B$4,LANÇ_MOV[MÊS PAGAMENTO CORRESPONDENTE],E$6,LANÇ_MOV[EMPRESA],$C$4,LANÇ_MOV[CENTRO DE CUSTOS],$D$4)</f>
        <v>0</v>
      </c>
      <c r="F388" s="206">
        <f>SUMIFS(LANÇ_MOV[VALOR LÍQUIDO],LANÇ_MOV[RECEITA OU DESPESA],"Despesa",LANÇ_MOV[CONTAS],$C388,LANÇ_MOV[PLANO DE CONTAS],REL_DRE_FINANCEIRO!$B$343,LANÇ_MOV[ANO PAGAMENTO],$B$4,LANÇ_MOV[MÊS PAGAMENTO CORRESPONDENTE],F$6,LANÇ_MOV[EMPRESA],$C$4,LANÇ_MOV[CENTRO DE CUSTOS],$D$4)</f>
        <v>0</v>
      </c>
      <c r="G388" s="206">
        <f>SUMIFS(LANÇ_MOV[VALOR LÍQUIDO],LANÇ_MOV[RECEITA OU DESPESA],"Despesa",LANÇ_MOV[CONTAS],$C388,LANÇ_MOV[PLANO DE CONTAS],REL_DRE_FINANCEIRO!$B$343,LANÇ_MOV[ANO PAGAMENTO],$B$4,LANÇ_MOV[MÊS PAGAMENTO CORRESPONDENTE],G$6,LANÇ_MOV[EMPRESA],$C$4,LANÇ_MOV[CENTRO DE CUSTOS],$D$4)</f>
        <v>0</v>
      </c>
      <c r="H388" s="206">
        <f>SUMIFS(LANÇ_MOV[VALOR LÍQUIDO],LANÇ_MOV[RECEITA OU DESPESA],"Despesa",LANÇ_MOV[CONTAS],$C388,LANÇ_MOV[PLANO DE CONTAS],REL_DRE_FINANCEIRO!$B$343,LANÇ_MOV[ANO PAGAMENTO],$B$4,LANÇ_MOV[MÊS PAGAMENTO CORRESPONDENTE],H$6,LANÇ_MOV[EMPRESA],$C$4,LANÇ_MOV[CENTRO DE CUSTOS],$D$4)</f>
        <v>0</v>
      </c>
      <c r="I388" s="206">
        <f>SUMIFS(LANÇ_MOV[VALOR LÍQUIDO],LANÇ_MOV[RECEITA OU DESPESA],"Despesa",LANÇ_MOV[CONTAS],$C388,LANÇ_MOV[PLANO DE CONTAS],REL_DRE_FINANCEIRO!$B$343,LANÇ_MOV[ANO PAGAMENTO],$B$4,LANÇ_MOV[MÊS PAGAMENTO CORRESPONDENTE],I$6,LANÇ_MOV[EMPRESA],$C$4,LANÇ_MOV[CENTRO DE CUSTOS],$D$4)</f>
        <v>0</v>
      </c>
      <c r="J388" s="206">
        <f>SUMIFS(LANÇ_MOV[VALOR LÍQUIDO],LANÇ_MOV[RECEITA OU DESPESA],"Despesa",LANÇ_MOV[CONTAS],$C388,LANÇ_MOV[PLANO DE CONTAS],REL_DRE_FINANCEIRO!$B$343,LANÇ_MOV[ANO PAGAMENTO],$B$4,LANÇ_MOV[MÊS PAGAMENTO CORRESPONDENTE],J$6,LANÇ_MOV[EMPRESA],$C$4,LANÇ_MOV[CENTRO DE CUSTOS],$D$4)</f>
        <v>0</v>
      </c>
      <c r="K388" s="206">
        <f>SUMIFS(LANÇ_MOV[VALOR LÍQUIDO],LANÇ_MOV[RECEITA OU DESPESA],"Despesa",LANÇ_MOV[CONTAS],$C388,LANÇ_MOV[PLANO DE CONTAS],REL_DRE_FINANCEIRO!$B$343,LANÇ_MOV[ANO PAGAMENTO],$B$4,LANÇ_MOV[MÊS PAGAMENTO CORRESPONDENTE],K$6,LANÇ_MOV[EMPRESA],$C$4,LANÇ_MOV[CENTRO DE CUSTOS],$D$4)</f>
        <v>0</v>
      </c>
      <c r="L388" s="206">
        <f>SUMIFS(LANÇ_MOV[VALOR LÍQUIDO],LANÇ_MOV[RECEITA OU DESPESA],"Despesa",LANÇ_MOV[CONTAS],$C388,LANÇ_MOV[PLANO DE CONTAS],REL_DRE_FINANCEIRO!$B$343,LANÇ_MOV[ANO PAGAMENTO],$B$4,LANÇ_MOV[MÊS PAGAMENTO CORRESPONDENTE],L$6,LANÇ_MOV[EMPRESA],$C$4,LANÇ_MOV[CENTRO DE CUSTOS],$D$4)</f>
        <v>0</v>
      </c>
      <c r="M388" s="206">
        <f>SUMIFS(LANÇ_MOV[VALOR LÍQUIDO],LANÇ_MOV[RECEITA OU DESPESA],"Despesa",LANÇ_MOV[CONTAS],$C388,LANÇ_MOV[PLANO DE CONTAS],REL_DRE_FINANCEIRO!$B$343,LANÇ_MOV[ANO PAGAMENTO],$B$4,LANÇ_MOV[MÊS PAGAMENTO CORRESPONDENTE],M$6,LANÇ_MOV[EMPRESA],$C$4,LANÇ_MOV[CENTRO DE CUSTOS],$D$4)</f>
        <v>0</v>
      </c>
      <c r="N388" s="206">
        <f>SUMIFS(LANÇ_MOV[VALOR LÍQUIDO],LANÇ_MOV[RECEITA OU DESPESA],"Despesa",LANÇ_MOV[CONTAS],$C388,LANÇ_MOV[PLANO DE CONTAS],REL_DRE_FINANCEIRO!$B$343,LANÇ_MOV[ANO PAGAMENTO],$B$4,LANÇ_MOV[MÊS PAGAMENTO CORRESPONDENTE],N$6,LANÇ_MOV[EMPRESA],$C$4,LANÇ_MOV[CENTRO DE CUSTOS],$D$4)</f>
        <v>0</v>
      </c>
      <c r="O388" s="206">
        <f>SUMIFS(LANÇ_MOV[VALOR LÍQUIDO],LANÇ_MOV[RECEITA OU DESPESA],"Despesa",LANÇ_MOV[CONTAS],$C388,LANÇ_MOV[PLANO DE CONTAS],REL_DRE_FINANCEIRO!$B$343,LANÇ_MOV[ANO PAGAMENTO],$B$4,LANÇ_MOV[MÊS PAGAMENTO CORRESPONDENTE],O$6,LANÇ_MOV[EMPRESA],$C$4,LANÇ_MOV[CENTRO DE CUSTOS],$D$4)</f>
        <v>0</v>
      </c>
      <c r="P388" s="207">
        <f t="shared" si="54"/>
        <v>0</v>
      </c>
      <c r="Q388" s="329">
        <v>5.5999999999999997E-6</v>
      </c>
      <c r="R388" s="346">
        <f t="shared" si="55"/>
        <v>5.5999999999999997E-6</v>
      </c>
      <c r="S388" s="347" t="str">
        <f t="shared" si="56"/>
        <v>-</v>
      </c>
      <c r="T388" s="347">
        <f t="shared" si="57"/>
        <v>0</v>
      </c>
      <c r="U388" s="347">
        <f>HLOOKUP(Apoio!$P$12,$D$342:$P$443,X388,FALSE)+Q388</f>
        <v>5.5999999999999997E-6</v>
      </c>
      <c r="V388" s="447" t="str">
        <f t="shared" si="58"/>
        <v>-</v>
      </c>
      <c r="W388" s="448">
        <f>HLOOKUP(Apoio!$P$12,$D$342:$P$443,X388,FALSE)</f>
        <v>0</v>
      </c>
      <c r="X388" s="329">
        <v>47</v>
      </c>
    </row>
    <row r="389" spans="2:24" ht="30.05" customHeight="1" x14ac:dyDescent="0.35">
      <c r="B389" s="204" t="str">
        <f>'CAD_PL_REC-DESP'!Q50</f>
        <v>2.3.46</v>
      </c>
      <c r="C389" s="205" t="str">
        <f>IF('CAD_PL_REC-DESP'!R50="","-",'CAD_PL_REC-DESP'!R50)</f>
        <v>-</v>
      </c>
      <c r="D389" s="206">
        <f>SUMIFS(LANÇ_MOV[VALOR LÍQUIDO],LANÇ_MOV[RECEITA OU DESPESA],"Despesa",LANÇ_MOV[CONTAS],$C389,LANÇ_MOV[PLANO DE CONTAS],REL_DRE_FINANCEIRO!$B$343,LANÇ_MOV[ANO PAGAMENTO],$B$4,LANÇ_MOV[MÊS PAGAMENTO CORRESPONDENTE],D$6,LANÇ_MOV[EMPRESA],$C$4,LANÇ_MOV[CENTRO DE CUSTOS],$D$4)</f>
        <v>0</v>
      </c>
      <c r="E389" s="206">
        <f>SUMIFS(LANÇ_MOV[VALOR LÍQUIDO],LANÇ_MOV[RECEITA OU DESPESA],"Despesa",LANÇ_MOV[CONTAS],$C389,LANÇ_MOV[PLANO DE CONTAS],REL_DRE_FINANCEIRO!$B$343,LANÇ_MOV[ANO PAGAMENTO],$B$4,LANÇ_MOV[MÊS PAGAMENTO CORRESPONDENTE],E$6,LANÇ_MOV[EMPRESA],$C$4,LANÇ_MOV[CENTRO DE CUSTOS],$D$4)</f>
        <v>0</v>
      </c>
      <c r="F389" s="206">
        <f>SUMIFS(LANÇ_MOV[VALOR LÍQUIDO],LANÇ_MOV[RECEITA OU DESPESA],"Despesa",LANÇ_MOV[CONTAS],$C389,LANÇ_MOV[PLANO DE CONTAS],REL_DRE_FINANCEIRO!$B$343,LANÇ_MOV[ANO PAGAMENTO],$B$4,LANÇ_MOV[MÊS PAGAMENTO CORRESPONDENTE],F$6,LANÇ_MOV[EMPRESA],$C$4,LANÇ_MOV[CENTRO DE CUSTOS],$D$4)</f>
        <v>0</v>
      </c>
      <c r="G389" s="206">
        <f>SUMIFS(LANÇ_MOV[VALOR LÍQUIDO],LANÇ_MOV[RECEITA OU DESPESA],"Despesa",LANÇ_MOV[CONTAS],$C389,LANÇ_MOV[PLANO DE CONTAS],REL_DRE_FINANCEIRO!$B$343,LANÇ_MOV[ANO PAGAMENTO],$B$4,LANÇ_MOV[MÊS PAGAMENTO CORRESPONDENTE],G$6,LANÇ_MOV[EMPRESA],$C$4,LANÇ_MOV[CENTRO DE CUSTOS],$D$4)</f>
        <v>0</v>
      </c>
      <c r="H389" s="206">
        <f>SUMIFS(LANÇ_MOV[VALOR LÍQUIDO],LANÇ_MOV[RECEITA OU DESPESA],"Despesa",LANÇ_MOV[CONTAS],$C389,LANÇ_MOV[PLANO DE CONTAS],REL_DRE_FINANCEIRO!$B$343,LANÇ_MOV[ANO PAGAMENTO],$B$4,LANÇ_MOV[MÊS PAGAMENTO CORRESPONDENTE],H$6,LANÇ_MOV[EMPRESA],$C$4,LANÇ_MOV[CENTRO DE CUSTOS],$D$4)</f>
        <v>0</v>
      </c>
      <c r="I389" s="206">
        <f>SUMIFS(LANÇ_MOV[VALOR LÍQUIDO],LANÇ_MOV[RECEITA OU DESPESA],"Despesa",LANÇ_MOV[CONTAS],$C389,LANÇ_MOV[PLANO DE CONTAS],REL_DRE_FINANCEIRO!$B$343,LANÇ_MOV[ANO PAGAMENTO],$B$4,LANÇ_MOV[MÊS PAGAMENTO CORRESPONDENTE],I$6,LANÇ_MOV[EMPRESA],$C$4,LANÇ_MOV[CENTRO DE CUSTOS],$D$4)</f>
        <v>0</v>
      </c>
      <c r="J389" s="206">
        <f>SUMIFS(LANÇ_MOV[VALOR LÍQUIDO],LANÇ_MOV[RECEITA OU DESPESA],"Despesa",LANÇ_MOV[CONTAS],$C389,LANÇ_MOV[PLANO DE CONTAS],REL_DRE_FINANCEIRO!$B$343,LANÇ_MOV[ANO PAGAMENTO],$B$4,LANÇ_MOV[MÊS PAGAMENTO CORRESPONDENTE],J$6,LANÇ_MOV[EMPRESA],$C$4,LANÇ_MOV[CENTRO DE CUSTOS],$D$4)</f>
        <v>0</v>
      </c>
      <c r="K389" s="206">
        <f>SUMIFS(LANÇ_MOV[VALOR LÍQUIDO],LANÇ_MOV[RECEITA OU DESPESA],"Despesa",LANÇ_MOV[CONTAS],$C389,LANÇ_MOV[PLANO DE CONTAS],REL_DRE_FINANCEIRO!$B$343,LANÇ_MOV[ANO PAGAMENTO],$B$4,LANÇ_MOV[MÊS PAGAMENTO CORRESPONDENTE],K$6,LANÇ_MOV[EMPRESA],$C$4,LANÇ_MOV[CENTRO DE CUSTOS],$D$4)</f>
        <v>0</v>
      </c>
      <c r="L389" s="206">
        <f>SUMIFS(LANÇ_MOV[VALOR LÍQUIDO],LANÇ_MOV[RECEITA OU DESPESA],"Despesa",LANÇ_MOV[CONTAS],$C389,LANÇ_MOV[PLANO DE CONTAS],REL_DRE_FINANCEIRO!$B$343,LANÇ_MOV[ANO PAGAMENTO],$B$4,LANÇ_MOV[MÊS PAGAMENTO CORRESPONDENTE],L$6,LANÇ_MOV[EMPRESA],$C$4,LANÇ_MOV[CENTRO DE CUSTOS],$D$4)</f>
        <v>0</v>
      </c>
      <c r="M389" s="206">
        <f>SUMIFS(LANÇ_MOV[VALOR LÍQUIDO],LANÇ_MOV[RECEITA OU DESPESA],"Despesa",LANÇ_MOV[CONTAS],$C389,LANÇ_MOV[PLANO DE CONTAS],REL_DRE_FINANCEIRO!$B$343,LANÇ_MOV[ANO PAGAMENTO],$B$4,LANÇ_MOV[MÊS PAGAMENTO CORRESPONDENTE],M$6,LANÇ_MOV[EMPRESA],$C$4,LANÇ_MOV[CENTRO DE CUSTOS],$D$4)</f>
        <v>0</v>
      </c>
      <c r="N389" s="206">
        <f>SUMIFS(LANÇ_MOV[VALOR LÍQUIDO],LANÇ_MOV[RECEITA OU DESPESA],"Despesa",LANÇ_MOV[CONTAS],$C389,LANÇ_MOV[PLANO DE CONTAS],REL_DRE_FINANCEIRO!$B$343,LANÇ_MOV[ANO PAGAMENTO],$B$4,LANÇ_MOV[MÊS PAGAMENTO CORRESPONDENTE],N$6,LANÇ_MOV[EMPRESA],$C$4,LANÇ_MOV[CENTRO DE CUSTOS],$D$4)</f>
        <v>0</v>
      </c>
      <c r="O389" s="206">
        <f>SUMIFS(LANÇ_MOV[VALOR LÍQUIDO],LANÇ_MOV[RECEITA OU DESPESA],"Despesa",LANÇ_MOV[CONTAS],$C389,LANÇ_MOV[PLANO DE CONTAS],REL_DRE_FINANCEIRO!$B$343,LANÇ_MOV[ANO PAGAMENTO],$B$4,LANÇ_MOV[MÊS PAGAMENTO CORRESPONDENTE],O$6,LANÇ_MOV[EMPRESA],$C$4,LANÇ_MOV[CENTRO DE CUSTOS],$D$4)</f>
        <v>0</v>
      </c>
      <c r="P389" s="207">
        <f t="shared" si="54"/>
        <v>0</v>
      </c>
      <c r="Q389" s="329">
        <v>5.4999999999999999E-6</v>
      </c>
      <c r="R389" s="346">
        <f t="shared" si="55"/>
        <v>5.4999999999999999E-6</v>
      </c>
      <c r="S389" s="347" t="str">
        <f t="shared" si="56"/>
        <v>-</v>
      </c>
      <c r="T389" s="347">
        <f t="shared" si="57"/>
        <v>0</v>
      </c>
      <c r="U389" s="347">
        <f>HLOOKUP(Apoio!$P$12,$D$342:$P$443,X389,FALSE)+Q389</f>
        <v>5.4999999999999999E-6</v>
      </c>
      <c r="V389" s="447" t="str">
        <f t="shared" si="58"/>
        <v>-</v>
      </c>
      <c r="W389" s="448">
        <f>HLOOKUP(Apoio!$P$12,$D$342:$P$443,X389,FALSE)</f>
        <v>0</v>
      </c>
      <c r="X389" s="329">
        <v>48</v>
      </c>
    </row>
    <row r="390" spans="2:24" ht="30.05" customHeight="1" x14ac:dyDescent="0.35">
      <c r="B390" s="204" t="str">
        <f>'CAD_PL_REC-DESP'!Q51</f>
        <v>2.3.47</v>
      </c>
      <c r="C390" s="205" t="str">
        <f>IF('CAD_PL_REC-DESP'!R51="","-",'CAD_PL_REC-DESP'!R51)</f>
        <v>-</v>
      </c>
      <c r="D390" s="206">
        <f>SUMIFS(LANÇ_MOV[VALOR LÍQUIDO],LANÇ_MOV[RECEITA OU DESPESA],"Despesa",LANÇ_MOV[CONTAS],$C390,LANÇ_MOV[PLANO DE CONTAS],REL_DRE_FINANCEIRO!$B$343,LANÇ_MOV[ANO PAGAMENTO],$B$4,LANÇ_MOV[MÊS PAGAMENTO CORRESPONDENTE],D$6,LANÇ_MOV[EMPRESA],$C$4,LANÇ_MOV[CENTRO DE CUSTOS],$D$4)</f>
        <v>0</v>
      </c>
      <c r="E390" s="206">
        <f>SUMIFS(LANÇ_MOV[VALOR LÍQUIDO],LANÇ_MOV[RECEITA OU DESPESA],"Despesa",LANÇ_MOV[CONTAS],$C390,LANÇ_MOV[PLANO DE CONTAS],REL_DRE_FINANCEIRO!$B$343,LANÇ_MOV[ANO PAGAMENTO],$B$4,LANÇ_MOV[MÊS PAGAMENTO CORRESPONDENTE],E$6,LANÇ_MOV[EMPRESA],$C$4,LANÇ_MOV[CENTRO DE CUSTOS],$D$4)</f>
        <v>0</v>
      </c>
      <c r="F390" s="206">
        <f>SUMIFS(LANÇ_MOV[VALOR LÍQUIDO],LANÇ_MOV[RECEITA OU DESPESA],"Despesa",LANÇ_MOV[CONTAS],$C390,LANÇ_MOV[PLANO DE CONTAS],REL_DRE_FINANCEIRO!$B$343,LANÇ_MOV[ANO PAGAMENTO],$B$4,LANÇ_MOV[MÊS PAGAMENTO CORRESPONDENTE],F$6,LANÇ_MOV[EMPRESA],$C$4,LANÇ_MOV[CENTRO DE CUSTOS],$D$4)</f>
        <v>0</v>
      </c>
      <c r="G390" s="206">
        <f>SUMIFS(LANÇ_MOV[VALOR LÍQUIDO],LANÇ_MOV[RECEITA OU DESPESA],"Despesa",LANÇ_MOV[CONTAS],$C390,LANÇ_MOV[PLANO DE CONTAS],REL_DRE_FINANCEIRO!$B$343,LANÇ_MOV[ANO PAGAMENTO],$B$4,LANÇ_MOV[MÊS PAGAMENTO CORRESPONDENTE],G$6,LANÇ_MOV[EMPRESA],$C$4,LANÇ_MOV[CENTRO DE CUSTOS],$D$4)</f>
        <v>0</v>
      </c>
      <c r="H390" s="206">
        <f>SUMIFS(LANÇ_MOV[VALOR LÍQUIDO],LANÇ_MOV[RECEITA OU DESPESA],"Despesa",LANÇ_MOV[CONTAS],$C390,LANÇ_MOV[PLANO DE CONTAS],REL_DRE_FINANCEIRO!$B$343,LANÇ_MOV[ANO PAGAMENTO],$B$4,LANÇ_MOV[MÊS PAGAMENTO CORRESPONDENTE],H$6,LANÇ_MOV[EMPRESA],$C$4,LANÇ_MOV[CENTRO DE CUSTOS],$D$4)</f>
        <v>0</v>
      </c>
      <c r="I390" s="206">
        <f>SUMIFS(LANÇ_MOV[VALOR LÍQUIDO],LANÇ_MOV[RECEITA OU DESPESA],"Despesa",LANÇ_MOV[CONTAS],$C390,LANÇ_MOV[PLANO DE CONTAS],REL_DRE_FINANCEIRO!$B$343,LANÇ_MOV[ANO PAGAMENTO],$B$4,LANÇ_MOV[MÊS PAGAMENTO CORRESPONDENTE],I$6,LANÇ_MOV[EMPRESA],$C$4,LANÇ_MOV[CENTRO DE CUSTOS],$D$4)</f>
        <v>0</v>
      </c>
      <c r="J390" s="206">
        <f>SUMIFS(LANÇ_MOV[VALOR LÍQUIDO],LANÇ_MOV[RECEITA OU DESPESA],"Despesa",LANÇ_MOV[CONTAS],$C390,LANÇ_MOV[PLANO DE CONTAS],REL_DRE_FINANCEIRO!$B$343,LANÇ_MOV[ANO PAGAMENTO],$B$4,LANÇ_MOV[MÊS PAGAMENTO CORRESPONDENTE],J$6,LANÇ_MOV[EMPRESA],$C$4,LANÇ_MOV[CENTRO DE CUSTOS],$D$4)</f>
        <v>0</v>
      </c>
      <c r="K390" s="206">
        <f>SUMIFS(LANÇ_MOV[VALOR LÍQUIDO],LANÇ_MOV[RECEITA OU DESPESA],"Despesa",LANÇ_MOV[CONTAS],$C390,LANÇ_MOV[PLANO DE CONTAS],REL_DRE_FINANCEIRO!$B$343,LANÇ_MOV[ANO PAGAMENTO],$B$4,LANÇ_MOV[MÊS PAGAMENTO CORRESPONDENTE],K$6,LANÇ_MOV[EMPRESA],$C$4,LANÇ_MOV[CENTRO DE CUSTOS],$D$4)</f>
        <v>0</v>
      </c>
      <c r="L390" s="206">
        <f>SUMIFS(LANÇ_MOV[VALOR LÍQUIDO],LANÇ_MOV[RECEITA OU DESPESA],"Despesa",LANÇ_MOV[CONTAS],$C390,LANÇ_MOV[PLANO DE CONTAS],REL_DRE_FINANCEIRO!$B$343,LANÇ_MOV[ANO PAGAMENTO],$B$4,LANÇ_MOV[MÊS PAGAMENTO CORRESPONDENTE],L$6,LANÇ_MOV[EMPRESA],$C$4,LANÇ_MOV[CENTRO DE CUSTOS],$D$4)</f>
        <v>0</v>
      </c>
      <c r="M390" s="206">
        <f>SUMIFS(LANÇ_MOV[VALOR LÍQUIDO],LANÇ_MOV[RECEITA OU DESPESA],"Despesa",LANÇ_MOV[CONTAS],$C390,LANÇ_MOV[PLANO DE CONTAS],REL_DRE_FINANCEIRO!$B$343,LANÇ_MOV[ANO PAGAMENTO],$B$4,LANÇ_MOV[MÊS PAGAMENTO CORRESPONDENTE],M$6,LANÇ_MOV[EMPRESA],$C$4,LANÇ_MOV[CENTRO DE CUSTOS],$D$4)</f>
        <v>0</v>
      </c>
      <c r="N390" s="206">
        <f>SUMIFS(LANÇ_MOV[VALOR LÍQUIDO],LANÇ_MOV[RECEITA OU DESPESA],"Despesa",LANÇ_MOV[CONTAS],$C390,LANÇ_MOV[PLANO DE CONTAS],REL_DRE_FINANCEIRO!$B$343,LANÇ_MOV[ANO PAGAMENTO],$B$4,LANÇ_MOV[MÊS PAGAMENTO CORRESPONDENTE],N$6,LANÇ_MOV[EMPRESA],$C$4,LANÇ_MOV[CENTRO DE CUSTOS],$D$4)</f>
        <v>0</v>
      </c>
      <c r="O390" s="206">
        <f>SUMIFS(LANÇ_MOV[VALOR LÍQUIDO],LANÇ_MOV[RECEITA OU DESPESA],"Despesa",LANÇ_MOV[CONTAS],$C390,LANÇ_MOV[PLANO DE CONTAS],REL_DRE_FINANCEIRO!$B$343,LANÇ_MOV[ANO PAGAMENTO],$B$4,LANÇ_MOV[MÊS PAGAMENTO CORRESPONDENTE],O$6,LANÇ_MOV[EMPRESA],$C$4,LANÇ_MOV[CENTRO DE CUSTOS],$D$4)</f>
        <v>0</v>
      </c>
      <c r="P390" s="207">
        <f t="shared" si="54"/>
        <v>0</v>
      </c>
      <c r="Q390" s="329">
        <v>5.4E-6</v>
      </c>
      <c r="R390" s="346">
        <f t="shared" si="55"/>
        <v>5.4E-6</v>
      </c>
      <c r="S390" s="347" t="str">
        <f t="shared" si="56"/>
        <v>-</v>
      </c>
      <c r="T390" s="347">
        <f t="shared" si="57"/>
        <v>0</v>
      </c>
      <c r="U390" s="347">
        <f>HLOOKUP(Apoio!$P$12,$D$342:$P$443,X390,FALSE)+Q390</f>
        <v>5.4E-6</v>
      </c>
      <c r="V390" s="447" t="str">
        <f t="shared" si="58"/>
        <v>-</v>
      </c>
      <c r="W390" s="448">
        <f>HLOOKUP(Apoio!$P$12,$D$342:$P$443,X390,FALSE)</f>
        <v>0</v>
      </c>
      <c r="X390" s="329">
        <v>49</v>
      </c>
    </row>
    <row r="391" spans="2:24" ht="30.05" customHeight="1" x14ac:dyDescent="0.35">
      <c r="B391" s="204" t="str">
        <f>'CAD_PL_REC-DESP'!Q52</f>
        <v>2.3.48</v>
      </c>
      <c r="C391" s="205" t="str">
        <f>IF('CAD_PL_REC-DESP'!R52="","-",'CAD_PL_REC-DESP'!R52)</f>
        <v>-</v>
      </c>
      <c r="D391" s="206">
        <f>SUMIFS(LANÇ_MOV[VALOR LÍQUIDO],LANÇ_MOV[RECEITA OU DESPESA],"Despesa",LANÇ_MOV[CONTAS],$C391,LANÇ_MOV[PLANO DE CONTAS],REL_DRE_FINANCEIRO!$B$343,LANÇ_MOV[ANO PAGAMENTO],$B$4,LANÇ_MOV[MÊS PAGAMENTO CORRESPONDENTE],D$6,LANÇ_MOV[EMPRESA],$C$4,LANÇ_MOV[CENTRO DE CUSTOS],$D$4)</f>
        <v>0</v>
      </c>
      <c r="E391" s="206">
        <f>SUMIFS(LANÇ_MOV[VALOR LÍQUIDO],LANÇ_MOV[RECEITA OU DESPESA],"Despesa",LANÇ_MOV[CONTAS],$C391,LANÇ_MOV[PLANO DE CONTAS],REL_DRE_FINANCEIRO!$B$343,LANÇ_MOV[ANO PAGAMENTO],$B$4,LANÇ_MOV[MÊS PAGAMENTO CORRESPONDENTE],E$6,LANÇ_MOV[EMPRESA],$C$4,LANÇ_MOV[CENTRO DE CUSTOS],$D$4)</f>
        <v>0</v>
      </c>
      <c r="F391" s="206">
        <f>SUMIFS(LANÇ_MOV[VALOR LÍQUIDO],LANÇ_MOV[RECEITA OU DESPESA],"Despesa",LANÇ_MOV[CONTAS],$C391,LANÇ_MOV[PLANO DE CONTAS],REL_DRE_FINANCEIRO!$B$343,LANÇ_MOV[ANO PAGAMENTO],$B$4,LANÇ_MOV[MÊS PAGAMENTO CORRESPONDENTE],F$6,LANÇ_MOV[EMPRESA],$C$4,LANÇ_MOV[CENTRO DE CUSTOS],$D$4)</f>
        <v>0</v>
      </c>
      <c r="G391" s="206">
        <f>SUMIFS(LANÇ_MOV[VALOR LÍQUIDO],LANÇ_MOV[RECEITA OU DESPESA],"Despesa",LANÇ_MOV[CONTAS],$C391,LANÇ_MOV[PLANO DE CONTAS],REL_DRE_FINANCEIRO!$B$343,LANÇ_MOV[ANO PAGAMENTO],$B$4,LANÇ_MOV[MÊS PAGAMENTO CORRESPONDENTE],G$6,LANÇ_MOV[EMPRESA],$C$4,LANÇ_MOV[CENTRO DE CUSTOS],$D$4)</f>
        <v>0</v>
      </c>
      <c r="H391" s="206">
        <f>SUMIFS(LANÇ_MOV[VALOR LÍQUIDO],LANÇ_MOV[RECEITA OU DESPESA],"Despesa",LANÇ_MOV[CONTAS],$C391,LANÇ_MOV[PLANO DE CONTAS],REL_DRE_FINANCEIRO!$B$343,LANÇ_MOV[ANO PAGAMENTO],$B$4,LANÇ_MOV[MÊS PAGAMENTO CORRESPONDENTE],H$6,LANÇ_MOV[EMPRESA],$C$4,LANÇ_MOV[CENTRO DE CUSTOS],$D$4)</f>
        <v>0</v>
      </c>
      <c r="I391" s="206">
        <f>SUMIFS(LANÇ_MOV[VALOR LÍQUIDO],LANÇ_MOV[RECEITA OU DESPESA],"Despesa",LANÇ_MOV[CONTAS],$C391,LANÇ_MOV[PLANO DE CONTAS],REL_DRE_FINANCEIRO!$B$343,LANÇ_MOV[ANO PAGAMENTO],$B$4,LANÇ_MOV[MÊS PAGAMENTO CORRESPONDENTE],I$6,LANÇ_MOV[EMPRESA],$C$4,LANÇ_MOV[CENTRO DE CUSTOS],$D$4)</f>
        <v>0</v>
      </c>
      <c r="J391" s="206">
        <f>SUMIFS(LANÇ_MOV[VALOR LÍQUIDO],LANÇ_MOV[RECEITA OU DESPESA],"Despesa",LANÇ_MOV[CONTAS],$C391,LANÇ_MOV[PLANO DE CONTAS],REL_DRE_FINANCEIRO!$B$343,LANÇ_MOV[ANO PAGAMENTO],$B$4,LANÇ_MOV[MÊS PAGAMENTO CORRESPONDENTE],J$6,LANÇ_MOV[EMPRESA],$C$4,LANÇ_MOV[CENTRO DE CUSTOS],$D$4)</f>
        <v>0</v>
      </c>
      <c r="K391" s="206">
        <f>SUMIFS(LANÇ_MOV[VALOR LÍQUIDO],LANÇ_MOV[RECEITA OU DESPESA],"Despesa",LANÇ_MOV[CONTAS],$C391,LANÇ_MOV[PLANO DE CONTAS],REL_DRE_FINANCEIRO!$B$343,LANÇ_MOV[ANO PAGAMENTO],$B$4,LANÇ_MOV[MÊS PAGAMENTO CORRESPONDENTE],K$6,LANÇ_MOV[EMPRESA],$C$4,LANÇ_MOV[CENTRO DE CUSTOS],$D$4)</f>
        <v>0</v>
      </c>
      <c r="L391" s="206">
        <f>SUMIFS(LANÇ_MOV[VALOR LÍQUIDO],LANÇ_MOV[RECEITA OU DESPESA],"Despesa",LANÇ_MOV[CONTAS],$C391,LANÇ_MOV[PLANO DE CONTAS],REL_DRE_FINANCEIRO!$B$343,LANÇ_MOV[ANO PAGAMENTO],$B$4,LANÇ_MOV[MÊS PAGAMENTO CORRESPONDENTE],L$6,LANÇ_MOV[EMPRESA],$C$4,LANÇ_MOV[CENTRO DE CUSTOS],$D$4)</f>
        <v>0</v>
      </c>
      <c r="M391" s="206">
        <f>SUMIFS(LANÇ_MOV[VALOR LÍQUIDO],LANÇ_MOV[RECEITA OU DESPESA],"Despesa",LANÇ_MOV[CONTAS],$C391,LANÇ_MOV[PLANO DE CONTAS],REL_DRE_FINANCEIRO!$B$343,LANÇ_MOV[ANO PAGAMENTO],$B$4,LANÇ_MOV[MÊS PAGAMENTO CORRESPONDENTE],M$6,LANÇ_MOV[EMPRESA],$C$4,LANÇ_MOV[CENTRO DE CUSTOS],$D$4)</f>
        <v>0</v>
      </c>
      <c r="N391" s="206">
        <f>SUMIFS(LANÇ_MOV[VALOR LÍQUIDO],LANÇ_MOV[RECEITA OU DESPESA],"Despesa",LANÇ_MOV[CONTAS],$C391,LANÇ_MOV[PLANO DE CONTAS],REL_DRE_FINANCEIRO!$B$343,LANÇ_MOV[ANO PAGAMENTO],$B$4,LANÇ_MOV[MÊS PAGAMENTO CORRESPONDENTE],N$6,LANÇ_MOV[EMPRESA],$C$4,LANÇ_MOV[CENTRO DE CUSTOS],$D$4)</f>
        <v>0</v>
      </c>
      <c r="O391" s="206">
        <f>SUMIFS(LANÇ_MOV[VALOR LÍQUIDO],LANÇ_MOV[RECEITA OU DESPESA],"Despesa",LANÇ_MOV[CONTAS],$C391,LANÇ_MOV[PLANO DE CONTAS],REL_DRE_FINANCEIRO!$B$343,LANÇ_MOV[ANO PAGAMENTO],$B$4,LANÇ_MOV[MÊS PAGAMENTO CORRESPONDENTE],O$6,LANÇ_MOV[EMPRESA],$C$4,LANÇ_MOV[CENTRO DE CUSTOS],$D$4)</f>
        <v>0</v>
      </c>
      <c r="P391" s="207">
        <f t="shared" si="54"/>
        <v>0</v>
      </c>
      <c r="Q391" s="329">
        <v>5.3000000000000001E-6</v>
      </c>
      <c r="R391" s="346">
        <f t="shared" si="55"/>
        <v>5.3000000000000001E-6</v>
      </c>
      <c r="S391" s="347" t="str">
        <f t="shared" si="56"/>
        <v>-</v>
      </c>
      <c r="T391" s="347">
        <f t="shared" si="57"/>
        <v>0</v>
      </c>
      <c r="U391" s="347">
        <f>HLOOKUP(Apoio!$P$12,$D$342:$P$443,X391,FALSE)+Q391</f>
        <v>5.3000000000000001E-6</v>
      </c>
      <c r="V391" s="447" t="str">
        <f t="shared" si="58"/>
        <v>-</v>
      </c>
      <c r="W391" s="448">
        <f>HLOOKUP(Apoio!$P$12,$D$342:$P$443,X391,FALSE)</f>
        <v>0</v>
      </c>
      <c r="X391" s="329">
        <v>50</v>
      </c>
    </row>
    <row r="392" spans="2:24" ht="30.05" customHeight="1" x14ac:dyDescent="0.35">
      <c r="B392" s="204" t="str">
        <f>'CAD_PL_REC-DESP'!Q53</f>
        <v>2.3.49</v>
      </c>
      <c r="C392" s="205" t="str">
        <f>IF('CAD_PL_REC-DESP'!R53="","-",'CAD_PL_REC-DESP'!R53)</f>
        <v>-</v>
      </c>
      <c r="D392" s="206">
        <f>SUMIFS(LANÇ_MOV[VALOR LÍQUIDO],LANÇ_MOV[RECEITA OU DESPESA],"Despesa",LANÇ_MOV[CONTAS],$C392,LANÇ_MOV[PLANO DE CONTAS],REL_DRE_FINANCEIRO!$B$343,LANÇ_MOV[ANO PAGAMENTO],$B$4,LANÇ_MOV[MÊS PAGAMENTO CORRESPONDENTE],D$6,LANÇ_MOV[EMPRESA],$C$4,LANÇ_MOV[CENTRO DE CUSTOS],$D$4)</f>
        <v>0</v>
      </c>
      <c r="E392" s="206">
        <f>SUMIFS(LANÇ_MOV[VALOR LÍQUIDO],LANÇ_MOV[RECEITA OU DESPESA],"Despesa",LANÇ_MOV[CONTAS],$C392,LANÇ_MOV[PLANO DE CONTAS],REL_DRE_FINANCEIRO!$B$343,LANÇ_MOV[ANO PAGAMENTO],$B$4,LANÇ_MOV[MÊS PAGAMENTO CORRESPONDENTE],E$6,LANÇ_MOV[EMPRESA],$C$4,LANÇ_MOV[CENTRO DE CUSTOS],$D$4)</f>
        <v>0</v>
      </c>
      <c r="F392" s="206">
        <f>SUMIFS(LANÇ_MOV[VALOR LÍQUIDO],LANÇ_MOV[RECEITA OU DESPESA],"Despesa",LANÇ_MOV[CONTAS],$C392,LANÇ_MOV[PLANO DE CONTAS],REL_DRE_FINANCEIRO!$B$343,LANÇ_MOV[ANO PAGAMENTO],$B$4,LANÇ_MOV[MÊS PAGAMENTO CORRESPONDENTE],F$6,LANÇ_MOV[EMPRESA],$C$4,LANÇ_MOV[CENTRO DE CUSTOS],$D$4)</f>
        <v>0</v>
      </c>
      <c r="G392" s="206">
        <f>SUMIFS(LANÇ_MOV[VALOR LÍQUIDO],LANÇ_MOV[RECEITA OU DESPESA],"Despesa",LANÇ_MOV[CONTAS],$C392,LANÇ_MOV[PLANO DE CONTAS],REL_DRE_FINANCEIRO!$B$343,LANÇ_MOV[ANO PAGAMENTO],$B$4,LANÇ_MOV[MÊS PAGAMENTO CORRESPONDENTE],G$6,LANÇ_MOV[EMPRESA],$C$4,LANÇ_MOV[CENTRO DE CUSTOS],$D$4)</f>
        <v>0</v>
      </c>
      <c r="H392" s="206">
        <f>SUMIFS(LANÇ_MOV[VALOR LÍQUIDO],LANÇ_MOV[RECEITA OU DESPESA],"Despesa",LANÇ_MOV[CONTAS],$C392,LANÇ_MOV[PLANO DE CONTAS],REL_DRE_FINANCEIRO!$B$343,LANÇ_MOV[ANO PAGAMENTO],$B$4,LANÇ_MOV[MÊS PAGAMENTO CORRESPONDENTE],H$6,LANÇ_MOV[EMPRESA],$C$4,LANÇ_MOV[CENTRO DE CUSTOS],$D$4)</f>
        <v>0</v>
      </c>
      <c r="I392" s="206">
        <f>SUMIFS(LANÇ_MOV[VALOR LÍQUIDO],LANÇ_MOV[RECEITA OU DESPESA],"Despesa",LANÇ_MOV[CONTAS],$C392,LANÇ_MOV[PLANO DE CONTAS],REL_DRE_FINANCEIRO!$B$343,LANÇ_MOV[ANO PAGAMENTO],$B$4,LANÇ_MOV[MÊS PAGAMENTO CORRESPONDENTE],I$6,LANÇ_MOV[EMPRESA],$C$4,LANÇ_MOV[CENTRO DE CUSTOS],$D$4)</f>
        <v>0</v>
      </c>
      <c r="J392" s="206">
        <f>SUMIFS(LANÇ_MOV[VALOR LÍQUIDO],LANÇ_MOV[RECEITA OU DESPESA],"Despesa",LANÇ_MOV[CONTAS],$C392,LANÇ_MOV[PLANO DE CONTAS],REL_DRE_FINANCEIRO!$B$343,LANÇ_MOV[ANO PAGAMENTO],$B$4,LANÇ_MOV[MÊS PAGAMENTO CORRESPONDENTE],J$6,LANÇ_MOV[EMPRESA],$C$4,LANÇ_MOV[CENTRO DE CUSTOS],$D$4)</f>
        <v>0</v>
      </c>
      <c r="K392" s="206">
        <f>SUMIFS(LANÇ_MOV[VALOR LÍQUIDO],LANÇ_MOV[RECEITA OU DESPESA],"Despesa",LANÇ_MOV[CONTAS],$C392,LANÇ_MOV[PLANO DE CONTAS],REL_DRE_FINANCEIRO!$B$343,LANÇ_MOV[ANO PAGAMENTO],$B$4,LANÇ_MOV[MÊS PAGAMENTO CORRESPONDENTE],K$6,LANÇ_MOV[EMPRESA],$C$4,LANÇ_MOV[CENTRO DE CUSTOS],$D$4)</f>
        <v>0</v>
      </c>
      <c r="L392" s="206">
        <f>SUMIFS(LANÇ_MOV[VALOR LÍQUIDO],LANÇ_MOV[RECEITA OU DESPESA],"Despesa",LANÇ_MOV[CONTAS],$C392,LANÇ_MOV[PLANO DE CONTAS],REL_DRE_FINANCEIRO!$B$343,LANÇ_MOV[ANO PAGAMENTO],$B$4,LANÇ_MOV[MÊS PAGAMENTO CORRESPONDENTE],L$6,LANÇ_MOV[EMPRESA],$C$4,LANÇ_MOV[CENTRO DE CUSTOS],$D$4)</f>
        <v>0</v>
      </c>
      <c r="M392" s="206">
        <f>SUMIFS(LANÇ_MOV[VALOR LÍQUIDO],LANÇ_MOV[RECEITA OU DESPESA],"Despesa",LANÇ_MOV[CONTAS],$C392,LANÇ_MOV[PLANO DE CONTAS],REL_DRE_FINANCEIRO!$B$343,LANÇ_MOV[ANO PAGAMENTO],$B$4,LANÇ_MOV[MÊS PAGAMENTO CORRESPONDENTE],M$6,LANÇ_MOV[EMPRESA],$C$4,LANÇ_MOV[CENTRO DE CUSTOS],$D$4)</f>
        <v>0</v>
      </c>
      <c r="N392" s="206">
        <f>SUMIFS(LANÇ_MOV[VALOR LÍQUIDO],LANÇ_MOV[RECEITA OU DESPESA],"Despesa",LANÇ_MOV[CONTAS],$C392,LANÇ_MOV[PLANO DE CONTAS],REL_DRE_FINANCEIRO!$B$343,LANÇ_MOV[ANO PAGAMENTO],$B$4,LANÇ_MOV[MÊS PAGAMENTO CORRESPONDENTE],N$6,LANÇ_MOV[EMPRESA],$C$4,LANÇ_MOV[CENTRO DE CUSTOS],$D$4)</f>
        <v>0</v>
      </c>
      <c r="O392" s="206">
        <f>SUMIFS(LANÇ_MOV[VALOR LÍQUIDO],LANÇ_MOV[RECEITA OU DESPESA],"Despesa",LANÇ_MOV[CONTAS],$C392,LANÇ_MOV[PLANO DE CONTAS],REL_DRE_FINANCEIRO!$B$343,LANÇ_MOV[ANO PAGAMENTO],$B$4,LANÇ_MOV[MÊS PAGAMENTO CORRESPONDENTE],O$6,LANÇ_MOV[EMPRESA],$C$4,LANÇ_MOV[CENTRO DE CUSTOS],$D$4)</f>
        <v>0</v>
      </c>
      <c r="P392" s="207">
        <f t="shared" si="54"/>
        <v>0</v>
      </c>
      <c r="Q392" s="329">
        <v>5.2000000000000002E-6</v>
      </c>
      <c r="R392" s="346">
        <f t="shared" si="55"/>
        <v>5.2000000000000002E-6</v>
      </c>
      <c r="S392" s="347" t="str">
        <f t="shared" si="56"/>
        <v>-</v>
      </c>
      <c r="T392" s="347">
        <f t="shared" si="57"/>
        <v>0</v>
      </c>
      <c r="U392" s="347">
        <f>HLOOKUP(Apoio!$P$12,$D$342:$P$443,X392,FALSE)+Q392</f>
        <v>5.2000000000000002E-6</v>
      </c>
      <c r="V392" s="447" t="str">
        <f t="shared" si="58"/>
        <v>-</v>
      </c>
      <c r="W392" s="448">
        <f>HLOOKUP(Apoio!$P$12,$D$342:$P$443,X392,FALSE)</f>
        <v>0</v>
      </c>
      <c r="X392" s="329">
        <v>51</v>
      </c>
    </row>
    <row r="393" spans="2:24" ht="30.05" customHeight="1" x14ac:dyDescent="0.35">
      <c r="B393" s="204" t="str">
        <f>'CAD_PL_REC-DESP'!Q54</f>
        <v>2.3.50</v>
      </c>
      <c r="C393" s="205" t="str">
        <f>IF('CAD_PL_REC-DESP'!R54="","-",'CAD_PL_REC-DESP'!R54)</f>
        <v>-</v>
      </c>
      <c r="D393" s="206">
        <f>SUMIFS(LANÇ_MOV[VALOR LÍQUIDO],LANÇ_MOV[RECEITA OU DESPESA],"Despesa",LANÇ_MOV[CONTAS],$C393,LANÇ_MOV[PLANO DE CONTAS],REL_DRE_FINANCEIRO!$B$343,LANÇ_MOV[ANO PAGAMENTO],$B$4,LANÇ_MOV[MÊS PAGAMENTO CORRESPONDENTE],D$6,LANÇ_MOV[EMPRESA],$C$4,LANÇ_MOV[CENTRO DE CUSTOS],$D$4)</f>
        <v>0</v>
      </c>
      <c r="E393" s="206">
        <f>SUMIFS(LANÇ_MOV[VALOR LÍQUIDO],LANÇ_MOV[RECEITA OU DESPESA],"Despesa",LANÇ_MOV[CONTAS],$C393,LANÇ_MOV[PLANO DE CONTAS],REL_DRE_FINANCEIRO!$B$343,LANÇ_MOV[ANO PAGAMENTO],$B$4,LANÇ_MOV[MÊS PAGAMENTO CORRESPONDENTE],E$6,LANÇ_MOV[EMPRESA],$C$4,LANÇ_MOV[CENTRO DE CUSTOS],$D$4)</f>
        <v>0</v>
      </c>
      <c r="F393" s="206">
        <f>SUMIFS(LANÇ_MOV[VALOR LÍQUIDO],LANÇ_MOV[RECEITA OU DESPESA],"Despesa",LANÇ_MOV[CONTAS],$C393,LANÇ_MOV[PLANO DE CONTAS],REL_DRE_FINANCEIRO!$B$343,LANÇ_MOV[ANO PAGAMENTO],$B$4,LANÇ_MOV[MÊS PAGAMENTO CORRESPONDENTE],F$6,LANÇ_MOV[EMPRESA],$C$4,LANÇ_MOV[CENTRO DE CUSTOS],$D$4)</f>
        <v>0</v>
      </c>
      <c r="G393" s="206">
        <f>SUMIFS(LANÇ_MOV[VALOR LÍQUIDO],LANÇ_MOV[RECEITA OU DESPESA],"Despesa",LANÇ_MOV[CONTAS],$C393,LANÇ_MOV[PLANO DE CONTAS],REL_DRE_FINANCEIRO!$B$343,LANÇ_MOV[ANO PAGAMENTO],$B$4,LANÇ_MOV[MÊS PAGAMENTO CORRESPONDENTE],G$6,LANÇ_MOV[EMPRESA],$C$4,LANÇ_MOV[CENTRO DE CUSTOS],$D$4)</f>
        <v>0</v>
      </c>
      <c r="H393" s="206">
        <f>SUMIFS(LANÇ_MOV[VALOR LÍQUIDO],LANÇ_MOV[RECEITA OU DESPESA],"Despesa",LANÇ_MOV[CONTAS],$C393,LANÇ_MOV[PLANO DE CONTAS],REL_DRE_FINANCEIRO!$B$343,LANÇ_MOV[ANO PAGAMENTO],$B$4,LANÇ_MOV[MÊS PAGAMENTO CORRESPONDENTE],H$6,LANÇ_MOV[EMPRESA],$C$4,LANÇ_MOV[CENTRO DE CUSTOS],$D$4)</f>
        <v>0</v>
      </c>
      <c r="I393" s="206">
        <f>SUMIFS(LANÇ_MOV[VALOR LÍQUIDO],LANÇ_MOV[RECEITA OU DESPESA],"Despesa",LANÇ_MOV[CONTAS],$C393,LANÇ_MOV[PLANO DE CONTAS],REL_DRE_FINANCEIRO!$B$343,LANÇ_MOV[ANO PAGAMENTO],$B$4,LANÇ_MOV[MÊS PAGAMENTO CORRESPONDENTE],I$6,LANÇ_MOV[EMPRESA],$C$4,LANÇ_MOV[CENTRO DE CUSTOS],$D$4)</f>
        <v>0</v>
      </c>
      <c r="J393" s="206">
        <f>SUMIFS(LANÇ_MOV[VALOR LÍQUIDO],LANÇ_MOV[RECEITA OU DESPESA],"Despesa",LANÇ_MOV[CONTAS],$C393,LANÇ_MOV[PLANO DE CONTAS],REL_DRE_FINANCEIRO!$B$343,LANÇ_MOV[ANO PAGAMENTO],$B$4,LANÇ_MOV[MÊS PAGAMENTO CORRESPONDENTE],J$6,LANÇ_MOV[EMPRESA],$C$4,LANÇ_MOV[CENTRO DE CUSTOS],$D$4)</f>
        <v>0</v>
      </c>
      <c r="K393" s="206">
        <f>SUMIFS(LANÇ_MOV[VALOR LÍQUIDO],LANÇ_MOV[RECEITA OU DESPESA],"Despesa",LANÇ_MOV[CONTAS],$C393,LANÇ_MOV[PLANO DE CONTAS],REL_DRE_FINANCEIRO!$B$343,LANÇ_MOV[ANO PAGAMENTO],$B$4,LANÇ_MOV[MÊS PAGAMENTO CORRESPONDENTE],K$6,LANÇ_MOV[EMPRESA],$C$4,LANÇ_MOV[CENTRO DE CUSTOS],$D$4)</f>
        <v>0</v>
      </c>
      <c r="L393" s="206">
        <f>SUMIFS(LANÇ_MOV[VALOR LÍQUIDO],LANÇ_MOV[RECEITA OU DESPESA],"Despesa",LANÇ_MOV[CONTAS],$C393,LANÇ_MOV[PLANO DE CONTAS],REL_DRE_FINANCEIRO!$B$343,LANÇ_MOV[ANO PAGAMENTO],$B$4,LANÇ_MOV[MÊS PAGAMENTO CORRESPONDENTE],L$6,LANÇ_MOV[EMPRESA],$C$4,LANÇ_MOV[CENTRO DE CUSTOS],$D$4)</f>
        <v>0</v>
      </c>
      <c r="M393" s="206">
        <f>SUMIFS(LANÇ_MOV[VALOR LÍQUIDO],LANÇ_MOV[RECEITA OU DESPESA],"Despesa",LANÇ_MOV[CONTAS],$C393,LANÇ_MOV[PLANO DE CONTAS],REL_DRE_FINANCEIRO!$B$343,LANÇ_MOV[ANO PAGAMENTO],$B$4,LANÇ_MOV[MÊS PAGAMENTO CORRESPONDENTE],M$6,LANÇ_MOV[EMPRESA],$C$4,LANÇ_MOV[CENTRO DE CUSTOS],$D$4)</f>
        <v>0</v>
      </c>
      <c r="N393" s="206">
        <f>SUMIFS(LANÇ_MOV[VALOR LÍQUIDO],LANÇ_MOV[RECEITA OU DESPESA],"Despesa",LANÇ_MOV[CONTAS],$C393,LANÇ_MOV[PLANO DE CONTAS],REL_DRE_FINANCEIRO!$B$343,LANÇ_MOV[ANO PAGAMENTO],$B$4,LANÇ_MOV[MÊS PAGAMENTO CORRESPONDENTE],N$6,LANÇ_MOV[EMPRESA],$C$4,LANÇ_MOV[CENTRO DE CUSTOS],$D$4)</f>
        <v>0</v>
      </c>
      <c r="O393" s="206">
        <f>SUMIFS(LANÇ_MOV[VALOR LÍQUIDO],LANÇ_MOV[RECEITA OU DESPESA],"Despesa",LANÇ_MOV[CONTAS],$C393,LANÇ_MOV[PLANO DE CONTAS],REL_DRE_FINANCEIRO!$B$343,LANÇ_MOV[ANO PAGAMENTO],$B$4,LANÇ_MOV[MÊS PAGAMENTO CORRESPONDENTE],O$6,LANÇ_MOV[EMPRESA],$C$4,LANÇ_MOV[CENTRO DE CUSTOS],$D$4)</f>
        <v>0</v>
      </c>
      <c r="P393" s="207">
        <f t="shared" si="54"/>
        <v>0</v>
      </c>
      <c r="Q393" s="329">
        <v>5.1000000000000003E-6</v>
      </c>
      <c r="R393" s="346">
        <f t="shared" si="55"/>
        <v>5.1000000000000003E-6</v>
      </c>
      <c r="S393" s="347" t="str">
        <f t="shared" si="56"/>
        <v>-</v>
      </c>
      <c r="T393" s="347">
        <f t="shared" si="57"/>
        <v>0</v>
      </c>
      <c r="U393" s="347">
        <f>HLOOKUP(Apoio!$P$12,$D$342:$P$443,X393,FALSE)+Q393</f>
        <v>5.1000000000000003E-6</v>
      </c>
      <c r="V393" s="447" t="str">
        <f t="shared" si="58"/>
        <v>-</v>
      </c>
      <c r="W393" s="448">
        <f>HLOOKUP(Apoio!$P$12,$D$342:$P$443,X393,FALSE)</f>
        <v>0</v>
      </c>
      <c r="X393" s="329">
        <v>52</v>
      </c>
    </row>
    <row r="394" spans="2:24" ht="30.05" customHeight="1" x14ac:dyDescent="0.35">
      <c r="B394" s="204" t="str">
        <f>'CAD_PL_REC-DESP'!Q55</f>
        <v>2.3.51</v>
      </c>
      <c r="C394" s="205" t="str">
        <f>IF('CAD_PL_REC-DESP'!R55="","-",'CAD_PL_REC-DESP'!R55)</f>
        <v>-</v>
      </c>
      <c r="D394" s="206">
        <f>SUMIFS(LANÇ_MOV[VALOR LÍQUIDO],LANÇ_MOV[RECEITA OU DESPESA],"Despesa",LANÇ_MOV[CONTAS],$C394,LANÇ_MOV[PLANO DE CONTAS],REL_DRE_FINANCEIRO!$B$343,LANÇ_MOV[ANO PAGAMENTO],$B$4,LANÇ_MOV[MÊS PAGAMENTO CORRESPONDENTE],D$6,LANÇ_MOV[EMPRESA],$C$4,LANÇ_MOV[CENTRO DE CUSTOS],$D$4)</f>
        <v>0</v>
      </c>
      <c r="E394" s="206">
        <f>SUMIFS(LANÇ_MOV[VALOR LÍQUIDO],LANÇ_MOV[RECEITA OU DESPESA],"Despesa",LANÇ_MOV[CONTAS],$C394,LANÇ_MOV[PLANO DE CONTAS],REL_DRE_FINANCEIRO!$B$343,LANÇ_MOV[ANO PAGAMENTO],$B$4,LANÇ_MOV[MÊS PAGAMENTO CORRESPONDENTE],E$6,LANÇ_MOV[EMPRESA],$C$4,LANÇ_MOV[CENTRO DE CUSTOS],$D$4)</f>
        <v>0</v>
      </c>
      <c r="F394" s="206">
        <f>SUMIFS(LANÇ_MOV[VALOR LÍQUIDO],LANÇ_MOV[RECEITA OU DESPESA],"Despesa",LANÇ_MOV[CONTAS],$C394,LANÇ_MOV[PLANO DE CONTAS],REL_DRE_FINANCEIRO!$B$343,LANÇ_MOV[ANO PAGAMENTO],$B$4,LANÇ_MOV[MÊS PAGAMENTO CORRESPONDENTE],F$6,LANÇ_MOV[EMPRESA],$C$4,LANÇ_MOV[CENTRO DE CUSTOS],$D$4)</f>
        <v>0</v>
      </c>
      <c r="G394" s="206">
        <f>SUMIFS(LANÇ_MOV[VALOR LÍQUIDO],LANÇ_MOV[RECEITA OU DESPESA],"Despesa",LANÇ_MOV[CONTAS],$C394,LANÇ_MOV[PLANO DE CONTAS],REL_DRE_FINANCEIRO!$B$343,LANÇ_MOV[ANO PAGAMENTO],$B$4,LANÇ_MOV[MÊS PAGAMENTO CORRESPONDENTE],G$6,LANÇ_MOV[EMPRESA],$C$4,LANÇ_MOV[CENTRO DE CUSTOS],$D$4)</f>
        <v>0</v>
      </c>
      <c r="H394" s="206">
        <f>SUMIFS(LANÇ_MOV[VALOR LÍQUIDO],LANÇ_MOV[RECEITA OU DESPESA],"Despesa",LANÇ_MOV[CONTAS],$C394,LANÇ_MOV[PLANO DE CONTAS],REL_DRE_FINANCEIRO!$B$343,LANÇ_MOV[ANO PAGAMENTO],$B$4,LANÇ_MOV[MÊS PAGAMENTO CORRESPONDENTE],H$6,LANÇ_MOV[EMPRESA],$C$4,LANÇ_MOV[CENTRO DE CUSTOS],$D$4)</f>
        <v>0</v>
      </c>
      <c r="I394" s="206">
        <f>SUMIFS(LANÇ_MOV[VALOR LÍQUIDO],LANÇ_MOV[RECEITA OU DESPESA],"Despesa",LANÇ_MOV[CONTAS],$C394,LANÇ_MOV[PLANO DE CONTAS],REL_DRE_FINANCEIRO!$B$343,LANÇ_MOV[ANO PAGAMENTO],$B$4,LANÇ_MOV[MÊS PAGAMENTO CORRESPONDENTE],I$6,LANÇ_MOV[EMPRESA],$C$4,LANÇ_MOV[CENTRO DE CUSTOS],$D$4)</f>
        <v>0</v>
      </c>
      <c r="J394" s="206">
        <f>SUMIFS(LANÇ_MOV[VALOR LÍQUIDO],LANÇ_MOV[RECEITA OU DESPESA],"Despesa",LANÇ_MOV[CONTAS],$C394,LANÇ_MOV[PLANO DE CONTAS],REL_DRE_FINANCEIRO!$B$343,LANÇ_MOV[ANO PAGAMENTO],$B$4,LANÇ_MOV[MÊS PAGAMENTO CORRESPONDENTE],J$6,LANÇ_MOV[EMPRESA],$C$4,LANÇ_MOV[CENTRO DE CUSTOS],$D$4)</f>
        <v>0</v>
      </c>
      <c r="K394" s="206">
        <f>SUMIFS(LANÇ_MOV[VALOR LÍQUIDO],LANÇ_MOV[RECEITA OU DESPESA],"Despesa",LANÇ_MOV[CONTAS],$C394,LANÇ_MOV[PLANO DE CONTAS],REL_DRE_FINANCEIRO!$B$343,LANÇ_MOV[ANO PAGAMENTO],$B$4,LANÇ_MOV[MÊS PAGAMENTO CORRESPONDENTE],K$6,LANÇ_MOV[EMPRESA],$C$4,LANÇ_MOV[CENTRO DE CUSTOS],$D$4)</f>
        <v>0</v>
      </c>
      <c r="L394" s="206">
        <f>SUMIFS(LANÇ_MOV[VALOR LÍQUIDO],LANÇ_MOV[RECEITA OU DESPESA],"Despesa",LANÇ_MOV[CONTAS],$C394,LANÇ_MOV[PLANO DE CONTAS],REL_DRE_FINANCEIRO!$B$343,LANÇ_MOV[ANO PAGAMENTO],$B$4,LANÇ_MOV[MÊS PAGAMENTO CORRESPONDENTE],L$6,LANÇ_MOV[EMPRESA],$C$4,LANÇ_MOV[CENTRO DE CUSTOS],$D$4)</f>
        <v>0</v>
      </c>
      <c r="M394" s="206">
        <f>SUMIFS(LANÇ_MOV[VALOR LÍQUIDO],LANÇ_MOV[RECEITA OU DESPESA],"Despesa",LANÇ_MOV[CONTAS],$C394,LANÇ_MOV[PLANO DE CONTAS],REL_DRE_FINANCEIRO!$B$343,LANÇ_MOV[ANO PAGAMENTO],$B$4,LANÇ_MOV[MÊS PAGAMENTO CORRESPONDENTE],M$6,LANÇ_MOV[EMPRESA],$C$4,LANÇ_MOV[CENTRO DE CUSTOS],$D$4)</f>
        <v>0</v>
      </c>
      <c r="N394" s="206">
        <f>SUMIFS(LANÇ_MOV[VALOR LÍQUIDO],LANÇ_MOV[RECEITA OU DESPESA],"Despesa",LANÇ_MOV[CONTAS],$C394,LANÇ_MOV[PLANO DE CONTAS],REL_DRE_FINANCEIRO!$B$343,LANÇ_MOV[ANO PAGAMENTO],$B$4,LANÇ_MOV[MÊS PAGAMENTO CORRESPONDENTE],N$6,LANÇ_MOV[EMPRESA],$C$4,LANÇ_MOV[CENTRO DE CUSTOS],$D$4)</f>
        <v>0</v>
      </c>
      <c r="O394" s="206">
        <f>SUMIFS(LANÇ_MOV[VALOR LÍQUIDO],LANÇ_MOV[RECEITA OU DESPESA],"Despesa",LANÇ_MOV[CONTAS],$C394,LANÇ_MOV[PLANO DE CONTAS],REL_DRE_FINANCEIRO!$B$343,LANÇ_MOV[ANO PAGAMENTO],$B$4,LANÇ_MOV[MÊS PAGAMENTO CORRESPONDENTE],O$6,LANÇ_MOV[EMPRESA],$C$4,LANÇ_MOV[CENTRO DE CUSTOS],$D$4)</f>
        <v>0</v>
      </c>
      <c r="P394" s="207">
        <f t="shared" si="54"/>
        <v>0</v>
      </c>
      <c r="Q394" s="329">
        <v>5.0000000000000004E-6</v>
      </c>
      <c r="R394" s="346">
        <f t="shared" si="55"/>
        <v>5.0000000000000004E-6</v>
      </c>
      <c r="S394" s="347" t="str">
        <f t="shared" si="56"/>
        <v>-</v>
      </c>
      <c r="T394" s="347">
        <f t="shared" si="57"/>
        <v>0</v>
      </c>
      <c r="U394" s="347">
        <f>HLOOKUP(Apoio!$P$12,$D$342:$P$443,X394,FALSE)+Q394</f>
        <v>5.0000000000000004E-6</v>
      </c>
      <c r="V394" s="447" t="str">
        <f t="shared" si="58"/>
        <v>-</v>
      </c>
      <c r="W394" s="448">
        <f>HLOOKUP(Apoio!$P$12,$D$342:$P$443,X394,FALSE)</f>
        <v>0</v>
      </c>
      <c r="X394" s="329">
        <v>53</v>
      </c>
    </row>
    <row r="395" spans="2:24" ht="30.05" customHeight="1" x14ac:dyDescent="0.35">
      <c r="B395" s="204" t="str">
        <f>'CAD_PL_REC-DESP'!Q56</f>
        <v>2.3.52</v>
      </c>
      <c r="C395" s="205" t="str">
        <f>IF('CAD_PL_REC-DESP'!R56="","-",'CAD_PL_REC-DESP'!R56)</f>
        <v>-</v>
      </c>
      <c r="D395" s="206">
        <f>SUMIFS(LANÇ_MOV[VALOR LÍQUIDO],LANÇ_MOV[RECEITA OU DESPESA],"Despesa",LANÇ_MOV[CONTAS],$C395,LANÇ_MOV[PLANO DE CONTAS],REL_DRE_FINANCEIRO!$B$343,LANÇ_MOV[ANO PAGAMENTO],$B$4,LANÇ_MOV[MÊS PAGAMENTO CORRESPONDENTE],D$6,LANÇ_MOV[EMPRESA],$C$4,LANÇ_MOV[CENTRO DE CUSTOS],$D$4)</f>
        <v>0</v>
      </c>
      <c r="E395" s="206">
        <f>SUMIFS(LANÇ_MOV[VALOR LÍQUIDO],LANÇ_MOV[RECEITA OU DESPESA],"Despesa",LANÇ_MOV[CONTAS],$C395,LANÇ_MOV[PLANO DE CONTAS],REL_DRE_FINANCEIRO!$B$343,LANÇ_MOV[ANO PAGAMENTO],$B$4,LANÇ_MOV[MÊS PAGAMENTO CORRESPONDENTE],E$6,LANÇ_MOV[EMPRESA],$C$4,LANÇ_MOV[CENTRO DE CUSTOS],$D$4)</f>
        <v>0</v>
      </c>
      <c r="F395" s="206">
        <f>SUMIFS(LANÇ_MOV[VALOR LÍQUIDO],LANÇ_MOV[RECEITA OU DESPESA],"Despesa",LANÇ_MOV[CONTAS],$C395,LANÇ_MOV[PLANO DE CONTAS],REL_DRE_FINANCEIRO!$B$343,LANÇ_MOV[ANO PAGAMENTO],$B$4,LANÇ_MOV[MÊS PAGAMENTO CORRESPONDENTE],F$6,LANÇ_MOV[EMPRESA],$C$4,LANÇ_MOV[CENTRO DE CUSTOS],$D$4)</f>
        <v>0</v>
      </c>
      <c r="G395" s="206">
        <f>SUMIFS(LANÇ_MOV[VALOR LÍQUIDO],LANÇ_MOV[RECEITA OU DESPESA],"Despesa",LANÇ_MOV[CONTAS],$C395,LANÇ_MOV[PLANO DE CONTAS],REL_DRE_FINANCEIRO!$B$343,LANÇ_MOV[ANO PAGAMENTO],$B$4,LANÇ_MOV[MÊS PAGAMENTO CORRESPONDENTE],G$6,LANÇ_MOV[EMPRESA],$C$4,LANÇ_MOV[CENTRO DE CUSTOS],$D$4)</f>
        <v>0</v>
      </c>
      <c r="H395" s="206">
        <f>SUMIFS(LANÇ_MOV[VALOR LÍQUIDO],LANÇ_MOV[RECEITA OU DESPESA],"Despesa",LANÇ_MOV[CONTAS],$C395,LANÇ_MOV[PLANO DE CONTAS],REL_DRE_FINANCEIRO!$B$343,LANÇ_MOV[ANO PAGAMENTO],$B$4,LANÇ_MOV[MÊS PAGAMENTO CORRESPONDENTE],H$6,LANÇ_MOV[EMPRESA],$C$4,LANÇ_MOV[CENTRO DE CUSTOS],$D$4)</f>
        <v>0</v>
      </c>
      <c r="I395" s="206">
        <f>SUMIFS(LANÇ_MOV[VALOR LÍQUIDO],LANÇ_MOV[RECEITA OU DESPESA],"Despesa",LANÇ_MOV[CONTAS],$C395,LANÇ_MOV[PLANO DE CONTAS],REL_DRE_FINANCEIRO!$B$343,LANÇ_MOV[ANO PAGAMENTO],$B$4,LANÇ_MOV[MÊS PAGAMENTO CORRESPONDENTE],I$6,LANÇ_MOV[EMPRESA],$C$4,LANÇ_MOV[CENTRO DE CUSTOS],$D$4)</f>
        <v>0</v>
      </c>
      <c r="J395" s="206">
        <f>SUMIFS(LANÇ_MOV[VALOR LÍQUIDO],LANÇ_MOV[RECEITA OU DESPESA],"Despesa",LANÇ_MOV[CONTAS],$C395,LANÇ_MOV[PLANO DE CONTAS],REL_DRE_FINANCEIRO!$B$343,LANÇ_MOV[ANO PAGAMENTO],$B$4,LANÇ_MOV[MÊS PAGAMENTO CORRESPONDENTE],J$6,LANÇ_MOV[EMPRESA],$C$4,LANÇ_MOV[CENTRO DE CUSTOS],$D$4)</f>
        <v>0</v>
      </c>
      <c r="K395" s="206">
        <f>SUMIFS(LANÇ_MOV[VALOR LÍQUIDO],LANÇ_MOV[RECEITA OU DESPESA],"Despesa",LANÇ_MOV[CONTAS],$C395,LANÇ_MOV[PLANO DE CONTAS],REL_DRE_FINANCEIRO!$B$343,LANÇ_MOV[ANO PAGAMENTO],$B$4,LANÇ_MOV[MÊS PAGAMENTO CORRESPONDENTE],K$6,LANÇ_MOV[EMPRESA],$C$4,LANÇ_MOV[CENTRO DE CUSTOS],$D$4)</f>
        <v>0</v>
      </c>
      <c r="L395" s="206">
        <f>SUMIFS(LANÇ_MOV[VALOR LÍQUIDO],LANÇ_MOV[RECEITA OU DESPESA],"Despesa",LANÇ_MOV[CONTAS],$C395,LANÇ_MOV[PLANO DE CONTAS],REL_DRE_FINANCEIRO!$B$343,LANÇ_MOV[ANO PAGAMENTO],$B$4,LANÇ_MOV[MÊS PAGAMENTO CORRESPONDENTE],L$6,LANÇ_MOV[EMPRESA],$C$4,LANÇ_MOV[CENTRO DE CUSTOS],$D$4)</f>
        <v>0</v>
      </c>
      <c r="M395" s="206">
        <f>SUMIFS(LANÇ_MOV[VALOR LÍQUIDO],LANÇ_MOV[RECEITA OU DESPESA],"Despesa",LANÇ_MOV[CONTAS],$C395,LANÇ_MOV[PLANO DE CONTAS],REL_DRE_FINANCEIRO!$B$343,LANÇ_MOV[ANO PAGAMENTO],$B$4,LANÇ_MOV[MÊS PAGAMENTO CORRESPONDENTE],M$6,LANÇ_MOV[EMPRESA],$C$4,LANÇ_MOV[CENTRO DE CUSTOS],$D$4)</f>
        <v>0</v>
      </c>
      <c r="N395" s="206">
        <f>SUMIFS(LANÇ_MOV[VALOR LÍQUIDO],LANÇ_MOV[RECEITA OU DESPESA],"Despesa",LANÇ_MOV[CONTAS],$C395,LANÇ_MOV[PLANO DE CONTAS],REL_DRE_FINANCEIRO!$B$343,LANÇ_MOV[ANO PAGAMENTO],$B$4,LANÇ_MOV[MÊS PAGAMENTO CORRESPONDENTE],N$6,LANÇ_MOV[EMPRESA],$C$4,LANÇ_MOV[CENTRO DE CUSTOS],$D$4)</f>
        <v>0</v>
      </c>
      <c r="O395" s="206">
        <f>SUMIFS(LANÇ_MOV[VALOR LÍQUIDO],LANÇ_MOV[RECEITA OU DESPESA],"Despesa",LANÇ_MOV[CONTAS],$C395,LANÇ_MOV[PLANO DE CONTAS],REL_DRE_FINANCEIRO!$B$343,LANÇ_MOV[ANO PAGAMENTO],$B$4,LANÇ_MOV[MÊS PAGAMENTO CORRESPONDENTE],O$6,LANÇ_MOV[EMPRESA],$C$4,LANÇ_MOV[CENTRO DE CUSTOS],$D$4)</f>
        <v>0</v>
      </c>
      <c r="P395" s="207">
        <f t="shared" si="54"/>
        <v>0</v>
      </c>
      <c r="Q395" s="329">
        <v>4.8999999999999997E-6</v>
      </c>
      <c r="R395" s="346">
        <f t="shared" si="55"/>
        <v>4.8999999999999997E-6</v>
      </c>
      <c r="S395" s="347" t="str">
        <f t="shared" si="56"/>
        <v>-</v>
      </c>
      <c r="T395" s="347">
        <f t="shared" si="57"/>
        <v>0</v>
      </c>
      <c r="U395" s="347">
        <f>HLOOKUP(Apoio!$P$12,$D$342:$P$443,X395,FALSE)+Q395</f>
        <v>4.8999999999999997E-6</v>
      </c>
      <c r="V395" s="447" t="str">
        <f t="shared" si="58"/>
        <v>-</v>
      </c>
      <c r="W395" s="448">
        <f>HLOOKUP(Apoio!$P$12,$D$342:$P$443,X395,FALSE)</f>
        <v>0</v>
      </c>
      <c r="X395" s="329">
        <v>54</v>
      </c>
    </row>
    <row r="396" spans="2:24" ht="30.05" customHeight="1" x14ac:dyDescent="0.35">
      <c r="B396" s="204" t="str">
        <f>'CAD_PL_REC-DESP'!Q57</f>
        <v>2.3.53</v>
      </c>
      <c r="C396" s="205" t="str">
        <f>IF('CAD_PL_REC-DESP'!R57="","-",'CAD_PL_REC-DESP'!R57)</f>
        <v>-</v>
      </c>
      <c r="D396" s="206">
        <f>SUMIFS(LANÇ_MOV[VALOR LÍQUIDO],LANÇ_MOV[RECEITA OU DESPESA],"Despesa",LANÇ_MOV[CONTAS],$C396,LANÇ_MOV[PLANO DE CONTAS],REL_DRE_FINANCEIRO!$B$343,LANÇ_MOV[ANO PAGAMENTO],$B$4,LANÇ_MOV[MÊS PAGAMENTO CORRESPONDENTE],D$6,LANÇ_MOV[EMPRESA],$C$4,LANÇ_MOV[CENTRO DE CUSTOS],$D$4)</f>
        <v>0</v>
      </c>
      <c r="E396" s="206">
        <f>SUMIFS(LANÇ_MOV[VALOR LÍQUIDO],LANÇ_MOV[RECEITA OU DESPESA],"Despesa",LANÇ_MOV[CONTAS],$C396,LANÇ_MOV[PLANO DE CONTAS],REL_DRE_FINANCEIRO!$B$343,LANÇ_MOV[ANO PAGAMENTO],$B$4,LANÇ_MOV[MÊS PAGAMENTO CORRESPONDENTE],E$6,LANÇ_MOV[EMPRESA],$C$4,LANÇ_MOV[CENTRO DE CUSTOS],$D$4)</f>
        <v>0</v>
      </c>
      <c r="F396" s="206">
        <f>SUMIFS(LANÇ_MOV[VALOR LÍQUIDO],LANÇ_MOV[RECEITA OU DESPESA],"Despesa",LANÇ_MOV[CONTAS],$C396,LANÇ_MOV[PLANO DE CONTAS],REL_DRE_FINANCEIRO!$B$343,LANÇ_MOV[ANO PAGAMENTO],$B$4,LANÇ_MOV[MÊS PAGAMENTO CORRESPONDENTE],F$6,LANÇ_MOV[EMPRESA],$C$4,LANÇ_MOV[CENTRO DE CUSTOS],$D$4)</f>
        <v>0</v>
      </c>
      <c r="G396" s="206">
        <f>SUMIFS(LANÇ_MOV[VALOR LÍQUIDO],LANÇ_MOV[RECEITA OU DESPESA],"Despesa",LANÇ_MOV[CONTAS],$C396,LANÇ_MOV[PLANO DE CONTAS],REL_DRE_FINANCEIRO!$B$343,LANÇ_MOV[ANO PAGAMENTO],$B$4,LANÇ_MOV[MÊS PAGAMENTO CORRESPONDENTE],G$6,LANÇ_MOV[EMPRESA],$C$4,LANÇ_MOV[CENTRO DE CUSTOS],$D$4)</f>
        <v>0</v>
      </c>
      <c r="H396" s="206">
        <f>SUMIFS(LANÇ_MOV[VALOR LÍQUIDO],LANÇ_MOV[RECEITA OU DESPESA],"Despesa",LANÇ_MOV[CONTAS],$C396,LANÇ_MOV[PLANO DE CONTAS],REL_DRE_FINANCEIRO!$B$343,LANÇ_MOV[ANO PAGAMENTO],$B$4,LANÇ_MOV[MÊS PAGAMENTO CORRESPONDENTE],H$6,LANÇ_MOV[EMPRESA],$C$4,LANÇ_MOV[CENTRO DE CUSTOS],$D$4)</f>
        <v>0</v>
      </c>
      <c r="I396" s="206">
        <f>SUMIFS(LANÇ_MOV[VALOR LÍQUIDO],LANÇ_MOV[RECEITA OU DESPESA],"Despesa",LANÇ_MOV[CONTAS],$C396,LANÇ_MOV[PLANO DE CONTAS],REL_DRE_FINANCEIRO!$B$343,LANÇ_MOV[ANO PAGAMENTO],$B$4,LANÇ_MOV[MÊS PAGAMENTO CORRESPONDENTE],I$6,LANÇ_MOV[EMPRESA],$C$4,LANÇ_MOV[CENTRO DE CUSTOS],$D$4)</f>
        <v>0</v>
      </c>
      <c r="J396" s="206">
        <f>SUMIFS(LANÇ_MOV[VALOR LÍQUIDO],LANÇ_MOV[RECEITA OU DESPESA],"Despesa",LANÇ_MOV[CONTAS],$C396,LANÇ_MOV[PLANO DE CONTAS],REL_DRE_FINANCEIRO!$B$343,LANÇ_MOV[ANO PAGAMENTO],$B$4,LANÇ_MOV[MÊS PAGAMENTO CORRESPONDENTE],J$6,LANÇ_MOV[EMPRESA],$C$4,LANÇ_MOV[CENTRO DE CUSTOS],$D$4)</f>
        <v>0</v>
      </c>
      <c r="K396" s="206">
        <f>SUMIFS(LANÇ_MOV[VALOR LÍQUIDO],LANÇ_MOV[RECEITA OU DESPESA],"Despesa",LANÇ_MOV[CONTAS],$C396,LANÇ_MOV[PLANO DE CONTAS],REL_DRE_FINANCEIRO!$B$343,LANÇ_MOV[ANO PAGAMENTO],$B$4,LANÇ_MOV[MÊS PAGAMENTO CORRESPONDENTE],K$6,LANÇ_MOV[EMPRESA],$C$4,LANÇ_MOV[CENTRO DE CUSTOS],$D$4)</f>
        <v>0</v>
      </c>
      <c r="L396" s="206">
        <f>SUMIFS(LANÇ_MOV[VALOR LÍQUIDO],LANÇ_MOV[RECEITA OU DESPESA],"Despesa",LANÇ_MOV[CONTAS],$C396,LANÇ_MOV[PLANO DE CONTAS],REL_DRE_FINANCEIRO!$B$343,LANÇ_MOV[ANO PAGAMENTO],$B$4,LANÇ_MOV[MÊS PAGAMENTO CORRESPONDENTE],L$6,LANÇ_MOV[EMPRESA],$C$4,LANÇ_MOV[CENTRO DE CUSTOS],$D$4)</f>
        <v>0</v>
      </c>
      <c r="M396" s="206">
        <f>SUMIFS(LANÇ_MOV[VALOR LÍQUIDO],LANÇ_MOV[RECEITA OU DESPESA],"Despesa",LANÇ_MOV[CONTAS],$C396,LANÇ_MOV[PLANO DE CONTAS],REL_DRE_FINANCEIRO!$B$343,LANÇ_MOV[ANO PAGAMENTO],$B$4,LANÇ_MOV[MÊS PAGAMENTO CORRESPONDENTE],M$6,LANÇ_MOV[EMPRESA],$C$4,LANÇ_MOV[CENTRO DE CUSTOS],$D$4)</f>
        <v>0</v>
      </c>
      <c r="N396" s="206">
        <f>SUMIFS(LANÇ_MOV[VALOR LÍQUIDO],LANÇ_MOV[RECEITA OU DESPESA],"Despesa",LANÇ_MOV[CONTAS],$C396,LANÇ_MOV[PLANO DE CONTAS],REL_DRE_FINANCEIRO!$B$343,LANÇ_MOV[ANO PAGAMENTO],$B$4,LANÇ_MOV[MÊS PAGAMENTO CORRESPONDENTE],N$6,LANÇ_MOV[EMPRESA],$C$4,LANÇ_MOV[CENTRO DE CUSTOS],$D$4)</f>
        <v>0</v>
      </c>
      <c r="O396" s="206">
        <f>SUMIFS(LANÇ_MOV[VALOR LÍQUIDO],LANÇ_MOV[RECEITA OU DESPESA],"Despesa",LANÇ_MOV[CONTAS],$C396,LANÇ_MOV[PLANO DE CONTAS],REL_DRE_FINANCEIRO!$B$343,LANÇ_MOV[ANO PAGAMENTO],$B$4,LANÇ_MOV[MÊS PAGAMENTO CORRESPONDENTE],O$6,LANÇ_MOV[EMPRESA],$C$4,LANÇ_MOV[CENTRO DE CUSTOS],$D$4)</f>
        <v>0</v>
      </c>
      <c r="P396" s="207">
        <f t="shared" si="54"/>
        <v>0</v>
      </c>
      <c r="Q396" s="329">
        <v>4.7999999999999998E-6</v>
      </c>
      <c r="R396" s="346">
        <f t="shared" si="55"/>
        <v>4.7999999999999998E-6</v>
      </c>
      <c r="S396" s="347" t="str">
        <f t="shared" si="56"/>
        <v>-</v>
      </c>
      <c r="T396" s="347">
        <f t="shared" si="57"/>
        <v>0</v>
      </c>
      <c r="U396" s="347">
        <f>HLOOKUP(Apoio!$P$12,$D$342:$P$443,X396,FALSE)+Q396</f>
        <v>4.7999999999999998E-6</v>
      </c>
      <c r="V396" s="447" t="str">
        <f t="shared" si="58"/>
        <v>-</v>
      </c>
      <c r="W396" s="448">
        <f>HLOOKUP(Apoio!$P$12,$D$342:$P$443,X396,FALSE)</f>
        <v>0</v>
      </c>
      <c r="X396" s="329">
        <v>55</v>
      </c>
    </row>
    <row r="397" spans="2:24" ht="30.05" customHeight="1" x14ac:dyDescent="0.35">
      <c r="B397" s="204" t="str">
        <f>'CAD_PL_REC-DESP'!Q58</f>
        <v>2.3.54</v>
      </c>
      <c r="C397" s="205" t="str">
        <f>IF('CAD_PL_REC-DESP'!R58="","-",'CAD_PL_REC-DESP'!R58)</f>
        <v>-</v>
      </c>
      <c r="D397" s="206">
        <f>SUMIFS(LANÇ_MOV[VALOR LÍQUIDO],LANÇ_MOV[RECEITA OU DESPESA],"Despesa",LANÇ_MOV[CONTAS],$C397,LANÇ_MOV[PLANO DE CONTAS],REL_DRE_FINANCEIRO!$B$343,LANÇ_MOV[ANO PAGAMENTO],$B$4,LANÇ_MOV[MÊS PAGAMENTO CORRESPONDENTE],D$6,LANÇ_MOV[EMPRESA],$C$4,LANÇ_MOV[CENTRO DE CUSTOS],$D$4)</f>
        <v>0</v>
      </c>
      <c r="E397" s="206">
        <f>SUMIFS(LANÇ_MOV[VALOR LÍQUIDO],LANÇ_MOV[RECEITA OU DESPESA],"Despesa",LANÇ_MOV[CONTAS],$C397,LANÇ_MOV[PLANO DE CONTAS],REL_DRE_FINANCEIRO!$B$343,LANÇ_MOV[ANO PAGAMENTO],$B$4,LANÇ_MOV[MÊS PAGAMENTO CORRESPONDENTE],E$6,LANÇ_MOV[EMPRESA],$C$4,LANÇ_MOV[CENTRO DE CUSTOS],$D$4)</f>
        <v>0</v>
      </c>
      <c r="F397" s="206">
        <f>SUMIFS(LANÇ_MOV[VALOR LÍQUIDO],LANÇ_MOV[RECEITA OU DESPESA],"Despesa",LANÇ_MOV[CONTAS],$C397,LANÇ_MOV[PLANO DE CONTAS],REL_DRE_FINANCEIRO!$B$343,LANÇ_MOV[ANO PAGAMENTO],$B$4,LANÇ_MOV[MÊS PAGAMENTO CORRESPONDENTE],F$6,LANÇ_MOV[EMPRESA],$C$4,LANÇ_MOV[CENTRO DE CUSTOS],$D$4)</f>
        <v>0</v>
      </c>
      <c r="G397" s="206">
        <f>SUMIFS(LANÇ_MOV[VALOR LÍQUIDO],LANÇ_MOV[RECEITA OU DESPESA],"Despesa",LANÇ_MOV[CONTAS],$C397,LANÇ_MOV[PLANO DE CONTAS],REL_DRE_FINANCEIRO!$B$343,LANÇ_MOV[ANO PAGAMENTO],$B$4,LANÇ_MOV[MÊS PAGAMENTO CORRESPONDENTE],G$6,LANÇ_MOV[EMPRESA],$C$4,LANÇ_MOV[CENTRO DE CUSTOS],$D$4)</f>
        <v>0</v>
      </c>
      <c r="H397" s="206">
        <f>SUMIFS(LANÇ_MOV[VALOR LÍQUIDO],LANÇ_MOV[RECEITA OU DESPESA],"Despesa",LANÇ_MOV[CONTAS],$C397,LANÇ_MOV[PLANO DE CONTAS],REL_DRE_FINANCEIRO!$B$343,LANÇ_MOV[ANO PAGAMENTO],$B$4,LANÇ_MOV[MÊS PAGAMENTO CORRESPONDENTE],H$6,LANÇ_MOV[EMPRESA],$C$4,LANÇ_MOV[CENTRO DE CUSTOS],$D$4)</f>
        <v>0</v>
      </c>
      <c r="I397" s="206">
        <f>SUMIFS(LANÇ_MOV[VALOR LÍQUIDO],LANÇ_MOV[RECEITA OU DESPESA],"Despesa",LANÇ_MOV[CONTAS],$C397,LANÇ_MOV[PLANO DE CONTAS],REL_DRE_FINANCEIRO!$B$343,LANÇ_MOV[ANO PAGAMENTO],$B$4,LANÇ_MOV[MÊS PAGAMENTO CORRESPONDENTE],I$6,LANÇ_MOV[EMPRESA],$C$4,LANÇ_MOV[CENTRO DE CUSTOS],$D$4)</f>
        <v>0</v>
      </c>
      <c r="J397" s="206">
        <f>SUMIFS(LANÇ_MOV[VALOR LÍQUIDO],LANÇ_MOV[RECEITA OU DESPESA],"Despesa",LANÇ_MOV[CONTAS],$C397,LANÇ_MOV[PLANO DE CONTAS],REL_DRE_FINANCEIRO!$B$343,LANÇ_MOV[ANO PAGAMENTO],$B$4,LANÇ_MOV[MÊS PAGAMENTO CORRESPONDENTE],J$6,LANÇ_MOV[EMPRESA],$C$4,LANÇ_MOV[CENTRO DE CUSTOS],$D$4)</f>
        <v>0</v>
      </c>
      <c r="K397" s="206">
        <f>SUMIFS(LANÇ_MOV[VALOR LÍQUIDO],LANÇ_MOV[RECEITA OU DESPESA],"Despesa",LANÇ_MOV[CONTAS],$C397,LANÇ_MOV[PLANO DE CONTAS],REL_DRE_FINANCEIRO!$B$343,LANÇ_MOV[ANO PAGAMENTO],$B$4,LANÇ_MOV[MÊS PAGAMENTO CORRESPONDENTE],K$6,LANÇ_MOV[EMPRESA],$C$4,LANÇ_MOV[CENTRO DE CUSTOS],$D$4)</f>
        <v>0</v>
      </c>
      <c r="L397" s="206">
        <f>SUMIFS(LANÇ_MOV[VALOR LÍQUIDO],LANÇ_MOV[RECEITA OU DESPESA],"Despesa",LANÇ_MOV[CONTAS],$C397,LANÇ_MOV[PLANO DE CONTAS],REL_DRE_FINANCEIRO!$B$343,LANÇ_MOV[ANO PAGAMENTO],$B$4,LANÇ_MOV[MÊS PAGAMENTO CORRESPONDENTE],L$6,LANÇ_MOV[EMPRESA],$C$4,LANÇ_MOV[CENTRO DE CUSTOS],$D$4)</f>
        <v>0</v>
      </c>
      <c r="M397" s="206">
        <f>SUMIFS(LANÇ_MOV[VALOR LÍQUIDO],LANÇ_MOV[RECEITA OU DESPESA],"Despesa",LANÇ_MOV[CONTAS],$C397,LANÇ_MOV[PLANO DE CONTAS],REL_DRE_FINANCEIRO!$B$343,LANÇ_MOV[ANO PAGAMENTO],$B$4,LANÇ_MOV[MÊS PAGAMENTO CORRESPONDENTE],M$6,LANÇ_MOV[EMPRESA],$C$4,LANÇ_MOV[CENTRO DE CUSTOS],$D$4)</f>
        <v>0</v>
      </c>
      <c r="N397" s="206">
        <f>SUMIFS(LANÇ_MOV[VALOR LÍQUIDO],LANÇ_MOV[RECEITA OU DESPESA],"Despesa",LANÇ_MOV[CONTAS],$C397,LANÇ_MOV[PLANO DE CONTAS],REL_DRE_FINANCEIRO!$B$343,LANÇ_MOV[ANO PAGAMENTO],$B$4,LANÇ_MOV[MÊS PAGAMENTO CORRESPONDENTE],N$6,LANÇ_MOV[EMPRESA],$C$4,LANÇ_MOV[CENTRO DE CUSTOS],$D$4)</f>
        <v>0</v>
      </c>
      <c r="O397" s="206">
        <f>SUMIFS(LANÇ_MOV[VALOR LÍQUIDO],LANÇ_MOV[RECEITA OU DESPESA],"Despesa",LANÇ_MOV[CONTAS],$C397,LANÇ_MOV[PLANO DE CONTAS],REL_DRE_FINANCEIRO!$B$343,LANÇ_MOV[ANO PAGAMENTO],$B$4,LANÇ_MOV[MÊS PAGAMENTO CORRESPONDENTE],O$6,LANÇ_MOV[EMPRESA],$C$4,LANÇ_MOV[CENTRO DE CUSTOS],$D$4)</f>
        <v>0</v>
      </c>
      <c r="P397" s="207">
        <f t="shared" si="54"/>
        <v>0</v>
      </c>
      <c r="Q397" s="329">
        <v>4.6999999999999999E-6</v>
      </c>
      <c r="R397" s="346">
        <f t="shared" si="55"/>
        <v>4.6999999999999999E-6</v>
      </c>
      <c r="S397" s="347" t="str">
        <f t="shared" si="56"/>
        <v>-</v>
      </c>
      <c r="T397" s="347">
        <f t="shared" si="57"/>
        <v>0</v>
      </c>
      <c r="U397" s="347">
        <f>HLOOKUP(Apoio!$P$12,$D$342:$P$443,X397,FALSE)+Q397</f>
        <v>4.6999999999999999E-6</v>
      </c>
      <c r="V397" s="447" t="str">
        <f t="shared" si="58"/>
        <v>-</v>
      </c>
      <c r="W397" s="448">
        <f>HLOOKUP(Apoio!$P$12,$D$342:$P$443,X397,FALSE)</f>
        <v>0</v>
      </c>
      <c r="X397" s="329">
        <v>56</v>
      </c>
    </row>
    <row r="398" spans="2:24" ht="30.05" customHeight="1" x14ac:dyDescent="0.35">
      <c r="B398" s="204" t="str">
        <f>'CAD_PL_REC-DESP'!Q59</f>
        <v>2.3.55</v>
      </c>
      <c r="C398" s="205" t="str">
        <f>IF('CAD_PL_REC-DESP'!R59="","-",'CAD_PL_REC-DESP'!R59)</f>
        <v>-</v>
      </c>
      <c r="D398" s="206">
        <f>SUMIFS(LANÇ_MOV[VALOR LÍQUIDO],LANÇ_MOV[RECEITA OU DESPESA],"Despesa",LANÇ_MOV[CONTAS],$C398,LANÇ_MOV[PLANO DE CONTAS],REL_DRE_FINANCEIRO!$B$343,LANÇ_MOV[ANO PAGAMENTO],$B$4,LANÇ_MOV[MÊS PAGAMENTO CORRESPONDENTE],D$6,LANÇ_MOV[EMPRESA],$C$4,LANÇ_MOV[CENTRO DE CUSTOS],$D$4)</f>
        <v>0</v>
      </c>
      <c r="E398" s="206">
        <f>SUMIFS(LANÇ_MOV[VALOR LÍQUIDO],LANÇ_MOV[RECEITA OU DESPESA],"Despesa",LANÇ_MOV[CONTAS],$C398,LANÇ_MOV[PLANO DE CONTAS],REL_DRE_FINANCEIRO!$B$343,LANÇ_MOV[ANO PAGAMENTO],$B$4,LANÇ_MOV[MÊS PAGAMENTO CORRESPONDENTE],E$6,LANÇ_MOV[EMPRESA],$C$4,LANÇ_MOV[CENTRO DE CUSTOS],$D$4)</f>
        <v>0</v>
      </c>
      <c r="F398" s="206">
        <f>SUMIFS(LANÇ_MOV[VALOR LÍQUIDO],LANÇ_MOV[RECEITA OU DESPESA],"Despesa",LANÇ_MOV[CONTAS],$C398,LANÇ_MOV[PLANO DE CONTAS],REL_DRE_FINANCEIRO!$B$343,LANÇ_MOV[ANO PAGAMENTO],$B$4,LANÇ_MOV[MÊS PAGAMENTO CORRESPONDENTE],F$6,LANÇ_MOV[EMPRESA],$C$4,LANÇ_MOV[CENTRO DE CUSTOS],$D$4)</f>
        <v>0</v>
      </c>
      <c r="G398" s="206">
        <f>SUMIFS(LANÇ_MOV[VALOR LÍQUIDO],LANÇ_MOV[RECEITA OU DESPESA],"Despesa",LANÇ_MOV[CONTAS],$C398,LANÇ_MOV[PLANO DE CONTAS],REL_DRE_FINANCEIRO!$B$343,LANÇ_MOV[ANO PAGAMENTO],$B$4,LANÇ_MOV[MÊS PAGAMENTO CORRESPONDENTE],G$6,LANÇ_MOV[EMPRESA],$C$4,LANÇ_MOV[CENTRO DE CUSTOS],$D$4)</f>
        <v>0</v>
      </c>
      <c r="H398" s="206">
        <f>SUMIFS(LANÇ_MOV[VALOR LÍQUIDO],LANÇ_MOV[RECEITA OU DESPESA],"Despesa",LANÇ_MOV[CONTAS],$C398,LANÇ_MOV[PLANO DE CONTAS],REL_DRE_FINANCEIRO!$B$343,LANÇ_MOV[ANO PAGAMENTO],$B$4,LANÇ_MOV[MÊS PAGAMENTO CORRESPONDENTE],H$6,LANÇ_MOV[EMPRESA],$C$4,LANÇ_MOV[CENTRO DE CUSTOS],$D$4)</f>
        <v>0</v>
      </c>
      <c r="I398" s="206">
        <f>SUMIFS(LANÇ_MOV[VALOR LÍQUIDO],LANÇ_MOV[RECEITA OU DESPESA],"Despesa",LANÇ_MOV[CONTAS],$C398,LANÇ_MOV[PLANO DE CONTAS],REL_DRE_FINANCEIRO!$B$343,LANÇ_MOV[ANO PAGAMENTO],$B$4,LANÇ_MOV[MÊS PAGAMENTO CORRESPONDENTE],I$6,LANÇ_MOV[EMPRESA],$C$4,LANÇ_MOV[CENTRO DE CUSTOS],$D$4)</f>
        <v>0</v>
      </c>
      <c r="J398" s="206">
        <f>SUMIFS(LANÇ_MOV[VALOR LÍQUIDO],LANÇ_MOV[RECEITA OU DESPESA],"Despesa",LANÇ_MOV[CONTAS],$C398,LANÇ_MOV[PLANO DE CONTAS],REL_DRE_FINANCEIRO!$B$343,LANÇ_MOV[ANO PAGAMENTO],$B$4,LANÇ_MOV[MÊS PAGAMENTO CORRESPONDENTE],J$6,LANÇ_MOV[EMPRESA],$C$4,LANÇ_MOV[CENTRO DE CUSTOS],$D$4)</f>
        <v>0</v>
      </c>
      <c r="K398" s="206">
        <f>SUMIFS(LANÇ_MOV[VALOR LÍQUIDO],LANÇ_MOV[RECEITA OU DESPESA],"Despesa",LANÇ_MOV[CONTAS],$C398,LANÇ_MOV[PLANO DE CONTAS],REL_DRE_FINANCEIRO!$B$343,LANÇ_MOV[ANO PAGAMENTO],$B$4,LANÇ_MOV[MÊS PAGAMENTO CORRESPONDENTE],K$6,LANÇ_MOV[EMPRESA],$C$4,LANÇ_MOV[CENTRO DE CUSTOS],$D$4)</f>
        <v>0</v>
      </c>
      <c r="L398" s="206">
        <f>SUMIFS(LANÇ_MOV[VALOR LÍQUIDO],LANÇ_MOV[RECEITA OU DESPESA],"Despesa",LANÇ_MOV[CONTAS],$C398,LANÇ_MOV[PLANO DE CONTAS],REL_DRE_FINANCEIRO!$B$343,LANÇ_MOV[ANO PAGAMENTO],$B$4,LANÇ_MOV[MÊS PAGAMENTO CORRESPONDENTE],L$6,LANÇ_MOV[EMPRESA],$C$4,LANÇ_MOV[CENTRO DE CUSTOS],$D$4)</f>
        <v>0</v>
      </c>
      <c r="M398" s="206">
        <f>SUMIFS(LANÇ_MOV[VALOR LÍQUIDO],LANÇ_MOV[RECEITA OU DESPESA],"Despesa",LANÇ_MOV[CONTAS],$C398,LANÇ_MOV[PLANO DE CONTAS],REL_DRE_FINANCEIRO!$B$343,LANÇ_MOV[ANO PAGAMENTO],$B$4,LANÇ_MOV[MÊS PAGAMENTO CORRESPONDENTE],M$6,LANÇ_MOV[EMPRESA],$C$4,LANÇ_MOV[CENTRO DE CUSTOS],$D$4)</f>
        <v>0</v>
      </c>
      <c r="N398" s="206">
        <f>SUMIFS(LANÇ_MOV[VALOR LÍQUIDO],LANÇ_MOV[RECEITA OU DESPESA],"Despesa",LANÇ_MOV[CONTAS],$C398,LANÇ_MOV[PLANO DE CONTAS],REL_DRE_FINANCEIRO!$B$343,LANÇ_MOV[ANO PAGAMENTO],$B$4,LANÇ_MOV[MÊS PAGAMENTO CORRESPONDENTE],N$6,LANÇ_MOV[EMPRESA],$C$4,LANÇ_MOV[CENTRO DE CUSTOS],$D$4)</f>
        <v>0</v>
      </c>
      <c r="O398" s="206">
        <f>SUMIFS(LANÇ_MOV[VALOR LÍQUIDO],LANÇ_MOV[RECEITA OU DESPESA],"Despesa",LANÇ_MOV[CONTAS],$C398,LANÇ_MOV[PLANO DE CONTAS],REL_DRE_FINANCEIRO!$B$343,LANÇ_MOV[ANO PAGAMENTO],$B$4,LANÇ_MOV[MÊS PAGAMENTO CORRESPONDENTE],O$6,LANÇ_MOV[EMPRESA],$C$4,LANÇ_MOV[CENTRO DE CUSTOS],$D$4)</f>
        <v>0</v>
      </c>
      <c r="P398" s="207">
        <f t="shared" si="54"/>
        <v>0</v>
      </c>
      <c r="Q398" s="329">
        <v>4.6E-6</v>
      </c>
      <c r="R398" s="346">
        <f t="shared" si="55"/>
        <v>4.6E-6</v>
      </c>
      <c r="S398" s="347" t="str">
        <f t="shared" si="56"/>
        <v>-</v>
      </c>
      <c r="T398" s="347">
        <f t="shared" si="57"/>
        <v>0</v>
      </c>
      <c r="U398" s="347">
        <f>HLOOKUP(Apoio!$P$12,$D$342:$P$443,X398,FALSE)+Q398</f>
        <v>4.6E-6</v>
      </c>
      <c r="V398" s="447" t="str">
        <f t="shared" si="58"/>
        <v>-</v>
      </c>
      <c r="W398" s="448">
        <f>HLOOKUP(Apoio!$P$12,$D$342:$P$443,X398,FALSE)</f>
        <v>0</v>
      </c>
      <c r="X398" s="329">
        <v>57</v>
      </c>
    </row>
    <row r="399" spans="2:24" ht="30.05" customHeight="1" x14ac:dyDescent="0.35">
      <c r="B399" s="204" t="str">
        <f>'CAD_PL_REC-DESP'!Q60</f>
        <v>2.3.56</v>
      </c>
      <c r="C399" s="205" t="str">
        <f>IF('CAD_PL_REC-DESP'!R60="","-",'CAD_PL_REC-DESP'!R60)</f>
        <v>-</v>
      </c>
      <c r="D399" s="206">
        <f>SUMIFS(LANÇ_MOV[VALOR LÍQUIDO],LANÇ_MOV[RECEITA OU DESPESA],"Despesa",LANÇ_MOV[CONTAS],$C399,LANÇ_MOV[PLANO DE CONTAS],REL_DRE_FINANCEIRO!$B$343,LANÇ_MOV[ANO PAGAMENTO],$B$4,LANÇ_MOV[MÊS PAGAMENTO CORRESPONDENTE],D$6,LANÇ_MOV[EMPRESA],$C$4,LANÇ_MOV[CENTRO DE CUSTOS],$D$4)</f>
        <v>0</v>
      </c>
      <c r="E399" s="206">
        <f>SUMIFS(LANÇ_MOV[VALOR LÍQUIDO],LANÇ_MOV[RECEITA OU DESPESA],"Despesa",LANÇ_MOV[CONTAS],$C399,LANÇ_MOV[PLANO DE CONTAS],REL_DRE_FINANCEIRO!$B$343,LANÇ_MOV[ANO PAGAMENTO],$B$4,LANÇ_MOV[MÊS PAGAMENTO CORRESPONDENTE],E$6,LANÇ_MOV[EMPRESA],$C$4,LANÇ_MOV[CENTRO DE CUSTOS],$D$4)</f>
        <v>0</v>
      </c>
      <c r="F399" s="206">
        <f>SUMIFS(LANÇ_MOV[VALOR LÍQUIDO],LANÇ_MOV[RECEITA OU DESPESA],"Despesa",LANÇ_MOV[CONTAS],$C399,LANÇ_MOV[PLANO DE CONTAS],REL_DRE_FINANCEIRO!$B$343,LANÇ_MOV[ANO PAGAMENTO],$B$4,LANÇ_MOV[MÊS PAGAMENTO CORRESPONDENTE],F$6,LANÇ_MOV[EMPRESA],$C$4,LANÇ_MOV[CENTRO DE CUSTOS],$D$4)</f>
        <v>0</v>
      </c>
      <c r="G399" s="206">
        <f>SUMIFS(LANÇ_MOV[VALOR LÍQUIDO],LANÇ_MOV[RECEITA OU DESPESA],"Despesa",LANÇ_MOV[CONTAS],$C399,LANÇ_MOV[PLANO DE CONTAS],REL_DRE_FINANCEIRO!$B$343,LANÇ_MOV[ANO PAGAMENTO],$B$4,LANÇ_MOV[MÊS PAGAMENTO CORRESPONDENTE],G$6,LANÇ_MOV[EMPRESA],$C$4,LANÇ_MOV[CENTRO DE CUSTOS],$D$4)</f>
        <v>0</v>
      </c>
      <c r="H399" s="206">
        <f>SUMIFS(LANÇ_MOV[VALOR LÍQUIDO],LANÇ_MOV[RECEITA OU DESPESA],"Despesa",LANÇ_MOV[CONTAS],$C399,LANÇ_MOV[PLANO DE CONTAS],REL_DRE_FINANCEIRO!$B$343,LANÇ_MOV[ANO PAGAMENTO],$B$4,LANÇ_MOV[MÊS PAGAMENTO CORRESPONDENTE],H$6,LANÇ_MOV[EMPRESA],$C$4,LANÇ_MOV[CENTRO DE CUSTOS],$D$4)</f>
        <v>0</v>
      </c>
      <c r="I399" s="206">
        <f>SUMIFS(LANÇ_MOV[VALOR LÍQUIDO],LANÇ_MOV[RECEITA OU DESPESA],"Despesa",LANÇ_MOV[CONTAS],$C399,LANÇ_MOV[PLANO DE CONTAS],REL_DRE_FINANCEIRO!$B$343,LANÇ_MOV[ANO PAGAMENTO],$B$4,LANÇ_MOV[MÊS PAGAMENTO CORRESPONDENTE],I$6,LANÇ_MOV[EMPRESA],$C$4,LANÇ_MOV[CENTRO DE CUSTOS],$D$4)</f>
        <v>0</v>
      </c>
      <c r="J399" s="206">
        <f>SUMIFS(LANÇ_MOV[VALOR LÍQUIDO],LANÇ_MOV[RECEITA OU DESPESA],"Despesa",LANÇ_MOV[CONTAS],$C399,LANÇ_MOV[PLANO DE CONTAS],REL_DRE_FINANCEIRO!$B$343,LANÇ_MOV[ANO PAGAMENTO],$B$4,LANÇ_MOV[MÊS PAGAMENTO CORRESPONDENTE],J$6,LANÇ_MOV[EMPRESA],$C$4,LANÇ_MOV[CENTRO DE CUSTOS],$D$4)</f>
        <v>0</v>
      </c>
      <c r="K399" s="206">
        <f>SUMIFS(LANÇ_MOV[VALOR LÍQUIDO],LANÇ_MOV[RECEITA OU DESPESA],"Despesa",LANÇ_MOV[CONTAS],$C399,LANÇ_MOV[PLANO DE CONTAS],REL_DRE_FINANCEIRO!$B$343,LANÇ_MOV[ANO PAGAMENTO],$B$4,LANÇ_MOV[MÊS PAGAMENTO CORRESPONDENTE],K$6,LANÇ_MOV[EMPRESA],$C$4,LANÇ_MOV[CENTRO DE CUSTOS],$D$4)</f>
        <v>0</v>
      </c>
      <c r="L399" s="206">
        <f>SUMIFS(LANÇ_MOV[VALOR LÍQUIDO],LANÇ_MOV[RECEITA OU DESPESA],"Despesa",LANÇ_MOV[CONTAS],$C399,LANÇ_MOV[PLANO DE CONTAS],REL_DRE_FINANCEIRO!$B$343,LANÇ_MOV[ANO PAGAMENTO],$B$4,LANÇ_MOV[MÊS PAGAMENTO CORRESPONDENTE],L$6,LANÇ_MOV[EMPRESA],$C$4,LANÇ_MOV[CENTRO DE CUSTOS],$D$4)</f>
        <v>0</v>
      </c>
      <c r="M399" s="206">
        <f>SUMIFS(LANÇ_MOV[VALOR LÍQUIDO],LANÇ_MOV[RECEITA OU DESPESA],"Despesa",LANÇ_MOV[CONTAS],$C399,LANÇ_MOV[PLANO DE CONTAS],REL_DRE_FINANCEIRO!$B$343,LANÇ_MOV[ANO PAGAMENTO],$B$4,LANÇ_MOV[MÊS PAGAMENTO CORRESPONDENTE],M$6,LANÇ_MOV[EMPRESA],$C$4,LANÇ_MOV[CENTRO DE CUSTOS],$D$4)</f>
        <v>0</v>
      </c>
      <c r="N399" s="206">
        <f>SUMIFS(LANÇ_MOV[VALOR LÍQUIDO],LANÇ_MOV[RECEITA OU DESPESA],"Despesa",LANÇ_MOV[CONTAS],$C399,LANÇ_MOV[PLANO DE CONTAS],REL_DRE_FINANCEIRO!$B$343,LANÇ_MOV[ANO PAGAMENTO],$B$4,LANÇ_MOV[MÊS PAGAMENTO CORRESPONDENTE],N$6,LANÇ_MOV[EMPRESA],$C$4,LANÇ_MOV[CENTRO DE CUSTOS],$D$4)</f>
        <v>0</v>
      </c>
      <c r="O399" s="206">
        <f>SUMIFS(LANÇ_MOV[VALOR LÍQUIDO],LANÇ_MOV[RECEITA OU DESPESA],"Despesa",LANÇ_MOV[CONTAS],$C399,LANÇ_MOV[PLANO DE CONTAS],REL_DRE_FINANCEIRO!$B$343,LANÇ_MOV[ANO PAGAMENTO],$B$4,LANÇ_MOV[MÊS PAGAMENTO CORRESPONDENTE],O$6,LANÇ_MOV[EMPRESA],$C$4,LANÇ_MOV[CENTRO DE CUSTOS],$D$4)</f>
        <v>0</v>
      </c>
      <c r="P399" s="207">
        <f t="shared" si="54"/>
        <v>0</v>
      </c>
      <c r="Q399" s="329">
        <v>4.5000000000000001E-6</v>
      </c>
      <c r="R399" s="346">
        <f t="shared" si="55"/>
        <v>4.5000000000000001E-6</v>
      </c>
      <c r="S399" s="347" t="str">
        <f t="shared" si="56"/>
        <v>-</v>
      </c>
      <c r="T399" s="347">
        <f t="shared" si="57"/>
        <v>0</v>
      </c>
      <c r="U399" s="347">
        <f>HLOOKUP(Apoio!$P$12,$D$342:$P$443,X399,FALSE)+Q399</f>
        <v>4.5000000000000001E-6</v>
      </c>
      <c r="V399" s="447" t="str">
        <f t="shared" si="58"/>
        <v>-</v>
      </c>
      <c r="W399" s="448">
        <f>HLOOKUP(Apoio!$P$12,$D$342:$P$443,X399,FALSE)</f>
        <v>0</v>
      </c>
      <c r="X399" s="329">
        <v>58</v>
      </c>
    </row>
    <row r="400" spans="2:24" ht="30.05" customHeight="1" x14ac:dyDescent="0.35">
      <c r="B400" s="204" t="str">
        <f>'CAD_PL_REC-DESP'!Q61</f>
        <v>2.3.57</v>
      </c>
      <c r="C400" s="205" t="str">
        <f>IF('CAD_PL_REC-DESP'!R61="","-",'CAD_PL_REC-DESP'!R61)</f>
        <v>-</v>
      </c>
      <c r="D400" s="206">
        <f>SUMIFS(LANÇ_MOV[VALOR LÍQUIDO],LANÇ_MOV[RECEITA OU DESPESA],"Despesa",LANÇ_MOV[CONTAS],$C400,LANÇ_MOV[PLANO DE CONTAS],REL_DRE_FINANCEIRO!$B$343,LANÇ_MOV[ANO PAGAMENTO],$B$4,LANÇ_MOV[MÊS PAGAMENTO CORRESPONDENTE],D$6,LANÇ_MOV[EMPRESA],$C$4,LANÇ_MOV[CENTRO DE CUSTOS],$D$4)</f>
        <v>0</v>
      </c>
      <c r="E400" s="206">
        <f>SUMIFS(LANÇ_MOV[VALOR LÍQUIDO],LANÇ_MOV[RECEITA OU DESPESA],"Despesa",LANÇ_MOV[CONTAS],$C400,LANÇ_MOV[PLANO DE CONTAS],REL_DRE_FINANCEIRO!$B$343,LANÇ_MOV[ANO PAGAMENTO],$B$4,LANÇ_MOV[MÊS PAGAMENTO CORRESPONDENTE],E$6,LANÇ_MOV[EMPRESA],$C$4,LANÇ_MOV[CENTRO DE CUSTOS],$D$4)</f>
        <v>0</v>
      </c>
      <c r="F400" s="206">
        <f>SUMIFS(LANÇ_MOV[VALOR LÍQUIDO],LANÇ_MOV[RECEITA OU DESPESA],"Despesa",LANÇ_MOV[CONTAS],$C400,LANÇ_MOV[PLANO DE CONTAS],REL_DRE_FINANCEIRO!$B$343,LANÇ_MOV[ANO PAGAMENTO],$B$4,LANÇ_MOV[MÊS PAGAMENTO CORRESPONDENTE],F$6,LANÇ_MOV[EMPRESA],$C$4,LANÇ_MOV[CENTRO DE CUSTOS],$D$4)</f>
        <v>0</v>
      </c>
      <c r="G400" s="206">
        <f>SUMIFS(LANÇ_MOV[VALOR LÍQUIDO],LANÇ_MOV[RECEITA OU DESPESA],"Despesa",LANÇ_MOV[CONTAS],$C400,LANÇ_MOV[PLANO DE CONTAS],REL_DRE_FINANCEIRO!$B$343,LANÇ_MOV[ANO PAGAMENTO],$B$4,LANÇ_MOV[MÊS PAGAMENTO CORRESPONDENTE],G$6,LANÇ_MOV[EMPRESA],$C$4,LANÇ_MOV[CENTRO DE CUSTOS],$D$4)</f>
        <v>0</v>
      </c>
      <c r="H400" s="206">
        <f>SUMIFS(LANÇ_MOV[VALOR LÍQUIDO],LANÇ_MOV[RECEITA OU DESPESA],"Despesa",LANÇ_MOV[CONTAS],$C400,LANÇ_MOV[PLANO DE CONTAS],REL_DRE_FINANCEIRO!$B$343,LANÇ_MOV[ANO PAGAMENTO],$B$4,LANÇ_MOV[MÊS PAGAMENTO CORRESPONDENTE],H$6,LANÇ_MOV[EMPRESA],$C$4,LANÇ_MOV[CENTRO DE CUSTOS],$D$4)</f>
        <v>0</v>
      </c>
      <c r="I400" s="206">
        <f>SUMIFS(LANÇ_MOV[VALOR LÍQUIDO],LANÇ_MOV[RECEITA OU DESPESA],"Despesa",LANÇ_MOV[CONTAS],$C400,LANÇ_MOV[PLANO DE CONTAS],REL_DRE_FINANCEIRO!$B$343,LANÇ_MOV[ANO PAGAMENTO],$B$4,LANÇ_MOV[MÊS PAGAMENTO CORRESPONDENTE],I$6,LANÇ_MOV[EMPRESA],$C$4,LANÇ_MOV[CENTRO DE CUSTOS],$D$4)</f>
        <v>0</v>
      </c>
      <c r="J400" s="206">
        <f>SUMIFS(LANÇ_MOV[VALOR LÍQUIDO],LANÇ_MOV[RECEITA OU DESPESA],"Despesa",LANÇ_MOV[CONTAS],$C400,LANÇ_MOV[PLANO DE CONTAS],REL_DRE_FINANCEIRO!$B$343,LANÇ_MOV[ANO PAGAMENTO],$B$4,LANÇ_MOV[MÊS PAGAMENTO CORRESPONDENTE],J$6,LANÇ_MOV[EMPRESA],$C$4,LANÇ_MOV[CENTRO DE CUSTOS],$D$4)</f>
        <v>0</v>
      </c>
      <c r="K400" s="206">
        <f>SUMIFS(LANÇ_MOV[VALOR LÍQUIDO],LANÇ_MOV[RECEITA OU DESPESA],"Despesa",LANÇ_MOV[CONTAS],$C400,LANÇ_MOV[PLANO DE CONTAS],REL_DRE_FINANCEIRO!$B$343,LANÇ_MOV[ANO PAGAMENTO],$B$4,LANÇ_MOV[MÊS PAGAMENTO CORRESPONDENTE],K$6,LANÇ_MOV[EMPRESA],$C$4,LANÇ_MOV[CENTRO DE CUSTOS],$D$4)</f>
        <v>0</v>
      </c>
      <c r="L400" s="206">
        <f>SUMIFS(LANÇ_MOV[VALOR LÍQUIDO],LANÇ_MOV[RECEITA OU DESPESA],"Despesa",LANÇ_MOV[CONTAS],$C400,LANÇ_MOV[PLANO DE CONTAS],REL_DRE_FINANCEIRO!$B$343,LANÇ_MOV[ANO PAGAMENTO],$B$4,LANÇ_MOV[MÊS PAGAMENTO CORRESPONDENTE],L$6,LANÇ_MOV[EMPRESA],$C$4,LANÇ_MOV[CENTRO DE CUSTOS],$D$4)</f>
        <v>0</v>
      </c>
      <c r="M400" s="206">
        <f>SUMIFS(LANÇ_MOV[VALOR LÍQUIDO],LANÇ_MOV[RECEITA OU DESPESA],"Despesa",LANÇ_MOV[CONTAS],$C400,LANÇ_MOV[PLANO DE CONTAS],REL_DRE_FINANCEIRO!$B$343,LANÇ_MOV[ANO PAGAMENTO],$B$4,LANÇ_MOV[MÊS PAGAMENTO CORRESPONDENTE],M$6,LANÇ_MOV[EMPRESA],$C$4,LANÇ_MOV[CENTRO DE CUSTOS],$D$4)</f>
        <v>0</v>
      </c>
      <c r="N400" s="206">
        <f>SUMIFS(LANÇ_MOV[VALOR LÍQUIDO],LANÇ_MOV[RECEITA OU DESPESA],"Despesa",LANÇ_MOV[CONTAS],$C400,LANÇ_MOV[PLANO DE CONTAS],REL_DRE_FINANCEIRO!$B$343,LANÇ_MOV[ANO PAGAMENTO],$B$4,LANÇ_MOV[MÊS PAGAMENTO CORRESPONDENTE],N$6,LANÇ_MOV[EMPRESA],$C$4,LANÇ_MOV[CENTRO DE CUSTOS],$D$4)</f>
        <v>0</v>
      </c>
      <c r="O400" s="206">
        <f>SUMIFS(LANÇ_MOV[VALOR LÍQUIDO],LANÇ_MOV[RECEITA OU DESPESA],"Despesa",LANÇ_MOV[CONTAS],$C400,LANÇ_MOV[PLANO DE CONTAS],REL_DRE_FINANCEIRO!$B$343,LANÇ_MOV[ANO PAGAMENTO],$B$4,LANÇ_MOV[MÊS PAGAMENTO CORRESPONDENTE],O$6,LANÇ_MOV[EMPRESA],$C$4,LANÇ_MOV[CENTRO DE CUSTOS],$D$4)</f>
        <v>0</v>
      </c>
      <c r="P400" s="207">
        <f t="shared" si="54"/>
        <v>0</v>
      </c>
      <c r="Q400" s="329">
        <v>4.4000000000000002E-6</v>
      </c>
      <c r="R400" s="346">
        <f t="shared" si="55"/>
        <v>4.4000000000000002E-6</v>
      </c>
      <c r="S400" s="347" t="str">
        <f t="shared" si="56"/>
        <v>-</v>
      </c>
      <c r="T400" s="347">
        <f t="shared" si="57"/>
        <v>0</v>
      </c>
      <c r="U400" s="347">
        <f>HLOOKUP(Apoio!$P$12,$D$342:$P$443,X400,FALSE)+Q400</f>
        <v>4.4000000000000002E-6</v>
      </c>
      <c r="V400" s="447" t="str">
        <f t="shared" si="58"/>
        <v>-</v>
      </c>
      <c r="W400" s="448">
        <f>HLOOKUP(Apoio!$P$12,$D$342:$P$443,X400,FALSE)</f>
        <v>0</v>
      </c>
      <c r="X400" s="329">
        <v>59</v>
      </c>
    </row>
    <row r="401" spans="2:24" ht="30.05" customHeight="1" x14ac:dyDescent="0.35">
      <c r="B401" s="204" t="str">
        <f>'CAD_PL_REC-DESP'!Q62</f>
        <v>2.3.58</v>
      </c>
      <c r="C401" s="205" t="str">
        <f>IF('CAD_PL_REC-DESP'!R62="","-",'CAD_PL_REC-DESP'!R62)</f>
        <v>-</v>
      </c>
      <c r="D401" s="206">
        <f>SUMIFS(LANÇ_MOV[VALOR LÍQUIDO],LANÇ_MOV[RECEITA OU DESPESA],"Despesa",LANÇ_MOV[CONTAS],$C401,LANÇ_MOV[PLANO DE CONTAS],REL_DRE_FINANCEIRO!$B$343,LANÇ_MOV[ANO PAGAMENTO],$B$4,LANÇ_MOV[MÊS PAGAMENTO CORRESPONDENTE],D$6,LANÇ_MOV[EMPRESA],$C$4,LANÇ_MOV[CENTRO DE CUSTOS],$D$4)</f>
        <v>0</v>
      </c>
      <c r="E401" s="206">
        <f>SUMIFS(LANÇ_MOV[VALOR LÍQUIDO],LANÇ_MOV[RECEITA OU DESPESA],"Despesa",LANÇ_MOV[CONTAS],$C401,LANÇ_MOV[PLANO DE CONTAS],REL_DRE_FINANCEIRO!$B$343,LANÇ_MOV[ANO PAGAMENTO],$B$4,LANÇ_MOV[MÊS PAGAMENTO CORRESPONDENTE],E$6,LANÇ_MOV[EMPRESA],$C$4,LANÇ_MOV[CENTRO DE CUSTOS],$D$4)</f>
        <v>0</v>
      </c>
      <c r="F401" s="206">
        <f>SUMIFS(LANÇ_MOV[VALOR LÍQUIDO],LANÇ_MOV[RECEITA OU DESPESA],"Despesa",LANÇ_MOV[CONTAS],$C401,LANÇ_MOV[PLANO DE CONTAS],REL_DRE_FINANCEIRO!$B$343,LANÇ_MOV[ANO PAGAMENTO],$B$4,LANÇ_MOV[MÊS PAGAMENTO CORRESPONDENTE],F$6,LANÇ_MOV[EMPRESA],$C$4,LANÇ_MOV[CENTRO DE CUSTOS],$D$4)</f>
        <v>0</v>
      </c>
      <c r="G401" s="206">
        <f>SUMIFS(LANÇ_MOV[VALOR LÍQUIDO],LANÇ_MOV[RECEITA OU DESPESA],"Despesa",LANÇ_MOV[CONTAS],$C401,LANÇ_MOV[PLANO DE CONTAS],REL_DRE_FINANCEIRO!$B$343,LANÇ_MOV[ANO PAGAMENTO],$B$4,LANÇ_MOV[MÊS PAGAMENTO CORRESPONDENTE],G$6,LANÇ_MOV[EMPRESA],$C$4,LANÇ_MOV[CENTRO DE CUSTOS],$D$4)</f>
        <v>0</v>
      </c>
      <c r="H401" s="206">
        <f>SUMIFS(LANÇ_MOV[VALOR LÍQUIDO],LANÇ_MOV[RECEITA OU DESPESA],"Despesa",LANÇ_MOV[CONTAS],$C401,LANÇ_MOV[PLANO DE CONTAS],REL_DRE_FINANCEIRO!$B$343,LANÇ_MOV[ANO PAGAMENTO],$B$4,LANÇ_MOV[MÊS PAGAMENTO CORRESPONDENTE],H$6,LANÇ_MOV[EMPRESA],$C$4,LANÇ_MOV[CENTRO DE CUSTOS],$D$4)</f>
        <v>0</v>
      </c>
      <c r="I401" s="206">
        <f>SUMIFS(LANÇ_MOV[VALOR LÍQUIDO],LANÇ_MOV[RECEITA OU DESPESA],"Despesa",LANÇ_MOV[CONTAS],$C401,LANÇ_MOV[PLANO DE CONTAS],REL_DRE_FINANCEIRO!$B$343,LANÇ_MOV[ANO PAGAMENTO],$B$4,LANÇ_MOV[MÊS PAGAMENTO CORRESPONDENTE],I$6,LANÇ_MOV[EMPRESA],$C$4,LANÇ_MOV[CENTRO DE CUSTOS],$D$4)</f>
        <v>0</v>
      </c>
      <c r="J401" s="206">
        <f>SUMIFS(LANÇ_MOV[VALOR LÍQUIDO],LANÇ_MOV[RECEITA OU DESPESA],"Despesa",LANÇ_MOV[CONTAS],$C401,LANÇ_MOV[PLANO DE CONTAS],REL_DRE_FINANCEIRO!$B$343,LANÇ_MOV[ANO PAGAMENTO],$B$4,LANÇ_MOV[MÊS PAGAMENTO CORRESPONDENTE],J$6,LANÇ_MOV[EMPRESA],$C$4,LANÇ_MOV[CENTRO DE CUSTOS],$D$4)</f>
        <v>0</v>
      </c>
      <c r="K401" s="206">
        <f>SUMIFS(LANÇ_MOV[VALOR LÍQUIDO],LANÇ_MOV[RECEITA OU DESPESA],"Despesa",LANÇ_MOV[CONTAS],$C401,LANÇ_MOV[PLANO DE CONTAS],REL_DRE_FINANCEIRO!$B$343,LANÇ_MOV[ANO PAGAMENTO],$B$4,LANÇ_MOV[MÊS PAGAMENTO CORRESPONDENTE],K$6,LANÇ_MOV[EMPRESA],$C$4,LANÇ_MOV[CENTRO DE CUSTOS],$D$4)</f>
        <v>0</v>
      </c>
      <c r="L401" s="206">
        <f>SUMIFS(LANÇ_MOV[VALOR LÍQUIDO],LANÇ_MOV[RECEITA OU DESPESA],"Despesa",LANÇ_MOV[CONTAS],$C401,LANÇ_MOV[PLANO DE CONTAS],REL_DRE_FINANCEIRO!$B$343,LANÇ_MOV[ANO PAGAMENTO],$B$4,LANÇ_MOV[MÊS PAGAMENTO CORRESPONDENTE],L$6,LANÇ_MOV[EMPRESA],$C$4,LANÇ_MOV[CENTRO DE CUSTOS],$D$4)</f>
        <v>0</v>
      </c>
      <c r="M401" s="206">
        <f>SUMIFS(LANÇ_MOV[VALOR LÍQUIDO],LANÇ_MOV[RECEITA OU DESPESA],"Despesa",LANÇ_MOV[CONTAS],$C401,LANÇ_MOV[PLANO DE CONTAS],REL_DRE_FINANCEIRO!$B$343,LANÇ_MOV[ANO PAGAMENTO],$B$4,LANÇ_MOV[MÊS PAGAMENTO CORRESPONDENTE],M$6,LANÇ_MOV[EMPRESA],$C$4,LANÇ_MOV[CENTRO DE CUSTOS],$D$4)</f>
        <v>0</v>
      </c>
      <c r="N401" s="206">
        <f>SUMIFS(LANÇ_MOV[VALOR LÍQUIDO],LANÇ_MOV[RECEITA OU DESPESA],"Despesa",LANÇ_MOV[CONTAS],$C401,LANÇ_MOV[PLANO DE CONTAS],REL_DRE_FINANCEIRO!$B$343,LANÇ_MOV[ANO PAGAMENTO],$B$4,LANÇ_MOV[MÊS PAGAMENTO CORRESPONDENTE],N$6,LANÇ_MOV[EMPRESA],$C$4,LANÇ_MOV[CENTRO DE CUSTOS],$D$4)</f>
        <v>0</v>
      </c>
      <c r="O401" s="206">
        <f>SUMIFS(LANÇ_MOV[VALOR LÍQUIDO],LANÇ_MOV[RECEITA OU DESPESA],"Despesa",LANÇ_MOV[CONTAS],$C401,LANÇ_MOV[PLANO DE CONTAS],REL_DRE_FINANCEIRO!$B$343,LANÇ_MOV[ANO PAGAMENTO],$B$4,LANÇ_MOV[MÊS PAGAMENTO CORRESPONDENTE],O$6,LANÇ_MOV[EMPRESA],$C$4,LANÇ_MOV[CENTRO DE CUSTOS],$D$4)</f>
        <v>0</v>
      </c>
      <c r="P401" s="207">
        <f t="shared" si="54"/>
        <v>0</v>
      </c>
      <c r="Q401" s="329">
        <v>4.3000000000000003E-6</v>
      </c>
      <c r="R401" s="346">
        <f t="shared" si="55"/>
        <v>4.3000000000000003E-6</v>
      </c>
      <c r="S401" s="347" t="str">
        <f t="shared" si="56"/>
        <v>-</v>
      </c>
      <c r="T401" s="347">
        <f t="shared" si="57"/>
        <v>0</v>
      </c>
      <c r="U401" s="347">
        <f>HLOOKUP(Apoio!$P$12,$D$342:$P$443,X401,FALSE)+Q401</f>
        <v>4.3000000000000003E-6</v>
      </c>
      <c r="V401" s="447" t="str">
        <f t="shared" si="58"/>
        <v>-</v>
      </c>
      <c r="W401" s="448">
        <f>HLOOKUP(Apoio!$P$12,$D$342:$P$443,X401,FALSE)</f>
        <v>0</v>
      </c>
      <c r="X401" s="329">
        <v>60</v>
      </c>
    </row>
    <row r="402" spans="2:24" ht="30.05" customHeight="1" x14ac:dyDescent="0.35">
      <c r="B402" s="204" t="str">
        <f>'CAD_PL_REC-DESP'!Q63</f>
        <v>2.3.59</v>
      </c>
      <c r="C402" s="205" t="str">
        <f>IF('CAD_PL_REC-DESP'!R63="","-",'CAD_PL_REC-DESP'!R63)</f>
        <v>-</v>
      </c>
      <c r="D402" s="206">
        <f>SUMIFS(LANÇ_MOV[VALOR LÍQUIDO],LANÇ_MOV[RECEITA OU DESPESA],"Despesa",LANÇ_MOV[CONTAS],$C402,LANÇ_MOV[PLANO DE CONTAS],REL_DRE_FINANCEIRO!$B$343,LANÇ_MOV[ANO PAGAMENTO],$B$4,LANÇ_MOV[MÊS PAGAMENTO CORRESPONDENTE],D$6,LANÇ_MOV[EMPRESA],$C$4,LANÇ_MOV[CENTRO DE CUSTOS],$D$4)</f>
        <v>0</v>
      </c>
      <c r="E402" s="206">
        <f>SUMIFS(LANÇ_MOV[VALOR LÍQUIDO],LANÇ_MOV[RECEITA OU DESPESA],"Despesa",LANÇ_MOV[CONTAS],$C402,LANÇ_MOV[PLANO DE CONTAS],REL_DRE_FINANCEIRO!$B$343,LANÇ_MOV[ANO PAGAMENTO],$B$4,LANÇ_MOV[MÊS PAGAMENTO CORRESPONDENTE],E$6,LANÇ_MOV[EMPRESA],$C$4,LANÇ_MOV[CENTRO DE CUSTOS],$D$4)</f>
        <v>0</v>
      </c>
      <c r="F402" s="206">
        <f>SUMIFS(LANÇ_MOV[VALOR LÍQUIDO],LANÇ_MOV[RECEITA OU DESPESA],"Despesa",LANÇ_MOV[CONTAS],$C402,LANÇ_MOV[PLANO DE CONTAS],REL_DRE_FINANCEIRO!$B$343,LANÇ_MOV[ANO PAGAMENTO],$B$4,LANÇ_MOV[MÊS PAGAMENTO CORRESPONDENTE],F$6,LANÇ_MOV[EMPRESA],$C$4,LANÇ_MOV[CENTRO DE CUSTOS],$D$4)</f>
        <v>0</v>
      </c>
      <c r="G402" s="206">
        <f>SUMIFS(LANÇ_MOV[VALOR LÍQUIDO],LANÇ_MOV[RECEITA OU DESPESA],"Despesa",LANÇ_MOV[CONTAS],$C402,LANÇ_MOV[PLANO DE CONTAS],REL_DRE_FINANCEIRO!$B$343,LANÇ_MOV[ANO PAGAMENTO],$B$4,LANÇ_MOV[MÊS PAGAMENTO CORRESPONDENTE],G$6,LANÇ_MOV[EMPRESA],$C$4,LANÇ_MOV[CENTRO DE CUSTOS],$D$4)</f>
        <v>0</v>
      </c>
      <c r="H402" s="206">
        <f>SUMIFS(LANÇ_MOV[VALOR LÍQUIDO],LANÇ_MOV[RECEITA OU DESPESA],"Despesa",LANÇ_MOV[CONTAS],$C402,LANÇ_MOV[PLANO DE CONTAS],REL_DRE_FINANCEIRO!$B$343,LANÇ_MOV[ANO PAGAMENTO],$B$4,LANÇ_MOV[MÊS PAGAMENTO CORRESPONDENTE],H$6,LANÇ_MOV[EMPRESA],$C$4,LANÇ_MOV[CENTRO DE CUSTOS],$D$4)</f>
        <v>0</v>
      </c>
      <c r="I402" s="206">
        <f>SUMIFS(LANÇ_MOV[VALOR LÍQUIDO],LANÇ_MOV[RECEITA OU DESPESA],"Despesa",LANÇ_MOV[CONTAS],$C402,LANÇ_MOV[PLANO DE CONTAS],REL_DRE_FINANCEIRO!$B$343,LANÇ_MOV[ANO PAGAMENTO],$B$4,LANÇ_MOV[MÊS PAGAMENTO CORRESPONDENTE],I$6,LANÇ_MOV[EMPRESA],$C$4,LANÇ_MOV[CENTRO DE CUSTOS],$D$4)</f>
        <v>0</v>
      </c>
      <c r="J402" s="206">
        <f>SUMIFS(LANÇ_MOV[VALOR LÍQUIDO],LANÇ_MOV[RECEITA OU DESPESA],"Despesa",LANÇ_MOV[CONTAS],$C402,LANÇ_MOV[PLANO DE CONTAS],REL_DRE_FINANCEIRO!$B$343,LANÇ_MOV[ANO PAGAMENTO],$B$4,LANÇ_MOV[MÊS PAGAMENTO CORRESPONDENTE],J$6,LANÇ_MOV[EMPRESA],$C$4,LANÇ_MOV[CENTRO DE CUSTOS],$D$4)</f>
        <v>0</v>
      </c>
      <c r="K402" s="206">
        <f>SUMIFS(LANÇ_MOV[VALOR LÍQUIDO],LANÇ_MOV[RECEITA OU DESPESA],"Despesa",LANÇ_MOV[CONTAS],$C402,LANÇ_MOV[PLANO DE CONTAS],REL_DRE_FINANCEIRO!$B$343,LANÇ_MOV[ANO PAGAMENTO],$B$4,LANÇ_MOV[MÊS PAGAMENTO CORRESPONDENTE],K$6,LANÇ_MOV[EMPRESA],$C$4,LANÇ_MOV[CENTRO DE CUSTOS],$D$4)</f>
        <v>0</v>
      </c>
      <c r="L402" s="206">
        <f>SUMIFS(LANÇ_MOV[VALOR LÍQUIDO],LANÇ_MOV[RECEITA OU DESPESA],"Despesa",LANÇ_MOV[CONTAS],$C402,LANÇ_MOV[PLANO DE CONTAS],REL_DRE_FINANCEIRO!$B$343,LANÇ_MOV[ANO PAGAMENTO],$B$4,LANÇ_MOV[MÊS PAGAMENTO CORRESPONDENTE],L$6,LANÇ_MOV[EMPRESA],$C$4,LANÇ_MOV[CENTRO DE CUSTOS],$D$4)</f>
        <v>0</v>
      </c>
      <c r="M402" s="206">
        <f>SUMIFS(LANÇ_MOV[VALOR LÍQUIDO],LANÇ_MOV[RECEITA OU DESPESA],"Despesa",LANÇ_MOV[CONTAS],$C402,LANÇ_MOV[PLANO DE CONTAS],REL_DRE_FINANCEIRO!$B$343,LANÇ_MOV[ANO PAGAMENTO],$B$4,LANÇ_MOV[MÊS PAGAMENTO CORRESPONDENTE],M$6,LANÇ_MOV[EMPRESA],$C$4,LANÇ_MOV[CENTRO DE CUSTOS],$D$4)</f>
        <v>0</v>
      </c>
      <c r="N402" s="206">
        <f>SUMIFS(LANÇ_MOV[VALOR LÍQUIDO],LANÇ_MOV[RECEITA OU DESPESA],"Despesa",LANÇ_MOV[CONTAS],$C402,LANÇ_MOV[PLANO DE CONTAS],REL_DRE_FINANCEIRO!$B$343,LANÇ_MOV[ANO PAGAMENTO],$B$4,LANÇ_MOV[MÊS PAGAMENTO CORRESPONDENTE],N$6,LANÇ_MOV[EMPRESA],$C$4,LANÇ_MOV[CENTRO DE CUSTOS],$D$4)</f>
        <v>0</v>
      </c>
      <c r="O402" s="206">
        <f>SUMIFS(LANÇ_MOV[VALOR LÍQUIDO],LANÇ_MOV[RECEITA OU DESPESA],"Despesa",LANÇ_MOV[CONTAS],$C402,LANÇ_MOV[PLANO DE CONTAS],REL_DRE_FINANCEIRO!$B$343,LANÇ_MOV[ANO PAGAMENTO],$B$4,LANÇ_MOV[MÊS PAGAMENTO CORRESPONDENTE],O$6,LANÇ_MOV[EMPRESA],$C$4,LANÇ_MOV[CENTRO DE CUSTOS],$D$4)</f>
        <v>0</v>
      </c>
      <c r="P402" s="207">
        <f t="shared" si="54"/>
        <v>0</v>
      </c>
      <c r="Q402" s="329">
        <v>4.1999999999999996E-6</v>
      </c>
      <c r="R402" s="346">
        <f t="shared" si="55"/>
        <v>4.1999999999999996E-6</v>
      </c>
      <c r="S402" s="347" t="str">
        <f t="shared" si="56"/>
        <v>-</v>
      </c>
      <c r="T402" s="347">
        <f t="shared" si="57"/>
        <v>0</v>
      </c>
      <c r="U402" s="347">
        <f>HLOOKUP(Apoio!$P$12,$D$342:$P$443,X402,FALSE)+Q402</f>
        <v>4.1999999999999996E-6</v>
      </c>
      <c r="V402" s="447" t="str">
        <f t="shared" si="58"/>
        <v>-</v>
      </c>
      <c r="W402" s="448">
        <f>HLOOKUP(Apoio!$P$12,$D$342:$P$443,X402,FALSE)</f>
        <v>0</v>
      </c>
      <c r="X402" s="329">
        <v>61</v>
      </c>
    </row>
    <row r="403" spans="2:24" ht="30.05" customHeight="1" x14ac:dyDescent="0.35">
      <c r="B403" s="204" t="str">
        <f>'CAD_PL_REC-DESP'!Q64</f>
        <v>2.3.60</v>
      </c>
      <c r="C403" s="205" t="str">
        <f>IF('CAD_PL_REC-DESP'!R64="","-",'CAD_PL_REC-DESP'!R64)</f>
        <v>-</v>
      </c>
      <c r="D403" s="206">
        <f>SUMIFS(LANÇ_MOV[VALOR LÍQUIDO],LANÇ_MOV[RECEITA OU DESPESA],"Despesa",LANÇ_MOV[CONTAS],$C403,LANÇ_MOV[PLANO DE CONTAS],REL_DRE_FINANCEIRO!$B$343,LANÇ_MOV[ANO PAGAMENTO],$B$4,LANÇ_MOV[MÊS PAGAMENTO CORRESPONDENTE],D$6,LANÇ_MOV[EMPRESA],$C$4,LANÇ_MOV[CENTRO DE CUSTOS],$D$4)</f>
        <v>0</v>
      </c>
      <c r="E403" s="206">
        <f>SUMIFS(LANÇ_MOV[VALOR LÍQUIDO],LANÇ_MOV[RECEITA OU DESPESA],"Despesa",LANÇ_MOV[CONTAS],$C403,LANÇ_MOV[PLANO DE CONTAS],REL_DRE_FINANCEIRO!$B$343,LANÇ_MOV[ANO PAGAMENTO],$B$4,LANÇ_MOV[MÊS PAGAMENTO CORRESPONDENTE],E$6,LANÇ_MOV[EMPRESA],$C$4,LANÇ_MOV[CENTRO DE CUSTOS],$D$4)</f>
        <v>0</v>
      </c>
      <c r="F403" s="206">
        <f>SUMIFS(LANÇ_MOV[VALOR LÍQUIDO],LANÇ_MOV[RECEITA OU DESPESA],"Despesa",LANÇ_MOV[CONTAS],$C403,LANÇ_MOV[PLANO DE CONTAS],REL_DRE_FINANCEIRO!$B$343,LANÇ_MOV[ANO PAGAMENTO],$B$4,LANÇ_MOV[MÊS PAGAMENTO CORRESPONDENTE],F$6,LANÇ_MOV[EMPRESA],$C$4,LANÇ_MOV[CENTRO DE CUSTOS],$D$4)</f>
        <v>0</v>
      </c>
      <c r="G403" s="206">
        <f>SUMIFS(LANÇ_MOV[VALOR LÍQUIDO],LANÇ_MOV[RECEITA OU DESPESA],"Despesa",LANÇ_MOV[CONTAS],$C403,LANÇ_MOV[PLANO DE CONTAS],REL_DRE_FINANCEIRO!$B$343,LANÇ_MOV[ANO PAGAMENTO],$B$4,LANÇ_MOV[MÊS PAGAMENTO CORRESPONDENTE],G$6,LANÇ_MOV[EMPRESA],$C$4,LANÇ_MOV[CENTRO DE CUSTOS],$D$4)</f>
        <v>0</v>
      </c>
      <c r="H403" s="206">
        <f>SUMIFS(LANÇ_MOV[VALOR LÍQUIDO],LANÇ_MOV[RECEITA OU DESPESA],"Despesa",LANÇ_MOV[CONTAS],$C403,LANÇ_MOV[PLANO DE CONTAS],REL_DRE_FINANCEIRO!$B$343,LANÇ_MOV[ANO PAGAMENTO],$B$4,LANÇ_MOV[MÊS PAGAMENTO CORRESPONDENTE],H$6,LANÇ_MOV[EMPRESA],$C$4,LANÇ_MOV[CENTRO DE CUSTOS],$D$4)</f>
        <v>0</v>
      </c>
      <c r="I403" s="206">
        <f>SUMIFS(LANÇ_MOV[VALOR LÍQUIDO],LANÇ_MOV[RECEITA OU DESPESA],"Despesa",LANÇ_MOV[CONTAS],$C403,LANÇ_MOV[PLANO DE CONTAS],REL_DRE_FINANCEIRO!$B$343,LANÇ_MOV[ANO PAGAMENTO],$B$4,LANÇ_MOV[MÊS PAGAMENTO CORRESPONDENTE],I$6,LANÇ_MOV[EMPRESA],$C$4,LANÇ_MOV[CENTRO DE CUSTOS],$D$4)</f>
        <v>0</v>
      </c>
      <c r="J403" s="206">
        <f>SUMIFS(LANÇ_MOV[VALOR LÍQUIDO],LANÇ_MOV[RECEITA OU DESPESA],"Despesa",LANÇ_MOV[CONTAS],$C403,LANÇ_MOV[PLANO DE CONTAS],REL_DRE_FINANCEIRO!$B$343,LANÇ_MOV[ANO PAGAMENTO],$B$4,LANÇ_MOV[MÊS PAGAMENTO CORRESPONDENTE],J$6,LANÇ_MOV[EMPRESA],$C$4,LANÇ_MOV[CENTRO DE CUSTOS],$D$4)</f>
        <v>0</v>
      </c>
      <c r="K403" s="206">
        <f>SUMIFS(LANÇ_MOV[VALOR LÍQUIDO],LANÇ_MOV[RECEITA OU DESPESA],"Despesa",LANÇ_MOV[CONTAS],$C403,LANÇ_MOV[PLANO DE CONTAS],REL_DRE_FINANCEIRO!$B$343,LANÇ_MOV[ANO PAGAMENTO],$B$4,LANÇ_MOV[MÊS PAGAMENTO CORRESPONDENTE],K$6,LANÇ_MOV[EMPRESA],$C$4,LANÇ_MOV[CENTRO DE CUSTOS],$D$4)</f>
        <v>0</v>
      </c>
      <c r="L403" s="206">
        <f>SUMIFS(LANÇ_MOV[VALOR LÍQUIDO],LANÇ_MOV[RECEITA OU DESPESA],"Despesa",LANÇ_MOV[CONTAS],$C403,LANÇ_MOV[PLANO DE CONTAS],REL_DRE_FINANCEIRO!$B$343,LANÇ_MOV[ANO PAGAMENTO],$B$4,LANÇ_MOV[MÊS PAGAMENTO CORRESPONDENTE],L$6,LANÇ_MOV[EMPRESA],$C$4,LANÇ_MOV[CENTRO DE CUSTOS],$D$4)</f>
        <v>0</v>
      </c>
      <c r="M403" s="206">
        <f>SUMIFS(LANÇ_MOV[VALOR LÍQUIDO],LANÇ_MOV[RECEITA OU DESPESA],"Despesa",LANÇ_MOV[CONTAS],$C403,LANÇ_MOV[PLANO DE CONTAS],REL_DRE_FINANCEIRO!$B$343,LANÇ_MOV[ANO PAGAMENTO],$B$4,LANÇ_MOV[MÊS PAGAMENTO CORRESPONDENTE],M$6,LANÇ_MOV[EMPRESA],$C$4,LANÇ_MOV[CENTRO DE CUSTOS],$D$4)</f>
        <v>0</v>
      </c>
      <c r="N403" s="206">
        <f>SUMIFS(LANÇ_MOV[VALOR LÍQUIDO],LANÇ_MOV[RECEITA OU DESPESA],"Despesa",LANÇ_MOV[CONTAS],$C403,LANÇ_MOV[PLANO DE CONTAS],REL_DRE_FINANCEIRO!$B$343,LANÇ_MOV[ANO PAGAMENTO],$B$4,LANÇ_MOV[MÊS PAGAMENTO CORRESPONDENTE],N$6,LANÇ_MOV[EMPRESA],$C$4,LANÇ_MOV[CENTRO DE CUSTOS],$D$4)</f>
        <v>0</v>
      </c>
      <c r="O403" s="206">
        <f>SUMIFS(LANÇ_MOV[VALOR LÍQUIDO],LANÇ_MOV[RECEITA OU DESPESA],"Despesa",LANÇ_MOV[CONTAS],$C403,LANÇ_MOV[PLANO DE CONTAS],REL_DRE_FINANCEIRO!$B$343,LANÇ_MOV[ANO PAGAMENTO],$B$4,LANÇ_MOV[MÊS PAGAMENTO CORRESPONDENTE],O$6,LANÇ_MOV[EMPRESA],$C$4,LANÇ_MOV[CENTRO DE CUSTOS],$D$4)</f>
        <v>0</v>
      </c>
      <c r="P403" s="207">
        <f t="shared" si="54"/>
        <v>0</v>
      </c>
      <c r="Q403" s="329">
        <v>4.0999999999999997E-6</v>
      </c>
      <c r="R403" s="346">
        <f t="shared" si="55"/>
        <v>4.0999999999999997E-6</v>
      </c>
      <c r="S403" s="347" t="str">
        <f t="shared" si="56"/>
        <v>-</v>
      </c>
      <c r="T403" s="347">
        <f t="shared" si="57"/>
        <v>0</v>
      </c>
      <c r="U403" s="347">
        <f>HLOOKUP(Apoio!$P$12,$D$342:$P$443,X403,FALSE)+Q403</f>
        <v>4.0999999999999997E-6</v>
      </c>
      <c r="V403" s="447" t="str">
        <f t="shared" si="58"/>
        <v>-</v>
      </c>
      <c r="W403" s="448">
        <f>HLOOKUP(Apoio!$P$12,$D$342:$P$443,X403,FALSE)</f>
        <v>0</v>
      </c>
      <c r="X403" s="329">
        <v>62</v>
      </c>
    </row>
    <row r="404" spans="2:24" ht="30.05" customHeight="1" x14ac:dyDescent="0.35">
      <c r="B404" s="204" t="str">
        <f>'CAD_PL_REC-DESP'!Q65</f>
        <v>2.3.61</v>
      </c>
      <c r="C404" s="205" t="str">
        <f>IF('CAD_PL_REC-DESP'!R65="","-",'CAD_PL_REC-DESP'!R65)</f>
        <v>-</v>
      </c>
      <c r="D404" s="206">
        <f>SUMIFS(LANÇ_MOV[VALOR LÍQUIDO],LANÇ_MOV[RECEITA OU DESPESA],"Despesa",LANÇ_MOV[CONTAS],$C404,LANÇ_MOV[PLANO DE CONTAS],REL_DRE_FINANCEIRO!$B$343,LANÇ_MOV[ANO PAGAMENTO],$B$4,LANÇ_MOV[MÊS PAGAMENTO CORRESPONDENTE],D$6,LANÇ_MOV[EMPRESA],$C$4,LANÇ_MOV[CENTRO DE CUSTOS],$D$4)</f>
        <v>0</v>
      </c>
      <c r="E404" s="206">
        <f>SUMIFS(LANÇ_MOV[VALOR LÍQUIDO],LANÇ_MOV[RECEITA OU DESPESA],"Despesa",LANÇ_MOV[CONTAS],$C404,LANÇ_MOV[PLANO DE CONTAS],REL_DRE_FINANCEIRO!$B$343,LANÇ_MOV[ANO PAGAMENTO],$B$4,LANÇ_MOV[MÊS PAGAMENTO CORRESPONDENTE],E$6,LANÇ_MOV[EMPRESA],$C$4,LANÇ_MOV[CENTRO DE CUSTOS],$D$4)</f>
        <v>0</v>
      </c>
      <c r="F404" s="206">
        <f>SUMIFS(LANÇ_MOV[VALOR LÍQUIDO],LANÇ_MOV[RECEITA OU DESPESA],"Despesa",LANÇ_MOV[CONTAS],$C404,LANÇ_MOV[PLANO DE CONTAS],REL_DRE_FINANCEIRO!$B$343,LANÇ_MOV[ANO PAGAMENTO],$B$4,LANÇ_MOV[MÊS PAGAMENTO CORRESPONDENTE],F$6,LANÇ_MOV[EMPRESA],$C$4,LANÇ_MOV[CENTRO DE CUSTOS],$D$4)</f>
        <v>0</v>
      </c>
      <c r="G404" s="206">
        <f>SUMIFS(LANÇ_MOV[VALOR LÍQUIDO],LANÇ_MOV[RECEITA OU DESPESA],"Despesa",LANÇ_MOV[CONTAS],$C404,LANÇ_MOV[PLANO DE CONTAS],REL_DRE_FINANCEIRO!$B$343,LANÇ_MOV[ANO PAGAMENTO],$B$4,LANÇ_MOV[MÊS PAGAMENTO CORRESPONDENTE],G$6,LANÇ_MOV[EMPRESA],$C$4,LANÇ_MOV[CENTRO DE CUSTOS],$D$4)</f>
        <v>0</v>
      </c>
      <c r="H404" s="206">
        <f>SUMIFS(LANÇ_MOV[VALOR LÍQUIDO],LANÇ_MOV[RECEITA OU DESPESA],"Despesa",LANÇ_MOV[CONTAS],$C404,LANÇ_MOV[PLANO DE CONTAS],REL_DRE_FINANCEIRO!$B$343,LANÇ_MOV[ANO PAGAMENTO],$B$4,LANÇ_MOV[MÊS PAGAMENTO CORRESPONDENTE],H$6,LANÇ_MOV[EMPRESA],$C$4,LANÇ_MOV[CENTRO DE CUSTOS],$D$4)</f>
        <v>0</v>
      </c>
      <c r="I404" s="206">
        <f>SUMIFS(LANÇ_MOV[VALOR LÍQUIDO],LANÇ_MOV[RECEITA OU DESPESA],"Despesa",LANÇ_MOV[CONTAS],$C404,LANÇ_MOV[PLANO DE CONTAS],REL_DRE_FINANCEIRO!$B$343,LANÇ_MOV[ANO PAGAMENTO],$B$4,LANÇ_MOV[MÊS PAGAMENTO CORRESPONDENTE],I$6,LANÇ_MOV[EMPRESA],$C$4,LANÇ_MOV[CENTRO DE CUSTOS],$D$4)</f>
        <v>0</v>
      </c>
      <c r="J404" s="206">
        <f>SUMIFS(LANÇ_MOV[VALOR LÍQUIDO],LANÇ_MOV[RECEITA OU DESPESA],"Despesa",LANÇ_MOV[CONTAS],$C404,LANÇ_MOV[PLANO DE CONTAS],REL_DRE_FINANCEIRO!$B$343,LANÇ_MOV[ANO PAGAMENTO],$B$4,LANÇ_MOV[MÊS PAGAMENTO CORRESPONDENTE],J$6,LANÇ_MOV[EMPRESA],$C$4,LANÇ_MOV[CENTRO DE CUSTOS],$D$4)</f>
        <v>0</v>
      </c>
      <c r="K404" s="206">
        <f>SUMIFS(LANÇ_MOV[VALOR LÍQUIDO],LANÇ_MOV[RECEITA OU DESPESA],"Despesa",LANÇ_MOV[CONTAS],$C404,LANÇ_MOV[PLANO DE CONTAS],REL_DRE_FINANCEIRO!$B$343,LANÇ_MOV[ANO PAGAMENTO],$B$4,LANÇ_MOV[MÊS PAGAMENTO CORRESPONDENTE],K$6,LANÇ_MOV[EMPRESA],$C$4,LANÇ_MOV[CENTRO DE CUSTOS],$D$4)</f>
        <v>0</v>
      </c>
      <c r="L404" s="206">
        <f>SUMIFS(LANÇ_MOV[VALOR LÍQUIDO],LANÇ_MOV[RECEITA OU DESPESA],"Despesa",LANÇ_MOV[CONTAS],$C404,LANÇ_MOV[PLANO DE CONTAS],REL_DRE_FINANCEIRO!$B$343,LANÇ_MOV[ANO PAGAMENTO],$B$4,LANÇ_MOV[MÊS PAGAMENTO CORRESPONDENTE],L$6,LANÇ_MOV[EMPRESA],$C$4,LANÇ_MOV[CENTRO DE CUSTOS],$D$4)</f>
        <v>0</v>
      </c>
      <c r="M404" s="206">
        <f>SUMIFS(LANÇ_MOV[VALOR LÍQUIDO],LANÇ_MOV[RECEITA OU DESPESA],"Despesa",LANÇ_MOV[CONTAS],$C404,LANÇ_MOV[PLANO DE CONTAS],REL_DRE_FINANCEIRO!$B$343,LANÇ_MOV[ANO PAGAMENTO],$B$4,LANÇ_MOV[MÊS PAGAMENTO CORRESPONDENTE],M$6,LANÇ_MOV[EMPRESA],$C$4,LANÇ_MOV[CENTRO DE CUSTOS],$D$4)</f>
        <v>0</v>
      </c>
      <c r="N404" s="206">
        <f>SUMIFS(LANÇ_MOV[VALOR LÍQUIDO],LANÇ_MOV[RECEITA OU DESPESA],"Despesa",LANÇ_MOV[CONTAS],$C404,LANÇ_MOV[PLANO DE CONTAS],REL_DRE_FINANCEIRO!$B$343,LANÇ_MOV[ANO PAGAMENTO],$B$4,LANÇ_MOV[MÊS PAGAMENTO CORRESPONDENTE],N$6,LANÇ_MOV[EMPRESA],$C$4,LANÇ_MOV[CENTRO DE CUSTOS],$D$4)</f>
        <v>0</v>
      </c>
      <c r="O404" s="206">
        <f>SUMIFS(LANÇ_MOV[VALOR LÍQUIDO],LANÇ_MOV[RECEITA OU DESPESA],"Despesa",LANÇ_MOV[CONTAS],$C404,LANÇ_MOV[PLANO DE CONTAS],REL_DRE_FINANCEIRO!$B$343,LANÇ_MOV[ANO PAGAMENTO],$B$4,LANÇ_MOV[MÊS PAGAMENTO CORRESPONDENTE],O$6,LANÇ_MOV[EMPRESA],$C$4,LANÇ_MOV[CENTRO DE CUSTOS],$D$4)</f>
        <v>0</v>
      </c>
      <c r="P404" s="207">
        <f t="shared" si="54"/>
        <v>0</v>
      </c>
      <c r="Q404" s="329">
        <v>3.9999999999999998E-6</v>
      </c>
      <c r="R404" s="346">
        <f t="shared" si="55"/>
        <v>3.9999999999999998E-6</v>
      </c>
      <c r="S404" s="347" t="str">
        <f t="shared" si="56"/>
        <v>-</v>
      </c>
      <c r="T404" s="347">
        <f t="shared" si="57"/>
        <v>0</v>
      </c>
      <c r="U404" s="347">
        <f>HLOOKUP(Apoio!$P$12,$D$342:$P$443,X404,FALSE)+Q404</f>
        <v>3.9999999999999998E-6</v>
      </c>
      <c r="V404" s="447" t="str">
        <f t="shared" si="58"/>
        <v>-</v>
      </c>
      <c r="W404" s="448">
        <f>HLOOKUP(Apoio!$P$12,$D$342:$P$443,X404,FALSE)</f>
        <v>0</v>
      </c>
      <c r="X404" s="329">
        <v>63</v>
      </c>
    </row>
    <row r="405" spans="2:24" ht="30.05" customHeight="1" x14ac:dyDescent="0.35">
      <c r="B405" s="204" t="str">
        <f>'CAD_PL_REC-DESP'!Q66</f>
        <v>2.3.62</v>
      </c>
      <c r="C405" s="205" t="str">
        <f>IF('CAD_PL_REC-DESP'!R66="","-",'CAD_PL_REC-DESP'!R66)</f>
        <v>-</v>
      </c>
      <c r="D405" s="206">
        <f>SUMIFS(LANÇ_MOV[VALOR LÍQUIDO],LANÇ_MOV[RECEITA OU DESPESA],"Despesa",LANÇ_MOV[CONTAS],$C405,LANÇ_MOV[PLANO DE CONTAS],REL_DRE_FINANCEIRO!$B$343,LANÇ_MOV[ANO PAGAMENTO],$B$4,LANÇ_MOV[MÊS PAGAMENTO CORRESPONDENTE],D$6,LANÇ_MOV[EMPRESA],$C$4,LANÇ_MOV[CENTRO DE CUSTOS],$D$4)</f>
        <v>0</v>
      </c>
      <c r="E405" s="206">
        <f>SUMIFS(LANÇ_MOV[VALOR LÍQUIDO],LANÇ_MOV[RECEITA OU DESPESA],"Despesa",LANÇ_MOV[CONTAS],$C405,LANÇ_MOV[PLANO DE CONTAS],REL_DRE_FINANCEIRO!$B$343,LANÇ_MOV[ANO PAGAMENTO],$B$4,LANÇ_MOV[MÊS PAGAMENTO CORRESPONDENTE],E$6,LANÇ_MOV[EMPRESA],$C$4,LANÇ_MOV[CENTRO DE CUSTOS],$D$4)</f>
        <v>0</v>
      </c>
      <c r="F405" s="206">
        <f>SUMIFS(LANÇ_MOV[VALOR LÍQUIDO],LANÇ_MOV[RECEITA OU DESPESA],"Despesa",LANÇ_MOV[CONTAS],$C405,LANÇ_MOV[PLANO DE CONTAS],REL_DRE_FINANCEIRO!$B$343,LANÇ_MOV[ANO PAGAMENTO],$B$4,LANÇ_MOV[MÊS PAGAMENTO CORRESPONDENTE],F$6,LANÇ_MOV[EMPRESA],$C$4,LANÇ_MOV[CENTRO DE CUSTOS],$D$4)</f>
        <v>0</v>
      </c>
      <c r="G405" s="206">
        <f>SUMIFS(LANÇ_MOV[VALOR LÍQUIDO],LANÇ_MOV[RECEITA OU DESPESA],"Despesa",LANÇ_MOV[CONTAS],$C405,LANÇ_MOV[PLANO DE CONTAS],REL_DRE_FINANCEIRO!$B$343,LANÇ_MOV[ANO PAGAMENTO],$B$4,LANÇ_MOV[MÊS PAGAMENTO CORRESPONDENTE],G$6,LANÇ_MOV[EMPRESA],$C$4,LANÇ_MOV[CENTRO DE CUSTOS],$D$4)</f>
        <v>0</v>
      </c>
      <c r="H405" s="206">
        <f>SUMIFS(LANÇ_MOV[VALOR LÍQUIDO],LANÇ_MOV[RECEITA OU DESPESA],"Despesa",LANÇ_MOV[CONTAS],$C405,LANÇ_MOV[PLANO DE CONTAS],REL_DRE_FINANCEIRO!$B$343,LANÇ_MOV[ANO PAGAMENTO],$B$4,LANÇ_MOV[MÊS PAGAMENTO CORRESPONDENTE],H$6,LANÇ_MOV[EMPRESA],$C$4,LANÇ_MOV[CENTRO DE CUSTOS],$D$4)</f>
        <v>0</v>
      </c>
      <c r="I405" s="206">
        <f>SUMIFS(LANÇ_MOV[VALOR LÍQUIDO],LANÇ_MOV[RECEITA OU DESPESA],"Despesa",LANÇ_MOV[CONTAS],$C405,LANÇ_MOV[PLANO DE CONTAS],REL_DRE_FINANCEIRO!$B$343,LANÇ_MOV[ANO PAGAMENTO],$B$4,LANÇ_MOV[MÊS PAGAMENTO CORRESPONDENTE],I$6,LANÇ_MOV[EMPRESA],$C$4,LANÇ_MOV[CENTRO DE CUSTOS],$D$4)</f>
        <v>0</v>
      </c>
      <c r="J405" s="206">
        <f>SUMIFS(LANÇ_MOV[VALOR LÍQUIDO],LANÇ_MOV[RECEITA OU DESPESA],"Despesa",LANÇ_MOV[CONTAS],$C405,LANÇ_MOV[PLANO DE CONTAS],REL_DRE_FINANCEIRO!$B$343,LANÇ_MOV[ANO PAGAMENTO],$B$4,LANÇ_MOV[MÊS PAGAMENTO CORRESPONDENTE],J$6,LANÇ_MOV[EMPRESA],$C$4,LANÇ_MOV[CENTRO DE CUSTOS],$D$4)</f>
        <v>0</v>
      </c>
      <c r="K405" s="206">
        <f>SUMIFS(LANÇ_MOV[VALOR LÍQUIDO],LANÇ_MOV[RECEITA OU DESPESA],"Despesa",LANÇ_MOV[CONTAS],$C405,LANÇ_MOV[PLANO DE CONTAS],REL_DRE_FINANCEIRO!$B$343,LANÇ_MOV[ANO PAGAMENTO],$B$4,LANÇ_MOV[MÊS PAGAMENTO CORRESPONDENTE],K$6,LANÇ_MOV[EMPRESA],$C$4,LANÇ_MOV[CENTRO DE CUSTOS],$D$4)</f>
        <v>0</v>
      </c>
      <c r="L405" s="206">
        <f>SUMIFS(LANÇ_MOV[VALOR LÍQUIDO],LANÇ_MOV[RECEITA OU DESPESA],"Despesa",LANÇ_MOV[CONTAS],$C405,LANÇ_MOV[PLANO DE CONTAS],REL_DRE_FINANCEIRO!$B$343,LANÇ_MOV[ANO PAGAMENTO],$B$4,LANÇ_MOV[MÊS PAGAMENTO CORRESPONDENTE],L$6,LANÇ_MOV[EMPRESA],$C$4,LANÇ_MOV[CENTRO DE CUSTOS],$D$4)</f>
        <v>0</v>
      </c>
      <c r="M405" s="206">
        <f>SUMIFS(LANÇ_MOV[VALOR LÍQUIDO],LANÇ_MOV[RECEITA OU DESPESA],"Despesa",LANÇ_MOV[CONTAS],$C405,LANÇ_MOV[PLANO DE CONTAS],REL_DRE_FINANCEIRO!$B$343,LANÇ_MOV[ANO PAGAMENTO],$B$4,LANÇ_MOV[MÊS PAGAMENTO CORRESPONDENTE],M$6,LANÇ_MOV[EMPRESA],$C$4,LANÇ_MOV[CENTRO DE CUSTOS],$D$4)</f>
        <v>0</v>
      </c>
      <c r="N405" s="206">
        <f>SUMIFS(LANÇ_MOV[VALOR LÍQUIDO],LANÇ_MOV[RECEITA OU DESPESA],"Despesa",LANÇ_MOV[CONTAS],$C405,LANÇ_MOV[PLANO DE CONTAS],REL_DRE_FINANCEIRO!$B$343,LANÇ_MOV[ANO PAGAMENTO],$B$4,LANÇ_MOV[MÊS PAGAMENTO CORRESPONDENTE],N$6,LANÇ_MOV[EMPRESA],$C$4,LANÇ_MOV[CENTRO DE CUSTOS],$D$4)</f>
        <v>0</v>
      </c>
      <c r="O405" s="206">
        <f>SUMIFS(LANÇ_MOV[VALOR LÍQUIDO],LANÇ_MOV[RECEITA OU DESPESA],"Despesa",LANÇ_MOV[CONTAS],$C405,LANÇ_MOV[PLANO DE CONTAS],REL_DRE_FINANCEIRO!$B$343,LANÇ_MOV[ANO PAGAMENTO],$B$4,LANÇ_MOV[MÊS PAGAMENTO CORRESPONDENTE],O$6,LANÇ_MOV[EMPRESA],$C$4,LANÇ_MOV[CENTRO DE CUSTOS],$D$4)</f>
        <v>0</v>
      </c>
      <c r="P405" s="207">
        <f t="shared" si="54"/>
        <v>0</v>
      </c>
      <c r="Q405" s="329">
        <v>3.8999999999999999E-6</v>
      </c>
      <c r="R405" s="346">
        <f t="shared" si="55"/>
        <v>3.8999999999999999E-6</v>
      </c>
      <c r="S405" s="347" t="str">
        <f t="shared" si="56"/>
        <v>-</v>
      </c>
      <c r="T405" s="347">
        <f t="shared" si="57"/>
        <v>0</v>
      </c>
      <c r="U405" s="347">
        <f>HLOOKUP(Apoio!$P$12,$D$342:$P$443,X405,FALSE)+Q405</f>
        <v>3.8999999999999999E-6</v>
      </c>
      <c r="V405" s="447" t="str">
        <f t="shared" si="58"/>
        <v>-</v>
      </c>
      <c r="W405" s="448">
        <f>HLOOKUP(Apoio!$P$12,$D$342:$P$443,X405,FALSE)</f>
        <v>0</v>
      </c>
      <c r="X405" s="329">
        <v>64</v>
      </c>
    </row>
    <row r="406" spans="2:24" ht="30.05" customHeight="1" x14ac:dyDescent="0.35">
      <c r="B406" s="204" t="str">
        <f>'CAD_PL_REC-DESP'!Q67</f>
        <v>2.3.63</v>
      </c>
      <c r="C406" s="205" t="str">
        <f>IF('CAD_PL_REC-DESP'!R67="","-",'CAD_PL_REC-DESP'!R67)</f>
        <v>-</v>
      </c>
      <c r="D406" s="206">
        <f>SUMIFS(LANÇ_MOV[VALOR LÍQUIDO],LANÇ_MOV[RECEITA OU DESPESA],"Despesa",LANÇ_MOV[CONTAS],$C406,LANÇ_MOV[PLANO DE CONTAS],REL_DRE_FINANCEIRO!$B$343,LANÇ_MOV[ANO PAGAMENTO],$B$4,LANÇ_MOV[MÊS PAGAMENTO CORRESPONDENTE],D$6,LANÇ_MOV[EMPRESA],$C$4,LANÇ_MOV[CENTRO DE CUSTOS],$D$4)</f>
        <v>0</v>
      </c>
      <c r="E406" s="206">
        <f>SUMIFS(LANÇ_MOV[VALOR LÍQUIDO],LANÇ_MOV[RECEITA OU DESPESA],"Despesa",LANÇ_MOV[CONTAS],$C406,LANÇ_MOV[PLANO DE CONTAS],REL_DRE_FINANCEIRO!$B$343,LANÇ_MOV[ANO PAGAMENTO],$B$4,LANÇ_MOV[MÊS PAGAMENTO CORRESPONDENTE],E$6,LANÇ_MOV[EMPRESA],$C$4,LANÇ_MOV[CENTRO DE CUSTOS],$D$4)</f>
        <v>0</v>
      </c>
      <c r="F406" s="206">
        <f>SUMIFS(LANÇ_MOV[VALOR LÍQUIDO],LANÇ_MOV[RECEITA OU DESPESA],"Despesa",LANÇ_MOV[CONTAS],$C406,LANÇ_MOV[PLANO DE CONTAS],REL_DRE_FINANCEIRO!$B$343,LANÇ_MOV[ANO PAGAMENTO],$B$4,LANÇ_MOV[MÊS PAGAMENTO CORRESPONDENTE],F$6,LANÇ_MOV[EMPRESA],$C$4,LANÇ_MOV[CENTRO DE CUSTOS],$D$4)</f>
        <v>0</v>
      </c>
      <c r="G406" s="206">
        <f>SUMIFS(LANÇ_MOV[VALOR LÍQUIDO],LANÇ_MOV[RECEITA OU DESPESA],"Despesa",LANÇ_MOV[CONTAS],$C406,LANÇ_MOV[PLANO DE CONTAS],REL_DRE_FINANCEIRO!$B$343,LANÇ_MOV[ANO PAGAMENTO],$B$4,LANÇ_MOV[MÊS PAGAMENTO CORRESPONDENTE],G$6,LANÇ_MOV[EMPRESA],$C$4,LANÇ_MOV[CENTRO DE CUSTOS],$D$4)</f>
        <v>0</v>
      </c>
      <c r="H406" s="206">
        <f>SUMIFS(LANÇ_MOV[VALOR LÍQUIDO],LANÇ_MOV[RECEITA OU DESPESA],"Despesa",LANÇ_MOV[CONTAS],$C406,LANÇ_MOV[PLANO DE CONTAS],REL_DRE_FINANCEIRO!$B$343,LANÇ_MOV[ANO PAGAMENTO],$B$4,LANÇ_MOV[MÊS PAGAMENTO CORRESPONDENTE],H$6,LANÇ_MOV[EMPRESA],$C$4,LANÇ_MOV[CENTRO DE CUSTOS],$D$4)</f>
        <v>0</v>
      </c>
      <c r="I406" s="206">
        <f>SUMIFS(LANÇ_MOV[VALOR LÍQUIDO],LANÇ_MOV[RECEITA OU DESPESA],"Despesa",LANÇ_MOV[CONTAS],$C406,LANÇ_MOV[PLANO DE CONTAS],REL_DRE_FINANCEIRO!$B$343,LANÇ_MOV[ANO PAGAMENTO],$B$4,LANÇ_MOV[MÊS PAGAMENTO CORRESPONDENTE],I$6,LANÇ_MOV[EMPRESA],$C$4,LANÇ_MOV[CENTRO DE CUSTOS],$D$4)</f>
        <v>0</v>
      </c>
      <c r="J406" s="206">
        <f>SUMIFS(LANÇ_MOV[VALOR LÍQUIDO],LANÇ_MOV[RECEITA OU DESPESA],"Despesa",LANÇ_MOV[CONTAS],$C406,LANÇ_MOV[PLANO DE CONTAS],REL_DRE_FINANCEIRO!$B$343,LANÇ_MOV[ANO PAGAMENTO],$B$4,LANÇ_MOV[MÊS PAGAMENTO CORRESPONDENTE],J$6,LANÇ_MOV[EMPRESA],$C$4,LANÇ_MOV[CENTRO DE CUSTOS],$D$4)</f>
        <v>0</v>
      </c>
      <c r="K406" s="206">
        <f>SUMIFS(LANÇ_MOV[VALOR LÍQUIDO],LANÇ_MOV[RECEITA OU DESPESA],"Despesa",LANÇ_MOV[CONTAS],$C406,LANÇ_MOV[PLANO DE CONTAS],REL_DRE_FINANCEIRO!$B$343,LANÇ_MOV[ANO PAGAMENTO],$B$4,LANÇ_MOV[MÊS PAGAMENTO CORRESPONDENTE],K$6,LANÇ_MOV[EMPRESA],$C$4,LANÇ_MOV[CENTRO DE CUSTOS],$D$4)</f>
        <v>0</v>
      </c>
      <c r="L406" s="206">
        <f>SUMIFS(LANÇ_MOV[VALOR LÍQUIDO],LANÇ_MOV[RECEITA OU DESPESA],"Despesa",LANÇ_MOV[CONTAS],$C406,LANÇ_MOV[PLANO DE CONTAS],REL_DRE_FINANCEIRO!$B$343,LANÇ_MOV[ANO PAGAMENTO],$B$4,LANÇ_MOV[MÊS PAGAMENTO CORRESPONDENTE],L$6,LANÇ_MOV[EMPRESA],$C$4,LANÇ_MOV[CENTRO DE CUSTOS],$D$4)</f>
        <v>0</v>
      </c>
      <c r="M406" s="206">
        <f>SUMIFS(LANÇ_MOV[VALOR LÍQUIDO],LANÇ_MOV[RECEITA OU DESPESA],"Despesa",LANÇ_MOV[CONTAS],$C406,LANÇ_MOV[PLANO DE CONTAS],REL_DRE_FINANCEIRO!$B$343,LANÇ_MOV[ANO PAGAMENTO],$B$4,LANÇ_MOV[MÊS PAGAMENTO CORRESPONDENTE],M$6,LANÇ_MOV[EMPRESA],$C$4,LANÇ_MOV[CENTRO DE CUSTOS],$D$4)</f>
        <v>0</v>
      </c>
      <c r="N406" s="206">
        <f>SUMIFS(LANÇ_MOV[VALOR LÍQUIDO],LANÇ_MOV[RECEITA OU DESPESA],"Despesa",LANÇ_MOV[CONTAS],$C406,LANÇ_MOV[PLANO DE CONTAS],REL_DRE_FINANCEIRO!$B$343,LANÇ_MOV[ANO PAGAMENTO],$B$4,LANÇ_MOV[MÊS PAGAMENTO CORRESPONDENTE],N$6,LANÇ_MOV[EMPRESA],$C$4,LANÇ_MOV[CENTRO DE CUSTOS],$D$4)</f>
        <v>0</v>
      </c>
      <c r="O406" s="206">
        <f>SUMIFS(LANÇ_MOV[VALOR LÍQUIDO],LANÇ_MOV[RECEITA OU DESPESA],"Despesa",LANÇ_MOV[CONTAS],$C406,LANÇ_MOV[PLANO DE CONTAS],REL_DRE_FINANCEIRO!$B$343,LANÇ_MOV[ANO PAGAMENTO],$B$4,LANÇ_MOV[MÊS PAGAMENTO CORRESPONDENTE],O$6,LANÇ_MOV[EMPRESA],$C$4,LANÇ_MOV[CENTRO DE CUSTOS],$D$4)</f>
        <v>0</v>
      </c>
      <c r="P406" s="207">
        <f t="shared" si="54"/>
        <v>0</v>
      </c>
      <c r="Q406" s="329">
        <v>3.8E-6</v>
      </c>
      <c r="R406" s="346">
        <f t="shared" si="55"/>
        <v>3.8E-6</v>
      </c>
      <c r="S406" s="347" t="str">
        <f t="shared" si="56"/>
        <v>-</v>
      </c>
      <c r="T406" s="347">
        <f t="shared" si="57"/>
        <v>0</v>
      </c>
      <c r="U406" s="347">
        <f>HLOOKUP(Apoio!$P$12,$D$342:$P$443,X406,FALSE)+Q406</f>
        <v>3.8E-6</v>
      </c>
      <c r="V406" s="447" t="str">
        <f t="shared" si="58"/>
        <v>-</v>
      </c>
      <c r="W406" s="448">
        <f>HLOOKUP(Apoio!$P$12,$D$342:$P$443,X406,FALSE)</f>
        <v>0</v>
      </c>
      <c r="X406" s="329">
        <v>65</v>
      </c>
    </row>
    <row r="407" spans="2:24" ht="30.05" customHeight="1" x14ac:dyDescent="0.35">
      <c r="B407" s="204" t="str">
        <f>'CAD_PL_REC-DESP'!Q68</f>
        <v>2.3.64</v>
      </c>
      <c r="C407" s="205" t="str">
        <f>IF('CAD_PL_REC-DESP'!R68="","-",'CAD_PL_REC-DESP'!R68)</f>
        <v>-</v>
      </c>
      <c r="D407" s="206">
        <f>SUMIFS(LANÇ_MOV[VALOR LÍQUIDO],LANÇ_MOV[RECEITA OU DESPESA],"Despesa",LANÇ_MOV[CONTAS],$C407,LANÇ_MOV[PLANO DE CONTAS],REL_DRE_FINANCEIRO!$B$343,LANÇ_MOV[ANO PAGAMENTO],$B$4,LANÇ_MOV[MÊS PAGAMENTO CORRESPONDENTE],D$6,LANÇ_MOV[EMPRESA],$C$4,LANÇ_MOV[CENTRO DE CUSTOS],$D$4)</f>
        <v>0</v>
      </c>
      <c r="E407" s="206">
        <f>SUMIFS(LANÇ_MOV[VALOR LÍQUIDO],LANÇ_MOV[RECEITA OU DESPESA],"Despesa",LANÇ_MOV[CONTAS],$C407,LANÇ_MOV[PLANO DE CONTAS],REL_DRE_FINANCEIRO!$B$343,LANÇ_MOV[ANO PAGAMENTO],$B$4,LANÇ_MOV[MÊS PAGAMENTO CORRESPONDENTE],E$6,LANÇ_MOV[EMPRESA],$C$4,LANÇ_MOV[CENTRO DE CUSTOS],$D$4)</f>
        <v>0</v>
      </c>
      <c r="F407" s="206">
        <f>SUMIFS(LANÇ_MOV[VALOR LÍQUIDO],LANÇ_MOV[RECEITA OU DESPESA],"Despesa",LANÇ_MOV[CONTAS],$C407,LANÇ_MOV[PLANO DE CONTAS],REL_DRE_FINANCEIRO!$B$343,LANÇ_MOV[ANO PAGAMENTO],$B$4,LANÇ_MOV[MÊS PAGAMENTO CORRESPONDENTE],F$6,LANÇ_MOV[EMPRESA],$C$4,LANÇ_MOV[CENTRO DE CUSTOS],$D$4)</f>
        <v>0</v>
      </c>
      <c r="G407" s="206">
        <f>SUMIFS(LANÇ_MOV[VALOR LÍQUIDO],LANÇ_MOV[RECEITA OU DESPESA],"Despesa",LANÇ_MOV[CONTAS],$C407,LANÇ_MOV[PLANO DE CONTAS],REL_DRE_FINANCEIRO!$B$343,LANÇ_MOV[ANO PAGAMENTO],$B$4,LANÇ_MOV[MÊS PAGAMENTO CORRESPONDENTE],G$6,LANÇ_MOV[EMPRESA],$C$4,LANÇ_MOV[CENTRO DE CUSTOS],$D$4)</f>
        <v>0</v>
      </c>
      <c r="H407" s="206">
        <f>SUMIFS(LANÇ_MOV[VALOR LÍQUIDO],LANÇ_MOV[RECEITA OU DESPESA],"Despesa",LANÇ_MOV[CONTAS],$C407,LANÇ_MOV[PLANO DE CONTAS],REL_DRE_FINANCEIRO!$B$343,LANÇ_MOV[ANO PAGAMENTO],$B$4,LANÇ_MOV[MÊS PAGAMENTO CORRESPONDENTE],H$6,LANÇ_MOV[EMPRESA],$C$4,LANÇ_MOV[CENTRO DE CUSTOS],$D$4)</f>
        <v>0</v>
      </c>
      <c r="I407" s="206">
        <f>SUMIFS(LANÇ_MOV[VALOR LÍQUIDO],LANÇ_MOV[RECEITA OU DESPESA],"Despesa",LANÇ_MOV[CONTAS],$C407,LANÇ_MOV[PLANO DE CONTAS],REL_DRE_FINANCEIRO!$B$343,LANÇ_MOV[ANO PAGAMENTO],$B$4,LANÇ_MOV[MÊS PAGAMENTO CORRESPONDENTE],I$6,LANÇ_MOV[EMPRESA],$C$4,LANÇ_MOV[CENTRO DE CUSTOS],$D$4)</f>
        <v>0</v>
      </c>
      <c r="J407" s="206">
        <f>SUMIFS(LANÇ_MOV[VALOR LÍQUIDO],LANÇ_MOV[RECEITA OU DESPESA],"Despesa",LANÇ_MOV[CONTAS],$C407,LANÇ_MOV[PLANO DE CONTAS],REL_DRE_FINANCEIRO!$B$343,LANÇ_MOV[ANO PAGAMENTO],$B$4,LANÇ_MOV[MÊS PAGAMENTO CORRESPONDENTE],J$6,LANÇ_MOV[EMPRESA],$C$4,LANÇ_MOV[CENTRO DE CUSTOS],$D$4)</f>
        <v>0</v>
      </c>
      <c r="K407" s="206">
        <f>SUMIFS(LANÇ_MOV[VALOR LÍQUIDO],LANÇ_MOV[RECEITA OU DESPESA],"Despesa",LANÇ_MOV[CONTAS],$C407,LANÇ_MOV[PLANO DE CONTAS],REL_DRE_FINANCEIRO!$B$343,LANÇ_MOV[ANO PAGAMENTO],$B$4,LANÇ_MOV[MÊS PAGAMENTO CORRESPONDENTE],K$6,LANÇ_MOV[EMPRESA],$C$4,LANÇ_MOV[CENTRO DE CUSTOS],$D$4)</f>
        <v>0</v>
      </c>
      <c r="L407" s="206">
        <f>SUMIFS(LANÇ_MOV[VALOR LÍQUIDO],LANÇ_MOV[RECEITA OU DESPESA],"Despesa",LANÇ_MOV[CONTAS],$C407,LANÇ_MOV[PLANO DE CONTAS],REL_DRE_FINANCEIRO!$B$343,LANÇ_MOV[ANO PAGAMENTO],$B$4,LANÇ_MOV[MÊS PAGAMENTO CORRESPONDENTE],L$6,LANÇ_MOV[EMPRESA],$C$4,LANÇ_MOV[CENTRO DE CUSTOS],$D$4)</f>
        <v>0</v>
      </c>
      <c r="M407" s="206">
        <f>SUMIFS(LANÇ_MOV[VALOR LÍQUIDO],LANÇ_MOV[RECEITA OU DESPESA],"Despesa",LANÇ_MOV[CONTAS],$C407,LANÇ_MOV[PLANO DE CONTAS],REL_DRE_FINANCEIRO!$B$343,LANÇ_MOV[ANO PAGAMENTO],$B$4,LANÇ_MOV[MÊS PAGAMENTO CORRESPONDENTE],M$6,LANÇ_MOV[EMPRESA],$C$4,LANÇ_MOV[CENTRO DE CUSTOS],$D$4)</f>
        <v>0</v>
      </c>
      <c r="N407" s="206">
        <f>SUMIFS(LANÇ_MOV[VALOR LÍQUIDO],LANÇ_MOV[RECEITA OU DESPESA],"Despesa",LANÇ_MOV[CONTAS],$C407,LANÇ_MOV[PLANO DE CONTAS],REL_DRE_FINANCEIRO!$B$343,LANÇ_MOV[ANO PAGAMENTO],$B$4,LANÇ_MOV[MÊS PAGAMENTO CORRESPONDENTE],N$6,LANÇ_MOV[EMPRESA],$C$4,LANÇ_MOV[CENTRO DE CUSTOS],$D$4)</f>
        <v>0</v>
      </c>
      <c r="O407" s="206">
        <f>SUMIFS(LANÇ_MOV[VALOR LÍQUIDO],LANÇ_MOV[RECEITA OU DESPESA],"Despesa",LANÇ_MOV[CONTAS],$C407,LANÇ_MOV[PLANO DE CONTAS],REL_DRE_FINANCEIRO!$B$343,LANÇ_MOV[ANO PAGAMENTO],$B$4,LANÇ_MOV[MÊS PAGAMENTO CORRESPONDENTE],O$6,LANÇ_MOV[EMPRESA],$C$4,LANÇ_MOV[CENTRO DE CUSTOS],$D$4)</f>
        <v>0</v>
      </c>
      <c r="P407" s="207">
        <f t="shared" si="54"/>
        <v>0</v>
      </c>
      <c r="Q407" s="329">
        <v>3.7000000000000002E-6</v>
      </c>
      <c r="R407" s="346">
        <f t="shared" si="55"/>
        <v>3.7000000000000002E-6</v>
      </c>
      <c r="S407" s="347" t="str">
        <f t="shared" si="56"/>
        <v>-</v>
      </c>
      <c r="T407" s="347">
        <f t="shared" si="57"/>
        <v>0</v>
      </c>
      <c r="U407" s="347">
        <f>HLOOKUP(Apoio!$P$12,$D$342:$P$443,X407,FALSE)+Q407</f>
        <v>3.7000000000000002E-6</v>
      </c>
      <c r="V407" s="447" t="str">
        <f t="shared" si="58"/>
        <v>-</v>
      </c>
      <c r="W407" s="448">
        <f>HLOOKUP(Apoio!$P$12,$D$342:$P$443,X407,FALSE)</f>
        <v>0</v>
      </c>
      <c r="X407" s="329">
        <v>66</v>
      </c>
    </row>
    <row r="408" spans="2:24" ht="30.05" customHeight="1" x14ac:dyDescent="0.35">
      <c r="B408" s="204" t="str">
        <f>'CAD_PL_REC-DESP'!Q69</f>
        <v>2.3.65</v>
      </c>
      <c r="C408" s="205" t="str">
        <f>IF('CAD_PL_REC-DESP'!R69="","-",'CAD_PL_REC-DESP'!R69)</f>
        <v>-</v>
      </c>
      <c r="D408" s="206">
        <f>SUMIFS(LANÇ_MOV[VALOR LÍQUIDO],LANÇ_MOV[RECEITA OU DESPESA],"Despesa",LANÇ_MOV[CONTAS],$C408,LANÇ_MOV[PLANO DE CONTAS],REL_DRE_FINANCEIRO!$B$343,LANÇ_MOV[ANO PAGAMENTO],$B$4,LANÇ_MOV[MÊS PAGAMENTO CORRESPONDENTE],D$6,LANÇ_MOV[EMPRESA],$C$4,LANÇ_MOV[CENTRO DE CUSTOS],$D$4)</f>
        <v>0</v>
      </c>
      <c r="E408" s="206">
        <f>SUMIFS(LANÇ_MOV[VALOR LÍQUIDO],LANÇ_MOV[RECEITA OU DESPESA],"Despesa",LANÇ_MOV[CONTAS],$C408,LANÇ_MOV[PLANO DE CONTAS],REL_DRE_FINANCEIRO!$B$343,LANÇ_MOV[ANO PAGAMENTO],$B$4,LANÇ_MOV[MÊS PAGAMENTO CORRESPONDENTE],E$6,LANÇ_MOV[EMPRESA],$C$4,LANÇ_MOV[CENTRO DE CUSTOS],$D$4)</f>
        <v>0</v>
      </c>
      <c r="F408" s="206">
        <f>SUMIFS(LANÇ_MOV[VALOR LÍQUIDO],LANÇ_MOV[RECEITA OU DESPESA],"Despesa",LANÇ_MOV[CONTAS],$C408,LANÇ_MOV[PLANO DE CONTAS],REL_DRE_FINANCEIRO!$B$343,LANÇ_MOV[ANO PAGAMENTO],$B$4,LANÇ_MOV[MÊS PAGAMENTO CORRESPONDENTE],F$6,LANÇ_MOV[EMPRESA],$C$4,LANÇ_MOV[CENTRO DE CUSTOS],$D$4)</f>
        <v>0</v>
      </c>
      <c r="G408" s="206">
        <f>SUMIFS(LANÇ_MOV[VALOR LÍQUIDO],LANÇ_MOV[RECEITA OU DESPESA],"Despesa",LANÇ_MOV[CONTAS],$C408,LANÇ_MOV[PLANO DE CONTAS],REL_DRE_FINANCEIRO!$B$343,LANÇ_MOV[ANO PAGAMENTO],$B$4,LANÇ_MOV[MÊS PAGAMENTO CORRESPONDENTE],G$6,LANÇ_MOV[EMPRESA],$C$4,LANÇ_MOV[CENTRO DE CUSTOS],$D$4)</f>
        <v>0</v>
      </c>
      <c r="H408" s="206">
        <f>SUMIFS(LANÇ_MOV[VALOR LÍQUIDO],LANÇ_MOV[RECEITA OU DESPESA],"Despesa",LANÇ_MOV[CONTAS],$C408,LANÇ_MOV[PLANO DE CONTAS],REL_DRE_FINANCEIRO!$B$343,LANÇ_MOV[ANO PAGAMENTO],$B$4,LANÇ_MOV[MÊS PAGAMENTO CORRESPONDENTE],H$6,LANÇ_MOV[EMPRESA],$C$4,LANÇ_MOV[CENTRO DE CUSTOS],$D$4)</f>
        <v>0</v>
      </c>
      <c r="I408" s="206">
        <f>SUMIFS(LANÇ_MOV[VALOR LÍQUIDO],LANÇ_MOV[RECEITA OU DESPESA],"Despesa",LANÇ_MOV[CONTAS],$C408,LANÇ_MOV[PLANO DE CONTAS],REL_DRE_FINANCEIRO!$B$343,LANÇ_MOV[ANO PAGAMENTO],$B$4,LANÇ_MOV[MÊS PAGAMENTO CORRESPONDENTE],I$6,LANÇ_MOV[EMPRESA],$C$4,LANÇ_MOV[CENTRO DE CUSTOS],$D$4)</f>
        <v>0</v>
      </c>
      <c r="J408" s="206">
        <f>SUMIFS(LANÇ_MOV[VALOR LÍQUIDO],LANÇ_MOV[RECEITA OU DESPESA],"Despesa",LANÇ_MOV[CONTAS],$C408,LANÇ_MOV[PLANO DE CONTAS],REL_DRE_FINANCEIRO!$B$343,LANÇ_MOV[ANO PAGAMENTO],$B$4,LANÇ_MOV[MÊS PAGAMENTO CORRESPONDENTE],J$6,LANÇ_MOV[EMPRESA],$C$4,LANÇ_MOV[CENTRO DE CUSTOS],$D$4)</f>
        <v>0</v>
      </c>
      <c r="K408" s="206">
        <f>SUMIFS(LANÇ_MOV[VALOR LÍQUIDO],LANÇ_MOV[RECEITA OU DESPESA],"Despesa",LANÇ_MOV[CONTAS],$C408,LANÇ_MOV[PLANO DE CONTAS],REL_DRE_FINANCEIRO!$B$343,LANÇ_MOV[ANO PAGAMENTO],$B$4,LANÇ_MOV[MÊS PAGAMENTO CORRESPONDENTE],K$6,LANÇ_MOV[EMPRESA],$C$4,LANÇ_MOV[CENTRO DE CUSTOS],$D$4)</f>
        <v>0</v>
      </c>
      <c r="L408" s="206">
        <f>SUMIFS(LANÇ_MOV[VALOR LÍQUIDO],LANÇ_MOV[RECEITA OU DESPESA],"Despesa",LANÇ_MOV[CONTAS],$C408,LANÇ_MOV[PLANO DE CONTAS],REL_DRE_FINANCEIRO!$B$343,LANÇ_MOV[ANO PAGAMENTO],$B$4,LANÇ_MOV[MÊS PAGAMENTO CORRESPONDENTE],L$6,LANÇ_MOV[EMPRESA],$C$4,LANÇ_MOV[CENTRO DE CUSTOS],$D$4)</f>
        <v>0</v>
      </c>
      <c r="M408" s="206">
        <f>SUMIFS(LANÇ_MOV[VALOR LÍQUIDO],LANÇ_MOV[RECEITA OU DESPESA],"Despesa",LANÇ_MOV[CONTAS],$C408,LANÇ_MOV[PLANO DE CONTAS],REL_DRE_FINANCEIRO!$B$343,LANÇ_MOV[ANO PAGAMENTO],$B$4,LANÇ_MOV[MÊS PAGAMENTO CORRESPONDENTE],M$6,LANÇ_MOV[EMPRESA],$C$4,LANÇ_MOV[CENTRO DE CUSTOS],$D$4)</f>
        <v>0</v>
      </c>
      <c r="N408" s="206">
        <f>SUMIFS(LANÇ_MOV[VALOR LÍQUIDO],LANÇ_MOV[RECEITA OU DESPESA],"Despesa",LANÇ_MOV[CONTAS],$C408,LANÇ_MOV[PLANO DE CONTAS],REL_DRE_FINANCEIRO!$B$343,LANÇ_MOV[ANO PAGAMENTO],$B$4,LANÇ_MOV[MÊS PAGAMENTO CORRESPONDENTE],N$6,LANÇ_MOV[EMPRESA],$C$4,LANÇ_MOV[CENTRO DE CUSTOS],$D$4)</f>
        <v>0</v>
      </c>
      <c r="O408" s="206">
        <f>SUMIFS(LANÇ_MOV[VALOR LÍQUIDO],LANÇ_MOV[RECEITA OU DESPESA],"Despesa",LANÇ_MOV[CONTAS],$C408,LANÇ_MOV[PLANO DE CONTAS],REL_DRE_FINANCEIRO!$B$343,LANÇ_MOV[ANO PAGAMENTO],$B$4,LANÇ_MOV[MÊS PAGAMENTO CORRESPONDENTE],O$6,LANÇ_MOV[EMPRESA],$C$4,LANÇ_MOV[CENTRO DE CUSTOS],$D$4)</f>
        <v>0</v>
      </c>
      <c r="P408" s="207">
        <f t="shared" ref="P408:P443" si="59">SUM(D408:O408)</f>
        <v>0</v>
      </c>
      <c r="Q408" s="329">
        <v>3.5999999999999998E-6</v>
      </c>
      <c r="R408" s="346">
        <f t="shared" si="55"/>
        <v>3.5999999999999998E-6</v>
      </c>
      <c r="S408" s="347" t="str">
        <f t="shared" si="56"/>
        <v>-</v>
      </c>
      <c r="T408" s="347">
        <f t="shared" si="57"/>
        <v>0</v>
      </c>
      <c r="U408" s="347">
        <f>HLOOKUP(Apoio!$P$12,$D$342:$P$443,X408,FALSE)+Q408</f>
        <v>3.5999999999999998E-6</v>
      </c>
      <c r="V408" s="447" t="str">
        <f t="shared" si="58"/>
        <v>-</v>
      </c>
      <c r="W408" s="448">
        <f>HLOOKUP(Apoio!$P$12,$D$342:$P$443,X408,FALSE)</f>
        <v>0</v>
      </c>
      <c r="X408" s="329">
        <v>67</v>
      </c>
    </row>
    <row r="409" spans="2:24" ht="30.05" customHeight="1" x14ac:dyDescent="0.35">
      <c r="B409" s="204" t="str">
        <f>'CAD_PL_REC-DESP'!Q70</f>
        <v>2.3.66</v>
      </c>
      <c r="C409" s="205" t="str">
        <f>IF('CAD_PL_REC-DESP'!R70="","-",'CAD_PL_REC-DESP'!R70)</f>
        <v>-</v>
      </c>
      <c r="D409" s="206">
        <f>SUMIFS(LANÇ_MOV[VALOR LÍQUIDO],LANÇ_MOV[RECEITA OU DESPESA],"Despesa",LANÇ_MOV[CONTAS],$C409,LANÇ_MOV[PLANO DE CONTAS],REL_DRE_FINANCEIRO!$B$343,LANÇ_MOV[ANO PAGAMENTO],$B$4,LANÇ_MOV[MÊS PAGAMENTO CORRESPONDENTE],D$6,LANÇ_MOV[EMPRESA],$C$4,LANÇ_MOV[CENTRO DE CUSTOS],$D$4)</f>
        <v>0</v>
      </c>
      <c r="E409" s="206">
        <f>SUMIFS(LANÇ_MOV[VALOR LÍQUIDO],LANÇ_MOV[RECEITA OU DESPESA],"Despesa",LANÇ_MOV[CONTAS],$C409,LANÇ_MOV[PLANO DE CONTAS],REL_DRE_FINANCEIRO!$B$343,LANÇ_MOV[ANO PAGAMENTO],$B$4,LANÇ_MOV[MÊS PAGAMENTO CORRESPONDENTE],E$6,LANÇ_MOV[EMPRESA],$C$4,LANÇ_MOV[CENTRO DE CUSTOS],$D$4)</f>
        <v>0</v>
      </c>
      <c r="F409" s="206">
        <f>SUMIFS(LANÇ_MOV[VALOR LÍQUIDO],LANÇ_MOV[RECEITA OU DESPESA],"Despesa",LANÇ_MOV[CONTAS],$C409,LANÇ_MOV[PLANO DE CONTAS],REL_DRE_FINANCEIRO!$B$343,LANÇ_MOV[ANO PAGAMENTO],$B$4,LANÇ_MOV[MÊS PAGAMENTO CORRESPONDENTE],F$6,LANÇ_MOV[EMPRESA],$C$4,LANÇ_MOV[CENTRO DE CUSTOS],$D$4)</f>
        <v>0</v>
      </c>
      <c r="G409" s="206">
        <f>SUMIFS(LANÇ_MOV[VALOR LÍQUIDO],LANÇ_MOV[RECEITA OU DESPESA],"Despesa",LANÇ_MOV[CONTAS],$C409,LANÇ_MOV[PLANO DE CONTAS],REL_DRE_FINANCEIRO!$B$343,LANÇ_MOV[ANO PAGAMENTO],$B$4,LANÇ_MOV[MÊS PAGAMENTO CORRESPONDENTE],G$6,LANÇ_MOV[EMPRESA],$C$4,LANÇ_MOV[CENTRO DE CUSTOS],$D$4)</f>
        <v>0</v>
      </c>
      <c r="H409" s="206">
        <f>SUMIFS(LANÇ_MOV[VALOR LÍQUIDO],LANÇ_MOV[RECEITA OU DESPESA],"Despesa",LANÇ_MOV[CONTAS],$C409,LANÇ_MOV[PLANO DE CONTAS],REL_DRE_FINANCEIRO!$B$343,LANÇ_MOV[ANO PAGAMENTO],$B$4,LANÇ_MOV[MÊS PAGAMENTO CORRESPONDENTE],H$6,LANÇ_MOV[EMPRESA],$C$4,LANÇ_MOV[CENTRO DE CUSTOS],$D$4)</f>
        <v>0</v>
      </c>
      <c r="I409" s="206">
        <f>SUMIFS(LANÇ_MOV[VALOR LÍQUIDO],LANÇ_MOV[RECEITA OU DESPESA],"Despesa",LANÇ_MOV[CONTAS],$C409,LANÇ_MOV[PLANO DE CONTAS],REL_DRE_FINANCEIRO!$B$343,LANÇ_MOV[ANO PAGAMENTO],$B$4,LANÇ_MOV[MÊS PAGAMENTO CORRESPONDENTE],I$6,LANÇ_MOV[EMPRESA],$C$4,LANÇ_MOV[CENTRO DE CUSTOS],$D$4)</f>
        <v>0</v>
      </c>
      <c r="J409" s="206">
        <f>SUMIFS(LANÇ_MOV[VALOR LÍQUIDO],LANÇ_MOV[RECEITA OU DESPESA],"Despesa",LANÇ_MOV[CONTAS],$C409,LANÇ_MOV[PLANO DE CONTAS],REL_DRE_FINANCEIRO!$B$343,LANÇ_MOV[ANO PAGAMENTO],$B$4,LANÇ_MOV[MÊS PAGAMENTO CORRESPONDENTE],J$6,LANÇ_MOV[EMPRESA],$C$4,LANÇ_MOV[CENTRO DE CUSTOS],$D$4)</f>
        <v>0</v>
      </c>
      <c r="K409" s="206">
        <f>SUMIFS(LANÇ_MOV[VALOR LÍQUIDO],LANÇ_MOV[RECEITA OU DESPESA],"Despesa",LANÇ_MOV[CONTAS],$C409,LANÇ_MOV[PLANO DE CONTAS],REL_DRE_FINANCEIRO!$B$343,LANÇ_MOV[ANO PAGAMENTO],$B$4,LANÇ_MOV[MÊS PAGAMENTO CORRESPONDENTE],K$6,LANÇ_MOV[EMPRESA],$C$4,LANÇ_MOV[CENTRO DE CUSTOS],$D$4)</f>
        <v>0</v>
      </c>
      <c r="L409" s="206">
        <f>SUMIFS(LANÇ_MOV[VALOR LÍQUIDO],LANÇ_MOV[RECEITA OU DESPESA],"Despesa",LANÇ_MOV[CONTAS],$C409,LANÇ_MOV[PLANO DE CONTAS],REL_DRE_FINANCEIRO!$B$343,LANÇ_MOV[ANO PAGAMENTO],$B$4,LANÇ_MOV[MÊS PAGAMENTO CORRESPONDENTE],L$6,LANÇ_MOV[EMPRESA],$C$4,LANÇ_MOV[CENTRO DE CUSTOS],$D$4)</f>
        <v>0</v>
      </c>
      <c r="M409" s="206">
        <f>SUMIFS(LANÇ_MOV[VALOR LÍQUIDO],LANÇ_MOV[RECEITA OU DESPESA],"Despesa",LANÇ_MOV[CONTAS],$C409,LANÇ_MOV[PLANO DE CONTAS],REL_DRE_FINANCEIRO!$B$343,LANÇ_MOV[ANO PAGAMENTO],$B$4,LANÇ_MOV[MÊS PAGAMENTO CORRESPONDENTE],M$6,LANÇ_MOV[EMPRESA],$C$4,LANÇ_MOV[CENTRO DE CUSTOS],$D$4)</f>
        <v>0</v>
      </c>
      <c r="N409" s="206">
        <f>SUMIFS(LANÇ_MOV[VALOR LÍQUIDO],LANÇ_MOV[RECEITA OU DESPESA],"Despesa",LANÇ_MOV[CONTAS],$C409,LANÇ_MOV[PLANO DE CONTAS],REL_DRE_FINANCEIRO!$B$343,LANÇ_MOV[ANO PAGAMENTO],$B$4,LANÇ_MOV[MÊS PAGAMENTO CORRESPONDENTE],N$6,LANÇ_MOV[EMPRESA],$C$4,LANÇ_MOV[CENTRO DE CUSTOS],$D$4)</f>
        <v>0</v>
      </c>
      <c r="O409" s="206">
        <f>SUMIFS(LANÇ_MOV[VALOR LÍQUIDO],LANÇ_MOV[RECEITA OU DESPESA],"Despesa",LANÇ_MOV[CONTAS],$C409,LANÇ_MOV[PLANO DE CONTAS],REL_DRE_FINANCEIRO!$B$343,LANÇ_MOV[ANO PAGAMENTO],$B$4,LANÇ_MOV[MÊS PAGAMENTO CORRESPONDENTE],O$6,LANÇ_MOV[EMPRESA],$C$4,LANÇ_MOV[CENTRO DE CUSTOS],$D$4)</f>
        <v>0</v>
      </c>
      <c r="P409" s="207">
        <f t="shared" si="59"/>
        <v>0</v>
      </c>
      <c r="Q409" s="329">
        <v>3.4999999999999999E-6</v>
      </c>
      <c r="R409" s="346">
        <f t="shared" ref="R409:R443" si="60">P409+Q409</f>
        <v>3.4999999999999999E-6</v>
      </c>
      <c r="S409" s="347" t="str">
        <f t="shared" ref="S409:S443" si="61">C409</f>
        <v>-</v>
      </c>
      <c r="T409" s="347">
        <f t="shared" ref="T409:T443" si="62">P409</f>
        <v>0</v>
      </c>
      <c r="U409" s="347">
        <f>HLOOKUP(Apoio!$P$12,$D$342:$P$443,X409,FALSE)+Q409</f>
        <v>3.4999999999999999E-6</v>
      </c>
      <c r="V409" s="447" t="str">
        <f t="shared" ref="V409:V443" si="63">S409</f>
        <v>-</v>
      </c>
      <c r="W409" s="448">
        <f>HLOOKUP(Apoio!$P$12,$D$342:$P$443,X409,FALSE)</f>
        <v>0</v>
      </c>
      <c r="X409" s="329">
        <v>68</v>
      </c>
    </row>
    <row r="410" spans="2:24" ht="30.05" customHeight="1" x14ac:dyDescent="0.35">
      <c r="B410" s="204" t="str">
        <f>'CAD_PL_REC-DESP'!Q71</f>
        <v>2.3.67</v>
      </c>
      <c r="C410" s="205" t="str">
        <f>IF('CAD_PL_REC-DESP'!R71="","-",'CAD_PL_REC-DESP'!R71)</f>
        <v>-</v>
      </c>
      <c r="D410" s="206">
        <f>SUMIFS(LANÇ_MOV[VALOR LÍQUIDO],LANÇ_MOV[RECEITA OU DESPESA],"Despesa",LANÇ_MOV[CONTAS],$C410,LANÇ_MOV[PLANO DE CONTAS],REL_DRE_FINANCEIRO!$B$343,LANÇ_MOV[ANO PAGAMENTO],$B$4,LANÇ_MOV[MÊS PAGAMENTO CORRESPONDENTE],D$6,LANÇ_MOV[EMPRESA],$C$4,LANÇ_MOV[CENTRO DE CUSTOS],$D$4)</f>
        <v>0</v>
      </c>
      <c r="E410" s="206">
        <f>SUMIFS(LANÇ_MOV[VALOR LÍQUIDO],LANÇ_MOV[RECEITA OU DESPESA],"Despesa",LANÇ_MOV[CONTAS],$C410,LANÇ_MOV[PLANO DE CONTAS],REL_DRE_FINANCEIRO!$B$343,LANÇ_MOV[ANO PAGAMENTO],$B$4,LANÇ_MOV[MÊS PAGAMENTO CORRESPONDENTE],E$6,LANÇ_MOV[EMPRESA],$C$4,LANÇ_MOV[CENTRO DE CUSTOS],$D$4)</f>
        <v>0</v>
      </c>
      <c r="F410" s="206">
        <f>SUMIFS(LANÇ_MOV[VALOR LÍQUIDO],LANÇ_MOV[RECEITA OU DESPESA],"Despesa",LANÇ_MOV[CONTAS],$C410,LANÇ_MOV[PLANO DE CONTAS],REL_DRE_FINANCEIRO!$B$343,LANÇ_MOV[ANO PAGAMENTO],$B$4,LANÇ_MOV[MÊS PAGAMENTO CORRESPONDENTE],F$6,LANÇ_MOV[EMPRESA],$C$4,LANÇ_MOV[CENTRO DE CUSTOS],$D$4)</f>
        <v>0</v>
      </c>
      <c r="G410" s="206">
        <f>SUMIFS(LANÇ_MOV[VALOR LÍQUIDO],LANÇ_MOV[RECEITA OU DESPESA],"Despesa",LANÇ_MOV[CONTAS],$C410,LANÇ_MOV[PLANO DE CONTAS],REL_DRE_FINANCEIRO!$B$343,LANÇ_MOV[ANO PAGAMENTO],$B$4,LANÇ_MOV[MÊS PAGAMENTO CORRESPONDENTE],G$6,LANÇ_MOV[EMPRESA],$C$4,LANÇ_MOV[CENTRO DE CUSTOS],$D$4)</f>
        <v>0</v>
      </c>
      <c r="H410" s="206">
        <f>SUMIFS(LANÇ_MOV[VALOR LÍQUIDO],LANÇ_MOV[RECEITA OU DESPESA],"Despesa",LANÇ_MOV[CONTAS],$C410,LANÇ_MOV[PLANO DE CONTAS],REL_DRE_FINANCEIRO!$B$343,LANÇ_MOV[ANO PAGAMENTO],$B$4,LANÇ_MOV[MÊS PAGAMENTO CORRESPONDENTE],H$6,LANÇ_MOV[EMPRESA],$C$4,LANÇ_MOV[CENTRO DE CUSTOS],$D$4)</f>
        <v>0</v>
      </c>
      <c r="I410" s="206">
        <f>SUMIFS(LANÇ_MOV[VALOR LÍQUIDO],LANÇ_MOV[RECEITA OU DESPESA],"Despesa",LANÇ_MOV[CONTAS],$C410,LANÇ_MOV[PLANO DE CONTAS],REL_DRE_FINANCEIRO!$B$343,LANÇ_MOV[ANO PAGAMENTO],$B$4,LANÇ_MOV[MÊS PAGAMENTO CORRESPONDENTE],I$6,LANÇ_MOV[EMPRESA],$C$4,LANÇ_MOV[CENTRO DE CUSTOS],$D$4)</f>
        <v>0</v>
      </c>
      <c r="J410" s="206">
        <f>SUMIFS(LANÇ_MOV[VALOR LÍQUIDO],LANÇ_MOV[RECEITA OU DESPESA],"Despesa",LANÇ_MOV[CONTAS],$C410,LANÇ_MOV[PLANO DE CONTAS],REL_DRE_FINANCEIRO!$B$343,LANÇ_MOV[ANO PAGAMENTO],$B$4,LANÇ_MOV[MÊS PAGAMENTO CORRESPONDENTE],J$6,LANÇ_MOV[EMPRESA],$C$4,LANÇ_MOV[CENTRO DE CUSTOS],$D$4)</f>
        <v>0</v>
      </c>
      <c r="K410" s="206">
        <f>SUMIFS(LANÇ_MOV[VALOR LÍQUIDO],LANÇ_MOV[RECEITA OU DESPESA],"Despesa",LANÇ_MOV[CONTAS],$C410,LANÇ_MOV[PLANO DE CONTAS],REL_DRE_FINANCEIRO!$B$343,LANÇ_MOV[ANO PAGAMENTO],$B$4,LANÇ_MOV[MÊS PAGAMENTO CORRESPONDENTE],K$6,LANÇ_MOV[EMPRESA],$C$4,LANÇ_MOV[CENTRO DE CUSTOS],$D$4)</f>
        <v>0</v>
      </c>
      <c r="L410" s="206">
        <f>SUMIFS(LANÇ_MOV[VALOR LÍQUIDO],LANÇ_MOV[RECEITA OU DESPESA],"Despesa",LANÇ_MOV[CONTAS],$C410,LANÇ_MOV[PLANO DE CONTAS],REL_DRE_FINANCEIRO!$B$343,LANÇ_MOV[ANO PAGAMENTO],$B$4,LANÇ_MOV[MÊS PAGAMENTO CORRESPONDENTE],L$6,LANÇ_MOV[EMPRESA],$C$4,LANÇ_MOV[CENTRO DE CUSTOS],$D$4)</f>
        <v>0</v>
      </c>
      <c r="M410" s="206">
        <f>SUMIFS(LANÇ_MOV[VALOR LÍQUIDO],LANÇ_MOV[RECEITA OU DESPESA],"Despesa",LANÇ_MOV[CONTAS],$C410,LANÇ_MOV[PLANO DE CONTAS],REL_DRE_FINANCEIRO!$B$343,LANÇ_MOV[ANO PAGAMENTO],$B$4,LANÇ_MOV[MÊS PAGAMENTO CORRESPONDENTE],M$6,LANÇ_MOV[EMPRESA],$C$4,LANÇ_MOV[CENTRO DE CUSTOS],$D$4)</f>
        <v>0</v>
      </c>
      <c r="N410" s="206">
        <f>SUMIFS(LANÇ_MOV[VALOR LÍQUIDO],LANÇ_MOV[RECEITA OU DESPESA],"Despesa",LANÇ_MOV[CONTAS],$C410,LANÇ_MOV[PLANO DE CONTAS],REL_DRE_FINANCEIRO!$B$343,LANÇ_MOV[ANO PAGAMENTO],$B$4,LANÇ_MOV[MÊS PAGAMENTO CORRESPONDENTE],N$6,LANÇ_MOV[EMPRESA],$C$4,LANÇ_MOV[CENTRO DE CUSTOS],$D$4)</f>
        <v>0</v>
      </c>
      <c r="O410" s="206">
        <f>SUMIFS(LANÇ_MOV[VALOR LÍQUIDO],LANÇ_MOV[RECEITA OU DESPESA],"Despesa",LANÇ_MOV[CONTAS],$C410,LANÇ_MOV[PLANO DE CONTAS],REL_DRE_FINANCEIRO!$B$343,LANÇ_MOV[ANO PAGAMENTO],$B$4,LANÇ_MOV[MÊS PAGAMENTO CORRESPONDENTE],O$6,LANÇ_MOV[EMPRESA],$C$4,LANÇ_MOV[CENTRO DE CUSTOS],$D$4)</f>
        <v>0</v>
      </c>
      <c r="P410" s="207">
        <f t="shared" si="59"/>
        <v>0</v>
      </c>
      <c r="Q410" s="329">
        <v>3.4000000000000001E-6</v>
      </c>
      <c r="R410" s="346">
        <f t="shared" si="60"/>
        <v>3.4000000000000001E-6</v>
      </c>
      <c r="S410" s="347" t="str">
        <f t="shared" si="61"/>
        <v>-</v>
      </c>
      <c r="T410" s="347">
        <f t="shared" si="62"/>
        <v>0</v>
      </c>
      <c r="U410" s="347">
        <f>HLOOKUP(Apoio!$P$12,$D$342:$P$443,X410,FALSE)+Q410</f>
        <v>3.4000000000000001E-6</v>
      </c>
      <c r="V410" s="447" t="str">
        <f t="shared" si="63"/>
        <v>-</v>
      </c>
      <c r="W410" s="448">
        <f>HLOOKUP(Apoio!$P$12,$D$342:$P$443,X410,FALSE)</f>
        <v>0</v>
      </c>
      <c r="X410" s="329">
        <v>69</v>
      </c>
    </row>
    <row r="411" spans="2:24" ht="30.05" customHeight="1" x14ac:dyDescent="0.35">
      <c r="B411" s="204" t="str">
        <f>'CAD_PL_REC-DESP'!Q72</f>
        <v>2.3.68</v>
      </c>
      <c r="C411" s="205" t="str">
        <f>IF('CAD_PL_REC-DESP'!R72="","-",'CAD_PL_REC-DESP'!R72)</f>
        <v>-</v>
      </c>
      <c r="D411" s="206">
        <f>SUMIFS(LANÇ_MOV[VALOR LÍQUIDO],LANÇ_MOV[RECEITA OU DESPESA],"Despesa",LANÇ_MOV[CONTAS],$C411,LANÇ_MOV[PLANO DE CONTAS],REL_DRE_FINANCEIRO!$B$343,LANÇ_MOV[ANO PAGAMENTO],$B$4,LANÇ_MOV[MÊS PAGAMENTO CORRESPONDENTE],D$6,LANÇ_MOV[EMPRESA],$C$4,LANÇ_MOV[CENTRO DE CUSTOS],$D$4)</f>
        <v>0</v>
      </c>
      <c r="E411" s="206">
        <f>SUMIFS(LANÇ_MOV[VALOR LÍQUIDO],LANÇ_MOV[RECEITA OU DESPESA],"Despesa",LANÇ_MOV[CONTAS],$C411,LANÇ_MOV[PLANO DE CONTAS],REL_DRE_FINANCEIRO!$B$343,LANÇ_MOV[ANO PAGAMENTO],$B$4,LANÇ_MOV[MÊS PAGAMENTO CORRESPONDENTE],E$6,LANÇ_MOV[EMPRESA],$C$4,LANÇ_MOV[CENTRO DE CUSTOS],$D$4)</f>
        <v>0</v>
      </c>
      <c r="F411" s="206">
        <f>SUMIFS(LANÇ_MOV[VALOR LÍQUIDO],LANÇ_MOV[RECEITA OU DESPESA],"Despesa",LANÇ_MOV[CONTAS],$C411,LANÇ_MOV[PLANO DE CONTAS],REL_DRE_FINANCEIRO!$B$343,LANÇ_MOV[ANO PAGAMENTO],$B$4,LANÇ_MOV[MÊS PAGAMENTO CORRESPONDENTE],F$6,LANÇ_MOV[EMPRESA],$C$4,LANÇ_MOV[CENTRO DE CUSTOS],$D$4)</f>
        <v>0</v>
      </c>
      <c r="G411" s="206">
        <f>SUMIFS(LANÇ_MOV[VALOR LÍQUIDO],LANÇ_MOV[RECEITA OU DESPESA],"Despesa",LANÇ_MOV[CONTAS],$C411,LANÇ_MOV[PLANO DE CONTAS],REL_DRE_FINANCEIRO!$B$343,LANÇ_MOV[ANO PAGAMENTO],$B$4,LANÇ_MOV[MÊS PAGAMENTO CORRESPONDENTE],G$6,LANÇ_MOV[EMPRESA],$C$4,LANÇ_MOV[CENTRO DE CUSTOS],$D$4)</f>
        <v>0</v>
      </c>
      <c r="H411" s="206">
        <f>SUMIFS(LANÇ_MOV[VALOR LÍQUIDO],LANÇ_MOV[RECEITA OU DESPESA],"Despesa",LANÇ_MOV[CONTAS],$C411,LANÇ_MOV[PLANO DE CONTAS],REL_DRE_FINANCEIRO!$B$343,LANÇ_MOV[ANO PAGAMENTO],$B$4,LANÇ_MOV[MÊS PAGAMENTO CORRESPONDENTE],H$6,LANÇ_MOV[EMPRESA],$C$4,LANÇ_MOV[CENTRO DE CUSTOS],$D$4)</f>
        <v>0</v>
      </c>
      <c r="I411" s="206">
        <f>SUMIFS(LANÇ_MOV[VALOR LÍQUIDO],LANÇ_MOV[RECEITA OU DESPESA],"Despesa",LANÇ_MOV[CONTAS],$C411,LANÇ_MOV[PLANO DE CONTAS],REL_DRE_FINANCEIRO!$B$343,LANÇ_MOV[ANO PAGAMENTO],$B$4,LANÇ_MOV[MÊS PAGAMENTO CORRESPONDENTE],I$6,LANÇ_MOV[EMPRESA],$C$4,LANÇ_MOV[CENTRO DE CUSTOS],$D$4)</f>
        <v>0</v>
      </c>
      <c r="J411" s="206">
        <f>SUMIFS(LANÇ_MOV[VALOR LÍQUIDO],LANÇ_MOV[RECEITA OU DESPESA],"Despesa",LANÇ_MOV[CONTAS],$C411,LANÇ_MOV[PLANO DE CONTAS],REL_DRE_FINANCEIRO!$B$343,LANÇ_MOV[ANO PAGAMENTO],$B$4,LANÇ_MOV[MÊS PAGAMENTO CORRESPONDENTE],J$6,LANÇ_MOV[EMPRESA],$C$4,LANÇ_MOV[CENTRO DE CUSTOS],$D$4)</f>
        <v>0</v>
      </c>
      <c r="K411" s="206">
        <f>SUMIFS(LANÇ_MOV[VALOR LÍQUIDO],LANÇ_MOV[RECEITA OU DESPESA],"Despesa",LANÇ_MOV[CONTAS],$C411,LANÇ_MOV[PLANO DE CONTAS],REL_DRE_FINANCEIRO!$B$343,LANÇ_MOV[ANO PAGAMENTO],$B$4,LANÇ_MOV[MÊS PAGAMENTO CORRESPONDENTE],K$6,LANÇ_MOV[EMPRESA],$C$4,LANÇ_MOV[CENTRO DE CUSTOS],$D$4)</f>
        <v>0</v>
      </c>
      <c r="L411" s="206">
        <f>SUMIFS(LANÇ_MOV[VALOR LÍQUIDO],LANÇ_MOV[RECEITA OU DESPESA],"Despesa",LANÇ_MOV[CONTAS],$C411,LANÇ_MOV[PLANO DE CONTAS],REL_DRE_FINANCEIRO!$B$343,LANÇ_MOV[ANO PAGAMENTO],$B$4,LANÇ_MOV[MÊS PAGAMENTO CORRESPONDENTE],L$6,LANÇ_MOV[EMPRESA],$C$4,LANÇ_MOV[CENTRO DE CUSTOS],$D$4)</f>
        <v>0</v>
      </c>
      <c r="M411" s="206">
        <f>SUMIFS(LANÇ_MOV[VALOR LÍQUIDO],LANÇ_MOV[RECEITA OU DESPESA],"Despesa",LANÇ_MOV[CONTAS],$C411,LANÇ_MOV[PLANO DE CONTAS],REL_DRE_FINANCEIRO!$B$343,LANÇ_MOV[ANO PAGAMENTO],$B$4,LANÇ_MOV[MÊS PAGAMENTO CORRESPONDENTE],M$6,LANÇ_MOV[EMPRESA],$C$4,LANÇ_MOV[CENTRO DE CUSTOS],$D$4)</f>
        <v>0</v>
      </c>
      <c r="N411" s="206">
        <f>SUMIFS(LANÇ_MOV[VALOR LÍQUIDO],LANÇ_MOV[RECEITA OU DESPESA],"Despesa",LANÇ_MOV[CONTAS],$C411,LANÇ_MOV[PLANO DE CONTAS],REL_DRE_FINANCEIRO!$B$343,LANÇ_MOV[ANO PAGAMENTO],$B$4,LANÇ_MOV[MÊS PAGAMENTO CORRESPONDENTE],N$6,LANÇ_MOV[EMPRESA],$C$4,LANÇ_MOV[CENTRO DE CUSTOS],$D$4)</f>
        <v>0</v>
      </c>
      <c r="O411" s="206">
        <f>SUMIFS(LANÇ_MOV[VALOR LÍQUIDO],LANÇ_MOV[RECEITA OU DESPESA],"Despesa",LANÇ_MOV[CONTAS],$C411,LANÇ_MOV[PLANO DE CONTAS],REL_DRE_FINANCEIRO!$B$343,LANÇ_MOV[ANO PAGAMENTO],$B$4,LANÇ_MOV[MÊS PAGAMENTO CORRESPONDENTE],O$6,LANÇ_MOV[EMPRESA],$C$4,LANÇ_MOV[CENTRO DE CUSTOS],$D$4)</f>
        <v>0</v>
      </c>
      <c r="P411" s="207">
        <f t="shared" si="59"/>
        <v>0</v>
      </c>
      <c r="Q411" s="329">
        <v>3.3000000000000002E-6</v>
      </c>
      <c r="R411" s="346">
        <f t="shared" si="60"/>
        <v>3.3000000000000002E-6</v>
      </c>
      <c r="S411" s="347" t="str">
        <f t="shared" si="61"/>
        <v>-</v>
      </c>
      <c r="T411" s="347">
        <f t="shared" si="62"/>
        <v>0</v>
      </c>
      <c r="U411" s="347">
        <f>HLOOKUP(Apoio!$P$12,$D$342:$P$443,X411,FALSE)+Q411</f>
        <v>3.3000000000000002E-6</v>
      </c>
      <c r="V411" s="447" t="str">
        <f t="shared" si="63"/>
        <v>-</v>
      </c>
      <c r="W411" s="448">
        <f>HLOOKUP(Apoio!$P$12,$D$342:$P$443,X411,FALSE)</f>
        <v>0</v>
      </c>
      <c r="X411" s="329">
        <v>70</v>
      </c>
    </row>
    <row r="412" spans="2:24" ht="30.05" customHeight="1" x14ac:dyDescent="0.35">
      <c r="B412" s="204" t="str">
        <f>'CAD_PL_REC-DESP'!Q73</f>
        <v>2.3.69</v>
      </c>
      <c r="C412" s="205" t="str">
        <f>IF('CAD_PL_REC-DESP'!R73="","-",'CAD_PL_REC-DESP'!R73)</f>
        <v>-</v>
      </c>
      <c r="D412" s="206">
        <f>SUMIFS(LANÇ_MOV[VALOR LÍQUIDO],LANÇ_MOV[RECEITA OU DESPESA],"Despesa",LANÇ_MOV[CONTAS],$C412,LANÇ_MOV[PLANO DE CONTAS],REL_DRE_FINANCEIRO!$B$343,LANÇ_MOV[ANO PAGAMENTO],$B$4,LANÇ_MOV[MÊS PAGAMENTO CORRESPONDENTE],D$6,LANÇ_MOV[EMPRESA],$C$4,LANÇ_MOV[CENTRO DE CUSTOS],$D$4)</f>
        <v>0</v>
      </c>
      <c r="E412" s="206">
        <f>SUMIFS(LANÇ_MOV[VALOR LÍQUIDO],LANÇ_MOV[RECEITA OU DESPESA],"Despesa",LANÇ_MOV[CONTAS],$C412,LANÇ_MOV[PLANO DE CONTAS],REL_DRE_FINANCEIRO!$B$343,LANÇ_MOV[ANO PAGAMENTO],$B$4,LANÇ_MOV[MÊS PAGAMENTO CORRESPONDENTE],E$6,LANÇ_MOV[EMPRESA],$C$4,LANÇ_MOV[CENTRO DE CUSTOS],$D$4)</f>
        <v>0</v>
      </c>
      <c r="F412" s="206">
        <f>SUMIFS(LANÇ_MOV[VALOR LÍQUIDO],LANÇ_MOV[RECEITA OU DESPESA],"Despesa",LANÇ_MOV[CONTAS],$C412,LANÇ_MOV[PLANO DE CONTAS],REL_DRE_FINANCEIRO!$B$343,LANÇ_MOV[ANO PAGAMENTO],$B$4,LANÇ_MOV[MÊS PAGAMENTO CORRESPONDENTE],F$6,LANÇ_MOV[EMPRESA],$C$4,LANÇ_MOV[CENTRO DE CUSTOS],$D$4)</f>
        <v>0</v>
      </c>
      <c r="G412" s="206">
        <f>SUMIFS(LANÇ_MOV[VALOR LÍQUIDO],LANÇ_MOV[RECEITA OU DESPESA],"Despesa",LANÇ_MOV[CONTAS],$C412,LANÇ_MOV[PLANO DE CONTAS],REL_DRE_FINANCEIRO!$B$343,LANÇ_MOV[ANO PAGAMENTO],$B$4,LANÇ_MOV[MÊS PAGAMENTO CORRESPONDENTE],G$6,LANÇ_MOV[EMPRESA],$C$4,LANÇ_MOV[CENTRO DE CUSTOS],$D$4)</f>
        <v>0</v>
      </c>
      <c r="H412" s="206">
        <f>SUMIFS(LANÇ_MOV[VALOR LÍQUIDO],LANÇ_MOV[RECEITA OU DESPESA],"Despesa",LANÇ_MOV[CONTAS],$C412,LANÇ_MOV[PLANO DE CONTAS],REL_DRE_FINANCEIRO!$B$343,LANÇ_MOV[ANO PAGAMENTO],$B$4,LANÇ_MOV[MÊS PAGAMENTO CORRESPONDENTE],H$6,LANÇ_MOV[EMPRESA],$C$4,LANÇ_MOV[CENTRO DE CUSTOS],$D$4)</f>
        <v>0</v>
      </c>
      <c r="I412" s="206">
        <f>SUMIFS(LANÇ_MOV[VALOR LÍQUIDO],LANÇ_MOV[RECEITA OU DESPESA],"Despesa",LANÇ_MOV[CONTAS],$C412,LANÇ_MOV[PLANO DE CONTAS],REL_DRE_FINANCEIRO!$B$343,LANÇ_MOV[ANO PAGAMENTO],$B$4,LANÇ_MOV[MÊS PAGAMENTO CORRESPONDENTE],I$6,LANÇ_MOV[EMPRESA],$C$4,LANÇ_MOV[CENTRO DE CUSTOS],$D$4)</f>
        <v>0</v>
      </c>
      <c r="J412" s="206">
        <f>SUMIFS(LANÇ_MOV[VALOR LÍQUIDO],LANÇ_MOV[RECEITA OU DESPESA],"Despesa",LANÇ_MOV[CONTAS],$C412,LANÇ_MOV[PLANO DE CONTAS],REL_DRE_FINANCEIRO!$B$343,LANÇ_MOV[ANO PAGAMENTO],$B$4,LANÇ_MOV[MÊS PAGAMENTO CORRESPONDENTE],J$6,LANÇ_MOV[EMPRESA],$C$4,LANÇ_MOV[CENTRO DE CUSTOS],$D$4)</f>
        <v>0</v>
      </c>
      <c r="K412" s="206">
        <f>SUMIFS(LANÇ_MOV[VALOR LÍQUIDO],LANÇ_MOV[RECEITA OU DESPESA],"Despesa",LANÇ_MOV[CONTAS],$C412,LANÇ_MOV[PLANO DE CONTAS],REL_DRE_FINANCEIRO!$B$343,LANÇ_MOV[ANO PAGAMENTO],$B$4,LANÇ_MOV[MÊS PAGAMENTO CORRESPONDENTE],K$6,LANÇ_MOV[EMPRESA],$C$4,LANÇ_MOV[CENTRO DE CUSTOS],$D$4)</f>
        <v>0</v>
      </c>
      <c r="L412" s="206">
        <f>SUMIFS(LANÇ_MOV[VALOR LÍQUIDO],LANÇ_MOV[RECEITA OU DESPESA],"Despesa",LANÇ_MOV[CONTAS],$C412,LANÇ_MOV[PLANO DE CONTAS],REL_DRE_FINANCEIRO!$B$343,LANÇ_MOV[ANO PAGAMENTO],$B$4,LANÇ_MOV[MÊS PAGAMENTO CORRESPONDENTE],L$6,LANÇ_MOV[EMPRESA],$C$4,LANÇ_MOV[CENTRO DE CUSTOS],$D$4)</f>
        <v>0</v>
      </c>
      <c r="M412" s="206">
        <f>SUMIFS(LANÇ_MOV[VALOR LÍQUIDO],LANÇ_MOV[RECEITA OU DESPESA],"Despesa",LANÇ_MOV[CONTAS],$C412,LANÇ_MOV[PLANO DE CONTAS],REL_DRE_FINANCEIRO!$B$343,LANÇ_MOV[ANO PAGAMENTO],$B$4,LANÇ_MOV[MÊS PAGAMENTO CORRESPONDENTE],M$6,LANÇ_MOV[EMPRESA],$C$4,LANÇ_MOV[CENTRO DE CUSTOS],$D$4)</f>
        <v>0</v>
      </c>
      <c r="N412" s="206">
        <f>SUMIFS(LANÇ_MOV[VALOR LÍQUIDO],LANÇ_MOV[RECEITA OU DESPESA],"Despesa",LANÇ_MOV[CONTAS],$C412,LANÇ_MOV[PLANO DE CONTAS],REL_DRE_FINANCEIRO!$B$343,LANÇ_MOV[ANO PAGAMENTO],$B$4,LANÇ_MOV[MÊS PAGAMENTO CORRESPONDENTE],N$6,LANÇ_MOV[EMPRESA],$C$4,LANÇ_MOV[CENTRO DE CUSTOS],$D$4)</f>
        <v>0</v>
      </c>
      <c r="O412" s="206">
        <f>SUMIFS(LANÇ_MOV[VALOR LÍQUIDO],LANÇ_MOV[RECEITA OU DESPESA],"Despesa",LANÇ_MOV[CONTAS],$C412,LANÇ_MOV[PLANO DE CONTAS],REL_DRE_FINANCEIRO!$B$343,LANÇ_MOV[ANO PAGAMENTO],$B$4,LANÇ_MOV[MÊS PAGAMENTO CORRESPONDENTE],O$6,LANÇ_MOV[EMPRESA],$C$4,LANÇ_MOV[CENTRO DE CUSTOS],$D$4)</f>
        <v>0</v>
      </c>
      <c r="P412" s="207">
        <f t="shared" si="59"/>
        <v>0</v>
      </c>
      <c r="Q412" s="329">
        <v>3.1999999999999999E-6</v>
      </c>
      <c r="R412" s="346">
        <f t="shared" si="60"/>
        <v>3.1999999999999999E-6</v>
      </c>
      <c r="S412" s="347" t="str">
        <f t="shared" si="61"/>
        <v>-</v>
      </c>
      <c r="T412" s="347">
        <f t="shared" si="62"/>
        <v>0</v>
      </c>
      <c r="U412" s="347">
        <f>HLOOKUP(Apoio!$P$12,$D$342:$P$443,X412,FALSE)+Q412</f>
        <v>3.1999999999999999E-6</v>
      </c>
      <c r="V412" s="447" t="str">
        <f t="shared" si="63"/>
        <v>-</v>
      </c>
      <c r="W412" s="448">
        <f>HLOOKUP(Apoio!$P$12,$D$342:$P$443,X412,FALSE)</f>
        <v>0</v>
      </c>
      <c r="X412" s="329">
        <v>71</v>
      </c>
    </row>
    <row r="413" spans="2:24" ht="30.05" customHeight="1" x14ac:dyDescent="0.35">
      <c r="B413" s="204" t="str">
        <f>'CAD_PL_REC-DESP'!Q74</f>
        <v>2.3.70</v>
      </c>
      <c r="C413" s="205" t="str">
        <f>IF('CAD_PL_REC-DESP'!R74="","-",'CAD_PL_REC-DESP'!R74)</f>
        <v>-</v>
      </c>
      <c r="D413" s="206">
        <f>SUMIFS(LANÇ_MOV[VALOR LÍQUIDO],LANÇ_MOV[RECEITA OU DESPESA],"Despesa",LANÇ_MOV[CONTAS],$C413,LANÇ_MOV[PLANO DE CONTAS],REL_DRE_FINANCEIRO!$B$343,LANÇ_MOV[ANO PAGAMENTO],$B$4,LANÇ_MOV[MÊS PAGAMENTO CORRESPONDENTE],D$6,LANÇ_MOV[EMPRESA],$C$4,LANÇ_MOV[CENTRO DE CUSTOS],$D$4)</f>
        <v>0</v>
      </c>
      <c r="E413" s="206">
        <f>SUMIFS(LANÇ_MOV[VALOR LÍQUIDO],LANÇ_MOV[RECEITA OU DESPESA],"Despesa",LANÇ_MOV[CONTAS],$C413,LANÇ_MOV[PLANO DE CONTAS],REL_DRE_FINANCEIRO!$B$343,LANÇ_MOV[ANO PAGAMENTO],$B$4,LANÇ_MOV[MÊS PAGAMENTO CORRESPONDENTE],E$6,LANÇ_MOV[EMPRESA],$C$4,LANÇ_MOV[CENTRO DE CUSTOS],$D$4)</f>
        <v>0</v>
      </c>
      <c r="F413" s="206">
        <f>SUMIFS(LANÇ_MOV[VALOR LÍQUIDO],LANÇ_MOV[RECEITA OU DESPESA],"Despesa",LANÇ_MOV[CONTAS],$C413,LANÇ_MOV[PLANO DE CONTAS],REL_DRE_FINANCEIRO!$B$343,LANÇ_MOV[ANO PAGAMENTO],$B$4,LANÇ_MOV[MÊS PAGAMENTO CORRESPONDENTE],F$6,LANÇ_MOV[EMPRESA],$C$4,LANÇ_MOV[CENTRO DE CUSTOS],$D$4)</f>
        <v>0</v>
      </c>
      <c r="G413" s="206">
        <f>SUMIFS(LANÇ_MOV[VALOR LÍQUIDO],LANÇ_MOV[RECEITA OU DESPESA],"Despesa",LANÇ_MOV[CONTAS],$C413,LANÇ_MOV[PLANO DE CONTAS],REL_DRE_FINANCEIRO!$B$343,LANÇ_MOV[ANO PAGAMENTO],$B$4,LANÇ_MOV[MÊS PAGAMENTO CORRESPONDENTE],G$6,LANÇ_MOV[EMPRESA],$C$4,LANÇ_MOV[CENTRO DE CUSTOS],$D$4)</f>
        <v>0</v>
      </c>
      <c r="H413" s="206">
        <f>SUMIFS(LANÇ_MOV[VALOR LÍQUIDO],LANÇ_MOV[RECEITA OU DESPESA],"Despesa",LANÇ_MOV[CONTAS],$C413,LANÇ_MOV[PLANO DE CONTAS],REL_DRE_FINANCEIRO!$B$343,LANÇ_MOV[ANO PAGAMENTO],$B$4,LANÇ_MOV[MÊS PAGAMENTO CORRESPONDENTE],H$6,LANÇ_MOV[EMPRESA],$C$4,LANÇ_MOV[CENTRO DE CUSTOS],$D$4)</f>
        <v>0</v>
      </c>
      <c r="I413" s="206">
        <f>SUMIFS(LANÇ_MOV[VALOR LÍQUIDO],LANÇ_MOV[RECEITA OU DESPESA],"Despesa",LANÇ_MOV[CONTAS],$C413,LANÇ_MOV[PLANO DE CONTAS],REL_DRE_FINANCEIRO!$B$343,LANÇ_MOV[ANO PAGAMENTO],$B$4,LANÇ_MOV[MÊS PAGAMENTO CORRESPONDENTE],I$6,LANÇ_MOV[EMPRESA],$C$4,LANÇ_MOV[CENTRO DE CUSTOS],$D$4)</f>
        <v>0</v>
      </c>
      <c r="J413" s="206">
        <f>SUMIFS(LANÇ_MOV[VALOR LÍQUIDO],LANÇ_MOV[RECEITA OU DESPESA],"Despesa",LANÇ_MOV[CONTAS],$C413,LANÇ_MOV[PLANO DE CONTAS],REL_DRE_FINANCEIRO!$B$343,LANÇ_MOV[ANO PAGAMENTO],$B$4,LANÇ_MOV[MÊS PAGAMENTO CORRESPONDENTE],J$6,LANÇ_MOV[EMPRESA],$C$4,LANÇ_MOV[CENTRO DE CUSTOS],$D$4)</f>
        <v>0</v>
      </c>
      <c r="K413" s="206">
        <f>SUMIFS(LANÇ_MOV[VALOR LÍQUIDO],LANÇ_MOV[RECEITA OU DESPESA],"Despesa",LANÇ_MOV[CONTAS],$C413,LANÇ_MOV[PLANO DE CONTAS],REL_DRE_FINANCEIRO!$B$343,LANÇ_MOV[ANO PAGAMENTO],$B$4,LANÇ_MOV[MÊS PAGAMENTO CORRESPONDENTE],K$6,LANÇ_MOV[EMPRESA],$C$4,LANÇ_MOV[CENTRO DE CUSTOS],$D$4)</f>
        <v>0</v>
      </c>
      <c r="L413" s="206">
        <f>SUMIFS(LANÇ_MOV[VALOR LÍQUIDO],LANÇ_MOV[RECEITA OU DESPESA],"Despesa",LANÇ_MOV[CONTAS],$C413,LANÇ_MOV[PLANO DE CONTAS],REL_DRE_FINANCEIRO!$B$343,LANÇ_MOV[ANO PAGAMENTO],$B$4,LANÇ_MOV[MÊS PAGAMENTO CORRESPONDENTE],L$6,LANÇ_MOV[EMPRESA],$C$4,LANÇ_MOV[CENTRO DE CUSTOS],$D$4)</f>
        <v>0</v>
      </c>
      <c r="M413" s="206">
        <f>SUMIFS(LANÇ_MOV[VALOR LÍQUIDO],LANÇ_MOV[RECEITA OU DESPESA],"Despesa",LANÇ_MOV[CONTAS],$C413,LANÇ_MOV[PLANO DE CONTAS],REL_DRE_FINANCEIRO!$B$343,LANÇ_MOV[ANO PAGAMENTO],$B$4,LANÇ_MOV[MÊS PAGAMENTO CORRESPONDENTE],M$6,LANÇ_MOV[EMPRESA],$C$4,LANÇ_MOV[CENTRO DE CUSTOS],$D$4)</f>
        <v>0</v>
      </c>
      <c r="N413" s="206">
        <f>SUMIFS(LANÇ_MOV[VALOR LÍQUIDO],LANÇ_MOV[RECEITA OU DESPESA],"Despesa",LANÇ_MOV[CONTAS],$C413,LANÇ_MOV[PLANO DE CONTAS],REL_DRE_FINANCEIRO!$B$343,LANÇ_MOV[ANO PAGAMENTO],$B$4,LANÇ_MOV[MÊS PAGAMENTO CORRESPONDENTE],N$6,LANÇ_MOV[EMPRESA],$C$4,LANÇ_MOV[CENTRO DE CUSTOS],$D$4)</f>
        <v>0</v>
      </c>
      <c r="O413" s="206">
        <f>SUMIFS(LANÇ_MOV[VALOR LÍQUIDO],LANÇ_MOV[RECEITA OU DESPESA],"Despesa",LANÇ_MOV[CONTAS],$C413,LANÇ_MOV[PLANO DE CONTAS],REL_DRE_FINANCEIRO!$B$343,LANÇ_MOV[ANO PAGAMENTO],$B$4,LANÇ_MOV[MÊS PAGAMENTO CORRESPONDENTE],O$6,LANÇ_MOV[EMPRESA],$C$4,LANÇ_MOV[CENTRO DE CUSTOS],$D$4)</f>
        <v>0</v>
      </c>
      <c r="P413" s="207">
        <f t="shared" si="59"/>
        <v>0</v>
      </c>
      <c r="Q413" s="329">
        <v>3.1E-6</v>
      </c>
      <c r="R413" s="346">
        <f t="shared" si="60"/>
        <v>3.1E-6</v>
      </c>
      <c r="S413" s="347" t="str">
        <f t="shared" si="61"/>
        <v>-</v>
      </c>
      <c r="T413" s="347">
        <f t="shared" si="62"/>
        <v>0</v>
      </c>
      <c r="U413" s="347">
        <f>HLOOKUP(Apoio!$P$12,$D$342:$P$443,X413,FALSE)+Q413</f>
        <v>3.1E-6</v>
      </c>
      <c r="V413" s="447" t="str">
        <f t="shared" si="63"/>
        <v>-</v>
      </c>
      <c r="W413" s="448">
        <f>HLOOKUP(Apoio!$P$12,$D$342:$P$443,X413,FALSE)</f>
        <v>0</v>
      </c>
      <c r="X413" s="329">
        <v>72</v>
      </c>
    </row>
    <row r="414" spans="2:24" ht="30.05" customHeight="1" x14ac:dyDescent="0.35">
      <c r="B414" s="204" t="str">
        <f>'CAD_PL_REC-DESP'!Q75</f>
        <v>2.3.71</v>
      </c>
      <c r="C414" s="205" t="str">
        <f>IF('CAD_PL_REC-DESP'!R75="","-",'CAD_PL_REC-DESP'!R75)</f>
        <v>-</v>
      </c>
      <c r="D414" s="206">
        <f>SUMIFS(LANÇ_MOV[VALOR LÍQUIDO],LANÇ_MOV[RECEITA OU DESPESA],"Despesa",LANÇ_MOV[CONTAS],$C414,LANÇ_MOV[PLANO DE CONTAS],REL_DRE_FINANCEIRO!$B$343,LANÇ_MOV[ANO PAGAMENTO],$B$4,LANÇ_MOV[MÊS PAGAMENTO CORRESPONDENTE],D$6,LANÇ_MOV[EMPRESA],$C$4,LANÇ_MOV[CENTRO DE CUSTOS],$D$4)</f>
        <v>0</v>
      </c>
      <c r="E414" s="206">
        <f>SUMIFS(LANÇ_MOV[VALOR LÍQUIDO],LANÇ_MOV[RECEITA OU DESPESA],"Despesa",LANÇ_MOV[CONTAS],$C414,LANÇ_MOV[PLANO DE CONTAS],REL_DRE_FINANCEIRO!$B$343,LANÇ_MOV[ANO PAGAMENTO],$B$4,LANÇ_MOV[MÊS PAGAMENTO CORRESPONDENTE],E$6,LANÇ_MOV[EMPRESA],$C$4,LANÇ_MOV[CENTRO DE CUSTOS],$D$4)</f>
        <v>0</v>
      </c>
      <c r="F414" s="206">
        <f>SUMIFS(LANÇ_MOV[VALOR LÍQUIDO],LANÇ_MOV[RECEITA OU DESPESA],"Despesa",LANÇ_MOV[CONTAS],$C414,LANÇ_MOV[PLANO DE CONTAS],REL_DRE_FINANCEIRO!$B$343,LANÇ_MOV[ANO PAGAMENTO],$B$4,LANÇ_MOV[MÊS PAGAMENTO CORRESPONDENTE],F$6,LANÇ_MOV[EMPRESA],$C$4,LANÇ_MOV[CENTRO DE CUSTOS],$D$4)</f>
        <v>0</v>
      </c>
      <c r="G414" s="206">
        <f>SUMIFS(LANÇ_MOV[VALOR LÍQUIDO],LANÇ_MOV[RECEITA OU DESPESA],"Despesa",LANÇ_MOV[CONTAS],$C414,LANÇ_MOV[PLANO DE CONTAS],REL_DRE_FINANCEIRO!$B$343,LANÇ_MOV[ANO PAGAMENTO],$B$4,LANÇ_MOV[MÊS PAGAMENTO CORRESPONDENTE],G$6,LANÇ_MOV[EMPRESA],$C$4,LANÇ_MOV[CENTRO DE CUSTOS],$D$4)</f>
        <v>0</v>
      </c>
      <c r="H414" s="206">
        <f>SUMIFS(LANÇ_MOV[VALOR LÍQUIDO],LANÇ_MOV[RECEITA OU DESPESA],"Despesa",LANÇ_MOV[CONTAS],$C414,LANÇ_MOV[PLANO DE CONTAS],REL_DRE_FINANCEIRO!$B$343,LANÇ_MOV[ANO PAGAMENTO],$B$4,LANÇ_MOV[MÊS PAGAMENTO CORRESPONDENTE],H$6,LANÇ_MOV[EMPRESA],$C$4,LANÇ_MOV[CENTRO DE CUSTOS],$D$4)</f>
        <v>0</v>
      </c>
      <c r="I414" s="206">
        <f>SUMIFS(LANÇ_MOV[VALOR LÍQUIDO],LANÇ_MOV[RECEITA OU DESPESA],"Despesa",LANÇ_MOV[CONTAS],$C414,LANÇ_MOV[PLANO DE CONTAS],REL_DRE_FINANCEIRO!$B$343,LANÇ_MOV[ANO PAGAMENTO],$B$4,LANÇ_MOV[MÊS PAGAMENTO CORRESPONDENTE],I$6,LANÇ_MOV[EMPRESA],$C$4,LANÇ_MOV[CENTRO DE CUSTOS],$D$4)</f>
        <v>0</v>
      </c>
      <c r="J414" s="206">
        <f>SUMIFS(LANÇ_MOV[VALOR LÍQUIDO],LANÇ_MOV[RECEITA OU DESPESA],"Despesa",LANÇ_MOV[CONTAS],$C414,LANÇ_MOV[PLANO DE CONTAS],REL_DRE_FINANCEIRO!$B$343,LANÇ_MOV[ANO PAGAMENTO],$B$4,LANÇ_MOV[MÊS PAGAMENTO CORRESPONDENTE],J$6,LANÇ_MOV[EMPRESA],$C$4,LANÇ_MOV[CENTRO DE CUSTOS],$D$4)</f>
        <v>0</v>
      </c>
      <c r="K414" s="206">
        <f>SUMIFS(LANÇ_MOV[VALOR LÍQUIDO],LANÇ_MOV[RECEITA OU DESPESA],"Despesa",LANÇ_MOV[CONTAS],$C414,LANÇ_MOV[PLANO DE CONTAS],REL_DRE_FINANCEIRO!$B$343,LANÇ_MOV[ANO PAGAMENTO],$B$4,LANÇ_MOV[MÊS PAGAMENTO CORRESPONDENTE],K$6,LANÇ_MOV[EMPRESA],$C$4,LANÇ_MOV[CENTRO DE CUSTOS],$D$4)</f>
        <v>0</v>
      </c>
      <c r="L414" s="206">
        <f>SUMIFS(LANÇ_MOV[VALOR LÍQUIDO],LANÇ_MOV[RECEITA OU DESPESA],"Despesa",LANÇ_MOV[CONTAS],$C414,LANÇ_MOV[PLANO DE CONTAS],REL_DRE_FINANCEIRO!$B$343,LANÇ_MOV[ANO PAGAMENTO],$B$4,LANÇ_MOV[MÊS PAGAMENTO CORRESPONDENTE],L$6,LANÇ_MOV[EMPRESA],$C$4,LANÇ_MOV[CENTRO DE CUSTOS],$D$4)</f>
        <v>0</v>
      </c>
      <c r="M414" s="206">
        <f>SUMIFS(LANÇ_MOV[VALOR LÍQUIDO],LANÇ_MOV[RECEITA OU DESPESA],"Despesa",LANÇ_MOV[CONTAS],$C414,LANÇ_MOV[PLANO DE CONTAS],REL_DRE_FINANCEIRO!$B$343,LANÇ_MOV[ANO PAGAMENTO],$B$4,LANÇ_MOV[MÊS PAGAMENTO CORRESPONDENTE],M$6,LANÇ_MOV[EMPRESA],$C$4,LANÇ_MOV[CENTRO DE CUSTOS],$D$4)</f>
        <v>0</v>
      </c>
      <c r="N414" s="206">
        <f>SUMIFS(LANÇ_MOV[VALOR LÍQUIDO],LANÇ_MOV[RECEITA OU DESPESA],"Despesa",LANÇ_MOV[CONTAS],$C414,LANÇ_MOV[PLANO DE CONTAS],REL_DRE_FINANCEIRO!$B$343,LANÇ_MOV[ANO PAGAMENTO],$B$4,LANÇ_MOV[MÊS PAGAMENTO CORRESPONDENTE],N$6,LANÇ_MOV[EMPRESA],$C$4,LANÇ_MOV[CENTRO DE CUSTOS],$D$4)</f>
        <v>0</v>
      </c>
      <c r="O414" s="206">
        <f>SUMIFS(LANÇ_MOV[VALOR LÍQUIDO],LANÇ_MOV[RECEITA OU DESPESA],"Despesa",LANÇ_MOV[CONTAS],$C414,LANÇ_MOV[PLANO DE CONTAS],REL_DRE_FINANCEIRO!$B$343,LANÇ_MOV[ANO PAGAMENTO],$B$4,LANÇ_MOV[MÊS PAGAMENTO CORRESPONDENTE],O$6,LANÇ_MOV[EMPRESA],$C$4,LANÇ_MOV[CENTRO DE CUSTOS],$D$4)</f>
        <v>0</v>
      </c>
      <c r="P414" s="207">
        <f t="shared" si="59"/>
        <v>0</v>
      </c>
      <c r="Q414" s="329">
        <v>3.0000000000000001E-6</v>
      </c>
      <c r="R414" s="346">
        <f t="shared" si="60"/>
        <v>3.0000000000000001E-6</v>
      </c>
      <c r="S414" s="347" t="str">
        <f t="shared" si="61"/>
        <v>-</v>
      </c>
      <c r="T414" s="347">
        <f t="shared" si="62"/>
        <v>0</v>
      </c>
      <c r="U414" s="347">
        <f>HLOOKUP(Apoio!$P$12,$D$342:$P$443,X414,FALSE)+Q414</f>
        <v>3.0000000000000001E-6</v>
      </c>
      <c r="V414" s="447" t="str">
        <f t="shared" si="63"/>
        <v>-</v>
      </c>
      <c r="W414" s="448">
        <f>HLOOKUP(Apoio!$P$12,$D$342:$P$443,X414,FALSE)</f>
        <v>0</v>
      </c>
      <c r="X414" s="329">
        <v>73</v>
      </c>
    </row>
    <row r="415" spans="2:24" ht="30.05" customHeight="1" x14ac:dyDescent="0.35">
      <c r="B415" s="204" t="str">
        <f>'CAD_PL_REC-DESP'!Q76</f>
        <v>2.3.72</v>
      </c>
      <c r="C415" s="205" t="str">
        <f>IF('CAD_PL_REC-DESP'!R76="","-",'CAD_PL_REC-DESP'!R76)</f>
        <v>-</v>
      </c>
      <c r="D415" s="206">
        <f>SUMIFS(LANÇ_MOV[VALOR LÍQUIDO],LANÇ_MOV[RECEITA OU DESPESA],"Despesa",LANÇ_MOV[CONTAS],$C415,LANÇ_MOV[PLANO DE CONTAS],REL_DRE_FINANCEIRO!$B$343,LANÇ_MOV[ANO PAGAMENTO],$B$4,LANÇ_MOV[MÊS PAGAMENTO CORRESPONDENTE],D$6,LANÇ_MOV[EMPRESA],$C$4,LANÇ_MOV[CENTRO DE CUSTOS],$D$4)</f>
        <v>0</v>
      </c>
      <c r="E415" s="206">
        <f>SUMIFS(LANÇ_MOV[VALOR LÍQUIDO],LANÇ_MOV[RECEITA OU DESPESA],"Despesa",LANÇ_MOV[CONTAS],$C415,LANÇ_MOV[PLANO DE CONTAS],REL_DRE_FINANCEIRO!$B$343,LANÇ_MOV[ANO PAGAMENTO],$B$4,LANÇ_MOV[MÊS PAGAMENTO CORRESPONDENTE],E$6,LANÇ_MOV[EMPRESA],$C$4,LANÇ_MOV[CENTRO DE CUSTOS],$D$4)</f>
        <v>0</v>
      </c>
      <c r="F415" s="206">
        <f>SUMIFS(LANÇ_MOV[VALOR LÍQUIDO],LANÇ_MOV[RECEITA OU DESPESA],"Despesa",LANÇ_MOV[CONTAS],$C415,LANÇ_MOV[PLANO DE CONTAS],REL_DRE_FINANCEIRO!$B$343,LANÇ_MOV[ANO PAGAMENTO],$B$4,LANÇ_MOV[MÊS PAGAMENTO CORRESPONDENTE],F$6,LANÇ_MOV[EMPRESA],$C$4,LANÇ_MOV[CENTRO DE CUSTOS],$D$4)</f>
        <v>0</v>
      </c>
      <c r="G415" s="206">
        <f>SUMIFS(LANÇ_MOV[VALOR LÍQUIDO],LANÇ_MOV[RECEITA OU DESPESA],"Despesa",LANÇ_MOV[CONTAS],$C415,LANÇ_MOV[PLANO DE CONTAS],REL_DRE_FINANCEIRO!$B$343,LANÇ_MOV[ANO PAGAMENTO],$B$4,LANÇ_MOV[MÊS PAGAMENTO CORRESPONDENTE],G$6,LANÇ_MOV[EMPRESA],$C$4,LANÇ_MOV[CENTRO DE CUSTOS],$D$4)</f>
        <v>0</v>
      </c>
      <c r="H415" s="206">
        <f>SUMIFS(LANÇ_MOV[VALOR LÍQUIDO],LANÇ_MOV[RECEITA OU DESPESA],"Despesa",LANÇ_MOV[CONTAS],$C415,LANÇ_MOV[PLANO DE CONTAS],REL_DRE_FINANCEIRO!$B$343,LANÇ_MOV[ANO PAGAMENTO],$B$4,LANÇ_MOV[MÊS PAGAMENTO CORRESPONDENTE],H$6,LANÇ_MOV[EMPRESA],$C$4,LANÇ_MOV[CENTRO DE CUSTOS],$D$4)</f>
        <v>0</v>
      </c>
      <c r="I415" s="206">
        <f>SUMIFS(LANÇ_MOV[VALOR LÍQUIDO],LANÇ_MOV[RECEITA OU DESPESA],"Despesa",LANÇ_MOV[CONTAS],$C415,LANÇ_MOV[PLANO DE CONTAS],REL_DRE_FINANCEIRO!$B$343,LANÇ_MOV[ANO PAGAMENTO],$B$4,LANÇ_MOV[MÊS PAGAMENTO CORRESPONDENTE],I$6,LANÇ_MOV[EMPRESA],$C$4,LANÇ_MOV[CENTRO DE CUSTOS],$D$4)</f>
        <v>0</v>
      </c>
      <c r="J415" s="206">
        <f>SUMIFS(LANÇ_MOV[VALOR LÍQUIDO],LANÇ_MOV[RECEITA OU DESPESA],"Despesa",LANÇ_MOV[CONTAS],$C415,LANÇ_MOV[PLANO DE CONTAS],REL_DRE_FINANCEIRO!$B$343,LANÇ_MOV[ANO PAGAMENTO],$B$4,LANÇ_MOV[MÊS PAGAMENTO CORRESPONDENTE],J$6,LANÇ_MOV[EMPRESA],$C$4,LANÇ_MOV[CENTRO DE CUSTOS],$D$4)</f>
        <v>0</v>
      </c>
      <c r="K415" s="206">
        <f>SUMIFS(LANÇ_MOV[VALOR LÍQUIDO],LANÇ_MOV[RECEITA OU DESPESA],"Despesa",LANÇ_MOV[CONTAS],$C415,LANÇ_MOV[PLANO DE CONTAS],REL_DRE_FINANCEIRO!$B$343,LANÇ_MOV[ANO PAGAMENTO],$B$4,LANÇ_MOV[MÊS PAGAMENTO CORRESPONDENTE],K$6,LANÇ_MOV[EMPRESA],$C$4,LANÇ_MOV[CENTRO DE CUSTOS],$D$4)</f>
        <v>0</v>
      </c>
      <c r="L415" s="206">
        <f>SUMIFS(LANÇ_MOV[VALOR LÍQUIDO],LANÇ_MOV[RECEITA OU DESPESA],"Despesa",LANÇ_MOV[CONTAS],$C415,LANÇ_MOV[PLANO DE CONTAS],REL_DRE_FINANCEIRO!$B$343,LANÇ_MOV[ANO PAGAMENTO],$B$4,LANÇ_MOV[MÊS PAGAMENTO CORRESPONDENTE],L$6,LANÇ_MOV[EMPRESA],$C$4,LANÇ_MOV[CENTRO DE CUSTOS],$D$4)</f>
        <v>0</v>
      </c>
      <c r="M415" s="206">
        <f>SUMIFS(LANÇ_MOV[VALOR LÍQUIDO],LANÇ_MOV[RECEITA OU DESPESA],"Despesa",LANÇ_MOV[CONTAS],$C415,LANÇ_MOV[PLANO DE CONTAS],REL_DRE_FINANCEIRO!$B$343,LANÇ_MOV[ANO PAGAMENTO],$B$4,LANÇ_MOV[MÊS PAGAMENTO CORRESPONDENTE],M$6,LANÇ_MOV[EMPRESA],$C$4,LANÇ_MOV[CENTRO DE CUSTOS],$D$4)</f>
        <v>0</v>
      </c>
      <c r="N415" s="206">
        <f>SUMIFS(LANÇ_MOV[VALOR LÍQUIDO],LANÇ_MOV[RECEITA OU DESPESA],"Despesa",LANÇ_MOV[CONTAS],$C415,LANÇ_MOV[PLANO DE CONTAS],REL_DRE_FINANCEIRO!$B$343,LANÇ_MOV[ANO PAGAMENTO],$B$4,LANÇ_MOV[MÊS PAGAMENTO CORRESPONDENTE],N$6,LANÇ_MOV[EMPRESA],$C$4,LANÇ_MOV[CENTRO DE CUSTOS],$D$4)</f>
        <v>0</v>
      </c>
      <c r="O415" s="206">
        <f>SUMIFS(LANÇ_MOV[VALOR LÍQUIDO],LANÇ_MOV[RECEITA OU DESPESA],"Despesa",LANÇ_MOV[CONTAS],$C415,LANÇ_MOV[PLANO DE CONTAS],REL_DRE_FINANCEIRO!$B$343,LANÇ_MOV[ANO PAGAMENTO],$B$4,LANÇ_MOV[MÊS PAGAMENTO CORRESPONDENTE],O$6,LANÇ_MOV[EMPRESA],$C$4,LANÇ_MOV[CENTRO DE CUSTOS],$D$4)</f>
        <v>0</v>
      </c>
      <c r="P415" s="207">
        <f t="shared" si="59"/>
        <v>0</v>
      </c>
      <c r="Q415" s="329">
        <v>2.9000000000000002E-6</v>
      </c>
      <c r="R415" s="346">
        <f t="shared" si="60"/>
        <v>2.9000000000000002E-6</v>
      </c>
      <c r="S415" s="347" t="str">
        <f t="shared" si="61"/>
        <v>-</v>
      </c>
      <c r="T415" s="347">
        <f t="shared" si="62"/>
        <v>0</v>
      </c>
      <c r="U415" s="347">
        <f>HLOOKUP(Apoio!$P$12,$D$342:$P$443,X415,FALSE)+Q415</f>
        <v>2.9000000000000002E-6</v>
      </c>
      <c r="V415" s="447" t="str">
        <f t="shared" si="63"/>
        <v>-</v>
      </c>
      <c r="W415" s="448">
        <f>HLOOKUP(Apoio!$P$12,$D$342:$P$443,X415,FALSE)</f>
        <v>0</v>
      </c>
      <c r="X415" s="329">
        <v>74</v>
      </c>
    </row>
    <row r="416" spans="2:24" ht="30.05" customHeight="1" x14ac:dyDescent="0.35">
      <c r="B416" s="204" t="str">
        <f>'CAD_PL_REC-DESP'!Q77</f>
        <v>2.3.73</v>
      </c>
      <c r="C416" s="205" t="str">
        <f>IF('CAD_PL_REC-DESP'!R77="","-",'CAD_PL_REC-DESP'!R77)</f>
        <v>-</v>
      </c>
      <c r="D416" s="206">
        <f>SUMIFS(LANÇ_MOV[VALOR LÍQUIDO],LANÇ_MOV[RECEITA OU DESPESA],"Despesa",LANÇ_MOV[CONTAS],$C416,LANÇ_MOV[PLANO DE CONTAS],REL_DRE_FINANCEIRO!$B$343,LANÇ_MOV[ANO PAGAMENTO],$B$4,LANÇ_MOV[MÊS PAGAMENTO CORRESPONDENTE],D$6,LANÇ_MOV[EMPRESA],$C$4,LANÇ_MOV[CENTRO DE CUSTOS],$D$4)</f>
        <v>0</v>
      </c>
      <c r="E416" s="206">
        <f>SUMIFS(LANÇ_MOV[VALOR LÍQUIDO],LANÇ_MOV[RECEITA OU DESPESA],"Despesa",LANÇ_MOV[CONTAS],$C416,LANÇ_MOV[PLANO DE CONTAS],REL_DRE_FINANCEIRO!$B$343,LANÇ_MOV[ANO PAGAMENTO],$B$4,LANÇ_MOV[MÊS PAGAMENTO CORRESPONDENTE],E$6,LANÇ_MOV[EMPRESA],$C$4,LANÇ_MOV[CENTRO DE CUSTOS],$D$4)</f>
        <v>0</v>
      </c>
      <c r="F416" s="206">
        <f>SUMIFS(LANÇ_MOV[VALOR LÍQUIDO],LANÇ_MOV[RECEITA OU DESPESA],"Despesa",LANÇ_MOV[CONTAS],$C416,LANÇ_MOV[PLANO DE CONTAS],REL_DRE_FINANCEIRO!$B$343,LANÇ_MOV[ANO PAGAMENTO],$B$4,LANÇ_MOV[MÊS PAGAMENTO CORRESPONDENTE],F$6,LANÇ_MOV[EMPRESA],$C$4,LANÇ_MOV[CENTRO DE CUSTOS],$D$4)</f>
        <v>0</v>
      </c>
      <c r="G416" s="206">
        <f>SUMIFS(LANÇ_MOV[VALOR LÍQUIDO],LANÇ_MOV[RECEITA OU DESPESA],"Despesa",LANÇ_MOV[CONTAS],$C416,LANÇ_MOV[PLANO DE CONTAS],REL_DRE_FINANCEIRO!$B$343,LANÇ_MOV[ANO PAGAMENTO],$B$4,LANÇ_MOV[MÊS PAGAMENTO CORRESPONDENTE],G$6,LANÇ_MOV[EMPRESA],$C$4,LANÇ_MOV[CENTRO DE CUSTOS],$D$4)</f>
        <v>0</v>
      </c>
      <c r="H416" s="206">
        <f>SUMIFS(LANÇ_MOV[VALOR LÍQUIDO],LANÇ_MOV[RECEITA OU DESPESA],"Despesa",LANÇ_MOV[CONTAS],$C416,LANÇ_MOV[PLANO DE CONTAS],REL_DRE_FINANCEIRO!$B$343,LANÇ_MOV[ANO PAGAMENTO],$B$4,LANÇ_MOV[MÊS PAGAMENTO CORRESPONDENTE],H$6,LANÇ_MOV[EMPRESA],$C$4,LANÇ_MOV[CENTRO DE CUSTOS],$D$4)</f>
        <v>0</v>
      </c>
      <c r="I416" s="206">
        <f>SUMIFS(LANÇ_MOV[VALOR LÍQUIDO],LANÇ_MOV[RECEITA OU DESPESA],"Despesa",LANÇ_MOV[CONTAS],$C416,LANÇ_MOV[PLANO DE CONTAS],REL_DRE_FINANCEIRO!$B$343,LANÇ_MOV[ANO PAGAMENTO],$B$4,LANÇ_MOV[MÊS PAGAMENTO CORRESPONDENTE],I$6,LANÇ_MOV[EMPRESA],$C$4,LANÇ_MOV[CENTRO DE CUSTOS],$D$4)</f>
        <v>0</v>
      </c>
      <c r="J416" s="206">
        <f>SUMIFS(LANÇ_MOV[VALOR LÍQUIDO],LANÇ_MOV[RECEITA OU DESPESA],"Despesa",LANÇ_MOV[CONTAS],$C416,LANÇ_MOV[PLANO DE CONTAS],REL_DRE_FINANCEIRO!$B$343,LANÇ_MOV[ANO PAGAMENTO],$B$4,LANÇ_MOV[MÊS PAGAMENTO CORRESPONDENTE],J$6,LANÇ_MOV[EMPRESA],$C$4,LANÇ_MOV[CENTRO DE CUSTOS],$D$4)</f>
        <v>0</v>
      </c>
      <c r="K416" s="206">
        <f>SUMIFS(LANÇ_MOV[VALOR LÍQUIDO],LANÇ_MOV[RECEITA OU DESPESA],"Despesa",LANÇ_MOV[CONTAS],$C416,LANÇ_MOV[PLANO DE CONTAS],REL_DRE_FINANCEIRO!$B$343,LANÇ_MOV[ANO PAGAMENTO],$B$4,LANÇ_MOV[MÊS PAGAMENTO CORRESPONDENTE],K$6,LANÇ_MOV[EMPRESA],$C$4,LANÇ_MOV[CENTRO DE CUSTOS],$D$4)</f>
        <v>0</v>
      </c>
      <c r="L416" s="206">
        <f>SUMIFS(LANÇ_MOV[VALOR LÍQUIDO],LANÇ_MOV[RECEITA OU DESPESA],"Despesa",LANÇ_MOV[CONTAS],$C416,LANÇ_MOV[PLANO DE CONTAS],REL_DRE_FINANCEIRO!$B$343,LANÇ_MOV[ANO PAGAMENTO],$B$4,LANÇ_MOV[MÊS PAGAMENTO CORRESPONDENTE],L$6,LANÇ_MOV[EMPRESA],$C$4,LANÇ_MOV[CENTRO DE CUSTOS],$D$4)</f>
        <v>0</v>
      </c>
      <c r="M416" s="206">
        <f>SUMIFS(LANÇ_MOV[VALOR LÍQUIDO],LANÇ_MOV[RECEITA OU DESPESA],"Despesa",LANÇ_MOV[CONTAS],$C416,LANÇ_MOV[PLANO DE CONTAS],REL_DRE_FINANCEIRO!$B$343,LANÇ_MOV[ANO PAGAMENTO],$B$4,LANÇ_MOV[MÊS PAGAMENTO CORRESPONDENTE],M$6,LANÇ_MOV[EMPRESA],$C$4,LANÇ_MOV[CENTRO DE CUSTOS],$D$4)</f>
        <v>0</v>
      </c>
      <c r="N416" s="206">
        <f>SUMIFS(LANÇ_MOV[VALOR LÍQUIDO],LANÇ_MOV[RECEITA OU DESPESA],"Despesa",LANÇ_MOV[CONTAS],$C416,LANÇ_MOV[PLANO DE CONTAS],REL_DRE_FINANCEIRO!$B$343,LANÇ_MOV[ANO PAGAMENTO],$B$4,LANÇ_MOV[MÊS PAGAMENTO CORRESPONDENTE],N$6,LANÇ_MOV[EMPRESA],$C$4,LANÇ_MOV[CENTRO DE CUSTOS],$D$4)</f>
        <v>0</v>
      </c>
      <c r="O416" s="206">
        <f>SUMIFS(LANÇ_MOV[VALOR LÍQUIDO],LANÇ_MOV[RECEITA OU DESPESA],"Despesa",LANÇ_MOV[CONTAS],$C416,LANÇ_MOV[PLANO DE CONTAS],REL_DRE_FINANCEIRO!$B$343,LANÇ_MOV[ANO PAGAMENTO],$B$4,LANÇ_MOV[MÊS PAGAMENTO CORRESPONDENTE],O$6,LANÇ_MOV[EMPRESA],$C$4,LANÇ_MOV[CENTRO DE CUSTOS],$D$4)</f>
        <v>0</v>
      </c>
      <c r="P416" s="207">
        <f t="shared" si="59"/>
        <v>0</v>
      </c>
      <c r="Q416" s="329">
        <v>2.7999999999999999E-6</v>
      </c>
      <c r="R416" s="346">
        <f t="shared" si="60"/>
        <v>2.7999999999999999E-6</v>
      </c>
      <c r="S416" s="347" t="str">
        <f t="shared" si="61"/>
        <v>-</v>
      </c>
      <c r="T416" s="347">
        <f t="shared" si="62"/>
        <v>0</v>
      </c>
      <c r="U416" s="347">
        <f>HLOOKUP(Apoio!$P$12,$D$342:$P$443,X416,FALSE)+Q416</f>
        <v>2.7999999999999999E-6</v>
      </c>
      <c r="V416" s="447" t="str">
        <f t="shared" si="63"/>
        <v>-</v>
      </c>
      <c r="W416" s="448">
        <f>HLOOKUP(Apoio!$P$12,$D$342:$P$443,X416,FALSE)</f>
        <v>0</v>
      </c>
      <c r="X416" s="329">
        <v>75</v>
      </c>
    </row>
    <row r="417" spans="2:24" ht="30.05" customHeight="1" x14ac:dyDescent="0.35">
      <c r="B417" s="204" t="str">
        <f>'CAD_PL_REC-DESP'!Q78</f>
        <v>2.3.74</v>
      </c>
      <c r="C417" s="205" t="str">
        <f>IF('CAD_PL_REC-DESP'!R78="","-",'CAD_PL_REC-DESP'!R78)</f>
        <v>-</v>
      </c>
      <c r="D417" s="206">
        <f>SUMIFS(LANÇ_MOV[VALOR LÍQUIDO],LANÇ_MOV[RECEITA OU DESPESA],"Despesa",LANÇ_MOV[CONTAS],$C417,LANÇ_MOV[PLANO DE CONTAS],REL_DRE_FINANCEIRO!$B$343,LANÇ_MOV[ANO PAGAMENTO],$B$4,LANÇ_MOV[MÊS PAGAMENTO CORRESPONDENTE],D$6,LANÇ_MOV[EMPRESA],$C$4,LANÇ_MOV[CENTRO DE CUSTOS],$D$4)</f>
        <v>0</v>
      </c>
      <c r="E417" s="206">
        <f>SUMIFS(LANÇ_MOV[VALOR LÍQUIDO],LANÇ_MOV[RECEITA OU DESPESA],"Despesa",LANÇ_MOV[CONTAS],$C417,LANÇ_MOV[PLANO DE CONTAS],REL_DRE_FINANCEIRO!$B$343,LANÇ_MOV[ANO PAGAMENTO],$B$4,LANÇ_MOV[MÊS PAGAMENTO CORRESPONDENTE],E$6,LANÇ_MOV[EMPRESA],$C$4,LANÇ_MOV[CENTRO DE CUSTOS],$D$4)</f>
        <v>0</v>
      </c>
      <c r="F417" s="206">
        <f>SUMIFS(LANÇ_MOV[VALOR LÍQUIDO],LANÇ_MOV[RECEITA OU DESPESA],"Despesa",LANÇ_MOV[CONTAS],$C417,LANÇ_MOV[PLANO DE CONTAS],REL_DRE_FINANCEIRO!$B$343,LANÇ_MOV[ANO PAGAMENTO],$B$4,LANÇ_MOV[MÊS PAGAMENTO CORRESPONDENTE],F$6,LANÇ_MOV[EMPRESA],$C$4,LANÇ_MOV[CENTRO DE CUSTOS],$D$4)</f>
        <v>0</v>
      </c>
      <c r="G417" s="206">
        <f>SUMIFS(LANÇ_MOV[VALOR LÍQUIDO],LANÇ_MOV[RECEITA OU DESPESA],"Despesa",LANÇ_MOV[CONTAS],$C417,LANÇ_MOV[PLANO DE CONTAS],REL_DRE_FINANCEIRO!$B$343,LANÇ_MOV[ANO PAGAMENTO],$B$4,LANÇ_MOV[MÊS PAGAMENTO CORRESPONDENTE],G$6,LANÇ_MOV[EMPRESA],$C$4,LANÇ_MOV[CENTRO DE CUSTOS],$D$4)</f>
        <v>0</v>
      </c>
      <c r="H417" s="206">
        <f>SUMIFS(LANÇ_MOV[VALOR LÍQUIDO],LANÇ_MOV[RECEITA OU DESPESA],"Despesa",LANÇ_MOV[CONTAS],$C417,LANÇ_MOV[PLANO DE CONTAS],REL_DRE_FINANCEIRO!$B$343,LANÇ_MOV[ANO PAGAMENTO],$B$4,LANÇ_MOV[MÊS PAGAMENTO CORRESPONDENTE],H$6,LANÇ_MOV[EMPRESA],$C$4,LANÇ_MOV[CENTRO DE CUSTOS],$D$4)</f>
        <v>0</v>
      </c>
      <c r="I417" s="206">
        <f>SUMIFS(LANÇ_MOV[VALOR LÍQUIDO],LANÇ_MOV[RECEITA OU DESPESA],"Despesa",LANÇ_MOV[CONTAS],$C417,LANÇ_MOV[PLANO DE CONTAS],REL_DRE_FINANCEIRO!$B$343,LANÇ_MOV[ANO PAGAMENTO],$B$4,LANÇ_MOV[MÊS PAGAMENTO CORRESPONDENTE],I$6,LANÇ_MOV[EMPRESA],$C$4,LANÇ_MOV[CENTRO DE CUSTOS],$D$4)</f>
        <v>0</v>
      </c>
      <c r="J417" s="206">
        <f>SUMIFS(LANÇ_MOV[VALOR LÍQUIDO],LANÇ_MOV[RECEITA OU DESPESA],"Despesa",LANÇ_MOV[CONTAS],$C417,LANÇ_MOV[PLANO DE CONTAS],REL_DRE_FINANCEIRO!$B$343,LANÇ_MOV[ANO PAGAMENTO],$B$4,LANÇ_MOV[MÊS PAGAMENTO CORRESPONDENTE],J$6,LANÇ_MOV[EMPRESA],$C$4,LANÇ_MOV[CENTRO DE CUSTOS],$D$4)</f>
        <v>0</v>
      </c>
      <c r="K417" s="206">
        <f>SUMIFS(LANÇ_MOV[VALOR LÍQUIDO],LANÇ_MOV[RECEITA OU DESPESA],"Despesa",LANÇ_MOV[CONTAS],$C417,LANÇ_MOV[PLANO DE CONTAS],REL_DRE_FINANCEIRO!$B$343,LANÇ_MOV[ANO PAGAMENTO],$B$4,LANÇ_MOV[MÊS PAGAMENTO CORRESPONDENTE],K$6,LANÇ_MOV[EMPRESA],$C$4,LANÇ_MOV[CENTRO DE CUSTOS],$D$4)</f>
        <v>0</v>
      </c>
      <c r="L417" s="206">
        <f>SUMIFS(LANÇ_MOV[VALOR LÍQUIDO],LANÇ_MOV[RECEITA OU DESPESA],"Despesa",LANÇ_MOV[CONTAS],$C417,LANÇ_MOV[PLANO DE CONTAS],REL_DRE_FINANCEIRO!$B$343,LANÇ_MOV[ANO PAGAMENTO],$B$4,LANÇ_MOV[MÊS PAGAMENTO CORRESPONDENTE],L$6,LANÇ_MOV[EMPRESA],$C$4,LANÇ_MOV[CENTRO DE CUSTOS],$D$4)</f>
        <v>0</v>
      </c>
      <c r="M417" s="206">
        <f>SUMIFS(LANÇ_MOV[VALOR LÍQUIDO],LANÇ_MOV[RECEITA OU DESPESA],"Despesa",LANÇ_MOV[CONTAS],$C417,LANÇ_MOV[PLANO DE CONTAS],REL_DRE_FINANCEIRO!$B$343,LANÇ_MOV[ANO PAGAMENTO],$B$4,LANÇ_MOV[MÊS PAGAMENTO CORRESPONDENTE],M$6,LANÇ_MOV[EMPRESA],$C$4,LANÇ_MOV[CENTRO DE CUSTOS],$D$4)</f>
        <v>0</v>
      </c>
      <c r="N417" s="206">
        <f>SUMIFS(LANÇ_MOV[VALOR LÍQUIDO],LANÇ_MOV[RECEITA OU DESPESA],"Despesa",LANÇ_MOV[CONTAS],$C417,LANÇ_MOV[PLANO DE CONTAS],REL_DRE_FINANCEIRO!$B$343,LANÇ_MOV[ANO PAGAMENTO],$B$4,LANÇ_MOV[MÊS PAGAMENTO CORRESPONDENTE],N$6,LANÇ_MOV[EMPRESA],$C$4,LANÇ_MOV[CENTRO DE CUSTOS],$D$4)</f>
        <v>0</v>
      </c>
      <c r="O417" s="206">
        <f>SUMIFS(LANÇ_MOV[VALOR LÍQUIDO],LANÇ_MOV[RECEITA OU DESPESA],"Despesa",LANÇ_MOV[CONTAS],$C417,LANÇ_MOV[PLANO DE CONTAS],REL_DRE_FINANCEIRO!$B$343,LANÇ_MOV[ANO PAGAMENTO],$B$4,LANÇ_MOV[MÊS PAGAMENTO CORRESPONDENTE],O$6,LANÇ_MOV[EMPRESA],$C$4,LANÇ_MOV[CENTRO DE CUSTOS],$D$4)</f>
        <v>0</v>
      </c>
      <c r="P417" s="207">
        <f t="shared" si="59"/>
        <v>0</v>
      </c>
      <c r="Q417" s="329">
        <v>2.7E-6</v>
      </c>
      <c r="R417" s="346">
        <f t="shared" si="60"/>
        <v>2.7E-6</v>
      </c>
      <c r="S417" s="347" t="str">
        <f t="shared" si="61"/>
        <v>-</v>
      </c>
      <c r="T417" s="347">
        <f t="shared" si="62"/>
        <v>0</v>
      </c>
      <c r="U417" s="347">
        <f>HLOOKUP(Apoio!$P$12,$D$342:$P$443,X417,FALSE)+Q417</f>
        <v>2.7E-6</v>
      </c>
      <c r="V417" s="447" t="str">
        <f t="shared" si="63"/>
        <v>-</v>
      </c>
      <c r="W417" s="448">
        <f>HLOOKUP(Apoio!$P$12,$D$342:$P$443,X417,FALSE)</f>
        <v>0</v>
      </c>
      <c r="X417" s="329">
        <v>76</v>
      </c>
    </row>
    <row r="418" spans="2:24" ht="30.05" customHeight="1" x14ac:dyDescent="0.35">
      <c r="B418" s="204" t="str">
        <f>'CAD_PL_REC-DESP'!Q79</f>
        <v>2.3.75</v>
      </c>
      <c r="C418" s="205" t="str">
        <f>IF('CAD_PL_REC-DESP'!R79="","-",'CAD_PL_REC-DESP'!R79)</f>
        <v>-</v>
      </c>
      <c r="D418" s="206">
        <f>SUMIFS(LANÇ_MOV[VALOR LÍQUIDO],LANÇ_MOV[RECEITA OU DESPESA],"Despesa",LANÇ_MOV[CONTAS],$C418,LANÇ_MOV[PLANO DE CONTAS],REL_DRE_FINANCEIRO!$B$343,LANÇ_MOV[ANO PAGAMENTO],$B$4,LANÇ_MOV[MÊS PAGAMENTO CORRESPONDENTE],D$6,LANÇ_MOV[EMPRESA],$C$4,LANÇ_MOV[CENTRO DE CUSTOS],$D$4)</f>
        <v>0</v>
      </c>
      <c r="E418" s="206">
        <f>SUMIFS(LANÇ_MOV[VALOR LÍQUIDO],LANÇ_MOV[RECEITA OU DESPESA],"Despesa",LANÇ_MOV[CONTAS],$C418,LANÇ_MOV[PLANO DE CONTAS],REL_DRE_FINANCEIRO!$B$343,LANÇ_MOV[ANO PAGAMENTO],$B$4,LANÇ_MOV[MÊS PAGAMENTO CORRESPONDENTE],E$6,LANÇ_MOV[EMPRESA],$C$4,LANÇ_MOV[CENTRO DE CUSTOS],$D$4)</f>
        <v>0</v>
      </c>
      <c r="F418" s="206">
        <f>SUMIFS(LANÇ_MOV[VALOR LÍQUIDO],LANÇ_MOV[RECEITA OU DESPESA],"Despesa",LANÇ_MOV[CONTAS],$C418,LANÇ_MOV[PLANO DE CONTAS],REL_DRE_FINANCEIRO!$B$343,LANÇ_MOV[ANO PAGAMENTO],$B$4,LANÇ_MOV[MÊS PAGAMENTO CORRESPONDENTE],F$6,LANÇ_MOV[EMPRESA],$C$4,LANÇ_MOV[CENTRO DE CUSTOS],$D$4)</f>
        <v>0</v>
      </c>
      <c r="G418" s="206">
        <f>SUMIFS(LANÇ_MOV[VALOR LÍQUIDO],LANÇ_MOV[RECEITA OU DESPESA],"Despesa",LANÇ_MOV[CONTAS],$C418,LANÇ_MOV[PLANO DE CONTAS],REL_DRE_FINANCEIRO!$B$343,LANÇ_MOV[ANO PAGAMENTO],$B$4,LANÇ_MOV[MÊS PAGAMENTO CORRESPONDENTE],G$6,LANÇ_MOV[EMPRESA],$C$4,LANÇ_MOV[CENTRO DE CUSTOS],$D$4)</f>
        <v>0</v>
      </c>
      <c r="H418" s="206">
        <f>SUMIFS(LANÇ_MOV[VALOR LÍQUIDO],LANÇ_MOV[RECEITA OU DESPESA],"Despesa",LANÇ_MOV[CONTAS],$C418,LANÇ_MOV[PLANO DE CONTAS],REL_DRE_FINANCEIRO!$B$343,LANÇ_MOV[ANO PAGAMENTO],$B$4,LANÇ_MOV[MÊS PAGAMENTO CORRESPONDENTE],H$6,LANÇ_MOV[EMPRESA],$C$4,LANÇ_MOV[CENTRO DE CUSTOS],$D$4)</f>
        <v>0</v>
      </c>
      <c r="I418" s="206">
        <f>SUMIFS(LANÇ_MOV[VALOR LÍQUIDO],LANÇ_MOV[RECEITA OU DESPESA],"Despesa",LANÇ_MOV[CONTAS],$C418,LANÇ_MOV[PLANO DE CONTAS],REL_DRE_FINANCEIRO!$B$343,LANÇ_MOV[ANO PAGAMENTO],$B$4,LANÇ_MOV[MÊS PAGAMENTO CORRESPONDENTE],I$6,LANÇ_MOV[EMPRESA],$C$4,LANÇ_MOV[CENTRO DE CUSTOS],$D$4)</f>
        <v>0</v>
      </c>
      <c r="J418" s="206">
        <f>SUMIFS(LANÇ_MOV[VALOR LÍQUIDO],LANÇ_MOV[RECEITA OU DESPESA],"Despesa",LANÇ_MOV[CONTAS],$C418,LANÇ_MOV[PLANO DE CONTAS],REL_DRE_FINANCEIRO!$B$343,LANÇ_MOV[ANO PAGAMENTO],$B$4,LANÇ_MOV[MÊS PAGAMENTO CORRESPONDENTE],J$6,LANÇ_MOV[EMPRESA],$C$4,LANÇ_MOV[CENTRO DE CUSTOS],$D$4)</f>
        <v>0</v>
      </c>
      <c r="K418" s="206">
        <f>SUMIFS(LANÇ_MOV[VALOR LÍQUIDO],LANÇ_MOV[RECEITA OU DESPESA],"Despesa",LANÇ_MOV[CONTAS],$C418,LANÇ_MOV[PLANO DE CONTAS],REL_DRE_FINANCEIRO!$B$343,LANÇ_MOV[ANO PAGAMENTO],$B$4,LANÇ_MOV[MÊS PAGAMENTO CORRESPONDENTE],K$6,LANÇ_MOV[EMPRESA],$C$4,LANÇ_MOV[CENTRO DE CUSTOS],$D$4)</f>
        <v>0</v>
      </c>
      <c r="L418" s="206">
        <f>SUMIFS(LANÇ_MOV[VALOR LÍQUIDO],LANÇ_MOV[RECEITA OU DESPESA],"Despesa",LANÇ_MOV[CONTAS],$C418,LANÇ_MOV[PLANO DE CONTAS],REL_DRE_FINANCEIRO!$B$343,LANÇ_MOV[ANO PAGAMENTO],$B$4,LANÇ_MOV[MÊS PAGAMENTO CORRESPONDENTE],L$6,LANÇ_MOV[EMPRESA],$C$4,LANÇ_MOV[CENTRO DE CUSTOS],$D$4)</f>
        <v>0</v>
      </c>
      <c r="M418" s="206">
        <f>SUMIFS(LANÇ_MOV[VALOR LÍQUIDO],LANÇ_MOV[RECEITA OU DESPESA],"Despesa",LANÇ_MOV[CONTAS],$C418,LANÇ_MOV[PLANO DE CONTAS],REL_DRE_FINANCEIRO!$B$343,LANÇ_MOV[ANO PAGAMENTO],$B$4,LANÇ_MOV[MÊS PAGAMENTO CORRESPONDENTE],M$6,LANÇ_MOV[EMPRESA],$C$4,LANÇ_MOV[CENTRO DE CUSTOS],$D$4)</f>
        <v>0</v>
      </c>
      <c r="N418" s="206">
        <f>SUMIFS(LANÇ_MOV[VALOR LÍQUIDO],LANÇ_MOV[RECEITA OU DESPESA],"Despesa",LANÇ_MOV[CONTAS],$C418,LANÇ_MOV[PLANO DE CONTAS],REL_DRE_FINANCEIRO!$B$343,LANÇ_MOV[ANO PAGAMENTO],$B$4,LANÇ_MOV[MÊS PAGAMENTO CORRESPONDENTE],N$6,LANÇ_MOV[EMPRESA],$C$4,LANÇ_MOV[CENTRO DE CUSTOS],$D$4)</f>
        <v>0</v>
      </c>
      <c r="O418" s="206">
        <f>SUMIFS(LANÇ_MOV[VALOR LÍQUIDO],LANÇ_MOV[RECEITA OU DESPESA],"Despesa",LANÇ_MOV[CONTAS],$C418,LANÇ_MOV[PLANO DE CONTAS],REL_DRE_FINANCEIRO!$B$343,LANÇ_MOV[ANO PAGAMENTO],$B$4,LANÇ_MOV[MÊS PAGAMENTO CORRESPONDENTE],O$6,LANÇ_MOV[EMPRESA],$C$4,LANÇ_MOV[CENTRO DE CUSTOS],$D$4)</f>
        <v>0</v>
      </c>
      <c r="P418" s="207">
        <f t="shared" si="59"/>
        <v>0</v>
      </c>
      <c r="Q418" s="329">
        <v>2.6000000000000001E-6</v>
      </c>
      <c r="R418" s="346">
        <f t="shared" si="60"/>
        <v>2.6000000000000001E-6</v>
      </c>
      <c r="S418" s="347" t="str">
        <f t="shared" si="61"/>
        <v>-</v>
      </c>
      <c r="T418" s="347">
        <f t="shared" si="62"/>
        <v>0</v>
      </c>
      <c r="U418" s="347">
        <f>HLOOKUP(Apoio!$P$12,$D$342:$P$443,X418,FALSE)+Q418</f>
        <v>2.6000000000000001E-6</v>
      </c>
      <c r="V418" s="447" t="str">
        <f t="shared" si="63"/>
        <v>-</v>
      </c>
      <c r="W418" s="448">
        <f>HLOOKUP(Apoio!$P$12,$D$342:$P$443,X418,FALSE)</f>
        <v>0</v>
      </c>
      <c r="X418" s="329">
        <v>77</v>
      </c>
    </row>
    <row r="419" spans="2:24" ht="30.05" customHeight="1" x14ac:dyDescent="0.35">
      <c r="B419" s="204" t="str">
        <f>'CAD_PL_REC-DESP'!Q80</f>
        <v>2.3.76</v>
      </c>
      <c r="C419" s="205" t="str">
        <f>IF('CAD_PL_REC-DESP'!R80="","-",'CAD_PL_REC-DESP'!R80)</f>
        <v>-</v>
      </c>
      <c r="D419" s="206">
        <f>SUMIFS(LANÇ_MOV[VALOR LÍQUIDO],LANÇ_MOV[RECEITA OU DESPESA],"Despesa",LANÇ_MOV[CONTAS],$C419,LANÇ_MOV[PLANO DE CONTAS],REL_DRE_FINANCEIRO!$B$343,LANÇ_MOV[ANO PAGAMENTO],$B$4,LANÇ_MOV[MÊS PAGAMENTO CORRESPONDENTE],D$6,LANÇ_MOV[EMPRESA],$C$4,LANÇ_MOV[CENTRO DE CUSTOS],$D$4)</f>
        <v>0</v>
      </c>
      <c r="E419" s="206">
        <f>SUMIFS(LANÇ_MOV[VALOR LÍQUIDO],LANÇ_MOV[RECEITA OU DESPESA],"Despesa",LANÇ_MOV[CONTAS],$C419,LANÇ_MOV[PLANO DE CONTAS],REL_DRE_FINANCEIRO!$B$343,LANÇ_MOV[ANO PAGAMENTO],$B$4,LANÇ_MOV[MÊS PAGAMENTO CORRESPONDENTE],E$6,LANÇ_MOV[EMPRESA],$C$4,LANÇ_MOV[CENTRO DE CUSTOS],$D$4)</f>
        <v>0</v>
      </c>
      <c r="F419" s="206">
        <f>SUMIFS(LANÇ_MOV[VALOR LÍQUIDO],LANÇ_MOV[RECEITA OU DESPESA],"Despesa",LANÇ_MOV[CONTAS],$C419,LANÇ_MOV[PLANO DE CONTAS],REL_DRE_FINANCEIRO!$B$343,LANÇ_MOV[ANO PAGAMENTO],$B$4,LANÇ_MOV[MÊS PAGAMENTO CORRESPONDENTE],F$6,LANÇ_MOV[EMPRESA],$C$4,LANÇ_MOV[CENTRO DE CUSTOS],$D$4)</f>
        <v>0</v>
      </c>
      <c r="G419" s="206">
        <f>SUMIFS(LANÇ_MOV[VALOR LÍQUIDO],LANÇ_MOV[RECEITA OU DESPESA],"Despesa",LANÇ_MOV[CONTAS],$C419,LANÇ_MOV[PLANO DE CONTAS],REL_DRE_FINANCEIRO!$B$343,LANÇ_MOV[ANO PAGAMENTO],$B$4,LANÇ_MOV[MÊS PAGAMENTO CORRESPONDENTE],G$6,LANÇ_MOV[EMPRESA],$C$4,LANÇ_MOV[CENTRO DE CUSTOS],$D$4)</f>
        <v>0</v>
      </c>
      <c r="H419" s="206">
        <f>SUMIFS(LANÇ_MOV[VALOR LÍQUIDO],LANÇ_MOV[RECEITA OU DESPESA],"Despesa",LANÇ_MOV[CONTAS],$C419,LANÇ_MOV[PLANO DE CONTAS],REL_DRE_FINANCEIRO!$B$343,LANÇ_MOV[ANO PAGAMENTO],$B$4,LANÇ_MOV[MÊS PAGAMENTO CORRESPONDENTE],H$6,LANÇ_MOV[EMPRESA],$C$4,LANÇ_MOV[CENTRO DE CUSTOS],$D$4)</f>
        <v>0</v>
      </c>
      <c r="I419" s="206">
        <f>SUMIFS(LANÇ_MOV[VALOR LÍQUIDO],LANÇ_MOV[RECEITA OU DESPESA],"Despesa",LANÇ_MOV[CONTAS],$C419,LANÇ_MOV[PLANO DE CONTAS],REL_DRE_FINANCEIRO!$B$343,LANÇ_MOV[ANO PAGAMENTO],$B$4,LANÇ_MOV[MÊS PAGAMENTO CORRESPONDENTE],I$6,LANÇ_MOV[EMPRESA],$C$4,LANÇ_MOV[CENTRO DE CUSTOS],$D$4)</f>
        <v>0</v>
      </c>
      <c r="J419" s="206">
        <f>SUMIFS(LANÇ_MOV[VALOR LÍQUIDO],LANÇ_MOV[RECEITA OU DESPESA],"Despesa",LANÇ_MOV[CONTAS],$C419,LANÇ_MOV[PLANO DE CONTAS],REL_DRE_FINANCEIRO!$B$343,LANÇ_MOV[ANO PAGAMENTO],$B$4,LANÇ_MOV[MÊS PAGAMENTO CORRESPONDENTE],J$6,LANÇ_MOV[EMPRESA],$C$4,LANÇ_MOV[CENTRO DE CUSTOS],$D$4)</f>
        <v>0</v>
      </c>
      <c r="K419" s="206">
        <f>SUMIFS(LANÇ_MOV[VALOR LÍQUIDO],LANÇ_MOV[RECEITA OU DESPESA],"Despesa",LANÇ_MOV[CONTAS],$C419,LANÇ_MOV[PLANO DE CONTAS],REL_DRE_FINANCEIRO!$B$343,LANÇ_MOV[ANO PAGAMENTO],$B$4,LANÇ_MOV[MÊS PAGAMENTO CORRESPONDENTE],K$6,LANÇ_MOV[EMPRESA],$C$4,LANÇ_MOV[CENTRO DE CUSTOS],$D$4)</f>
        <v>0</v>
      </c>
      <c r="L419" s="206">
        <f>SUMIFS(LANÇ_MOV[VALOR LÍQUIDO],LANÇ_MOV[RECEITA OU DESPESA],"Despesa",LANÇ_MOV[CONTAS],$C419,LANÇ_MOV[PLANO DE CONTAS],REL_DRE_FINANCEIRO!$B$343,LANÇ_MOV[ANO PAGAMENTO],$B$4,LANÇ_MOV[MÊS PAGAMENTO CORRESPONDENTE],L$6,LANÇ_MOV[EMPRESA],$C$4,LANÇ_MOV[CENTRO DE CUSTOS],$D$4)</f>
        <v>0</v>
      </c>
      <c r="M419" s="206">
        <f>SUMIFS(LANÇ_MOV[VALOR LÍQUIDO],LANÇ_MOV[RECEITA OU DESPESA],"Despesa",LANÇ_MOV[CONTAS],$C419,LANÇ_MOV[PLANO DE CONTAS],REL_DRE_FINANCEIRO!$B$343,LANÇ_MOV[ANO PAGAMENTO],$B$4,LANÇ_MOV[MÊS PAGAMENTO CORRESPONDENTE],M$6,LANÇ_MOV[EMPRESA],$C$4,LANÇ_MOV[CENTRO DE CUSTOS],$D$4)</f>
        <v>0</v>
      </c>
      <c r="N419" s="206">
        <f>SUMIFS(LANÇ_MOV[VALOR LÍQUIDO],LANÇ_MOV[RECEITA OU DESPESA],"Despesa",LANÇ_MOV[CONTAS],$C419,LANÇ_MOV[PLANO DE CONTAS],REL_DRE_FINANCEIRO!$B$343,LANÇ_MOV[ANO PAGAMENTO],$B$4,LANÇ_MOV[MÊS PAGAMENTO CORRESPONDENTE],N$6,LANÇ_MOV[EMPRESA],$C$4,LANÇ_MOV[CENTRO DE CUSTOS],$D$4)</f>
        <v>0</v>
      </c>
      <c r="O419" s="206">
        <f>SUMIFS(LANÇ_MOV[VALOR LÍQUIDO],LANÇ_MOV[RECEITA OU DESPESA],"Despesa",LANÇ_MOV[CONTAS],$C419,LANÇ_MOV[PLANO DE CONTAS],REL_DRE_FINANCEIRO!$B$343,LANÇ_MOV[ANO PAGAMENTO],$B$4,LANÇ_MOV[MÊS PAGAMENTO CORRESPONDENTE],O$6,LANÇ_MOV[EMPRESA],$C$4,LANÇ_MOV[CENTRO DE CUSTOS],$D$4)</f>
        <v>0</v>
      </c>
      <c r="P419" s="207">
        <f t="shared" si="59"/>
        <v>0</v>
      </c>
      <c r="Q419" s="329">
        <v>2.5000000000000002E-6</v>
      </c>
      <c r="R419" s="346">
        <f t="shared" si="60"/>
        <v>2.5000000000000002E-6</v>
      </c>
      <c r="S419" s="347" t="str">
        <f t="shared" si="61"/>
        <v>-</v>
      </c>
      <c r="T419" s="347">
        <f t="shared" si="62"/>
        <v>0</v>
      </c>
      <c r="U419" s="347">
        <f>HLOOKUP(Apoio!$P$12,$D$342:$P$443,X419,FALSE)+Q419</f>
        <v>2.5000000000000002E-6</v>
      </c>
      <c r="V419" s="447" t="str">
        <f t="shared" si="63"/>
        <v>-</v>
      </c>
      <c r="W419" s="448">
        <f>HLOOKUP(Apoio!$P$12,$D$342:$P$443,X419,FALSE)</f>
        <v>0</v>
      </c>
      <c r="X419" s="329">
        <v>78</v>
      </c>
    </row>
    <row r="420" spans="2:24" ht="30.05" customHeight="1" x14ac:dyDescent="0.35">
      <c r="B420" s="204" t="str">
        <f>'CAD_PL_REC-DESP'!Q81</f>
        <v>2.3.77</v>
      </c>
      <c r="C420" s="205" t="str">
        <f>IF('CAD_PL_REC-DESP'!R81="","-",'CAD_PL_REC-DESP'!R81)</f>
        <v>-</v>
      </c>
      <c r="D420" s="206">
        <f>SUMIFS(LANÇ_MOV[VALOR LÍQUIDO],LANÇ_MOV[RECEITA OU DESPESA],"Despesa",LANÇ_MOV[CONTAS],$C420,LANÇ_MOV[PLANO DE CONTAS],REL_DRE_FINANCEIRO!$B$343,LANÇ_MOV[ANO PAGAMENTO],$B$4,LANÇ_MOV[MÊS PAGAMENTO CORRESPONDENTE],D$6,LANÇ_MOV[EMPRESA],$C$4,LANÇ_MOV[CENTRO DE CUSTOS],$D$4)</f>
        <v>0</v>
      </c>
      <c r="E420" s="206">
        <f>SUMIFS(LANÇ_MOV[VALOR LÍQUIDO],LANÇ_MOV[RECEITA OU DESPESA],"Despesa",LANÇ_MOV[CONTAS],$C420,LANÇ_MOV[PLANO DE CONTAS],REL_DRE_FINANCEIRO!$B$343,LANÇ_MOV[ANO PAGAMENTO],$B$4,LANÇ_MOV[MÊS PAGAMENTO CORRESPONDENTE],E$6,LANÇ_MOV[EMPRESA],$C$4,LANÇ_MOV[CENTRO DE CUSTOS],$D$4)</f>
        <v>0</v>
      </c>
      <c r="F420" s="206">
        <f>SUMIFS(LANÇ_MOV[VALOR LÍQUIDO],LANÇ_MOV[RECEITA OU DESPESA],"Despesa",LANÇ_MOV[CONTAS],$C420,LANÇ_MOV[PLANO DE CONTAS],REL_DRE_FINANCEIRO!$B$343,LANÇ_MOV[ANO PAGAMENTO],$B$4,LANÇ_MOV[MÊS PAGAMENTO CORRESPONDENTE],F$6,LANÇ_MOV[EMPRESA],$C$4,LANÇ_MOV[CENTRO DE CUSTOS],$D$4)</f>
        <v>0</v>
      </c>
      <c r="G420" s="206">
        <f>SUMIFS(LANÇ_MOV[VALOR LÍQUIDO],LANÇ_MOV[RECEITA OU DESPESA],"Despesa",LANÇ_MOV[CONTAS],$C420,LANÇ_MOV[PLANO DE CONTAS],REL_DRE_FINANCEIRO!$B$343,LANÇ_MOV[ANO PAGAMENTO],$B$4,LANÇ_MOV[MÊS PAGAMENTO CORRESPONDENTE],G$6,LANÇ_MOV[EMPRESA],$C$4,LANÇ_MOV[CENTRO DE CUSTOS],$D$4)</f>
        <v>0</v>
      </c>
      <c r="H420" s="206">
        <f>SUMIFS(LANÇ_MOV[VALOR LÍQUIDO],LANÇ_MOV[RECEITA OU DESPESA],"Despesa",LANÇ_MOV[CONTAS],$C420,LANÇ_MOV[PLANO DE CONTAS],REL_DRE_FINANCEIRO!$B$343,LANÇ_MOV[ANO PAGAMENTO],$B$4,LANÇ_MOV[MÊS PAGAMENTO CORRESPONDENTE],H$6,LANÇ_MOV[EMPRESA],$C$4,LANÇ_MOV[CENTRO DE CUSTOS],$D$4)</f>
        <v>0</v>
      </c>
      <c r="I420" s="206">
        <f>SUMIFS(LANÇ_MOV[VALOR LÍQUIDO],LANÇ_MOV[RECEITA OU DESPESA],"Despesa",LANÇ_MOV[CONTAS],$C420,LANÇ_MOV[PLANO DE CONTAS],REL_DRE_FINANCEIRO!$B$343,LANÇ_MOV[ANO PAGAMENTO],$B$4,LANÇ_MOV[MÊS PAGAMENTO CORRESPONDENTE],I$6,LANÇ_MOV[EMPRESA],$C$4,LANÇ_MOV[CENTRO DE CUSTOS],$D$4)</f>
        <v>0</v>
      </c>
      <c r="J420" s="206">
        <f>SUMIFS(LANÇ_MOV[VALOR LÍQUIDO],LANÇ_MOV[RECEITA OU DESPESA],"Despesa",LANÇ_MOV[CONTAS],$C420,LANÇ_MOV[PLANO DE CONTAS],REL_DRE_FINANCEIRO!$B$343,LANÇ_MOV[ANO PAGAMENTO],$B$4,LANÇ_MOV[MÊS PAGAMENTO CORRESPONDENTE],J$6,LANÇ_MOV[EMPRESA],$C$4,LANÇ_MOV[CENTRO DE CUSTOS],$D$4)</f>
        <v>0</v>
      </c>
      <c r="K420" s="206">
        <f>SUMIFS(LANÇ_MOV[VALOR LÍQUIDO],LANÇ_MOV[RECEITA OU DESPESA],"Despesa",LANÇ_MOV[CONTAS],$C420,LANÇ_MOV[PLANO DE CONTAS],REL_DRE_FINANCEIRO!$B$343,LANÇ_MOV[ANO PAGAMENTO],$B$4,LANÇ_MOV[MÊS PAGAMENTO CORRESPONDENTE],K$6,LANÇ_MOV[EMPRESA],$C$4,LANÇ_MOV[CENTRO DE CUSTOS],$D$4)</f>
        <v>0</v>
      </c>
      <c r="L420" s="206">
        <f>SUMIFS(LANÇ_MOV[VALOR LÍQUIDO],LANÇ_MOV[RECEITA OU DESPESA],"Despesa",LANÇ_MOV[CONTAS],$C420,LANÇ_MOV[PLANO DE CONTAS],REL_DRE_FINANCEIRO!$B$343,LANÇ_MOV[ANO PAGAMENTO],$B$4,LANÇ_MOV[MÊS PAGAMENTO CORRESPONDENTE],L$6,LANÇ_MOV[EMPRESA],$C$4,LANÇ_MOV[CENTRO DE CUSTOS],$D$4)</f>
        <v>0</v>
      </c>
      <c r="M420" s="206">
        <f>SUMIFS(LANÇ_MOV[VALOR LÍQUIDO],LANÇ_MOV[RECEITA OU DESPESA],"Despesa",LANÇ_MOV[CONTAS],$C420,LANÇ_MOV[PLANO DE CONTAS],REL_DRE_FINANCEIRO!$B$343,LANÇ_MOV[ANO PAGAMENTO],$B$4,LANÇ_MOV[MÊS PAGAMENTO CORRESPONDENTE],M$6,LANÇ_MOV[EMPRESA],$C$4,LANÇ_MOV[CENTRO DE CUSTOS],$D$4)</f>
        <v>0</v>
      </c>
      <c r="N420" s="206">
        <f>SUMIFS(LANÇ_MOV[VALOR LÍQUIDO],LANÇ_MOV[RECEITA OU DESPESA],"Despesa",LANÇ_MOV[CONTAS],$C420,LANÇ_MOV[PLANO DE CONTAS],REL_DRE_FINANCEIRO!$B$343,LANÇ_MOV[ANO PAGAMENTO],$B$4,LANÇ_MOV[MÊS PAGAMENTO CORRESPONDENTE],N$6,LANÇ_MOV[EMPRESA],$C$4,LANÇ_MOV[CENTRO DE CUSTOS],$D$4)</f>
        <v>0</v>
      </c>
      <c r="O420" s="206">
        <f>SUMIFS(LANÇ_MOV[VALOR LÍQUIDO],LANÇ_MOV[RECEITA OU DESPESA],"Despesa",LANÇ_MOV[CONTAS],$C420,LANÇ_MOV[PLANO DE CONTAS],REL_DRE_FINANCEIRO!$B$343,LANÇ_MOV[ANO PAGAMENTO],$B$4,LANÇ_MOV[MÊS PAGAMENTO CORRESPONDENTE],O$6,LANÇ_MOV[EMPRESA],$C$4,LANÇ_MOV[CENTRO DE CUSTOS],$D$4)</f>
        <v>0</v>
      </c>
      <c r="P420" s="207">
        <f t="shared" si="59"/>
        <v>0</v>
      </c>
      <c r="Q420" s="329">
        <v>2.3999999999999999E-6</v>
      </c>
      <c r="R420" s="346">
        <f t="shared" si="60"/>
        <v>2.3999999999999999E-6</v>
      </c>
      <c r="S420" s="347" t="str">
        <f t="shared" si="61"/>
        <v>-</v>
      </c>
      <c r="T420" s="347">
        <f t="shared" si="62"/>
        <v>0</v>
      </c>
      <c r="U420" s="347">
        <f>HLOOKUP(Apoio!$P$12,$D$342:$P$443,X420,FALSE)+Q420</f>
        <v>2.3999999999999999E-6</v>
      </c>
      <c r="V420" s="447" t="str">
        <f t="shared" si="63"/>
        <v>-</v>
      </c>
      <c r="W420" s="448">
        <f>HLOOKUP(Apoio!$P$12,$D$342:$P$443,X420,FALSE)</f>
        <v>0</v>
      </c>
      <c r="X420" s="329">
        <v>79</v>
      </c>
    </row>
    <row r="421" spans="2:24" ht="30.05" customHeight="1" x14ac:dyDescent="0.35">
      <c r="B421" s="204" t="str">
        <f>'CAD_PL_REC-DESP'!Q82</f>
        <v>2.3.78</v>
      </c>
      <c r="C421" s="205" t="str">
        <f>IF('CAD_PL_REC-DESP'!R82="","-",'CAD_PL_REC-DESP'!R82)</f>
        <v>-</v>
      </c>
      <c r="D421" s="206">
        <f>SUMIFS(LANÇ_MOV[VALOR LÍQUIDO],LANÇ_MOV[RECEITA OU DESPESA],"Despesa",LANÇ_MOV[CONTAS],$C421,LANÇ_MOV[PLANO DE CONTAS],REL_DRE_FINANCEIRO!$B$343,LANÇ_MOV[ANO PAGAMENTO],$B$4,LANÇ_MOV[MÊS PAGAMENTO CORRESPONDENTE],D$6,LANÇ_MOV[EMPRESA],$C$4,LANÇ_MOV[CENTRO DE CUSTOS],$D$4)</f>
        <v>0</v>
      </c>
      <c r="E421" s="206">
        <f>SUMIFS(LANÇ_MOV[VALOR LÍQUIDO],LANÇ_MOV[RECEITA OU DESPESA],"Despesa",LANÇ_MOV[CONTAS],$C421,LANÇ_MOV[PLANO DE CONTAS],REL_DRE_FINANCEIRO!$B$343,LANÇ_MOV[ANO PAGAMENTO],$B$4,LANÇ_MOV[MÊS PAGAMENTO CORRESPONDENTE],E$6,LANÇ_MOV[EMPRESA],$C$4,LANÇ_MOV[CENTRO DE CUSTOS],$D$4)</f>
        <v>0</v>
      </c>
      <c r="F421" s="206">
        <f>SUMIFS(LANÇ_MOV[VALOR LÍQUIDO],LANÇ_MOV[RECEITA OU DESPESA],"Despesa",LANÇ_MOV[CONTAS],$C421,LANÇ_MOV[PLANO DE CONTAS],REL_DRE_FINANCEIRO!$B$343,LANÇ_MOV[ANO PAGAMENTO],$B$4,LANÇ_MOV[MÊS PAGAMENTO CORRESPONDENTE],F$6,LANÇ_MOV[EMPRESA],$C$4,LANÇ_MOV[CENTRO DE CUSTOS],$D$4)</f>
        <v>0</v>
      </c>
      <c r="G421" s="206">
        <f>SUMIFS(LANÇ_MOV[VALOR LÍQUIDO],LANÇ_MOV[RECEITA OU DESPESA],"Despesa",LANÇ_MOV[CONTAS],$C421,LANÇ_MOV[PLANO DE CONTAS],REL_DRE_FINANCEIRO!$B$343,LANÇ_MOV[ANO PAGAMENTO],$B$4,LANÇ_MOV[MÊS PAGAMENTO CORRESPONDENTE],G$6,LANÇ_MOV[EMPRESA],$C$4,LANÇ_MOV[CENTRO DE CUSTOS],$D$4)</f>
        <v>0</v>
      </c>
      <c r="H421" s="206">
        <f>SUMIFS(LANÇ_MOV[VALOR LÍQUIDO],LANÇ_MOV[RECEITA OU DESPESA],"Despesa",LANÇ_MOV[CONTAS],$C421,LANÇ_MOV[PLANO DE CONTAS],REL_DRE_FINANCEIRO!$B$343,LANÇ_MOV[ANO PAGAMENTO],$B$4,LANÇ_MOV[MÊS PAGAMENTO CORRESPONDENTE],H$6,LANÇ_MOV[EMPRESA],$C$4,LANÇ_MOV[CENTRO DE CUSTOS],$D$4)</f>
        <v>0</v>
      </c>
      <c r="I421" s="206">
        <f>SUMIFS(LANÇ_MOV[VALOR LÍQUIDO],LANÇ_MOV[RECEITA OU DESPESA],"Despesa",LANÇ_MOV[CONTAS],$C421,LANÇ_MOV[PLANO DE CONTAS],REL_DRE_FINANCEIRO!$B$343,LANÇ_MOV[ANO PAGAMENTO],$B$4,LANÇ_MOV[MÊS PAGAMENTO CORRESPONDENTE],I$6,LANÇ_MOV[EMPRESA],$C$4,LANÇ_MOV[CENTRO DE CUSTOS],$D$4)</f>
        <v>0</v>
      </c>
      <c r="J421" s="206">
        <f>SUMIFS(LANÇ_MOV[VALOR LÍQUIDO],LANÇ_MOV[RECEITA OU DESPESA],"Despesa",LANÇ_MOV[CONTAS],$C421,LANÇ_MOV[PLANO DE CONTAS],REL_DRE_FINANCEIRO!$B$343,LANÇ_MOV[ANO PAGAMENTO],$B$4,LANÇ_MOV[MÊS PAGAMENTO CORRESPONDENTE],J$6,LANÇ_MOV[EMPRESA],$C$4,LANÇ_MOV[CENTRO DE CUSTOS],$D$4)</f>
        <v>0</v>
      </c>
      <c r="K421" s="206">
        <f>SUMIFS(LANÇ_MOV[VALOR LÍQUIDO],LANÇ_MOV[RECEITA OU DESPESA],"Despesa",LANÇ_MOV[CONTAS],$C421,LANÇ_MOV[PLANO DE CONTAS],REL_DRE_FINANCEIRO!$B$343,LANÇ_MOV[ANO PAGAMENTO],$B$4,LANÇ_MOV[MÊS PAGAMENTO CORRESPONDENTE],K$6,LANÇ_MOV[EMPRESA],$C$4,LANÇ_MOV[CENTRO DE CUSTOS],$D$4)</f>
        <v>0</v>
      </c>
      <c r="L421" s="206">
        <f>SUMIFS(LANÇ_MOV[VALOR LÍQUIDO],LANÇ_MOV[RECEITA OU DESPESA],"Despesa",LANÇ_MOV[CONTAS],$C421,LANÇ_MOV[PLANO DE CONTAS],REL_DRE_FINANCEIRO!$B$343,LANÇ_MOV[ANO PAGAMENTO],$B$4,LANÇ_MOV[MÊS PAGAMENTO CORRESPONDENTE],L$6,LANÇ_MOV[EMPRESA],$C$4,LANÇ_MOV[CENTRO DE CUSTOS],$D$4)</f>
        <v>0</v>
      </c>
      <c r="M421" s="206">
        <f>SUMIFS(LANÇ_MOV[VALOR LÍQUIDO],LANÇ_MOV[RECEITA OU DESPESA],"Despesa",LANÇ_MOV[CONTAS],$C421,LANÇ_MOV[PLANO DE CONTAS],REL_DRE_FINANCEIRO!$B$343,LANÇ_MOV[ANO PAGAMENTO],$B$4,LANÇ_MOV[MÊS PAGAMENTO CORRESPONDENTE],M$6,LANÇ_MOV[EMPRESA],$C$4,LANÇ_MOV[CENTRO DE CUSTOS],$D$4)</f>
        <v>0</v>
      </c>
      <c r="N421" s="206">
        <f>SUMIFS(LANÇ_MOV[VALOR LÍQUIDO],LANÇ_MOV[RECEITA OU DESPESA],"Despesa",LANÇ_MOV[CONTAS],$C421,LANÇ_MOV[PLANO DE CONTAS],REL_DRE_FINANCEIRO!$B$343,LANÇ_MOV[ANO PAGAMENTO],$B$4,LANÇ_MOV[MÊS PAGAMENTO CORRESPONDENTE],N$6,LANÇ_MOV[EMPRESA],$C$4,LANÇ_MOV[CENTRO DE CUSTOS],$D$4)</f>
        <v>0</v>
      </c>
      <c r="O421" s="206">
        <f>SUMIFS(LANÇ_MOV[VALOR LÍQUIDO],LANÇ_MOV[RECEITA OU DESPESA],"Despesa",LANÇ_MOV[CONTAS],$C421,LANÇ_MOV[PLANO DE CONTAS],REL_DRE_FINANCEIRO!$B$343,LANÇ_MOV[ANO PAGAMENTO],$B$4,LANÇ_MOV[MÊS PAGAMENTO CORRESPONDENTE],O$6,LANÇ_MOV[EMPRESA],$C$4,LANÇ_MOV[CENTRO DE CUSTOS],$D$4)</f>
        <v>0</v>
      </c>
      <c r="P421" s="207">
        <f t="shared" si="59"/>
        <v>0</v>
      </c>
      <c r="Q421" s="329">
        <v>2.3E-6</v>
      </c>
      <c r="R421" s="346">
        <f t="shared" si="60"/>
        <v>2.3E-6</v>
      </c>
      <c r="S421" s="347" t="str">
        <f t="shared" si="61"/>
        <v>-</v>
      </c>
      <c r="T421" s="347">
        <f t="shared" si="62"/>
        <v>0</v>
      </c>
      <c r="U421" s="347">
        <f>HLOOKUP(Apoio!$P$12,$D$342:$P$443,X421,FALSE)+Q421</f>
        <v>2.3E-6</v>
      </c>
      <c r="V421" s="447" t="str">
        <f t="shared" si="63"/>
        <v>-</v>
      </c>
      <c r="W421" s="448">
        <f>HLOOKUP(Apoio!$P$12,$D$342:$P$443,X421,FALSE)</f>
        <v>0</v>
      </c>
      <c r="X421" s="329">
        <v>80</v>
      </c>
    </row>
    <row r="422" spans="2:24" ht="30.05" customHeight="1" x14ac:dyDescent="0.35">
      <c r="B422" s="204" t="str">
        <f>'CAD_PL_REC-DESP'!Q83</f>
        <v>2.3.79</v>
      </c>
      <c r="C422" s="205" t="str">
        <f>IF('CAD_PL_REC-DESP'!R83="","-",'CAD_PL_REC-DESP'!R83)</f>
        <v>-</v>
      </c>
      <c r="D422" s="206">
        <f>SUMIFS(LANÇ_MOV[VALOR LÍQUIDO],LANÇ_MOV[RECEITA OU DESPESA],"Despesa",LANÇ_MOV[CONTAS],$C422,LANÇ_MOV[PLANO DE CONTAS],REL_DRE_FINANCEIRO!$B$343,LANÇ_MOV[ANO PAGAMENTO],$B$4,LANÇ_MOV[MÊS PAGAMENTO CORRESPONDENTE],D$6,LANÇ_MOV[EMPRESA],$C$4,LANÇ_MOV[CENTRO DE CUSTOS],$D$4)</f>
        <v>0</v>
      </c>
      <c r="E422" s="206">
        <f>SUMIFS(LANÇ_MOV[VALOR LÍQUIDO],LANÇ_MOV[RECEITA OU DESPESA],"Despesa",LANÇ_MOV[CONTAS],$C422,LANÇ_MOV[PLANO DE CONTAS],REL_DRE_FINANCEIRO!$B$343,LANÇ_MOV[ANO PAGAMENTO],$B$4,LANÇ_MOV[MÊS PAGAMENTO CORRESPONDENTE],E$6,LANÇ_MOV[EMPRESA],$C$4,LANÇ_MOV[CENTRO DE CUSTOS],$D$4)</f>
        <v>0</v>
      </c>
      <c r="F422" s="206">
        <f>SUMIFS(LANÇ_MOV[VALOR LÍQUIDO],LANÇ_MOV[RECEITA OU DESPESA],"Despesa",LANÇ_MOV[CONTAS],$C422,LANÇ_MOV[PLANO DE CONTAS],REL_DRE_FINANCEIRO!$B$343,LANÇ_MOV[ANO PAGAMENTO],$B$4,LANÇ_MOV[MÊS PAGAMENTO CORRESPONDENTE],F$6,LANÇ_MOV[EMPRESA],$C$4,LANÇ_MOV[CENTRO DE CUSTOS],$D$4)</f>
        <v>0</v>
      </c>
      <c r="G422" s="206">
        <f>SUMIFS(LANÇ_MOV[VALOR LÍQUIDO],LANÇ_MOV[RECEITA OU DESPESA],"Despesa",LANÇ_MOV[CONTAS],$C422,LANÇ_MOV[PLANO DE CONTAS],REL_DRE_FINANCEIRO!$B$343,LANÇ_MOV[ANO PAGAMENTO],$B$4,LANÇ_MOV[MÊS PAGAMENTO CORRESPONDENTE],G$6,LANÇ_MOV[EMPRESA],$C$4,LANÇ_MOV[CENTRO DE CUSTOS],$D$4)</f>
        <v>0</v>
      </c>
      <c r="H422" s="206">
        <f>SUMIFS(LANÇ_MOV[VALOR LÍQUIDO],LANÇ_MOV[RECEITA OU DESPESA],"Despesa",LANÇ_MOV[CONTAS],$C422,LANÇ_MOV[PLANO DE CONTAS],REL_DRE_FINANCEIRO!$B$343,LANÇ_MOV[ANO PAGAMENTO],$B$4,LANÇ_MOV[MÊS PAGAMENTO CORRESPONDENTE],H$6,LANÇ_MOV[EMPRESA],$C$4,LANÇ_MOV[CENTRO DE CUSTOS],$D$4)</f>
        <v>0</v>
      </c>
      <c r="I422" s="206">
        <f>SUMIFS(LANÇ_MOV[VALOR LÍQUIDO],LANÇ_MOV[RECEITA OU DESPESA],"Despesa",LANÇ_MOV[CONTAS],$C422,LANÇ_MOV[PLANO DE CONTAS],REL_DRE_FINANCEIRO!$B$343,LANÇ_MOV[ANO PAGAMENTO],$B$4,LANÇ_MOV[MÊS PAGAMENTO CORRESPONDENTE],I$6,LANÇ_MOV[EMPRESA],$C$4,LANÇ_MOV[CENTRO DE CUSTOS],$D$4)</f>
        <v>0</v>
      </c>
      <c r="J422" s="206">
        <f>SUMIFS(LANÇ_MOV[VALOR LÍQUIDO],LANÇ_MOV[RECEITA OU DESPESA],"Despesa",LANÇ_MOV[CONTAS],$C422,LANÇ_MOV[PLANO DE CONTAS],REL_DRE_FINANCEIRO!$B$343,LANÇ_MOV[ANO PAGAMENTO],$B$4,LANÇ_MOV[MÊS PAGAMENTO CORRESPONDENTE],J$6,LANÇ_MOV[EMPRESA],$C$4,LANÇ_MOV[CENTRO DE CUSTOS],$D$4)</f>
        <v>0</v>
      </c>
      <c r="K422" s="206">
        <f>SUMIFS(LANÇ_MOV[VALOR LÍQUIDO],LANÇ_MOV[RECEITA OU DESPESA],"Despesa",LANÇ_MOV[CONTAS],$C422,LANÇ_MOV[PLANO DE CONTAS],REL_DRE_FINANCEIRO!$B$343,LANÇ_MOV[ANO PAGAMENTO],$B$4,LANÇ_MOV[MÊS PAGAMENTO CORRESPONDENTE],K$6,LANÇ_MOV[EMPRESA],$C$4,LANÇ_MOV[CENTRO DE CUSTOS],$D$4)</f>
        <v>0</v>
      </c>
      <c r="L422" s="206">
        <f>SUMIFS(LANÇ_MOV[VALOR LÍQUIDO],LANÇ_MOV[RECEITA OU DESPESA],"Despesa",LANÇ_MOV[CONTAS],$C422,LANÇ_MOV[PLANO DE CONTAS],REL_DRE_FINANCEIRO!$B$343,LANÇ_MOV[ANO PAGAMENTO],$B$4,LANÇ_MOV[MÊS PAGAMENTO CORRESPONDENTE],L$6,LANÇ_MOV[EMPRESA],$C$4,LANÇ_MOV[CENTRO DE CUSTOS],$D$4)</f>
        <v>0</v>
      </c>
      <c r="M422" s="206">
        <f>SUMIFS(LANÇ_MOV[VALOR LÍQUIDO],LANÇ_MOV[RECEITA OU DESPESA],"Despesa",LANÇ_MOV[CONTAS],$C422,LANÇ_MOV[PLANO DE CONTAS],REL_DRE_FINANCEIRO!$B$343,LANÇ_MOV[ANO PAGAMENTO],$B$4,LANÇ_MOV[MÊS PAGAMENTO CORRESPONDENTE],M$6,LANÇ_MOV[EMPRESA],$C$4,LANÇ_MOV[CENTRO DE CUSTOS],$D$4)</f>
        <v>0</v>
      </c>
      <c r="N422" s="206">
        <f>SUMIFS(LANÇ_MOV[VALOR LÍQUIDO],LANÇ_MOV[RECEITA OU DESPESA],"Despesa",LANÇ_MOV[CONTAS],$C422,LANÇ_MOV[PLANO DE CONTAS],REL_DRE_FINANCEIRO!$B$343,LANÇ_MOV[ANO PAGAMENTO],$B$4,LANÇ_MOV[MÊS PAGAMENTO CORRESPONDENTE],N$6,LANÇ_MOV[EMPRESA],$C$4,LANÇ_MOV[CENTRO DE CUSTOS],$D$4)</f>
        <v>0</v>
      </c>
      <c r="O422" s="206">
        <f>SUMIFS(LANÇ_MOV[VALOR LÍQUIDO],LANÇ_MOV[RECEITA OU DESPESA],"Despesa",LANÇ_MOV[CONTAS],$C422,LANÇ_MOV[PLANO DE CONTAS],REL_DRE_FINANCEIRO!$B$343,LANÇ_MOV[ANO PAGAMENTO],$B$4,LANÇ_MOV[MÊS PAGAMENTO CORRESPONDENTE],O$6,LANÇ_MOV[EMPRESA],$C$4,LANÇ_MOV[CENTRO DE CUSTOS],$D$4)</f>
        <v>0</v>
      </c>
      <c r="P422" s="207">
        <f t="shared" si="59"/>
        <v>0</v>
      </c>
      <c r="Q422" s="329">
        <v>2.2000000000000001E-6</v>
      </c>
      <c r="R422" s="346">
        <f t="shared" si="60"/>
        <v>2.2000000000000001E-6</v>
      </c>
      <c r="S422" s="347" t="str">
        <f t="shared" si="61"/>
        <v>-</v>
      </c>
      <c r="T422" s="347">
        <f t="shared" si="62"/>
        <v>0</v>
      </c>
      <c r="U422" s="347">
        <f>HLOOKUP(Apoio!$P$12,$D$342:$P$443,X422,FALSE)+Q422</f>
        <v>2.2000000000000001E-6</v>
      </c>
      <c r="V422" s="447" t="str">
        <f t="shared" si="63"/>
        <v>-</v>
      </c>
      <c r="W422" s="448">
        <f>HLOOKUP(Apoio!$P$12,$D$342:$P$443,X422,FALSE)</f>
        <v>0</v>
      </c>
      <c r="X422" s="329">
        <v>81</v>
      </c>
    </row>
    <row r="423" spans="2:24" ht="30.05" customHeight="1" x14ac:dyDescent="0.35">
      <c r="B423" s="204" t="str">
        <f>'CAD_PL_REC-DESP'!Q84</f>
        <v>2.3.80</v>
      </c>
      <c r="C423" s="205" t="str">
        <f>IF('CAD_PL_REC-DESP'!R84="","-",'CAD_PL_REC-DESP'!R84)</f>
        <v>-</v>
      </c>
      <c r="D423" s="206">
        <f>SUMIFS(LANÇ_MOV[VALOR LÍQUIDO],LANÇ_MOV[RECEITA OU DESPESA],"Despesa",LANÇ_MOV[CONTAS],$C423,LANÇ_MOV[PLANO DE CONTAS],REL_DRE_FINANCEIRO!$B$343,LANÇ_MOV[ANO PAGAMENTO],$B$4,LANÇ_MOV[MÊS PAGAMENTO CORRESPONDENTE],D$6,LANÇ_MOV[EMPRESA],$C$4,LANÇ_MOV[CENTRO DE CUSTOS],$D$4)</f>
        <v>0</v>
      </c>
      <c r="E423" s="206">
        <f>SUMIFS(LANÇ_MOV[VALOR LÍQUIDO],LANÇ_MOV[RECEITA OU DESPESA],"Despesa",LANÇ_MOV[CONTAS],$C423,LANÇ_MOV[PLANO DE CONTAS],REL_DRE_FINANCEIRO!$B$343,LANÇ_MOV[ANO PAGAMENTO],$B$4,LANÇ_MOV[MÊS PAGAMENTO CORRESPONDENTE],E$6,LANÇ_MOV[EMPRESA],$C$4,LANÇ_MOV[CENTRO DE CUSTOS],$D$4)</f>
        <v>0</v>
      </c>
      <c r="F423" s="206">
        <f>SUMIFS(LANÇ_MOV[VALOR LÍQUIDO],LANÇ_MOV[RECEITA OU DESPESA],"Despesa",LANÇ_MOV[CONTAS],$C423,LANÇ_MOV[PLANO DE CONTAS],REL_DRE_FINANCEIRO!$B$343,LANÇ_MOV[ANO PAGAMENTO],$B$4,LANÇ_MOV[MÊS PAGAMENTO CORRESPONDENTE],F$6,LANÇ_MOV[EMPRESA],$C$4,LANÇ_MOV[CENTRO DE CUSTOS],$D$4)</f>
        <v>0</v>
      </c>
      <c r="G423" s="206">
        <f>SUMIFS(LANÇ_MOV[VALOR LÍQUIDO],LANÇ_MOV[RECEITA OU DESPESA],"Despesa",LANÇ_MOV[CONTAS],$C423,LANÇ_MOV[PLANO DE CONTAS],REL_DRE_FINANCEIRO!$B$343,LANÇ_MOV[ANO PAGAMENTO],$B$4,LANÇ_MOV[MÊS PAGAMENTO CORRESPONDENTE],G$6,LANÇ_MOV[EMPRESA],$C$4,LANÇ_MOV[CENTRO DE CUSTOS],$D$4)</f>
        <v>0</v>
      </c>
      <c r="H423" s="206">
        <f>SUMIFS(LANÇ_MOV[VALOR LÍQUIDO],LANÇ_MOV[RECEITA OU DESPESA],"Despesa",LANÇ_MOV[CONTAS],$C423,LANÇ_MOV[PLANO DE CONTAS],REL_DRE_FINANCEIRO!$B$343,LANÇ_MOV[ANO PAGAMENTO],$B$4,LANÇ_MOV[MÊS PAGAMENTO CORRESPONDENTE],H$6,LANÇ_MOV[EMPRESA],$C$4,LANÇ_MOV[CENTRO DE CUSTOS],$D$4)</f>
        <v>0</v>
      </c>
      <c r="I423" s="206">
        <f>SUMIFS(LANÇ_MOV[VALOR LÍQUIDO],LANÇ_MOV[RECEITA OU DESPESA],"Despesa",LANÇ_MOV[CONTAS],$C423,LANÇ_MOV[PLANO DE CONTAS],REL_DRE_FINANCEIRO!$B$343,LANÇ_MOV[ANO PAGAMENTO],$B$4,LANÇ_MOV[MÊS PAGAMENTO CORRESPONDENTE],I$6,LANÇ_MOV[EMPRESA],$C$4,LANÇ_MOV[CENTRO DE CUSTOS],$D$4)</f>
        <v>0</v>
      </c>
      <c r="J423" s="206">
        <f>SUMIFS(LANÇ_MOV[VALOR LÍQUIDO],LANÇ_MOV[RECEITA OU DESPESA],"Despesa",LANÇ_MOV[CONTAS],$C423,LANÇ_MOV[PLANO DE CONTAS],REL_DRE_FINANCEIRO!$B$343,LANÇ_MOV[ANO PAGAMENTO],$B$4,LANÇ_MOV[MÊS PAGAMENTO CORRESPONDENTE],J$6,LANÇ_MOV[EMPRESA],$C$4,LANÇ_MOV[CENTRO DE CUSTOS],$D$4)</f>
        <v>0</v>
      </c>
      <c r="K423" s="206">
        <f>SUMIFS(LANÇ_MOV[VALOR LÍQUIDO],LANÇ_MOV[RECEITA OU DESPESA],"Despesa",LANÇ_MOV[CONTAS],$C423,LANÇ_MOV[PLANO DE CONTAS],REL_DRE_FINANCEIRO!$B$343,LANÇ_MOV[ANO PAGAMENTO],$B$4,LANÇ_MOV[MÊS PAGAMENTO CORRESPONDENTE],K$6,LANÇ_MOV[EMPRESA],$C$4,LANÇ_MOV[CENTRO DE CUSTOS],$D$4)</f>
        <v>0</v>
      </c>
      <c r="L423" s="206">
        <f>SUMIFS(LANÇ_MOV[VALOR LÍQUIDO],LANÇ_MOV[RECEITA OU DESPESA],"Despesa",LANÇ_MOV[CONTAS],$C423,LANÇ_MOV[PLANO DE CONTAS],REL_DRE_FINANCEIRO!$B$343,LANÇ_MOV[ANO PAGAMENTO],$B$4,LANÇ_MOV[MÊS PAGAMENTO CORRESPONDENTE],L$6,LANÇ_MOV[EMPRESA],$C$4,LANÇ_MOV[CENTRO DE CUSTOS],$D$4)</f>
        <v>0</v>
      </c>
      <c r="M423" s="206">
        <f>SUMIFS(LANÇ_MOV[VALOR LÍQUIDO],LANÇ_MOV[RECEITA OU DESPESA],"Despesa",LANÇ_MOV[CONTAS],$C423,LANÇ_MOV[PLANO DE CONTAS],REL_DRE_FINANCEIRO!$B$343,LANÇ_MOV[ANO PAGAMENTO],$B$4,LANÇ_MOV[MÊS PAGAMENTO CORRESPONDENTE],M$6,LANÇ_MOV[EMPRESA],$C$4,LANÇ_MOV[CENTRO DE CUSTOS],$D$4)</f>
        <v>0</v>
      </c>
      <c r="N423" s="206">
        <f>SUMIFS(LANÇ_MOV[VALOR LÍQUIDO],LANÇ_MOV[RECEITA OU DESPESA],"Despesa",LANÇ_MOV[CONTAS],$C423,LANÇ_MOV[PLANO DE CONTAS],REL_DRE_FINANCEIRO!$B$343,LANÇ_MOV[ANO PAGAMENTO],$B$4,LANÇ_MOV[MÊS PAGAMENTO CORRESPONDENTE],N$6,LANÇ_MOV[EMPRESA],$C$4,LANÇ_MOV[CENTRO DE CUSTOS],$D$4)</f>
        <v>0</v>
      </c>
      <c r="O423" s="206">
        <f>SUMIFS(LANÇ_MOV[VALOR LÍQUIDO],LANÇ_MOV[RECEITA OU DESPESA],"Despesa",LANÇ_MOV[CONTAS],$C423,LANÇ_MOV[PLANO DE CONTAS],REL_DRE_FINANCEIRO!$B$343,LANÇ_MOV[ANO PAGAMENTO],$B$4,LANÇ_MOV[MÊS PAGAMENTO CORRESPONDENTE],O$6,LANÇ_MOV[EMPRESA],$C$4,LANÇ_MOV[CENTRO DE CUSTOS],$D$4)</f>
        <v>0</v>
      </c>
      <c r="P423" s="207">
        <f t="shared" si="59"/>
        <v>0</v>
      </c>
      <c r="Q423" s="329">
        <v>2.0999999999999998E-6</v>
      </c>
      <c r="R423" s="346">
        <f t="shared" si="60"/>
        <v>2.0999999999999998E-6</v>
      </c>
      <c r="S423" s="347" t="str">
        <f t="shared" si="61"/>
        <v>-</v>
      </c>
      <c r="T423" s="347">
        <f t="shared" si="62"/>
        <v>0</v>
      </c>
      <c r="U423" s="347">
        <f>HLOOKUP(Apoio!$P$12,$D$342:$P$443,X423,FALSE)+Q423</f>
        <v>2.0999999999999998E-6</v>
      </c>
      <c r="V423" s="447" t="str">
        <f t="shared" si="63"/>
        <v>-</v>
      </c>
      <c r="W423" s="448">
        <f>HLOOKUP(Apoio!$P$12,$D$342:$P$443,X423,FALSE)</f>
        <v>0</v>
      </c>
      <c r="X423" s="329">
        <v>82</v>
      </c>
    </row>
    <row r="424" spans="2:24" ht="30.05" customHeight="1" x14ac:dyDescent="0.35">
      <c r="B424" s="204" t="str">
        <f>'CAD_PL_REC-DESP'!Q85</f>
        <v>2.3.81</v>
      </c>
      <c r="C424" s="205" t="str">
        <f>IF('CAD_PL_REC-DESP'!R85="","-",'CAD_PL_REC-DESP'!R85)</f>
        <v>-</v>
      </c>
      <c r="D424" s="206">
        <f>SUMIFS(LANÇ_MOV[VALOR LÍQUIDO],LANÇ_MOV[RECEITA OU DESPESA],"Despesa",LANÇ_MOV[CONTAS],$C424,LANÇ_MOV[PLANO DE CONTAS],REL_DRE_FINANCEIRO!$B$343,LANÇ_MOV[ANO PAGAMENTO],$B$4,LANÇ_MOV[MÊS PAGAMENTO CORRESPONDENTE],D$6,LANÇ_MOV[EMPRESA],$C$4,LANÇ_MOV[CENTRO DE CUSTOS],$D$4)</f>
        <v>0</v>
      </c>
      <c r="E424" s="206">
        <f>SUMIFS(LANÇ_MOV[VALOR LÍQUIDO],LANÇ_MOV[RECEITA OU DESPESA],"Despesa",LANÇ_MOV[CONTAS],$C424,LANÇ_MOV[PLANO DE CONTAS],REL_DRE_FINANCEIRO!$B$343,LANÇ_MOV[ANO PAGAMENTO],$B$4,LANÇ_MOV[MÊS PAGAMENTO CORRESPONDENTE],E$6,LANÇ_MOV[EMPRESA],$C$4,LANÇ_MOV[CENTRO DE CUSTOS],$D$4)</f>
        <v>0</v>
      </c>
      <c r="F424" s="206">
        <f>SUMIFS(LANÇ_MOV[VALOR LÍQUIDO],LANÇ_MOV[RECEITA OU DESPESA],"Despesa",LANÇ_MOV[CONTAS],$C424,LANÇ_MOV[PLANO DE CONTAS],REL_DRE_FINANCEIRO!$B$343,LANÇ_MOV[ANO PAGAMENTO],$B$4,LANÇ_MOV[MÊS PAGAMENTO CORRESPONDENTE],F$6,LANÇ_MOV[EMPRESA],$C$4,LANÇ_MOV[CENTRO DE CUSTOS],$D$4)</f>
        <v>0</v>
      </c>
      <c r="G424" s="206">
        <f>SUMIFS(LANÇ_MOV[VALOR LÍQUIDO],LANÇ_MOV[RECEITA OU DESPESA],"Despesa",LANÇ_MOV[CONTAS],$C424,LANÇ_MOV[PLANO DE CONTAS],REL_DRE_FINANCEIRO!$B$343,LANÇ_MOV[ANO PAGAMENTO],$B$4,LANÇ_MOV[MÊS PAGAMENTO CORRESPONDENTE],G$6,LANÇ_MOV[EMPRESA],$C$4,LANÇ_MOV[CENTRO DE CUSTOS],$D$4)</f>
        <v>0</v>
      </c>
      <c r="H424" s="206">
        <f>SUMIFS(LANÇ_MOV[VALOR LÍQUIDO],LANÇ_MOV[RECEITA OU DESPESA],"Despesa",LANÇ_MOV[CONTAS],$C424,LANÇ_MOV[PLANO DE CONTAS],REL_DRE_FINANCEIRO!$B$343,LANÇ_MOV[ANO PAGAMENTO],$B$4,LANÇ_MOV[MÊS PAGAMENTO CORRESPONDENTE],H$6,LANÇ_MOV[EMPRESA],$C$4,LANÇ_MOV[CENTRO DE CUSTOS],$D$4)</f>
        <v>0</v>
      </c>
      <c r="I424" s="206">
        <f>SUMIFS(LANÇ_MOV[VALOR LÍQUIDO],LANÇ_MOV[RECEITA OU DESPESA],"Despesa",LANÇ_MOV[CONTAS],$C424,LANÇ_MOV[PLANO DE CONTAS],REL_DRE_FINANCEIRO!$B$343,LANÇ_MOV[ANO PAGAMENTO],$B$4,LANÇ_MOV[MÊS PAGAMENTO CORRESPONDENTE],I$6,LANÇ_MOV[EMPRESA],$C$4,LANÇ_MOV[CENTRO DE CUSTOS],$D$4)</f>
        <v>0</v>
      </c>
      <c r="J424" s="206">
        <f>SUMIFS(LANÇ_MOV[VALOR LÍQUIDO],LANÇ_MOV[RECEITA OU DESPESA],"Despesa",LANÇ_MOV[CONTAS],$C424,LANÇ_MOV[PLANO DE CONTAS],REL_DRE_FINANCEIRO!$B$343,LANÇ_MOV[ANO PAGAMENTO],$B$4,LANÇ_MOV[MÊS PAGAMENTO CORRESPONDENTE],J$6,LANÇ_MOV[EMPRESA],$C$4,LANÇ_MOV[CENTRO DE CUSTOS],$D$4)</f>
        <v>0</v>
      </c>
      <c r="K424" s="206">
        <f>SUMIFS(LANÇ_MOV[VALOR LÍQUIDO],LANÇ_MOV[RECEITA OU DESPESA],"Despesa",LANÇ_MOV[CONTAS],$C424,LANÇ_MOV[PLANO DE CONTAS],REL_DRE_FINANCEIRO!$B$343,LANÇ_MOV[ANO PAGAMENTO],$B$4,LANÇ_MOV[MÊS PAGAMENTO CORRESPONDENTE],K$6,LANÇ_MOV[EMPRESA],$C$4,LANÇ_MOV[CENTRO DE CUSTOS],$D$4)</f>
        <v>0</v>
      </c>
      <c r="L424" s="206">
        <f>SUMIFS(LANÇ_MOV[VALOR LÍQUIDO],LANÇ_MOV[RECEITA OU DESPESA],"Despesa",LANÇ_MOV[CONTAS],$C424,LANÇ_MOV[PLANO DE CONTAS],REL_DRE_FINANCEIRO!$B$343,LANÇ_MOV[ANO PAGAMENTO],$B$4,LANÇ_MOV[MÊS PAGAMENTO CORRESPONDENTE],L$6,LANÇ_MOV[EMPRESA],$C$4,LANÇ_MOV[CENTRO DE CUSTOS],$D$4)</f>
        <v>0</v>
      </c>
      <c r="M424" s="206">
        <f>SUMIFS(LANÇ_MOV[VALOR LÍQUIDO],LANÇ_MOV[RECEITA OU DESPESA],"Despesa",LANÇ_MOV[CONTAS],$C424,LANÇ_MOV[PLANO DE CONTAS],REL_DRE_FINANCEIRO!$B$343,LANÇ_MOV[ANO PAGAMENTO],$B$4,LANÇ_MOV[MÊS PAGAMENTO CORRESPONDENTE],M$6,LANÇ_MOV[EMPRESA],$C$4,LANÇ_MOV[CENTRO DE CUSTOS],$D$4)</f>
        <v>0</v>
      </c>
      <c r="N424" s="206">
        <f>SUMIFS(LANÇ_MOV[VALOR LÍQUIDO],LANÇ_MOV[RECEITA OU DESPESA],"Despesa",LANÇ_MOV[CONTAS],$C424,LANÇ_MOV[PLANO DE CONTAS],REL_DRE_FINANCEIRO!$B$343,LANÇ_MOV[ANO PAGAMENTO],$B$4,LANÇ_MOV[MÊS PAGAMENTO CORRESPONDENTE],N$6,LANÇ_MOV[EMPRESA],$C$4,LANÇ_MOV[CENTRO DE CUSTOS],$D$4)</f>
        <v>0</v>
      </c>
      <c r="O424" s="206">
        <f>SUMIFS(LANÇ_MOV[VALOR LÍQUIDO],LANÇ_MOV[RECEITA OU DESPESA],"Despesa",LANÇ_MOV[CONTAS],$C424,LANÇ_MOV[PLANO DE CONTAS],REL_DRE_FINANCEIRO!$B$343,LANÇ_MOV[ANO PAGAMENTO],$B$4,LANÇ_MOV[MÊS PAGAMENTO CORRESPONDENTE],O$6,LANÇ_MOV[EMPRESA],$C$4,LANÇ_MOV[CENTRO DE CUSTOS],$D$4)</f>
        <v>0</v>
      </c>
      <c r="P424" s="207">
        <f t="shared" si="59"/>
        <v>0</v>
      </c>
      <c r="Q424" s="329">
        <v>1.9999999999999999E-6</v>
      </c>
      <c r="R424" s="346">
        <f t="shared" si="60"/>
        <v>1.9999999999999999E-6</v>
      </c>
      <c r="S424" s="347" t="str">
        <f t="shared" si="61"/>
        <v>-</v>
      </c>
      <c r="T424" s="347">
        <f t="shared" si="62"/>
        <v>0</v>
      </c>
      <c r="U424" s="347">
        <f>HLOOKUP(Apoio!$P$12,$D$342:$P$443,X424,FALSE)+Q424</f>
        <v>1.9999999999999999E-6</v>
      </c>
      <c r="V424" s="447" t="str">
        <f t="shared" si="63"/>
        <v>-</v>
      </c>
      <c r="W424" s="448">
        <f>HLOOKUP(Apoio!$P$12,$D$342:$P$443,X424,FALSE)</f>
        <v>0</v>
      </c>
      <c r="X424" s="329">
        <v>83</v>
      </c>
    </row>
    <row r="425" spans="2:24" ht="30.05" customHeight="1" x14ac:dyDescent="0.35">
      <c r="B425" s="204" t="str">
        <f>'CAD_PL_REC-DESP'!Q86</f>
        <v>2.3.82</v>
      </c>
      <c r="C425" s="205" t="str">
        <f>IF('CAD_PL_REC-DESP'!R86="","-",'CAD_PL_REC-DESP'!R86)</f>
        <v>-</v>
      </c>
      <c r="D425" s="206">
        <f>SUMIFS(LANÇ_MOV[VALOR LÍQUIDO],LANÇ_MOV[RECEITA OU DESPESA],"Despesa",LANÇ_MOV[CONTAS],$C425,LANÇ_MOV[PLANO DE CONTAS],REL_DRE_FINANCEIRO!$B$343,LANÇ_MOV[ANO PAGAMENTO],$B$4,LANÇ_MOV[MÊS PAGAMENTO CORRESPONDENTE],D$6,LANÇ_MOV[EMPRESA],$C$4,LANÇ_MOV[CENTRO DE CUSTOS],$D$4)</f>
        <v>0</v>
      </c>
      <c r="E425" s="206">
        <f>SUMIFS(LANÇ_MOV[VALOR LÍQUIDO],LANÇ_MOV[RECEITA OU DESPESA],"Despesa",LANÇ_MOV[CONTAS],$C425,LANÇ_MOV[PLANO DE CONTAS],REL_DRE_FINANCEIRO!$B$343,LANÇ_MOV[ANO PAGAMENTO],$B$4,LANÇ_MOV[MÊS PAGAMENTO CORRESPONDENTE],E$6,LANÇ_MOV[EMPRESA],$C$4,LANÇ_MOV[CENTRO DE CUSTOS],$D$4)</f>
        <v>0</v>
      </c>
      <c r="F425" s="206">
        <f>SUMIFS(LANÇ_MOV[VALOR LÍQUIDO],LANÇ_MOV[RECEITA OU DESPESA],"Despesa",LANÇ_MOV[CONTAS],$C425,LANÇ_MOV[PLANO DE CONTAS],REL_DRE_FINANCEIRO!$B$343,LANÇ_MOV[ANO PAGAMENTO],$B$4,LANÇ_MOV[MÊS PAGAMENTO CORRESPONDENTE],F$6,LANÇ_MOV[EMPRESA],$C$4,LANÇ_MOV[CENTRO DE CUSTOS],$D$4)</f>
        <v>0</v>
      </c>
      <c r="G425" s="206">
        <f>SUMIFS(LANÇ_MOV[VALOR LÍQUIDO],LANÇ_MOV[RECEITA OU DESPESA],"Despesa",LANÇ_MOV[CONTAS],$C425,LANÇ_MOV[PLANO DE CONTAS],REL_DRE_FINANCEIRO!$B$343,LANÇ_MOV[ANO PAGAMENTO],$B$4,LANÇ_MOV[MÊS PAGAMENTO CORRESPONDENTE],G$6,LANÇ_MOV[EMPRESA],$C$4,LANÇ_MOV[CENTRO DE CUSTOS],$D$4)</f>
        <v>0</v>
      </c>
      <c r="H425" s="206">
        <f>SUMIFS(LANÇ_MOV[VALOR LÍQUIDO],LANÇ_MOV[RECEITA OU DESPESA],"Despesa",LANÇ_MOV[CONTAS],$C425,LANÇ_MOV[PLANO DE CONTAS],REL_DRE_FINANCEIRO!$B$343,LANÇ_MOV[ANO PAGAMENTO],$B$4,LANÇ_MOV[MÊS PAGAMENTO CORRESPONDENTE],H$6,LANÇ_MOV[EMPRESA],$C$4,LANÇ_MOV[CENTRO DE CUSTOS],$D$4)</f>
        <v>0</v>
      </c>
      <c r="I425" s="206">
        <f>SUMIFS(LANÇ_MOV[VALOR LÍQUIDO],LANÇ_MOV[RECEITA OU DESPESA],"Despesa",LANÇ_MOV[CONTAS],$C425,LANÇ_MOV[PLANO DE CONTAS],REL_DRE_FINANCEIRO!$B$343,LANÇ_MOV[ANO PAGAMENTO],$B$4,LANÇ_MOV[MÊS PAGAMENTO CORRESPONDENTE],I$6,LANÇ_MOV[EMPRESA],$C$4,LANÇ_MOV[CENTRO DE CUSTOS],$D$4)</f>
        <v>0</v>
      </c>
      <c r="J425" s="206">
        <f>SUMIFS(LANÇ_MOV[VALOR LÍQUIDO],LANÇ_MOV[RECEITA OU DESPESA],"Despesa",LANÇ_MOV[CONTAS],$C425,LANÇ_MOV[PLANO DE CONTAS],REL_DRE_FINANCEIRO!$B$343,LANÇ_MOV[ANO PAGAMENTO],$B$4,LANÇ_MOV[MÊS PAGAMENTO CORRESPONDENTE],J$6,LANÇ_MOV[EMPRESA],$C$4,LANÇ_MOV[CENTRO DE CUSTOS],$D$4)</f>
        <v>0</v>
      </c>
      <c r="K425" s="206">
        <f>SUMIFS(LANÇ_MOV[VALOR LÍQUIDO],LANÇ_MOV[RECEITA OU DESPESA],"Despesa",LANÇ_MOV[CONTAS],$C425,LANÇ_MOV[PLANO DE CONTAS],REL_DRE_FINANCEIRO!$B$343,LANÇ_MOV[ANO PAGAMENTO],$B$4,LANÇ_MOV[MÊS PAGAMENTO CORRESPONDENTE],K$6,LANÇ_MOV[EMPRESA],$C$4,LANÇ_MOV[CENTRO DE CUSTOS],$D$4)</f>
        <v>0</v>
      </c>
      <c r="L425" s="206">
        <f>SUMIFS(LANÇ_MOV[VALOR LÍQUIDO],LANÇ_MOV[RECEITA OU DESPESA],"Despesa",LANÇ_MOV[CONTAS],$C425,LANÇ_MOV[PLANO DE CONTAS],REL_DRE_FINANCEIRO!$B$343,LANÇ_MOV[ANO PAGAMENTO],$B$4,LANÇ_MOV[MÊS PAGAMENTO CORRESPONDENTE],L$6,LANÇ_MOV[EMPRESA],$C$4,LANÇ_MOV[CENTRO DE CUSTOS],$D$4)</f>
        <v>0</v>
      </c>
      <c r="M425" s="206">
        <f>SUMIFS(LANÇ_MOV[VALOR LÍQUIDO],LANÇ_MOV[RECEITA OU DESPESA],"Despesa",LANÇ_MOV[CONTAS],$C425,LANÇ_MOV[PLANO DE CONTAS],REL_DRE_FINANCEIRO!$B$343,LANÇ_MOV[ANO PAGAMENTO],$B$4,LANÇ_MOV[MÊS PAGAMENTO CORRESPONDENTE],M$6,LANÇ_MOV[EMPRESA],$C$4,LANÇ_MOV[CENTRO DE CUSTOS],$D$4)</f>
        <v>0</v>
      </c>
      <c r="N425" s="206">
        <f>SUMIFS(LANÇ_MOV[VALOR LÍQUIDO],LANÇ_MOV[RECEITA OU DESPESA],"Despesa",LANÇ_MOV[CONTAS],$C425,LANÇ_MOV[PLANO DE CONTAS],REL_DRE_FINANCEIRO!$B$343,LANÇ_MOV[ANO PAGAMENTO],$B$4,LANÇ_MOV[MÊS PAGAMENTO CORRESPONDENTE],N$6,LANÇ_MOV[EMPRESA],$C$4,LANÇ_MOV[CENTRO DE CUSTOS],$D$4)</f>
        <v>0</v>
      </c>
      <c r="O425" s="206">
        <f>SUMIFS(LANÇ_MOV[VALOR LÍQUIDO],LANÇ_MOV[RECEITA OU DESPESA],"Despesa",LANÇ_MOV[CONTAS],$C425,LANÇ_MOV[PLANO DE CONTAS],REL_DRE_FINANCEIRO!$B$343,LANÇ_MOV[ANO PAGAMENTO],$B$4,LANÇ_MOV[MÊS PAGAMENTO CORRESPONDENTE],O$6,LANÇ_MOV[EMPRESA],$C$4,LANÇ_MOV[CENTRO DE CUSTOS],$D$4)</f>
        <v>0</v>
      </c>
      <c r="P425" s="207">
        <f t="shared" si="59"/>
        <v>0</v>
      </c>
      <c r="Q425" s="329">
        <v>1.9E-6</v>
      </c>
      <c r="R425" s="346">
        <f t="shared" si="60"/>
        <v>1.9E-6</v>
      </c>
      <c r="S425" s="347" t="str">
        <f t="shared" si="61"/>
        <v>-</v>
      </c>
      <c r="T425" s="347">
        <f t="shared" si="62"/>
        <v>0</v>
      </c>
      <c r="U425" s="347">
        <f>HLOOKUP(Apoio!$P$12,$D$342:$P$443,X425,FALSE)+Q425</f>
        <v>1.9E-6</v>
      </c>
      <c r="V425" s="447" t="str">
        <f t="shared" si="63"/>
        <v>-</v>
      </c>
      <c r="W425" s="448">
        <f>HLOOKUP(Apoio!$P$12,$D$342:$P$443,X425,FALSE)</f>
        <v>0</v>
      </c>
      <c r="X425" s="329">
        <v>84</v>
      </c>
    </row>
    <row r="426" spans="2:24" ht="30.05" customHeight="1" x14ac:dyDescent="0.35">
      <c r="B426" s="204" t="str">
        <f>'CAD_PL_REC-DESP'!Q87</f>
        <v>2.3.83</v>
      </c>
      <c r="C426" s="205" t="str">
        <f>IF('CAD_PL_REC-DESP'!R87="","-",'CAD_PL_REC-DESP'!R87)</f>
        <v>-</v>
      </c>
      <c r="D426" s="206">
        <f>SUMIFS(LANÇ_MOV[VALOR LÍQUIDO],LANÇ_MOV[RECEITA OU DESPESA],"Despesa",LANÇ_MOV[CONTAS],$C426,LANÇ_MOV[PLANO DE CONTAS],REL_DRE_FINANCEIRO!$B$343,LANÇ_MOV[ANO PAGAMENTO],$B$4,LANÇ_MOV[MÊS PAGAMENTO CORRESPONDENTE],D$6,LANÇ_MOV[EMPRESA],$C$4,LANÇ_MOV[CENTRO DE CUSTOS],$D$4)</f>
        <v>0</v>
      </c>
      <c r="E426" s="206">
        <f>SUMIFS(LANÇ_MOV[VALOR LÍQUIDO],LANÇ_MOV[RECEITA OU DESPESA],"Despesa",LANÇ_MOV[CONTAS],$C426,LANÇ_MOV[PLANO DE CONTAS],REL_DRE_FINANCEIRO!$B$343,LANÇ_MOV[ANO PAGAMENTO],$B$4,LANÇ_MOV[MÊS PAGAMENTO CORRESPONDENTE],E$6,LANÇ_MOV[EMPRESA],$C$4,LANÇ_MOV[CENTRO DE CUSTOS],$D$4)</f>
        <v>0</v>
      </c>
      <c r="F426" s="206">
        <f>SUMIFS(LANÇ_MOV[VALOR LÍQUIDO],LANÇ_MOV[RECEITA OU DESPESA],"Despesa",LANÇ_MOV[CONTAS],$C426,LANÇ_MOV[PLANO DE CONTAS],REL_DRE_FINANCEIRO!$B$343,LANÇ_MOV[ANO PAGAMENTO],$B$4,LANÇ_MOV[MÊS PAGAMENTO CORRESPONDENTE],F$6,LANÇ_MOV[EMPRESA],$C$4,LANÇ_MOV[CENTRO DE CUSTOS],$D$4)</f>
        <v>0</v>
      </c>
      <c r="G426" s="206">
        <f>SUMIFS(LANÇ_MOV[VALOR LÍQUIDO],LANÇ_MOV[RECEITA OU DESPESA],"Despesa",LANÇ_MOV[CONTAS],$C426,LANÇ_MOV[PLANO DE CONTAS],REL_DRE_FINANCEIRO!$B$343,LANÇ_MOV[ANO PAGAMENTO],$B$4,LANÇ_MOV[MÊS PAGAMENTO CORRESPONDENTE],G$6,LANÇ_MOV[EMPRESA],$C$4,LANÇ_MOV[CENTRO DE CUSTOS],$D$4)</f>
        <v>0</v>
      </c>
      <c r="H426" s="206">
        <f>SUMIFS(LANÇ_MOV[VALOR LÍQUIDO],LANÇ_MOV[RECEITA OU DESPESA],"Despesa",LANÇ_MOV[CONTAS],$C426,LANÇ_MOV[PLANO DE CONTAS],REL_DRE_FINANCEIRO!$B$343,LANÇ_MOV[ANO PAGAMENTO],$B$4,LANÇ_MOV[MÊS PAGAMENTO CORRESPONDENTE],H$6,LANÇ_MOV[EMPRESA],$C$4,LANÇ_MOV[CENTRO DE CUSTOS],$D$4)</f>
        <v>0</v>
      </c>
      <c r="I426" s="206">
        <f>SUMIFS(LANÇ_MOV[VALOR LÍQUIDO],LANÇ_MOV[RECEITA OU DESPESA],"Despesa",LANÇ_MOV[CONTAS],$C426,LANÇ_MOV[PLANO DE CONTAS],REL_DRE_FINANCEIRO!$B$343,LANÇ_MOV[ANO PAGAMENTO],$B$4,LANÇ_MOV[MÊS PAGAMENTO CORRESPONDENTE],I$6,LANÇ_MOV[EMPRESA],$C$4,LANÇ_MOV[CENTRO DE CUSTOS],$D$4)</f>
        <v>0</v>
      </c>
      <c r="J426" s="206">
        <f>SUMIFS(LANÇ_MOV[VALOR LÍQUIDO],LANÇ_MOV[RECEITA OU DESPESA],"Despesa",LANÇ_MOV[CONTAS],$C426,LANÇ_MOV[PLANO DE CONTAS],REL_DRE_FINANCEIRO!$B$343,LANÇ_MOV[ANO PAGAMENTO],$B$4,LANÇ_MOV[MÊS PAGAMENTO CORRESPONDENTE],J$6,LANÇ_MOV[EMPRESA],$C$4,LANÇ_MOV[CENTRO DE CUSTOS],$D$4)</f>
        <v>0</v>
      </c>
      <c r="K426" s="206">
        <f>SUMIFS(LANÇ_MOV[VALOR LÍQUIDO],LANÇ_MOV[RECEITA OU DESPESA],"Despesa",LANÇ_MOV[CONTAS],$C426,LANÇ_MOV[PLANO DE CONTAS],REL_DRE_FINANCEIRO!$B$343,LANÇ_MOV[ANO PAGAMENTO],$B$4,LANÇ_MOV[MÊS PAGAMENTO CORRESPONDENTE],K$6,LANÇ_MOV[EMPRESA],$C$4,LANÇ_MOV[CENTRO DE CUSTOS],$D$4)</f>
        <v>0</v>
      </c>
      <c r="L426" s="206">
        <f>SUMIFS(LANÇ_MOV[VALOR LÍQUIDO],LANÇ_MOV[RECEITA OU DESPESA],"Despesa",LANÇ_MOV[CONTAS],$C426,LANÇ_MOV[PLANO DE CONTAS],REL_DRE_FINANCEIRO!$B$343,LANÇ_MOV[ANO PAGAMENTO],$B$4,LANÇ_MOV[MÊS PAGAMENTO CORRESPONDENTE],L$6,LANÇ_MOV[EMPRESA],$C$4,LANÇ_MOV[CENTRO DE CUSTOS],$D$4)</f>
        <v>0</v>
      </c>
      <c r="M426" s="206">
        <f>SUMIFS(LANÇ_MOV[VALOR LÍQUIDO],LANÇ_MOV[RECEITA OU DESPESA],"Despesa",LANÇ_MOV[CONTAS],$C426,LANÇ_MOV[PLANO DE CONTAS],REL_DRE_FINANCEIRO!$B$343,LANÇ_MOV[ANO PAGAMENTO],$B$4,LANÇ_MOV[MÊS PAGAMENTO CORRESPONDENTE],M$6,LANÇ_MOV[EMPRESA],$C$4,LANÇ_MOV[CENTRO DE CUSTOS],$D$4)</f>
        <v>0</v>
      </c>
      <c r="N426" s="206">
        <f>SUMIFS(LANÇ_MOV[VALOR LÍQUIDO],LANÇ_MOV[RECEITA OU DESPESA],"Despesa",LANÇ_MOV[CONTAS],$C426,LANÇ_MOV[PLANO DE CONTAS],REL_DRE_FINANCEIRO!$B$343,LANÇ_MOV[ANO PAGAMENTO],$B$4,LANÇ_MOV[MÊS PAGAMENTO CORRESPONDENTE],N$6,LANÇ_MOV[EMPRESA],$C$4,LANÇ_MOV[CENTRO DE CUSTOS],$D$4)</f>
        <v>0</v>
      </c>
      <c r="O426" s="206">
        <f>SUMIFS(LANÇ_MOV[VALOR LÍQUIDO],LANÇ_MOV[RECEITA OU DESPESA],"Despesa",LANÇ_MOV[CONTAS],$C426,LANÇ_MOV[PLANO DE CONTAS],REL_DRE_FINANCEIRO!$B$343,LANÇ_MOV[ANO PAGAMENTO],$B$4,LANÇ_MOV[MÊS PAGAMENTO CORRESPONDENTE],O$6,LANÇ_MOV[EMPRESA],$C$4,LANÇ_MOV[CENTRO DE CUSTOS],$D$4)</f>
        <v>0</v>
      </c>
      <c r="P426" s="207">
        <f t="shared" si="59"/>
        <v>0</v>
      </c>
      <c r="Q426" s="329">
        <v>1.7999999999999999E-6</v>
      </c>
      <c r="R426" s="346">
        <f t="shared" si="60"/>
        <v>1.7999999999999999E-6</v>
      </c>
      <c r="S426" s="347" t="str">
        <f t="shared" si="61"/>
        <v>-</v>
      </c>
      <c r="T426" s="347">
        <f t="shared" si="62"/>
        <v>0</v>
      </c>
      <c r="U426" s="347">
        <f>HLOOKUP(Apoio!$P$12,$D$342:$P$443,X426,FALSE)+Q426</f>
        <v>1.7999999999999999E-6</v>
      </c>
      <c r="V426" s="447" t="str">
        <f t="shared" si="63"/>
        <v>-</v>
      </c>
      <c r="W426" s="448">
        <f>HLOOKUP(Apoio!$P$12,$D$342:$P$443,X426,FALSE)</f>
        <v>0</v>
      </c>
      <c r="X426" s="329">
        <v>85</v>
      </c>
    </row>
    <row r="427" spans="2:24" ht="30.05" customHeight="1" x14ac:dyDescent="0.35">
      <c r="B427" s="204" t="str">
        <f>'CAD_PL_REC-DESP'!Q88</f>
        <v>2.3.84</v>
      </c>
      <c r="C427" s="205" t="str">
        <f>IF('CAD_PL_REC-DESP'!R88="","-",'CAD_PL_REC-DESP'!R88)</f>
        <v>-</v>
      </c>
      <c r="D427" s="206">
        <f>SUMIFS(LANÇ_MOV[VALOR LÍQUIDO],LANÇ_MOV[RECEITA OU DESPESA],"Despesa",LANÇ_MOV[CONTAS],$C427,LANÇ_MOV[PLANO DE CONTAS],REL_DRE_FINANCEIRO!$B$343,LANÇ_MOV[ANO PAGAMENTO],$B$4,LANÇ_MOV[MÊS PAGAMENTO CORRESPONDENTE],D$6,LANÇ_MOV[EMPRESA],$C$4,LANÇ_MOV[CENTRO DE CUSTOS],$D$4)</f>
        <v>0</v>
      </c>
      <c r="E427" s="206">
        <f>SUMIFS(LANÇ_MOV[VALOR LÍQUIDO],LANÇ_MOV[RECEITA OU DESPESA],"Despesa",LANÇ_MOV[CONTAS],$C427,LANÇ_MOV[PLANO DE CONTAS],REL_DRE_FINANCEIRO!$B$343,LANÇ_MOV[ANO PAGAMENTO],$B$4,LANÇ_MOV[MÊS PAGAMENTO CORRESPONDENTE],E$6,LANÇ_MOV[EMPRESA],$C$4,LANÇ_MOV[CENTRO DE CUSTOS],$D$4)</f>
        <v>0</v>
      </c>
      <c r="F427" s="206">
        <f>SUMIFS(LANÇ_MOV[VALOR LÍQUIDO],LANÇ_MOV[RECEITA OU DESPESA],"Despesa",LANÇ_MOV[CONTAS],$C427,LANÇ_MOV[PLANO DE CONTAS],REL_DRE_FINANCEIRO!$B$343,LANÇ_MOV[ANO PAGAMENTO],$B$4,LANÇ_MOV[MÊS PAGAMENTO CORRESPONDENTE],F$6,LANÇ_MOV[EMPRESA],$C$4,LANÇ_MOV[CENTRO DE CUSTOS],$D$4)</f>
        <v>0</v>
      </c>
      <c r="G427" s="206">
        <f>SUMIFS(LANÇ_MOV[VALOR LÍQUIDO],LANÇ_MOV[RECEITA OU DESPESA],"Despesa",LANÇ_MOV[CONTAS],$C427,LANÇ_MOV[PLANO DE CONTAS],REL_DRE_FINANCEIRO!$B$343,LANÇ_MOV[ANO PAGAMENTO],$B$4,LANÇ_MOV[MÊS PAGAMENTO CORRESPONDENTE],G$6,LANÇ_MOV[EMPRESA],$C$4,LANÇ_MOV[CENTRO DE CUSTOS],$D$4)</f>
        <v>0</v>
      </c>
      <c r="H427" s="206">
        <f>SUMIFS(LANÇ_MOV[VALOR LÍQUIDO],LANÇ_MOV[RECEITA OU DESPESA],"Despesa",LANÇ_MOV[CONTAS],$C427,LANÇ_MOV[PLANO DE CONTAS],REL_DRE_FINANCEIRO!$B$343,LANÇ_MOV[ANO PAGAMENTO],$B$4,LANÇ_MOV[MÊS PAGAMENTO CORRESPONDENTE],H$6,LANÇ_MOV[EMPRESA],$C$4,LANÇ_MOV[CENTRO DE CUSTOS],$D$4)</f>
        <v>0</v>
      </c>
      <c r="I427" s="206">
        <f>SUMIFS(LANÇ_MOV[VALOR LÍQUIDO],LANÇ_MOV[RECEITA OU DESPESA],"Despesa",LANÇ_MOV[CONTAS],$C427,LANÇ_MOV[PLANO DE CONTAS],REL_DRE_FINANCEIRO!$B$343,LANÇ_MOV[ANO PAGAMENTO],$B$4,LANÇ_MOV[MÊS PAGAMENTO CORRESPONDENTE],I$6,LANÇ_MOV[EMPRESA],$C$4,LANÇ_MOV[CENTRO DE CUSTOS],$D$4)</f>
        <v>0</v>
      </c>
      <c r="J427" s="206">
        <f>SUMIFS(LANÇ_MOV[VALOR LÍQUIDO],LANÇ_MOV[RECEITA OU DESPESA],"Despesa",LANÇ_MOV[CONTAS],$C427,LANÇ_MOV[PLANO DE CONTAS],REL_DRE_FINANCEIRO!$B$343,LANÇ_MOV[ANO PAGAMENTO],$B$4,LANÇ_MOV[MÊS PAGAMENTO CORRESPONDENTE],J$6,LANÇ_MOV[EMPRESA],$C$4,LANÇ_MOV[CENTRO DE CUSTOS],$D$4)</f>
        <v>0</v>
      </c>
      <c r="K427" s="206">
        <f>SUMIFS(LANÇ_MOV[VALOR LÍQUIDO],LANÇ_MOV[RECEITA OU DESPESA],"Despesa",LANÇ_MOV[CONTAS],$C427,LANÇ_MOV[PLANO DE CONTAS],REL_DRE_FINANCEIRO!$B$343,LANÇ_MOV[ANO PAGAMENTO],$B$4,LANÇ_MOV[MÊS PAGAMENTO CORRESPONDENTE],K$6,LANÇ_MOV[EMPRESA],$C$4,LANÇ_MOV[CENTRO DE CUSTOS],$D$4)</f>
        <v>0</v>
      </c>
      <c r="L427" s="206">
        <f>SUMIFS(LANÇ_MOV[VALOR LÍQUIDO],LANÇ_MOV[RECEITA OU DESPESA],"Despesa",LANÇ_MOV[CONTAS],$C427,LANÇ_MOV[PLANO DE CONTAS],REL_DRE_FINANCEIRO!$B$343,LANÇ_MOV[ANO PAGAMENTO],$B$4,LANÇ_MOV[MÊS PAGAMENTO CORRESPONDENTE],L$6,LANÇ_MOV[EMPRESA],$C$4,LANÇ_MOV[CENTRO DE CUSTOS],$D$4)</f>
        <v>0</v>
      </c>
      <c r="M427" s="206">
        <f>SUMIFS(LANÇ_MOV[VALOR LÍQUIDO],LANÇ_MOV[RECEITA OU DESPESA],"Despesa",LANÇ_MOV[CONTAS],$C427,LANÇ_MOV[PLANO DE CONTAS],REL_DRE_FINANCEIRO!$B$343,LANÇ_MOV[ANO PAGAMENTO],$B$4,LANÇ_MOV[MÊS PAGAMENTO CORRESPONDENTE],M$6,LANÇ_MOV[EMPRESA],$C$4,LANÇ_MOV[CENTRO DE CUSTOS],$D$4)</f>
        <v>0</v>
      </c>
      <c r="N427" s="206">
        <f>SUMIFS(LANÇ_MOV[VALOR LÍQUIDO],LANÇ_MOV[RECEITA OU DESPESA],"Despesa",LANÇ_MOV[CONTAS],$C427,LANÇ_MOV[PLANO DE CONTAS],REL_DRE_FINANCEIRO!$B$343,LANÇ_MOV[ANO PAGAMENTO],$B$4,LANÇ_MOV[MÊS PAGAMENTO CORRESPONDENTE],N$6,LANÇ_MOV[EMPRESA],$C$4,LANÇ_MOV[CENTRO DE CUSTOS],$D$4)</f>
        <v>0</v>
      </c>
      <c r="O427" s="206">
        <f>SUMIFS(LANÇ_MOV[VALOR LÍQUIDO],LANÇ_MOV[RECEITA OU DESPESA],"Despesa",LANÇ_MOV[CONTAS],$C427,LANÇ_MOV[PLANO DE CONTAS],REL_DRE_FINANCEIRO!$B$343,LANÇ_MOV[ANO PAGAMENTO],$B$4,LANÇ_MOV[MÊS PAGAMENTO CORRESPONDENTE],O$6,LANÇ_MOV[EMPRESA],$C$4,LANÇ_MOV[CENTRO DE CUSTOS],$D$4)</f>
        <v>0</v>
      </c>
      <c r="P427" s="207">
        <f t="shared" si="59"/>
        <v>0</v>
      </c>
      <c r="Q427" s="329">
        <v>1.7E-6</v>
      </c>
      <c r="R427" s="346">
        <f t="shared" si="60"/>
        <v>1.7E-6</v>
      </c>
      <c r="S427" s="347" t="str">
        <f t="shared" si="61"/>
        <v>-</v>
      </c>
      <c r="T427" s="347">
        <f t="shared" si="62"/>
        <v>0</v>
      </c>
      <c r="U427" s="347">
        <f>HLOOKUP(Apoio!$P$12,$D$342:$P$443,X427,FALSE)+Q427</f>
        <v>1.7E-6</v>
      </c>
      <c r="V427" s="447" t="str">
        <f t="shared" si="63"/>
        <v>-</v>
      </c>
      <c r="W427" s="448">
        <f>HLOOKUP(Apoio!$P$12,$D$342:$P$443,X427,FALSE)</f>
        <v>0</v>
      </c>
      <c r="X427" s="329">
        <v>86</v>
      </c>
    </row>
    <row r="428" spans="2:24" ht="30.05" customHeight="1" x14ac:dyDescent="0.35">
      <c r="B428" s="204" t="str">
        <f>'CAD_PL_REC-DESP'!Q89</f>
        <v>2.3.85</v>
      </c>
      <c r="C428" s="205" t="str">
        <f>IF('CAD_PL_REC-DESP'!R89="","-",'CAD_PL_REC-DESP'!R89)</f>
        <v>-</v>
      </c>
      <c r="D428" s="206">
        <f>SUMIFS(LANÇ_MOV[VALOR LÍQUIDO],LANÇ_MOV[RECEITA OU DESPESA],"Despesa",LANÇ_MOV[CONTAS],$C428,LANÇ_MOV[PLANO DE CONTAS],REL_DRE_FINANCEIRO!$B$343,LANÇ_MOV[ANO PAGAMENTO],$B$4,LANÇ_MOV[MÊS PAGAMENTO CORRESPONDENTE],D$6,LANÇ_MOV[EMPRESA],$C$4,LANÇ_MOV[CENTRO DE CUSTOS],$D$4)</f>
        <v>0</v>
      </c>
      <c r="E428" s="206">
        <f>SUMIFS(LANÇ_MOV[VALOR LÍQUIDO],LANÇ_MOV[RECEITA OU DESPESA],"Despesa",LANÇ_MOV[CONTAS],$C428,LANÇ_MOV[PLANO DE CONTAS],REL_DRE_FINANCEIRO!$B$343,LANÇ_MOV[ANO PAGAMENTO],$B$4,LANÇ_MOV[MÊS PAGAMENTO CORRESPONDENTE],E$6,LANÇ_MOV[EMPRESA],$C$4,LANÇ_MOV[CENTRO DE CUSTOS],$D$4)</f>
        <v>0</v>
      </c>
      <c r="F428" s="206">
        <f>SUMIFS(LANÇ_MOV[VALOR LÍQUIDO],LANÇ_MOV[RECEITA OU DESPESA],"Despesa",LANÇ_MOV[CONTAS],$C428,LANÇ_MOV[PLANO DE CONTAS],REL_DRE_FINANCEIRO!$B$343,LANÇ_MOV[ANO PAGAMENTO],$B$4,LANÇ_MOV[MÊS PAGAMENTO CORRESPONDENTE],F$6,LANÇ_MOV[EMPRESA],$C$4,LANÇ_MOV[CENTRO DE CUSTOS],$D$4)</f>
        <v>0</v>
      </c>
      <c r="G428" s="206">
        <f>SUMIFS(LANÇ_MOV[VALOR LÍQUIDO],LANÇ_MOV[RECEITA OU DESPESA],"Despesa",LANÇ_MOV[CONTAS],$C428,LANÇ_MOV[PLANO DE CONTAS],REL_DRE_FINANCEIRO!$B$343,LANÇ_MOV[ANO PAGAMENTO],$B$4,LANÇ_MOV[MÊS PAGAMENTO CORRESPONDENTE],G$6,LANÇ_MOV[EMPRESA],$C$4,LANÇ_MOV[CENTRO DE CUSTOS],$D$4)</f>
        <v>0</v>
      </c>
      <c r="H428" s="206">
        <f>SUMIFS(LANÇ_MOV[VALOR LÍQUIDO],LANÇ_MOV[RECEITA OU DESPESA],"Despesa",LANÇ_MOV[CONTAS],$C428,LANÇ_MOV[PLANO DE CONTAS],REL_DRE_FINANCEIRO!$B$343,LANÇ_MOV[ANO PAGAMENTO],$B$4,LANÇ_MOV[MÊS PAGAMENTO CORRESPONDENTE],H$6,LANÇ_MOV[EMPRESA],$C$4,LANÇ_MOV[CENTRO DE CUSTOS],$D$4)</f>
        <v>0</v>
      </c>
      <c r="I428" s="206">
        <f>SUMIFS(LANÇ_MOV[VALOR LÍQUIDO],LANÇ_MOV[RECEITA OU DESPESA],"Despesa",LANÇ_MOV[CONTAS],$C428,LANÇ_MOV[PLANO DE CONTAS],REL_DRE_FINANCEIRO!$B$343,LANÇ_MOV[ANO PAGAMENTO],$B$4,LANÇ_MOV[MÊS PAGAMENTO CORRESPONDENTE],I$6,LANÇ_MOV[EMPRESA],$C$4,LANÇ_MOV[CENTRO DE CUSTOS],$D$4)</f>
        <v>0</v>
      </c>
      <c r="J428" s="206">
        <f>SUMIFS(LANÇ_MOV[VALOR LÍQUIDO],LANÇ_MOV[RECEITA OU DESPESA],"Despesa",LANÇ_MOV[CONTAS],$C428,LANÇ_MOV[PLANO DE CONTAS],REL_DRE_FINANCEIRO!$B$343,LANÇ_MOV[ANO PAGAMENTO],$B$4,LANÇ_MOV[MÊS PAGAMENTO CORRESPONDENTE],J$6,LANÇ_MOV[EMPRESA],$C$4,LANÇ_MOV[CENTRO DE CUSTOS],$D$4)</f>
        <v>0</v>
      </c>
      <c r="K428" s="206">
        <f>SUMIFS(LANÇ_MOV[VALOR LÍQUIDO],LANÇ_MOV[RECEITA OU DESPESA],"Despesa",LANÇ_MOV[CONTAS],$C428,LANÇ_MOV[PLANO DE CONTAS],REL_DRE_FINANCEIRO!$B$343,LANÇ_MOV[ANO PAGAMENTO],$B$4,LANÇ_MOV[MÊS PAGAMENTO CORRESPONDENTE],K$6,LANÇ_MOV[EMPRESA],$C$4,LANÇ_MOV[CENTRO DE CUSTOS],$D$4)</f>
        <v>0</v>
      </c>
      <c r="L428" s="206">
        <f>SUMIFS(LANÇ_MOV[VALOR LÍQUIDO],LANÇ_MOV[RECEITA OU DESPESA],"Despesa",LANÇ_MOV[CONTAS],$C428,LANÇ_MOV[PLANO DE CONTAS],REL_DRE_FINANCEIRO!$B$343,LANÇ_MOV[ANO PAGAMENTO],$B$4,LANÇ_MOV[MÊS PAGAMENTO CORRESPONDENTE],L$6,LANÇ_MOV[EMPRESA],$C$4,LANÇ_MOV[CENTRO DE CUSTOS],$D$4)</f>
        <v>0</v>
      </c>
      <c r="M428" s="206">
        <f>SUMIFS(LANÇ_MOV[VALOR LÍQUIDO],LANÇ_MOV[RECEITA OU DESPESA],"Despesa",LANÇ_MOV[CONTAS],$C428,LANÇ_MOV[PLANO DE CONTAS],REL_DRE_FINANCEIRO!$B$343,LANÇ_MOV[ANO PAGAMENTO],$B$4,LANÇ_MOV[MÊS PAGAMENTO CORRESPONDENTE],M$6,LANÇ_MOV[EMPRESA],$C$4,LANÇ_MOV[CENTRO DE CUSTOS],$D$4)</f>
        <v>0</v>
      </c>
      <c r="N428" s="206">
        <f>SUMIFS(LANÇ_MOV[VALOR LÍQUIDO],LANÇ_MOV[RECEITA OU DESPESA],"Despesa",LANÇ_MOV[CONTAS],$C428,LANÇ_MOV[PLANO DE CONTAS],REL_DRE_FINANCEIRO!$B$343,LANÇ_MOV[ANO PAGAMENTO],$B$4,LANÇ_MOV[MÊS PAGAMENTO CORRESPONDENTE],N$6,LANÇ_MOV[EMPRESA],$C$4,LANÇ_MOV[CENTRO DE CUSTOS],$D$4)</f>
        <v>0</v>
      </c>
      <c r="O428" s="206">
        <f>SUMIFS(LANÇ_MOV[VALOR LÍQUIDO],LANÇ_MOV[RECEITA OU DESPESA],"Despesa",LANÇ_MOV[CONTAS],$C428,LANÇ_MOV[PLANO DE CONTAS],REL_DRE_FINANCEIRO!$B$343,LANÇ_MOV[ANO PAGAMENTO],$B$4,LANÇ_MOV[MÊS PAGAMENTO CORRESPONDENTE],O$6,LANÇ_MOV[EMPRESA],$C$4,LANÇ_MOV[CENTRO DE CUSTOS],$D$4)</f>
        <v>0</v>
      </c>
      <c r="P428" s="207">
        <f t="shared" si="59"/>
        <v>0</v>
      </c>
      <c r="Q428" s="329">
        <v>1.5999999999999999E-6</v>
      </c>
      <c r="R428" s="346">
        <f t="shared" si="60"/>
        <v>1.5999999999999999E-6</v>
      </c>
      <c r="S428" s="347" t="str">
        <f t="shared" si="61"/>
        <v>-</v>
      </c>
      <c r="T428" s="347">
        <f t="shared" si="62"/>
        <v>0</v>
      </c>
      <c r="U428" s="347">
        <f>HLOOKUP(Apoio!$P$12,$D$342:$P$443,X428,FALSE)+Q428</f>
        <v>1.5999999999999999E-6</v>
      </c>
      <c r="V428" s="447" t="str">
        <f t="shared" si="63"/>
        <v>-</v>
      </c>
      <c r="W428" s="448">
        <f>HLOOKUP(Apoio!$P$12,$D$342:$P$443,X428,FALSE)</f>
        <v>0</v>
      </c>
      <c r="X428" s="329">
        <v>87</v>
      </c>
    </row>
    <row r="429" spans="2:24" ht="30.05" customHeight="1" x14ac:dyDescent="0.35">
      <c r="B429" s="204" t="str">
        <f>'CAD_PL_REC-DESP'!Q90</f>
        <v>2.3.86</v>
      </c>
      <c r="C429" s="205" t="str">
        <f>IF('CAD_PL_REC-DESP'!R90="","-",'CAD_PL_REC-DESP'!R90)</f>
        <v>-</v>
      </c>
      <c r="D429" s="206">
        <f>SUMIFS(LANÇ_MOV[VALOR LÍQUIDO],LANÇ_MOV[RECEITA OU DESPESA],"Despesa",LANÇ_MOV[CONTAS],$C429,LANÇ_MOV[PLANO DE CONTAS],REL_DRE_FINANCEIRO!$B$343,LANÇ_MOV[ANO PAGAMENTO],$B$4,LANÇ_MOV[MÊS PAGAMENTO CORRESPONDENTE],D$6,LANÇ_MOV[EMPRESA],$C$4,LANÇ_MOV[CENTRO DE CUSTOS],$D$4)</f>
        <v>0</v>
      </c>
      <c r="E429" s="206">
        <f>SUMIFS(LANÇ_MOV[VALOR LÍQUIDO],LANÇ_MOV[RECEITA OU DESPESA],"Despesa",LANÇ_MOV[CONTAS],$C429,LANÇ_MOV[PLANO DE CONTAS],REL_DRE_FINANCEIRO!$B$343,LANÇ_MOV[ANO PAGAMENTO],$B$4,LANÇ_MOV[MÊS PAGAMENTO CORRESPONDENTE],E$6,LANÇ_MOV[EMPRESA],$C$4,LANÇ_MOV[CENTRO DE CUSTOS],$D$4)</f>
        <v>0</v>
      </c>
      <c r="F429" s="206">
        <f>SUMIFS(LANÇ_MOV[VALOR LÍQUIDO],LANÇ_MOV[RECEITA OU DESPESA],"Despesa",LANÇ_MOV[CONTAS],$C429,LANÇ_MOV[PLANO DE CONTAS],REL_DRE_FINANCEIRO!$B$343,LANÇ_MOV[ANO PAGAMENTO],$B$4,LANÇ_MOV[MÊS PAGAMENTO CORRESPONDENTE],F$6,LANÇ_MOV[EMPRESA],$C$4,LANÇ_MOV[CENTRO DE CUSTOS],$D$4)</f>
        <v>0</v>
      </c>
      <c r="G429" s="206">
        <f>SUMIFS(LANÇ_MOV[VALOR LÍQUIDO],LANÇ_MOV[RECEITA OU DESPESA],"Despesa",LANÇ_MOV[CONTAS],$C429,LANÇ_MOV[PLANO DE CONTAS],REL_DRE_FINANCEIRO!$B$343,LANÇ_MOV[ANO PAGAMENTO],$B$4,LANÇ_MOV[MÊS PAGAMENTO CORRESPONDENTE],G$6,LANÇ_MOV[EMPRESA],$C$4,LANÇ_MOV[CENTRO DE CUSTOS],$D$4)</f>
        <v>0</v>
      </c>
      <c r="H429" s="206">
        <f>SUMIFS(LANÇ_MOV[VALOR LÍQUIDO],LANÇ_MOV[RECEITA OU DESPESA],"Despesa",LANÇ_MOV[CONTAS],$C429,LANÇ_MOV[PLANO DE CONTAS],REL_DRE_FINANCEIRO!$B$343,LANÇ_MOV[ANO PAGAMENTO],$B$4,LANÇ_MOV[MÊS PAGAMENTO CORRESPONDENTE],H$6,LANÇ_MOV[EMPRESA],$C$4,LANÇ_MOV[CENTRO DE CUSTOS],$D$4)</f>
        <v>0</v>
      </c>
      <c r="I429" s="206">
        <f>SUMIFS(LANÇ_MOV[VALOR LÍQUIDO],LANÇ_MOV[RECEITA OU DESPESA],"Despesa",LANÇ_MOV[CONTAS],$C429,LANÇ_MOV[PLANO DE CONTAS],REL_DRE_FINANCEIRO!$B$343,LANÇ_MOV[ANO PAGAMENTO],$B$4,LANÇ_MOV[MÊS PAGAMENTO CORRESPONDENTE],I$6,LANÇ_MOV[EMPRESA],$C$4,LANÇ_MOV[CENTRO DE CUSTOS],$D$4)</f>
        <v>0</v>
      </c>
      <c r="J429" s="206">
        <f>SUMIFS(LANÇ_MOV[VALOR LÍQUIDO],LANÇ_MOV[RECEITA OU DESPESA],"Despesa",LANÇ_MOV[CONTAS],$C429,LANÇ_MOV[PLANO DE CONTAS],REL_DRE_FINANCEIRO!$B$343,LANÇ_MOV[ANO PAGAMENTO],$B$4,LANÇ_MOV[MÊS PAGAMENTO CORRESPONDENTE],J$6,LANÇ_MOV[EMPRESA],$C$4,LANÇ_MOV[CENTRO DE CUSTOS],$D$4)</f>
        <v>0</v>
      </c>
      <c r="K429" s="206">
        <f>SUMIFS(LANÇ_MOV[VALOR LÍQUIDO],LANÇ_MOV[RECEITA OU DESPESA],"Despesa",LANÇ_MOV[CONTAS],$C429,LANÇ_MOV[PLANO DE CONTAS],REL_DRE_FINANCEIRO!$B$343,LANÇ_MOV[ANO PAGAMENTO],$B$4,LANÇ_MOV[MÊS PAGAMENTO CORRESPONDENTE],K$6,LANÇ_MOV[EMPRESA],$C$4,LANÇ_MOV[CENTRO DE CUSTOS],$D$4)</f>
        <v>0</v>
      </c>
      <c r="L429" s="206">
        <f>SUMIFS(LANÇ_MOV[VALOR LÍQUIDO],LANÇ_MOV[RECEITA OU DESPESA],"Despesa",LANÇ_MOV[CONTAS],$C429,LANÇ_MOV[PLANO DE CONTAS],REL_DRE_FINANCEIRO!$B$343,LANÇ_MOV[ANO PAGAMENTO],$B$4,LANÇ_MOV[MÊS PAGAMENTO CORRESPONDENTE],L$6,LANÇ_MOV[EMPRESA],$C$4,LANÇ_MOV[CENTRO DE CUSTOS],$D$4)</f>
        <v>0</v>
      </c>
      <c r="M429" s="206">
        <f>SUMIFS(LANÇ_MOV[VALOR LÍQUIDO],LANÇ_MOV[RECEITA OU DESPESA],"Despesa",LANÇ_MOV[CONTAS],$C429,LANÇ_MOV[PLANO DE CONTAS],REL_DRE_FINANCEIRO!$B$343,LANÇ_MOV[ANO PAGAMENTO],$B$4,LANÇ_MOV[MÊS PAGAMENTO CORRESPONDENTE],M$6,LANÇ_MOV[EMPRESA],$C$4,LANÇ_MOV[CENTRO DE CUSTOS],$D$4)</f>
        <v>0</v>
      </c>
      <c r="N429" s="206">
        <f>SUMIFS(LANÇ_MOV[VALOR LÍQUIDO],LANÇ_MOV[RECEITA OU DESPESA],"Despesa",LANÇ_MOV[CONTAS],$C429,LANÇ_MOV[PLANO DE CONTAS],REL_DRE_FINANCEIRO!$B$343,LANÇ_MOV[ANO PAGAMENTO],$B$4,LANÇ_MOV[MÊS PAGAMENTO CORRESPONDENTE],N$6,LANÇ_MOV[EMPRESA],$C$4,LANÇ_MOV[CENTRO DE CUSTOS],$D$4)</f>
        <v>0</v>
      </c>
      <c r="O429" s="206">
        <f>SUMIFS(LANÇ_MOV[VALOR LÍQUIDO],LANÇ_MOV[RECEITA OU DESPESA],"Despesa",LANÇ_MOV[CONTAS],$C429,LANÇ_MOV[PLANO DE CONTAS],REL_DRE_FINANCEIRO!$B$343,LANÇ_MOV[ANO PAGAMENTO],$B$4,LANÇ_MOV[MÊS PAGAMENTO CORRESPONDENTE],O$6,LANÇ_MOV[EMPRESA],$C$4,LANÇ_MOV[CENTRO DE CUSTOS],$D$4)</f>
        <v>0</v>
      </c>
      <c r="P429" s="207">
        <f t="shared" si="59"/>
        <v>0</v>
      </c>
      <c r="Q429" s="329">
        <v>1.5E-6</v>
      </c>
      <c r="R429" s="346">
        <f t="shared" si="60"/>
        <v>1.5E-6</v>
      </c>
      <c r="S429" s="347" t="str">
        <f t="shared" si="61"/>
        <v>-</v>
      </c>
      <c r="T429" s="347">
        <f t="shared" si="62"/>
        <v>0</v>
      </c>
      <c r="U429" s="347">
        <f>HLOOKUP(Apoio!$P$12,$D$342:$P$443,X429,FALSE)+Q429</f>
        <v>1.5E-6</v>
      </c>
      <c r="V429" s="447" t="str">
        <f t="shared" si="63"/>
        <v>-</v>
      </c>
      <c r="W429" s="448">
        <f>HLOOKUP(Apoio!$P$12,$D$342:$P$443,X429,FALSE)</f>
        <v>0</v>
      </c>
      <c r="X429" s="329">
        <v>88</v>
      </c>
    </row>
    <row r="430" spans="2:24" ht="30.05" customHeight="1" x14ac:dyDescent="0.35">
      <c r="B430" s="204" t="str">
        <f>'CAD_PL_REC-DESP'!Q91</f>
        <v>2.3.87</v>
      </c>
      <c r="C430" s="205" t="str">
        <f>IF('CAD_PL_REC-DESP'!R91="","-",'CAD_PL_REC-DESP'!R91)</f>
        <v>-</v>
      </c>
      <c r="D430" s="206">
        <f>SUMIFS(LANÇ_MOV[VALOR LÍQUIDO],LANÇ_MOV[RECEITA OU DESPESA],"Despesa",LANÇ_MOV[CONTAS],$C430,LANÇ_MOV[PLANO DE CONTAS],REL_DRE_FINANCEIRO!$B$343,LANÇ_MOV[ANO PAGAMENTO],$B$4,LANÇ_MOV[MÊS PAGAMENTO CORRESPONDENTE],D$6,LANÇ_MOV[EMPRESA],$C$4,LANÇ_MOV[CENTRO DE CUSTOS],$D$4)</f>
        <v>0</v>
      </c>
      <c r="E430" s="206">
        <f>SUMIFS(LANÇ_MOV[VALOR LÍQUIDO],LANÇ_MOV[RECEITA OU DESPESA],"Despesa",LANÇ_MOV[CONTAS],$C430,LANÇ_MOV[PLANO DE CONTAS],REL_DRE_FINANCEIRO!$B$343,LANÇ_MOV[ANO PAGAMENTO],$B$4,LANÇ_MOV[MÊS PAGAMENTO CORRESPONDENTE],E$6,LANÇ_MOV[EMPRESA],$C$4,LANÇ_MOV[CENTRO DE CUSTOS],$D$4)</f>
        <v>0</v>
      </c>
      <c r="F430" s="206">
        <f>SUMIFS(LANÇ_MOV[VALOR LÍQUIDO],LANÇ_MOV[RECEITA OU DESPESA],"Despesa",LANÇ_MOV[CONTAS],$C430,LANÇ_MOV[PLANO DE CONTAS],REL_DRE_FINANCEIRO!$B$343,LANÇ_MOV[ANO PAGAMENTO],$B$4,LANÇ_MOV[MÊS PAGAMENTO CORRESPONDENTE],F$6,LANÇ_MOV[EMPRESA],$C$4,LANÇ_MOV[CENTRO DE CUSTOS],$D$4)</f>
        <v>0</v>
      </c>
      <c r="G430" s="206">
        <f>SUMIFS(LANÇ_MOV[VALOR LÍQUIDO],LANÇ_MOV[RECEITA OU DESPESA],"Despesa",LANÇ_MOV[CONTAS],$C430,LANÇ_MOV[PLANO DE CONTAS],REL_DRE_FINANCEIRO!$B$343,LANÇ_MOV[ANO PAGAMENTO],$B$4,LANÇ_MOV[MÊS PAGAMENTO CORRESPONDENTE],G$6,LANÇ_MOV[EMPRESA],$C$4,LANÇ_MOV[CENTRO DE CUSTOS],$D$4)</f>
        <v>0</v>
      </c>
      <c r="H430" s="206">
        <f>SUMIFS(LANÇ_MOV[VALOR LÍQUIDO],LANÇ_MOV[RECEITA OU DESPESA],"Despesa",LANÇ_MOV[CONTAS],$C430,LANÇ_MOV[PLANO DE CONTAS],REL_DRE_FINANCEIRO!$B$343,LANÇ_MOV[ANO PAGAMENTO],$B$4,LANÇ_MOV[MÊS PAGAMENTO CORRESPONDENTE],H$6,LANÇ_MOV[EMPRESA],$C$4,LANÇ_MOV[CENTRO DE CUSTOS],$D$4)</f>
        <v>0</v>
      </c>
      <c r="I430" s="206">
        <f>SUMIFS(LANÇ_MOV[VALOR LÍQUIDO],LANÇ_MOV[RECEITA OU DESPESA],"Despesa",LANÇ_MOV[CONTAS],$C430,LANÇ_MOV[PLANO DE CONTAS],REL_DRE_FINANCEIRO!$B$343,LANÇ_MOV[ANO PAGAMENTO],$B$4,LANÇ_MOV[MÊS PAGAMENTO CORRESPONDENTE],I$6,LANÇ_MOV[EMPRESA],$C$4,LANÇ_MOV[CENTRO DE CUSTOS],$D$4)</f>
        <v>0</v>
      </c>
      <c r="J430" s="206">
        <f>SUMIFS(LANÇ_MOV[VALOR LÍQUIDO],LANÇ_MOV[RECEITA OU DESPESA],"Despesa",LANÇ_MOV[CONTAS],$C430,LANÇ_MOV[PLANO DE CONTAS],REL_DRE_FINANCEIRO!$B$343,LANÇ_MOV[ANO PAGAMENTO],$B$4,LANÇ_MOV[MÊS PAGAMENTO CORRESPONDENTE],J$6,LANÇ_MOV[EMPRESA],$C$4,LANÇ_MOV[CENTRO DE CUSTOS],$D$4)</f>
        <v>0</v>
      </c>
      <c r="K430" s="206">
        <f>SUMIFS(LANÇ_MOV[VALOR LÍQUIDO],LANÇ_MOV[RECEITA OU DESPESA],"Despesa",LANÇ_MOV[CONTAS],$C430,LANÇ_MOV[PLANO DE CONTAS],REL_DRE_FINANCEIRO!$B$343,LANÇ_MOV[ANO PAGAMENTO],$B$4,LANÇ_MOV[MÊS PAGAMENTO CORRESPONDENTE],K$6,LANÇ_MOV[EMPRESA],$C$4,LANÇ_MOV[CENTRO DE CUSTOS],$D$4)</f>
        <v>0</v>
      </c>
      <c r="L430" s="206">
        <f>SUMIFS(LANÇ_MOV[VALOR LÍQUIDO],LANÇ_MOV[RECEITA OU DESPESA],"Despesa",LANÇ_MOV[CONTAS],$C430,LANÇ_MOV[PLANO DE CONTAS],REL_DRE_FINANCEIRO!$B$343,LANÇ_MOV[ANO PAGAMENTO],$B$4,LANÇ_MOV[MÊS PAGAMENTO CORRESPONDENTE],L$6,LANÇ_MOV[EMPRESA],$C$4,LANÇ_MOV[CENTRO DE CUSTOS],$D$4)</f>
        <v>0</v>
      </c>
      <c r="M430" s="206">
        <f>SUMIFS(LANÇ_MOV[VALOR LÍQUIDO],LANÇ_MOV[RECEITA OU DESPESA],"Despesa",LANÇ_MOV[CONTAS],$C430,LANÇ_MOV[PLANO DE CONTAS],REL_DRE_FINANCEIRO!$B$343,LANÇ_MOV[ANO PAGAMENTO],$B$4,LANÇ_MOV[MÊS PAGAMENTO CORRESPONDENTE],M$6,LANÇ_MOV[EMPRESA],$C$4,LANÇ_MOV[CENTRO DE CUSTOS],$D$4)</f>
        <v>0</v>
      </c>
      <c r="N430" s="206">
        <f>SUMIFS(LANÇ_MOV[VALOR LÍQUIDO],LANÇ_MOV[RECEITA OU DESPESA],"Despesa",LANÇ_MOV[CONTAS],$C430,LANÇ_MOV[PLANO DE CONTAS],REL_DRE_FINANCEIRO!$B$343,LANÇ_MOV[ANO PAGAMENTO],$B$4,LANÇ_MOV[MÊS PAGAMENTO CORRESPONDENTE],N$6,LANÇ_MOV[EMPRESA],$C$4,LANÇ_MOV[CENTRO DE CUSTOS],$D$4)</f>
        <v>0</v>
      </c>
      <c r="O430" s="206">
        <f>SUMIFS(LANÇ_MOV[VALOR LÍQUIDO],LANÇ_MOV[RECEITA OU DESPESA],"Despesa",LANÇ_MOV[CONTAS],$C430,LANÇ_MOV[PLANO DE CONTAS],REL_DRE_FINANCEIRO!$B$343,LANÇ_MOV[ANO PAGAMENTO],$B$4,LANÇ_MOV[MÊS PAGAMENTO CORRESPONDENTE],O$6,LANÇ_MOV[EMPRESA],$C$4,LANÇ_MOV[CENTRO DE CUSTOS],$D$4)</f>
        <v>0</v>
      </c>
      <c r="P430" s="207">
        <f t="shared" si="59"/>
        <v>0</v>
      </c>
      <c r="Q430" s="329">
        <v>1.3999999999999999E-6</v>
      </c>
      <c r="R430" s="346">
        <f t="shared" si="60"/>
        <v>1.3999999999999999E-6</v>
      </c>
      <c r="S430" s="347" t="str">
        <f t="shared" si="61"/>
        <v>-</v>
      </c>
      <c r="T430" s="347">
        <f t="shared" si="62"/>
        <v>0</v>
      </c>
      <c r="U430" s="347">
        <f>HLOOKUP(Apoio!$P$12,$D$342:$P$443,X430,FALSE)+Q430</f>
        <v>1.3999999999999999E-6</v>
      </c>
      <c r="V430" s="447" t="str">
        <f t="shared" si="63"/>
        <v>-</v>
      </c>
      <c r="W430" s="448">
        <f>HLOOKUP(Apoio!$P$12,$D$342:$P$443,X430,FALSE)</f>
        <v>0</v>
      </c>
      <c r="X430" s="329">
        <v>89</v>
      </c>
    </row>
    <row r="431" spans="2:24" ht="30.05" customHeight="1" x14ac:dyDescent="0.35">
      <c r="B431" s="204" t="str">
        <f>'CAD_PL_REC-DESP'!Q92</f>
        <v>2.3.88</v>
      </c>
      <c r="C431" s="205" t="str">
        <f>IF('CAD_PL_REC-DESP'!R92="","-",'CAD_PL_REC-DESP'!R92)</f>
        <v>-</v>
      </c>
      <c r="D431" s="206">
        <f>SUMIFS(LANÇ_MOV[VALOR LÍQUIDO],LANÇ_MOV[RECEITA OU DESPESA],"Despesa",LANÇ_MOV[CONTAS],$C431,LANÇ_MOV[PLANO DE CONTAS],REL_DRE_FINANCEIRO!$B$343,LANÇ_MOV[ANO PAGAMENTO],$B$4,LANÇ_MOV[MÊS PAGAMENTO CORRESPONDENTE],D$6,LANÇ_MOV[EMPRESA],$C$4,LANÇ_MOV[CENTRO DE CUSTOS],$D$4)</f>
        <v>0</v>
      </c>
      <c r="E431" s="206">
        <f>SUMIFS(LANÇ_MOV[VALOR LÍQUIDO],LANÇ_MOV[RECEITA OU DESPESA],"Despesa",LANÇ_MOV[CONTAS],$C431,LANÇ_MOV[PLANO DE CONTAS],REL_DRE_FINANCEIRO!$B$343,LANÇ_MOV[ANO PAGAMENTO],$B$4,LANÇ_MOV[MÊS PAGAMENTO CORRESPONDENTE],E$6,LANÇ_MOV[EMPRESA],$C$4,LANÇ_MOV[CENTRO DE CUSTOS],$D$4)</f>
        <v>0</v>
      </c>
      <c r="F431" s="206">
        <f>SUMIFS(LANÇ_MOV[VALOR LÍQUIDO],LANÇ_MOV[RECEITA OU DESPESA],"Despesa",LANÇ_MOV[CONTAS],$C431,LANÇ_MOV[PLANO DE CONTAS],REL_DRE_FINANCEIRO!$B$343,LANÇ_MOV[ANO PAGAMENTO],$B$4,LANÇ_MOV[MÊS PAGAMENTO CORRESPONDENTE],F$6,LANÇ_MOV[EMPRESA],$C$4,LANÇ_MOV[CENTRO DE CUSTOS],$D$4)</f>
        <v>0</v>
      </c>
      <c r="G431" s="206">
        <f>SUMIFS(LANÇ_MOV[VALOR LÍQUIDO],LANÇ_MOV[RECEITA OU DESPESA],"Despesa",LANÇ_MOV[CONTAS],$C431,LANÇ_MOV[PLANO DE CONTAS],REL_DRE_FINANCEIRO!$B$343,LANÇ_MOV[ANO PAGAMENTO],$B$4,LANÇ_MOV[MÊS PAGAMENTO CORRESPONDENTE],G$6,LANÇ_MOV[EMPRESA],$C$4,LANÇ_MOV[CENTRO DE CUSTOS],$D$4)</f>
        <v>0</v>
      </c>
      <c r="H431" s="206">
        <f>SUMIFS(LANÇ_MOV[VALOR LÍQUIDO],LANÇ_MOV[RECEITA OU DESPESA],"Despesa",LANÇ_MOV[CONTAS],$C431,LANÇ_MOV[PLANO DE CONTAS],REL_DRE_FINANCEIRO!$B$343,LANÇ_MOV[ANO PAGAMENTO],$B$4,LANÇ_MOV[MÊS PAGAMENTO CORRESPONDENTE],H$6,LANÇ_MOV[EMPRESA],$C$4,LANÇ_MOV[CENTRO DE CUSTOS],$D$4)</f>
        <v>0</v>
      </c>
      <c r="I431" s="206">
        <f>SUMIFS(LANÇ_MOV[VALOR LÍQUIDO],LANÇ_MOV[RECEITA OU DESPESA],"Despesa",LANÇ_MOV[CONTAS],$C431,LANÇ_MOV[PLANO DE CONTAS],REL_DRE_FINANCEIRO!$B$343,LANÇ_MOV[ANO PAGAMENTO],$B$4,LANÇ_MOV[MÊS PAGAMENTO CORRESPONDENTE],I$6,LANÇ_MOV[EMPRESA],$C$4,LANÇ_MOV[CENTRO DE CUSTOS],$D$4)</f>
        <v>0</v>
      </c>
      <c r="J431" s="206">
        <f>SUMIFS(LANÇ_MOV[VALOR LÍQUIDO],LANÇ_MOV[RECEITA OU DESPESA],"Despesa",LANÇ_MOV[CONTAS],$C431,LANÇ_MOV[PLANO DE CONTAS],REL_DRE_FINANCEIRO!$B$343,LANÇ_MOV[ANO PAGAMENTO],$B$4,LANÇ_MOV[MÊS PAGAMENTO CORRESPONDENTE],J$6,LANÇ_MOV[EMPRESA],$C$4,LANÇ_MOV[CENTRO DE CUSTOS],$D$4)</f>
        <v>0</v>
      </c>
      <c r="K431" s="206">
        <f>SUMIFS(LANÇ_MOV[VALOR LÍQUIDO],LANÇ_MOV[RECEITA OU DESPESA],"Despesa",LANÇ_MOV[CONTAS],$C431,LANÇ_MOV[PLANO DE CONTAS],REL_DRE_FINANCEIRO!$B$343,LANÇ_MOV[ANO PAGAMENTO],$B$4,LANÇ_MOV[MÊS PAGAMENTO CORRESPONDENTE],K$6,LANÇ_MOV[EMPRESA],$C$4,LANÇ_MOV[CENTRO DE CUSTOS],$D$4)</f>
        <v>0</v>
      </c>
      <c r="L431" s="206">
        <f>SUMIFS(LANÇ_MOV[VALOR LÍQUIDO],LANÇ_MOV[RECEITA OU DESPESA],"Despesa",LANÇ_MOV[CONTAS],$C431,LANÇ_MOV[PLANO DE CONTAS],REL_DRE_FINANCEIRO!$B$343,LANÇ_MOV[ANO PAGAMENTO],$B$4,LANÇ_MOV[MÊS PAGAMENTO CORRESPONDENTE],L$6,LANÇ_MOV[EMPRESA],$C$4,LANÇ_MOV[CENTRO DE CUSTOS],$D$4)</f>
        <v>0</v>
      </c>
      <c r="M431" s="206">
        <f>SUMIFS(LANÇ_MOV[VALOR LÍQUIDO],LANÇ_MOV[RECEITA OU DESPESA],"Despesa",LANÇ_MOV[CONTAS],$C431,LANÇ_MOV[PLANO DE CONTAS],REL_DRE_FINANCEIRO!$B$343,LANÇ_MOV[ANO PAGAMENTO],$B$4,LANÇ_MOV[MÊS PAGAMENTO CORRESPONDENTE],M$6,LANÇ_MOV[EMPRESA],$C$4,LANÇ_MOV[CENTRO DE CUSTOS],$D$4)</f>
        <v>0</v>
      </c>
      <c r="N431" s="206">
        <f>SUMIFS(LANÇ_MOV[VALOR LÍQUIDO],LANÇ_MOV[RECEITA OU DESPESA],"Despesa",LANÇ_MOV[CONTAS],$C431,LANÇ_MOV[PLANO DE CONTAS],REL_DRE_FINANCEIRO!$B$343,LANÇ_MOV[ANO PAGAMENTO],$B$4,LANÇ_MOV[MÊS PAGAMENTO CORRESPONDENTE],N$6,LANÇ_MOV[EMPRESA],$C$4,LANÇ_MOV[CENTRO DE CUSTOS],$D$4)</f>
        <v>0</v>
      </c>
      <c r="O431" s="206">
        <f>SUMIFS(LANÇ_MOV[VALOR LÍQUIDO],LANÇ_MOV[RECEITA OU DESPESA],"Despesa",LANÇ_MOV[CONTAS],$C431,LANÇ_MOV[PLANO DE CONTAS],REL_DRE_FINANCEIRO!$B$343,LANÇ_MOV[ANO PAGAMENTO],$B$4,LANÇ_MOV[MÊS PAGAMENTO CORRESPONDENTE],O$6,LANÇ_MOV[EMPRESA],$C$4,LANÇ_MOV[CENTRO DE CUSTOS],$D$4)</f>
        <v>0</v>
      </c>
      <c r="P431" s="207">
        <f t="shared" si="59"/>
        <v>0</v>
      </c>
      <c r="Q431" s="329">
        <v>1.3E-6</v>
      </c>
      <c r="R431" s="346">
        <f t="shared" si="60"/>
        <v>1.3E-6</v>
      </c>
      <c r="S431" s="347" t="str">
        <f t="shared" si="61"/>
        <v>-</v>
      </c>
      <c r="T431" s="347">
        <f t="shared" si="62"/>
        <v>0</v>
      </c>
      <c r="U431" s="347">
        <f>HLOOKUP(Apoio!$P$12,$D$342:$P$443,X431,FALSE)+Q431</f>
        <v>1.3E-6</v>
      </c>
      <c r="V431" s="447" t="str">
        <f t="shared" si="63"/>
        <v>-</v>
      </c>
      <c r="W431" s="448">
        <f>HLOOKUP(Apoio!$P$12,$D$342:$P$443,X431,FALSE)</f>
        <v>0</v>
      </c>
      <c r="X431" s="329">
        <v>90</v>
      </c>
    </row>
    <row r="432" spans="2:24" ht="30.05" customHeight="1" x14ac:dyDescent="0.35">
      <c r="B432" s="204" t="str">
        <f>'CAD_PL_REC-DESP'!Q93</f>
        <v>2.3.89</v>
      </c>
      <c r="C432" s="205" t="str">
        <f>IF('CAD_PL_REC-DESP'!R93="","-",'CAD_PL_REC-DESP'!R93)</f>
        <v>-</v>
      </c>
      <c r="D432" s="206">
        <f>SUMIFS(LANÇ_MOV[VALOR LÍQUIDO],LANÇ_MOV[RECEITA OU DESPESA],"Despesa",LANÇ_MOV[CONTAS],$C432,LANÇ_MOV[PLANO DE CONTAS],REL_DRE_FINANCEIRO!$B$343,LANÇ_MOV[ANO PAGAMENTO],$B$4,LANÇ_MOV[MÊS PAGAMENTO CORRESPONDENTE],D$6,LANÇ_MOV[EMPRESA],$C$4,LANÇ_MOV[CENTRO DE CUSTOS],$D$4)</f>
        <v>0</v>
      </c>
      <c r="E432" s="206">
        <f>SUMIFS(LANÇ_MOV[VALOR LÍQUIDO],LANÇ_MOV[RECEITA OU DESPESA],"Despesa",LANÇ_MOV[CONTAS],$C432,LANÇ_MOV[PLANO DE CONTAS],REL_DRE_FINANCEIRO!$B$343,LANÇ_MOV[ANO PAGAMENTO],$B$4,LANÇ_MOV[MÊS PAGAMENTO CORRESPONDENTE],E$6,LANÇ_MOV[EMPRESA],$C$4,LANÇ_MOV[CENTRO DE CUSTOS],$D$4)</f>
        <v>0</v>
      </c>
      <c r="F432" s="206">
        <f>SUMIFS(LANÇ_MOV[VALOR LÍQUIDO],LANÇ_MOV[RECEITA OU DESPESA],"Despesa",LANÇ_MOV[CONTAS],$C432,LANÇ_MOV[PLANO DE CONTAS],REL_DRE_FINANCEIRO!$B$343,LANÇ_MOV[ANO PAGAMENTO],$B$4,LANÇ_MOV[MÊS PAGAMENTO CORRESPONDENTE],F$6,LANÇ_MOV[EMPRESA],$C$4,LANÇ_MOV[CENTRO DE CUSTOS],$D$4)</f>
        <v>0</v>
      </c>
      <c r="G432" s="206">
        <f>SUMIFS(LANÇ_MOV[VALOR LÍQUIDO],LANÇ_MOV[RECEITA OU DESPESA],"Despesa",LANÇ_MOV[CONTAS],$C432,LANÇ_MOV[PLANO DE CONTAS],REL_DRE_FINANCEIRO!$B$343,LANÇ_MOV[ANO PAGAMENTO],$B$4,LANÇ_MOV[MÊS PAGAMENTO CORRESPONDENTE],G$6,LANÇ_MOV[EMPRESA],$C$4,LANÇ_MOV[CENTRO DE CUSTOS],$D$4)</f>
        <v>0</v>
      </c>
      <c r="H432" s="206">
        <f>SUMIFS(LANÇ_MOV[VALOR LÍQUIDO],LANÇ_MOV[RECEITA OU DESPESA],"Despesa",LANÇ_MOV[CONTAS],$C432,LANÇ_MOV[PLANO DE CONTAS],REL_DRE_FINANCEIRO!$B$343,LANÇ_MOV[ANO PAGAMENTO],$B$4,LANÇ_MOV[MÊS PAGAMENTO CORRESPONDENTE],H$6,LANÇ_MOV[EMPRESA],$C$4,LANÇ_MOV[CENTRO DE CUSTOS],$D$4)</f>
        <v>0</v>
      </c>
      <c r="I432" s="206">
        <f>SUMIFS(LANÇ_MOV[VALOR LÍQUIDO],LANÇ_MOV[RECEITA OU DESPESA],"Despesa",LANÇ_MOV[CONTAS],$C432,LANÇ_MOV[PLANO DE CONTAS],REL_DRE_FINANCEIRO!$B$343,LANÇ_MOV[ANO PAGAMENTO],$B$4,LANÇ_MOV[MÊS PAGAMENTO CORRESPONDENTE],I$6,LANÇ_MOV[EMPRESA],$C$4,LANÇ_MOV[CENTRO DE CUSTOS],$D$4)</f>
        <v>0</v>
      </c>
      <c r="J432" s="206">
        <f>SUMIFS(LANÇ_MOV[VALOR LÍQUIDO],LANÇ_MOV[RECEITA OU DESPESA],"Despesa",LANÇ_MOV[CONTAS],$C432,LANÇ_MOV[PLANO DE CONTAS],REL_DRE_FINANCEIRO!$B$343,LANÇ_MOV[ANO PAGAMENTO],$B$4,LANÇ_MOV[MÊS PAGAMENTO CORRESPONDENTE],J$6,LANÇ_MOV[EMPRESA],$C$4,LANÇ_MOV[CENTRO DE CUSTOS],$D$4)</f>
        <v>0</v>
      </c>
      <c r="K432" s="206">
        <f>SUMIFS(LANÇ_MOV[VALOR LÍQUIDO],LANÇ_MOV[RECEITA OU DESPESA],"Despesa",LANÇ_MOV[CONTAS],$C432,LANÇ_MOV[PLANO DE CONTAS],REL_DRE_FINANCEIRO!$B$343,LANÇ_MOV[ANO PAGAMENTO],$B$4,LANÇ_MOV[MÊS PAGAMENTO CORRESPONDENTE],K$6,LANÇ_MOV[EMPRESA],$C$4,LANÇ_MOV[CENTRO DE CUSTOS],$D$4)</f>
        <v>0</v>
      </c>
      <c r="L432" s="206">
        <f>SUMIFS(LANÇ_MOV[VALOR LÍQUIDO],LANÇ_MOV[RECEITA OU DESPESA],"Despesa",LANÇ_MOV[CONTAS],$C432,LANÇ_MOV[PLANO DE CONTAS],REL_DRE_FINANCEIRO!$B$343,LANÇ_MOV[ANO PAGAMENTO],$B$4,LANÇ_MOV[MÊS PAGAMENTO CORRESPONDENTE],L$6,LANÇ_MOV[EMPRESA],$C$4,LANÇ_MOV[CENTRO DE CUSTOS],$D$4)</f>
        <v>0</v>
      </c>
      <c r="M432" s="206">
        <f>SUMIFS(LANÇ_MOV[VALOR LÍQUIDO],LANÇ_MOV[RECEITA OU DESPESA],"Despesa",LANÇ_MOV[CONTAS],$C432,LANÇ_MOV[PLANO DE CONTAS],REL_DRE_FINANCEIRO!$B$343,LANÇ_MOV[ANO PAGAMENTO],$B$4,LANÇ_MOV[MÊS PAGAMENTO CORRESPONDENTE],M$6,LANÇ_MOV[EMPRESA],$C$4,LANÇ_MOV[CENTRO DE CUSTOS],$D$4)</f>
        <v>0</v>
      </c>
      <c r="N432" s="206">
        <f>SUMIFS(LANÇ_MOV[VALOR LÍQUIDO],LANÇ_MOV[RECEITA OU DESPESA],"Despesa",LANÇ_MOV[CONTAS],$C432,LANÇ_MOV[PLANO DE CONTAS],REL_DRE_FINANCEIRO!$B$343,LANÇ_MOV[ANO PAGAMENTO],$B$4,LANÇ_MOV[MÊS PAGAMENTO CORRESPONDENTE],N$6,LANÇ_MOV[EMPRESA],$C$4,LANÇ_MOV[CENTRO DE CUSTOS],$D$4)</f>
        <v>0</v>
      </c>
      <c r="O432" s="206">
        <f>SUMIFS(LANÇ_MOV[VALOR LÍQUIDO],LANÇ_MOV[RECEITA OU DESPESA],"Despesa",LANÇ_MOV[CONTAS],$C432,LANÇ_MOV[PLANO DE CONTAS],REL_DRE_FINANCEIRO!$B$343,LANÇ_MOV[ANO PAGAMENTO],$B$4,LANÇ_MOV[MÊS PAGAMENTO CORRESPONDENTE],O$6,LANÇ_MOV[EMPRESA],$C$4,LANÇ_MOV[CENTRO DE CUSTOS],$D$4)</f>
        <v>0</v>
      </c>
      <c r="P432" s="207">
        <f t="shared" si="59"/>
        <v>0</v>
      </c>
      <c r="Q432" s="329">
        <v>1.1999999999999999E-6</v>
      </c>
      <c r="R432" s="346">
        <f t="shared" si="60"/>
        <v>1.1999999999999999E-6</v>
      </c>
      <c r="S432" s="347" t="str">
        <f t="shared" si="61"/>
        <v>-</v>
      </c>
      <c r="T432" s="347">
        <f t="shared" si="62"/>
        <v>0</v>
      </c>
      <c r="U432" s="347">
        <f>HLOOKUP(Apoio!$P$12,$D$342:$P$443,X432,FALSE)+Q432</f>
        <v>1.1999999999999999E-6</v>
      </c>
      <c r="V432" s="447" t="str">
        <f t="shared" si="63"/>
        <v>-</v>
      </c>
      <c r="W432" s="448">
        <f>HLOOKUP(Apoio!$P$12,$D$342:$P$443,X432,FALSE)</f>
        <v>0</v>
      </c>
      <c r="X432" s="329">
        <v>91</v>
      </c>
    </row>
    <row r="433" spans="2:50" ht="30.05" customHeight="1" x14ac:dyDescent="0.35">
      <c r="B433" s="204" t="str">
        <f>'CAD_PL_REC-DESP'!Q94</f>
        <v>2.3.90</v>
      </c>
      <c r="C433" s="205" t="str">
        <f>IF('CAD_PL_REC-DESP'!R94="","-",'CAD_PL_REC-DESP'!R94)</f>
        <v>-</v>
      </c>
      <c r="D433" s="206">
        <f>SUMIFS(LANÇ_MOV[VALOR LÍQUIDO],LANÇ_MOV[RECEITA OU DESPESA],"Despesa",LANÇ_MOV[CONTAS],$C433,LANÇ_MOV[PLANO DE CONTAS],REL_DRE_FINANCEIRO!$B$343,LANÇ_MOV[ANO PAGAMENTO],$B$4,LANÇ_MOV[MÊS PAGAMENTO CORRESPONDENTE],D$6,LANÇ_MOV[EMPRESA],$C$4,LANÇ_MOV[CENTRO DE CUSTOS],$D$4)</f>
        <v>0</v>
      </c>
      <c r="E433" s="206">
        <f>SUMIFS(LANÇ_MOV[VALOR LÍQUIDO],LANÇ_MOV[RECEITA OU DESPESA],"Despesa",LANÇ_MOV[CONTAS],$C433,LANÇ_MOV[PLANO DE CONTAS],REL_DRE_FINANCEIRO!$B$343,LANÇ_MOV[ANO PAGAMENTO],$B$4,LANÇ_MOV[MÊS PAGAMENTO CORRESPONDENTE],E$6,LANÇ_MOV[EMPRESA],$C$4,LANÇ_MOV[CENTRO DE CUSTOS],$D$4)</f>
        <v>0</v>
      </c>
      <c r="F433" s="206">
        <f>SUMIFS(LANÇ_MOV[VALOR LÍQUIDO],LANÇ_MOV[RECEITA OU DESPESA],"Despesa",LANÇ_MOV[CONTAS],$C433,LANÇ_MOV[PLANO DE CONTAS],REL_DRE_FINANCEIRO!$B$343,LANÇ_MOV[ANO PAGAMENTO],$B$4,LANÇ_MOV[MÊS PAGAMENTO CORRESPONDENTE],F$6,LANÇ_MOV[EMPRESA],$C$4,LANÇ_MOV[CENTRO DE CUSTOS],$D$4)</f>
        <v>0</v>
      </c>
      <c r="G433" s="206">
        <f>SUMIFS(LANÇ_MOV[VALOR LÍQUIDO],LANÇ_MOV[RECEITA OU DESPESA],"Despesa",LANÇ_MOV[CONTAS],$C433,LANÇ_MOV[PLANO DE CONTAS],REL_DRE_FINANCEIRO!$B$343,LANÇ_MOV[ANO PAGAMENTO],$B$4,LANÇ_MOV[MÊS PAGAMENTO CORRESPONDENTE],G$6,LANÇ_MOV[EMPRESA],$C$4,LANÇ_MOV[CENTRO DE CUSTOS],$D$4)</f>
        <v>0</v>
      </c>
      <c r="H433" s="206">
        <f>SUMIFS(LANÇ_MOV[VALOR LÍQUIDO],LANÇ_MOV[RECEITA OU DESPESA],"Despesa",LANÇ_MOV[CONTAS],$C433,LANÇ_MOV[PLANO DE CONTAS],REL_DRE_FINANCEIRO!$B$343,LANÇ_MOV[ANO PAGAMENTO],$B$4,LANÇ_MOV[MÊS PAGAMENTO CORRESPONDENTE],H$6,LANÇ_MOV[EMPRESA],$C$4,LANÇ_MOV[CENTRO DE CUSTOS],$D$4)</f>
        <v>0</v>
      </c>
      <c r="I433" s="206">
        <f>SUMIFS(LANÇ_MOV[VALOR LÍQUIDO],LANÇ_MOV[RECEITA OU DESPESA],"Despesa",LANÇ_MOV[CONTAS],$C433,LANÇ_MOV[PLANO DE CONTAS],REL_DRE_FINANCEIRO!$B$343,LANÇ_MOV[ANO PAGAMENTO],$B$4,LANÇ_MOV[MÊS PAGAMENTO CORRESPONDENTE],I$6,LANÇ_MOV[EMPRESA],$C$4,LANÇ_MOV[CENTRO DE CUSTOS],$D$4)</f>
        <v>0</v>
      </c>
      <c r="J433" s="206">
        <f>SUMIFS(LANÇ_MOV[VALOR LÍQUIDO],LANÇ_MOV[RECEITA OU DESPESA],"Despesa",LANÇ_MOV[CONTAS],$C433,LANÇ_MOV[PLANO DE CONTAS],REL_DRE_FINANCEIRO!$B$343,LANÇ_MOV[ANO PAGAMENTO],$B$4,LANÇ_MOV[MÊS PAGAMENTO CORRESPONDENTE],J$6,LANÇ_MOV[EMPRESA],$C$4,LANÇ_MOV[CENTRO DE CUSTOS],$D$4)</f>
        <v>0</v>
      </c>
      <c r="K433" s="206">
        <f>SUMIFS(LANÇ_MOV[VALOR LÍQUIDO],LANÇ_MOV[RECEITA OU DESPESA],"Despesa",LANÇ_MOV[CONTAS],$C433,LANÇ_MOV[PLANO DE CONTAS],REL_DRE_FINANCEIRO!$B$343,LANÇ_MOV[ANO PAGAMENTO],$B$4,LANÇ_MOV[MÊS PAGAMENTO CORRESPONDENTE],K$6,LANÇ_MOV[EMPRESA],$C$4,LANÇ_MOV[CENTRO DE CUSTOS],$D$4)</f>
        <v>0</v>
      </c>
      <c r="L433" s="206">
        <f>SUMIFS(LANÇ_MOV[VALOR LÍQUIDO],LANÇ_MOV[RECEITA OU DESPESA],"Despesa",LANÇ_MOV[CONTAS],$C433,LANÇ_MOV[PLANO DE CONTAS],REL_DRE_FINANCEIRO!$B$343,LANÇ_MOV[ANO PAGAMENTO],$B$4,LANÇ_MOV[MÊS PAGAMENTO CORRESPONDENTE],L$6,LANÇ_MOV[EMPRESA],$C$4,LANÇ_MOV[CENTRO DE CUSTOS],$D$4)</f>
        <v>0</v>
      </c>
      <c r="M433" s="206">
        <f>SUMIFS(LANÇ_MOV[VALOR LÍQUIDO],LANÇ_MOV[RECEITA OU DESPESA],"Despesa",LANÇ_MOV[CONTAS],$C433,LANÇ_MOV[PLANO DE CONTAS],REL_DRE_FINANCEIRO!$B$343,LANÇ_MOV[ANO PAGAMENTO],$B$4,LANÇ_MOV[MÊS PAGAMENTO CORRESPONDENTE],M$6,LANÇ_MOV[EMPRESA],$C$4,LANÇ_MOV[CENTRO DE CUSTOS],$D$4)</f>
        <v>0</v>
      </c>
      <c r="N433" s="206">
        <f>SUMIFS(LANÇ_MOV[VALOR LÍQUIDO],LANÇ_MOV[RECEITA OU DESPESA],"Despesa",LANÇ_MOV[CONTAS],$C433,LANÇ_MOV[PLANO DE CONTAS],REL_DRE_FINANCEIRO!$B$343,LANÇ_MOV[ANO PAGAMENTO],$B$4,LANÇ_MOV[MÊS PAGAMENTO CORRESPONDENTE],N$6,LANÇ_MOV[EMPRESA],$C$4,LANÇ_MOV[CENTRO DE CUSTOS],$D$4)</f>
        <v>0</v>
      </c>
      <c r="O433" s="206">
        <f>SUMIFS(LANÇ_MOV[VALOR LÍQUIDO],LANÇ_MOV[RECEITA OU DESPESA],"Despesa",LANÇ_MOV[CONTAS],$C433,LANÇ_MOV[PLANO DE CONTAS],REL_DRE_FINANCEIRO!$B$343,LANÇ_MOV[ANO PAGAMENTO],$B$4,LANÇ_MOV[MÊS PAGAMENTO CORRESPONDENTE],O$6,LANÇ_MOV[EMPRESA],$C$4,LANÇ_MOV[CENTRO DE CUSTOS],$D$4)</f>
        <v>0</v>
      </c>
      <c r="P433" s="207">
        <f t="shared" si="59"/>
        <v>0</v>
      </c>
      <c r="Q433" s="329">
        <v>1.1000000000000001E-6</v>
      </c>
      <c r="R433" s="346">
        <f t="shared" si="60"/>
        <v>1.1000000000000001E-6</v>
      </c>
      <c r="S433" s="347" t="str">
        <f t="shared" si="61"/>
        <v>-</v>
      </c>
      <c r="T433" s="347">
        <f t="shared" si="62"/>
        <v>0</v>
      </c>
      <c r="U433" s="347">
        <f>HLOOKUP(Apoio!$P$12,$D$342:$P$443,X433,FALSE)+Q433</f>
        <v>1.1000000000000001E-6</v>
      </c>
      <c r="V433" s="447" t="str">
        <f t="shared" si="63"/>
        <v>-</v>
      </c>
      <c r="W433" s="448">
        <f>HLOOKUP(Apoio!$P$12,$D$342:$P$443,X433,FALSE)</f>
        <v>0</v>
      </c>
      <c r="X433" s="329">
        <v>92</v>
      </c>
    </row>
    <row r="434" spans="2:50" ht="30.05" customHeight="1" x14ac:dyDescent="0.35">
      <c r="B434" s="204" t="str">
        <f>'CAD_PL_REC-DESP'!Q95</f>
        <v>2.3.91</v>
      </c>
      <c r="C434" s="205" t="str">
        <f>IF('CAD_PL_REC-DESP'!R95="","-",'CAD_PL_REC-DESP'!R95)</f>
        <v>-</v>
      </c>
      <c r="D434" s="206">
        <f>SUMIFS(LANÇ_MOV[VALOR LÍQUIDO],LANÇ_MOV[RECEITA OU DESPESA],"Despesa",LANÇ_MOV[CONTAS],$C434,LANÇ_MOV[PLANO DE CONTAS],REL_DRE_FINANCEIRO!$B$343,LANÇ_MOV[ANO PAGAMENTO],$B$4,LANÇ_MOV[MÊS PAGAMENTO CORRESPONDENTE],D$6,LANÇ_MOV[EMPRESA],$C$4,LANÇ_MOV[CENTRO DE CUSTOS],$D$4)</f>
        <v>0</v>
      </c>
      <c r="E434" s="206">
        <f>SUMIFS(LANÇ_MOV[VALOR LÍQUIDO],LANÇ_MOV[RECEITA OU DESPESA],"Despesa",LANÇ_MOV[CONTAS],$C434,LANÇ_MOV[PLANO DE CONTAS],REL_DRE_FINANCEIRO!$B$343,LANÇ_MOV[ANO PAGAMENTO],$B$4,LANÇ_MOV[MÊS PAGAMENTO CORRESPONDENTE],E$6,LANÇ_MOV[EMPRESA],$C$4,LANÇ_MOV[CENTRO DE CUSTOS],$D$4)</f>
        <v>0</v>
      </c>
      <c r="F434" s="206">
        <f>SUMIFS(LANÇ_MOV[VALOR LÍQUIDO],LANÇ_MOV[RECEITA OU DESPESA],"Despesa",LANÇ_MOV[CONTAS],$C434,LANÇ_MOV[PLANO DE CONTAS],REL_DRE_FINANCEIRO!$B$343,LANÇ_MOV[ANO PAGAMENTO],$B$4,LANÇ_MOV[MÊS PAGAMENTO CORRESPONDENTE],F$6,LANÇ_MOV[EMPRESA],$C$4,LANÇ_MOV[CENTRO DE CUSTOS],$D$4)</f>
        <v>0</v>
      </c>
      <c r="G434" s="206">
        <f>SUMIFS(LANÇ_MOV[VALOR LÍQUIDO],LANÇ_MOV[RECEITA OU DESPESA],"Despesa",LANÇ_MOV[CONTAS],$C434,LANÇ_MOV[PLANO DE CONTAS],REL_DRE_FINANCEIRO!$B$343,LANÇ_MOV[ANO PAGAMENTO],$B$4,LANÇ_MOV[MÊS PAGAMENTO CORRESPONDENTE],G$6,LANÇ_MOV[EMPRESA],$C$4,LANÇ_MOV[CENTRO DE CUSTOS],$D$4)</f>
        <v>0</v>
      </c>
      <c r="H434" s="206">
        <f>SUMIFS(LANÇ_MOV[VALOR LÍQUIDO],LANÇ_MOV[RECEITA OU DESPESA],"Despesa",LANÇ_MOV[CONTAS],$C434,LANÇ_MOV[PLANO DE CONTAS],REL_DRE_FINANCEIRO!$B$343,LANÇ_MOV[ANO PAGAMENTO],$B$4,LANÇ_MOV[MÊS PAGAMENTO CORRESPONDENTE],H$6,LANÇ_MOV[EMPRESA],$C$4,LANÇ_MOV[CENTRO DE CUSTOS],$D$4)</f>
        <v>0</v>
      </c>
      <c r="I434" s="206">
        <f>SUMIFS(LANÇ_MOV[VALOR LÍQUIDO],LANÇ_MOV[RECEITA OU DESPESA],"Despesa",LANÇ_MOV[CONTAS],$C434,LANÇ_MOV[PLANO DE CONTAS],REL_DRE_FINANCEIRO!$B$343,LANÇ_MOV[ANO PAGAMENTO],$B$4,LANÇ_MOV[MÊS PAGAMENTO CORRESPONDENTE],I$6,LANÇ_MOV[EMPRESA],$C$4,LANÇ_MOV[CENTRO DE CUSTOS],$D$4)</f>
        <v>0</v>
      </c>
      <c r="J434" s="206">
        <f>SUMIFS(LANÇ_MOV[VALOR LÍQUIDO],LANÇ_MOV[RECEITA OU DESPESA],"Despesa",LANÇ_MOV[CONTAS],$C434,LANÇ_MOV[PLANO DE CONTAS],REL_DRE_FINANCEIRO!$B$343,LANÇ_MOV[ANO PAGAMENTO],$B$4,LANÇ_MOV[MÊS PAGAMENTO CORRESPONDENTE],J$6,LANÇ_MOV[EMPRESA],$C$4,LANÇ_MOV[CENTRO DE CUSTOS],$D$4)</f>
        <v>0</v>
      </c>
      <c r="K434" s="206">
        <f>SUMIFS(LANÇ_MOV[VALOR LÍQUIDO],LANÇ_MOV[RECEITA OU DESPESA],"Despesa",LANÇ_MOV[CONTAS],$C434,LANÇ_MOV[PLANO DE CONTAS],REL_DRE_FINANCEIRO!$B$343,LANÇ_MOV[ANO PAGAMENTO],$B$4,LANÇ_MOV[MÊS PAGAMENTO CORRESPONDENTE],K$6,LANÇ_MOV[EMPRESA],$C$4,LANÇ_MOV[CENTRO DE CUSTOS],$D$4)</f>
        <v>0</v>
      </c>
      <c r="L434" s="206">
        <f>SUMIFS(LANÇ_MOV[VALOR LÍQUIDO],LANÇ_MOV[RECEITA OU DESPESA],"Despesa",LANÇ_MOV[CONTAS],$C434,LANÇ_MOV[PLANO DE CONTAS],REL_DRE_FINANCEIRO!$B$343,LANÇ_MOV[ANO PAGAMENTO],$B$4,LANÇ_MOV[MÊS PAGAMENTO CORRESPONDENTE],L$6,LANÇ_MOV[EMPRESA],$C$4,LANÇ_MOV[CENTRO DE CUSTOS],$D$4)</f>
        <v>0</v>
      </c>
      <c r="M434" s="206">
        <f>SUMIFS(LANÇ_MOV[VALOR LÍQUIDO],LANÇ_MOV[RECEITA OU DESPESA],"Despesa",LANÇ_MOV[CONTAS],$C434,LANÇ_MOV[PLANO DE CONTAS],REL_DRE_FINANCEIRO!$B$343,LANÇ_MOV[ANO PAGAMENTO],$B$4,LANÇ_MOV[MÊS PAGAMENTO CORRESPONDENTE],M$6,LANÇ_MOV[EMPRESA],$C$4,LANÇ_MOV[CENTRO DE CUSTOS],$D$4)</f>
        <v>0</v>
      </c>
      <c r="N434" s="206">
        <f>SUMIFS(LANÇ_MOV[VALOR LÍQUIDO],LANÇ_MOV[RECEITA OU DESPESA],"Despesa",LANÇ_MOV[CONTAS],$C434,LANÇ_MOV[PLANO DE CONTAS],REL_DRE_FINANCEIRO!$B$343,LANÇ_MOV[ANO PAGAMENTO],$B$4,LANÇ_MOV[MÊS PAGAMENTO CORRESPONDENTE],N$6,LANÇ_MOV[EMPRESA],$C$4,LANÇ_MOV[CENTRO DE CUSTOS],$D$4)</f>
        <v>0</v>
      </c>
      <c r="O434" s="206">
        <f>SUMIFS(LANÇ_MOV[VALOR LÍQUIDO],LANÇ_MOV[RECEITA OU DESPESA],"Despesa",LANÇ_MOV[CONTAS],$C434,LANÇ_MOV[PLANO DE CONTAS],REL_DRE_FINANCEIRO!$B$343,LANÇ_MOV[ANO PAGAMENTO],$B$4,LANÇ_MOV[MÊS PAGAMENTO CORRESPONDENTE],O$6,LANÇ_MOV[EMPRESA],$C$4,LANÇ_MOV[CENTRO DE CUSTOS],$D$4)</f>
        <v>0</v>
      </c>
      <c r="P434" s="207">
        <f t="shared" si="59"/>
        <v>0</v>
      </c>
      <c r="Q434" s="329">
        <v>9.9999999999999995E-7</v>
      </c>
      <c r="R434" s="346">
        <f t="shared" si="60"/>
        <v>9.9999999999999995E-7</v>
      </c>
      <c r="S434" s="347" t="str">
        <f t="shared" si="61"/>
        <v>-</v>
      </c>
      <c r="T434" s="347">
        <f t="shared" si="62"/>
        <v>0</v>
      </c>
      <c r="U434" s="347">
        <f>HLOOKUP(Apoio!$P$12,$D$342:$P$443,X434,FALSE)+Q434</f>
        <v>9.9999999999999995E-7</v>
      </c>
      <c r="V434" s="447" t="str">
        <f t="shared" si="63"/>
        <v>-</v>
      </c>
      <c r="W434" s="448">
        <f>HLOOKUP(Apoio!$P$12,$D$342:$P$443,X434,FALSE)</f>
        <v>0</v>
      </c>
      <c r="X434" s="329">
        <v>93</v>
      </c>
    </row>
    <row r="435" spans="2:50" ht="30.05" customHeight="1" x14ac:dyDescent="0.35">
      <c r="B435" s="204" t="str">
        <f>'CAD_PL_REC-DESP'!Q96</f>
        <v>2.3.92</v>
      </c>
      <c r="C435" s="205" t="str">
        <f>IF('CAD_PL_REC-DESP'!R96="","-",'CAD_PL_REC-DESP'!R96)</f>
        <v>-</v>
      </c>
      <c r="D435" s="206">
        <f>SUMIFS(LANÇ_MOV[VALOR LÍQUIDO],LANÇ_MOV[RECEITA OU DESPESA],"Despesa",LANÇ_MOV[CONTAS],$C435,LANÇ_MOV[PLANO DE CONTAS],REL_DRE_FINANCEIRO!$B$343,LANÇ_MOV[ANO PAGAMENTO],$B$4,LANÇ_MOV[MÊS PAGAMENTO CORRESPONDENTE],D$6,LANÇ_MOV[EMPRESA],$C$4,LANÇ_MOV[CENTRO DE CUSTOS],$D$4)</f>
        <v>0</v>
      </c>
      <c r="E435" s="206">
        <f>SUMIFS(LANÇ_MOV[VALOR LÍQUIDO],LANÇ_MOV[RECEITA OU DESPESA],"Despesa",LANÇ_MOV[CONTAS],$C435,LANÇ_MOV[PLANO DE CONTAS],REL_DRE_FINANCEIRO!$B$343,LANÇ_MOV[ANO PAGAMENTO],$B$4,LANÇ_MOV[MÊS PAGAMENTO CORRESPONDENTE],E$6,LANÇ_MOV[EMPRESA],$C$4,LANÇ_MOV[CENTRO DE CUSTOS],$D$4)</f>
        <v>0</v>
      </c>
      <c r="F435" s="206">
        <f>SUMIFS(LANÇ_MOV[VALOR LÍQUIDO],LANÇ_MOV[RECEITA OU DESPESA],"Despesa",LANÇ_MOV[CONTAS],$C435,LANÇ_MOV[PLANO DE CONTAS],REL_DRE_FINANCEIRO!$B$343,LANÇ_MOV[ANO PAGAMENTO],$B$4,LANÇ_MOV[MÊS PAGAMENTO CORRESPONDENTE],F$6,LANÇ_MOV[EMPRESA],$C$4,LANÇ_MOV[CENTRO DE CUSTOS],$D$4)</f>
        <v>0</v>
      </c>
      <c r="G435" s="206">
        <f>SUMIFS(LANÇ_MOV[VALOR LÍQUIDO],LANÇ_MOV[RECEITA OU DESPESA],"Despesa",LANÇ_MOV[CONTAS],$C435,LANÇ_MOV[PLANO DE CONTAS],REL_DRE_FINANCEIRO!$B$343,LANÇ_MOV[ANO PAGAMENTO],$B$4,LANÇ_MOV[MÊS PAGAMENTO CORRESPONDENTE],G$6,LANÇ_MOV[EMPRESA],$C$4,LANÇ_MOV[CENTRO DE CUSTOS],$D$4)</f>
        <v>0</v>
      </c>
      <c r="H435" s="206">
        <f>SUMIFS(LANÇ_MOV[VALOR LÍQUIDO],LANÇ_MOV[RECEITA OU DESPESA],"Despesa",LANÇ_MOV[CONTAS],$C435,LANÇ_MOV[PLANO DE CONTAS],REL_DRE_FINANCEIRO!$B$343,LANÇ_MOV[ANO PAGAMENTO],$B$4,LANÇ_MOV[MÊS PAGAMENTO CORRESPONDENTE],H$6,LANÇ_MOV[EMPRESA],$C$4,LANÇ_MOV[CENTRO DE CUSTOS],$D$4)</f>
        <v>0</v>
      </c>
      <c r="I435" s="206">
        <f>SUMIFS(LANÇ_MOV[VALOR LÍQUIDO],LANÇ_MOV[RECEITA OU DESPESA],"Despesa",LANÇ_MOV[CONTAS],$C435,LANÇ_MOV[PLANO DE CONTAS],REL_DRE_FINANCEIRO!$B$343,LANÇ_MOV[ANO PAGAMENTO],$B$4,LANÇ_MOV[MÊS PAGAMENTO CORRESPONDENTE],I$6,LANÇ_MOV[EMPRESA],$C$4,LANÇ_MOV[CENTRO DE CUSTOS],$D$4)</f>
        <v>0</v>
      </c>
      <c r="J435" s="206">
        <f>SUMIFS(LANÇ_MOV[VALOR LÍQUIDO],LANÇ_MOV[RECEITA OU DESPESA],"Despesa",LANÇ_MOV[CONTAS],$C435,LANÇ_MOV[PLANO DE CONTAS],REL_DRE_FINANCEIRO!$B$343,LANÇ_MOV[ANO PAGAMENTO],$B$4,LANÇ_MOV[MÊS PAGAMENTO CORRESPONDENTE],J$6,LANÇ_MOV[EMPRESA],$C$4,LANÇ_MOV[CENTRO DE CUSTOS],$D$4)</f>
        <v>0</v>
      </c>
      <c r="K435" s="206">
        <f>SUMIFS(LANÇ_MOV[VALOR LÍQUIDO],LANÇ_MOV[RECEITA OU DESPESA],"Despesa",LANÇ_MOV[CONTAS],$C435,LANÇ_MOV[PLANO DE CONTAS],REL_DRE_FINANCEIRO!$B$343,LANÇ_MOV[ANO PAGAMENTO],$B$4,LANÇ_MOV[MÊS PAGAMENTO CORRESPONDENTE],K$6,LANÇ_MOV[EMPRESA],$C$4,LANÇ_MOV[CENTRO DE CUSTOS],$D$4)</f>
        <v>0</v>
      </c>
      <c r="L435" s="206">
        <f>SUMIFS(LANÇ_MOV[VALOR LÍQUIDO],LANÇ_MOV[RECEITA OU DESPESA],"Despesa",LANÇ_MOV[CONTAS],$C435,LANÇ_MOV[PLANO DE CONTAS],REL_DRE_FINANCEIRO!$B$343,LANÇ_MOV[ANO PAGAMENTO],$B$4,LANÇ_MOV[MÊS PAGAMENTO CORRESPONDENTE],L$6,LANÇ_MOV[EMPRESA],$C$4,LANÇ_MOV[CENTRO DE CUSTOS],$D$4)</f>
        <v>0</v>
      </c>
      <c r="M435" s="206">
        <f>SUMIFS(LANÇ_MOV[VALOR LÍQUIDO],LANÇ_MOV[RECEITA OU DESPESA],"Despesa",LANÇ_MOV[CONTAS],$C435,LANÇ_MOV[PLANO DE CONTAS],REL_DRE_FINANCEIRO!$B$343,LANÇ_MOV[ANO PAGAMENTO],$B$4,LANÇ_MOV[MÊS PAGAMENTO CORRESPONDENTE],M$6,LANÇ_MOV[EMPRESA],$C$4,LANÇ_MOV[CENTRO DE CUSTOS],$D$4)</f>
        <v>0</v>
      </c>
      <c r="N435" s="206">
        <f>SUMIFS(LANÇ_MOV[VALOR LÍQUIDO],LANÇ_MOV[RECEITA OU DESPESA],"Despesa",LANÇ_MOV[CONTAS],$C435,LANÇ_MOV[PLANO DE CONTAS],REL_DRE_FINANCEIRO!$B$343,LANÇ_MOV[ANO PAGAMENTO],$B$4,LANÇ_MOV[MÊS PAGAMENTO CORRESPONDENTE],N$6,LANÇ_MOV[EMPRESA],$C$4,LANÇ_MOV[CENTRO DE CUSTOS],$D$4)</f>
        <v>0</v>
      </c>
      <c r="O435" s="206">
        <f>SUMIFS(LANÇ_MOV[VALOR LÍQUIDO],LANÇ_MOV[RECEITA OU DESPESA],"Despesa",LANÇ_MOV[CONTAS],$C435,LANÇ_MOV[PLANO DE CONTAS],REL_DRE_FINANCEIRO!$B$343,LANÇ_MOV[ANO PAGAMENTO],$B$4,LANÇ_MOV[MÊS PAGAMENTO CORRESPONDENTE],O$6,LANÇ_MOV[EMPRESA],$C$4,LANÇ_MOV[CENTRO DE CUSTOS],$D$4)</f>
        <v>0</v>
      </c>
      <c r="P435" s="207">
        <f t="shared" si="59"/>
        <v>0</v>
      </c>
      <c r="Q435" s="329">
        <v>8.9999999999999996E-7</v>
      </c>
      <c r="R435" s="346">
        <f t="shared" si="60"/>
        <v>8.9999999999999996E-7</v>
      </c>
      <c r="S435" s="347" t="str">
        <f t="shared" si="61"/>
        <v>-</v>
      </c>
      <c r="T435" s="347">
        <f t="shared" si="62"/>
        <v>0</v>
      </c>
      <c r="U435" s="347">
        <f>HLOOKUP(Apoio!$P$12,$D$342:$P$443,X435,FALSE)+Q435</f>
        <v>8.9999999999999996E-7</v>
      </c>
      <c r="V435" s="447" t="str">
        <f t="shared" si="63"/>
        <v>-</v>
      </c>
      <c r="W435" s="448">
        <f>HLOOKUP(Apoio!$P$12,$D$342:$P$443,X435,FALSE)</f>
        <v>0</v>
      </c>
      <c r="X435" s="329">
        <v>94</v>
      </c>
    </row>
    <row r="436" spans="2:50" ht="30.05" customHeight="1" x14ac:dyDescent="0.35">
      <c r="B436" s="204" t="str">
        <f>'CAD_PL_REC-DESP'!Q97</f>
        <v>2.3.93</v>
      </c>
      <c r="C436" s="205" t="str">
        <f>IF('CAD_PL_REC-DESP'!R97="","-",'CAD_PL_REC-DESP'!R97)</f>
        <v>-</v>
      </c>
      <c r="D436" s="206">
        <f>SUMIFS(LANÇ_MOV[VALOR LÍQUIDO],LANÇ_MOV[RECEITA OU DESPESA],"Despesa",LANÇ_MOV[CONTAS],$C436,LANÇ_MOV[PLANO DE CONTAS],REL_DRE_FINANCEIRO!$B$343,LANÇ_MOV[ANO PAGAMENTO],$B$4,LANÇ_MOV[MÊS PAGAMENTO CORRESPONDENTE],D$6,LANÇ_MOV[EMPRESA],$C$4,LANÇ_MOV[CENTRO DE CUSTOS],$D$4)</f>
        <v>0</v>
      </c>
      <c r="E436" s="206">
        <f>SUMIFS(LANÇ_MOV[VALOR LÍQUIDO],LANÇ_MOV[RECEITA OU DESPESA],"Despesa",LANÇ_MOV[CONTAS],$C436,LANÇ_MOV[PLANO DE CONTAS],REL_DRE_FINANCEIRO!$B$343,LANÇ_MOV[ANO PAGAMENTO],$B$4,LANÇ_MOV[MÊS PAGAMENTO CORRESPONDENTE],E$6,LANÇ_MOV[EMPRESA],$C$4,LANÇ_MOV[CENTRO DE CUSTOS],$D$4)</f>
        <v>0</v>
      </c>
      <c r="F436" s="206">
        <f>SUMIFS(LANÇ_MOV[VALOR LÍQUIDO],LANÇ_MOV[RECEITA OU DESPESA],"Despesa",LANÇ_MOV[CONTAS],$C436,LANÇ_MOV[PLANO DE CONTAS],REL_DRE_FINANCEIRO!$B$343,LANÇ_MOV[ANO PAGAMENTO],$B$4,LANÇ_MOV[MÊS PAGAMENTO CORRESPONDENTE],F$6,LANÇ_MOV[EMPRESA],$C$4,LANÇ_MOV[CENTRO DE CUSTOS],$D$4)</f>
        <v>0</v>
      </c>
      <c r="G436" s="206">
        <f>SUMIFS(LANÇ_MOV[VALOR LÍQUIDO],LANÇ_MOV[RECEITA OU DESPESA],"Despesa",LANÇ_MOV[CONTAS],$C436,LANÇ_MOV[PLANO DE CONTAS],REL_DRE_FINANCEIRO!$B$343,LANÇ_MOV[ANO PAGAMENTO],$B$4,LANÇ_MOV[MÊS PAGAMENTO CORRESPONDENTE],G$6,LANÇ_MOV[EMPRESA],$C$4,LANÇ_MOV[CENTRO DE CUSTOS],$D$4)</f>
        <v>0</v>
      </c>
      <c r="H436" s="206">
        <f>SUMIFS(LANÇ_MOV[VALOR LÍQUIDO],LANÇ_MOV[RECEITA OU DESPESA],"Despesa",LANÇ_MOV[CONTAS],$C436,LANÇ_MOV[PLANO DE CONTAS],REL_DRE_FINANCEIRO!$B$343,LANÇ_MOV[ANO PAGAMENTO],$B$4,LANÇ_MOV[MÊS PAGAMENTO CORRESPONDENTE],H$6,LANÇ_MOV[EMPRESA],$C$4,LANÇ_MOV[CENTRO DE CUSTOS],$D$4)</f>
        <v>0</v>
      </c>
      <c r="I436" s="206">
        <f>SUMIFS(LANÇ_MOV[VALOR LÍQUIDO],LANÇ_MOV[RECEITA OU DESPESA],"Despesa",LANÇ_MOV[CONTAS],$C436,LANÇ_MOV[PLANO DE CONTAS],REL_DRE_FINANCEIRO!$B$343,LANÇ_MOV[ANO PAGAMENTO],$B$4,LANÇ_MOV[MÊS PAGAMENTO CORRESPONDENTE],I$6,LANÇ_MOV[EMPRESA],$C$4,LANÇ_MOV[CENTRO DE CUSTOS],$D$4)</f>
        <v>0</v>
      </c>
      <c r="J436" s="206">
        <f>SUMIFS(LANÇ_MOV[VALOR LÍQUIDO],LANÇ_MOV[RECEITA OU DESPESA],"Despesa",LANÇ_MOV[CONTAS],$C436,LANÇ_MOV[PLANO DE CONTAS],REL_DRE_FINANCEIRO!$B$343,LANÇ_MOV[ANO PAGAMENTO],$B$4,LANÇ_MOV[MÊS PAGAMENTO CORRESPONDENTE],J$6,LANÇ_MOV[EMPRESA],$C$4,LANÇ_MOV[CENTRO DE CUSTOS],$D$4)</f>
        <v>0</v>
      </c>
      <c r="K436" s="206">
        <f>SUMIFS(LANÇ_MOV[VALOR LÍQUIDO],LANÇ_MOV[RECEITA OU DESPESA],"Despesa",LANÇ_MOV[CONTAS],$C436,LANÇ_MOV[PLANO DE CONTAS],REL_DRE_FINANCEIRO!$B$343,LANÇ_MOV[ANO PAGAMENTO],$B$4,LANÇ_MOV[MÊS PAGAMENTO CORRESPONDENTE],K$6,LANÇ_MOV[EMPRESA],$C$4,LANÇ_MOV[CENTRO DE CUSTOS],$D$4)</f>
        <v>0</v>
      </c>
      <c r="L436" s="206">
        <f>SUMIFS(LANÇ_MOV[VALOR LÍQUIDO],LANÇ_MOV[RECEITA OU DESPESA],"Despesa",LANÇ_MOV[CONTAS],$C436,LANÇ_MOV[PLANO DE CONTAS],REL_DRE_FINANCEIRO!$B$343,LANÇ_MOV[ANO PAGAMENTO],$B$4,LANÇ_MOV[MÊS PAGAMENTO CORRESPONDENTE],L$6,LANÇ_MOV[EMPRESA],$C$4,LANÇ_MOV[CENTRO DE CUSTOS],$D$4)</f>
        <v>0</v>
      </c>
      <c r="M436" s="206">
        <f>SUMIFS(LANÇ_MOV[VALOR LÍQUIDO],LANÇ_MOV[RECEITA OU DESPESA],"Despesa",LANÇ_MOV[CONTAS],$C436,LANÇ_MOV[PLANO DE CONTAS],REL_DRE_FINANCEIRO!$B$343,LANÇ_MOV[ANO PAGAMENTO],$B$4,LANÇ_MOV[MÊS PAGAMENTO CORRESPONDENTE],M$6,LANÇ_MOV[EMPRESA],$C$4,LANÇ_MOV[CENTRO DE CUSTOS],$D$4)</f>
        <v>0</v>
      </c>
      <c r="N436" s="206">
        <f>SUMIFS(LANÇ_MOV[VALOR LÍQUIDO],LANÇ_MOV[RECEITA OU DESPESA],"Despesa",LANÇ_MOV[CONTAS],$C436,LANÇ_MOV[PLANO DE CONTAS],REL_DRE_FINANCEIRO!$B$343,LANÇ_MOV[ANO PAGAMENTO],$B$4,LANÇ_MOV[MÊS PAGAMENTO CORRESPONDENTE],N$6,LANÇ_MOV[EMPRESA],$C$4,LANÇ_MOV[CENTRO DE CUSTOS],$D$4)</f>
        <v>0</v>
      </c>
      <c r="O436" s="206">
        <f>SUMIFS(LANÇ_MOV[VALOR LÍQUIDO],LANÇ_MOV[RECEITA OU DESPESA],"Despesa",LANÇ_MOV[CONTAS],$C436,LANÇ_MOV[PLANO DE CONTAS],REL_DRE_FINANCEIRO!$B$343,LANÇ_MOV[ANO PAGAMENTO],$B$4,LANÇ_MOV[MÊS PAGAMENTO CORRESPONDENTE],O$6,LANÇ_MOV[EMPRESA],$C$4,LANÇ_MOV[CENTRO DE CUSTOS],$D$4)</f>
        <v>0</v>
      </c>
      <c r="P436" s="207">
        <f t="shared" si="59"/>
        <v>0</v>
      </c>
      <c r="Q436" s="329">
        <v>7.9999999999999996E-7</v>
      </c>
      <c r="R436" s="346">
        <f t="shared" si="60"/>
        <v>7.9999999999999996E-7</v>
      </c>
      <c r="S436" s="347" t="str">
        <f t="shared" si="61"/>
        <v>-</v>
      </c>
      <c r="T436" s="347">
        <f t="shared" si="62"/>
        <v>0</v>
      </c>
      <c r="U436" s="347">
        <f>HLOOKUP(Apoio!$P$12,$D$342:$P$443,X436,FALSE)+Q436</f>
        <v>7.9999999999999996E-7</v>
      </c>
      <c r="V436" s="447" t="str">
        <f t="shared" si="63"/>
        <v>-</v>
      </c>
      <c r="W436" s="448">
        <f>HLOOKUP(Apoio!$P$12,$D$342:$P$443,X436,FALSE)</f>
        <v>0</v>
      </c>
      <c r="X436" s="329">
        <v>95</v>
      </c>
    </row>
    <row r="437" spans="2:50" ht="30.05" customHeight="1" x14ac:dyDescent="0.35">
      <c r="B437" s="204" t="str">
        <f>'CAD_PL_REC-DESP'!Q98</f>
        <v>2.3.94</v>
      </c>
      <c r="C437" s="205" t="str">
        <f>IF('CAD_PL_REC-DESP'!R98="","-",'CAD_PL_REC-DESP'!R98)</f>
        <v>-</v>
      </c>
      <c r="D437" s="206">
        <f>SUMIFS(LANÇ_MOV[VALOR LÍQUIDO],LANÇ_MOV[RECEITA OU DESPESA],"Despesa",LANÇ_MOV[CONTAS],$C437,LANÇ_MOV[PLANO DE CONTAS],REL_DRE_FINANCEIRO!$B$343,LANÇ_MOV[ANO PAGAMENTO],$B$4,LANÇ_MOV[MÊS PAGAMENTO CORRESPONDENTE],D$6,LANÇ_MOV[EMPRESA],$C$4,LANÇ_MOV[CENTRO DE CUSTOS],$D$4)</f>
        <v>0</v>
      </c>
      <c r="E437" s="206">
        <f>SUMIFS(LANÇ_MOV[VALOR LÍQUIDO],LANÇ_MOV[RECEITA OU DESPESA],"Despesa",LANÇ_MOV[CONTAS],$C437,LANÇ_MOV[PLANO DE CONTAS],REL_DRE_FINANCEIRO!$B$343,LANÇ_MOV[ANO PAGAMENTO],$B$4,LANÇ_MOV[MÊS PAGAMENTO CORRESPONDENTE],E$6,LANÇ_MOV[EMPRESA],$C$4,LANÇ_MOV[CENTRO DE CUSTOS],$D$4)</f>
        <v>0</v>
      </c>
      <c r="F437" s="206">
        <f>SUMIFS(LANÇ_MOV[VALOR LÍQUIDO],LANÇ_MOV[RECEITA OU DESPESA],"Despesa",LANÇ_MOV[CONTAS],$C437,LANÇ_MOV[PLANO DE CONTAS],REL_DRE_FINANCEIRO!$B$343,LANÇ_MOV[ANO PAGAMENTO],$B$4,LANÇ_MOV[MÊS PAGAMENTO CORRESPONDENTE],F$6,LANÇ_MOV[EMPRESA],$C$4,LANÇ_MOV[CENTRO DE CUSTOS],$D$4)</f>
        <v>0</v>
      </c>
      <c r="G437" s="206">
        <f>SUMIFS(LANÇ_MOV[VALOR LÍQUIDO],LANÇ_MOV[RECEITA OU DESPESA],"Despesa",LANÇ_MOV[CONTAS],$C437,LANÇ_MOV[PLANO DE CONTAS],REL_DRE_FINANCEIRO!$B$343,LANÇ_MOV[ANO PAGAMENTO],$B$4,LANÇ_MOV[MÊS PAGAMENTO CORRESPONDENTE],G$6,LANÇ_MOV[EMPRESA],$C$4,LANÇ_MOV[CENTRO DE CUSTOS],$D$4)</f>
        <v>0</v>
      </c>
      <c r="H437" s="206">
        <f>SUMIFS(LANÇ_MOV[VALOR LÍQUIDO],LANÇ_MOV[RECEITA OU DESPESA],"Despesa",LANÇ_MOV[CONTAS],$C437,LANÇ_MOV[PLANO DE CONTAS],REL_DRE_FINANCEIRO!$B$343,LANÇ_MOV[ANO PAGAMENTO],$B$4,LANÇ_MOV[MÊS PAGAMENTO CORRESPONDENTE],H$6,LANÇ_MOV[EMPRESA],$C$4,LANÇ_MOV[CENTRO DE CUSTOS],$D$4)</f>
        <v>0</v>
      </c>
      <c r="I437" s="206">
        <f>SUMIFS(LANÇ_MOV[VALOR LÍQUIDO],LANÇ_MOV[RECEITA OU DESPESA],"Despesa",LANÇ_MOV[CONTAS],$C437,LANÇ_MOV[PLANO DE CONTAS],REL_DRE_FINANCEIRO!$B$343,LANÇ_MOV[ANO PAGAMENTO],$B$4,LANÇ_MOV[MÊS PAGAMENTO CORRESPONDENTE],I$6,LANÇ_MOV[EMPRESA],$C$4,LANÇ_MOV[CENTRO DE CUSTOS],$D$4)</f>
        <v>0</v>
      </c>
      <c r="J437" s="206">
        <f>SUMIFS(LANÇ_MOV[VALOR LÍQUIDO],LANÇ_MOV[RECEITA OU DESPESA],"Despesa",LANÇ_MOV[CONTAS],$C437,LANÇ_MOV[PLANO DE CONTAS],REL_DRE_FINANCEIRO!$B$343,LANÇ_MOV[ANO PAGAMENTO],$B$4,LANÇ_MOV[MÊS PAGAMENTO CORRESPONDENTE],J$6,LANÇ_MOV[EMPRESA],$C$4,LANÇ_MOV[CENTRO DE CUSTOS],$D$4)</f>
        <v>0</v>
      </c>
      <c r="K437" s="206">
        <f>SUMIFS(LANÇ_MOV[VALOR LÍQUIDO],LANÇ_MOV[RECEITA OU DESPESA],"Despesa",LANÇ_MOV[CONTAS],$C437,LANÇ_MOV[PLANO DE CONTAS],REL_DRE_FINANCEIRO!$B$343,LANÇ_MOV[ANO PAGAMENTO],$B$4,LANÇ_MOV[MÊS PAGAMENTO CORRESPONDENTE],K$6,LANÇ_MOV[EMPRESA],$C$4,LANÇ_MOV[CENTRO DE CUSTOS],$D$4)</f>
        <v>0</v>
      </c>
      <c r="L437" s="206">
        <f>SUMIFS(LANÇ_MOV[VALOR LÍQUIDO],LANÇ_MOV[RECEITA OU DESPESA],"Despesa",LANÇ_MOV[CONTAS],$C437,LANÇ_MOV[PLANO DE CONTAS],REL_DRE_FINANCEIRO!$B$343,LANÇ_MOV[ANO PAGAMENTO],$B$4,LANÇ_MOV[MÊS PAGAMENTO CORRESPONDENTE],L$6,LANÇ_MOV[EMPRESA],$C$4,LANÇ_MOV[CENTRO DE CUSTOS],$D$4)</f>
        <v>0</v>
      </c>
      <c r="M437" s="206">
        <f>SUMIFS(LANÇ_MOV[VALOR LÍQUIDO],LANÇ_MOV[RECEITA OU DESPESA],"Despesa",LANÇ_MOV[CONTAS],$C437,LANÇ_MOV[PLANO DE CONTAS],REL_DRE_FINANCEIRO!$B$343,LANÇ_MOV[ANO PAGAMENTO],$B$4,LANÇ_MOV[MÊS PAGAMENTO CORRESPONDENTE],M$6,LANÇ_MOV[EMPRESA],$C$4,LANÇ_MOV[CENTRO DE CUSTOS],$D$4)</f>
        <v>0</v>
      </c>
      <c r="N437" s="206">
        <f>SUMIFS(LANÇ_MOV[VALOR LÍQUIDO],LANÇ_MOV[RECEITA OU DESPESA],"Despesa",LANÇ_MOV[CONTAS],$C437,LANÇ_MOV[PLANO DE CONTAS],REL_DRE_FINANCEIRO!$B$343,LANÇ_MOV[ANO PAGAMENTO],$B$4,LANÇ_MOV[MÊS PAGAMENTO CORRESPONDENTE],N$6,LANÇ_MOV[EMPRESA],$C$4,LANÇ_MOV[CENTRO DE CUSTOS],$D$4)</f>
        <v>0</v>
      </c>
      <c r="O437" s="206">
        <f>SUMIFS(LANÇ_MOV[VALOR LÍQUIDO],LANÇ_MOV[RECEITA OU DESPESA],"Despesa",LANÇ_MOV[CONTAS],$C437,LANÇ_MOV[PLANO DE CONTAS],REL_DRE_FINANCEIRO!$B$343,LANÇ_MOV[ANO PAGAMENTO],$B$4,LANÇ_MOV[MÊS PAGAMENTO CORRESPONDENTE],O$6,LANÇ_MOV[EMPRESA],$C$4,LANÇ_MOV[CENTRO DE CUSTOS],$D$4)</f>
        <v>0</v>
      </c>
      <c r="P437" s="207">
        <f t="shared" si="59"/>
        <v>0</v>
      </c>
      <c r="Q437" s="329">
        <v>6.9999999999999997E-7</v>
      </c>
      <c r="R437" s="346">
        <f t="shared" si="60"/>
        <v>6.9999999999999997E-7</v>
      </c>
      <c r="S437" s="347" t="str">
        <f t="shared" si="61"/>
        <v>-</v>
      </c>
      <c r="T437" s="347">
        <f t="shared" si="62"/>
        <v>0</v>
      </c>
      <c r="U437" s="347">
        <f>HLOOKUP(Apoio!$P$12,$D$342:$P$443,X437,FALSE)+Q437</f>
        <v>6.9999999999999997E-7</v>
      </c>
      <c r="V437" s="447" t="str">
        <f t="shared" si="63"/>
        <v>-</v>
      </c>
      <c r="W437" s="448">
        <f>HLOOKUP(Apoio!$P$12,$D$342:$P$443,X437,FALSE)</f>
        <v>0</v>
      </c>
      <c r="X437" s="329">
        <v>96</v>
      </c>
    </row>
    <row r="438" spans="2:50" ht="30.05" customHeight="1" x14ac:dyDescent="0.35">
      <c r="B438" s="204" t="str">
        <f>'CAD_PL_REC-DESP'!Q99</f>
        <v>2.3.95</v>
      </c>
      <c r="C438" s="205" t="str">
        <f>IF('CAD_PL_REC-DESP'!R99="","-",'CAD_PL_REC-DESP'!R99)</f>
        <v>-</v>
      </c>
      <c r="D438" s="206">
        <f>SUMIFS(LANÇ_MOV[VALOR LÍQUIDO],LANÇ_MOV[RECEITA OU DESPESA],"Despesa",LANÇ_MOV[CONTAS],$C438,LANÇ_MOV[PLANO DE CONTAS],REL_DRE_FINANCEIRO!$B$343,LANÇ_MOV[ANO PAGAMENTO],$B$4,LANÇ_MOV[MÊS PAGAMENTO CORRESPONDENTE],D$6,LANÇ_MOV[EMPRESA],$C$4,LANÇ_MOV[CENTRO DE CUSTOS],$D$4)</f>
        <v>0</v>
      </c>
      <c r="E438" s="206">
        <f>SUMIFS(LANÇ_MOV[VALOR LÍQUIDO],LANÇ_MOV[RECEITA OU DESPESA],"Despesa",LANÇ_MOV[CONTAS],$C438,LANÇ_MOV[PLANO DE CONTAS],REL_DRE_FINANCEIRO!$B$343,LANÇ_MOV[ANO PAGAMENTO],$B$4,LANÇ_MOV[MÊS PAGAMENTO CORRESPONDENTE],E$6,LANÇ_MOV[EMPRESA],$C$4,LANÇ_MOV[CENTRO DE CUSTOS],$D$4)</f>
        <v>0</v>
      </c>
      <c r="F438" s="206">
        <f>SUMIFS(LANÇ_MOV[VALOR LÍQUIDO],LANÇ_MOV[RECEITA OU DESPESA],"Despesa",LANÇ_MOV[CONTAS],$C438,LANÇ_MOV[PLANO DE CONTAS],REL_DRE_FINANCEIRO!$B$343,LANÇ_MOV[ANO PAGAMENTO],$B$4,LANÇ_MOV[MÊS PAGAMENTO CORRESPONDENTE],F$6,LANÇ_MOV[EMPRESA],$C$4,LANÇ_MOV[CENTRO DE CUSTOS],$D$4)</f>
        <v>0</v>
      </c>
      <c r="G438" s="206">
        <f>SUMIFS(LANÇ_MOV[VALOR LÍQUIDO],LANÇ_MOV[RECEITA OU DESPESA],"Despesa",LANÇ_MOV[CONTAS],$C438,LANÇ_MOV[PLANO DE CONTAS],REL_DRE_FINANCEIRO!$B$343,LANÇ_MOV[ANO PAGAMENTO],$B$4,LANÇ_MOV[MÊS PAGAMENTO CORRESPONDENTE],G$6,LANÇ_MOV[EMPRESA],$C$4,LANÇ_MOV[CENTRO DE CUSTOS],$D$4)</f>
        <v>0</v>
      </c>
      <c r="H438" s="206">
        <f>SUMIFS(LANÇ_MOV[VALOR LÍQUIDO],LANÇ_MOV[RECEITA OU DESPESA],"Despesa",LANÇ_MOV[CONTAS],$C438,LANÇ_MOV[PLANO DE CONTAS],REL_DRE_FINANCEIRO!$B$343,LANÇ_MOV[ANO PAGAMENTO],$B$4,LANÇ_MOV[MÊS PAGAMENTO CORRESPONDENTE],H$6,LANÇ_MOV[EMPRESA],$C$4,LANÇ_MOV[CENTRO DE CUSTOS],$D$4)</f>
        <v>0</v>
      </c>
      <c r="I438" s="206">
        <f>SUMIFS(LANÇ_MOV[VALOR LÍQUIDO],LANÇ_MOV[RECEITA OU DESPESA],"Despesa",LANÇ_MOV[CONTAS],$C438,LANÇ_MOV[PLANO DE CONTAS],REL_DRE_FINANCEIRO!$B$343,LANÇ_MOV[ANO PAGAMENTO],$B$4,LANÇ_MOV[MÊS PAGAMENTO CORRESPONDENTE],I$6,LANÇ_MOV[EMPRESA],$C$4,LANÇ_MOV[CENTRO DE CUSTOS],$D$4)</f>
        <v>0</v>
      </c>
      <c r="J438" s="206">
        <f>SUMIFS(LANÇ_MOV[VALOR LÍQUIDO],LANÇ_MOV[RECEITA OU DESPESA],"Despesa",LANÇ_MOV[CONTAS],$C438,LANÇ_MOV[PLANO DE CONTAS],REL_DRE_FINANCEIRO!$B$343,LANÇ_MOV[ANO PAGAMENTO],$B$4,LANÇ_MOV[MÊS PAGAMENTO CORRESPONDENTE],J$6,LANÇ_MOV[EMPRESA],$C$4,LANÇ_MOV[CENTRO DE CUSTOS],$D$4)</f>
        <v>0</v>
      </c>
      <c r="K438" s="206">
        <f>SUMIFS(LANÇ_MOV[VALOR LÍQUIDO],LANÇ_MOV[RECEITA OU DESPESA],"Despesa",LANÇ_MOV[CONTAS],$C438,LANÇ_MOV[PLANO DE CONTAS],REL_DRE_FINANCEIRO!$B$343,LANÇ_MOV[ANO PAGAMENTO],$B$4,LANÇ_MOV[MÊS PAGAMENTO CORRESPONDENTE],K$6,LANÇ_MOV[EMPRESA],$C$4,LANÇ_MOV[CENTRO DE CUSTOS],$D$4)</f>
        <v>0</v>
      </c>
      <c r="L438" s="206">
        <f>SUMIFS(LANÇ_MOV[VALOR LÍQUIDO],LANÇ_MOV[RECEITA OU DESPESA],"Despesa",LANÇ_MOV[CONTAS],$C438,LANÇ_MOV[PLANO DE CONTAS],REL_DRE_FINANCEIRO!$B$343,LANÇ_MOV[ANO PAGAMENTO],$B$4,LANÇ_MOV[MÊS PAGAMENTO CORRESPONDENTE],L$6,LANÇ_MOV[EMPRESA],$C$4,LANÇ_MOV[CENTRO DE CUSTOS],$D$4)</f>
        <v>0</v>
      </c>
      <c r="M438" s="206">
        <f>SUMIFS(LANÇ_MOV[VALOR LÍQUIDO],LANÇ_MOV[RECEITA OU DESPESA],"Despesa",LANÇ_MOV[CONTAS],$C438,LANÇ_MOV[PLANO DE CONTAS],REL_DRE_FINANCEIRO!$B$343,LANÇ_MOV[ANO PAGAMENTO],$B$4,LANÇ_MOV[MÊS PAGAMENTO CORRESPONDENTE],M$6,LANÇ_MOV[EMPRESA],$C$4,LANÇ_MOV[CENTRO DE CUSTOS],$D$4)</f>
        <v>0</v>
      </c>
      <c r="N438" s="206">
        <f>SUMIFS(LANÇ_MOV[VALOR LÍQUIDO],LANÇ_MOV[RECEITA OU DESPESA],"Despesa",LANÇ_MOV[CONTAS],$C438,LANÇ_MOV[PLANO DE CONTAS],REL_DRE_FINANCEIRO!$B$343,LANÇ_MOV[ANO PAGAMENTO],$B$4,LANÇ_MOV[MÊS PAGAMENTO CORRESPONDENTE],N$6,LANÇ_MOV[EMPRESA],$C$4,LANÇ_MOV[CENTRO DE CUSTOS],$D$4)</f>
        <v>0</v>
      </c>
      <c r="O438" s="206">
        <f>SUMIFS(LANÇ_MOV[VALOR LÍQUIDO],LANÇ_MOV[RECEITA OU DESPESA],"Despesa",LANÇ_MOV[CONTAS],$C438,LANÇ_MOV[PLANO DE CONTAS],REL_DRE_FINANCEIRO!$B$343,LANÇ_MOV[ANO PAGAMENTO],$B$4,LANÇ_MOV[MÊS PAGAMENTO CORRESPONDENTE],O$6,LANÇ_MOV[EMPRESA],$C$4,LANÇ_MOV[CENTRO DE CUSTOS],$D$4)</f>
        <v>0</v>
      </c>
      <c r="P438" s="207">
        <f t="shared" si="59"/>
        <v>0</v>
      </c>
      <c r="Q438" s="329">
        <v>5.9999999999999997E-7</v>
      </c>
      <c r="R438" s="346">
        <f t="shared" si="60"/>
        <v>5.9999999999999997E-7</v>
      </c>
      <c r="S438" s="347" t="str">
        <f t="shared" si="61"/>
        <v>-</v>
      </c>
      <c r="T438" s="347">
        <f t="shared" si="62"/>
        <v>0</v>
      </c>
      <c r="U438" s="347">
        <f>HLOOKUP(Apoio!$P$12,$D$342:$P$443,X438,FALSE)+Q438</f>
        <v>5.9999999999999997E-7</v>
      </c>
      <c r="V438" s="447" t="str">
        <f t="shared" si="63"/>
        <v>-</v>
      </c>
      <c r="W438" s="448">
        <f>HLOOKUP(Apoio!$P$12,$D$342:$P$443,X438,FALSE)</f>
        <v>0</v>
      </c>
      <c r="X438" s="329">
        <v>97</v>
      </c>
    </row>
    <row r="439" spans="2:50" ht="30.05" customHeight="1" x14ac:dyDescent="0.35">
      <c r="B439" s="204" t="str">
        <f>'CAD_PL_REC-DESP'!Q100</f>
        <v>2.3.96</v>
      </c>
      <c r="C439" s="205" t="str">
        <f>IF('CAD_PL_REC-DESP'!R100="","-",'CAD_PL_REC-DESP'!R100)</f>
        <v>-</v>
      </c>
      <c r="D439" s="206">
        <f>SUMIFS(LANÇ_MOV[VALOR LÍQUIDO],LANÇ_MOV[RECEITA OU DESPESA],"Despesa",LANÇ_MOV[CONTAS],$C439,LANÇ_MOV[PLANO DE CONTAS],REL_DRE_FINANCEIRO!$B$343,LANÇ_MOV[ANO PAGAMENTO],$B$4,LANÇ_MOV[MÊS PAGAMENTO CORRESPONDENTE],D$6,LANÇ_MOV[EMPRESA],$C$4,LANÇ_MOV[CENTRO DE CUSTOS],$D$4)</f>
        <v>0</v>
      </c>
      <c r="E439" s="206">
        <f>SUMIFS(LANÇ_MOV[VALOR LÍQUIDO],LANÇ_MOV[RECEITA OU DESPESA],"Despesa",LANÇ_MOV[CONTAS],$C439,LANÇ_MOV[PLANO DE CONTAS],REL_DRE_FINANCEIRO!$B$343,LANÇ_MOV[ANO PAGAMENTO],$B$4,LANÇ_MOV[MÊS PAGAMENTO CORRESPONDENTE],E$6,LANÇ_MOV[EMPRESA],$C$4,LANÇ_MOV[CENTRO DE CUSTOS],$D$4)</f>
        <v>0</v>
      </c>
      <c r="F439" s="206">
        <f>SUMIFS(LANÇ_MOV[VALOR LÍQUIDO],LANÇ_MOV[RECEITA OU DESPESA],"Despesa",LANÇ_MOV[CONTAS],$C439,LANÇ_MOV[PLANO DE CONTAS],REL_DRE_FINANCEIRO!$B$343,LANÇ_MOV[ANO PAGAMENTO],$B$4,LANÇ_MOV[MÊS PAGAMENTO CORRESPONDENTE],F$6,LANÇ_MOV[EMPRESA],$C$4,LANÇ_MOV[CENTRO DE CUSTOS],$D$4)</f>
        <v>0</v>
      </c>
      <c r="G439" s="206">
        <f>SUMIFS(LANÇ_MOV[VALOR LÍQUIDO],LANÇ_MOV[RECEITA OU DESPESA],"Despesa",LANÇ_MOV[CONTAS],$C439,LANÇ_MOV[PLANO DE CONTAS],REL_DRE_FINANCEIRO!$B$343,LANÇ_MOV[ANO PAGAMENTO],$B$4,LANÇ_MOV[MÊS PAGAMENTO CORRESPONDENTE],G$6,LANÇ_MOV[EMPRESA],$C$4,LANÇ_MOV[CENTRO DE CUSTOS],$D$4)</f>
        <v>0</v>
      </c>
      <c r="H439" s="206">
        <f>SUMIFS(LANÇ_MOV[VALOR LÍQUIDO],LANÇ_MOV[RECEITA OU DESPESA],"Despesa",LANÇ_MOV[CONTAS],$C439,LANÇ_MOV[PLANO DE CONTAS],REL_DRE_FINANCEIRO!$B$343,LANÇ_MOV[ANO PAGAMENTO],$B$4,LANÇ_MOV[MÊS PAGAMENTO CORRESPONDENTE],H$6,LANÇ_MOV[EMPRESA],$C$4,LANÇ_MOV[CENTRO DE CUSTOS],$D$4)</f>
        <v>0</v>
      </c>
      <c r="I439" s="206">
        <f>SUMIFS(LANÇ_MOV[VALOR LÍQUIDO],LANÇ_MOV[RECEITA OU DESPESA],"Despesa",LANÇ_MOV[CONTAS],$C439,LANÇ_MOV[PLANO DE CONTAS],REL_DRE_FINANCEIRO!$B$343,LANÇ_MOV[ANO PAGAMENTO],$B$4,LANÇ_MOV[MÊS PAGAMENTO CORRESPONDENTE],I$6,LANÇ_MOV[EMPRESA],$C$4,LANÇ_MOV[CENTRO DE CUSTOS],$D$4)</f>
        <v>0</v>
      </c>
      <c r="J439" s="206">
        <f>SUMIFS(LANÇ_MOV[VALOR LÍQUIDO],LANÇ_MOV[RECEITA OU DESPESA],"Despesa",LANÇ_MOV[CONTAS],$C439,LANÇ_MOV[PLANO DE CONTAS],REL_DRE_FINANCEIRO!$B$343,LANÇ_MOV[ANO PAGAMENTO],$B$4,LANÇ_MOV[MÊS PAGAMENTO CORRESPONDENTE],J$6,LANÇ_MOV[EMPRESA],$C$4,LANÇ_MOV[CENTRO DE CUSTOS],$D$4)</f>
        <v>0</v>
      </c>
      <c r="K439" s="206">
        <f>SUMIFS(LANÇ_MOV[VALOR LÍQUIDO],LANÇ_MOV[RECEITA OU DESPESA],"Despesa",LANÇ_MOV[CONTAS],$C439,LANÇ_MOV[PLANO DE CONTAS],REL_DRE_FINANCEIRO!$B$343,LANÇ_MOV[ANO PAGAMENTO],$B$4,LANÇ_MOV[MÊS PAGAMENTO CORRESPONDENTE],K$6,LANÇ_MOV[EMPRESA],$C$4,LANÇ_MOV[CENTRO DE CUSTOS],$D$4)</f>
        <v>0</v>
      </c>
      <c r="L439" s="206">
        <f>SUMIFS(LANÇ_MOV[VALOR LÍQUIDO],LANÇ_MOV[RECEITA OU DESPESA],"Despesa",LANÇ_MOV[CONTAS],$C439,LANÇ_MOV[PLANO DE CONTAS],REL_DRE_FINANCEIRO!$B$343,LANÇ_MOV[ANO PAGAMENTO],$B$4,LANÇ_MOV[MÊS PAGAMENTO CORRESPONDENTE],L$6,LANÇ_MOV[EMPRESA],$C$4,LANÇ_MOV[CENTRO DE CUSTOS],$D$4)</f>
        <v>0</v>
      </c>
      <c r="M439" s="206">
        <f>SUMIFS(LANÇ_MOV[VALOR LÍQUIDO],LANÇ_MOV[RECEITA OU DESPESA],"Despesa",LANÇ_MOV[CONTAS],$C439,LANÇ_MOV[PLANO DE CONTAS],REL_DRE_FINANCEIRO!$B$343,LANÇ_MOV[ANO PAGAMENTO],$B$4,LANÇ_MOV[MÊS PAGAMENTO CORRESPONDENTE],M$6,LANÇ_MOV[EMPRESA],$C$4,LANÇ_MOV[CENTRO DE CUSTOS],$D$4)</f>
        <v>0</v>
      </c>
      <c r="N439" s="206">
        <f>SUMIFS(LANÇ_MOV[VALOR LÍQUIDO],LANÇ_MOV[RECEITA OU DESPESA],"Despesa",LANÇ_MOV[CONTAS],$C439,LANÇ_MOV[PLANO DE CONTAS],REL_DRE_FINANCEIRO!$B$343,LANÇ_MOV[ANO PAGAMENTO],$B$4,LANÇ_MOV[MÊS PAGAMENTO CORRESPONDENTE],N$6,LANÇ_MOV[EMPRESA],$C$4,LANÇ_MOV[CENTRO DE CUSTOS],$D$4)</f>
        <v>0</v>
      </c>
      <c r="O439" s="206">
        <f>SUMIFS(LANÇ_MOV[VALOR LÍQUIDO],LANÇ_MOV[RECEITA OU DESPESA],"Despesa",LANÇ_MOV[CONTAS],$C439,LANÇ_MOV[PLANO DE CONTAS],REL_DRE_FINANCEIRO!$B$343,LANÇ_MOV[ANO PAGAMENTO],$B$4,LANÇ_MOV[MÊS PAGAMENTO CORRESPONDENTE],O$6,LANÇ_MOV[EMPRESA],$C$4,LANÇ_MOV[CENTRO DE CUSTOS],$D$4)</f>
        <v>0</v>
      </c>
      <c r="P439" s="207">
        <f t="shared" si="59"/>
        <v>0</v>
      </c>
      <c r="Q439" s="329">
        <v>4.9999999999999998E-7</v>
      </c>
      <c r="R439" s="346">
        <f t="shared" si="60"/>
        <v>4.9999999999999998E-7</v>
      </c>
      <c r="S439" s="347" t="str">
        <f t="shared" si="61"/>
        <v>-</v>
      </c>
      <c r="T439" s="347">
        <f t="shared" si="62"/>
        <v>0</v>
      </c>
      <c r="U439" s="347">
        <f>HLOOKUP(Apoio!$P$12,$D$342:$P$443,X439,FALSE)+Q439</f>
        <v>4.9999999999999998E-7</v>
      </c>
      <c r="V439" s="447" t="str">
        <f t="shared" si="63"/>
        <v>-</v>
      </c>
      <c r="W439" s="448">
        <f>HLOOKUP(Apoio!$P$12,$D$342:$P$443,X439,FALSE)</f>
        <v>0</v>
      </c>
      <c r="X439" s="329">
        <v>98</v>
      </c>
    </row>
    <row r="440" spans="2:50" ht="30.05" customHeight="1" x14ac:dyDescent="0.35">
      <c r="B440" s="204" t="str">
        <f>'CAD_PL_REC-DESP'!Q101</f>
        <v>2.3.97</v>
      </c>
      <c r="C440" s="205" t="str">
        <f>IF('CAD_PL_REC-DESP'!R101="","-",'CAD_PL_REC-DESP'!R101)</f>
        <v>-</v>
      </c>
      <c r="D440" s="206">
        <f>SUMIFS(LANÇ_MOV[VALOR LÍQUIDO],LANÇ_MOV[RECEITA OU DESPESA],"Despesa",LANÇ_MOV[CONTAS],$C440,LANÇ_MOV[PLANO DE CONTAS],REL_DRE_FINANCEIRO!$B$343,LANÇ_MOV[ANO PAGAMENTO],$B$4,LANÇ_MOV[MÊS PAGAMENTO CORRESPONDENTE],D$6,LANÇ_MOV[EMPRESA],$C$4,LANÇ_MOV[CENTRO DE CUSTOS],$D$4)</f>
        <v>0</v>
      </c>
      <c r="E440" s="206">
        <f>SUMIFS(LANÇ_MOV[VALOR LÍQUIDO],LANÇ_MOV[RECEITA OU DESPESA],"Despesa",LANÇ_MOV[CONTAS],$C440,LANÇ_MOV[PLANO DE CONTAS],REL_DRE_FINANCEIRO!$B$343,LANÇ_MOV[ANO PAGAMENTO],$B$4,LANÇ_MOV[MÊS PAGAMENTO CORRESPONDENTE],E$6,LANÇ_MOV[EMPRESA],$C$4,LANÇ_MOV[CENTRO DE CUSTOS],$D$4)</f>
        <v>0</v>
      </c>
      <c r="F440" s="206">
        <f>SUMIFS(LANÇ_MOV[VALOR LÍQUIDO],LANÇ_MOV[RECEITA OU DESPESA],"Despesa",LANÇ_MOV[CONTAS],$C440,LANÇ_MOV[PLANO DE CONTAS],REL_DRE_FINANCEIRO!$B$343,LANÇ_MOV[ANO PAGAMENTO],$B$4,LANÇ_MOV[MÊS PAGAMENTO CORRESPONDENTE],F$6,LANÇ_MOV[EMPRESA],$C$4,LANÇ_MOV[CENTRO DE CUSTOS],$D$4)</f>
        <v>0</v>
      </c>
      <c r="G440" s="206">
        <f>SUMIFS(LANÇ_MOV[VALOR LÍQUIDO],LANÇ_MOV[RECEITA OU DESPESA],"Despesa",LANÇ_MOV[CONTAS],$C440,LANÇ_MOV[PLANO DE CONTAS],REL_DRE_FINANCEIRO!$B$343,LANÇ_MOV[ANO PAGAMENTO],$B$4,LANÇ_MOV[MÊS PAGAMENTO CORRESPONDENTE],G$6,LANÇ_MOV[EMPRESA],$C$4,LANÇ_MOV[CENTRO DE CUSTOS],$D$4)</f>
        <v>0</v>
      </c>
      <c r="H440" s="206">
        <f>SUMIFS(LANÇ_MOV[VALOR LÍQUIDO],LANÇ_MOV[RECEITA OU DESPESA],"Despesa",LANÇ_MOV[CONTAS],$C440,LANÇ_MOV[PLANO DE CONTAS],REL_DRE_FINANCEIRO!$B$343,LANÇ_MOV[ANO PAGAMENTO],$B$4,LANÇ_MOV[MÊS PAGAMENTO CORRESPONDENTE],H$6,LANÇ_MOV[EMPRESA],$C$4,LANÇ_MOV[CENTRO DE CUSTOS],$D$4)</f>
        <v>0</v>
      </c>
      <c r="I440" s="206">
        <f>SUMIFS(LANÇ_MOV[VALOR LÍQUIDO],LANÇ_MOV[RECEITA OU DESPESA],"Despesa",LANÇ_MOV[CONTAS],$C440,LANÇ_MOV[PLANO DE CONTAS],REL_DRE_FINANCEIRO!$B$343,LANÇ_MOV[ANO PAGAMENTO],$B$4,LANÇ_MOV[MÊS PAGAMENTO CORRESPONDENTE],I$6,LANÇ_MOV[EMPRESA],$C$4,LANÇ_MOV[CENTRO DE CUSTOS],$D$4)</f>
        <v>0</v>
      </c>
      <c r="J440" s="206">
        <f>SUMIFS(LANÇ_MOV[VALOR LÍQUIDO],LANÇ_MOV[RECEITA OU DESPESA],"Despesa",LANÇ_MOV[CONTAS],$C440,LANÇ_MOV[PLANO DE CONTAS],REL_DRE_FINANCEIRO!$B$343,LANÇ_MOV[ANO PAGAMENTO],$B$4,LANÇ_MOV[MÊS PAGAMENTO CORRESPONDENTE],J$6,LANÇ_MOV[EMPRESA],$C$4,LANÇ_MOV[CENTRO DE CUSTOS],$D$4)</f>
        <v>0</v>
      </c>
      <c r="K440" s="206">
        <f>SUMIFS(LANÇ_MOV[VALOR LÍQUIDO],LANÇ_MOV[RECEITA OU DESPESA],"Despesa",LANÇ_MOV[CONTAS],$C440,LANÇ_MOV[PLANO DE CONTAS],REL_DRE_FINANCEIRO!$B$343,LANÇ_MOV[ANO PAGAMENTO],$B$4,LANÇ_MOV[MÊS PAGAMENTO CORRESPONDENTE],K$6,LANÇ_MOV[EMPRESA],$C$4,LANÇ_MOV[CENTRO DE CUSTOS],$D$4)</f>
        <v>0</v>
      </c>
      <c r="L440" s="206">
        <f>SUMIFS(LANÇ_MOV[VALOR LÍQUIDO],LANÇ_MOV[RECEITA OU DESPESA],"Despesa",LANÇ_MOV[CONTAS],$C440,LANÇ_MOV[PLANO DE CONTAS],REL_DRE_FINANCEIRO!$B$343,LANÇ_MOV[ANO PAGAMENTO],$B$4,LANÇ_MOV[MÊS PAGAMENTO CORRESPONDENTE],L$6,LANÇ_MOV[EMPRESA],$C$4,LANÇ_MOV[CENTRO DE CUSTOS],$D$4)</f>
        <v>0</v>
      </c>
      <c r="M440" s="206">
        <f>SUMIFS(LANÇ_MOV[VALOR LÍQUIDO],LANÇ_MOV[RECEITA OU DESPESA],"Despesa",LANÇ_MOV[CONTAS],$C440,LANÇ_MOV[PLANO DE CONTAS],REL_DRE_FINANCEIRO!$B$343,LANÇ_MOV[ANO PAGAMENTO],$B$4,LANÇ_MOV[MÊS PAGAMENTO CORRESPONDENTE],M$6,LANÇ_MOV[EMPRESA],$C$4,LANÇ_MOV[CENTRO DE CUSTOS],$D$4)</f>
        <v>0</v>
      </c>
      <c r="N440" s="206">
        <f>SUMIFS(LANÇ_MOV[VALOR LÍQUIDO],LANÇ_MOV[RECEITA OU DESPESA],"Despesa",LANÇ_MOV[CONTAS],$C440,LANÇ_MOV[PLANO DE CONTAS],REL_DRE_FINANCEIRO!$B$343,LANÇ_MOV[ANO PAGAMENTO],$B$4,LANÇ_MOV[MÊS PAGAMENTO CORRESPONDENTE],N$6,LANÇ_MOV[EMPRESA],$C$4,LANÇ_MOV[CENTRO DE CUSTOS],$D$4)</f>
        <v>0</v>
      </c>
      <c r="O440" s="206">
        <f>SUMIFS(LANÇ_MOV[VALOR LÍQUIDO],LANÇ_MOV[RECEITA OU DESPESA],"Despesa",LANÇ_MOV[CONTAS],$C440,LANÇ_MOV[PLANO DE CONTAS],REL_DRE_FINANCEIRO!$B$343,LANÇ_MOV[ANO PAGAMENTO],$B$4,LANÇ_MOV[MÊS PAGAMENTO CORRESPONDENTE],O$6,LANÇ_MOV[EMPRESA],$C$4,LANÇ_MOV[CENTRO DE CUSTOS],$D$4)</f>
        <v>0</v>
      </c>
      <c r="P440" s="207">
        <f t="shared" si="59"/>
        <v>0</v>
      </c>
      <c r="Q440" s="329">
        <v>3.9999999999999998E-7</v>
      </c>
      <c r="R440" s="346">
        <f t="shared" si="60"/>
        <v>3.9999999999999998E-7</v>
      </c>
      <c r="S440" s="347" t="str">
        <f t="shared" si="61"/>
        <v>-</v>
      </c>
      <c r="T440" s="347">
        <f t="shared" si="62"/>
        <v>0</v>
      </c>
      <c r="U440" s="347">
        <f>HLOOKUP(Apoio!$P$12,$D$342:$P$443,X440,FALSE)+Q440</f>
        <v>3.9999999999999998E-7</v>
      </c>
      <c r="V440" s="447" t="str">
        <f t="shared" si="63"/>
        <v>-</v>
      </c>
      <c r="W440" s="448">
        <f>HLOOKUP(Apoio!$P$12,$D$342:$P$443,X440,FALSE)</f>
        <v>0</v>
      </c>
      <c r="X440" s="329">
        <v>99</v>
      </c>
    </row>
    <row r="441" spans="2:50" ht="30.05" customHeight="1" x14ac:dyDescent="0.35">
      <c r="B441" s="204" t="str">
        <f>'CAD_PL_REC-DESP'!Q102</f>
        <v>2.3.98</v>
      </c>
      <c r="C441" s="205" t="str">
        <f>IF('CAD_PL_REC-DESP'!R102="","-",'CAD_PL_REC-DESP'!R102)</f>
        <v>-</v>
      </c>
      <c r="D441" s="206">
        <f>SUMIFS(LANÇ_MOV[VALOR LÍQUIDO],LANÇ_MOV[RECEITA OU DESPESA],"Despesa",LANÇ_MOV[CONTAS],$C441,LANÇ_MOV[PLANO DE CONTAS],REL_DRE_FINANCEIRO!$B$343,LANÇ_MOV[ANO PAGAMENTO],$B$4,LANÇ_MOV[MÊS PAGAMENTO CORRESPONDENTE],D$6,LANÇ_MOV[EMPRESA],$C$4,LANÇ_MOV[CENTRO DE CUSTOS],$D$4)</f>
        <v>0</v>
      </c>
      <c r="E441" s="206">
        <f>SUMIFS(LANÇ_MOV[VALOR LÍQUIDO],LANÇ_MOV[RECEITA OU DESPESA],"Despesa",LANÇ_MOV[CONTAS],$C441,LANÇ_MOV[PLANO DE CONTAS],REL_DRE_FINANCEIRO!$B$343,LANÇ_MOV[ANO PAGAMENTO],$B$4,LANÇ_MOV[MÊS PAGAMENTO CORRESPONDENTE],E$6,LANÇ_MOV[EMPRESA],$C$4,LANÇ_MOV[CENTRO DE CUSTOS],$D$4)</f>
        <v>0</v>
      </c>
      <c r="F441" s="206">
        <f>SUMIFS(LANÇ_MOV[VALOR LÍQUIDO],LANÇ_MOV[RECEITA OU DESPESA],"Despesa",LANÇ_MOV[CONTAS],$C441,LANÇ_MOV[PLANO DE CONTAS],REL_DRE_FINANCEIRO!$B$343,LANÇ_MOV[ANO PAGAMENTO],$B$4,LANÇ_MOV[MÊS PAGAMENTO CORRESPONDENTE],F$6,LANÇ_MOV[EMPRESA],$C$4,LANÇ_MOV[CENTRO DE CUSTOS],$D$4)</f>
        <v>0</v>
      </c>
      <c r="G441" s="206">
        <f>SUMIFS(LANÇ_MOV[VALOR LÍQUIDO],LANÇ_MOV[RECEITA OU DESPESA],"Despesa",LANÇ_MOV[CONTAS],$C441,LANÇ_MOV[PLANO DE CONTAS],REL_DRE_FINANCEIRO!$B$343,LANÇ_MOV[ANO PAGAMENTO],$B$4,LANÇ_MOV[MÊS PAGAMENTO CORRESPONDENTE],G$6,LANÇ_MOV[EMPRESA],$C$4,LANÇ_MOV[CENTRO DE CUSTOS],$D$4)</f>
        <v>0</v>
      </c>
      <c r="H441" s="206">
        <f>SUMIFS(LANÇ_MOV[VALOR LÍQUIDO],LANÇ_MOV[RECEITA OU DESPESA],"Despesa",LANÇ_MOV[CONTAS],$C441,LANÇ_MOV[PLANO DE CONTAS],REL_DRE_FINANCEIRO!$B$343,LANÇ_MOV[ANO PAGAMENTO],$B$4,LANÇ_MOV[MÊS PAGAMENTO CORRESPONDENTE],H$6,LANÇ_MOV[EMPRESA],$C$4,LANÇ_MOV[CENTRO DE CUSTOS],$D$4)</f>
        <v>0</v>
      </c>
      <c r="I441" s="206">
        <f>SUMIFS(LANÇ_MOV[VALOR LÍQUIDO],LANÇ_MOV[RECEITA OU DESPESA],"Despesa",LANÇ_MOV[CONTAS],$C441,LANÇ_MOV[PLANO DE CONTAS],REL_DRE_FINANCEIRO!$B$343,LANÇ_MOV[ANO PAGAMENTO],$B$4,LANÇ_MOV[MÊS PAGAMENTO CORRESPONDENTE],I$6,LANÇ_MOV[EMPRESA],$C$4,LANÇ_MOV[CENTRO DE CUSTOS],$D$4)</f>
        <v>0</v>
      </c>
      <c r="J441" s="206">
        <f>SUMIFS(LANÇ_MOV[VALOR LÍQUIDO],LANÇ_MOV[RECEITA OU DESPESA],"Despesa",LANÇ_MOV[CONTAS],$C441,LANÇ_MOV[PLANO DE CONTAS],REL_DRE_FINANCEIRO!$B$343,LANÇ_MOV[ANO PAGAMENTO],$B$4,LANÇ_MOV[MÊS PAGAMENTO CORRESPONDENTE],J$6,LANÇ_MOV[EMPRESA],$C$4,LANÇ_MOV[CENTRO DE CUSTOS],$D$4)</f>
        <v>0</v>
      </c>
      <c r="K441" s="206">
        <f>SUMIFS(LANÇ_MOV[VALOR LÍQUIDO],LANÇ_MOV[RECEITA OU DESPESA],"Despesa",LANÇ_MOV[CONTAS],$C441,LANÇ_MOV[PLANO DE CONTAS],REL_DRE_FINANCEIRO!$B$343,LANÇ_MOV[ANO PAGAMENTO],$B$4,LANÇ_MOV[MÊS PAGAMENTO CORRESPONDENTE],K$6,LANÇ_MOV[EMPRESA],$C$4,LANÇ_MOV[CENTRO DE CUSTOS],$D$4)</f>
        <v>0</v>
      </c>
      <c r="L441" s="206">
        <f>SUMIFS(LANÇ_MOV[VALOR LÍQUIDO],LANÇ_MOV[RECEITA OU DESPESA],"Despesa",LANÇ_MOV[CONTAS],$C441,LANÇ_MOV[PLANO DE CONTAS],REL_DRE_FINANCEIRO!$B$343,LANÇ_MOV[ANO PAGAMENTO],$B$4,LANÇ_MOV[MÊS PAGAMENTO CORRESPONDENTE],L$6,LANÇ_MOV[EMPRESA],$C$4,LANÇ_MOV[CENTRO DE CUSTOS],$D$4)</f>
        <v>0</v>
      </c>
      <c r="M441" s="206">
        <f>SUMIFS(LANÇ_MOV[VALOR LÍQUIDO],LANÇ_MOV[RECEITA OU DESPESA],"Despesa",LANÇ_MOV[CONTAS],$C441,LANÇ_MOV[PLANO DE CONTAS],REL_DRE_FINANCEIRO!$B$343,LANÇ_MOV[ANO PAGAMENTO],$B$4,LANÇ_MOV[MÊS PAGAMENTO CORRESPONDENTE],M$6,LANÇ_MOV[EMPRESA],$C$4,LANÇ_MOV[CENTRO DE CUSTOS],$D$4)</f>
        <v>0</v>
      </c>
      <c r="N441" s="206">
        <f>SUMIFS(LANÇ_MOV[VALOR LÍQUIDO],LANÇ_MOV[RECEITA OU DESPESA],"Despesa",LANÇ_MOV[CONTAS],$C441,LANÇ_MOV[PLANO DE CONTAS],REL_DRE_FINANCEIRO!$B$343,LANÇ_MOV[ANO PAGAMENTO],$B$4,LANÇ_MOV[MÊS PAGAMENTO CORRESPONDENTE],N$6,LANÇ_MOV[EMPRESA],$C$4,LANÇ_MOV[CENTRO DE CUSTOS],$D$4)</f>
        <v>0</v>
      </c>
      <c r="O441" s="206">
        <f>SUMIFS(LANÇ_MOV[VALOR LÍQUIDO],LANÇ_MOV[RECEITA OU DESPESA],"Despesa",LANÇ_MOV[CONTAS],$C441,LANÇ_MOV[PLANO DE CONTAS],REL_DRE_FINANCEIRO!$B$343,LANÇ_MOV[ANO PAGAMENTO],$B$4,LANÇ_MOV[MÊS PAGAMENTO CORRESPONDENTE],O$6,LANÇ_MOV[EMPRESA],$C$4,LANÇ_MOV[CENTRO DE CUSTOS],$D$4)</f>
        <v>0</v>
      </c>
      <c r="P441" s="207">
        <f t="shared" si="59"/>
        <v>0</v>
      </c>
      <c r="Q441" s="329">
        <v>2.9999999999999999E-7</v>
      </c>
      <c r="R441" s="346">
        <f t="shared" si="60"/>
        <v>2.9999999999999999E-7</v>
      </c>
      <c r="S441" s="347" t="str">
        <f t="shared" si="61"/>
        <v>-</v>
      </c>
      <c r="T441" s="347">
        <f t="shared" si="62"/>
        <v>0</v>
      </c>
      <c r="U441" s="347">
        <f>HLOOKUP(Apoio!$P$12,$D$342:$P$443,X441,FALSE)+Q441</f>
        <v>2.9999999999999999E-7</v>
      </c>
      <c r="V441" s="447" t="str">
        <f t="shared" si="63"/>
        <v>-</v>
      </c>
      <c r="W441" s="448">
        <f>HLOOKUP(Apoio!$P$12,$D$342:$P$443,X441,FALSE)</f>
        <v>0</v>
      </c>
      <c r="X441" s="329">
        <v>100</v>
      </c>
    </row>
    <row r="442" spans="2:50" ht="30.05" customHeight="1" x14ac:dyDescent="0.35">
      <c r="B442" s="204" t="str">
        <f>'CAD_PL_REC-DESP'!Q103</f>
        <v>2.3.99</v>
      </c>
      <c r="C442" s="205" t="str">
        <f>IF('CAD_PL_REC-DESP'!R103="","-",'CAD_PL_REC-DESP'!R103)</f>
        <v>-</v>
      </c>
      <c r="D442" s="206">
        <f>SUMIFS(LANÇ_MOV[VALOR LÍQUIDO],LANÇ_MOV[RECEITA OU DESPESA],"Despesa",LANÇ_MOV[CONTAS],$C442,LANÇ_MOV[PLANO DE CONTAS],REL_DRE_FINANCEIRO!$B$343,LANÇ_MOV[ANO PAGAMENTO],$B$4,LANÇ_MOV[MÊS PAGAMENTO CORRESPONDENTE],D$6,LANÇ_MOV[EMPRESA],$C$4,LANÇ_MOV[CENTRO DE CUSTOS],$D$4)</f>
        <v>0</v>
      </c>
      <c r="E442" s="206">
        <f>SUMIFS(LANÇ_MOV[VALOR LÍQUIDO],LANÇ_MOV[RECEITA OU DESPESA],"Despesa",LANÇ_MOV[CONTAS],$C442,LANÇ_MOV[PLANO DE CONTAS],REL_DRE_FINANCEIRO!$B$343,LANÇ_MOV[ANO PAGAMENTO],$B$4,LANÇ_MOV[MÊS PAGAMENTO CORRESPONDENTE],E$6,LANÇ_MOV[EMPRESA],$C$4,LANÇ_MOV[CENTRO DE CUSTOS],$D$4)</f>
        <v>0</v>
      </c>
      <c r="F442" s="206">
        <f>SUMIFS(LANÇ_MOV[VALOR LÍQUIDO],LANÇ_MOV[RECEITA OU DESPESA],"Despesa",LANÇ_MOV[CONTAS],$C442,LANÇ_MOV[PLANO DE CONTAS],REL_DRE_FINANCEIRO!$B$343,LANÇ_MOV[ANO PAGAMENTO],$B$4,LANÇ_MOV[MÊS PAGAMENTO CORRESPONDENTE],F$6,LANÇ_MOV[EMPRESA],$C$4,LANÇ_MOV[CENTRO DE CUSTOS],$D$4)</f>
        <v>0</v>
      </c>
      <c r="G442" s="206">
        <f>SUMIFS(LANÇ_MOV[VALOR LÍQUIDO],LANÇ_MOV[RECEITA OU DESPESA],"Despesa",LANÇ_MOV[CONTAS],$C442,LANÇ_MOV[PLANO DE CONTAS],REL_DRE_FINANCEIRO!$B$343,LANÇ_MOV[ANO PAGAMENTO],$B$4,LANÇ_MOV[MÊS PAGAMENTO CORRESPONDENTE],G$6,LANÇ_MOV[EMPRESA],$C$4,LANÇ_MOV[CENTRO DE CUSTOS],$D$4)</f>
        <v>0</v>
      </c>
      <c r="H442" s="206">
        <f>SUMIFS(LANÇ_MOV[VALOR LÍQUIDO],LANÇ_MOV[RECEITA OU DESPESA],"Despesa",LANÇ_MOV[CONTAS],$C442,LANÇ_MOV[PLANO DE CONTAS],REL_DRE_FINANCEIRO!$B$343,LANÇ_MOV[ANO PAGAMENTO],$B$4,LANÇ_MOV[MÊS PAGAMENTO CORRESPONDENTE],H$6,LANÇ_MOV[EMPRESA],$C$4,LANÇ_MOV[CENTRO DE CUSTOS],$D$4)</f>
        <v>0</v>
      </c>
      <c r="I442" s="206">
        <f>SUMIFS(LANÇ_MOV[VALOR LÍQUIDO],LANÇ_MOV[RECEITA OU DESPESA],"Despesa",LANÇ_MOV[CONTAS],$C442,LANÇ_MOV[PLANO DE CONTAS],REL_DRE_FINANCEIRO!$B$343,LANÇ_MOV[ANO PAGAMENTO],$B$4,LANÇ_MOV[MÊS PAGAMENTO CORRESPONDENTE],I$6,LANÇ_MOV[EMPRESA],$C$4,LANÇ_MOV[CENTRO DE CUSTOS],$D$4)</f>
        <v>0</v>
      </c>
      <c r="J442" s="206">
        <f>SUMIFS(LANÇ_MOV[VALOR LÍQUIDO],LANÇ_MOV[RECEITA OU DESPESA],"Despesa",LANÇ_MOV[CONTAS],$C442,LANÇ_MOV[PLANO DE CONTAS],REL_DRE_FINANCEIRO!$B$343,LANÇ_MOV[ANO PAGAMENTO],$B$4,LANÇ_MOV[MÊS PAGAMENTO CORRESPONDENTE],J$6,LANÇ_MOV[EMPRESA],$C$4,LANÇ_MOV[CENTRO DE CUSTOS],$D$4)</f>
        <v>0</v>
      </c>
      <c r="K442" s="206">
        <f>SUMIFS(LANÇ_MOV[VALOR LÍQUIDO],LANÇ_MOV[RECEITA OU DESPESA],"Despesa",LANÇ_MOV[CONTAS],$C442,LANÇ_MOV[PLANO DE CONTAS],REL_DRE_FINANCEIRO!$B$343,LANÇ_MOV[ANO PAGAMENTO],$B$4,LANÇ_MOV[MÊS PAGAMENTO CORRESPONDENTE],K$6,LANÇ_MOV[EMPRESA],$C$4,LANÇ_MOV[CENTRO DE CUSTOS],$D$4)</f>
        <v>0</v>
      </c>
      <c r="L442" s="206">
        <f>SUMIFS(LANÇ_MOV[VALOR LÍQUIDO],LANÇ_MOV[RECEITA OU DESPESA],"Despesa",LANÇ_MOV[CONTAS],$C442,LANÇ_MOV[PLANO DE CONTAS],REL_DRE_FINANCEIRO!$B$343,LANÇ_MOV[ANO PAGAMENTO],$B$4,LANÇ_MOV[MÊS PAGAMENTO CORRESPONDENTE],L$6,LANÇ_MOV[EMPRESA],$C$4,LANÇ_MOV[CENTRO DE CUSTOS],$D$4)</f>
        <v>0</v>
      </c>
      <c r="M442" s="206">
        <f>SUMIFS(LANÇ_MOV[VALOR LÍQUIDO],LANÇ_MOV[RECEITA OU DESPESA],"Despesa",LANÇ_MOV[CONTAS],$C442,LANÇ_MOV[PLANO DE CONTAS],REL_DRE_FINANCEIRO!$B$343,LANÇ_MOV[ANO PAGAMENTO],$B$4,LANÇ_MOV[MÊS PAGAMENTO CORRESPONDENTE],M$6,LANÇ_MOV[EMPRESA],$C$4,LANÇ_MOV[CENTRO DE CUSTOS],$D$4)</f>
        <v>0</v>
      </c>
      <c r="N442" s="206">
        <f>SUMIFS(LANÇ_MOV[VALOR LÍQUIDO],LANÇ_MOV[RECEITA OU DESPESA],"Despesa",LANÇ_MOV[CONTAS],$C442,LANÇ_MOV[PLANO DE CONTAS],REL_DRE_FINANCEIRO!$B$343,LANÇ_MOV[ANO PAGAMENTO],$B$4,LANÇ_MOV[MÊS PAGAMENTO CORRESPONDENTE],N$6,LANÇ_MOV[EMPRESA],$C$4,LANÇ_MOV[CENTRO DE CUSTOS],$D$4)</f>
        <v>0</v>
      </c>
      <c r="O442" s="206">
        <f>SUMIFS(LANÇ_MOV[VALOR LÍQUIDO],LANÇ_MOV[RECEITA OU DESPESA],"Despesa",LANÇ_MOV[CONTAS],$C442,LANÇ_MOV[PLANO DE CONTAS],REL_DRE_FINANCEIRO!$B$343,LANÇ_MOV[ANO PAGAMENTO],$B$4,LANÇ_MOV[MÊS PAGAMENTO CORRESPONDENTE],O$6,LANÇ_MOV[EMPRESA],$C$4,LANÇ_MOV[CENTRO DE CUSTOS],$D$4)</f>
        <v>0</v>
      </c>
      <c r="P442" s="207">
        <f t="shared" si="59"/>
        <v>0</v>
      </c>
      <c r="Q442" s="329">
        <v>1.9999999999999999E-7</v>
      </c>
      <c r="R442" s="346">
        <f t="shared" si="60"/>
        <v>1.9999999999999999E-7</v>
      </c>
      <c r="S442" s="347" t="str">
        <f t="shared" si="61"/>
        <v>-</v>
      </c>
      <c r="T442" s="347">
        <f t="shared" si="62"/>
        <v>0</v>
      </c>
      <c r="U442" s="347">
        <f>HLOOKUP(Apoio!$P$12,$D$342:$P$443,X442,FALSE)+Q442</f>
        <v>1.9999999999999999E-7</v>
      </c>
      <c r="V442" s="447" t="str">
        <f t="shared" si="63"/>
        <v>-</v>
      </c>
      <c r="W442" s="448">
        <f>HLOOKUP(Apoio!$P$12,$D$342:$P$443,X442,FALSE)</f>
        <v>0</v>
      </c>
      <c r="X442" s="329">
        <v>101</v>
      </c>
    </row>
    <row r="443" spans="2:50" ht="30.05" customHeight="1" x14ac:dyDescent="0.35">
      <c r="B443" s="204" t="str">
        <f>'CAD_PL_REC-DESP'!Q104</f>
        <v>2.3.100</v>
      </c>
      <c r="C443" s="205" t="str">
        <f>IF('CAD_PL_REC-DESP'!R104="","-",'CAD_PL_REC-DESP'!R104)</f>
        <v>-</v>
      </c>
      <c r="D443" s="206">
        <f>SUMIFS(LANÇ_MOV[VALOR LÍQUIDO],LANÇ_MOV[RECEITA OU DESPESA],"Despesa",LANÇ_MOV[CONTAS],$C443,LANÇ_MOV[PLANO DE CONTAS],REL_DRE_FINANCEIRO!$B$343,LANÇ_MOV[ANO PAGAMENTO],$B$4,LANÇ_MOV[MÊS PAGAMENTO CORRESPONDENTE],D$6,LANÇ_MOV[EMPRESA],$C$4,LANÇ_MOV[CENTRO DE CUSTOS],$D$4)</f>
        <v>0</v>
      </c>
      <c r="E443" s="206">
        <f>SUMIFS(LANÇ_MOV[VALOR LÍQUIDO],LANÇ_MOV[RECEITA OU DESPESA],"Despesa",LANÇ_MOV[CONTAS],$C443,LANÇ_MOV[PLANO DE CONTAS],REL_DRE_FINANCEIRO!$B$343,LANÇ_MOV[ANO PAGAMENTO],$B$4,LANÇ_MOV[MÊS PAGAMENTO CORRESPONDENTE],E$6,LANÇ_MOV[EMPRESA],$C$4,LANÇ_MOV[CENTRO DE CUSTOS],$D$4)</f>
        <v>0</v>
      </c>
      <c r="F443" s="206">
        <f>SUMIFS(LANÇ_MOV[VALOR LÍQUIDO],LANÇ_MOV[RECEITA OU DESPESA],"Despesa",LANÇ_MOV[CONTAS],$C443,LANÇ_MOV[PLANO DE CONTAS],REL_DRE_FINANCEIRO!$B$343,LANÇ_MOV[ANO PAGAMENTO],$B$4,LANÇ_MOV[MÊS PAGAMENTO CORRESPONDENTE],F$6,LANÇ_MOV[EMPRESA],$C$4,LANÇ_MOV[CENTRO DE CUSTOS],$D$4)</f>
        <v>0</v>
      </c>
      <c r="G443" s="206">
        <f>SUMIFS(LANÇ_MOV[VALOR LÍQUIDO],LANÇ_MOV[RECEITA OU DESPESA],"Despesa",LANÇ_MOV[CONTAS],$C443,LANÇ_MOV[PLANO DE CONTAS],REL_DRE_FINANCEIRO!$B$343,LANÇ_MOV[ANO PAGAMENTO],$B$4,LANÇ_MOV[MÊS PAGAMENTO CORRESPONDENTE],G$6,LANÇ_MOV[EMPRESA],$C$4,LANÇ_MOV[CENTRO DE CUSTOS],$D$4)</f>
        <v>0</v>
      </c>
      <c r="H443" s="206">
        <f>SUMIFS(LANÇ_MOV[VALOR LÍQUIDO],LANÇ_MOV[RECEITA OU DESPESA],"Despesa",LANÇ_MOV[CONTAS],$C443,LANÇ_MOV[PLANO DE CONTAS],REL_DRE_FINANCEIRO!$B$343,LANÇ_MOV[ANO PAGAMENTO],$B$4,LANÇ_MOV[MÊS PAGAMENTO CORRESPONDENTE],H$6,LANÇ_MOV[EMPRESA],$C$4,LANÇ_MOV[CENTRO DE CUSTOS],$D$4)</f>
        <v>0</v>
      </c>
      <c r="I443" s="206">
        <f>SUMIFS(LANÇ_MOV[VALOR LÍQUIDO],LANÇ_MOV[RECEITA OU DESPESA],"Despesa",LANÇ_MOV[CONTAS],$C443,LANÇ_MOV[PLANO DE CONTAS],REL_DRE_FINANCEIRO!$B$343,LANÇ_MOV[ANO PAGAMENTO],$B$4,LANÇ_MOV[MÊS PAGAMENTO CORRESPONDENTE],I$6,LANÇ_MOV[EMPRESA],$C$4,LANÇ_MOV[CENTRO DE CUSTOS],$D$4)</f>
        <v>0</v>
      </c>
      <c r="J443" s="206">
        <f>SUMIFS(LANÇ_MOV[VALOR LÍQUIDO],LANÇ_MOV[RECEITA OU DESPESA],"Despesa",LANÇ_MOV[CONTAS],$C443,LANÇ_MOV[PLANO DE CONTAS],REL_DRE_FINANCEIRO!$B$343,LANÇ_MOV[ANO PAGAMENTO],$B$4,LANÇ_MOV[MÊS PAGAMENTO CORRESPONDENTE],J$6,LANÇ_MOV[EMPRESA],$C$4,LANÇ_MOV[CENTRO DE CUSTOS],$D$4)</f>
        <v>0</v>
      </c>
      <c r="K443" s="206">
        <f>SUMIFS(LANÇ_MOV[VALOR LÍQUIDO],LANÇ_MOV[RECEITA OU DESPESA],"Despesa",LANÇ_MOV[CONTAS],$C443,LANÇ_MOV[PLANO DE CONTAS],REL_DRE_FINANCEIRO!$B$343,LANÇ_MOV[ANO PAGAMENTO],$B$4,LANÇ_MOV[MÊS PAGAMENTO CORRESPONDENTE],K$6,LANÇ_MOV[EMPRESA],$C$4,LANÇ_MOV[CENTRO DE CUSTOS],$D$4)</f>
        <v>0</v>
      </c>
      <c r="L443" s="206">
        <f>SUMIFS(LANÇ_MOV[VALOR LÍQUIDO],LANÇ_MOV[RECEITA OU DESPESA],"Despesa",LANÇ_MOV[CONTAS],$C443,LANÇ_MOV[PLANO DE CONTAS],REL_DRE_FINANCEIRO!$B$343,LANÇ_MOV[ANO PAGAMENTO],$B$4,LANÇ_MOV[MÊS PAGAMENTO CORRESPONDENTE],L$6,LANÇ_MOV[EMPRESA],$C$4,LANÇ_MOV[CENTRO DE CUSTOS],$D$4)</f>
        <v>0</v>
      </c>
      <c r="M443" s="206">
        <f>SUMIFS(LANÇ_MOV[VALOR LÍQUIDO],LANÇ_MOV[RECEITA OU DESPESA],"Despesa",LANÇ_MOV[CONTAS],$C443,LANÇ_MOV[PLANO DE CONTAS],REL_DRE_FINANCEIRO!$B$343,LANÇ_MOV[ANO PAGAMENTO],$B$4,LANÇ_MOV[MÊS PAGAMENTO CORRESPONDENTE],M$6,LANÇ_MOV[EMPRESA],$C$4,LANÇ_MOV[CENTRO DE CUSTOS],$D$4)</f>
        <v>0</v>
      </c>
      <c r="N443" s="206">
        <f>SUMIFS(LANÇ_MOV[VALOR LÍQUIDO],LANÇ_MOV[RECEITA OU DESPESA],"Despesa",LANÇ_MOV[CONTAS],$C443,LANÇ_MOV[PLANO DE CONTAS],REL_DRE_FINANCEIRO!$B$343,LANÇ_MOV[ANO PAGAMENTO],$B$4,LANÇ_MOV[MÊS PAGAMENTO CORRESPONDENTE],N$6,LANÇ_MOV[EMPRESA],$C$4,LANÇ_MOV[CENTRO DE CUSTOS],$D$4)</f>
        <v>0</v>
      </c>
      <c r="O443" s="206">
        <f>SUMIFS(LANÇ_MOV[VALOR LÍQUIDO],LANÇ_MOV[RECEITA OU DESPESA],"Despesa",LANÇ_MOV[CONTAS],$C443,LANÇ_MOV[PLANO DE CONTAS],REL_DRE_FINANCEIRO!$B$343,LANÇ_MOV[ANO PAGAMENTO],$B$4,LANÇ_MOV[MÊS PAGAMENTO CORRESPONDENTE],O$6,LANÇ_MOV[EMPRESA],$C$4,LANÇ_MOV[CENTRO DE CUSTOS],$D$4)</f>
        <v>0</v>
      </c>
      <c r="P443" s="207">
        <f t="shared" si="59"/>
        <v>0</v>
      </c>
      <c r="Q443" s="329">
        <v>9.9999999999999995E-8</v>
      </c>
      <c r="R443" s="346">
        <f t="shared" si="60"/>
        <v>9.9999999999999995E-8</v>
      </c>
      <c r="S443" s="347" t="str">
        <f t="shared" si="61"/>
        <v>-</v>
      </c>
      <c r="T443" s="347">
        <f t="shared" si="62"/>
        <v>0</v>
      </c>
      <c r="U443" s="347">
        <f>HLOOKUP(Apoio!$P$12,$D$342:$P$443,X443,FALSE)+Q443</f>
        <v>9.9999999999999995E-8</v>
      </c>
      <c r="V443" s="447" t="str">
        <f t="shared" si="63"/>
        <v>-</v>
      </c>
      <c r="W443" s="448">
        <f>HLOOKUP(Apoio!$P$12,$D$342:$P$443,X443,FALSE)</f>
        <v>0</v>
      </c>
      <c r="X443" s="329">
        <v>102</v>
      </c>
    </row>
    <row r="444" spans="2:50" s="110" customFormat="1" ht="6.75" customHeight="1" thickBot="1" x14ac:dyDescent="0.4">
      <c r="B444" s="111"/>
      <c r="C444" s="111"/>
      <c r="D444" s="25" t="s">
        <v>1044</v>
      </c>
      <c r="E444" s="25" t="s">
        <v>1045</v>
      </c>
      <c r="F444" s="25" t="s">
        <v>1046</v>
      </c>
      <c r="G444" s="25" t="s">
        <v>1047</v>
      </c>
      <c r="H444" s="25" t="s">
        <v>1048</v>
      </c>
      <c r="I444" s="25" t="s">
        <v>1049</v>
      </c>
      <c r="J444" s="25" t="s">
        <v>1050</v>
      </c>
      <c r="K444" s="25" t="s">
        <v>1051</v>
      </c>
      <c r="L444" s="25" t="s">
        <v>1052</v>
      </c>
      <c r="M444" s="25" t="s">
        <v>1053</v>
      </c>
      <c r="N444" s="25" t="s">
        <v>1054</v>
      </c>
      <c r="O444" s="25" t="s">
        <v>1055</v>
      </c>
      <c r="P444" s="135" t="s">
        <v>1198</v>
      </c>
      <c r="Q444" s="329"/>
      <c r="R444" s="346"/>
      <c r="S444" s="347"/>
      <c r="T444" s="347"/>
      <c r="U444" s="347"/>
      <c r="V444" s="447"/>
      <c r="W444" s="448"/>
      <c r="X444" s="346"/>
      <c r="Y444" s="329"/>
      <c r="Z444" s="340"/>
      <c r="AA444" s="340"/>
      <c r="AB444" s="340"/>
      <c r="AC444" s="437"/>
      <c r="AD444" s="340"/>
      <c r="AE444" s="340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  <c r="AR444" s="25"/>
      <c r="AS444" s="25"/>
      <c r="AT444" s="25"/>
      <c r="AU444" s="25"/>
      <c r="AV444" s="25"/>
      <c r="AW444" s="25"/>
      <c r="AX444" s="25"/>
    </row>
    <row r="445" spans="2:50" ht="30.05" customHeight="1" thickTop="1" x14ac:dyDescent="0.35">
      <c r="B445" s="601" t="str">
        <f>'CAD_PL_REC-DESP'!U4</f>
        <v>DESPESAS COM RH</v>
      </c>
      <c r="C445" s="602"/>
      <c r="D445" s="203">
        <f>SUM(D446:D545)</f>
        <v>0</v>
      </c>
      <c r="E445" s="203">
        <f t="shared" ref="E445:O445" si="64">SUM(E446:E545)</f>
        <v>0</v>
      </c>
      <c r="F445" s="203">
        <f t="shared" si="64"/>
        <v>0</v>
      </c>
      <c r="G445" s="203">
        <f t="shared" si="64"/>
        <v>0</v>
      </c>
      <c r="H445" s="203">
        <f t="shared" si="64"/>
        <v>0</v>
      </c>
      <c r="I445" s="203">
        <f t="shared" si="64"/>
        <v>0</v>
      </c>
      <c r="J445" s="203">
        <f t="shared" si="64"/>
        <v>0</v>
      </c>
      <c r="K445" s="203">
        <f t="shared" si="64"/>
        <v>0</v>
      </c>
      <c r="L445" s="203">
        <f t="shared" si="64"/>
        <v>0</v>
      </c>
      <c r="M445" s="203">
        <f t="shared" si="64"/>
        <v>10749.080000000002</v>
      </c>
      <c r="N445" s="203">
        <f t="shared" si="64"/>
        <v>2867.5299999999997</v>
      </c>
      <c r="O445" s="203">
        <f t="shared" si="64"/>
        <v>0</v>
      </c>
      <c r="P445" s="203">
        <f>SUM(D445:O445)</f>
        <v>13616.61</v>
      </c>
      <c r="R445" s="346"/>
      <c r="S445" s="347"/>
      <c r="T445" s="347"/>
      <c r="U445" s="347"/>
      <c r="V445" s="447"/>
      <c r="W445" s="448"/>
      <c r="X445" s="346"/>
    </row>
    <row r="446" spans="2:50" ht="30.05" customHeight="1" x14ac:dyDescent="0.35">
      <c r="B446" s="204" t="str">
        <f>'CAD_PL_REC-DESP'!T5</f>
        <v>2.4.1</v>
      </c>
      <c r="C446" s="205" t="e">
        <f>IF('CAD_PL_REC-DESP'!#REF!="","-",'CAD_PL_REC-DESP'!#REF!)</f>
        <v>#REF!</v>
      </c>
      <c r="D446" s="206">
        <f>SUMIFS(LANÇ_MOV[VALOR LÍQUIDO],LANÇ_MOV[RECEITA OU DESPESA],"Despesa",LANÇ_MOV[CONTAS],$C446,LANÇ_MOV[PLANO DE CONTAS],REL_DRE_FINANCEIRO!$B$445,LANÇ_MOV[ANO PAGAMENTO],$B$4,LANÇ_MOV[MÊS PAGAMENTO CORRESPONDENTE],D$6,LANÇ_MOV[EMPRESA],$C$4,LANÇ_MOV[CENTRO DE CUSTOS],$D$4)</f>
        <v>0</v>
      </c>
      <c r="E446" s="206">
        <f>SUMIFS(LANÇ_MOV[VALOR LÍQUIDO],LANÇ_MOV[RECEITA OU DESPESA],"Despesa",LANÇ_MOV[CONTAS],$C446,LANÇ_MOV[PLANO DE CONTAS],REL_DRE_FINANCEIRO!$B$445,LANÇ_MOV[ANO PAGAMENTO],$B$4,LANÇ_MOV[MÊS PAGAMENTO CORRESPONDENTE],E$6,LANÇ_MOV[EMPRESA],$C$4,LANÇ_MOV[CENTRO DE CUSTOS],$D$4)</f>
        <v>0</v>
      </c>
      <c r="F446" s="206">
        <f>SUMIFS(LANÇ_MOV[VALOR LÍQUIDO],LANÇ_MOV[RECEITA OU DESPESA],"Despesa",LANÇ_MOV[CONTAS],$C446,LANÇ_MOV[PLANO DE CONTAS],REL_DRE_FINANCEIRO!$B$445,LANÇ_MOV[ANO PAGAMENTO],$B$4,LANÇ_MOV[MÊS PAGAMENTO CORRESPONDENTE],F$6,LANÇ_MOV[EMPRESA],$C$4,LANÇ_MOV[CENTRO DE CUSTOS],$D$4)</f>
        <v>0</v>
      </c>
      <c r="G446" s="206">
        <f>SUMIFS(LANÇ_MOV[VALOR LÍQUIDO],LANÇ_MOV[RECEITA OU DESPESA],"Despesa",LANÇ_MOV[CONTAS],$C446,LANÇ_MOV[PLANO DE CONTAS],REL_DRE_FINANCEIRO!$B$445,LANÇ_MOV[ANO PAGAMENTO],$B$4,LANÇ_MOV[MÊS PAGAMENTO CORRESPONDENTE],G$6,LANÇ_MOV[EMPRESA],$C$4,LANÇ_MOV[CENTRO DE CUSTOS],$D$4)</f>
        <v>0</v>
      </c>
      <c r="H446" s="206">
        <f>SUMIFS(LANÇ_MOV[VALOR LÍQUIDO],LANÇ_MOV[RECEITA OU DESPESA],"Despesa",LANÇ_MOV[CONTAS],$C446,LANÇ_MOV[PLANO DE CONTAS],REL_DRE_FINANCEIRO!$B$445,LANÇ_MOV[ANO PAGAMENTO],$B$4,LANÇ_MOV[MÊS PAGAMENTO CORRESPONDENTE],H$6,LANÇ_MOV[EMPRESA],$C$4,LANÇ_MOV[CENTRO DE CUSTOS],$D$4)</f>
        <v>0</v>
      </c>
      <c r="I446" s="206">
        <f>SUMIFS(LANÇ_MOV[VALOR LÍQUIDO],LANÇ_MOV[RECEITA OU DESPESA],"Despesa",LANÇ_MOV[CONTAS],$C446,LANÇ_MOV[PLANO DE CONTAS],REL_DRE_FINANCEIRO!$B$445,LANÇ_MOV[ANO PAGAMENTO],$B$4,LANÇ_MOV[MÊS PAGAMENTO CORRESPONDENTE],I$6,LANÇ_MOV[EMPRESA],$C$4,LANÇ_MOV[CENTRO DE CUSTOS],$D$4)</f>
        <v>0</v>
      </c>
      <c r="J446" s="206">
        <f>SUMIFS(LANÇ_MOV[VALOR LÍQUIDO],LANÇ_MOV[RECEITA OU DESPESA],"Despesa",LANÇ_MOV[CONTAS],$C446,LANÇ_MOV[PLANO DE CONTAS],REL_DRE_FINANCEIRO!$B$445,LANÇ_MOV[ANO PAGAMENTO],$B$4,LANÇ_MOV[MÊS PAGAMENTO CORRESPONDENTE],J$6,LANÇ_MOV[EMPRESA],$C$4,LANÇ_MOV[CENTRO DE CUSTOS],$D$4)</f>
        <v>0</v>
      </c>
      <c r="K446" s="206">
        <f>SUMIFS(LANÇ_MOV[VALOR LÍQUIDO],LANÇ_MOV[RECEITA OU DESPESA],"Despesa",LANÇ_MOV[CONTAS],$C446,LANÇ_MOV[PLANO DE CONTAS],REL_DRE_FINANCEIRO!$B$445,LANÇ_MOV[ANO PAGAMENTO],$B$4,LANÇ_MOV[MÊS PAGAMENTO CORRESPONDENTE],K$6,LANÇ_MOV[EMPRESA],$C$4,LANÇ_MOV[CENTRO DE CUSTOS],$D$4)</f>
        <v>0</v>
      </c>
      <c r="L446" s="206">
        <f>SUMIFS(LANÇ_MOV[VALOR LÍQUIDO],LANÇ_MOV[RECEITA OU DESPESA],"Despesa",LANÇ_MOV[CONTAS],$C446,LANÇ_MOV[PLANO DE CONTAS],REL_DRE_FINANCEIRO!$B$445,LANÇ_MOV[ANO PAGAMENTO],$B$4,LANÇ_MOV[MÊS PAGAMENTO CORRESPONDENTE],L$6,LANÇ_MOV[EMPRESA],$C$4,LANÇ_MOV[CENTRO DE CUSTOS],$D$4)</f>
        <v>0</v>
      </c>
      <c r="M446" s="206">
        <f>SUMIFS(LANÇ_MOV[VALOR LÍQUIDO],LANÇ_MOV[RECEITA OU DESPESA],"Despesa",LANÇ_MOV[CONTAS],$C446,LANÇ_MOV[PLANO DE CONTAS],REL_DRE_FINANCEIRO!$B$445,LANÇ_MOV[ANO PAGAMENTO],$B$4,LANÇ_MOV[MÊS PAGAMENTO CORRESPONDENTE],M$6,LANÇ_MOV[EMPRESA],$C$4,LANÇ_MOV[CENTRO DE CUSTOS],$D$4)</f>
        <v>0</v>
      </c>
      <c r="N446" s="206">
        <f>SUMIFS(LANÇ_MOV[VALOR LÍQUIDO],LANÇ_MOV[RECEITA OU DESPESA],"Despesa",LANÇ_MOV[CONTAS],$C446,LANÇ_MOV[PLANO DE CONTAS],REL_DRE_FINANCEIRO!$B$445,LANÇ_MOV[ANO PAGAMENTO],$B$4,LANÇ_MOV[MÊS PAGAMENTO CORRESPONDENTE],N$6,LANÇ_MOV[EMPRESA],$C$4,LANÇ_MOV[CENTRO DE CUSTOS],$D$4)</f>
        <v>0</v>
      </c>
      <c r="O446" s="206">
        <f>SUMIFS(LANÇ_MOV[VALOR LÍQUIDO],LANÇ_MOV[RECEITA OU DESPESA],"Despesa",LANÇ_MOV[CONTAS],$C446,LANÇ_MOV[PLANO DE CONTAS],REL_DRE_FINANCEIRO!$B$445,LANÇ_MOV[ANO PAGAMENTO],$B$4,LANÇ_MOV[MÊS PAGAMENTO CORRESPONDENTE],O$6,LANÇ_MOV[EMPRESA],$C$4,LANÇ_MOV[CENTRO DE CUSTOS],$D$4)</f>
        <v>0</v>
      </c>
      <c r="P446" s="207">
        <f t="shared" ref="P446:P509" si="65">SUM(D446:O446)</f>
        <v>0</v>
      </c>
      <c r="Q446" s="329">
        <v>1.0000000000000001E-5</v>
      </c>
      <c r="R446" s="346">
        <f>P446+Q446</f>
        <v>1.0000000000000001E-5</v>
      </c>
      <c r="S446" s="347" t="e">
        <f>C446</f>
        <v>#REF!</v>
      </c>
      <c r="T446" s="347">
        <f>P446</f>
        <v>0</v>
      </c>
      <c r="U446" s="347">
        <f>HLOOKUP(Apoio!$P$12,$D$444:$P$545,X446,FALSE)+Q446</f>
        <v>1.0000000000000001E-5</v>
      </c>
      <c r="V446" s="447" t="e">
        <f t="shared" ref="V446:V509" si="66">S446</f>
        <v>#REF!</v>
      </c>
      <c r="W446" s="448">
        <f>HLOOKUP(Apoio!$P$12,$D$444:$P$545,X446,FALSE)</f>
        <v>0</v>
      </c>
      <c r="X446" s="329">
        <v>3</v>
      </c>
      <c r="Y446" s="329">
        <v>1</v>
      </c>
      <c r="Z446" s="340" t="str">
        <f>VLOOKUP(LARGE($R$446:$R$545,Y446),$R$446:$S$545,2,FALSE)</f>
        <v>SALÁRIOS</v>
      </c>
      <c r="AA446" s="340">
        <f>VLOOKUP(Z446,$S$446:$T$545,2,FALSE)</f>
        <v>5273.6399999999994</v>
      </c>
    </row>
    <row r="447" spans="2:50" ht="30.05" customHeight="1" x14ac:dyDescent="0.35">
      <c r="B447" s="204" t="str">
        <f>'CAD_PL_REC-DESP'!T6</f>
        <v>2.4.2</v>
      </c>
      <c r="C447" s="205" t="e">
        <f>IF('CAD_PL_REC-DESP'!#REF!="","-",'CAD_PL_REC-DESP'!#REF!)</f>
        <v>#REF!</v>
      </c>
      <c r="D447" s="206">
        <f>SUMIFS(LANÇ_MOV[VALOR LÍQUIDO],LANÇ_MOV[RECEITA OU DESPESA],"Despesa",LANÇ_MOV[CONTAS],$C447,LANÇ_MOV[PLANO DE CONTAS],REL_DRE_FINANCEIRO!$B$445,LANÇ_MOV[ANO PAGAMENTO],$B$4,LANÇ_MOV[MÊS PAGAMENTO CORRESPONDENTE],D$6,LANÇ_MOV[EMPRESA],$C$4,LANÇ_MOV[CENTRO DE CUSTOS],$D$4)</f>
        <v>0</v>
      </c>
      <c r="E447" s="206">
        <f>SUMIFS(LANÇ_MOV[VALOR LÍQUIDO],LANÇ_MOV[RECEITA OU DESPESA],"Despesa",LANÇ_MOV[CONTAS],$C447,LANÇ_MOV[PLANO DE CONTAS],REL_DRE_FINANCEIRO!$B$445,LANÇ_MOV[ANO PAGAMENTO],$B$4,LANÇ_MOV[MÊS PAGAMENTO CORRESPONDENTE],E$6,LANÇ_MOV[EMPRESA],$C$4,LANÇ_MOV[CENTRO DE CUSTOS],$D$4)</f>
        <v>0</v>
      </c>
      <c r="F447" s="206">
        <f>SUMIFS(LANÇ_MOV[VALOR LÍQUIDO],LANÇ_MOV[RECEITA OU DESPESA],"Despesa",LANÇ_MOV[CONTAS],$C447,LANÇ_MOV[PLANO DE CONTAS],REL_DRE_FINANCEIRO!$B$445,LANÇ_MOV[ANO PAGAMENTO],$B$4,LANÇ_MOV[MÊS PAGAMENTO CORRESPONDENTE],F$6,LANÇ_MOV[EMPRESA],$C$4,LANÇ_MOV[CENTRO DE CUSTOS],$D$4)</f>
        <v>0</v>
      </c>
      <c r="G447" s="206">
        <f>SUMIFS(LANÇ_MOV[VALOR LÍQUIDO],LANÇ_MOV[RECEITA OU DESPESA],"Despesa",LANÇ_MOV[CONTAS],$C447,LANÇ_MOV[PLANO DE CONTAS],REL_DRE_FINANCEIRO!$B$445,LANÇ_MOV[ANO PAGAMENTO],$B$4,LANÇ_MOV[MÊS PAGAMENTO CORRESPONDENTE],G$6,LANÇ_MOV[EMPRESA],$C$4,LANÇ_MOV[CENTRO DE CUSTOS],$D$4)</f>
        <v>0</v>
      </c>
      <c r="H447" s="206">
        <f>SUMIFS(LANÇ_MOV[VALOR LÍQUIDO],LANÇ_MOV[RECEITA OU DESPESA],"Despesa",LANÇ_MOV[CONTAS],$C447,LANÇ_MOV[PLANO DE CONTAS],REL_DRE_FINANCEIRO!$B$445,LANÇ_MOV[ANO PAGAMENTO],$B$4,LANÇ_MOV[MÊS PAGAMENTO CORRESPONDENTE],H$6,LANÇ_MOV[EMPRESA],$C$4,LANÇ_MOV[CENTRO DE CUSTOS],$D$4)</f>
        <v>0</v>
      </c>
      <c r="I447" s="206">
        <f>SUMIFS(LANÇ_MOV[VALOR LÍQUIDO],LANÇ_MOV[RECEITA OU DESPESA],"Despesa",LANÇ_MOV[CONTAS],$C447,LANÇ_MOV[PLANO DE CONTAS],REL_DRE_FINANCEIRO!$B$445,LANÇ_MOV[ANO PAGAMENTO],$B$4,LANÇ_MOV[MÊS PAGAMENTO CORRESPONDENTE],I$6,LANÇ_MOV[EMPRESA],$C$4,LANÇ_MOV[CENTRO DE CUSTOS],$D$4)</f>
        <v>0</v>
      </c>
      <c r="J447" s="206">
        <f>SUMIFS(LANÇ_MOV[VALOR LÍQUIDO],LANÇ_MOV[RECEITA OU DESPESA],"Despesa",LANÇ_MOV[CONTAS],$C447,LANÇ_MOV[PLANO DE CONTAS],REL_DRE_FINANCEIRO!$B$445,LANÇ_MOV[ANO PAGAMENTO],$B$4,LANÇ_MOV[MÊS PAGAMENTO CORRESPONDENTE],J$6,LANÇ_MOV[EMPRESA],$C$4,LANÇ_MOV[CENTRO DE CUSTOS],$D$4)</f>
        <v>0</v>
      </c>
      <c r="K447" s="206">
        <f>SUMIFS(LANÇ_MOV[VALOR LÍQUIDO],LANÇ_MOV[RECEITA OU DESPESA],"Despesa",LANÇ_MOV[CONTAS],$C447,LANÇ_MOV[PLANO DE CONTAS],REL_DRE_FINANCEIRO!$B$445,LANÇ_MOV[ANO PAGAMENTO],$B$4,LANÇ_MOV[MÊS PAGAMENTO CORRESPONDENTE],K$6,LANÇ_MOV[EMPRESA],$C$4,LANÇ_MOV[CENTRO DE CUSTOS],$D$4)</f>
        <v>0</v>
      </c>
      <c r="L447" s="206">
        <f>SUMIFS(LANÇ_MOV[VALOR LÍQUIDO],LANÇ_MOV[RECEITA OU DESPESA],"Despesa",LANÇ_MOV[CONTAS],$C447,LANÇ_MOV[PLANO DE CONTAS],REL_DRE_FINANCEIRO!$B$445,LANÇ_MOV[ANO PAGAMENTO],$B$4,LANÇ_MOV[MÊS PAGAMENTO CORRESPONDENTE],L$6,LANÇ_MOV[EMPRESA],$C$4,LANÇ_MOV[CENTRO DE CUSTOS],$D$4)</f>
        <v>0</v>
      </c>
      <c r="M447" s="206">
        <f>SUMIFS(LANÇ_MOV[VALOR LÍQUIDO],LANÇ_MOV[RECEITA OU DESPESA],"Despesa",LANÇ_MOV[CONTAS],$C447,LANÇ_MOV[PLANO DE CONTAS],REL_DRE_FINANCEIRO!$B$445,LANÇ_MOV[ANO PAGAMENTO],$B$4,LANÇ_MOV[MÊS PAGAMENTO CORRESPONDENTE],M$6,LANÇ_MOV[EMPRESA],$C$4,LANÇ_MOV[CENTRO DE CUSTOS],$D$4)</f>
        <v>0</v>
      </c>
      <c r="N447" s="206">
        <f>SUMIFS(LANÇ_MOV[VALOR LÍQUIDO],LANÇ_MOV[RECEITA OU DESPESA],"Despesa",LANÇ_MOV[CONTAS],$C447,LANÇ_MOV[PLANO DE CONTAS],REL_DRE_FINANCEIRO!$B$445,LANÇ_MOV[ANO PAGAMENTO],$B$4,LANÇ_MOV[MÊS PAGAMENTO CORRESPONDENTE],N$6,LANÇ_MOV[EMPRESA],$C$4,LANÇ_MOV[CENTRO DE CUSTOS],$D$4)</f>
        <v>0</v>
      </c>
      <c r="O447" s="206">
        <f>SUMIFS(LANÇ_MOV[VALOR LÍQUIDO],LANÇ_MOV[RECEITA OU DESPESA],"Despesa",LANÇ_MOV[CONTAS],$C447,LANÇ_MOV[PLANO DE CONTAS],REL_DRE_FINANCEIRO!$B$445,LANÇ_MOV[ANO PAGAMENTO],$B$4,LANÇ_MOV[MÊS PAGAMENTO CORRESPONDENTE],O$6,LANÇ_MOV[EMPRESA],$C$4,LANÇ_MOV[CENTRO DE CUSTOS],$D$4)</f>
        <v>0</v>
      </c>
      <c r="P447" s="207">
        <f t="shared" si="65"/>
        <v>0</v>
      </c>
      <c r="Q447" s="329">
        <v>9.9000000000000001E-6</v>
      </c>
      <c r="R447" s="346">
        <f t="shared" ref="R447:R510" si="67">P447+Q447</f>
        <v>9.9000000000000001E-6</v>
      </c>
      <c r="S447" s="347" t="e">
        <f t="shared" ref="S447:S510" si="68">C447</f>
        <v>#REF!</v>
      </c>
      <c r="T447" s="347">
        <f t="shared" ref="T447:T510" si="69">P447</f>
        <v>0</v>
      </c>
      <c r="U447" s="347">
        <f>HLOOKUP(Apoio!$P$12,$D$444:$P$545,X447,FALSE)+Q447</f>
        <v>9.9000000000000001E-6</v>
      </c>
      <c r="V447" s="447" t="e">
        <f t="shared" si="66"/>
        <v>#REF!</v>
      </c>
      <c r="W447" s="448">
        <f>HLOOKUP(Apoio!$P$12,$D$444:$P$545,X447,FALSE)</f>
        <v>0</v>
      </c>
      <c r="X447" s="329">
        <v>4</v>
      </c>
      <c r="Y447" s="329">
        <v>2</v>
      </c>
      <c r="Z447" s="340" t="str">
        <f>VLOOKUP(LARGE($R$446:$R$545,Y447),$R$446:$S$545,2,FALSE)</f>
        <v>ACORDO TRABALHISTA</v>
      </c>
      <c r="AA447" s="340">
        <f>VLOOKUP(Z447,$S$446:$T$545,2,FALSE)</f>
        <v>4875</v>
      </c>
    </row>
    <row r="448" spans="2:50" ht="30.05" customHeight="1" x14ac:dyDescent="0.35">
      <c r="B448" s="204" t="str">
        <f>'CAD_PL_REC-DESP'!T7</f>
        <v>2.4.3</v>
      </c>
      <c r="C448" s="205" t="e">
        <f>IF('CAD_PL_REC-DESP'!#REF!="","-",'CAD_PL_REC-DESP'!#REF!)</f>
        <v>#REF!</v>
      </c>
      <c r="D448" s="206">
        <f>SUMIFS(LANÇ_MOV[VALOR LÍQUIDO],LANÇ_MOV[RECEITA OU DESPESA],"Despesa",LANÇ_MOV[CONTAS],$C448,LANÇ_MOV[PLANO DE CONTAS],REL_DRE_FINANCEIRO!$B$445,LANÇ_MOV[ANO PAGAMENTO],$B$4,LANÇ_MOV[MÊS PAGAMENTO CORRESPONDENTE],D$6,LANÇ_MOV[EMPRESA],$C$4,LANÇ_MOV[CENTRO DE CUSTOS],$D$4)</f>
        <v>0</v>
      </c>
      <c r="E448" s="206">
        <f>SUMIFS(LANÇ_MOV[VALOR LÍQUIDO],LANÇ_MOV[RECEITA OU DESPESA],"Despesa",LANÇ_MOV[CONTAS],$C448,LANÇ_MOV[PLANO DE CONTAS],REL_DRE_FINANCEIRO!$B$445,LANÇ_MOV[ANO PAGAMENTO],$B$4,LANÇ_MOV[MÊS PAGAMENTO CORRESPONDENTE],E$6,LANÇ_MOV[EMPRESA],$C$4,LANÇ_MOV[CENTRO DE CUSTOS],$D$4)</f>
        <v>0</v>
      </c>
      <c r="F448" s="206">
        <f>SUMIFS(LANÇ_MOV[VALOR LÍQUIDO],LANÇ_MOV[RECEITA OU DESPESA],"Despesa",LANÇ_MOV[CONTAS],$C448,LANÇ_MOV[PLANO DE CONTAS],REL_DRE_FINANCEIRO!$B$445,LANÇ_MOV[ANO PAGAMENTO],$B$4,LANÇ_MOV[MÊS PAGAMENTO CORRESPONDENTE],F$6,LANÇ_MOV[EMPRESA],$C$4,LANÇ_MOV[CENTRO DE CUSTOS],$D$4)</f>
        <v>0</v>
      </c>
      <c r="G448" s="206">
        <f>SUMIFS(LANÇ_MOV[VALOR LÍQUIDO],LANÇ_MOV[RECEITA OU DESPESA],"Despesa",LANÇ_MOV[CONTAS],$C448,LANÇ_MOV[PLANO DE CONTAS],REL_DRE_FINANCEIRO!$B$445,LANÇ_MOV[ANO PAGAMENTO],$B$4,LANÇ_MOV[MÊS PAGAMENTO CORRESPONDENTE],G$6,LANÇ_MOV[EMPRESA],$C$4,LANÇ_MOV[CENTRO DE CUSTOS],$D$4)</f>
        <v>0</v>
      </c>
      <c r="H448" s="206">
        <f>SUMIFS(LANÇ_MOV[VALOR LÍQUIDO],LANÇ_MOV[RECEITA OU DESPESA],"Despesa",LANÇ_MOV[CONTAS],$C448,LANÇ_MOV[PLANO DE CONTAS],REL_DRE_FINANCEIRO!$B$445,LANÇ_MOV[ANO PAGAMENTO],$B$4,LANÇ_MOV[MÊS PAGAMENTO CORRESPONDENTE],H$6,LANÇ_MOV[EMPRESA],$C$4,LANÇ_MOV[CENTRO DE CUSTOS],$D$4)</f>
        <v>0</v>
      </c>
      <c r="I448" s="206">
        <f>SUMIFS(LANÇ_MOV[VALOR LÍQUIDO],LANÇ_MOV[RECEITA OU DESPESA],"Despesa",LANÇ_MOV[CONTAS],$C448,LANÇ_MOV[PLANO DE CONTAS],REL_DRE_FINANCEIRO!$B$445,LANÇ_MOV[ANO PAGAMENTO],$B$4,LANÇ_MOV[MÊS PAGAMENTO CORRESPONDENTE],I$6,LANÇ_MOV[EMPRESA],$C$4,LANÇ_MOV[CENTRO DE CUSTOS],$D$4)</f>
        <v>0</v>
      </c>
      <c r="J448" s="206">
        <f>SUMIFS(LANÇ_MOV[VALOR LÍQUIDO],LANÇ_MOV[RECEITA OU DESPESA],"Despesa",LANÇ_MOV[CONTAS],$C448,LANÇ_MOV[PLANO DE CONTAS],REL_DRE_FINANCEIRO!$B$445,LANÇ_MOV[ANO PAGAMENTO],$B$4,LANÇ_MOV[MÊS PAGAMENTO CORRESPONDENTE],J$6,LANÇ_MOV[EMPRESA],$C$4,LANÇ_MOV[CENTRO DE CUSTOS],$D$4)</f>
        <v>0</v>
      </c>
      <c r="K448" s="206">
        <f>SUMIFS(LANÇ_MOV[VALOR LÍQUIDO],LANÇ_MOV[RECEITA OU DESPESA],"Despesa",LANÇ_MOV[CONTAS],$C448,LANÇ_MOV[PLANO DE CONTAS],REL_DRE_FINANCEIRO!$B$445,LANÇ_MOV[ANO PAGAMENTO],$B$4,LANÇ_MOV[MÊS PAGAMENTO CORRESPONDENTE],K$6,LANÇ_MOV[EMPRESA],$C$4,LANÇ_MOV[CENTRO DE CUSTOS],$D$4)</f>
        <v>0</v>
      </c>
      <c r="L448" s="206">
        <f>SUMIFS(LANÇ_MOV[VALOR LÍQUIDO],LANÇ_MOV[RECEITA OU DESPESA],"Despesa",LANÇ_MOV[CONTAS],$C448,LANÇ_MOV[PLANO DE CONTAS],REL_DRE_FINANCEIRO!$B$445,LANÇ_MOV[ANO PAGAMENTO],$B$4,LANÇ_MOV[MÊS PAGAMENTO CORRESPONDENTE],L$6,LANÇ_MOV[EMPRESA],$C$4,LANÇ_MOV[CENTRO DE CUSTOS],$D$4)</f>
        <v>0</v>
      </c>
      <c r="M448" s="206">
        <f>SUMIFS(LANÇ_MOV[VALOR LÍQUIDO],LANÇ_MOV[RECEITA OU DESPESA],"Despesa",LANÇ_MOV[CONTAS],$C448,LANÇ_MOV[PLANO DE CONTAS],REL_DRE_FINANCEIRO!$B$445,LANÇ_MOV[ANO PAGAMENTO],$B$4,LANÇ_MOV[MÊS PAGAMENTO CORRESPONDENTE],M$6,LANÇ_MOV[EMPRESA],$C$4,LANÇ_MOV[CENTRO DE CUSTOS],$D$4)</f>
        <v>0</v>
      </c>
      <c r="N448" s="206">
        <f>SUMIFS(LANÇ_MOV[VALOR LÍQUIDO],LANÇ_MOV[RECEITA OU DESPESA],"Despesa",LANÇ_MOV[CONTAS],$C448,LANÇ_MOV[PLANO DE CONTAS],REL_DRE_FINANCEIRO!$B$445,LANÇ_MOV[ANO PAGAMENTO],$B$4,LANÇ_MOV[MÊS PAGAMENTO CORRESPONDENTE],N$6,LANÇ_MOV[EMPRESA],$C$4,LANÇ_MOV[CENTRO DE CUSTOS],$D$4)</f>
        <v>0</v>
      </c>
      <c r="O448" s="206">
        <f>SUMIFS(LANÇ_MOV[VALOR LÍQUIDO],LANÇ_MOV[RECEITA OU DESPESA],"Despesa",LANÇ_MOV[CONTAS],$C448,LANÇ_MOV[PLANO DE CONTAS],REL_DRE_FINANCEIRO!$B$445,LANÇ_MOV[ANO PAGAMENTO],$B$4,LANÇ_MOV[MÊS PAGAMENTO CORRESPONDENTE],O$6,LANÇ_MOV[EMPRESA],$C$4,LANÇ_MOV[CENTRO DE CUSTOS],$D$4)</f>
        <v>0</v>
      </c>
      <c r="P448" s="207">
        <f t="shared" si="65"/>
        <v>0</v>
      </c>
      <c r="Q448" s="329">
        <v>9.7999999999999993E-6</v>
      </c>
      <c r="R448" s="346">
        <f t="shared" si="67"/>
        <v>9.7999999999999993E-6</v>
      </c>
      <c r="S448" s="347" t="e">
        <f t="shared" si="68"/>
        <v>#REF!</v>
      </c>
      <c r="T448" s="347">
        <f t="shared" si="69"/>
        <v>0</v>
      </c>
      <c r="U448" s="347">
        <f>HLOOKUP(Apoio!$P$12,$D$444:$P$545,X448,FALSE)+Q448</f>
        <v>9.7999999999999993E-6</v>
      </c>
      <c r="V448" s="447" t="e">
        <f t="shared" si="66"/>
        <v>#REF!</v>
      </c>
      <c r="W448" s="448">
        <f>HLOOKUP(Apoio!$P$12,$D$444:$P$545,X448,FALSE)</f>
        <v>0</v>
      </c>
      <c r="X448" s="329">
        <v>5</v>
      </c>
      <c r="Y448" s="329">
        <v>3</v>
      </c>
      <c r="Z448" s="340" t="str">
        <f>VLOOKUP(LARGE($R$446:$R$545,Y448),$R$446:$S$545,2,FALSE)</f>
        <v>FGTS</v>
      </c>
      <c r="AA448" s="340">
        <f>VLOOKUP(Z448,$S$446:$T$545,2,FALSE)</f>
        <v>2149.52</v>
      </c>
    </row>
    <row r="449" spans="2:27" ht="30.05" customHeight="1" x14ac:dyDescent="0.35">
      <c r="B449" s="204" t="str">
        <f>'CAD_PL_REC-DESP'!T8</f>
        <v>2.4.4</v>
      </c>
      <c r="C449" s="205" t="e">
        <f>IF('CAD_PL_REC-DESP'!#REF!="","-",'CAD_PL_REC-DESP'!#REF!)</f>
        <v>#REF!</v>
      </c>
      <c r="D449" s="206">
        <f>SUMIFS(LANÇ_MOV[VALOR LÍQUIDO],LANÇ_MOV[RECEITA OU DESPESA],"Despesa",LANÇ_MOV[CONTAS],$C449,LANÇ_MOV[PLANO DE CONTAS],REL_DRE_FINANCEIRO!$B$445,LANÇ_MOV[ANO PAGAMENTO],$B$4,LANÇ_MOV[MÊS PAGAMENTO CORRESPONDENTE],D$6,LANÇ_MOV[EMPRESA],$C$4,LANÇ_MOV[CENTRO DE CUSTOS],$D$4)</f>
        <v>0</v>
      </c>
      <c r="E449" s="206">
        <f>SUMIFS(LANÇ_MOV[VALOR LÍQUIDO],LANÇ_MOV[RECEITA OU DESPESA],"Despesa",LANÇ_MOV[CONTAS],$C449,LANÇ_MOV[PLANO DE CONTAS],REL_DRE_FINANCEIRO!$B$445,LANÇ_MOV[ANO PAGAMENTO],$B$4,LANÇ_MOV[MÊS PAGAMENTO CORRESPONDENTE],E$6,LANÇ_MOV[EMPRESA],$C$4,LANÇ_MOV[CENTRO DE CUSTOS],$D$4)</f>
        <v>0</v>
      </c>
      <c r="F449" s="206">
        <f>SUMIFS(LANÇ_MOV[VALOR LÍQUIDO],LANÇ_MOV[RECEITA OU DESPESA],"Despesa",LANÇ_MOV[CONTAS],$C449,LANÇ_MOV[PLANO DE CONTAS],REL_DRE_FINANCEIRO!$B$445,LANÇ_MOV[ANO PAGAMENTO],$B$4,LANÇ_MOV[MÊS PAGAMENTO CORRESPONDENTE],F$6,LANÇ_MOV[EMPRESA],$C$4,LANÇ_MOV[CENTRO DE CUSTOS],$D$4)</f>
        <v>0</v>
      </c>
      <c r="G449" s="206">
        <f>SUMIFS(LANÇ_MOV[VALOR LÍQUIDO],LANÇ_MOV[RECEITA OU DESPESA],"Despesa",LANÇ_MOV[CONTAS],$C449,LANÇ_MOV[PLANO DE CONTAS],REL_DRE_FINANCEIRO!$B$445,LANÇ_MOV[ANO PAGAMENTO],$B$4,LANÇ_MOV[MÊS PAGAMENTO CORRESPONDENTE],G$6,LANÇ_MOV[EMPRESA],$C$4,LANÇ_MOV[CENTRO DE CUSTOS],$D$4)</f>
        <v>0</v>
      </c>
      <c r="H449" s="206">
        <f>SUMIFS(LANÇ_MOV[VALOR LÍQUIDO],LANÇ_MOV[RECEITA OU DESPESA],"Despesa",LANÇ_MOV[CONTAS],$C449,LANÇ_MOV[PLANO DE CONTAS],REL_DRE_FINANCEIRO!$B$445,LANÇ_MOV[ANO PAGAMENTO],$B$4,LANÇ_MOV[MÊS PAGAMENTO CORRESPONDENTE],H$6,LANÇ_MOV[EMPRESA],$C$4,LANÇ_MOV[CENTRO DE CUSTOS],$D$4)</f>
        <v>0</v>
      </c>
      <c r="I449" s="206">
        <f>SUMIFS(LANÇ_MOV[VALOR LÍQUIDO],LANÇ_MOV[RECEITA OU DESPESA],"Despesa",LANÇ_MOV[CONTAS],$C449,LANÇ_MOV[PLANO DE CONTAS],REL_DRE_FINANCEIRO!$B$445,LANÇ_MOV[ANO PAGAMENTO],$B$4,LANÇ_MOV[MÊS PAGAMENTO CORRESPONDENTE],I$6,LANÇ_MOV[EMPRESA],$C$4,LANÇ_MOV[CENTRO DE CUSTOS],$D$4)</f>
        <v>0</v>
      </c>
      <c r="J449" s="206">
        <f>SUMIFS(LANÇ_MOV[VALOR LÍQUIDO],LANÇ_MOV[RECEITA OU DESPESA],"Despesa",LANÇ_MOV[CONTAS],$C449,LANÇ_MOV[PLANO DE CONTAS],REL_DRE_FINANCEIRO!$B$445,LANÇ_MOV[ANO PAGAMENTO],$B$4,LANÇ_MOV[MÊS PAGAMENTO CORRESPONDENTE],J$6,LANÇ_MOV[EMPRESA],$C$4,LANÇ_MOV[CENTRO DE CUSTOS],$D$4)</f>
        <v>0</v>
      </c>
      <c r="K449" s="206">
        <f>SUMIFS(LANÇ_MOV[VALOR LÍQUIDO],LANÇ_MOV[RECEITA OU DESPESA],"Despesa",LANÇ_MOV[CONTAS],$C449,LANÇ_MOV[PLANO DE CONTAS],REL_DRE_FINANCEIRO!$B$445,LANÇ_MOV[ANO PAGAMENTO],$B$4,LANÇ_MOV[MÊS PAGAMENTO CORRESPONDENTE],K$6,LANÇ_MOV[EMPRESA],$C$4,LANÇ_MOV[CENTRO DE CUSTOS],$D$4)</f>
        <v>0</v>
      </c>
      <c r="L449" s="206">
        <f>SUMIFS(LANÇ_MOV[VALOR LÍQUIDO],LANÇ_MOV[RECEITA OU DESPESA],"Despesa",LANÇ_MOV[CONTAS],$C449,LANÇ_MOV[PLANO DE CONTAS],REL_DRE_FINANCEIRO!$B$445,LANÇ_MOV[ANO PAGAMENTO],$B$4,LANÇ_MOV[MÊS PAGAMENTO CORRESPONDENTE],L$6,LANÇ_MOV[EMPRESA],$C$4,LANÇ_MOV[CENTRO DE CUSTOS],$D$4)</f>
        <v>0</v>
      </c>
      <c r="M449" s="206">
        <f>SUMIFS(LANÇ_MOV[VALOR LÍQUIDO],LANÇ_MOV[RECEITA OU DESPESA],"Despesa",LANÇ_MOV[CONTAS],$C449,LANÇ_MOV[PLANO DE CONTAS],REL_DRE_FINANCEIRO!$B$445,LANÇ_MOV[ANO PAGAMENTO],$B$4,LANÇ_MOV[MÊS PAGAMENTO CORRESPONDENTE],M$6,LANÇ_MOV[EMPRESA],$C$4,LANÇ_MOV[CENTRO DE CUSTOS],$D$4)</f>
        <v>0</v>
      </c>
      <c r="N449" s="206">
        <f>SUMIFS(LANÇ_MOV[VALOR LÍQUIDO],LANÇ_MOV[RECEITA OU DESPESA],"Despesa",LANÇ_MOV[CONTAS],$C449,LANÇ_MOV[PLANO DE CONTAS],REL_DRE_FINANCEIRO!$B$445,LANÇ_MOV[ANO PAGAMENTO],$B$4,LANÇ_MOV[MÊS PAGAMENTO CORRESPONDENTE],N$6,LANÇ_MOV[EMPRESA],$C$4,LANÇ_MOV[CENTRO DE CUSTOS],$D$4)</f>
        <v>0</v>
      </c>
      <c r="O449" s="206">
        <f>SUMIFS(LANÇ_MOV[VALOR LÍQUIDO],LANÇ_MOV[RECEITA OU DESPESA],"Despesa",LANÇ_MOV[CONTAS],$C449,LANÇ_MOV[PLANO DE CONTAS],REL_DRE_FINANCEIRO!$B$445,LANÇ_MOV[ANO PAGAMENTO],$B$4,LANÇ_MOV[MÊS PAGAMENTO CORRESPONDENTE],O$6,LANÇ_MOV[EMPRESA],$C$4,LANÇ_MOV[CENTRO DE CUSTOS],$D$4)</f>
        <v>0</v>
      </c>
      <c r="P449" s="207">
        <f t="shared" si="65"/>
        <v>0</v>
      </c>
      <c r="Q449" s="329">
        <v>9.7000000000000003E-6</v>
      </c>
      <c r="R449" s="346">
        <f t="shared" si="67"/>
        <v>9.7000000000000003E-6</v>
      </c>
      <c r="S449" s="347" t="e">
        <f t="shared" si="68"/>
        <v>#REF!</v>
      </c>
      <c r="T449" s="347">
        <f t="shared" si="69"/>
        <v>0</v>
      </c>
      <c r="U449" s="347">
        <f>HLOOKUP(Apoio!$P$12,$D$444:$P$545,X449,FALSE)+Q449</f>
        <v>9.7000000000000003E-6</v>
      </c>
      <c r="V449" s="447" t="e">
        <f t="shared" si="66"/>
        <v>#REF!</v>
      </c>
      <c r="W449" s="448">
        <f>HLOOKUP(Apoio!$P$12,$D$444:$P$545,X449,FALSE)</f>
        <v>0</v>
      </c>
      <c r="X449" s="329">
        <v>6</v>
      </c>
      <c r="Y449" s="329">
        <v>4</v>
      </c>
      <c r="Z449" s="340" t="str">
        <f>VLOOKUP(LARGE($R$446:$R$545,Y449),$R$446:$S$545,2,FALSE)</f>
        <v>PROFESSOR PESSOA JURÍDICA</v>
      </c>
      <c r="AA449" s="340">
        <f>VLOOKUP(Z449,$S$446:$T$545,2,FALSE)</f>
        <v>1318.45</v>
      </c>
    </row>
    <row r="450" spans="2:27" ht="30.05" customHeight="1" x14ac:dyDescent="0.35">
      <c r="B450" s="204" t="str">
        <f>'CAD_PL_REC-DESP'!T9</f>
        <v>2.4.5</v>
      </c>
      <c r="C450" s="205" t="e">
        <f>IF('CAD_PL_REC-DESP'!#REF!="","-",'CAD_PL_REC-DESP'!#REF!)</f>
        <v>#REF!</v>
      </c>
      <c r="D450" s="206">
        <f>SUMIFS(LANÇ_MOV[VALOR LÍQUIDO],LANÇ_MOV[RECEITA OU DESPESA],"Despesa",LANÇ_MOV[CONTAS],$C450,LANÇ_MOV[PLANO DE CONTAS],REL_DRE_FINANCEIRO!$B$445,LANÇ_MOV[ANO PAGAMENTO],$B$4,LANÇ_MOV[MÊS PAGAMENTO CORRESPONDENTE],D$6,LANÇ_MOV[EMPRESA],$C$4,LANÇ_MOV[CENTRO DE CUSTOS],$D$4)</f>
        <v>0</v>
      </c>
      <c r="E450" s="206">
        <f>SUMIFS(LANÇ_MOV[VALOR LÍQUIDO],LANÇ_MOV[RECEITA OU DESPESA],"Despesa",LANÇ_MOV[CONTAS],$C450,LANÇ_MOV[PLANO DE CONTAS],REL_DRE_FINANCEIRO!$B$445,LANÇ_MOV[ANO PAGAMENTO],$B$4,LANÇ_MOV[MÊS PAGAMENTO CORRESPONDENTE],E$6,LANÇ_MOV[EMPRESA],$C$4,LANÇ_MOV[CENTRO DE CUSTOS],$D$4)</f>
        <v>0</v>
      </c>
      <c r="F450" s="206">
        <f>SUMIFS(LANÇ_MOV[VALOR LÍQUIDO],LANÇ_MOV[RECEITA OU DESPESA],"Despesa",LANÇ_MOV[CONTAS],$C450,LANÇ_MOV[PLANO DE CONTAS],REL_DRE_FINANCEIRO!$B$445,LANÇ_MOV[ANO PAGAMENTO],$B$4,LANÇ_MOV[MÊS PAGAMENTO CORRESPONDENTE],F$6,LANÇ_MOV[EMPRESA],$C$4,LANÇ_MOV[CENTRO DE CUSTOS],$D$4)</f>
        <v>0</v>
      </c>
      <c r="G450" s="206">
        <f>SUMIFS(LANÇ_MOV[VALOR LÍQUIDO],LANÇ_MOV[RECEITA OU DESPESA],"Despesa",LANÇ_MOV[CONTAS],$C450,LANÇ_MOV[PLANO DE CONTAS],REL_DRE_FINANCEIRO!$B$445,LANÇ_MOV[ANO PAGAMENTO],$B$4,LANÇ_MOV[MÊS PAGAMENTO CORRESPONDENTE],G$6,LANÇ_MOV[EMPRESA],$C$4,LANÇ_MOV[CENTRO DE CUSTOS],$D$4)</f>
        <v>0</v>
      </c>
      <c r="H450" s="206">
        <f>SUMIFS(LANÇ_MOV[VALOR LÍQUIDO],LANÇ_MOV[RECEITA OU DESPESA],"Despesa",LANÇ_MOV[CONTAS],$C450,LANÇ_MOV[PLANO DE CONTAS],REL_DRE_FINANCEIRO!$B$445,LANÇ_MOV[ANO PAGAMENTO],$B$4,LANÇ_MOV[MÊS PAGAMENTO CORRESPONDENTE],H$6,LANÇ_MOV[EMPRESA],$C$4,LANÇ_MOV[CENTRO DE CUSTOS],$D$4)</f>
        <v>0</v>
      </c>
      <c r="I450" s="206">
        <f>SUMIFS(LANÇ_MOV[VALOR LÍQUIDO],LANÇ_MOV[RECEITA OU DESPESA],"Despesa",LANÇ_MOV[CONTAS],$C450,LANÇ_MOV[PLANO DE CONTAS],REL_DRE_FINANCEIRO!$B$445,LANÇ_MOV[ANO PAGAMENTO],$B$4,LANÇ_MOV[MÊS PAGAMENTO CORRESPONDENTE],I$6,LANÇ_MOV[EMPRESA],$C$4,LANÇ_MOV[CENTRO DE CUSTOS],$D$4)</f>
        <v>0</v>
      </c>
      <c r="J450" s="206">
        <f>SUMIFS(LANÇ_MOV[VALOR LÍQUIDO],LANÇ_MOV[RECEITA OU DESPESA],"Despesa",LANÇ_MOV[CONTAS],$C450,LANÇ_MOV[PLANO DE CONTAS],REL_DRE_FINANCEIRO!$B$445,LANÇ_MOV[ANO PAGAMENTO],$B$4,LANÇ_MOV[MÊS PAGAMENTO CORRESPONDENTE],J$6,LANÇ_MOV[EMPRESA],$C$4,LANÇ_MOV[CENTRO DE CUSTOS],$D$4)</f>
        <v>0</v>
      </c>
      <c r="K450" s="206">
        <f>SUMIFS(LANÇ_MOV[VALOR LÍQUIDO],LANÇ_MOV[RECEITA OU DESPESA],"Despesa",LANÇ_MOV[CONTAS],$C450,LANÇ_MOV[PLANO DE CONTAS],REL_DRE_FINANCEIRO!$B$445,LANÇ_MOV[ANO PAGAMENTO],$B$4,LANÇ_MOV[MÊS PAGAMENTO CORRESPONDENTE],K$6,LANÇ_MOV[EMPRESA],$C$4,LANÇ_MOV[CENTRO DE CUSTOS],$D$4)</f>
        <v>0</v>
      </c>
      <c r="L450" s="206">
        <f>SUMIFS(LANÇ_MOV[VALOR LÍQUIDO],LANÇ_MOV[RECEITA OU DESPESA],"Despesa",LANÇ_MOV[CONTAS],$C450,LANÇ_MOV[PLANO DE CONTAS],REL_DRE_FINANCEIRO!$B$445,LANÇ_MOV[ANO PAGAMENTO],$B$4,LANÇ_MOV[MÊS PAGAMENTO CORRESPONDENTE],L$6,LANÇ_MOV[EMPRESA],$C$4,LANÇ_MOV[CENTRO DE CUSTOS],$D$4)</f>
        <v>0</v>
      </c>
      <c r="M450" s="206">
        <f>SUMIFS(LANÇ_MOV[VALOR LÍQUIDO],LANÇ_MOV[RECEITA OU DESPESA],"Despesa",LANÇ_MOV[CONTAS],$C450,LANÇ_MOV[PLANO DE CONTAS],REL_DRE_FINANCEIRO!$B$445,LANÇ_MOV[ANO PAGAMENTO],$B$4,LANÇ_MOV[MÊS PAGAMENTO CORRESPONDENTE],M$6,LANÇ_MOV[EMPRESA],$C$4,LANÇ_MOV[CENTRO DE CUSTOS],$D$4)</f>
        <v>0</v>
      </c>
      <c r="N450" s="206">
        <f>SUMIFS(LANÇ_MOV[VALOR LÍQUIDO],LANÇ_MOV[RECEITA OU DESPESA],"Despesa",LANÇ_MOV[CONTAS],$C450,LANÇ_MOV[PLANO DE CONTAS],REL_DRE_FINANCEIRO!$B$445,LANÇ_MOV[ANO PAGAMENTO],$B$4,LANÇ_MOV[MÊS PAGAMENTO CORRESPONDENTE],N$6,LANÇ_MOV[EMPRESA],$C$4,LANÇ_MOV[CENTRO DE CUSTOS],$D$4)</f>
        <v>0</v>
      </c>
      <c r="O450" s="206">
        <f>SUMIFS(LANÇ_MOV[VALOR LÍQUIDO],LANÇ_MOV[RECEITA OU DESPESA],"Despesa",LANÇ_MOV[CONTAS],$C450,LANÇ_MOV[PLANO DE CONTAS],REL_DRE_FINANCEIRO!$B$445,LANÇ_MOV[ANO PAGAMENTO],$B$4,LANÇ_MOV[MÊS PAGAMENTO CORRESPONDENTE],O$6,LANÇ_MOV[EMPRESA],$C$4,LANÇ_MOV[CENTRO DE CUSTOS],$D$4)</f>
        <v>0</v>
      </c>
      <c r="P450" s="207">
        <f t="shared" si="65"/>
        <v>0</v>
      </c>
      <c r="Q450" s="329">
        <v>9.5999999999999996E-6</v>
      </c>
      <c r="R450" s="346">
        <f t="shared" si="67"/>
        <v>9.5999999999999996E-6</v>
      </c>
      <c r="S450" s="347" t="e">
        <f t="shared" si="68"/>
        <v>#REF!</v>
      </c>
      <c r="T450" s="347">
        <f t="shared" si="69"/>
        <v>0</v>
      </c>
      <c r="U450" s="347">
        <f>HLOOKUP(Apoio!$P$12,$D$444:$P$545,X450,FALSE)+Q450</f>
        <v>9.5999999999999996E-6</v>
      </c>
      <c r="V450" s="447" t="e">
        <f t="shared" si="66"/>
        <v>#REF!</v>
      </c>
      <c r="W450" s="448">
        <f>HLOOKUP(Apoio!$P$12,$D$444:$P$545,X450,FALSE)</f>
        <v>0</v>
      </c>
      <c r="X450" s="329">
        <v>7</v>
      </c>
      <c r="Y450" s="329">
        <v>5</v>
      </c>
      <c r="Z450" s="340" t="e">
        <f>VLOOKUP(LARGE($R$446:$R$545,Y450),$R$446:$S$545,2,FALSE)</f>
        <v>#REF!</v>
      </c>
      <c r="AA450" s="340" t="e">
        <f>VLOOKUP(Z450,$S$446:$T$545,2,FALSE)</f>
        <v>#REF!</v>
      </c>
    </row>
    <row r="451" spans="2:27" ht="30.05" customHeight="1" x14ac:dyDescent="0.35">
      <c r="B451" s="204" t="str">
        <f>'CAD_PL_REC-DESP'!T10</f>
        <v>2.4.6</v>
      </c>
      <c r="C451" s="205" t="e">
        <f>IF('CAD_PL_REC-DESP'!#REF!="","-",'CAD_PL_REC-DESP'!#REF!)</f>
        <v>#REF!</v>
      </c>
      <c r="D451" s="206">
        <f>SUMIFS(LANÇ_MOV[VALOR LÍQUIDO],LANÇ_MOV[RECEITA OU DESPESA],"Despesa",LANÇ_MOV[CONTAS],$C451,LANÇ_MOV[PLANO DE CONTAS],REL_DRE_FINANCEIRO!$B$445,LANÇ_MOV[ANO PAGAMENTO],$B$4,LANÇ_MOV[MÊS PAGAMENTO CORRESPONDENTE],D$6,LANÇ_MOV[EMPRESA],$C$4,LANÇ_MOV[CENTRO DE CUSTOS],$D$4)</f>
        <v>0</v>
      </c>
      <c r="E451" s="206">
        <f>SUMIFS(LANÇ_MOV[VALOR LÍQUIDO],LANÇ_MOV[RECEITA OU DESPESA],"Despesa",LANÇ_MOV[CONTAS],$C451,LANÇ_MOV[PLANO DE CONTAS],REL_DRE_FINANCEIRO!$B$445,LANÇ_MOV[ANO PAGAMENTO],$B$4,LANÇ_MOV[MÊS PAGAMENTO CORRESPONDENTE],E$6,LANÇ_MOV[EMPRESA],$C$4,LANÇ_MOV[CENTRO DE CUSTOS],$D$4)</f>
        <v>0</v>
      </c>
      <c r="F451" s="206">
        <f>SUMIFS(LANÇ_MOV[VALOR LÍQUIDO],LANÇ_MOV[RECEITA OU DESPESA],"Despesa",LANÇ_MOV[CONTAS],$C451,LANÇ_MOV[PLANO DE CONTAS],REL_DRE_FINANCEIRO!$B$445,LANÇ_MOV[ANO PAGAMENTO],$B$4,LANÇ_MOV[MÊS PAGAMENTO CORRESPONDENTE],F$6,LANÇ_MOV[EMPRESA],$C$4,LANÇ_MOV[CENTRO DE CUSTOS],$D$4)</f>
        <v>0</v>
      </c>
      <c r="G451" s="206">
        <f>SUMIFS(LANÇ_MOV[VALOR LÍQUIDO],LANÇ_MOV[RECEITA OU DESPESA],"Despesa",LANÇ_MOV[CONTAS],$C451,LANÇ_MOV[PLANO DE CONTAS],REL_DRE_FINANCEIRO!$B$445,LANÇ_MOV[ANO PAGAMENTO],$B$4,LANÇ_MOV[MÊS PAGAMENTO CORRESPONDENTE],G$6,LANÇ_MOV[EMPRESA],$C$4,LANÇ_MOV[CENTRO DE CUSTOS],$D$4)</f>
        <v>0</v>
      </c>
      <c r="H451" s="206">
        <f>SUMIFS(LANÇ_MOV[VALOR LÍQUIDO],LANÇ_MOV[RECEITA OU DESPESA],"Despesa",LANÇ_MOV[CONTAS],$C451,LANÇ_MOV[PLANO DE CONTAS],REL_DRE_FINANCEIRO!$B$445,LANÇ_MOV[ANO PAGAMENTO],$B$4,LANÇ_MOV[MÊS PAGAMENTO CORRESPONDENTE],H$6,LANÇ_MOV[EMPRESA],$C$4,LANÇ_MOV[CENTRO DE CUSTOS],$D$4)</f>
        <v>0</v>
      </c>
      <c r="I451" s="206">
        <f>SUMIFS(LANÇ_MOV[VALOR LÍQUIDO],LANÇ_MOV[RECEITA OU DESPESA],"Despesa",LANÇ_MOV[CONTAS],$C451,LANÇ_MOV[PLANO DE CONTAS],REL_DRE_FINANCEIRO!$B$445,LANÇ_MOV[ANO PAGAMENTO],$B$4,LANÇ_MOV[MÊS PAGAMENTO CORRESPONDENTE],I$6,LANÇ_MOV[EMPRESA],$C$4,LANÇ_MOV[CENTRO DE CUSTOS],$D$4)</f>
        <v>0</v>
      </c>
      <c r="J451" s="206">
        <f>SUMIFS(LANÇ_MOV[VALOR LÍQUIDO],LANÇ_MOV[RECEITA OU DESPESA],"Despesa",LANÇ_MOV[CONTAS],$C451,LANÇ_MOV[PLANO DE CONTAS],REL_DRE_FINANCEIRO!$B$445,LANÇ_MOV[ANO PAGAMENTO],$B$4,LANÇ_MOV[MÊS PAGAMENTO CORRESPONDENTE],J$6,LANÇ_MOV[EMPRESA],$C$4,LANÇ_MOV[CENTRO DE CUSTOS],$D$4)</f>
        <v>0</v>
      </c>
      <c r="K451" s="206">
        <f>SUMIFS(LANÇ_MOV[VALOR LÍQUIDO],LANÇ_MOV[RECEITA OU DESPESA],"Despesa",LANÇ_MOV[CONTAS],$C451,LANÇ_MOV[PLANO DE CONTAS],REL_DRE_FINANCEIRO!$B$445,LANÇ_MOV[ANO PAGAMENTO],$B$4,LANÇ_MOV[MÊS PAGAMENTO CORRESPONDENTE],K$6,LANÇ_MOV[EMPRESA],$C$4,LANÇ_MOV[CENTRO DE CUSTOS],$D$4)</f>
        <v>0</v>
      </c>
      <c r="L451" s="206">
        <f>SUMIFS(LANÇ_MOV[VALOR LÍQUIDO],LANÇ_MOV[RECEITA OU DESPESA],"Despesa",LANÇ_MOV[CONTAS],$C451,LANÇ_MOV[PLANO DE CONTAS],REL_DRE_FINANCEIRO!$B$445,LANÇ_MOV[ANO PAGAMENTO],$B$4,LANÇ_MOV[MÊS PAGAMENTO CORRESPONDENTE],L$6,LANÇ_MOV[EMPRESA],$C$4,LANÇ_MOV[CENTRO DE CUSTOS],$D$4)</f>
        <v>0</v>
      </c>
      <c r="M451" s="206">
        <f>SUMIFS(LANÇ_MOV[VALOR LÍQUIDO],LANÇ_MOV[RECEITA OU DESPESA],"Despesa",LANÇ_MOV[CONTAS],$C451,LANÇ_MOV[PLANO DE CONTAS],REL_DRE_FINANCEIRO!$B$445,LANÇ_MOV[ANO PAGAMENTO],$B$4,LANÇ_MOV[MÊS PAGAMENTO CORRESPONDENTE],M$6,LANÇ_MOV[EMPRESA],$C$4,LANÇ_MOV[CENTRO DE CUSTOS],$D$4)</f>
        <v>0</v>
      </c>
      <c r="N451" s="206">
        <f>SUMIFS(LANÇ_MOV[VALOR LÍQUIDO],LANÇ_MOV[RECEITA OU DESPESA],"Despesa",LANÇ_MOV[CONTAS],$C451,LANÇ_MOV[PLANO DE CONTAS],REL_DRE_FINANCEIRO!$B$445,LANÇ_MOV[ANO PAGAMENTO],$B$4,LANÇ_MOV[MÊS PAGAMENTO CORRESPONDENTE],N$6,LANÇ_MOV[EMPRESA],$C$4,LANÇ_MOV[CENTRO DE CUSTOS],$D$4)</f>
        <v>0</v>
      </c>
      <c r="O451" s="206">
        <f>SUMIFS(LANÇ_MOV[VALOR LÍQUIDO],LANÇ_MOV[RECEITA OU DESPESA],"Despesa",LANÇ_MOV[CONTAS],$C451,LANÇ_MOV[PLANO DE CONTAS],REL_DRE_FINANCEIRO!$B$445,LANÇ_MOV[ANO PAGAMENTO],$B$4,LANÇ_MOV[MÊS PAGAMENTO CORRESPONDENTE],O$6,LANÇ_MOV[EMPRESA],$C$4,LANÇ_MOV[CENTRO DE CUSTOS],$D$4)</f>
        <v>0</v>
      </c>
      <c r="P451" s="207">
        <f t="shared" si="65"/>
        <v>0</v>
      </c>
      <c r="Q451" s="329">
        <v>9.5000000000000005E-6</v>
      </c>
      <c r="R451" s="346">
        <f t="shared" si="67"/>
        <v>9.5000000000000005E-6</v>
      </c>
      <c r="S451" s="347" t="e">
        <f t="shared" si="68"/>
        <v>#REF!</v>
      </c>
      <c r="T451" s="347">
        <f t="shared" si="69"/>
        <v>0</v>
      </c>
      <c r="U451" s="347">
        <f>HLOOKUP(Apoio!$P$12,$D$444:$P$545,X451,FALSE)+Q451</f>
        <v>9.5000000000000005E-6</v>
      </c>
      <c r="V451" s="447" t="e">
        <f t="shared" si="66"/>
        <v>#REF!</v>
      </c>
      <c r="W451" s="448">
        <f>HLOOKUP(Apoio!$P$12,$D$444:$P$545,X451,FALSE)</f>
        <v>0</v>
      </c>
      <c r="X451" s="329">
        <v>8</v>
      </c>
      <c r="Z451" s="340" t="s">
        <v>1121</v>
      </c>
      <c r="AA451" s="340" t="s">
        <v>1123</v>
      </c>
    </row>
    <row r="452" spans="2:27" ht="30.05" customHeight="1" x14ac:dyDescent="0.35">
      <c r="B452" s="204" t="str">
        <f>'CAD_PL_REC-DESP'!T11</f>
        <v>2.4.7</v>
      </c>
      <c r="C452" s="205" t="e">
        <f>IF('CAD_PL_REC-DESP'!#REF!="","-",'CAD_PL_REC-DESP'!#REF!)</f>
        <v>#REF!</v>
      </c>
      <c r="D452" s="206">
        <f>SUMIFS(LANÇ_MOV[VALOR LÍQUIDO],LANÇ_MOV[RECEITA OU DESPESA],"Despesa",LANÇ_MOV[CONTAS],$C452,LANÇ_MOV[PLANO DE CONTAS],REL_DRE_FINANCEIRO!$B$445,LANÇ_MOV[ANO PAGAMENTO],$B$4,LANÇ_MOV[MÊS PAGAMENTO CORRESPONDENTE],D$6,LANÇ_MOV[EMPRESA],$C$4,LANÇ_MOV[CENTRO DE CUSTOS],$D$4)</f>
        <v>0</v>
      </c>
      <c r="E452" s="206">
        <f>SUMIFS(LANÇ_MOV[VALOR LÍQUIDO],LANÇ_MOV[RECEITA OU DESPESA],"Despesa",LANÇ_MOV[CONTAS],$C452,LANÇ_MOV[PLANO DE CONTAS],REL_DRE_FINANCEIRO!$B$445,LANÇ_MOV[ANO PAGAMENTO],$B$4,LANÇ_MOV[MÊS PAGAMENTO CORRESPONDENTE],E$6,LANÇ_MOV[EMPRESA],$C$4,LANÇ_MOV[CENTRO DE CUSTOS],$D$4)</f>
        <v>0</v>
      </c>
      <c r="F452" s="206">
        <f>SUMIFS(LANÇ_MOV[VALOR LÍQUIDO],LANÇ_MOV[RECEITA OU DESPESA],"Despesa",LANÇ_MOV[CONTAS],$C452,LANÇ_MOV[PLANO DE CONTAS],REL_DRE_FINANCEIRO!$B$445,LANÇ_MOV[ANO PAGAMENTO],$B$4,LANÇ_MOV[MÊS PAGAMENTO CORRESPONDENTE],F$6,LANÇ_MOV[EMPRESA],$C$4,LANÇ_MOV[CENTRO DE CUSTOS],$D$4)</f>
        <v>0</v>
      </c>
      <c r="G452" s="206">
        <f>SUMIFS(LANÇ_MOV[VALOR LÍQUIDO],LANÇ_MOV[RECEITA OU DESPESA],"Despesa",LANÇ_MOV[CONTAS],$C452,LANÇ_MOV[PLANO DE CONTAS],REL_DRE_FINANCEIRO!$B$445,LANÇ_MOV[ANO PAGAMENTO],$B$4,LANÇ_MOV[MÊS PAGAMENTO CORRESPONDENTE],G$6,LANÇ_MOV[EMPRESA],$C$4,LANÇ_MOV[CENTRO DE CUSTOS],$D$4)</f>
        <v>0</v>
      </c>
      <c r="H452" s="206">
        <f>SUMIFS(LANÇ_MOV[VALOR LÍQUIDO],LANÇ_MOV[RECEITA OU DESPESA],"Despesa",LANÇ_MOV[CONTAS],$C452,LANÇ_MOV[PLANO DE CONTAS],REL_DRE_FINANCEIRO!$B$445,LANÇ_MOV[ANO PAGAMENTO],$B$4,LANÇ_MOV[MÊS PAGAMENTO CORRESPONDENTE],H$6,LANÇ_MOV[EMPRESA],$C$4,LANÇ_MOV[CENTRO DE CUSTOS],$D$4)</f>
        <v>0</v>
      </c>
      <c r="I452" s="206">
        <f>SUMIFS(LANÇ_MOV[VALOR LÍQUIDO],LANÇ_MOV[RECEITA OU DESPESA],"Despesa",LANÇ_MOV[CONTAS],$C452,LANÇ_MOV[PLANO DE CONTAS],REL_DRE_FINANCEIRO!$B$445,LANÇ_MOV[ANO PAGAMENTO],$B$4,LANÇ_MOV[MÊS PAGAMENTO CORRESPONDENTE],I$6,LANÇ_MOV[EMPRESA],$C$4,LANÇ_MOV[CENTRO DE CUSTOS],$D$4)</f>
        <v>0</v>
      </c>
      <c r="J452" s="206">
        <f>SUMIFS(LANÇ_MOV[VALOR LÍQUIDO],LANÇ_MOV[RECEITA OU DESPESA],"Despesa",LANÇ_MOV[CONTAS],$C452,LANÇ_MOV[PLANO DE CONTAS],REL_DRE_FINANCEIRO!$B$445,LANÇ_MOV[ANO PAGAMENTO],$B$4,LANÇ_MOV[MÊS PAGAMENTO CORRESPONDENTE],J$6,LANÇ_MOV[EMPRESA],$C$4,LANÇ_MOV[CENTRO DE CUSTOS],$D$4)</f>
        <v>0</v>
      </c>
      <c r="K452" s="206">
        <f>SUMIFS(LANÇ_MOV[VALOR LÍQUIDO],LANÇ_MOV[RECEITA OU DESPESA],"Despesa",LANÇ_MOV[CONTAS],$C452,LANÇ_MOV[PLANO DE CONTAS],REL_DRE_FINANCEIRO!$B$445,LANÇ_MOV[ANO PAGAMENTO],$B$4,LANÇ_MOV[MÊS PAGAMENTO CORRESPONDENTE],K$6,LANÇ_MOV[EMPRESA],$C$4,LANÇ_MOV[CENTRO DE CUSTOS],$D$4)</f>
        <v>0</v>
      </c>
      <c r="L452" s="206">
        <f>SUMIFS(LANÇ_MOV[VALOR LÍQUIDO],LANÇ_MOV[RECEITA OU DESPESA],"Despesa",LANÇ_MOV[CONTAS],$C452,LANÇ_MOV[PLANO DE CONTAS],REL_DRE_FINANCEIRO!$B$445,LANÇ_MOV[ANO PAGAMENTO],$B$4,LANÇ_MOV[MÊS PAGAMENTO CORRESPONDENTE],L$6,LANÇ_MOV[EMPRESA],$C$4,LANÇ_MOV[CENTRO DE CUSTOS],$D$4)</f>
        <v>0</v>
      </c>
      <c r="M452" s="206">
        <f>SUMIFS(LANÇ_MOV[VALOR LÍQUIDO],LANÇ_MOV[RECEITA OU DESPESA],"Despesa",LANÇ_MOV[CONTAS],$C452,LANÇ_MOV[PLANO DE CONTAS],REL_DRE_FINANCEIRO!$B$445,LANÇ_MOV[ANO PAGAMENTO],$B$4,LANÇ_MOV[MÊS PAGAMENTO CORRESPONDENTE],M$6,LANÇ_MOV[EMPRESA],$C$4,LANÇ_MOV[CENTRO DE CUSTOS],$D$4)</f>
        <v>0</v>
      </c>
      <c r="N452" s="206">
        <f>SUMIFS(LANÇ_MOV[VALOR LÍQUIDO],LANÇ_MOV[RECEITA OU DESPESA],"Despesa",LANÇ_MOV[CONTAS],$C452,LANÇ_MOV[PLANO DE CONTAS],REL_DRE_FINANCEIRO!$B$445,LANÇ_MOV[ANO PAGAMENTO],$B$4,LANÇ_MOV[MÊS PAGAMENTO CORRESPONDENTE],N$6,LANÇ_MOV[EMPRESA],$C$4,LANÇ_MOV[CENTRO DE CUSTOS],$D$4)</f>
        <v>0</v>
      </c>
      <c r="O452" s="206">
        <f>SUMIFS(LANÇ_MOV[VALOR LÍQUIDO],LANÇ_MOV[RECEITA OU DESPESA],"Despesa",LANÇ_MOV[CONTAS],$C452,LANÇ_MOV[PLANO DE CONTAS],REL_DRE_FINANCEIRO!$B$445,LANÇ_MOV[ANO PAGAMENTO],$B$4,LANÇ_MOV[MÊS PAGAMENTO CORRESPONDENTE],O$6,LANÇ_MOV[EMPRESA],$C$4,LANÇ_MOV[CENTRO DE CUSTOS],$D$4)</f>
        <v>0</v>
      </c>
      <c r="P452" s="207">
        <f t="shared" si="65"/>
        <v>0</v>
      </c>
      <c r="Q452" s="329">
        <v>9.3999999999999998E-6</v>
      </c>
      <c r="R452" s="346">
        <f t="shared" si="67"/>
        <v>9.3999999999999998E-6</v>
      </c>
      <c r="S452" s="347" t="e">
        <f t="shared" si="68"/>
        <v>#REF!</v>
      </c>
      <c r="T452" s="347">
        <f t="shared" si="69"/>
        <v>0</v>
      </c>
      <c r="U452" s="347">
        <f>HLOOKUP(Apoio!$P$12,$D$444:$P$545,X452,FALSE)+Q452</f>
        <v>9.3999999999999998E-6</v>
      </c>
      <c r="V452" s="447" t="e">
        <f t="shared" si="66"/>
        <v>#REF!</v>
      </c>
      <c r="W452" s="448">
        <f>HLOOKUP(Apoio!$P$12,$D$444:$P$545,X452,FALSE)</f>
        <v>0</v>
      </c>
      <c r="X452" s="329">
        <v>9</v>
      </c>
      <c r="Y452" s="329">
        <v>1</v>
      </c>
      <c r="Z452" s="340" t="str">
        <f>VLOOKUP(LARGE($U$446:$U$545,Y452),$U$446:$V$545,2,FALSE)</f>
        <v>SALÁRIOS</v>
      </c>
      <c r="AA452" s="340">
        <f>VLOOKUP(Z452,$V$446:$W$545,2,FALSE)</f>
        <v>5273.6399999999994</v>
      </c>
    </row>
    <row r="453" spans="2:27" ht="30.05" customHeight="1" x14ac:dyDescent="0.35">
      <c r="B453" s="204" t="str">
        <f>'CAD_PL_REC-DESP'!T12</f>
        <v>2.4.8</v>
      </c>
      <c r="C453" s="205" t="e">
        <f>IF('CAD_PL_REC-DESP'!#REF!="","-",'CAD_PL_REC-DESP'!#REF!)</f>
        <v>#REF!</v>
      </c>
      <c r="D453" s="206">
        <f>SUMIFS(LANÇ_MOV[VALOR LÍQUIDO],LANÇ_MOV[RECEITA OU DESPESA],"Despesa",LANÇ_MOV[CONTAS],$C453,LANÇ_MOV[PLANO DE CONTAS],REL_DRE_FINANCEIRO!$B$445,LANÇ_MOV[ANO PAGAMENTO],$B$4,LANÇ_MOV[MÊS PAGAMENTO CORRESPONDENTE],D$6,LANÇ_MOV[EMPRESA],$C$4,LANÇ_MOV[CENTRO DE CUSTOS],$D$4)</f>
        <v>0</v>
      </c>
      <c r="E453" s="206">
        <f>SUMIFS(LANÇ_MOV[VALOR LÍQUIDO],LANÇ_MOV[RECEITA OU DESPESA],"Despesa",LANÇ_MOV[CONTAS],$C453,LANÇ_MOV[PLANO DE CONTAS],REL_DRE_FINANCEIRO!$B$445,LANÇ_MOV[ANO PAGAMENTO],$B$4,LANÇ_MOV[MÊS PAGAMENTO CORRESPONDENTE],E$6,LANÇ_MOV[EMPRESA],$C$4,LANÇ_MOV[CENTRO DE CUSTOS],$D$4)</f>
        <v>0</v>
      </c>
      <c r="F453" s="206">
        <f>SUMIFS(LANÇ_MOV[VALOR LÍQUIDO],LANÇ_MOV[RECEITA OU DESPESA],"Despesa",LANÇ_MOV[CONTAS],$C453,LANÇ_MOV[PLANO DE CONTAS],REL_DRE_FINANCEIRO!$B$445,LANÇ_MOV[ANO PAGAMENTO],$B$4,LANÇ_MOV[MÊS PAGAMENTO CORRESPONDENTE],F$6,LANÇ_MOV[EMPRESA],$C$4,LANÇ_MOV[CENTRO DE CUSTOS],$D$4)</f>
        <v>0</v>
      </c>
      <c r="G453" s="206">
        <f>SUMIFS(LANÇ_MOV[VALOR LÍQUIDO],LANÇ_MOV[RECEITA OU DESPESA],"Despesa",LANÇ_MOV[CONTAS],$C453,LANÇ_MOV[PLANO DE CONTAS],REL_DRE_FINANCEIRO!$B$445,LANÇ_MOV[ANO PAGAMENTO],$B$4,LANÇ_MOV[MÊS PAGAMENTO CORRESPONDENTE],G$6,LANÇ_MOV[EMPRESA],$C$4,LANÇ_MOV[CENTRO DE CUSTOS],$D$4)</f>
        <v>0</v>
      </c>
      <c r="H453" s="206">
        <f>SUMIFS(LANÇ_MOV[VALOR LÍQUIDO],LANÇ_MOV[RECEITA OU DESPESA],"Despesa",LANÇ_MOV[CONTAS],$C453,LANÇ_MOV[PLANO DE CONTAS],REL_DRE_FINANCEIRO!$B$445,LANÇ_MOV[ANO PAGAMENTO],$B$4,LANÇ_MOV[MÊS PAGAMENTO CORRESPONDENTE],H$6,LANÇ_MOV[EMPRESA],$C$4,LANÇ_MOV[CENTRO DE CUSTOS],$D$4)</f>
        <v>0</v>
      </c>
      <c r="I453" s="206">
        <f>SUMIFS(LANÇ_MOV[VALOR LÍQUIDO],LANÇ_MOV[RECEITA OU DESPESA],"Despesa",LANÇ_MOV[CONTAS],$C453,LANÇ_MOV[PLANO DE CONTAS],REL_DRE_FINANCEIRO!$B$445,LANÇ_MOV[ANO PAGAMENTO],$B$4,LANÇ_MOV[MÊS PAGAMENTO CORRESPONDENTE],I$6,LANÇ_MOV[EMPRESA],$C$4,LANÇ_MOV[CENTRO DE CUSTOS],$D$4)</f>
        <v>0</v>
      </c>
      <c r="J453" s="206">
        <f>SUMIFS(LANÇ_MOV[VALOR LÍQUIDO],LANÇ_MOV[RECEITA OU DESPESA],"Despesa",LANÇ_MOV[CONTAS],$C453,LANÇ_MOV[PLANO DE CONTAS],REL_DRE_FINANCEIRO!$B$445,LANÇ_MOV[ANO PAGAMENTO],$B$4,LANÇ_MOV[MÊS PAGAMENTO CORRESPONDENTE],J$6,LANÇ_MOV[EMPRESA],$C$4,LANÇ_MOV[CENTRO DE CUSTOS],$D$4)</f>
        <v>0</v>
      </c>
      <c r="K453" s="206">
        <f>SUMIFS(LANÇ_MOV[VALOR LÍQUIDO],LANÇ_MOV[RECEITA OU DESPESA],"Despesa",LANÇ_MOV[CONTAS],$C453,LANÇ_MOV[PLANO DE CONTAS],REL_DRE_FINANCEIRO!$B$445,LANÇ_MOV[ANO PAGAMENTO],$B$4,LANÇ_MOV[MÊS PAGAMENTO CORRESPONDENTE],K$6,LANÇ_MOV[EMPRESA],$C$4,LANÇ_MOV[CENTRO DE CUSTOS],$D$4)</f>
        <v>0</v>
      </c>
      <c r="L453" s="206">
        <f>SUMIFS(LANÇ_MOV[VALOR LÍQUIDO],LANÇ_MOV[RECEITA OU DESPESA],"Despesa",LANÇ_MOV[CONTAS],$C453,LANÇ_MOV[PLANO DE CONTAS],REL_DRE_FINANCEIRO!$B$445,LANÇ_MOV[ANO PAGAMENTO],$B$4,LANÇ_MOV[MÊS PAGAMENTO CORRESPONDENTE],L$6,LANÇ_MOV[EMPRESA],$C$4,LANÇ_MOV[CENTRO DE CUSTOS],$D$4)</f>
        <v>0</v>
      </c>
      <c r="M453" s="206">
        <f>SUMIFS(LANÇ_MOV[VALOR LÍQUIDO],LANÇ_MOV[RECEITA OU DESPESA],"Despesa",LANÇ_MOV[CONTAS],$C453,LANÇ_MOV[PLANO DE CONTAS],REL_DRE_FINANCEIRO!$B$445,LANÇ_MOV[ANO PAGAMENTO],$B$4,LANÇ_MOV[MÊS PAGAMENTO CORRESPONDENTE],M$6,LANÇ_MOV[EMPRESA],$C$4,LANÇ_MOV[CENTRO DE CUSTOS],$D$4)</f>
        <v>0</v>
      </c>
      <c r="N453" s="206">
        <f>SUMIFS(LANÇ_MOV[VALOR LÍQUIDO],LANÇ_MOV[RECEITA OU DESPESA],"Despesa",LANÇ_MOV[CONTAS],$C453,LANÇ_MOV[PLANO DE CONTAS],REL_DRE_FINANCEIRO!$B$445,LANÇ_MOV[ANO PAGAMENTO],$B$4,LANÇ_MOV[MÊS PAGAMENTO CORRESPONDENTE],N$6,LANÇ_MOV[EMPRESA],$C$4,LANÇ_MOV[CENTRO DE CUSTOS],$D$4)</f>
        <v>0</v>
      </c>
      <c r="O453" s="206">
        <f>SUMIFS(LANÇ_MOV[VALOR LÍQUIDO],LANÇ_MOV[RECEITA OU DESPESA],"Despesa",LANÇ_MOV[CONTAS],$C453,LANÇ_MOV[PLANO DE CONTAS],REL_DRE_FINANCEIRO!$B$445,LANÇ_MOV[ANO PAGAMENTO],$B$4,LANÇ_MOV[MÊS PAGAMENTO CORRESPONDENTE],O$6,LANÇ_MOV[EMPRESA],$C$4,LANÇ_MOV[CENTRO DE CUSTOS],$D$4)</f>
        <v>0</v>
      </c>
      <c r="P453" s="207">
        <f t="shared" si="65"/>
        <v>0</v>
      </c>
      <c r="Q453" s="329">
        <v>9.3000000000000007E-6</v>
      </c>
      <c r="R453" s="346">
        <f t="shared" si="67"/>
        <v>9.3000000000000007E-6</v>
      </c>
      <c r="S453" s="347" t="e">
        <f t="shared" si="68"/>
        <v>#REF!</v>
      </c>
      <c r="T453" s="347">
        <f t="shared" si="69"/>
        <v>0</v>
      </c>
      <c r="U453" s="347">
        <f>HLOOKUP(Apoio!$P$12,$D$444:$P$545,X453,FALSE)+Q453</f>
        <v>9.3000000000000007E-6</v>
      </c>
      <c r="V453" s="447" t="e">
        <f t="shared" si="66"/>
        <v>#REF!</v>
      </c>
      <c r="W453" s="448">
        <f>HLOOKUP(Apoio!$P$12,$D$444:$P$545,X453,FALSE)</f>
        <v>0</v>
      </c>
      <c r="X453" s="329">
        <v>10</v>
      </c>
      <c r="Y453" s="329">
        <v>2</v>
      </c>
      <c r="Z453" s="340" t="str">
        <f>VLOOKUP(LARGE($U$446:$U$545,Y453),$U$446:$V$545,2,FALSE)</f>
        <v>ACORDO TRABALHISTA</v>
      </c>
      <c r="AA453" s="340">
        <f>VLOOKUP(Z453,$V$446:$W$545,2,FALSE)</f>
        <v>4875</v>
      </c>
    </row>
    <row r="454" spans="2:27" ht="30.05" customHeight="1" x14ac:dyDescent="0.35">
      <c r="B454" s="204" t="str">
        <f>'CAD_PL_REC-DESP'!T13</f>
        <v>2.4.9</v>
      </c>
      <c r="C454" s="205" t="e">
        <f>IF('CAD_PL_REC-DESP'!#REF!="","-",'CAD_PL_REC-DESP'!#REF!)</f>
        <v>#REF!</v>
      </c>
      <c r="D454" s="206">
        <f>SUMIFS(LANÇ_MOV[VALOR LÍQUIDO],LANÇ_MOV[RECEITA OU DESPESA],"Despesa",LANÇ_MOV[CONTAS],$C454,LANÇ_MOV[PLANO DE CONTAS],REL_DRE_FINANCEIRO!$B$445,LANÇ_MOV[ANO PAGAMENTO],$B$4,LANÇ_MOV[MÊS PAGAMENTO CORRESPONDENTE],D$6,LANÇ_MOV[EMPRESA],$C$4,LANÇ_MOV[CENTRO DE CUSTOS],$D$4)</f>
        <v>0</v>
      </c>
      <c r="E454" s="206">
        <f>SUMIFS(LANÇ_MOV[VALOR LÍQUIDO],LANÇ_MOV[RECEITA OU DESPESA],"Despesa",LANÇ_MOV[CONTAS],$C454,LANÇ_MOV[PLANO DE CONTAS],REL_DRE_FINANCEIRO!$B$445,LANÇ_MOV[ANO PAGAMENTO],$B$4,LANÇ_MOV[MÊS PAGAMENTO CORRESPONDENTE],E$6,LANÇ_MOV[EMPRESA],$C$4,LANÇ_MOV[CENTRO DE CUSTOS],$D$4)</f>
        <v>0</v>
      </c>
      <c r="F454" s="206">
        <f>SUMIFS(LANÇ_MOV[VALOR LÍQUIDO],LANÇ_MOV[RECEITA OU DESPESA],"Despesa",LANÇ_MOV[CONTAS],$C454,LANÇ_MOV[PLANO DE CONTAS],REL_DRE_FINANCEIRO!$B$445,LANÇ_MOV[ANO PAGAMENTO],$B$4,LANÇ_MOV[MÊS PAGAMENTO CORRESPONDENTE],F$6,LANÇ_MOV[EMPRESA],$C$4,LANÇ_MOV[CENTRO DE CUSTOS],$D$4)</f>
        <v>0</v>
      </c>
      <c r="G454" s="206">
        <f>SUMIFS(LANÇ_MOV[VALOR LÍQUIDO],LANÇ_MOV[RECEITA OU DESPESA],"Despesa",LANÇ_MOV[CONTAS],$C454,LANÇ_MOV[PLANO DE CONTAS],REL_DRE_FINANCEIRO!$B$445,LANÇ_MOV[ANO PAGAMENTO],$B$4,LANÇ_MOV[MÊS PAGAMENTO CORRESPONDENTE],G$6,LANÇ_MOV[EMPRESA],$C$4,LANÇ_MOV[CENTRO DE CUSTOS],$D$4)</f>
        <v>0</v>
      </c>
      <c r="H454" s="206">
        <f>SUMIFS(LANÇ_MOV[VALOR LÍQUIDO],LANÇ_MOV[RECEITA OU DESPESA],"Despesa",LANÇ_MOV[CONTAS],$C454,LANÇ_MOV[PLANO DE CONTAS],REL_DRE_FINANCEIRO!$B$445,LANÇ_MOV[ANO PAGAMENTO],$B$4,LANÇ_MOV[MÊS PAGAMENTO CORRESPONDENTE],H$6,LANÇ_MOV[EMPRESA],$C$4,LANÇ_MOV[CENTRO DE CUSTOS],$D$4)</f>
        <v>0</v>
      </c>
      <c r="I454" s="206">
        <f>SUMIFS(LANÇ_MOV[VALOR LÍQUIDO],LANÇ_MOV[RECEITA OU DESPESA],"Despesa",LANÇ_MOV[CONTAS],$C454,LANÇ_MOV[PLANO DE CONTAS],REL_DRE_FINANCEIRO!$B$445,LANÇ_MOV[ANO PAGAMENTO],$B$4,LANÇ_MOV[MÊS PAGAMENTO CORRESPONDENTE],I$6,LANÇ_MOV[EMPRESA],$C$4,LANÇ_MOV[CENTRO DE CUSTOS],$D$4)</f>
        <v>0</v>
      </c>
      <c r="J454" s="206">
        <f>SUMIFS(LANÇ_MOV[VALOR LÍQUIDO],LANÇ_MOV[RECEITA OU DESPESA],"Despesa",LANÇ_MOV[CONTAS],$C454,LANÇ_MOV[PLANO DE CONTAS],REL_DRE_FINANCEIRO!$B$445,LANÇ_MOV[ANO PAGAMENTO],$B$4,LANÇ_MOV[MÊS PAGAMENTO CORRESPONDENTE],J$6,LANÇ_MOV[EMPRESA],$C$4,LANÇ_MOV[CENTRO DE CUSTOS],$D$4)</f>
        <v>0</v>
      </c>
      <c r="K454" s="206">
        <f>SUMIFS(LANÇ_MOV[VALOR LÍQUIDO],LANÇ_MOV[RECEITA OU DESPESA],"Despesa",LANÇ_MOV[CONTAS],$C454,LANÇ_MOV[PLANO DE CONTAS],REL_DRE_FINANCEIRO!$B$445,LANÇ_MOV[ANO PAGAMENTO],$B$4,LANÇ_MOV[MÊS PAGAMENTO CORRESPONDENTE],K$6,LANÇ_MOV[EMPRESA],$C$4,LANÇ_MOV[CENTRO DE CUSTOS],$D$4)</f>
        <v>0</v>
      </c>
      <c r="L454" s="206">
        <f>SUMIFS(LANÇ_MOV[VALOR LÍQUIDO],LANÇ_MOV[RECEITA OU DESPESA],"Despesa",LANÇ_MOV[CONTAS],$C454,LANÇ_MOV[PLANO DE CONTAS],REL_DRE_FINANCEIRO!$B$445,LANÇ_MOV[ANO PAGAMENTO],$B$4,LANÇ_MOV[MÊS PAGAMENTO CORRESPONDENTE],L$6,LANÇ_MOV[EMPRESA],$C$4,LANÇ_MOV[CENTRO DE CUSTOS],$D$4)</f>
        <v>0</v>
      </c>
      <c r="M454" s="206">
        <f>SUMIFS(LANÇ_MOV[VALOR LÍQUIDO],LANÇ_MOV[RECEITA OU DESPESA],"Despesa",LANÇ_MOV[CONTAS],$C454,LANÇ_MOV[PLANO DE CONTAS],REL_DRE_FINANCEIRO!$B$445,LANÇ_MOV[ANO PAGAMENTO],$B$4,LANÇ_MOV[MÊS PAGAMENTO CORRESPONDENTE],M$6,LANÇ_MOV[EMPRESA],$C$4,LANÇ_MOV[CENTRO DE CUSTOS],$D$4)</f>
        <v>0</v>
      </c>
      <c r="N454" s="206">
        <f>SUMIFS(LANÇ_MOV[VALOR LÍQUIDO],LANÇ_MOV[RECEITA OU DESPESA],"Despesa",LANÇ_MOV[CONTAS],$C454,LANÇ_MOV[PLANO DE CONTAS],REL_DRE_FINANCEIRO!$B$445,LANÇ_MOV[ANO PAGAMENTO],$B$4,LANÇ_MOV[MÊS PAGAMENTO CORRESPONDENTE],N$6,LANÇ_MOV[EMPRESA],$C$4,LANÇ_MOV[CENTRO DE CUSTOS],$D$4)</f>
        <v>0</v>
      </c>
      <c r="O454" s="206">
        <f>SUMIFS(LANÇ_MOV[VALOR LÍQUIDO],LANÇ_MOV[RECEITA OU DESPESA],"Despesa",LANÇ_MOV[CONTAS],$C454,LANÇ_MOV[PLANO DE CONTAS],REL_DRE_FINANCEIRO!$B$445,LANÇ_MOV[ANO PAGAMENTO],$B$4,LANÇ_MOV[MÊS PAGAMENTO CORRESPONDENTE],O$6,LANÇ_MOV[EMPRESA],$C$4,LANÇ_MOV[CENTRO DE CUSTOS],$D$4)</f>
        <v>0</v>
      </c>
      <c r="P454" s="207">
        <f t="shared" si="65"/>
        <v>0</v>
      </c>
      <c r="Q454" s="329">
        <v>9.2E-6</v>
      </c>
      <c r="R454" s="346">
        <f t="shared" si="67"/>
        <v>9.2E-6</v>
      </c>
      <c r="S454" s="347" t="e">
        <f t="shared" si="68"/>
        <v>#REF!</v>
      </c>
      <c r="T454" s="347">
        <f t="shared" si="69"/>
        <v>0</v>
      </c>
      <c r="U454" s="347">
        <f>HLOOKUP(Apoio!$P$12,$D$444:$P$545,X454,FALSE)+Q454</f>
        <v>9.2E-6</v>
      </c>
      <c r="V454" s="447" t="e">
        <f t="shared" si="66"/>
        <v>#REF!</v>
      </c>
      <c r="W454" s="448">
        <f>HLOOKUP(Apoio!$P$12,$D$444:$P$545,X454,FALSE)</f>
        <v>0</v>
      </c>
      <c r="X454" s="329">
        <v>11</v>
      </c>
      <c r="Y454" s="329">
        <v>3</v>
      </c>
      <c r="Z454" s="340" t="str">
        <f>VLOOKUP(LARGE($U$446:$U$545,Y454),$U$446:$V$545,2,FALSE)</f>
        <v>FGTS</v>
      </c>
      <c r="AA454" s="340">
        <f>VLOOKUP(Z454,$V$446:$W$545,2,FALSE)</f>
        <v>2149.52</v>
      </c>
    </row>
    <row r="455" spans="2:27" ht="30.05" customHeight="1" x14ac:dyDescent="0.35">
      <c r="B455" s="204" t="str">
        <f>'CAD_PL_REC-DESP'!T14</f>
        <v>2.4.10</v>
      </c>
      <c r="C455" s="205" t="e">
        <f>IF('CAD_PL_REC-DESP'!#REF!="","-",'CAD_PL_REC-DESP'!#REF!)</f>
        <v>#REF!</v>
      </c>
      <c r="D455" s="206">
        <f>SUMIFS(LANÇ_MOV[VALOR LÍQUIDO],LANÇ_MOV[RECEITA OU DESPESA],"Despesa",LANÇ_MOV[CONTAS],$C455,LANÇ_MOV[PLANO DE CONTAS],REL_DRE_FINANCEIRO!$B$445,LANÇ_MOV[ANO PAGAMENTO],$B$4,LANÇ_MOV[MÊS PAGAMENTO CORRESPONDENTE],D$6,LANÇ_MOV[EMPRESA],$C$4,LANÇ_MOV[CENTRO DE CUSTOS],$D$4)</f>
        <v>0</v>
      </c>
      <c r="E455" s="206">
        <f>SUMIFS(LANÇ_MOV[VALOR LÍQUIDO],LANÇ_MOV[RECEITA OU DESPESA],"Despesa",LANÇ_MOV[CONTAS],$C455,LANÇ_MOV[PLANO DE CONTAS],REL_DRE_FINANCEIRO!$B$445,LANÇ_MOV[ANO PAGAMENTO],$B$4,LANÇ_MOV[MÊS PAGAMENTO CORRESPONDENTE],E$6,LANÇ_MOV[EMPRESA],$C$4,LANÇ_MOV[CENTRO DE CUSTOS],$D$4)</f>
        <v>0</v>
      </c>
      <c r="F455" s="206">
        <f>SUMIFS(LANÇ_MOV[VALOR LÍQUIDO],LANÇ_MOV[RECEITA OU DESPESA],"Despesa",LANÇ_MOV[CONTAS],$C455,LANÇ_MOV[PLANO DE CONTAS],REL_DRE_FINANCEIRO!$B$445,LANÇ_MOV[ANO PAGAMENTO],$B$4,LANÇ_MOV[MÊS PAGAMENTO CORRESPONDENTE],F$6,LANÇ_MOV[EMPRESA],$C$4,LANÇ_MOV[CENTRO DE CUSTOS],$D$4)</f>
        <v>0</v>
      </c>
      <c r="G455" s="206">
        <f>SUMIFS(LANÇ_MOV[VALOR LÍQUIDO],LANÇ_MOV[RECEITA OU DESPESA],"Despesa",LANÇ_MOV[CONTAS],$C455,LANÇ_MOV[PLANO DE CONTAS],REL_DRE_FINANCEIRO!$B$445,LANÇ_MOV[ANO PAGAMENTO],$B$4,LANÇ_MOV[MÊS PAGAMENTO CORRESPONDENTE],G$6,LANÇ_MOV[EMPRESA],$C$4,LANÇ_MOV[CENTRO DE CUSTOS],$D$4)</f>
        <v>0</v>
      </c>
      <c r="H455" s="206">
        <f>SUMIFS(LANÇ_MOV[VALOR LÍQUIDO],LANÇ_MOV[RECEITA OU DESPESA],"Despesa",LANÇ_MOV[CONTAS],$C455,LANÇ_MOV[PLANO DE CONTAS],REL_DRE_FINANCEIRO!$B$445,LANÇ_MOV[ANO PAGAMENTO],$B$4,LANÇ_MOV[MÊS PAGAMENTO CORRESPONDENTE],H$6,LANÇ_MOV[EMPRESA],$C$4,LANÇ_MOV[CENTRO DE CUSTOS],$D$4)</f>
        <v>0</v>
      </c>
      <c r="I455" s="206">
        <f>SUMIFS(LANÇ_MOV[VALOR LÍQUIDO],LANÇ_MOV[RECEITA OU DESPESA],"Despesa",LANÇ_MOV[CONTAS],$C455,LANÇ_MOV[PLANO DE CONTAS],REL_DRE_FINANCEIRO!$B$445,LANÇ_MOV[ANO PAGAMENTO],$B$4,LANÇ_MOV[MÊS PAGAMENTO CORRESPONDENTE],I$6,LANÇ_MOV[EMPRESA],$C$4,LANÇ_MOV[CENTRO DE CUSTOS],$D$4)</f>
        <v>0</v>
      </c>
      <c r="J455" s="206">
        <f>SUMIFS(LANÇ_MOV[VALOR LÍQUIDO],LANÇ_MOV[RECEITA OU DESPESA],"Despesa",LANÇ_MOV[CONTAS],$C455,LANÇ_MOV[PLANO DE CONTAS],REL_DRE_FINANCEIRO!$B$445,LANÇ_MOV[ANO PAGAMENTO],$B$4,LANÇ_MOV[MÊS PAGAMENTO CORRESPONDENTE],J$6,LANÇ_MOV[EMPRESA],$C$4,LANÇ_MOV[CENTRO DE CUSTOS],$D$4)</f>
        <v>0</v>
      </c>
      <c r="K455" s="206">
        <f>SUMIFS(LANÇ_MOV[VALOR LÍQUIDO],LANÇ_MOV[RECEITA OU DESPESA],"Despesa",LANÇ_MOV[CONTAS],$C455,LANÇ_MOV[PLANO DE CONTAS],REL_DRE_FINANCEIRO!$B$445,LANÇ_MOV[ANO PAGAMENTO],$B$4,LANÇ_MOV[MÊS PAGAMENTO CORRESPONDENTE],K$6,LANÇ_MOV[EMPRESA],$C$4,LANÇ_MOV[CENTRO DE CUSTOS],$D$4)</f>
        <v>0</v>
      </c>
      <c r="L455" s="206">
        <f>SUMIFS(LANÇ_MOV[VALOR LÍQUIDO],LANÇ_MOV[RECEITA OU DESPESA],"Despesa",LANÇ_MOV[CONTAS],$C455,LANÇ_MOV[PLANO DE CONTAS],REL_DRE_FINANCEIRO!$B$445,LANÇ_MOV[ANO PAGAMENTO],$B$4,LANÇ_MOV[MÊS PAGAMENTO CORRESPONDENTE],L$6,LANÇ_MOV[EMPRESA],$C$4,LANÇ_MOV[CENTRO DE CUSTOS],$D$4)</f>
        <v>0</v>
      </c>
      <c r="M455" s="206">
        <f>SUMIFS(LANÇ_MOV[VALOR LÍQUIDO],LANÇ_MOV[RECEITA OU DESPESA],"Despesa",LANÇ_MOV[CONTAS],$C455,LANÇ_MOV[PLANO DE CONTAS],REL_DRE_FINANCEIRO!$B$445,LANÇ_MOV[ANO PAGAMENTO],$B$4,LANÇ_MOV[MÊS PAGAMENTO CORRESPONDENTE],M$6,LANÇ_MOV[EMPRESA],$C$4,LANÇ_MOV[CENTRO DE CUSTOS],$D$4)</f>
        <v>0</v>
      </c>
      <c r="N455" s="206">
        <f>SUMIFS(LANÇ_MOV[VALOR LÍQUIDO],LANÇ_MOV[RECEITA OU DESPESA],"Despesa",LANÇ_MOV[CONTAS],$C455,LANÇ_MOV[PLANO DE CONTAS],REL_DRE_FINANCEIRO!$B$445,LANÇ_MOV[ANO PAGAMENTO],$B$4,LANÇ_MOV[MÊS PAGAMENTO CORRESPONDENTE],N$6,LANÇ_MOV[EMPRESA],$C$4,LANÇ_MOV[CENTRO DE CUSTOS],$D$4)</f>
        <v>0</v>
      </c>
      <c r="O455" s="206">
        <f>SUMIFS(LANÇ_MOV[VALOR LÍQUIDO],LANÇ_MOV[RECEITA OU DESPESA],"Despesa",LANÇ_MOV[CONTAS],$C455,LANÇ_MOV[PLANO DE CONTAS],REL_DRE_FINANCEIRO!$B$445,LANÇ_MOV[ANO PAGAMENTO],$B$4,LANÇ_MOV[MÊS PAGAMENTO CORRESPONDENTE],O$6,LANÇ_MOV[EMPRESA],$C$4,LANÇ_MOV[CENTRO DE CUSTOS],$D$4)</f>
        <v>0</v>
      </c>
      <c r="P455" s="207">
        <f t="shared" si="65"/>
        <v>0</v>
      </c>
      <c r="Q455" s="329">
        <v>9.0999999999999993E-6</v>
      </c>
      <c r="R455" s="346">
        <f t="shared" si="67"/>
        <v>9.0999999999999993E-6</v>
      </c>
      <c r="S455" s="347" t="e">
        <f t="shared" si="68"/>
        <v>#REF!</v>
      </c>
      <c r="T455" s="347">
        <f t="shared" si="69"/>
        <v>0</v>
      </c>
      <c r="U455" s="347">
        <f>HLOOKUP(Apoio!$P$12,$D$444:$P$545,X455,FALSE)+Q455</f>
        <v>9.0999999999999993E-6</v>
      </c>
      <c r="V455" s="447" t="e">
        <f t="shared" si="66"/>
        <v>#REF!</v>
      </c>
      <c r="W455" s="448">
        <f>HLOOKUP(Apoio!$P$12,$D$444:$P$545,X455,FALSE)</f>
        <v>0</v>
      </c>
      <c r="X455" s="329">
        <v>12</v>
      </c>
      <c r="Y455" s="329">
        <v>4</v>
      </c>
      <c r="Z455" s="340" t="str">
        <f>VLOOKUP(LARGE($U$446:$U$545,Y455),$U$446:$V$545,2,FALSE)</f>
        <v>PROFESSOR PESSOA JURÍDICA</v>
      </c>
      <c r="AA455" s="340">
        <f>VLOOKUP(Z455,$V$446:$W$545,2,FALSE)</f>
        <v>1318.45</v>
      </c>
    </row>
    <row r="456" spans="2:27" ht="30.05" customHeight="1" x14ac:dyDescent="0.35">
      <c r="B456" s="204" t="str">
        <f>'CAD_PL_REC-DESP'!T15</f>
        <v>2.4.11</v>
      </c>
      <c r="C456" s="205" t="e">
        <f>IF('CAD_PL_REC-DESP'!#REF!="","-",'CAD_PL_REC-DESP'!#REF!)</f>
        <v>#REF!</v>
      </c>
      <c r="D456" s="206">
        <f>SUMIFS(LANÇ_MOV[VALOR LÍQUIDO],LANÇ_MOV[RECEITA OU DESPESA],"Despesa",LANÇ_MOV[CONTAS],$C456,LANÇ_MOV[PLANO DE CONTAS],REL_DRE_FINANCEIRO!$B$445,LANÇ_MOV[ANO PAGAMENTO],$B$4,LANÇ_MOV[MÊS PAGAMENTO CORRESPONDENTE],D$6,LANÇ_MOV[EMPRESA],$C$4,LANÇ_MOV[CENTRO DE CUSTOS],$D$4)</f>
        <v>0</v>
      </c>
      <c r="E456" s="206">
        <f>SUMIFS(LANÇ_MOV[VALOR LÍQUIDO],LANÇ_MOV[RECEITA OU DESPESA],"Despesa",LANÇ_MOV[CONTAS],$C456,LANÇ_MOV[PLANO DE CONTAS],REL_DRE_FINANCEIRO!$B$445,LANÇ_MOV[ANO PAGAMENTO],$B$4,LANÇ_MOV[MÊS PAGAMENTO CORRESPONDENTE],E$6,LANÇ_MOV[EMPRESA],$C$4,LANÇ_MOV[CENTRO DE CUSTOS],$D$4)</f>
        <v>0</v>
      </c>
      <c r="F456" s="206">
        <f>SUMIFS(LANÇ_MOV[VALOR LÍQUIDO],LANÇ_MOV[RECEITA OU DESPESA],"Despesa",LANÇ_MOV[CONTAS],$C456,LANÇ_MOV[PLANO DE CONTAS],REL_DRE_FINANCEIRO!$B$445,LANÇ_MOV[ANO PAGAMENTO],$B$4,LANÇ_MOV[MÊS PAGAMENTO CORRESPONDENTE],F$6,LANÇ_MOV[EMPRESA],$C$4,LANÇ_MOV[CENTRO DE CUSTOS],$D$4)</f>
        <v>0</v>
      </c>
      <c r="G456" s="206">
        <f>SUMIFS(LANÇ_MOV[VALOR LÍQUIDO],LANÇ_MOV[RECEITA OU DESPESA],"Despesa",LANÇ_MOV[CONTAS],$C456,LANÇ_MOV[PLANO DE CONTAS],REL_DRE_FINANCEIRO!$B$445,LANÇ_MOV[ANO PAGAMENTO],$B$4,LANÇ_MOV[MÊS PAGAMENTO CORRESPONDENTE],G$6,LANÇ_MOV[EMPRESA],$C$4,LANÇ_MOV[CENTRO DE CUSTOS],$D$4)</f>
        <v>0</v>
      </c>
      <c r="H456" s="206">
        <f>SUMIFS(LANÇ_MOV[VALOR LÍQUIDO],LANÇ_MOV[RECEITA OU DESPESA],"Despesa",LANÇ_MOV[CONTAS],$C456,LANÇ_MOV[PLANO DE CONTAS],REL_DRE_FINANCEIRO!$B$445,LANÇ_MOV[ANO PAGAMENTO],$B$4,LANÇ_MOV[MÊS PAGAMENTO CORRESPONDENTE],H$6,LANÇ_MOV[EMPRESA],$C$4,LANÇ_MOV[CENTRO DE CUSTOS],$D$4)</f>
        <v>0</v>
      </c>
      <c r="I456" s="206">
        <f>SUMIFS(LANÇ_MOV[VALOR LÍQUIDO],LANÇ_MOV[RECEITA OU DESPESA],"Despesa",LANÇ_MOV[CONTAS],$C456,LANÇ_MOV[PLANO DE CONTAS],REL_DRE_FINANCEIRO!$B$445,LANÇ_MOV[ANO PAGAMENTO],$B$4,LANÇ_MOV[MÊS PAGAMENTO CORRESPONDENTE],I$6,LANÇ_MOV[EMPRESA],$C$4,LANÇ_MOV[CENTRO DE CUSTOS],$D$4)</f>
        <v>0</v>
      </c>
      <c r="J456" s="206">
        <f>SUMIFS(LANÇ_MOV[VALOR LÍQUIDO],LANÇ_MOV[RECEITA OU DESPESA],"Despesa",LANÇ_MOV[CONTAS],$C456,LANÇ_MOV[PLANO DE CONTAS],REL_DRE_FINANCEIRO!$B$445,LANÇ_MOV[ANO PAGAMENTO],$B$4,LANÇ_MOV[MÊS PAGAMENTO CORRESPONDENTE],J$6,LANÇ_MOV[EMPRESA],$C$4,LANÇ_MOV[CENTRO DE CUSTOS],$D$4)</f>
        <v>0</v>
      </c>
      <c r="K456" s="206">
        <f>SUMIFS(LANÇ_MOV[VALOR LÍQUIDO],LANÇ_MOV[RECEITA OU DESPESA],"Despesa",LANÇ_MOV[CONTAS],$C456,LANÇ_MOV[PLANO DE CONTAS],REL_DRE_FINANCEIRO!$B$445,LANÇ_MOV[ANO PAGAMENTO],$B$4,LANÇ_MOV[MÊS PAGAMENTO CORRESPONDENTE],K$6,LANÇ_MOV[EMPRESA],$C$4,LANÇ_MOV[CENTRO DE CUSTOS],$D$4)</f>
        <v>0</v>
      </c>
      <c r="L456" s="206">
        <f>SUMIFS(LANÇ_MOV[VALOR LÍQUIDO],LANÇ_MOV[RECEITA OU DESPESA],"Despesa",LANÇ_MOV[CONTAS],$C456,LANÇ_MOV[PLANO DE CONTAS],REL_DRE_FINANCEIRO!$B$445,LANÇ_MOV[ANO PAGAMENTO],$B$4,LANÇ_MOV[MÊS PAGAMENTO CORRESPONDENTE],L$6,LANÇ_MOV[EMPRESA],$C$4,LANÇ_MOV[CENTRO DE CUSTOS],$D$4)</f>
        <v>0</v>
      </c>
      <c r="M456" s="206">
        <f>SUMIFS(LANÇ_MOV[VALOR LÍQUIDO],LANÇ_MOV[RECEITA OU DESPESA],"Despesa",LANÇ_MOV[CONTAS],$C456,LANÇ_MOV[PLANO DE CONTAS],REL_DRE_FINANCEIRO!$B$445,LANÇ_MOV[ANO PAGAMENTO],$B$4,LANÇ_MOV[MÊS PAGAMENTO CORRESPONDENTE],M$6,LANÇ_MOV[EMPRESA],$C$4,LANÇ_MOV[CENTRO DE CUSTOS],$D$4)</f>
        <v>0</v>
      </c>
      <c r="N456" s="206">
        <f>SUMIFS(LANÇ_MOV[VALOR LÍQUIDO],LANÇ_MOV[RECEITA OU DESPESA],"Despesa",LANÇ_MOV[CONTAS],$C456,LANÇ_MOV[PLANO DE CONTAS],REL_DRE_FINANCEIRO!$B$445,LANÇ_MOV[ANO PAGAMENTO],$B$4,LANÇ_MOV[MÊS PAGAMENTO CORRESPONDENTE],N$6,LANÇ_MOV[EMPRESA],$C$4,LANÇ_MOV[CENTRO DE CUSTOS],$D$4)</f>
        <v>0</v>
      </c>
      <c r="O456" s="206">
        <f>SUMIFS(LANÇ_MOV[VALOR LÍQUIDO],LANÇ_MOV[RECEITA OU DESPESA],"Despesa",LANÇ_MOV[CONTAS],$C456,LANÇ_MOV[PLANO DE CONTAS],REL_DRE_FINANCEIRO!$B$445,LANÇ_MOV[ANO PAGAMENTO],$B$4,LANÇ_MOV[MÊS PAGAMENTO CORRESPONDENTE],O$6,LANÇ_MOV[EMPRESA],$C$4,LANÇ_MOV[CENTRO DE CUSTOS],$D$4)</f>
        <v>0</v>
      </c>
      <c r="P456" s="207">
        <f t="shared" si="65"/>
        <v>0</v>
      </c>
      <c r="Q456" s="329">
        <v>9.0000000000000002E-6</v>
      </c>
      <c r="R456" s="346">
        <f t="shared" si="67"/>
        <v>9.0000000000000002E-6</v>
      </c>
      <c r="S456" s="347" t="e">
        <f t="shared" si="68"/>
        <v>#REF!</v>
      </c>
      <c r="T456" s="347">
        <f t="shared" si="69"/>
        <v>0</v>
      </c>
      <c r="U456" s="347">
        <f>HLOOKUP(Apoio!$P$12,$D$444:$P$545,X456,FALSE)+Q456</f>
        <v>9.0000000000000002E-6</v>
      </c>
      <c r="V456" s="447" t="e">
        <f t="shared" si="66"/>
        <v>#REF!</v>
      </c>
      <c r="W456" s="448">
        <f>HLOOKUP(Apoio!$P$12,$D$444:$P$545,X456,FALSE)</f>
        <v>0</v>
      </c>
      <c r="X456" s="329">
        <v>13</v>
      </c>
      <c r="Y456" s="329">
        <v>5</v>
      </c>
      <c r="Z456" s="340" t="e">
        <f>VLOOKUP(LARGE($U$446:$U$545,Y456),$U$446:$V$545,2,FALSE)</f>
        <v>#REF!</v>
      </c>
      <c r="AA456" s="340" t="e">
        <f>VLOOKUP(Z456,$V$446:$W$545,2,FALSE)</f>
        <v>#REF!</v>
      </c>
    </row>
    <row r="457" spans="2:27" ht="30.05" customHeight="1" x14ac:dyDescent="0.35">
      <c r="B457" s="204" t="str">
        <f>'CAD_PL_REC-DESP'!T16</f>
        <v>2.4.12</v>
      </c>
      <c r="C457" s="205" t="e">
        <f>IF('CAD_PL_REC-DESP'!#REF!="","-",'CAD_PL_REC-DESP'!#REF!)</f>
        <v>#REF!</v>
      </c>
      <c r="D457" s="206">
        <f>SUMIFS(LANÇ_MOV[VALOR LÍQUIDO],LANÇ_MOV[RECEITA OU DESPESA],"Despesa",LANÇ_MOV[CONTAS],$C457,LANÇ_MOV[PLANO DE CONTAS],REL_DRE_FINANCEIRO!$B$445,LANÇ_MOV[ANO PAGAMENTO],$B$4,LANÇ_MOV[MÊS PAGAMENTO CORRESPONDENTE],D$6,LANÇ_MOV[EMPRESA],$C$4,LANÇ_MOV[CENTRO DE CUSTOS],$D$4)</f>
        <v>0</v>
      </c>
      <c r="E457" s="206">
        <f>SUMIFS(LANÇ_MOV[VALOR LÍQUIDO],LANÇ_MOV[RECEITA OU DESPESA],"Despesa",LANÇ_MOV[CONTAS],$C457,LANÇ_MOV[PLANO DE CONTAS],REL_DRE_FINANCEIRO!$B$445,LANÇ_MOV[ANO PAGAMENTO],$B$4,LANÇ_MOV[MÊS PAGAMENTO CORRESPONDENTE],E$6,LANÇ_MOV[EMPRESA],$C$4,LANÇ_MOV[CENTRO DE CUSTOS],$D$4)</f>
        <v>0</v>
      </c>
      <c r="F457" s="206">
        <f>SUMIFS(LANÇ_MOV[VALOR LÍQUIDO],LANÇ_MOV[RECEITA OU DESPESA],"Despesa",LANÇ_MOV[CONTAS],$C457,LANÇ_MOV[PLANO DE CONTAS],REL_DRE_FINANCEIRO!$B$445,LANÇ_MOV[ANO PAGAMENTO],$B$4,LANÇ_MOV[MÊS PAGAMENTO CORRESPONDENTE],F$6,LANÇ_MOV[EMPRESA],$C$4,LANÇ_MOV[CENTRO DE CUSTOS],$D$4)</f>
        <v>0</v>
      </c>
      <c r="G457" s="206">
        <f>SUMIFS(LANÇ_MOV[VALOR LÍQUIDO],LANÇ_MOV[RECEITA OU DESPESA],"Despesa",LANÇ_MOV[CONTAS],$C457,LANÇ_MOV[PLANO DE CONTAS],REL_DRE_FINANCEIRO!$B$445,LANÇ_MOV[ANO PAGAMENTO],$B$4,LANÇ_MOV[MÊS PAGAMENTO CORRESPONDENTE],G$6,LANÇ_MOV[EMPRESA],$C$4,LANÇ_MOV[CENTRO DE CUSTOS],$D$4)</f>
        <v>0</v>
      </c>
      <c r="H457" s="206">
        <f>SUMIFS(LANÇ_MOV[VALOR LÍQUIDO],LANÇ_MOV[RECEITA OU DESPESA],"Despesa",LANÇ_MOV[CONTAS],$C457,LANÇ_MOV[PLANO DE CONTAS],REL_DRE_FINANCEIRO!$B$445,LANÇ_MOV[ANO PAGAMENTO],$B$4,LANÇ_MOV[MÊS PAGAMENTO CORRESPONDENTE],H$6,LANÇ_MOV[EMPRESA],$C$4,LANÇ_MOV[CENTRO DE CUSTOS],$D$4)</f>
        <v>0</v>
      </c>
      <c r="I457" s="206">
        <f>SUMIFS(LANÇ_MOV[VALOR LÍQUIDO],LANÇ_MOV[RECEITA OU DESPESA],"Despesa",LANÇ_MOV[CONTAS],$C457,LANÇ_MOV[PLANO DE CONTAS],REL_DRE_FINANCEIRO!$B$445,LANÇ_MOV[ANO PAGAMENTO],$B$4,LANÇ_MOV[MÊS PAGAMENTO CORRESPONDENTE],I$6,LANÇ_MOV[EMPRESA],$C$4,LANÇ_MOV[CENTRO DE CUSTOS],$D$4)</f>
        <v>0</v>
      </c>
      <c r="J457" s="206">
        <f>SUMIFS(LANÇ_MOV[VALOR LÍQUIDO],LANÇ_MOV[RECEITA OU DESPESA],"Despesa",LANÇ_MOV[CONTAS],$C457,LANÇ_MOV[PLANO DE CONTAS],REL_DRE_FINANCEIRO!$B$445,LANÇ_MOV[ANO PAGAMENTO],$B$4,LANÇ_MOV[MÊS PAGAMENTO CORRESPONDENTE],J$6,LANÇ_MOV[EMPRESA],$C$4,LANÇ_MOV[CENTRO DE CUSTOS],$D$4)</f>
        <v>0</v>
      </c>
      <c r="K457" s="206">
        <f>SUMIFS(LANÇ_MOV[VALOR LÍQUIDO],LANÇ_MOV[RECEITA OU DESPESA],"Despesa",LANÇ_MOV[CONTAS],$C457,LANÇ_MOV[PLANO DE CONTAS],REL_DRE_FINANCEIRO!$B$445,LANÇ_MOV[ANO PAGAMENTO],$B$4,LANÇ_MOV[MÊS PAGAMENTO CORRESPONDENTE],K$6,LANÇ_MOV[EMPRESA],$C$4,LANÇ_MOV[CENTRO DE CUSTOS],$D$4)</f>
        <v>0</v>
      </c>
      <c r="L457" s="206">
        <f>SUMIFS(LANÇ_MOV[VALOR LÍQUIDO],LANÇ_MOV[RECEITA OU DESPESA],"Despesa",LANÇ_MOV[CONTAS],$C457,LANÇ_MOV[PLANO DE CONTAS],REL_DRE_FINANCEIRO!$B$445,LANÇ_MOV[ANO PAGAMENTO],$B$4,LANÇ_MOV[MÊS PAGAMENTO CORRESPONDENTE],L$6,LANÇ_MOV[EMPRESA],$C$4,LANÇ_MOV[CENTRO DE CUSTOS],$D$4)</f>
        <v>0</v>
      </c>
      <c r="M457" s="206">
        <f>SUMIFS(LANÇ_MOV[VALOR LÍQUIDO],LANÇ_MOV[RECEITA OU DESPESA],"Despesa",LANÇ_MOV[CONTAS],$C457,LANÇ_MOV[PLANO DE CONTAS],REL_DRE_FINANCEIRO!$B$445,LANÇ_MOV[ANO PAGAMENTO],$B$4,LANÇ_MOV[MÊS PAGAMENTO CORRESPONDENTE],M$6,LANÇ_MOV[EMPRESA],$C$4,LANÇ_MOV[CENTRO DE CUSTOS],$D$4)</f>
        <v>0</v>
      </c>
      <c r="N457" s="206">
        <f>SUMIFS(LANÇ_MOV[VALOR LÍQUIDO],LANÇ_MOV[RECEITA OU DESPESA],"Despesa",LANÇ_MOV[CONTAS],$C457,LANÇ_MOV[PLANO DE CONTAS],REL_DRE_FINANCEIRO!$B$445,LANÇ_MOV[ANO PAGAMENTO],$B$4,LANÇ_MOV[MÊS PAGAMENTO CORRESPONDENTE],N$6,LANÇ_MOV[EMPRESA],$C$4,LANÇ_MOV[CENTRO DE CUSTOS],$D$4)</f>
        <v>0</v>
      </c>
      <c r="O457" s="206">
        <f>SUMIFS(LANÇ_MOV[VALOR LÍQUIDO],LANÇ_MOV[RECEITA OU DESPESA],"Despesa",LANÇ_MOV[CONTAS],$C457,LANÇ_MOV[PLANO DE CONTAS],REL_DRE_FINANCEIRO!$B$445,LANÇ_MOV[ANO PAGAMENTO],$B$4,LANÇ_MOV[MÊS PAGAMENTO CORRESPONDENTE],O$6,LANÇ_MOV[EMPRESA],$C$4,LANÇ_MOV[CENTRO DE CUSTOS],$D$4)</f>
        <v>0</v>
      </c>
      <c r="P457" s="207">
        <f t="shared" si="65"/>
        <v>0</v>
      </c>
      <c r="Q457" s="329">
        <v>8.8999999999999995E-6</v>
      </c>
      <c r="R457" s="346">
        <f t="shared" si="67"/>
        <v>8.8999999999999995E-6</v>
      </c>
      <c r="S457" s="347" t="e">
        <f t="shared" si="68"/>
        <v>#REF!</v>
      </c>
      <c r="T457" s="347">
        <f t="shared" si="69"/>
        <v>0</v>
      </c>
      <c r="U457" s="347">
        <f>HLOOKUP(Apoio!$P$12,$D$444:$P$545,X457,FALSE)+Q457</f>
        <v>8.8999999999999995E-6</v>
      </c>
      <c r="V457" s="447" t="e">
        <f t="shared" si="66"/>
        <v>#REF!</v>
      </c>
      <c r="W457" s="448">
        <f>HLOOKUP(Apoio!$P$12,$D$444:$P$545,X457,FALSE)</f>
        <v>0</v>
      </c>
      <c r="X457" s="329">
        <v>14</v>
      </c>
      <c r="AA457" s="340" t="e">
        <f>SUM(AA452:AA456)</f>
        <v>#REF!</v>
      </c>
    </row>
    <row r="458" spans="2:27" ht="30.05" customHeight="1" x14ac:dyDescent="0.35">
      <c r="B458" s="204" t="str">
        <f>'CAD_PL_REC-DESP'!T17</f>
        <v>2.4.13</v>
      </c>
      <c r="C458" s="205" t="e">
        <f>IF('CAD_PL_REC-DESP'!#REF!="","-",'CAD_PL_REC-DESP'!#REF!)</f>
        <v>#REF!</v>
      </c>
      <c r="D458" s="206">
        <f>SUMIFS(LANÇ_MOV[VALOR LÍQUIDO],LANÇ_MOV[RECEITA OU DESPESA],"Despesa",LANÇ_MOV[CONTAS],$C458,LANÇ_MOV[PLANO DE CONTAS],REL_DRE_FINANCEIRO!$B$445,LANÇ_MOV[ANO PAGAMENTO],$B$4,LANÇ_MOV[MÊS PAGAMENTO CORRESPONDENTE],D$6,LANÇ_MOV[EMPRESA],$C$4,LANÇ_MOV[CENTRO DE CUSTOS],$D$4)</f>
        <v>0</v>
      </c>
      <c r="E458" s="206">
        <f>SUMIFS(LANÇ_MOV[VALOR LÍQUIDO],LANÇ_MOV[RECEITA OU DESPESA],"Despesa",LANÇ_MOV[CONTAS],$C458,LANÇ_MOV[PLANO DE CONTAS],REL_DRE_FINANCEIRO!$B$445,LANÇ_MOV[ANO PAGAMENTO],$B$4,LANÇ_MOV[MÊS PAGAMENTO CORRESPONDENTE],E$6,LANÇ_MOV[EMPRESA],$C$4,LANÇ_MOV[CENTRO DE CUSTOS],$D$4)</f>
        <v>0</v>
      </c>
      <c r="F458" s="206">
        <f>SUMIFS(LANÇ_MOV[VALOR LÍQUIDO],LANÇ_MOV[RECEITA OU DESPESA],"Despesa",LANÇ_MOV[CONTAS],$C458,LANÇ_MOV[PLANO DE CONTAS],REL_DRE_FINANCEIRO!$B$445,LANÇ_MOV[ANO PAGAMENTO],$B$4,LANÇ_MOV[MÊS PAGAMENTO CORRESPONDENTE],F$6,LANÇ_MOV[EMPRESA],$C$4,LANÇ_MOV[CENTRO DE CUSTOS],$D$4)</f>
        <v>0</v>
      </c>
      <c r="G458" s="206">
        <f>SUMIFS(LANÇ_MOV[VALOR LÍQUIDO],LANÇ_MOV[RECEITA OU DESPESA],"Despesa",LANÇ_MOV[CONTAS],$C458,LANÇ_MOV[PLANO DE CONTAS],REL_DRE_FINANCEIRO!$B$445,LANÇ_MOV[ANO PAGAMENTO],$B$4,LANÇ_MOV[MÊS PAGAMENTO CORRESPONDENTE],G$6,LANÇ_MOV[EMPRESA],$C$4,LANÇ_MOV[CENTRO DE CUSTOS],$D$4)</f>
        <v>0</v>
      </c>
      <c r="H458" s="206">
        <f>SUMIFS(LANÇ_MOV[VALOR LÍQUIDO],LANÇ_MOV[RECEITA OU DESPESA],"Despesa",LANÇ_MOV[CONTAS],$C458,LANÇ_MOV[PLANO DE CONTAS],REL_DRE_FINANCEIRO!$B$445,LANÇ_MOV[ANO PAGAMENTO],$B$4,LANÇ_MOV[MÊS PAGAMENTO CORRESPONDENTE],H$6,LANÇ_MOV[EMPRESA],$C$4,LANÇ_MOV[CENTRO DE CUSTOS],$D$4)</f>
        <v>0</v>
      </c>
      <c r="I458" s="206">
        <f>SUMIFS(LANÇ_MOV[VALOR LÍQUIDO],LANÇ_MOV[RECEITA OU DESPESA],"Despesa",LANÇ_MOV[CONTAS],$C458,LANÇ_MOV[PLANO DE CONTAS],REL_DRE_FINANCEIRO!$B$445,LANÇ_MOV[ANO PAGAMENTO],$B$4,LANÇ_MOV[MÊS PAGAMENTO CORRESPONDENTE],I$6,LANÇ_MOV[EMPRESA],$C$4,LANÇ_MOV[CENTRO DE CUSTOS],$D$4)</f>
        <v>0</v>
      </c>
      <c r="J458" s="206">
        <f>SUMIFS(LANÇ_MOV[VALOR LÍQUIDO],LANÇ_MOV[RECEITA OU DESPESA],"Despesa",LANÇ_MOV[CONTAS],$C458,LANÇ_MOV[PLANO DE CONTAS],REL_DRE_FINANCEIRO!$B$445,LANÇ_MOV[ANO PAGAMENTO],$B$4,LANÇ_MOV[MÊS PAGAMENTO CORRESPONDENTE],J$6,LANÇ_MOV[EMPRESA],$C$4,LANÇ_MOV[CENTRO DE CUSTOS],$D$4)</f>
        <v>0</v>
      </c>
      <c r="K458" s="206">
        <f>SUMIFS(LANÇ_MOV[VALOR LÍQUIDO],LANÇ_MOV[RECEITA OU DESPESA],"Despesa",LANÇ_MOV[CONTAS],$C458,LANÇ_MOV[PLANO DE CONTAS],REL_DRE_FINANCEIRO!$B$445,LANÇ_MOV[ANO PAGAMENTO],$B$4,LANÇ_MOV[MÊS PAGAMENTO CORRESPONDENTE],K$6,LANÇ_MOV[EMPRESA],$C$4,LANÇ_MOV[CENTRO DE CUSTOS],$D$4)</f>
        <v>0</v>
      </c>
      <c r="L458" s="206">
        <f>SUMIFS(LANÇ_MOV[VALOR LÍQUIDO],LANÇ_MOV[RECEITA OU DESPESA],"Despesa",LANÇ_MOV[CONTAS],$C458,LANÇ_MOV[PLANO DE CONTAS],REL_DRE_FINANCEIRO!$B$445,LANÇ_MOV[ANO PAGAMENTO],$B$4,LANÇ_MOV[MÊS PAGAMENTO CORRESPONDENTE],L$6,LANÇ_MOV[EMPRESA],$C$4,LANÇ_MOV[CENTRO DE CUSTOS],$D$4)</f>
        <v>0</v>
      </c>
      <c r="M458" s="206">
        <f>SUMIFS(LANÇ_MOV[VALOR LÍQUIDO],LANÇ_MOV[RECEITA OU DESPESA],"Despesa",LANÇ_MOV[CONTAS],$C458,LANÇ_MOV[PLANO DE CONTAS],REL_DRE_FINANCEIRO!$B$445,LANÇ_MOV[ANO PAGAMENTO],$B$4,LANÇ_MOV[MÊS PAGAMENTO CORRESPONDENTE],M$6,LANÇ_MOV[EMPRESA],$C$4,LANÇ_MOV[CENTRO DE CUSTOS],$D$4)</f>
        <v>0</v>
      </c>
      <c r="N458" s="206">
        <f>SUMIFS(LANÇ_MOV[VALOR LÍQUIDO],LANÇ_MOV[RECEITA OU DESPESA],"Despesa",LANÇ_MOV[CONTAS],$C458,LANÇ_MOV[PLANO DE CONTAS],REL_DRE_FINANCEIRO!$B$445,LANÇ_MOV[ANO PAGAMENTO],$B$4,LANÇ_MOV[MÊS PAGAMENTO CORRESPONDENTE],N$6,LANÇ_MOV[EMPRESA],$C$4,LANÇ_MOV[CENTRO DE CUSTOS],$D$4)</f>
        <v>0</v>
      </c>
      <c r="O458" s="206">
        <f>SUMIFS(LANÇ_MOV[VALOR LÍQUIDO],LANÇ_MOV[RECEITA OU DESPESA],"Despesa",LANÇ_MOV[CONTAS],$C458,LANÇ_MOV[PLANO DE CONTAS],REL_DRE_FINANCEIRO!$B$445,LANÇ_MOV[ANO PAGAMENTO],$B$4,LANÇ_MOV[MÊS PAGAMENTO CORRESPONDENTE],O$6,LANÇ_MOV[EMPRESA],$C$4,LANÇ_MOV[CENTRO DE CUSTOS],$D$4)</f>
        <v>0</v>
      </c>
      <c r="P458" s="207">
        <f t="shared" si="65"/>
        <v>0</v>
      </c>
      <c r="Q458" s="329">
        <v>8.8000000000000004E-6</v>
      </c>
      <c r="R458" s="346">
        <f t="shared" si="67"/>
        <v>8.8000000000000004E-6</v>
      </c>
      <c r="S458" s="347" t="e">
        <f t="shared" si="68"/>
        <v>#REF!</v>
      </c>
      <c r="T458" s="347">
        <f t="shared" si="69"/>
        <v>0</v>
      </c>
      <c r="U458" s="347">
        <f>HLOOKUP(Apoio!$P$12,$D$444:$P$545,X458,FALSE)+Q458</f>
        <v>8.8000000000000004E-6</v>
      </c>
      <c r="V458" s="447" t="e">
        <f t="shared" si="66"/>
        <v>#REF!</v>
      </c>
      <c r="W458" s="448">
        <f>HLOOKUP(Apoio!$P$12,$D$444:$P$545,X458,FALSE)</f>
        <v>0</v>
      </c>
      <c r="X458" s="329">
        <v>15</v>
      </c>
    </row>
    <row r="459" spans="2:27" ht="30.05" customHeight="1" x14ac:dyDescent="0.35">
      <c r="B459" s="204" t="str">
        <f>'CAD_PL_REC-DESP'!T18</f>
        <v>2.4.14</v>
      </c>
      <c r="C459" s="205" t="e">
        <f>IF('CAD_PL_REC-DESP'!#REF!="","-",'CAD_PL_REC-DESP'!#REF!)</f>
        <v>#REF!</v>
      </c>
      <c r="D459" s="206">
        <f>SUMIFS(LANÇ_MOV[VALOR LÍQUIDO],LANÇ_MOV[RECEITA OU DESPESA],"Despesa",LANÇ_MOV[CONTAS],$C459,LANÇ_MOV[PLANO DE CONTAS],REL_DRE_FINANCEIRO!$B$445,LANÇ_MOV[ANO PAGAMENTO],$B$4,LANÇ_MOV[MÊS PAGAMENTO CORRESPONDENTE],D$6,LANÇ_MOV[EMPRESA],$C$4,LANÇ_MOV[CENTRO DE CUSTOS],$D$4)</f>
        <v>0</v>
      </c>
      <c r="E459" s="206">
        <f>SUMIFS(LANÇ_MOV[VALOR LÍQUIDO],LANÇ_MOV[RECEITA OU DESPESA],"Despesa",LANÇ_MOV[CONTAS],$C459,LANÇ_MOV[PLANO DE CONTAS],REL_DRE_FINANCEIRO!$B$445,LANÇ_MOV[ANO PAGAMENTO],$B$4,LANÇ_MOV[MÊS PAGAMENTO CORRESPONDENTE],E$6,LANÇ_MOV[EMPRESA],$C$4,LANÇ_MOV[CENTRO DE CUSTOS],$D$4)</f>
        <v>0</v>
      </c>
      <c r="F459" s="206">
        <f>SUMIFS(LANÇ_MOV[VALOR LÍQUIDO],LANÇ_MOV[RECEITA OU DESPESA],"Despesa",LANÇ_MOV[CONTAS],$C459,LANÇ_MOV[PLANO DE CONTAS],REL_DRE_FINANCEIRO!$B$445,LANÇ_MOV[ANO PAGAMENTO],$B$4,LANÇ_MOV[MÊS PAGAMENTO CORRESPONDENTE],F$6,LANÇ_MOV[EMPRESA],$C$4,LANÇ_MOV[CENTRO DE CUSTOS],$D$4)</f>
        <v>0</v>
      </c>
      <c r="G459" s="206">
        <f>SUMIFS(LANÇ_MOV[VALOR LÍQUIDO],LANÇ_MOV[RECEITA OU DESPESA],"Despesa",LANÇ_MOV[CONTAS],$C459,LANÇ_MOV[PLANO DE CONTAS],REL_DRE_FINANCEIRO!$B$445,LANÇ_MOV[ANO PAGAMENTO],$B$4,LANÇ_MOV[MÊS PAGAMENTO CORRESPONDENTE],G$6,LANÇ_MOV[EMPRESA],$C$4,LANÇ_MOV[CENTRO DE CUSTOS],$D$4)</f>
        <v>0</v>
      </c>
      <c r="H459" s="206">
        <f>SUMIFS(LANÇ_MOV[VALOR LÍQUIDO],LANÇ_MOV[RECEITA OU DESPESA],"Despesa",LANÇ_MOV[CONTAS],$C459,LANÇ_MOV[PLANO DE CONTAS],REL_DRE_FINANCEIRO!$B$445,LANÇ_MOV[ANO PAGAMENTO],$B$4,LANÇ_MOV[MÊS PAGAMENTO CORRESPONDENTE],H$6,LANÇ_MOV[EMPRESA],$C$4,LANÇ_MOV[CENTRO DE CUSTOS],$D$4)</f>
        <v>0</v>
      </c>
      <c r="I459" s="206">
        <f>SUMIFS(LANÇ_MOV[VALOR LÍQUIDO],LANÇ_MOV[RECEITA OU DESPESA],"Despesa",LANÇ_MOV[CONTAS],$C459,LANÇ_MOV[PLANO DE CONTAS],REL_DRE_FINANCEIRO!$B$445,LANÇ_MOV[ANO PAGAMENTO],$B$4,LANÇ_MOV[MÊS PAGAMENTO CORRESPONDENTE],I$6,LANÇ_MOV[EMPRESA],$C$4,LANÇ_MOV[CENTRO DE CUSTOS],$D$4)</f>
        <v>0</v>
      </c>
      <c r="J459" s="206">
        <f>SUMIFS(LANÇ_MOV[VALOR LÍQUIDO],LANÇ_MOV[RECEITA OU DESPESA],"Despesa",LANÇ_MOV[CONTAS],$C459,LANÇ_MOV[PLANO DE CONTAS],REL_DRE_FINANCEIRO!$B$445,LANÇ_MOV[ANO PAGAMENTO],$B$4,LANÇ_MOV[MÊS PAGAMENTO CORRESPONDENTE],J$6,LANÇ_MOV[EMPRESA],$C$4,LANÇ_MOV[CENTRO DE CUSTOS],$D$4)</f>
        <v>0</v>
      </c>
      <c r="K459" s="206">
        <f>SUMIFS(LANÇ_MOV[VALOR LÍQUIDO],LANÇ_MOV[RECEITA OU DESPESA],"Despesa",LANÇ_MOV[CONTAS],$C459,LANÇ_MOV[PLANO DE CONTAS],REL_DRE_FINANCEIRO!$B$445,LANÇ_MOV[ANO PAGAMENTO],$B$4,LANÇ_MOV[MÊS PAGAMENTO CORRESPONDENTE],K$6,LANÇ_MOV[EMPRESA],$C$4,LANÇ_MOV[CENTRO DE CUSTOS],$D$4)</f>
        <v>0</v>
      </c>
      <c r="L459" s="206">
        <f>SUMIFS(LANÇ_MOV[VALOR LÍQUIDO],LANÇ_MOV[RECEITA OU DESPESA],"Despesa",LANÇ_MOV[CONTAS],$C459,LANÇ_MOV[PLANO DE CONTAS],REL_DRE_FINANCEIRO!$B$445,LANÇ_MOV[ANO PAGAMENTO],$B$4,LANÇ_MOV[MÊS PAGAMENTO CORRESPONDENTE],L$6,LANÇ_MOV[EMPRESA],$C$4,LANÇ_MOV[CENTRO DE CUSTOS],$D$4)</f>
        <v>0</v>
      </c>
      <c r="M459" s="206">
        <f>SUMIFS(LANÇ_MOV[VALOR LÍQUIDO],LANÇ_MOV[RECEITA OU DESPESA],"Despesa",LANÇ_MOV[CONTAS],$C459,LANÇ_MOV[PLANO DE CONTAS],REL_DRE_FINANCEIRO!$B$445,LANÇ_MOV[ANO PAGAMENTO],$B$4,LANÇ_MOV[MÊS PAGAMENTO CORRESPONDENTE],M$6,LANÇ_MOV[EMPRESA],$C$4,LANÇ_MOV[CENTRO DE CUSTOS],$D$4)</f>
        <v>0</v>
      </c>
      <c r="N459" s="206">
        <f>SUMIFS(LANÇ_MOV[VALOR LÍQUIDO],LANÇ_MOV[RECEITA OU DESPESA],"Despesa",LANÇ_MOV[CONTAS],$C459,LANÇ_MOV[PLANO DE CONTAS],REL_DRE_FINANCEIRO!$B$445,LANÇ_MOV[ANO PAGAMENTO],$B$4,LANÇ_MOV[MÊS PAGAMENTO CORRESPONDENTE],N$6,LANÇ_MOV[EMPRESA],$C$4,LANÇ_MOV[CENTRO DE CUSTOS],$D$4)</f>
        <v>0</v>
      </c>
      <c r="O459" s="206">
        <f>SUMIFS(LANÇ_MOV[VALOR LÍQUIDO],LANÇ_MOV[RECEITA OU DESPESA],"Despesa",LANÇ_MOV[CONTAS],$C459,LANÇ_MOV[PLANO DE CONTAS],REL_DRE_FINANCEIRO!$B$445,LANÇ_MOV[ANO PAGAMENTO],$B$4,LANÇ_MOV[MÊS PAGAMENTO CORRESPONDENTE],O$6,LANÇ_MOV[EMPRESA],$C$4,LANÇ_MOV[CENTRO DE CUSTOS],$D$4)</f>
        <v>0</v>
      </c>
      <c r="P459" s="207">
        <f t="shared" si="65"/>
        <v>0</v>
      </c>
      <c r="Q459" s="329">
        <v>8.6999999999999997E-6</v>
      </c>
      <c r="R459" s="346">
        <f t="shared" si="67"/>
        <v>8.6999999999999997E-6</v>
      </c>
      <c r="S459" s="347" t="e">
        <f t="shared" si="68"/>
        <v>#REF!</v>
      </c>
      <c r="T459" s="347">
        <f t="shared" si="69"/>
        <v>0</v>
      </c>
      <c r="U459" s="347">
        <f>HLOOKUP(Apoio!$P$12,$D$444:$P$545,X459,FALSE)+Q459</f>
        <v>8.6999999999999997E-6</v>
      </c>
      <c r="V459" s="447" t="e">
        <f t="shared" si="66"/>
        <v>#REF!</v>
      </c>
      <c r="W459" s="448">
        <f>HLOOKUP(Apoio!$P$12,$D$444:$P$545,X459,FALSE)</f>
        <v>0</v>
      </c>
      <c r="X459" s="329">
        <v>16</v>
      </c>
    </row>
    <row r="460" spans="2:27" ht="30.05" customHeight="1" x14ac:dyDescent="0.35">
      <c r="B460" s="204" t="str">
        <f>'CAD_PL_REC-DESP'!T19</f>
        <v>2.4.15</v>
      </c>
      <c r="C460" s="205" t="e">
        <f>IF('CAD_PL_REC-DESP'!#REF!="","-",'CAD_PL_REC-DESP'!#REF!)</f>
        <v>#REF!</v>
      </c>
      <c r="D460" s="206">
        <f>SUMIFS(LANÇ_MOV[VALOR LÍQUIDO],LANÇ_MOV[RECEITA OU DESPESA],"Despesa",LANÇ_MOV[CONTAS],$C460,LANÇ_MOV[PLANO DE CONTAS],REL_DRE_FINANCEIRO!$B$445,LANÇ_MOV[ANO PAGAMENTO],$B$4,LANÇ_MOV[MÊS PAGAMENTO CORRESPONDENTE],D$6,LANÇ_MOV[EMPRESA],$C$4,LANÇ_MOV[CENTRO DE CUSTOS],$D$4)</f>
        <v>0</v>
      </c>
      <c r="E460" s="206">
        <f>SUMIFS(LANÇ_MOV[VALOR LÍQUIDO],LANÇ_MOV[RECEITA OU DESPESA],"Despesa",LANÇ_MOV[CONTAS],$C460,LANÇ_MOV[PLANO DE CONTAS],REL_DRE_FINANCEIRO!$B$445,LANÇ_MOV[ANO PAGAMENTO],$B$4,LANÇ_MOV[MÊS PAGAMENTO CORRESPONDENTE],E$6,LANÇ_MOV[EMPRESA],$C$4,LANÇ_MOV[CENTRO DE CUSTOS],$D$4)</f>
        <v>0</v>
      </c>
      <c r="F460" s="206">
        <f>SUMIFS(LANÇ_MOV[VALOR LÍQUIDO],LANÇ_MOV[RECEITA OU DESPESA],"Despesa",LANÇ_MOV[CONTAS],$C460,LANÇ_MOV[PLANO DE CONTAS],REL_DRE_FINANCEIRO!$B$445,LANÇ_MOV[ANO PAGAMENTO],$B$4,LANÇ_MOV[MÊS PAGAMENTO CORRESPONDENTE],F$6,LANÇ_MOV[EMPRESA],$C$4,LANÇ_MOV[CENTRO DE CUSTOS],$D$4)</f>
        <v>0</v>
      </c>
      <c r="G460" s="206">
        <f>SUMIFS(LANÇ_MOV[VALOR LÍQUIDO],LANÇ_MOV[RECEITA OU DESPESA],"Despesa",LANÇ_MOV[CONTAS],$C460,LANÇ_MOV[PLANO DE CONTAS],REL_DRE_FINANCEIRO!$B$445,LANÇ_MOV[ANO PAGAMENTO],$B$4,LANÇ_MOV[MÊS PAGAMENTO CORRESPONDENTE],G$6,LANÇ_MOV[EMPRESA],$C$4,LANÇ_MOV[CENTRO DE CUSTOS],$D$4)</f>
        <v>0</v>
      </c>
      <c r="H460" s="206">
        <f>SUMIFS(LANÇ_MOV[VALOR LÍQUIDO],LANÇ_MOV[RECEITA OU DESPESA],"Despesa",LANÇ_MOV[CONTAS],$C460,LANÇ_MOV[PLANO DE CONTAS],REL_DRE_FINANCEIRO!$B$445,LANÇ_MOV[ANO PAGAMENTO],$B$4,LANÇ_MOV[MÊS PAGAMENTO CORRESPONDENTE],H$6,LANÇ_MOV[EMPRESA],$C$4,LANÇ_MOV[CENTRO DE CUSTOS],$D$4)</f>
        <v>0</v>
      </c>
      <c r="I460" s="206">
        <f>SUMIFS(LANÇ_MOV[VALOR LÍQUIDO],LANÇ_MOV[RECEITA OU DESPESA],"Despesa",LANÇ_MOV[CONTAS],$C460,LANÇ_MOV[PLANO DE CONTAS],REL_DRE_FINANCEIRO!$B$445,LANÇ_MOV[ANO PAGAMENTO],$B$4,LANÇ_MOV[MÊS PAGAMENTO CORRESPONDENTE],I$6,LANÇ_MOV[EMPRESA],$C$4,LANÇ_MOV[CENTRO DE CUSTOS],$D$4)</f>
        <v>0</v>
      </c>
      <c r="J460" s="206">
        <f>SUMIFS(LANÇ_MOV[VALOR LÍQUIDO],LANÇ_MOV[RECEITA OU DESPESA],"Despesa",LANÇ_MOV[CONTAS],$C460,LANÇ_MOV[PLANO DE CONTAS],REL_DRE_FINANCEIRO!$B$445,LANÇ_MOV[ANO PAGAMENTO],$B$4,LANÇ_MOV[MÊS PAGAMENTO CORRESPONDENTE],J$6,LANÇ_MOV[EMPRESA],$C$4,LANÇ_MOV[CENTRO DE CUSTOS],$D$4)</f>
        <v>0</v>
      </c>
      <c r="K460" s="206">
        <f>SUMIFS(LANÇ_MOV[VALOR LÍQUIDO],LANÇ_MOV[RECEITA OU DESPESA],"Despesa",LANÇ_MOV[CONTAS],$C460,LANÇ_MOV[PLANO DE CONTAS],REL_DRE_FINANCEIRO!$B$445,LANÇ_MOV[ANO PAGAMENTO],$B$4,LANÇ_MOV[MÊS PAGAMENTO CORRESPONDENTE],K$6,LANÇ_MOV[EMPRESA],$C$4,LANÇ_MOV[CENTRO DE CUSTOS],$D$4)</f>
        <v>0</v>
      </c>
      <c r="L460" s="206">
        <f>SUMIFS(LANÇ_MOV[VALOR LÍQUIDO],LANÇ_MOV[RECEITA OU DESPESA],"Despesa",LANÇ_MOV[CONTAS],$C460,LANÇ_MOV[PLANO DE CONTAS],REL_DRE_FINANCEIRO!$B$445,LANÇ_MOV[ANO PAGAMENTO],$B$4,LANÇ_MOV[MÊS PAGAMENTO CORRESPONDENTE],L$6,LANÇ_MOV[EMPRESA],$C$4,LANÇ_MOV[CENTRO DE CUSTOS],$D$4)</f>
        <v>0</v>
      </c>
      <c r="M460" s="206">
        <f>SUMIFS(LANÇ_MOV[VALOR LÍQUIDO],LANÇ_MOV[RECEITA OU DESPESA],"Despesa",LANÇ_MOV[CONTAS],$C460,LANÇ_MOV[PLANO DE CONTAS],REL_DRE_FINANCEIRO!$B$445,LANÇ_MOV[ANO PAGAMENTO],$B$4,LANÇ_MOV[MÊS PAGAMENTO CORRESPONDENTE],M$6,LANÇ_MOV[EMPRESA],$C$4,LANÇ_MOV[CENTRO DE CUSTOS],$D$4)</f>
        <v>0</v>
      </c>
      <c r="N460" s="206">
        <f>SUMIFS(LANÇ_MOV[VALOR LÍQUIDO],LANÇ_MOV[RECEITA OU DESPESA],"Despesa",LANÇ_MOV[CONTAS],$C460,LANÇ_MOV[PLANO DE CONTAS],REL_DRE_FINANCEIRO!$B$445,LANÇ_MOV[ANO PAGAMENTO],$B$4,LANÇ_MOV[MÊS PAGAMENTO CORRESPONDENTE],N$6,LANÇ_MOV[EMPRESA],$C$4,LANÇ_MOV[CENTRO DE CUSTOS],$D$4)</f>
        <v>0</v>
      </c>
      <c r="O460" s="206">
        <f>SUMIFS(LANÇ_MOV[VALOR LÍQUIDO],LANÇ_MOV[RECEITA OU DESPESA],"Despesa",LANÇ_MOV[CONTAS],$C460,LANÇ_MOV[PLANO DE CONTAS],REL_DRE_FINANCEIRO!$B$445,LANÇ_MOV[ANO PAGAMENTO],$B$4,LANÇ_MOV[MÊS PAGAMENTO CORRESPONDENTE],O$6,LANÇ_MOV[EMPRESA],$C$4,LANÇ_MOV[CENTRO DE CUSTOS],$D$4)</f>
        <v>0</v>
      </c>
      <c r="P460" s="207">
        <f t="shared" si="65"/>
        <v>0</v>
      </c>
      <c r="Q460" s="329">
        <v>8.6000000000000007E-6</v>
      </c>
      <c r="R460" s="346">
        <f t="shared" si="67"/>
        <v>8.6000000000000007E-6</v>
      </c>
      <c r="S460" s="347" t="e">
        <f t="shared" si="68"/>
        <v>#REF!</v>
      </c>
      <c r="T460" s="347">
        <f t="shared" si="69"/>
        <v>0</v>
      </c>
      <c r="U460" s="347">
        <f>HLOOKUP(Apoio!$P$12,$D$444:$P$545,X460,FALSE)+Q460</f>
        <v>8.6000000000000007E-6</v>
      </c>
      <c r="V460" s="447" t="e">
        <f t="shared" si="66"/>
        <v>#REF!</v>
      </c>
      <c r="W460" s="448">
        <f>HLOOKUP(Apoio!$P$12,$D$444:$P$545,X460,FALSE)</f>
        <v>0</v>
      </c>
      <c r="X460" s="329">
        <v>17</v>
      </c>
    </row>
    <row r="461" spans="2:27" ht="30.05" customHeight="1" x14ac:dyDescent="0.35">
      <c r="B461" s="204" t="str">
        <f>'CAD_PL_REC-DESP'!T20</f>
        <v>2.4.16</v>
      </c>
      <c r="C461" s="205" t="e">
        <f>IF('CAD_PL_REC-DESP'!#REF!="","-",'CAD_PL_REC-DESP'!#REF!)</f>
        <v>#REF!</v>
      </c>
      <c r="D461" s="206">
        <f>SUMIFS(LANÇ_MOV[VALOR LÍQUIDO],LANÇ_MOV[RECEITA OU DESPESA],"Despesa",LANÇ_MOV[CONTAS],$C461,LANÇ_MOV[PLANO DE CONTAS],REL_DRE_FINANCEIRO!$B$445,LANÇ_MOV[ANO PAGAMENTO],$B$4,LANÇ_MOV[MÊS PAGAMENTO CORRESPONDENTE],D$6,LANÇ_MOV[EMPRESA],$C$4,LANÇ_MOV[CENTRO DE CUSTOS],$D$4)</f>
        <v>0</v>
      </c>
      <c r="E461" s="206">
        <f>SUMIFS(LANÇ_MOV[VALOR LÍQUIDO],LANÇ_MOV[RECEITA OU DESPESA],"Despesa",LANÇ_MOV[CONTAS],$C461,LANÇ_MOV[PLANO DE CONTAS],REL_DRE_FINANCEIRO!$B$445,LANÇ_MOV[ANO PAGAMENTO],$B$4,LANÇ_MOV[MÊS PAGAMENTO CORRESPONDENTE],E$6,LANÇ_MOV[EMPRESA],$C$4,LANÇ_MOV[CENTRO DE CUSTOS],$D$4)</f>
        <v>0</v>
      </c>
      <c r="F461" s="206">
        <f>SUMIFS(LANÇ_MOV[VALOR LÍQUIDO],LANÇ_MOV[RECEITA OU DESPESA],"Despesa",LANÇ_MOV[CONTAS],$C461,LANÇ_MOV[PLANO DE CONTAS],REL_DRE_FINANCEIRO!$B$445,LANÇ_MOV[ANO PAGAMENTO],$B$4,LANÇ_MOV[MÊS PAGAMENTO CORRESPONDENTE],F$6,LANÇ_MOV[EMPRESA],$C$4,LANÇ_MOV[CENTRO DE CUSTOS],$D$4)</f>
        <v>0</v>
      </c>
      <c r="G461" s="206">
        <f>SUMIFS(LANÇ_MOV[VALOR LÍQUIDO],LANÇ_MOV[RECEITA OU DESPESA],"Despesa",LANÇ_MOV[CONTAS],$C461,LANÇ_MOV[PLANO DE CONTAS],REL_DRE_FINANCEIRO!$B$445,LANÇ_MOV[ANO PAGAMENTO],$B$4,LANÇ_MOV[MÊS PAGAMENTO CORRESPONDENTE],G$6,LANÇ_MOV[EMPRESA],$C$4,LANÇ_MOV[CENTRO DE CUSTOS],$D$4)</f>
        <v>0</v>
      </c>
      <c r="H461" s="206">
        <f>SUMIFS(LANÇ_MOV[VALOR LÍQUIDO],LANÇ_MOV[RECEITA OU DESPESA],"Despesa",LANÇ_MOV[CONTAS],$C461,LANÇ_MOV[PLANO DE CONTAS],REL_DRE_FINANCEIRO!$B$445,LANÇ_MOV[ANO PAGAMENTO],$B$4,LANÇ_MOV[MÊS PAGAMENTO CORRESPONDENTE],H$6,LANÇ_MOV[EMPRESA],$C$4,LANÇ_MOV[CENTRO DE CUSTOS],$D$4)</f>
        <v>0</v>
      </c>
      <c r="I461" s="206">
        <f>SUMIFS(LANÇ_MOV[VALOR LÍQUIDO],LANÇ_MOV[RECEITA OU DESPESA],"Despesa",LANÇ_MOV[CONTAS],$C461,LANÇ_MOV[PLANO DE CONTAS],REL_DRE_FINANCEIRO!$B$445,LANÇ_MOV[ANO PAGAMENTO],$B$4,LANÇ_MOV[MÊS PAGAMENTO CORRESPONDENTE],I$6,LANÇ_MOV[EMPRESA],$C$4,LANÇ_MOV[CENTRO DE CUSTOS],$D$4)</f>
        <v>0</v>
      </c>
      <c r="J461" s="206">
        <f>SUMIFS(LANÇ_MOV[VALOR LÍQUIDO],LANÇ_MOV[RECEITA OU DESPESA],"Despesa",LANÇ_MOV[CONTAS],$C461,LANÇ_MOV[PLANO DE CONTAS],REL_DRE_FINANCEIRO!$B$445,LANÇ_MOV[ANO PAGAMENTO],$B$4,LANÇ_MOV[MÊS PAGAMENTO CORRESPONDENTE],J$6,LANÇ_MOV[EMPRESA],$C$4,LANÇ_MOV[CENTRO DE CUSTOS],$D$4)</f>
        <v>0</v>
      </c>
      <c r="K461" s="206">
        <f>SUMIFS(LANÇ_MOV[VALOR LÍQUIDO],LANÇ_MOV[RECEITA OU DESPESA],"Despesa",LANÇ_MOV[CONTAS],$C461,LANÇ_MOV[PLANO DE CONTAS],REL_DRE_FINANCEIRO!$B$445,LANÇ_MOV[ANO PAGAMENTO],$B$4,LANÇ_MOV[MÊS PAGAMENTO CORRESPONDENTE],K$6,LANÇ_MOV[EMPRESA],$C$4,LANÇ_MOV[CENTRO DE CUSTOS],$D$4)</f>
        <v>0</v>
      </c>
      <c r="L461" s="206">
        <f>SUMIFS(LANÇ_MOV[VALOR LÍQUIDO],LANÇ_MOV[RECEITA OU DESPESA],"Despesa",LANÇ_MOV[CONTAS],$C461,LANÇ_MOV[PLANO DE CONTAS],REL_DRE_FINANCEIRO!$B$445,LANÇ_MOV[ANO PAGAMENTO],$B$4,LANÇ_MOV[MÊS PAGAMENTO CORRESPONDENTE],L$6,LANÇ_MOV[EMPRESA],$C$4,LANÇ_MOV[CENTRO DE CUSTOS],$D$4)</f>
        <v>0</v>
      </c>
      <c r="M461" s="206">
        <f>SUMIFS(LANÇ_MOV[VALOR LÍQUIDO],LANÇ_MOV[RECEITA OU DESPESA],"Despesa",LANÇ_MOV[CONTAS],$C461,LANÇ_MOV[PLANO DE CONTAS],REL_DRE_FINANCEIRO!$B$445,LANÇ_MOV[ANO PAGAMENTO],$B$4,LANÇ_MOV[MÊS PAGAMENTO CORRESPONDENTE],M$6,LANÇ_MOV[EMPRESA],$C$4,LANÇ_MOV[CENTRO DE CUSTOS],$D$4)</f>
        <v>0</v>
      </c>
      <c r="N461" s="206">
        <f>SUMIFS(LANÇ_MOV[VALOR LÍQUIDO],LANÇ_MOV[RECEITA OU DESPESA],"Despesa",LANÇ_MOV[CONTAS],$C461,LANÇ_MOV[PLANO DE CONTAS],REL_DRE_FINANCEIRO!$B$445,LANÇ_MOV[ANO PAGAMENTO],$B$4,LANÇ_MOV[MÊS PAGAMENTO CORRESPONDENTE],N$6,LANÇ_MOV[EMPRESA],$C$4,LANÇ_MOV[CENTRO DE CUSTOS],$D$4)</f>
        <v>0</v>
      </c>
      <c r="O461" s="206">
        <f>SUMIFS(LANÇ_MOV[VALOR LÍQUIDO],LANÇ_MOV[RECEITA OU DESPESA],"Despesa",LANÇ_MOV[CONTAS],$C461,LANÇ_MOV[PLANO DE CONTAS],REL_DRE_FINANCEIRO!$B$445,LANÇ_MOV[ANO PAGAMENTO],$B$4,LANÇ_MOV[MÊS PAGAMENTO CORRESPONDENTE],O$6,LANÇ_MOV[EMPRESA],$C$4,LANÇ_MOV[CENTRO DE CUSTOS],$D$4)</f>
        <v>0</v>
      </c>
      <c r="P461" s="207">
        <f t="shared" si="65"/>
        <v>0</v>
      </c>
      <c r="Q461" s="329">
        <v>8.4999999999999999E-6</v>
      </c>
      <c r="R461" s="346">
        <f t="shared" si="67"/>
        <v>8.4999999999999999E-6</v>
      </c>
      <c r="S461" s="347" t="e">
        <f t="shared" si="68"/>
        <v>#REF!</v>
      </c>
      <c r="T461" s="347">
        <f t="shared" si="69"/>
        <v>0</v>
      </c>
      <c r="U461" s="347">
        <f>HLOOKUP(Apoio!$P$12,$D$444:$P$545,X461,FALSE)+Q461</f>
        <v>8.4999999999999999E-6</v>
      </c>
      <c r="V461" s="447" t="e">
        <f t="shared" si="66"/>
        <v>#REF!</v>
      </c>
      <c r="W461" s="448">
        <f>HLOOKUP(Apoio!$P$12,$D$444:$P$545,X461,FALSE)</f>
        <v>0</v>
      </c>
      <c r="X461" s="329">
        <v>18</v>
      </c>
    </row>
    <row r="462" spans="2:27" ht="30.05" customHeight="1" x14ac:dyDescent="0.35">
      <c r="B462" s="204" t="str">
        <f>'CAD_PL_REC-DESP'!T21</f>
        <v>2.4.17</v>
      </c>
      <c r="C462" s="205" t="e">
        <f>IF('CAD_PL_REC-DESP'!#REF!="","-",'CAD_PL_REC-DESP'!#REF!)</f>
        <v>#REF!</v>
      </c>
      <c r="D462" s="206">
        <f>SUMIFS(LANÇ_MOV[VALOR LÍQUIDO],LANÇ_MOV[RECEITA OU DESPESA],"Despesa",LANÇ_MOV[CONTAS],$C462,LANÇ_MOV[PLANO DE CONTAS],REL_DRE_FINANCEIRO!$B$445,LANÇ_MOV[ANO PAGAMENTO],$B$4,LANÇ_MOV[MÊS PAGAMENTO CORRESPONDENTE],D$6,LANÇ_MOV[EMPRESA],$C$4,LANÇ_MOV[CENTRO DE CUSTOS],$D$4)</f>
        <v>0</v>
      </c>
      <c r="E462" s="206">
        <f>SUMIFS(LANÇ_MOV[VALOR LÍQUIDO],LANÇ_MOV[RECEITA OU DESPESA],"Despesa",LANÇ_MOV[CONTAS],$C462,LANÇ_MOV[PLANO DE CONTAS],REL_DRE_FINANCEIRO!$B$445,LANÇ_MOV[ANO PAGAMENTO],$B$4,LANÇ_MOV[MÊS PAGAMENTO CORRESPONDENTE],E$6,LANÇ_MOV[EMPRESA],$C$4,LANÇ_MOV[CENTRO DE CUSTOS],$D$4)</f>
        <v>0</v>
      </c>
      <c r="F462" s="206">
        <f>SUMIFS(LANÇ_MOV[VALOR LÍQUIDO],LANÇ_MOV[RECEITA OU DESPESA],"Despesa",LANÇ_MOV[CONTAS],$C462,LANÇ_MOV[PLANO DE CONTAS],REL_DRE_FINANCEIRO!$B$445,LANÇ_MOV[ANO PAGAMENTO],$B$4,LANÇ_MOV[MÊS PAGAMENTO CORRESPONDENTE],F$6,LANÇ_MOV[EMPRESA],$C$4,LANÇ_MOV[CENTRO DE CUSTOS],$D$4)</f>
        <v>0</v>
      </c>
      <c r="G462" s="206">
        <f>SUMIFS(LANÇ_MOV[VALOR LÍQUIDO],LANÇ_MOV[RECEITA OU DESPESA],"Despesa",LANÇ_MOV[CONTAS],$C462,LANÇ_MOV[PLANO DE CONTAS],REL_DRE_FINANCEIRO!$B$445,LANÇ_MOV[ANO PAGAMENTO],$B$4,LANÇ_MOV[MÊS PAGAMENTO CORRESPONDENTE],G$6,LANÇ_MOV[EMPRESA],$C$4,LANÇ_MOV[CENTRO DE CUSTOS],$D$4)</f>
        <v>0</v>
      </c>
      <c r="H462" s="206">
        <f>SUMIFS(LANÇ_MOV[VALOR LÍQUIDO],LANÇ_MOV[RECEITA OU DESPESA],"Despesa",LANÇ_MOV[CONTAS],$C462,LANÇ_MOV[PLANO DE CONTAS],REL_DRE_FINANCEIRO!$B$445,LANÇ_MOV[ANO PAGAMENTO],$B$4,LANÇ_MOV[MÊS PAGAMENTO CORRESPONDENTE],H$6,LANÇ_MOV[EMPRESA],$C$4,LANÇ_MOV[CENTRO DE CUSTOS],$D$4)</f>
        <v>0</v>
      </c>
      <c r="I462" s="206">
        <f>SUMIFS(LANÇ_MOV[VALOR LÍQUIDO],LANÇ_MOV[RECEITA OU DESPESA],"Despesa",LANÇ_MOV[CONTAS],$C462,LANÇ_MOV[PLANO DE CONTAS],REL_DRE_FINANCEIRO!$B$445,LANÇ_MOV[ANO PAGAMENTO],$B$4,LANÇ_MOV[MÊS PAGAMENTO CORRESPONDENTE],I$6,LANÇ_MOV[EMPRESA],$C$4,LANÇ_MOV[CENTRO DE CUSTOS],$D$4)</f>
        <v>0</v>
      </c>
      <c r="J462" s="206">
        <f>SUMIFS(LANÇ_MOV[VALOR LÍQUIDO],LANÇ_MOV[RECEITA OU DESPESA],"Despesa",LANÇ_MOV[CONTAS],$C462,LANÇ_MOV[PLANO DE CONTAS],REL_DRE_FINANCEIRO!$B$445,LANÇ_MOV[ANO PAGAMENTO],$B$4,LANÇ_MOV[MÊS PAGAMENTO CORRESPONDENTE],J$6,LANÇ_MOV[EMPRESA],$C$4,LANÇ_MOV[CENTRO DE CUSTOS],$D$4)</f>
        <v>0</v>
      </c>
      <c r="K462" s="206">
        <f>SUMIFS(LANÇ_MOV[VALOR LÍQUIDO],LANÇ_MOV[RECEITA OU DESPESA],"Despesa",LANÇ_MOV[CONTAS],$C462,LANÇ_MOV[PLANO DE CONTAS],REL_DRE_FINANCEIRO!$B$445,LANÇ_MOV[ANO PAGAMENTO],$B$4,LANÇ_MOV[MÊS PAGAMENTO CORRESPONDENTE],K$6,LANÇ_MOV[EMPRESA],$C$4,LANÇ_MOV[CENTRO DE CUSTOS],$D$4)</f>
        <v>0</v>
      </c>
      <c r="L462" s="206">
        <f>SUMIFS(LANÇ_MOV[VALOR LÍQUIDO],LANÇ_MOV[RECEITA OU DESPESA],"Despesa",LANÇ_MOV[CONTAS],$C462,LANÇ_MOV[PLANO DE CONTAS],REL_DRE_FINANCEIRO!$B$445,LANÇ_MOV[ANO PAGAMENTO],$B$4,LANÇ_MOV[MÊS PAGAMENTO CORRESPONDENTE],L$6,LANÇ_MOV[EMPRESA],$C$4,LANÇ_MOV[CENTRO DE CUSTOS],$D$4)</f>
        <v>0</v>
      </c>
      <c r="M462" s="206">
        <f>SUMIFS(LANÇ_MOV[VALOR LÍQUIDO],LANÇ_MOV[RECEITA OU DESPESA],"Despesa",LANÇ_MOV[CONTAS],$C462,LANÇ_MOV[PLANO DE CONTAS],REL_DRE_FINANCEIRO!$B$445,LANÇ_MOV[ANO PAGAMENTO],$B$4,LANÇ_MOV[MÊS PAGAMENTO CORRESPONDENTE],M$6,LANÇ_MOV[EMPRESA],$C$4,LANÇ_MOV[CENTRO DE CUSTOS],$D$4)</f>
        <v>0</v>
      </c>
      <c r="N462" s="206">
        <f>SUMIFS(LANÇ_MOV[VALOR LÍQUIDO],LANÇ_MOV[RECEITA OU DESPESA],"Despesa",LANÇ_MOV[CONTAS],$C462,LANÇ_MOV[PLANO DE CONTAS],REL_DRE_FINANCEIRO!$B$445,LANÇ_MOV[ANO PAGAMENTO],$B$4,LANÇ_MOV[MÊS PAGAMENTO CORRESPONDENTE],N$6,LANÇ_MOV[EMPRESA],$C$4,LANÇ_MOV[CENTRO DE CUSTOS],$D$4)</f>
        <v>0</v>
      </c>
      <c r="O462" s="206">
        <f>SUMIFS(LANÇ_MOV[VALOR LÍQUIDO],LANÇ_MOV[RECEITA OU DESPESA],"Despesa",LANÇ_MOV[CONTAS],$C462,LANÇ_MOV[PLANO DE CONTAS],REL_DRE_FINANCEIRO!$B$445,LANÇ_MOV[ANO PAGAMENTO],$B$4,LANÇ_MOV[MÊS PAGAMENTO CORRESPONDENTE],O$6,LANÇ_MOV[EMPRESA],$C$4,LANÇ_MOV[CENTRO DE CUSTOS],$D$4)</f>
        <v>0</v>
      </c>
      <c r="P462" s="207">
        <f t="shared" si="65"/>
        <v>0</v>
      </c>
      <c r="Q462" s="329">
        <v>8.3999999999999992E-6</v>
      </c>
      <c r="R462" s="346">
        <f t="shared" si="67"/>
        <v>8.3999999999999992E-6</v>
      </c>
      <c r="S462" s="347" t="e">
        <f t="shared" si="68"/>
        <v>#REF!</v>
      </c>
      <c r="T462" s="347">
        <f t="shared" si="69"/>
        <v>0</v>
      </c>
      <c r="U462" s="347">
        <f>HLOOKUP(Apoio!$P$12,$D$444:$P$545,X462,FALSE)+Q462</f>
        <v>8.3999999999999992E-6</v>
      </c>
      <c r="V462" s="447" t="e">
        <f t="shared" si="66"/>
        <v>#REF!</v>
      </c>
      <c r="W462" s="448">
        <f>HLOOKUP(Apoio!$P$12,$D$444:$P$545,X462,FALSE)</f>
        <v>0</v>
      </c>
      <c r="X462" s="329">
        <v>19</v>
      </c>
    </row>
    <row r="463" spans="2:27" ht="30.05" customHeight="1" x14ac:dyDescent="0.35">
      <c r="B463" s="204" t="str">
        <f>'CAD_PL_REC-DESP'!T22</f>
        <v>2.4.18</v>
      </c>
      <c r="C463" s="205" t="e">
        <f>IF('CAD_PL_REC-DESP'!#REF!="","-",'CAD_PL_REC-DESP'!#REF!)</f>
        <v>#REF!</v>
      </c>
      <c r="D463" s="206">
        <f>SUMIFS(LANÇ_MOV[VALOR LÍQUIDO],LANÇ_MOV[RECEITA OU DESPESA],"Despesa",LANÇ_MOV[CONTAS],$C463,LANÇ_MOV[PLANO DE CONTAS],REL_DRE_FINANCEIRO!$B$445,LANÇ_MOV[ANO PAGAMENTO],$B$4,LANÇ_MOV[MÊS PAGAMENTO CORRESPONDENTE],D$6,LANÇ_MOV[EMPRESA],$C$4,LANÇ_MOV[CENTRO DE CUSTOS],$D$4)</f>
        <v>0</v>
      </c>
      <c r="E463" s="206">
        <f>SUMIFS(LANÇ_MOV[VALOR LÍQUIDO],LANÇ_MOV[RECEITA OU DESPESA],"Despesa",LANÇ_MOV[CONTAS],$C463,LANÇ_MOV[PLANO DE CONTAS],REL_DRE_FINANCEIRO!$B$445,LANÇ_MOV[ANO PAGAMENTO],$B$4,LANÇ_MOV[MÊS PAGAMENTO CORRESPONDENTE],E$6,LANÇ_MOV[EMPRESA],$C$4,LANÇ_MOV[CENTRO DE CUSTOS],$D$4)</f>
        <v>0</v>
      </c>
      <c r="F463" s="206">
        <f>SUMIFS(LANÇ_MOV[VALOR LÍQUIDO],LANÇ_MOV[RECEITA OU DESPESA],"Despesa",LANÇ_MOV[CONTAS],$C463,LANÇ_MOV[PLANO DE CONTAS],REL_DRE_FINANCEIRO!$B$445,LANÇ_MOV[ANO PAGAMENTO],$B$4,LANÇ_MOV[MÊS PAGAMENTO CORRESPONDENTE],F$6,LANÇ_MOV[EMPRESA],$C$4,LANÇ_MOV[CENTRO DE CUSTOS],$D$4)</f>
        <v>0</v>
      </c>
      <c r="G463" s="206">
        <f>SUMIFS(LANÇ_MOV[VALOR LÍQUIDO],LANÇ_MOV[RECEITA OU DESPESA],"Despesa",LANÇ_MOV[CONTAS],$C463,LANÇ_MOV[PLANO DE CONTAS],REL_DRE_FINANCEIRO!$B$445,LANÇ_MOV[ANO PAGAMENTO],$B$4,LANÇ_MOV[MÊS PAGAMENTO CORRESPONDENTE],G$6,LANÇ_MOV[EMPRESA],$C$4,LANÇ_MOV[CENTRO DE CUSTOS],$D$4)</f>
        <v>0</v>
      </c>
      <c r="H463" s="206">
        <f>SUMIFS(LANÇ_MOV[VALOR LÍQUIDO],LANÇ_MOV[RECEITA OU DESPESA],"Despesa",LANÇ_MOV[CONTAS],$C463,LANÇ_MOV[PLANO DE CONTAS],REL_DRE_FINANCEIRO!$B$445,LANÇ_MOV[ANO PAGAMENTO],$B$4,LANÇ_MOV[MÊS PAGAMENTO CORRESPONDENTE],H$6,LANÇ_MOV[EMPRESA],$C$4,LANÇ_MOV[CENTRO DE CUSTOS],$D$4)</f>
        <v>0</v>
      </c>
      <c r="I463" s="206">
        <f>SUMIFS(LANÇ_MOV[VALOR LÍQUIDO],LANÇ_MOV[RECEITA OU DESPESA],"Despesa",LANÇ_MOV[CONTAS],$C463,LANÇ_MOV[PLANO DE CONTAS],REL_DRE_FINANCEIRO!$B$445,LANÇ_MOV[ANO PAGAMENTO],$B$4,LANÇ_MOV[MÊS PAGAMENTO CORRESPONDENTE],I$6,LANÇ_MOV[EMPRESA],$C$4,LANÇ_MOV[CENTRO DE CUSTOS],$D$4)</f>
        <v>0</v>
      </c>
      <c r="J463" s="206">
        <f>SUMIFS(LANÇ_MOV[VALOR LÍQUIDO],LANÇ_MOV[RECEITA OU DESPESA],"Despesa",LANÇ_MOV[CONTAS],$C463,LANÇ_MOV[PLANO DE CONTAS],REL_DRE_FINANCEIRO!$B$445,LANÇ_MOV[ANO PAGAMENTO],$B$4,LANÇ_MOV[MÊS PAGAMENTO CORRESPONDENTE],J$6,LANÇ_MOV[EMPRESA],$C$4,LANÇ_MOV[CENTRO DE CUSTOS],$D$4)</f>
        <v>0</v>
      </c>
      <c r="K463" s="206">
        <f>SUMIFS(LANÇ_MOV[VALOR LÍQUIDO],LANÇ_MOV[RECEITA OU DESPESA],"Despesa",LANÇ_MOV[CONTAS],$C463,LANÇ_MOV[PLANO DE CONTAS],REL_DRE_FINANCEIRO!$B$445,LANÇ_MOV[ANO PAGAMENTO],$B$4,LANÇ_MOV[MÊS PAGAMENTO CORRESPONDENTE],K$6,LANÇ_MOV[EMPRESA],$C$4,LANÇ_MOV[CENTRO DE CUSTOS],$D$4)</f>
        <v>0</v>
      </c>
      <c r="L463" s="206">
        <f>SUMIFS(LANÇ_MOV[VALOR LÍQUIDO],LANÇ_MOV[RECEITA OU DESPESA],"Despesa",LANÇ_MOV[CONTAS],$C463,LANÇ_MOV[PLANO DE CONTAS],REL_DRE_FINANCEIRO!$B$445,LANÇ_MOV[ANO PAGAMENTO],$B$4,LANÇ_MOV[MÊS PAGAMENTO CORRESPONDENTE],L$6,LANÇ_MOV[EMPRESA],$C$4,LANÇ_MOV[CENTRO DE CUSTOS],$D$4)</f>
        <v>0</v>
      </c>
      <c r="M463" s="206">
        <f>SUMIFS(LANÇ_MOV[VALOR LÍQUIDO],LANÇ_MOV[RECEITA OU DESPESA],"Despesa",LANÇ_MOV[CONTAS],$C463,LANÇ_MOV[PLANO DE CONTAS],REL_DRE_FINANCEIRO!$B$445,LANÇ_MOV[ANO PAGAMENTO],$B$4,LANÇ_MOV[MÊS PAGAMENTO CORRESPONDENTE],M$6,LANÇ_MOV[EMPRESA],$C$4,LANÇ_MOV[CENTRO DE CUSTOS],$D$4)</f>
        <v>0</v>
      </c>
      <c r="N463" s="206">
        <f>SUMIFS(LANÇ_MOV[VALOR LÍQUIDO],LANÇ_MOV[RECEITA OU DESPESA],"Despesa",LANÇ_MOV[CONTAS],$C463,LANÇ_MOV[PLANO DE CONTAS],REL_DRE_FINANCEIRO!$B$445,LANÇ_MOV[ANO PAGAMENTO],$B$4,LANÇ_MOV[MÊS PAGAMENTO CORRESPONDENTE],N$6,LANÇ_MOV[EMPRESA],$C$4,LANÇ_MOV[CENTRO DE CUSTOS],$D$4)</f>
        <v>0</v>
      </c>
      <c r="O463" s="206">
        <f>SUMIFS(LANÇ_MOV[VALOR LÍQUIDO],LANÇ_MOV[RECEITA OU DESPESA],"Despesa",LANÇ_MOV[CONTAS],$C463,LANÇ_MOV[PLANO DE CONTAS],REL_DRE_FINANCEIRO!$B$445,LANÇ_MOV[ANO PAGAMENTO],$B$4,LANÇ_MOV[MÊS PAGAMENTO CORRESPONDENTE],O$6,LANÇ_MOV[EMPRESA],$C$4,LANÇ_MOV[CENTRO DE CUSTOS],$D$4)</f>
        <v>0</v>
      </c>
      <c r="P463" s="207">
        <f t="shared" si="65"/>
        <v>0</v>
      </c>
      <c r="Q463" s="329">
        <v>8.3000000000000002E-6</v>
      </c>
      <c r="R463" s="346">
        <f t="shared" si="67"/>
        <v>8.3000000000000002E-6</v>
      </c>
      <c r="S463" s="347" t="e">
        <f t="shared" si="68"/>
        <v>#REF!</v>
      </c>
      <c r="T463" s="347">
        <f t="shared" si="69"/>
        <v>0</v>
      </c>
      <c r="U463" s="347">
        <f>HLOOKUP(Apoio!$P$12,$D$444:$P$545,X463,FALSE)+Q463</f>
        <v>8.3000000000000002E-6</v>
      </c>
      <c r="V463" s="447" t="e">
        <f t="shared" si="66"/>
        <v>#REF!</v>
      </c>
      <c r="W463" s="448">
        <f>HLOOKUP(Apoio!$P$12,$D$444:$P$545,X463,FALSE)</f>
        <v>0</v>
      </c>
      <c r="X463" s="329">
        <v>20</v>
      </c>
    </row>
    <row r="464" spans="2:27" ht="30.05" customHeight="1" x14ac:dyDescent="0.35">
      <c r="B464" s="204" t="str">
        <f>'CAD_PL_REC-DESP'!T23</f>
        <v>2.4.19</v>
      </c>
      <c r="C464" s="205" t="e">
        <f>IF('CAD_PL_REC-DESP'!#REF!="","-",'CAD_PL_REC-DESP'!#REF!)</f>
        <v>#REF!</v>
      </c>
      <c r="D464" s="206">
        <f>SUMIFS(LANÇ_MOV[VALOR LÍQUIDO],LANÇ_MOV[RECEITA OU DESPESA],"Despesa",LANÇ_MOV[CONTAS],$C464,LANÇ_MOV[PLANO DE CONTAS],REL_DRE_FINANCEIRO!$B$445,LANÇ_MOV[ANO PAGAMENTO],$B$4,LANÇ_MOV[MÊS PAGAMENTO CORRESPONDENTE],D$6,LANÇ_MOV[EMPRESA],$C$4,LANÇ_MOV[CENTRO DE CUSTOS],$D$4)</f>
        <v>0</v>
      </c>
      <c r="E464" s="206">
        <f>SUMIFS(LANÇ_MOV[VALOR LÍQUIDO],LANÇ_MOV[RECEITA OU DESPESA],"Despesa",LANÇ_MOV[CONTAS],$C464,LANÇ_MOV[PLANO DE CONTAS],REL_DRE_FINANCEIRO!$B$445,LANÇ_MOV[ANO PAGAMENTO],$B$4,LANÇ_MOV[MÊS PAGAMENTO CORRESPONDENTE],E$6,LANÇ_MOV[EMPRESA],$C$4,LANÇ_MOV[CENTRO DE CUSTOS],$D$4)</f>
        <v>0</v>
      </c>
      <c r="F464" s="206">
        <f>SUMIFS(LANÇ_MOV[VALOR LÍQUIDO],LANÇ_MOV[RECEITA OU DESPESA],"Despesa",LANÇ_MOV[CONTAS],$C464,LANÇ_MOV[PLANO DE CONTAS],REL_DRE_FINANCEIRO!$B$445,LANÇ_MOV[ANO PAGAMENTO],$B$4,LANÇ_MOV[MÊS PAGAMENTO CORRESPONDENTE],F$6,LANÇ_MOV[EMPRESA],$C$4,LANÇ_MOV[CENTRO DE CUSTOS],$D$4)</f>
        <v>0</v>
      </c>
      <c r="G464" s="206">
        <f>SUMIFS(LANÇ_MOV[VALOR LÍQUIDO],LANÇ_MOV[RECEITA OU DESPESA],"Despesa",LANÇ_MOV[CONTAS],$C464,LANÇ_MOV[PLANO DE CONTAS],REL_DRE_FINANCEIRO!$B$445,LANÇ_MOV[ANO PAGAMENTO],$B$4,LANÇ_MOV[MÊS PAGAMENTO CORRESPONDENTE],G$6,LANÇ_MOV[EMPRESA],$C$4,LANÇ_MOV[CENTRO DE CUSTOS],$D$4)</f>
        <v>0</v>
      </c>
      <c r="H464" s="206">
        <f>SUMIFS(LANÇ_MOV[VALOR LÍQUIDO],LANÇ_MOV[RECEITA OU DESPESA],"Despesa",LANÇ_MOV[CONTAS],$C464,LANÇ_MOV[PLANO DE CONTAS],REL_DRE_FINANCEIRO!$B$445,LANÇ_MOV[ANO PAGAMENTO],$B$4,LANÇ_MOV[MÊS PAGAMENTO CORRESPONDENTE],H$6,LANÇ_MOV[EMPRESA],$C$4,LANÇ_MOV[CENTRO DE CUSTOS],$D$4)</f>
        <v>0</v>
      </c>
      <c r="I464" s="206">
        <f>SUMIFS(LANÇ_MOV[VALOR LÍQUIDO],LANÇ_MOV[RECEITA OU DESPESA],"Despesa",LANÇ_MOV[CONTAS],$C464,LANÇ_MOV[PLANO DE CONTAS],REL_DRE_FINANCEIRO!$B$445,LANÇ_MOV[ANO PAGAMENTO],$B$4,LANÇ_MOV[MÊS PAGAMENTO CORRESPONDENTE],I$6,LANÇ_MOV[EMPRESA],$C$4,LANÇ_MOV[CENTRO DE CUSTOS],$D$4)</f>
        <v>0</v>
      </c>
      <c r="J464" s="206">
        <f>SUMIFS(LANÇ_MOV[VALOR LÍQUIDO],LANÇ_MOV[RECEITA OU DESPESA],"Despesa",LANÇ_MOV[CONTAS],$C464,LANÇ_MOV[PLANO DE CONTAS],REL_DRE_FINANCEIRO!$B$445,LANÇ_MOV[ANO PAGAMENTO],$B$4,LANÇ_MOV[MÊS PAGAMENTO CORRESPONDENTE],J$6,LANÇ_MOV[EMPRESA],$C$4,LANÇ_MOV[CENTRO DE CUSTOS],$D$4)</f>
        <v>0</v>
      </c>
      <c r="K464" s="206">
        <f>SUMIFS(LANÇ_MOV[VALOR LÍQUIDO],LANÇ_MOV[RECEITA OU DESPESA],"Despesa",LANÇ_MOV[CONTAS],$C464,LANÇ_MOV[PLANO DE CONTAS],REL_DRE_FINANCEIRO!$B$445,LANÇ_MOV[ANO PAGAMENTO],$B$4,LANÇ_MOV[MÊS PAGAMENTO CORRESPONDENTE],K$6,LANÇ_MOV[EMPRESA],$C$4,LANÇ_MOV[CENTRO DE CUSTOS],$D$4)</f>
        <v>0</v>
      </c>
      <c r="L464" s="206">
        <f>SUMIFS(LANÇ_MOV[VALOR LÍQUIDO],LANÇ_MOV[RECEITA OU DESPESA],"Despesa",LANÇ_MOV[CONTAS],$C464,LANÇ_MOV[PLANO DE CONTAS],REL_DRE_FINANCEIRO!$B$445,LANÇ_MOV[ANO PAGAMENTO],$B$4,LANÇ_MOV[MÊS PAGAMENTO CORRESPONDENTE],L$6,LANÇ_MOV[EMPRESA],$C$4,LANÇ_MOV[CENTRO DE CUSTOS],$D$4)</f>
        <v>0</v>
      </c>
      <c r="M464" s="206">
        <f>SUMIFS(LANÇ_MOV[VALOR LÍQUIDO],LANÇ_MOV[RECEITA OU DESPESA],"Despesa",LANÇ_MOV[CONTAS],$C464,LANÇ_MOV[PLANO DE CONTAS],REL_DRE_FINANCEIRO!$B$445,LANÇ_MOV[ANO PAGAMENTO],$B$4,LANÇ_MOV[MÊS PAGAMENTO CORRESPONDENTE],M$6,LANÇ_MOV[EMPRESA],$C$4,LANÇ_MOV[CENTRO DE CUSTOS],$D$4)</f>
        <v>0</v>
      </c>
      <c r="N464" s="206">
        <f>SUMIFS(LANÇ_MOV[VALOR LÍQUIDO],LANÇ_MOV[RECEITA OU DESPESA],"Despesa",LANÇ_MOV[CONTAS],$C464,LANÇ_MOV[PLANO DE CONTAS],REL_DRE_FINANCEIRO!$B$445,LANÇ_MOV[ANO PAGAMENTO],$B$4,LANÇ_MOV[MÊS PAGAMENTO CORRESPONDENTE],N$6,LANÇ_MOV[EMPRESA],$C$4,LANÇ_MOV[CENTRO DE CUSTOS],$D$4)</f>
        <v>0</v>
      </c>
      <c r="O464" s="206">
        <f>SUMIFS(LANÇ_MOV[VALOR LÍQUIDO],LANÇ_MOV[RECEITA OU DESPESA],"Despesa",LANÇ_MOV[CONTAS],$C464,LANÇ_MOV[PLANO DE CONTAS],REL_DRE_FINANCEIRO!$B$445,LANÇ_MOV[ANO PAGAMENTO],$B$4,LANÇ_MOV[MÊS PAGAMENTO CORRESPONDENTE],O$6,LANÇ_MOV[EMPRESA],$C$4,LANÇ_MOV[CENTRO DE CUSTOS],$D$4)</f>
        <v>0</v>
      </c>
      <c r="P464" s="207">
        <f t="shared" si="65"/>
        <v>0</v>
      </c>
      <c r="Q464" s="329">
        <v>8.1999999999999994E-6</v>
      </c>
      <c r="R464" s="346">
        <f t="shared" si="67"/>
        <v>8.1999999999999994E-6</v>
      </c>
      <c r="S464" s="347" t="e">
        <f t="shared" si="68"/>
        <v>#REF!</v>
      </c>
      <c r="T464" s="347">
        <f t="shared" si="69"/>
        <v>0</v>
      </c>
      <c r="U464" s="347">
        <f>HLOOKUP(Apoio!$P$12,$D$444:$P$545,X464,FALSE)+Q464</f>
        <v>8.1999999999999994E-6</v>
      </c>
      <c r="V464" s="447" t="e">
        <f t="shared" si="66"/>
        <v>#REF!</v>
      </c>
      <c r="W464" s="448">
        <f>HLOOKUP(Apoio!$P$12,$D$444:$P$545,X464,FALSE)</f>
        <v>0</v>
      </c>
      <c r="X464" s="329">
        <v>21</v>
      </c>
    </row>
    <row r="465" spans="2:24" ht="30.05" customHeight="1" x14ac:dyDescent="0.35">
      <c r="B465" s="204" t="str">
        <f>'CAD_PL_REC-DESP'!T24</f>
        <v>2.4.20</v>
      </c>
      <c r="C465" s="205" t="e">
        <f>IF('CAD_PL_REC-DESP'!#REF!="","-",'CAD_PL_REC-DESP'!#REF!)</f>
        <v>#REF!</v>
      </c>
      <c r="D465" s="206">
        <f>SUMIFS(LANÇ_MOV[VALOR LÍQUIDO],LANÇ_MOV[RECEITA OU DESPESA],"Despesa",LANÇ_MOV[CONTAS],$C465,LANÇ_MOV[PLANO DE CONTAS],REL_DRE_FINANCEIRO!$B$445,LANÇ_MOV[ANO PAGAMENTO],$B$4,LANÇ_MOV[MÊS PAGAMENTO CORRESPONDENTE],D$6,LANÇ_MOV[EMPRESA],$C$4,LANÇ_MOV[CENTRO DE CUSTOS],$D$4)</f>
        <v>0</v>
      </c>
      <c r="E465" s="206">
        <f>SUMIFS(LANÇ_MOV[VALOR LÍQUIDO],LANÇ_MOV[RECEITA OU DESPESA],"Despesa",LANÇ_MOV[CONTAS],$C465,LANÇ_MOV[PLANO DE CONTAS],REL_DRE_FINANCEIRO!$B$445,LANÇ_MOV[ANO PAGAMENTO],$B$4,LANÇ_MOV[MÊS PAGAMENTO CORRESPONDENTE],E$6,LANÇ_MOV[EMPRESA],$C$4,LANÇ_MOV[CENTRO DE CUSTOS],$D$4)</f>
        <v>0</v>
      </c>
      <c r="F465" s="206">
        <f>SUMIFS(LANÇ_MOV[VALOR LÍQUIDO],LANÇ_MOV[RECEITA OU DESPESA],"Despesa",LANÇ_MOV[CONTAS],$C465,LANÇ_MOV[PLANO DE CONTAS],REL_DRE_FINANCEIRO!$B$445,LANÇ_MOV[ANO PAGAMENTO],$B$4,LANÇ_MOV[MÊS PAGAMENTO CORRESPONDENTE],F$6,LANÇ_MOV[EMPRESA],$C$4,LANÇ_MOV[CENTRO DE CUSTOS],$D$4)</f>
        <v>0</v>
      </c>
      <c r="G465" s="206">
        <f>SUMIFS(LANÇ_MOV[VALOR LÍQUIDO],LANÇ_MOV[RECEITA OU DESPESA],"Despesa",LANÇ_MOV[CONTAS],$C465,LANÇ_MOV[PLANO DE CONTAS],REL_DRE_FINANCEIRO!$B$445,LANÇ_MOV[ANO PAGAMENTO],$B$4,LANÇ_MOV[MÊS PAGAMENTO CORRESPONDENTE],G$6,LANÇ_MOV[EMPRESA],$C$4,LANÇ_MOV[CENTRO DE CUSTOS],$D$4)</f>
        <v>0</v>
      </c>
      <c r="H465" s="206">
        <f>SUMIFS(LANÇ_MOV[VALOR LÍQUIDO],LANÇ_MOV[RECEITA OU DESPESA],"Despesa",LANÇ_MOV[CONTAS],$C465,LANÇ_MOV[PLANO DE CONTAS],REL_DRE_FINANCEIRO!$B$445,LANÇ_MOV[ANO PAGAMENTO],$B$4,LANÇ_MOV[MÊS PAGAMENTO CORRESPONDENTE],H$6,LANÇ_MOV[EMPRESA],$C$4,LANÇ_MOV[CENTRO DE CUSTOS],$D$4)</f>
        <v>0</v>
      </c>
      <c r="I465" s="206">
        <f>SUMIFS(LANÇ_MOV[VALOR LÍQUIDO],LANÇ_MOV[RECEITA OU DESPESA],"Despesa",LANÇ_MOV[CONTAS],$C465,LANÇ_MOV[PLANO DE CONTAS],REL_DRE_FINANCEIRO!$B$445,LANÇ_MOV[ANO PAGAMENTO],$B$4,LANÇ_MOV[MÊS PAGAMENTO CORRESPONDENTE],I$6,LANÇ_MOV[EMPRESA],$C$4,LANÇ_MOV[CENTRO DE CUSTOS],$D$4)</f>
        <v>0</v>
      </c>
      <c r="J465" s="206">
        <f>SUMIFS(LANÇ_MOV[VALOR LÍQUIDO],LANÇ_MOV[RECEITA OU DESPESA],"Despesa",LANÇ_MOV[CONTAS],$C465,LANÇ_MOV[PLANO DE CONTAS],REL_DRE_FINANCEIRO!$B$445,LANÇ_MOV[ANO PAGAMENTO],$B$4,LANÇ_MOV[MÊS PAGAMENTO CORRESPONDENTE],J$6,LANÇ_MOV[EMPRESA],$C$4,LANÇ_MOV[CENTRO DE CUSTOS],$D$4)</f>
        <v>0</v>
      </c>
      <c r="K465" s="206">
        <f>SUMIFS(LANÇ_MOV[VALOR LÍQUIDO],LANÇ_MOV[RECEITA OU DESPESA],"Despesa",LANÇ_MOV[CONTAS],$C465,LANÇ_MOV[PLANO DE CONTAS],REL_DRE_FINANCEIRO!$B$445,LANÇ_MOV[ANO PAGAMENTO],$B$4,LANÇ_MOV[MÊS PAGAMENTO CORRESPONDENTE],K$6,LANÇ_MOV[EMPRESA],$C$4,LANÇ_MOV[CENTRO DE CUSTOS],$D$4)</f>
        <v>0</v>
      </c>
      <c r="L465" s="206">
        <f>SUMIFS(LANÇ_MOV[VALOR LÍQUIDO],LANÇ_MOV[RECEITA OU DESPESA],"Despesa",LANÇ_MOV[CONTAS],$C465,LANÇ_MOV[PLANO DE CONTAS],REL_DRE_FINANCEIRO!$B$445,LANÇ_MOV[ANO PAGAMENTO],$B$4,LANÇ_MOV[MÊS PAGAMENTO CORRESPONDENTE],L$6,LANÇ_MOV[EMPRESA],$C$4,LANÇ_MOV[CENTRO DE CUSTOS],$D$4)</f>
        <v>0</v>
      </c>
      <c r="M465" s="206">
        <f>SUMIFS(LANÇ_MOV[VALOR LÍQUIDO],LANÇ_MOV[RECEITA OU DESPESA],"Despesa",LANÇ_MOV[CONTAS],$C465,LANÇ_MOV[PLANO DE CONTAS],REL_DRE_FINANCEIRO!$B$445,LANÇ_MOV[ANO PAGAMENTO],$B$4,LANÇ_MOV[MÊS PAGAMENTO CORRESPONDENTE],M$6,LANÇ_MOV[EMPRESA],$C$4,LANÇ_MOV[CENTRO DE CUSTOS],$D$4)</f>
        <v>0</v>
      </c>
      <c r="N465" s="206">
        <f>SUMIFS(LANÇ_MOV[VALOR LÍQUIDO],LANÇ_MOV[RECEITA OU DESPESA],"Despesa",LANÇ_MOV[CONTAS],$C465,LANÇ_MOV[PLANO DE CONTAS],REL_DRE_FINANCEIRO!$B$445,LANÇ_MOV[ANO PAGAMENTO],$B$4,LANÇ_MOV[MÊS PAGAMENTO CORRESPONDENTE],N$6,LANÇ_MOV[EMPRESA],$C$4,LANÇ_MOV[CENTRO DE CUSTOS],$D$4)</f>
        <v>0</v>
      </c>
      <c r="O465" s="206">
        <f>SUMIFS(LANÇ_MOV[VALOR LÍQUIDO],LANÇ_MOV[RECEITA OU DESPESA],"Despesa",LANÇ_MOV[CONTAS],$C465,LANÇ_MOV[PLANO DE CONTAS],REL_DRE_FINANCEIRO!$B$445,LANÇ_MOV[ANO PAGAMENTO],$B$4,LANÇ_MOV[MÊS PAGAMENTO CORRESPONDENTE],O$6,LANÇ_MOV[EMPRESA],$C$4,LANÇ_MOV[CENTRO DE CUSTOS],$D$4)</f>
        <v>0</v>
      </c>
      <c r="P465" s="207">
        <f t="shared" si="65"/>
        <v>0</v>
      </c>
      <c r="Q465" s="329">
        <v>8.1000000000000004E-6</v>
      </c>
      <c r="R465" s="346">
        <f t="shared" si="67"/>
        <v>8.1000000000000004E-6</v>
      </c>
      <c r="S465" s="347" t="e">
        <f t="shared" si="68"/>
        <v>#REF!</v>
      </c>
      <c r="T465" s="347">
        <f t="shared" si="69"/>
        <v>0</v>
      </c>
      <c r="U465" s="347">
        <f>HLOOKUP(Apoio!$P$12,$D$444:$P$545,X465,FALSE)+Q465</f>
        <v>8.1000000000000004E-6</v>
      </c>
      <c r="V465" s="447" t="e">
        <f t="shared" si="66"/>
        <v>#REF!</v>
      </c>
      <c r="W465" s="448">
        <f>HLOOKUP(Apoio!$P$12,$D$444:$P$545,X465,FALSE)</f>
        <v>0</v>
      </c>
      <c r="X465" s="329">
        <v>22</v>
      </c>
    </row>
    <row r="466" spans="2:24" ht="30.05" customHeight="1" x14ac:dyDescent="0.35">
      <c r="B466" s="204" t="str">
        <f>'CAD_PL_REC-DESP'!T25</f>
        <v>2.4.21</v>
      </c>
      <c r="C466" s="205" t="e">
        <f>IF('CAD_PL_REC-DESP'!#REF!="","-",'CAD_PL_REC-DESP'!#REF!)</f>
        <v>#REF!</v>
      </c>
      <c r="D466" s="206">
        <f>SUMIFS(LANÇ_MOV[VALOR LÍQUIDO],LANÇ_MOV[RECEITA OU DESPESA],"Despesa",LANÇ_MOV[CONTAS],$C466,LANÇ_MOV[PLANO DE CONTAS],REL_DRE_FINANCEIRO!$B$445,LANÇ_MOV[ANO PAGAMENTO],$B$4,LANÇ_MOV[MÊS PAGAMENTO CORRESPONDENTE],D$6,LANÇ_MOV[EMPRESA],$C$4,LANÇ_MOV[CENTRO DE CUSTOS],$D$4)</f>
        <v>0</v>
      </c>
      <c r="E466" s="206">
        <f>SUMIFS(LANÇ_MOV[VALOR LÍQUIDO],LANÇ_MOV[RECEITA OU DESPESA],"Despesa",LANÇ_MOV[CONTAS],$C466,LANÇ_MOV[PLANO DE CONTAS],REL_DRE_FINANCEIRO!$B$445,LANÇ_MOV[ANO PAGAMENTO],$B$4,LANÇ_MOV[MÊS PAGAMENTO CORRESPONDENTE],E$6,LANÇ_MOV[EMPRESA],$C$4,LANÇ_MOV[CENTRO DE CUSTOS],$D$4)</f>
        <v>0</v>
      </c>
      <c r="F466" s="206">
        <f>SUMIFS(LANÇ_MOV[VALOR LÍQUIDO],LANÇ_MOV[RECEITA OU DESPESA],"Despesa",LANÇ_MOV[CONTAS],$C466,LANÇ_MOV[PLANO DE CONTAS],REL_DRE_FINANCEIRO!$B$445,LANÇ_MOV[ANO PAGAMENTO],$B$4,LANÇ_MOV[MÊS PAGAMENTO CORRESPONDENTE],F$6,LANÇ_MOV[EMPRESA],$C$4,LANÇ_MOV[CENTRO DE CUSTOS],$D$4)</f>
        <v>0</v>
      </c>
      <c r="G466" s="206">
        <f>SUMIFS(LANÇ_MOV[VALOR LÍQUIDO],LANÇ_MOV[RECEITA OU DESPESA],"Despesa",LANÇ_MOV[CONTAS],$C466,LANÇ_MOV[PLANO DE CONTAS],REL_DRE_FINANCEIRO!$B$445,LANÇ_MOV[ANO PAGAMENTO],$B$4,LANÇ_MOV[MÊS PAGAMENTO CORRESPONDENTE],G$6,LANÇ_MOV[EMPRESA],$C$4,LANÇ_MOV[CENTRO DE CUSTOS],$D$4)</f>
        <v>0</v>
      </c>
      <c r="H466" s="206">
        <f>SUMIFS(LANÇ_MOV[VALOR LÍQUIDO],LANÇ_MOV[RECEITA OU DESPESA],"Despesa",LANÇ_MOV[CONTAS],$C466,LANÇ_MOV[PLANO DE CONTAS],REL_DRE_FINANCEIRO!$B$445,LANÇ_MOV[ANO PAGAMENTO],$B$4,LANÇ_MOV[MÊS PAGAMENTO CORRESPONDENTE],H$6,LANÇ_MOV[EMPRESA],$C$4,LANÇ_MOV[CENTRO DE CUSTOS],$D$4)</f>
        <v>0</v>
      </c>
      <c r="I466" s="206">
        <f>SUMIFS(LANÇ_MOV[VALOR LÍQUIDO],LANÇ_MOV[RECEITA OU DESPESA],"Despesa",LANÇ_MOV[CONTAS],$C466,LANÇ_MOV[PLANO DE CONTAS],REL_DRE_FINANCEIRO!$B$445,LANÇ_MOV[ANO PAGAMENTO],$B$4,LANÇ_MOV[MÊS PAGAMENTO CORRESPONDENTE],I$6,LANÇ_MOV[EMPRESA],$C$4,LANÇ_MOV[CENTRO DE CUSTOS],$D$4)</f>
        <v>0</v>
      </c>
      <c r="J466" s="206">
        <f>SUMIFS(LANÇ_MOV[VALOR LÍQUIDO],LANÇ_MOV[RECEITA OU DESPESA],"Despesa",LANÇ_MOV[CONTAS],$C466,LANÇ_MOV[PLANO DE CONTAS],REL_DRE_FINANCEIRO!$B$445,LANÇ_MOV[ANO PAGAMENTO],$B$4,LANÇ_MOV[MÊS PAGAMENTO CORRESPONDENTE],J$6,LANÇ_MOV[EMPRESA],$C$4,LANÇ_MOV[CENTRO DE CUSTOS],$D$4)</f>
        <v>0</v>
      </c>
      <c r="K466" s="206">
        <f>SUMIFS(LANÇ_MOV[VALOR LÍQUIDO],LANÇ_MOV[RECEITA OU DESPESA],"Despesa",LANÇ_MOV[CONTAS],$C466,LANÇ_MOV[PLANO DE CONTAS],REL_DRE_FINANCEIRO!$B$445,LANÇ_MOV[ANO PAGAMENTO],$B$4,LANÇ_MOV[MÊS PAGAMENTO CORRESPONDENTE],K$6,LANÇ_MOV[EMPRESA],$C$4,LANÇ_MOV[CENTRO DE CUSTOS],$D$4)</f>
        <v>0</v>
      </c>
      <c r="L466" s="206">
        <f>SUMIFS(LANÇ_MOV[VALOR LÍQUIDO],LANÇ_MOV[RECEITA OU DESPESA],"Despesa",LANÇ_MOV[CONTAS],$C466,LANÇ_MOV[PLANO DE CONTAS],REL_DRE_FINANCEIRO!$B$445,LANÇ_MOV[ANO PAGAMENTO],$B$4,LANÇ_MOV[MÊS PAGAMENTO CORRESPONDENTE],L$6,LANÇ_MOV[EMPRESA],$C$4,LANÇ_MOV[CENTRO DE CUSTOS],$D$4)</f>
        <v>0</v>
      </c>
      <c r="M466" s="206">
        <f>SUMIFS(LANÇ_MOV[VALOR LÍQUIDO],LANÇ_MOV[RECEITA OU DESPESA],"Despesa",LANÇ_MOV[CONTAS],$C466,LANÇ_MOV[PLANO DE CONTAS],REL_DRE_FINANCEIRO!$B$445,LANÇ_MOV[ANO PAGAMENTO],$B$4,LANÇ_MOV[MÊS PAGAMENTO CORRESPONDENTE],M$6,LANÇ_MOV[EMPRESA],$C$4,LANÇ_MOV[CENTRO DE CUSTOS],$D$4)</f>
        <v>0</v>
      </c>
      <c r="N466" s="206">
        <f>SUMIFS(LANÇ_MOV[VALOR LÍQUIDO],LANÇ_MOV[RECEITA OU DESPESA],"Despesa",LANÇ_MOV[CONTAS],$C466,LANÇ_MOV[PLANO DE CONTAS],REL_DRE_FINANCEIRO!$B$445,LANÇ_MOV[ANO PAGAMENTO],$B$4,LANÇ_MOV[MÊS PAGAMENTO CORRESPONDENTE],N$6,LANÇ_MOV[EMPRESA],$C$4,LANÇ_MOV[CENTRO DE CUSTOS],$D$4)</f>
        <v>0</v>
      </c>
      <c r="O466" s="206">
        <f>SUMIFS(LANÇ_MOV[VALOR LÍQUIDO],LANÇ_MOV[RECEITA OU DESPESA],"Despesa",LANÇ_MOV[CONTAS],$C466,LANÇ_MOV[PLANO DE CONTAS],REL_DRE_FINANCEIRO!$B$445,LANÇ_MOV[ANO PAGAMENTO],$B$4,LANÇ_MOV[MÊS PAGAMENTO CORRESPONDENTE],O$6,LANÇ_MOV[EMPRESA],$C$4,LANÇ_MOV[CENTRO DE CUSTOS],$D$4)</f>
        <v>0</v>
      </c>
      <c r="P466" s="207">
        <f t="shared" si="65"/>
        <v>0</v>
      </c>
      <c r="Q466" s="329">
        <v>7.9999999999999996E-6</v>
      </c>
      <c r="R466" s="346">
        <f t="shared" si="67"/>
        <v>7.9999999999999996E-6</v>
      </c>
      <c r="S466" s="347" t="e">
        <f t="shared" si="68"/>
        <v>#REF!</v>
      </c>
      <c r="T466" s="347">
        <f t="shared" si="69"/>
        <v>0</v>
      </c>
      <c r="U466" s="347">
        <f>HLOOKUP(Apoio!$P$12,$D$444:$P$545,X466,FALSE)+Q466</f>
        <v>7.9999999999999996E-6</v>
      </c>
      <c r="V466" s="447" t="e">
        <f t="shared" si="66"/>
        <v>#REF!</v>
      </c>
      <c r="W466" s="448">
        <f>HLOOKUP(Apoio!$P$12,$D$444:$P$545,X466,FALSE)</f>
        <v>0</v>
      </c>
      <c r="X466" s="329">
        <v>23</v>
      </c>
    </row>
    <row r="467" spans="2:24" ht="30.05" customHeight="1" x14ac:dyDescent="0.35">
      <c r="B467" s="204" t="str">
        <f>'CAD_PL_REC-DESP'!T26</f>
        <v>2.4.22</v>
      </c>
      <c r="C467" s="205" t="e">
        <f>IF('CAD_PL_REC-DESP'!#REF!="","-",'CAD_PL_REC-DESP'!#REF!)</f>
        <v>#REF!</v>
      </c>
      <c r="D467" s="206">
        <f>SUMIFS(LANÇ_MOV[VALOR LÍQUIDO],LANÇ_MOV[RECEITA OU DESPESA],"Despesa",LANÇ_MOV[CONTAS],$C467,LANÇ_MOV[PLANO DE CONTAS],REL_DRE_FINANCEIRO!$B$445,LANÇ_MOV[ANO PAGAMENTO],$B$4,LANÇ_MOV[MÊS PAGAMENTO CORRESPONDENTE],D$6,LANÇ_MOV[EMPRESA],$C$4,LANÇ_MOV[CENTRO DE CUSTOS],$D$4)</f>
        <v>0</v>
      </c>
      <c r="E467" s="206">
        <f>SUMIFS(LANÇ_MOV[VALOR LÍQUIDO],LANÇ_MOV[RECEITA OU DESPESA],"Despesa",LANÇ_MOV[CONTAS],$C467,LANÇ_MOV[PLANO DE CONTAS],REL_DRE_FINANCEIRO!$B$445,LANÇ_MOV[ANO PAGAMENTO],$B$4,LANÇ_MOV[MÊS PAGAMENTO CORRESPONDENTE],E$6,LANÇ_MOV[EMPRESA],$C$4,LANÇ_MOV[CENTRO DE CUSTOS],$D$4)</f>
        <v>0</v>
      </c>
      <c r="F467" s="206">
        <f>SUMIFS(LANÇ_MOV[VALOR LÍQUIDO],LANÇ_MOV[RECEITA OU DESPESA],"Despesa",LANÇ_MOV[CONTAS],$C467,LANÇ_MOV[PLANO DE CONTAS],REL_DRE_FINANCEIRO!$B$445,LANÇ_MOV[ANO PAGAMENTO],$B$4,LANÇ_MOV[MÊS PAGAMENTO CORRESPONDENTE],F$6,LANÇ_MOV[EMPRESA],$C$4,LANÇ_MOV[CENTRO DE CUSTOS],$D$4)</f>
        <v>0</v>
      </c>
      <c r="G467" s="206">
        <f>SUMIFS(LANÇ_MOV[VALOR LÍQUIDO],LANÇ_MOV[RECEITA OU DESPESA],"Despesa",LANÇ_MOV[CONTAS],$C467,LANÇ_MOV[PLANO DE CONTAS],REL_DRE_FINANCEIRO!$B$445,LANÇ_MOV[ANO PAGAMENTO],$B$4,LANÇ_MOV[MÊS PAGAMENTO CORRESPONDENTE],G$6,LANÇ_MOV[EMPRESA],$C$4,LANÇ_MOV[CENTRO DE CUSTOS],$D$4)</f>
        <v>0</v>
      </c>
      <c r="H467" s="206">
        <f>SUMIFS(LANÇ_MOV[VALOR LÍQUIDO],LANÇ_MOV[RECEITA OU DESPESA],"Despesa",LANÇ_MOV[CONTAS],$C467,LANÇ_MOV[PLANO DE CONTAS],REL_DRE_FINANCEIRO!$B$445,LANÇ_MOV[ANO PAGAMENTO],$B$4,LANÇ_MOV[MÊS PAGAMENTO CORRESPONDENTE],H$6,LANÇ_MOV[EMPRESA],$C$4,LANÇ_MOV[CENTRO DE CUSTOS],$D$4)</f>
        <v>0</v>
      </c>
      <c r="I467" s="206">
        <f>SUMIFS(LANÇ_MOV[VALOR LÍQUIDO],LANÇ_MOV[RECEITA OU DESPESA],"Despesa",LANÇ_MOV[CONTAS],$C467,LANÇ_MOV[PLANO DE CONTAS],REL_DRE_FINANCEIRO!$B$445,LANÇ_MOV[ANO PAGAMENTO],$B$4,LANÇ_MOV[MÊS PAGAMENTO CORRESPONDENTE],I$6,LANÇ_MOV[EMPRESA],$C$4,LANÇ_MOV[CENTRO DE CUSTOS],$D$4)</f>
        <v>0</v>
      </c>
      <c r="J467" s="206">
        <f>SUMIFS(LANÇ_MOV[VALOR LÍQUIDO],LANÇ_MOV[RECEITA OU DESPESA],"Despesa",LANÇ_MOV[CONTAS],$C467,LANÇ_MOV[PLANO DE CONTAS],REL_DRE_FINANCEIRO!$B$445,LANÇ_MOV[ANO PAGAMENTO],$B$4,LANÇ_MOV[MÊS PAGAMENTO CORRESPONDENTE],J$6,LANÇ_MOV[EMPRESA],$C$4,LANÇ_MOV[CENTRO DE CUSTOS],$D$4)</f>
        <v>0</v>
      </c>
      <c r="K467" s="206">
        <f>SUMIFS(LANÇ_MOV[VALOR LÍQUIDO],LANÇ_MOV[RECEITA OU DESPESA],"Despesa",LANÇ_MOV[CONTAS],$C467,LANÇ_MOV[PLANO DE CONTAS],REL_DRE_FINANCEIRO!$B$445,LANÇ_MOV[ANO PAGAMENTO],$B$4,LANÇ_MOV[MÊS PAGAMENTO CORRESPONDENTE],K$6,LANÇ_MOV[EMPRESA],$C$4,LANÇ_MOV[CENTRO DE CUSTOS],$D$4)</f>
        <v>0</v>
      </c>
      <c r="L467" s="206">
        <f>SUMIFS(LANÇ_MOV[VALOR LÍQUIDO],LANÇ_MOV[RECEITA OU DESPESA],"Despesa",LANÇ_MOV[CONTAS],$C467,LANÇ_MOV[PLANO DE CONTAS],REL_DRE_FINANCEIRO!$B$445,LANÇ_MOV[ANO PAGAMENTO],$B$4,LANÇ_MOV[MÊS PAGAMENTO CORRESPONDENTE],L$6,LANÇ_MOV[EMPRESA],$C$4,LANÇ_MOV[CENTRO DE CUSTOS],$D$4)</f>
        <v>0</v>
      </c>
      <c r="M467" s="206">
        <f>SUMIFS(LANÇ_MOV[VALOR LÍQUIDO],LANÇ_MOV[RECEITA OU DESPESA],"Despesa",LANÇ_MOV[CONTAS],$C467,LANÇ_MOV[PLANO DE CONTAS],REL_DRE_FINANCEIRO!$B$445,LANÇ_MOV[ANO PAGAMENTO],$B$4,LANÇ_MOV[MÊS PAGAMENTO CORRESPONDENTE],M$6,LANÇ_MOV[EMPRESA],$C$4,LANÇ_MOV[CENTRO DE CUSTOS],$D$4)</f>
        <v>0</v>
      </c>
      <c r="N467" s="206">
        <f>SUMIFS(LANÇ_MOV[VALOR LÍQUIDO],LANÇ_MOV[RECEITA OU DESPESA],"Despesa",LANÇ_MOV[CONTAS],$C467,LANÇ_MOV[PLANO DE CONTAS],REL_DRE_FINANCEIRO!$B$445,LANÇ_MOV[ANO PAGAMENTO],$B$4,LANÇ_MOV[MÊS PAGAMENTO CORRESPONDENTE],N$6,LANÇ_MOV[EMPRESA],$C$4,LANÇ_MOV[CENTRO DE CUSTOS],$D$4)</f>
        <v>0</v>
      </c>
      <c r="O467" s="206">
        <f>SUMIFS(LANÇ_MOV[VALOR LÍQUIDO],LANÇ_MOV[RECEITA OU DESPESA],"Despesa",LANÇ_MOV[CONTAS],$C467,LANÇ_MOV[PLANO DE CONTAS],REL_DRE_FINANCEIRO!$B$445,LANÇ_MOV[ANO PAGAMENTO],$B$4,LANÇ_MOV[MÊS PAGAMENTO CORRESPONDENTE],O$6,LANÇ_MOV[EMPRESA],$C$4,LANÇ_MOV[CENTRO DE CUSTOS],$D$4)</f>
        <v>0</v>
      </c>
      <c r="P467" s="207">
        <f t="shared" si="65"/>
        <v>0</v>
      </c>
      <c r="Q467" s="329">
        <v>7.9000000000000006E-6</v>
      </c>
      <c r="R467" s="346">
        <f t="shared" si="67"/>
        <v>7.9000000000000006E-6</v>
      </c>
      <c r="S467" s="347" t="e">
        <f t="shared" si="68"/>
        <v>#REF!</v>
      </c>
      <c r="T467" s="347">
        <f t="shared" si="69"/>
        <v>0</v>
      </c>
      <c r="U467" s="347">
        <f>HLOOKUP(Apoio!$P$12,$D$444:$P$545,X467,FALSE)+Q467</f>
        <v>7.9000000000000006E-6</v>
      </c>
      <c r="V467" s="447" t="e">
        <f t="shared" si="66"/>
        <v>#REF!</v>
      </c>
      <c r="W467" s="448">
        <f>HLOOKUP(Apoio!$P$12,$D$444:$P$545,X467,FALSE)</f>
        <v>0</v>
      </c>
      <c r="X467" s="329">
        <v>24</v>
      </c>
    </row>
    <row r="468" spans="2:24" ht="30.05" customHeight="1" x14ac:dyDescent="0.35">
      <c r="B468" s="204" t="str">
        <f>'CAD_PL_REC-DESP'!T27</f>
        <v>2.4.23</v>
      </c>
      <c r="C468" s="205" t="e">
        <f>IF('CAD_PL_REC-DESP'!#REF!="","-",'CAD_PL_REC-DESP'!#REF!)</f>
        <v>#REF!</v>
      </c>
      <c r="D468" s="206">
        <f>SUMIFS(LANÇ_MOV[VALOR LÍQUIDO],LANÇ_MOV[RECEITA OU DESPESA],"Despesa",LANÇ_MOV[CONTAS],$C468,LANÇ_MOV[PLANO DE CONTAS],REL_DRE_FINANCEIRO!$B$445,LANÇ_MOV[ANO PAGAMENTO],$B$4,LANÇ_MOV[MÊS PAGAMENTO CORRESPONDENTE],D$6,LANÇ_MOV[EMPRESA],$C$4,LANÇ_MOV[CENTRO DE CUSTOS],$D$4)</f>
        <v>0</v>
      </c>
      <c r="E468" s="206">
        <f>SUMIFS(LANÇ_MOV[VALOR LÍQUIDO],LANÇ_MOV[RECEITA OU DESPESA],"Despesa",LANÇ_MOV[CONTAS],$C468,LANÇ_MOV[PLANO DE CONTAS],REL_DRE_FINANCEIRO!$B$445,LANÇ_MOV[ANO PAGAMENTO],$B$4,LANÇ_MOV[MÊS PAGAMENTO CORRESPONDENTE],E$6,LANÇ_MOV[EMPRESA],$C$4,LANÇ_MOV[CENTRO DE CUSTOS],$D$4)</f>
        <v>0</v>
      </c>
      <c r="F468" s="206">
        <f>SUMIFS(LANÇ_MOV[VALOR LÍQUIDO],LANÇ_MOV[RECEITA OU DESPESA],"Despesa",LANÇ_MOV[CONTAS],$C468,LANÇ_MOV[PLANO DE CONTAS],REL_DRE_FINANCEIRO!$B$445,LANÇ_MOV[ANO PAGAMENTO],$B$4,LANÇ_MOV[MÊS PAGAMENTO CORRESPONDENTE],F$6,LANÇ_MOV[EMPRESA],$C$4,LANÇ_MOV[CENTRO DE CUSTOS],$D$4)</f>
        <v>0</v>
      </c>
      <c r="G468" s="206">
        <f>SUMIFS(LANÇ_MOV[VALOR LÍQUIDO],LANÇ_MOV[RECEITA OU DESPESA],"Despesa",LANÇ_MOV[CONTAS],$C468,LANÇ_MOV[PLANO DE CONTAS],REL_DRE_FINANCEIRO!$B$445,LANÇ_MOV[ANO PAGAMENTO],$B$4,LANÇ_MOV[MÊS PAGAMENTO CORRESPONDENTE],G$6,LANÇ_MOV[EMPRESA],$C$4,LANÇ_MOV[CENTRO DE CUSTOS],$D$4)</f>
        <v>0</v>
      </c>
      <c r="H468" s="206">
        <f>SUMIFS(LANÇ_MOV[VALOR LÍQUIDO],LANÇ_MOV[RECEITA OU DESPESA],"Despesa",LANÇ_MOV[CONTAS],$C468,LANÇ_MOV[PLANO DE CONTAS],REL_DRE_FINANCEIRO!$B$445,LANÇ_MOV[ANO PAGAMENTO],$B$4,LANÇ_MOV[MÊS PAGAMENTO CORRESPONDENTE],H$6,LANÇ_MOV[EMPRESA],$C$4,LANÇ_MOV[CENTRO DE CUSTOS],$D$4)</f>
        <v>0</v>
      </c>
      <c r="I468" s="206">
        <f>SUMIFS(LANÇ_MOV[VALOR LÍQUIDO],LANÇ_MOV[RECEITA OU DESPESA],"Despesa",LANÇ_MOV[CONTAS],$C468,LANÇ_MOV[PLANO DE CONTAS],REL_DRE_FINANCEIRO!$B$445,LANÇ_MOV[ANO PAGAMENTO],$B$4,LANÇ_MOV[MÊS PAGAMENTO CORRESPONDENTE],I$6,LANÇ_MOV[EMPRESA],$C$4,LANÇ_MOV[CENTRO DE CUSTOS],$D$4)</f>
        <v>0</v>
      </c>
      <c r="J468" s="206">
        <f>SUMIFS(LANÇ_MOV[VALOR LÍQUIDO],LANÇ_MOV[RECEITA OU DESPESA],"Despesa",LANÇ_MOV[CONTAS],$C468,LANÇ_MOV[PLANO DE CONTAS],REL_DRE_FINANCEIRO!$B$445,LANÇ_MOV[ANO PAGAMENTO],$B$4,LANÇ_MOV[MÊS PAGAMENTO CORRESPONDENTE],J$6,LANÇ_MOV[EMPRESA],$C$4,LANÇ_MOV[CENTRO DE CUSTOS],$D$4)</f>
        <v>0</v>
      </c>
      <c r="K468" s="206">
        <f>SUMIFS(LANÇ_MOV[VALOR LÍQUIDO],LANÇ_MOV[RECEITA OU DESPESA],"Despesa",LANÇ_MOV[CONTAS],$C468,LANÇ_MOV[PLANO DE CONTAS],REL_DRE_FINANCEIRO!$B$445,LANÇ_MOV[ANO PAGAMENTO],$B$4,LANÇ_MOV[MÊS PAGAMENTO CORRESPONDENTE],K$6,LANÇ_MOV[EMPRESA],$C$4,LANÇ_MOV[CENTRO DE CUSTOS],$D$4)</f>
        <v>0</v>
      </c>
      <c r="L468" s="206">
        <f>SUMIFS(LANÇ_MOV[VALOR LÍQUIDO],LANÇ_MOV[RECEITA OU DESPESA],"Despesa",LANÇ_MOV[CONTAS],$C468,LANÇ_MOV[PLANO DE CONTAS],REL_DRE_FINANCEIRO!$B$445,LANÇ_MOV[ANO PAGAMENTO],$B$4,LANÇ_MOV[MÊS PAGAMENTO CORRESPONDENTE],L$6,LANÇ_MOV[EMPRESA],$C$4,LANÇ_MOV[CENTRO DE CUSTOS],$D$4)</f>
        <v>0</v>
      </c>
      <c r="M468" s="206">
        <f>SUMIFS(LANÇ_MOV[VALOR LÍQUIDO],LANÇ_MOV[RECEITA OU DESPESA],"Despesa",LANÇ_MOV[CONTAS],$C468,LANÇ_MOV[PLANO DE CONTAS],REL_DRE_FINANCEIRO!$B$445,LANÇ_MOV[ANO PAGAMENTO],$B$4,LANÇ_MOV[MÊS PAGAMENTO CORRESPONDENTE],M$6,LANÇ_MOV[EMPRESA],$C$4,LANÇ_MOV[CENTRO DE CUSTOS],$D$4)</f>
        <v>0</v>
      </c>
      <c r="N468" s="206">
        <f>SUMIFS(LANÇ_MOV[VALOR LÍQUIDO],LANÇ_MOV[RECEITA OU DESPESA],"Despesa",LANÇ_MOV[CONTAS],$C468,LANÇ_MOV[PLANO DE CONTAS],REL_DRE_FINANCEIRO!$B$445,LANÇ_MOV[ANO PAGAMENTO],$B$4,LANÇ_MOV[MÊS PAGAMENTO CORRESPONDENTE],N$6,LANÇ_MOV[EMPRESA],$C$4,LANÇ_MOV[CENTRO DE CUSTOS],$D$4)</f>
        <v>0</v>
      </c>
      <c r="O468" s="206">
        <f>SUMIFS(LANÇ_MOV[VALOR LÍQUIDO],LANÇ_MOV[RECEITA OU DESPESA],"Despesa",LANÇ_MOV[CONTAS],$C468,LANÇ_MOV[PLANO DE CONTAS],REL_DRE_FINANCEIRO!$B$445,LANÇ_MOV[ANO PAGAMENTO],$B$4,LANÇ_MOV[MÊS PAGAMENTO CORRESPONDENTE],O$6,LANÇ_MOV[EMPRESA],$C$4,LANÇ_MOV[CENTRO DE CUSTOS],$D$4)</f>
        <v>0</v>
      </c>
      <c r="P468" s="207">
        <f t="shared" si="65"/>
        <v>0</v>
      </c>
      <c r="Q468" s="329">
        <v>7.7999999999999999E-6</v>
      </c>
      <c r="R468" s="346">
        <f t="shared" si="67"/>
        <v>7.7999999999999999E-6</v>
      </c>
      <c r="S468" s="347" t="e">
        <f t="shared" si="68"/>
        <v>#REF!</v>
      </c>
      <c r="T468" s="347">
        <f t="shared" si="69"/>
        <v>0</v>
      </c>
      <c r="U468" s="347">
        <f>HLOOKUP(Apoio!$P$12,$D$444:$P$545,X468,FALSE)+Q468</f>
        <v>7.7999999999999999E-6</v>
      </c>
      <c r="V468" s="447" t="e">
        <f t="shared" si="66"/>
        <v>#REF!</v>
      </c>
      <c r="W468" s="448">
        <f>HLOOKUP(Apoio!$P$12,$D$444:$P$545,X468,FALSE)</f>
        <v>0</v>
      </c>
      <c r="X468" s="329">
        <v>25</v>
      </c>
    </row>
    <row r="469" spans="2:24" ht="30.05" customHeight="1" x14ac:dyDescent="0.35">
      <c r="B469" s="204" t="str">
        <f>'CAD_PL_REC-DESP'!T28</f>
        <v>2.4.24</v>
      </c>
      <c r="C469" s="205" t="e">
        <f>IF('CAD_PL_REC-DESP'!#REF!="","-",'CAD_PL_REC-DESP'!#REF!)</f>
        <v>#REF!</v>
      </c>
      <c r="D469" s="206">
        <f>SUMIFS(LANÇ_MOV[VALOR LÍQUIDO],LANÇ_MOV[RECEITA OU DESPESA],"Despesa",LANÇ_MOV[CONTAS],$C469,LANÇ_MOV[PLANO DE CONTAS],REL_DRE_FINANCEIRO!$B$445,LANÇ_MOV[ANO PAGAMENTO],$B$4,LANÇ_MOV[MÊS PAGAMENTO CORRESPONDENTE],D$6,LANÇ_MOV[EMPRESA],$C$4,LANÇ_MOV[CENTRO DE CUSTOS],$D$4)</f>
        <v>0</v>
      </c>
      <c r="E469" s="206">
        <f>SUMIFS(LANÇ_MOV[VALOR LÍQUIDO],LANÇ_MOV[RECEITA OU DESPESA],"Despesa",LANÇ_MOV[CONTAS],$C469,LANÇ_MOV[PLANO DE CONTAS],REL_DRE_FINANCEIRO!$B$445,LANÇ_MOV[ANO PAGAMENTO],$B$4,LANÇ_MOV[MÊS PAGAMENTO CORRESPONDENTE],E$6,LANÇ_MOV[EMPRESA],$C$4,LANÇ_MOV[CENTRO DE CUSTOS],$D$4)</f>
        <v>0</v>
      </c>
      <c r="F469" s="206">
        <f>SUMIFS(LANÇ_MOV[VALOR LÍQUIDO],LANÇ_MOV[RECEITA OU DESPESA],"Despesa",LANÇ_MOV[CONTAS],$C469,LANÇ_MOV[PLANO DE CONTAS],REL_DRE_FINANCEIRO!$B$445,LANÇ_MOV[ANO PAGAMENTO],$B$4,LANÇ_MOV[MÊS PAGAMENTO CORRESPONDENTE],F$6,LANÇ_MOV[EMPRESA],$C$4,LANÇ_MOV[CENTRO DE CUSTOS],$D$4)</f>
        <v>0</v>
      </c>
      <c r="G469" s="206">
        <f>SUMIFS(LANÇ_MOV[VALOR LÍQUIDO],LANÇ_MOV[RECEITA OU DESPESA],"Despesa",LANÇ_MOV[CONTAS],$C469,LANÇ_MOV[PLANO DE CONTAS],REL_DRE_FINANCEIRO!$B$445,LANÇ_MOV[ANO PAGAMENTO],$B$4,LANÇ_MOV[MÊS PAGAMENTO CORRESPONDENTE],G$6,LANÇ_MOV[EMPRESA],$C$4,LANÇ_MOV[CENTRO DE CUSTOS],$D$4)</f>
        <v>0</v>
      </c>
      <c r="H469" s="206">
        <f>SUMIFS(LANÇ_MOV[VALOR LÍQUIDO],LANÇ_MOV[RECEITA OU DESPESA],"Despesa",LANÇ_MOV[CONTAS],$C469,LANÇ_MOV[PLANO DE CONTAS],REL_DRE_FINANCEIRO!$B$445,LANÇ_MOV[ANO PAGAMENTO],$B$4,LANÇ_MOV[MÊS PAGAMENTO CORRESPONDENTE],H$6,LANÇ_MOV[EMPRESA],$C$4,LANÇ_MOV[CENTRO DE CUSTOS],$D$4)</f>
        <v>0</v>
      </c>
      <c r="I469" s="206">
        <f>SUMIFS(LANÇ_MOV[VALOR LÍQUIDO],LANÇ_MOV[RECEITA OU DESPESA],"Despesa",LANÇ_MOV[CONTAS],$C469,LANÇ_MOV[PLANO DE CONTAS],REL_DRE_FINANCEIRO!$B$445,LANÇ_MOV[ANO PAGAMENTO],$B$4,LANÇ_MOV[MÊS PAGAMENTO CORRESPONDENTE],I$6,LANÇ_MOV[EMPRESA],$C$4,LANÇ_MOV[CENTRO DE CUSTOS],$D$4)</f>
        <v>0</v>
      </c>
      <c r="J469" s="206">
        <f>SUMIFS(LANÇ_MOV[VALOR LÍQUIDO],LANÇ_MOV[RECEITA OU DESPESA],"Despesa",LANÇ_MOV[CONTAS],$C469,LANÇ_MOV[PLANO DE CONTAS],REL_DRE_FINANCEIRO!$B$445,LANÇ_MOV[ANO PAGAMENTO],$B$4,LANÇ_MOV[MÊS PAGAMENTO CORRESPONDENTE],J$6,LANÇ_MOV[EMPRESA],$C$4,LANÇ_MOV[CENTRO DE CUSTOS],$D$4)</f>
        <v>0</v>
      </c>
      <c r="K469" s="206">
        <f>SUMIFS(LANÇ_MOV[VALOR LÍQUIDO],LANÇ_MOV[RECEITA OU DESPESA],"Despesa",LANÇ_MOV[CONTAS],$C469,LANÇ_MOV[PLANO DE CONTAS],REL_DRE_FINANCEIRO!$B$445,LANÇ_MOV[ANO PAGAMENTO],$B$4,LANÇ_MOV[MÊS PAGAMENTO CORRESPONDENTE],K$6,LANÇ_MOV[EMPRESA],$C$4,LANÇ_MOV[CENTRO DE CUSTOS],$D$4)</f>
        <v>0</v>
      </c>
      <c r="L469" s="206">
        <f>SUMIFS(LANÇ_MOV[VALOR LÍQUIDO],LANÇ_MOV[RECEITA OU DESPESA],"Despesa",LANÇ_MOV[CONTAS],$C469,LANÇ_MOV[PLANO DE CONTAS],REL_DRE_FINANCEIRO!$B$445,LANÇ_MOV[ANO PAGAMENTO],$B$4,LANÇ_MOV[MÊS PAGAMENTO CORRESPONDENTE],L$6,LANÇ_MOV[EMPRESA],$C$4,LANÇ_MOV[CENTRO DE CUSTOS],$D$4)</f>
        <v>0</v>
      </c>
      <c r="M469" s="206">
        <f>SUMIFS(LANÇ_MOV[VALOR LÍQUIDO],LANÇ_MOV[RECEITA OU DESPESA],"Despesa",LANÇ_MOV[CONTAS],$C469,LANÇ_MOV[PLANO DE CONTAS],REL_DRE_FINANCEIRO!$B$445,LANÇ_MOV[ANO PAGAMENTO],$B$4,LANÇ_MOV[MÊS PAGAMENTO CORRESPONDENTE],M$6,LANÇ_MOV[EMPRESA],$C$4,LANÇ_MOV[CENTRO DE CUSTOS],$D$4)</f>
        <v>0</v>
      </c>
      <c r="N469" s="206">
        <f>SUMIFS(LANÇ_MOV[VALOR LÍQUIDO],LANÇ_MOV[RECEITA OU DESPESA],"Despesa",LANÇ_MOV[CONTAS],$C469,LANÇ_MOV[PLANO DE CONTAS],REL_DRE_FINANCEIRO!$B$445,LANÇ_MOV[ANO PAGAMENTO],$B$4,LANÇ_MOV[MÊS PAGAMENTO CORRESPONDENTE],N$6,LANÇ_MOV[EMPRESA],$C$4,LANÇ_MOV[CENTRO DE CUSTOS],$D$4)</f>
        <v>0</v>
      </c>
      <c r="O469" s="206">
        <f>SUMIFS(LANÇ_MOV[VALOR LÍQUIDO],LANÇ_MOV[RECEITA OU DESPESA],"Despesa",LANÇ_MOV[CONTAS],$C469,LANÇ_MOV[PLANO DE CONTAS],REL_DRE_FINANCEIRO!$B$445,LANÇ_MOV[ANO PAGAMENTO],$B$4,LANÇ_MOV[MÊS PAGAMENTO CORRESPONDENTE],O$6,LANÇ_MOV[EMPRESA],$C$4,LANÇ_MOV[CENTRO DE CUSTOS],$D$4)</f>
        <v>0</v>
      </c>
      <c r="P469" s="207">
        <f t="shared" si="65"/>
        <v>0</v>
      </c>
      <c r="Q469" s="329">
        <v>7.7000000000000008E-6</v>
      </c>
      <c r="R469" s="346">
        <f t="shared" si="67"/>
        <v>7.7000000000000008E-6</v>
      </c>
      <c r="S469" s="347" t="e">
        <f t="shared" si="68"/>
        <v>#REF!</v>
      </c>
      <c r="T469" s="347">
        <f t="shared" si="69"/>
        <v>0</v>
      </c>
      <c r="U469" s="347">
        <f>HLOOKUP(Apoio!$P$12,$D$444:$P$545,X469,FALSE)+Q469</f>
        <v>7.7000000000000008E-6</v>
      </c>
      <c r="V469" s="447" t="e">
        <f t="shared" si="66"/>
        <v>#REF!</v>
      </c>
      <c r="W469" s="448">
        <f>HLOOKUP(Apoio!$P$12,$D$444:$P$545,X469,FALSE)</f>
        <v>0</v>
      </c>
      <c r="X469" s="329">
        <v>26</v>
      </c>
    </row>
    <row r="470" spans="2:24" ht="30.05" customHeight="1" x14ac:dyDescent="0.35">
      <c r="B470" s="204" t="str">
        <f>'CAD_PL_REC-DESP'!T29</f>
        <v>2.4.25</v>
      </c>
      <c r="C470" s="205" t="e">
        <f>IF('CAD_PL_REC-DESP'!#REF!="","-",'CAD_PL_REC-DESP'!#REF!)</f>
        <v>#REF!</v>
      </c>
      <c r="D470" s="206">
        <f>SUMIFS(LANÇ_MOV[VALOR LÍQUIDO],LANÇ_MOV[RECEITA OU DESPESA],"Despesa",LANÇ_MOV[CONTAS],$C470,LANÇ_MOV[PLANO DE CONTAS],REL_DRE_FINANCEIRO!$B$445,LANÇ_MOV[ANO PAGAMENTO],$B$4,LANÇ_MOV[MÊS PAGAMENTO CORRESPONDENTE],D$6,LANÇ_MOV[EMPRESA],$C$4,LANÇ_MOV[CENTRO DE CUSTOS],$D$4)</f>
        <v>0</v>
      </c>
      <c r="E470" s="206">
        <f>SUMIFS(LANÇ_MOV[VALOR LÍQUIDO],LANÇ_MOV[RECEITA OU DESPESA],"Despesa",LANÇ_MOV[CONTAS],$C470,LANÇ_MOV[PLANO DE CONTAS],REL_DRE_FINANCEIRO!$B$445,LANÇ_MOV[ANO PAGAMENTO],$B$4,LANÇ_MOV[MÊS PAGAMENTO CORRESPONDENTE],E$6,LANÇ_MOV[EMPRESA],$C$4,LANÇ_MOV[CENTRO DE CUSTOS],$D$4)</f>
        <v>0</v>
      </c>
      <c r="F470" s="206">
        <f>SUMIFS(LANÇ_MOV[VALOR LÍQUIDO],LANÇ_MOV[RECEITA OU DESPESA],"Despesa",LANÇ_MOV[CONTAS],$C470,LANÇ_MOV[PLANO DE CONTAS],REL_DRE_FINANCEIRO!$B$445,LANÇ_MOV[ANO PAGAMENTO],$B$4,LANÇ_MOV[MÊS PAGAMENTO CORRESPONDENTE],F$6,LANÇ_MOV[EMPRESA],$C$4,LANÇ_MOV[CENTRO DE CUSTOS],$D$4)</f>
        <v>0</v>
      </c>
      <c r="G470" s="206">
        <f>SUMIFS(LANÇ_MOV[VALOR LÍQUIDO],LANÇ_MOV[RECEITA OU DESPESA],"Despesa",LANÇ_MOV[CONTAS],$C470,LANÇ_MOV[PLANO DE CONTAS],REL_DRE_FINANCEIRO!$B$445,LANÇ_MOV[ANO PAGAMENTO],$B$4,LANÇ_MOV[MÊS PAGAMENTO CORRESPONDENTE],G$6,LANÇ_MOV[EMPRESA],$C$4,LANÇ_MOV[CENTRO DE CUSTOS],$D$4)</f>
        <v>0</v>
      </c>
      <c r="H470" s="206">
        <f>SUMIFS(LANÇ_MOV[VALOR LÍQUIDO],LANÇ_MOV[RECEITA OU DESPESA],"Despesa",LANÇ_MOV[CONTAS],$C470,LANÇ_MOV[PLANO DE CONTAS],REL_DRE_FINANCEIRO!$B$445,LANÇ_MOV[ANO PAGAMENTO],$B$4,LANÇ_MOV[MÊS PAGAMENTO CORRESPONDENTE],H$6,LANÇ_MOV[EMPRESA],$C$4,LANÇ_MOV[CENTRO DE CUSTOS],$D$4)</f>
        <v>0</v>
      </c>
      <c r="I470" s="206">
        <f>SUMIFS(LANÇ_MOV[VALOR LÍQUIDO],LANÇ_MOV[RECEITA OU DESPESA],"Despesa",LANÇ_MOV[CONTAS],$C470,LANÇ_MOV[PLANO DE CONTAS],REL_DRE_FINANCEIRO!$B$445,LANÇ_MOV[ANO PAGAMENTO],$B$4,LANÇ_MOV[MÊS PAGAMENTO CORRESPONDENTE],I$6,LANÇ_MOV[EMPRESA],$C$4,LANÇ_MOV[CENTRO DE CUSTOS],$D$4)</f>
        <v>0</v>
      </c>
      <c r="J470" s="206">
        <f>SUMIFS(LANÇ_MOV[VALOR LÍQUIDO],LANÇ_MOV[RECEITA OU DESPESA],"Despesa",LANÇ_MOV[CONTAS],$C470,LANÇ_MOV[PLANO DE CONTAS],REL_DRE_FINANCEIRO!$B$445,LANÇ_MOV[ANO PAGAMENTO],$B$4,LANÇ_MOV[MÊS PAGAMENTO CORRESPONDENTE],J$6,LANÇ_MOV[EMPRESA],$C$4,LANÇ_MOV[CENTRO DE CUSTOS],$D$4)</f>
        <v>0</v>
      </c>
      <c r="K470" s="206">
        <f>SUMIFS(LANÇ_MOV[VALOR LÍQUIDO],LANÇ_MOV[RECEITA OU DESPESA],"Despesa",LANÇ_MOV[CONTAS],$C470,LANÇ_MOV[PLANO DE CONTAS],REL_DRE_FINANCEIRO!$B$445,LANÇ_MOV[ANO PAGAMENTO],$B$4,LANÇ_MOV[MÊS PAGAMENTO CORRESPONDENTE],K$6,LANÇ_MOV[EMPRESA],$C$4,LANÇ_MOV[CENTRO DE CUSTOS],$D$4)</f>
        <v>0</v>
      </c>
      <c r="L470" s="206">
        <f>SUMIFS(LANÇ_MOV[VALOR LÍQUIDO],LANÇ_MOV[RECEITA OU DESPESA],"Despesa",LANÇ_MOV[CONTAS],$C470,LANÇ_MOV[PLANO DE CONTAS],REL_DRE_FINANCEIRO!$B$445,LANÇ_MOV[ANO PAGAMENTO],$B$4,LANÇ_MOV[MÊS PAGAMENTO CORRESPONDENTE],L$6,LANÇ_MOV[EMPRESA],$C$4,LANÇ_MOV[CENTRO DE CUSTOS],$D$4)</f>
        <v>0</v>
      </c>
      <c r="M470" s="206">
        <f>SUMIFS(LANÇ_MOV[VALOR LÍQUIDO],LANÇ_MOV[RECEITA OU DESPESA],"Despesa",LANÇ_MOV[CONTAS],$C470,LANÇ_MOV[PLANO DE CONTAS],REL_DRE_FINANCEIRO!$B$445,LANÇ_MOV[ANO PAGAMENTO],$B$4,LANÇ_MOV[MÊS PAGAMENTO CORRESPONDENTE],M$6,LANÇ_MOV[EMPRESA],$C$4,LANÇ_MOV[CENTRO DE CUSTOS],$D$4)</f>
        <v>0</v>
      </c>
      <c r="N470" s="206">
        <f>SUMIFS(LANÇ_MOV[VALOR LÍQUIDO],LANÇ_MOV[RECEITA OU DESPESA],"Despesa",LANÇ_MOV[CONTAS],$C470,LANÇ_MOV[PLANO DE CONTAS],REL_DRE_FINANCEIRO!$B$445,LANÇ_MOV[ANO PAGAMENTO],$B$4,LANÇ_MOV[MÊS PAGAMENTO CORRESPONDENTE],N$6,LANÇ_MOV[EMPRESA],$C$4,LANÇ_MOV[CENTRO DE CUSTOS],$D$4)</f>
        <v>0</v>
      </c>
      <c r="O470" s="206">
        <f>SUMIFS(LANÇ_MOV[VALOR LÍQUIDO],LANÇ_MOV[RECEITA OU DESPESA],"Despesa",LANÇ_MOV[CONTAS],$C470,LANÇ_MOV[PLANO DE CONTAS],REL_DRE_FINANCEIRO!$B$445,LANÇ_MOV[ANO PAGAMENTO],$B$4,LANÇ_MOV[MÊS PAGAMENTO CORRESPONDENTE],O$6,LANÇ_MOV[EMPRESA],$C$4,LANÇ_MOV[CENTRO DE CUSTOS],$D$4)</f>
        <v>0</v>
      </c>
      <c r="P470" s="207">
        <f t="shared" si="65"/>
        <v>0</v>
      </c>
      <c r="Q470" s="329">
        <v>7.6000000000000001E-6</v>
      </c>
      <c r="R470" s="346">
        <f t="shared" si="67"/>
        <v>7.6000000000000001E-6</v>
      </c>
      <c r="S470" s="347" t="e">
        <f t="shared" si="68"/>
        <v>#REF!</v>
      </c>
      <c r="T470" s="347">
        <f t="shared" si="69"/>
        <v>0</v>
      </c>
      <c r="U470" s="347">
        <f>HLOOKUP(Apoio!$P$12,$D$444:$P$545,X470,FALSE)+Q470</f>
        <v>7.6000000000000001E-6</v>
      </c>
      <c r="V470" s="447" t="e">
        <f t="shared" si="66"/>
        <v>#REF!</v>
      </c>
      <c r="W470" s="448">
        <f>HLOOKUP(Apoio!$P$12,$D$444:$P$545,X470,FALSE)</f>
        <v>0</v>
      </c>
      <c r="X470" s="329">
        <v>27</v>
      </c>
    </row>
    <row r="471" spans="2:24" ht="30.05" customHeight="1" x14ac:dyDescent="0.35">
      <c r="B471" s="204" t="str">
        <f>'CAD_PL_REC-DESP'!T30</f>
        <v>2.4.26</v>
      </c>
      <c r="C471" s="205" t="e">
        <f>IF('CAD_PL_REC-DESP'!#REF!="","-",'CAD_PL_REC-DESP'!#REF!)</f>
        <v>#REF!</v>
      </c>
      <c r="D471" s="206">
        <f>SUMIFS(LANÇ_MOV[VALOR LÍQUIDO],LANÇ_MOV[RECEITA OU DESPESA],"Despesa",LANÇ_MOV[CONTAS],$C471,LANÇ_MOV[PLANO DE CONTAS],REL_DRE_FINANCEIRO!$B$445,LANÇ_MOV[ANO PAGAMENTO],$B$4,LANÇ_MOV[MÊS PAGAMENTO CORRESPONDENTE],D$6,LANÇ_MOV[EMPRESA],$C$4,LANÇ_MOV[CENTRO DE CUSTOS],$D$4)</f>
        <v>0</v>
      </c>
      <c r="E471" s="206">
        <f>SUMIFS(LANÇ_MOV[VALOR LÍQUIDO],LANÇ_MOV[RECEITA OU DESPESA],"Despesa",LANÇ_MOV[CONTAS],$C471,LANÇ_MOV[PLANO DE CONTAS],REL_DRE_FINANCEIRO!$B$445,LANÇ_MOV[ANO PAGAMENTO],$B$4,LANÇ_MOV[MÊS PAGAMENTO CORRESPONDENTE],E$6,LANÇ_MOV[EMPRESA],$C$4,LANÇ_MOV[CENTRO DE CUSTOS],$D$4)</f>
        <v>0</v>
      </c>
      <c r="F471" s="206">
        <f>SUMIFS(LANÇ_MOV[VALOR LÍQUIDO],LANÇ_MOV[RECEITA OU DESPESA],"Despesa",LANÇ_MOV[CONTAS],$C471,LANÇ_MOV[PLANO DE CONTAS],REL_DRE_FINANCEIRO!$B$445,LANÇ_MOV[ANO PAGAMENTO],$B$4,LANÇ_MOV[MÊS PAGAMENTO CORRESPONDENTE],F$6,LANÇ_MOV[EMPRESA],$C$4,LANÇ_MOV[CENTRO DE CUSTOS],$D$4)</f>
        <v>0</v>
      </c>
      <c r="G471" s="206">
        <f>SUMIFS(LANÇ_MOV[VALOR LÍQUIDO],LANÇ_MOV[RECEITA OU DESPESA],"Despesa",LANÇ_MOV[CONTAS],$C471,LANÇ_MOV[PLANO DE CONTAS],REL_DRE_FINANCEIRO!$B$445,LANÇ_MOV[ANO PAGAMENTO],$B$4,LANÇ_MOV[MÊS PAGAMENTO CORRESPONDENTE],G$6,LANÇ_MOV[EMPRESA],$C$4,LANÇ_MOV[CENTRO DE CUSTOS],$D$4)</f>
        <v>0</v>
      </c>
      <c r="H471" s="206">
        <f>SUMIFS(LANÇ_MOV[VALOR LÍQUIDO],LANÇ_MOV[RECEITA OU DESPESA],"Despesa",LANÇ_MOV[CONTAS],$C471,LANÇ_MOV[PLANO DE CONTAS],REL_DRE_FINANCEIRO!$B$445,LANÇ_MOV[ANO PAGAMENTO],$B$4,LANÇ_MOV[MÊS PAGAMENTO CORRESPONDENTE],H$6,LANÇ_MOV[EMPRESA],$C$4,LANÇ_MOV[CENTRO DE CUSTOS],$D$4)</f>
        <v>0</v>
      </c>
      <c r="I471" s="206">
        <f>SUMIFS(LANÇ_MOV[VALOR LÍQUIDO],LANÇ_MOV[RECEITA OU DESPESA],"Despesa",LANÇ_MOV[CONTAS],$C471,LANÇ_MOV[PLANO DE CONTAS],REL_DRE_FINANCEIRO!$B$445,LANÇ_MOV[ANO PAGAMENTO],$B$4,LANÇ_MOV[MÊS PAGAMENTO CORRESPONDENTE],I$6,LANÇ_MOV[EMPRESA],$C$4,LANÇ_MOV[CENTRO DE CUSTOS],$D$4)</f>
        <v>0</v>
      </c>
      <c r="J471" s="206">
        <f>SUMIFS(LANÇ_MOV[VALOR LÍQUIDO],LANÇ_MOV[RECEITA OU DESPESA],"Despesa",LANÇ_MOV[CONTAS],$C471,LANÇ_MOV[PLANO DE CONTAS],REL_DRE_FINANCEIRO!$B$445,LANÇ_MOV[ANO PAGAMENTO],$B$4,LANÇ_MOV[MÊS PAGAMENTO CORRESPONDENTE],J$6,LANÇ_MOV[EMPRESA],$C$4,LANÇ_MOV[CENTRO DE CUSTOS],$D$4)</f>
        <v>0</v>
      </c>
      <c r="K471" s="206">
        <f>SUMIFS(LANÇ_MOV[VALOR LÍQUIDO],LANÇ_MOV[RECEITA OU DESPESA],"Despesa",LANÇ_MOV[CONTAS],$C471,LANÇ_MOV[PLANO DE CONTAS],REL_DRE_FINANCEIRO!$B$445,LANÇ_MOV[ANO PAGAMENTO],$B$4,LANÇ_MOV[MÊS PAGAMENTO CORRESPONDENTE],K$6,LANÇ_MOV[EMPRESA],$C$4,LANÇ_MOV[CENTRO DE CUSTOS],$D$4)</f>
        <v>0</v>
      </c>
      <c r="L471" s="206">
        <f>SUMIFS(LANÇ_MOV[VALOR LÍQUIDO],LANÇ_MOV[RECEITA OU DESPESA],"Despesa",LANÇ_MOV[CONTAS],$C471,LANÇ_MOV[PLANO DE CONTAS],REL_DRE_FINANCEIRO!$B$445,LANÇ_MOV[ANO PAGAMENTO],$B$4,LANÇ_MOV[MÊS PAGAMENTO CORRESPONDENTE],L$6,LANÇ_MOV[EMPRESA],$C$4,LANÇ_MOV[CENTRO DE CUSTOS],$D$4)</f>
        <v>0</v>
      </c>
      <c r="M471" s="206">
        <f>SUMIFS(LANÇ_MOV[VALOR LÍQUIDO],LANÇ_MOV[RECEITA OU DESPESA],"Despesa",LANÇ_MOV[CONTAS],$C471,LANÇ_MOV[PLANO DE CONTAS],REL_DRE_FINANCEIRO!$B$445,LANÇ_MOV[ANO PAGAMENTO],$B$4,LANÇ_MOV[MÊS PAGAMENTO CORRESPONDENTE],M$6,LANÇ_MOV[EMPRESA],$C$4,LANÇ_MOV[CENTRO DE CUSTOS],$D$4)</f>
        <v>0</v>
      </c>
      <c r="N471" s="206">
        <f>SUMIFS(LANÇ_MOV[VALOR LÍQUIDO],LANÇ_MOV[RECEITA OU DESPESA],"Despesa",LANÇ_MOV[CONTAS],$C471,LANÇ_MOV[PLANO DE CONTAS],REL_DRE_FINANCEIRO!$B$445,LANÇ_MOV[ANO PAGAMENTO],$B$4,LANÇ_MOV[MÊS PAGAMENTO CORRESPONDENTE],N$6,LANÇ_MOV[EMPRESA],$C$4,LANÇ_MOV[CENTRO DE CUSTOS],$D$4)</f>
        <v>0</v>
      </c>
      <c r="O471" s="206">
        <f>SUMIFS(LANÇ_MOV[VALOR LÍQUIDO],LANÇ_MOV[RECEITA OU DESPESA],"Despesa",LANÇ_MOV[CONTAS],$C471,LANÇ_MOV[PLANO DE CONTAS],REL_DRE_FINANCEIRO!$B$445,LANÇ_MOV[ANO PAGAMENTO],$B$4,LANÇ_MOV[MÊS PAGAMENTO CORRESPONDENTE],O$6,LANÇ_MOV[EMPRESA],$C$4,LANÇ_MOV[CENTRO DE CUSTOS],$D$4)</f>
        <v>0</v>
      </c>
      <c r="P471" s="207">
        <f t="shared" si="65"/>
        <v>0</v>
      </c>
      <c r="Q471" s="329">
        <v>7.5000000000000002E-6</v>
      </c>
      <c r="R471" s="346">
        <f t="shared" si="67"/>
        <v>7.5000000000000002E-6</v>
      </c>
      <c r="S471" s="347" t="e">
        <f t="shared" si="68"/>
        <v>#REF!</v>
      </c>
      <c r="T471" s="347">
        <f t="shared" si="69"/>
        <v>0</v>
      </c>
      <c r="U471" s="347">
        <f>HLOOKUP(Apoio!$P$12,$D$444:$P$545,X471,FALSE)+Q471</f>
        <v>7.5000000000000002E-6</v>
      </c>
      <c r="V471" s="447" t="e">
        <f t="shared" si="66"/>
        <v>#REF!</v>
      </c>
      <c r="W471" s="448">
        <f>HLOOKUP(Apoio!$P$12,$D$444:$P$545,X471,FALSE)</f>
        <v>0</v>
      </c>
      <c r="X471" s="329">
        <v>28</v>
      </c>
    </row>
    <row r="472" spans="2:24" ht="30.05" customHeight="1" x14ac:dyDescent="0.35">
      <c r="B472" s="204" t="str">
        <f>'CAD_PL_REC-DESP'!T31</f>
        <v>2.4.27</v>
      </c>
      <c r="C472" s="205" t="e">
        <f>IF('CAD_PL_REC-DESP'!#REF!="","-",'CAD_PL_REC-DESP'!#REF!)</f>
        <v>#REF!</v>
      </c>
      <c r="D472" s="206">
        <f>SUMIFS(LANÇ_MOV[VALOR LÍQUIDO],LANÇ_MOV[RECEITA OU DESPESA],"Despesa",LANÇ_MOV[CONTAS],$C472,LANÇ_MOV[PLANO DE CONTAS],REL_DRE_FINANCEIRO!$B$445,LANÇ_MOV[ANO PAGAMENTO],$B$4,LANÇ_MOV[MÊS PAGAMENTO CORRESPONDENTE],D$6,LANÇ_MOV[EMPRESA],$C$4,LANÇ_MOV[CENTRO DE CUSTOS],$D$4)</f>
        <v>0</v>
      </c>
      <c r="E472" s="206">
        <f>SUMIFS(LANÇ_MOV[VALOR LÍQUIDO],LANÇ_MOV[RECEITA OU DESPESA],"Despesa",LANÇ_MOV[CONTAS],$C472,LANÇ_MOV[PLANO DE CONTAS],REL_DRE_FINANCEIRO!$B$445,LANÇ_MOV[ANO PAGAMENTO],$B$4,LANÇ_MOV[MÊS PAGAMENTO CORRESPONDENTE],E$6,LANÇ_MOV[EMPRESA],$C$4,LANÇ_MOV[CENTRO DE CUSTOS],$D$4)</f>
        <v>0</v>
      </c>
      <c r="F472" s="206">
        <f>SUMIFS(LANÇ_MOV[VALOR LÍQUIDO],LANÇ_MOV[RECEITA OU DESPESA],"Despesa",LANÇ_MOV[CONTAS],$C472,LANÇ_MOV[PLANO DE CONTAS],REL_DRE_FINANCEIRO!$B$445,LANÇ_MOV[ANO PAGAMENTO],$B$4,LANÇ_MOV[MÊS PAGAMENTO CORRESPONDENTE],F$6,LANÇ_MOV[EMPRESA],$C$4,LANÇ_MOV[CENTRO DE CUSTOS],$D$4)</f>
        <v>0</v>
      </c>
      <c r="G472" s="206">
        <f>SUMIFS(LANÇ_MOV[VALOR LÍQUIDO],LANÇ_MOV[RECEITA OU DESPESA],"Despesa",LANÇ_MOV[CONTAS],$C472,LANÇ_MOV[PLANO DE CONTAS],REL_DRE_FINANCEIRO!$B$445,LANÇ_MOV[ANO PAGAMENTO],$B$4,LANÇ_MOV[MÊS PAGAMENTO CORRESPONDENTE],G$6,LANÇ_MOV[EMPRESA],$C$4,LANÇ_MOV[CENTRO DE CUSTOS],$D$4)</f>
        <v>0</v>
      </c>
      <c r="H472" s="206">
        <f>SUMIFS(LANÇ_MOV[VALOR LÍQUIDO],LANÇ_MOV[RECEITA OU DESPESA],"Despesa",LANÇ_MOV[CONTAS],$C472,LANÇ_MOV[PLANO DE CONTAS],REL_DRE_FINANCEIRO!$B$445,LANÇ_MOV[ANO PAGAMENTO],$B$4,LANÇ_MOV[MÊS PAGAMENTO CORRESPONDENTE],H$6,LANÇ_MOV[EMPRESA],$C$4,LANÇ_MOV[CENTRO DE CUSTOS],$D$4)</f>
        <v>0</v>
      </c>
      <c r="I472" s="206">
        <f>SUMIFS(LANÇ_MOV[VALOR LÍQUIDO],LANÇ_MOV[RECEITA OU DESPESA],"Despesa",LANÇ_MOV[CONTAS],$C472,LANÇ_MOV[PLANO DE CONTAS],REL_DRE_FINANCEIRO!$B$445,LANÇ_MOV[ANO PAGAMENTO],$B$4,LANÇ_MOV[MÊS PAGAMENTO CORRESPONDENTE],I$6,LANÇ_MOV[EMPRESA],$C$4,LANÇ_MOV[CENTRO DE CUSTOS],$D$4)</f>
        <v>0</v>
      </c>
      <c r="J472" s="206">
        <f>SUMIFS(LANÇ_MOV[VALOR LÍQUIDO],LANÇ_MOV[RECEITA OU DESPESA],"Despesa",LANÇ_MOV[CONTAS],$C472,LANÇ_MOV[PLANO DE CONTAS],REL_DRE_FINANCEIRO!$B$445,LANÇ_MOV[ANO PAGAMENTO],$B$4,LANÇ_MOV[MÊS PAGAMENTO CORRESPONDENTE],J$6,LANÇ_MOV[EMPRESA],$C$4,LANÇ_MOV[CENTRO DE CUSTOS],$D$4)</f>
        <v>0</v>
      </c>
      <c r="K472" s="206">
        <f>SUMIFS(LANÇ_MOV[VALOR LÍQUIDO],LANÇ_MOV[RECEITA OU DESPESA],"Despesa",LANÇ_MOV[CONTAS],$C472,LANÇ_MOV[PLANO DE CONTAS],REL_DRE_FINANCEIRO!$B$445,LANÇ_MOV[ANO PAGAMENTO],$B$4,LANÇ_MOV[MÊS PAGAMENTO CORRESPONDENTE],K$6,LANÇ_MOV[EMPRESA],$C$4,LANÇ_MOV[CENTRO DE CUSTOS],$D$4)</f>
        <v>0</v>
      </c>
      <c r="L472" s="206">
        <f>SUMIFS(LANÇ_MOV[VALOR LÍQUIDO],LANÇ_MOV[RECEITA OU DESPESA],"Despesa",LANÇ_MOV[CONTAS],$C472,LANÇ_MOV[PLANO DE CONTAS],REL_DRE_FINANCEIRO!$B$445,LANÇ_MOV[ANO PAGAMENTO],$B$4,LANÇ_MOV[MÊS PAGAMENTO CORRESPONDENTE],L$6,LANÇ_MOV[EMPRESA],$C$4,LANÇ_MOV[CENTRO DE CUSTOS],$D$4)</f>
        <v>0</v>
      </c>
      <c r="M472" s="206">
        <f>SUMIFS(LANÇ_MOV[VALOR LÍQUIDO],LANÇ_MOV[RECEITA OU DESPESA],"Despesa",LANÇ_MOV[CONTAS],$C472,LANÇ_MOV[PLANO DE CONTAS],REL_DRE_FINANCEIRO!$B$445,LANÇ_MOV[ANO PAGAMENTO],$B$4,LANÇ_MOV[MÊS PAGAMENTO CORRESPONDENTE],M$6,LANÇ_MOV[EMPRESA],$C$4,LANÇ_MOV[CENTRO DE CUSTOS],$D$4)</f>
        <v>0</v>
      </c>
      <c r="N472" s="206">
        <f>SUMIFS(LANÇ_MOV[VALOR LÍQUIDO],LANÇ_MOV[RECEITA OU DESPESA],"Despesa",LANÇ_MOV[CONTAS],$C472,LANÇ_MOV[PLANO DE CONTAS],REL_DRE_FINANCEIRO!$B$445,LANÇ_MOV[ANO PAGAMENTO],$B$4,LANÇ_MOV[MÊS PAGAMENTO CORRESPONDENTE],N$6,LANÇ_MOV[EMPRESA],$C$4,LANÇ_MOV[CENTRO DE CUSTOS],$D$4)</f>
        <v>0</v>
      </c>
      <c r="O472" s="206">
        <f>SUMIFS(LANÇ_MOV[VALOR LÍQUIDO],LANÇ_MOV[RECEITA OU DESPESA],"Despesa",LANÇ_MOV[CONTAS],$C472,LANÇ_MOV[PLANO DE CONTAS],REL_DRE_FINANCEIRO!$B$445,LANÇ_MOV[ANO PAGAMENTO],$B$4,LANÇ_MOV[MÊS PAGAMENTO CORRESPONDENTE],O$6,LANÇ_MOV[EMPRESA],$C$4,LANÇ_MOV[CENTRO DE CUSTOS],$D$4)</f>
        <v>0</v>
      </c>
      <c r="P472" s="207">
        <f t="shared" si="65"/>
        <v>0</v>
      </c>
      <c r="Q472" s="329">
        <v>7.4000000000000003E-6</v>
      </c>
      <c r="R472" s="346">
        <f t="shared" si="67"/>
        <v>7.4000000000000003E-6</v>
      </c>
      <c r="S472" s="347" t="e">
        <f t="shared" si="68"/>
        <v>#REF!</v>
      </c>
      <c r="T472" s="347">
        <f t="shared" si="69"/>
        <v>0</v>
      </c>
      <c r="U472" s="347">
        <f>HLOOKUP(Apoio!$P$12,$D$444:$P$545,X472,FALSE)+Q472</f>
        <v>7.4000000000000003E-6</v>
      </c>
      <c r="V472" s="447" t="e">
        <f t="shared" si="66"/>
        <v>#REF!</v>
      </c>
      <c r="W472" s="448">
        <f>HLOOKUP(Apoio!$P$12,$D$444:$P$545,X472,FALSE)</f>
        <v>0</v>
      </c>
      <c r="X472" s="329">
        <v>29</v>
      </c>
    </row>
    <row r="473" spans="2:24" ht="30.05" customHeight="1" x14ac:dyDescent="0.35">
      <c r="B473" s="204" t="str">
        <f>'CAD_PL_REC-DESP'!T32</f>
        <v>2.4.28</v>
      </c>
      <c r="C473" s="205" t="str">
        <f>IF('CAD_PL_REC-DESP'!U32="","-",'CAD_PL_REC-DESP'!U32)</f>
        <v>RESCISÃO</v>
      </c>
      <c r="D473" s="206">
        <f>SUMIFS(LANÇ_MOV[VALOR LÍQUIDO],LANÇ_MOV[RECEITA OU DESPESA],"Despesa",LANÇ_MOV[CONTAS],$C473,LANÇ_MOV[PLANO DE CONTAS],REL_DRE_FINANCEIRO!$B$445,LANÇ_MOV[ANO PAGAMENTO],$B$4,LANÇ_MOV[MÊS PAGAMENTO CORRESPONDENTE],D$6,LANÇ_MOV[EMPRESA],$C$4,LANÇ_MOV[CENTRO DE CUSTOS],$D$4)</f>
        <v>0</v>
      </c>
      <c r="E473" s="206">
        <f>SUMIFS(LANÇ_MOV[VALOR LÍQUIDO],LANÇ_MOV[RECEITA OU DESPESA],"Despesa",LANÇ_MOV[CONTAS],$C473,LANÇ_MOV[PLANO DE CONTAS],REL_DRE_FINANCEIRO!$B$445,LANÇ_MOV[ANO PAGAMENTO],$B$4,LANÇ_MOV[MÊS PAGAMENTO CORRESPONDENTE],E$6,LANÇ_MOV[EMPRESA],$C$4,LANÇ_MOV[CENTRO DE CUSTOS],$D$4)</f>
        <v>0</v>
      </c>
      <c r="F473" s="206">
        <f>SUMIFS(LANÇ_MOV[VALOR LÍQUIDO],LANÇ_MOV[RECEITA OU DESPESA],"Despesa",LANÇ_MOV[CONTAS],$C473,LANÇ_MOV[PLANO DE CONTAS],REL_DRE_FINANCEIRO!$B$445,LANÇ_MOV[ANO PAGAMENTO],$B$4,LANÇ_MOV[MÊS PAGAMENTO CORRESPONDENTE],F$6,LANÇ_MOV[EMPRESA],$C$4,LANÇ_MOV[CENTRO DE CUSTOS],$D$4)</f>
        <v>0</v>
      </c>
      <c r="G473" s="206">
        <f>SUMIFS(LANÇ_MOV[VALOR LÍQUIDO],LANÇ_MOV[RECEITA OU DESPESA],"Despesa",LANÇ_MOV[CONTAS],$C473,LANÇ_MOV[PLANO DE CONTAS],REL_DRE_FINANCEIRO!$B$445,LANÇ_MOV[ANO PAGAMENTO],$B$4,LANÇ_MOV[MÊS PAGAMENTO CORRESPONDENTE],G$6,LANÇ_MOV[EMPRESA],$C$4,LANÇ_MOV[CENTRO DE CUSTOS],$D$4)</f>
        <v>0</v>
      </c>
      <c r="H473" s="206">
        <f>SUMIFS(LANÇ_MOV[VALOR LÍQUIDO],LANÇ_MOV[RECEITA OU DESPESA],"Despesa",LANÇ_MOV[CONTAS],$C473,LANÇ_MOV[PLANO DE CONTAS],REL_DRE_FINANCEIRO!$B$445,LANÇ_MOV[ANO PAGAMENTO],$B$4,LANÇ_MOV[MÊS PAGAMENTO CORRESPONDENTE],H$6,LANÇ_MOV[EMPRESA],$C$4,LANÇ_MOV[CENTRO DE CUSTOS],$D$4)</f>
        <v>0</v>
      </c>
      <c r="I473" s="206">
        <f>SUMIFS(LANÇ_MOV[VALOR LÍQUIDO],LANÇ_MOV[RECEITA OU DESPESA],"Despesa",LANÇ_MOV[CONTAS],$C473,LANÇ_MOV[PLANO DE CONTAS],REL_DRE_FINANCEIRO!$B$445,LANÇ_MOV[ANO PAGAMENTO],$B$4,LANÇ_MOV[MÊS PAGAMENTO CORRESPONDENTE],I$6,LANÇ_MOV[EMPRESA],$C$4,LANÇ_MOV[CENTRO DE CUSTOS],$D$4)</f>
        <v>0</v>
      </c>
      <c r="J473" s="206">
        <f>SUMIFS(LANÇ_MOV[VALOR LÍQUIDO],LANÇ_MOV[RECEITA OU DESPESA],"Despesa",LANÇ_MOV[CONTAS],$C473,LANÇ_MOV[PLANO DE CONTAS],REL_DRE_FINANCEIRO!$B$445,LANÇ_MOV[ANO PAGAMENTO],$B$4,LANÇ_MOV[MÊS PAGAMENTO CORRESPONDENTE],J$6,LANÇ_MOV[EMPRESA],$C$4,LANÇ_MOV[CENTRO DE CUSTOS],$D$4)</f>
        <v>0</v>
      </c>
      <c r="K473" s="206">
        <f>SUMIFS(LANÇ_MOV[VALOR LÍQUIDO],LANÇ_MOV[RECEITA OU DESPESA],"Despesa",LANÇ_MOV[CONTAS],$C473,LANÇ_MOV[PLANO DE CONTAS],REL_DRE_FINANCEIRO!$B$445,LANÇ_MOV[ANO PAGAMENTO],$B$4,LANÇ_MOV[MÊS PAGAMENTO CORRESPONDENTE],K$6,LANÇ_MOV[EMPRESA],$C$4,LANÇ_MOV[CENTRO DE CUSTOS],$D$4)</f>
        <v>0</v>
      </c>
      <c r="L473" s="206">
        <f>SUMIFS(LANÇ_MOV[VALOR LÍQUIDO],LANÇ_MOV[RECEITA OU DESPESA],"Despesa",LANÇ_MOV[CONTAS],$C473,LANÇ_MOV[PLANO DE CONTAS],REL_DRE_FINANCEIRO!$B$445,LANÇ_MOV[ANO PAGAMENTO],$B$4,LANÇ_MOV[MÊS PAGAMENTO CORRESPONDENTE],L$6,LANÇ_MOV[EMPRESA],$C$4,LANÇ_MOV[CENTRO DE CUSTOS],$D$4)</f>
        <v>0</v>
      </c>
      <c r="M473" s="206">
        <f>SUMIFS(LANÇ_MOV[VALOR LÍQUIDO],LANÇ_MOV[RECEITA OU DESPESA],"Despesa",LANÇ_MOV[CONTAS],$C473,LANÇ_MOV[PLANO DE CONTAS],REL_DRE_FINANCEIRO!$B$445,LANÇ_MOV[ANO PAGAMENTO],$B$4,LANÇ_MOV[MÊS PAGAMENTO CORRESPONDENTE],M$6,LANÇ_MOV[EMPRESA],$C$4,LANÇ_MOV[CENTRO DE CUSTOS],$D$4)</f>
        <v>0</v>
      </c>
      <c r="N473" s="206">
        <f>SUMIFS(LANÇ_MOV[VALOR LÍQUIDO],LANÇ_MOV[RECEITA OU DESPESA],"Despesa",LANÇ_MOV[CONTAS],$C473,LANÇ_MOV[PLANO DE CONTAS],REL_DRE_FINANCEIRO!$B$445,LANÇ_MOV[ANO PAGAMENTO],$B$4,LANÇ_MOV[MÊS PAGAMENTO CORRESPONDENTE],N$6,LANÇ_MOV[EMPRESA],$C$4,LANÇ_MOV[CENTRO DE CUSTOS],$D$4)</f>
        <v>0</v>
      </c>
      <c r="O473" s="206">
        <f>SUMIFS(LANÇ_MOV[VALOR LÍQUIDO],LANÇ_MOV[RECEITA OU DESPESA],"Despesa",LANÇ_MOV[CONTAS],$C473,LANÇ_MOV[PLANO DE CONTAS],REL_DRE_FINANCEIRO!$B$445,LANÇ_MOV[ANO PAGAMENTO],$B$4,LANÇ_MOV[MÊS PAGAMENTO CORRESPONDENTE],O$6,LANÇ_MOV[EMPRESA],$C$4,LANÇ_MOV[CENTRO DE CUSTOS],$D$4)</f>
        <v>0</v>
      </c>
      <c r="P473" s="207">
        <f t="shared" si="65"/>
        <v>0</v>
      </c>
      <c r="Q473" s="329">
        <v>7.3000000000000004E-6</v>
      </c>
      <c r="R473" s="346">
        <f t="shared" si="67"/>
        <v>7.3000000000000004E-6</v>
      </c>
      <c r="S473" s="347" t="str">
        <f t="shared" si="68"/>
        <v>RESCISÃO</v>
      </c>
      <c r="T473" s="347">
        <f t="shared" si="69"/>
        <v>0</v>
      </c>
      <c r="U473" s="347">
        <f>HLOOKUP(Apoio!$P$12,$D$444:$P$545,X473,FALSE)+Q473</f>
        <v>7.3000000000000004E-6</v>
      </c>
      <c r="V473" s="447" t="str">
        <f t="shared" si="66"/>
        <v>RESCISÃO</v>
      </c>
      <c r="W473" s="448">
        <f>HLOOKUP(Apoio!$P$12,$D$444:$P$545,X473,FALSE)</f>
        <v>0</v>
      </c>
      <c r="X473" s="329">
        <v>30</v>
      </c>
    </row>
    <row r="474" spans="2:24" ht="30.05" customHeight="1" x14ac:dyDescent="0.35">
      <c r="B474" s="204" t="str">
        <f>'CAD_PL_REC-DESP'!T33</f>
        <v>2.4.29</v>
      </c>
      <c r="C474" s="205" t="str">
        <f>IF('CAD_PL_REC-DESP'!U33="","-",'CAD_PL_REC-DESP'!U33)</f>
        <v>SALÁRIOS</v>
      </c>
      <c r="D474" s="206">
        <f>SUMIFS(LANÇ_MOV[VALOR LÍQUIDO],LANÇ_MOV[RECEITA OU DESPESA],"Despesa",LANÇ_MOV[CONTAS],$C474,LANÇ_MOV[PLANO DE CONTAS],REL_DRE_FINANCEIRO!$B$445,LANÇ_MOV[ANO PAGAMENTO],$B$4,LANÇ_MOV[MÊS PAGAMENTO CORRESPONDENTE],D$6,LANÇ_MOV[EMPRESA],$C$4,LANÇ_MOV[CENTRO DE CUSTOS],$D$4)</f>
        <v>0</v>
      </c>
      <c r="E474" s="206">
        <f>SUMIFS(LANÇ_MOV[VALOR LÍQUIDO],LANÇ_MOV[RECEITA OU DESPESA],"Despesa",LANÇ_MOV[CONTAS],$C474,LANÇ_MOV[PLANO DE CONTAS],REL_DRE_FINANCEIRO!$B$445,LANÇ_MOV[ANO PAGAMENTO],$B$4,LANÇ_MOV[MÊS PAGAMENTO CORRESPONDENTE],E$6,LANÇ_MOV[EMPRESA],$C$4,LANÇ_MOV[CENTRO DE CUSTOS],$D$4)</f>
        <v>0</v>
      </c>
      <c r="F474" s="206">
        <f>SUMIFS(LANÇ_MOV[VALOR LÍQUIDO],LANÇ_MOV[RECEITA OU DESPESA],"Despesa",LANÇ_MOV[CONTAS],$C474,LANÇ_MOV[PLANO DE CONTAS],REL_DRE_FINANCEIRO!$B$445,LANÇ_MOV[ANO PAGAMENTO],$B$4,LANÇ_MOV[MÊS PAGAMENTO CORRESPONDENTE],F$6,LANÇ_MOV[EMPRESA],$C$4,LANÇ_MOV[CENTRO DE CUSTOS],$D$4)</f>
        <v>0</v>
      </c>
      <c r="G474" s="206">
        <f>SUMIFS(LANÇ_MOV[VALOR LÍQUIDO],LANÇ_MOV[RECEITA OU DESPESA],"Despesa",LANÇ_MOV[CONTAS],$C474,LANÇ_MOV[PLANO DE CONTAS],REL_DRE_FINANCEIRO!$B$445,LANÇ_MOV[ANO PAGAMENTO],$B$4,LANÇ_MOV[MÊS PAGAMENTO CORRESPONDENTE],G$6,LANÇ_MOV[EMPRESA],$C$4,LANÇ_MOV[CENTRO DE CUSTOS],$D$4)</f>
        <v>0</v>
      </c>
      <c r="H474" s="206">
        <f>SUMIFS(LANÇ_MOV[VALOR LÍQUIDO],LANÇ_MOV[RECEITA OU DESPESA],"Despesa",LANÇ_MOV[CONTAS],$C474,LANÇ_MOV[PLANO DE CONTAS],REL_DRE_FINANCEIRO!$B$445,LANÇ_MOV[ANO PAGAMENTO],$B$4,LANÇ_MOV[MÊS PAGAMENTO CORRESPONDENTE],H$6,LANÇ_MOV[EMPRESA],$C$4,LANÇ_MOV[CENTRO DE CUSTOS],$D$4)</f>
        <v>0</v>
      </c>
      <c r="I474" s="206">
        <f>SUMIFS(LANÇ_MOV[VALOR LÍQUIDO],LANÇ_MOV[RECEITA OU DESPESA],"Despesa",LANÇ_MOV[CONTAS],$C474,LANÇ_MOV[PLANO DE CONTAS],REL_DRE_FINANCEIRO!$B$445,LANÇ_MOV[ANO PAGAMENTO],$B$4,LANÇ_MOV[MÊS PAGAMENTO CORRESPONDENTE],I$6,LANÇ_MOV[EMPRESA],$C$4,LANÇ_MOV[CENTRO DE CUSTOS],$D$4)</f>
        <v>0</v>
      </c>
      <c r="J474" s="206">
        <f>SUMIFS(LANÇ_MOV[VALOR LÍQUIDO],LANÇ_MOV[RECEITA OU DESPESA],"Despesa",LANÇ_MOV[CONTAS],$C474,LANÇ_MOV[PLANO DE CONTAS],REL_DRE_FINANCEIRO!$B$445,LANÇ_MOV[ANO PAGAMENTO],$B$4,LANÇ_MOV[MÊS PAGAMENTO CORRESPONDENTE],J$6,LANÇ_MOV[EMPRESA],$C$4,LANÇ_MOV[CENTRO DE CUSTOS],$D$4)</f>
        <v>0</v>
      </c>
      <c r="K474" s="206">
        <f>SUMIFS(LANÇ_MOV[VALOR LÍQUIDO],LANÇ_MOV[RECEITA OU DESPESA],"Despesa",LANÇ_MOV[CONTAS],$C474,LANÇ_MOV[PLANO DE CONTAS],REL_DRE_FINANCEIRO!$B$445,LANÇ_MOV[ANO PAGAMENTO],$B$4,LANÇ_MOV[MÊS PAGAMENTO CORRESPONDENTE],K$6,LANÇ_MOV[EMPRESA],$C$4,LANÇ_MOV[CENTRO DE CUSTOS],$D$4)</f>
        <v>0</v>
      </c>
      <c r="L474" s="206">
        <f>SUMIFS(LANÇ_MOV[VALOR LÍQUIDO],LANÇ_MOV[RECEITA OU DESPESA],"Despesa",LANÇ_MOV[CONTAS],$C474,LANÇ_MOV[PLANO DE CONTAS],REL_DRE_FINANCEIRO!$B$445,LANÇ_MOV[ANO PAGAMENTO],$B$4,LANÇ_MOV[MÊS PAGAMENTO CORRESPONDENTE],L$6,LANÇ_MOV[EMPRESA],$C$4,LANÇ_MOV[CENTRO DE CUSTOS],$D$4)</f>
        <v>0</v>
      </c>
      <c r="M474" s="206">
        <f>SUMIFS(LANÇ_MOV[VALOR LÍQUIDO],LANÇ_MOV[RECEITA OU DESPESA],"Despesa",LANÇ_MOV[CONTAS],$C474,LANÇ_MOV[PLANO DE CONTAS],REL_DRE_FINANCEIRO!$B$445,LANÇ_MOV[ANO PAGAMENTO],$B$4,LANÇ_MOV[MÊS PAGAMENTO CORRESPONDENTE],M$6,LANÇ_MOV[EMPRESA],$C$4,LANÇ_MOV[CENTRO DE CUSTOS],$D$4)</f>
        <v>2406.11</v>
      </c>
      <c r="N474" s="206">
        <f>SUMIFS(LANÇ_MOV[VALOR LÍQUIDO],LANÇ_MOV[RECEITA OU DESPESA],"Despesa",LANÇ_MOV[CONTAS],$C474,LANÇ_MOV[PLANO DE CONTAS],REL_DRE_FINANCEIRO!$B$445,LANÇ_MOV[ANO PAGAMENTO],$B$4,LANÇ_MOV[MÊS PAGAMENTO CORRESPONDENTE],N$6,LANÇ_MOV[EMPRESA],$C$4,LANÇ_MOV[CENTRO DE CUSTOS],$D$4)</f>
        <v>2867.5299999999997</v>
      </c>
      <c r="O474" s="206">
        <f>SUMIFS(LANÇ_MOV[VALOR LÍQUIDO],LANÇ_MOV[RECEITA OU DESPESA],"Despesa",LANÇ_MOV[CONTAS],$C474,LANÇ_MOV[PLANO DE CONTAS],REL_DRE_FINANCEIRO!$B$445,LANÇ_MOV[ANO PAGAMENTO],$B$4,LANÇ_MOV[MÊS PAGAMENTO CORRESPONDENTE],O$6,LANÇ_MOV[EMPRESA],$C$4,LANÇ_MOV[CENTRO DE CUSTOS],$D$4)</f>
        <v>0</v>
      </c>
      <c r="P474" s="207">
        <f t="shared" si="65"/>
        <v>5273.6399999999994</v>
      </c>
      <c r="Q474" s="329">
        <v>7.1999999999999997E-6</v>
      </c>
      <c r="R474" s="346">
        <f t="shared" si="67"/>
        <v>5273.6400071999997</v>
      </c>
      <c r="S474" s="347" t="str">
        <f t="shared" si="68"/>
        <v>SALÁRIOS</v>
      </c>
      <c r="T474" s="347">
        <f t="shared" si="69"/>
        <v>5273.6399999999994</v>
      </c>
      <c r="U474" s="347">
        <f>HLOOKUP(Apoio!$P$12,$D$444:$P$545,X474,FALSE)+Q474</f>
        <v>5273.6400071999997</v>
      </c>
      <c r="V474" s="447" t="str">
        <f t="shared" si="66"/>
        <v>SALÁRIOS</v>
      </c>
      <c r="W474" s="448">
        <f>HLOOKUP(Apoio!$P$12,$D$444:$P$545,X474,FALSE)</f>
        <v>5273.6399999999994</v>
      </c>
      <c r="X474" s="329">
        <v>31</v>
      </c>
    </row>
    <row r="475" spans="2:24" ht="30.05" customHeight="1" x14ac:dyDescent="0.35">
      <c r="B475" s="204" t="str">
        <f>'CAD_PL_REC-DESP'!T34</f>
        <v>2.4.30</v>
      </c>
      <c r="C475" s="205" t="str">
        <f>IF('CAD_PL_REC-DESP'!U34="","-",'CAD_PL_REC-DESP'!U34)</f>
        <v>SEGURO DE VIDA</v>
      </c>
      <c r="D475" s="206">
        <f>SUMIFS(LANÇ_MOV[VALOR LÍQUIDO],LANÇ_MOV[RECEITA OU DESPESA],"Despesa",LANÇ_MOV[CONTAS],$C475,LANÇ_MOV[PLANO DE CONTAS],REL_DRE_FINANCEIRO!$B$445,LANÇ_MOV[ANO PAGAMENTO],$B$4,LANÇ_MOV[MÊS PAGAMENTO CORRESPONDENTE],D$6,LANÇ_MOV[EMPRESA],$C$4,LANÇ_MOV[CENTRO DE CUSTOS],$D$4)</f>
        <v>0</v>
      </c>
      <c r="E475" s="206">
        <f>SUMIFS(LANÇ_MOV[VALOR LÍQUIDO],LANÇ_MOV[RECEITA OU DESPESA],"Despesa",LANÇ_MOV[CONTAS],$C475,LANÇ_MOV[PLANO DE CONTAS],REL_DRE_FINANCEIRO!$B$445,LANÇ_MOV[ANO PAGAMENTO],$B$4,LANÇ_MOV[MÊS PAGAMENTO CORRESPONDENTE],E$6,LANÇ_MOV[EMPRESA],$C$4,LANÇ_MOV[CENTRO DE CUSTOS],$D$4)</f>
        <v>0</v>
      </c>
      <c r="F475" s="206">
        <f>SUMIFS(LANÇ_MOV[VALOR LÍQUIDO],LANÇ_MOV[RECEITA OU DESPESA],"Despesa",LANÇ_MOV[CONTAS],$C475,LANÇ_MOV[PLANO DE CONTAS],REL_DRE_FINANCEIRO!$B$445,LANÇ_MOV[ANO PAGAMENTO],$B$4,LANÇ_MOV[MÊS PAGAMENTO CORRESPONDENTE],F$6,LANÇ_MOV[EMPRESA],$C$4,LANÇ_MOV[CENTRO DE CUSTOS],$D$4)</f>
        <v>0</v>
      </c>
      <c r="G475" s="206">
        <f>SUMIFS(LANÇ_MOV[VALOR LÍQUIDO],LANÇ_MOV[RECEITA OU DESPESA],"Despesa",LANÇ_MOV[CONTAS],$C475,LANÇ_MOV[PLANO DE CONTAS],REL_DRE_FINANCEIRO!$B$445,LANÇ_MOV[ANO PAGAMENTO],$B$4,LANÇ_MOV[MÊS PAGAMENTO CORRESPONDENTE],G$6,LANÇ_MOV[EMPRESA],$C$4,LANÇ_MOV[CENTRO DE CUSTOS],$D$4)</f>
        <v>0</v>
      </c>
      <c r="H475" s="206">
        <f>SUMIFS(LANÇ_MOV[VALOR LÍQUIDO],LANÇ_MOV[RECEITA OU DESPESA],"Despesa",LANÇ_MOV[CONTAS],$C475,LANÇ_MOV[PLANO DE CONTAS],REL_DRE_FINANCEIRO!$B$445,LANÇ_MOV[ANO PAGAMENTO],$B$4,LANÇ_MOV[MÊS PAGAMENTO CORRESPONDENTE],H$6,LANÇ_MOV[EMPRESA],$C$4,LANÇ_MOV[CENTRO DE CUSTOS],$D$4)</f>
        <v>0</v>
      </c>
      <c r="I475" s="206">
        <f>SUMIFS(LANÇ_MOV[VALOR LÍQUIDO],LANÇ_MOV[RECEITA OU DESPESA],"Despesa",LANÇ_MOV[CONTAS],$C475,LANÇ_MOV[PLANO DE CONTAS],REL_DRE_FINANCEIRO!$B$445,LANÇ_MOV[ANO PAGAMENTO],$B$4,LANÇ_MOV[MÊS PAGAMENTO CORRESPONDENTE],I$6,LANÇ_MOV[EMPRESA],$C$4,LANÇ_MOV[CENTRO DE CUSTOS],$D$4)</f>
        <v>0</v>
      </c>
      <c r="J475" s="206">
        <f>SUMIFS(LANÇ_MOV[VALOR LÍQUIDO],LANÇ_MOV[RECEITA OU DESPESA],"Despesa",LANÇ_MOV[CONTAS],$C475,LANÇ_MOV[PLANO DE CONTAS],REL_DRE_FINANCEIRO!$B$445,LANÇ_MOV[ANO PAGAMENTO],$B$4,LANÇ_MOV[MÊS PAGAMENTO CORRESPONDENTE],J$6,LANÇ_MOV[EMPRESA],$C$4,LANÇ_MOV[CENTRO DE CUSTOS],$D$4)</f>
        <v>0</v>
      </c>
      <c r="K475" s="206">
        <f>SUMIFS(LANÇ_MOV[VALOR LÍQUIDO],LANÇ_MOV[RECEITA OU DESPESA],"Despesa",LANÇ_MOV[CONTAS],$C475,LANÇ_MOV[PLANO DE CONTAS],REL_DRE_FINANCEIRO!$B$445,LANÇ_MOV[ANO PAGAMENTO],$B$4,LANÇ_MOV[MÊS PAGAMENTO CORRESPONDENTE],K$6,LANÇ_MOV[EMPRESA],$C$4,LANÇ_MOV[CENTRO DE CUSTOS],$D$4)</f>
        <v>0</v>
      </c>
      <c r="L475" s="206">
        <f>SUMIFS(LANÇ_MOV[VALOR LÍQUIDO],LANÇ_MOV[RECEITA OU DESPESA],"Despesa",LANÇ_MOV[CONTAS],$C475,LANÇ_MOV[PLANO DE CONTAS],REL_DRE_FINANCEIRO!$B$445,LANÇ_MOV[ANO PAGAMENTO],$B$4,LANÇ_MOV[MÊS PAGAMENTO CORRESPONDENTE],L$6,LANÇ_MOV[EMPRESA],$C$4,LANÇ_MOV[CENTRO DE CUSTOS],$D$4)</f>
        <v>0</v>
      </c>
      <c r="M475" s="206">
        <f>SUMIFS(LANÇ_MOV[VALOR LÍQUIDO],LANÇ_MOV[RECEITA OU DESPESA],"Despesa",LANÇ_MOV[CONTAS],$C475,LANÇ_MOV[PLANO DE CONTAS],REL_DRE_FINANCEIRO!$B$445,LANÇ_MOV[ANO PAGAMENTO],$B$4,LANÇ_MOV[MÊS PAGAMENTO CORRESPONDENTE],M$6,LANÇ_MOV[EMPRESA],$C$4,LANÇ_MOV[CENTRO DE CUSTOS],$D$4)</f>
        <v>0</v>
      </c>
      <c r="N475" s="206">
        <f>SUMIFS(LANÇ_MOV[VALOR LÍQUIDO],LANÇ_MOV[RECEITA OU DESPESA],"Despesa",LANÇ_MOV[CONTAS],$C475,LANÇ_MOV[PLANO DE CONTAS],REL_DRE_FINANCEIRO!$B$445,LANÇ_MOV[ANO PAGAMENTO],$B$4,LANÇ_MOV[MÊS PAGAMENTO CORRESPONDENTE],N$6,LANÇ_MOV[EMPRESA],$C$4,LANÇ_MOV[CENTRO DE CUSTOS],$D$4)</f>
        <v>0</v>
      </c>
      <c r="O475" s="206">
        <f>SUMIFS(LANÇ_MOV[VALOR LÍQUIDO],LANÇ_MOV[RECEITA OU DESPESA],"Despesa",LANÇ_MOV[CONTAS],$C475,LANÇ_MOV[PLANO DE CONTAS],REL_DRE_FINANCEIRO!$B$445,LANÇ_MOV[ANO PAGAMENTO],$B$4,LANÇ_MOV[MÊS PAGAMENTO CORRESPONDENTE],O$6,LANÇ_MOV[EMPRESA],$C$4,LANÇ_MOV[CENTRO DE CUSTOS],$D$4)</f>
        <v>0</v>
      </c>
      <c r="P475" s="207">
        <f t="shared" si="65"/>
        <v>0</v>
      </c>
      <c r="Q475" s="329">
        <v>7.0999999999999998E-6</v>
      </c>
      <c r="R475" s="346">
        <f t="shared" si="67"/>
        <v>7.0999999999999998E-6</v>
      </c>
      <c r="S475" s="347" t="str">
        <f t="shared" si="68"/>
        <v>SEGURO DE VIDA</v>
      </c>
      <c r="T475" s="347">
        <f t="shared" si="69"/>
        <v>0</v>
      </c>
      <c r="U475" s="347">
        <f>HLOOKUP(Apoio!$P$12,$D$444:$P$545,X475,FALSE)+Q475</f>
        <v>7.0999999999999998E-6</v>
      </c>
      <c r="V475" s="447" t="str">
        <f t="shared" si="66"/>
        <v>SEGURO DE VIDA</v>
      </c>
      <c r="W475" s="448">
        <f>HLOOKUP(Apoio!$P$12,$D$444:$P$545,X475,FALSE)</f>
        <v>0</v>
      </c>
      <c r="X475" s="329">
        <v>32</v>
      </c>
    </row>
    <row r="476" spans="2:24" ht="30.05" customHeight="1" x14ac:dyDescent="0.35">
      <c r="B476" s="204" t="str">
        <f>'CAD_PL_REC-DESP'!T35</f>
        <v>2.4.31</v>
      </c>
      <c r="C476" s="205" t="str">
        <f>IF('CAD_PL_REC-DESP'!U35="","-",'CAD_PL_REC-DESP'!U35)</f>
        <v>UNIFORME</v>
      </c>
      <c r="D476" s="206">
        <f>SUMIFS(LANÇ_MOV[VALOR LÍQUIDO],LANÇ_MOV[RECEITA OU DESPESA],"Despesa",LANÇ_MOV[CONTAS],$C476,LANÇ_MOV[PLANO DE CONTAS],REL_DRE_FINANCEIRO!$B$445,LANÇ_MOV[ANO PAGAMENTO],$B$4,LANÇ_MOV[MÊS PAGAMENTO CORRESPONDENTE],D$6,LANÇ_MOV[EMPRESA],$C$4,LANÇ_MOV[CENTRO DE CUSTOS],$D$4)</f>
        <v>0</v>
      </c>
      <c r="E476" s="206">
        <f>SUMIFS(LANÇ_MOV[VALOR LÍQUIDO],LANÇ_MOV[RECEITA OU DESPESA],"Despesa",LANÇ_MOV[CONTAS],$C476,LANÇ_MOV[PLANO DE CONTAS],REL_DRE_FINANCEIRO!$B$445,LANÇ_MOV[ANO PAGAMENTO],$B$4,LANÇ_MOV[MÊS PAGAMENTO CORRESPONDENTE],E$6,LANÇ_MOV[EMPRESA],$C$4,LANÇ_MOV[CENTRO DE CUSTOS],$D$4)</f>
        <v>0</v>
      </c>
      <c r="F476" s="206">
        <f>SUMIFS(LANÇ_MOV[VALOR LÍQUIDO],LANÇ_MOV[RECEITA OU DESPESA],"Despesa",LANÇ_MOV[CONTAS],$C476,LANÇ_MOV[PLANO DE CONTAS],REL_DRE_FINANCEIRO!$B$445,LANÇ_MOV[ANO PAGAMENTO],$B$4,LANÇ_MOV[MÊS PAGAMENTO CORRESPONDENTE],F$6,LANÇ_MOV[EMPRESA],$C$4,LANÇ_MOV[CENTRO DE CUSTOS],$D$4)</f>
        <v>0</v>
      </c>
      <c r="G476" s="206">
        <f>SUMIFS(LANÇ_MOV[VALOR LÍQUIDO],LANÇ_MOV[RECEITA OU DESPESA],"Despesa",LANÇ_MOV[CONTAS],$C476,LANÇ_MOV[PLANO DE CONTAS],REL_DRE_FINANCEIRO!$B$445,LANÇ_MOV[ANO PAGAMENTO],$B$4,LANÇ_MOV[MÊS PAGAMENTO CORRESPONDENTE],G$6,LANÇ_MOV[EMPRESA],$C$4,LANÇ_MOV[CENTRO DE CUSTOS],$D$4)</f>
        <v>0</v>
      </c>
      <c r="H476" s="206">
        <f>SUMIFS(LANÇ_MOV[VALOR LÍQUIDO],LANÇ_MOV[RECEITA OU DESPESA],"Despesa",LANÇ_MOV[CONTAS],$C476,LANÇ_MOV[PLANO DE CONTAS],REL_DRE_FINANCEIRO!$B$445,LANÇ_MOV[ANO PAGAMENTO],$B$4,LANÇ_MOV[MÊS PAGAMENTO CORRESPONDENTE],H$6,LANÇ_MOV[EMPRESA],$C$4,LANÇ_MOV[CENTRO DE CUSTOS],$D$4)</f>
        <v>0</v>
      </c>
      <c r="I476" s="206">
        <f>SUMIFS(LANÇ_MOV[VALOR LÍQUIDO],LANÇ_MOV[RECEITA OU DESPESA],"Despesa",LANÇ_MOV[CONTAS],$C476,LANÇ_MOV[PLANO DE CONTAS],REL_DRE_FINANCEIRO!$B$445,LANÇ_MOV[ANO PAGAMENTO],$B$4,LANÇ_MOV[MÊS PAGAMENTO CORRESPONDENTE],I$6,LANÇ_MOV[EMPRESA],$C$4,LANÇ_MOV[CENTRO DE CUSTOS],$D$4)</f>
        <v>0</v>
      </c>
      <c r="J476" s="206">
        <f>SUMIFS(LANÇ_MOV[VALOR LÍQUIDO],LANÇ_MOV[RECEITA OU DESPESA],"Despesa",LANÇ_MOV[CONTAS],$C476,LANÇ_MOV[PLANO DE CONTAS],REL_DRE_FINANCEIRO!$B$445,LANÇ_MOV[ANO PAGAMENTO],$B$4,LANÇ_MOV[MÊS PAGAMENTO CORRESPONDENTE],J$6,LANÇ_MOV[EMPRESA],$C$4,LANÇ_MOV[CENTRO DE CUSTOS],$D$4)</f>
        <v>0</v>
      </c>
      <c r="K476" s="206">
        <f>SUMIFS(LANÇ_MOV[VALOR LÍQUIDO],LANÇ_MOV[RECEITA OU DESPESA],"Despesa",LANÇ_MOV[CONTAS],$C476,LANÇ_MOV[PLANO DE CONTAS],REL_DRE_FINANCEIRO!$B$445,LANÇ_MOV[ANO PAGAMENTO],$B$4,LANÇ_MOV[MÊS PAGAMENTO CORRESPONDENTE],K$6,LANÇ_MOV[EMPRESA],$C$4,LANÇ_MOV[CENTRO DE CUSTOS],$D$4)</f>
        <v>0</v>
      </c>
      <c r="L476" s="206">
        <f>SUMIFS(LANÇ_MOV[VALOR LÍQUIDO],LANÇ_MOV[RECEITA OU DESPESA],"Despesa",LANÇ_MOV[CONTAS],$C476,LANÇ_MOV[PLANO DE CONTAS],REL_DRE_FINANCEIRO!$B$445,LANÇ_MOV[ANO PAGAMENTO],$B$4,LANÇ_MOV[MÊS PAGAMENTO CORRESPONDENTE],L$6,LANÇ_MOV[EMPRESA],$C$4,LANÇ_MOV[CENTRO DE CUSTOS],$D$4)</f>
        <v>0</v>
      </c>
      <c r="M476" s="206">
        <f>SUMIFS(LANÇ_MOV[VALOR LÍQUIDO],LANÇ_MOV[RECEITA OU DESPESA],"Despesa",LANÇ_MOV[CONTAS],$C476,LANÇ_MOV[PLANO DE CONTAS],REL_DRE_FINANCEIRO!$B$445,LANÇ_MOV[ANO PAGAMENTO],$B$4,LANÇ_MOV[MÊS PAGAMENTO CORRESPONDENTE],M$6,LANÇ_MOV[EMPRESA],$C$4,LANÇ_MOV[CENTRO DE CUSTOS],$D$4)</f>
        <v>0</v>
      </c>
      <c r="N476" s="206">
        <f>SUMIFS(LANÇ_MOV[VALOR LÍQUIDO],LANÇ_MOV[RECEITA OU DESPESA],"Despesa",LANÇ_MOV[CONTAS],$C476,LANÇ_MOV[PLANO DE CONTAS],REL_DRE_FINANCEIRO!$B$445,LANÇ_MOV[ANO PAGAMENTO],$B$4,LANÇ_MOV[MÊS PAGAMENTO CORRESPONDENTE],N$6,LANÇ_MOV[EMPRESA],$C$4,LANÇ_MOV[CENTRO DE CUSTOS],$D$4)</f>
        <v>0</v>
      </c>
      <c r="O476" s="206">
        <f>SUMIFS(LANÇ_MOV[VALOR LÍQUIDO],LANÇ_MOV[RECEITA OU DESPESA],"Despesa",LANÇ_MOV[CONTAS],$C476,LANÇ_MOV[PLANO DE CONTAS],REL_DRE_FINANCEIRO!$B$445,LANÇ_MOV[ANO PAGAMENTO],$B$4,LANÇ_MOV[MÊS PAGAMENTO CORRESPONDENTE],O$6,LANÇ_MOV[EMPRESA],$C$4,LANÇ_MOV[CENTRO DE CUSTOS],$D$4)</f>
        <v>0</v>
      </c>
      <c r="P476" s="207">
        <f t="shared" si="65"/>
        <v>0</v>
      </c>
      <c r="Q476" s="329">
        <v>6.9999999999999999E-6</v>
      </c>
      <c r="R476" s="346">
        <f t="shared" si="67"/>
        <v>6.9999999999999999E-6</v>
      </c>
      <c r="S476" s="347" t="str">
        <f t="shared" si="68"/>
        <v>UNIFORME</v>
      </c>
      <c r="T476" s="347">
        <f t="shared" si="69"/>
        <v>0</v>
      </c>
      <c r="U476" s="347">
        <f>HLOOKUP(Apoio!$P$12,$D$444:$P$545,X476,FALSE)+Q476</f>
        <v>6.9999999999999999E-6</v>
      </c>
      <c r="V476" s="447" t="str">
        <f t="shared" si="66"/>
        <v>UNIFORME</v>
      </c>
      <c r="W476" s="448">
        <f>HLOOKUP(Apoio!$P$12,$D$444:$P$545,X476,FALSE)</f>
        <v>0</v>
      </c>
      <c r="X476" s="329">
        <v>33</v>
      </c>
    </row>
    <row r="477" spans="2:24" ht="30.05" customHeight="1" x14ac:dyDescent="0.35">
      <c r="B477" s="204" t="str">
        <f>'CAD_PL_REC-DESP'!T36</f>
        <v>2.4.32</v>
      </c>
      <c r="C477" s="205" t="str">
        <f>IF('CAD_PL_REC-DESP'!U36="","-",'CAD_PL_REC-DESP'!U36)</f>
        <v>VALE TRANSPORTE</v>
      </c>
      <c r="D477" s="206">
        <f>SUMIFS(LANÇ_MOV[VALOR LÍQUIDO],LANÇ_MOV[RECEITA OU DESPESA],"Despesa",LANÇ_MOV[CONTAS],$C477,LANÇ_MOV[PLANO DE CONTAS],REL_DRE_FINANCEIRO!$B$445,LANÇ_MOV[ANO PAGAMENTO],$B$4,LANÇ_MOV[MÊS PAGAMENTO CORRESPONDENTE],D$6,LANÇ_MOV[EMPRESA],$C$4,LANÇ_MOV[CENTRO DE CUSTOS],$D$4)</f>
        <v>0</v>
      </c>
      <c r="E477" s="206">
        <f>SUMIFS(LANÇ_MOV[VALOR LÍQUIDO],LANÇ_MOV[RECEITA OU DESPESA],"Despesa",LANÇ_MOV[CONTAS],$C477,LANÇ_MOV[PLANO DE CONTAS],REL_DRE_FINANCEIRO!$B$445,LANÇ_MOV[ANO PAGAMENTO],$B$4,LANÇ_MOV[MÊS PAGAMENTO CORRESPONDENTE],E$6,LANÇ_MOV[EMPRESA],$C$4,LANÇ_MOV[CENTRO DE CUSTOS],$D$4)</f>
        <v>0</v>
      </c>
      <c r="F477" s="206">
        <f>SUMIFS(LANÇ_MOV[VALOR LÍQUIDO],LANÇ_MOV[RECEITA OU DESPESA],"Despesa",LANÇ_MOV[CONTAS],$C477,LANÇ_MOV[PLANO DE CONTAS],REL_DRE_FINANCEIRO!$B$445,LANÇ_MOV[ANO PAGAMENTO],$B$4,LANÇ_MOV[MÊS PAGAMENTO CORRESPONDENTE],F$6,LANÇ_MOV[EMPRESA],$C$4,LANÇ_MOV[CENTRO DE CUSTOS],$D$4)</f>
        <v>0</v>
      </c>
      <c r="G477" s="206">
        <f>SUMIFS(LANÇ_MOV[VALOR LÍQUIDO],LANÇ_MOV[RECEITA OU DESPESA],"Despesa",LANÇ_MOV[CONTAS],$C477,LANÇ_MOV[PLANO DE CONTAS],REL_DRE_FINANCEIRO!$B$445,LANÇ_MOV[ANO PAGAMENTO],$B$4,LANÇ_MOV[MÊS PAGAMENTO CORRESPONDENTE],G$6,LANÇ_MOV[EMPRESA],$C$4,LANÇ_MOV[CENTRO DE CUSTOS],$D$4)</f>
        <v>0</v>
      </c>
      <c r="H477" s="206">
        <f>SUMIFS(LANÇ_MOV[VALOR LÍQUIDO],LANÇ_MOV[RECEITA OU DESPESA],"Despesa",LANÇ_MOV[CONTAS],$C477,LANÇ_MOV[PLANO DE CONTAS],REL_DRE_FINANCEIRO!$B$445,LANÇ_MOV[ANO PAGAMENTO],$B$4,LANÇ_MOV[MÊS PAGAMENTO CORRESPONDENTE],H$6,LANÇ_MOV[EMPRESA],$C$4,LANÇ_MOV[CENTRO DE CUSTOS],$D$4)</f>
        <v>0</v>
      </c>
      <c r="I477" s="206">
        <f>SUMIFS(LANÇ_MOV[VALOR LÍQUIDO],LANÇ_MOV[RECEITA OU DESPESA],"Despesa",LANÇ_MOV[CONTAS],$C477,LANÇ_MOV[PLANO DE CONTAS],REL_DRE_FINANCEIRO!$B$445,LANÇ_MOV[ANO PAGAMENTO],$B$4,LANÇ_MOV[MÊS PAGAMENTO CORRESPONDENTE],I$6,LANÇ_MOV[EMPRESA],$C$4,LANÇ_MOV[CENTRO DE CUSTOS],$D$4)</f>
        <v>0</v>
      </c>
      <c r="J477" s="206">
        <f>SUMIFS(LANÇ_MOV[VALOR LÍQUIDO],LANÇ_MOV[RECEITA OU DESPESA],"Despesa",LANÇ_MOV[CONTAS],$C477,LANÇ_MOV[PLANO DE CONTAS],REL_DRE_FINANCEIRO!$B$445,LANÇ_MOV[ANO PAGAMENTO],$B$4,LANÇ_MOV[MÊS PAGAMENTO CORRESPONDENTE],J$6,LANÇ_MOV[EMPRESA],$C$4,LANÇ_MOV[CENTRO DE CUSTOS],$D$4)</f>
        <v>0</v>
      </c>
      <c r="K477" s="206">
        <f>SUMIFS(LANÇ_MOV[VALOR LÍQUIDO],LANÇ_MOV[RECEITA OU DESPESA],"Despesa",LANÇ_MOV[CONTAS],$C477,LANÇ_MOV[PLANO DE CONTAS],REL_DRE_FINANCEIRO!$B$445,LANÇ_MOV[ANO PAGAMENTO],$B$4,LANÇ_MOV[MÊS PAGAMENTO CORRESPONDENTE],K$6,LANÇ_MOV[EMPRESA],$C$4,LANÇ_MOV[CENTRO DE CUSTOS],$D$4)</f>
        <v>0</v>
      </c>
      <c r="L477" s="206">
        <f>SUMIFS(LANÇ_MOV[VALOR LÍQUIDO],LANÇ_MOV[RECEITA OU DESPESA],"Despesa",LANÇ_MOV[CONTAS],$C477,LANÇ_MOV[PLANO DE CONTAS],REL_DRE_FINANCEIRO!$B$445,LANÇ_MOV[ANO PAGAMENTO],$B$4,LANÇ_MOV[MÊS PAGAMENTO CORRESPONDENTE],L$6,LANÇ_MOV[EMPRESA],$C$4,LANÇ_MOV[CENTRO DE CUSTOS],$D$4)</f>
        <v>0</v>
      </c>
      <c r="M477" s="206">
        <f>SUMIFS(LANÇ_MOV[VALOR LÍQUIDO],LANÇ_MOV[RECEITA OU DESPESA],"Despesa",LANÇ_MOV[CONTAS],$C477,LANÇ_MOV[PLANO DE CONTAS],REL_DRE_FINANCEIRO!$B$445,LANÇ_MOV[ANO PAGAMENTO],$B$4,LANÇ_MOV[MÊS PAGAMENTO CORRESPONDENTE],M$6,LANÇ_MOV[EMPRESA],$C$4,LANÇ_MOV[CENTRO DE CUSTOS],$D$4)</f>
        <v>0</v>
      </c>
      <c r="N477" s="206">
        <f>SUMIFS(LANÇ_MOV[VALOR LÍQUIDO],LANÇ_MOV[RECEITA OU DESPESA],"Despesa",LANÇ_MOV[CONTAS],$C477,LANÇ_MOV[PLANO DE CONTAS],REL_DRE_FINANCEIRO!$B$445,LANÇ_MOV[ANO PAGAMENTO],$B$4,LANÇ_MOV[MÊS PAGAMENTO CORRESPONDENTE],N$6,LANÇ_MOV[EMPRESA],$C$4,LANÇ_MOV[CENTRO DE CUSTOS],$D$4)</f>
        <v>0</v>
      </c>
      <c r="O477" s="206">
        <f>SUMIFS(LANÇ_MOV[VALOR LÍQUIDO],LANÇ_MOV[RECEITA OU DESPESA],"Despesa",LANÇ_MOV[CONTAS],$C477,LANÇ_MOV[PLANO DE CONTAS],REL_DRE_FINANCEIRO!$B$445,LANÇ_MOV[ANO PAGAMENTO],$B$4,LANÇ_MOV[MÊS PAGAMENTO CORRESPONDENTE],O$6,LANÇ_MOV[EMPRESA],$C$4,LANÇ_MOV[CENTRO DE CUSTOS],$D$4)</f>
        <v>0</v>
      </c>
      <c r="P477" s="207">
        <f t="shared" si="65"/>
        <v>0</v>
      </c>
      <c r="Q477" s="329">
        <v>6.9E-6</v>
      </c>
      <c r="R477" s="346">
        <f t="shared" si="67"/>
        <v>6.9E-6</v>
      </c>
      <c r="S477" s="347" t="str">
        <f t="shared" si="68"/>
        <v>VALE TRANSPORTE</v>
      </c>
      <c r="T477" s="347">
        <f t="shared" si="69"/>
        <v>0</v>
      </c>
      <c r="U477" s="347">
        <f>HLOOKUP(Apoio!$P$12,$D$444:$P$545,X477,FALSE)+Q477</f>
        <v>6.9E-6</v>
      </c>
      <c r="V477" s="447" t="str">
        <f t="shared" si="66"/>
        <v>VALE TRANSPORTE</v>
      </c>
      <c r="W477" s="448">
        <f>HLOOKUP(Apoio!$P$12,$D$444:$P$545,X477,FALSE)</f>
        <v>0</v>
      </c>
      <c r="X477" s="329">
        <v>34</v>
      </c>
    </row>
    <row r="478" spans="2:24" ht="30.05" customHeight="1" x14ac:dyDescent="0.35">
      <c r="B478" s="204" t="str">
        <f>'CAD_PL_REC-DESP'!T37</f>
        <v>2.4.33</v>
      </c>
      <c r="C478" s="205" t="str">
        <f>IF('CAD_PL_REC-DESP'!U37="","-",'CAD_PL_REC-DESP'!U37)</f>
        <v>PROFESSOR PESSOA JURÍDICA</v>
      </c>
      <c r="D478" s="206">
        <f>SUMIFS(LANÇ_MOV[VALOR LÍQUIDO],LANÇ_MOV[RECEITA OU DESPESA],"Despesa",LANÇ_MOV[CONTAS],$C478,LANÇ_MOV[PLANO DE CONTAS],REL_DRE_FINANCEIRO!$B$445,LANÇ_MOV[ANO PAGAMENTO],$B$4,LANÇ_MOV[MÊS PAGAMENTO CORRESPONDENTE],D$6,LANÇ_MOV[EMPRESA],$C$4,LANÇ_MOV[CENTRO DE CUSTOS],$D$4)</f>
        <v>0</v>
      </c>
      <c r="E478" s="206">
        <f>SUMIFS(LANÇ_MOV[VALOR LÍQUIDO],LANÇ_MOV[RECEITA OU DESPESA],"Despesa",LANÇ_MOV[CONTAS],$C478,LANÇ_MOV[PLANO DE CONTAS],REL_DRE_FINANCEIRO!$B$445,LANÇ_MOV[ANO PAGAMENTO],$B$4,LANÇ_MOV[MÊS PAGAMENTO CORRESPONDENTE],E$6,LANÇ_MOV[EMPRESA],$C$4,LANÇ_MOV[CENTRO DE CUSTOS],$D$4)</f>
        <v>0</v>
      </c>
      <c r="F478" s="206">
        <f>SUMIFS(LANÇ_MOV[VALOR LÍQUIDO],LANÇ_MOV[RECEITA OU DESPESA],"Despesa",LANÇ_MOV[CONTAS],$C478,LANÇ_MOV[PLANO DE CONTAS],REL_DRE_FINANCEIRO!$B$445,LANÇ_MOV[ANO PAGAMENTO],$B$4,LANÇ_MOV[MÊS PAGAMENTO CORRESPONDENTE],F$6,LANÇ_MOV[EMPRESA],$C$4,LANÇ_MOV[CENTRO DE CUSTOS],$D$4)</f>
        <v>0</v>
      </c>
      <c r="G478" s="206">
        <f>SUMIFS(LANÇ_MOV[VALOR LÍQUIDO],LANÇ_MOV[RECEITA OU DESPESA],"Despesa",LANÇ_MOV[CONTAS],$C478,LANÇ_MOV[PLANO DE CONTAS],REL_DRE_FINANCEIRO!$B$445,LANÇ_MOV[ANO PAGAMENTO],$B$4,LANÇ_MOV[MÊS PAGAMENTO CORRESPONDENTE],G$6,LANÇ_MOV[EMPRESA],$C$4,LANÇ_MOV[CENTRO DE CUSTOS],$D$4)</f>
        <v>0</v>
      </c>
      <c r="H478" s="206">
        <f>SUMIFS(LANÇ_MOV[VALOR LÍQUIDO],LANÇ_MOV[RECEITA OU DESPESA],"Despesa",LANÇ_MOV[CONTAS],$C478,LANÇ_MOV[PLANO DE CONTAS],REL_DRE_FINANCEIRO!$B$445,LANÇ_MOV[ANO PAGAMENTO],$B$4,LANÇ_MOV[MÊS PAGAMENTO CORRESPONDENTE],H$6,LANÇ_MOV[EMPRESA],$C$4,LANÇ_MOV[CENTRO DE CUSTOS],$D$4)</f>
        <v>0</v>
      </c>
      <c r="I478" s="206">
        <f>SUMIFS(LANÇ_MOV[VALOR LÍQUIDO],LANÇ_MOV[RECEITA OU DESPESA],"Despesa",LANÇ_MOV[CONTAS],$C478,LANÇ_MOV[PLANO DE CONTAS],REL_DRE_FINANCEIRO!$B$445,LANÇ_MOV[ANO PAGAMENTO],$B$4,LANÇ_MOV[MÊS PAGAMENTO CORRESPONDENTE],I$6,LANÇ_MOV[EMPRESA],$C$4,LANÇ_MOV[CENTRO DE CUSTOS],$D$4)</f>
        <v>0</v>
      </c>
      <c r="J478" s="206">
        <f>SUMIFS(LANÇ_MOV[VALOR LÍQUIDO],LANÇ_MOV[RECEITA OU DESPESA],"Despesa",LANÇ_MOV[CONTAS],$C478,LANÇ_MOV[PLANO DE CONTAS],REL_DRE_FINANCEIRO!$B$445,LANÇ_MOV[ANO PAGAMENTO],$B$4,LANÇ_MOV[MÊS PAGAMENTO CORRESPONDENTE],J$6,LANÇ_MOV[EMPRESA],$C$4,LANÇ_MOV[CENTRO DE CUSTOS],$D$4)</f>
        <v>0</v>
      </c>
      <c r="K478" s="206">
        <f>SUMIFS(LANÇ_MOV[VALOR LÍQUIDO],LANÇ_MOV[RECEITA OU DESPESA],"Despesa",LANÇ_MOV[CONTAS],$C478,LANÇ_MOV[PLANO DE CONTAS],REL_DRE_FINANCEIRO!$B$445,LANÇ_MOV[ANO PAGAMENTO],$B$4,LANÇ_MOV[MÊS PAGAMENTO CORRESPONDENTE],K$6,LANÇ_MOV[EMPRESA],$C$4,LANÇ_MOV[CENTRO DE CUSTOS],$D$4)</f>
        <v>0</v>
      </c>
      <c r="L478" s="206">
        <f>SUMIFS(LANÇ_MOV[VALOR LÍQUIDO],LANÇ_MOV[RECEITA OU DESPESA],"Despesa",LANÇ_MOV[CONTAS],$C478,LANÇ_MOV[PLANO DE CONTAS],REL_DRE_FINANCEIRO!$B$445,LANÇ_MOV[ANO PAGAMENTO],$B$4,LANÇ_MOV[MÊS PAGAMENTO CORRESPONDENTE],L$6,LANÇ_MOV[EMPRESA],$C$4,LANÇ_MOV[CENTRO DE CUSTOS],$D$4)</f>
        <v>0</v>
      </c>
      <c r="M478" s="206">
        <f>SUMIFS(LANÇ_MOV[VALOR LÍQUIDO],LANÇ_MOV[RECEITA OU DESPESA],"Despesa",LANÇ_MOV[CONTAS],$C478,LANÇ_MOV[PLANO DE CONTAS],REL_DRE_FINANCEIRO!$B$445,LANÇ_MOV[ANO PAGAMENTO],$B$4,LANÇ_MOV[MÊS PAGAMENTO CORRESPONDENTE],M$6,LANÇ_MOV[EMPRESA],$C$4,LANÇ_MOV[CENTRO DE CUSTOS],$D$4)</f>
        <v>1318.45</v>
      </c>
      <c r="N478" s="206">
        <f>SUMIFS(LANÇ_MOV[VALOR LÍQUIDO],LANÇ_MOV[RECEITA OU DESPESA],"Despesa",LANÇ_MOV[CONTAS],$C478,LANÇ_MOV[PLANO DE CONTAS],REL_DRE_FINANCEIRO!$B$445,LANÇ_MOV[ANO PAGAMENTO],$B$4,LANÇ_MOV[MÊS PAGAMENTO CORRESPONDENTE],N$6,LANÇ_MOV[EMPRESA],$C$4,LANÇ_MOV[CENTRO DE CUSTOS],$D$4)</f>
        <v>0</v>
      </c>
      <c r="O478" s="206">
        <f>SUMIFS(LANÇ_MOV[VALOR LÍQUIDO],LANÇ_MOV[RECEITA OU DESPESA],"Despesa",LANÇ_MOV[CONTAS],$C478,LANÇ_MOV[PLANO DE CONTAS],REL_DRE_FINANCEIRO!$B$445,LANÇ_MOV[ANO PAGAMENTO],$B$4,LANÇ_MOV[MÊS PAGAMENTO CORRESPONDENTE],O$6,LANÇ_MOV[EMPRESA],$C$4,LANÇ_MOV[CENTRO DE CUSTOS],$D$4)</f>
        <v>0</v>
      </c>
      <c r="P478" s="207">
        <f t="shared" si="65"/>
        <v>1318.45</v>
      </c>
      <c r="Q478" s="329">
        <v>6.8000000000000001E-6</v>
      </c>
      <c r="R478" s="346">
        <f t="shared" si="67"/>
        <v>1318.4500068</v>
      </c>
      <c r="S478" s="347" t="str">
        <f t="shared" si="68"/>
        <v>PROFESSOR PESSOA JURÍDICA</v>
      </c>
      <c r="T478" s="347">
        <f t="shared" si="69"/>
        <v>1318.45</v>
      </c>
      <c r="U478" s="347">
        <f>HLOOKUP(Apoio!$P$12,$D$444:$P$545,X478,FALSE)+Q478</f>
        <v>1318.4500068</v>
      </c>
      <c r="V478" s="447" t="str">
        <f t="shared" si="66"/>
        <v>PROFESSOR PESSOA JURÍDICA</v>
      </c>
      <c r="W478" s="448">
        <f>HLOOKUP(Apoio!$P$12,$D$444:$P$545,X478,FALSE)</f>
        <v>1318.45</v>
      </c>
      <c r="X478" s="329">
        <v>35</v>
      </c>
    </row>
    <row r="479" spans="2:24" ht="30.05" customHeight="1" x14ac:dyDescent="0.35">
      <c r="B479" s="204" t="str">
        <f>'CAD_PL_REC-DESP'!T38</f>
        <v>2.4.34</v>
      </c>
      <c r="C479" s="205" t="str">
        <f>IF('CAD_PL_REC-DESP'!U38="","-",'CAD_PL_REC-DESP'!U38)</f>
        <v>UNIFORME</v>
      </c>
      <c r="D479" s="206">
        <f>SUMIFS(LANÇ_MOV[VALOR LÍQUIDO],LANÇ_MOV[RECEITA OU DESPESA],"Despesa",LANÇ_MOV[CONTAS],$C479,LANÇ_MOV[PLANO DE CONTAS],REL_DRE_FINANCEIRO!$B$445,LANÇ_MOV[ANO PAGAMENTO],$B$4,LANÇ_MOV[MÊS PAGAMENTO CORRESPONDENTE],D$6,LANÇ_MOV[EMPRESA],$C$4,LANÇ_MOV[CENTRO DE CUSTOS],$D$4)</f>
        <v>0</v>
      </c>
      <c r="E479" s="206">
        <f>SUMIFS(LANÇ_MOV[VALOR LÍQUIDO],LANÇ_MOV[RECEITA OU DESPESA],"Despesa",LANÇ_MOV[CONTAS],$C479,LANÇ_MOV[PLANO DE CONTAS],REL_DRE_FINANCEIRO!$B$445,LANÇ_MOV[ANO PAGAMENTO],$B$4,LANÇ_MOV[MÊS PAGAMENTO CORRESPONDENTE],E$6,LANÇ_MOV[EMPRESA],$C$4,LANÇ_MOV[CENTRO DE CUSTOS],$D$4)</f>
        <v>0</v>
      </c>
      <c r="F479" s="206">
        <f>SUMIFS(LANÇ_MOV[VALOR LÍQUIDO],LANÇ_MOV[RECEITA OU DESPESA],"Despesa",LANÇ_MOV[CONTAS],$C479,LANÇ_MOV[PLANO DE CONTAS],REL_DRE_FINANCEIRO!$B$445,LANÇ_MOV[ANO PAGAMENTO],$B$4,LANÇ_MOV[MÊS PAGAMENTO CORRESPONDENTE],F$6,LANÇ_MOV[EMPRESA],$C$4,LANÇ_MOV[CENTRO DE CUSTOS],$D$4)</f>
        <v>0</v>
      </c>
      <c r="G479" s="206">
        <f>SUMIFS(LANÇ_MOV[VALOR LÍQUIDO],LANÇ_MOV[RECEITA OU DESPESA],"Despesa",LANÇ_MOV[CONTAS],$C479,LANÇ_MOV[PLANO DE CONTAS],REL_DRE_FINANCEIRO!$B$445,LANÇ_MOV[ANO PAGAMENTO],$B$4,LANÇ_MOV[MÊS PAGAMENTO CORRESPONDENTE],G$6,LANÇ_MOV[EMPRESA],$C$4,LANÇ_MOV[CENTRO DE CUSTOS],$D$4)</f>
        <v>0</v>
      </c>
      <c r="H479" s="206">
        <f>SUMIFS(LANÇ_MOV[VALOR LÍQUIDO],LANÇ_MOV[RECEITA OU DESPESA],"Despesa",LANÇ_MOV[CONTAS],$C479,LANÇ_MOV[PLANO DE CONTAS],REL_DRE_FINANCEIRO!$B$445,LANÇ_MOV[ANO PAGAMENTO],$B$4,LANÇ_MOV[MÊS PAGAMENTO CORRESPONDENTE],H$6,LANÇ_MOV[EMPRESA],$C$4,LANÇ_MOV[CENTRO DE CUSTOS],$D$4)</f>
        <v>0</v>
      </c>
      <c r="I479" s="206">
        <f>SUMIFS(LANÇ_MOV[VALOR LÍQUIDO],LANÇ_MOV[RECEITA OU DESPESA],"Despesa",LANÇ_MOV[CONTAS],$C479,LANÇ_MOV[PLANO DE CONTAS],REL_DRE_FINANCEIRO!$B$445,LANÇ_MOV[ANO PAGAMENTO],$B$4,LANÇ_MOV[MÊS PAGAMENTO CORRESPONDENTE],I$6,LANÇ_MOV[EMPRESA],$C$4,LANÇ_MOV[CENTRO DE CUSTOS],$D$4)</f>
        <v>0</v>
      </c>
      <c r="J479" s="206">
        <f>SUMIFS(LANÇ_MOV[VALOR LÍQUIDO],LANÇ_MOV[RECEITA OU DESPESA],"Despesa",LANÇ_MOV[CONTAS],$C479,LANÇ_MOV[PLANO DE CONTAS],REL_DRE_FINANCEIRO!$B$445,LANÇ_MOV[ANO PAGAMENTO],$B$4,LANÇ_MOV[MÊS PAGAMENTO CORRESPONDENTE],J$6,LANÇ_MOV[EMPRESA],$C$4,LANÇ_MOV[CENTRO DE CUSTOS],$D$4)</f>
        <v>0</v>
      </c>
      <c r="K479" s="206">
        <f>SUMIFS(LANÇ_MOV[VALOR LÍQUIDO],LANÇ_MOV[RECEITA OU DESPESA],"Despesa",LANÇ_MOV[CONTAS],$C479,LANÇ_MOV[PLANO DE CONTAS],REL_DRE_FINANCEIRO!$B$445,LANÇ_MOV[ANO PAGAMENTO],$B$4,LANÇ_MOV[MÊS PAGAMENTO CORRESPONDENTE],K$6,LANÇ_MOV[EMPRESA],$C$4,LANÇ_MOV[CENTRO DE CUSTOS],$D$4)</f>
        <v>0</v>
      </c>
      <c r="L479" s="206">
        <f>SUMIFS(LANÇ_MOV[VALOR LÍQUIDO],LANÇ_MOV[RECEITA OU DESPESA],"Despesa",LANÇ_MOV[CONTAS],$C479,LANÇ_MOV[PLANO DE CONTAS],REL_DRE_FINANCEIRO!$B$445,LANÇ_MOV[ANO PAGAMENTO],$B$4,LANÇ_MOV[MÊS PAGAMENTO CORRESPONDENTE],L$6,LANÇ_MOV[EMPRESA],$C$4,LANÇ_MOV[CENTRO DE CUSTOS],$D$4)</f>
        <v>0</v>
      </c>
      <c r="M479" s="206">
        <f>SUMIFS(LANÇ_MOV[VALOR LÍQUIDO],LANÇ_MOV[RECEITA OU DESPESA],"Despesa",LANÇ_MOV[CONTAS],$C479,LANÇ_MOV[PLANO DE CONTAS],REL_DRE_FINANCEIRO!$B$445,LANÇ_MOV[ANO PAGAMENTO],$B$4,LANÇ_MOV[MÊS PAGAMENTO CORRESPONDENTE],M$6,LANÇ_MOV[EMPRESA],$C$4,LANÇ_MOV[CENTRO DE CUSTOS],$D$4)</f>
        <v>0</v>
      </c>
      <c r="N479" s="206">
        <f>SUMIFS(LANÇ_MOV[VALOR LÍQUIDO],LANÇ_MOV[RECEITA OU DESPESA],"Despesa",LANÇ_MOV[CONTAS],$C479,LANÇ_MOV[PLANO DE CONTAS],REL_DRE_FINANCEIRO!$B$445,LANÇ_MOV[ANO PAGAMENTO],$B$4,LANÇ_MOV[MÊS PAGAMENTO CORRESPONDENTE],N$6,LANÇ_MOV[EMPRESA],$C$4,LANÇ_MOV[CENTRO DE CUSTOS],$D$4)</f>
        <v>0</v>
      </c>
      <c r="O479" s="206">
        <f>SUMIFS(LANÇ_MOV[VALOR LÍQUIDO],LANÇ_MOV[RECEITA OU DESPESA],"Despesa",LANÇ_MOV[CONTAS],$C479,LANÇ_MOV[PLANO DE CONTAS],REL_DRE_FINANCEIRO!$B$445,LANÇ_MOV[ANO PAGAMENTO],$B$4,LANÇ_MOV[MÊS PAGAMENTO CORRESPONDENTE],O$6,LANÇ_MOV[EMPRESA],$C$4,LANÇ_MOV[CENTRO DE CUSTOS],$D$4)</f>
        <v>0</v>
      </c>
      <c r="P479" s="207">
        <f t="shared" si="65"/>
        <v>0</v>
      </c>
      <c r="Q479" s="329">
        <v>6.7000000000000002E-6</v>
      </c>
      <c r="R479" s="346">
        <f t="shared" si="67"/>
        <v>6.7000000000000002E-6</v>
      </c>
      <c r="S479" s="347" t="str">
        <f t="shared" si="68"/>
        <v>UNIFORME</v>
      </c>
      <c r="T479" s="347">
        <f t="shared" si="69"/>
        <v>0</v>
      </c>
      <c r="U479" s="347">
        <f>HLOOKUP(Apoio!$P$12,$D$444:$P$545,X479,FALSE)+Q479</f>
        <v>6.7000000000000002E-6</v>
      </c>
      <c r="V479" s="447" t="str">
        <f t="shared" si="66"/>
        <v>UNIFORME</v>
      </c>
      <c r="W479" s="448">
        <f>HLOOKUP(Apoio!$P$12,$D$444:$P$545,X479,FALSE)</f>
        <v>0</v>
      </c>
      <c r="X479" s="329">
        <v>36</v>
      </c>
    </row>
    <row r="480" spans="2:24" ht="30.05" customHeight="1" x14ac:dyDescent="0.35">
      <c r="B480" s="204" t="str">
        <f>'CAD_PL_REC-DESP'!T39</f>
        <v>2.4.35</v>
      </c>
      <c r="C480" s="205" t="str">
        <f>IF('CAD_PL_REC-DESP'!U39="","-",'CAD_PL_REC-DESP'!U39)</f>
        <v>VALE TRANSPORTE</v>
      </c>
      <c r="D480" s="206">
        <f>SUMIFS(LANÇ_MOV[VALOR LÍQUIDO],LANÇ_MOV[RECEITA OU DESPESA],"Despesa",LANÇ_MOV[CONTAS],$C480,LANÇ_MOV[PLANO DE CONTAS],REL_DRE_FINANCEIRO!$B$445,LANÇ_MOV[ANO PAGAMENTO],$B$4,LANÇ_MOV[MÊS PAGAMENTO CORRESPONDENTE],D$6,LANÇ_MOV[EMPRESA],$C$4,LANÇ_MOV[CENTRO DE CUSTOS],$D$4)</f>
        <v>0</v>
      </c>
      <c r="E480" s="206">
        <f>SUMIFS(LANÇ_MOV[VALOR LÍQUIDO],LANÇ_MOV[RECEITA OU DESPESA],"Despesa",LANÇ_MOV[CONTAS],$C480,LANÇ_MOV[PLANO DE CONTAS],REL_DRE_FINANCEIRO!$B$445,LANÇ_MOV[ANO PAGAMENTO],$B$4,LANÇ_MOV[MÊS PAGAMENTO CORRESPONDENTE],E$6,LANÇ_MOV[EMPRESA],$C$4,LANÇ_MOV[CENTRO DE CUSTOS],$D$4)</f>
        <v>0</v>
      </c>
      <c r="F480" s="206">
        <f>SUMIFS(LANÇ_MOV[VALOR LÍQUIDO],LANÇ_MOV[RECEITA OU DESPESA],"Despesa",LANÇ_MOV[CONTAS],$C480,LANÇ_MOV[PLANO DE CONTAS],REL_DRE_FINANCEIRO!$B$445,LANÇ_MOV[ANO PAGAMENTO],$B$4,LANÇ_MOV[MÊS PAGAMENTO CORRESPONDENTE],F$6,LANÇ_MOV[EMPRESA],$C$4,LANÇ_MOV[CENTRO DE CUSTOS],$D$4)</f>
        <v>0</v>
      </c>
      <c r="G480" s="206">
        <f>SUMIFS(LANÇ_MOV[VALOR LÍQUIDO],LANÇ_MOV[RECEITA OU DESPESA],"Despesa",LANÇ_MOV[CONTAS],$C480,LANÇ_MOV[PLANO DE CONTAS],REL_DRE_FINANCEIRO!$B$445,LANÇ_MOV[ANO PAGAMENTO],$B$4,LANÇ_MOV[MÊS PAGAMENTO CORRESPONDENTE],G$6,LANÇ_MOV[EMPRESA],$C$4,LANÇ_MOV[CENTRO DE CUSTOS],$D$4)</f>
        <v>0</v>
      </c>
      <c r="H480" s="206">
        <f>SUMIFS(LANÇ_MOV[VALOR LÍQUIDO],LANÇ_MOV[RECEITA OU DESPESA],"Despesa",LANÇ_MOV[CONTAS],$C480,LANÇ_MOV[PLANO DE CONTAS],REL_DRE_FINANCEIRO!$B$445,LANÇ_MOV[ANO PAGAMENTO],$B$4,LANÇ_MOV[MÊS PAGAMENTO CORRESPONDENTE],H$6,LANÇ_MOV[EMPRESA],$C$4,LANÇ_MOV[CENTRO DE CUSTOS],$D$4)</f>
        <v>0</v>
      </c>
      <c r="I480" s="206">
        <f>SUMIFS(LANÇ_MOV[VALOR LÍQUIDO],LANÇ_MOV[RECEITA OU DESPESA],"Despesa",LANÇ_MOV[CONTAS],$C480,LANÇ_MOV[PLANO DE CONTAS],REL_DRE_FINANCEIRO!$B$445,LANÇ_MOV[ANO PAGAMENTO],$B$4,LANÇ_MOV[MÊS PAGAMENTO CORRESPONDENTE],I$6,LANÇ_MOV[EMPRESA],$C$4,LANÇ_MOV[CENTRO DE CUSTOS],$D$4)</f>
        <v>0</v>
      </c>
      <c r="J480" s="206">
        <f>SUMIFS(LANÇ_MOV[VALOR LÍQUIDO],LANÇ_MOV[RECEITA OU DESPESA],"Despesa",LANÇ_MOV[CONTAS],$C480,LANÇ_MOV[PLANO DE CONTAS],REL_DRE_FINANCEIRO!$B$445,LANÇ_MOV[ANO PAGAMENTO],$B$4,LANÇ_MOV[MÊS PAGAMENTO CORRESPONDENTE],J$6,LANÇ_MOV[EMPRESA],$C$4,LANÇ_MOV[CENTRO DE CUSTOS],$D$4)</f>
        <v>0</v>
      </c>
      <c r="K480" s="206">
        <f>SUMIFS(LANÇ_MOV[VALOR LÍQUIDO],LANÇ_MOV[RECEITA OU DESPESA],"Despesa",LANÇ_MOV[CONTAS],$C480,LANÇ_MOV[PLANO DE CONTAS],REL_DRE_FINANCEIRO!$B$445,LANÇ_MOV[ANO PAGAMENTO],$B$4,LANÇ_MOV[MÊS PAGAMENTO CORRESPONDENTE],K$6,LANÇ_MOV[EMPRESA],$C$4,LANÇ_MOV[CENTRO DE CUSTOS],$D$4)</f>
        <v>0</v>
      </c>
      <c r="L480" s="206">
        <f>SUMIFS(LANÇ_MOV[VALOR LÍQUIDO],LANÇ_MOV[RECEITA OU DESPESA],"Despesa",LANÇ_MOV[CONTAS],$C480,LANÇ_MOV[PLANO DE CONTAS],REL_DRE_FINANCEIRO!$B$445,LANÇ_MOV[ANO PAGAMENTO],$B$4,LANÇ_MOV[MÊS PAGAMENTO CORRESPONDENTE],L$6,LANÇ_MOV[EMPRESA],$C$4,LANÇ_MOV[CENTRO DE CUSTOS],$D$4)</f>
        <v>0</v>
      </c>
      <c r="M480" s="206">
        <f>SUMIFS(LANÇ_MOV[VALOR LÍQUIDO],LANÇ_MOV[RECEITA OU DESPESA],"Despesa",LANÇ_MOV[CONTAS],$C480,LANÇ_MOV[PLANO DE CONTAS],REL_DRE_FINANCEIRO!$B$445,LANÇ_MOV[ANO PAGAMENTO],$B$4,LANÇ_MOV[MÊS PAGAMENTO CORRESPONDENTE],M$6,LANÇ_MOV[EMPRESA],$C$4,LANÇ_MOV[CENTRO DE CUSTOS],$D$4)</f>
        <v>0</v>
      </c>
      <c r="N480" s="206">
        <f>SUMIFS(LANÇ_MOV[VALOR LÍQUIDO],LANÇ_MOV[RECEITA OU DESPESA],"Despesa",LANÇ_MOV[CONTAS],$C480,LANÇ_MOV[PLANO DE CONTAS],REL_DRE_FINANCEIRO!$B$445,LANÇ_MOV[ANO PAGAMENTO],$B$4,LANÇ_MOV[MÊS PAGAMENTO CORRESPONDENTE],N$6,LANÇ_MOV[EMPRESA],$C$4,LANÇ_MOV[CENTRO DE CUSTOS],$D$4)</f>
        <v>0</v>
      </c>
      <c r="O480" s="206">
        <f>SUMIFS(LANÇ_MOV[VALOR LÍQUIDO],LANÇ_MOV[RECEITA OU DESPESA],"Despesa",LANÇ_MOV[CONTAS],$C480,LANÇ_MOV[PLANO DE CONTAS],REL_DRE_FINANCEIRO!$B$445,LANÇ_MOV[ANO PAGAMENTO],$B$4,LANÇ_MOV[MÊS PAGAMENTO CORRESPONDENTE],O$6,LANÇ_MOV[EMPRESA],$C$4,LANÇ_MOV[CENTRO DE CUSTOS],$D$4)</f>
        <v>0</v>
      </c>
      <c r="P480" s="207">
        <f t="shared" si="65"/>
        <v>0</v>
      </c>
      <c r="Q480" s="329">
        <v>6.6000000000000003E-6</v>
      </c>
      <c r="R480" s="346">
        <f t="shared" si="67"/>
        <v>6.6000000000000003E-6</v>
      </c>
      <c r="S480" s="347" t="str">
        <f t="shared" si="68"/>
        <v>VALE TRANSPORTE</v>
      </c>
      <c r="T480" s="347">
        <f t="shared" si="69"/>
        <v>0</v>
      </c>
      <c r="U480" s="347">
        <f>HLOOKUP(Apoio!$P$12,$D$444:$P$545,X480,FALSE)+Q480</f>
        <v>6.6000000000000003E-6</v>
      </c>
      <c r="V480" s="447" t="str">
        <f t="shared" si="66"/>
        <v>VALE TRANSPORTE</v>
      </c>
      <c r="W480" s="448">
        <f>HLOOKUP(Apoio!$P$12,$D$444:$P$545,X480,FALSE)</f>
        <v>0</v>
      </c>
      <c r="X480" s="329">
        <v>37</v>
      </c>
    </row>
    <row r="481" spans="2:24" ht="30.05" customHeight="1" x14ac:dyDescent="0.35">
      <c r="B481" s="204" t="str">
        <f>'CAD_PL_REC-DESP'!T40</f>
        <v>2.4.36</v>
      </c>
      <c r="C481" s="205" t="str">
        <f>IF('CAD_PL_REC-DESP'!U5="","-",'CAD_PL_REC-DESP'!U5)</f>
        <v>13º 1ª PARCELA</v>
      </c>
      <c r="D481" s="206">
        <f>SUMIFS(LANÇ_MOV[VALOR LÍQUIDO],LANÇ_MOV[RECEITA OU DESPESA],"Despesa",LANÇ_MOV[CONTAS],$C481,LANÇ_MOV[PLANO DE CONTAS],REL_DRE_FINANCEIRO!$B$445,LANÇ_MOV[ANO PAGAMENTO],$B$4,LANÇ_MOV[MÊS PAGAMENTO CORRESPONDENTE],D$6,LANÇ_MOV[EMPRESA],$C$4,LANÇ_MOV[CENTRO DE CUSTOS],$D$4)</f>
        <v>0</v>
      </c>
      <c r="E481" s="206">
        <f>SUMIFS(LANÇ_MOV[VALOR LÍQUIDO],LANÇ_MOV[RECEITA OU DESPESA],"Despesa",LANÇ_MOV[CONTAS],$C481,LANÇ_MOV[PLANO DE CONTAS],REL_DRE_FINANCEIRO!$B$445,LANÇ_MOV[ANO PAGAMENTO],$B$4,LANÇ_MOV[MÊS PAGAMENTO CORRESPONDENTE],E$6,LANÇ_MOV[EMPRESA],$C$4,LANÇ_MOV[CENTRO DE CUSTOS],$D$4)</f>
        <v>0</v>
      </c>
      <c r="F481" s="206">
        <f>SUMIFS(LANÇ_MOV[VALOR LÍQUIDO],LANÇ_MOV[RECEITA OU DESPESA],"Despesa",LANÇ_MOV[CONTAS],$C481,LANÇ_MOV[PLANO DE CONTAS],REL_DRE_FINANCEIRO!$B$445,LANÇ_MOV[ANO PAGAMENTO],$B$4,LANÇ_MOV[MÊS PAGAMENTO CORRESPONDENTE],F$6,LANÇ_MOV[EMPRESA],$C$4,LANÇ_MOV[CENTRO DE CUSTOS],$D$4)</f>
        <v>0</v>
      </c>
      <c r="G481" s="206">
        <f>SUMIFS(LANÇ_MOV[VALOR LÍQUIDO],LANÇ_MOV[RECEITA OU DESPESA],"Despesa",LANÇ_MOV[CONTAS],$C481,LANÇ_MOV[PLANO DE CONTAS],REL_DRE_FINANCEIRO!$B$445,LANÇ_MOV[ANO PAGAMENTO],$B$4,LANÇ_MOV[MÊS PAGAMENTO CORRESPONDENTE],G$6,LANÇ_MOV[EMPRESA],$C$4,LANÇ_MOV[CENTRO DE CUSTOS],$D$4)</f>
        <v>0</v>
      </c>
      <c r="H481" s="206">
        <f>SUMIFS(LANÇ_MOV[VALOR LÍQUIDO],LANÇ_MOV[RECEITA OU DESPESA],"Despesa",LANÇ_MOV[CONTAS],$C481,LANÇ_MOV[PLANO DE CONTAS],REL_DRE_FINANCEIRO!$B$445,LANÇ_MOV[ANO PAGAMENTO],$B$4,LANÇ_MOV[MÊS PAGAMENTO CORRESPONDENTE],H$6,LANÇ_MOV[EMPRESA],$C$4,LANÇ_MOV[CENTRO DE CUSTOS],$D$4)</f>
        <v>0</v>
      </c>
      <c r="I481" s="206">
        <f>SUMIFS(LANÇ_MOV[VALOR LÍQUIDO],LANÇ_MOV[RECEITA OU DESPESA],"Despesa",LANÇ_MOV[CONTAS],$C481,LANÇ_MOV[PLANO DE CONTAS],REL_DRE_FINANCEIRO!$B$445,LANÇ_MOV[ANO PAGAMENTO],$B$4,LANÇ_MOV[MÊS PAGAMENTO CORRESPONDENTE],I$6,LANÇ_MOV[EMPRESA],$C$4,LANÇ_MOV[CENTRO DE CUSTOS],$D$4)</f>
        <v>0</v>
      </c>
      <c r="J481" s="206">
        <f>SUMIFS(LANÇ_MOV[VALOR LÍQUIDO],LANÇ_MOV[RECEITA OU DESPESA],"Despesa",LANÇ_MOV[CONTAS],$C481,LANÇ_MOV[PLANO DE CONTAS],REL_DRE_FINANCEIRO!$B$445,LANÇ_MOV[ANO PAGAMENTO],$B$4,LANÇ_MOV[MÊS PAGAMENTO CORRESPONDENTE],J$6,LANÇ_MOV[EMPRESA],$C$4,LANÇ_MOV[CENTRO DE CUSTOS],$D$4)</f>
        <v>0</v>
      </c>
      <c r="K481" s="206">
        <f>SUMIFS(LANÇ_MOV[VALOR LÍQUIDO],LANÇ_MOV[RECEITA OU DESPESA],"Despesa",LANÇ_MOV[CONTAS],$C481,LANÇ_MOV[PLANO DE CONTAS],REL_DRE_FINANCEIRO!$B$445,LANÇ_MOV[ANO PAGAMENTO],$B$4,LANÇ_MOV[MÊS PAGAMENTO CORRESPONDENTE],K$6,LANÇ_MOV[EMPRESA],$C$4,LANÇ_MOV[CENTRO DE CUSTOS],$D$4)</f>
        <v>0</v>
      </c>
      <c r="L481" s="206">
        <f>SUMIFS(LANÇ_MOV[VALOR LÍQUIDO],LANÇ_MOV[RECEITA OU DESPESA],"Despesa",LANÇ_MOV[CONTAS],$C481,LANÇ_MOV[PLANO DE CONTAS],REL_DRE_FINANCEIRO!$B$445,LANÇ_MOV[ANO PAGAMENTO],$B$4,LANÇ_MOV[MÊS PAGAMENTO CORRESPONDENTE],L$6,LANÇ_MOV[EMPRESA],$C$4,LANÇ_MOV[CENTRO DE CUSTOS],$D$4)</f>
        <v>0</v>
      </c>
      <c r="M481" s="206">
        <f>SUMIFS(LANÇ_MOV[VALOR LÍQUIDO],LANÇ_MOV[RECEITA OU DESPESA],"Despesa",LANÇ_MOV[CONTAS],$C481,LANÇ_MOV[PLANO DE CONTAS],REL_DRE_FINANCEIRO!$B$445,LANÇ_MOV[ANO PAGAMENTO],$B$4,LANÇ_MOV[MÊS PAGAMENTO CORRESPONDENTE],M$6,LANÇ_MOV[EMPRESA],$C$4,LANÇ_MOV[CENTRO DE CUSTOS],$D$4)</f>
        <v>0</v>
      </c>
      <c r="N481" s="206">
        <f>SUMIFS(LANÇ_MOV[VALOR LÍQUIDO],LANÇ_MOV[RECEITA OU DESPESA],"Despesa",LANÇ_MOV[CONTAS],$C481,LANÇ_MOV[PLANO DE CONTAS],REL_DRE_FINANCEIRO!$B$445,LANÇ_MOV[ANO PAGAMENTO],$B$4,LANÇ_MOV[MÊS PAGAMENTO CORRESPONDENTE],N$6,LANÇ_MOV[EMPRESA],$C$4,LANÇ_MOV[CENTRO DE CUSTOS],$D$4)</f>
        <v>0</v>
      </c>
      <c r="O481" s="206">
        <f>SUMIFS(LANÇ_MOV[VALOR LÍQUIDO],LANÇ_MOV[RECEITA OU DESPESA],"Despesa",LANÇ_MOV[CONTAS],$C481,LANÇ_MOV[PLANO DE CONTAS],REL_DRE_FINANCEIRO!$B$445,LANÇ_MOV[ANO PAGAMENTO],$B$4,LANÇ_MOV[MÊS PAGAMENTO CORRESPONDENTE],O$6,LANÇ_MOV[EMPRESA],$C$4,LANÇ_MOV[CENTRO DE CUSTOS],$D$4)</f>
        <v>0</v>
      </c>
      <c r="P481" s="207">
        <f t="shared" si="65"/>
        <v>0</v>
      </c>
      <c r="Q481" s="329">
        <v>6.4999999999999996E-6</v>
      </c>
      <c r="R481" s="346">
        <f t="shared" si="67"/>
        <v>6.4999999999999996E-6</v>
      </c>
      <c r="S481" s="347" t="str">
        <f t="shared" si="68"/>
        <v>13º 1ª PARCELA</v>
      </c>
      <c r="T481" s="347">
        <f t="shared" si="69"/>
        <v>0</v>
      </c>
      <c r="U481" s="347">
        <f>HLOOKUP(Apoio!$P$12,$D$444:$P$545,X481,FALSE)+Q481</f>
        <v>6.4999999999999996E-6</v>
      </c>
      <c r="V481" s="447" t="str">
        <f t="shared" si="66"/>
        <v>13º 1ª PARCELA</v>
      </c>
      <c r="W481" s="448">
        <f>HLOOKUP(Apoio!$P$12,$D$444:$P$545,X481,FALSE)</f>
        <v>0</v>
      </c>
      <c r="X481" s="329">
        <v>38</v>
      </c>
    </row>
    <row r="482" spans="2:24" ht="30.05" customHeight="1" x14ac:dyDescent="0.35">
      <c r="B482" s="204" t="str">
        <f>'CAD_PL_REC-DESP'!T41</f>
        <v>2.4.37</v>
      </c>
      <c r="C482" s="205" t="str">
        <f>IF('CAD_PL_REC-DESP'!U6="","-",'CAD_PL_REC-DESP'!U6)</f>
        <v>13º 2ª PARCELA</v>
      </c>
      <c r="D482" s="206">
        <f>SUMIFS(LANÇ_MOV[VALOR LÍQUIDO],LANÇ_MOV[RECEITA OU DESPESA],"Despesa",LANÇ_MOV[CONTAS],$C482,LANÇ_MOV[PLANO DE CONTAS],REL_DRE_FINANCEIRO!$B$445,LANÇ_MOV[ANO PAGAMENTO],$B$4,LANÇ_MOV[MÊS PAGAMENTO CORRESPONDENTE],D$6,LANÇ_MOV[EMPRESA],$C$4,LANÇ_MOV[CENTRO DE CUSTOS],$D$4)</f>
        <v>0</v>
      </c>
      <c r="E482" s="206">
        <f>SUMIFS(LANÇ_MOV[VALOR LÍQUIDO],LANÇ_MOV[RECEITA OU DESPESA],"Despesa",LANÇ_MOV[CONTAS],$C482,LANÇ_MOV[PLANO DE CONTAS],REL_DRE_FINANCEIRO!$B$445,LANÇ_MOV[ANO PAGAMENTO],$B$4,LANÇ_MOV[MÊS PAGAMENTO CORRESPONDENTE],E$6,LANÇ_MOV[EMPRESA],$C$4,LANÇ_MOV[CENTRO DE CUSTOS],$D$4)</f>
        <v>0</v>
      </c>
      <c r="F482" s="206">
        <f>SUMIFS(LANÇ_MOV[VALOR LÍQUIDO],LANÇ_MOV[RECEITA OU DESPESA],"Despesa",LANÇ_MOV[CONTAS],$C482,LANÇ_MOV[PLANO DE CONTAS],REL_DRE_FINANCEIRO!$B$445,LANÇ_MOV[ANO PAGAMENTO],$B$4,LANÇ_MOV[MÊS PAGAMENTO CORRESPONDENTE],F$6,LANÇ_MOV[EMPRESA],$C$4,LANÇ_MOV[CENTRO DE CUSTOS],$D$4)</f>
        <v>0</v>
      </c>
      <c r="G482" s="206">
        <f>SUMIFS(LANÇ_MOV[VALOR LÍQUIDO],LANÇ_MOV[RECEITA OU DESPESA],"Despesa",LANÇ_MOV[CONTAS],$C482,LANÇ_MOV[PLANO DE CONTAS],REL_DRE_FINANCEIRO!$B$445,LANÇ_MOV[ANO PAGAMENTO],$B$4,LANÇ_MOV[MÊS PAGAMENTO CORRESPONDENTE],G$6,LANÇ_MOV[EMPRESA],$C$4,LANÇ_MOV[CENTRO DE CUSTOS],$D$4)</f>
        <v>0</v>
      </c>
      <c r="H482" s="206">
        <f>SUMIFS(LANÇ_MOV[VALOR LÍQUIDO],LANÇ_MOV[RECEITA OU DESPESA],"Despesa",LANÇ_MOV[CONTAS],$C482,LANÇ_MOV[PLANO DE CONTAS],REL_DRE_FINANCEIRO!$B$445,LANÇ_MOV[ANO PAGAMENTO],$B$4,LANÇ_MOV[MÊS PAGAMENTO CORRESPONDENTE],H$6,LANÇ_MOV[EMPRESA],$C$4,LANÇ_MOV[CENTRO DE CUSTOS],$D$4)</f>
        <v>0</v>
      </c>
      <c r="I482" s="206">
        <f>SUMIFS(LANÇ_MOV[VALOR LÍQUIDO],LANÇ_MOV[RECEITA OU DESPESA],"Despesa",LANÇ_MOV[CONTAS],$C482,LANÇ_MOV[PLANO DE CONTAS],REL_DRE_FINANCEIRO!$B$445,LANÇ_MOV[ANO PAGAMENTO],$B$4,LANÇ_MOV[MÊS PAGAMENTO CORRESPONDENTE],I$6,LANÇ_MOV[EMPRESA],$C$4,LANÇ_MOV[CENTRO DE CUSTOS],$D$4)</f>
        <v>0</v>
      </c>
      <c r="J482" s="206">
        <f>SUMIFS(LANÇ_MOV[VALOR LÍQUIDO],LANÇ_MOV[RECEITA OU DESPESA],"Despesa",LANÇ_MOV[CONTAS],$C482,LANÇ_MOV[PLANO DE CONTAS],REL_DRE_FINANCEIRO!$B$445,LANÇ_MOV[ANO PAGAMENTO],$B$4,LANÇ_MOV[MÊS PAGAMENTO CORRESPONDENTE],J$6,LANÇ_MOV[EMPRESA],$C$4,LANÇ_MOV[CENTRO DE CUSTOS],$D$4)</f>
        <v>0</v>
      </c>
      <c r="K482" s="206">
        <f>SUMIFS(LANÇ_MOV[VALOR LÍQUIDO],LANÇ_MOV[RECEITA OU DESPESA],"Despesa",LANÇ_MOV[CONTAS],$C482,LANÇ_MOV[PLANO DE CONTAS],REL_DRE_FINANCEIRO!$B$445,LANÇ_MOV[ANO PAGAMENTO],$B$4,LANÇ_MOV[MÊS PAGAMENTO CORRESPONDENTE],K$6,LANÇ_MOV[EMPRESA],$C$4,LANÇ_MOV[CENTRO DE CUSTOS],$D$4)</f>
        <v>0</v>
      </c>
      <c r="L482" s="206">
        <f>SUMIFS(LANÇ_MOV[VALOR LÍQUIDO],LANÇ_MOV[RECEITA OU DESPESA],"Despesa",LANÇ_MOV[CONTAS],$C482,LANÇ_MOV[PLANO DE CONTAS],REL_DRE_FINANCEIRO!$B$445,LANÇ_MOV[ANO PAGAMENTO],$B$4,LANÇ_MOV[MÊS PAGAMENTO CORRESPONDENTE],L$6,LANÇ_MOV[EMPRESA],$C$4,LANÇ_MOV[CENTRO DE CUSTOS],$D$4)</f>
        <v>0</v>
      </c>
      <c r="M482" s="206">
        <f>SUMIFS(LANÇ_MOV[VALOR LÍQUIDO],LANÇ_MOV[RECEITA OU DESPESA],"Despesa",LANÇ_MOV[CONTAS],$C482,LANÇ_MOV[PLANO DE CONTAS],REL_DRE_FINANCEIRO!$B$445,LANÇ_MOV[ANO PAGAMENTO],$B$4,LANÇ_MOV[MÊS PAGAMENTO CORRESPONDENTE],M$6,LANÇ_MOV[EMPRESA],$C$4,LANÇ_MOV[CENTRO DE CUSTOS],$D$4)</f>
        <v>0</v>
      </c>
      <c r="N482" s="206">
        <f>SUMIFS(LANÇ_MOV[VALOR LÍQUIDO],LANÇ_MOV[RECEITA OU DESPESA],"Despesa",LANÇ_MOV[CONTAS],$C482,LANÇ_MOV[PLANO DE CONTAS],REL_DRE_FINANCEIRO!$B$445,LANÇ_MOV[ANO PAGAMENTO],$B$4,LANÇ_MOV[MÊS PAGAMENTO CORRESPONDENTE],N$6,LANÇ_MOV[EMPRESA],$C$4,LANÇ_MOV[CENTRO DE CUSTOS],$D$4)</f>
        <v>0</v>
      </c>
      <c r="O482" s="206">
        <f>SUMIFS(LANÇ_MOV[VALOR LÍQUIDO],LANÇ_MOV[RECEITA OU DESPESA],"Despesa",LANÇ_MOV[CONTAS],$C482,LANÇ_MOV[PLANO DE CONTAS],REL_DRE_FINANCEIRO!$B$445,LANÇ_MOV[ANO PAGAMENTO],$B$4,LANÇ_MOV[MÊS PAGAMENTO CORRESPONDENTE],O$6,LANÇ_MOV[EMPRESA],$C$4,LANÇ_MOV[CENTRO DE CUSTOS],$D$4)</f>
        <v>0</v>
      </c>
      <c r="P482" s="207">
        <f t="shared" si="65"/>
        <v>0</v>
      </c>
      <c r="Q482" s="329">
        <v>6.3999999999999997E-6</v>
      </c>
      <c r="R482" s="346">
        <f t="shared" si="67"/>
        <v>6.3999999999999997E-6</v>
      </c>
      <c r="S482" s="347" t="str">
        <f t="shared" si="68"/>
        <v>13º 2ª PARCELA</v>
      </c>
      <c r="T482" s="347">
        <f t="shared" si="69"/>
        <v>0</v>
      </c>
      <c r="U482" s="347">
        <f>HLOOKUP(Apoio!$P$12,$D$444:$P$545,X482,FALSE)+Q482</f>
        <v>6.3999999999999997E-6</v>
      </c>
      <c r="V482" s="447" t="str">
        <f t="shared" si="66"/>
        <v>13º 2ª PARCELA</v>
      </c>
      <c r="W482" s="448">
        <f>HLOOKUP(Apoio!$P$12,$D$444:$P$545,X482,FALSE)</f>
        <v>0</v>
      </c>
      <c r="X482" s="329">
        <v>39</v>
      </c>
    </row>
    <row r="483" spans="2:24" ht="30.05" customHeight="1" x14ac:dyDescent="0.35">
      <c r="B483" s="204" t="str">
        <f>'CAD_PL_REC-DESP'!T42</f>
        <v>2.4.38</v>
      </c>
      <c r="C483" s="205" t="str">
        <f>IF('CAD_PL_REC-DESP'!U7="","-",'CAD_PL_REC-DESP'!U7)</f>
        <v>ACORDO TRABALHISTA</v>
      </c>
      <c r="D483" s="206">
        <f>SUMIFS(LANÇ_MOV[VALOR LÍQUIDO],LANÇ_MOV[RECEITA OU DESPESA],"Despesa",LANÇ_MOV[CONTAS],$C483,LANÇ_MOV[PLANO DE CONTAS],REL_DRE_FINANCEIRO!$B$445,LANÇ_MOV[ANO PAGAMENTO],$B$4,LANÇ_MOV[MÊS PAGAMENTO CORRESPONDENTE],D$6,LANÇ_MOV[EMPRESA],$C$4,LANÇ_MOV[CENTRO DE CUSTOS],$D$4)</f>
        <v>0</v>
      </c>
      <c r="E483" s="206">
        <f>SUMIFS(LANÇ_MOV[VALOR LÍQUIDO],LANÇ_MOV[RECEITA OU DESPESA],"Despesa",LANÇ_MOV[CONTAS],$C483,LANÇ_MOV[PLANO DE CONTAS],REL_DRE_FINANCEIRO!$B$445,LANÇ_MOV[ANO PAGAMENTO],$B$4,LANÇ_MOV[MÊS PAGAMENTO CORRESPONDENTE],E$6,LANÇ_MOV[EMPRESA],$C$4,LANÇ_MOV[CENTRO DE CUSTOS],$D$4)</f>
        <v>0</v>
      </c>
      <c r="F483" s="206">
        <f>SUMIFS(LANÇ_MOV[VALOR LÍQUIDO],LANÇ_MOV[RECEITA OU DESPESA],"Despesa",LANÇ_MOV[CONTAS],$C483,LANÇ_MOV[PLANO DE CONTAS],REL_DRE_FINANCEIRO!$B$445,LANÇ_MOV[ANO PAGAMENTO],$B$4,LANÇ_MOV[MÊS PAGAMENTO CORRESPONDENTE],F$6,LANÇ_MOV[EMPRESA],$C$4,LANÇ_MOV[CENTRO DE CUSTOS],$D$4)</f>
        <v>0</v>
      </c>
      <c r="G483" s="206">
        <f>SUMIFS(LANÇ_MOV[VALOR LÍQUIDO],LANÇ_MOV[RECEITA OU DESPESA],"Despesa",LANÇ_MOV[CONTAS],$C483,LANÇ_MOV[PLANO DE CONTAS],REL_DRE_FINANCEIRO!$B$445,LANÇ_MOV[ANO PAGAMENTO],$B$4,LANÇ_MOV[MÊS PAGAMENTO CORRESPONDENTE],G$6,LANÇ_MOV[EMPRESA],$C$4,LANÇ_MOV[CENTRO DE CUSTOS],$D$4)</f>
        <v>0</v>
      </c>
      <c r="H483" s="206">
        <f>SUMIFS(LANÇ_MOV[VALOR LÍQUIDO],LANÇ_MOV[RECEITA OU DESPESA],"Despesa",LANÇ_MOV[CONTAS],$C483,LANÇ_MOV[PLANO DE CONTAS],REL_DRE_FINANCEIRO!$B$445,LANÇ_MOV[ANO PAGAMENTO],$B$4,LANÇ_MOV[MÊS PAGAMENTO CORRESPONDENTE],H$6,LANÇ_MOV[EMPRESA],$C$4,LANÇ_MOV[CENTRO DE CUSTOS],$D$4)</f>
        <v>0</v>
      </c>
      <c r="I483" s="206">
        <f>SUMIFS(LANÇ_MOV[VALOR LÍQUIDO],LANÇ_MOV[RECEITA OU DESPESA],"Despesa",LANÇ_MOV[CONTAS],$C483,LANÇ_MOV[PLANO DE CONTAS],REL_DRE_FINANCEIRO!$B$445,LANÇ_MOV[ANO PAGAMENTO],$B$4,LANÇ_MOV[MÊS PAGAMENTO CORRESPONDENTE],I$6,LANÇ_MOV[EMPRESA],$C$4,LANÇ_MOV[CENTRO DE CUSTOS],$D$4)</f>
        <v>0</v>
      </c>
      <c r="J483" s="206">
        <f>SUMIFS(LANÇ_MOV[VALOR LÍQUIDO],LANÇ_MOV[RECEITA OU DESPESA],"Despesa",LANÇ_MOV[CONTAS],$C483,LANÇ_MOV[PLANO DE CONTAS],REL_DRE_FINANCEIRO!$B$445,LANÇ_MOV[ANO PAGAMENTO],$B$4,LANÇ_MOV[MÊS PAGAMENTO CORRESPONDENTE],J$6,LANÇ_MOV[EMPRESA],$C$4,LANÇ_MOV[CENTRO DE CUSTOS],$D$4)</f>
        <v>0</v>
      </c>
      <c r="K483" s="206">
        <f>SUMIFS(LANÇ_MOV[VALOR LÍQUIDO],LANÇ_MOV[RECEITA OU DESPESA],"Despesa",LANÇ_MOV[CONTAS],$C483,LANÇ_MOV[PLANO DE CONTAS],REL_DRE_FINANCEIRO!$B$445,LANÇ_MOV[ANO PAGAMENTO],$B$4,LANÇ_MOV[MÊS PAGAMENTO CORRESPONDENTE],K$6,LANÇ_MOV[EMPRESA],$C$4,LANÇ_MOV[CENTRO DE CUSTOS],$D$4)</f>
        <v>0</v>
      </c>
      <c r="L483" s="206">
        <f>SUMIFS(LANÇ_MOV[VALOR LÍQUIDO],LANÇ_MOV[RECEITA OU DESPESA],"Despesa",LANÇ_MOV[CONTAS],$C483,LANÇ_MOV[PLANO DE CONTAS],REL_DRE_FINANCEIRO!$B$445,LANÇ_MOV[ANO PAGAMENTO],$B$4,LANÇ_MOV[MÊS PAGAMENTO CORRESPONDENTE],L$6,LANÇ_MOV[EMPRESA],$C$4,LANÇ_MOV[CENTRO DE CUSTOS],$D$4)</f>
        <v>0</v>
      </c>
      <c r="M483" s="206">
        <f>SUMIFS(LANÇ_MOV[VALOR LÍQUIDO],LANÇ_MOV[RECEITA OU DESPESA],"Despesa",LANÇ_MOV[CONTAS],$C483,LANÇ_MOV[PLANO DE CONTAS],REL_DRE_FINANCEIRO!$B$445,LANÇ_MOV[ANO PAGAMENTO],$B$4,LANÇ_MOV[MÊS PAGAMENTO CORRESPONDENTE],M$6,LANÇ_MOV[EMPRESA],$C$4,LANÇ_MOV[CENTRO DE CUSTOS],$D$4)</f>
        <v>4875</v>
      </c>
      <c r="N483" s="206">
        <f>SUMIFS(LANÇ_MOV[VALOR LÍQUIDO],LANÇ_MOV[RECEITA OU DESPESA],"Despesa",LANÇ_MOV[CONTAS],$C483,LANÇ_MOV[PLANO DE CONTAS],REL_DRE_FINANCEIRO!$B$445,LANÇ_MOV[ANO PAGAMENTO],$B$4,LANÇ_MOV[MÊS PAGAMENTO CORRESPONDENTE],N$6,LANÇ_MOV[EMPRESA],$C$4,LANÇ_MOV[CENTRO DE CUSTOS],$D$4)</f>
        <v>0</v>
      </c>
      <c r="O483" s="206">
        <f>SUMIFS(LANÇ_MOV[VALOR LÍQUIDO],LANÇ_MOV[RECEITA OU DESPESA],"Despesa",LANÇ_MOV[CONTAS],$C483,LANÇ_MOV[PLANO DE CONTAS],REL_DRE_FINANCEIRO!$B$445,LANÇ_MOV[ANO PAGAMENTO],$B$4,LANÇ_MOV[MÊS PAGAMENTO CORRESPONDENTE],O$6,LANÇ_MOV[EMPRESA],$C$4,LANÇ_MOV[CENTRO DE CUSTOS],$D$4)</f>
        <v>0</v>
      </c>
      <c r="P483" s="207">
        <f t="shared" si="65"/>
        <v>4875</v>
      </c>
      <c r="Q483" s="329">
        <v>6.2999999999999998E-6</v>
      </c>
      <c r="R483" s="346">
        <f t="shared" si="67"/>
        <v>4875.0000062999998</v>
      </c>
      <c r="S483" s="347" t="str">
        <f t="shared" si="68"/>
        <v>ACORDO TRABALHISTA</v>
      </c>
      <c r="T483" s="347">
        <f t="shared" si="69"/>
        <v>4875</v>
      </c>
      <c r="U483" s="347">
        <f>HLOOKUP(Apoio!$P$12,$D$444:$P$545,X483,FALSE)+Q483</f>
        <v>4875.0000062999998</v>
      </c>
      <c r="V483" s="447" t="str">
        <f t="shared" si="66"/>
        <v>ACORDO TRABALHISTA</v>
      </c>
      <c r="W483" s="448">
        <f>HLOOKUP(Apoio!$P$12,$D$444:$P$545,X483,FALSE)</f>
        <v>4875</v>
      </c>
      <c r="X483" s="329">
        <v>40</v>
      </c>
    </row>
    <row r="484" spans="2:24" ht="30.05" customHeight="1" x14ac:dyDescent="0.35">
      <c r="B484" s="204" t="str">
        <f>'CAD_PL_REC-DESP'!T43</f>
        <v>2.4.39</v>
      </c>
      <c r="C484" s="205" t="str">
        <f>IF('CAD_PL_REC-DESP'!U8="","-",'CAD_PL_REC-DESP'!U8)</f>
        <v>ALIMENTAÇÃO</v>
      </c>
      <c r="D484" s="206">
        <f>SUMIFS(LANÇ_MOV[VALOR LÍQUIDO],LANÇ_MOV[RECEITA OU DESPESA],"Despesa",LANÇ_MOV[CONTAS],$C484,LANÇ_MOV[PLANO DE CONTAS],REL_DRE_FINANCEIRO!$B$445,LANÇ_MOV[ANO PAGAMENTO],$B$4,LANÇ_MOV[MÊS PAGAMENTO CORRESPONDENTE],D$6,LANÇ_MOV[EMPRESA],$C$4,LANÇ_MOV[CENTRO DE CUSTOS],$D$4)</f>
        <v>0</v>
      </c>
      <c r="E484" s="206">
        <f>SUMIFS(LANÇ_MOV[VALOR LÍQUIDO],LANÇ_MOV[RECEITA OU DESPESA],"Despesa",LANÇ_MOV[CONTAS],$C484,LANÇ_MOV[PLANO DE CONTAS],REL_DRE_FINANCEIRO!$B$445,LANÇ_MOV[ANO PAGAMENTO],$B$4,LANÇ_MOV[MÊS PAGAMENTO CORRESPONDENTE],E$6,LANÇ_MOV[EMPRESA],$C$4,LANÇ_MOV[CENTRO DE CUSTOS],$D$4)</f>
        <v>0</v>
      </c>
      <c r="F484" s="206">
        <f>SUMIFS(LANÇ_MOV[VALOR LÍQUIDO],LANÇ_MOV[RECEITA OU DESPESA],"Despesa",LANÇ_MOV[CONTAS],$C484,LANÇ_MOV[PLANO DE CONTAS],REL_DRE_FINANCEIRO!$B$445,LANÇ_MOV[ANO PAGAMENTO],$B$4,LANÇ_MOV[MÊS PAGAMENTO CORRESPONDENTE],F$6,LANÇ_MOV[EMPRESA],$C$4,LANÇ_MOV[CENTRO DE CUSTOS],$D$4)</f>
        <v>0</v>
      </c>
      <c r="G484" s="206">
        <f>SUMIFS(LANÇ_MOV[VALOR LÍQUIDO],LANÇ_MOV[RECEITA OU DESPESA],"Despesa",LANÇ_MOV[CONTAS],$C484,LANÇ_MOV[PLANO DE CONTAS],REL_DRE_FINANCEIRO!$B$445,LANÇ_MOV[ANO PAGAMENTO],$B$4,LANÇ_MOV[MÊS PAGAMENTO CORRESPONDENTE],G$6,LANÇ_MOV[EMPRESA],$C$4,LANÇ_MOV[CENTRO DE CUSTOS],$D$4)</f>
        <v>0</v>
      </c>
      <c r="H484" s="206">
        <f>SUMIFS(LANÇ_MOV[VALOR LÍQUIDO],LANÇ_MOV[RECEITA OU DESPESA],"Despesa",LANÇ_MOV[CONTAS],$C484,LANÇ_MOV[PLANO DE CONTAS],REL_DRE_FINANCEIRO!$B$445,LANÇ_MOV[ANO PAGAMENTO],$B$4,LANÇ_MOV[MÊS PAGAMENTO CORRESPONDENTE],H$6,LANÇ_MOV[EMPRESA],$C$4,LANÇ_MOV[CENTRO DE CUSTOS],$D$4)</f>
        <v>0</v>
      </c>
      <c r="I484" s="206">
        <f>SUMIFS(LANÇ_MOV[VALOR LÍQUIDO],LANÇ_MOV[RECEITA OU DESPESA],"Despesa",LANÇ_MOV[CONTAS],$C484,LANÇ_MOV[PLANO DE CONTAS],REL_DRE_FINANCEIRO!$B$445,LANÇ_MOV[ANO PAGAMENTO],$B$4,LANÇ_MOV[MÊS PAGAMENTO CORRESPONDENTE],I$6,LANÇ_MOV[EMPRESA],$C$4,LANÇ_MOV[CENTRO DE CUSTOS],$D$4)</f>
        <v>0</v>
      </c>
      <c r="J484" s="206">
        <f>SUMIFS(LANÇ_MOV[VALOR LÍQUIDO],LANÇ_MOV[RECEITA OU DESPESA],"Despesa",LANÇ_MOV[CONTAS],$C484,LANÇ_MOV[PLANO DE CONTAS],REL_DRE_FINANCEIRO!$B$445,LANÇ_MOV[ANO PAGAMENTO],$B$4,LANÇ_MOV[MÊS PAGAMENTO CORRESPONDENTE],J$6,LANÇ_MOV[EMPRESA],$C$4,LANÇ_MOV[CENTRO DE CUSTOS],$D$4)</f>
        <v>0</v>
      </c>
      <c r="K484" s="206">
        <f>SUMIFS(LANÇ_MOV[VALOR LÍQUIDO],LANÇ_MOV[RECEITA OU DESPESA],"Despesa",LANÇ_MOV[CONTAS],$C484,LANÇ_MOV[PLANO DE CONTAS],REL_DRE_FINANCEIRO!$B$445,LANÇ_MOV[ANO PAGAMENTO],$B$4,LANÇ_MOV[MÊS PAGAMENTO CORRESPONDENTE],K$6,LANÇ_MOV[EMPRESA],$C$4,LANÇ_MOV[CENTRO DE CUSTOS],$D$4)</f>
        <v>0</v>
      </c>
      <c r="L484" s="206">
        <f>SUMIFS(LANÇ_MOV[VALOR LÍQUIDO],LANÇ_MOV[RECEITA OU DESPESA],"Despesa",LANÇ_MOV[CONTAS],$C484,LANÇ_MOV[PLANO DE CONTAS],REL_DRE_FINANCEIRO!$B$445,LANÇ_MOV[ANO PAGAMENTO],$B$4,LANÇ_MOV[MÊS PAGAMENTO CORRESPONDENTE],L$6,LANÇ_MOV[EMPRESA],$C$4,LANÇ_MOV[CENTRO DE CUSTOS],$D$4)</f>
        <v>0</v>
      </c>
      <c r="M484" s="206">
        <f>SUMIFS(LANÇ_MOV[VALOR LÍQUIDO],LANÇ_MOV[RECEITA OU DESPESA],"Despesa",LANÇ_MOV[CONTAS],$C484,LANÇ_MOV[PLANO DE CONTAS],REL_DRE_FINANCEIRO!$B$445,LANÇ_MOV[ANO PAGAMENTO],$B$4,LANÇ_MOV[MÊS PAGAMENTO CORRESPONDENTE],M$6,LANÇ_MOV[EMPRESA],$C$4,LANÇ_MOV[CENTRO DE CUSTOS],$D$4)</f>
        <v>0</v>
      </c>
      <c r="N484" s="206">
        <f>SUMIFS(LANÇ_MOV[VALOR LÍQUIDO],LANÇ_MOV[RECEITA OU DESPESA],"Despesa",LANÇ_MOV[CONTAS],$C484,LANÇ_MOV[PLANO DE CONTAS],REL_DRE_FINANCEIRO!$B$445,LANÇ_MOV[ANO PAGAMENTO],$B$4,LANÇ_MOV[MÊS PAGAMENTO CORRESPONDENTE],N$6,LANÇ_MOV[EMPRESA],$C$4,LANÇ_MOV[CENTRO DE CUSTOS],$D$4)</f>
        <v>0</v>
      </c>
      <c r="O484" s="206">
        <f>SUMIFS(LANÇ_MOV[VALOR LÍQUIDO],LANÇ_MOV[RECEITA OU DESPESA],"Despesa",LANÇ_MOV[CONTAS],$C484,LANÇ_MOV[PLANO DE CONTAS],REL_DRE_FINANCEIRO!$B$445,LANÇ_MOV[ANO PAGAMENTO],$B$4,LANÇ_MOV[MÊS PAGAMENTO CORRESPONDENTE],O$6,LANÇ_MOV[EMPRESA],$C$4,LANÇ_MOV[CENTRO DE CUSTOS],$D$4)</f>
        <v>0</v>
      </c>
      <c r="P484" s="207">
        <f t="shared" si="65"/>
        <v>0</v>
      </c>
      <c r="Q484" s="329">
        <v>6.1999999999999999E-6</v>
      </c>
      <c r="R484" s="346">
        <f t="shared" si="67"/>
        <v>6.1999999999999999E-6</v>
      </c>
      <c r="S484" s="347" t="str">
        <f t="shared" si="68"/>
        <v>ALIMENTAÇÃO</v>
      </c>
      <c r="T484" s="347">
        <f t="shared" si="69"/>
        <v>0</v>
      </c>
      <c r="U484" s="347">
        <f>HLOOKUP(Apoio!$P$12,$D$444:$P$545,X484,FALSE)+Q484</f>
        <v>6.1999999999999999E-6</v>
      </c>
      <c r="V484" s="447" t="str">
        <f t="shared" si="66"/>
        <v>ALIMENTAÇÃO</v>
      </c>
      <c r="W484" s="448">
        <f>HLOOKUP(Apoio!$P$12,$D$444:$P$545,X484,FALSE)</f>
        <v>0</v>
      </c>
      <c r="X484" s="329">
        <v>41</v>
      </c>
    </row>
    <row r="485" spans="2:24" ht="30.05" customHeight="1" x14ac:dyDescent="0.35">
      <c r="B485" s="204" t="str">
        <f>'CAD_PL_REC-DESP'!T44</f>
        <v>2.4.40</v>
      </c>
      <c r="C485" s="205" t="str">
        <f>IF('CAD_PL_REC-DESP'!U9="","-",'CAD_PL_REC-DESP'!U9)</f>
        <v>ASSIDUIDADE</v>
      </c>
      <c r="D485" s="206">
        <f>SUMIFS(LANÇ_MOV[VALOR LÍQUIDO],LANÇ_MOV[RECEITA OU DESPESA],"Despesa",LANÇ_MOV[CONTAS],$C485,LANÇ_MOV[PLANO DE CONTAS],REL_DRE_FINANCEIRO!$B$445,LANÇ_MOV[ANO PAGAMENTO],$B$4,LANÇ_MOV[MÊS PAGAMENTO CORRESPONDENTE],D$6,LANÇ_MOV[EMPRESA],$C$4,LANÇ_MOV[CENTRO DE CUSTOS],$D$4)</f>
        <v>0</v>
      </c>
      <c r="E485" s="206">
        <f>SUMIFS(LANÇ_MOV[VALOR LÍQUIDO],LANÇ_MOV[RECEITA OU DESPESA],"Despesa",LANÇ_MOV[CONTAS],$C485,LANÇ_MOV[PLANO DE CONTAS],REL_DRE_FINANCEIRO!$B$445,LANÇ_MOV[ANO PAGAMENTO],$B$4,LANÇ_MOV[MÊS PAGAMENTO CORRESPONDENTE],E$6,LANÇ_MOV[EMPRESA],$C$4,LANÇ_MOV[CENTRO DE CUSTOS],$D$4)</f>
        <v>0</v>
      </c>
      <c r="F485" s="206">
        <f>SUMIFS(LANÇ_MOV[VALOR LÍQUIDO],LANÇ_MOV[RECEITA OU DESPESA],"Despesa",LANÇ_MOV[CONTAS],$C485,LANÇ_MOV[PLANO DE CONTAS],REL_DRE_FINANCEIRO!$B$445,LANÇ_MOV[ANO PAGAMENTO],$B$4,LANÇ_MOV[MÊS PAGAMENTO CORRESPONDENTE],F$6,LANÇ_MOV[EMPRESA],$C$4,LANÇ_MOV[CENTRO DE CUSTOS],$D$4)</f>
        <v>0</v>
      </c>
      <c r="G485" s="206">
        <f>SUMIFS(LANÇ_MOV[VALOR LÍQUIDO],LANÇ_MOV[RECEITA OU DESPESA],"Despesa",LANÇ_MOV[CONTAS],$C485,LANÇ_MOV[PLANO DE CONTAS],REL_DRE_FINANCEIRO!$B$445,LANÇ_MOV[ANO PAGAMENTO],$B$4,LANÇ_MOV[MÊS PAGAMENTO CORRESPONDENTE],G$6,LANÇ_MOV[EMPRESA],$C$4,LANÇ_MOV[CENTRO DE CUSTOS],$D$4)</f>
        <v>0</v>
      </c>
      <c r="H485" s="206">
        <f>SUMIFS(LANÇ_MOV[VALOR LÍQUIDO],LANÇ_MOV[RECEITA OU DESPESA],"Despesa",LANÇ_MOV[CONTAS],$C485,LANÇ_MOV[PLANO DE CONTAS],REL_DRE_FINANCEIRO!$B$445,LANÇ_MOV[ANO PAGAMENTO],$B$4,LANÇ_MOV[MÊS PAGAMENTO CORRESPONDENTE],H$6,LANÇ_MOV[EMPRESA],$C$4,LANÇ_MOV[CENTRO DE CUSTOS],$D$4)</f>
        <v>0</v>
      </c>
      <c r="I485" s="206">
        <f>SUMIFS(LANÇ_MOV[VALOR LÍQUIDO],LANÇ_MOV[RECEITA OU DESPESA],"Despesa",LANÇ_MOV[CONTAS],$C485,LANÇ_MOV[PLANO DE CONTAS],REL_DRE_FINANCEIRO!$B$445,LANÇ_MOV[ANO PAGAMENTO],$B$4,LANÇ_MOV[MÊS PAGAMENTO CORRESPONDENTE],I$6,LANÇ_MOV[EMPRESA],$C$4,LANÇ_MOV[CENTRO DE CUSTOS],$D$4)</f>
        <v>0</v>
      </c>
      <c r="J485" s="206">
        <f>SUMIFS(LANÇ_MOV[VALOR LÍQUIDO],LANÇ_MOV[RECEITA OU DESPESA],"Despesa",LANÇ_MOV[CONTAS],$C485,LANÇ_MOV[PLANO DE CONTAS],REL_DRE_FINANCEIRO!$B$445,LANÇ_MOV[ANO PAGAMENTO],$B$4,LANÇ_MOV[MÊS PAGAMENTO CORRESPONDENTE],J$6,LANÇ_MOV[EMPRESA],$C$4,LANÇ_MOV[CENTRO DE CUSTOS],$D$4)</f>
        <v>0</v>
      </c>
      <c r="K485" s="206">
        <f>SUMIFS(LANÇ_MOV[VALOR LÍQUIDO],LANÇ_MOV[RECEITA OU DESPESA],"Despesa",LANÇ_MOV[CONTAS],$C485,LANÇ_MOV[PLANO DE CONTAS],REL_DRE_FINANCEIRO!$B$445,LANÇ_MOV[ANO PAGAMENTO],$B$4,LANÇ_MOV[MÊS PAGAMENTO CORRESPONDENTE],K$6,LANÇ_MOV[EMPRESA],$C$4,LANÇ_MOV[CENTRO DE CUSTOS],$D$4)</f>
        <v>0</v>
      </c>
      <c r="L485" s="206">
        <f>SUMIFS(LANÇ_MOV[VALOR LÍQUIDO],LANÇ_MOV[RECEITA OU DESPESA],"Despesa",LANÇ_MOV[CONTAS],$C485,LANÇ_MOV[PLANO DE CONTAS],REL_DRE_FINANCEIRO!$B$445,LANÇ_MOV[ANO PAGAMENTO],$B$4,LANÇ_MOV[MÊS PAGAMENTO CORRESPONDENTE],L$6,LANÇ_MOV[EMPRESA],$C$4,LANÇ_MOV[CENTRO DE CUSTOS],$D$4)</f>
        <v>0</v>
      </c>
      <c r="M485" s="206">
        <f>SUMIFS(LANÇ_MOV[VALOR LÍQUIDO],LANÇ_MOV[RECEITA OU DESPESA],"Despesa",LANÇ_MOV[CONTAS],$C485,LANÇ_MOV[PLANO DE CONTAS],REL_DRE_FINANCEIRO!$B$445,LANÇ_MOV[ANO PAGAMENTO],$B$4,LANÇ_MOV[MÊS PAGAMENTO CORRESPONDENTE],M$6,LANÇ_MOV[EMPRESA],$C$4,LANÇ_MOV[CENTRO DE CUSTOS],$D$4)</f>
        <v>0</v>
      </c>
      <c r="N485" s="206">
        <f>SUMIFS(LANÇ_MOV[VALOR LÍQUIDO],LANÇ_MOV[RECEITA OU DESPESA],"Despesa",LANÇ_MOV[CONTAS],$C485,LANÇ_MOV[PLANO DE CONTAS],REL_DRE_FINANCEIRO!$B$445,LANÇ_MOV[ANO PAGAMENTO],$B$4,LANÇ_MOV[MÊS PAGAMENTO CORRESPONDENTE],N$6,LANÇ_MOV[EMPRESA],$C$4,LANÇ_MOV[CENTRO DE CUSTOS],$D$4)</f>
        <v>0</v>
      </c>
      <c r="O485" s="206">
        <f>SUMIFS(LANÇ_MOV[VALOR LÍQUIDO],LANÇ_MOV[RECEITA OU DESPESA],"Despesa",LANÇ_MOV[CONTAS],$C485,LANÇ_MOV[PLANO DE CONTAS],REL_DRE_FINANCEIRO!$B$445,LANÇ_MOV[ANO PAGAMENTO],$B$4,LANÇ_MOV[MÊS PAGAMENTO CORRESPONDENTE],O$6,LANÇ_MOV[EMPRESA],$C$4,LANÇ_MOV[CENTRO DE CUSTOS],$D$4)</f>
        <v>0</v>
      </c>
      <c r="P485" s="207">
        <f t="shared" si="65"/>
        <v>0</v>
      </c>
      <c r="Q485" s="329">
        <v>6.1E-6</v>
      </c>
      <c r="R485" s="346">
        <f t="shared" si="67"/>
        <v>6.1E-6</v>
      </c>
      <c r="S485" s="347" t="str">
        <f t="shared" si="68"/>
        <v>ASSIDUIDADE</v>
      </c>
      <c r="T485" s="347">
        <f t="shared" si="69"/>
        <v>0</v>
      </c>
      <c r="U485" s="347">
        <f>HLOOKUP(Apoio!$P$12,$D$444:$P$545,X485,FALSE)+Q485</f>
        <v>6.1E-6</v>
      </c>
      <c r="V485" s="447" t="str">
        <f t="shared" si="66"/>
        <v>ASSIDUIDADE</v>
      </c>
      <c r="W485" s="448">
        <f>HLOOKUP(Apoio!$P$12,$D$444:$P$545,X485,FALSE)</f>
        <v>0</v>
      </c>
      <c r="X485" s="329">
        <v>42</v>
      </c>
    </row>
    <row r="486" spans="2:24" ht="30.05" customHeight="1" x14ac:dyDescent="0.35">
      <c r="B486" s="204" t="str">
        <f>'CAD_PL_REC-DESP'!T45</f>
        <v>2.4.41</v>
      </c>
      <c r="C486" s="205" t="str">
        <f>IF('CAD_PL_REC-DESP'!U10="","-",'CAD_PL_REC-DESP'!U10)</f>
        <v>BENEFICIOS</v>
      </c>
      <c r="D486" s="206">
        <f>SUMIFS(LANÇ_MOV[VALOR LÍQUIDO],LANÇ_MOV[RECEITA OU DESPESA],"Despesa",LANÇ_MOV[CONTAS],$C486,LANÇ_MOV[PLANO DE CONTAS],REL_DRE_FINANCEIRO!$B$445,LANÇ_MOV[ANO PAGAMENTO],$B$4,LANÇ_MOV[MÊS PAGAMENTO CORRESPONDENTE],D$6,LANÇ_MOV[EMPRESA],$C$4,LANÇ_MOV[CENTRO DE CUSTOS],$D$4)</f>
        <v>0</v>
      </c>
      <c r="E486" s="206">
        <f>SUMIFS(LANÇ_MOV[VALOR LÍQUIDO],LANÇ_MOV[RECEITA OU DESPESA],"Despesa",LANÇ_MOV[CONTAS],$C486,LANÇ_MOV[PLANO DE CONTAS],REL_DRE_FINANCEIRO!$B$445,LANÇ_MOV[ANO PAGAMENTO],$B$4,LANÇ_MOV[MÊS PAGAMENTO CORRESPONDENTE],E$6,LANÇ_MOV[EMPRESA],$C$4,LANÇ_MOV[CENTRO DE CUSTOS],$D$4)</f>
        <v>0</v>
      </c>
      <c r="F486" s="206">
        <f>SUMIFS(LANÇ_MOV[VALOR LÍQUIDO],LANÇ_MOV[RECEITA OU DESPESA],"Despesa",LANÇ_MOV[CONTAS],$C486,LANÇ_MOV[PLANO DE CONTAS],REL_DRE_FINANCEIRO!$B$445,LANÇ_MOV[ANO PAGAMENTO],$B$4,LANÇ_MOV[MÊS PAGAMENTO CORRESPONDENTE],F$6,LANÇ_MOV[EMPRESA],$C$4,LANÇ_MOV[CENTRO DE CUSTOS],$D$4)</f>
        <v>0</v>
      </c>
      <c r="G486" s="206">
        <f>SUMIFS(LANÇ_MOV[VALOR LÍQUIDO],LANÇ_MOV[RECEITA OU DESPESA],"Despesa",LANÇ_MOV[CONTAS],$C486,LANÇ_MOV[PLANO DE CONTAS],REL_DRE_FINANCEIRO!$B$445,LANÇ_MOV[ANO PAGAMENTO],$B$4,LANÇ_MOV[MÊS PAGAMENTO CORRESPONDENTE],G$6,LANÇ_MOV[EMPRESA],$C$4,LANÇ_MOV[CENTRO DE CUSTOS],$D$4)</f>
        <v>0</v>
      </c>
      <c r="H486" s="206">
        <f>SUMIFS(LANÇ_MOV[VALOR LÍQUIDO],LANÇ_MOV[RECEITA OU DESPESA],"Despesa",LANÇ_MOV[CONTAS],$C486,LANÇ_MOV[PLANO DE CONTAS],REL_DRE_FINANCEIRO!$B$445,LANÇ_MOV[ANO PAGAMENTO],$B$4,LANÇ_MOV[MÊS PAGAMENTO CORRESPONDENTE],H$6,LANÇ_MOV[EMPRESA],$C$4,LANÇ_MOV[CENTRO DE CUSTOS],$D$4)</f>
        <v>0</v>
      </c>
      <c r="I486" s="206">
        <f>SUMIFS(LANÇ_MOV[VALOR LÍQUIDO],LANÇ_MOV[RECEITA OU DESPESA],"Despesa",LANÇ_MOV[CONTAS],$C486,LANÇ_MOV[PLANO DE CONTAS],REL_DRE_FINANCEIRO!$B$445,LANÇ_MOV[ANO PAGAMENTO],$B$4,LANÇ_MOV[MÊS PAGAMENTO CORRESPONDENTE],I$6,LANÇ_MOV[EMPRESA],$C$4,LANÇ_MOV[CENTRO DE CUSTOS],$D$4)</f>
        <v>0</v>
      </c>
      <c r="J486" s="206">
        <f>SUMIFS(LANÇ_MOV[VALOR LÍQUIDO],LANÇ_MOV[RECEITA OU DESPESA],"Despesa",LANÇ_MOV[CONTAS],$C486,LANÇ_MOV[PLANO DE CONTAS],REL_DRE_FINANCEIRO!$B$445,LANÇ_MOV[ANO PAGAMENTO],$B$4,LANÇ_MOV[MÊS PAGAMENTO CORRESPONDENTE],J$6,LANÇ_MOV[EMPRESA],$C$4,LANÇ_MOV[CENTRO DE CUSTOS],$D$4)</f>
        <v>0</v>
      </c>
      <c r="K486" s="206">
        <f>SUMIFS(LANÇ_MOV[VALOR LÍQUIDO],LANÇ_MOV[RECEITA OU DESPESA],"Despesa",LANÇ_MOV[CONTAS],$C486,LANÇ_MOV[PLANO DE CONTAS],REL_DRE_FINANCEIRO!$B$445,LANÇ_MOV[ANO PAGAMENTO],$B$4,LANÇ_MOV[MÊS PAGAMENTO CORRESPONDENTE],K$6,LANÇ_MOV[EMPRESA],$C$4,LANÇ_MOV[CENTRO DE CUSTOS],$D$4)</f>
        <v>0</v>
      </c>
      <c r="L486" s="206">
        <f>SUMIFS(LANÇ_MOV[VALOR LÍQUIDO],LANÇ_MOV[RECEITA OU DESPESA],"Despesa",LANÇ_MOV[CONTAS],$C486,LANÇ_MOV[PLANO DE CONTAS],REL_DRE_FINANCEIRO!$B$445,LANÇ_MOV[ANO PAGAMENTO],$B$4,LANÇ_MOV[MÊS PAGAMENTO CORRESPONDENTE],L$6,LANÇ_MOV[EMPRESA],$C$4,LANÇ_MOV[CENTRO DE CUSTOS],$D$4)</f>
        <v>0</v>
      </c>
      <c r="M486" s="206">
        <f>SUMIFS(LANÇ_MOV[VALOR LÍQUIDO],LANÇ_MOV[RECEITA OU DESPESA],"Despesa",LANÇ_MOV[CONTAS],$C486,LANÇ_MOV[PLANO DE CONTAS],REL_DRE_FINANCEIRO!$B$445,LANÇ_MOV[ANO PAGAMENTO],$B$4,LANÇ_MOV[MÊS PAGAMENTO CORRESPONDENTE],M$6,LANÇ_MOV[EMPRESA],$C$4,LANÇ_MOV[CENTRO DE CUSTOS],$D$4)</f>
        <v>0</v>
      </c>
      <c r="N486" s="206">
        <f>SUMIFS(LANÇ_MOV[VALOR LÍQUIDO],LANÇ_MOV[RECEITA OU DESPESA],"Despesa",LANÇ_MOV[CONTAS],$C486,LANÇ_MOV[PLANO DE CONTAS],REL_DRE_FINANCEIRO!$B$445,LANÇ_MOV[ANO PAGAMENTO],$B$4,LANÇ_MOV[MÊS PAGAMENTO CORRESPONDENTE],N$6,LANÇ_MOV[EMPRESA],$C$4,LANÇ_MOV[CENTRO DE CUSTOS],$D$4)</f>
        <v>0</v>
      </c>
      <c r="O486" s="206">
        <f>SUMIFS(LANÇ_MOV[VALOR LÍQUIDO],LANÇ_MOV[RECEITA OU DESPESA],"Despesa",LANÇ_MOV[CONTAS],$C486,LANÇ_MOV[PLANO DE CONTAS],REL_DRE_FINANCEIRO!$B$445,LANÇ_MOV[ANO PAGAMENTO],$B$4,LANÇ_MOV[MÊS PAGAMENTO CORRESPONDENTE],O$6,LANÇ_MOV[EMPRESA],$C$4,LANÇ_MOV[CENTRO DE CUSTOS],$D$4)</f>
        <v>0</v>
      </c>
      <c r="P486" s="207">
        <f t="shared" si="65"/>
        <v>0</v>
      </c>
      <c r="Q486" s="329">
        <v>6.0000000000000002E-6</v>
      </c>
      <c r="R486" s="346">
        <f t="shared" si="67"/>
        <v>6.0000000000000002E-6</v>
      </c>
      <c r="S486" s="347" t="str">
        <f t="shared" si="68"/>
        <v>BENEFICIOS</v>
      </c>
      <c r="T486" s="347">
        <f t="shared" si="69"/>
        <v>0</v>
      </c>
      <c r="U486" s="347">
        <f>HLOOKUP(Apoio!$P$12,$D$444:$P$545,X486,FALSE)+Q486</f>
        <v>6.0000000000000002E-6</v>
      </c>
      <c r="V486" s="447" t="str">
        <f t="shared" si="66"/>
        <v>BENEFICIOS</v>
      </c>
      <c r="W486" s="448">
        <f>HLOOKUP(Apoio!$P$12,$D$444:$P$545,X486,FALSE)</f>
        <v>0</v>
      </c>
      <c r="X486" s="329">
        <v>43</v>
      </c>
    </row>
    <row r="487" spans="2:24" ht="30.05" customHeight="1" x14ac:dyDescent="0.35">
      <c r="B487" s="204" t="str">
        <f>'CAD_PL_REC-DESP'!T46</f>
        <v>2.4.42</v>
      </c>
      <c r="C487" s="205" t="str">
        <f>IF('CAD_PL_REC-DESP'!U11="","-",'CAD_PL_REC-DESP'!U11)</f>
        <v>BOLSA ESTAGIÁRIOS</v>
      </c>
      <c r="D487" s="206">
        <f>SUMIFS(LANÇ_MOV[VALOR LÍQUIDO],LANÇ_MOV[RECEITA OU DESPESA],"Despesa",LANÇ_MOV[CONTAS],$C487,LANÇ_MOV[PLANO DE CONTAS],REL_DRE_FINANCEIRO!$B$445,LANÇ_MOV[ANO PAGAMENTO],$B$4,LANÇ_MOV[MÊS PAGAMENTO CORRESPONDENTE],D$6,LANÇ_MOV[EMPRESA],$C$4,LANÇ_MOV[CENTRO DE CUSTOS],$D$4)</f>
        <v>0</v>
      </c>
      <c r="E487" s="206">
        <f>SUMIFS(LANÇ_MOV[VALOR LÍQUIDO],LANÇ_MOV[RECEITA OU DESPESA],"Despesa",LANÇ_MOV[CONTAS],$C487,LANÇ_MOV[PLANO DE CONTAS],REL_DRE_FINANCEIRO!$B$445,LANÇ_MOV[ANO PAGAMENTO],$B$4,LANÇ_MOV[MÊS PAGAMENTO CORRESPONDENTE],E$6,LANÇ_MOV[EMPRESA],$C$4,LANÇ_MOV[CENTRO DE CUSTOS],$D$4)</f>
        <v>0</v>
      </c>
      <c r="F487" s="206">
        <f>SUMIFS(LANÇ_MOV[VALOR LÍQUIDO],LANÇ_MOV[RECEITA OU DESPESA],"Despesa",LANÇ_MOV[CONTAS],$C487,LANÇ_MOV[PLANO DE CONTAS],REL_DRE_FINANCEIRO!$B$445,LANÇ_MOV[ANO PAGAMENTO],$B$4,LANÇ_MOV[MÊS PAGAMENTO CORRESPONDENTE],F$6,LANÇ_MOV[EMPRESA],$C$4,LANÇ_MOV[CENTRO DE CUSTOS],$D$4)</f>
        <v>0</v>
      </c>
      <c r="G487" s="206">
        <f>SUMIFS(LANÇ_MOV[VALOR LÍQUIDO],LANÇ_MOV[RECEITA OU DESPESA],"Despesa",LANÇ_MOV[CONTAS],$C487,LANÇ_MOV[PLANO DE CONTAS],REL_DRE_FINANCEIRO!$B$445,LANÇ_MOV[ANO PAGAMENTO],$B$4,LANÇ_MOV[MÊS PAGAMENTO CORRESPONDENTE],G$6,LANÇ_MOV[EMPRESA],$C$4,LANÇ_MOV[CENTRO DE CUSTOS],$D$4)</f>
        <v>0</v>
      </c>
      <c r="H487" s="206">
        <f>SUMIFS(LANÇ_MOV[VALOR LÍQUIDO],LANÇ_MOV[RECEITA OU DESPESA],"Despesa",LANÇ_MOV[CONTAS],$C487,LANÇ_MOV[PLANO DE CONTAS],REL_DRE_FINANCEIRO!$B$445,LANÇ_MOV[ANO PAGAMENTO],$B$4,LANÇ_MOV[MÊS PAGAMENTO CORRESPONDENTE],H$6,LANÇ_MOV[EMPRESA],$C$4,LANÇ_MOV[CENTRO DE CUSTOS],$D$4)</f>
        <v>0</v>
      </c>
      <c r="I487" s="206">
        <f>SUMIFS(LANÇ_MOV[VALOR LÍQUIDO],LANÇ_MOV[RECEITA OU DESPESA],"Despesa",LANÇ_MOV[CONTAS],$C487,LANÇ_MOV[PLANO DE CONTAS],REL_DRE_FINANCEIRO!$B$445,LANÇ_MOV[ANO PAGAMENTO],$B$4,LANÇ_MOV[MÊS PAGAMENTO CORRESPONDENTE],I$6,LANÇ_MOV[EMPRESA],$C$4,LANÇ_MOV[CENTRO DE CUSTOS],$D$4)</f>
        <v>0</v>
      </c>
      <c r="J487" s="206">
        <f>SUMIFS(LANÇ_MOV[VALOR LÍQUIDO],LANÇ_MOV[RECEITA OU DESPESA],"Despesa",LANÇ_MOV[CONTAS],$C487,LANÇ_MOV[PLANO DE CONTAS],REL_DRE_FINANCEIRO!$B$445,LANÇ_MOV[ANO PAGAMENTO],$B$4,LANÇ_MOV[MÊS PAGAMENTO CORRESPONDENTE],J$6,LANÇ_MOV[EMPRESA],$C$4,LANÇ_MOV[CENTRO DE CUSTOS],$D$4)</f>
        <v>0</v>
      </c>
      <c r="K487" s="206">
        <f>SUMIFS(LANÇ_MOV[VALOR LÍQUIDO],LANÇ_MOV[RECEITA OU DESPESA],"Despesa",LANÇ_MOV[CONTAS],$C487,LANÇ_MOV[PLANO DE CONTAS],REL_DRE_FINANCEIRO!$B$445,LANÇ_MOV[ANO PAGAMENTO],$B$4,LANÇ_MOV[MÊS PAGAMENTO CORRESPONDENTE],K$6,LANÇ_MOV[EMPRESA],$C$4,LANÇ_MOV[CENTRO DE CUSTOS],$D$4)</f>
        <v>0</v>
      </c>
      <c r="L487" s="206">
        <f>SUMIFS(LANÇ_MOV[VALOR LÍQUIDO],LANÇ_MOV[RECEITA OU DESPESA],"Despesa",LANÇ_MOV[CONTAS],$C487,LANÇ_MOV[PLANO DE CONTAS],REL_DRE_FINANCEIRO!$B$445,LANÇ_MOV[ANO PAGAMENTO],$B$4,LANÇ_MOV[MÊS PAGAMENTO CORRESPONDENTE],L$6,LANÇ_MOV[EMPRESA],$C$4,LANÇ_MOV[CENTRO DE CUSTOS],$D$4)</f>
        <v>0</v>
      </c>
      <c r="M487" s="206">
        <f>SUMIFS(LANÇ_MOV[VALOR LÍQUIDO],LANÇ_MOV[RECEITA OU DESPESA],"Despesa",LANÇ_MOV[CONTAS],$C487,LANÇ_MOV[PLANO DE CONTAS],REL_DRE_FINANCEIRO!$B$445,LANÇ_MOV[ANO PAGAMENTO],$B$4,LANÇ_MOV[MÊS PAGAMENTO CORRESPONDENTE],M$6,LANÇ_MOV[EMPRESA],$C$4,LANÇ_MOV[CENTRO DE CUSTOS],$D$4)</f>
        <v>0</v>
      </c>
      <c r="N487" s="206">
        <f>SUMIFS(LANÇ_MOV[VALOR LÍQUIDO],LANÇ_MOV[RECEITA OU DESPESA],"Despesa",LANÇ_MOV[CONTAS],$C487,LANÇ_MOV[PLANO DE CONTAS],REL_DRE_FINANCEIRO!$B$445,LANÇ_MOV[ANO PAGAMENTO],$B$4,LANÇ_MOV[MÊS PAGAMENTO CORRESPONDENTE],N$6,LANÇ_MOV[EMPRESA],$C$4,LANÇ_MOV[CENTRO DE CUSTOS],$D$4)</f>
        <v>0</v>
      </c>
      <c r="O487" s="206">
        <f>SUMIFS(LANÇ_MOV[VALOR LÍQUIDO],LANÇ_MOV[RECEITA OU DESPESA],"Despesa",LANÇ_MOV[CONTAS],$C487,LANÇ_MOV[PLANO DE CONTAS],REL_DRE_FINANCEIRO!$B$445,LANÇ_MOV[ANO PAGAMENTO],$B$4,LANÇ_MOV[MÊS PAGAMENTO CORRESPONDENTE],O$6,LANÇ_MOV[EMPRESA],$C$4,LANÇ_MOV[CENTRO DE CUSTOS],$D$4)</f>
        <v>0</v>
      </c>
      <c r="P487" s="207">
        <f t="shared" si="65"/>
        <v>0</v>
      </c>
      <c r="Q487" s="329">
        <v>5.9000000000000003E-6</v>
      </c>
      <c r="R487" s="346">
        <f t="shared" si="67"/>
        <v>5.9000000000000003E-6</v>
      </c>
      <c r="S487" s="347" t="str">
        <f t="shared" si="68"/>
        <v>BOLSA ESTAGIÁRIOS</v>
      </c>
      <c r="T487" s="347">
        <f t="shared" si="69"/>
        <v>0</v>
      </c>
      <c r="U487" s="347">
        <f>HLOOKUP(Apoio!$P$12,$D$444:$P$545,X487,FALSE)+Q487</f>
        <v>5.9000000000000003E-6</v>
      </c>
      <c r="V487" s="447" t="str">
        <f t="shared" si="66"/>
        <v>BOLSA ESTAGIÁRIOS</v>
      </c>
      <c r="W487" s="448">
        <f>HLOOKUP(Apoio!$P$12,$D$444:$P$545,X487,FALSE)</f>
        <v>0</v>
      </c>
      <c r="X487" s="329">
        <v>44</v>
      </c>
    </row>
    <row r="488" spans="2:24" ht="30.05" customHeight="1" x14ac:dyDescent="0.35">
      <c r="B488" s="204" t="str">
        <f>'CAD_PL_REC-DESP'!T47</f>
        <v>2.4.43</v>
      </c>
      <c r="C488" s="205" t="str">
        <f>IF('CAD_PL_REC-DESP'!U12="","-",'CAD_PL_REC-DESP'!U12)</f>
        <v>CURSOS</v>
      </c>
      <c r="D488" s="206">
        <f>SUMIFS(LANÇ_MOV[VALOR LÍQUIDO],LANÇ_MOV[RECEITA OU DESPESA],"Despesa",LANÇ_MOV[CONTAS],$C488,LANÇ_MOV[PLANO DE CONTAS],REL_DRE_FINANCEIRO!$B$445,LANÇ_MOV[ANO PAGAMENTO],$B$4,LANÇ_MOV[MÊS PAGAMENTO CORRESPONDENTE],D$6,LANÇ_MOV[EMPRESA],$C$4,LANÇ_MOV[CENTRO DE CUSTOS],$D$4)</f>
        <v>0</v>
      </c>
      <c r="E488" s="206">
        <f>SUMIFS(LANÇ_MOV[VALOR LÍQUIDO],LANÇ_MOV[RECEITA OU DESPESA],"Despesa",LANÇ_MOV[CONTAS],$C488,LANÇ_MOV[PLANO DE CONTAS],REL_DRE_FINANCEIRO!$B$445,LANÇ_MOV[ANO PAGAMENTO],$B$4,LANÇ_MOV[MÊS PAGAMENTO CORRESPONDENTE],E$6,LANÇ_MOV[EMPRESA],$C$4,LANÇ_MOV[CENTRO DE CUSTOS],$D$4)</f>
        <v>0</v>
      </c>
      <c r="F488" s="206">
        <f>SUMIFS(LANÇ_MOV[VALOR LÍQUIDO],LANÇ_MOV[RECEITA OU DESPESA],"Despesa",LANÇ_MOV[CONTAS],$C488,LANÇ_MOV[PLANO DE CONTAS],REL_DRE_FINANCEIRO!$B$445,LANÇ_MOV[ANO PAGAMENTO],$B$4,LANÇ_MOV[MÊS PAGAMENTO CORRESPONDENTE],F$6,LANÇ_MOV[EMPRESA],$C$4,LANÇ_MOV[CENTRO DE CUSTOS],$D$4)</f>
        <v>0</v>
      </c>
      <c r="G488" s="206">
        <f>SUMIFS(LANÇ_MOV[VALOR LÍQUIDO],LANÇ_MOV[RECEITA OU DESPESA],"Despesa",LANÇ_MOV[CONTAS],$C488,LANÇ_MOV[PLANO DE CONTAS],REL_DRE_FINANCEIRO!$B$445,LANÇ_MOV[ANO PAGAMENTO],$B$4,LANÇ_MOV[MÊS PAGAMENTO CORRESPONDENTE],G$6,LANÇ_MOV[EMPRESA],$C$4,LANÇ_MOV[CENTRO DE CUSTOS],$D$4)</f>
        <v>0</v>
      </c>
      <c r="H488" s="206">
        <f>SUMIFS(LANÇ_MOV[VALOR LÍQUIDO],LANÇ_MOV[RECEITA OU DESPESA],"Despesa",LANÇ_MOV[CONTAS],$C488,LANÇ_MOV[PLANO DE CONTAS],REL_DRE_FINANCEIRO!$B$445,LANÇ_MOV[ANO PAGAMENTO],$B$4,LANÇ_MOV[MÊS PAGAMENTO CORRESPONDENTE],H$6,LANÇ_MOV[EMPRESA],$C$4,LANÇ_MOV[CENTRO DE CUSTOS],$D$4)</f>
        <v>0</v>
      </c>
      <c r="I488" s="206">
        <f>SUMIFS(LANÇ_MOV[VALOR LÍQUIDO],LANÇ_MOV[RECEITA OU DESPESA],"Despesa",LANÇ_MOV[CONTAS],$C488,LANÇ_MOV[PLANO DE CONTAS],REL_DRE_FINANCEIRO!$B$445,LANÇ_MOV[ANO PAGAMENTO],$B$4,LANÇ_MOV[MÊS PAGAMENTO CORRESPONDENTE],I$6,LANÇ_MOV[EMPRESA],$C$4,LANÇ_MOV[CENTRO DE CUSTOS],$D$4)</f>
        <v>0</v>
      </c>
      <c r="J488" s="206">
        <f>SUMIFS(LANÇ_MOV[VALOR LÍQUIDO],LANÇ_MOV[RECEITA OU DESPESA],"Despesa",LANÇ_MOV[CONTAS],$C488,LANÇ_MOV[PLANO DE CONTAS],REL_DRE_FINANCEIRO!$B$445,LANÇ_MOV[ANO PAGAMENTO],$B$4,LANÇ_MOV[MÊS PAGAMENTO CORRESPONDENTE],J$6,LANÇ_MOV[EMPRESA],$C$4,LANÇ_MOV[CENTRO DE CUSTOS],$D$4)</f>
        <v>0</v>
      </c>
      <c r="K488" s="206">
        <f>SUMIFS(LANÇ_MOV[VALOR LÍQUIDO],LANÇ_MOV[RECEITA OU DESPESA],"Despesa",LANÇ_MOV[CONTAS],$C488,LANÇ_MOV[PLANO DE CONTAS],REL_DRE_FINANCEIRO!$B$445,LANÇ_MOV[ANO PAGAMENTO],$B$4,LANÇ_MOV[MÊS PAGAMENTO CORRESPONDENTE],K$6,LANÇ_MOV[EMPRESA],$C$4,LANÇ_MOV[CENTRO DE CUSTOS],$D$4)</f>
        <v>0</v>
      </c>
      <c r="L488" s="206">
        <f>SUMIFS(LANÇ_MOV[VALOR LÍQUIDO],LANÇ_MOV[RECEITA OU DESPESA],"Despesa",LANÇ_MOV[CONTAS],$C488,LANÇ_MOV[PLANO DE CONTAS],REL_DRE_FINANCEIRO!$B$445,LANÇ_MOV[ANO PAGAMENTO],$B$4,LANÇ_MOV[MÊS PAGAMENTO CORRESPONDENTE],L$6,LANÇ_MOV[EMPRESA],$C$4,LANÇ_MOV[CENTRO DE CUSTOS],$D$4)</f>
        <v>0</v>
      </c>
      <c r="M488" s="206">
        <f>SUMIFS(LANÇ_MOV[VALOR LÍQUIDO],LANÇ_MOV[RECEITA OU DESPESA],"Despesa",LANÇ_MOV[CONTAS],$C488,LANÇ_MOV[PLANO DE CONTAS],REL_DRE_FINANCEIRO!$B$445,LANÇ_MOV[ANO PAGAMENTO],$B$4,LANÇ_MOV[MÊS PAGAMENTO CORRESPONDENTE],M$6,LANÇ_MOV[EMPRESA],$C$4,LANÇ_MOV[CENTRO DE CUSTOS],$D$4)</f>
        <v>0</v>
      </c>
      <c r="N488" s="206">
        <f>SUMIFS(LANÇ_MOV[VALOR LÍQUIDO],LANÇ_MOV[RECEITA OU DESPESA],"Despesa",LANÇ_MOV[CONTAS],$C488,LANÇ_MOV[PLANO DE CONTAS],REL_DRE_FINANCEIRO!$B$445,LANÇ_MOV[ANO PAGAMENTO],$B$4,LANÇ_MOV[MÊS PAGAMENTO CORRESPONDENTE],N$6,LANÇ_MOV[EMPRESA],$C$4,LANÇ_MOV[CENTRO DE CUSTOS],$D$4)</f>
        <v>0</v>
      </c>
      <c r="O488" s="206">
        <f>SUMIFS(LANÇ_MOV[VALOR LÍQUIDO],LANÇ_MOV[RECEITA OU DESPESA],"Despesa",LANÇ_MOV[CONTAS],$C488,LANÇ_MOV[PLANO DE CONTAS],REL_DRE_FINANCEIRO!$B$445,LANÇ_MOV[ANO PAGAMENTO],$B$4,LANÇ_MOV[MÊS PAGAMENTO CORRESPONDENTE],O$6,LANÇ_MOV[EMPRESA],$C$4,LANÇ_MOV[CENTRO DE CUSTOS],$D$4)</f>
        <v>0</v>
      </c>
      <c r="P488" s="207">
        <f t="shared" si="65"/>
        <v>0</v>
      </c>
      <c r="Q488" s="329">
        <v>5.8000000000000004E-6</v>
      </c>
      <c r="R488" s="346">
        <f t="shared" si="67"/>
        <v>5.8000000000000004E-6</v>
      </c>
      <c r="S488" s="347" t="str">
        <f t="shared" si="68"/>
        <v>CURSOS</v>
      </c>
      <c r="T488" s="347">
        <f t="shared" si="69"/>
        <v>0</v>
      </c>
      <c r="U488" s="347">
        <f>HLOOKUP(Apoio!$P$12,$D$444:$P$545,X488,FALSE)+Q488</f>
        <v>5.8000000000000004E-6</v>
      </c>
      <c r="V488" s="447" t="str">
        <f t="shared" si="66"/>
        <v>CURSOS</v>
      </c>
      <c r="W488" s="448">
        <f>HLOOKUP(Apoio!$P$12,$D$444:$P$545,X488,FALSE)</f>
        <v>0</v>
      </c>
      <c r="X488" s="329">
        <v>45</v>
      </c>
    </row>
    <row r="489" spans="2:24" ht="30.05" customHeight="1" x14ac:dyDescent="0.35">
      <c r="B489" s="204" t="str">
        <f>'CAD_PL_REC-DESP'!T48</f>
        <v>2.4.44</v>
      </c>
      <c r="C489" s="205" t="str">
        <f>IF('CAD_PL_REC-DESP'!U13="","-",'CAD_PL_REC-DESP'!U13)</f>
        <v>DESCONTO EM FOLHA EMPRÉSTIMO</v>
      </c>
      <c r="D489" s="206">
        <f>SUMIFS(LANÇ_MOV[VALOR LÍQUIDO],LANÇ_MOV[RECEITA OU DESPESA],"Despesa",LANÇ_MOV[CONTAS],$C489,LANÇ_MOV[PLANO DE CONTAS],REL_DRE_FINANCEIRO!$B$445,LANÇ_MOV[ANO PAGAMENTO],$B$4,LANÇ_MOV[MÊS PAGAMENTO CORRESPONDENTE],D$6,LANÇ_MOV[EMPRESA],$C$4,LANÇ_MOV[CENTRO DE CUSTOS],$D$4)</f>
        <v>0</v>
      </c>
      <c r="E489" s="206">
        <f>SUMIFS(LANÇ_MOV[VALOR LÍQUIDO],LANÇ_MOV[RECEITA OU DESPESA],"Despesa",LANÇ_MOV[CONTAS],$C489,LANÇ_MOV[PLANO DE CONTAS],REL_DRE_FINANCEIRO!$B$445,LANÇ_MOV[ANO PAGAMENTO],$B$4,LANÇ_MOV[MÊS PAGAMENTO CORRESPONDENTE],E$6,LANÇ_MOV[EMPRESA],$C$4,LANÇ_MOV[CENTRO DE CUSTOS],$D$4)</f>
        <v>0</v>
      </c>
      <c r="F489" s="206">
        <f>SUMIFS(LANÇ_MOV[VALOR LÍQUIDO],LANÇ_MOV[RECEITA OU DESPESA],"Despesa",LANÇ_MOV[CONTAS],$C489,LANÇ_MOV[PLANO DE CONTAS],REL_DRE_FINANCEIRO!$B$445,LANÇ_MOV[ANO PAGAMENTO],$B$4,LANÇ_MOV[MÊS PAGAMENTO CORRESPONDENTE],F$6,LANÇ_MOV[EMPRESA],$C$4,LANÇ_MOV[CENTRO DE CUSTOS],$D$4)</f>
        <v>0</v>
      </c>
      <c r="G489" s="206">
        <f>SUMIFS(LANÇ_MOV[VALOR LÍQUIDO],LANÇ_MOV[RECEITA OU DESPESA],"Despesa",LANÇ_MOV[CONTAS],$C489,LANÇ_MOV[PLANO DE CONTAS],REL_DRE_FINANCEIRO!$B$445,LANÇ_MOV[ANO PAGAMENTO],$B$4,LANÇ_MOV[MÊS PAGAMENTO CORRESPONDENTE],G$6,LANÇ_MOV[EMPRESA],$C$4,LANÇ_MOV[CENTRO DE CUSTOS],$D$4)</f>
        <v>0</v>
      </c>
      <c r="H489" s="206">
        <f>SUMIFS(LANÇ_MOV[VALOR LÍQUIDO],LANÇ_MOV[RECEITA OU DESPESA],"Despesa",LANÇ_MOV[CONTAS],$C489,LANÇ_MOV[PLANO DE CONTAS],REL_DRE_FINANCEIRO!$B$445,LANÇ_MOV[ANO PAGAMENTO],$B$4,LANÇ_MOV[MÊS PAGAMENTO CORRESPONDENTE],H$6,LANÇ_MOV[EMPRESA],$C$4,LANÇ_MOV[CENTRO DE CUSTOS],$D$4)</f>
        <v>0</v>
      </c>
      <c r="I489" s="206">
        <f>SUMIFS(LANÇ_MOV[VALOR LÍQUIDO],LANÇ_MOV[RECEITA OU DESPESA],"Despesa",LANÇ_MOV[CONTAS],$C489,LANÇ_MOV[PLANO DE CONTAS],REL_DRE_FINANCEIRO!$B$445,LANÇ_MOV[ANO PAGAMENTO],$B$4,LANÇ_MOV[MÊS PAGAMENTO CORRESPONDENTE],I$6,LANÇ_MOV[EMPRESA],$C$4,LANÇ_MOV[CENTRO DE CUSTOS],$D$4)</f>
        <v>0</v>
      </c>
      <c r="J489" s="206">
        <f>SUMIFS(LANÇ_MOV[VALOR LÍQUIDO],LANÇ_MOV[RECEITA OU DESPESA],"Despesa",LANÇ_MOV[CONTAS],$C489,LANÇ_MOV[PLANO DE CONTAS],REL_DRE_FINANCEIRO!$B$445,LANÇ_MOV[ANO PAGAMENTO],$B$4,LANÇ_MOV[MÊS PAGAMENTO CORRESPONDENTE],J$6,LANÇ_MOV[EMPRESA],$C$4,LANÇ_MOV[CENTRO DE CUSTOS],$D$4)</f>
        <v>0</v>
      </c>
      <c r="K489" s="206">
        <f>SUMIFS(LANÇ_MOV[VALOR LÍQUIDO],LANÇ_MOV[RECEITA OU DESPESA],"Despesa",LANÇ_MOV[CONTAS],$C489,LANÇ_MOV[PLANO DE CONTAS],REL_DRE_FINANCEIRO!$B$445,LANÇ_MOV[ANO PAGAMENTO],$B$4,LANÇ_MOV[MÊS PAGAMENTO CORRESPONDENTE],K$6,LANÇ_MOV[EMPRESA],$C$4,LANÇ_MOV[CENTRO DE CUSTOS],$D$4)</f>
        <v>0</v>
      </c>
      <c r="L489" s="206">
        <f>SUMIFS(LANÇ_MOV[VALOR LÍQUIDO],LANÇ_MOV[RECEITA OU DESPESA],"Despesa",LANÇ_MOV[CONTAS],$C489,LANÇ_MOV[PLANO DE CONTAS],REL_DRE_FINANCEIRO!$B$445,LANÇ_MOV[ANO PAGAMENTO],$B$4,LANÇ_MOV[MÊS PAGAMENTO CORRESPONDENTE],L$6,LANÇ_MOV[EMPRESA],$C$4,LANÇ_MOV[CENTRO DE CUSTOS],$D$4)</f>
        <v>0</v>
      </c>
      <c r="M489" s="206">
        <f>SUMIFS(LANÇ_MOV[VALOR LÍQUIDO],LANÇ_MOV[RECEITA OU DESPESA],"Despesa",LANÇ_MOV[CONTAS],$C489,LANÇ_MOV[PLANO DE CONTAS],REL_DRE_FINANCEIRO!$B$445,LANÇ_MOV[ANO PAGAMENTO],$B$4,LANÇ_MOV[MÊS PAGAMENTO CORRESPONDENTE],M$6,LANÇ_MOV[EMPRESA],$C$4,LANÇ_MOV[CENTRO DE CUSTOS],$D$4)</f>
        <v>0</v>
      </c>
      <c r="N489" s="206">
        <f>SUMIFS(LANÇ_MOV[VALOR LÍQUIDO],LANÇ_MOV[RECEITA OU DESPESA],"Despesa",LANÇ_MOV[CONTAS],$C489,LANÇ_MOV[PLANO DE CONTAS],REL_DRE_FINANCEIRO!$B$445,LANÇ_MOV[ANO PAGAMENTO],$B$4,LANÇ_MOV[MÊS PAGAMENTO CORRESPONDENTE],N$6,LANÇ_MOV[EMPRESA],$C$4,LANÇ_MOV[CENTRO DE CUSTOS],$D$4)</f>
        <v>0</v>
      </c>
      <c r="O489" s="206">
        <f>SUMIFS(LANÇ_MOV[VALOR LÍQUIDO],LANÇ_MOV[RECEITA OU DESPESA],"Despesa",LANÇ_MOV[CONTAS],$C489,LANÇ_MOV[PLANO DE CONTAS],REL_DRE_FINANCEIRO!$B$445,LANÇ_MOV[ANO PAGAMENTO],$B$4,LANÇ_MOV[MÊS PAGAMENTO CORRESPONDENTE],O$6,LANÇ_MOV[EMPRESA],$C$4,LANÇ_MOV[CENTRO DE CUSTOS],$D$4)</f>
        <v>0</v>
      </c>
      <c r="P489" s="207">
        <f t="shared" si="65"/>
        <v>0</v>
      </c>
      <c r="Q489" s="329">
        <v>5.6999999999999996E-6</v>
      </c>
      <c r="R489" s="346">
        <f t="shared" si="67"/>
        <v>5.6999999999999996E-6</v>
      </c>
      <c r="S489" s="347" t="str">
        <f t="shared" si="68"/>
        <v>DESCONTO EM FOLHA EMPRÉSTIMO</v>
      </c>
      <c r="T489" s="347">
        <f t="shared" si="69"/>
        <v>0</v>
      </c>
      <c r="U489" s="347">
        <f>HLOOKUP(Apoio!$P$12,$D$444:$P$545,X489,FALSE)+Q489</f>
        <v>5.6999999999999996E-6</v>
      </c>
      <c r="V489" s="447" t="str">
        <f t="shared" si="66"/>
        <v>DESCONTO EM FOLHA EMPRÉSTIMO</v>
      </c>
      <c r="W489" s="448">
        <f>HLOOKUP(Apoio!$P$12,$D$444:$P$545,X489,FALSE)</f>
        <v>0</v>
      </c>
      <c r="X489" s="329">
        <v>46</v>
      </c>
    </row>
    <row r="490" spans="2:24" ht="30.05" customHeight="1" x14ac:dyDescent="0.35">
      <c r="B490" s="204" t="str">
        <f>'CAD_PL_REC-DESP'!T49</f>
        <v>2.4.45</v>
      </c>
      <c r="C490" s="205" t="str">
        <f>IF('CAD_PL_REC-DESP'!U14="","-",'CAD_PL_REC-DESP'!U14)</f>
        <v>DIÁRIA</v>
      </c>
      <c r="D490" s="206">
        <f>SUMIFS(LANÇ_MOV[VALOR LÍQUIDO],LANÇ_MOV[RECEITA OU DESPESA],"Despesa",LANÇ_MOV[CONTAS],$C490,LANÇ_MOV[PLANO DE CONTAS],REL_DRE_FINANCEIRO!$B$445,LANÇ_MOV[ANO PAGAMENTO],$B$4,LANÇ_MOV[MÊS PAGAMENTO CORRESPONDENTE],D$6,LANÇ_MOV[EMPRESA],$C$4,LANÇ_MOV[CENTRO DE CUSTOS],$D$4)</f>
        <v>0</v>
      </c>
      <c r="E490" s="206">
        <f>SUMIFS(LANÇ_MOV[VALOR LÍQUIDO],LANÇ_MOV[RECEITA OU DESPESA],"Despesa",LANÇ_MOV[CONTAS],$C490,LANÇ_MOV[PLANO DE CONTAS],REL_DRE_FINANCEIRO!$B$445,LANÇ_MOV[ANO PAGAMENTO],$B$4,LANÇ_MOV[MÊS PAGAMENTO CORRESPONDENTE],E$6,LANÇ_MOV[EMPRESA],$C$4,LANÇ_MOV[CENTRO DE CUSTOS],$D$4)</f>
        <v>0</v>
      </c>
      <c r="F490" s="206">
        <f>SUMIFS(LANÇ_MOV[VALOR LÍQUIDO],LANÇ_MOV[RECEITA OU DESPESA],"Despesa",LANÇ_MOV[CONTAS],$C490,LANÇ_MOV[PLANO DE CONTAS],REL_DRE_FINANCEIRO!$B$445,LANÇ_MOV[ANO PAGAMENTO],$B$4,LANÇ_MOV[MÊS PAGAMENTO CORRESPONDENTE],F$6,LANÇ_MOV[EMPRESA],$C$4,LANÇ_MOV[CENTRO DE CUSTOS],$D$4)</f>
        <v>0</v>
      </c>
      <c r="G490" s="206">
        <f>SUMIFS(LANÇ_MOV[VALOR LÍQUIDO],LANÇ_MOV[RECEITA OU DESPESA],"Despesa",LANÇ_MOV[CONTAS],$C490,LANÇ_MOV[PLANO DE CONTAS],REL_DRE_FINANCEIRO!$B$445,LANÇ_MOV[ANO PAGAMENTO],$B$4,LANÇ_MOV[MÊS PAGAMENTO CORRESPONDENTE],G$6,LANÇ_MOV[EMPRESA],$C$4,LANÇ_MOV[CENTRO DE CUSTOS],$D$4)</f>
        <v>0</v>
      </c>
      <c r="H490" s="206">
        <f>SUMIFS(LANÇ_MOV[VALOR LÍQUIDO],LANÇ_MOV[RECEITA OU DESPESA],"Despesa",LANÇ_MOV[CONTAS],$C490,LANÇ_MOV[PLANO DE CONTAS],REL_DRE_FINANCEIRO!$B$445,LANÇ_MOV[ANO PAGAMENTO],$B$4,LANÇ_MOV[MÊS PAGAMENTO CORRESPONDENTE],H$6,LANÇ_MOV[EMPRESA],$C$4,LANÇ_MOV[CENTRO DE CUSTOS],$D$4)</f>
        <v>0</v>
      </c>
      <c r="I490" s="206">
        <f>SUMIFS(LANÇ_MOV[VALOR LÍQUIDO],LANÇ_MOV[RECEITA OU DESPESA],"Despesa",LANÇ_MOV[CONTAS],$C490,LANÇ_MOV[PLANO DE CONTAS],REL_DRE_FINANCEIRO!$B$445,LANÇ_MOV[ANO PAGAMENTO],$B$4,LANÇ_MOV[MÊS PAGAMENTO CORRESPONDENTE],I$6,LANÇ_MOV[EMPRESA],$C$4,LANÇ_MOV[CENTRO DE CUSTOS],$D$4)</f>
        <v>0</v>
      </c>
      <c r="J490" s="206">
        <f>SUMIFS(LANÇ_MOV[VALOR LÍQUIDO],LANÇ_MOV[RECEITA OU DESPESA],"Despesa",LANÇ_MOV[CONTAS],$C490,LANÇ_MOV[PLANO DE CONTAS],REL_DRE_FINANCEIRO!$B$445,LANÇ_MOV[ANO PAGAMENTO],$B$4,LANÇ_MOV[MÊS PAGAMENTO CORRESPONDENTE],J$6,LANÇ_MOV[EMPRESA],$C$4,LANÇ_MOV[CENTRO DE CUSTOS],$D$4)</f>
        <v>0</v>
      </c>
      <c r="K490" s="206">
        <f>SUMIFS(LANÇ_MOV[VALOR LÍQUIDO],LANÇ_MOV[RECEITA OU DESPESA],"Despesa",LANÇ_MOV[CONTAS],$C490,LANÇ_MOV[PLANO DE CONTAS],REL_DRE_FINANCEIRO!$B$445,LANÇ_MOV[ANO PAGAMENTO],$B$4,LANÇ_MOV[MÊS PAGAMENTO CORRESPONDENTE],K$6,LANÇ_MOV[EMPRESA],$C$4,LANÇ_MOV[CENTRO DE CUSTOS],$D$4)</f>
        <v>0</v>
      </c>
      <c r="L490" s="206">
        <f>SUMIFS(LANÇ_MOV[VALOR LÍQUIDO],LANÇ_MOV[RECEITA OU DESPESA],"Despesa",LANÇ_MOV[CONTAS],$C490,LANÇ_MOV[PLANO DE CONTAS],REL_DRE_FINANCEIRO!$B$445,LANÇ_MOV[ANO PAGAMENTO],$B$4,LANÇ_MOV[MÊS PAGAMENTO CORRESPONDENTE],L$6,LANÇ_MOV[EMPRESA],$C$4,LANÇ_MOV[CENTRO DE CUSTOS],$D$4)</f>
        <v>0</v>
      </c>
      <c r="M490" s="206">
        <f>SUMIFS(LANÇ_MOV[VALOR LÍQUIDO],LANÇ_MOV[RECEITA OU DESPESA],"Despesa",LANÇ_MOV[CONTAS],$C490,LANÇ_MOV[PLANO DE CONTAS],REL_DRE_FINANCEIRO!$B$445,LANÇ_MOV[ANO PAGAMENTO],$B$4,LANÇ_MOV[MÊS PAGAMENTO CORRESPONDENTE],M$6,LANÇ_MOV[EMPRESA],$C$4,LANÇ_MOV[CENTRO DE CUSTOS],$D$4)</f>
        <v>0</v>
      </c>
      <c r="N490" s="206">
        <f>SUMIFS(LANÇ_MOV[VALOR LÍQUIDO],LANÇ_MOV[RECEITA OU DESPESA],"Despesa",LANÇ_MOV[CONTAS],$C490,LANÇ_MOV[PLANO DE CONTAS],REL_DRE_FINANCEIRO!$B$445,LANÇ_MOV[ANO PAGAMENTO],$B$4,LANÇ_MOV[MÊS PAGAMENTO CORRESPONDENTE],N$6,LANÇ_MOV[EMPRESA],$C$4,LANÇ_MOV[CENTRO DE CUSTOS],$D$4)</f>
        <v>0</v>
      </c>
      <c r="O490" s="206">
        <f>SUMIFS(LANÇ_MOV[VALOR LÍQUIDO],LANÇ_MOV[RECEITA OU DESPESA],"Despesa",LANÇ_MOV[CONTAS],$C490,LANÇ_MOV[PLANO DE CONTAS],REL_DRE_FINANCEIRO!$B$445,LANÇ_MOV[ANO PAGAMENTO],$B$4,LANÇ_MOV[MÊS PAGAMENTO CORRESPONDENTE],O$6,LANÇ_MOV[EMPRESA],$C$4,LANÇ_MOV[CENTRO DE CUSTOS],$D$4)</f>
        <v>0</v>
      </c>
      <c r="P490" s="207">
        <f t="shared" si="65"/>
        <v>0</v>
      </c>
      <c r="Q490" s="329">
        <v>5.5999999999999997E-6</v>
      </c>
      <c r="R490" s="346">
        <f t="shared" si="67"/>
        <v>5.5999999999999997E-6</v>
      </c>
      <c r="S490" s="347" t="str">
        <f t="shared" si="68"/>
        <v>DIÁRIA</v>
      </c>
      <c r="T490" s="347">
        <f t="shared" si="69"/>
        <v>0</v>
      </c>
      <c r="U490" s="347">
        <f>HLOOKUP(Apoio!$P$12,$D$444:$P$545,X490,FALSE)+Q490</f>
        <v>5.5999999999999997E-6</v>
      </c>
      <c r="V490" s="447" t="str">
        <f t="shared" si="66"/>
        <v>DIÁRIA</v>
      </c>
      <c r="W490" s="448">
        <f>HLOOKUP(Apoio!$P$12,$D$444:$P$545,X490,FALSE)</f>
        <v>0</v>
      </c>
      <c r="X490" s="329">
        <v>47</v>
      </c>
    </row>
    <row r="491" spans="2:24" ht="30.05" customHeight="1" x14ac:dyDescent="0.35">
      <c r="B491" s="204" t="str">
        <f>'CAD_PL_REC-DESP'!T50</f>
        <v>2.4.46</v>
      </c>
      <c r="C491" s="205" t="str">
        <f>IF('CAD_PL_REC-DESP'!U15="","-",'CAD_PL_REC-DESP'!U15)</f>
        <v>DOCUMENTOS PCMSO / PGR / LTCAT</v>
      </c>
      <c r="D491" s="206">
        <f>SUMIFS(LANÇ_MOV[VALOR LÍQUIDO],LANÇ_MOV[RECEITA OU DESPESA],"Despesa",LANÇ_MOV[CONTAS],$C491,LANÇ_MOV[PLANO DE CONTAS],REL_DRE_FINANCEIRO!$B$445,LANÇ_MOV[ANO PAGAMENTO],$B$4,LANÇ_MOV[MÊS PAGAMENTO CORRESPONDENTE],D$6,LANÇ_MOV[EMPRESA],$C$4,LANÇ_MOV[CENTRO DE CUSTOS],$D$4)</f>
        <v>0</v>
      </c>
      <c r="E491" s="206">
        <f>SUMIFS(LANÇ_MOV[VALOR LÍQUIDO],LANÇ_MOV[RECEITA OU DESPESA],"Despesa",LANÇ_MOV[CONTAS],$C491,LANÇ_MOV[PLANO DE CONTAS],REL_DRE_FINANCEIRO!$B$445,LANÇ_MOV[ANO PAGAMENTO],$B$4,LANÇ_MOV[MÊS PAGAMENTO CORRESPONDENTE],E$6,LANÇ_MOV[EMPRESA],$C$4,LANÇ_MOV[CENTRO DE CUSTOS],$D$4)</f>
        <v>0</v>
      </c>
      <c r="F491" s="206">
        <f>SUMIFS(LANÇ_MOV[VALOR LÍQUIDO],LANÇ_MOV[RECEITA OU DESPESA],"Despesa",LANÇ_MOV[CONTAS],$C491,LANÇ_MOV[PLANO DE CONTAS],REL_DRE_FINANCEIRO!$B$445,LANÇ_MOV[ANO PAGAMENTO],$B$4,LANÇ_MOV[MÊS PAGAMENTO CORRESPONDENTE],F$6,LANÇ_MOV[EMPRESA],$C$4,LANÇ_MOV[CENTRO DE CUSTOS],$D$4)</f>
        <v>0</v>
      </c>
      <c r="G491" s="206">
        <f>SUMIFS(LANÇ_MOV[VALOR LÍQUIDO],LANÇ_MOV[RECEITA OU DESPESA],"Despesa",LANÇ_MOV[CONTAS],$C491,LANÇ_MOV[PLANO DE CONTAS],REL_DRE_FINANCEIRO!$B$445,LANÇ_MOV[ANO PAGAMENTO],$B$4,LANÇ_MOV[MÊS PAGAMENTO CORRESPONDENTE],G$6,LANÇ_MOV[EMPRESA],$C$4,LANÇ_MOV[CENTRO DE CUSTOS],$D$4)</f>
        <v>0</v>
      </c>
      <c r="H491" s="206">
        <f>SUMIFS(LANÇ_MOV[VALOR LÍQUIDO],LANÇ_MOV[RECEITA OU DESPESA],"Despesa",LANÇ_MOV[CONTAS],$C491,LANÇ_MOV[PLANO DE CONTAS],REL_DRE_FINANCEIRO!$B$445,LANÇ_MOV[ANO PAGAMENTO],$B$4,LANÇ_MOV[MÊS PAGAMENTO CORRESPONDENTE],H$6,LANÇ_MOV[EMPRESA],$C$4,LANÇ_MOV[CENTRO DE CUSTOS],$D$4)</f>
        <v>0</v>
      </c>
      <c r="I491" s="206">
        <f>SUMIFS(LANÇ_MOV[VALOR LÍQUIDO],LANÇ_MOV[RECEITA OU DESPESA],"Despesa",LANÇ_MOV[CONTAS],$C491,LANÇ_MOV[PLANO DE CONTAS],REL_DRE_FINANCEIRO!$B$445,LANÇ_MOV[ANO PAGAMENTO],$B$4,LANÇ_MOV[MÊS PAGAMENTO CORRESPONDENTE],I$6,LANÇ_MOV[EMPRESA],$C$4,LANÇ_MOV[CENTRO DE CUSTOS],$D$4)</f>
        <v>0</v>
      </c>
      <c r="J491" s="206">
        <f>SUMIFS(LANÇ_MOV[VALOR LÍQUIDO],LANÇ_MOV[RECEITA OU DESPESA],"Despesa",LANÇ_MOV[CONTAS],$C491,LANÇ_MOV[PLANO DE CONTAS],REL_DRE_FINANCEIRO!$B$445,LANÇ_MOV[ANO PAGAMENTO],$B$4,LANÇ_MOV[MÊS PAGAMENTO CORRESPONDENTE],J$6,LANÇ_MOV[EMPRESA],$C$4,LANÇ_MOV[CENTRO DE CUSTOS],$D$4)</f>
        <v>0</v>
      </c>
      <c r="K491" s="206">
        <f>SUMIFS(LANÇ_MOV[VALOR LÍQUIDO],LANÇ_MOV[RECEITA OU DESPESA],"Despesa",LANÇ_MOV[CONTAS],$C491,LANÇ_MOV[PLANO DE CONTAS],REL_DRE_FINANCEIRO!$B$445,LANÇ_MOV[ANO PAGAMENTO],$B$4,LANÇ_MOV[MÊS PAGAMENTO CORRESPONDENTE],K$6,LANÇ_MOV[EMPRESA],$C$4,LANÇ_MOV[CENTRO DE CUSTOS],$D$4)</f>
        <v>0</v>
      </c>
      <c r="L491" s="206">
        <f>SUMIFS(LANÇ_MOV[VALOR LÍQUIDO],LANÇ_MOV[RECEITA OU DESPESA],"Despesa",LANÇ_MOV[CONTAS],$C491,LANÇ_MOV[PLANO DE CONTAS],REL_DRE_FINANCEIRO!$B$445,LANÇ_MOV[ANO PAGAMENTO],$B$4,LANÇ_MOV[MÊS PAGAMENTO CORRESPONDENTE],L$6,LANÇ_MOV[EMPRESA],$C$4,LANÇ_MOV[CENTRO DE CUSTOS],$D$4)</f>
        <v>0</v>
      </c>
      <c r="M491" s="206">
        <f>SUMIFS(LANÇ_MOV[VALOR LÍQUIDO],LANÇ_MOV[RECEITA OU DESPESA],"Despesa",LANÇ_MOV[CONTAS],$C491,LANÇ_MOV[PLANO DE CONTAS],REL_DRE_FINANCEIRO!$B$445,LANÇ_MOV[ANO PAGAMENTO],$B$4,LANÇ_MOV[MÊS PAGAMENTO CORRESPONDENTE],M$6,LANÇ_MOV[EMPRESA],$C$4,LANÇ_MOV[CENTRO DE CUSTOS],$D$4)</f>
        <v>0</v>
      </c>
      <c r="N491" s="206">
        <f>SUMIFS(LANÇ_MOV[VALOR LÍQUIDO],LANÇ_MOV[RECEITA OU DESPESA],"Despesa",LANÇ_MOV[CONTAS],$C491,LANÇ_MOV[PLANO DE CONTAS],REL_DRE_FINANCEIRO!$B$445,LANÇ_MOV[ANO PAGAMENTO],$B$4,LANÇ_MOV[MÊS PAGAMENTO CORRESPONDENTE],N$6,LANÇ_MOV[EMPRESA],$C$4,LANÇ_MOV[CENTRO DE CUSTOS],$D$4)</f>
        <v>0</v>
      </c>
      <c r="O491" s="206">
        <f>SUMIFS(LANÇ_MOV[VALOR LÍQUIDO],LANÇ_MOV[RECEITA OU DESPESA],"Despesa",LANÇ_MOV[CONTAS],$C491,LANÇ_MOV[PLANO DE CONTAS],REL_DRE_FINANCEIRO!$B$445,LANÇ_MOV[ANO PAGAMENTO],$B$4,LANÇ_MOV[MÊS PAGAMENTO CORRESPONDENTE],O$6,LANÇ_MOV[EMPRESA],$C$4,LANÇ_MOV[CENTRO DE CUSTOS],$D$4)</f>
        <v>0</v>
      </c>
      <c r="P491" s="207">
        <f t="shared" si="65"/>
        <v>0</v>
      </c>
      <c r="Q491" s="329">
        <v>5.4999999999999999E-6</v>
      </c>
      <c r="R491" s="346">
        <f t="shared" si="67"/>
        <v>5.4999999999999999E-6</v>
      </c>
      <c r="S491" s="347" t="str">
        <f t="shared" si="68"/>
        <v>DOCUMENTOS PCMSO / PGR / LTCAT</v>
      </c>
      <c r="T491" s="347">
        <f t="shared" si="69"/>
        <v>0</v>
      </c>
      <c r="U491" s="347">
        <f>HLOOKUP(Apoio!$P$12,$D$444:$P$545,X491,FALSE)+Q491</f>
        <v>5.4999999999999999E-6</v>
      </c>
      <c r="V491" s="447" t="str">
        <f t="shared" si="66"/>
        <v>DOCUMENTOS PCMSO / PGR / LTCAT</v>
      </c>
      <c r="W491" s="448">
        <f>HLOOKUP(Apoio!$P$12,$D$444:$P$545,X491,FALSE)</f>
        <v>0</v>
      </c>
      <c r="X491" s="329">
        <v>48</v>
      </c>
    </row>
    <row r="492" spans="2:24" ht="30.05" customHeight="1" x14ac:dyDescent="0.35">
      <c r="B492" s="204" t="str">
        <f>'CAD_PL_REC-DESP'!T51</f>
        <v>2.4.47</v>
      </c>
      <c r="C492" s="205" t="str">
        <f>IF('CAD_PL_REC-DESP'!U16="","-",'CAD_PL_REC-DESP'!U16)</f>
        <v>EPI'S</v>
      </c>
      <c r="D492" s="206">
        <f>SUMIFS(LANÇ_MOV[VALOR LÍQUIDO],LANÇ_MOV[RECEITA OU DESPESA],"Despesa",LANÇ_MOV[CONTAS],$C492,LANÇ_MOV[PLANO DE CONTAS],REL_DRE_FINANCEIRO!$B$445,LANÇ_MOV[ANO PAGAMENTO],$B$4,LANÇ_MOV[MÊS PAGAMENTO CORRESPONDENTE],D$6,LANÇ_MOV[EMPRESA],$C$4,LANÇ_MOV[CENTRO DE CUSTOS],$D$4)</f>
        <v>0</v>
      </c>
      <c r="E492" s="206">
        <f>SUMIFS(LANÇ_MOV[VALOR LÍQUIDO],LANÇ_MOV[RECEITA OU DESPESA],"Despesa",LANÇ_MOV[CONTAS],$C492,LANÇ_MOV[PLANO DE CONTAS],REL_DRE_FINANCEIRO!$B$445,LANÇ_MOV[ANO PAGAMENTO],$B$4,LANÇ_MOV[MÊS PAGAMENTO CORRESPONDENTE],E$6,LANÇ_MOV[EMPRESA],$C$4,LANÇ_MOV[CENTRO DE CUSTOS],$D$4)</f>
        <v>0</v>
      </c>
      <c r="F492" s="206">
        <f>SUMIFS(LANÇ_MOV[VALOR LÍQUIDO],LANÇ_MOV[RECEITA OU DESPESA],"Despesa",LANÇ_MOV[CONTAS],$C492,LANÇ_MOV[PLANO DE CONTAS],REL_DRE_FINANCEIRO!$B$445,LANÇ_MOV[ANO PAGAMENTO],$B$4,LANÇ_MOV[MÊS PAGAMENTO CORRESPONDENTE],F$6,LANÇ_MOV[EMPRESA],$C$4,LANÇ_MOV[CENTRO DE CUSTOS],$D$4)</f>
        <v>0</v>
      </c>
      <c r="G492" s="206">
        <f>SUMIFS(LANÇ_MOV[VALOR LÍQUIDO],LANÇ_MOV[RECEITA OU DESPESA],"Despesa",LANÇ_MOV[CONTAS],$C492,LANÇ_MOV[PLANO DE CONTAS],REL_DRE_FINANCEIRO!$B$445,LANÇ_MOV[ANO PAGAMENTO],$B$4,LANÇ_MOV[MÊS PAGAMENTO CORRESPONDENTE],G$6,LANÇ_MOV[EMPRESA],$C$4,LANÇ_MOV[CENTRO DE CUSTOS],$D$4)</f>
        <v>0</v>
      </c>
      <c r="H492" s="206">
        <f>SUMIFS(LANÇ_MOV[VALOR LÍQUIDO],LANÇ_MOV[RECEITA OU DESPESA],"Despesa",LANÇ_MOV[CONTAS],$C492,LANÇ_MOV[PLANO DE CONTAS],REL_DRE_FINANCEIRO!$B$445,LANÇ_MOV[ANO PAGAMENTO],$B$4,LANÇ_MOV[MÊS PAGAMENTO CORRESPONDENTE],H$6,LANÇ_MOV[EMPRESA],$C$4,LANÇ_MOV[CENTRO DE CUSTOS],$D$4)</f>
        <v>0</v>
      </c>
      <c r="I492" s="206">
        <f>SUMIFS(LANÇ_MOV[VALOR LÍQUIDO],LANÇ_MOV[RECEITA OU DESPESA],"Despesa",LANÇ_MOV[CONTAS],$C492,LANÇ_MOV[PLANO DE CONTAS],REL_DRE_FINANCEIRO!$B$445,LANÇ_MOV[ANO PAGAMENTO],$B$4,LANÇ_MOV[MÊS PAGAMENTO CORRESPONDENTE],I$6,LANÇ_MOV[EMPRESA],$C$4,LANÇ_MOV[CENTRO DE CUSTOS],$D$4)</f>
        <v>0</v>
      </c>
      <c r="J492" s="206">
        <f>SUMIFS(LANÇ_MOV[VALOR LÍQUIDO],LANÇ_MOV[RECEITA OU DESPESA],"Despesa",LANÇ_MOV[CONTAS],$C492,LANÇ_MOV[PLANO DE CONTAS],REL_DRE_FINANCEIRO!$B$445,LANÇ_MOV[ANO PAGAMENTO],$B$4,LANÇ_MOV[MÊS PAGAMENTO CORRESPONDENTE],J$6,LANÇ_MOV[EMPRESA],$C$4,LANÇ_MOV[CENTRO DE CUSTOS],$D$4)</f>
        <v>0</v>
      </c>
      <c r="K492" s="206">
        <f>SUMIFS(LANÇ_MOV[VALOR LÍQUIDO],LANÇ_MOV[RECEITA OU DESPESA],"Despesa",LANÇ_MOV[CONTAS],$C492,LANÇ_MOV[PLANO DE CONTAS],REL_DRE_FINANCEIRO!$B$445,LANÇ_MOV[ANO PAGAMENTO],$B$4,LANÇ_MOV[MÊS PAGAMENTO CORRESPONDENTE],K$6,LANÇ_MOV[EMPRESA],$C$4,LANÇ_MOV[CENTRO DE CUSTOS],$D$4)</f>
        <v>0</v>
      </c>
      <c r="L492" s="206">
        <f>SUMIFS(LANÇ_MOV[VALOR LÍQUIDO],LANÇ_MOV[RECEITA OU DESPESA],"Despesa",LANÇ_MOV[CONTAS],$C492,LANÇ_MOV[PLANO DE CONTAS],REL_DRE_FINANCEIRO!$B$445,LANÇ_MOV[ANO PAGAMENTO],$B$4,LANÇ_MOV[MÊS PAGAMENTO CORRESPONDENTE],L$6,LANÇ_MOV[EMPRESA],$C$4,LANÇ_MOV[CENTRO DE CUSTOS],$D$4)</f>
        <v>0</v>
      </c>
      <c r="M492" s="206">
        <f>SUMIFS(LANÇ_MOV[VALOR LÍQUIDO],LANÇ_MOV[RECEITA OU DESPESA],"Despesa",LANÇ_MOV[CONTAS],$C492,LANÇ_MOV[PLANO DE CONTAS],REL_DRE_FINANCEIRO!$B$445,LANÇ_MOV[ANO PAGAMENTO],$B$4,LANÇ_MOV[MÊS PAGAMENTO CORRESPONDENTE],M$6,LANÇ_MOV[EMPRESA],$C$4,LANÇ_MOV[CENTRO DE CUSTOS],$D$4)</f>
        <v>0</v>
      </c>
      <c r="N492" s="206">
        <f>SUMIFS(LANÇ_MOV[VALOR LÍQUIDO],LANÇ_MOV[RECEITA OU DESPESA],"Despesa",LANÇ_MOV[CONTAS],$C492,LANÇ_MOV[PLANO DE CONTAS],REL_DRE_FINANCEIRO!$B$445,LANÇ_MOV[ANO PAGAMENTO],$B$4,LANÇ_MOV[MÊS PAGAMENTO CORRESPONDENTE],N$6,LANÇ_MOV[EMPRESA],$C$4,LANÇ_MOV[CENTRO DE CUSTOS],$D$4)</f>
        <v>0</v>
      </c>
      <c r="O492" s="206">
        <f>SUMIFS(LANÇ_MOV[VALOR LÍQUIDO],LANÇ_MOV[RECEITA OU DESPESA],"Despesa",LANÇ_MOV[CONTAS],$C492,LANÇ_MOV[PLANO DE CONTAS],REL_DRE_FINANCEIRO!$B$445,LANÇ_MOV[ANO PAGAMENTO],$B$4,LANÇ_MOV[MÊS PAGAMENTO CORRESPONDENTE],O$6,LANÇ_MOV[EMPRESA],$C$4,LANÇ_MOV[CENTRO DE CUSTOS],$D$4)</f>
        <v>0</v>
      </c>
      <c r="P492" s="207">
        <f t="shared" si="65"/>
        <v>0</v>
      </c>
      <c r="Q492" s="329">
        <v>5.4E-6</v>
      </c>
      <c r="R492" s="346">
        <f t="shared" si="67"/>
        <v>5.4E-6</v>
      </c>
      <c r="S492" s="347" t="str">
        <f t="shared" si="68"/>
        <v>EPI'S</v>
      </c>
      <c r="T492" s="347">
        <f t="shared" si="69"/>
        <v>0</v>
      </c>
      <c r="U492" s="347">
        <f>HLOOKUP(Apoio!$P$12,$D$444:$P$545,X492,FALSE)+Q492</f>
        <v>5.4E-6</v>
      </c>
      <c r="V492" s="447" t="str">
        <f t="shared" si="66"/>
        <v>EPI'S</v>
      </c>
      <c r="W492" s="448">
        <f>HLOOKUP(Apoio!$P$12,$D$444:$P$545,X492,FALSE)</f>
        <v>0</v>
      </c>
      <c r="X492" s="329">
        <v>49</v>
      </c>
    </row>
    <row r="493" spans="2:24" ht="30.05" customHeight="1" x14ac:dyDescent="0.35">
      <c r="B493" s="204" t="str">
        <f>'CAD_PL_REC-DESP'!T52</f>
        <v>2.4.48</v>
      </c>
      <c r="C493" s="205" t="str">
        <f>IF('CAD_PL_REC-DESP'!U17="","-",'CAD_PL_REC-DESP'!U17)</f>
        <v>EXAMES CLINICO / ADMISSIONAL / DEMISSIONAL</v>
      </c>
      <c r="D493" s="206">
        <f>SUMIFS(LANÇ_MOV[VALOR LÍQUIDO],LANÇ_MOV[RECEITA OU DESPESA],"Despesa",LANÇ_MOV[CONTAS],$C493,LANÇ_MOV[PLANO DE CONTAS],REL_DRE_FINANCEIRO!$B$445,LANÇ_MOV[ANO PAGAMENTO],$B$4,LANÇ_MOV[MÊS PAGAMENTO CORRESPONDENTE],D$6,LANÇ_MOV[EMPRESA],$C$4,LANÇ_MOV[CENTRO DE CUSTOS],$D$4)</f>
        <v>0</v>
      </c>
      <c r="E493" s="206">
        <f>SUMIFS(LANÇ_MOV[VALOR LÍQUIDO],LANÇ_MOV[RECEITA OU DESPESA],"Despesa",LANÇ_MOV[CONTAS],$C493,LANÇ_MOV[PLANO DE CONTAS],REL_DRE_FINANCEIRO!$B$445,LANÇ_MOV[ANO PAGAMENTO],$B$4,LANÇ_MOV[MÊS PAGAMENTO CORRESPONDENTE],E$6,LANÇ_MOV[EMPRESA],$C$4,LANÇ_MOV[CENTRO DE CUSTOS],$D$4)</f>
        <v>0</v>
      </c>
      <c r="F493" s="206">
        <f>SUMIFS(LANÇ_MOV[VALOR LÍQUIDO],LANÇ_MOV[RECEITA OU DESPESA],"Despesa",LANÇ_MOV[CONTAS],$C493,LANÇ_MOV[PLANO DE CONTAS],REL_DRE_FINANCEIRO!$B$445,LANÇ_MOV[ANO PAGAMENTO],$B$4,LANÇ_MOV[MÊS PAGAMENTO CORRESPONDENTE],F$6,LANÇ_MOV[EMPRESA],$C$4,LANÇ_MOV[CENTRO DE CUSTOS],$D$4)</f>
        <v>0</v>
      </c>
      <c r="G493" s="206">
        <f>SUMIFS(LANÇ_MOV[VALOR LÍQUIDO],LANÇ_MOV[RECEITA OU DESPESA],"Despesa",LANÇ_MOV[CONTAS],$C493,LANÇ_MOV[PLANO DE CONTAS],REL_DRE_FINANCEIRO!$B$445,LANÇ_MOV[ANO PAGAMENTO],$B$4,LANÇ_MOV[MÊS PAGAMENTO CORRESPONDENTE],G$6,LANÇ_MOV[EMPRESA],$C$4,LANÇ_MOV[CENTRO DE CUSTOS],$D$4)</f>
        <v>0</v>
      </c>
      <c r="H493" s="206">
        <f>SUMIFS(LANÇ_MOV[VALOR LÍQUIDO],LANÇ_MOV[RECEITA OU DESPESA],"Despesa",LANÇ_MOV[CONTAS],$C493,LANÇ_MOV[PLANO DE CONTAS],REL_DRE_FINANCEIRO!$B$445,LANÇ_MOV[ANO PAGAMENTO],$B$4,LANÇ_MOV[MÊS PAGAMENTO CORRESPONDENTE],H$6,LANÇ_MOV[EMPRESA],$C$4,LANÇ_MOV[CENTRO DE CUSTOS],$D$4)</f>
        <v>0</v>
      </c>
      <c r="I493" s="206">
        <f>SUMIFS(LANÇ_MOV[VALOR LÍQUIDO],LANÇ_MOV[RECEITA OU DESPESA],"Despesa",LANÇ_MOV[CONTAS],$C493,LANÇ_MOV[PLANO DE CONTAS],REL_DRE_FINANCEIRO!$B$445,LANÇ_MOV[ANO PAGAMENTO],$B$4,LANÇ_MOV[MÊS PAGAMENTO CORRESPONDENTE],I$6,LANÇ_MOV[EMPRESA],$C$4,LANÇ_MOV[CENTRO DE CUSTOS],$D$4)</f>
        <v>0</v>
      </c>
      <c r="J493" s="206">
        <f>SUMIFS(LANÇ_MOV[VALOR LÍQUIDO],LANÇ_MOV[RECEITA OU DESPESA],"Despesa",LANÇ_MOV[CONTAS],$C493,LANÇ_MOV[PLANO DE CONTAS],REL_DRE_FINANCEIRO!$B$445,LANÇ_MOV[ANO PAGAMENTO],$B$4,LANÇ_MOV[MÊS PAGAMENTO CORRESPONDENTE],J$6,LANÇ_MOV[EMPRESA],$C$4,LANÇ_MOV[CENTRO DE CUSTOS],$D$4)</f>
        <v>0</v>
      </c>
      <c r="K493" s="206">
        <f>SUMIFS(LANÇ_MOV[VALOR LÍQUIDO],LANÇ_MOV[RECEITA OU DESPESA],"Despesa",LANÇ_MOV[CONTAS],$C493,LANÇ_MOV[PLANO DE CONTAS],REL_DRE_FINANCEIRO!$B$445,LANÇ_MOV[ANO PAGAMENTO],$B$4,LANÇ_MOV[MÊS PAGAMENTO CORRESPONDENTE],K$6,LANÇ_MOV[EMPRESA],$C$4,LANÇ_MOV[CENTRO DE CUSTOS],$D$4)</f>
        <v>0</v>
      </c>
      <c r="L493" s="206">
        <f>SUMIFS(LANÇ_MOV[VALOR LÍQUIDO],LANÇ_MOV[RECEITA OU DESPESA],"Despesa",LANÇ_MOV[CONTAS],$C493,LANÇ_MOV[PLANO DE CONTAS],REL_DRE_FINANCEIRO!$B$445,LANÇ_MOV[ANO PAGAMENTO],$B$4,LANÇ_MOV[MÊS PAGAMENTO CORRESPONDENTE],L$6,LANÇ_MOV[EMPRESA],$C$4,LANÇ_MOV[CENTRO DE CUSTOS],$D$4)</f>
        <v>0</v>
      </c>
      <c r="M493" s="206">
        <f>SUMIFS(LANÇ_MOV[VALOR LÍQUIDO],LANÇ_MOV[RECEITA OU DESPESA],"Despesa",LANÇ_MOV[CONTAS],$C493,LANÇ_MOV[PLANO DE CONTAS],REL_DRE_FINANCEIRO!$B$445,LANÇ_MOV[ANO PAGAMENTO],$B$4,LANÇ_MOV[MÊS PAGAMENTO CORRESPONDENTE],M$6,LANÇ_MOV[EMPRESA],$C$4,LANÇ_MOV[CENTRO DE CUSTOS],$D$4)</f>
        <v>0</v>
      </c>
      <c r="N493" s="206">
        <f>SUMIFS(LANÇ_MOV[VALOR LÍQUIDO],LANÇ_MOV[RECEITA OU DESPESA],"Despesa",LANÇ_MOV[CONTAS],$C493,LANÇ_MOV[PLANO DE CONTAS],REL_DRE_FINANCEIRO!$B$445,LANÇ_MOV[ANO PAGAMENTO],$B$4,LANÇ_MOV[MÊS PAGAMENTO CORRESPONDENTE],N$6,LANÇ_MOV[EMPRESA],$C$4,LANÇ_MOV[CENTRO DE CUSTOS],$D$4)</f>
        <v>0</v>
      </c>
      <c r="O493" s="206">
        <f>SUMIFS(LANÇ_MOV[VALOR LÍQUIDO],LANÇ_MOV[RECEITA OU DESPESA],"Despesa",LANÇ_MOV[CONTAS],$C493,LANÇ_MOV[PLANO DE CONTAS],REL_DRE_FINANCEIRO!$B$445,LANÇ_MOV[ANO PAGAMENTO],$B$4,LANÇ_MOV[MÊS PAGAMENTO CORRESPONDENTE],O$6,LANÇ_MOV[EMPRESA],$C$4,LANÇ_MOV[CENTRO DE CUSTOS],$D$4)</f>
        <v>0</v>
      </c>
      <c r="P493" s="207">
        <f t="shared" si="65"/>
        <v>0</v>
      </c>
      <c r="Q493" s="329">
        <v>5.3000000000000001E-6</v>
      </c>
      <c r="R493" s="346">
        <f t="shared" si="67"/>
        <v>5.3000000000000001E-6</v>
      </c>
      <c r="S493" s="347" t="str">
        <f t="shared" si="68"/>
        <v>EXAMES CLINICO / ADMISSIONAL / DEMISSIONAL</v>
      </c>
      <c r="T493" s="347">
        <f t="shared" si="69"/>
        <v>0</v>
      </c>
      <c r="U493" s="347">
        <f>HLOOKUP(Apoio!$P$12,$D$444:$P$545,X493,FALSE)+Q493</f>
        <v>5.3000000000000001E-6</v>
      </c>
      <c r="V493" s="447" t="str">
        <f t="shared" si="66"/>
        <v>EXAMES CLINICO / ADMISSIONAL / DEMISSIONAL</v>
      </c>
      <c r="W493" s="448">
        <f>HLOOKUP(Apoio!$P$12,$D$444:$P$545,X493,FALSE)</f>
        <v>0</v>
      </c>
      <c r="X493" s="329">
        <v>50</v>
      </c>
    </row>
    <row r="494" spans="2:24" ht="30.05" customHeight="1" x14ac:dyDescent="0.35">
      <c r="B494" s="204" t="str">
        <f>'CAD_PL_REC-DESP'!T53</f>
        <v>2.4.49</v>
      </c>
      <c r="C494" s="205" t="str">
        <f>IF('CAD_PL_REC-DESP'!U18="","-",'CAD_PL_REC-DESP'!U18)</f>
        <v>FÉRIAS</v>
      </c>
      <c r="D494" s="206">
        <f>SUMIFS(LANÇ_MOV[VALOR LÍQUIDO],LANÇ_MOV[RECEITA OU DESPESA],"Despesa",LANÇ_MOV[CONTAS],$C494,LANÇ_MOV[PLANO DE CONTAS],REL_DRE_FINANCEIRO!$B$445,LANÇ_MOV[ANO PAGAMENTO],$B$4,LANÇ_MOV[MÊS PAGAMENTO CORRESPONDENTE],D$6,LANÇ_MOV[EMPRESA],$C$4,LANÇ_MOV[CENTRO DE CUSTOS],$D$4)</f>
        <v>0</v>
      </c>
      <c r="E494" s="206">
        <f>SUMIFS(LANÇ_MOV[VALOR LÍQUIDO],LANÇ_MOV[RECEITA OU DESPESA],"Despesa",LANÇ_MOV[CONTAS],$C494,LANÇ_MOV[PLANO DE CONTAS],REL_DRE_FINANCEIRO!$B$445,LANÇ_MOV[ANO PAGAMENTO],$B$4,LANÇ_MOV[MÊS PAGAMENTO CORRESPONDENTE],E$6,LANÇ_MOV[EMPRESA],$C$4,LANÇ_MOV[CENTRO DE CUSTOS],$D$4)</f>
        <v>0</v>
      </c>
      <c r="F494" s="206">
        <f>SUMIFS(LANÇ_MOV[VALOR LÍQUIDO],LANÇ_MOV[RECEITA OU DESPESA],"Despesa",LANÇ_MOV[CONTAS],$C494,LANÇ_MOV[PLANO DE CONTAS],REL_DRE_FINANCEIRO!$B$445,LANÇ_MOV[ANO PAGAMENTO],$B$4,LANÇ_MOV[MÊS PAGAMENTO CORRESPONDENTE],F$6,LANÇ_MOV[EMPRESA],$C$4,LANÇ_MOV[CENTRO DE CUSTOS],$D$4)</f>
        <v>0</v>
      </c>
      <c r="G494" s="206">
        <f>SUMIFS(LANÇ_MOV[VALOR LÍQUIDO],LANÇ_MOV[RECEITA OU DESPESA],"Despesa",LANÇ_MOV[CONTAS],$C494,LANÇ_MOV[PLANO DE CONTAS],REL_DRE_FINANCEIRO!$B$445,LANÇ_MOV[ANO PAGAMENTO],$B$4,LANÇ_MOV[MÊS PAGAMENTO CORRESPONDENTE],G$6,LANÇ_MOV[EMPRESA],$C$4,LANÇ_MOV[CENTRO DE CUSTOS],$D$4)</f>
        <v>0</v>
      </c>
      <c r="H494" s="206">
        <f>SUMIFS(LANÇ_MOV[VALOR LÍQUIDO],LANÇ_MOV[RECEITA OU DESPESA],"Despesa",LANÇ_MOV[CONTAS],$C494,LANÇ_MOV[PLANO DE CONTAS],REL_DRE_FINANCEIRO!$B$445,LANÇ_MOV[ANO PAGAMENTO],$B$4,LANÇ_MOV[MÊS PAGAMENTO CORRESPONDENTE],H$6,LANÇ_MOV[EMPRESA],$C$4,LANÇ_MOV[CENTRO DE CUSTOS],$D$4)</f>
        <v>0</v>
      </c>
      <c r="I494" s="206">
        <f>SUMIFS(LANÇ_MOV[VALOR LÍQUIDO],LANÇ_MOV[RECEITA OU DESPESA],"Despesa",LANÇ_MOV[CONTAS],$C494,LANÇ_MOV[PLANO DE CONTAS],REL_DRE_FINANCEIRO!$B$445,LANÇ_MOV[ANO PAGAMENTO],$B$4,LANÇ_MOV[MÊS PAGAMENTO CORRESPONDENTE],I$6,LANÇ_MOV[EMPRESA],$C$4,LANÇ_MOV[CENTRO DE CUSTOS],$D$4)</f>
        <v>0</v>
      </c>
      <c r="J494" s="206">
        <f>SUMIFS(LANÇ_MOV[VALOR LÍQUIDO],LANÇ_MOV[RECEITA OU DESPESA],"Despesa",LANÇ_MOV[CONTAS],$C494,LANÇ_MOV[PLANO DE CONTAS],REL_DRE_FINANCEIRO!$B$445,LANÇ_MOV[ANO PAGAMENTO],$B$4,LANÇ_MOV[MÊS PAGAMENTO CORRESPONDENTE],J$6,LANÇ_MOV[EMPRESA],$C$4,LANÇ_MOV[CENTRO DE CUSTOS],$D$4)</f>
        <v>0</v>
      </c>
      <c r="K494" s="206">
        <f>SUMIFS(LANÇ_MOV[VALOR LÍQUIDO],LANÇ_MOV[RECEITA OU DESPESA],"Despesa",LANÇ_MOV[CONTAS],$C494,LANÇ_MOV[PLANO DE CONTAS],REL_DRE_FINANCEIRO!$B$445,LANÇ_MOV[ANO PAGAMENTO],$B$4,LANÇ_MOV[MÊS PAGAMENTO CORRESPONDENTE],K$6,LANÇ_MOV[EMPRESA],$C$4,LANÇ_MOV[CENTRO DE CUSTOS],$D$4)</f>
        <v>0</v>
      </c>
      <c r="L494" s="206">
        <f>SUMIFS(LANÇ_MOV[VALOR LÍQUIDO],LANÇ_MOV[RECEITA OU DESPESA],"Despesa",LANÇ_MOV[CONTAS],$C494,LANÇ_MOV[PLANO DE CONTAS],REL_DRE_FINANCEIRO!$B$445,LANÇ_MOV[ANO PAGAMENTO],$B$4,LANÇ_MOV[MÊS PAGAMENTO CORRESPONDENTE],L$6,LANÇ_MOV[EMPRESA],$C$4,LANÇ_MOV[CENTRO DE CUSTOS],$D$4)</f>
        <v>0</v>
      </c>
      <c r="M494" s="206">
        <f>SUMIFS(LANÇ_MOV[VALOR LÍQUIDO],LANÇ_MOV[RECEITA OU DESPESA],"Despesa",LANÇ_MOV[CONTAS],$C494,LANÇ_MOV[PLANO DE CONTAS],REL_DRE_FINANCEIRO!$B$445,LANÇ_MOV[ANO PAGAMENTO],$B$4,LANÇ_MOV[MÊS PAGAMENTO CORRESPONDENTE],M$6,LANÇ_MOV[EMPRESA],$C$4,LANÇ_MOV[CENTRO DE CUSTOS],$D$4)</f>
        <v>0</v>
      </c>
      <c r="N494" s="206">
        <f>SUMIFS(LANÇ_MOV[VALOR LÍQUIDO],LANÇ_MOV[RECEITA OU DESPESA],"Despesa",LANÇ_MOV[CONTAS],$C494,LANÇ_MOV[PLANO DE CONTAS],REL_DRE_FINANCEIRO!$B$445,LANÇ_MOV[ANO PAGAMENTO],$B$4,LANÇ_MOV[MÊS PAGAMENTO CORRESPONDENTE],N$6,LANÇ_MOV[EMPRESA],$C$4,LANÇ_MOV[CENTRO DE CUSTOS],$D$4)</f>
        <v>0</v>
      </c>
      <c r="O494" s="206">
        <f>SUMIFS(LANÇ_MOV[VALOR LÍQUIDO],LANÇ_MOV[RECEITA OU DESPESA],"Despesa",LANÇ_MOV[CONTAS],$C494,LANÇ_MOV[PLANO DE CONTAS],REL_DRE_FINANCEIRO!$B$445,LANÇ_MOV[ANO PAGAMENTO],$B$4,LANÇ_MOV[MÊS PAGAMENTO CORRESPONDENTE],O$6,LANÇ_MOV[EMPRESA],$C$4,LANÇ_MOV[CENTRO DE CUSTOS],$D$4)</f>
        <v>0</v>
      </c>
      <c r="P494" s="207">
        <f t="shared" si="65"/>
        <v>0</v>
      </c>
      <c r="Q494" s="329">
        <v>5.2000000000000002E-6</v>
      </c>
      <c r="R494" s="346">
        <f t="shared" si="67"/>
        <v>5.2000000000000002E-6</v>
      </c>
      <c r="S494" s="347" t="str">
        <f t="shared" si="68"/>
        <v>FÉRIAS</v>
      </c>
      <c r="T494" s="347">
        <f t="shared" si="69"/>
        <v>0</v>
      </c>
      <c r="U494" s="347">
        <f>HLOOKUP(Apoio!$P$12,$D$444:$P$545,X494,FALSE)+Q494</f>
        <v>5.2000000000000002E-6</v>
      </c>
      <c r="V494" s="447" t="str">
        <f t="shared" si="66"/>
        <v>FÉRIAS</v>
      </c>
      <c r="W494" s="448">
        <f>HLOOKUP(Apoio!$P$12,$D$444:$P$545,X494,FALSE)</f>
        <v>0</v>
      </c>
      <c r="X494" s="329">
        <v>51</v>
      </c>
    </row>
    <row r="495" spans="2:24" ht="30.05" customHeight="1" x14ac:dyDescent="0.35">
      <c r="B495" s="204" t="str">
        <f>'CAD_PL_REC-DESP'!T54</f>
        <v>2.4.50</v>
      </c>
      <c r="C495" s="205" t="str">
        <f>IF('CAD_PL_REC-DESP'!U19="","-",'CAD_PL_REC-DESP'!U19)</f>
        <v>FGTS</v>
      </c>
      <c r="D495" s="206">
        <f>SUMIFS(LANÇ_MOV[VALOR LÍQUIDO],LANÇ_MOV[RECEITA OU DESPESA],"Despesa",LANÇ_MOV[CONTAS],$C495,LANÇ_MOV[PLANO DE CONTAS],REL_DRE_FINANCEIRO!$B$445,LANÇ_MOV[ANO PAGAMENTO],$B$4,LANÇ_MOV[MÊS PAGAMENTO CORRESPONDENTE],D$6,LANÇ_MOV[EMPRESA],$C$4,LANÇ_MOV[CENTRO DE CUSTOS],$D$4)</f>
        <v>0</v>
      </c>
      <c r="E495" s="206">
        <f>SUMIFS(LANÇ_MOV[VALOR LÍQUIDO],LANÇ_MOV[RECEITA OU DESPESA],"Despesa",LANÇ_MOV[CONTAS],$C495,LANÇ_MOV[PLANO DE CONTAS],REL_DRE_FINANCEIRO!$B$445,LANÇ_MOV[ANO PAGAMENTO],$B$4,LANÇ_MOV[MÊS PAGAMENTO CORRESPONDENTE],E$6,LANÇ_MOV[EMPRESA],$C$4,LANÇ_MOV[CENTRO DE CUSTOS],$D$4)</f>
        <v>0</v>
      </c>
      <c r="F495" s="206">
        <f>SUMIFS(LANÇ_MOV[VALOR LÍQUIDO],LANÇ_MOV[RECEITA OU DESPESA],"Despesa",LANÇ_MOV[CONTAS],$C495,LANÇ_MOV[PLANO DE CONTAS],REL_DRE_FINANCEIRO!$B$445,LANÇ_MOV[ANO PAGAMENTO],$B$4,LANÇ_MOV[MÊS PAGAMENTO CORRESPONDENTE],F$6,LANÇ_MOV[EMPRESA],$C$4,LANÇ_MOV[CENTRO DE CUSTOS],$D$4)</f>
        <v>0</v>
      </c>
      <c r="G495" s="206">
        <f>SUMIFS(LANÇ_MOV[VALOR LÍQUIDO],LANÇ_MOV[RECEITA OU DESPESA],"Despesa",LANÇ_MOV[CONTAS],$C495,LANÇ_MOV[PLANO DE CONTAS],REL_DRE_FINANCEIRO!$B$445,LANÇ_MOV[ANO PAGAMENTO],$B$4,LANÇ_MOV[MÊS PAGAMENTO CORRESPONDENTE],G$6,LANÇ_MOV[EMPRESA],$C$4,LANÇ_MOV[CENTRO DE CUSTOS],$D$4)</f>
        <v>0</v>
      </c>
      <c r="H495" s="206">
        <f>SUMIFS(LANÇ_MOV[VALOR LÍQUIDO],LANÇ_MOV[RECEITA OU DESPESA],"Despesa",LANÇ_MOV[CONTAS],$C495,LANÇ_MOV[PLANO DE CONTAS],REL_DRE_FINANCEIRO!$B$445,LANÇ_MOV[ANO PAGAMENTO],$B$4,LANÇ_MOV[MÊS PAGAMENTO CORRESPONDENTE],H$6,LANÇ_MOV[EMPRESA],$C$4,LANÇ_MOV[CENTRO DE CUSTOS],$D$4)</f>
        <v>0</v>
      </c>
      <c r="I495" s="206">
        <f>SUMIFS(LANÇ_MOV[VALOR LÍQUIDO],LANÇ_MOV[RECEITA OU DESPESA],"Despesa",LANÇ_MOV[CONTAS],$C495,LANÇ_MOV[PLANO DE CONTAS],REL_DRE_FINANCEIRO!$B$445,LANÇ_MOV[ANO PAGAMENTO],$B$4,LANÇ_MOV[MÊS PAGAMENTO CORRESPONDENTE],I$6,LANÇ_MOV[EMPRESA],$C$4,LANÇ_MOV[CENTRO DE CUSTOS],$D$4)</f>
        <v>0</v>
      </c>
      <c r="J495" s="206">
        <f>SUMIFS(LANÇ_MOV[VALOR LÍQUIDO],LANÇ_MOV[RECEITA OU DESPESA],"Despesa",LANÇ_MOV[CONTAS],$C495,LANÇ_MOV[PLANO DE CONTAS],REL_DRE_FINANCEIRO!$B$445,LANÇ_MOV[ANO PAGAMENTO],$B$4,LANÇ_MOV[MÊS PAGAMENTO CORRESPONDENTE],J$6,LANÇ_MOV[EMPRESA],$C$4,LANÇ_MOV[CENTRO DE CUSTOS],$D$4)</f>
        <v>0</v>
      </c>
      <c r="K495" s="206">
        <f>SUMIFS(LANÇ_MOV[VALOR LÍQUIDO],LANÇ_MOV[RECEITA OU DESPESA],"Despesa",LANÇ_MOV[CONTAS],$C495,LANÇ_MOV[PLANO DE CONTAS],REL_DRE_FINANCEIRO!$B$445,LANÇ_MOV[ANO PAGAMENTO],$B$4,LANÇ_MOV[MÊS PAGAMENTO CORRESPONDENTE],K$6,LANÇ_MOV[EMPRESA],$C$4,LANÇ_MOV[CENTRO DE CUSTOS],$D$4)</f>
        <v>0</v>
      </c>
      <c r="L495" s="206">
        <f>SUMIFS(LANÇ_MOV[VALOR LÍQUIDO],LANÇ_MOV[RECEITA OU DESPESA],"Despesa",LANÇ_MOV[CONTAS],$C495,LANÇ_MOV[PLANO DE CONTAS],REL_DRE_FINANCEIRO!$B$445,LANÇ_MOV[ANO PAGAMENTO],$B$4,LANÇ_MOV[MÊS PAGAMENTO CORRESPONDENTE],L$6,LANÇ_MOV[EMPRESA],$C$4,LANÇ_MOV[CENTRO DE CUSTOS],$D$4)</f>
        <v>0</v>
      </c>
      <c r="M495" s="206">
        <f>SUMIFS(LANÇ_MOV[VALOR LÍQUIDO],LANÇ_MOV[RECEITA OU DESPESA],"Despesa",LANÇ_MOV[CONTAS],$C495,LANÇ_MOV[PLANO DE CONTAS],REL_DRE_FINANCEIRO!$B$445,LANÇ_MOV[ANO PAGAMENTO],$B$4,LANÇ_MOV[MÊS PAGAMENTO CORRESPONDENTE],M$6,LANÇ_MOV[EMPRESA],$C$4,LANÇ_MOV[CENTRO DE CUSTOS],$D$4)</f>
        <v>2149.52</v>
      </c>
      <c r="N495" s="206">
        <f>SUMIFS(LANÇ_MOV[VALOR LÍQUIDO],LANÇ_MOV[RECEITA OU DESPESA],"Despesa",LANÇ_MOV[CONTAS],$C495,LANÇ_MOV[PLANO DE CONTAS],REL_DRE_FINANCEIRO!$B$445,LANÇ_MOV[ANO PAGAMENTO],$B$4,LANÇ_MOV[MÊS PAGAMENTO CORRESPONDENTE],N$6,LANÇ_MOV[EMPRESA],$C$4,LANÇ_MOV[CENTRO DE CUSTOS],$D$4)</f>
        <v>0</v>
      </c>
      <c r="O495" s="206">
        <f>SUMIFS(LANÇ_MOV[VALOR LÍQUIDO],LANÇ_MOV[RECEITA OU DESPESA],"Despesa",LANÇ_MOV[CONTAS],$C495,LANÇ_MOV[PLANO DE CONTAS],REL_DRE_FINANCEIRO!$B$445,LANÇ_MOV[ANO PAGAMENTO],$B$4,LANÇ_MOV[MÊS PAGAMENTO CORRESPONDENTE],O$6,LANÇ_MOV[EMPRESA],$C$4,LANÇ_MOV[CENTRO DE CUSTOS],$D$4)</f>
        <v>0</v>
      </c>
      <c r="P495" s="207">
        <f t="shared" si="65"/>
        <v>2149.52</v>
      </c>
      <c r="Q495" s="329">
        <v>5.1000000000000003E-6</v>
      </c>
      <c r="R495" s="346">
        <f t="shared" si="67"/>
        <v>2149.5200051000002</v>
      </c>
      <c r="S495" s="347" t="str">
        <f t="shared" si="68"/>
        <v>FGTS</v>
      </c>
      <c r="T495" s="347">
        <f t="shared" si="69"/>
        <v>2149.52</v>
      </c>
      <c r="U495" s="347">
        <f>HLOOKUP(Apoio!$P$12,$D$444:$P$545,X495,FALSE)+Q495</f>
        <v>2149.5200051000002</v>
      </c>
      <c r="V495" s="447" t="str">
        <f t="shared" si="66"/>
        <v>FGTS</v>
      </c>
      <c r="W495" s="448">
        <f>HLOOKUP(Apoio!$P$12,$D$444:$P$545,X495,FALSE)</f>
        <v>2149.52</v>
      </c>
      <c r="X495" s="329">
        <v>52</v>
      </c>
    </row>
    <row r="496" spans="2:24" ht="30.05" customHeight="1" x14ac:dyDescent="0.35">
      <c r="B496" s="204" t="str">
        <f>'CAD_PL_REC-DESP'!T55</f>
        <v>2.4.51</v>
      </c>
      <c r="C496" s="205" t="str">
        <f>IF('CAD_PL_REC-DESP'!U20="","-",'CAD_PL_REC-DESP'!U20)</f>
        <v>FGTS / RESCISÓRIO</v>
      </c>
      <c r="D496" s="206">
        <f>SUMIFS(LANÇ_MOV[VALOR LÍQUIDO],LANÇ_MOV[RECEITA OU DESPESA],"Despesa",LANÇ_MOV[CONTAS],$C496,LANÇ_MOV[PLANO DE CONTAS],REL_DRE_FINANCEIRO!$B$445,LANÇ_MOV[ANO PAGAMENTO],$B$4,LANÇ_MOV[MÊS PAGAMENTO CORRESPONDENTE],D$6,LANÇ_MOV[EMPRESA],$C$4,LANÇ_MOV[CENTRO DE CUSTOS],$D$4)</f>
        <v>0</v>
      </c>
      <c r="E496" s="206">
        <f>SUMIFS(LANÇ_MOV[VALOR LÍQUIDO],LANÇ_MOV[RECEITA OU DESPESA],"Despesa",LANÇ_MOV[CONTAS],$C496,LANÇ_MOV[PLANO DE CONTAS],REL_DRE_FINANCEIRO!$B$445,LANÇ_MOV[ANO PAGAMENTO],$B$4,LANÇ_MOV[MÊS PAGAMENTO CORRESPONDENTE],E$6,LANÇ_MOV[EMPRESA],$C$4,LANÇ_MOV[CENTRO DE CUSTOS],$D$4)</f>
        <v>0</v>
      </c>
      <c r="F496" s="206">
        <f>SUMIFS(LANÇ_MOV[VALOR LÍQUIDO],LANÇ_MOV[RECEITA OU DESPESA],"Despesa",LANÇ_MOV[CONTAS],$C496,LANÇ_MOV[PLANO DE CONTAS],REL_DRE_FINANCEIRO!$B$445,LANÇ_MOV[ANO PAGAMENTO],$B$4,LANÇ_MOV[MÊS PAGAMENTO CORRESPONDENTE],F$6,LANÇ_MOV[EMPRESA],$C$4,LANÇ_MOV[CENTRO DE CUSTOS],$D$4)</f>
        <v>0</v>
      </c>
      <c r="G496" s="206">
        <f>SUMIFS(LANÇ_MOV[VALOR LÍQUIDO],LANÇ_MOV[RECEITA OU DESPESA],"Despesa",LANÇ_MOV[CONTAS],$C496,LANÇ_MOV[PLANO DE CONTAS],REL_DRE_FINANCEIRO!$B$445,LANÇ_MOV[ANO PAGAMENTO],$B$4,LANÇ_MOV[MÊS PAGAMENTO CORRESPONDENTE],G$6,LANÇ_MOV[EMPRESA],$C$4,LANÇ_MOV[CENTRO DE CUSTOS],$D$4)</f>
        <v>0</v>
      </c>
      <c r="H496" s="206">
        <f>SUMIFS(LANÇ_MOV[VALOR LÍQUIDO],LANÇ_MOV[RECEITA OU DESPESA],"Despesa",LANÇ_MOV[CONTAS],$C496,LANÇ_MOV[PLANO DE CONTAS],REL_DRE_FINANCEIRO!$B$445,LANÇ_MOV[ANO PAGAMENTO],$B$4,LANÇ_MOV[MÊS PAGAMENTO CORRESPONDENTE],H$6,LANÇ_MOV[EMPRESA],$C$4,LANÇ_MOV[CENTRO DE CUSTOS],$D$4)</f>
        <v>0</v>
      </c>
      <c r="I496" s="206">
        <f>SUMIFS(LANÇ_MOV[VALOR LÍQUIDO],LANÇ_MOV[RECEITA OU DESPESA],"Despesa",LANÇ_MOV[CONTAS],$C496,LANÇ_MOV[PLANO DE CONTAS],REL_DRE_FINANCEIRO!$B$445,LANÇ_MOV[ANO PAGAMENTO],$B$4,LANÇ_MOV[MÊS PAGAMENTO CORRESPONDENTE],I$6,LANÇ_MOV[EMPRESA],$C$4,LANÇ_MOV[CENTRO DE CUSTOS],$D$4)</f>
        <v>0</v>
      </c>
      <c r="J496" s="206">
        <f>SUMIFS(LANÇ_MOV[VALOR LÍQUIDO],LANÇ_MOV[RECEITA OU DESPESA],"Despesa",LANÇ_MOV[CONTAS],$C496,LANÇ_MOV[PLANO DE CONTAS],REL_DRE_FINANCEIRO!$B$445,LANÇ_MOV[ANO PAGAMENTO],$B$4,LANÇ_MOV[MÊS PAGAMENTO CORRESPONDENTE],J$6,LANÇ_MOV[EMPRESA],$C$4,LANÇ_MOV[CENTRO DE CUSTOS],$D$4)</f>
        <v>0</v>
      </c>
      <c r="K496" s="206">
        <f>SUMIFS(LANÇ_MOV[VALOR LÍQUIDO],LANÇ_MOV[RECEITA OU DESPESA],"Despesa",LANÇ_MOV[CONTAS],$C496,LANÇ_MOV[PLANO DE CONTAS],REL_DRE_FINANCEIRO!$B$445,LANÇ_MOV[ANO PAGAMENTO],$B$4,LANÇ_MOV[MÊS PAGAMENTO CORRESPONDENTE],K$6,LANÇ_MOV[EMPRESA],$C$4,LANÇ_MOV[CENTRO DE CUSTOS],$D$4)</f>
        <v>0</v>
      </c>
      <c r="L496" s="206">
        <f>SUMIFS(LANÇ_MOV[VALOR LÍQUIDO],LANÇ_MOV[RECEITA OU DESPESA],"Despesa",LANÇ_MOV[CONTAS],$C496,LANÇ_MOV[PLANO DE CONTAS],REL_DRE_FINANCEIRO!$B$445,LANÇ_MOV[ANO PAGAMENTO],$B$4,LANÇ_MOV[MÊS PAGAMENTO CORRESPONDENTE],L$6,LANÇ_MOV[EMPRESA],$C$4,LANÇ_MOV[CENTRO DE CUSTOS],$D$4)</f>
        <v>0</v>
      </c>
      <c r="M496" s="206">
        <f>SUMIFS(LANÇ_MOV[VALOR LÍQUIDO],LANÇ_MOV[RECEITA OU DESPESA],"Despesa",LANÇ_MOV[CONTAS],$C496,LANÇ_MOV[PLANO DE CONTAS],REL_DRE_FINANCEIRO!$B$445,LANÇ_MOV[ANO PAGAMENTO],$B$4,LANÇ_MOV[MÊS PAGAMENTO CORRESPONDENTE],M$6,LANÇ_MOV[EMPRESA],$C$4,LANÇ_MOV[CENTRO DE CUSTOS],$D$4)</f>
        <v>0</v>
      </c>
      <c r="N496" s="206">
        <f>SUMIFS(LANÇ_MOV[VALOR LÍQUIDO],LANÇ_MOV[RECEITA OU DESPESA],"Despesa",LANÇ_MOV[CONTAS],$C496,LANÇ_MOV[PLANO DE CONTAS],REL_DRE_FINANCEIRO!$B$445,LANÇ_MOV[ANO PAGAMENTO],$B$4,LANÇ_MOV[MÊS PAGAMENTO CORRESPONDENTE],N$6,LANÇ_MOV[EMPRESA],$C$4,LANÇ_MOV[CENTRO DE CUSTOS],$D$4)</f>
        <v>0</v>
      </c>
      <c r="O496" s="206">
        <f>SUMIFS(LANÇ_MOV[VALOR LÍQUIDO],LANÇ_MOV[RECEITA OU DESPESA],"Despesa",LANÇ_MOV[CONTAS],$C496,LANÇ_MOV[PLANO DE CONTAS],REL_DRE_FINANCEIRO!$B$445,LANÇ_MOV[ANO PAGAMENTO],$B$4,LANÇ_MOV[MÊS PAGAMENTO CORRESPONDENTE],O$6,LANÇ_MOV[EMPRESA],$C$4,LANÇ_MOV[CENTRO DE CUSTOS],$D$4)</f>
        <v>0</v>
      </c>
      <c r="P496" s="207">
        <f t="shared" si="65"/>
        <v>0</v>
      </c>
      <c r="Q496" s="329">
        <v>5.0000000000000004E-6</v>
      </c>
      <c r="R496" s="346">
        <f t="shared" si="67"/>
        <v>5.0000000000000004E-6</v>
      </c>
      <c r="S496" s="347" t="str">
        <f t="shared" si="68"/>
        <v>FGTS / RESCISÓRIO</v>
      </c>
      <c r="T496" s="347">
        <f t="shared" si="69"/>
        <v>0</v>
      </c>
      <c r="U496" s="347">
        <f>HLOOKUP(Apoio!$P$12,$D$444:$P$545,X496,FALSE)+Q496</f>
        <v>5.0000000000000004E-6</v>
      </c>
      <c r="V496" s="447" t="str">
        <f t="shared" si="66"/>
        <v>FGTS / RESCISÓRIO</v>
      </c>
      <c r="W496" s="448">
        <f>HLOOKUP(Apoio!$P$12,$D$444:$P$545,X496,FALSE)</f>
        <v>0</v>
      </c>
      <c r="X496" s="329">
        <v>53</v>
      </c>
    </row>
    <row r="497" spans="2:24" ht="30.05" customHeight="1" x14ac:dyDescent="0.35">
      <c r="B497" s="204" t="str">
        <f>'CAD_PL_REC-DESP'!T56</f>
        <v>2.4.52</v>
      </c>
      <c r="C497" s="205" t="str">
        <f>IF('CAD_PL_REC-DESP'!U21="","-",'CAD_PL_REC-DESP'!U21)</f>
        <v>GRATIFICAÇÃO</v>
      </c>
      <c r="D497" s="206">
        <f>SUMIFS(LANÇ_MOV[VALOR LÍQUIDO],LANÇ_MOV[RECEITA OU DESPESA],"Despesa",LANÇ_MOV[CONTAS],$C497,LANÇ_MOV[PLANO DE CONTAS],REL_DRE_FINANCEIRO!$B$445,LANÇ_MOV[ANO PAGAMENTO],$B$4,LANÇ_MOV[MÊS PAGAMENTO CORRESPONDENTE],D$6,LANÇ_MOV[EMPRESA],$C$4,LANÇ_MOV[CENTRO DE CUSTOS],$D$4)</f>
        <v>0</v>
      </c>
      <c r="E497" s="206">
        <f>SUMIFS(LANÇ_MOV[VALOR LÍQUIDO],LANÇ_MOV[RECEITA OU DESPESA],"Despesa",LANÇ_MOV[CONTAS],$C497,LANÇ_MOV[PLANO DE CONTAS],REL_DRE_FINANCEIRO!$B$445,LANÇ_MOV[ANO PAGAMENTO],$B$4,LANÇ_MOV[MÊS PAGAMENTO CORRESPONDENTE],E$6,LANÇ_MOV[EMPRESA],$C$4,LANÇ_MOV[CENTRO DE CUSTOS],$D$4)</f>
        <v>0</v>
      </c>
      <c r="F497" s="206">
        <f>SUMIFS(LANÇ_MOV[VALOR LÍQUIDO],LANÇ_MOV[RECEITA OU DESPESA],"Despesa",LANÇ_MOV[CONTAS],$C497,LANÇ_MOV[PLANO DE CONTAS],REL_DRE_FINANCEIRO!$B$445,LANÇ_MOV[ANO PAGAMENTO],$B$4,LANÇ_MOV[MÊS PAGAMENTO CORRESPONDENTE],F$6,LANÇ_MOV[EMPRESA],$C$4,LANÇ_MOV[CENTRO DE CUSTOS],$D$4)</f>
        <v>0</v>
      </c>
      <c r="G497" s="206">
        <f>SUMIFS(LANÇ_MOV[VALOR LÍQUIDO],LANÇ_MOV[RECEITA OU DESPESA],"Despesa",LANÇ_MOV[CONTAS],$C497,LANÇ_MOV[PLANO DE CONTAS],REL_DRE_FINANCEIRO!$B$445,LANÇ_MOV[ANO PAGAMENTO],$B$4,LANÇ_MOV[MÊS PAGAMENTO CORRESPONDENTE],G$6,LANÇ_MOV[EMPRESA],$C$4,LANÇ_MOV[CENTRO DE CUSTOS],$D$4)</f>
        <v>0</v>
      </c>
      <c r="H497" s="206">
        <f>SUMIFS(LANÇ_MOV[VALOR LÍQUIDO],LANÇ_MOV[RECEITA OU DESPESA],"Despesa",LANÇ_MOV[CONTAS],$C497,LANÇ_MOV[PLANO DE CONTAS],REL_DRE_FINANCEIRO!$B$445,LANÇ_MOV[ANO PAGAMENTO],$B$4,LANÇ_MOV[MÊS PAGAMENTO CORRESPONDENTE],H$6,LANÇ_MOV[EMPRESA],$C$4,LANÇ_MOV[CENTRO DE CUSTOS],$D$4)</f>
        <v>0</v>
      </c>
      <c r="I497" s="206">
        <f>SUMIFS(LANÇ_MOV[VALOR LÍQUIDO],LANÇ_MOV[RECEITA OU DESPESA],"Despesa",LANÇ_MOV[CONTAS],$C497,LANÇ_MOV[PLANO DE CONTAS],REL_DRE_FINANCEIRO!$B$445,LANÇ_MOV[ANO PAGAMENTO],$B$4,LANÇ_MOV[MÊS PAGAMENTO CORRESPONDENTE],I$6,LANÇ_MOV[EMPRESA],$C$4,LANÇ_MOV[CENTRO DE CUSTOS],$D$4)</f>
        <v>0</v>
      </c>
      <c r="J497" s="206">
        <f>SUMIFS(LANÇ_MOV[VALOR LÍQUIDO],LANÇ_MOV[RECEITA OU DESPESA],"Despesa",LANÇ_MOV[CONTAS],$C497,LANÇ_MOV[PLANO DE CONTAS],REL_DRE_FINANCEIRO!$B$445,LANÇ_MOV[ANO PAGAMENTO],$B$4,LANÇ_MOV[MÊS PAGAMENTO CORRESPONDENTE],J$6,LANÇ_MOV[EMPRESA],$C$4,LANÇ_MOV[CENTRO DE CUSTOS],$D$4)</f>
        <v>0</v>
      </c>
      <c r="K497" s="206">
        <f>SUMIFS(LANÇ_MOV[VALOR LÍQUIDO],LANÇ_MOV[RECEITA OU DESPESA],"Despesa",LANÇ_MOV[CONTAS],$C497,LANÇ_MOV[PLANO DE CONTAS],REL_DRE_FINANCEIRO!$B$445,LANÇ_MOV[ANO PAGAMENTO],$B$4,LANÇ_MOV[MÊS PAGAMENTO CORRESPONDENTE],K$6,LANÇ_MOV[EMPRESA],$C$4,LANÇ_MOV[CENTRO DE CUSTOS],$D$4)</f>
        <v>0</v>
      </c>
      <c r="L497" s="206">
        <f>SUMIFS(LANÇ_MOV[VALOR LÍQUIDO],LANÇ_MOV[RECEITA OU DESPESA],"Despesa",LANÇ_MOV[CONTAS],$C497,LANÇ_MOV[PLANO DE CONTAS],REL_DRE_FINANCEIRO!$B$445,LANÇ_MOV[ANO PAGAMENTO],$B$4,LANÇ_MOV[MÊS PAGAMENTO CORRESPONDENTE],L$6,LANÇ_MOV[EMPRESA],$C$4,LANÇ_MOV[CENTRO DE CUSTOS],$D$4)</f>
        <v>0</v>
      </c>
      <c r="M497" s="206">
        <f>SUMIFS(LANÇ_MOV[VALOR LÍQUIDO],LANÇ_MOV[RECEITA OU DESPESA],"Despesa",LANÇ_MOV[CONTAS],$C497,LANÇ_MOV[PLANO DE CONTAS],REL_DRE_FINANCEIRO!$B$445,LANÇ_MOV[ANO PAGAMENTO],$B$4,LANÇ_MOV[MÊS PAGAMENTO CORRESPONDENTE],M$6,LANÇ_MOV[EMPRESA],$C$4,LANÇ_MOV[CENTRO DE CUSTOS],$D$4)</f>
        <v>0</v>
      </c>
      <c r="N497" s="206">
        <f>SUMIFS(LANÇ_MOV[VALOR LÍQUIDO],LANÇ_MOV[RECEITA OU DESPESA],"Despesa",LANÇ_MOV[CONTAS],$C497,LANÇ_MOV[PLANO DE CONTAS],REL_DRE_FINANCEIRO!$B$445,LANÇ_MOV[ANO PAGAMENTO],$B$4,LANÇ_MOV[MÊS PAGAMENTO CORRESPONDENTE],N$6,LANÇ_MOV[EMPRESA],$C$4,LANÇ_MOV[CENTRO DE CUSTOS],$D$4)</f>
        <v>0</v>
      </c>
      <c r="O497" s="206">
        <f>SUMIFS(LANÇ_MOV[VALOR LÍQUIDO],LANÇ_MOV[RECEITA OU DESPESA],"Despesa",LANÇ_MOV[CONTAS],$C497,LANÇ_MOV[PLANO DE CONTAS],REL_DRE_FINANCEIRO!$B$445,LANÇ_MOV[ANO PAGAMENTO],$B$4,LANÇ_MOV[MÊS PAGAMENTO CORRESPONDENTE],O$6,LANÇ_MOV[EMPRESA],$C$4,LANÇ_MOV[CENTRO DE CUSTOS],$D$4)</f>
        <v>0</v>
      </c>
      <c r="P497" s="207">
        <f t="shared" si="65"/>
        <v>0</v>
      </c>
      <c r="Q497" s="329">
        <v>4.8999999999999997E-6</v>
      </c>
      <c r="R497" s="346">
        <f t="shared" si="67"/>
        <v>4.8999999999999997E-6</v>
      </c>
      <c r="S497" s="347" t="str">
        <f t="shared" si="68"/>
        <v>GRATIFICAÇÃO</v>
      </c>
      <c r="T497" s="347">
        <f t="shared" si="69"/>
        <v>0</v>
      </c>
      <c r="U497" s="347">
        <f>HLOOKUP(Apoio!$P$12,$D$444:$P$545,X497,FALSE)+Q497</f>
        <v>4.8999999999999997E-6</v>
      </c>
      <c r="V497" s="447" t="str">
        <f t="shared" si="66"/>
        <v>GRATIFICAÇÃO</v>
      </c>
      <c r="W497" s="448">
        <f>HLOOKUP(Apoio!$P$12,$D$444:$P$545,X497,FALSE)</f>
        <v>0</v>
      </c>
      <c r="X497" s="329">
        <v>54</v>
      </c>
    </row>
    <row r="498" spans="2:24" ht="30.05" customHeight="1" x14ac:dyDescent="0.35">
      <c r="B498" s="204" t="str">
        <f>'CAD_PL_REC-DESP'!T57</f>
        <v>2.4.53</v>
      </c>
      <c r="C498" s="205" t="str">
        <f>IF('CAD_PL_REC-DESP'!U22="","-",'CAD_PL_REC-DESP'!U22)</f>
        <v>GUIA INSS FUNCIONÁRIO</v>
      </c>
      <c r="D498" s="206">
        <f>SUMIFS(LANÇ_MOV[VALOR LÍQUIDO],LANÇ_MOV[RECEITA OU DESPESA],"Despesa",LANÇ_MOV[CONTAS],$C498,LANÇ_MOV[PLANO DE CONTAS],REL_DRE_FINANCEIRO!$B$445,LANÇ_MOV[ANO PAGAMENTO],$B$4,LANÇ_MOV[MÊS PAGAMENTO CORRESPONDENTE],D$6,LANÇ_MOV[EMPRESA],$C$4,LANÇ_MOV[CENTRO DE CUSTOS],$D$4)</f>
        <v>0</v>
      </c>
      <c r="E498" s="206">
        <f>SUMIFS(LANÇ_MOV[VALOR LÍQUIDO],LANÇ_MOV[RECEITA OU DESPESA],"Despesa",LANÇ_MOV[CONTAS],$C498,LANÇ_MOV[PLANO DE CONTAS],REL_DRE_FINANCEIRO!$B$445,LANÇ_MOV[ANO PAGAMENTO],$B$4,LANÇ_MOV[MÊS PAGAMENTO CORRESPONDENTE],E$6,LANÇ_MOV[EMPRESA],$C$4,LANÇ_MOV[CENTRO DE CUSTOS],$D$4)</f>
        <v>0</v>
      </c>
      <c r="F498" s="206">
        <f>SUMIFS(LANÇ_MOV[VALOR LÍQUIDO],LANÇ_MOV[RECEITA OU DESPESA],"Despesa",LANÇ_MOV[CONTAS],$C498,LANÇ_MOV[PLANO DE CONTAS],REL_DRE_FINANCEIRO!$B$445,LANÇ_MOV[ANO PAGAMENTO],$B$4,LANÇ_MOV[MÊS PAGAMENTO CORRESPONDENTE],F$6,LANÇ_MOV[EMPRESA],$C$4,LANÇ_MOV[CENTRO DE CUSTOS],$D$4)</f>
        <v>0</v>
      </c>
      <c r="G498" s="206">
        <f>SUMIFS(LANÇ_MOV[VALOR LÍQUIDO],LANÇ_MOV[RECEITA OU DESPESA],"Despesa",LANÇ_MOV[CONTAS],$C498,LANÇ_MOV[PLANO DE CONTAS],REL_DRE_FINANCEIRO!$B$445,LANÇ_MOV[ANO PAGAMENTO],$B$4,LANÇ_MOV[MÊS PAGAMENTO CORRESPONDENTE],G$6,LANÇ_MOV[EMPRESA],$C$4,LANÇ_MOV[CENTRO DE CUSTOS],$D$4)</f>
        <v>0</v>
      </c>
      <c r="H498" s="206">
        <f>SUMIFS(LANÇ_MOV[VALOR LÍQUIDO],LANÇ_MOV[RECEITA OU DESPESA],"Despesa",LANÇ_MOV[CONTAS],$C498,LANÇ_MOV[PLANO DE CONTAS],REL_DRE_FINANCEIRO!$B$445,LANÇ_MOV[ANO PAGAMENTO],$B$4,LANÇ_MOV[MÊS PAGAMENTO CORRESPONDENTE],H$6,LANÇ_MOV[EMPRESA],$C$4,LANÇ_MOV[CENTRO DE CUSTOS],$D$4)</f>
        <v>0</v>
      </c>
      <c r="I498" s="206">
        <f>SUMIFS(LANÇ_MOV[VALOR LÍQUIDO],LANÇ_MOV[RECEITA OU DESPESA],"Despesa",LANÇ_MOV[CONTAS],$C498,LANÇ_MOV[PLANO DE CONTAS],REL_DRE_FINANCEIRO!$B$445,LANÇ_MOV[ANO PAGAMENTO],$B$4,LANÇ_MOV[MÊS PAGAMENTO CORRESPONDENTE],I$6,LANÇ_MOV[EMPRESA],$C$4,LANÇ_MOV[CENTRO DE CUSTOS],$D$4)</f>
        <v>0</v>
      </c>
      <c r="J498" s="206">
        <f>SUMIFS(LANÇ_MOV[VALOR LÍQUIDO],LANÇ_MOV[RECEITA OU DESPESA],"Despesa",LANÇ_MOV[CONTAS],$C498,LANÇ_MOV[PLANO DE CONTAS],REL_DRE_FINANCEIRO!$B$445,LANÇ_MOV[ANO PAGAMENTO],$B$4,LANÇ_MOV[MÊS PAGAMENTO CORRESPONDENTE],J$6,LANÇ_MOV[EMPRESA],$C$4,LANÇ_MOV[CENTRO DE CUSTOS],$D$4)</f>
        <v>0</v>
      </c>
      <c r="K498" s="206">
        <f>SUMIFS(LANÇ_MOV[VALOR LÍQUIDO],LANÇ_MOV[RECEITA OU DESPESA],"Despesa",LANÇ_MOV[CONTAS],$C498,LANÇ_MOV[PLANO DE CONTAS],REL_DRE_FINANCEIRO!$B$445,LANÇ_MOV[ANO PAGAMENTO],$B$4,LANÇ_MOV[MÊS PAGAMENTO CORRESPONDENTE],K$6,LANÇ_MOV[EMPRESA],$C$4,LANÇ_MOV[CENTRO DE CUSTOS],$D$4)</f>
        <v>0</v>
      </c>
      <c r="L498" s="206">
        <f>SUMIFS(LANÇ_MOV[VALOR LÍQUIDO],LANÇ_MOV[RECEITA OU DESPESA],"Despesa",LANÇ_MOV[CONTAS],$C498,LANÇ_MOV[PLANO DE CONTAS],REL_DRE_FINANCEIRO!$B$445,LANÇ_MOV[ANO PAGAMENTO],$B$4,LANÇ_MOV[MÊS PAGAMENTO CORRESPONDENTE],L$6,LANÇ_MOV[EMPRESA],$C$4,LANÇ_MOV[CENTRO DE CUSTOS],$D$4)</f>
        <v>0</v>
      </c>
      <c r="M498" s="206">
        <f>SUMIFS(LANÇ_MOV[VALOR LÍQUIDO],LANÇ_MOV[RECEITA OU DESPESA],"Despesa",LANÇ_MOV[CONTAS],$C498,LANÇ_MOV[PLANO DE CONTAS],REL_DRE_FINANCEIRO!$B$445,LANÇ_MOV[ANO PAGAMENTO],$B$4,LANÇ_MOV[MÊS PAGAMENTO CORRESPONDENTE],M$6,LANÇ_MOV[EMPRESA],$C$4,LANÇ_MOV[CENTRO DE CUSTOS],$D$4)</f>
        <v>0</v>
      </c>
      <c r="N498" s="206">
        <f>SUMIFS(LANÇ_MOV[VALOR LÍQUIDO],LANÇ_MOV[RECEITA OU DESPESA],"Despesa",LANÇ_MOV[CONTAS],$C498,LANÇ_MOV[PLANO DE CONTAS],REL_DRE_FINANCEIRO!$B$445,LANÇ_MOV[ANO PAGAMENTO],$B$4,LANÇ_MOV[MÊS PAGAMENTO CORRESPONDENTE],N$6,LANÇ_MOV[EMPRESA],$C$4,LANÇ_MOV[CENTRO DE CUSTOS],$D$4)</f>
        <v>0</v>
      </c>
      <c r="O498" s="206">
        <f>SUMIFS(LANÇ_MOV[VALOR LÍQUIDO],LANÇ_MOV[RECEITA OU DESPESA],"Despesa",LANÇ_MOV[CONTAS],$C498,LANÇ_MOV[PLANO DE CONTAS],REL_DRE_FINANCEIRO!$B$445,LANÇ_MOV[ANO PAGAMENTO],$B$4,LANÇ_MOV[MÊS PAGAMENTO CORRESPONDENTE],O$6,LANÇ_MOV[EMPRESA],$C$4,LANÇ_MOV[CENTRO DE CUSTOS],$D$4)</f>
        <v>0</v>
      </c>
      <c r="P498" s="207">
        <f t="shared" si="65"/>
        <v>0</v>
      </c>
      <c r="Q498" s="329">
        <v>4.7999999999999998E-6</v>
      </c>
      <c r="R498" s="346">
        <f t="shared" si="67"/>
        <v>4.7999999999999998E-6</v>
      </c>
      <c r="S498" s="347" t="str">
        <f t="shared" si="68"/>
        <v>GUIA INSS FUNCIONÁRIO</v>
      </c>
      <c r="T498" s="347">
        <f t="shared" si="69"/>
        <v>0</v>
      </c>
      <c r="U498" s="347">
        <f>HLOOKUP(Apoio!$P$12,$D$444:$P$545,X498,FALSE)+Q498</f>
        <v>4.7999999999999998E-6</v>
      </c>
      <c r="V498" s="447" t="str">
        <f t="shared" si="66"/>
        <v>GUIA INSS FUNCIONÁRIO</v>
      </c>
      <c r="W498" s="448">
        <f>HLOOKUP(Apoio!$P$12,$D$444:$P$545,X498,FALSE)</f>
        <v>0</v>
      </c>
      <c r="X498" s="329">
        <v>55</v>
      </c>
    </row>
    <row r="499" spans="2:24" ht="30.05" customHeight="1" x14ac:dyDescent="0.35">
      <c r="B499" s="204" t="str">
        <f>'CAD_PL_REC-DESP'!T58</f>
        <v>2.4.54</v>
      </c>
      <c r="C499" s="205" t="str">
        <f>IF('CAD_PL_REC-DESP'!U23="","-",'CAD_PL_REC-DESP'!U23)</f>
        <v>HORA EXTRA</v>
      </c>
      <c r="D499" s="206">
        <f>SUMIFS(LANÇ_MOV[VALOR LÍQUIDO],LANÇ_MOV[RECEITA OU DESPESA],"Despesa",LANÇ_MOV[CONTAS],$C499,LANÇ_MOV[PLANO DE CONTAS],REL_DRE_FINANCEIRO!$B$445,LANÇ_MOV[ANO PAGAMENTO],$B$4,LANÇ_MOV[MÊS PAGAMENTO CORRESPONDENTE],D$6,LANÇ_MOV[EMPRESA],$C$4,LANÇ_MOV[CENTRO DE CUSTOS],$D$4)</f>
        <v>0</v>
      </c>
      <c r="E499" s="206">
        <f>SUMIFS(LANÇ_MOV[VALOR LÍQUIDO],LANÇ_MOV[RECEITA OU DESPESA],"Despesa",LANÇ_MOV[CONTAS],$C499,LANÇ_MOV[PLANO DE CONTAS],REL_DRE_FINANCEIRO!$B$445,LANÇ_MOV[ANO PAGAMENTO],$B$4,LANÇ_MOV[MÊS PAGAMENTO CORRESPONDENTE],E$6,LANÇ_MOV[EMPRESA],$C$4,LANÇ_MOV[CENTRO DE CUSTOS],$D$4)</f>
        <v>0</v>
      </c>
      <c r="F499" s="206">
        <f>SUMIFS(LANÇ_MOV[VALOR LÍQUIDO],LANÇ_MOV[RECEITA OU DESPESA],"Despesa",LANÇ_MOV[CONTAS],$C499,LANÇ_MOV[PLANO DE CONTAS],REL_DRE_FINANCEIRO!$B$445,LANÇ_MOV[ANO PAGAMENTO],$B$4,LANÇ_MOV[MÊS PAGAMENTO CORRESPONDENTE],F$6,LANÇ_MOV[EMPRESA],$C$4,LANÇ_MOV[CENTRO DE CUSTOS],$D$4)</f>
        <v>0</v>
      </c>
      <c r="G499" s="206">
        <f>SUMIFS(LANÇ_MOV[VALOR LÍQUIDO],LANÇ_MOV[RECEITA OU DESPESA],"Despesa",LANÇ_MOV[CONTAS],$C499,LANÇ_MOV[PLANO DE CONTAS],REL_DRE_FINANCEIRO!$B$445,LANÇ_MOV[ANO PAGAMENTO],$B$4,LANÇ_MOV[MÊS PAGAMENTO CORRESPONDENTE],G$6,LANÇ_MOV[EMPRESA],$C$4,LANÇ_MOV[CENTRO DE CUSTOS],$D$4)</f>
        <v>0</v>
      </c>
      <c r="H499" s="206">
        <f>SUMIFS(LANÇ_MOV[VALOR LÍQUIDO],LANÇ_MOV[RECEITA OU DESPESA],"Despesa",LANÇ_MOV[CONTAS],$C499,LANÇ_MOV[PLANO DE CONTAS],REL_DRE_FINANCEIRO!$B$445,LANÇ_MOV[ANO PAGAMENTO],$B$4,LANÇ_MOV[MÊS PAGAMENTO CORRESPONDENTE],H$6,LANÇ_MOV[EMPRESA],$C$4,LANÇ_MOV[CENTRO DE CUSTOS],$D$4)</f>
        <v>0</v>
      </c>
      <c r="I499" s="206">
        <f>SUMIFS(LANÇ_MOV[VALOR LÍQUIDO],LANÇ_MOV[RECEITA OU DESPESA],"Despesa",LANÇ_MOV[CONTAS],$C499,LANÇ_MOV[PLANO DE CONTAS],REL_DRE_FINANCEIRO!$B$445,LANÇ_MOV[ANO PAGAMENTO],$B$4,LANÇ_MOV[MÊS PAGAMENTO CORRESPONDENTE],I$6,LANÇ_MOV[EMPRESA],$C$4,LANÇ_MOV[CENTRO DE CUSTOS],$D$4)</f>
        <v>0</v>
      </c>
      <c r="J499" s="206">
        <f>SUMIFS(LANÇ_MOV[VALOR LÍQUIDO],LANÇ_MOV[RECEITA OU DESPESA],"Despesa",LANÇ_MOV[CONTAS],$C499,LANÇ_MOV[PLANO DE CONTAS],REL_DRE_FINANCEIRO!$B$445,LANÇ_MOV[ANO PAGAMENTO],$B$4,LANÇ_MOV[MÊS PAGAMENTO CORRESPONDENTE],J$6,LANÇ_MOV[EMPRESA],$C$4,LANÇ_MOV[CENTRO DE CUSTOS],$D$4)</f>
        <v>0</v>
      </c>
      <c r="K499" s="206">
        <f>SUMIFS(LANÇ_MOV[VALOR LÍQUIDO],LANÇ_MOV[RECEITA OU DESPESA],"Despesa",LANÇ_MOV[CONTAS],$C499,LANÇ_MOV[PLANO DE CONTAS],REL_DRE_FINANCEIRO!$B$445,LANÇ_MOV[ANO PAGAMENTO],$B$4,LANÇ_MOV[MÊS PAGAMENTO CORRESPONDENTE],K$6,LANÇ_MOV[EMPRESA],$C$4,LANÇ_MOV[CENTRO DE CUSTOS],$D$4)</f>
        <v>0</v>
      </c>
      <c r="L499" s="206">
        <f>SUMIFS(LANÇ_MOV[VALOR LÍQUIDO],LANÇ_MOV[RECEITA OU DESPESA],"Despesa",LANÇ_MOV[CONTAS],$C499,LANÇ_MOV[PLANO DE CONTAS],REL_DRE_FINANCEIRO!$B$445,LANÇ_MOV[ANO PAGAMENTO],$B$4,LANÇ_MOV[MÊS PAGAMENTO CORRESPONDENTE],L$6,LANÇ_MOV[EMPRESA],$C$4,LANÇ_MOV[CENTRO DE CUSTOS],$D$4)</f>
        <v>0</v>
      </c>
      <c r="M499" s="206">
        <f>SUMIFS(LANÇ_MOV[VALOR LÍQUIDO],LANÇ_MOV[RECEITA OU DESPESA],"Despesa",LANÇ_MOV[CONTAS],$C499,LANÇ_MOV[PLANO DE CONTAS],REL_DRE_FINANCEIRO!$B$445,LANÇ_MOV[ANO PAGAMENTO],$B$4,LANÇ_MOV[MÊS PAGAMENTO CORRESPONDENTE],M$6,LANÇ_MOV[EMPRESA],$C$4,LANÇ_MOV[CENTRO DE CUSTOS],$D$4)</f>
        <v>0</v>
      </c>
      <c r="N499" s="206">
        <f>SUMIFS(LANÇ_MOV[VALOR LÍQUIDO],LANÇ_MOV[RECEITA OU DESPESA],"Despesa",LANÇ_MOV[CONTAS],$C499,LANÇ_MOV[PLANO DE CONTAS],REL_DRE_FINANCEIRO!$B$445,LANÇ_MOV[ANO PAGAMENTO],$B$4,LANÇ_MOV[MÊS PAGAMENTO CORRESPONDENTE],N$6,LANÇ_MOV[EMPRESA],$C$4,LANÇ_MOV[CENTRO DE CUSTOS],$D$4)</f>
        <v>0</v>
      </c>
      <c r="O499" s="206">
        <f>SUMIFS(LANÇ_MOV[VALOR LÍQUIDO],LANÇ_MOV[RECEITA OU DESPESA],"Despesa",LANÇ_MOV[CONTAS],$C499,LANÇ_MOV[PLANO DE CONTAS],REL_DRE_FINANCEIRO!$B$445,LANÇ_MOV[ANO PAGAMENTO],$B$4,LANÇ_MOV[MÊS PAGAMENTO CORRESPONDENTE],O$6,LANÇ_MOV[EMPRESA],$C$4,LANÇ_MOV[CENTRO DE CUSTOS],$D$4)</f>
        <v>0</v>
      </c>
      <c r="P499" s="207">
        <f t="shared" si="65"/>
        <v>0</v>
      </c>
      <c r="Q499" s="329">
        <v>4.6999999999999999E-6</v>
      </c>
      <c r="R499" s="346">
        <f t="shared" si="67"/>
        <v>4.6999999999999999E-6</v>
      </c>
      <c r="S499" s="347" t="str">
        <f t="shared" si="68"/>
        <v>HORA EXTRA</v>
      </c>
      <c r="T499" s="347">
        <f t="shared" si="69"/>
        <v>0</v>
      </c>
      <c r="U499" s="347">
        <f>HLOOKUP(Apoio!$P$12,$D$444:$P$545,X499,FALSE)+Q499</f>
        <v>4.6999999999999999E-6</v>
      </c>
      <c r="V499" s="447" t="str">
        <f t="shared" si="66"/>
        <v>HORA EXTRA</v>
      </c>
      <c r="W499" s="448">
        <f>HLOOKUP(Apoio!$P$12,$D$444:$P$545,X499,FALSE)</f>
        <v>0</v>
      </c>
      <c r="X499" s="329">
        <v>56</v>
      </c>
    </row>
    <row r="500" spans="2:24" ht="30.05" customHeight="1" x14ac:dyDescent="0.35">
      <c r="B500" s="204" t="str">
        <f>'CAD_PL_REC-DESP'!T59</f>
        <v>2.4.55</v>
      </c>
      <c r="C500" s="205" t="str">
        <f>IF('CAD_PL_REC-DESP'!U24="","-",'CAD_PL_REC-DESP'!U24)</f>
        <v>LANCHES</v>
      </c>
      <c r="D500" s="206">
        <f>SUMIFS(LANÇ_MOV[VALOR LÍQUIDO],LANÇ_MOV[RECEITA OU DESPESA],"Despesa",LANÇ_MOV[CONTAS],$C500,LANÇ_MOV[PLANO DE CONTAS],REL_DRE_FINANCEIRO!$B$445,LANÇ_MOV[ANO PAGAMENTO],$B$4,LANÇ_MOV[MÊS PAGAMENTO CORRESPONDENTE],D$6,LANÇ_MOV[EMPRESA],$C$4,LANÇ_MOV[CENTRO DE CUSTOS],$D$4)</f>
        <v>0</v>
      </c>
      <c r="E500" s="206">
        <f>SUMIFS(LANÇ_MOV[VALOR LÍQUIDO],LANÇ_MOV[RECEITA OU DESPESA],"Despesa",LANÇ_MOV[CONTAS],$C500,LANÇ_MOV[PLANO DE CONTAS],REL_DRE_FINANCEIRO!$B$445,LANÇ_MOV[ANO PAGAMENTO],$B$4,LANÇ_MOV[MÊS PAGAMENTO CORRESPONDENTE],E$6,LANÇ_MOV[EMPRESA],$C$4,LANÇ_MOV[CENTRO DE CUSTOS],$D$4)</f>
        <v>0</v>
      </c>
      <c r="F500" s="206">
        <f>SUMIFS(LANÇ_MOV[VALOR LÍQUIDO],LANÇ_MOV[RECEITA OU DESPESA],"Despesa",LANÇ_MOV[CONTAS],$C500,LANÇ_MOV[PLANO DE CONTAS],REL_DRE_FINANCEIRO!$B$445,LANÇ_MOV[ANO PAGAMENTO],$B$4,LANÇ_MOV[MÊS PAGAMENTO CORRESPONDENTE],F$6,LANÇ_MOV[EMPRESA],$C$4,LANÇ_MOV[CENTRO DE CUSTOS],$D$4)</f>
        <v>0</v>
      </c>
      <c r="G500" s="206">
        <f>SUMIFS(LANÇ_MOV[VALOR LÍQUIDO],LANÇ_MOV[RECEITA OU DESPESA],"Despesa",LANÇ_MOV[CONTAS],$C500,LANÇ_MOV[PLANO DE CONTAS],REL_DRE_FINANCEIRO!$B$445,LANÇ_MOV[ANO PAGAMENTO],$B$4,LANÇ_MOV[MÊS PAGAMENTO CORRESPONDENTE],G$6,LANÇ_MOV[EMPRESA],$C$4,LANÇ_MOV[CENTRO DE CUSTOS],$D$4)</f>
        <v>0</v>
      </c>
      <c r="H500" s="206">
        <f>SUMIFS(LANÇ_MOV[VALOR LÍQUIDO],LANÇ_MOV[RECEITA OU DESPESA],"Despesa",LANÇ_MOV[CONTAS],$C500,LANÇ_MOV[PLANO DE CONTAS],REL_DRE_FINANCEIRO!$B$445,LANÇ_MOV[ANO PAGAMENTO],$B$4,LANÇ_MOV[MÊS PAGAMENTO CORRESPONDENTE],H$6,LANÇ_MOV[EMPRESA],$C$4,LANÇ_MOV[CENTRO DE CUSTOS],$D$4)</f>
        <v>0</v>
      </c>
      <c r="I500" s="206">
        <f>SUMIFS(LANÇ_MOV[VALOR LÍQUIDO],LANÇ_MOV[RECEITA OU DESPESA],"Despesa",LANÇ_MOV[CONTAS],$C500,LANÇ_MOV[PLANO DE CONTAS],REL_DRE_FINANCEIRO!$B$445,LANÇ_MOV[ANO PAGAMENTO],$B$4,LANÇ_MOV[MÊS PAGAMENTO CORRESPONDENTE],I$6,LANÇ_MOV[EMPRESA],$C$4,LANÇ_MOV[CENTRO DE CUSTOS],$D$4)</f>
        <v>0</v>
      </c>
      <c r="J500" s="206">
        <f>SUMIFS(LANÇ_MOV[VALOR LÍQUIDO],LANÇ_MOV[RECEITA OU DESPESA],"Despesa",LANÇ_MOV[CONTAS],$C500,LANÇ_MOV[PLANO DE CONTAS],REL_DRE_FINANCEIRO!$B$445,LANÇ_MOV[ANO PAGAMENTO],$B$4,LANÇ_MOV[MÊS PAGAMENTO CORRESPONDENTE],J$6,LANÇ_MOV[EMPRESA],$C$4,LANÇ_MOV[CENTRO DE CUSTOS],$D$4)</f>
        <v>0</v>
      </c>
      <c r="K500" s="206">
        <f>SUMIFS(LANÇ_MOV[VALOR LÍQUIDO],LANÇ_MOV[RECEITA OU DESPESA],"Despesa",LANÇ_MOV[CONTAS],$C500,LANÇ_MOV[PLANO DE CONTAS],REL_DRE_FINANCEIRO!$B$445,LANÇ_MOV[ANO PAGAMENTO],$B$4,LANÇ_MOV[MÊS PAGAMENTO CORRESPONDENTE],K$6,LANÇ_MOV[EMPRESA],$C$4,LANÇ_MOV[CENTRO DE CUSTOS],$D$4)</f>
        <v>0</v>
      </c>
      <c r="L500" s="206">
        <f>SUMIFS(LANÇ_MOV[VALOR LÍQUIDO],LANÇ_MOV[RECEITA OU DESPESA],"Despesa",LANÇ_MOV[CONTAS],$C500,LANÇ_MOV[PLANO DE CONTAS],REL_DRE_FINANCEIRO!$B$445,LANÇ_MOV[ANO PAGAMENTO],$B$4,LANÇ_MOV[MÊS PAGAMENTO CORRESPONDENTE],L$6,LANÇ_MOV[EMPRESA],$C$4,LANÇ_MOV[CENTRO DE CUSTOS],$D$4)</f>
        <v>0</v>
      </c>
      <c r="M500" s="206">
        <f>SUMIFS(LANÇ_MOV[VALOR LÍQUIDO],LANÇ_MOV[RECEITA OU DESPESA],"Despesa",LANÇ_MOV[CONTAS],$C500,LANÇ_MOV[PLANO DE CONTAS],REL_DRE_FINANCEIRO!$B$445,LANÇ_MOV[ANO PAGAMENTO],$B$4,LANÇ_MOV[MÊS PAGAMENTO CORRESPONDENTE],M$6,LANÇ_MOV[EMPRESA],$C$4,LANÇ_MOV[CENTRO DE CUSTOS],$D$4)</f>
        <v>0</v>
      </c>
      <c r="N500" s="206">
        <f>SUMIFS(LANÇ_MOV[VALOR LÍQUIDO],LANÇ_MOV[RECEITA OU DESPESA],"Despesa",LANÇ_MOV[CONTAS],$C500,LANÇ_MOV[PLANO DE CONTAS],REL_DRE_FINANCEIRO!$B$445,LANÇ_MOV[ANO PAGAMENTO],$B$4,LANÇ_MOV[MÊS PAGAMENTO CORRESPONDENTE],N$6,LANÇ_MOV[EMPRESA],$C$4,LANÇ_MOV[CENTRO DE CUSTOS],$D$4)</f>
        <v>0</v>
      </c>
      <c r="O500" s="206">
        <f>SUMIFS(LANÇ_MOV[VALOR LÍQUIDO],LANÇ_MOV[RECEITA OU DESPESA],"Despesa",LANÇ_MOV[CONTAS],$C500,LANÇ_MOV[PLANO DE CONTAS],REL_DRE_FINANCEIRO!$B$445,LANÇ_MOV[ANO PAGAMENTO],$B$4,LANÇ_MOV[MÊS PAGAMENTO CORRESPONDENTE],O$6,LANÇ_MOV[EMPRESA],$C$4,LANÇ_MOV[CENTRO DE CUSTOS],$D$4)</f>
        <v>0</v>
      </c>
      <c r="P500" s="207">
        <f t="shared" si="65"/>
        <v>0</v>
      </c>
      <c r="Q500" s="329">
        <v>4.6E-6</v>
      </c>
      <c r="R500" s="346">
        <f t="shared" si="67"/>
        <v>4.6E-6</v>
      </c>
      <c r="S500" s="347" t="str">
        <f t="shared" si="68"/>
        <v>LANCHES</v>
      </c>
      <c r="T500" s="347">
        <f t="shared" si="69"/>
        <v>0</v>
      </c>
      <c r="U500" s="347">
        <f>HLOOKUP(Apoio!$P$12,$D$444:$P$545,X500,FALSE)+Q500</f>
        <v>4.6E-6</v>
      </c>
      <c r="V500" s="447" t="str">
        <f t="shared" si="66"/>
        <v>LANCHES</v>
      </c>
      <c r="W500" s="448">
        <f>HLOOKUP(Apoio!$P$12,$D$444:$P$545,X500,FALSE)</f>
        <v>0</v>
      </c>
      <c r="X500" s="329">
        <v>57</v>
      </c>
    </row>
    <row r="501" spans="2:24" ht="30.05" customHeight="1" x14ac:dyDescent="0.35">
      <c r="B501" s="204" t="str">
        <f>'CAD_PL_REC-DESP'!T60</f>
        <v>2.4.56</v>
      </c>
      <c r="C501" s="205" t="str">
        <f>IF('CAD_PL_REC-DESP'!U25="","-",'CAD_PL_REC-DESP'!U25)</f>
        <v>MEDICAMENTOS</v>
      </c>
      <c r="D501" s="206">
        <f>SUMIFS(LANÇ_MOV[VALOR LÍQUIDO],LANÇ_MOV[RECEITA OU DESPESA],"Despesa",LANÇ_MOV[CONTAS],$C501,LANÇ_MOV[PLANO DE CONTAS],REL_DRE_FINANCEIRO!$B$445,LANÇ_MOV[ANO PAGAMENTO],$B$4,LANÇ_MOV[MÊS PAGAMENTO CORRESPONDENTE],D$6,LANÇ_MOV[EMPRESA],$C$4,LANÇ_MOV[CENTRO DE CUSTOS],$D$4)</f>
        <v>0</v>
      </c>
      <c r="E501" s="206">
        <f>SUMIFS(LANÇ_MOV[VALOR LÍQUIDO],LANÇ_MOV[RECEITA OU DESPESA],"Despesa",LANÇ_MOV[CONTAS],$C501,LANÇ_MOV[PLANO DE CONTAS],REL_DRE_FINANCEIRO!$B$445,LANÇ_MOV[ANO PAGAMENTO],$B$4,LANÇ_MOV[MÊS PAGAMENTO CORRESPONDENTE],E$6,LANÇ_MOV[EMPRESA],$C$4,LANÇ_MOV[CENTRO DE CUSTOS],$D$4)</f>
        <v>0</v>
      </c>
      <c r="F501" s="206">
        <f>SUMIFS(LANÇ_MOV[VALOR LÍQUIDO],LANÇ_MOV[RECEITA OU DESPESA],"Despesa",LANÇ_MOV[CONTAS],$C501,LANÇ_MOV[PLANO DE CONTAS],REL_DRE_FINANCEIRO!$B$445,LANÇ_MOV[ANO PAGAMENTO],$B$4,LANÇ_MOV[MÊS PAGAMENTO CORRESPONDENTE],F$6,LANÇ_MOV[EMPRESA],$C$4,LANÇ_MOV[CENTRO DE CUSTOS],$D$4)</f>
        <v>0</v>
      </c>
      <c r="G501" s="206">
        <f>SUMIFS(LANÇ_MOV[VALOR LÍQUIDO],LANÇ_MOV[RECEITA OU DESPESA],"Despesa",LANÇ_MOV[CONTAS],$C501,LANÇ_MOV[PLANO DE CONTAS],REL_DRE_FINANCEIRO!$B$445,LANÇ_MOV[ANO PAGAMENTO],$B$4,LANÇ_MOV[MÊS PAGAMENTO CORRESPONDENTE],G$6,LANÇ_MOV[EMPRESA],$C$4,LANÇ_MOV[CENTRO DE CUSTOS],$D$4)</f>
        <v>0</v>
      </c>
      <c r="H501" s="206">
        <f>SUMIFS(LANÇ_MOV[VALOR LÍQUIDO],LANÇ_MOV[RECEITA OU DESPESA],"Despesa",LANÇ_MOV[CONTAS],$C501,LANÇ_MOV[PLANO DE CONTAS],REL_DRE_FINANCEIRO!$B$445,LANÇ_MOV[ANO PAGAMENTO],$B$4,LANÇ_MOV[MÊS PAGAMENTO CORRESPONDENTE],H$6,LANÇ_MOV[EMPRESA],$C$4,LANÇ_MOV[CENTRO DE CUSTOS],$D$4)</f>
        <v>0</v>
      </c>
      <c r="I501" s="206">
        <f>SUMIFS(LANÇ_MOV[VALOR LÍQUIDO],LANÇ_MOV[RECEITA OU DESPESA],"Despesa",LANÇ_MOV[CONTAS],$C501,LANÇ_MOV[PLANO DE CONTAS],REL_DRE_FINANCEIRO!$B$445,LANÇ_MOV[ANO PAGAMENTO],$B$4,LANÇ_MOV[MÊS PAGAMENTO CORRESPONDENTE],I$6,LANÇ_MOV[EMPRESA],$C$4,LANÇ_MOV[CENTRO DE CUSTOS],$D$4)</f>
        <v>0</v>
      </c>
      <c r="J501" s="206">
        <f>SUMIFS(LANÇ_MOV[VALOR LÍQUIDO],LANÇ_MOV[RECEITA OU DESPESA],"Despesa",LANÇ_MOV[CONTAS],$C501,LANÇ_MOV[PLANO DE CONTAS],REL_DRE_FINANCEIRO!$B$445,LANÇ_MOV[ANO PAGAMENTO],$B$4,LANÇ_MOV[MÊS PAGAMENTO CORRESPONDENTE],J$6,LANÇ_MOV[EMPRESA],$C$4,LANÇ_MOV[CENTRO DE CUSTOS],$D$4)</f>
        <v>0</v>
      </c>
      <c r="K501" s="206">
        <f>SUMIFS(LANÇ_MOV[VALOR LÍQUIDO],LANÇ_MOV[RECEITA OU DESPESA],"Despesa",LANÇ_MOV[CONTAS],$C501,LANÇ_MOV[PLANO DE CONTAS],REL_DRE_FINANCEIRO!$B$445,LANÇ_MOV[ANO PAGAMENTO],$B$4,LANÇ_MOV[MÊS PAGAMENTO CORRESPONDENTE],K$6,LANÇ_MOV[EMPRESA],$C$4,LANÇ_MOV[CENTRO DE CUSTOS],$D$4)</f>
        <v>0</v>
      </c>
      <c r="L501" s="206">
        <f>SUMIFS(LANÇ_MOV[VALOR LÍQUIDO],LANÇ_MOV[RECEITA OU DESPESA],"Despesa",LANÇ_MOV[CONTAS],$C501,LANÇ_MOV[PLANO DE CONTAS],REL_DRE_FINANCEIRO!$B$445,LANÇ_MOV[ANO PAGAMENTO],$B$4,LANÇ_MOV[MÊS PAGAMENTO CORRESPONDENTE],L$6,LANÇ_MOV[EMPRESA],$C$4,LANÇ_MOV[CENTRO DE CUSTOS],$D$4)</f>
        <v>0</v>
      </c>
      <c r="M501" s="206">
        <f>SUMIFS(LANÇ_MOV[VALOR LÍQUIDO],LANÇ_MOV[RECEITA OU DESPESA],"Despesa",LANÇ_MOV[CONTAS],$C501,LANÇ_MOV[PLANO DE CONTAS],REL_DRE_FINANCEIRO!$B$445,LANÇ_MOV[ANO PAGAMENTO],$B$4,LANÇ_MOV[MÊS PAGAMENTO CORRESPONDENTE],M$6,LANÇ_MOV[EMPRESA],$C$4,LANÇ_MOV[CENTRO DE CUSTOS],$D$4)</f>
        <v>0</v>
      </c>
      <c r="N501" s="206">
        <f>SUMIFS(LANÇ_MOV[VALOR LÍQUIDO],LANÇ_MOV[RECEITA OU DESPESA],"Despesa",LANÇ_MOV[CONTAS],$C501,LANÇ_MOV[PLANO DE CONTAS],REL_DRE_FINANCEIRO!$B$445,LANÇ_MOV[ANO PAGAMENTO],$B$4,LANÇ_MOV[MÊS PAGAMENTO CORRESPONDENTE],N$6,LANÇ_MOV[EMPRESA],$C$4,LANÇ_MOV[CENTRO DE CUSTOS],$D$4)</f>
        <v>0</v>
      </c>
      <c r="O501" s="206">
        <f>SUMIFS(LANÇ_MOV[VALOR LÍQUIDO],LANÇ_MOV[RECEITA OU DESPESA],"Despesa",LANÇ_MOV[CONTAS],$C501,LANÇ_MOV[PLANO DE CONTAS],REL_DRE_FINANCEIRO!$B$445,LANÇ_MOV[ANO PAGAMENTO],$B$4,LANÇ_MOV[MÊS PAGAMENTO CORRESPONDENTE],O$6,LANÇ_MOV[EMPRESA],$C$4,LANÇ_MOV[CENTRO DE CUSTOS],$D$4)</f>
        <v>0</v>
      </c>
      <c r="P501" s="207">
        <f t="shared" si="65"/>
        <v>0</v>
      </c>
      <c r="Q501" s="329">
        <v>4.5000000000000001E-6</v>
      </c>
      <c r="R501" s="346">
        <f t="shared" si="67"/>
        <v>4.5000000000000001E-6</v>
      </c>
      <c r="S501" s="347" t="str">
        <f t="shared" si="68"/>
        <v>MEDICAMENTOS</v>
      </c>
      <c r="T501" s="347">
        <f t="shared" si="69"/>
        <v>0</v>
      </c>
      <c r="U501" s="347">
        <f>HLOOKUP(Apoio!$P$12,$D$444:$P$545,X501,FALSE)+Q501</f>
        <v>4.5000000000000001E-6</v>
      </c>
      <c r="V501" s="447" t="str">
        <f t="shared" si="66"/>
        <v>MEDICAMENTOS</v>
      </c>
      <c r="W501" s="448">
        <f>HLOOKUP(Apoio!$P$12,$D$444:$P$545,X501,FALSE)</f>
        <v>0</v>
      </c>
      <c r="X501" s="329">
        <v>58</v>
      </c>
    </row>
    <row r="502" spans="2:24" ht="30.05" customHeight="1" x14ac:dyDescent="0.35">
      <c r="B502" s="204" t="str">
        <f>'CAD_PL_REC-DESP'!T61</f>
        <v>2.4.57</v>
      </c>
      <c r="C502" s="205" t="str">
        <f>IF('CAD_PL_REC-DESP'!U26="","-",'CAD_PL_REC-DESP'!U26)</f>
        <v>OUTRAS DESPESAS COM RH</v>
      </c>
      <c r="D502" s="206">
        <f>SUMIFS(LANÇ_MOV[VALOR LÍQUIDO],LANÇ_MOV[RECEITA OU DESPESA],"Despesa",LANÇ_MOV[CONTAS],$C502,LANÇ_MOV[PLANO DE CONTAS],REL_DRE_FINANCEIRO!$B$445,LANÇ_MOV[ANO PAGAMENTO],$B$4,LANÇ_MOV[MÊS PAGAMENTO CORRESPONDENTE],D$6,LANÇ_MOV[EMPRESA],$C$4,LANÇ_MOV[CENTRO DE CUSTOS],$D$4)</f>
        <v>0</v>
      </c>
      <c r="E502" s="206">
        <f>SUMIFS(LANÇ_MOV[VALOR LÍQUIDO],LANÇ_MOV[RECEITA OU DESPESA],"Despesa",LANÇ_MOV[CONTAS],$C502,LANÇ_MOV[PLANO DE CONTAS],REL_DRE_FINANCEIRO!$B$445,LANÇ_MOV[ANO PAGAMENTO],$B$4,LANÇ_MOV[MÊS PAGAMENTO CORRESPONDENTE],E$6,LANÇ_MOV[EMPRESA],$C$4,LANÇ_MOV[CENTRO DE CUSTOS],$D$4)</f>
        <v>0</v>
      </c>
      <c r="F502" s="206">
        <f>SUMIFS(LANÇ_MOV[VALOR LÍQUIDO],LANÇ_MOV[RECEITA OU DESPESA],"Despesa",LANÇ_MOV[CONTAS],$C502,LANÇ_MOV[PLANO DE CONTAS],REL_DRE_FINANCEIRO!$B$445,LANÇ_MOV[ANO PAGAMENTO],$B$4,LANÇ_MOV[MÊS PAGAMENTO CORRESPONDENTE],F$6,LANÇ_MOV[EMPRESA],$C$4,LANÇ_MOV[CENTRO DE CUSTOS],$D$4)</f>
        <v>0</v>
      </c>
      <c r="G502" s="206">
        <f>SUMIFS(LANÇ_MOV[VALOR LÍQUIDO],LANÇ_MOV[RECEITA OU DESPESA],"Despesa",LANÇ_MOV[CONTAS],$C502,LANÇ_MOV[PLANO DE CONTAS],REL_DRE_FINANCEIRO!$B$445,LANÇ_MOV[ANO PAGAMENTO],$B$4,LANÇ_MOV[MÊS PAGAMENTO CORRESPONDENTE],G$6,LANÇ_MOV[EMPRESA],$C$4,LANÇ_MOV[CENTRO DE CUSTOS],$D$4)</f>
        <v>0</v>
      </c>
      <c r="H502" s="206">
        <f>SUMIFS(LANÇ_MOV[VALOR LÍQUIDO],LANÇ_MOV[RECEITA OU DESPESA],"Despesa",LANÇ_MOV[CONTAS],$C502,LANÇ_MOV[PLANO DE CONTAS],REL_DRE_FINANCEIRO!$B$445,LANÇ_MOV[ANO PAGAMENTO],$B$4,LANÇ_MOV[MÊS PAGAMENTO CORRESPONDENTE],H$6,LANÇ_MOV[EMPRESA],$C$4,LANÇ_MOV[CENTRO DE CUSTOS],$D$4)</f>
        <v>0</v>
      </c>
      <c r="I502" s="206">
        <f>SUMIFS(LANÇ_MOV[VALOR LÍQUIDO],LANÇ_MOV[RECEITA OU DESPESA],"Despesa",LANÇ_MOV[CONTAS],$C502,LANÇ_MOV[PLANO DE CONTAS],REL_DRE_FINANCEIRO!$B$445,LANÇ_MOV[ANO PAGAMENTO],$B$4,LANÇ_MOV[MÊS PAGAMENTO CORRESPONDENTE],I$6,LANÇ_MOV[EMPRESA],$C$4,LANÇ_MOV[CENTRO DE CUSTOS],$D$4)</f>
        <v>0</v>
      </c>
      <c r="J502" s="206">
        <f>SUMIFS(LANÇ_MOV[VALOR LÍQUIDO],LANÇ_MOV[RECEITA OU DESPESA],"Despesa",LANÇ_MOV[CONTAS],$C502,LANÇ_MOV[PLANO DE CONTAS],REL_DRE_FINANCEIRO!$B$445,LANÇ_MOV[ANO PAGAMENTO],$B$4,LANÇ_MOV[MÊS PAGAMENTO CORRESPONDENTE],J$6,LANÇ_MOV[EMPRESA],$C$4,LANÇ_MOV[CENTRO DE CUSTOS],$D$4)</f>
        <v>0</v>
      </c>
      <c r="K502" s="206">
        <f>SUMIFS(LANÇ_MOV[VALOR LÍQUIDO],LANÇ_MOV[RECEITA OU DESPESA],"Despesa",LANÇ_MOV[CONTAS],$C502,LANÇ_MOV[PLANO DE CONTAS],REL_DRE_FINANCEIRO!$B$445,LANÇ_MOV[ANO PAGAMENTO],$B$4,LANÇ_MOV[MÊS PAGAMENTO CORRESPONDENTE],K$6,LANÇ_MOV[EMPRESA],$C$4,LANÇ_MOV[CENTRO DE CUSTOS],$D$4)</f>
        <v>0</v>
      </c>
      <c r="L502" s="206">
        <f>SUMIFS(LANÇ_MOV[VALOR LÍQUIDO],LANÇ_MOV[RECEITA OU DESPESA],"Despesa",LANÇ_MOV[CONTAS],$C502,LANÇ_MOV[PLANO DE CONTAS],REL_DRE_FINANCEIRO!$B$445,LANÇ_MOV[ANO PAGAMENTO],$B$4,LANÇ_MOV[MÊS PAGAMENTO CORRESPONDENTE],L$6,LANÇ_MOV[EMPRESA],$C$4,LANÇ_MOV[CENTRO DE CUSTOS],$D$4)</f>
        <v>0</v>
      </c>
      <c r="M502" s="206">
        <f>SUMIFS(LANÇ_MOV[VALOR LÍQUIDO],LANÇ_MOV[RECEITA OU DESPESA],"Despesa",LANÇ_MOV[CONTAS],$C502,LANÇ_MOV[PLANO DE CONTAS],REL_DRE_FINANCEIRO!$B$445,LANÇ_MOV[ANO PAGAMENTO],$B$4,LANÇ_MOV[MÊS PAGAMENTO CORRESPONDENTE],M$6,LANÇ_MOV[EMPRESA],$C$4,LANÇ_MOV[CENTRO DE CUSTOS],$D$4)</f>
        <v>0</v>
      </c>
      <c r="N502" s="206">
        <f>SUMIFS(LANÇ_MOV[VALOR LÍQUIDO],LANÇ_MOV[RECEITA OU DESPESA],"Despesa",LANÇ_MOV[CONTAS],$C502,LANÇ_MOV[PLANO DE CONTAS],REL_DRE_FINANCEIRO!$B$445,LANÇ_MOV[ANO PAGAMENTO],$B$4,LANÇ_MOV[MÊS PAGAMENTO CORRESPONDENTE],N$6,LANÇ_MOV[EMPRESA],$C$4,LANÇ_MOV[CENTRO DE CUSTOS],$D$4)</f>
        <v>0</v>
      </c>
      <c r="O502" s="206">
        <f>SUMIFS(LANÇ_MOV[VALOR LÍQUIDO],LANÇ_MOV[RECEITA OU DESPESA],"Despesa",LANÇ_MOV[CONTAS],$C502,LANÇ_MOV[PLANO DE CONTAS],REL_DRE_FINANCEIRO!$B$445,LANÇ_MOV[ANO PAGAMENTO],$B$4,LANÇ_MOV[MÊS PAGAMENTO CORRESPONDENTE],O$6,LANÇ_MOV[EMPRESA],$C$4,LANÇ_MOV[CENTRO DE CUSTOS],$D$4)</f>
        <v>0</v>
      </c>
      <c r="P502" s="207">
        <f t="shared" si="65"/>
        <v>0</v>
      </c>
      <c r="Q502" s="329">
        <v>4.4000000000000002E-6</v>
      </c>
      <c r="R502" s="346">
        <f t="shared" si="67"/>
        <v>4.4000000000000002E-6</v>
      </c>
      <c r="S502" s="347" t="str">
        <f t="shared" si="68"/>
        <v>OUTRAS DESPESAS COM RH</v>
      </c>
      <c r="T502" s="347">
        <f t="shared" si="69"/>
        <v>0</v>
      </c>
      <c r="U502" s="347">
        <f>HLOOKUP(Apoio!$P$12,$D$444:$P$545,X502,FALSE)+Q502</f>
        <v>4.4000000000000002E-6</v>
      </c>
      <c r="V502" s="447" t="str">
        <f t="shared" si="66"/>
        <v>OUTRAS DESPESAS COM RH</v>
      </c>
      <c r="W502" s="448">
        <f>HLOOKUP(Apoio!$P$12,$D$444:$P$545,X502,FALSE)</f>
        <v>0</v>
      </c>
      <c r="X502" s="329">
        <v>59</v>
      </c>
    </row>
    <row r="503" spans="2:24" ht="30.05" customHeight="1" x14ac:dyDescent="0.35">
      <c r="B503" s="204" t="str">
        <f>'CAD_PL_REC-DESP'!T62</f>
        <v>2.4.58</v>
      </c>
      <c r="C503" s="205" t="str">
        <f>IF('CAD_PL_REC-DESP'!U27="","-",'CAD_PL_REC-DESP'!U27)</f>
        <v>PAGAMENTO DE MÃO DE OBRA</v>
      </c>
      <c r="D503" s="206">
        <f>SUMIFS(LANÇ_MOV[VALOR LÍQUIDO],LANÇ_MOV[RECEITA OU DESPESA],"Despesa",LANÇ_MOV[CONTAS],$C503,LANÇ_MOV[PLANO DE CONTAS],REL_DRE_FINANCEIRO!$B$445,LANÇ_MOV[ANO PAGAMENTO],$B$4,LANÇ_MOV[MÊS PAGAMENTO CORRESPONDENTE],D$6,LANÇ_MOV[EMPRESA],$C$4,LANÇ_MOV[CENTRO DE CUSTOS],$D$4)</f>
        <v>0</v>
      </c>
      <c r="E503" s="206">
        <f>SUMIFS(LANÇ_MOV[VALOR LÍQUIDO],LANÇ_MOV[RECEITA OU DESPESA],"Despesa",LANÇ_MOV[CONTAS],$C503,LANÇ_MOV[PLANO DE CONTAS],REL_DRE_FINANCEIRO!$B$445,LANÇ_MOV[ANO PAGAMENTO],$B$4,LANÇ_MOV[MÊS PAGAMENTO CORRESPONDENTE],E$6,LANÇ_MOV[EMPRESA],$C$4,LANÇ_MOV[CENTRO DE CUSTOS],$D$4)</f>
        <v>0</v>
      </c>
      <c r="F503" s="206">
        <f>SUMIFS(LANÇ_MOV[VALOR LÍQUIDO],LANÇ_MOV[RECEITA OU DESPESA],"Despesa",LANÇ_MOV[CONTAS],$C503,LANÇ_MOV[PLANO DE CONTAS],REL_DRE_FINANCEIRO!$B$445,LANÇ_MOV[ANO PAGAMENTO],$B$4,LANÇ_MOV[MÊS PAGAMENTO CORRESPONDENTE],F$6,LANÇ_MOV[EMPRESA],$C$4,LANÇ_MOV[CENTRO DE CUSTOS],$D$4)</f>
        <v>0</v>
      </c>
      <c r="G503" s="206">
        <f>SUMIFS(LANÇ_MOV[VALOR LÍQUIDO],LANÇ_MOV[RECEITA OU DESPESA],"Despesa",LANÇ_MOV[CONTAS],$C503,LANÇ_MOV[PLANO DE CONTAS],REL_DRE_FINANCEIRO!$B$445,LANÇ_MOV[ANO PAGAMENTO],$B$4,LANÇ_MOV[MÊS PAGAMENTO CORRESPONDENTE],G$6,LANÇ_MOV[EMPRESA],$C$4,LANÇ_MOV[CENTRO DE CUSTOS],$D$4)</f>
        <v>0</v>
      </c>
      <c r="H503" s="206">
        <f>SUMIFS(LANÇ_MOV[VALOR LÍQUIDO],LANÇ_MOV[RECEITA OU DESPESA],"Despesa",LANÇ_MOV[CONTAS],$C503,LANÇ_MOV[PLANO DE CONTAS],REL_DRE_FINANCEIRO!$B$445,LANÇ_MOV[ANO PAGAMENTO],$B$4,LANÇ_MOV[MÊS PAGAMENTO CORRESPONDENTE],H$6,LANÇ_MOV[EMPRESA],$C$4,LANÇ_MOV[CENTRO DE CUSTOS],$D$4)</f>
        <v>0</v>
      </c>
      <c r="I503" s="206">
        <f>SUMIFS(LANÇ_MOV[VALOR LÍQUIDO],LANÇ_MOV[RECEITA OU DESPESA],"Despesa",LANÇ_MOV[CONTAS],$C503,LANÇ_MOV[PLANO DE CONTAS],REL_DRE_FINANCEIRO!$B$445,LANÇ_MOV[ANO PAGAMENTO],$B$4,LANÇ_MOV[MÊS PAGAMENTO CORRESPONDENTE],I$6,LANÇ_MOV[EMPRESA],$C$4,LANÇ_MOV[CENTRO DE CUSTOS],$D$4)</f>
        <v>0</v>
      </c>
      <c r="J503" s="206">
        <f>SUMIFS(LANÇ_MOV[VALOR LÍQUIDO],LANÇ_MOV[RECEITA OU DESPESA],"Despesa",LANÇ_MOV[CONTAS],$C503,LANÇ_MOV[PLANO DE CONTAS],REL_DRE_FINANCEIRO!$B$445,LANÇ_MOV[ANO PAGAMENTO],$B$4,LANÇ_MOV[MÊS PAGAMENTO CORRESPONDENTE],J$6,LANÇ_MOV[EMPRESA],$C$4,LANÇ_MOV[CENTRO DE CUSTOS],$D$4)</f>
        <v>0</v>
      </c>
      <c r="K503" s="206">
        <f>SUMIFS(LANÇ_MOV[VALOR LÍQUIDO],LANÇ_MOV[RECEITA OU DESPESA],"Despesa",LANÇ_MOV[CONTAS],$C503,LANÇ_MOV[PLANO DE CONTAS],REL_DRE_FINANCEIRO!$B$445,LANÇ_MOV[ANO PAGAMENTO],$B$4,LANÇ_MOV[MÊS PAGAMENTO CORRESPONDENTE],K$6,LANÇ_MOV[EMPRESA],$C$4,LANÇ_MOV[CENTRO DE CUSTOS],$D$4)</f>
        <v>0</v>
      </c>
      <c r="L503" s="206">
        <f>SUMIFS(LANÇ_MOV[VALOR LÍQUIDO],LANÇ_MOV[RECEITA OU DESPESA],"Despesa",LANÇ_MOV[CONTAS],$C503,LANÇ_MOV[PLANO DE CONTAS],REL_DRE_FINANCEIRO!$B$445,LANÇ_MOV[ANO PAGAMENTO],$B$4,LANÇ_MOV[MÊS PAGAMENTO CORRESPONDENTE],L$6,LANÇ_MOV[EMPRESA],$C$4,LANÇ_MOV[CENTRO DE CUSTOS],$D$4)</f>
        <v>0</v>
      </c>
      <c r="M503" s="206">
        <f>SUMIFS(LANÇ_MOV[VALOR LÍQUIDO],LANÇ_MOV[RECEITA OU DESPESA],"Despesa",LANÇ_MOV[CONTAS],$C503,LANÇ_MOV[PLANO DE CONTAS],REL_DRE_FINANCEIRO!$B$445,LANÇ_MOV[ANO PAGAMENTO],$B$4,LANÇ_MOV[MÊS PAGAMENTO CORRESPONDENTE],M$6,LANÇ_MOV[EMPRESA],$C$4,LANÇ_MOV[CENTRO DE CUSTOS],$D$4)</f>
        <v>0</v>
      </c>
      <c r="N503" s="206">
        <f>SUMIFS(LANÇ_MOV[VALOR LÍQUIDO],LANÇ_MOV[RECEITA OU DESPESA],"Despesa",LANÇ_MOV[CONTAS],$C503,LANÇ_MOV[PLANO DE CONTAS],REL_DRE_FINANCEIRO!$B$445,LANÇ_MOV[ANO PAGAMENTO],$B$4,LANÇ_MOV[MÊS PAGAMENTO CORRESPONDENTE],N$6,LANÇ_MOV[EMPRESA],$C$4,LANÇ_MOV[CENTRO DE CUSTOS],$D$4)</f>
        <v>0</v>
      </c>
      <c r="O503" s="206">
        <f>SUMIFS(LANÇ_MOV[VALOR LÍQUIDO],LANÇ_MOV[RECEITA OU DESPESA],"Despesa",LANÇ_MOV[CONTAS],$C503,LANÇ_MOV[PLANO DE CONTAS],REL_DRE_FINANCEIRO!$B$445,LANÇ_MOV[ANO PAGAMENTO],$B$4,LANÇ_MOV[MÊS PAGAMENTO CORRESPONDENTE],O$6,LANÇ_MOV[EMPRESA],$C$4,LANÇ_MOV[CENTRO DE CUSTOS],$D$4)</f>
        <v>0</v>
      </c>
      <c r="P503" s="207">
        <f t="shared" si="65"/>
        <v>0</v>
      </c>
      <c r="Q503" s="329">
        <v>4.3000000000000003E-6</v>
      </c>
      <c r="R503" s="346">
        <f t="shared" si="67"/>
        <v>4.3000000000000003E-6</v>
      </c>
      <c r="S503" s="347" t="str">
        <f t="shared" si="68"/>
        <v>PAGAMENTO DE MÃO DE OBRA</v>
      </c>
      <c r="T503" s="347">
        <f t="shared" si="69"/>
        <v>0</v>
      </c>
      <c r="U503" s="347">
        <f>HLOOKUP(Apoio!$P$12,$D$444:$P$545,X503,FALSE)+Q503</f>
        <v>4.3000000000000003E-6</v>
      </c>
      <c r="V503" s="447" t="str">
        <f t="shared" si="66"/>
        <v>PAGAMENTO DE MÃO DE OBRA</v>
      </c>
      <c r="W503" s="448">
        <f>HLOOKUP(Apoio!$P$12,$D$444:$P$545,X503,FALSE)</f>
        <v>0</v>
      </c>
      <c r="X503" s="329">
        <v>60</v>
      </c>
    </row>
    <row r="504" spans="2:24" ht="30.05" customHeight="1" x14ac:dyDescent="0.35">
      <c r="B504" s="204" t="str">
        <f>'CAD_PL_REC-DESP'!T63</f>
        <v>2.4.59</v>
      </c>
      <c r="C504" s="205" t="str">
        <f>IF('CAD_PL_REC-DESP'!U28="","-",'CAD_PL_REC-DESP'!U28)</f>
        <v>PARTICIPAÇÃO DE LUCROS</v>
      </c>
      <c r="D504" s="206">
        <f>SUMIFS(LANÇ_MOV[VALOR LÍQUIDO],LANÇ_MOV[RECEITA OU DESPESA],"Despesa",LANÇ_MOV[CONTAS],$C504,LANÇ_MOV[PLANO DE CONTAS],REL_DRE_FINANCEIRO!$B$445,LANÇ_MOV[ANO PAGAMENTO],$B$4,LANÇ_MOV[MÊS PAGAMENTO CORRESPONDENTE],D$6,LANÇ_MOV[EMPRESA],$C$4,LANÇ_MOV[CENTRO DE CUSTOS],$D$4)</f>
        <v>0</v>
      </c>
      <c r="E504" s="206">
        <f>SUMIFS(LANÇ_MOV[VALOR LÍQUIDO],LANÇ_MOV[RECEITA OU DESPESA],"Despesa",LANÇ_MOV[CONTAS],$C504,LANÇ_MOV[PLANO DE CONTAS],REL_DRE_FINANCEIRO!$B$445,LANÇ_MOV[ANO PAGAMENTO],$B$4,LANÇ_MOV[MÊS PAGAMENTO CORRESPONDENTE],E$6,LANÇ_MOV[EMPRESA],$C$4,LANÇ_MOV[CENTRO DE CUSTOS],$D$4)</f>
        <v>0</v>
      </c>
      <c r="F504" s="206">
        <f>SUMIFS(LANÇ_MOV[VALOR LÍQUIDO],LANÇ_MOV[RECEITA OU DESPESA],"Despesa",LANÇ_MOV[CONTAS],$C504,LANÇ_MOV[PLANO DE CONTAS],REL_DRE_FINANCEIRO!$B$445,LANÇ_MOV[ANO PAGAMENTO],$B$4,LANÇ_MOV[MÊS PAGAMENTO CORRESPONDENTE],F$6,LANÇ_MOV[EMPRESA],$C$4,LANÇ_MOV[CENTRO DE CUSTOS],$D$4)</f>
        <v>0</v>
      </c>
      <c r="G504" s="206">
        <f>SUMIFS(LANÇ_MOV[VALOR LÍQUIDO],LANÇ_MOV[RECEITA OU DESPESA],"Despesa",LANÇ_MOV[CONTAS],$C504,LANÇ_MOV[PLANO DE CONTAS],REL_DRE_FINANCEIRO!$B$445,LANÇ_MOV[ANO PAGAMENTO],$B$4,LANÇ_MOV[MÊS PAGAMENTO CORRESPONDENTE],G$6,LANÇ_MOV[EMPRESA],$C$4,LANÇ_MOV[CENTRO DE CUSTOS],$D$4)</f>
        <v>0</v>
      </c>
      <c r="H504" s="206">
        <f>SUMIFS(LANÇ_MOV[VALOR LÍQUIDO],LANÇ_MOV[RECEITA OU DESPESA],"Despesa",LANÇ_MOV[CONTAS],$C504,LANÇ_MOV[PLANO DE CONTAS],REL_DRE_FINANCEIRO!$B$445,LANÇ_MOV[ANO PAGAMENTO],$B$4,LANÇ_MOV[MÊS PAGAMENTO CORRESPONDENTE],H$6,LANÇ_MOV[EMPRESA],$C$4,LANÇ_MOV[CENTRO DE CUSTOS],$D$4)</f>
        <v>0</v>
      </c>
      <c r="I504" s="206">
        <f>SUMIFS(LANÇ_MOV[VALOR LÍQUIDO],LANÇ_MOV[RECEITA OU DESPESA],"Despesa",LANÇ_MOV[CONTAS],$C504,LANÇ_MOV[PLANO DE CONTAS],REL_DRE_FINANCEIRO!$B$445,LANÇ_MOV[ANO PAGAMENTO],$B$4,LANÇ_MOV[MÊS PAGAMENTO CORRESPONDENTE],I$6,LANÇ_MOV[EMPRESA],$C$4,LANÇ_MOV[CENTRO DE CUSTOS],$D$4)</f>
        <v>0</v>
      </c>
      <c r="J504" s="206">
        <f>SUMIFS(LANÇ_MOV[VALOR LÍQUIDO],LANÇ_MOV[RECEITA OU DESPESA],"Despesa",LANÇ_MOV[CONTAS],$C504,LANÇ_MOV[PLANO DE CONTAS],REL_DRE_FINANCEIRO!$B$445,LANÇ_MOV[ANO PAGAMENTO],$B$4,LANÇ_MOV[MÊS PAGAMENTO CORRESPONDENTE],J$6,LANÇ_MOV[EMPRESA],$C$4,LANÇ_MOV[CENTRO DE CUSTOS],$D$4)</f>
        <v>0</v>
      </c>
      <c r="K504" s="206">
        <f>SUMIFS(LANÇ_MOV[VALOR LÍQUIDO],LANÇ_MOV[RECEITA OU DESPESA],"Despesa",LANÇ_MOV[CONTAS],$C504,LANÇ_MOV[PLANO DE CONTAS],REL_DRE_FINANCEIRO!$B$445,LANÇ_MOV[ANO PAGAMENTO],$B$4,LANÇ_MOV[MÊS PAGAMENTO CORRESPONDENTE],K$6,LANÇ_MOV[EMPRESA],$C$4,LANÇ_MOV[CENTRO DE CUSTOS],$D$4)</f>
        <v>0</v>
      </c>
      <c r="L504" s="206">
        <f>SUMIFS(LANÇ_MOV[VALOR LÍQUIDO],LANÇ_MOV[RECEITA OU DESPESA],"Despesa",LANÇ_MOV[CONTAS],$C504,LANÇ_MOV[PLANO DE CONTAS],REL_DRE_FINANCEIRO!$B$445,LANÇ_MOV[ANO PAGAMENTO],$B$4,LANÇ_MOV[MÊS PAGAMENTO CORRESPONDENTE],L$6,LANÇ_MOV[EMPRESA],$C$4,LANÇ_MOV[CENTRO DE CUSTOS],$D$4)</f>
        <v>0</v>
      </c>
      <c r="M504" s="206">
        <f>SUMIFS(LANÇ_MOV[VALOR LÍQUIDO],LANÇ_MOV[RECEITA OU DESPESA],"Despesa",LANÇ_MOV[CONTAS],$C504,LANÇ_MOV[PLANO DE CONTAS],REL_DRE_FINANCEIRO!$B$445,LANÇ_MOV[ANO PAGAMENTO],$B$4,LANÇ_MOV[MÊS PAGAMENTO CORRESPONDENTE],M$6,LANÇ_MOV[EMPRESA],$C$4,LANÇ_MOV[CENTRO DE CUSTOS],$D$4)</f>
        <v>0</v>
      </c>
      <c r="N504" s="206">
        <f>SUMIFS(LANÇ_MOV[VALOR LÍQUIDO],LANÇ_MOV[RECEITA OU DESPESA],"Despesa",LANÇ_MOV[CONTAS],$C504,LANÇ_MOV[PLANO DE CONTAS],REL_DRE_FINANCEIRO!$B$445,LANÇ_MOV[ANO PAGAMENTO],$B$4,LANÇ_MOV[MÊS PAGAMENTO CORRESPONDENTE],N$6,LANÇ_MOV[EMPRESA],$C$4,LANÇ_MOV[CENTRO DE CUSTOS],$D$4)</f>
        <v>0</v>
      </c>
      <c r="O504" s="206">
        <f>SUMIFS(LANÇ_MOV[VALOR LÍQUIDO],LANÇ_MOV[RECEITA OU DESPESA],"Despesa",LANÇ_MOV[CONTAS],$C504,LANÇ_MOV[PLANO DE CONTAS],REL_DRE_FINANCEIRO!$B$445,LANÇ_MOV[ANO PAGAMENTO],$B$4,LANÇ_MOV[MÊS PAGAMENTO CORRESPONDENTE],O$6,LANÇ_MOV[EMPRESA],$C$4,LANÇ_MOV[CENTRO DE CUSTOS],$D$4)</f>
        <v>0</v>
      </c>
      <c r="P504" s="207">
        <f t="shared" si="65"/>
        <v>0</v>
      </c>
      <c r="Q504" s="329">
        <v>4.1999999999999996E-6</v>
      </c>
      <c r="R504" s="346">
        <f t="shared" si="67"/>
        <v>4.1999999999999996E-6</v>
      </c>
      <c r="S504" s="347" t="str">
        <f t="shared" si="68"/>
        <v>PARTICIPAÇÃO DE LUCROS</v>
      </c>
      <c r="T504" s="347">
        <f t="shared" si="69"/>
        <v>0</v>
      </c>
      <c r="U504" s="347">
        <f>HLOOKUP(Apoio!$P$12,$D$444:$P$545,X504,FALSE)+Q504</f>
        <v>4.1999999999999996E-6</v>
      </c>
      <c r="V504" s="447" t="str">
        <f t="shared" si="66"/>
        <v>PARTICIPAÇÃO DE LUCROS</v>
      </c>
      <c r="W504" s="448">
        <f>HLOOKUP(Apoio!$P$12,$D$444:$P$545,X504,FALSE)</f>
        <v>0</v>
      </c>
      <c r="X504" s="329">
        <v>61</v>
      </c>
    </row>
    <row r="505" spans="2:24" ht="30.05" customHeight="1" x14ac:dyDescent="0.35">
      <c r="B505" s="204" t="str">
        <f>'CAD_PL_REC-DESP'!T64</f>
        <v>2.4.60</v>
      </c>
      <c r="C505" s="205" t="str">
        <f>IF('CAD_PL_REC-DESP'!U29="","-",'CAD_PL_REC-DESP'!U29)</f>
        <v>PLANO DE SAÚDE</v>
      </c>
      <c r="D505" s="206">
        <f>SUMIFS(LANÇ_MOV[VALOR LÍQUIDO],LANÇ_MOV[RECEITA OU DESPESA],"Despesa",LANÇ_MOV[CONTAS],$C505,LANÇ_MOV[PLANO DE CONTAS],REL_DRE_FINANCEIRO!$B$445,LANÇ_MOV[ANO PAGAMENTO],$B$4,LANÇ_MOV[MÊS PAGAMENTO CORRESPONDENTE],D$6,LANÇ_MOV[EMPRESA],$C$4,LANÇ_MOV[CENTRO DE CUSTOS],$D$4)</f>
        <v>0</v>
      </c>
      <c r="E505" s="206">
        <f>SUMIFS(LANÇ_MOV[VALOR LÍQUIDO],LANÇ_MOV[RECEITA OU DESPESA],"Despesa",LANÇ_MOV[CONTAS],$C505,LANÇ_MOV[PLANO DE CONTAS],REL_DRE_FINANCEIRO!$B$445,LANÇ_MOV[ANO PAGAMENTO],$B$4,LANÇ_MOV[MÊS PAGAMENTO CORRESPONDENTE],E$6,LANÇ_MOV[EMPRESA],$C$4,LANÇ_MOV[CENTRO DE CUSTOS],$D$4)</f>
        <v>0</v>
      </c>
      <c r="F505" s="206">
        <f>SUMIFS(LANÇ_MOV[VALOR LÍQUIDO],LANÇ_MOV[RECEITA OU DESPESA],"Despesa",LANÇ_MOV[CONTAS],$C505,LANÇ_MOV[PLANO DE CONTAS],REL_DRE_FINANCEIRO!$B$445,LANÇ_MOV[ANO PAGAMENTO],$B$4,LANÇ_MOV[MÊS PAGAMENTO CORRESPONDENTE],F$6,LANÇ_MOV[EMPRESA],$C$4,LANÇ_MOV[CENTRO DE CUSTOS],$D$4)</f>
        <v>0</v>
      </c>
      <c r="G505" s="206">
        <f>SUMIFS(LANÇ_MOV[VALOR LÍQUIDO],LANÇ_MOV[RECEITA OU DESPESA],"Despesa",LANÇ_MOV[CONTAS],$C505,LANÇ_MOV[PLANO DE CONTAS],REL_DRE_FINANCEIRO!$B$445,LANÇ_MOV[ANO PAGAMENTO],$B$4,LANÇ_MOV[MÊS PAGAMENTO CORRESPONDENTE],G$6,LANÇ_MOV[EMPRESA],$C$4,LANÇ_MOV[CENTRO DE CUSTOS],$D$4)</f>
        <v>0</v>
      </c>
      <c r="H505" s="206">
        <f>SUMIFS(LANÇ_MOV[VALOR LÍQUIDO],LANÇ_MOV[RECEITA OU DESPESA],"Despesa",LANÇ_MOV[CONTAS],$C505,LANÇ_MOV[PLANO DE CONTAS],REL_DRE_FINANCEIRO!$B$445,LANÇ_MOV[ANO PAGAMENTO],$B$4,LANÇ_MOV[MÊS PAGAMENTO CORRESPONDENTE],H$6,LANÇ_MOV[EMPRESA],$C$4,LANÇ_MOV[CENTRO DE CUSTOS],$D$4)</f>
        <v>0</v>
      </c>
      <c r="I505" s="206">
        <f>SUMIFS(LANÇ_MOV[VALOR LÍQUIDO],LANÇ_MOV[RECEITA OU DESPESA],"Despesa",LANÇ_MOV[CONTAS],$C505,LANÇ_MOV[PLANO DE CONTAS],REL_DRE_FINANCEIRO!$B$445,LANÇ_MOV[ANO PAGAMENTO],$B$4,LANÇ_MOV[MÊS PAGAMENTO CORRESPONDENTE],I$6,LANÇ_MOV[EMPRESA],$C$4,LANÇ_MOV[CENTRO DE CUSTOS],$D$4)</f>
        <v>0</v>
      </c>
      <c r="J505" s="206">
        <f>SUMIFS(LANÇ_MOV[VALOR LÍQUIDO],LANÇ_MOV[RECEITA OU DESPESA],"Despesa",LANÇ_MOV[CONTAS],$C505,LANÇ_MOV[PLANO DE CONTAS],REL_DRE_FINANCEIRO!$B$445,LANÇ_MOV[ANO PAGAMENTO],$B$4,LANÇ_MOV[MÊS PAGAMENTO CORRESPONDENTE],J$6,LANÇ_MOV[EMPRESA],$C$4,LANÇ_MOV[CENTRO DE CUSTOS],$D$4)</f>
        <v>0</v>
      </c>
      <c r="K505" s="206">
        <f>SUMIFS(LANÇ_MOV[VALOR LÍQUIDO],LANÇ_MOV[RECEITA OU DESPESA],"Despesa",LANÇ_MOV[CONTAS],$C505,LANÇ_MOV[PLANO DE CONTAS],REL_DRE_FINANCEIRO!$B$445,LANÇ_MOV[ANO PAGAMENTO],$B$4,LANÇ_MOV[MÊS PAGAMENTO CORRESPONDENTE],K$6,LANÇ_MOV[EMPRESA],$C$4,LANÇ_MOV[CENTRO DE CUSTOS],$D$4)</f>
        <v>0</v>
      </c>
      <c r="L505" s="206">
        <f>SUMIFS(LANÇ_MOV[VALOR LÍQUIDO],LANÇ_MOV[RECEITA OU DESPESA],"Despesa",LANÇ_MOV[CONTAS],$C505,LANÇ_MOV[PLANO DE CONTAS],REL_DRE_FINANCEIRO!$B$445,LANÇ_MOV[ANO PAGAMENTO],$B$4,LANÇ_MOV[MÊS PAGAMENTO CORRESPONDENTE],L$6,LANÇ_MOV[EMPRESA],$C$4,LANÇ_MOV[CENTRO DE CUSTOS],$D$4)</f>
        <v>0</v>
      </c>
      <c r="M505" s="206">
        <f>SUMIFS(LANÇ_MOV[VALOR LÍQUIDO],LANÇ_MOV[RECEITA OU DESPESA],"Despesa",LANÇ_MOV[CONTAS],$C505,LANÇ_MOV[PLANO DE CONTAS],REL_DRE_FINANCEIRO!$B$445,LANÇ_MOV[ANO PAGAMENTO],$B$4,LANÇ_MOV[MÊS PAGAMENTO CORRESPONDENTE],M$6,LANÇ_MOV[EMPRESA],$C$4,LANÇ_MOV[CENTRO DE CUSTOS],$D$4)</f>
        <v>0</v>
      </c>
      <c r="N505" s="206">
        <f>SUMIFS(LANÇ_MOV[VALOR LÍQUIDO],LANÇ_MOV[RECEITA OU DESPESA],"Despesa",LANÇ_MOV[CONTAS],$C505,LANÇ_MOV[PLANO DE CONTAS],REL_DRE_FINANCEIRO!$B$445,LANÇ_MOV[ANO PAGAMENTO],$B$4,LANÇ_MOV[MÊS PAGAMENTO CORRESPONDENTE],N$6,LANÇ_MOV[EMPRESA],$C$4,LANÇ_MOV[CENTRO DE CUSTOS],$D$4)</f>
        <v>0</v>
      </c>
      <c r="O505" s="206">
        <f>SUMIFS(LANÇ_MOV[VALOR LÍQUIDO],LANÇ_MOV[RECEITA OU DESPESA],"Despesa",LANÇ_MOV[CONTAS],$C505,LANÇ_MOV[PLANO DE CONTAS],REL_DRE_FINANCEIRO!$B$445,LANÇ_MOV[ANO PAGAMENTO],$B$4,LANÇ_MOV[MÊS PAGAMENTO CORRESPONDENTE],O$6,LANÇ_MOV[EMPRESA],$C$4,LANÇ_MOV[CENTRO DE CUSTOS],$D$4)</f>
        <v>0</v>
      </c>
      <c r="P505" s="207">
        <f t="shared" si="65"/>
        <v>0</v>
      </c>
      <c r="Q505" s="329">
        <v>4.0999999999999997E-6</v>
      </c>
      <c r="R505" s="346">
        <f t="shared" si="67"/>
        <v>4.0999999999999997E-6</v>
      </c>
      <c r="S505" s="347" t="str">
        <f t="shared" si="68"/>
        <v>PLANO DE SAÚDE</v>
      </c>
      <c r="T505" s="347">
        <f t="shared" si="69"/>
        <v>0</v>
      </c>
      <c r="U505" s="347">
        <f>HLOOKUP(Apoio!$P$12,$D$444:$P$545,X505,FALSE)+Q505</f>
        <v>4.0999999999999997E-6</v>
      </c>
      <c r="V505" s="447" t="str">
        <f t="shared" si="66"/>
        <v>PLANO DE SAÚDE</v>
      </c>
      <c r="W505" s="448">
        <f>HLOOKUP(Apoio!$P$12,$D$444:$P$545,X505,FALSE)</f>
        <v>0</v>
      </c>
      <c r="X505" s="329">
        <v>62</v>
      </c>
    </row>
    <row r="506" spans="2:24" ht="30.05" customHeight="1" x14ac:dyDescent="0.35">
      <c r="B506" s="204" t="str">
        <f>'CAD_PL_REC-DESP'!T65</f>
        <v>2.4.61</v>
      </c>
      <c r="C506" s="205" t="str">
        <f>IF('CAD_PL_REC-DESP'!U30="","-",'CAD_PL_REC-DESP'!U30)</f>
        <v>PONTO ELETRÔNICO</v>
      </c>
      <c r="D506" s="206">
        <f>SUMIFS(LANÇ_MOV[VALOR LÍQUIDO],LANÇ_MOV[RECEITA OU DESPESA],"Despesa",LANÇ_MOV[CONTAS],$C506,LANÇ_MOV[PLANO DE CONTAS],REL_DRE_FINANCEIRO!$B$445,LANÇ_MOV[ANO PAGAMENTO],$B$4,LANÇ_MOV[MÊS PAGAMENTO CORRESPONDENTE],D$6,LANÇ_MOV[EMPRESA],$C$4,LANÇ_MOV[CENTRO DE CUSTOS],$D$4)</f>
        <v>0</v>
      </c>
      <c r="E506" s="206">
        <f>SUMIFS(LANÇ_MOV[VALOR LÍQUIDO],LANÇ_MOV[RECEITA OU DESPESA],"Despesa",LANÇ_MOV[CONTAS],$C506,LANÇ_MOV[PLANO DE CONTAS],REL_DRE_FINANCEIRO!$B$445,LANÇ_MOV[ANO PAGAMENTO],$B$4,LANÇ_MOV[MÊS PAGAMENTO CORRESPONDENTE],E$6,LANÇ_MOV[EMPRESA],$C$4,LANÇ_MOV[CENTRO DE CUSTOS],$D$4)</f>
        <v>0</v>
      </c>
      <c r="F506" s="206">
        <f>SUMIFS(LANÇ_MOV[VALOR LÍQUIDO],LANÇ_MOV[RECEITA OU DESPESA],"Despesa",LANÇ_MOV[CONTAS],$C506,LANÇ_MOV[PLANO DE CONTAS],REL_DRE_FINANCEIRO!$B$445,LANÇ_MOV[ANO PAGAMENTO],$B$4,LANÇ_MOV[MÊS PAGAMENTO CORRESPONDENTE],F$6,LANÇ_MOV[EMPRESA],$C$4,LANÇ_MOV[CENTRO DE CUSTOS],$D$4)</f>
        <v>0</v>
      </c>
      <c r="G506" s="206">
        <f>SUMIFS(LANÇ_MOV[VALOR LÍQUIDO],LANÇ_MOV[RECEITA OU DESPESA],"Despesa",LANÇ_MOV[CONTAS],$C506,LANÇ_MOV[PLANO DE CONTAS],REL_DRE_FINANCEIRO!$B$445,LANÇ_MOV[ANO PAGAMENTO],$B$4,LANÇ_MOV[MÊS PAGAMENTO CORRESPONDENTE],G$6,LANÇ_MOV[EMPRESA],$C$4,LANÇ_MOV[CENTRO DE CUSTOS],$D$4)</f>
        <v>0</v>
      </c>
      <c r="H506" s="206">
        <f>SUMIFS(LANÇ_MOV[VALOR LÍQUIDO],LANÇ_MOV[RECEITA OU DESPESA],"Despesa",LANÇ_MOV[CONTAS],$C506,LANÇ_MOV[PLANO DE CONTAS],REL_DRE_FINANCEIRO!$B$445,LANÇ_MOV[ANO PAGAMENTO],$B$4,LANÇ_MOV[MÊS PAGAMENTO CORRESPONDENTE],H$6,LANÇ_MOV[EMPRESA],$C$4,LANÇ_MOV[CENTRO DE CUSTOS],$D$4)</f>
        <v>0</v>
      </c>
      <c r="I506" s="206">
        <f>SUMIFS(LANÇ_MOV[VALOR LÍQUIDO],LANÇ_MOV[RECEITA OU DESPESA],"Despesa",LANÇ_MOV[CONTAS],$C506,LANÇ_MOV[PLANO DE CONTAS],REL_DRE_FINANCEIRO!$B$445,LANÇ_MOV[ANO PAGAMENTO],$B$4,LANÇ_MOV[MÊS PAGAMENTO CORRESPONDENTE],I$6,LANÇ_MOV[EMPRESA],$C$4,LANÇ_MOV[CENTRO DE CUSTOS],$D$4)</f>
        <v>0</v>
      </c>
      <c r="J506" s="206">
        <f>SUMIFS(LANÇ_MOV[VALOR LÍQUIDO],LANÇ_MOV[RECEITA OU DESPESA],"Despesa",LANÇ_MOV[CONTAS],$C506,LANÇ_MOV[PLANO DE CONTAS],REL_DRE_FINANCEIRO!$B$445,LANÇ_MOV[ANO PAGAMENTO],$B$4,LANÇ_MOV[MÊS PAGAMENTO CORRESPONDENTE],J$6,LANÇ_MOV[EMPRESA],$C$4,LANÇ_MOV[CENTRO DE CUSTOS],$D$4)</f>
        <v>0</v>
      </c>
      <c r="K506" s="206">
        <f>SUMIFS(LANÇ_MOV[VALOR LÍQUIDO],LANÇ_MOV[RECEITA OU DESPESA],"Despesa",LANÇ_MOV[CONTAS],$C506,LANÇ_MOV[PLANO DE CONTAS],REL_DRE_FINANCEIRO!$B$445,LANÇ_MOV[ANO PAGAMENTO],$B$4,LANÇ_MOV[MÊS PAGAMENTO CORRESPONDENTE],K$6,LANÇ_MOV[EMPRESA],$C$4,LANÇ_MOV[CENTRO DE CUSTOS],$D$4)</f>
        <v>0</v>
      </c>
      <c r="L506" s="206">
        <f>SUMIFS(LANÇ_MOV[VALOR LÍQUIDO],LANÇ_MOV[RECEITA OU DESPESA],"Despesa",LANÇ_MOV[CONTAS],$C506,LANÇ_MOV[PLANO DE CONTAS],REL_DRE_FINANCEIRO!$B$445,LANÇ_MOV[ANO PAGAMENTO],$B$4,LANÇ_MOV[MÊS PAGAMENTO CORRESPONDENTE],L$6,LANÇ_MOV[EMPRESA],$C$4,LANÇ_MOV[CENTRO DE CUSTOS],$D$4)</f>
        <v>0</v>
      </c>
      <c r="M506" s="206">
        <f>SUMIFS(LANÇ_MOV[VALOR LÍQUIDO],LANÇ_MOV[RECEITA OU DESPESA],"Despesa",LANÇ_MOV[CONTAS],$C506,LANÇ_MOV[PLANO DE CONTAS],REL_DRE_FINANCEIRO!$B$445,LANÇ_MOV[ANO PAGAMENTO],$B$4,LANÇ_MOV[MÊS PAGAMENTO CORRESPONDENTE],M$6,LANÇ_MOV[EMPRESA],$C$4,LANÇ_MOV[CENTRO DE CUSTOS],$D$4)</f>
        <v>0</v>
      </c>
      <c r="N506" s="206">
        <f>SUMIFS(LANÇ_MOV[VALOR LÍQUIDO],LANÇ_MOV[RECEITA OU DESPESA],"Despesa",LANÇ_MOV[CONTAS],$C506,LANÇ_MOV[PLANO DE CONTAS],REL_DRE_FINANCEIRO!$B$445,LANÇ_MOV[ANO PAGAMENTO],$B$4,LANÇ_MOV[MÊS PAGAMENTO CORRESPONDENTE],N$6,LANÇ_MOV[EMPRESA],$C$4,LANÇ_MOV[CENTRO DE CUSTOS],$D$4)</f>
        <v>0</v>
      </c>
      <c r="O506" s="206">
        <f>SUMIFS(LANÇ_MOV[VALOR LÍQUIDO],LANÇ_MOV[RECEITA OU DESPESA],"Despesa",LANÇ_MOV[CONTAS],$C506,LANÇ_MOV[PLANO DE CONTAS],REL_DRE_FINANCEIRO!$B$445,LANÇ_MOV[ANO PAGAMENTO],$B$4,LANÇ_MOV[MÊS PAGAMENTO CORRESPONDENTE],O$6,LANÇ_MOV[EMPRESA],$C$4,LANÇ_MOV[CENTRO DE CUSTOS],$D$4)</f>
        <v>0</v>
      </c>
      <c r="P506" s="207">
        <f t="shared" si="65"/>
        <v>0</v>
      </c>
      <c r="Q506" s="329">
        <v>3.9999999999999998E-6</v>
      </c>
      <c r="R506" s="346">
        <f t="shared" si="67"/>
        <v>3.9999999999999998E-6</v>
      </c>
      <c r="S506" s="347" t="str">
        <f t="shared" si="68"/>
        <v>PONTO ELETRÔNICO</v>
      </c>
      <c r="T506" s="347">
        <f t="shared" si="69"/>
        <v>0</v>
      </c>
      <c r="U506" s="347">
        <f>HLOOKUP(Apoio!$P$12,$D$444:$P$545,X506,FALSE)+Q506</f>
        <v>3.9999999999999998E-6</v>
      </c>
      <c r="V506" s="447" t="str">
        <f t="shared" si="66"/>
        <v>PONTO ELETRÔNICO</v>
      </c>
      <c r="W506" s="448">
        <f>HLOOKUP(Apoio!$P$12,$D$444:$P$545,X506,FALSE)</f>
        <v>0</v>
      </c>
      <c r="X506" s="329">
        <v>63</v>
      </c>
    </row>
    <row r="507" spans="2:24" ht="30.05" customHeight="1" x14ac:dyDescent="0.35">
      <c r="B507" s="204" t="str">
        <f>'CAD_PL_REC-DESP'!T66</f>
        <v>2.4.62</v>
      </c>
      <c r="C507" s="205" t="str">
        <f>IF('CAD_PL_REC-DESP'!U31="","-",'CAD_PL_REC-DESP'!U31)</f>
        <v>PRO-LABORE</v>
      </c>
      <c r="D507" s="206">
        <f>SUMIFS(LANÇ_MOV[VALOR LÍQUIDO],LANÇ_MOV[RECEITA OU DESPESA],"Despesa",LANÇ_MOV[CONTAS],$C507,LANÇ_MOV[PLANO DE CONTAS],REL_DRE_FINANCEIRO!$B$445,LANÇ_MOV[ANO PAGAMENTO],$B$4,LANÇ_MOV[MÊS PAGAMENTO CORRESPONDENTE],D$6,LANÇ_MOV[EMPRESA],$C$4,LANÇ_MOV[CENTRO DE CUSTOS],$D$4)</f>
        <v>0</v>
      </c>
      <c r="E507" s="206">
        <f>SUMIFS(LANÇ_MOV[VALOR LÍQUIDO],LANÇ_MOV[RECEITA OU DESPESA],"Despesa",LANÇ_MOV[CONTAS],$C507,LANÇ_MOV[PLANO DE CONTAS],REL_DRE_FINANCEIRO!$B$445,LANÇ_MOV[ANO PAGAMENTO],$B$4,LANÇ_MOV[MÊS PAGAMENTO CORRESPONDENTE],E$6,LANÇ_MOV[EMPRESA],$C$4,LANÇ_MOV[CENTRO DE CUSTOS],$D$4)</f>
        <v>0</v>
      </c>
      <c r="F507" s="206">
        <f>SUMIFS(LANÇ_MOV[VALOR LÍQUIDO],LANÇ_MOV[RECEITA OU DESPESA],"Despesa",LANÇ_MOV[CONTAS],$C507,LANÇ_MOV[PLANO DE CONTAS],REL_DRE_FINANCEIRO!$B$445,LANÇ_MOV[ANO PAGAMENTO],$B$4,LANÇ_MOV[MÊS PAGAMENTO CORRESPONDENTE],F$6,LANÇ_MOV[EMPRESA],$C$4,LANÇ_MOV[CENTRO DE CUSTOS],$D$4)</f>
        <v>0</v>
      </c>
      <c r="G507" s="206">
        <f>SUMIFS(LANÇ_MOV[VALOR LÍQUIDO],LANÇ_MOV[RECEITA OU DESPESA],"Despesa",LANÇ_MOV[CONTAS],$C507,LANÇ_MOV[PLANO DE CONTAS],REL_DRE_FINANCEIRO!$B$445,LANÇ_MOV[ANO PAGAMENTO],$B$4,LANÇ_MOV[MÊS PAGAMENTO CORRESPONDENTE],G$6,LANÇ_MOV[EMPRESA],$C$4,LANÇ_MOV[CENTRO DE CUSTOS],$D$4)</f>
        <v>0</v>
      </c>
      <c r="H507" s="206">
        <f>SUMIFS(LANÇ_MOV[VALOR LÍQUIDO],LANÇ_MOV[RECEITA OU DESPESA],"Despesa",LANÇ_MOV[CONTAS],$C507,LANÇ_MOV[PLANO DE CONTAS],REL_DRE_FINANCEIRO!$B$445,LANÇ_MOV[ANO PAGAMENTO],$B$4,LANÇ_MOV[MÊS PAGAMENTO CORRESPONDENTE],H$6,LANÇ_MOV[EMPRESA],$C$4,LANÇ_MOV[CENTRO DE CUSTOS],$D$4)</f>
        <v>0</v>
      </c>
      <c r="I507" s="206">
        <f>SUMIFS(LANÇ_MOV[VALOR LÍQUIDO],LANÇ_MOV[RECEITA OU DESPESA],"Despesa",LANÇ_MOV[CONTAS],$C507,LANÇ_MOV[PLANO DE CONTAS],REL_DRE_FINANCEIRO!$B$445,LANÇ_MOV[ANO PAGAMENTO],$B$4,LANÇ_MOV[MÊS PAGAMENTO CORRESPONDENTE],I$6,LANÇ_MOV[EMPRESA],$C$4,LANÇ_MOV[CENTRO DE CUSTOS],$D$4)</f>
        <v>0</v>
      </c>
      <c r="J507" s="206">
        <f>SUMIFS(LANÇ_MOV[VALOR LÍQUIDO],LANÇ_MOV[RECEITA OU DESPESA],"Despesa",LANÇ_MOV[CONTAS],$C507,LANÇ_MOV[PLANO DE CONTAS],REL_DRE_FINANCEIRO!$B$445,LANÇ_MOV[ANO PAGAMENTO],$B$4,LANÇ_MOV[MÊS PAGAMENTO CORRESPONDENTE],J$6,LANÇ_MOV[EMPRESA],$C$4,LANÇ_MOV[CENTRO DE CUSTOS],$D$4)</f>
        <v>0</v>
      </c>
      <c r="K507" s="206">
        <f>SUMIFS(LANÇ_MOV[VALOR LÍQUIDO],LANÇ_MOV[RECEITA OU DESPESA],"Despesa",LANÇ_MOV[CONTAS],$C507,LANÇ_MOV[PLANO DE CONTAS],REL_DRE_FINANCEIRO!$B$445,LANÇ_MOV[ANO PAGAMENTO],$B$4,LANÇ_MOV[MÊS PAGAMENTO CORRESPONDENTE],K$6,LANÇ_MOV[EMPRESA],$C$4,LANÇ_MOV[CENTRO DE CUSTOS],$D$4)</f>
        <v>0</v>
      </c>
      <c r="L507" s="206">
        <f>SUMIFS(LANÇ_MOV[VALOR LÍQUIDO],LANÇ_MOV[RECEITA OU DESPESA],"Despesa",LANÇ_MOV[CONTAS],$C507,LANÇ_MOV[PLANO DE CONTAS],REL_DRE_FINANCEIRO!$B$445,LANÇ_MOV[ANO PAGAMENTO],$B$4,LANÇ_MOV[MÊS PAGAMENTO CORRESPONDENTE],L$6,LANÇ_MOV[EMPRESA],$C$4,LANÇ_MOV[CENTRO DE CUSTOS],$D$4)</f>
        <v>0</v>
      </c>
      <c r="M507" s="206">
        <f>SUMIFS(LANÇ_MOV[VALOR LÍQUIDO],LANÇ_MOV[RECEITA OU DESPESA],"Despesa",LANÇ_MOV[CONTAS],$C507,LANÇ_MOV[PLANO DE CONTAS],REL_DRE_FINANCEIRO!$B$445,LANÇ_MOV[ANO PAGAMENTO],$B$4,LANÇ_MOV[MÊS PAGAMENTO CORRESPONDENTE],M$6,LANÇ_MOV[EMPRESA],$C$4,LANÇ_MOV[CENTRO DE CUSTOS],$D$4)</f>
        <v>0</v>
      </c>
      <c r="N507" s="206">
        <f>SUMIFS(LANÇ_MOV[VALOR LÍQUIDO],LANÇ_MOV[RECEITA OU DESPESA],"Despesa",LANÇ_MOV[CONTAS],$C507,LANÇ_MOV[PLANO DE CONTAS],REL_DRE_FINANCEIRO!$B$445,LANÇ_MOV[ANO PAGAMENTO],$B$4,LANÇ_MOV[MÊS PAGAMENTO CORRESPONDENTE],N$6,LANÇ_MOV[EMPRESA],$C$4,LANÇ_MOV[CENTRO DE CUSTOS],$D$4)</f>
        <v>0</v>
      </c>
      <c r="O507" s="206">
        <f>SUMIFS(LANÇ_MOV[VALOR LÍQUIDO],LANÇ_MOV[RECEITA OU DESPESA],"Despesa",LANÇ_MOV[CONTAS],$C507,LANÇ_MOV[PLANO DE CONTAS],REL_DRE_FINANCEIRO!$B$445,LANÇ_MOV[ANO PAGAMENTO],$B$4,LANÇ_MOV[MÊS PAGAMENTO CORRESPONDENTE],O$6,LANÇ_MOV[EMPRESA],$C$4,LANÇ_MOV[CENTRO DE CUSTOS],$D$4)</f>
        <v>0</v>
      </c>
      <c r="P507" s="207">
        <f t="shared" si="65"/>
        <v>0</v>
      </c>
      <c r="Q507" s="329">
        <v>3.8999999999999999E-6</v>
      </c>
      <c r="R507" s="346">
        <f t="shared" si="67"/>
        <v>3.8999999999999999E-6</v>
      </c>
      <c r="S507" s="347" t="str">
        <f t="shared" si="68"/>
        <v>PRO-LABORE</v>
      </c>
      <c r="T507" s="347">
        <f t="shared" si="69"/>
        <v>0</v>
      </c>
      <c r="U507" s="347">
        <f>HLOOKUP(Apoio!$P$12,$D$444:$P$545,X507,FALSE)+Q507</f>
        <v>3.8999999999999999E-6</v>
      </c>
      <c r="V507" s="447" t="str">
        <f t="shared" si="66"/>
        <v>PRO-LABORE</v>
      </c>
      <c r="W507" s="448">
        <f>HLOOKUP(Apoio!$P$12,$D$444:$P$545,X507,FALSE)</f>
        <v>0</v>
      </c>
      <c r="X507" s="329">
        <v>64</v>
      </c>
    </row>
    <row r="508" spans="2:24" ht="30.05" customHeight="1" x14ac:dyDescent="0.35">
      <c r="B508" s="204" t="str">
        <f>'CAD_PL_REC-DESP'!T67</f>
        <v>2.4.63</v>
      </c>
      <c r="C508" s="205" t="str">
        <f>IF('CAD_PL_REC-DESP'!U67="","-",'CAD_PL_REC-DESP'!U67)</f>
        <v>-</v>
      </c>
      <c r="D508" s="206">
        <f>SUMIFS(LANÇ_MOV[VALOR LÍQUIDO],LANÇ_MOV[RECEITA OU DESPESA],"Despesa",LANÇ_MOV[CONTAS],$C508,LANÇ_MOV[PLANO DE CONTAS],REL_DRE_FINANCEIRO!$B$445,LANÇ_MOV[ANO PAGAMENTO],$B$4,LANÇ_MOV[MÊS PAGAMENTO CORRESPONDENTE],D$6,LANÇ_MOV[EMPRESA],$C$4,LANÇ_MOV[CENTRO DE CUSTOS],$D$4)</f>
        <v>0</v>
      </c>
      <c r="E508" s="206">
        <f>SUMIFS(LANÇ_MOV[VALOR LÍQUIDO],LANÇ_MOV[RECEITA OU DESPESA],"Despesa",LANÇ_MOV[CONTAS],$C508,LANÇ_MOV[PLANO DE CONTAS],REL_DRE_FINANCEIRO!$B$445,LANÇ_MOV[ANO PAGAMENTO],$B$4,LANÇ_MOV[MÊS PAGAMENTO CORRESPONDENTE],E$6,LANÇ_MOV[EMPRESA],$C$4,LANÇ_MOV[CENTRO DE CUSTOS],$D$4)</f>
        <v>0</v>
      </c>
      <c r="F508" s="206">
        <f>SUMIFS(LANÇ_MOV[VALOR LÍQUIDO],LANÇ_MOV[RECEITA OU DESPESA],"Despesa",LANÇ_MOV[CONTAS],$C508,LANÇ_MOV[PLANO DE CONTAS],REL_DRE_FINANCEIRO!$B$445,LANÇ_MOV[ANO PAGAMENTO],$B$4,LANÇ_MOV[MÊS PAGAMENTO CORRESPONDENTE],F$6,LANÇ_MOV[EMPRESA],$C$4,LANÇ_MOV[CENTRO DE CUSTOS],$D$4)</f>
        <v>0</v>
      </c>
      <c r="G508" s="206">
        <f>SUMIFS(LANÇ_MOV[VALOR LÍQUIDO],LANÇ_MOV[RECEITA OU DESPESA],"Despesa",LANÇ_MOV[CONTAS],$C508,LANÇ_MOV[PLANO DE CONTAS],REL_DRE_FINANCEIRO!$B$445,LANÇ_MOV[ANO PAGAMENTO],$B$4,LANÇ_MOV[MÊS PAGAMENTO CORRESPONDENTE],G$6,LANÇ_MOV[EMPRESA],$C$4,LANÇ_MOV[CENTRO DE CUSTOS],$D$4)</f>
        <v>0</v>
      </c>
      <c r="H508" s="206">
        <f>SUMIFS(LANÇ_MOV[VALOR LÍQUIDO],LANÇ_MOV[RECEITA OU DESPESA],"Despesa",LANÇ_MOV[CONTAS],$C508,LANÇ_MOV[PLANO DE CONTAS],REL_DRE_FINANCEIRO!$B$445,LANÇ_MOV[ANO PAGAMENTO],$B$4,LANÇ_MOV[MÊS PAGAMENTO CORRESPONDENTE],H$6,LANÇ_MOV[EMPRESA],$C$4,LANÇ_MOV[CENTRO DE CUSTOS],$D$4)</f>
        <v>0</v>
      </c>
      <c r="I508" s="206">
        <f>SUMIFS(LANÇ_MOV[VALOR LÍQUIDO],LANÇ_MOV[RECEITA OU DESPESA],"Despesa",LANÇ_MOV[CONTAS],$C508,LANÇ_MOV[PLANO DE CONTAS],REL_DRE_FINANCEIRO!$B$445,LANÇ_MOV[ANO PAGAMENTO],$B$4,LANÇ_MOV[MÊS PAGAMENTO CORRESPONDENTE],I$6,LANÇ_MOV[EMPRESA],$C$4,LANÇ_MOV[CENTRO DE CUSTOS],$D$4)</f>
        <v>0</v>
      </c>
      <c r="J508" s="206">
        <f>SUMIFS(LANÇ_MOV[VALOR LÍQUIDO],LANÇ_MOV[RECEITA OU DESPESA],"Despesa",LANÇ_MOV[CONTAS],$C508,LANÇ_MOV[PLANO DE CONTAS],REL_DRE_FINANCEIRO!$B$445,LANÇ_MOV[ANO PAGAMENTO],$B$4,LANÇ_MOV[MÊS PAGAMENTO CORRESPONDENTE],J$6,LANÇ_MOV[EMPRESA],$C$4,LANÇ_MOV[CENTRO DE CUSTOS],$D$4)</f>
        <v>0</v>
      </c>
      <c r="K508" s="206">
        <f>SUMIFS(LANÇ_MOV[VALOR LÍQUIDO],LANÇ_MOV[RECEITA OU DESPESA],"Despesa",LANÇ_MOV[CONTAS],$C508,LANÇ_MOV[PLANO DE CONTAS],REL_DRE_FINANCEIRO!$B$445,LANÇ_MOV[ANO PAGAMENTO],$B$4,LANÇ_MOV[MÊS PAGAMENTO CORRESPONDENTE],K$6,LANÇ_MOV[EMPRESA],$C$4,LANÇ_MOV[CENTRO DE CUSTOS],$D$4)</f>
        <v>0</v>
      </c>
      <c r="L508" s="206">
        <f>SUMIFS(LANÇ_MOV[VALOR LÍQUIDO],LANÇ_MOV[RECEITA OU DESPESA],"Despesa",LANÇ_MOV[CONTAS],$C508,LANÇ_MOV[PLANO DE CONTAS],REL_DRE_FINANCEIRO!$B$445,LANÇ_MOV[ANO PAGAMENTO],$B$4,LANÇ_MOV[MÊS PAGAMENTO CORRESPONDENTE],L$6,LANÇ_MOV[EMPRESA],$C$4,LANÇ_MOV[CENTRO DE CUSTOS],$D$4)</f>
        <v>0</v>
      </c>
      <c r="M508" s="206">
        <f>SUMIFS(LANÇ_MOV[VALOR LÍQUIDO],LANÇ_MOV[RECEITA OU DESPESA],"Despesa",LANÇ_MOV[CONTAS],$C508,LANÇ_MOV[PLANO DE CONTAS],REL_DRE_FINANCEIRO!$B$445,LANÇ_MOV[ANO PAGAMENTO],$B$4,LANÇ_MOV[MÊS PAGAMENTO CORRESPONDENTE],M$6,LANÇ_MOV[EMPRESA],$C$4,LANÇ_MOV[CENTRO DE CUSTOS],$D$4)</f>
        <v>0</v>
      </c>
      <c r="N508" s="206">
        <f>SUMIFS(LANÇ_MOV[VALOR LÍQUIDO],LANÇ_MOV[RECEITA OU DESPESA],"Despesa",LANÇ_MOV[CONTAS],$C508,LANÇ_MOV[PLANO DE CONTAS],REL_DRE_FINANCEIRO!$B$445,LANÇ_MOV[ANO PAGAMENTO],$B$4,LANÇ_MOV[MÊS PAGAMENTO CORRESPONDENTE],N$6,LANÇ_MOV[EMPRESA],$C$4,LANÇ_MOV[CENTRO DE CUSTOS],$D$4)</f>
        <v>0</v>
      </c>
      <c r="O508" s="206">
        <f>SUMIFS(LANÇ_MOV[VALOR LÍQUIDO],LANÇ_MOV[RECEITA OU DESPESA],"Despesa",LANÇ_MOV[CONTAS],$C508,LANÇ_MOV[PLANO DE CONTAS],REL_DRE_FINANCEIRO!$B$445,LANÇ_MOV[ANO PAGAMENTO],$B$4,LANÇ_MOV[MÊS PAGAMENTO CORRESPONDENTE],O$6,LANÇ_MOV[EMPRESA],$C$4,LANÇ_MOV[CENTRO DE CUSTOS],$D$4)</f>
        <v>0</v>
      </c>
      <c r="P508" s="207">
        <f t="shared" si="65"/>
        <v>0</v>
      </c>
      <c r="Q508" s="329">
        <v>3.8E-6</v>
      </c>
      <c r="R508" s="346">
        <f t="shared" si="67"/>
        <v>3.8E-6</v>
      </c>
      <c r="S508" s="347" t="str">
        <f t="shared" si="68"/>
        <v>-</v>
      </c>
      <c r="T508" s="347">
        <f t="shared" si="69"/>
        <v>0</v>
      </c>
      <c r="U508" s="347">
        <f>HLOOKUP(Apoio!$P$12,$D$444:$P$545,X508,FALSE)+Q508</f>
        <v>3.8E-6</v>
      </c>
      <c r="V508" s="447" t="str">
        <f t="shared" si="66"/>
        <v>-</v>
      </c>
      <c r="W508" s="448">
        <f>HLOOKUP(Apoio!$P$12,$D$444:$P$545,X508,FALSE)</f>
        <v>0</v>
      </c>
      <c r="X508" s="329">
        <v>65</v>
      </c>
    </row>
    <row r="509" spans="2:24" ht="30.05" customHeight="1" x14ac:dyDescent="0.35">
      <c r="B509" s="204" t="str">
        <f>'CAD_PL_REC-DESP'!T68</f>
        <v>2.4.64</v>
      </c>
      <c r="C509" s="205" t="str">
        <f>IF('CAD_PL_REC-DESP'!U68="","-",'CAD_PL_REC-DESP'!U68)</f>
        <v>-</v>
      </c>
      <c r="D509" s="206">
        <f>SUMIFS(LANÇ_MOV[VALOR LÍQUIDO],LANÇ_MOV[RECEITA OU DESPESA],"Despesa",LANÇ_MOV[CONTAS],$C509,LANÇ_MOV[PLANO DE CONTAS],REL_DRE_FINANCEIRO!$B$445,LANÇ_MOV[ANO PAGAMENTO],$B$4,LANÇ_MOV[MÊS PAGAMENTO CORRESPONDENTE],D$6,LANÇ_MOV[EMPRESA],$C$4,LANÇ_MOV[CENTRO DE CUSTOS],$D$4)</f>
        <v>0</v>
      </c>
      <c r="E509" s="206">
        <f>SUMIFS(LANÇ_MOV[VALOR LÍQUIDO],LANÇ_MOV[RECEITA OU DESPESA],"Despesa",LANÇ_MOV[CONTAS],$C509,LANÇ_MOV[PLANO DE CONTAS],REL_DRE_FINANCEIRO!$B$445,LANÇ_MOV[ANO PAGAMENTO],$B$4,LANÇ_MOV[MÊS PAGAMENTO CORRESPONDENTE],E$6,LANÇ_MOV[EMPRESA],$C$4,LANÇ_MOV[CENTRO DE CUSTOS],$D$4)</f>
        <v>0</v>
      </c>
      <c r="F509" s="206">
        <f>SUMIFS(LANÇ_MOV[VALOR LÍQUIDO],LANÇ_MOV[RECEITA OU DESPESA],"Despesa",LANÇ_MOV[CONTAS],$C509,LANÇ_MOV[PLANO DE CONTAS],REL_DRE_FINANCEIRO!$B$445,LANÇ_MOV[ANO PAGAMENTO],$B$4,LANÇ_MOV[MÊS PAGAMENTO CORRESPONDENTE],F$6,LANÇ_MOV[EMPRESA],$C$4,LANÇ_MOV[CENTRO DE CUSTOS],$D$4)</f>
        <v>0</v>
      </c>
      <c r="G509" s="206">
        <f>SUMIFS(LANÇ_MOV[VALOR LÍQUIDO],LANÇ_MOV[RECEITA OU DESPESA],"Despesa",LANÇ_MOV[CONTAS],$C509,LANÇ_MOV[PLANO DE CONTAS],REL_DRE_FINANCEIRO!$B$445,LANÇ_MOV[ANO PAGAMENTO],$B$4,LANÇ_MOV[MÊS PAGAMENTO CORRESPONDENTE],G$6,LANÇ_MOV[EMPRESA],$C$4,LANÇ_MOV[CENTRO DE CUSTOS],$D$4)</f>
        <v>0</v>
      </c>
      <c r="H509" s="206">
        <f>SUMIFS(LANÇ_MOV[VALOR LÍQUIDO],LANÇ_MOV[RECEITA OU DESPESA],"Despesa",LANÇ_MOV[CONTAS],$C509,LANÇ_MOV[PLANO DE CONTAS],REL_DRE_FINANCEIRO!$B$445,LANÇ_MOV[ANO PAGAMENTO],$B$4,LANÇ_MOV[MÊS PAGAMENTO CORRESPONDENTE],H$6,LANÇ_MOV[EMPRESA],$C$4,LANÇ_MOV[CENTRO DE CUSTOS],$D$4)</f>
        <v>0</v>
      </c>
      <c r="I509" s="206">
        <f>SUMIFS(LANÇ_MOV[VALOR LÍQUIDO],LANÇ_MOV[RECEITA OU DESPESA],"Despesa",LANÇ_MOV[CONTAS],$C509,LANÇ_MOV[PLANO DE CONTAS],REL_DRE_FINANCEIRO!$B$445,LANÇ_MOV[ANO PAGAMENTO],$B$4,LANÇ_MOV[MÊS PAGAMENTO CORRESPONDENTE],I$6,LANÇ_MOV[EMPRESA],$C$4,LANÇ_MOV[CENTRO DE CUSTOS],$D$4)</f>
        <v>0</v>
      </c>
      <c r="J509" s="206">
        <f>SUMIFS(LANÇ_MOV[VALOR LÍQUIDO],LANÇ_MOV[RECEITA OU DESPESA],"Despesa",LANÇ_MOV[CONTAS],$C509,LANÇ_MOV[PLANO DE CONTAS],REL_DRE_FINANCEIRO!$B$445,LANÇ_MOV[ANO PAGAMENTO],$B$4,LANÇ_MOV[MÊS PAGAMENTO CORRESPONDENTE],J$6,LANÇ_MOV[EMPRESA],$C$4,LANÇ_MOV[CENTRO DE CUSTOS],$D$4)</f>
        <v>0</v>
      </c>
      <c r="K509" s="206">
        <f>SUMIFS(LANÇ_MOV[VALOR LÍQUIDO],LANÇ_MOV[RECEITA OU DESPESA],"Despesa",LANÇ_MOV[CONTAS],$C509,LANÇ_MOV[PLANO DE CONTAS],REL_DRE_FINANCEIRO!$B$445,LANÇ_MOV[ANO PAGAMENTO],$B$4,LANÇ_MOV[MÊS PAGAMENTO CORRESPONDENTE],K$6,LANÇ_MOV[EMPRESA],$C$4,LANÇ_MOV[CENTRO DE CUSTOS],$D$4)</f>
        <v>0</v>
      </c>
      <c r="L509" s="206">
        <f>SUMIFS(LANÇ_MOV[VALOR LÍQUIDO],LANÇ_MOV[RECEITA OU DESPESA],"Despesa",LANÇ_MOV[CONTAS],$C509,LANÇ_MOV[PLANO DE CONTAS],REL_DRE_FINANCEIRO!$B$445,LANÇ_MOV[ANO PAGAMENTO],$B$4,LANÇ_MOV[MÊS PAGAMENTO CORRESPONDENTE],L$6,LANÇ_MOV[EMPRESA],$C$4,LANÇ_MOV[CENTRO DE CUSTOS],$D$4)</f>
        <v>0</v>
      </c>
      <c r="M509" s="206">
        <f>SUMIFS(LANÇ_MOV[VALOR LÍQUIDO],LANÇ_MOV[RECEITA OU DESPESA],"Despesa",LANÇ_MOV[CONTAS],$C509,LANÇ_MOV[PLANO DE CONTAS],REL_DRE_FINANCEIRO!$B$445,LANÇ_MOV[ANO PAGAMENTO],$B$4,LANÇ_MOV[MÊS PAGAMENTO CORRESPONDENTE],M$6,LANÇ_MOV[EMPRESA],$C$4,LANÇ_MOV[CENTRO DE CUSTOS],$D$4)</f>
        <v>0</v>
      </c>
      <c r="N509" s="206">
        <f>SUMIFS(LANÇ_MOV[VALOR LÍQUIDO],LANÇ_MOV[RECEITA OU DESPESA],"Despesa",LANÇ_MOV[CONTAS],$C509,LANÇ_MOV[PLANO DE CONTAS],REL_DRE_FINANCEIRO!$B$445,LANÇ_MOV[ANO PAGAMENTO],$B$4,LANÇ_MOV[MÊS PAGAMENTO CORRESPONDENTE],N$6,LANÇ_MOV[EMPRESA],$C$4,LANÇ_MOV[CENTRO DE CUSTOS],$D$4)</f>
        <v>0</v>
      </c>
      <c r="O509" s="206">
        <f>SUMIFS(LANÇ_MOV[VALOR LÍQUIDO],LANÇ_MOV[RECEITA OU DESPESA],"Despesa",LANÇ_MOV[CONTAS],$C509,LANÇ_MOV[PLANO DE CONTAS],REL_DRE_FINANCEIRO!$B$445,LANÇ_MOV[ANO PAGAMENTO],$B$4,LANÇ_MOV[MÊS PAGAMENTO CORRESPONDENTE],O$6,LANÇ_MOV[EMPRESA],$C$4,LANÇ_MOV[CENTRO DE CUSTOS],$D$4)</f>
        <v>0</v>
      </c>
      <c r="P509" s="207">
        <f t="shared" si="65"/>
        <v>0</v>
      </c>
      <c r="Q509" s="329">
        <v>3.7000000000000002E-6</v>
      </c>
      <c r="R509" s="346">
        <f t="shared" si="67"/>
        <v>3.7000000000000002E-6</v>
      </c>
      <c r="S509" s="347" t="str">
        <f t="shared" si="68"/>
        <v>-</v>
      </c>
      <c r="T509" s="347">
        <f t="shared" si="69"/>
        <v>0</v>
      </c>
      <c r="U509" s="347">
        <f>HLOOKUP(Apoio!$P$12,$D$444:$P$545,X509,FALSE)+Q509</f>
        <v>3.7000000000000002E-6</v>
      </c>
      <c r="V509" s="447" t="str">
        <f t="shared" si="66"/>
        <v>-</v>
      </c>
      <c r="W509" s="448">
        <f>HLOOKUP(Apoio!$P$12,$D$444:$P$545,X509,FALSE)</f>
        <v>0</v>
      </c>
      <c r="X509" s="329">
        <v>66</v>
      </c>
    </row>
    <row r="510" spans="2:24" ht="30.05" customHeight="1" x14ac:dyDescent="0.35">
      <c r="B510" s="204" t="str">
        <f>'CAD_PL_REC-DESP'!T69</f>
        <v>2.4.65</v>
      </c>
      <c r="C510" s="205" t="str">
        <f>IF('CAD_PL_REC-DESP'!U69="","-",'CAD_PL_REC-DESP'!U69)</f>
        <v>-</v>
      </c>
      <c r="D510" s="206">
        <f>SUMIFS(LANÇ_MOV[VALOR LÍQUIDO],LANÇ_MOV[RECEITA OU DESPESA],"Despesa",LANÇ_MOV[CONTAS],$C510,LANÇ_MOV[PLANO DE CONTAS],REL_DRE_FINANCEIRO!$B$445,LANÇ_MOV[ANO PAGAMENTO],$B$4,LANÇ_MOV[MÊS PAGAMENTO CORRESPONDENTE],D$6,LANÇ_MOV[EMPRESA],$C$4,LANÇ_MOV[CENTRO DE CUSTOS],$D$4)</f>
        <v>0</v>
      </c>
      <c r="E510" s="206">
        <f>SUMIFS(LANÇ_MOV[VALOR LÍQUIDO],LANÇ_MOV[RECEITA OU DESPESA],"Despesa",LANÇ_MOV[CONTAS],$C510,LANÇ_MOV[PLANO DE CONTAS],REL_DRE_FINANCEIRO!$B$445,LANÇ_MOV[ANO PAGAMENTO],$B$4,LANÇ_MOV[MÊS PAGAMENTO CORRESPONDENTE],E$6,LANÇ_MOV[EMPRESA],$C$4,LANÇ_MOV[CENTRO DE CUSTOS],$D$4)</f>
        <v>0</v>
      </c>
      <c r="F510" s="206">
        <f>SUMIFS(LANÇ_MOV[VALOR LÍQUIDO],LANÇ_MOV[RECEITA OU DESPESA],"Despesa",LANÇ_MOV[CONTAS],$C510,LANÇ_MOV[PLANO DE CONTAS],REL_DRE_FINANCEIRO!$B$445,LANÇ_MOV[ANO PAGAMENTO],$B$4,LANÇ_MOV[MÊS PAGAMENTO CORRESPONDENTE],F$6,LANÇ_MOV[EMPRESA],$C$4,LANÇ_MOV[CENTRO DE CUSTOS],$D$4)</f>
        <v>0</v>
      </c>
      <c r="G510" s="206">
        <f>SUMIFS(LANÇ_MOV[VALOR LÍQUIDO],LANÇ_MOV[RECEITA OU DESPESA],"Despesa",LANÇ_MOV[CONTAS],$C510,LANÇ_MOV[PLANO DE CONTAS],REL_DRE_FINANCEIRO!$B$445,LANÇ_MOV[ANO PAGAMENTO],$B$4,LANÇ_MOV[MÊS PAGAMENTO CORRESPONDENTE],G$6,LANÇ_MOV[EMPRESA],$C$4,LANÇ_MOV[CENTRO DE CUSTOS],$D$4)</f>
        <v>0</v>
      </c>
      <c r="H510" s="206">
        <f>SUMIFS(LANÇ_MOV[VALOR LÍQUIDO],LANÇ_MOV[RECEITA OU DESPESA],"Despesa",LANÇ_MOV[CONTAS],$C510,LANÇ_MOV[PLANO DE CONTAS],REL_DRE_FINANCEIRO!$B$445,LANÇ_MOV[ANO PAGAMENTO],$B$4,LANÇ_MOV[MÊS PAGAMENTO CORRESPONDENTE],H$6,LANÇ_MOV[EMPRESA],$C$4,LANÇ_MOV[CENTRO DE CUSTOS],$D$4)</f>
        <v>0</v>
      </c>
      <c r="I510" s="206">
        <f>SUMIFS(LANÇ_MOV[VALOR LÍQUIDO],LANÇ_MOV[RECEITA OU DESPESA],"Despesa",LANÇ_MOV[CONTAS],$C510,LANÇ_MOV[PLANO DE CONTAS],REL_DRE_FINANCEIRO!$B$445,LANÇ_MOV[ANO PAGAMENTO],$B$4,LANÇ_MOV[MÊS PAGAMENTO CORRESPONDENTE],I$6,LANÇ_MOV[EMPRESA],$C$4,LANÇ_MOV[CENTRO DE CUSTOS],$D$4)</f>
        <v>0</v>
      </c>
      <c r="J510" s="206">
        <f>SUMIFS(LANÇ_MOV[VALOR LÍQUIDO],LANÇ_MOV[RECEITA OU DESPESA],"Despesa",LANÇ_MOV[CONTAS],$C510,LANÇ_MOV[PLANO DE CONTAS],REL_DRE_FINANCEIRO!$B$445,LANÇ_MOV[ANO PAGAMENTO],$B$4,LANÇ_MOV[MÊS PAGAMENTO CORRESPONDENTE],J$6,LANÇ_MOV[EMPRESA],$C$4,LANÇ_MOV[CENTRO DE CUSTOS],$D$4)</f>
        <v>0</v>
      </c>
      <c r="K510" s="206">
        <f>SUMIFS(LANÇ_MOV[VALOR LÍQUIDO],LANÇ_MOV[RECEITA OU DESPESA],"Despesa",LANÇ_MOV[CONTAS],$C510,LANÇ_MOV[PLANO DE CONTAS],REL_DRE_FINANCEIRO!$B$445,LANÇ_MOV[ANO PAGAMENTO],$B$4,LANÇ_MOV[MÊS PAGAMENTO CORRESPONDENTE],K$6,LANÇ_MOV[EMPRESA],$C$4,LANÇ_MOV[CENTRO DE CUSTOS],$D$4)</f>
        <v>0</v>
      </c>
      <c r="L510" s="206">
        <f>SUMIFS(LANÇ_MOV[VALOR LÍQUIDO],LANÇ_MOV[RECEITA OU DESPESA],"Despesa",LANÇ_MOV[CONTAS],$C510,LANÇ_MOV[PLANO DE CONTAS],REL_DRE_FINANCEIRO!$B$445,LANÇ_MOV[ANO PAGAMENTO],$B$4,LANÇ_MOV[MÊS PAGAMENTO CORRESPONDENTE],L$6,LANÇ_MOV[EMPRESA],$C$4,LANÇ_MOV[CENTRO DE CUSTOS],$D$4)</f>
        <v>0</v>
      </c>
      <c r="M510" s="206">
        <f>SUMIFS(LANÇ_MOV[VALOR LÍQUIDO],LANÇ_MOV[RECEITA OU DESPESA],"Despesa",LANÇ_MOV[CONTAS],$C510,LANÇ_MOV[PLANO DE CONTAS],REL_DRE_FINANCEIRO!$B$445,LANÇ_MOV[ANO PAGAMENTO],$B$4,LANÇ_MOV[MÊS PAGAMENTO CORRESPONDENTE],M$6,LANÇ_MOV[EMPRESA],$C$4,LANÇ_MOV[CENTRO DE CUSTOS],$D$4)</f>
        <v>0</v>
      </c>
      <c r="N510" s="206">
        <f>SUMIFS(LANÇ_MOV[VALOR LÍQUIDO],LANÇ_MOV[RECEITA OU DESPESA],"Despesa",LANÇ_MOV[CONTAS],$C510,LANÇ_MOV[PLANO DE CONTAS],REL_DRE_FINANCEIRO!$B$445,LANÇ_MOV[ANO PAGAMENTO],$B$4,LANÇ_MOV[MÊS PAGAMENTO CORRESPONDENTE],N$6,LANÇ_MOV[EMPRESA],$C$4,LANÇ_MOV[CENTRO DE CUSTOS],$D$4)</f>
        <v>0</v>
      </c>
      <c r="O510" s="206">
        <f>SUMIFS(LANÇ_MOV[VALOR LÍQUIDO],LANÇ_MOV[RECEITA OU DESPESA],"Despesa",LANÇ_MOV[CONTAS],$C510,LANÇ_MOV[PLANO DE CONTAS],REL_DRE_FINANCEIRO!$B$445,LANÇ_MOV[ANO PAGAMENTO],$B$4,LANÇ_MOV[MÊS PAGAMENTO CORRESPONDENTE],O$6,LANÇ_MOV[EMPRESA],$C$4,LANÇ_MOV[CENTRO DE CUSTOS],$D$4)</f>
        <v>0</v>
      </c>
      <c r="P510" s="207">
        <f t="shared" ref="P510:P545" si="70">SUM(D510:O510)</f>
        <v>0</v>
      </c>
      <c r="Q510" s="329">
        <v>3.5999999999999998E-6</v>
      </c>
      <c r="R510" s="346">
        <f t="shared" si="67"/>
        <v>3.5999999999999998E-6</v>
      </c>
      <c r="S510" s="347" t="str">
        <f t="shared" si="68"/>
        <v>-</v>
      </c>
      <c r="T510" s="347">
        <f t="shared" si="69"/>
        <v>0</v>
      </c>
      <c r="U510" s="347">
        <f>HLOOKUP(Apoio!$P$12,$D$444:$P$545,X510,FALSE)+Q510</f>
        <v>3.5999999999999998E-6</v>
      </c>
      <c r="V510" s="447" t="str">
        <f t="shared" ref="V510:V545" si="71">S510</f>
        <v>-</v>
      </c>
      <c r="W510" s="448">
        <f>HLOOKUP(Apoio!$P$12,$D$444:$P$545,X510,FALSE)</f>
        <v>0</v>
      </c>
      <c r="X510" s="329">
        <v>67</v>
      </c>
    </row>
    <row r="511" spans="2:24" ht="30.05" customHeight="1" x14ac:dyDescent="0.35">
      <c r="B511" s="204" t="str">
        <f>'CAD_PL_REC-DESP'!T70</f>
        <v>2.4.66</v>
      </c>
      <c r="C511" s="205" t="str">
        <f>IF('CAD_PL_REC-DESP'!U70="","-",'CAD_PL_REC-DESP'!U70)</f>
        <v>-</v>
      </c>
      <c r="D511" s="206">
        <f>SUMIFS(LANÇ_MOV[VALOR LÍQUIDO],LANÇ_MOV[RECEITA OU DESPESA],"Despesa",LANÇ_MOV[CONTAS],$C511,LANÇ_MOV[PLANO DE CONTAS],REL_DRE_FINANCEIRO!$B$445,LANÇ_MOV[ANO PAGAMENTO],$B$4,LANÇ_MOV[MÊS PAGAMENTO CORRESPONDENTE],D$6,LANÇ_MOV[EMPRESA],$C$4,LANÇ_MOV[CENTRO DE CUSTOS],$D$4)</f>
        <v>0</v>
      </c>
      <c r="E511" s="206">
        <f>SUMIFS(LANÇ_MOV[VALOR LÍQUIDO],LANÇ_MOV[RECEITA OU DESPESA],"Despesa",LANÇ_MOV[CONTAS],$C511,LANÇ_MOV[PLANO DE CONTAS],REL_DRE_FINANCEIRO!$B$445,LANÇ_MOV[ANO PAGAMENTO],$B$4,LANÇ_MOV[MÊS PAGAMENTO CORRESPONDENTE],E$6,LANÇ_MOV[EMPRESA],$C$4,LANÇ_MOV[CENTRO DE CUSTOS],$D$4)</f>
        <v>0</v>
      </c>
      <c r="F511" s="206">
        <f>SUMIFS(LANÇ_MOV[VALOR LÍQUIDO],LANÇ_MOV[RECEITA OU DESPESA],"Despesa",LANÇ_MOV[CONTAS],$C511,LANÇ_MOV[PLANO DE CONTAS],REL_DRE_FINANCEIRO!$B$445,LANÇ_MOV[ANO PAGAMENTO],$B$4,LANÇ_MOV[MÊS PAGAMENTO CORRESPONDENTE],F$6,LANÇ_MOV[EMPRESA],$C$4,LANÇ_MOV[CENTRO DE CUSTOS],$D$4)</f>
        <v>0</v>
      </c>
      <c r="G511" s="206">
        <f>SUMIFS(LANÇ_MOV[VALOR LÍQUIDO],LANÇ_MOV[RECEITA OU DESPESA],"Despesa",LANÇ_MOV[CONTAS],$C511,LANÇ_MOV[PLANO DE CONTAS],REL_DRE_FINANCEIRO!$B$445,LANÇ_MOV[ANO PAGAMENTO],$B$4,LANÇ_MOV[MÊS PAGAMENTO CORRESPONDENTE],G$6,LANÇ_MOV[EMPRESA],$C$4,LANÇ_MOV[CENTRO DE CUSTOS],$D$4)</f>
        <v>0</v>
      </c>
      <c r="H511" s="206">
        <f>SUMIFS(LANÇ_MOV[VALOR LÍQUIDO],LANÇ_MOV[RECEITA OU DESPESA],"Despesa",LANÇ_MOV[CONTAS],$C511,LANÇ_MOV[PLANO DE CONTAS],REL_DRE_FINANCEIRO!$B$445,LANÇ_MOV[ANO PAGAMENTO],$B$4,LANÇ_MOV[MÊS PAGAMENTO CORRESPONDENTE],H$6,LANÇ_MOV[EMPRESA],$C$4,LANÇ_MOV[CENTRO DE CUSTOS],$D$4)</f>
        <v>0</v>
      </c>
      <c r="I511" s="206">
        <f>SUMIFS(LANÇ_MOV[VALOR LÍQUIDO],LANÇ_MOV[RECEITA OU DESPESA],"Despesa",LANÇ_MOV[CONTAS],$C511,LANÇ_MOV[PLANO DE CONTAS],REL_DRE_FINANCEIRO!$B$445,LANÇ_MOV[ANO PAGAMENTO],$B$4,LANÇ_MOV[MÊS PAGAMENTO CORRESPONDENTE],I$6,LANÇ_MOV[EMPRESA],$C$4,LANÇ_MOV[CENTRO DE CUSTOS],$D$4)</f>
        <v>0</v>
      </c>
      <c r="J511" s="206">
        <f>SUMIFS(LANÇ_MOV[VALOR LÍQUIDO],LANÇ_MOV[RECEITA OU DESPESA],"Despesa",LANÇ_MOV[CONTAS],$C511,LANÇ_MOV[PLANO DE CONTAS],REL_DRE_FINANCEIRO!$B$445,LANÇ_MOV[ANO PAGAMENTO],$B$4,LANÇ_MOV[MÊS PAGAMENTO CORRESPONDENTE],J$6,LANÇ_MOV[EMPRESA],$C$4,LANÇ_MOV[CENTRO DE CUSTOS],$D$4)</f>
        <v>0</v>
      </c>
      <c r="K511" s="206">
        <f>SUMIFS(LANÇ_MOV[VALOR LÍQUIDO],LANÇ_MOV[RECEITA OU DESPESA],"Despesa",LANÇ_MOV[CONTAS],$C511,LANÇ_MOV[PLANO DE CONTAS],REL_DRE_FINANCEIRO!$B$445,LANÇ_MOV[ANO PAGAMENTO],$B$4,LANÇ_MOV[MÊS PAGAMENTO CORRESPONDENTE],K$6,LANÇ_MOV[EMPRESA],$C$4,LANÇ_MOV[CENTRO DE CUSTOS],$D$4)</f>
        <v>0</v>
      </c>
      <c r="L511" s="206">
        <f>SUMIFS(LANÇ_MOV[VALOR LÍQUIDO],LANÇ_MOV[RECEITA OU DESPESA],"Despesa",LANÇ_MOV[CONTAS],$C511,LANÇ_MOV[PLANO DE CONTAS],REL_DRE_FINANCEIRO!$B$445,LANÇ_MOV[ANO PAGAMENTO],$B$4,LANÇ_MOV[MÊS PAGAMENTO CORRESPONDENTE],L$6,LANÇ_MOV[EMPRESA],$C$4,LANÇ_MOV[CENTRO DE CUSTOS],$D$4)</f>
        <v>0</v>
      </c>
      <c r="M511" s="206">
        <f>SUMIFS(LANÇ_MOV[VALOR LÍQUIDO],LANÇ_MOV[RECEITA OU DESPESA],"Despesa",LANÇ_MOV[CONTAS],$C511,LANÇ_MOV[PLANO DE CONTAS],REL_DRE_FINANCEIRO!$B$445,LANÇ_MOV[ANO PAGAMENTO],$B$4,LANÇ_MOV[MÊS PAGAMENTO CORRESPONDENTE],M$6,LANÇ_MOV[EMPRESA],$C$4,LANÇ_MOV[CENTRO DE CUSTOS],$D$4)</f>
        <v>0</v>
      </c>
      <c r="N511" s="206">
        <f>SUMIFS(LANÇ_MOV[VALOR LÍQUIDO],LANÇ_MOV[RECEITA OU DESPESA],"Despesa",LANÇ_MOV[CONTAS],$C511,LANÇ_MOV[PLANO DE CONTAS],REL_DRE_FINANCEIRO!$B$445,LANÇ_MOV[ANO PAGAMENTO],$B$4,LANÇ_MOV[MÊS PAGAMENTO CORRESPONDENTE],N$6,LANÇ_MOV[EMPRESA],$C$4,LANÇ_MOV[CENTRO DE CUSTOS],$D$4)</f>
        <v>0</v>
      </c>
      <c r="O511" s="206">
        <f>SUMIFS(LANÇ_MOV[VALOR LÍQUIDO],LANÇ_MOV[RECEITA OU DESPESA],"Despesa",LANÇ_MOV[CONTAS],$C511,LANÇ_MOV[PLANO DE CONTAS],REL_DRE_FINANCEIRO!$B$445,LANÇ_MOV[ANO PAGAMENTO],$B$4,LANÇ_MOV[MÊS PAGAMENTO CORRESPONDENTE],O$6,LANÇ_MOV[EMPRESA],$C$4,LANÇ_MOV[CENTRO DE CUSTOS],$D$4)</f>
        <v>0</v>
      </c>
      <c r="P511" s="207">
        <f t="shared" si="70"/>
        <v>0</v>
      </c>
      <c r="Q511" s="329">
        <v>3.4999999999999999E-6</v>
      </c>
      <c r="R511" s="346">
        <f t="shared" ref="R511:R545" si="72">P511+Q511</f>
        <v>3.4999999999999999E-6</v>
      </c>
      <c r="S511" s="347" t="str">
        <f t="shared" ref="S511:S545" si="73">C511</f>
        <v>-</v>
      </c>
      <c r="T511" s="347">
        <f t="shared" ref="T511:T545" si="74">P511</f>
        <v>0</v>
      </c>
      <c r="U511" s="347">
        <f>HLOOKUP(Apoio!$P$12,$D$444:$P$545,X511,FALSE)+Q511</f>
        <v>3.4999999999999999E-6</v>
      </c>
      <c r="V511" s="447" t="str">
        <f t="shared" si="71"/>
        <v>-</v>
      </c>
      <c r="W511" s="448">
        <f>HLOOKUP(Apoio!$P$12,$D$444:$P$545,X511,FALSE)</f>
        <v>0</v>
      </c>
      <c r="X511" s="329">
        <v>68</v>
      </c>
    </row>
    <row r="512" spans="2:24" ht="30.05" customHeight="1" x14ac:dyDescent="0.35">
      <c r="B512" s="204" t="str">
        <f>'CAD_PL_REC-DESP'!T71</f>
        <v>2.4.67</v>
      </c>
      <c r="C512" s="205" t="str">
        <f>IF('CAD_PL_REC-DESP'!U71="","-",'CAD_PL_REC-DESP'!U71)</f>
        <v>-</v>
      </c>
      <c r="D512" s="206">
        <f>SUMIFS(LANÇ_MOV[VALOR LÍQUIDO],LANÇ_MOV[RECEITA OU DESPESA],"Despesa",LANÇ_MOV[CONTAS],$C512,LANÇ_MOV[PLANO DE CONTAS],REL_DRE_FINANCEIRO!$B$445,LANÇ_MOV[ANO PAGAMENTO],$B$4,LANÇ_MOV[MÊS PAGAMENTO CORRESPONDENTE],D$6,LANÇ_MOV[EMPRESA],$C$4,LANÇ_MOV[CENTRO DE CUSTOS],$D$4)</f>
        <v>0</v>
      </c>
      <c r="E512" s="206">
        <f>SUMIFS(LANÇ_MOV[VALOR LÍQUIDO],LANÇ_MOV[RECEITA OU DESPESA],"Despesa",LANÇ_MOV[CONTAS],$C512,LANÇ_MOV[PLANO DE CONTAS],REL_DRE_FINANCEIRO!$B$445,LANÇ_MOV[ANO PAGAMENTO],$B$4,LANÇ_MOV[MÊS PAGAMENTO CORRESPONDENTE],E$6,LANÇ_MOV[EMPRESA],$C$4,LANÇ_MOV[CENTRO DE CUSTOS],$D$4)</f>
        <v>0</v>
      </c>
      <c r="F512" s="206">
        <f>SUMIFS(LANÇ_MOV[VALOR LÍQUIDO],LANÇ_MOV[RECEITA OU DESPESA],"Despesa",LANÇ_MOV[CONTAS],$C512,LANÇ_MOV[PLANO DE CONTAS],REL_DRE_FINANCEIRO!$B$445,LANÇ_MOV[ANO PAGAMENTO],$B$4,LANÇ_MOV[MÊS PAGAMENTO CORRESPONDENTE],F$6,LANÇ_MOV[EMPRESA],$C$4,LANÇ_MOV[CENTRO DE CUSTOS],$D$4)</f>
        <v>0</v>
      </c>
      <c r="G512" s="206">
        <f>SUMIFS(LANÇ_MOV[VALOR LÍQUIDO],LANÇ_MOV[RECEITA OU DESPESA],"Despesa",LANÇ_MOV[CONTAS],$C512,LANÇ_MOV[PLANO DE CONTAS],REL_DRE_FINANCEIRO!$B$445,LANÇ_MOV[ANO PAGAMENTO],$B$4,LANÇ_MOV[MÊS PAGAMENTO CORRESPONDENTE],G$6,LANÇ_MOV[EMPRESA],$C$4,LANÇ_MOV[CENTRO DE CUSTOS],$D$4)</f>
        <v>0</v>
      </c>
      <c r="H512" s="206">
        <f>SUMIFS(LANÇ_MOV[VALOR LÍQUIDO],LANÇ_MOV[RECEITA OU DESPESA],"Despesa",LANÇ_MOV[CONTAS],$C512,LANÇ_MOV[PLANO DE CONTAS],REL_DRE_FINANCEIRO!$B$445,LANÇ_MOV[ANO PAGAMENTO],$B$4,LANÇ_MOV[MÊS PAGAMENTO CORRESPONDENTE],H$6,LANÇ_MOV[EMPRESA],$C$4,LANÇ_MOV[CENTRO DE CUSTOS],$D$4)</f>
        <v>0</v>
      </c>
      <c r="I512" s="206">
        <f>SUMIFS(LANÇ_MOV[VALOR LÍQUIDO],LANÇ_MOV[RECEITA OU DESPESA],"Despesa",LANÇ_MOV[CONTAS],$C512,LANÇ_MOV[PLANO DE CONTAS],REL_DRE_FINANCEIRO!$B$445,LANÇ_MOV[ANO PAGAMENTO],$B$4,LANÇ_MOV[MÊS PAGAMENTO CORRESPONDENTE],I$6,LANÇ_MOV[EMPRESA],$C$4,LANÇ_MOV[CENTRO DE CUSTOS],$D$4)</f>
        <v>0</v>
      </c>
      <c r="J512" s="206">
        <f>SUMIFS(LANÇ_MOV[VALOR LÍQUIDO],LANÇ_MOV[RECEITA OU DESPESA],"Despesa",LANÇ_MOV[CONTAS],$C512,LANÇ_MOV[PLANO DE CONTAS],REL_DRE_FINANCEIRO!$B$445,LANÇ_MOV[ANO PAGAMENTO],$B$4,LANÇ_MOV[MÊS PAGAMENTO CORRESPONDENTE],J$6,LANÇ_MOV[EMPRESA],$C$4,LANÇ_MOV[CENTRO DE CUSTOS],$D$4)</f>
        <v>0</v>
      </c>
      <c r="K512" s="206">
        <f>SUMIFS(LANÇ_MOV[VALOR LÍQUIDO],LANÇ_MOV[RECEITA OU DESPESA],"Despesa",LANÇ_MOV[CONTAS],$C512,LANÇ_MOV[PLANO DE CONTAS],REL_DRE_FINANCEIRO!$B$445,LANÇ_MOV[ANO PAGAMENTO],$B$4,LANÇ_MOV[MÊS PAGAMENTO CORRESPONDENTE],K$6,LANÇ_MOV[EMPRESA],$C$4,LANÇ_MOV[CENTRO DE CUSTOS],$D$4)</f>
        <v>0</v>
      </c>
      <c r="L512" s="206">
        <f>SUMIFS(LANÇ_MOV[VALOR LÍQUIDO],LANÇ_MOV[RECEITA OU DESPESA],"Despesa",LANÇ_MOV[CONTAS],$C512,LANÇ_MOV[PLANO DE CONTAS],REL_DRE_FINANCEIRO!$B$445,LANÇ_MOV[ANO PAGAMENTO],$B$4,LANÇ_MOV[MÊS PAGAMENTO CORRESPONDENTE],L$6,LANÇ_MOV[EMPRESA],$C$4,LANÇ_MOV[CENTRO DE CUSTOS],$D$4)</f>
        <v>0</v>
      </c>
      <c r="M512" s="206">
        <f>SUMIFS(LANÇ_MOV[VALOR LÍQUIDO],LANÇ_MOV[RECEITA OU DESPESA],"Despesa",LANÇ_MOV[CONTAS],$C512,LANÇ_MOV[PLANO DE CONTAS],REL_DRE_FINANCEIRO!$B$445,LANÇ_MOV[ANO PAGAMENTO],$B$4,LANÇ_MOV[MÊS PAGAMENTO CORRESPONDENTE],M$6,LANÇ_MOV[EMPRESA],$C$4,LANÇ_MOV[CENTRO DE CUSTOS],$D$4)</f>
        <v>0</v>
      </c>
      <c r="N512" s="206">
        <f>SUMIFS(LANÇ_MOV[VALOR LÍQUIDO],LANÇ_MOV[RECEITA OU DESPESA],"Despesa",LANÇ_MOV[CONTAS],$C512,LANÇ_MOV[PLANO DE CONTAS],REL_DRE_FINANCEIRO!$B$445,LANÇ_MOV[ANO PAGAMENTO],$B$4,LANÇ_MOV[MÊS PAGAMENTO CORRESPONDENTE],N$6,LANÇ_MOV[EMPRESA],$C$4,LANÇ_MOV[CENTRO DE CUSTOS],$D$4)</f>
        <v>0</v>
      </c>
      <c r="O512" s="206">
        <f>SUMIFS(LANÇ_MOV[VALOR LÍQUIDO],LANÇ_MOV[RECEITA OU DESPESA],"Despesa",LANÇ_MOV[CONTAS],$C512,LANÇ_MOV[PLANO DE CONTAS],REL_DRE_FINANCEIRO!$B$445,LANÇ_MOV[ANO PAGAMENTO],$B$4,LANÇ_MOV[MÊS PAGAMENTO CORRESPONDENTE],O$6,LANÇ_MOV[EMPRESA],$C$4,LANÇ_MOV[CENTRO DE CUSTOS],$D$4)</f>
        <v>0</v>
      </c>
      <c r="P512" s="207">
        <f t="shared" si="70"/>
        <v>0</v>
      </c>
      <c r="Q512" s="329">
        <v>3.4000000000000001E-6</v>
      </c>
      <c r="R512" s="346">
        <f t="shared" si="72"/>
        <v>3.4000000000000001E-6</v>
      </c>
      <c r="S512" s="347" t="str">
        <f t="shared" si="73"/>
        <v>-</v>
      </c>
      <c r="T512" s="347">
        <f t="shared" si="74"/>
        <v>0</v>
      </c>
      <c r="U512" s="347">
        <f>HLOOKUP(Apoio!$P$12,$D$444:$P$545,X512,FALSE)+Q512</f>
        <v>3.4000000000000001E-6</v>
      </c>
      <c r="V512" s="447" t="str">
        <f t="shared" si="71"/>
        <v>-</v>
      </c>
      <c r="W512" s="448">
        <f>HLOOKUP(Apoio!$P$12,$D$444:$P$545,X512,FALSE)</f>
        <v>0</v>
      </c>
      <c r="X512" s="329">
        <v>69</v>
      </c>
    </row>
    <row r="513" spans="2:24" ht="30.05" customHeight="1" x14ac:dyDescent="0.35">
      <c r="B513" s="204" t="str">
        <f>'CAD_PL_REC-DESP'!T72</f>
        <v>2.4.68</v>
      </c>
      <c r="C513" s="205" t="str">
        <f>IF('CAD_PL_REC-DESP'!U72="","-",'CAD_PL_REC-DESP'!U72)</f>
        <v>-</v>
      </c>
      <c r="D513" s="206">
        <f>SUMIFS(LANÇ_MOV[VALOR LÍQUIDO],LANÇ_MOV[RECEITA OU DESPESA],"Despesa",LANÇ_MOV[CONTAS],$C513,LANÇ_MOV[PLANO DE CONTAS],REL_DRE_FINANCEIRO!$B$445,LANÇ_MOV[ANO PAGAMENTO],$B$4,LANÇ_MOV[MÊS PAGAMENTO CORRESPONDENTE],D$6,LANÇ_MOV[EMPRESA],$C$4,LANÇ_MOV[CENTRO DE CUSTOS],$D$4)</f>
        <v>0</v>
      </c>
      <c r="E513" s="206">
        <f>SUMIFS(LANÇ_MOV[VALOR LÍQUIDO],LANÇ_MOV[RECEITA OU DESPESA],"Despesa",LANÇ_MOV[CONTAS],$C513,LANÇ_MOV[PLANO DE CONTAS],REL_DRE_FINANCEIRO!$B$445,LANÇ_MOV[ANO PAGAMENTO],$B$4,LANÇ_MOV[MÊS PAGAMENTO CORRESPONDENTE],E$6,LANÇ_MOV[EMPRESA],$C$4,LANÇ_MOV[CENTRO DE CUSTOS],$D$4)</f>
        <v>0</v>
      </c>
      <c r="F513" s="206">
        <f>SUMIFS(LANÇ_MOV[VALOR LÍQUIDO],LANÇ_MOV[RECEITA OU DESPESA],"Despesa",LANÇ_MOV[CONTAS],$C513,LANÇ_MOV[PLANO DE CONTAS],REL_DRE_FINANCEIRO!$B$445,LANÇ_MOV[ANO PAGAMENTO],$B$4,LANÇ_MOV[MÊS PAGAMENTO CORRESPONDENTE],F$6,LANÇ_MOV[EMPRESA],$C$4,LANÇ_MOV[CENTRO DE CUSTOS],$D$4)</f>
        <v>0</v>
      </c>
      <c r="G513" s="206">
        <f>SUMIFS(LANÇ_MOV[VALOR LÍQUIDO],LANÇ_MOV[RECEITA OU DESPESA],"Despesa",LANÇ_MOV[CONTAS],$C513,LANÇ_MOV[PLANO DE CONTAS],REL_DRE_FINANCEIRO!$B$445,LANÇ_MOV[ANO PAGAMENTO],$B$4,LANÇ_MOV[MÊS PAGAMENTO CORRESPONDENTE],G$6,LANÇ_MOV[EMPRESA],$C$4,LANÇ_MOV[CENTRO DE CUSTOS],$D$4)</f>
        <v>0</v>
      </c>
      <c r="H513" s="206">
        <f>SUMIFS(LANÇ_MOV[VALOR LÍQUIDO],LANÇ_MOV[RECEITA OU DESPESA],"Despesa",LANÇ_MOV[CONTAS],$C513,LANÇ_MOV[PLANO DE CONTAS],REL_DRE_FINANCEIRO!$B$445,LANÇ_MOV[ANO PAGAMENTO],$B$4,LANÇ_MOV[MÊS PAGAMENTO CORRESPONDENTE],H$6,LANÇ_MOV[EMPRESA],$C$4,LANÇ_MOV[CENTRO DE CUSTOS],$D$4)</f>
        <v>0</v>
      </c>
      <c r="I513" s="206">
        <f>SUMIFS(LANÇ_MOV[VALOR LÍQUIDO],LANÇ_MOV[RECEITA OU DESPESA],"Despesa",LANÇ_MOV[CONTAS],$C513,LANÇ_MOV[PLANO DE CONTAS],REL_DRE_FINANCEIRO!$B$445,LANÇ_MOV[ANO PAGAMENTO],$B$4,LANÇ_MOV[MÊS PAGAMENTO CORRESPONDENTE],I$6,LANÇ_MOV[EMPRESA],$C$4,LANÇ_MOV[CENTRO DE CUSTOS],$D$4)</f>
        <v>0</v>
      </c>
      <c r="J513" s="206">
        <f>SUMIFS(LANÇ_MOV[VALOR LÍQUIDO],LANÇ_MOV[RECEITA OU DESPESA],"Despesa",LANÇ_MOV[CONTAS],$C513,LANÇ_MOV[PLANO DE CONTAS],REL_DRE_FINANCEIRO!$B$445,LANÇ_MOV[ANO PAGAMENTO],$B$4,LANÇ_MOV[MÊS PAGAMENTO CORRESPONDENTE],J$6,LANÇ_MOV[EMPRESA],$C$4,LANÇ_MOV[CENTRO DE CUSTOS],$D$4)</f>
        <v>0</v>
      </c>
      <c r="K513" s="206">
        <f>SUMIFS(LANÇ_MOV[VALOR LÍQUIDO],LANÇ_MOV[RECEITA OU DESPESA],"Despesa",LANÇ_MOV[CONTAS],$C513,LANÇ_MOV[PLANO DE CONTAS],REL_DRE_FINANCEIRO!$B$445,LANÇ_MOV[ANO PAGAMENTO],$B$4,LANÇ_MOV[MÊS PAGAMENTO CORRESPONDENTE],K$6,LANÇ_MOV[EMPRESA],$C$4,LANÇ_MOV[CENTRO DE CUSTOS],$D$4)</f>
        <v>0</v>
      </c>
      <c r="L513" s="206">
        <f>SUMIFS(LANÇ_MOV[VALOR LÍQUIDO],LANÇ_MOV[RECEITA OU DESPESA],"Despesa",LANÇ_MOV[CONTAS],$C513,LANÇ_MOV[PLANO DE CONTAS],REL_DRE_FINANCEIRO!$B$445,LANÇ_MOV[ANO PAGAMENTO],$B$4,LANÇ_MOV[MÊS PAGAMENTO CORRESPONDENTE],L$6,LANÇ_MOV[EMPRESA],$C$4,LANÇ_MOV[CENTRO DE CUSTOS],$D$4)</f>
        <v>0</v>
      </c>
      <c r="M513" s="206">
        <f>SUMIFS(LANÇ_MOV[VALOR LÍQUIDO],LANÇ_MOV[RECEITA OU DESPESA],"Despesa",LANÇ_MOV[CONTAS],$C513,LANÇ_MOV[PLANO DE CONTAS],REL_DRE_FINANCEIRO!$B$445,LANÇ_MOV[ANO PAGAMENTO],$B$4,LANÇ_MOV[MÊS PAGAMENTO CORRESPONDENTE],M$6,LANÇ_MOV[EMPRESA],$C$4,LANÇ_MOV[CENTRO DE CUSTOS],$D$4)</f>
        <v>0</v>
      </c>
      <c r="N513" s="206">
        <f>SUMIFS(LANÇ_MOV[VALOR LÍQUIDO],LANÇ_MOV[RECEITA OU DESPESA],"Despesa",LANÇ_MOV[CONTAS],$C513,LANÇ_MOV[PLANO DE CONTAS],REL_DRE_FINANCEIRO!$B$445,LANÇ_MOV[ANO PAGAMENTO],$B$4,LANÇ_MOV[MÊS PAGAMENTO CORRESPONDENTE],N$6,LANÇ_MOV[EMPRESA],$C$4,LANÇ_MOV[CENTRO DE CUSTOS],$D$4)</f>
        <v>0</v>
      </c>
      <c r="O513" s="206">
        <f>SUMIFS(LANÇ_MOV[VALOR LÍQUIDO],LANÇ_MOV[RECEITA OU DESPESA],"Despesa",LANÇ_MOV[CONTAS],$C513,LANÇ_MOV[PLANO DE CONTAS],REL_DRE_FINANCEIRO!$B$445,LANÇ_MOV[ANO PAGAMENTO],$B$4,LANÇ_MOV[MÊS PAGAMENTO CORRESPONDENTE],O$6,LANÇ_MOV[EMPRESA],$C$4,LANÇ_MOV[CENTRO DE CUSTOS],$D$4)</f>
        <v>0</v>
      </c>
      <c r="P513" s="207">
        <f t="shared" si="70"/>
        <v>0</v>
      </c>
      <c r="Q513" s="329">
        <v>3.3000000000000002E-6</v>
      </c>
      <c r="R513" s="346">
        <f t="shared" si="72"/>
        <v>3.3000000000000002E-6</v>
      </c>
      <c r="S513" s="347" t="str">
        <f t="shared" si="73"/>
        <v>-</v>
      </c>
      <c r="T513" s="347">
        <f t="shared" si="74"/>
        <v>0</v>
      </c>
      <c r="U513" s="347">
        <f>HLOOKUP(Apoio!$P$12,$D$444:$P$545,X513,FALSE)+Q513</f>
        <v>3.3000000000000002E-6</v>
      </c>
      <c r="V513" s="447" t="str">
        <f t="shared" si="71"/>
        <v>-</v>
      </c>
      <c r="W513" s="448">
        <f>HLOOKUP(Apoio!$P$12,$D$444:$P$545,X513,FALSE)</f>
        <v>0</v>
      </c>
      <c r="X513" s="329">
        <v>70</v>
      </c>
    </row>
    <row r="514" spans="2:24" ht="30.05" customHeight="1" x14ac:dyDescent="0.35">
      <c r="B514" s="204" t="str">
        <f>'CAD_PL_REC-DESP'!T73</f>
        <v>2.4.69</v>
      </c>
      <c r="C514" s="205" t="str">
        <f>IF('CAD_PL_REC-DESP'!U73="","-",'CAD_PL_REC-DESP'!U73)</f>
        <v>-</v>
      </c>
      <c r="D514" s="206">
        <f>SUMIFS(LANÇ_MOV[VALOR LÍQUIDO],LANÇ_MOV[RECEITA OU DESPESA],"Despesa",LANÇ_MOV[CONTAS],$C514,LANÇ_MOV[PLANO DE CONTAS],REL_DRE_FINANCEIRO!$B$445,LANÇ_MOV[ANO PAGAMENTO],$B$4,LANÇ_MOV[MÊS PAGAMENTO CORRESPONDENTE],D$6,LANÇ_MOV[EMPRESA],$C$4,LANÇ_MOV[CENTRO DE CUSTOS],$D$4)</f>
        <v>0</v>
      </c>
      <c r="E514" s="206">
        <f>SUMIFS(LANÇ_MOV[VALOR LÍQUIDO],LANÇ_MOV[RECEITA OU DESPESA],"Despesa",LANÇ_MOV[CONTAS],$C514,LANÇ_MOV[PLANO DE CONTAS],REL_DRE_FINANCEIRO!$B$445,LANÇ_MOV[ANO PAGAMENTO],$B$4,LANÇ_MOV[MÊS PAGAMENTO CORRESPONDENTE],E$6,LANÇ_MOV[EMPRESA],$C$4,LANÇ_MOV[CENTRO DE CUSTOS],$D$4)</f>
        <v>0</v>
      </c>
      <c r="F514" s="206">
        <f>SUMIFS(LANÇ_MOV[VALOR LÍQUIDO],LANÇ_MOV[RECEITA OU DESPESA],"Despesa",LANÇ_MOV[CONTAS],$C514,LANÇ_MOV[PLANO DE CONTAS],REL_DRE_FINANCEIRO!$B$445,LANÇ_MOV[ANO PAGAMENTO],$B$4,LANÇ_MOV[MÊS PAGAMENTO CORRESPONDENTE],F$6,LANÇ_MOV[EMPRESA],$C$4,LANÇ_MOV[CENTRO DE CUSTOS],$D$4)</f>
        <v>0</v>
      </c>
      <c r="G514" s="206">
        <f>SUMIFS(LANÇ_MOV[VALOR LÍQUIDO],LANÇ_MOV[RECEITA OU DESPESA],"Despesa",LANÇ_MOV[CONTAS],$C514,LANÇ_MOV[PLANO DE CONTAS],REL_DRE_FINANCEIRO!$B$445,LANÇ_MOV[ANO PAGAMENTO],$B$4,LANÇ_MOV[MÊS PAGAMENTO CORRESPONDENTE],G$6,LANÇ_MOV[EMPRESA],$C$4,LANÇ_MOV[CENTRO DE CUSTOS],$D$4)</f>
        <v>0</v>
      </c>
      <c r="H514" s="206">
        <f>SUMIFS(LANÇ_MOV[VALOR LÍQUIDO],LANÇ_MOV[RECEITA OU DESPESA],"Despesa",LANÇ_MOV[CONTAS],$C514,LANÇ_MOV[PLANO DE CONTAS],REL_DRE_FINANCEIRO!$B$445,LANÇ_MOV[ANO PAGAMENTO],$B$4,LANÇ_MOV[MÊS PAGAMENTO CORRESPONDENTE],H$6,LANÇ_MOV[EMPRESA],$C$4,LANÇ_MOV[CENTRO DE CUSTOS],$D$4)</f>
        <v>0</v>
      </c>
      <c r="I514" s="206">
        <f>SUMIFS(LANÇ_MOV[VALOR LÍQUIDO],LANÇ_MOV[RECEITA OU DESPESA],"Despesa",LANÇ_MOV[CONTAS],$C514,LANÇ_MOV[PLANO DE CONTAS],REL_DRE_FINANCEIRO!$B$445,LANÇ_MOV[ANO PAGAMENTO],$B$4,LANÇ_MOV[MÊS PAGAMENTO CORRESPONDENTE],I$6,LANÇ_MOV[EMPRESA],$C$4,LANÇ_MOV[CENTRO DE CUSTOS],$D$4)</f>
        <v>0</v>
      </c>
      <c r="J514" s="206">
        <f>SUMIFS(LANÇ_MOV[VALOR LÍQUIDO],LANÇ_MOV[RECEITA OU DESPESA],"Despesa",LANÇ_MOV[CONTAS],$C514,LANÇ_MOV[PLANO DE CONTAS],REL_DRE_FINANCEIRO!$B$445,LANÇ_MOV[ANO PAGAMENTO],$B$4,LANÇ_MOV[MÊS PAGAMENTO CORRESPONDENTE],J$6,LANÇ_MOV[EMPRESA],$C$4,LANÇ_MOV[CENTRO DE CUSTOS],$D$4)</f>
        <v>0</v>
      </c>
      <c r="K514" s="206">
        <f>SUMIFS(LANÇ_MOV[VALOR LÍQUIDO],LANÇ_MOV[RECEITA OU DESPESA],"Despesa",LANÇ_MOV[CONTAS],$C514,LANÇ_MOV[PLANO DE CONTAS],REL_DRE_FINANCEIRO!$B$445,LANÇ_MOV[ANO PAGAMENTO],$B$4,LANÇ_MOV[MÊS PAGAMENTO CORRESPONDENTE],K$6,LANÇ_MOV[EMPRESA],$C$4,LANÇ_MOV[CENTRO DE CUSTOS],$D$4)</f>
        <v>0</v>
      </c>
      <c r="L514" s="206">
        <f>SUMIFS(LANÇ_MOV[VALOR LÍQUIDO],LANÇ_MOV[RECEITA OU DESPESA],"Despesa",LANÇ_MOV[CONTAS],$C514,LANÇ_MOV[PLANO DE CONTAS],REL_DRE_FINANCEIRO!$B$445,LANÇ_MOV[ANO PAGAMENTO],$B$4,LANÇ_MOV[MÊS PAGAMENTO CORRESPONDENTE],L$6,LANÇ_MOV[EMPRESA],$C$4,LANÇ_MOV[CENTRO DE CUSTOS],$D$4)</f>
        <v>0</v>
      </c>
      <c r="M514" s="206">
        <f>SUMIFS(LANÇ_MOV[VALOR LÍQUIDO],LANÇ_MOV[RECEITA OU DESPESA],"Despesa",LANÇ_MOV[CONTAS],$C514,LANÇ_MOV[PLANO DE CONTAS],REL_DRE_FINANCEIRO!$B$445,LANÇ_MOV[ANO PAGAMENTO],$B$4,LANÇ_MOV[MÊS PAGAMENTO CORRESPONDENTE],M$6,LANÇ_MOV[EMPRESA],$C$4,LANÇ_MOV[CENTRO DE CUSTOS],$D$4)</f>
        <v>0</v>
      </c>
      <c r="N514" s="206">
        <f>SUMIFS(LANÇ_MOV[VALOR LÍQUIDO],LANÇ_MOV[RECEITA OU DESPESA],"Despesa",LANÇ_MOV[CONTAS],$C514,LANÇ_MOV[PLANO DE CONTAS],REL_DRE_FINANCEIRO!$B$445,LANÇ_MOV[ANO PAGAMENTO],$B$4,LANÇ_MOV[MÊS PAGAMENTO CORRESPONDENTE],N$6,LANÇ_MOV[EMPRESA],$C$4,LANÇ_MOV[CENTRO DE CUSTOS],$D$4)</f>
        <v>0</v>
      </c>
      <c r="O514" s="206">
        <f>SUMIFS(LANÇ_MOV[VALOR LÍQUIDO],LANÇ_MOV[RECEITA OU DESPESA],"Despesa",LANÇ_MOV[CONTAS],$C514,LANÇ_MOV[PLANO DE CONTAS],REL_DRE_FINANCEIRO!$B$445,LANÇ_MOV[ANO PAGAMENTO],$B$4,LANÇ_MOV[MÊS PAGAMENTO CORRESPONDENTE],O$6,LANÇ_MOV[EMPRESA],$C$4,LANÇ_MOV[CENTRO DE CUSTOS],$D$4)</f>
        <v>0</v>
      </c>
      <c r="P514" s="207">
        <f t="shared" si="70"/>
        <v>0</v>
      </c>
      <c r="Q514" s="329">
        <v>3.1999999999999999E-6</v>
      </c>
      <c r="R514" s="346">
        <f t="shared" si="72"/>
        <v>3.1999999999999999E-6</v>
      </c>
      <c r="S514" s="347" t="str">
        <f t="shared" si="73"/>
        <v>-</v>
      </c>
      <c r="T514" s="347">
        <f t="shared" si="74"/>
        <v>0</v>
      </c>
      <c r="U514" s="347">
        <f>HLOOKUP(Apoio!$P$12,$D$444:$P$545,X514,FALSE)+Q514</f>
        <v>3.1999999999999999E-6</v>
      </c>
      <c r="V514" s="447" t="str">
        <f t="shared" si="71"/>
        <v>-</v>
      </c>
      <c r="W514" s="448">
        <f>HLOOKUP(Apoio!$P$12,$D$444:$P$545,X514,FALSE)</f>
        <v>0</v>
      </c>
      <c r="X514" s="329">
        <v>71</v>
      </c>
    </row>
    <row r="515" spans="2:24" ht="30.05" customHeight="1" x14ac:dyDescent="0.35">
      <c r="B515" s="204" t="str">
        <f>'CAD_PL_REC-DESP'!T74</f>
        <v>2.4.70</v>
      </c>
      <c r="C515" s="205" t="str">
        <f>IF('CAD_PL_REC-DESP'!U74="","-",'CAD_PL_REC-DESP'!U74)</f>
        <v>-</v>
      </c>
      <c r="D515" s="206">
        <f>SUMIFS(LANÇ_MOV[VALOR LÍQUIDO],LANÇ_MOV[RECEITA OU DESPESA],"Despesa",LANÇ_MOV[CONTAS],$C515,LANÇ_MOV[PLANO DE CONTAS],REL_DRE_FINANCEIRO!$B$445,LANÇ_MOV[ANO PAGAMENTO],$B$4,LANÇ_MOV[MÊS PAGAMENTO CORRESPONDENTE],D$6,LANÇ_MOV[EMPRESA],$C$4,LANÇ_MOV[CENTRO DE CUSTOS],$D$4)</f>
        <v>0</v>
      </c>
      <c r="E515" s="206">
        <f>SUMIFS(LANÇ_MOV[VALOR LÍQUIDO],LANÇ_MOV[RECEITA OU DESPESA],"Despesa",LANÇ_MOV[CONTAS],$C515,LANÇ_MOV[PLANO DE CONTAS],REL_DRE_FINANCEIRO!$B$445,LANÇ_MOV[ANO PAGAMENTO],$B$4,LANÇ_MOV[MÊS PAGAMENTO CORRESPONDENTE],E$6,LANÇ_MOV[EMPRESA],$C$4,LANÇ_MOV[CENTRO DE CUSTOS],$D$4)</f>
        <v>0</v>
      </c>
      <c r="F515" s="206">
        <f>SUMIFS(LANÇ_MOV[VALOR LÍQUIDO],LANÇ_MOV[RECEITA OU DESPESA],"Despesa",LANÇ_MOV[CONTAS],$C515,LANÇ_MOV[PLANO DE CONTAS],REL_DRE_FINANCEIRO!$B$445,LANÇ_MOV[ANO PAGAMENTO],$B$4,LANÇ_MOV[MÊS PAGAMENTO CORRESPONDENTE],F$6,LANÇ_MOV[EMPRESA],$C$4,LANÇ_MOV[CENTRO DE CUSTOS],$D$4)</f>
        <v>0</v>
      </c>
      <c r="G515" s="206">
        <f>SUMIFS(LANÇ_MOV[VALOR LÍQUIDO],LANÇ_MOV[RECEITA OU DESPESA],"Despesa",LANÇ_MOV[CONTAS],$C515,LANÇ_MOV[PLANO DE CONTAS],REL_DRE_FINANCEIRO!$B$445,LANÇ_MOV[ANO PAGAMENTO],$B$4,LANÇ_MOV[MÊS PAGAMENTO CORRESPONDENTE],G$6,LANÇ_MOV[EMPRESA],$C$4,LANÇ_MOV[CENTRO DE CUSTOS],$D$4)</f>
        <v>0</v>
      </c>
      <c r="H515" s="206">
        <f>SUMIFS(LANÇ_MOV[VALOR LÍQUIDO],LANÇ_MOV[RECEITA OU DESPESA],"Despesa",LANÇ_MOV[CONTAS],$C515,LANÇ_MOV[PLANO DE CONTAS],REL_DRE_FINANCEIRO!$B$445,LANÇ_MOV[ANO PAGAMENTO],$B$4,LANÇ_MOV[MÊS PAGAMENTO CORRESPONDENTE],H$6,LANÇ_MOV[EMPRESA],$C$4,LANÇ_MOV[CENTRO DE CUSTOS],$D$4)</f>
        <v>0</v>
      </c>
      <c r="I515" s="206">
        <f>SUMIFS(LANÇ_MOV[VALOR LÍQUIDO],LANÇ_MOV[RECEITA OU DESPESA],"Despesa",LANÇ_MOV[CONTAS],$C515,LANÇ_MOV[PLANO DE CONTAS],REL_DRE_FINANCEIRO!$B$445,LANÇ_MOV[ANO PAGAMENTO],$B$4,LANÇ_MOV[MÊS PAGAMENTO CORRESPONDENTE],I$6,LANÇ_MOV[EMPRESA],$C$4,LANÇ_MOV[CENTRO DE CUSTOS],$D$4)</f>
        <v>0</v>
      </c>
      <c r="J515" s="206">
        <f>SUMIFS(LANÇ_MOV[VALOR LÍQUIDO],LANÇ_MOV[RECEITA OU DESPESA],"Despesa",LANÇ_MOV[CONTAS],$C515,LANÇ_MOV[PLANO DE CONTAS],REL_DRE_FINANCEIRO!$B$445,LANÇ_MOV[ANO PAGAMENTO],$B$4,LANÇ_MOV[MÊS PAGAMENTO CORRESPONDENTE],J$6,LANÇ_MOV[EMPRESA],$C$4,LANÇ_MOV[CENTRO DE CUSTOS],$D$4)</f>
        <v>0</v>
      </c>
      <c r="K515" s="206">
        <f>SUMIFS(LANÇ_MOV[VALOR LÍQUIDO],LANÇ_MOV[RECEITA OU DESPESA],"Despesa",LANÇ_MOV[CONTAS],$C515,LANÇ_MOV[PLANO DE CONTAS],REL_DRE_FINANCEIRO!$B$445,LANÇ_MOV[ANO PAGAMENTO],$B$4,LANÇ_MOV[MÊS PAGAMENTO CORRESPONDENTE],K$6,LANÇ_MOV[EMPRESA],$C$4,LANÇ_MOV[CENTRO DE CUSTOS],$D$4)</f>
        <v>0</v>
      </c>
      <c r="L515" s="206">
        <f>SUMIFS(LANÇ_MOV[VALOR LÍQUIDO],LANÇ_MOV[RECEITA OU DESPESA],"Despesa",LANÇ_MOV[CONTAS],$C515,LANÇ_MOV[PLANO DE CONTAS],REL_DRE_FINANCEIRO!$B$445,LANÇ_MOV[ANO PAGAMENTO],$B$4,LANÇ_MOV[MÊS PAGAMENTO CORRESPONDENTE],L$6,LANÇ_MOV[EMPRESA],$C$4,LANÇ_MOV[CENTRO DE CUSTOS],$D$4)</f>
        <v>0</v>
      </c>
      <c r="M515" s="206">
        <f>SUMIFS(LANÇ_MOV[VALOR LÍQUIDO],LANÇ_MOV[RECEITA OU DESPESA],"Despesa",LANÇ_MOV[CONTAS],$C515,LANÇ_MOV[PLANO DE CONTAS],REL_DRE_FINANCEIRO!$B$445,LANÇ_MOV[ANO PAGAMENTO],$B$4,LANÇ_MOV[MÊS PAGAMENTO CORRESPONDENTE],M$6,LANÇ_MOV[EMPRESA],$C$4,LANÇ_MOV[CENTRO DE CUSTOS],$D$4)</f>
        <v>0</v>
      </c>
      <c r="N515" s="206">
        <f>SUMIFS(LANÇ_MOV[VALOR LÍQUIDO],LANÇ_MOV[RECEITA OU DESPESA],"Despesa",LANÇ_MOV[CONTAS],$C515,LANÇ_MOV[PLANO DE CONTAS],REL_DRE_FINANCEIRO!$B$445,LANÇ_MOV[ANO PAGAMENTO],$B$4,LANÇ_MOV[MÊS PAGAMENTO CORRESPONDENTE],N$6,LANÇ_MOV[EMPRESA],$C$4,LANÇ_MOV[CENTRO DE CUSTOS],$D$4)</f>
        <v>0</v>
      </c>
      <c r="O515" s="206">
        <f>SUMIFS(LANÇ_MOV[VALOR LÍQUIDO],LANÇ_MOV[RECEITA OU DESPESA],"Despesa",LANÇ_MOV[CONTAS],$C515,LANÇ_MOV[PLANO DE CONTAS],REL_DRE_FINANCEIRO!$B$445,LANÇ_MOV[ANO PAGAMENTO],$B$4,LANÇ_MOV[MÊS PAGAMENTO CORRESPONDENTE],O$6,LANÇ_MOV[EMPRESA],$C$4,LANÇ_MOV[CENTRO DE CUSTOS],$D$4)</f>
        <v>0</v>
      </c>
      <c r="P515" s="207">
        <f t="shared" si="70"/>
        <v>0</v>
      </c>
      <c r="Q515" s="329">
        <v>3.1E-6</v>
      </c>
      <c r="R515" s="346">
        <f t="shared" si="72"/>
        <v>3.1E-6</v>
      </c>
      <c r="S515" s="347" t="str">
        <f t="shared" si="73"/>
        <v>-</v>
      </c>
      <c r="T515" s="347">
        <f t="shared" si="74"/>
        <v>0</v>
      </c>
      <c r="U515" s="347">
        <f>HLOOKUP(Apoio!$P$12,$D$444:$P$545,X515,FALSE)+Q515</f>
        <v>3.1E-6</v>
      </c>
      <c r="V515" s="447" t="str">
        <f t="shared" si="71"/>
        <v>-</v>
      </c>
      <c r="W515" s="448">
        <f>HLOOKUP(Apoio!$P$12,$D$444:$P$545,X515,FALSE)</f>
        <v>0</v>
      </c>
      <c r="X515" s="329">
        <v>72</v>
      </c>
    </row>
    <row r="516" spans="2:24" ht="30.05" customHeight="1" x14ac:dyDescent="0.35">
      <c r="B516" s="204" t="str">
        <f>'CAD_PL_REC-DESP'!T75</f>
        <v>2.4.71</v>
      </c>
      <c r="C516" s="205" t="str">
        <f>IF('CAD_PL_REC-DESP'!U75="","-",'CAD_PL_REC-DESP'!U75)</f>
        <v>-</v>
      </c>
      <c r="D516" s="206">
        <f>SUMIFS(LANÇ_MOV[VALOR LÍQUIDO],LANÇ_MOV[RECEITA OU DESPESA],"Despesa",LANÇ_MOV[CONTAS],$C516,LANÇ_MOV[PLANO DE CONTAS],REL_DRE_FINANCEIRO!$B$445,LANÇ_MOV[ANO PAGAMENTO],$B$4,LANÇ_MOV[MÊS PAGAMENTO CORRESPONDENTE],D$6,LANÇ_MOV[EMPRESA],$C$4,LANÇ_MOV[CENTRO DE CUSTOS],$D$4)</f>
        <v>0</v>
      </c>
      <c r="E516" s="206">
        <f>SUMIFS(LANÇ_MOV[VALOR LÍQUIDO],LANÇ_MOV[RECEITA OU DESPESA],"Despesa",LANÇ_MOV[CONTAS],$C516,LANÇ_MOV[PLANO DE CONTAS],REL_DRE_FINANCEIRO!$B$445,LANÇ_MOV[ANO PAGAMENTO],$B$4,LANÇ_MOV[MÊS PAGAMENTO CORRESPONDENTE],E$6,LANÇ_MOV[EMPRESA],$C$4,LANÇ_MOV[CENTRO DE CUSTOS],$D$4)</f>
        <v>0</v>
      </c>
      <c r="F516" s="206">
        <f>SUMIFS(LANÇ_MOV[VALOR LÍQUIDO],LANÇ_MOV[RECEITA OU DESPESA],"Despesa",LANÇ_MOV[CONTAS],$C516,LANÇ_MOV[PLANO DE CONTAS],REL_DRE_FINANCEIRO!$B$445,LANÇ_MOV[ANO PAGAMENTO],$B$4,LANÇ_MOV[MÊS PAGAMENTO CORRESPONDENTE],F$6,LANÇ_MOV[EMPRESA],$C$4,LANÇ_MOV[CENTRO DE CUSTOS],$D$4)</f>
        <v>0</v>
      </c>
      <c r="G516" s="206">
        <f>SUMIFS(LANÇ_MOV[VALOR LÍQUIDO],LANÇ_MOV[RECEITA OU DESPESA],"Despesa",LANÇ_MOV[CONTAS],$C516,LANÇ_MOV[PLANO DE CONTAS],REL_DRE_FINANCEIRO!$B$445,LANÇ_MOV[ANO PAGAMENTO],$B$4,LANÇ_MOV[MÊS PAGAMENTO CORRESPONDENTE],G$6,LANÇ_MOV[EMPRESA],$C$4,LANÇ_MOV[CENTRO DE CUSTOS],$D$4)</f>
        <v>0</v>
      </c>
      <c r="H516" s="206">
        <f>SUMIFS(LANÇ_MOV[VALOR LÍQUIDO],LANÇ_MOV[RECEITA OU DESPESA],"Despesa",LANÇ_MOV[CONTAS],$C516,LANÇ_MOV[PLANO DE CONTAS],REL_DRE_FINANCEIRO!$B$445,LANÇ_MOV[ANO PAGAMENTO],$B$4,LANÇ_MOV[MÊS PAGAMENTO CORRESPONDENTE],H$6,LANÇ_MOV[EMPRESA],$C$4,LANÇ_MOV[CENTRO DE CUSTOS],$D$4)</f>
        <v>0</v>
      </c>
      <c r="I516" s="206">
        <f>SUMIFS(LANÇ_MOV[VALOR LÍQUIDO],LANÇ_MOV[RECEITA OU DESPESA],"Despesa",LANÇ_MOV[CONTAS],$C516,LANÇ_MOV[PLANO DE CONTAS],REL_DRE_FINANCEIRO!$B$445,LANÇ_MOV[ANO PAGAMENTO],$B$4,LANÇ_MOV[MÊS PAGAMENTO CORRESPONDENTE],I$6,LANÇ_MOV[EMPRESA],$C$4,LANÇ_MOV[CENTRO DE CUSTOS],$D$4)</f>
        <v>0</v>
      </c>
      <c r="J516" s="206">
        <f>SUMIFS(LANÇ_MOV[VALOR LÍQUIDO],LANÇ_MOV[RECEITA OU DESPESA],"Despesa",LANÇ_MOV[CONTAS],$C516,LANÇ_MOV[PLANO DE CONTAS],REL_DRE_FINANCEIRO!$B$445,LANÇ_MOV[ANO PAGAMENTO],$B$4,LANÇ_MOV[MÊS PAGAMENTO CORRESPONDENTE],J$6,LANÇ_MOV[EMPRESA],$C$4,LANÇ_MOV[CENTRO DE CUSTOS],$D$4)</f>
        <v>0</v>
      </c>
      <c r="K516" s="206">
        <f>SUMIFS(LANÇ_MOV[VALOR LÍQUIDO],LANÇ_MOV[RECEITA OU DESPESA],"Despesa",LANÇ_MOV[CONTAS],$C516,LANÇ_MOV[PLANO DE CONTAS],REL_DRE_FINANCEIRO!$B$445,LANÇ_MOV[ANO PAGAMENTO],$B$4,LANÇ_MOV[MÊS PAGAMENTO CORRESPONDENTE],K$6,LANÇ_MOV[EMPRESA],$C$4,LANÇ_MOV[CENTRO DE CUSTOS],$D$4)</f>
        <v>0</v>
      </c>
      <c r="L516" s="206">
        <f>SUMIFS(LANÇ_MOV[VALOR LÍQUIDO],LANÇ_MOV[RECEITA OU DESPESA],"Despesa",LANÇ_MOV[CONTAS],$C516,LANÇ_MOV[PLANO DE CONTAS],REL_DRE_FINANCEIRO!$B$445,LANÇ_MOV[ANO PAGAMENTO],$B$4,LANÇ_MOV[MÊS PAGAMENTO CORRESPONDENTE],L$6,LANÇ_MOV[EMPRESA],$C$4,LANÇ_MOV[CENTRO DE CUSTOS],$D$4)</f>
        <v>0</v>
      </c>
      <c r="M516" s="206">
        <f>SUMIFS(LANÇ_MOV[VALOR LÍQUIDO],LANÇ_MOV[RECEITA OU DESPESA],"Despesa",LANÇ_MOV[CONTAS],$C516,LANÇ_MOV[PLANO DE CONTAS],REL_DRE_FINANCEIRO!$B$445,LANÇ_MOV[ANO PAGAMENTO],$B$4,LANÇ_MOV[MÊS PAGAMENTO CORRESPONDENTE],M$6,LANÇ_MOV[EMPRESA],$C$4,LANÇ_MOV[CENTRO DE CUSTOS],$D$4)</f>
        <v>0</v>
      </c>
      <c r="N516" s="206">
        <f>SUMIFS(LANÇ_MOV[VALOR LÍQUIDO],LANÇ_MOV[RECEITA OU DESPESA],"Despesa",LANÇ_MOV[CONTAS],$C516,LANÇ_MOV[PLANO DE CONTAS],REL_DRE_FINANCEIRO!$B$445,LANÇ_MOV[ANO PAGAMENTO],$B$4,LANÇ_MOV[MÊS PAGAMENTO CORRESPONDENTE],N$6,LANÇ_MOV[EMPRESA],$C$4,LANÇ_MOV[CENTRO DE CUSTOS],$D$4)</f>
        <v>0</v>
      </c>
      <c r="O516" s="206">
        <f>SUMIFS(LANÇ_MOV[VALOR LÍQUIDO],LANÇ_MOV[RECEITA OU DESPESA],"Despesa",LANÇ_MOV[CONTAS],$C516,LANÇ_MOV[PLANO DE CONTAS],REL_DRE_FINANCEIRO!$B$445,LANÇ_MOV[ANO PAGAMENTO],$B$4,LANÇ_MOV[MÊS PAGAMENTO CORRESPONDENTE],O$6,LANÇ_MOV[EMPRESA],$C$4,LANÇ_MOV[CENTRO DE CUSTOS],$D$4)</f>
        <v>0</v>
      </c>
      <c r="P516" s="207">
        <f t="shared" si="70"/>
        <v>0</v>
      </c>
      <c r="Q516" s="329">
        <v>3.0000000000000001E-6</v>
      </c>
      <c r="R516" s="346">
        <f t="shared" si="72"/>
        <v>3.0000000000000001E-6</v>
      </c>
      <c r="S516" s="347" t="str">
        <f t="shared" si="73"/>
        <v>-</v>
      </c>
      <c r="T516" s="347">
        <f t="shared" si="74"/>
        <v>0</v>
      </c>
      <c r="U516" s="347">
        <f>HLOOKUP(Apoio!$P$12,$D$444:$P$545,X516,FALSE)+Q516</f>
        <v>3.0000000000000001E-6</v>
      </c>
      <c r="V516" s="447" t="str">
        <f t="shared" si="71"/>
        <v>-</v>
      </c>
      <c r="W516" s="448">
        <f>HLOOKUP(Apoio!$P$12,$D$444:$P$545,X516,FALSE)</f>
        <v>0</v>
      </c>
      <c r="X516" s="329">
        <v>73</v>
      </c>
    </row>
    <row r="517" spans="2:24" ht="30.05" customHeight="1" x14ac:dyDescent="0.35">
      <c r="B517" s="204" t="str">
        <f>'CAD_PL_REC-DESP'!T76</f>
        <v>2.4.72</v>
      </c>
      <c r="C517" s="205" t="str">
        <f>IF('CAD_PL_REC-DESP'!U76="","-",'CAD_PL_REC-DESP'!U76)</f>
        <v>-</v>
      </c>
      <c r="D517" s="206">
        <f>SUMIFS(LANÇ_MOV[VALOR LÍQUIDO],LANÇ_MOV[RECEITA OU DESPESA],"Despesa",LANÇ_MOV[CONTAS],$C517,LANÇ_MOV[PLANO DE CONTAS],REL_DRE_FINANCEIRO!$B$445,LANÇ_MOV[ANO PAGAMENTO],$B$4,LANÇ_MOV[MÊS PAGAMENTO CORRESPONDENTE],D$6,LANÇ_MOV[EMPRESA],$C$4,LANÇ_MOV[CENTRO DE CUSTOS],$D$4)</f>
        <v>0</v>
      </c>
      <c r="E517" s="206">
        <f>SUMIFS(LANÇ_MOV[VALOR LÍQUIDO],LANÇ_MOV[RECEITA OU DESPESA],"Despesa",LANÇ_MOV[CONTAS],$C517,LANÇ_MOV[PLANO DE CONTAS],REL_DRE_FINANCEIRO!$B$445,LANÇ_MOV[ANO PAGAMENTO],$B$4,LANÇ_MOV[MÊS PAGAMENTO CORRESPONDENTE],E$6,LANÇ_MOV[EMPRESA],$C$4,LANÇ_MOV[CENTRO DE CUSTOS],$D$4)</f>
        <v>0</v>
      </c>
      <c r="F517" s="206">
        <f>SUMIFS(LANÇ_MOV[VALOR LÍQUIDO],LANÇ_MOV[RECEITA OU DESPESA],"Despesa",LANÇ_MOV[CONTAS],$C517,LANÇ_MOV[PLANO DE CONTAS],REL_DRE_FINANCEIRO!$B$445,LANÇ_MOV[ANO PAGAMENTO],$B$4,LANÇ_MOV[MÊS PAGAMENTO CORRESPONDENTE],F$6,LANÇ_MOV[EMPRESA],$C$4,LANÇ_MOV[CENTRO DE CUSTOS],$D$4)</f>
        <v>0</v>
      </c>
      <c r="G517" s="206">
        <f>SUMIFS(LANÇ_MOV[VALOR LÍQUIDO],LANÇ_MOV[RECEITA OU DESPESA],"Despesa",LANÇ_MOV[CONTAS],$C517,LANÇ_MOV[PLANO DE CONTAS],REL_DRE_FINANCEIRO!$B$445,LANÇ_MOV[ANO PAGAMENTO],$B$4,LANÇ_MOV[MÊS PAGAMENTO CORRESPONDENTE],G$6,LANÇ_MOV[EMPRESA],$C$4,LANÇ_MOV[CENTRO DE CUSTOS],$D$4)</f>
        <v>0</v>
      </c>
      <c r="H517" s="206">
        <f>SUMIFS(LANÇ_MOV[VALOR LÍQUIDO],LANÇ_MOV[RECEITA OU DESPESA],"Despesa",LANÇ_MOV[CONTAS],$C517,LANÇ_MOV[PLANO DE CONTAS],REL_DRE_FINANCEIRO!$B$445,LANÇ_MOV[ANO PAGAMENTO],$B$4,LANÇ_MOV[MÊS PAGAMENTO CORRESPONDENTE],H$6,LANÇ_MOV[EMPRESA],$C$4,LANÇ_MOV[CENTRO DE CUSTOS],$D$4)</f>
        <v>0</v>
      </c>
      <c r="I517" s="206">
        <f>SUMIFS(LANÇ_MOV[VALOR LÍQUIDO],LANÇ_MOV[RECEITA OU DESPESA],"Despesa",LANÇ_MOV[CONTAS],$C517,LANÇ_MOV[PLANO DE CONTAS],REL_DRE_FINANCEIRO!$B$445,LANÇ_MOV[ANO PAGAMENTO],$B$4,LANÇ_MOV[MÊS PAGAMENTO CORRESPONDENTE],I$6,LANÇ_MOV[EMPRESA],$C$4,LANÇ_MOV[CENTRO DE CUSTOS],$D$4)</f>
        <v>0</v>
      </c>
      <c r="J517" s="206">
        <f>SUMIFS(LANÇ_MOV[VALOR LÍQUIDO],LANÇ_MOV[RECEITA OU DESPESA],"Despesa",LANÇ_MOV[CONTAS],$C517,LANÇ_MOV[PLANO DE CONTAS],REL_DRE_FINANCEIRO!$B$445,LANÇ_MOV[ANO PAGAMENTO],$B$4,LANÇ_MOV[MÊS PAGAMENTO CORRESPONDENTE],J$6,LANÇ_MOV[EMPRESA],$C$4,LANÇ_MOV[CENTRO DE CUSTOS],$D$4)</f>
        <v>0</v>
      </c>
      <c r="K517" s="206">
        <f>SUMIFS(LANÇ_MOV[VALOR LÍQUIDO],LANÇ_MOV[RECEITA OU DESPESA],"Despesa",LANÇ_MOV[CONTAS],$C517,LANÇ_MOV[PLANO DE CONTAS],REL_DRE_FINANCEIRO!$B$445,LANÇ_MOV[ANO PAGAMENTO],$B$4,LANÇ_MOV[MÊS PAGAMENTO CORRESPONDENTE],K$6,LANÇ_MOV[EMPRESA],$C$4,LANÇ_MOV[CENTRO DE CUSTOS],$D$4)</f>
        <v>0</v>
      </c>
      <c r="L517" s="206">
        <f>SUMIFS(LANÇ_MOV[VALOR LÍQUIDO],LANÇ_MOV[RECEITA OU DESPESA],"Despesa",LANÇ_MOV[CONTAS],$C517,LANÇ_MOV[PLANO DE CONTAS],REL_DRE_FINANCEIRO!$B$445,LANÇ_MOV[ANO PAGAMENTO],$B$4,LANÇ_MOV[MÊS PAGAMENTO CORRESPONDENTE],L$6,LANÇ_MOV[EMPRESA],$C$4,LANÇ_MOV[CENTRO DE CUSTOS],$D$4)</f>
        <v>0</v>
      </c>
      <c r="M517" s="206">
        <f>SUMIFS(LANÇ_MOV[VALOR LÍQUIDO],LANÇ_MOV[RECEITA OU DESPESA],"Despesa",LANÇ_MOV[CONTAS],$C517,LANÇ_MOV[PLANO DE CONTAS],REL_DRE_FINANCEIRO!$B$445,LANÇ_MOV[ANO PAGAMENTO],$B$4,LANÇ_MOV[MÊS PAGAMENTO CORRESPONDENTE],M$6,LANÇ_MOV[EMPRESA],$C$4,LANÇ_MOV[CENTRO DE CUSTOS],$D$4)</f>
        <v>0</v>
      </c>
      <c r="N517" s="206">
        <f>SUMIFS(LANÇ_MOV[VALOR LÍQUIDO],LANÇ_MOV[RECEITA OU DESPESA],"Despesa",LANÇ_MOV[CONTAS],$C517,LANÇ_MOV[PLANO DE CONTAS],REL_DRE_FINANCEIRO!$B$445,LANÇ_MOV[ANO PAGAMENTO],$B$4,LANÇ_MOV[MÊS PAGAMENTO CORRESPONDENTE],N$6,LANÇ_MOV[EMPRESA],$C$4,LANÇ_MOV[CENTRO DE CUSTOS],$D$4)</f>
        <v>0</v>
      </c>
      <c r="O517" s="206">
        <f>SUMIFS(LANÇ_MOV[VALOR LÍQUIDO],LANÇ_MOV[RECEITA OU DESPESA],"Despesa",LANÇ_MOV[CONTAS],$C517,LANÇ_MOV[PLANO DE CONTAS],REL_DRE_FINANCEIRO!$B$445,LANÇ_MOV[ANO PAGAMENTO],$B$4,LANÇ_MOV[MÊS PAGAMENTO CORRESPONDENTE],O$6,LANÇ_MOV[EMPRESA],$C$4,LANÇ_MOV[CENTRO DE CUSTOS],$D$4)</f>
        <v>0</v>
      </c>
      <c r="P517" s="207">
        <f t="shared" si="70"/>
        <v>0</v>
      </c>
      <c r="Q517" s="329">
        <v>2.9000000000000002E-6</v>
      </c>
      <c r="R517" s="346">
        <f t="shared" si="72"/>
        <v>2.9000000000000002E-6</v>
      </c>
      <c r="S517" s="347" t="str">
        <f t="shared" si="73"/>
        <v>-</v>
      </c>
      <c r="T517" s="347">
        <f t="shared" si="74"/>
        <v>0</v>
      </c>
      <c r="U517" s="347">
        <f>HLOOKUP(Apoio!$P$12,$D$444:$P$545,X517,FALSE)+Q517</f>
        <v>2.9000000000000002E-6</v>
      </c>
      <c r="V517" s="447" t="str">
        <f t="shared" si="71"/>
        <v>-</v>
      </c>
      <c r="W517" s="448">
        <f>HLOOKUP(Apoio!$P$12,$D$444:$P$545,X517,FALSE)</f>
        <v>0</v>
      </c>
      <c r="X517" s="329">
        <v>74</v>
      </c>
    </row>
    <row r="518" spans="2:24" ht="30.05" customHeight="1" x14ac:dyDescent="0.35">
      <c r="B518" s="204" t="str">
        <f>'CAD_PL_REC-DESP'!T77</f>
        <v>2.4.73</v>
      </c>
      <c r="C518" s="205" t="str">
        <f>IF('CAD_PL_REC-DESP'!U77="","-",'CAD_PL_REC-DESP'!U77)</f>
        <v>-</v>
      </c>
      <c r="D518" s="206">
        <f>SUMIFS(LANÇ_MOV[VALOR LÍQUIDO],LANÇ_MOV[RECEITA OU DESPESA],"Despesa",LANÇ_MOV[CONTAS],$C518,LANÇ_MOV[PLANO DE CONTAS],REL_DRE_FINANCEIRO!$B$445,LANÇ_MOV[ANO PAGAMENTO],$B$4,LANÇ_MOV[MÊS PAGAMENTO CORRESPONDENTE],D$6,LANÇ_MOV[EMPRESA],$C$4,LANÇ_MOV[CENTRO DE CUSTOS],$D$4)</f>
        <v>0</v>
      </c>
      <c r="E518" s="206">
        <f>SUMIFS(LANÇ_MOV[VALOR LÍQUIDO],LANÇ_MOV[RECEITA OU DESPESA],"Despesa",LANÇ_MOV[CONTAS],$C518,LANÇ_MOV[PLANO DE CONTAS],REL_DRE_FINANCEIRO!$B$445,LANÇ_MOV[ANO PAGAMENTO],$B$4,LANÇ_MOV[MÊS PAGAMENTO CORRESPONDENTE],E$6,LANÇ_MOV[EMPRESA],$C$4,LANÇ_MOV[CENTRO DE CUSTOS],$D$4)</f>
        <v>0</v>
      </c>
      <c r="F518" s="206">
        <f>SUMIFS(LANÇ_MOV[VALOR LÍQUIDO],LANÇ_MOV[RECEITA OU DESPESA],"Despesa",LANÇ_MOV[CONTAS],$C518,LANÇ_MOV[PLANO DE CONTAS],REL_DRE_FINANCEIRO!$B$445,LANÇ_MOV[ANO PAGAMENTO],$B$4,LANÇ_MOV[MÊS PAGAMENTO CORRESPONDENTE],F$6,LANÇ_MOV[EMPRESA],$C$4,LANÇ_MOV[CENTRO DE CUSTOS],$D$4)</f>
        <v>0</v>
      </c>
      <c r="G518" s="206">
        <f>SUMIFS(LANÇ_MOV[VALOR LÍQUIDO],LANÇ_MOV[RECEITA OU DESPESA],"Despesa",LANÇ_MOV[CONTAS],$C518,LANÇ_MOV[PLANO DE CONTAS],REL_DRE_FINANCEIRO!$B$445,LANÇ_MOV[ANO PAGAMENTO],$B$4,LANÇ_MOV[MÊS PAGAMENTO CORRESPONDENTE],G$6,LANÇ_MOV[EMPRESA],$C$4,LANÇ_MOV[CENTRO DE CUSTOS],$D$4)</f>
        <v>0</v>
      </c>
      <c r="H518" s="206">
        <f>SUMIFS(LANÇ_MOV[VALOR LÍQUIDO],LANÇ_MOV[RECEITA OU DESPESA],"Despesa",LANÇ_MOV[CONTAS],$C518,LANÇ_MOV[PLANO DE CONTAS],REL_DRE_FINANCEIRO!$B$445,LANÇ_MOV[ANO PAGAMENTO],$B$4,LANÇ_MOV[MÊS PAGAMENTO CORRESPONDENTE],H$6,LANÇ_MOV[EMPRESA],$C$4,LANÇ_MOV[CENTRO DE CUSTOS],$D$4)</f>
        <v>0</v>
      </c>
      <c r="I518" s="206">
        <f>SUMIFS(LANÇ_MOV[VALOR LÍQUIDO],LANÇ_MOV[RECEITA OU DESPESA],"Despesa",LANÇ_MOV[CONTAS],$C518,LANÇ_MOV[PLANO DE CONTAS],REL_DRE_FINANCEIRO!$B$445,LANÇ_MOV[ANO PAGAMENTO],$B$4,LANÇ_MOV[MÊS PAGAMENTO CORRESPONDENTE],I$6,LANÇ_MOV[EMPRESA],$C$4,LANÇ_MOV[CENTRO DE CUSTOS],$D$4)</f>
        <v>0</v>
      </c>
      <c r="J518" s="206">
        <f>SUMIFS(LANÇ_MOV[VALOR LÍQUIDO],LANÇ_MOV[RECEITA OU DESPESA],"Despesa",LANÇ_MOV[CONTAS],$C518,LANÇ_MOV[PLANO DE CONTAS],REL_DRE_FINANCEIRO!$B$445,LANÇ_MOV[ANO PAGAMENTO],$B$4,LANÇ_MOV[MÊS PAGAMENTO CORRESPONDENTE],J$6,LANÇ_MOV[EMPRESA],$C$4,LANÇ_MOV[CENTRO DE CUSTOS],$D$4)</f>
        <v>0</v>
      </c>
      <c r="K518" s="206">
        <f>SUMIFS(LANÇ_MOV[VALOR LÍQUIDO],LANÇ_MOV[RECEITA OU DESPESA],"Despesa",LANÇ_MOV[CONTAS],$C518,LANÇ_MOV[PLANO DE CONTAS],REL_DRE_FINANCEIRO!$B$445,LANÇ_MOV[ANO PAGAMENTO],$B$4,LANÇ_MOV[MÊS PAGAMENTO CORRESPONDENTE],K$6,LANÇ_MOV[EMPRESA],$C$4,LANÇ_MOV[CENTRO DE CUSTOS],$D$4)</f>
        <v>0</v>
      </c>
      <c r="L518" s="206">
        <f>SUMIFS(LANÇ_MOV[VALOR LÍQUIDO],LANÇ_MOV[RECEITA OU DESPESA],"Despesa",LANÇ_MOV[CONTAS],$C518,LANÇ_MOV[PLANO DE CONTAS],REL_DRE_FINANCEIRO!$B$445,LANÇ_MOV[ANO PAGAMENTO],$B$4,LANÇ_MOV[MÊS PAGAMENTO CORRESPONDENTE],L$6,LANÇ_MOV[EMPRESA],$C$4,LANÇ_MOV[CENTRO DE CUSTOS],$D$4)</f>
        <v>0</v>
      </c>
      <c r="M518" s="206">
        <f>SUMIFS(LANÇ_MOV[VALOR LÍQUIDO],LANÇ_MOV[RECEITA OU DESPESA],"Despesa",LANÇ_MOV[CONTAS],$C518,LANÇ_MOV[PLANO DE CONTAS],REL_DRE_FINANCEIRO!$B$445,LANÇ_MOV[ANO PAGAMENTO],$B$4,LANÇ_MOV[MÊS PAGAMENTO CORRESPONDENTE],M$6,LANÇ_MOV[EMPRESA],$C$4,LANÇ_MOV[CENTRO DE CUSTOS],$D$4)</f>
        <v>0</v>
      </c>
      <c r="N518" s="206">
        <f>SUMIFS(LANÇ_MOV[VALOR LÍQUIDO],LANÇ_MOV[RECEITA OU DESPESA],"Despesa",LANÇ_MOV[CONTAS],$C518,LANÇ_MOV[PLANO DE CONTAS],REL_DRE_FINANCEIRO!$B$445,LANÇ_MOV[ANO PAGAMENTO],$B$4,LANÇ_MOV[MÊS PAGAMENTO CORRESPONDENTE],N$6,LANÇ_MOV[EMPRESA],$C$4,LANÇ_MOV[CENTRO DE CUSTOS],$D$4)</f>
        <v>0</v>
      </c>
      <c r="O518" s="206">
        <f>SUMIFS(LANÇ_MOV[VALOR LÍQUIDO],LANÇ_MOV[RECEITA OU DESPESA],"Despesa",LANÇ_MOV[CONTAS],$C518,LANÇ_MOV[PLANO DE CONTAS],REL_DRE_FINANCEIRO!$B$445,LANÇ_MOV[ANO PAGAMENTO],$B$4,LANÇ_MOV[MÊS PAGAMENTO CORRESPONDENTE],O$6,LANÇ_MOV[EMPRESA],$C$4,LANÇ_MOV[CENTRO DE CUSTOS],$D$4)</f>
        <v>0</v>
      </c>
      <c r="P518" s="207">
        <f t="shared" si="70"/>
        <v>0</v>
      </c>
      <c r="Q518" s="329">
        <v>2.7999999999999999E-6</v>
      </c>
      <c r="R518" s="346">
        <f t="shared" si="72"/>
        <v>2.7999999999999999E-6</v>
      </c>
      <c r="S518" s="347" t="str">
        <f t="shared" si="73"/>
        <v>-</v>
      </c>
      <c r="T518" s="347">
        <f t="shared" si="74"/>
        <v>0</v>
      </c>
      <c r="U518" s="347">
        <f>HLOOKUP(Apoio!$P$12,$D$444:$P$545,X518,FALSE)+Q518</f>
        <v>2.7999999999999999E-6</v>
      </c>
      <c r="V518" s="447" t="str">
        <f t="shared" si="71"/>
        <v>-</v>
      </c>
      <c r="W518" s="448">
        <f>HLOOKUP(Apoio!$P$12,$D$444:$P$545,X518,FALSE)</f>
        <v>0</v>
      </c>
      <c r="X518" s="329">
        <v>75</v>
      </c>
    </row>
    <row r="519" spans="2:24" ht="30.05" customHeight="1" x14ac:dyDescent="0.35">
      <c r="B519" s="204" t="str">
        <f>'CAD_PL_REC-DESP'!T78</f>
        <v>2.4.74</v>
      </c>
      <c r="C519" s="205" t="str">
        <f>IF('CAD_PL_REC-DESP'!U78="","-",'CAD_PL_REC-DESP'!U78)</f>
        <v>-</v>
      </c>
      <c r="D519" s="206">
        <f>SUMIFS(LANÇ_MOV[VALOR LÍQUIDO],LANÇ_MOV[RECEITA OU DESPESA],"Despesa",LANÇ_MOV[CONTAS],$C519,LANÇ_MOV[PLANO DE CONTAS],REL_DRE_FINANCEIRO!$B$445,LANÇ_MOV[ANO PAGAMENTO],$B$4,LANÇ_MOV[MÊS PAGAMENTO CORRESPONDENTE],D$6,LANÇ_MOV[EMPRESA],$C$4,LANÇ_MOV[CENTRO DE CUSTOS],$D$4)</f>
        <v>0</v>
      </c>
      <c r="E519" s="206">
        <f>SUMIFS(LANÇ_MOV[VALOR LÍQUIDO],LANÇ_MOV[RECEITA OU DESPESA],"Despesa",LANÇ_MOV[CONTAS],$C519,LANÇ_MOV[PLANO DE CONTAS],REL_DRE_FINANCEIRO!$B$445,LANÇ_MOV[ANO PAGAMENTO],$B$4,LANÇ_MOV[MÊS PAGAMENTO CORRESPONDENTE],E$6,LANÇ_MOV[EMPRESA],$C$4,LANÇ_MOV[CENTRO DE CUSTOS],$D$4)</f>
        <v>0</v>
      </c>
      <c r="F519" s="206">
        <f>SUMIFS(LANÇ_MOV[VALOR LÍQUIDO],LANÇ_MOV[RECEITA OU DESPESA],"Despesa",LANÇ_MOV[CONTAS],$C519,LANÇ_MOV[PLANO DE CONTAS],REL_DRE_FINANCEIRO!$B$445,LANÇ_MOV[ANO PAGAMENTO],$B$4,LANÇ_MOV[MÊS PAGAMENTO CORRESPONDENTE],F$6,LANÇ_MOV[EMPRESA],$C$4,LANÇ_MOV[CENTRO DE CUSTOS],$D$4)</f>
        <v>0</v>
      </c>
      <c r="G519" s="206">
        <f>SUMIFS(LANÇ_MOV[VALOR LÍQUIDO],LANÇ_MOV[RECEITA OU DESPESA],"Despesa",LANÇ_MOV[CONTAS],$C519,LANÇ_MOV[PLANO DE CONTAS],REL_DRE_FINANCEIRO!$B$445,LANÇ_MOV[ANO PAGAMENTO],$B$4,LANÇ_MOV[MÊS PAGAMENTO CORRESPONDENTE],G$6,LANÇ_MOV[EMPRESA],$C$4,LANÇ_MOV[CENTRO DE CUSTOS],$D$4)</f>
        <v>0</v>
      </c>
      <c r="H519" s="206">
        <f>SUMIFS(LANÇ_MOV[VALOR LÍQUIDO],LANÇ_MOV[RECEITA OU DESPESA],"Despesa",LANÇ_MOV[CONTAS],$C519,LANÇ_MOV[PLANO DE CONTAS],REL_DRE_FINANCEIRO!$B$445,LANÇ_MOV[ANO PAGAMENTO],$B$4,LANÇ_MOV[MÊS PAGAMENTO CORRESPONDENTE],H$6,LANÇ_MOV[EMPRESA],$C$4,LANÇ_MOV[CENTRO DE CUSTOS],$D$4)</f>
        <v>0</v>
      </c>
      <c r="I519" s="206">
        <f>SUMIFS(LANÇ_MOV[VALOR LÍQUIDO],LANÇ_MOV[RECEITA OU DESPESA],"Despesa",LANÇ_MOV[CONTAS],$C519,LANÇ_MOV[PLANO DE CONTAS],REL_DRE_FINANCEIRO!$B$445,LANÇ_MOV[ANO PAGAMENTO],$B$4,LANÇ_MOV[MÊS PAGAMENTO CORRESPONDENTE],I$6,LANÇ_MOV[EMPRESA],$C$4,LANÇ_MOV[CENTRO DE CUSTOS],$D$4)</f>
        <v>0</v>
      </c>
      <c r="J519" s="206">
        <f>SUMIFS(LANÇ_MOV[VALOR LÍQUIDO],LANÇ_MOV[RECEITA OU DESPESA],"Despesa",LANÇ_MOV[CONTAS],$C519,LANÇ_MOV[PLANO DE CONTAS],REL_DRE_FINANCEIRO!$B$445,LANÇ_MOV[ANO PAGAMENTO],$B$4,LANÇ_MOV[MÊS PAGAMENTO CORRESPONDENTE],J$6,LANÇ_MOV[EMPRESA],$C$4,LANÇ_MOV[CENTRO DE CUSTOS],$D$4)</f>
        <v>0</v>
      </c>
      <c r="K519" s="206">
        <f>SUMIFS(LANÇ_MOV[VALOR LÍQUIDO],LANÇ_MOV[RECEITA OU DESPESA],"Despesa",LANÇ_MOV[CONTAS],$C519,LANÇ_MOV[PLANO DE CONTAS],REL_DRE_FINANCEIRO!$B$445,LANÇ_MOV[ANO PAGAMENTO],$B$4,LANÇ_MOV[MÊS PAGAMENTO CORRESPONDENTE],K$6,LANÇ_MOV[EMPRESA],$C$4,LANÇ_MOV[CENTRO DE CUSTOS],$D$4)</f>
        <v>0</v>
      </c>
      <c r="L519" s="206">
        <f>SUMIFS(LANÇ_MOV[VALOR LÍQUIDO],LANÇ_MOV[RECEITA OU DESPESA],"Despesa",LANÇ_MOV[CONTAS],$C519,LANÇ_MOV[PLANO DE CONTAS],REL_DRE_FINANCEIRO!$B$445,LANÇ_MOV[ANO PAGAMENTO],$B$4,LANÇ_MOV[MÊS PAGAMENTO CORRESPONDENTE],L$6,LANÇ_MOV[EMPRESA],$C$4,LANÇ_MOV[CENTRO DE CUSTOS],$D$4)</f>
        <v>0</v>
      </c>
      <c r="M519" s="206">
        <f>SUMIFS(LANÇ_MOV[VALOR LÍQUIDO],LANÇ_MOV[RECEITA OU DESPESA],"Despesa",LANÇ_MOV[CONTAS],$C519,LANÇ_MOV[PLANO DE CONTAS],REL_DRE_FINANCEIRO!$B$445,LANÇ_MOV[ANO PAGAMENTO],$B$4,LANÇ_MOV[MÊS PAGAMENTO CORRESPONDENTE],M$6,LANÇ_MOV[EMPRESA],$C$4,LANÇ_MOV[CENTRO DE CUSTOS],$D$4)</f>
        <v>0</v>
      </c>
      <c r="N519" s="206">
        <f>SUMIFS(LANÇ_MOV[VALOR LÍQUIDO],LANÇ_MOV[RECEITA OU DESPESA],"Despesa",LANÇ_MOV[CONTAS],$C519,LANÇ_MOV[PLANO DE CONTAS],REL_DRE_FINANCEIRO!$B$445,LANÇ_MOV[ANO PAGAMENTO],$B$4,LANÇ_MOV[MÊS PAGAMENTO CORRESPONDENTE],N$6,LANÇ_MOV[EMPRESA],$C$4,LANÇ_MOV[CENTRO DE CUSTOS],$D$4)</f>
        <v>0</v>
      </c>
      <c r="O519" s="206">
        <f>SUMIFS(LANÇ_MOV[VALOR LÍQUIDO],LANÇ_MOV[RECEITA OU DESPESA],"Despesa",LANÇ_MOV[CONTAS],$C519,LANÇ_MOV[PLANO DE CONTAS],REL_DRE_FINANCEIRO!$B$445,LANÇ_MOV[ANO PAGAMENTO],$B$4,LANÇ_MOV[MÊS PAGAMENTO CORRESPONDENTE],O$6,LANÇ_MOV[EMPRESA],$C$4,LANÇ_MOV[CENTRO DE CUSTOS],$D$4)</f>
        <v>0</v>
      </c>
      <c r="P519" s="207">
        <f t="shared" si="70"/>
        <v>0</v>
      </c>
      <c r="Q519" s="329">
        <v>2.7E-6</v>
      </c>
      <c r="R519" s="346">
        <f t="shared" si="72"/>
        <v>2.7E-6</v>
      </c>
      <c r="S519" s="347" t="str">
        <f t="shared" si="73"/>
        <v>-</v>
      </c>
      <c r="T519" s="347">
        <f t="shared" si="74"/>
        <v>0</v>
      </c>
      <c r="U519" s="347">
        <f>HLOOKUP(Apoio!$P$12,$D$444:$P$545,X519,FALSE)+Q519</f>
        <v>2.7E-6</v>
      </c>
      <c r="V519" s="447" t="str">
        <f t="shared" si="71"/>
        <v>-</v>
      </c>
      <c r="W519" s="448">
        <f>HLOOKUP(Apoio!$P$12,$D$444:$P$545,X519,FALSE)</f>
        <v>0</v>
      </c>
      <c r="X519" s="329">
        <v>76</v>
      </c>
    </row>
    <row r="520" spans="2:24" ht="30.05" customHeight="1" x14ac:dyDescent="0.35">
      <c r="B520" s="204" t="str">
        <f>'CAD_PL_REC-DESP'!T79</f>
        <v>2.4.75</v>
      </c>
      <c r="C520" s="205" t="str">
        <f>IF('CAD_PL_REC-DESP'!U79="","-",'CAD_PL_REC-DESP'!U79)</f>
        <v>-</v>
      </c>
      <c r="D520" s="206">
        <f>SUMIFS(LANÇ_MOV[VALOR LÍQUIDO],LANÇ_MOV[RECEITA OU DESPESA],"Despesa",LANÇ_MOV[CONTAS],$C520,LANÇ_MOV[PLANO DE CONTAS],REL_DRE_FINANCEIRO!$B$445,LANÇ_MOV[ANO PAGAMENTO],$B$4,LANÇ_MOV[MÊS PAGAMENTO CORRESPONDENTE],D$6,LANÇ_MOV[EMPRESA],$C$4,LANÇ_MOV[CENTRO DE CUSTOS],$D$4)</f>
        <v>0</v>
      </c>
      <c r="E520" s="206">
        <f>SUMIFS(LANÇ_MOV[VALOR LÍQUIDO],LANÇ_MOV[RECEITA OU DESPESA],"Despesa",LANÇ_MOV[CONTAS],$C520,LANÇ_MOV[PLANO DE CONTAS],REL_DRE_FINANCEIRO!$B$445,LANÇ_MOV[ANO PAGAMENTO],$B$4,LANÇ_MOV[MÊS PAGAMENTO CORRESPONDENTE],E$6,LANÇ_MOV[EMPRESA],$C$4,LANÇ_MOV[CENTRO DE CUSTOS],$D$4)</f>
        <v>0</v>
      </c>
      <c r="F520" s="206">
        <f>SUMIFS(LANÇ_MOV[VALOR LÍQUIDO],LANÇ_MOV[RECEITA OU DESPESA],"Despesa",LANÇ_MOV[CONTAS],$C520,LANÇ_MOV[PLANO DE CONTAS],REL_DRE_FINANCEIRO!$B$445,LANÇ_MOV[ANO PAGAMENTO],$B$4,LANÇ_MOV[MÊS PAGAMENTO CORRESPONDENTE],F$6,LANÇ_MOV[EMPRESA],$C$4,LANÇ_MOV[CENTRO DE CUSTOS],$D$4)</f>
        <v>0</v>
      </c>
      <c r="G520" s="206">
        <f>SUMIFS(LANÇ_MOV[VALOR LÍQUIDO],LANÇ_MOV[RECEITA OU DESPESA],"Despesa",LANÇ_MOV[CONTAS],$C520,LANÇ_MOV[PLANO DE CONTAS],REL_DRE_FINANCEIRO!$B$445,LANÇ_MOV[ANO PAGAMENTO],$B$4,LANÇ_MOV[MÊS PAGAMENTO CORRESPONDENTE],G$6,LANÇ_MOV[EMPRESA],$C$4,LANÇ_MOV[CENTRO DE CUSTOS],$D$4)</f>
        <v>0</v>
      </c>
      <c r="H520" s="206">
        <f>SUMIFS(LANÇ_MOV[VALOR LÍQUIDO],LANÇ_MOV[RECEITA OU DESPESA],"Despesa",LANÇ_MOV[CONTAS],$C520,LANÇ_MOV[PLANO DE CONTAS],REL_DRE_FINANCEIRO!$B$445,LANÇ_MOV[ANO PAGAMENTO],$B$4,LANÇ_MOV[MÊS PAGAMENTO CORRESPONDENTE],H$6,LANÇ_MOV[EMPRESA],$C$4,LANÇ_MOV[CENTRO DE CUSTOS],$D$4)</f>
        <v>0</v>
      </c>
      <c r="I520" s="206">
        <f>SUMIFS(LANÇ_MOV[VALOR LÍQUIDO],LANÇ_MOV[RECEITA OU DESPESA],"Despesa",LANÇ_MOV[CONTAS],$C520,LANÇ_MOV[PLANO DE CONTAS],REL_DRE_FINANCEIRO!$B$445,LANÇ_MOV[ANO PAGAMENTO],$B$4,LANÇ_MOV[MÊS PAGAMENTO CORRESPONDENTE],I$6,LANÇ_MOV[EMPRESA],$C$4,LANÇ_MOV[CENTRO DE CUSTOS],$D$4)</f>
        <v>0</v>
      </c>
      <c r="J520" s="206">
        <f>SUMIFS(LANÇ_MOV[VALOR LÍQUIDO],LANÇ_MOV[RECEITA OU DESPESA],"Despesa",LANÇ_MOV[CONTAS],$C520,LANÇ_MOV[PLANO DE CONTAS],REL_DRE_FINANCEIRO!$B$445,LANÇ_MOV[ANO PAGAMENTO],$B$4,LANÇ_MOV[MÊS PAGAMENTO CORRESPONDENTE],J$6,LANÇ_MOV[EMPRESA],$C$4,LANÇ_MOV[CENTRO DE CUSTOS],$D$4)</f>
        <v>0</v>
      </c>
      <c r="K520" s="206">
        <f>SUMIFS(LANÇ_MOV[VALOR LÍQUIDO],LANÇ_MOV[RECEITA OU DESPESA],"Despesa",LANÇ_MOV[CONTAS],$C520,LANÇ_MOV[PLANO DE CONTAS],REL_DRE_FINANCEIRO!$B$445,LANÇ_MOV[ANO PAGAMENTO],$B$4,LANÇ_MOV[MÊS PAGAMENTO CORRESPONDENTE],K$6,LANÇ_MOV[EMPRESA],$C$4,LANÇ_MOV[CENTRO DE CUSTOS],$D$4)</f>
        <v>0</v>
      </c>
      <c r="L520" s="206">
        <f>SUMIFS(LANÇ_MOV[VALOR LÍQUIDO],LANÇ_MOV[RECEITA OU DESPESA],"Despesa",LANÇ_MOV[CONTAS],$C520,LANÇ_MOV[PLANO DE CONTAS],REL_DRE_FINANCEIRO!$B$445,LANÇ_MOV[ANO PAGAMENTO],$B$4,LANÇ_MOV[MÊS PAGAMENTO CORRESPONDENTE],L$6,LANÇ_MOV[EMPRESA],$C$4,LANÇ_MOV[CENTRO DE CUSTOS],$D$4)</f>
        <v>0</v>
      </c>
      <c r="M520" s="206">
        <f>SUMIFS(LANÇ_MOV[VALOR LÍQUIDO],LANÇ_MOV[RECEITA OU DESPESA],"Despesa",LANÇ_MOV[CONTAS],$C520,LANÇ_MOV[PLANO DE CONTAS],REL_DRE_FINANCEIRO!$B$445,LANÇ_MOV[ANO PAGAMENTO],$B$4,LANÇ_MOV[MÊS PAGAMENTO CORRESPONDENTE],M$6,LANÇ_MOV[EMPRESA],$C$4,LANÇ_MOV[CENTRO DE CUSTOS],$D$4)</f>
        <v>0</v>
      </c>
      <c r="N520" s="206">
        <f>SUMIFS(LANÇ_MOV[VALOR LÍQUIDO],LANÇ_MOV[RECEITA OU DESPESA],"Despesa",LANÇ_MOV[CONTAS],$C520,LANÇ_MOV[PLANO DE CONTAS],REL_DRE_FINANCEIRO!$B$445,LANÇ_MOV[ANO PAGAMENTO],$B$4,LANÇ_MOV[MÊS PAGAMENTO CORRESPONDENTE],N$6,LANÇ_MOV[EMPRESA],$C$4,LANÇ_MOV[CENTRO DE CUSTOS],$D$4)</f>
        <v>0</v>
      </c>
      <c r="O520" s="206">
        <f>SUMIFS(LANÇ_MOV[VALOR LÍQUIDO],LANÇ_MOV[RECEITA OU DESPESA],"Despesa",LANÇ_MOV[CONTAS],$C520,LANÇ_MOV[PLANO DE CONTAS],REL_DRE_FINANCEIRO!$B$445,LANÇ_MOV[ANO PAGAMENTO],$B$4,LANÇ_MOV[MÊS PAGAMENTO CORRESPONDENTE],O$6,LANÇ_MOV[EMPRESA],$C$4,LANÇ_MOV[CENTRO DE CUSTOS],$D$4)</f>
        <v>0</v>
      </c>
      <c r="P520" s="207">
        <f t="shared" si="70"/>
        <v>0</v>
      </c>
      <c r="Q520" s="329">
        <v>2.6000000000000001E-6</v>
      </c>
      <c r="R520" s="346">
        <f t="shared" si="72"/>
        <v>2.6000000000000001E-6</v>
      </c>
      <c r="S520" s="347" t="str">
        <f t="shared" si="73"/>
        <v>-</v>
      </c>
      <c r="T520" s="347">
        <f t="shared" si="74"/>
        <v>0</v>
      </c>
      <c r="U520" s="347">
        <f>HLOOKUP(Apoio!$P$12,$D$444:$P$545,X520,FALSE)+Q520</f>
        <v>2.6000000000000001E-6</v>
      </c>
      <c r="V520" s="447" t="str">
        <f t="shared" si="71"/>
        <v>-</v>
      </c>
      <c r="W520" s="448">
        <f>HLOOKUP(Apoio!$P$12,$D$444:$P$545,X520,FALSE)</f>
        <v>0</v>
      </c>
      <c r="X520" s="329">
        <v>77</v>
      </c>
    </row>
    <row r="521" spans="2:24" ht="30.05" customHeight="1" x14ac:dyDescent="0.35">
      <c r="B521" s="204" t="str">
        <f>'CAD_PL_REC-DESP'!T80</f>
        <v>2.4.76</v>
      </c>
      <c r="C521" s="205" t="str">
        <f>IF('CAD_PL_REC-DESP'!U80="","-",'CAD_PL_REC-DESP'!U80)</f>
        <v>-</v>
      </c>
      <c r="D521" s="206">
        <f>SUMIFS(LANÇ_MOV[VALOR LÍQUIDO],LANÇ_MOV[RECEITA OU DESPESA],"Despesa",LANÇ_MOV[CONTAS],$C521,LANÇ_MOV[PLANO DE CONTAS],REL_DRE_FINANCEIRO!$B$445,LANÇ_MOV[ANO PAGAMENTO],$B$4,LANÇ_MOV[MÊS PAGAMENTO CORRESPONDENTE],D$6,LANÇ_MOV[EMPRESA],$C$4,LANÇ_MOV[CENTRO DE CUSTOS],$D$4)</f>
        <v>0</v>
      </c>
      <c r="E521" s="206">
        <f>SUMIFS(LANÇ_MOV[VALOR LÍQUIDO],LANÇ_MOV[RECEITA OU DESPESA],"Despesa",LANÇ_MOV[CONTAS],$C521,LANÇ_MOV[PLANO DE CONTAS],REL_DRE_FINANCEIRO!$B$445,LANÇ_MOV[ANO PAGAMENTO],$B$4,LANÇ_MOV[MÊS PAGAMENTO CORRESPONDENTE],E$6,LANÇ_MOV[EMPRESA],$C$4,LANÇ_MOV[CENTRO DE CUSTOS],$D$4)</f>
        <v>0</v>
      </c>
      <c r="F521" s="206">
        <f>SUMIFS(LANÇ_MOV[VALOR LÍQUIDO],LANÇ_MOV[RECEITA OU DESPESA],"Despesa",LANÇ_MOV[CONTAS],$C521,LANÇ_MOV[PLANO DE CONTAS],REL_DRE_FINANCEIRO!$B$445,LANÇ_MOV[ANO PAGAMENTO],$B$4,LANÇ_MOV[MÊS PAGAMENTO CORRESPONDENTE],F$6,LANÇ_MOV[EMPRESA],$C$4,LANÇ_MOV[CENTRO DE CUSTOS],$D$4)</f>
        <v>0</v>
      </c>
      <c r="G521" s="206">
        <f>SUMIFS(LANÇ_MOV[VALOR LÍQUIDO],LANÇ_MOV[RECEITA OU DESPESA],"Despesa",LANÇ_MOV[CONTAS],$C521,LANÇ_MOV[PLANO DE CONTAS],REL_DRE_FINANCEIRO!$B$445,LANÇ_MOV[ANO PAGAMENTO],$B$4,LANÇ_MOV[MÊS PAGAMENTO CORRESPONDENTE],G$6,LANÇ_MOV[EMPRESA],$C$4,LANÇ_MOV[CENTRO DE CUSTOS],$D$4)</f>
        <v>0</v>
      </c>
      <c r="H521" s="206">
        <f>SUMIFS(LANÇ_MOV[VALOR LÍQUIDO],LANÇ_MOV[RECEITA OU DESPESA],"Despesa",LANÇ_MOV[CONTAS],$C521,LANÇ_MOV[PLANO DE CONTAS],REL_DRE_FINANCEIRO!$B$445,LANÇ_MOV[ANO PAGAMENTO],$B$4,LANÇ_MOV[MÊS PAGAMENTO CORRESPONDENTE],H$6,LANÇ_MOV[EMPRESA],$C$4,LANÇ_MOV[CENTRO DE CUSTOS],$D$4)</f>
        <v>0</v>
      </c>
      <c r="I521" s="206">
        <f>SUMIFS(LANÇ_MOV[VALOR LÍQUIDO],LANÇ_MOV[RECEITA OU DESPESA],"Despesa",LANÇ_MOV[CONTAS],$C521,LANÇ_MOV[PLANO DE CONTAS],REL_DRE_FINANCEIRO!$B$445,LANÇ_MOV[ANO PAGAMENTO],$B$4,LANÇ_MOV[MÊS PAGAMENTO CORRESPONDENTE],I$6,LANÇ_MOV[EMPRESA],$C$4,LANÇ_MOV[CENTRO DE CUSTOS],$D$4)</f>
        <v>0</v>
      </c>
      <c r="J521" s="206">
        <f>SUMIFS(LANÇ_MOV[VALOR LÍQUIDO],LANÇ_MOV[RECEITA OU DESPESA],"Despesa",LANÇ_MOV[CONTAS],$C521,LANÇ_MOV[PLANO DE CONTAS],REL_DRE_FINANCEIRO!$B$445,LANÇ_MOV[ANO PAGAMENTO],$B$4,LANÇ_MOV[MÊS PAGAMENTO CORRESPONDENTE],J$6,LANÇ_MOV[EMPRESA],$C$4,LANÇ_MOV[CENTRO DE CUSTOS],$D$4)</f>
        <v>0</v>
      </c>
      <c r="K521" s="206">
        <f>SUMIFS(LANÇ_MOV[VALOR LÍQUIDO],LANÇ_MOV[RECEITA OU DESPESA],"Despesa",LANÇ_MOV[CONTAS],$C521,LANÇ_MOV[PLANO DE CONTAS],REL_DRE_FINANCEIRO!$B$445,LANÇ_MOV[ANO PAGAMENTO],$B$4,LANÇ_MOV[MÊS PAGAMENTO CORRESPONDENTE],K$6,LANÇ_MOV[EMPRESA],$C$4,LANÇ_MOV[CENTRO DE CUSTOS],$D$4)</f>
        <v>0</v>
      </c>
      <c r="L521" s="206">
        <f>SUMIFS(LANÇ_MOV[VALOR LÍQUIDO],LANÇ_MOV[RECEITA OU DESPESA],"Despesa",LANÇ_MOV[CONTAS],$C521,LANÇ_MOV[PLANO DE CONTAS],REL_DRE_FINANCEIRO!$B$445,LANÇ_MOV[ANO PAGAMENTO],$B$4,LANÇ_MOV[MÊS PAGAMENTO CORRESPONDENTE],L$6,LANÇ_MOV[EMPRESA],$C$4,LANÇ_MOV[CENTRO DE CUSTOS],$D$4)</f>
        <v>0</v>
      </c>
      <c r="M521" s="206">
        <f>SUMIFS(LANÇ_MOV[VALOR LÍQUIDO],LANÇ_MOV[RECEITA OU DESPESA],"Despesa",LANÇ_MOV[CONTAS],$C521,LANÇ_MOV[PLANO DE CONTAS],REL_DRE_FINANCEIRO!$B$445,LANÇ_MOV[ANO PAGAMENTO],$B$4,LANÇ_MOV[MÊS PAGAMENTO CORRESPONDENTE],M$6,LANÇ_MOV[EMPRESA],$C$4,LANÇ_MOV[CENTRO DE CUSTOS],$D$4)</f>
        <v>0</v>
      </c>
      <c r="N521" s="206">
        <f>SUMIFS(LANÇ_MOV[VALOR LÍQUIDO],LANÇ_MOV[RECEITA OU DESPESA],"Despesa",LANÇ_MOV[CONTAS],$C521,LANÇ_MOV[PLANO DE CONTAS],REL_DRE_FINANCEIRO!$B$445,LANÇ_MOV[ANO PAGAMENTO],$B$4,LANÇ_MOV[MÊS PAGAMENTO CORRESPONDENTE],N$6,LANÇ_MOV[EMPRESA],$C$4,LANÇ_MOV[CENTRO DE CUSTOS],$D$4)</f>
        <v>0</v>
      </c>
      <c r="O521" s="206">
        <f>SUMIFS(LANÇ_MOV[VALOR LÍQUIDO],LANÇ_MOV[RECEITA OU DESPESA],"Despesa",LANÇ_MOV[CONTAS],$C521,LANÇ_MOV[PLANO DE CONTAS],REL_DRE_FINANCEIRO!$B$445,LANÇ_MOV[ANO PAGAMENTO],$B$4,LANÇ_MOV[MÊS PAGAMENTO CORRESPONDENTE],O$6,LANÇ_MOV[EMPRESA],$C$4,LANÇ_MOV[CENTRO DE CUSTOS],$D$4)</f>
        <v>0</v>
      </c>
      <c r="P521" s="207">
        <f t="shared" si="70"/>
        <v>0</v>
      </c>
      <c r="Q521" s="329">
        <v>2.5000000000000002E-6</v>
      </c>
      <c r="R521" s="346">
        <f t="shared" si="72"/>
        <v>2.5000000000000002E-6</v>
      </c>
      <c r="S521" s="347" t="str">
        <f t="shared" si="73"/>
        <v>-</v>
      </c>
      <c r="T521" s="347">
        <f t="shared" si="74"/>
        <v>0</v>
      </c>
      <c r="U521" s="347">
        <f>HLOOKUP(Apoio!$P$12,$D$444:$P$545,X521,FALSE)+Q521</f>
        <v>2.5000000000000002E-6</v>
      </c>
      <c r="V521" s="447" t="str">
        <f t="shared" si="71"/>
        <v>-</v>
      </c>
      <c r="W521" s="448">
        <f>HLOOKUP(Apoio!$P$12,$D$444:$P$545,X521,FALSE)</f>
        <v>0</v>
      </c>
      <c r="X521" s="329">
        <v>78</v>
      </c>
    </row>
    <row r="522" spans="2:24" ht="30.05" customHeight="1" x14ac:dyDescent="0.35">
      <c r="B522" s="204" t="str">
        <f>'CAD_PL_REC-DESP'!T81</f>
        <v>2.4.77</v>
      </c>
      <c r="C522" s="205" t="str">
        <f>IF('CAD_PL_REC-DESP'!U81="","-",'CAD_PL_REC-DESP'!U81)</f>
        <v>-</v>
      </c>
      <c r="D522" s="206">
        <f>SUMIFS(LANÇ_MOV[VALOR LÍQUIDO],LANÇ_MOV[RECEITA OU DESPESA],"Despesa",LANÇ_MOV[CONTAS],$C522,LANÇ_MOV[PLANO DE CONTAS],REL_DRE_FINANCEIRO!$B$445,LANÇ_MOV[ANO PAGAMENTO],$B$4,LANÇ_MOV[MÊS PAGAMENTO CORRESPONDENTE],D$6,LANÇ_MOV[EMPRESA],$C$4,LANÇ_MOV[CENTRO DE CUSTOS],$D$4)</f>
        <v>0</v>
      </c>
      <c r="E522" s="206">
        <f>SUMIFS(LANÇ_MOV[VALOR LÍQUIDO],LANÇ_MOV[RECEITA OU DESPESA],"Despesa",LANÇ_MOV[CONTAS],$C522,LANÇ_MOV[PLANO DE CONTAS],REL_DRE_FINANCEIRO!$B$445,LANÇ_MOV[ANO PAGAMENTO],$B$4,LANÇ_MOV[MÊS PAGAMENTO CORRESPONDENTE],E$6,LANÇ_MOV[EMPRESA],$C$4,LANÇ_MOV[CENTRO DE CUSTOS],$D$4)</f>
        <v>0</v>
      </c>
      <c r="F522" s="206">
        <f>SUMIFS(LANÇ_MOV[VALOR LÍQUIDO],LANÇ_MOV[RECEITA OU DESPESA],"Despesa",LANÇ_MOV[CONTAS],$C522,LANÇ_MOV[PLANO DE CONTAS],REL_DRE_FINANCEIRO!$B$445,LANÇ_MOV[ANO PAGAMENTO],$B$4,LANÇ_MOV[MÊS PAGAMENTO CORRESPONDENTE],F$6,LANÇ_MOV[EMPRESA],$C$4,LANÇ_MOV[CENTRO DE CUSTOS],$D$4)</f>
        <v>0</v>
      </c>
      <c r="G522" s="206">
        <f>SUMIFS(LANÇ_MOV[VALOR LÍQUIDO],LANÇ_MOV[RECEITA OU DESPESA],"Despesa",LANÇ_MOV[CONTAS],$C522,LANÇ_MOV[PLANO DE CONTAS],REL_DRE_FINANCEIRO!$B$445,LANÇ_MOV[ANO PAGAMENTO],$B$4,LANÇ_MOV[MÊS PAGAMENTO CORRESPONDENTE],G$6,LANÇ_MOV[EMPRESA],$C$4,LANÇ_MOV[CENTRO DE CUSTOS],$D$4)</f>
        <v>0</v>
      </c>
      <c r="H522" s="206">
        <f>SUMIFS(LANÇ_MOV[VALOR LÍQUIDO],LANÇ_MOV[RECEITA OU DESPESA],"Despesa",LANÇ_MOV[CONTAS],$C522,LANÇ_MOV[PLANO DE CONTAS],REL_DRE_FINANCEIRO!$B$445,LANÇ_MOV[ANO PAGAMENTO],$B$4,LANÇ_MOV[MÊS PAGAMENTO CORRESPONDENTE],H$6,LANÇ_MOV[EMPRESA],$C$4,LANÇ_MOV[CENTRO DE CUSTOS],$D$4)</f>
        <v>0</v>
      </c>
      <c r="I522" s="206">
        <f>SUMIFS(LANÇ_MOV[VALOR LÍQUIDO],LANÇ_MOV[RECEITA OU DESPESA],"Despesa",LANÇ_MOV[CONTAS],$C522,LANÇ_MOV[PLANO DE CONTAS],REL_DRE_FINANCEIRO!$B$445,LANÇ_MOV[ANO PAGAMENTO],$B$4,LANÇ_MOV[MÊS PAGAMENTO CORRESPONDENTE],I$6,LANÇ_MOV[EMPRESA],$C$4,LANÇ_MOV[CENTRO DE CUSTOS],$D$4)</f>
        <v>0</v>
      </c>
      <c r="J522" s="206">
        <f>SUMIFS(LANÇ_MOV[VALOR LÍQUIDO],LANÇ_MOV[RECEITA OU DESPESA],"Despesa",LANÇ_MOV[CONTAS],$C522,LANÇ_MOV[PLANO DE CONTAS],REL_DRE_FINANCEIRO!$B$445,LANÇ_MOV[ANO PAGAMENTO],$B$4,LANÇ_MOV[MÊS PAGAMENTO CORRESPONDENTE],J$6,LANÇ_MOV[EMPRESA],$C$4,LANÇ_MOV[CENTRO DE CUSTOS],$D$4)</f>
        <v>0</v>
      </c>
      <c r="K522" s="206">
        <f>SUMIFS(LANÇ_MOV[VALOR LÍQUIDO],LANÇ_MOV[RECEITA OU DESPESA],"Despesa",LANÇ_MOV[CONTAS],$C522,LANÇ_MOV[PLANO DE CONTAS],REL_DRE_FINANCEIRO!$B$445,LANÇ_MOV[ANO PAGAMENTO],$B$4,LANÇ_MOV[MÊS PAGAMENTO CORRESPONDENTE],K$6,LANÇ_MOV[EMPRESA],$C$4,LANÇ_MOV[CENTRO DE CUSTOS],$D$4)</f>
        <v>0</v>
      </c>
      <c r="L522" s="206">
        <f>SUMIFS(LANÇ_MOV[VALOR LÍQUIDO],LANÇ_MOV[RECEITA OU DESPESA],"Despesa",LANÇ_MOV[CONTAS],$C522,LANÇ_MOV[PLANO DE CONTAS],REL_DRE_FINANCEIRO!$B$445,LANÇ_MOV[ANO PAGAMENTO],$B$4,LANÇ_MOV[MÊS PAGAMENTO CORRESPONDENTE],L$6,LANÇ_MOV[EMPRESA],$C$4,LANÇ_MOV[CENTRO DE CUSTOS],$D$4)</f>
        <v>0</v>
      </c>
      <c r="M522" s="206">
        <f>SUMIFS(LANÇ_MOV[VALOR LÍQUIDO],LANÇ_MOV[RECEITA OU DESPESA],"Despesa",LANÇ_MOV[CONTAS],$C522,LANÇ_MOV[PLANO DE CONTAS],REL_DRE_FINANCEIRO!$B$445,LANÇ_MOV[ANO PAGAMENTO],$B$4,LANÇ_MOV[MÊS PAGAMENTO CORRESPONDENTE],M$6,LANÇ_MOV[EMPRESA],$C$4,LANÇ_MOV[CENTRO DE CUSTOS],$D$4)</f>
        <v>0</v>
      </c>
      <c r="N522" s="206">
        <f>SUMIFS(LANÇ_MOV[VALOR LÍQUIDO],LANÇ_MOV[RECEITA OU DESPESA],"Despesa",LANÇ_MOV[CONTAS],$C522,LANÇ_MOV[PLANO DE CONTAS],REL_DRE_FINANCEIRO!$B$445,LANÇ_MOV[ANO PAGAMENTO],$B$4,LANÇ_MOV[MÊS PAGAMENTO CORRESPONDENTE],N$6,LANÇ_MOV[EMPRESA],$C$4,LANÇ_MOV[CENTRO DE CUSTOS],$D$4)</f>
        <v>0</v>
      </c>
      <c r="O522" s="206">
        <f>SUMIFS(LANÇ_MOV[VALOR LÍQUIDO],LANÇ_MOV[RECEITA OU DESPESA],"Despesa",LANÇ_MOV[CONTAS],$C522,LANÇ_MOV[PLANO DE CONTAS],REL_DRE_FINANCEIRO!$B$445,LANÇ_MOV[ANO PAGAMENTO],$B$4,LANÇ_MOV[MÊS PAGAMENTO CORRESPONDENTE],O$6,LANÇ_MOV[EMPRESA],$C$4,LANÇ_MOV[CENTRO DE CUSTOS],$D$4)</f>
        <v>0</v>
      </c>
      <c r="P522" s="207">
        <f t="shared" si="70"/>
        <v>0</v>
      </c>
      <c r="Q522" s="329">
        <v>2.3999999999999999E-6</v>
      </c>
      <c r="R522" s="346">
        <f t="shared" si="72"/>
        <v>2.3999999999999999E-6</v>
      </c>
      <c r="S522" s="347" t="str">
        <f t="shared" si="73"/>
        <v>-</v>
      </c>
      <c r="T522" s="347">
        <f t="shared" si="74"/>
        <v>0</v>
      </c>
      <c r="U522" s="347">
        <f>HLOOKUP(Apoio!$P$12,$D$444:$P$545,X522,FALSE)+Q522</f>
        <v>2.3999999999999999E-6</v>
      </c>
      <c r="V522" s="447" t="str">
        <f t="shared" si="71"/>
        <v>-</v>
      </c>
      <c r="W522" s="448">
        <f>HLOOKUP(Apoio!$P$12,$D$444:$P$545,X522,FALSE)</f>
        <v>0</v>
      </c>
      <c r="X522" s="329">
        <v>79</v>
      </c>
    </row>
    <row r="523" spans="2:24" ht="30.05" customHeight="1" x14ac:dyDescent="0.35">
      <c r="B523" s="204" t="str">
        <f>'CAD_PL_REC-DESP'!T82</f>
        <v>2.4.78</v>
      </c>
      <c r="C523" s="205" t="str">
        <f>IF('CAD_PL_REC-DESP'!U82="","-",'CAD_PL_REC-DESP'!U82)</f>
        <v>-</v>
      </c>
      <c r="D523" s="206">
        <f>SUMIFS(LANÇ_MOV[VALOR LÍQUIDO],LANÇ_MOV[RECEITA OU DESPESA],"Despesa",LANÇ_MOV[CONTAS],$C523,LANÇ_MOV[PLANO DE CONTAS],REL_DRE_FINANCEIRO!$B$445,LANÇ_MOV[ANO PAGAMENTO],$B$4,LANÇ_MOV[MÊS PAGAMENTO CORRESPONDENTE],D$6,LANÇ_MOV[EMPRESA],$C$4,LANÇ_MOV[CENTRO DE CUSTOS],$D$4)</f>
        <v>0</v>
      </c>
      <c r="E523" s="206">
        <f>SUMIFS(LANÇ_MOV[VALOR LÍQUIDO],LANÇ_MOV[RECEITA OU DESPESA],"Despesa",LANÇ_MOV[CONTAS],$C523,LANÇ_MOV[PLANO DE CONTAS],REL_DRE_FINANCEIRO!$B$445,LANÇ_MOV[ANO PAGAMENTO],$B$4,LANÇ_MOV[MÊS PAGAMENTO CORRESPONDENTE],E$6,LANÇ_MOV[EMPRESA],$C$4,LANÇ_MOV[CENTRO DE CUSTOS],$D$4)</f>
        <v>0</v>
      </c>
      <c r="F523" s="206">
        <f>SUMIFS(LANÇ_MOV[VALOR LÍQUIDO],LANÇ_MOV[RECEITA OU DESPESA],"Despesa",LANÇ_MOV[CONTAS],$C523,LANÇ_MOV[PLANO DE CONTAS],REL_DRE_FINANCEIRO!$B$445,LANÇ_MOV[ANO PAGAMENTO],$B$4,LANÇ_MOV[MÊS PAGAMENTO CORRESPONDENTE],F$6,LANÇ_MOV[EMPRESA],$C$4,LANÇ_MOV[CENTRO DE CUSTOS],$D$4)</f>
        <v>0</v>
      </c>
      <c r="G523" s="206">
        <f>SUMIFS(LANÇ_MOV[VALOR LÍQUIDO],LANÇ_MOV[RECEITA OU DESPESA],"Despesa",LANÇ_MOV[CONTAS],$C523,LANÇ_MOV[PLANO DE CONTAS],REL_DRE_FINANCEIRO!$B$445,LANÇ_MOV[ANO PAGAMENTO],$B$4,LANÇ_MOV[MÊS PAGAMENTO CORRESPONDENTE],G$6,LANÇ_MOV[EMPRESA],$C$4,LANÇ_MOV[CENTRO DE CUSTOS],$D$4)</f>
        <v>0</v>
      </c>
      <c r="H523" s="206">
        <f>SUMIFS(LANÇ_MOV[VALOR LÍQUIDO],LANÇ_MOV[RECEITA OU DESPESA],"Despesa",LANÇ_MOV[CONTAS],$C523,LANÇ_MOV[PLANO DE CONTAS],REL_DRE_FINANCEIRO!$B$445,LANÇ_MOV[ANO PAGAMENTO],$B$4,LANÇ_MOV[MÊS PAGAMENTO CORRESPONDENTE],H$6,LANÇ_MOV[EMPRESA],$C$4,LANÇ_MOV[CENTRO DE CUSTOS],$D$4)</f>
        <v>0</v>
      </c>
      <c r="I523" s="206">
        <f>SUMIFS(LANÇ_MOV[VALOR LÍQUIDO],LANÇ_MOV[RECEITA OU DESPESA],"Despesa",LANÇ_MOV[CONTAS],$C523,LANÇ_MOV[PLANO DE CONTAS],REL_DRE_FINANCEIRO!$B$445,LANÇ_MOV[ANO PAGAMENTO],$B$4,LANÇ_MOV[MÊS PAGAMENTO CORRESPONDENTE],I$6,LANÇ_MOV[EMPRESA],$C$4,LANÇ_MOV[CENTRO DE CUSTOS],$D$4)</f>
        <v>0</v>
      </c>
      <c r="J523" s="206">
        <f>SUMIFS(LANÇ_MOV[VALOR LÍQUIDO],LANÇ_MOV[RECEITA OU DESPESA],"Despesa",LANÇ_MOV[CONTAS],$C523,LANÇ_MOV[PLANO DE CONTAS],REL_DRE_FINANCEIRO!$B$445,LANÇ_MOV[ANO PAGAMENTO],$B$4,LANÇ_MOV[MÊS PAGAMENTO CORRESPONDENTE],J$6,LANÇ_MOV[EMPRESA],$C$4,LANÇ_MOV[CENTRO DE CUSTOS],$D$4)</f>
        <v>0</v>
      </c>
      <c r="K523" s="206">
        <f>SUMIFS(LANÇ_MOV[VALOR LÍQUIDO],LANÇ_MOV[RECEITA OU DESPESA],"Despesa",LANÇ_MOV[CONTAS],$C523,LANÇ_MOV[PLANO DE CONTAS],REL_DRE_FINANCEIRO!$B$445,LANÇ_MOV[ANO PAGAMENTO],$B$4,LANÇ_MOV[MÊS PAGAMENTO CORRESPONDENTE],K$6,LANÇ_MOV[EMPRESA],$C$4,LANÇ_MOV[CENTRO DE CUSTOS],$D$4)</f>
        <v>0</v>
      </c>
      <c r="L523" s="206">
        <f>SUMIFS(LANÇ_MOV[VALOR LÍQUIDO],LANÇ_MOV[RECEITA OU DESPESA],"Despesa",LANÇ_MOV[CONTAS],$C523,LANÇ_MOV[PLANO DE CONTAS],REL_DRE_FINANCEIRO!$B$445,LANÇ_MOV[ANO PAGAMENTO],$B$4,LANÇ_MOV[MÊS PAGAMENTO CORRESPONDENTE],L$6,LANÇ_MOV[EMPRESA],$C$4,LANÇ_MOV[CENTRO DE CUSTOS],$D$4)</f>
        <v>0</v>
      </c>
      <c r="M523" s="206">
        <f>SUMIFS(LANÇ_MOV[VALOR LÍQUIDO],LANÇ_MOV[RECEITA OU DESPESA],"Despesa",LANÇ_MOV[CONTAS],$C523,LANÇ_MOV[PLANO DE CONTAS],REL_DRE_FINANCEIRO!$B$445,LANÇ_MOV[ANO PAGAMENTO],$B$4,LANÇ_MOV[MÊS PAGAMENTO CORRESPONDENTE],M$6,LANÇ_MOV[EMPRESA],$C$4,LANÇ_MOV[CENTRO DE CUSTOS],$D$4)</f>
        <v>0</v>
      </c>
      <c r="N523" s="206">
        <f>SUMIFS(LANÇ_MOV[VALOR LÍQUIDO],LANÇ_MOV[RECEITA OU DESPESA],"Despesa",LANÇ_MOV[CONTAS],$C523,LANÇ_MOV[PLANO DE CONTAS],REL_DRE_FINANCEIRO!$B$445,LANÇ_MOV[ANO PAGAMENTO],$B$4,LANÇ_MOV[MÊS PAGAMENTO CORRESPONDENTE],N$6,LANÇ_MOV[EMPRESA],$C$4,LANÇ_MOV[CENTRO DE CUSTOS],$D$4)</f>
        <v>0</v>
      </c>
      <c r="O523" s="206">
        <f>SUMIFS(LANÇ_MOV[VALOR LÍQUIDO],LANÇ_MOV[RECEITA OU DESPESA],"Despesa",LANÇ_MOV[CONTAS],$C523,LANÇ_MOV[PLANO DE CONTAS],REL_DRE_FINANCEIRO!$B$445,LANÇ_MOV[ANO PAGAMENTO],$B$4,LANÇ_MOV[MÊS PAGAMENTO CORRESPONDENTE],O$6,LANÇ_MOV[EMPRESA],$C$4,LANÇ_MOV[CENTRO DE CUSTOS],$D$4)</f>
        <v>0</v>
      </c>
      <c r="P523" s="207">
        <f t="shared" si="70"/>
        <v>0</v>
      </c>
      <c r="Q523" s="329">
        <v>2.3E-6</v>
      </c>
      <c r="R523" s="346">
        <f t="shared" si="72"/>
        <v>2.3E-6</v>
      </c>
      <c r="S523" s="347" t="str">
        <f t="shared" si="73"/>
        <v>-</v>
      </c>
      <c r="T523" s="347">
        <f t="shared" si="74"/>
        <v>0</v>
      </c>
      <c r="U523" s="347">
        <f>HLOOKUP(Apoio!$P$12,$D$444:$P$545,X523,FALSE)+Q523</f>
        <v>2.3E-6</v>
      </c>
      <c r="V523" s="447" t="str">
        <f t="shared" si="71"/>
        <v>-</v>
      </c>
      <c r="W523" s="448">
        <f>HLOOKUP(Apoio!$P$12,$D$444:$P$545,X523,FALSE)</f>
        <v>0</v>
      </c>
      <c r="X523" s="329">
        <v>80</v>
      </c>
    </row>
    <row r="524" spans="2:24" ht="30.05" customHeight="1" x14ac:dyDescent="0.35">
      <c r="B524" s="204" t="str">
        <f>'CAD_PL_REC-DESP'!T83</f>
        <v>2.4.79</v>
      </c>
      <c r="C524" s="205" t="str">
        <f>IF('CAD_PL_REC-DESP'!U83="","-",'CAD_PL_REC-DESP'!U83)</f>
        <v>-</v>
      </c>
      <c r="D524" s="206">
        <f>SUMIFS(LANÇ_MOV[VALOR LÍQUIDO],LANÇ_MOV[RECEITA OU DESPESA],"Despesa",LANÇ_MOV[CONTAS],$C524,LANÇ_MOV[PLANO DE CONTAS],REL_DRE_FINANCEIRO!$B$445,LANÇ_MOV[ANO PAGAMENTO],$B$4,LANÇ_MOV[MÊS PAGAMENTO CORRESPONDENTE],D$6,LANÇ_MOV[EMPRESA],$C$4,LANÇ_MOV[CENTRO DE CUSTOS],$D$4)</f>
        <v>0</v>
      </c>
      <c r="E524" s="206">
        <f>SUMIFS(LANÇ_MOV[VALOR LÍQUIDO],LANÇ_MOV[RECEITA OU DESPESA],"Despesa",LANÇ_MOV[CONTAS],$C524,LANÇ_MOV[PLANO DE CONTAS],REL_DRE_FINANCEIRO!$B$445,LANÇ_MOV[ANO PAGAMENTO],$B$4,LANÇ_MOV[MÊS PAGAMENTO CORRESPONDENTE],E$6,LANÇ_MOV[EMPRESA],$C$4,LANÇ_MOV[CENTRO DE CUSTOS],$D$4)</f>
        <v>0</v>
      </c>
      <c r="F524" s="206">
        <f>SUMIFS(LANÇ_MOV[VALOR LÍQUIDO],LANÇ_MOV[RECEITA OU DESPESA],"Despesa",LANÇ_MOV[CONTAS],$C524,LANÇ_MOV[PLANO DE CONTAS],REL_DRE_FINANCEIRO!$B$445,LANÇ_MOV[ANO PAGAMENTO],$B$4,LANÇ_MOV[MÊS PAGAMENTO CORRESPONDENTE],F$6,LANÇ_MOV[EMPRESA],$C$4,LANÇ_MOV[CENTRO DE CUSTOS],$D$4)</f>
        <v>0</v>
      </c>
      <c r="G524" s="206">
        <f>SUMIFS(LANÇ_MOV[VALOR LÍQUIDO],LANÇ_MOV[RECEITA OU DESPESA],"Despesa",LANÇ_MOV[CONTAS],$C524,LANÇ_MOV[PLANO DE CONTAS],REL_DRE_FINANCEIRO!$B$445,LANÇ_MOV[ANO PAGAMENTO],$B$4,LANÇ_MOV[MÊS PAGAMENTO CORRESPONDENTE],G$6,LANÇ_MOV[EMPRESA],$C$4,LANÇ_MOV[CENTRO DE CUSTOS],$D$4)</f>
        <v>0</v>
      </c>
      <c r="H524" s="206">
        <f>SUMIFS(LANÇ_MOV[VALOR LÍQUIDO],LANÇ_MOV[RECEITA OU DESPESA],"Despesa",LANÇ_MOV[CONTAS],$C524,LANÇ_MOV[PLANO DE CONTAS],REL_DRE_FINANCEIRO!$B$445,LANÇ_MOV[ANO PAGAMENTO],$B$4,LANÇ_MOV[MÊS PAGAMENTO CORRESPONDENTE],H$6,LANÇ_MOV[EMPRESA],$C$4,LANÇ_MOV[CENTRO DE CUSTOS],$D$4)</f>
        <v>0</v>
      </c>
      <c r="I524" s="206">
        <f>SUMIFS(LANÇ_MOV[VALOR LÍQUIDO],LANÇ_MOV[RECEITA OU DESPESA],"Despesa",LANÇ_MOV[CONTAS],$C524,LANÇ_MOV[PLANO DE CONTAS],REL_DRE_FINANCEIRO!$B$445,LANÇ_MOV[ANO PAGAMENTO],$B$4,LANÇ_MOV[MÊS PAGAMENTO CORRESPONDENTE],I$6,LANÇ_MOV[EMPRESA],$C$4,LANÇ_MOV[CENTRO DE CUSTOS],$D$4)</f>
        <v>0</v>
      </c>
      <c r="J524" s="206">
        <f>SUMIFS(LANÇ_MOV[VALOR LÍQUIDO],LANÇ_MOV[RECEITA OU DESPESA],"Despesa",LANÇ_MOV[CONTAS],$C524,LANÇ_MOV[PLANO DE CONTAS],REL_DRE_FINANCEIRO!$B$445,LANÇ_MOV[ANO PAGAMENTO],$B$4,LANÇ_MOV[MÊS PAGAMENTO CORRESPONDENTE],J$6,LANÇ_MOV[EMPRESA],$C$4,LANÇ_MOV[CENTRO DE CUSTOS],$D$4)</f>
        <v>0</v>
      </c>
      <c r="K524" s="206">
        <f>SUMIFS(LANÇ_MOV[VALOR LÍQUIDO],LANÇ_MOV[RECEITA OU DESPESA],"Despesa",LANÇ_MOV[CONTAS],$C524,LANÇ_MOV[PLANO DE CONTAS],REL_DRE_FINANCEIRO!$B$445,LANÇ_MOV[ANO PAGAMENTO],$B$4,LANÇ_MOV[MÊS PAGAMENTO CORRESPONDENTE],K$6,LANÇ_MOV[EMPRESA],$C$4,LANÇ_MOV[CENTRO DE CUSTOS],$D$4)</f>
        <v>0</v>
      </c>
      <c r="L524" s="206">
        <f>SUMIFS(LANÇ_MOV[VALOR LÍQUIDO],LANÇ_MOV[RECEITA OU DESPESA],"Despesa",LANÇ_MOV[CONTAS],$C524,LANÇ_MOV[PLANO DE CONTAS],REL_DRE_FINANCEIRO!$B$445,LANÇ_MOV[ANO PAGAMENTO],$B$4,LANÇ_MOV[MÊS PAGAMENTO CORRESPONDENTE],L$6,LANÇ_MOV[EMPRESA],$C$4,LANÇ_MOV[CENTRO DE CUSTOS],$D$4)</f>
        <v>0</v>
      </c>
      <c r="M524" s="206">
        <f>SUMIFS(LANÇ_MOV[VALOR LÍQUIDO],LANÇ_MOV[RECEITA OU DESPESA],"Despesa",LANÇ_MOV[CONTAS],$C524,LANÇ_MOV[PLANO DE CONTAS],REL_DRE_FINANCEIRO!$B$445,LANÇ_MOV[ANO PAGAMENTO],$B$4,LANÇ_MOV[MÊS PAGAMENTO CORRESPONDENTE],M$6,LANÇ_MOV[EMPRESA],$C$4,LANÇ_MOV[CENTRO DE CUSTOS],$D$4)</f>
        <v>0</v>
      </c>
      <c r="N524" s="206">
        <f>SUMIFS(LANÇ_MOV[VALOR LÍQUIDO],LANÇ_MOV[RECEITA OU DESPESA],"Despesa",LANÇ_MOV[CONTAS],$C524,LANÇ_MOV[PLANO DE CONTAS],REL_DRE_FINANCEIRO!$B$445,LANÇ_MOV[ANO PAGAMENTO],$B$4,LANÇ_MOV[MÊS PAGAMENTO CORRESPONDENTE],N$6,LANÇ_MOV[EMPRESA],$C$4,LANÇ_MOV[CENTRO DE CUSTOS],$D$4)</f>
        <v>0</v>
      </c>
      <c r="O524" s="206">
        <f>SUMIFS(LANÇ_MOV[VALOR LÍQUIDO],LANÇ_MOV[RECEITA OU DESPESA],"Despesa",LANÇ_MOV[CONTAS],$C524,LANÇ_MOV[PLANO DE CONTAS],REL_DRE_FINANCEIRO!$B$445,LANÇ_MOV[ANO PAGAMENTO],$B$4,LANÇ_MOV[MÊS PAGAMENTO CORRESPONDENTE],O$6,LANÇ_MOV[EMPRESA],$C$4,LANÇ_MOV[CENTRO DE CUSTOS],$D$4)</f>
        <v>0</v>
      </c>
      <c r="P524" s="207">
        <f t="shared" si="70"/>
        <v>0</v>
      </c>
      <c r="Q524" s="329">
        <v>2.2000000000000001E-6</v>
      </c>
      <c r="R524" s="346">
        <f t="shared" si="72"/>
        <v>2.2000000000000001E-6</v>
      </c>
      <c r="S524" s="347" t="str">
        <f t="shared" si="73"/>
        <v>-</v>
      </c>
      <c r="T524" s="347">
        <f t="shared" si="74"/>
        <v>0</v>
      </c>
      <c r="U524" s="347">
        <f>HLOOKUP(Apoio!$P$12,$D$444:$P$545,X524,FALSE)+Q524</f>
        <v>2.2000000000000001E-6</v>
      </c>
      <c r="V524" s="447" t="str">
        <f t="shared" si="71"/>
        <v>-</v>
      </c>
      <c r="W524" s="448">
        <f>HLOOKUP(Apoio!$P$12,$D$444:$P$545,X524,FALSE)</f>
        <v>0</v>
      </c>
      <c r="X524" s="329">
        <v>81</v>
      </c>
    </row>
    <row r="525" spans="2:24" ht="30.05" customHeight="1" x14ac:dyDescent="0.35">
      <c r="B525" s="204" t="str">
        <f>'CAD_PL_REC-DESP'!T84</f>
        <v>2.4.80</v>
      </c>
      <c r="C525" s="205" t="str">
        <f>IF('CAD_PL_REC-DESP'!U84="","-",'CAD_PL_REC-DESP'!U84)</f>
        <v>-</v>
      </c>
      <c r="D525" s="206">
        <f>SUMIFS(LANÇ_MOV[VALOR LÍQUIDO],LANÇ_MOV[RECEITA OU DESPESA],"Despesa",LANÇ_MOV[CONTAS],$C525,LANÇ_MOV[PLANO DE CONTAS],REL_DRE_FINANCEIRO!$B$445,LANÇ_MOV[ANO PAGAMENTO],$B$4,LANÇ_MOV[MÊS PAGAMENTO CORRESPONDENTE],D$6,LANÇ_MOV[EMPRESA],$C$4,LANÇ_MOV[CENTRO DE CUSTOS],$D$4)</f>
        <v>0</v>
      </c>
      <c r="E525" s="206">
        <f>SUMIFS(LANÇ_MOV[VALOR LÍQUIDO],LANÇ_MOV[RECEITA OU DESPESA],"Despesa",LANÇ_MOV[CONTAS],$C525,LANÇ_MOV[PLANO DE CONTAS],REL_DRE_FINANCEIRO!$B$445,LANÇ_MOV[ANO PAGAMENTO],$B$4,LANÇ_MOV[MÊS PAGAMENTO CORRESPONDENTE],E$6,LANÇ_MOV[EMPRESA],$C$4,LANÇ_MOV[CENTRO DE CUSTOS],$D$4)</f>
        <v>0</v>
      </c>
      <c r="F525" s="206">
        <f>SUMIFS(LANÇ_MOV[VALOR LÍQUIDO],LANÇ_MOV[RECEITA OU DESPESA],"Despesa",LANÇ_MOV[CONTAS],$C525,LANÇ_MOV[PLANO DE CONTAS],REL_DRE_FINANCEIRO!$B$445,LANÇ_MOV[ANO PAGAMENTO],$B$4,LANÇ_MOV[MÊS PAGAMENTO CORRESPONDENTE],F$6,LANÇ_MOV[EMPRESA],$C$4,LANÇ_MOV[CENTRO DE CUSTOS],$D$4)</f>
        <v>0</v>
      </c>
      <c r="G525" s="206">
        <f>SUMIFS(LANÇ_MOV[VALOR LÍQUIDO],LANÇ_MOV[RECEITA OU DESPESA],"Despesa",LANÇ_MOV[CONTAS],$C525,LANÇ_MOV[PLANO DE CONTAS],REL_DRE_FINANCEIRO!$B$445,LANÇ_MOV[ANO PAGAMENTO],$B$4,LANÇ_MOV[MÊS PAGAMENTO CORRESPONDENTE],G$6,LANÇ_MOV[EMPRESA],$C$4,LANÇ_MOV[CENTRO DE CUSTOS],$D$4)</f>
        <v>0</v>
      </c>
      <c r="H525" s="206">
        <f>SUMIFS(LANÇ_MOV[VALOR LÍQUIDO],LANÇ_MOV[RECEITA OU DESPESA],"Despesa",LANÇ_MOV[CONTAS],$C525,LANÇ_MOV[PLANO DE CONTAS],REL_DRE_FINANCEIRO!$B$445,LANÇ_MOV[ANO PAGAMENTO],$B$4,LANÇ_MOV[MÊS PAGAMENTO CORRESPONDENTE],H$6,LANÇ_MOV[EMPRESA],$C$4,LANÇ_MOV[CENTRO DE CUSTOS],$D$4)</f>
        <v>0</v>
      </c>
      <c r="I525" s="206">
        <f>SUMIFS(LANÇ_MOV[VALOR LÍQUIDO],LANÇ_MOV[RECEITA OU DESPESA],"Despesa",LANÇ_MOV[CONTAS],$C525,LANÇ_MOV[PLANO DE CONTAS],REL_DRE_FINANCEIRO!$B$445,LANÇ_MOV[ANO PAGAMENTO],$B$4,LANÇ_MOV[MÊS PAGAMENTO CORRESPONDENTE],I$6,LANÇ_MOV[EMPRESA],$C$4,LANÇ_MOV[CENTRO DE CUSTOS],$D$4)</f>
        <v>0</v>
      </c>
      <c r="J525" s="206">
        <f>SUMIFS(LANÇ_MOV[VALOR LÍQUIDO],LANÇ_MOV[RECEITA OU DESPESA],"Despesa",LANÇ_MOV[CONTAS],$C525,LANÇ_MOV[PLANO DE CONTAS],REL_DRE_FINANCEIRO!$B$445,LANÇ_MOV[ANO PAGAMENTO],$B$4,LANÇ_MOV[MÊS PAGAMENTO CORRESPONDENTE],J$6,LANÇ_MOV[EMPRESA],$C$4,LANÇ_MOV[CENTRO DE CUSTOS],$D$4)</f>
        <v>0</v>
      </c>
      <c r="K525" s="206">
        <f>SUMIFS(LANÇ_MOV[VALOR LÍQUIDO],LANÇ_MOV[RECEITA OU DESPESA],"Despesa",LANÇ_MOV[CONTAS],$C525,LANÇ_MOV[PLANO DE CONTAS],REL_DRE_FINANCEIRO!$B$445,LANÇ_MOV[ANO PAGAMENTO],$B$4,LANÇ_MOV[MÊS PAGAMENTO CORRESPONDENTE],K$6,LANÇ_MOV[EMPRESA],$C$4,LANÇ_MOV[CENTRO DE CUSTOS],$D$4)</f>
        <v>0</v>
      </c>
      <c r="L525" s="206">
        <f>SUMIFS(LANÇ_MOV[VALOR LÍQUIDO],LANÇ_MOV[RECEITA OU DESPESA],"Despesa",LANÇ_MOV[CONTAS],$C525,LANÇ_MOV[PLANO DE CONTAS],REL_DRE_FINANCEIRO!$B$445,LANÇ_MOV[ANO PAGAMENTO],$B$4,LANÇ_MOV[MÊS PAGAMENTO CORRESPONDENTE],L$6,LANÇ_MOV[EMPRESA],$C$4,LANÇ_MOV[CENTRO DE CUSTOS],$D$4)</f>
        <v>0</v>
      </c>
      <c r="M525" s="206">
        <f>SUMIFS(LANÇ_MOV[VALOR LÍQUIDO],LANÇ_MOV[RECEITA OU DESPESA],"Despesa",LANÇ_MOV[CONTAS],$C525,LANÇ_MOV[PLANO DE CONTAS],REL_DRE_FINANCEIRO!$B$445,LANÇ_MOV[ANO PAGAMENTO],$B$4,LANÇ_MOV[MÊS PAGAMENTO CORRESPONDENTE],M$6,LANÇ_MOV[EMPRESA],$C$4,LANÇ_MOV[CENTRO DE CUSTOS],$D$4)</f>
        <v>0</v>
      </c>
      <c r="N525" s="206">
        <f>SUMIFS(LANÇ_MOV[VALOR LÍQUIDO],LANÇ_MOV[RECEITA OU DESPESA],"Despesa",LANÇ_MOV[CONTAS],$C525,LANÇ_MOV[PLANO DE CONTAS],REL_DRE_FINANCEIRO!$B$445,LANÇ_MOV[ANO PAGAMENTO],$B$4,LANÇ_MOV[MÊS PAGAMENTO CORRESPONDENTE],N$6,LANÇ_MOV[EMPRESA],$C$4,LANÇ_MOV[CENTRO DE CUSTOS],$D$4)</f>
        <v>0</v>
      </c>
      <c r="O525" s="206">
        <f>SUMIFS(LANÇ_MOV[VALOR LÍQUIDO],LANÇ_MOV[RECEITA OU DESPESA],"Despesa",LANÇ_MOV[CONTAS],$C525,LANÇ_MOV[PLANO DE CONTAS],REL_DRE_FINANCEIRO!$B$445,LANÇ_MOV[ANO PAGAMENTO],$B$4,LANÇ_MOV[MÊS PAGAMENTO CORRESPONDENTE],O$6,LANÇ_MOV[EMPRESA],$C$4,LANÇ_MOV[CENTRO DE CUSTOS],$D$4)</f>
        <v>0</v>
      </c>
      <c r="P525" s="207">
        <f t="shared" si="70"/>
        <v>0</v>
      </c>
      <c r="Q525" s="329">
        <v>2.0999999999999998E-6</v>
      </c>
      <c r="R525" s="346">
        <f t="shared" si="72"/>
        <v>2.0999999999999998E-6</v>
      </c>
      <c r="S525" s="347" t="str">
        <f t="shared" si="73"/>
        <v>-</v>
      </c>
      <c r="T525" s="347">
        <f t="shared" si="74"/>
        <v>0</v>
      </c>
      <c r="U525" s="347">
        <f>HLOOKUP(Apoio!$P$12,$D$444:$P$545,X525,FALSE)+Q525</f>
        <v>2.0999999999999998E-6</v>
      </c>
      <c r="V525" s="447" t="str">
        <f t="shared" si="71"/>
        <v>-</v>
      </c>
      <c r="W525" s="448">
        <f>HLOOKUP(Apoio!$P$12,$D$444:$P$545,X525,FALSE)</f>
        <v>0</v>
      </c>
      <c r="X525" s="329">
        <v>82</v>
      </c>
    </row>
    <row r="526" spans="2:24" ht="30.05" customHeight="1" x14ac:dyDescent="0.35">
      <c r="B526" s="204" t="str">
        <f>'CAD_PL_REC-DESP'!T85</f>
        <v>2.4.81</v>
      </c>
      <c r="C526" s="205" t="str">
        <f>IF('CAD_PL_REC-DESP'!U85="","-",'CAD_PL_REC-DESP'!U85)</f>
        <v>-</v>
      </c>
      <c r="D526" s="206">
        <f>SUMIFS(LANÇ_MOV[VALOR LÍQUIDO],LANÇ_MOV[RECEITA OU DESPESA],"Despesa",LANÇ_MOV[CONTAS],$C526,LANÇ_MOV[PLANO DE CONTAS],REL_DRE_FINANCEIRO!$B$445,LANÇ_MOV[ANO PAGAMENTO],$B$4,LANÇ_MOV[MÊS PAGAMENTO CORRESPONDENTE],D$6,LANÇ_MOV[EMPRESA],$C$4,LANÇ_MOV[CENTRO DE CUSTOS],$D$4)</f>
        <v>0</v>
      </c>
      <c r="E526" s="206">
        <f>SUMIFS(LANÇ_MOV[VALOR LÍQUIDO],LANÇ_MOV[RECEITA OU DESPESA],"Despesa",LANÇ_MOV[CONTAS],$C526,LANÇ_MOV[PLANO DE CONTAS],REL_DRE_FINANCEIRO!$B$445,LANÇ_MOV[ANO PAGAMENTO],$B$4,LANÇ_MOV[MÊS PAGAMENTO CORRESPONDENTE],E$6,LANÇ_MOV[EMPRESA],$C$4,LANÇ_MOV[CENTRO DE CUSTOS],$D$4)</f>
        <v>0</v>
      </c>
      <c r="F526" s="206">
        <f>SUMIFS(LANÇ_MOV[VALOR LÍQUIDO],LANÇ_MOV[RECEITA OU DESPESA],"Despesa",LANÇ_MOV[CONTAS],$C526,LANÇ_MOV[PLANO DE CONTAS],REL_DRE_FINANCEIRO!$B$445,LANÇ_MOV[ANO PAGAMENTO],$B$4,LANÇ_MOV[MÊS PAGAMENTO CORRESPONDENTE],F$6,LANÇ_MOV[EMPRESA],$C$4,LANÇ_MOV[CENTRO DE CUSTOS],$D$4)</f>
        <v>0</v>
      </c>
      <c r="G526" s="206">
        <f>SUMIFS(LANÇ_MOV[VALOR LÍQUIDO],LANÇ_MOV[RECEITA OU DESPESA],"Despesa",LANÇ_MOV[CONTAS],$C526,LANÇ_MOV[PLANO DE CONTAS],REL_DRE_FINANCEIRO!$B$445,LANÇ_MOV[ANO PAGAMENTO],$B$4,LANÇ_MOV[MÊS PAGAMENTO CORRESPONDENTE],G$6,LANÇ_MOV[EMPRESA],$C$4,LANÇ_MOV[CENTRO DE CUSTOS],$D$4)</f>
        <v>0</v>
      </c>
      <c r="H526" s="206">
        <f>SUMIFS(LANÇ_MOV[VALOR LÍQUIDO],LANÇ_MOV[RECEITA OU DESPESA],"Despesa",LANÇ_MOV[CONTAS],$C526,LANÇ_MOV[PLANO DE CONTAS],REL_DRE_FINANCEIRO!$B$445,LANÇ_MOV[ANO PAGAMENTO],$B$4,LANÇ_MOV[MÊS PAGAMENTO CORRESPONDENTE],H$6,LANÇ_MOV[EMPRESA],$C$4,LANÇ_MOV[CENTRO DE CUSTOS],$D$4)</f>
        <v>0</v>
      </c>
      <c r="I526" s="206">
        <f>SUMIFS(LANÇ_MOV[VALOR LÍQUIDO],LANÇ_MOV[RECEITA OU DESPESA],"Despesa",LANÇ_MOV[CONTAS],$C526,LANÇ_MOV[PLANO DE CONTAS],REL_DRE_FINANCEIRO!$B$445,LANÇ_MOV[ANO PAGAMENTO],$B$4,LANÇ_MOV[MÊS PAGAMENTO CORRESPONDENTE],I$6,LANÇ_MOV[EMPRESA],$C$4,LANÇ_MOV[CENTRO DE CUSTOS],$D$4)</f>
        <v>0</v>
      </c>
      <c r="J526" s="206">
        <f>SUMIFS(LANÇ_MOV[VALOR LÍQUIDO],LANÇ_MOV[RECEITA OU DESPESA],"Despesa",LANÇ_MOV[CONTAS],$C526,LANÇ_MOV[PLANO DE CONTAS],REL_DRE_FINANCEIRO!$B$445,LANÇ_MOV[ANO PAGAMENTO],$B$4,LANÇ_MOV[MÊS PAGAMENTO CORRESPONDENTE],J$6,LANÇ_MOV[EMPRESA],$C$4,LANÇ_MOV[CENTRO DE CUSTOS],$D$4)</f>
        <v>0</v>
      </c>
      <c r="K526" s="206">
        <f>SUMIFS(LANÇ_MOV[VALOR LÍQUIDO],LANÇ_MOV[RECEITA OU DESPESA],"Despesa",LANÇ_MOV[CONTAS],$C526,LANÇ_MOV[PLANO DE CONTAS],REL_DRE_FINANCEIRO!$B$445,LANÇ_MOV[ANO PAGAMENTO],$B$4,LANÇ_MOV[MÊS PAGAMENTO CORRESPONDENTE],K$6,LANÇ_MOV[EMPRESA],$C$4,LANÇ_MOV[CENTRO DE CUSTOS],$D$4)</f>
        <v>0</v>
      </c>
      <c r="L526" s="206">
        <f>SUMIFS(LANÇ_MOV[VALOR LÍQUIDO],LANÇ_MOV[RECEITA OU DESPESA],"Despesa",LANÇ_MOV[CONTAS],$C526,LANÇ_MOV[PLANO DE CONTAS],REL_DRE_FINANCEIRO!$B$445,LANÇ_MOV[ANO PAGAMENTO],$B$4,LANÇ_MOV[MÊS PAGAMENTO CORRESPONDENTE],L$6,LANÇ_MOV[EMPRESA],$C$4,LANÇ_MOV[CENTRO DE CUSTOS],$D$4)</f>
        <v>0</v>
      </c>
      <c r="M526" s="206">
        <f>SUMIFS(LANÇ_MOV[VALOR LÍQUIDO],LANÇ_MOV[RECEITA OU DESPESA],"Despesa",LANÇ_MOV[CONTAS],$C526,LANÇ_MOV[PLANO DE CONTAS],REL_DRE_FINANCEIRO!$B$445,LANÇ_MOV[ANO PAGAMENTO],$B$4,LANÇ_MOV[MÊS PAGAMENTO CORRESPONDENTE],M$6,LANÇ_MOV[EMPRESA],$C$4,LANÇ_MOV[CENTRO DE CUSTOS],$D$4)</f>
        <v>0</v>
      </c>
      <c r="N526" s="206">
        <f>SUMIFS(LANÇ_MOV[VALOR LÍQUIDO],LANÇ_MOV[RECEITA OU DESPESA],"Despesa",LANÇ_MOV[CONTAS],$C526,LANÇ_MOV[PLANO DE CONTAS],REL_DRE_FINANCEIRO!$B$445,LANÇ_MOV[ANO PAGAMENTO],$B$4,LANÇ_MOV[MÊS PAGAMENTO CORRESPONDENTE],N$6,LANÇ_MOV[EMPRESA],$C$4,LANÇ_MOV[CENTRO DE CUSTOS],$D$4)</f>
        <v>0</v>
      </c>
      <c r="O526" s="206">
        <f>SUMIFS(LANÇ_MOV[VALOR LÍQUIDO],LANÇ_MOV[RECEITA OU DESPESA],"Despesa",LANÇ_MOV[CONTAS],$C526,LANÇ_MOV[PLANO DE CONTAS],REL_DRE_FINANCEIRO!$B$445,LANÇ_MOV[ANO PAGAMENTO],$B$4,LANÇ_MOV[MÊS PAGAMENTO CORRESPONDENTE],O$6,LANÇ_MOV[EMPRESA],$C$4,LANÇ_MOV[CENTRO DE CUSTOS],$D$4)</f>
        <v>0</v>
      </c>
      <c r="P526" s="207">
        <f t="shared" si="70"/>
        <v>0</v>
      </c>
      <c r="Q526" s="329">
        <v>1.9999999999999999E-6</v>
      </c>
      <c r="R526" s="346">
        <f t="shared" si="72"/>
        <v>1.9999999999999999E-6</v>
      </c>
      <c r="S526" s="347" t="str">
        <f t="shared" si="73"/>
        <v>-</v>
      </c>
      <c r="T526" s="347">
        <f t="shared" si="74"/>
        <v>0</v>
      </c>
      <c r="U526" s="347">
        <f>HLOOKUP(Apoio!$P$12,$D$444:$P$545,X526,FALSE)+Q526</f>
        <v>1.9999999999999999E-6</v>
      </c>
      <c r="V526" s="447" t="str">
        <f t="shared" si="71"/>
        <v>-</v>
      </c>
      <c r="W526" s="448">
        <f>HLOOKUP(Apoio!$P$12,$D$444:$P$545,X526,FALSE)</f>
        <v>0</v>
      </c>
      <c r="X526" s="329">
        <v>83</v>
      </c>
    </row>
    <row r="527" spans="2:24" ht="30.05" customHeight="1" x14ac:dyDescent="0.35">
      <c r="B527" s="204" t="str">
        <f>'CAD_PL_REC-DESP'!T86</f>
        <v>2.4.82</v>
      </c>
      <c r="C527" s="205" t="str">
        <f>IF('CAD_PL_REC-DESP'!U86="","-",'CAD_PL_REC-DESP'!U86)</f>
        <v>-</v>
      </c>
      <c r="D527" s="206">
        <f>SUMIFS(LANÇ_MOV[VALOR LÍQUIDO],LANÇ_MOV[RECEITA OU DESPESA],"Despesa",LANÇ_MOV[CONTAS],$C527,LANÇ_MOV[PLANO DE CONTAS],REL_DRE_FINANCEIRO!$B$445,LANÇ_MOV[ANO PAGAMENTO],$B$4,LANÇ_MOV[MÊS PAGAMENTO CORRESPONDENTE],D$6,LANÇ_MOV[EMPRESA],$C$4,LANÇ_MOV[CENTRO DE CUSTOS],$D$4)</f>
        <v>0</v>
      </c>
      <c r="E527" s="206">
        <f>SUMIFS(LANÇ_MOV[VALOR LÍQUIDO],LANÇ_MOV[RECEITA OU DESPESA],"Despesa",LANÇ_MOV[CONTAS],$C527,LANÇ_MOV[PLANO DE CONTAS],REL_DRE_FINANCEIRO!$B$445,LANÇ_MOV[ANO PAGAMENTO],$B$4,LANÇ_MOV[MÊS PAGAMENTO CORRESPONDENTE],E$6,LANÇ_MOV[EMPRESA],$C$4,LANÇ_MOV[CENTRO DE CUSTOS],$D$4)</f>
        <v>0</v>
      </c>
      <c r="F527" s="206">
        <f>SUMIFS(LANÇ_MOV[VALOR LÍQUIDO],LANÇ_MOV[RECEITA OU DESPESA],"Despesa",LANÇ_MOV[CONTAS],$C527,LANÇ_MOV[PLANO DE CONTAS],REL_DRE_FINANCEIRO!$B$445,LANÇ_MOV[ANO PAGAMENTO],$B$4,LANÇ_MOV[MÊS PAGAMENTO CORRESPONDENTE],F$6,LANÇ_MOV[EMPRESA],$C$4,LANÇ_MOV[CENTRO DE CUSTOS],$D$4)</f>
        <v>0</v>
      </c>
      <c r="G527" s="206">
        <f>SUMIFS(LANÇ_MOV[VALOR LÍQUIDO],LANÇ_MOV[RECEITA OU DESPESA],"Despesa",LANÇ_MOV[CONTAS],$C527,LANÇ_MOV[PLANO DE CONTAS],REL_DRE_FINANCEIRO!$B$445,LANÇ_MOV[ANO PAGAMENTO],$B$4,LANÇ_MOV[MÊS PAGAMENTO CORRESPONDENTE],G$6,LANÇ_MOV[EMPRESA],$C$4,LANÇ_MOV[CENTRO DE CUSTOS],$D$4)</f>
        <v>0</v>
      </c>
      <c r="H527" s="206">
        <f>SUMIFS(LANÇ_MOV[VALOR LÍQUIDO],LANÇ_MOV[RECEITA OU DESPESA],"Despesa",LANÇ_MOV[CONTAS],$C527,LANÇ_MOV[PLANO DE CONTAS],REL_DRE_FINANCEIRO!$B$445,LANÇ_MOV[ANO PAGAMENTO],$B$4,LANÇ_MOV[MÊS PAGAMENTO CORRESPONDENTE],H$6,LANÇ_MOV[EMPRESA],$C$4,LANÇ_MOV[CENTRO DE CUSTOS],$D$4)</f>
        <v>0</v>
      </c>
      <c r="I527" s="206">
        <f>SUMIFS(LANÇ_MOV[VALOR LÍQUIDO],LANÇ_MOV[RECEITA OU DESPESA],"Despesa",LANÇ_MOV[CONTAS],$C527,LANÇ_MOV[PLANO DE CONTAS],REL_DRE_FINANCEIRO!$B$445,LANÇ_MOV[ANO PAGAMENTO],$B$4,LANÇ_MOV[MÊS PAGAMENTO CORRESPONDENTE],I$6,LANÇ_MOV[EMPRESA],$C$4,LANÇ_MOV[CENTRO DE CUSTOS],$D$4)</f>
        <v>0</v>
      </c>
      <c r="J527" s="206">
        <f>SUMIFS(LANÇ_MOV[VALOR LÍQUIDO],LANÇ_MOV[RECEITA OU DESPESA],"Despesa",LANÇ_MOV[CONTAS],$C527,LANÇ_MOV[PLANO DE CONTAS],REL_DRE_FINANCEIRO!$B$445,LANÇ_MOV[ANO PAGAMENTO],$B$4,LANÇ_MOV[MÊS PAGAMENTO CORRESPONDENTE],J$6,LANÇ_MOV[EMPRESA],$C$4,LANÇ_MOV[CENTRO DE CUSTOS],$D$4)</f>
        <v>0</v>
      </c>
      <c r="K527" s="206">
        <f>SUMIFS(LANÇ_MOV[VALOR LÍQUIDO],LANÇ_MOV[RECEITA OU DESPESA],"Despesa",LANÇ_MOV[CONTAS],$C527,LANÇ_MOV[PLANO DE CONTAS],REL_DRE_FINANCEIRO!$B$445,LANÇ_MOV[ANO PAGAMENTO],$B$4,LANÇ_MOV[MÊS PAGAMENTO CORRESPONDENTE],K$6,LANÇ_MOV[EMPRESA],$C$4,LANÇ_MOV[CENTRO DE CUSTOS],$D$4)</f>
        <v>0</v>
      </c>
      <c r="L527" s="206">
        <f>SUMIFS(LANÇ_MOV[VALOR LÍQUIDO],LANÇ_MOV[RECEITA OU DESPESA],"Despesa",LANÇ_MOV[CONTAS],$C527,LANÇ_MOV[PLANO DE CONTAS],REL_DRE_FINANCEIRO!$B$445,LANÇ_MOV[ANO PAGAMENTO],$B$4,LANÇ_MOV[MÊS PAGAMENTO CORRESPONDENTE],L$6,LANÇ_MOV[EMPRESA],$C$4,LANÇ_MOV[CENTRO DE CUSTOS],$D$4)</f>
        <v>0</v>
      </c>
      <c r="M527" s="206">
        <f>SUMIFS(LANÇ_MOV[VALOR LÍQUIDO],LANÇ_MOV[RECEITA OU DESPESA],"Despesa",LANÇ_MOV[CONTAS],$C527,LANÇ_MOV[PLANO DE CONTAS],REL_DRE_FINANCEIRO!$B$445,LANÇ_MOV[ANO PAGAMENTO],$B$4,LANÇ_MOV[MÊS PAGAMENTO CORRESPONDENTE],M$6,LANÇ_MOV[EMPRESA],$C$4,LANÇ_MOV[CENTRO DE CUSTOS],$D$4)</f>
        <v>0</v>
      </c>
      <c r="N527" s="206">
        <f>SUMIFS(LANÇ_MOV[VALOR LÍQUIDO],LANÇ_MOV[RECEITA OU DESPESA],"Despesa",LANÇ_MOV[CONTAS],$C527,LANÇ_MOV[PLANO DE CONTAS],REL_DRE_FINANCEIRO!$B$445,LANÇ_MOV[ANO PAGAMENTO],$B$4,LANÇ_MOV[MÊS PAGAMENTO CORRESPONDENTE],N$6,LANÇ_MOV[EMPRESA],$C$4,LANÇ_MOV[CENTRO DE CUSTOS],$D$4)</f>
        <v>0</v>
      </c>
      <c r="O527" s="206">
        <f>SUMIFS(LANÇ_MOV[VALOR LÍQUIDO],LANÇ_MOV[RECEITA OU DESPESA],"Despesa",LANÇ_MOV[CONTAS],$C527,LANÇ_MOV[PLANO DE CONTAS],REL_DRE_FINANCEIRO!$B$445,LANÇ_MOV[ANO PAGAMENTO],$B$4,LANÇ_MOV[MÊS PAGAMENTO CORRESPONDENTE],O$6,LANÇ_MOV[EMPRESA],$C$4,LANÇ_MOV[CENTRO DE CUSTOS],$D$4)</f>
        <v>0</v>
      </c>
      <c r="P527" s="207">
        <f t="shared" si="70"/>
        <v>0</v>
      </c>
      <c r="Q527" s="329">
        <v>1.9E-6</v>
      </c>
      <c r="R527" s="346">
        <f t="shared" si="72"/>
        <v>1.9E-6</v>
      </c>
      <c r="S527" s="347" t="str">
        <f t="shared" si="73"/>
        <v>-</v>
      </c>
      <c r="T527" s="347">
        <f t="shared" si="74"/>
        <v>0</v>
      </c>
      <c r="U527" s="347">
        <f>HLOOKUP(Apoio!$P$12,$D$444:$P$545,X527,FALSE)+Q527</f>
        <v>1.9E-6</v>
      </c>
      <c r="V527" s="447" t="str">
        <f t="shared" si="71"/>
        <v>-</v>
      </c>
      <c r="W527" s="448">
        <f>HLOOKUP(Apoio!$P$12,$D$444:$P$545,X527,FALSE)</f>
        <v>0</v>
      </c>
      <c r="X527" s="329">
        <v>84</v>
      </c>
    </row>
    <row r="528" spans="2:24" ht="30.05" customHeight="1" x14ac:dyDescent="0.35">
      <c r="B528" s="204" t="str">
        <f>'CAD_PL_REC-DESP'!T87</f>
        <v>2.4.83</v>
      </c>
      <c r="C528" s="205" t="str">
        <f>IF('CAD_PL_REC-DESP'!U87="","-",'CAD_PL_REC-DESP'!U87)</f>
        <v>-</v>
      </c>
      <c r="D528" s="206">
        <f>SUMIFS(LANÇ_MOV[VALOR LÍQUIDO],LANÇ_MOV[RECEITA OU DESPESA],"Despesa",LANÇ_MOV[CONTAS],$C528,LANÇ_MOV[PLANO DE CONTAS],REL_DRE_FINANCEIRO!$B$445,LANÇ_MOV[ANO PAGAMENTO],$B$4,LANÇ_MOV[MÊS PAGAMENTO CORRESPONDENTE],D$6,LANÇ_MOV[EMPRESA],$C$4,LANÇ_MOV[CENTRO DE CUSTOS],$D$4)</f>
        <v>0</v>
      </c>
      <c r="E528" s="206">
        <f>SUMIFS(LANÇ_MOV[VALOR LÍQUIDO],LANÇ_MOV[RECEITA OU DESPESA],"Despesa",LANÇ_MOV[CONTAS],$C528,LANÇ_MOV[PLANO DE CONTAS],REL_DRE_FINANCEIRO!$B$445,LANÇ_MOV[ANO PAGAMENTO],$B$4,LANÇ_MOV[MÊS PAGAMENTO CORRESPONDENTE],E$6,LANÇ_MOV[EMPRESA],$C$4,LANÇ_MOV[CENTRO DE CUSTOS],$D$4)</f>
        <v>0</v>
      </c>
      <c r="F528" s="206">
        <f>SUMIFS(LANÇ_MOV[VALOR LÍQUIDO],LANÇ_MOV[RECEITA OU DESPESA],"Despesa",LANÇ_MOV[CONTAS],$C528,LANÇ_MOV[PLANO DE CONTAS],REL_DRE_FINANCEIRO!$B$445,LANÇ_MOV[ANO PAGAMENTO],$B$4,LANÇ_MOV[MÊS PAGAMENTO CORRESPONDENTE],F$6,LANÇ_MOV[EMPRESA],$C$4,LANÇ_MOV[CENTRO DE CUSTOS],$D$4)</f>
        <v>0</v>
      </c>
      <c r="G528" s="206">
        <f>SUMIFS(LANÇ_MOV[VALOR LÍQUIDO],LANÇ_MOV[RECEITA OU DESPESA],"Despesa",LANÇ_MOV[CONTAS],$C528,LANÇ_MOV[PLANO DE CONTAS],REL_DRE_FINANCEIRO!$B$445,LANÇ_MOV[ANO PAGAMENTO],$B$4,LANÇ_MOV[MÊS PAGAMENTO CORRESPONDENTE],G$6,LANÇ_MOV[EMPRESA],$C$4,LANÇ_MOV[CENTRO DE CUSTOS],$D$4)</f>
        <v>0</v>
      </c>
      <c r="H528" s="206">
        <f>SUMIFS(LANÇ_MOV[VALOR LÍQUIDO],LANÇ_MOV[RECEITA OU DESPESA],"Despesa",LANÇ_MOV[CONTAS],$C528,LANÇ_MOV[PLANO DE CONTAS],REL_DRE_FINANCEIRO!$B$445,LANÇ_MOV[ANO PAGAMENTO],$B$4,LANÇ_MOV[MÊS PAGAMENTO CORRESPONDENTE],H$6,LANÇ_MOV[EMPRESA],$C$4,LANÇ_MOV[CENTRO DE CUSTOS],$D$4)</f>
        <v>0</v>
      </c>
      <c r="I528" s="206">
        <f>SUMIFS(LANÇ_MOV[VALOR LÍQUIDO],LANÇ_MOV[RECEITA OU DESPESA],"Despesa",LANÇ_MOV[CONTAS],$C528,LANÇ_MOV[PLANO DE CONTAS],REL_DRE_FINANCEIRO!$B$445,LANÇ_MOV[ANO PAGAMENTO],$B$4,LANÇ_MOV[MÊS PAGAMENTO CORRESPONDENTE],I$6,LANÇ_MOV[EMPRESA],$C$4,LANÇ_MOV[CENTRO DE CUSTOS],$D$4)</f>
        <v>0</v>
      </c>
      <c r="J528" s="206">
        <f>SUMIFS(LANÇ_MOV[VALOR LÍQUIDO],LANÇ_MOV[RECEITA OU DESPESA],"Despesa",LANÇ_MOV[CONTAS],$C528,LANÇ_MOV[PLANO DE CONTAS],REL_DRE_FINANCEIRO!$B$445,LANÇ_MOV[ANO PAGAMENTO],$B$4,LANÇ_MOV[MÊS PAGAMENTO CORRESPONDENTE],J$6,LANÇ_MOV[EMPRESA],$C$4,LANÇ_MOV[CENTRO DE CUSTOS],$D$4)</f>
        <v>0</v>
      </c>
      <c r="K528" s="206">
        <f>SUMIFS(LANÇ_MOV[VALOR LÍQUIDO],LANÇ_MOV[RECEITA OU DESPESA],"Despesa",LANÇ_MOV[CONTAS],$C528,LANÇ_MOV[PLANO DE CONTAS],REL_DRE_FINANCEIRO!$B$445,LANÇ_MOV[ANO PAGAMENTO],$B$4,LANÇ_MOV[MÊS PAGAMENTO CORRESPONDENTE],K$6,LANÇ_MOV[EMPRESA],$C$4,LANÇ_MOV[CENTRO DE CUSTOS],$D$4)</f>
        <v>0</v>
      </c>
      <c r="L528" s="206">
        <f>SUMIFS(LANÇ_MOV[VALOR LÍQUIDO],LANÇ_MOV[RECEITA OU DESPESA],"Despesa",LANÇ_MOV[CONTAS],$C528,LANÇ_MOV[PLANO DE CONTAS],REL_DRE_FINANCEIRO!$B$445,LANÇ_MOV[ANO PAGAMENTO],$B$4,LANÇ_MOV[MÊS PAGAMENTO CORRESPONDENTE],L$6,LANÇ_MOV[EMPRESA],$C$4,LANÇ_MOV[CENTRO DE CUSTOS],$D$4)</f>
        <v>0</v>
      </c>
      <c r="M528" s="206">
        <f>SUMIFS(LANÇ_MOV[VALOR LÍQUIDO],LANÇ_MOV[RECEITA OU DESPESA],"Despesa",LANÇ_MOV[CONTAS],$C528,LANÇ_MOV[PLANO DE CONTAS],REL_DRE_FINANCEIRO!$B$445,LANÇ_MOV[ANO PAGAMENTO],$B$4,LANÇ_MOV[MÊS PAGAMENTO CORRESPONDENTE],M$6,LANÇ_MOV[EMPRESA],$C$4,LANÇ_MOV[CENTRO DE CUSTOS],$D$4)</f>
        <v>0</v>
      </c>
      <c r="N528" s="206">
        <f>SUMIFS(LANÇ_MOV[VALOR LÍQUIDO],LANÇ_MOV[RECEITA OU DESPESA],"Despesa",LANÇ_MOV[CONTAS],$C528,LANÇ_MOV[PLANO DE CONTAS],REL_DRE_FINANCEIRO!$B$445,LANÇ_MOV[ANO PAGAMENTO],$B$4,LANÇ_MOV[MÊS PAGAMENTO CORRESPONDENTE],N$6,LANÇ_MOV[EMPRESA],$C$4,LANÇ_MOV[CENTRO DE CUSTOS],$D$4)</f>
        <v>0</v>
      </c>
      <c r="O528" s="206">
        <f>SUMIFS(LANÇ_MOV[VALOR LÍQUIDO],LANÇ_MOV[RECEITA OU DESPESA],"Despesa",LANÇ_MOV[CONTAS],$C528,LANÇ_MOV[PLANO DE CONTAS],REL_DRE_FINANCEIRO!$B$445,LANÇ_MOV[ANO PAGAMENTO],$B$4,LANÇ_MOV[MÊS PAGAMENTO CORRESPONDENTE],O$6,LANÇ_MOV[EMPRESA],$C$4,LANÇ_MOV[CENTRO DE CUSTOS],$D$4)</f>
        <v>0</v>
      </c>
      <c r="P528" s="207">
        <f t="shared" si="70"/>
        <v>0</v>
      </c>
      <c r="Q528" s="329">
        <v>1.7999999999999999E-6</v>
      </c>
      <c r="R528" s="346">
        <f t="shared" si="72"/>
        <v>1.7999999999999999E-6</v>
      </c>
      <c r="S528" s="347" t="str">
        <f t="shared" si="73"/>
        <v>-</v>
      </c>
      <c r="T528" s="347">
        <f t="shared" si="74"/>
        <v>0</v>
      </c>
      <c r="U528" s="347">
        <f>HLOOKUP(Apoio!$P$12,$D$444:$P$545,X528,FALSE)+Q528</f>
        <v>1.7999999999999999E-6</v>
      </c>
      <c r="V528" s="447" t="str">
        <f t="shared" si="71"/>
        <v>-</v>
      </c>
      <c r="W528" s="448">
        <f>HLOOKUP(Apoio!$P$12,$D$444:$P$545,X528,FALSE)</f>
        <v>0</v>
      </c>
      <c r="X528" s="329">
        <v>85</v>
      </c>
    </row>
    <row r="529" spans="2:24" ht="30.05" customHeight="1" x14ac:dyDescent="0.35">
      <c r="B529" s="204" t="str">
        <f>'CAD_PL_REC-DESP'!T88</f>
        <v>2.4.84</v>
      </c>
      <c r="C529" s="205" t="str">
        <f>IF('CAD_PL_REC-DESP'!U88="","-",'CAD_PL_REC-DESP'!U88)</f>
        <v>-</v>
      </c>
      <c r="D529" s="206">
        <f>SUMIFS(LANÇ_MOV[VALOR LÍQUIDO],LANÇ_MOV[RECEITA OU DESPESA],"Despesa",LANÇ_MOV[CONTAS],$C529,LANÇ_MOV[PLANO DE CONTAS],REL_DRE_FINANCEIRO!$B$445,LANÇ_MOV[ANO PAGAMENTO],$B$4,LANÇ_MOV[MÊS PAGAMENTO CORRESPONDENTE],D$6,LANÇ_MOV[EMPRESA],$C$4,LANÇ_MOV[CENTRO DE CUSTOS],$D$4)</f>
        <v>0</v>
      </c>
      <c r="E529" s="206">
        <f>SUMIFS(LANÇ_MOV[VALOR LÍQUIDO],LANÇ_MOV[RECEITA OU DESPESA],"Despesa",LANÇ_MOV[CONTAS],$C529,LANÇ_MOV[PLANO DE CONTAS],REL_DRE_FINANCEIRO!$B$445,LANÇ_MOV[ANO PAGAMENTO],$B$4,LANÇ_MOV[MÊS PAGAMENTO CORRESPONDENTE],E$6,LANÇ_MOV[EMPRESA],$C$4,LANÇ_MOV[CENTRO DE CUSTOS],$D$4)</f>
        <v>0</v>
      </c>
      <c r="F529" s="206">
        <f>SUMIFS(LANÇ_MOV[VALOR LÍQUIDO],LANÇ_MOV[RECEITA OU DESPESA],"Despesa",LANÇ_MOV[CONTAS],$C529,LANÇ_MOV[PLANO DE CONTAS],REL_DRE_FINANCEIRO!$B$445,LANÇ_MOV[ANO PAGAMENTO],$B$4,LANÇ_MOV[MÊS PAGAMENTO CORRESPONDENTE],F$6,LANÇ_MOV[EMPRESA],$C$4,LANÇ_MOV[CENTRO DE CUSTOS],$D$4)</f>
        <v>0</v>
      </c>
      <c r="G529" s="206">
        <f>SUMIFS(LANÇ_MOV[VALOR LÍQUIDO],LANÇ_MOV[RECEITA OU DESPESA],"Despesa",LANÇ_MOV[CONTAS],$C529,LANÇ_MOV[PLANO DE CONTAS],REL_DRE_FINANCEIRO!$B$445,LANÇ_MOV[ANO PAGAMENTO],$B$4,LANÇ_MOV[MÊS PAGAMENTO CORRESPONDENTE],G$6,LANÇ_MOV[EMPRESA],$C$4,LANÇ_MOV[CENTRO DE CUSTOS],$D$4)</f>
        <v>0</v>
      </c>
      <c r="H529" s="206">
        <f>SUMIFS(LANÇ_MOV[VALOR LÍQUIDO],LANÇ_MOV[RECEITA OU DESPESA],"Despesa",LANÇ_MOV[CONTAS],$C529,LANÇ_MOV[PLANO DE CONTAS],REL_DRE_FINANCEIRO!$B$445,LANÇ_MOV[ANO PAGAMENTO],$B$4,LANÇ_MOV[MÊS PAGAMENTO CORRESPONDENTE],H$6,LANÇ_MOV[EMPRESA],$C$4,LANÇ_MOV[CENTRO DE CUSTOS],$D$4)</f>
        <v>0</v>
      </c>
      <c r="I529" s="206">
        <f>SUMIFS(LANÇ_MOV[VALOR LÍQUIDO],LANÇ_MOV[RECEITA OU DESPESA],"Despesa",LANÇ_MOV[CONTAS],$C529,LANÇ_MOV[PLANO DE CONTAS],REL_DRE_FINANCEIRO!$B$445,LANÇ_MOV[ANO PAGAMENTO],$B$4,LANÇ_MOV[MÊS PAGAMENTO CORRESPONDENTE],I$6,LANÇ_MOV[EMPRESA],$C$4,LANÇ_MOV[CENTRO DE CUSTOS],$D$4)</f>
        <v>0</v>
      </c>
      <c r="J529" s="206">
        <f>SUMIFS(LANÇ_MOV[VALOR LÍQUIDO],LANÇ_MOV[RECEITA OU DESPESA],"Despesa",LANÇ_MOV[CONTAS],$C529,LANÇ_MOV[PLANO DE CONTAS],REL_DRE_FINANCEIRO!$B$445,LANÇ_MOV[ANO PAGAMENTO],$B$4,LANÇ_MOV[MÊS PAGAMENTO CORRESPONDENTE],J$6,LANÇ_MOV[EMPRESA],$C$4,LANÇ_MOV[CENTRO DE CUSTOS],$D$4)</f>
        <v>0</v>
      </c>
      <c r="K529" s="206">
        <f>SUMIFS(LANÇ_MOV[VALOR LÍQUIDO],LANÇ_MOV[RECEITA OU DESPESA],"Despesa",LANÇ_MOV[CONTAS],$C529,LANÇ_MOV[PLANO DE CONTAS],REL_DRE_FINANCEIRO!$B$445,LANÇ_MOV[ANO PAGAMENTO],$B$4,LANÇ_MOV[MÊS PAGAMENTO CORRESPONDENTE],K$6,LANÇ_MOV[EMPRESA],$C$4,LANÇ_MOV[CENTRO DE CUSTOS],$D$4)</f>
        <v>0</v>
      </c>
      <c r="L529" s="206">
        <f>SUMIFS(LANÇ_MOV[VALOR LÍQUIDO],LANÇ_MOV[RECEITA OU DESPESA],"Despesa",LANÇ_MOV[CONTAS],$C529,LANÇ_MOV[PLANO DE CONTAS],REL_DRE_FINANCEIRO!$B$445,LANÇ_MOV[ANO PAGAMENTO],$B$4,LANÇ_MOV[MÊS PAGAMENTO CORRESPONDENTE],L$6,LANÇ_MOV[EMPRESA],$C$4,LANÇ_MOV[CENTRO DE CUSTOS],$D$4)</f>
        <v>0</v>
      </c>
      <c r="M529" s="206">
        <f>SUMIFS(LANÇ_MOV[VALOR LÍQUIDO],LANÇ_MOV[RECEITA OU DESPESA],"Despesa",LANÇ_MOV[CONTAS],$C529,LANÇ_MOV[PLANO DE CONTAS],REL_DRE_FINANCEIRO!$B$445,LANÇ_MOV[ANO PAGAMENTO],$B$4,LANÇ_MOV[MÊS PAGAMENTO CORRESPONDENTE],M$6,LANÇ_MOV[EMPRESA],$C$4,LANÇ_MOV[CENTRO DE CUSTOS],$D$4)</f>
        <v>0</v>
      </c>
      <c r="N529" s="206">
        <f>SUMIFS(LANÇ_MOV[VALOR LÍQUIDO],LANÇ_MOV[RECEITA OU DESPESA],"Despesa",LANÇ_MOV[CONTAS],$C529,LANÇ_MOV[PLANO DE CONTAS],REL_DRE_FINANCEIRO!$B$445,LANÇ_MOV[ANO PAGAMENTO],$B$4,LANÇ_MOV[MÊS PAGAMENTO CORRESPONDENTE],N$6,LANÇ_MOV[EMPRESA],$C$4,LANÇ_MOV[CENTRO DE CUSTOS],$D$4)</f>
        <v>0</v>
      </c>
      <c r="O529" s="206">
        <f>SUMIFS(LANÇ_MOV[VALOR LÍQUIDO],LANÇ_MOV[RECEITA OU DESPESA],"Despesa",LANÇ_MOV[CONTAS],$C529,LANÇ_MOV[PLANO DE CONTAS],REL_DRE_FINANCEIRO!$B$445,LANÇ_MOV[ANO PAGAMENTO],$B$4,LANÇ_MOV[MÊS PAGAMENTO CORRESPONDENTE],O$6,LANÇ_MOV[EMPRESA],$C$4,LANÇ_MOV[CENTRO DE CUSTOS],$D$4)</f>
        <v>0</v>
      </c>
      <c r="P529" s="207">
        <f t="shared" si="70"/>
        <v>0</v>
      </c>
      <c r="Q529" s="329">
        <v>1.7E-6</v>
      </c>
      <c r="R529" s="346">
        <f t="shared" si="72"/>
        <v>1.7E-6</v>
      </c>
      <c r="S529" s="347" t="str">
        <f t="shared" si="73"/>
        <v>-</v>
      </c>
      <c r="T529" s="347">
        <f t="shared" si="74"/>
        <v>0</v>
      </c>
      <c r="U529" s="347">
        <f>HLOOKUP(Apoio!$P$12,$D$444:$P$545,X529,FALSE)+Q529</f>
        <v>1.7E-6</v>
      </c>
      <c r="V529" s="447" t="str">
        <f t="shared" si="71"/>
        <v>-</v>
      </c>
      <c r="W529" s="448">
        <f>HLOOKUP(Apoio!$P$12,$D$444:$P$545,X529,FALSE)</f>
        <v>0</v>
      </c>
      <c r="X529" s="329">
        <v>86</v>
      </c>
    </row>
    <row r="530" spans="2:24" ht="30.05" customHeight="1" x14ac:dyDescent="0.35">
      <c r="B530" s="204" t="str">
        <f>'CAD_PL_REC-DESP'!T89</f>
        <v>2.4.85</v>
      </c>
      <c r="C530" s="205" t="str">
        <f>IF('CAD_PL_REC-DESP'!U89="","-",'CAD_PL_REC-DESP'!U89)</f>
        <v>-</v>
      </c>
      <c r="D530" s="206">
        <f>SUMIFS(LANÇ_MOV[VALOR LÍQUIDO],LANÇ_MOV[RECEITA OU DESPESA],"Despesa",LANÇ_MOV[CONTAS],$C530,LANÇ_MOV[PLANO DE CONTAS],REL_DRE_FINANCEIRO!$B$445,LANÇ_MOV[ANO PAGAMENTO],$B$4,LANÇ_MOV[MÊS PAGAMENTO CORRESPONDENTE],D$6,LANÇ_MOV[EMPRESA],$C$4,LANÇ_MOV[CENTRO DE CUSTOS],$D$4)</f>
        <v>0</v>
      </c>
      <c r="E530" s="206">
        <f>SUMIFS(LANÇ_MOV[VALOR LÍQUIDO],LANÇ_MOV[RECEITA OU DESPESA],"Despesa",LANÇ_MOV[CONTAS],$C530,LANÇ_MOV[PLANO DE CONTAS],REL_DRE_FINANCEIRO!$B$445,LANÇ_MOV[ANO PAGAMENTO],$B$4,LANÇ_MOV[MÊS PAGAMENTO CORRESPONDENTE],E$6,LANÇ_MOV[EMPRESA],$C$4,LANÇ_MOV[CENTRO DE CUSTOS],$D$4)</f>
        <v>0</v>
      </c>
      <c r="F530" s="206">
        <f>SUMIFS(LANÇ_MOV[VALOR LÍQUIDO],LANÇ_MOV[RECEITA OU DESPESA],"Despesa",LANÇ_MOV[CONTAS],$C530,LANÇ_MOV[PLANO DE CONTAS],REL_DRE_FINANCEIRO!$B$445,LANÇ_MOV[ANO PAGAMENTO],$B$4,LANÇ_MOV[MÊS PAGAMENTO CORRESPONDENTE],F$6,LANÇ_MOV[EMPRESA],$C$4,LANÇ_MOV[CENTRO DE CUSTOS],$D$4)</f>
        <v>0</v>
      </c>
      <c r="G530" s="206">
        <f>SUMIFS(LANÇ_MOV[VALOR LÍQUIDO],LANÇ_MOV[RECEITA OU DESPESA],"Despesa",LANÇ_MOV[CONTAS],$C530,LANÇ_MOV[PLANO DE CONTAS],REL_DRE_FINANCEIRO!$B$445,LANÇ_MOV[ANO PAGAMENTO],$B$4,LANÇ_MOV[MÊS PAGAMENTO CORRESPONDENTE],G$6,LANÇ_MOV[EMPRESA],$C$4,LANÇ_MOV[CENTRO DE CUSTOS],$D$4)</f>
        <v>0</v>
      </c>
      <c r="H530" s="206">
        <f>SUMIFS(LANÇ_MOV[VALOR LÍQUIDO],LANÇ_MOV[RECEITA OU DESPESA],"Despesa",LANÇ_MOV[CONTAS],$C530,LANÇ_MOV[PLANO DE CONTAS],REL_DRE_FINANCEIRO!$B$445,LANÇ_MOV[ANO PAGAMENTO],$B$4,LANÇ_MOV[MÊS PAGAMENTO CORRESPONDENTE],H$6,LANÇ_MOV[EMPRESA],$C$4,LANÇ_MOV[CENTRO DE CUSTOS],$D$4)</f>
        <v>0</v>
      </c>
      <c r="I530" s="206">
        <f>SUMIFS(LANÇ_MOV[VALOR LÍQUIDO],LANÇ_MOV[RECEITA OU DESPESA],"Despesa",LANÇ_MOV[CONTAS],$C530,LANÇ_MOV[PLANO DE CONTAS],REL_DRE_FINANCEIRO!$B$445,LANÇ_MOV[ANO PAGAMENTO],$B$4,LANÇ_MOV[MÊS PAGAMENTO CORRESPONDENTE],I$6,LANÇ_MOV[EMPRESA],$C$4,LANÇ_MOV[CENTRO DE CUSTOS],$D$4)</f>
        <v>0</v>
      </c>
      <c r="J530" s="206">
        <f>SUMIFS(LANÇ_MOV[VALOR LÍQUIDO],LANÇ_MOV[RECEITA OU DESPESA],"Despesa",LANÇ_MOV[CONTAS],$C530,LANÇ_MOV[PLANO DE CONTAS],REL_DRE_FINANCEIRO!$B$445,LANÇ_MOV[ANO PAGAMENTO],$B$4,LANÇ_MOV[MÊS PAGAMENTO CORRESPONDENTE],J$6,LANÇ_MOV[EMPRESA],$C$4,LANÇ_MOV[CENTRO DE CUSTOS],$D$4)</f>
        <v>0</v>
      </c>
      <c r="K530" s="206">
        <f>SUMIFS(LANÇ_MOV[VALOR LÍQUIDO],LANÇ_MOV[RECEITA OU DESPESA],"Despesa",LANÇ_MOV[CONTAS],$C530,LANÇ_MOV[PLANO DE CONTAS],REL_DRE_FINANCEIRO!$B$445,LANÇ_MOV[ANO PAGAMENTO],$B$4,LANÇ_MOV[MÊS PAGAMENTO CORRESPONDENTE],K$6,LANÇ_MOV[EMPRESA],$C$4,LANÇ_MOV[CENTRO DE CUSTOS],$D$4)</f>
        <v>0</v>
      </c>
      <c r="L530" s="206">
        <f>SUMIFS(LANÇ_MOV[VALOR LÍQUIDO],LANÇ_MOV[RECEITA OU DESPESA],"Despesa",LANÇ_MOV[CONTAS],$C530,LANÇ_MOV[PLANO DE CONTAS],REL_DRE_FINANCEIRO!$B$445,LANÇ_MOV[ANO PAGAMENTO],$B$4,LANÇ_MOV[MÊS PAGAMENTO CORRESPONDENTE],L$6,LANÇ_MOV[EMPRESA],$C$4,LANÇ_MOV[CENTRO DE CUSTOS],$D$4)</f>
        <v>0</v>
      </c>
      <c r="M530" s="206">
        <f>SUMIFS(LANÇ_MOV[VALOR LÍQUIDO],LANÇ_MOV[RECEITA OU DESPESA],"Despesa",LANÇ_MOV[CONTAS],$C530,LANÇ_MOV[PLANO DE CONTAS],REL_DRE_FINANCEIRO!$B$445,LANÇ_MOV[ANO PAGAMENTO],$B$4,LANÇ_MOV[MÊS PAGAMENTO CORRESPONDENTE],M$6,LANÇ_MOV[EMPRESA],$C$4,LANÇ_MOV[CENTRO DE CUSTOS],$D$4)</f>
        <v>0</v>
      </c>
      <c r="N530" s="206">
        <f>SUMIFS(LANÇ_MOV[VALOR LÍQUIDO],LANÇ_MOV[RECEITA OU DESPESA],"Despesa",LANÇ_MOV[CONTAS],$C530,LANÇ_MOV[PLANO DE CONTAS],REL_DRE_FINANCEIRO!$B$445,LANÇ_MOV[ANO PAGAMENTO],$B$4,LANÇ_MOV[MÊS PAGAMENTO CORRESPONDENTE],N$6,LANÇ_MOV[EMPRESA],$C$4,LANÇ_MOV[CENTRO DE CUSTOS],$D$4)</f>
        <v>0</v>
      </c>
      <c r="O530" s="206">
        <f>SUMIFS(LANÇ_MOV[VALOR LÍQUIDO],LANÇ_MOV[RECEITA OU DESPESA],"Despesa",LANÇ_MOV[CONTAS],$C530,LANÇ_MOV[PLANO DE CONTAS],REL_DRE_FINANCEIRO!$B$445,LANÇ_MOV[ANO PAGAMENTO],$B$4,LANÇ_MOV[MÊS PAGAMENTO CORRESPONDENTE],O$6,LANÇ_MOV[EMPRESA],$C$4,LANÇ_MOV[CENTRO DE CUSTOS],$D$4)</f>
        <v>0</v>
      </c>
      <c r="P530" s="207">
        <f t="shared" si="70"/>
        <v>0</v>
      </c>
      <c r="Q530" s="329">
        <v>1.5999999999999999E-6</v>
      </c>
      <c r="R530" s="346">
        <f t="shared" si="72"/>
        <v>1.5999999999999999E-6</v>
      </c>
      <c r="S530" s="347" t="str">
        <f t="shared" si="73"/>
        <v>-</v>
      </c>
      <c r="T530" s="347">
        <f t="shared" si="74"/>
        <v>0</v>
      </c>
      <c r="U530" s="347">
        <f>HLOOKUP(Apoio!$P$12,$D$444:$P$545,X530,FALSE)+Q530</f>
        <v>1.5999999999999999E-6</v>
      </c>
      <c r="V530" s="447" t="str">
        <f t="shared" si="71"/>
        <v>-</v>
      </c>
      <c r="W530" s="448">
        <f>HLOOKUP(Apoio!$P$12,$D$444:$P$545,X530,FALSE)</f>
        <v>0</v>
      </c>
      <c r="X530" s="329">
        <v>87</v>
      </c>
    </row>
    <row r="531" spans="2:24" ht="30.05" customHeight="1" x14ac:dyDescent="0.35">
      <c r="B531" s="204" t="str">
        <f>'CAD_PL_REC-DESP'!T90</f>
        <v>2.4.86</v>
      </c>
      <c r="C531" s="205" t="str">
        <f>IF('CAD_PL_REC-DESP'!U90="","-",'CAD_PL_REC-DESP'!U90)</f>
        <v>-</v>
      </c>
      <c r="D531" s="206">
        <f>SUMIFS(LANÇ_MOV[VALOR LÍQUIDO],LANÇ_MOV[RECEITA OU DESPESA],"Despesa",LANÇ_MOV[CONTAS],$C531,LANÇ_MOV[PLANO DE CONTAS],REL_DRE_FINANCEIRO!$B$445,LANÇ_MOV[ANO PAGAMENTO],$B$4,LANÇ_MOV[MÊS PAGAMENTO CORRESPONDENTE],D$6,LANÇ_MOV[EMPRESA],$C$4,LANÇ_MOV[CENTRO DE CUSTOS],$D$4)</f>
        <v>0</v>
      </c>
      <c r="E531" s="206">
        <f>SUMIFS(LANÇ_MOV[VALOR LÍQUIDO],LANÇ_MOV[RECEITA OU DESPESA],"Despesa",LANÇ_MOV[CONTAS],$C531,LANÇ_MOV[PLANO DE CONTAS],REL_DRE_FINANCEIRO!$B$445,LANÇ_MOV[ANO PAGAMENTO],$B$4,LANÇ_MOV[MÊS PAGAMENTO CORRESPONDENTE],E$6,LANÇ_MOV[EMPRESA],$C$4,LANÇ_MOV[CENTRO DE CUSTOS],$D$4)</f>
        <v>0</v>
      </c>
      <c r="F531" s="206">
        <f>SUMIFS(LANÇ_MOV[VALOR LÍQUIDO],LANÇ_MOV[RECEITA OU DESPESA],"Despesa",LANÇ_MOV[CONTAS],$C531,LANÇ_MOV[PLANO DE CONTAS],REL_DRE_FINANCEIRO!$B$445,LANÇ_MOV[ANO PAGAMENTO],$B$4,LANÇ_MOV[MÊS PAGAMENTO CORRESPONDENTE],F$6,LANÇ_MOV[EMPRESA],$C$4,LANÇ_MOV[CENTRO DE CUSTOS],$D$4)</f>
        <v>0</v>
      </c>
      <c r="G531" s="206">
        <f>SUMIFS(LANÇ_MOV[VALOR LÍQUIDO],LANÇ_MOV[RECEITA OU DESPESA],"Despesa",LANÇ_MOV[CONTAS],$C531,LANÇ_MOV[PLANO DE CONTAS],REL_DRE_FINANCEIRO!$B$445,LANÇ_MOV[ANO PAGAMENTO],$B$4,LANÇ_MOV[MÊS PAGAMENTO CORRESPONDENTE],G$6,LANÇ_MOV[EMPRESA],$C$4,LANÇ_MOV[CENTRO DE CUSTOS],$D$4)</f>
        <v>0</v>
      </c>
      <c r="H531" s="206">
        <f>SUMIFS(LANÇ_MOV[VALOR LÍQUIDO],LANÇ_MOV[RECEITA OU DESPESA],"Despesa",LANÇ_MOV[CONTAS],$C531,LANÇ_MOV[PLANO DE CONTAS],REL_DRE_FINANCEIRO!$B$445,LANÇ_MOV[ANO PAGAMENTO],$B$4,LANÇ_MOV[MÊS PAGAMENTO CORRESPONDENTE],H$6,LANÇ_MOV[EMPRESA],$C$4,LANÇ_MOV[CENTRO DE CUSTOS],$D$4)</f>
        <v>0</v>
      </c>
      <c r="I531" s="206">
        <f>SUMIFS(LANÇ_MOV[VALOR LÍQUIDO],LANÇ_MOV[RECEITA OU DESPESA],"Despesa",LANÇ_MOV[CONTAS],$C531,LANÇ_MOV[PLANO DE CONTAS],REL_DRE_FINANCEIRO!$B$445,LANÇ_MOV[ANO PAGAMENTO],$B$4,LANÇ_MOV[MÊS PAGAMENTO CORRESPONDENTE],I$6,LANÇ_MOV[EMPRESA],$C$4,LANÇ_MOV[CENTRO DE CUSTOS],$D$4)</f>
        <v>0</v>
      </c>
      <c r="J531" s="206">
        <f>SUMIFS(LANÇ_MOV[VALOR LÍQUIDO],LANÇ_MOV[RECEITA OU DESPESA],"Despesa",LANÇ_MOV[CONTAS],$C531,LANÇ_MOV[PLANO DE CONTAS],REL_DRE_FINANCEIRO!$B$445,LANÇ_MOV[ANO PAGAMENTO],$B$4,LANÇ_MOV[MÊS PAGAMENTO CORRESPONDENTE],J$6,LANÇ_MOV[EMPRESA],$C$4,LANÇ_MOV[CENTRO DE CUSTOS],$D$4)</f>
        <v>0</v>
      </c>
      <c r="K531" s="206">
        <f>SUMIFS(LANÇ_MOV[VALOR LÍQUIDO],LANÇ_MOV[RECEITA OU DESPESA],"Despesa",LANÇ_MOV[CONTAS],$C531,LANÇ_MOV[PLANO DE CONTAS],REL_DRE_FINANCEIRO!$B$445,LANÇ_MOV[ANO PAGAMENTO],$B$4,LANÇ_MOV[MÊS PAGAMENTO CORRESPONDENTE],K$6,LANÇ_MOV[EMPRESA],$C$4,LANÇ_MOV[CENTRO DE CUSTOS],$D$4)</f>
        <v>0</v>
      </c>
      <c r="L531" s="206">
        <f>SUMIFS(LANÇ_MOV[VALOR LÍQUIDO],LANÇ_MOV[RECEITA OU DESPESA],"Despesa",LANÇ_MOV[CONTAS],$C531,LANÇ_MOV[PLANO DE CONTAS],REL_DRE_FINANCEIRO!$B$445,LANÇ_MOV[ANO PAGAMENTO],$B$4,LANÇ_MOV[MÊS PAGAMENTO CORRESPONDENTE],L$6,LANÇ_MOV[EMPRESA],$C$4,LANÇ_MOV[CENTRO DE CUSTOS],$D$4)</f>
        <v>0</v>
      </c>
      <c r="M531" s="206">
        <f>SUMIFS(LANÇ_MOV[VALOR LÍQUIDO],LANÇ_MOV[RECEITA OU DESPESA],"Despesa",LANÇ_MOV[CONTAS],$C531,LANÇ_MOV[PLANO DE CONTAS],REL_DRE_FINANCEIRO!$B$445,LANÇ_MOV[ANO PAGAMENTO],$B$4,LANÇ_MOV[MÊS PAGAMENTO CORRESPONDENTE],M$6,LANÇ_MOV[EMPRESA],$C$4,LANÇ_MOV[CENTRO DE CUSTOS],$D$4)</f>
        <v>0</v>
      </c>
      <c r="N531" s="206">
        <f>SUMIFS(LANÇ_MOV[VALOR LÍQUIDO],LANÇ_MOV[RECEITA OU DESPESA],"Despesa",LANÇ_MOV[CONTAS],$C531,LANÇ_MOV[PLANO DE CONTAS],REL_DRE_FINANCEIRO!$B$445,LANÇ_MOV[ANO PAGAMENTO],$B$4,LANÇ_MOV[MÊS PAGAMENTO CORRESPONDENTE],N$6,LANÇ_MOV[EMPRESA],$C$4,LANÇ_MOV[CENTRO DE CUSTOS],$D$4)</f>
        <v>0</v>
      </c>
      <c r="O531" s="206">
        <f>SUMIFS(LANÇ_MOV[VALOR LÍQUIDO],LANÇ_MOV[RECEITA OU DESPESA],"Despesa",LANÇ_MOV[CONTAS],$C531,LANÇ_MOV[PLANO DE CONTAS],REL_DRE_FINANCEIRO!$B$445,LANÇ_MOV[ANO PAGAMENTO],$B$4,LANÇ_MOV[MÊS PAGAMENTO CORRESPONDENTE],O$6,LANÇ_MOV[EMPRESA],$C$4,LANÇ_MOV[CENTRO DE CUSTOS],$D$4)</f>
        <v>0</v>
      </c>
      <c r="P531" s="207">
        <f t="shared" si="70"/>
        <v>0</v>
      </c>
      <c r="Q531" s="329">
        <v>1.5E-6</v>
      </c>
      <c r="R531" s="346">
        <f t="shared" si="72"/>
        <v>1.5E-6</v>
      </c>
      <c r="S531" s="347" t="str">
        <f t="shared" si="73"/>
        <v>-</v>
      </c>
      <c r="T531" s="347">
        <f t="shared" si="74"/>
        <v>0</v>
      </c>
      <c r="U531" s="347">
        <f>HLOOKUP(Apoio!$P$12,$D$444:$P$545,X531,FALSE)+Q531</f>
        <v>1.5E-6</v>
      </c>
      <c r="V531" s="447" t="str">
        <f t="shared" si="71"/>
        <v>-</v>
      </c>
      <c r="W531" s="448">
        <f>HLOOKUP(Apoio!$P$12,$D$444:$P$545,X531,FALSE)</f>
        <v>0</v>
      </c>
      <c r="X531" s="329">
        <v>88</v>
      </c>
    </row>
    <row r="532" spans="2:24" ht="30.05" customHeight="1" x14ac:dyDescent="0.35">
      <c r="B532" s="204" t="str">
        <f>'CAD_PL_REC-DESP'!T91</f>
        <v>2.4.87</v>
      </c>
      <c r="C532" s="205" t="str">
        <f>IF('CAD_PL_REC-DESP'!U91="","-",'CAD_PL_REC-DESP'!U91)</f>
        <v>-</v>
      </c>
      <c r="D532" s="206">
        <f>SUMIFS(LANÇ_MOV[VALOR LÍQUIDO],LANÇ_MOV[RECEITA OU DESPESA],"Despesa",LANÇ_MOV[CONTAS],$C532,LANÇ_MOV[PLANO DE CONTAS],REL_DRE_FINANCEIRO!$B$445,LANÇ_MOV[ANO PAGAMENTO],$B$4,LANÇ_MOV[MÊS PAGAMENTO CORRESPONDENTE],D$6,LANÇ_MOV[EMPRESA],$C$4,LANÇ_MOV[CENTRO DE CUSTOS],$D$4)</f>
        <v>0</v>
      </c>
      <c r="E532" s="206">
        <f>SUMIFS(LANÇ_MOV[VALOR LÍQUIDO],LANÇ_MOV[RECEITA OU DESPESA],"Despesa",LANÇ_MOV[CONTAS],$C532,LANÇ_MOV[PLANO DE CONTAS],REL_DRE_FINANCEIRO!$B$445,LANÇ_MOV[ANO PAGAMENTO],$B$4,LANÇ_MOV[MÊS PAGAMENTO CORRESPONDENTE],E$6,LANÇ_MOV[EMPRESA],$C$4,LANÇ_MOV[CENTRO DE CUSTOS],$D$4)</f>
        <v>0</v>
      </c>
      <c r="F532" s="206">
        <f>SUMIFS(LANÇ_MOV[VALOR LÍQUIDO],LANÇ_MOV[RECEITA OU DESPESA],"Despesa",LANÇ_MOV[CONTAS],$C532,LANÇ_MOV[PLANO DE CONTAS],REL_DRE_FINANCEIRO!$B$445,LANÇ_MOV[ANO PAGAMENTO],$B$4,LANÇ_MOV[MÊS PAGAMENTO CORRESPONDENTE],F$6,LANÇ_MOV[EMPRESA],$C$4,LANÇ_MOV[CENTRO DE CUSTOS],$D$4)</f>
        <v>0</v>
      </c>
      <c r="G532" s="206">
        <f>SUMIFS(LANÇ_MOV[VALOR LÍQUIDO],LANÇ_MOV[RECEITA OU DESPESA],"Despesa",LANÇ_MOV[CONTAS],$C532,LANÇ_MOV[PLANO DE CONTAS],REL_DRE_FINANCEIRO!$B$445,LANÇ_MOV[ANO PAGAMENTO],$B$4,LANÇ_MOV[MÊS PAGAMENTO CORRESPONDENTE],G$6,LANÇ_MOV[EMPRESA],$C$4,LANÇ_MOV[CENTRO DE CUSTOS],$D$4)</f>
        <v>0</v>
      </c>
      <c r="H532" s="206">
        <f>SUMIFS(LANÇ_MOV[VALOR LÍQUIDO],LANÇ_MOV[RECEITA OU DESPESA],"Despesa",LANÇ_MOV[CONTAS],$C532,LANÇ_MOV[PLANO DE CONTAS],REL_DRE_FINANCEIRO!$B$445,LANÇ_MOV[ANO PAGAMENTO],$B$4,LANÇ_MOV[MÊS PAGAMENTO CORRESPONDENTE],H$6,LANÇ_MOV[EMPRESA],$C$4,LANÇ_MOV[CENTRO DE CUSTOS],$D$4)</f>
        <v>0</v>
      </c>
      <c r="I532" s="206">
        <f>SUMIFS(LANÇ_MOV[VALOR LÍQUIDO],LANÇ_MOV[RECEITA OU DESPESA],"Despesa",LANÇ_MOV[CONTAS],$C532,LANÇ_MOV[PLANO DE CONTAS],REL_DRE_FINANCEIRO!$B$445,LANÇ_MOV[ANO PAGAMENTO],$B$4,LANÇ_MOV[MÊS PAGAMENTO CORRESPONDENTE],I$6,LANÇ_MOV[EMPRESA],$C$4,LANÇ_MOV[CENTRO DE CUSTOS],$D$4)</f>
        <v>0</v>
      </c>
      <c r="J532" s="206">
        <f>SUMIFS(LANÇ_MOV[VALOR LÍQUIDO],LANÇ_MOV[RECEITA OU DESPESA],"Despesa",LANÇ_MOV[CONTAS],$C532,LANÇ_MOV[PLANO DE CONTAS],REL_DRE_FINANCEIRO!$B$445,LANÇ_MOV[ANO PAGAMENTO],$B$4,LANÇ_MOV[MÊS PAGAMENTO CORRESPONDENTE],J$6,LANÇ_MOV[EMPRESA],$C$4,LANÇ_MOV[CENTRO DE CUSTOS],$D$4)</f>
        <v>0</v>
      </c>
      <c r="K532" s="206">
        <f>SUMIFS(LANÇ_MOV[VALOR LÍQUIDO],LANÇ_MOV[RECEITA OU DESPESA],"Despesa",LANÇ_MOV[CONTAS],$C532,LANÇ_MOV[PLANO DE CONTAS],REL_DRE_FINANCEIRO!$B$445,LANÇ_MOV[ANO PAGAMENTO],$B$4,LANÇ_MOV[MÊS PAGAMENTO CORRESPONDENTE],K$6,LANÇ_MOV[EMPRESA],$C$4,LANÇ_MOV[CENTRO DE CUSTOS],$D$4)</f>
        <v>0</v>
      </c>
      <c r="L532" s="206">
        <f>SUMIFS(LANÇ_MOV[VALOR LÍQUIDO],LANÇ_MOV[RECEITA OU DESPESA],"Despesa",LANÇ_MOV[CONTAS],$C532,LANÇ_MOV[PLANO DE CONTAS],REL_DRE_FINANCEIRO!$B$445,LANÇ_MOV[ANO PAGAMENTO],$B$4,LANÇ_MOV[MÊS PAGAMENTO CORRESPONDENTE],L$6,LANÇ_MOV[EMPRESA],$C$4,LANÇ_MOV[CENTRO DE CUSTOS],$D$4)</f>
        <v>0</v>
      </c>
      <c r="M532" s="206">
        <f>SUMIFS(LANÇ_MOV[VALOR LÍQUIDO],LANÇ_MOV[RECEITA OU DESPESA],"Despesa",LANÇ_MOV[CONTAS],$C532,LANÇ_MOV[PLANO DE CONTAS],REL_DRE_FINANCEIRO!$B$445,LANÇ_MOV[ANO PAGAMENTO],$B$4,LANÇ_MOV[MÊS PAGAMENTO CORRESPONDENTE],M$6,LANÇ_MOV[EMPRESA],$C$4,LANÇ_MOV[CENTRO DE CUSTOS],$D$4)</f>
        <v>0</v>
      </c>
      <c r="N532" s="206">
        <f>SUMIFS(LANÇ_MOV[VALOR LÍQUIDO],LANÇ_MOV[RECEITA OU DESPESA],"Despesa",LANÇ_MOV[CONTAS],$C532,LANÇ_MOV[PLANO DE CONTAS],REL_DRE_FINANCEIRO!$B$445,LANÇ_MOV[ANO PAGAMENTO],$B$4,LANÇ_MOV[MÊS PAGAMENTO CORRESPONDENTE],N$6,LANÇ_MOV[EMPRESA],$C$4,LANÇ_MOV[CENTRO DE CUSTOS],$D$4)</f>
        <v>0</v>
      </c>
      <c r="O532" s="206">
        <f>SUMIFS(LANÇ_MOV[VALOR LÍQUIDO],LANÇ_MOV[RECEITA OU DESPESA],"Despesa",LANÇ_MOV[CONTAS],$C532,LANÇ_MOV[PLANO DE CONTAS],REL_DRE_FINANCEIRO!$B$445,LANÇ_MOV[ANO PAGAMENTO],$B$4,LANÇ_MOV[MÊS PAGAMENTO CORRESPONDENTE],O$6,LANÇ_MOV[EMPRESA],$C$4,LANÇ_MOV[CENTRO DE CUSTOS],$D$4)</f>
        <v>0</v>
      </c>
      <c r="P532" s="207">
        <f t="shared" si="70"/>
        <v>0</v>
      </c>
      <c r="Q532" s="329">
        <v>1.3999999999999999E-6</v>
      </c>
      <c r="R532" s="346">
        <f t="shared" si="72"/>
        <v>1.3999999999999999E-6</v>
      </c>
      <c r="S532" s="347" t="str">
        <f t="shared" si="73"/>
        <v>-</v>
      </c>
      <c r="T532" s="347">
        <f t="shared" si="74"/>
        <v>0</v>
      </c>
      <c r="U532" s="347">
        <f>HLOOKUP(Apoio!$P$12,$D$444:$P$545,X532,FALSE)+Q532</f>
        <v>1.3999999999999999E-6</v>
      </c>
      <c r="V532" s="447" t="str">
        <f t="shared" si="71"/>
        <v>-</v>
      </c>
      <c r="W532" s="448">
        <f>HLOOKUP(Apoio!$P$12,$D$444:$P$545,X532,FALSE)</f>
        <v>0</v>
      </c>
      <c r="X532" s="329">
        <v>89</v>
      </c>
    </row>
    <row r="533" spans="2:24" ht="30.05" customHeight="1" x14ac:dyDescent="0.35">
      <c r="B533" s="204" t="str">
        <f>'CAD_PL_REC-DESP'!T92</f>
        <v>2.4.88</v>
      </c>
      <c r="C533" s="205" t="str">
        <f>IF('CAD_PL_REC-DESP'!U92="","-",'CAD_PL_REC-DESP'!U92)</f>
        <v>-</v>
      </c>
      <c r="D533" s="206">
        <f>SUMIFS(LANÇ_MOV[VALOR LÍQUIDO],LANÇ_MOV[RECEITA OU DESPESA],"Despesa",LANÇ_MOV[CONTAS],$C533,LANÇ_MOV[PLANO DE CONTAS],REL_DRE_FINANCEIRO!$B$445,LANÇ_MOV[ANO PAGAMENTO],$B$4,LANÇ_MOV[MÊS PAGAMENTO CORRESPONDENTE],D$6,LANÇ_MOV[EMPRESA],$C$4,LANÇ_MOV[CENTRO DE CUSTOS],$D$4)</f>
        <v>0</v>
      </c>
      <c r="E533" s="206">
        <f>SUMIFS(LANÇ_MOV[VALOR LÍQUIDO],LANÇ_MOV[RECEITA OU DESPESA],"Despesa",LANÇ_MOV[CONTAS],$C533,LANÇ_MOV[PLANO DE CONTAS],REL_DRE_FINANCEIRO!$B$445,LANÇ_MOV[ANO PAGAMENTO],$B$4,LANÇ_MOV[MÊS PAGAMENTO CORRESPONDENTE],E$6,LANÇ_MOV[EMPRESA],$C$4,LANÇ_MOV[CENTRO DE CUSTOS],$D$4)</f>
        <v>0</v>
      </c>
      <c r="F533" s="206">
        <f>SUMIFS(LANÇ_MOV[VALOR LÍQUIDO],LANÇ_MOV[RECEITA OU DESPESA],"Despesa",LANÇ_MOV[CONTAS],$C533,LANÇ_MOV[PLANO DE CONTAS],REL_DRE_FINANCEIRO!$B$445,LANÇ_MOV[ANO PAGAMENTO],$B$4,LANÇ_MOV[MÊS PAGAMENTO CORRESPONDENTE],F$6,LANÇ_MOV[EMPRESA],$C$4,LANÇ_MOV[CENTRO DE CUSTOS],$D$4)</f>
        <v>0</v>
      </c>
      <c r="G533" s="206">
        <f>SUMIFS(LANÇ_MOV[VALOR LÍQUIDO],LANÇ_MOV[RECEITA OU DESPESA],"Despesa",LANÇ_MOV[CONTAS],$C533,LANÇ_MOV[PLANO DE CONTAS],REL_DRE_FINANCEIRO!$B$445,LANÇ_MOV[ANO PAGAMENTO],$B$4,LANÇ_MOV[MÊS PAGAMENTO CORRESPONDENTE],G$6,LANÇ_MOV[EMPRESA],$C$4,LANÇ_MOV[CENTRO DE CUSTOS],$D$4)</f>
        <v>0</v>
      </c>
      <c r="H533" s="206">
        <f>SUMIFS(LANÇ_MOV[VALOR LÍQUIDO],LANÇ_MOV[RECEITA OU DESPESA],"Despesa",LANÇ_MOV[CONTAS],$C533,LANÇ_MOV[PLANO DE CONTAS],REL_DRE_FINANCEIRO!$B$445,LANÇ_MOV[ANO PAGAMENTO],$B$4,LANÇ_MOV[MÊS PAGAMENTO CORRESPONDENTE],H$6,LANÇ_MOV[EMPRESA],$C$4,LANÇ_MOV[CENTRO DE CUSTOS],$D$4)</f>
        <v>0</v>
      </c>
      <c r="I533" s="206">
        <f>SUMIFS(LANÇ_MOV[VALOR LÍQUIDO],LANÇ_MOV[RECEITA OU DESPESA],"Despesa",LANÇ_MOV[CONTAS],$C533,LANÇ_MOV[PLANO DE CONTAS],REL_DRE_FINANCEIRO!$B$445,LANÇ_MOV[ANO PAGAMENTO],$B$4,LANÇ_MOV[MÊS PAGAMENTO CORRESPONDENTE],I$6,LANÇ_MOV[EMPRESA],$C$4,LANÇ_MOV[CENTRO DE CUSTOS],$D$4)</f>
        <v>0</v>
      </c>
      <c r="J533" s="206">
        <f>SUMIFS(LANÇ_MOV[VALOR LÍQUIDO],LANÇ_MOV[RECEITA OU DESPESA],"Despesa",LANÇ_MOV[CONTAS],$C533,LANÇ_MOV[PLANO DE CONTAS],REL_DRE_FINANCEIRO!$B$445,LANÇ_MOV[ANO PAGAMENTO],$B$4,LANÇ_MOV[MÊS PAGAMENTO CORRESPONDENTE],J$6,LANÇ_MOV[EMPRESA],$C$4,LANÇ_MOV[CENTRO DE CUSTOS],$D$4)</f>
        <v>0</v>
      </c>
      <c r="K533" s="206">
        <f>SUMIFS(LANÇ_MOV[VALOR LÍQUIDO],LANÇ_MOV[RECEITA OU DESPESA],"Despesa",LANÇ_MOV[CONTAS],$C533,LANÇ_MOV[PLANO DE CONTAS],REL_DRE_FINANCEIRO!$B$445,LANÇ_MOV[ANO PAGAMENTO],$B$4,LANÇ_MOV[MÊS PAGAMENTO CORRESPONDENTE],K$6,LANÇ_MOV[EMPRESA],$C$4,LANÇ_MOV[CENTRO DE CUSTOS],$D$4)</f>
        <v>0</v>
      </c>
      <c r="L533" s="206">
        <f>SUMIFS(LANÇ_MOV[VALOR LÍQUIDO],LANÇ_MOV[RECEITA OU DESPESA],"Despesa",LANÇ_MOV[CONTAS],$C533,LANÇ_MOV[PLANO DE CONTAS],REL_DRE_FINANCEIRO!$B$445,LANÇ_MOV[ANO PAGAMENTO],$B$4,LANÇ_MOV[MÊS PAGAMENTO CORRESPONDENTE],L$6,LANÇ_MOV[EMPRESA],$C$4,LANÇ_MOV[CENTRO DE CUSTOS],$D$4)</f>
        <v>0</v>
      </c>
      <c r="M533" s="206">
        <f>SUMIFS(LANÇ_MOV[VALOR LÍQUIDO],LANÇ_MOV[RECEITA OU DESPESA],"Despesa",LANÇ_MOV[CONTAS],$C533,LANÇ_MOV[PLANO DE CONTAS],REL_DRE_FINANCEIRO!$B$445,LANÇ_MOV[ANO PAGAMENTO],$B$4,LANÇ_MOV[MÊS PAGAMENTO CORRESPONDENTE],M$6,LANÇ_MOV[EMPRESA],$C$4,LANÇ_MOV[CENTRO DE CUSTOS],$D$4)</f>
        <v>0</v>
      </c>
      <c r="N533" s="206">
        <f>SUMIFS(LANÇ_MOV[VALOR LÍQUIDO],LANÇ_MOV[RECEITA OU DESPESA],"Despesa",LANÇ_MOV[CONTAS],$C533,LANÇ_MOV[PLANO DE CONTAS],REL_DRE_FINANCEIRO!$B$445,LANÇ_MOV[ANO PAGAMENTO],$B$4,LANÇ_MOV[MÊS PAGAMENTO CORRESPONDENTE],N$6,LANÇ_MOV[EMPRESA],$C$4,LANÇ_MOV[CENTRO DE CUSTOS],$D$4)</f>
        <v>0</v>
      </c>
      <c r="O533" s="206">
        <f>SUMIFS(LANÇ_MOV[VALOR LÍQUIDO],LANÇ_MOV[RECEITA OU DESPESA],"Despesa",LANÇ_MOV[CONTAS],$C533,LANÇ_MOV[PLANO DE CONTAS],REL_DRE_FINANCEIRO!$B$445,LANÇ_MOV[ANO PAGAMENTO],$B$4,LANÇ_MOV[MÊS PAGAMENTO CORRESPONDENTE],O$6,LANÇ_MOV[EMPRESA],$C$4,LANÇ_MOV[CENTRO DE CUSTOS],$D$4)</f>
        <v>0</v>
      </c>
      <c r="P533" s="207">
        <f t="shared" si="70"/>
        <v>0</v>
      </c>
      <c r="Q533" s="329">
        <v>1.3E-6</v>
      </c>
      <c r="R533" s="346">
        <f t="shared" si="72"/>
        <v>1.3E-6</v>
      </c>
      <c r="S533" s="347" t="str">
        <f t="shared" si="73"/>
        <v>-</v>
      </c>
      <c r="T533" s="347">
        <f t="shared" si="74"/>
        <v>0</v>
      </c>
      <c r="U533" s="347">
        <f>HLOOKUP(Apoio!$P$12,$D$444:$P$545,X533,FALSE)+Q533</f>
        <v>1.3E-6</v>
      </c>
      <c r="V533" s="447" t="str">
        <f t="shared" si="71"/>
        <v>-</v>
      </c>
      <c r="W533" s="448">
        <f>HLOOKUP(Apoio!$P$12,$D$444:$P$545,X533,FALSE)</f>
        <v>0</v>
      </c>
      <c r="X533" s="329">
        <v>90</v>
      </c>
    </row>
    <row r="534" spans="2:24" ht="30.05" customHeight="1" x14ac:dyDescent="0.35">
      <c r="B534" s="204" t="str">
        <f>'CAD_PL_REC-DESP'!T93</f>
        <v>2.4.89</v>
      </c>
      <c r="C534" s="205" t="str">
        <f>IF('CAD_PL_REC-DESP'!U93="","-",'CAD_PL_REC-DESP'!U93)</f>
        <v>-</v>
      </c>
      <c r="D534" s="206">
        <f>SUMIFS(LANÇ_MOV[VALOR LÍQUIDO],LANÇ_MOV[RECEITA OU DESPESA],"Despesa",LANÇ_MOV[CONTAS],$C534,LANÇ_MOV[PLANO DE CONTAS],REL_DRE_FINANCEIRO!$B$445,LANÇ_MOV[ANO PAGAMENTO],$B$4,LANÇ_MOV[MÊS PAGAMENTO CORRESPONDENTE],D$6,LANÇ_MOV[EMPRESA],$C$4,LANÇ_MOV[CENTRO DE CUSTOS],$D$4)</f>
        <v>0</v>
      </c>
      <c r="E534" s="206">
        <f>SUMIFS(LANÇ_MOV[VALOR LÍQUIDO],LANÇ_MOV[RECEITA OU DESPESA],"Despesa",LANÇ_MOV[CONTAS],$C534,LANÇ_MOV[PLANO DE CONTAS],REL_DRE_FINANCEIRO!$B$445,LANÇ_MOV[ANO PAGAMENTO],$B$4,LANÇ_MOV[MÊS PAGAMENTO CORRESPONDENTE],E$6,LANÇ_MOV[EMPRESA],$C$4,LANÇ_MOV[CENTRO DE CUSTOS],$D$4)</f>
        <v>0</v>
      </c>
      <c r="F534" s="206">
        <f>SUMIFS(LANÇ_MOV[VALOR LÍQUIDO],LANÇ_MOV[RECEITA OU DESPESA],"Despesa",LANÇ_MOV[CONTAS],$C534,LANÇ_MOV[PLANO DE CONTAS],REL_DRE_FINANCEIRO!$B$445,LANÇ_MOV[ANO PAGAMENTO],$B$4,LANÇ_MOV[MÊS PAGAMENTO CORRESPONDENTE],F$6,LANÇ_MOV[EMPRESA],$C$4,LANÇ_MOV[CENTRO DE CUSTOS],$D$4)</f>
        <v>0</v>
      </c>
      <c r="G534" s="206">
        <f>SUMIFS(LANÇ_MOV[VALOR LÍQUIDO],LANÇ_MOV[RECEITA OU DESPESA],"Despesa",LANÇ_MOV[CONTAS],$C534,LANÇ_MOV[PLANO DE CONTAS],REL_DRE_FINANCEIRO!$B$445,LANÇ_MOV[ANO PAGAMENTO],$B$4,LANÇ_MOV[MÊS PAGAMENTO CORRESPONDENTE],G$6,LANÇ_MOV[EMPRESA],$C$4,LANÇ_MOV[CENTRO DE CUSTOS],$D$4)</f>
        <v>0</v>
      </c>
      <c r="H534" s="206">
        <f>SUMIFS(LANÇ_MOV[VALOR LÍQUIDO],LANÇ_MOV[RECEITA OU DESPESA],"Despesa",LANÇ_MOV[CONTAS],$C534,LANÇ_MOV[PLANO DE CONTAS],REL_DRE_FINANCEIRO!$B$445,LANÇ_MOV[ANO PAGAMENTO],$B$4,LANÇ_MOV[MÊS PAGAMENTO CORRESPONDENTE],H$6,LANÇ_MOV[EMPRESA],$C$4,LANÇ_MOV[CENTRO DE CUSTOS],$D$4)</f>
        <v>0</v>
      </c>
      <c r="I534" s="206">
        <f>SUMIFS(LANÇ_MOV[VALOR LÍQUIDO],LANÇ_MOV[RECEITA OU DESPESA],"Despesa",LANÇ_MOV[CONTAS],$C534,LANÇ_MOV[PLANO DE CONTAS],REL_DRE_FINANCEIRO!$B$445,LANÇ_MOV[ANO PAGAMENTO],$B$4,LANÇ_MOV[MÊS PAGAMENTO CORRESPONDENTE],I$6,LANÇ_MOV[EMPRESA],$C$4,LANÇ_MOV[CENTRO DE CUSTOS],$D$4)</f>
        <v>0</v>
      </c>
      <c r="J534" s="206">
        <f>SUMIFS(LANÇ_MOV[VALOR LÍQUIDO],LANÇ_MOV[RECEITA OU DESPESA],"Despesa",LANÇ_MOV[CONTAS],$C534,LANÇ_MOV[PLANO DE CONTAS],REL_DRE_FINANCEIRO!$B$445,LANÇ_MOV[ANO PAGAMENTO],$B$4,LANÇ_MOV[MÊS PAGAMENTO CORRESPONDENTE],J$6,LANÇ_MOV[EMPRESA],$C$4,LANÇ_MOV[CENTRO DE CUSTOS],$D$4)</f>
        <v>0</v>
      </c>
      <c r="K534" s="206">
        <f>SUMIFS(LANÇ_MOV[VALOR LÍQUIDO],LANÇ_MOV[RECEITA OU DESPESA],"Despesa",LANÇ_MOV[CONTAS],$C534,LANÇ_MOV[PLANO DE CONTAS],REL_DRE_FINANCEIRO!$B$445,LANÇ_MOV[ANO PAGAMENTO],$B$4,LANÇ_MOV[MÊS PAGAMENTO CORRESPONDENTE],K$6,LANÇ_MOV[EMPRESA],$C$4,LANÇ_MOV[CENTRO DE CUSTOS],$D$4)</f>
        <v>0</v>
      </c>
      <c r="L534" s="206">
        <f>SUMIFS(LANÇ_MOV[VALOR LÍQUIDO],LANÇ_MOV[RECEITA OU DESPESA],"Despesa",LANÇ_MOV[CONTAS],$C534,LANÇ_MOV[PLANO DE CONTAS],REL_DRE_FINANCEIRO!$B$445,LANÇ_MOV[ANO PAGAMENTO],$B$4,LANÇ_MOV[MÊS PAGAMENTO CORRESPONDENTE],L$6,LANÇ_MOV[EMPRESA],$C$4,LANÇ_MOV[CENTRO DE CUSTOS],$D$4)</f>
        <v>0</v>
      </c>
      <c r="M534" s="206">
        <f>SUMIFS(LANÇ_MOV[VALOR LÍQUIDO],LANÇ_MOV[RECEITA OU DESPESA],"Despesa",LANÇ_MOV[CONTAS],$C534,LANÇ_MOV[PLANO DE CONTAS],REL_DRE_FINANCEIRO!$B$445,LANÇ_MOV[ANO PAGAMENTO],$B$4,LANÇ_MOV[MÊS PAGAMENTO CORRESPONDENTE],M$6,LANÇ_MOV[EMPRESA],$C$4,LANÇ_MOV[CENTRO DE CUSTOS],$D$4)</f>
        <v>0</v>
      </c>
      <c r="N534" s="206">
        <f>SUMIFS(LANÇ_MOV[VALOR LÍQUIDO],LANÇ_MOV[RECEITA OU DESPESA],"Despesa",LANÇ_MOV[CONTAS],$C534,LANÇ_MOV[PLANO DE CONTAS],REL_DRE_FINANCEIRO!$B$445,LANÇ_MOV[ANO PAGAMENTO],$B$4,LANÇ_MOV[MÊS PAGAMENTO CORRESPONDENTE],N$6,LANÇ_MOV[EMPRESA],$C$4,LANÇ_MOV[CENTRO DE CUSTOS],$D$4)</f>
        <v>0</v>
      </c>
      <c r="O534" s="206">
        <f>SUMIFS(LANÇ_MOV[VALOR LÍQUIDO],LANÇ_MOV[RECEITA OU DESPESA],"Despesa",LANÇ_MOV[CONTAS],$C534,LANÇ_MOV[PLANO DE CONTAS],REL_DRE_FINANCEIRO!$B$445,LANÇ_MOV[ANO PAGAMENTO],$B$4,LANÇ_MOV[MÊS PAGAMENTO CORRESPONDENTE],O$6,LANÇ_MOV[EMPRESA],$C$4,LANÇ_MOV[CENTRO DE CUSTOS],$D$4)</f>
        <v>0</v>
      </c>
      <c r="P534" s="207">
        <f t="shared" si="70"/>
        <v>0</v>
      </c>
      <c r="Q534" s="329">
        <v>1.1999999999999999E-6</v>
      </c>
      <c r="R534" s="346">
        <f t="shared" si="72"/>
        <v>1.1999999999999999E-6</v>
      </c>
      <c r="S534" s="347" t="str">
        <f t="shared" si="73"/>
        <v>-</v>
      </c>
      <c r="T534" s="347">
        <f t="shared" si="74"/>
        <v>0</v>
      </c>
      <c r="U534" s="347">
        <f>HLOOKUP(Apoio!$P$12,$D$444:$P$545,X534,FALSE)+Q534</f>
        <v>1.1999999999999999E-6</v>
      </c>
      <c r="V534" s="447" t="str">
        <f t="shared" si="71"/>
        <v>-</v>
      </c>
      <c r="W534" s="448">
        <f>HLOOKUP(Apoio!$P$12,$D$444:$P$545,X534,FALSE)</f>
        <v>0</v>
      </c>
      <c r="X534" s="329">
        <v>91</v>
      </c>
    </row>
    <row r="535" spans="2:24" ht="30.05" customHeight="1" x14ac:dyDescent="0.35">
      <c r="B535" s="204" t="str">
        <f>'CAD_PL_REC-DESP'!T94</f>
        <v>2.4.90</v>
      </c>
      <c r="C535" s="205" t="str">
        <f>IF('CAD_PL_REC-DESP'!U94="","-",'CAD_PL_REC-DESP'!U94)</f>
        <v>-</v>
      </c>
      <c r="D535" s="206">
        <f>SUMIFS(LANÇ_MOV[VALOR LÍQUIDO],LANÇ_MOV[RECEITA OU DESPESA],"Despesa",LANÇ_MOV[CONTAS],$C535,LANÇ_MOV[PLANO DE CONTAS],REL_DRE_FINANCEIRO!$B$445,LANÇ_MOV[ANO PAGAMENTO],$B$4,LANÇ_MOV[MÊS PAGAMENTO CORRESPONDENTE],D$6,LANÇ_MOV[EMPRESA],$C$4,LANÇ_MOV[CENTRO DE CUSTOS],$D$4)</f>
        <v>0</v>
      </c>
      <c r="E535" s="206">
        <f>SUMIFS(LANÇ_MOV[VALOR LÍQUIDO],LANÇ_MOV[RECEITA OU DESPESA],"Despesa",LANÇ_MOV[CONTAS],$C535,LANÇ_MOV[PLANO DE CONTAS],REL_DRE_FINANCEIRO!$B$445,LANÇ_MOV[ANO PAGAMENTO],$B$4,LANÇ_MOV[MÊS PAGAMENTO CORRESPONDENTE],E$6,LANÇ_MOV[EMPRESA],$C$4,LANÇ_MOV[CENTRO DE CUSTOS],$D$4)</f>
        <v>0</v>
      </c>
      <c r="F535" s="206">
        <f>SUMIFS(LANÇ_MOV[VALOR LÍQUIDO],LANÇ_MOV[RECEITA OU DESPESA],"Despesa",LANÇ_MOV[CONTAS],$C535,LANÇ_MOV[PLANO DE CONTAS],REL_DRE_FINANCEIRO!$B$445,LANÇ_MOV[ANO PAGAMENTO],$B$4,LANÇ_MOV[MÊS PAGAMENTO CORRESPONDENTE],F$6,LANÇ_MOV[EMPRESA],$C$4,LANÇ_MOV[CENTRO DE CUSTOS],$D$4)</f>
        <v>0</v>
      </c>
      <c r="G535" s="206">
        <f>SUMIFS(LANÇ_MOV[VALOR LÍQUIDO],LANÇ_MOV[RECEITA OU DESPESA],"Despesa",LANÇ_MOV[CONTAS],$C535,LANÇ_MOV[PLANO DE CONTAS],REL_DRE_FINANCEIRO!$B$445,LANÇ_MOV[ANO PAGAMENTO],$B$4,LANÇ_MOV[MÊS PAGAMENTO CORRESPONDENTE],G$6,LANÇ_MOV[EMPRESA],$C$4,LANÇ_MOV[CENTRO DE CUSTOS],$D$4)</f>
        <v>0</v>
      </c>
      <c r="H535" s="206">
        <f>SUMIFS(LANÇ_MOV[VALOR LÍQUIDO],LANÇ_MOV[RECEITA OU DESPESA],"Despesa",LANÇ_MOV[CONTAS],$C535,LANÇ_MOV[PLANO DE CONTAS],REL_DRE_FINANCEIRO!$B$445,LANÇ_MOV[ANO PAGAMENTO],$B$4,LANÇ_MOV[MÊS PAGAMENTO CORRESPONDENTE],H$6,LANÇ_MOV[EMPRESA],$C$4,LANÇ_MOV[CENTRO DE CUSTOS],$D$4)</f>
        <v>0</v>
      </c>
      <c r="I535" s="206">
        <f>SUMIFS(LANÇ_MOV[VALOR LÍQUIDO],LANÇ_MOV[RECEITA OU DESPESA],"Despesa",LANÇ_MOV[CONTAS],$C535,LANÇ_MOV[PLANO DE CONTAS],REL_DRE_FINANCEIRO!$B$445,LANÇ_MOV[ANO PAGAMENTO],$B$4,LANÇ_MOV[MÊS PAGAMENTO CORRESPONDENTE],I$6,LANÇ_MOV[EMPRESA],$C$4,LANÇ_MOV[CENTRO DE CUSTOS],$D$4)</f>
        <v>0</v>
      </c>
      <c r="J535" s="206">
        <f>SUMIFS(LANÇ_MOV[VALOR LÍQUIDO],LANÇ_MOV[RECEITA OU DESPESA],"Despesa",LANÇ_MOV[CONTAS],$C535,LANÇ_MOV[PLANO DE CONTAS],REL_DRE_FINANCEIRO!$B$445,LANÇ_MOV[ANO PAGAMENTO],$B$4,LANÇ_MOV[MÊS PAGAMENTO CORRESPONDENTE],J$6,LANÇ_MOV[EMPRESA],$C$4,LANÇ_MOV[CENTRO DE CUSTOS],$D$4)</f>
        <v>0</v>
      </c>
      <c r="K535" s="206">
        <f>SUMIFS(LANÇ_MOV[VALOR LÍQUIDO],LANÇ_MOV[RECEITA OU DESPESA],"Despesa",LANÇ_MOV[CONTAS],$C535,LANÇ_MOV[PLANO DE CONTAS],REL_DRE_FINANCEIRO!$B$445,LANÇ_MOV[ANO PAGAMENTO],$B$4,LANÇ_MOV[MÊS PAGAMENTO CORRESPONDENTE],K$6,LANÇ_MOV[EMPRESA],$C$4,LANÇ_MOV[CENTRO DE CUSTOS],$D$4)</f>
        <v>0</v>
      </c>
      <c r="L535" s="206">
        <f>SUMIFS(LANÇ_MOV[VALOR LÍQUIDO],LANÇ_MOV[RECEITA OU DESPESA],"Despesa",LANÇ_MOV[CONTAS],$C535,LANÇ_MOV[PLANO DE CONTAS],REL_DRE_FINANCEIRO!$B$445,LANÇ_MOV[ANO PAGAMENTO],$B$4,LANÇ_MOV[MÊS PAGAMENTO CORRESPONDENTE],L$6,LANÇ_MOV[EMPRESA],$C$4,LANÇ_MOV[CENTRO DE CUSTOS],$D$4)</f>
        <v>0</v>
      </c>
      <c r="M535" s="206">
        <f>SUMIFS(LANÇ_MOV[VALOR LÍQUIDO],LANÇ_MOV[RECEITA OU DESPESA],"Despesa",LANÇ_MOV[CONTAS],$C535,LANÇ_MOV[PLANO DE CONTAS],REL_DRE_FINANCEIRO!$B$445,LANÇ_MOV[ANO PAGAMENTO],$B$4,LANÇ_MOV[MÊS PAGAMENTO CORRESPONDENTE],M$6,LANÇ_MOV[EMPRESA],$C$4,LANÇ_MOV[CENTRO DE CUSTOS],$D$4)</f>
        <v>0</v>
      </c>
      <c r="N535" s="206">
        <f>SUMIFS(LANÇ_MOV[VALOR LÍQUIDO],LANÇ_MOV[RECEITA OU DESPESA],"Despesa",LANÇ_MOV[CONTAS],$C535,LANÇ_MOV[PLANO DE CONTAS],REL_DRE_FINANCEIRO!$B$445,LANÇ_MOV[ANO PAGAMENTO],$B$4,LANÇ_MOV[MÊS PAGAMENTO CORRESPONDENTE],N$6,LANÇ_MOV[EMPRESA],$C$4,LANÇ_MOV[CENTRO DE CUSTOS],$D$4)</f>
        <v>0</v>
      </c>
      <c r="O535" s="206">
        <f>SUMIFS(LANÇ_MOV[VALOR LÍQUIDO],LANÇ_MOV[RECEITA OU DESPESA],"Despesa",LANÇ_MOV[CONTAS],$C535,LANÇ_MOV[PLANO DE CONTAS],REL_DRE_FINANCEIRO!$B$445,LANÇ_MOV[ANO PAGAMENTO],$B$4,LANÇ_MOV[MÊS PAGAMENTO CORRESPONDENTE],O$6,LANÇ_MOV[EMPRESA],$C$4,LANÇ_MOV[CENTRO DE CUSTOS],$D$4)</f>
        <v>0</v>
      </c>
      <c r="P535" s="207">
        <f t="shared" si="70"/>
        <v>0</v>
      </c>
      <c r="Q535" s="329">
        <v>1.1000000000000001E-6</v>
      </c>
      <c r="R535" s="346">
        <f t="shared" si="72"/>
        <v>1.1000000000000001E-6</v>
      </c>
      <c r="S535" s="347" t="str">
        <f t="shared" si="73"/>
        <v>-</v>
      </c>
      <c r="T535" s="347">
        <f t="shared" si="74"/>
        <v>0</v>
      </c>
      <c r="U535" s="347">
        <f>HLOOKUP(Apoio!$P$12,$D$444:$P$545,X535,FALSE)+Q535</f>
        <v>1.1000000000000001E-6</v>
      </c>
      <c r="V535" s="447" t="str">
        <f t="shared" si="71"/>
        <v>-</v>
      </c>
      <c r="W535" s="448">
        <f>HLOOKUP(Apoio!$P$12,$D$444:$P$545,X535,FALSE)</f>
        <v>0</v>
      </c>
      <c r="X535" s="329">
        <v>92</v>
      </c>
    </row>
    <row r="536" spans="2:24" ht="30.05" customHeight="1" x14ac:dyDescent="0.35">
      <c r="B536" s="204" t="str">
        <f>'CAD_PL_REC-DESP'!T95</f>
        <v>2.4.91</v>
      </c>
      <c r="C536" s="205" t="str">
        <f>IF('CAD_PL_REC-DESP'!U95="","-",'CAD_PL_REC-DESP'!U95)</f>
        <v>-</v>
      </c>
      <c r="D536" s="206">
        <f>SUMIFS(LANÇ_MOV[VALOR LÍQUIDO],LANÇ_MOV[RECEITA OU DESPESA],"Despesa",LANÇ_MOV[CONTAS],$C536,LANÇ_MOV[PLANO DE CONTAS],REL_DRE_FINANCEIRO!$B$445,LANÇ_MOV[ANO PAGAMENTO],$B$4,LANÇ_MOV[MÊS PAGAMENTO CORRESPONDENTE],D$6,LANÇ_MOV[EMPRESA],$C$4,LANÇ_MOV[CENTRO DE CUSTOS],$D$4)</f>
        <v>0</v>
      </c>
      <c r="E536" s="206">
        <f>SUMIFS(LANÇ_MOV[VALOR LÍQUIDO],LANÇ_MOV[RECEITA OU DESPESA],"Despesa",LANÇ_MOV[CONTAS],$C536,LANÇ_MOV[PLANO DE CONTAS],REL_DRE_FINANCEIRO!$B$445,LANÇ_MOV[ANO PAGAMENTO],$B$4,LANÇ_MOV[MÊS PAGAMENTO CORRESPONDENTE],E$6,LANÇ_MOV[EMPRESA],$C$4,LANÇ_MOV[CENTRO DE CUSTOS],$D$4)</f>
        <v>0</v>
      </c>
      <c r="F536" s="206">
        <f>SUMIFS(LANÇ_MOV[VALOR LÍQUIDO],LANÇ_MOV[RECEITA OU DESPESA],"Despesa",LANÇ_MOV[CONTAS],$C536,LANÇ_MOV[PLANO DE CONTAS],REL_DRE_FINANCEIRO!$B$445,LANÇ_MOV[ANO PAGAMENTO],$B$4,LANÇ_MOV[MÊS PAGAMENTO CORRESPONDENTE],F$6,LANÇ_MOV[EMPRESA],$C$4,LANÇ_MOV[CENTRO DE CUSTOS],$D$4)</f>
        <v>0</v>
      </c>
      <c r="G536" s="206">
        <f>SUMIFS(LANÇ_MOV[VALOR LÍQUIDO],LANÇ_MOV[RECEITA OU DESPESA],"Despesa",LANÇ_MOV[CONTAS],$C536,LANÇ_MOV[PLANO DE CONTAS],REL_DRE_FINANCEIRO!$B$445,LANÇ_MOV[ANO PAGAMENTO],$B$4,LANÇ_MOV[MÊS PAGAMENTO CORRESPONDENTE],G$6,LANÇ_MOV[EMPRESA],$C$4,LANÇ_MOV[CENTRO DE CUSTOS],$D$4)</f>
        <v>0</v>
      </c>
      <c r="H536" s="206">
        <f>SUMIFS(LANÇ_MOV[VALOR LÍQUIDO],LANÇ_MOV[RECEITA OU DESPESA],"Despesa",LANÇ_MOV[CONTAS],$C536,LANÇ_MOV[PLANO DE CONTAS],REL_DRE_FINANCEIRO!$B$445,LANÇ_MOV[ANO PAGAMENTO],$B$4,LANÇ_MOV[MÊS PAGAMENTO CORRESPONDENTE],H$6,LANÇ_MOV[EMPRESA],$C$4,LANÇ_MOV[CENTRO DE CUSTOS],$D$4)</f>
        <v>0</v>
      </c>
      <c r="I536" s="206">
        <f>SUMIFS(LANÇ_MOV[VALOR LÍQUIDO],LANÇ_MOV[RECEITA OU DESPESA],"Despesa",LANÇ_MOV[CONTAS],$C536,LANÇ_MOV[PLANO DE CONTAS],REL_DRE_FINANCEIRO!$B$445,LANÇ_MOV[ANO PAGAMENTO],$B$4,LANÇ_MOV[MÊS PAGAMENTO CORRESPONDENTE],I$6,LANÇ_MOV[EMPRESA],$C$4,LANÇ_MOV[CENTRO DE CUSTOS],$D$4)</f>
        <v>0</v>
      </c>
      <c r="J536" s="206">
        <f>SUMIFS(LANÇ_MOV[VALOR LÍQUIDO],LANÇ_MOV[RECEITA OU DESPESA],"Despesa",LANÇ_MOV[CONTAS],$C536,LANÇ_MOV[PLANO DE CONTAS],REL_DRE_FINANCEIRO!$B$445,LANÇ_MOV[ANO PAGAMENTO],$B$4,LANÇ_MOV[MÊS PAGAMENTO CORRESPONDENTE],J$6,LANÇ_MOV[EMPRESA],$C$4,LANÇ_MOV[CENTRO DE CUSTOS],$D$4)</f>
        <v>0</v>
      </c>
      <c r="K536" s="206">
        <f>SUMIFS(LANÇ_MOV[VALOR LÍQUIDO],LANÇ_MOV[RECEITA OU DESPESA],"Despesa",LANÇ_MOV[CONTAS],$C536,LANÇ_MOV[PLANO DE CONTAS],REL_DRE_FINANCEIRO!$B$445,LANÇ_MOV[ANO PAGAMENTO],$B$4,LANÇ_MOV[MÊS PAGAMENTO CORRESPONDENTE],K$6,LANÇ_MOV[EMPRESA],$C$4,LANÇ_MOV[CENTRO DE CUSTOS],$D$4)</f>
        <v>0</v>
      </c>
      <c r="L536" s="206">
        <f>SUMIFS(LANÇ_MOV[VALOR LÍQUIDO],LANÇ_MOV[RECEITA OU DESPESA],"Despesa",LANÇ_MOV[CONTAS],$C536,LANÇ_MOV[PLANO DE CONTAS],REL_DRE_FINANCEIRO!$B$445,LANÇ_MOV[ANO PAGAMENTO],$B$4,LANÇ_MOV[MÊS PAGAMENTO CORRESPONDENTE],L$6,LANÇ_MOV[EMPRESA],$C$4,LANÇ_MOV[CENTRO DE CUSTOS],$D$4)</f>
        <v>0</v>
      </c>
      <c r="M536" s="206">
        <f>SUMIFS(LANÇ_MOV[VALOR LÍQUIDO],LANÇ_MOV[RECEITA OU DESPESA],"Despesa",LANÇ_MOV[CONTAS],$C536,LANÇ_MOV[PLANO DE CONTAS],REL_DRE_FINANCEIRO!$B$445,LANÇ_MOV[ANO PAGAMENTO],$B$4,LANÇ_MOV[MÊS PAGAMENTO CORRESPONDENTE],M$6,LANÇ_MOV[EMPRESA],$C$4,LANÇ_MOV[CENTRO DE CUSTOS],$D$4)</f>
        <v>0</v>
      </c>
      <c r="N536" s="206">
        <f>SUMIFS(LANÇ_MOV[VALOR LÍQUIDO],LANÇ_MOV[RECEITA OU DESPESA],"Despesa",LANÇ_MOV[CONTAS],$C536,LANÇ_MOV[PLANO DE CONTAS],REL_DRE_FINANCEIRO!$B$445,LANÇ_MOV[ANO PAGAMENTO],$B$4,LANÇ_MOV[MÊS PAGAMENTO CORRESPONDENTE],N$6,LANÇ_MOV[EMPRESA],$C$4,LANÇ_MOV[CENTRO DE CUSTOS],$D$4)</f>
        <v>0</v>
      </c>
      <c r="O536" s="206">
        <f>SUMIFS(LANÇ_MOV[VALOR LÍQUIDO],LANÇ_MOV[RECEITA OU DESPESA],"Despesa",LANÇ_MOV[CONTAS],$C536,LANÇ_MOV[PLANO DE CONTAS],REL_DRE_FINANCEIRO!$B$445,LANÇ_MOV[ANO PAGAMENTO],$B$4,LANÇ_MOV[MÊS PAGAMENTO CORRESPONDENTE],O$6,LANÇ_MOV[EMPRESA],$C$4,LANÇ_MOV[CENTRO DE CUSTOS],$D$4)</f>
        <v>0</v>
      </c>
      <c r="P536" s="207">
        <f t="shared" si="70"/>
        <v>0</v>
      </c>
      <c r="Q536" s="329">
        <v>9.9999999999999995E-7</v>
      </c>
      <c r="R536" s="346">
        <f t="shared" si="72"/>
        <v>9.9999999999999995E-7</v>
      </c>
      <c r="S536" s="347" t="str">
        <f t="shared" si="73"/>
        <v>-</v>
      </c>
      <c r="T536" s="347">
        <f t="shared" si="74"/>
        <v>0</v>
      </c>
      <c r="U536" s="347">
        <f>HLOOKUP(Apoio!$P$12,$D$444:$P$545,X536,FALSE)+Q536</f>
        <v>9.9999999999999995E-7</v>
      </c>
      <c r="V536" s="447" t="str">
        <f t="shared" si="71"/>
        <v>-</v>
      </c>
      <c r="W536" s="448">
        <f>HLOOKUP(Apoio!$P$12,$D$444:$P$545,X536,FALSE)</f>
        <v>0</v>
      </c>
      <c r="X536" s="329">
        <v>93</v>
      </c>
    </row>
    <row r="537" spans="2:24" ht="30.05" customHeight="1" x14ac:dyDescent="0.35">
      <c r="B537" s="204" t="str">
        <f>'CAD_PL_REC-DESP'!T96</f>
        <v>2.4.92</v>
      </c>
      <c r="C537" s="205" t="str">
        <f>IF('CAD_PL_REC-DESP'!U96="","-",'CAD_PL_REC-DESP'!U96)</f>
        <v>-</v>
      </c>
      <c r="D537" s="206">
        <f>SUMIFS(LANÇ_MOV[VALOR LÍQUIDO],LANÇ_MOV[RECEITA OU DESPESA],"Despesa",LANÇ_MOV[CONTAS],$C537,LANÇ_MOV[PLANO DE CONTAS],REL_DRE_FINANCEIRO!$B$445,LANÇ_MOV[ANO PAGAMENTO],$B$4,LANÇ_MOV[MÊS PAGAMENTO CORRESPONDENTE],D$6,LANÇ_MOV[EMPRESA],$C$4,LANÇ_MOV[CENTRO DE CUSTOS],$D$4)</f>
        <v>0</v>
      </c>
      <c r="E537" s="206">
        <f>SUMIFS(LANÇ_MOV[VALOR LÍQUIDO],LANÇ_MOV[RECEITA OU DESPESA],"Despesa",LANÇ_MOV[CONTAS],$C537,LANÇ_MOV[PLANO DE CONTAS],REL_DRE_FINANCEIRO!$B$445,LANÇ_MOV[ANO PAGAMENTO],$B$4,LANÇ_MOV[MÊS PAGAMENTO CORRESPONDENTE],E$6,LANÇ_MOV[EMPRESA],$C$4,LANÇ_MOV[CENTRO DE CUSTOS],$D$4)</f>
        <v>0</v>
      </c>
      <c r="F537" s="206">
        <f>SUMIFS(LANÇ_MOV[VALOR LÍQUIDO],LANÇ_MOV[RECEITA OU DESPESA],"Despesa",LANÇ_MOV[CONTAS],$C537,LANÇ_MOV[PLANO DE CONTAS],REL_DRE_FINANCEIRO!$B$445,LANÇ_MOV[ANO PAGAMENTO],$B$4,LANÇ_MOV[MÊS PAGAMENTO CORRESPONDENTE],F$6,LANÇ_MOV[EMPRESA],$C$4,LANÇ_MOV[CENTRO DE CUSTOS],$D$4)</f>
        <v>0</v>
      </c>
      <c r="G537" s="206">
        <f>SUMIFS(LANÇ_MOV[VALOR LÍQUIDO],LANÇ_MOV[RECEITA OU DESPESA],"Despesa",LANÇ_MOV[CONTAS],$C537,LANÇ_MOV[PLANO DE CONTAS],REL_DRE_FINANCEIRO!$B$445,LANÇ_MOV[ANO PAGAMENTO],$B$4,LANÇ_MOV[MÊS PAGAMENTO CORRESPONDENTE],G$6,LANÇ_MOV[EMPRESA],$C$4,LANÇ_MOV[CENTRO DE CUSTOS],$D$4)</f>
        <v>0</v>
      </c>
      <c r="H537" s="206">
        <f>SUMIFS(LANÇ_MOV[VALOR LÍQUIDO],LANÇ_MOV[RECEITA OU DESPESA],"Despesa",LANÇ_MOV[CONTAS],$C537,LANÇ_MOV[PLANO DE CONTAS],REL_DRE_FINANCEIRO!$B$445,LANÇ_MOV[ANO PAGAMENTO],$B$4,LANÇ_MOV[MÊS PAGAMENTO CORRESPONDENTE],H$6,LANÇ_MOV[EMPRESA],$C$4,LANÇ_MOV[CENTRO DE CUSTOS],$D$4)</f>
        <v>0</v>
      </c>
      <c r="I537" s="206">
        <f>SUMIFS(LANÇ_MOV[VALOR LÍQUIDO],LANÇ_MOV[RECEITA OU DESPESA],"Despesa",LANÇ_MOV[CONTAS],$C537,LANÇ_MOV[PLANO DE CONTAS],REL_DRE_FINANCEIRO!$B$445,LANÇ_MOV[ANO PAGAMENTO],$B$4,LANÇ_MOV[MÊS PAGAMENTO CORRESPONDENTE],I$6,LANÇ_MOV[EMPRESA],$C$4,LANÇ_MOV[CENTRO DE CUSTOS],$D$4)</f>
        <v>0</v>
      </c>
      <c r="J537" s="206">
        <f>SUMIFS(LANÇ_MOV[VALOR LÍQUIDO],LANÇ_MOV[RECEITA OU DESPESA],"Despesa",LANÇ_MOV[CONTAS],$C537,LANÇ_MOV[PLANO DE CONTAS],REL_DRE_FINANCEIRO!$B$445,LANÇ_MOV[ANO PAGAMENTO],$B$4,LANÇ_MOV[MÊS PAGAMENTO CORRESPONDENTE],J$6,LANÇ_MOV[EMPRESA],$C$4,LANÇ_MOV[CENTRO DE CUSTOS],$D$4)</f>
        <v>0</v>
      </c>
      <c r="K537" s="206">
        <f>SUMIFS(LANÇ_MOV[VALOR LÍQUIDO],LANÇ_MOV[RECEITA OU DESPESA],"Despesa",LANÇ_MOV[CONTAS],$C537,LANÇ_MOV[PLANO DE CONTAS],REL_DRE_FINANCEIRO!$B$445,LANÇ_MOV[ANO PAGAMENTO],$B$4,LANÇ_MOV[MÊS PAGAMENTO CORRESPONDENTE],K$6,LANÇ_MOV[EMPRESA],$C$4,LANÇ_MOV[CENTRO DE CUSTOS],$D$4)</f>
        <v>0</v>
      </c>
      <c r="L537" s="206">
        <f>SUMIFS(LANÇ_MOV[VALOR LÍQUIDO],LANÇ_MOV[RECEITA OU DESPESA],"Despesa",LANÇ_MOV[CONTAS],$C537,LANÇ_MOV[PLANO DE CONTAS],REL_DRE_FINANCEIRO!$B$445,LANÇ_MOV[ANO PAGAMENTO],$B$4,LANÇ_MOV[MÊS PAGAMENTO CORRESPONDENTE],L$6,LANÇ_MOV[EMPRESA],$C$4,LANÇ_MOV[CENTRO DE CUSTOS],$D$4)</f>
        <v>0</v>
      </c>
      <c r="M537" s="206">
        <f>SUMIFS(LANÇ_MOV[VALOR LÍQUIDO],LANÇ_MOV[RECEITA OU DESPESA],"Despesa",LANÇ_MOV[CONTAS],$C537,LANÇ_MOV[PLANO DE CONTAS],REL_DRE_FINANCEIRO!$B$445,LANÇ_MOV[ANO PAGAMENTO],$B$4,LANÇ_MOV[MÊS PAGAMENTO CORRESPONDENTE],M$6,LANÇ_MOV[EMPRESA],$C$4,LANÇ_MOV[CENTRO DE CUSTOS],$D$4)</f>
        <v>0</v>
      </c>
      <c r="N537" s="206">
        <f>SUMIFS(LANÇ_MOV[VALOR LÍQUIDO],LANÇ_MOV[RECEITA OU DESPESA],"Despesa",LANÇ_MOV[CONTAS],$C537,LANÇ_MOV[PLANO DE CONTAS],REL_DRE_FINANCEIRO!$B$445,LANÇ_MOV[ANO PAGAMENTO],$B$4,LANÇ_MOV[MÊS PAGAMENTO CORRESPONDENTE],N$6,LANÇ_MOV[EMPRESA],$C$4,LANÇ_MOV[CENTRO DE CUSTOS],$D$4)</f>
        <v>0</v>
      </c>
      <c r="O537" s="206">
        <f>SUMIFS(LANÇ_MOV[VALOR LÍQUIDO],LANÇ_MOV[RECEITA OU DESPESA],"Despesa",LANÇ_MOV[CONTAS],$C537,LANÇ_MOV[PLANO DE CONTAS],REL_DRE_FINANCEIRO!$B$445,LANÇ_MOV[ANO PAGAMENTO],$B$4,LANÇ_MOV[MÊS PAGAMENTO CORRESPONDENTE],O$6,LANÇ_MOV[EMPRESA],$C$4,LANÇ_MOV[CENTRO DE CUSTOS],$D$4)</f>
        <v>0</v>
      </c>
      <c r="P537" s="207">
        <f t="shared" si="70"/>
        <v>0</v>
      </c>
      <c r="Q537" s="329">
        <v>8.9999999999999996E-7</v>
      </c>
      <c r="R537" s="346">
        <f t="shared" si="72"/>
        <v>8.9999999999999996E-7</v>
      </c>
      <c r="S537" s="347" t="str">
        <f t="shared" si="73"/>
        <v>-</v>
      </c>
      <c r="T537" s="347">
        <f t="shared" si="74"/>
        <v>0</v>
      </c>
      <c r="U537" s="347">
        <f>HLOOKUP(Apoio!$P$12,$D$444:$P$545,X537,FALSE)+Q537</f>
        <v>8.9999999999999996E-7</v>
      </c>
      <c r="V537" s="447" t="str">
        <f t="shared" si="71"/>
        <v>-</v>
      </c>
      <c r="W537" s="448">
        <f>HLOOKUP(Apoio!$P$12,$D$444:$P$545,X537,FALSE)</f>
        <v>0</v>
      </c>
      <c r="X537" s="329">
        <v>94</v>
      </c>
    </row>
    <row r="538" spans="2:24" ht="30.05" customHeight="1" x14ac:dyDescent="0.35">
      <c r="B538" s="204" t="str">
        <f>'CAD_PL_REC-DESP'!T97</f>
        <v>2.4.93</v>
      </c>
      <c r="C538" s="205" t="str">
        <f>IF('CAD_PL_REC-DESP'!U97="","-",'CAD_PL_REC-DESP'!U97)</f>
        <v>-</v>
      </c>
      <c r="D538" s="206">
        <f>SUMIFS(LANÇ_MOV[VALOR LÍQUIDO],LANÇ_MOV[RECEITA OU DESPESA],"Despesa",LANÇ_MOV[CONTAS],$C538,LANÇ_MOV[PLANO DE CONTAS],REL_DRE_FINANCEIRO!$B$445,LANÇ_MOV[ANO PAGAMENTO],$B$4,LANÇ_MOV[MÊS PAGAMENTO CORRESPONDENTE],D$6,LANÇ_MOV[EMPRESA],$C$4,LANÇ_MOV[CENTRO DE CUSTOS],$D$4)</f>
        <v>0</v>
      </c>
      <c r="E538" s="206">
        <f>SUMIFS(LANÇ_MOV[VALOR LÍQUIDO],LANÇ_MOV[RECEITA OU DESPESA],"Despesa",LANÇ_MOV[CONTAS],$C538,LANÇ_MOV[PLANO DE CONTAS],REL_DRE_FINANCEIRO!$B$445,LANÇ_MOV[ANO PAGAMENTO],$B$4,LANÇ_MOV[MÊS PAGAMENTO CORRESPONDENTE],E$6,LANÇ_MOV[EMPRESA],$C$4,LANÇ_MOV[CENTRO DE CUSTOS],$D$4)</f>
        <v>0</v>
      </c>
      <c r="F538" s="206">
        <f>SUMIFS(LANÇ_MOV[VALOR LÍQUIDO],LANÇ_MOV[RECEITA OU DESPESA],"Despesa",LANÇ_MOV[CONTAS],$C538,LANÇ_MOV[PLANO DE CONTAS],REL_DRE_FINANCEIRO!$B$445,LANÇ_MOV[ANO PAGAMENTO],$B$4,LANÇ_MOV[MÊS PAGAMENTO CORRESPONDENTE],F$6,LANÇ_MOV[EMPRESA],$C$4,LANÇ_MOV[CENTRO DE CUSTOS],$D$4)</f>
        <v>0</v>
      </c>
      <c r="G538" s="206">
        <f>SUMIFS(LANÇ_MOV[VALOR LÍQUIDO],LANÇ_MOV[RECEITA OU DESPESA],"Despesa",LANÇ_MOV[CONTAS],$C538,LANÇ_MOV[PLANO DE CONTAS],REL_DRE_FINANCEIRO!$B$445,LANÇ_MOV[ANO PAGAMENTO],$B$4,LANÇ_MOV[MÊS PAGAMENTO CORRESPONDENTE],G$6,LANÇ_MOV[EMPRESA],$C$4,LANÇ_MOV[CENTRO DE CUSTOS],$D$4)</f>
        <v>0</v>
      </c>
      <c r="H538" s="206">
        <f>SUMIFS(LANÇ_MOV[VALOR LÍQUIDO],LANÇ_MOV[RECEITA OU DESPESA],"Despesa",LANÇ_MOV[CONTAS],$C538,LANÇ_MOV[PLANO DE CONTAS],REL_DRE_FINANCEIRO!$B$445,LANÇ_MOV[ANO PAGAMENTO],$B$4,LANÇ_MOV[MÊS PAGAMENTO CORRESPONDENTE],H$6,LANÇ_MOV[EMPRESA],$C$4,LANÇ_MOV[CENTRO DE CUSTOS],$D$4)</f>
        <v>0</v>
      </c>
      <c r="I538" s="206">
        <f>SUMIFS(LANÇ_MOV[VALOR LÍQUIDO],LANÇ_MOV[RECEITA OU DESPESA],"Despesa",LANÇ_MOV[CONTAS],$C538,LANÇ_MOV[PLANO DE CONTAS],REL_DRE_FINANCEIRO!$B$445,LANÇ_MOV[ANO PAGAMENTO],$B$4,LANÇ_MOV[MÊS PAGAMENTO CORRESPONDENTE],I$6,LANÇ_MOV[EMPRESA],$C$4,LANÇ_MOV[CENTRO DE CUSTOS],$D$4)</f>
        <v>0</v>
      </c>
      <c r="J538" s="206">
        <f>SUMIFS(LANÇ_MOV[VALOR LÍQUIDO],LANÇ_MOV[RECEITA OU DESPESA],"Despesa",LANÇ_MOV[CONTAS],$C538,LANÇ_MOV[PLANO DE CONTAS],REL_DRE_FINANCEIRO!$B$445,LANÇ_MOV[ANO PAGAMENTO],$B$4,LANÇ_MOV[MÊS PAGAMENTO CORRESPONDENTE],J$6,LANÇ_MOV[EMPRESA],$C$4,LANÇ_MOV[CENTRO DE CUSTOS],$D$4)</f>
        <v>0</v>
      </c>
      <c r="K538" s="206">
        <f>SUMIFS(LANÇ_MOV[VALOR LÍQUIDO],LANÇ_MOV[RECEITA OU DESPESA],"Despesa",LANÇ_MOV[CONTAS],$C538,LANÇ_MOV[PLANO DE CONTAS],REL_DRE_FINANCEIRO!$B$445,LANÇ_MOV[ANO PAGAMENTO],$B$4,LANÇ_MOV[MÊS PAGAMENTO CORRESPONDENTE],K$6,LANÇ_MOV[EMPRESA],$C$4,LANÇ_MOV[CENTRO DE CUSTOS],$D$4)</f>
        <v>0</v>
      </c>
      <c r="L538" s="206">
        <f>SUMIFS(LANÇ_MOV[VALOR LÍQUIDO],LANÇ_MOV[RECEITA OU DESPESA],"Despesa",LANÇ_MOV[CONTAS],$C538,LANÇ_MOV[PLANO DE CONTAS],REL_DRE_FINANCEIRO!$B$445,LANÇ_MOV[ANO PAGAMENTO],$B$4,LANÇ_MOV[MÊS PAGAMENTO CORRESPONDENTE],L$6,LANÇ_MOV[EMPRESA],$C$4,LANÇ_MOV[CENTRO DE CUSTOS],$D$4)</f>
        <v>0</v>
      </c>
      <c r="M538" s="206">
        <f>SUMIFS(LANÇ_MOV[VALOR LÍQUIDO],LANÇ_MOV[RECEITA OU DESPESA],"Despesa",LANÇ_MOV[CONTAS],$C538,LANÇ_MOV[PLANO DE CONTAS],REL_DRE_FINANCEIRO!$B$445,LANÇ_MOV[ANO PAGAMENTO],$B$4,LANÇ_MOV[MÊS PAGAMENTO CORRESPONDENTE],M$6,LANÇ_MOV[EMPRESA],$C$4,LANÇ_MOV[CENTRO DE CUSTOS],$D$4)</f>
        <v>0</v>
      </c>
      <c r="N538" s="206">
        <f>SUMIFS(LANÇ_MOV[VALOR LÍQUIDO],LANÇ_MOV[RECEITA OU DESPESA],"Despesa",LANÇ_MOV[CONTAS],$C538,LANÇ_MOV[PLANO DE CONTAS],REL_DRE_FINANCEIRO!$B$445,LANÇ_MOV[ANO PAGAMENTO],$B$4,LANÇ_MOV[MÊS PAGAMENTO CORRESPONDENTE],N$6,LANÇ_MOV[EMPRESA],$C$4,LANÇ_MOV[CENTRO DE CUSTOS],$D$4)</f>
        <v>0</v>
      </c>
      <c r="O538" s="206">
        <f>SUMIFS(LANÇ_MOV[VALOR LÍQUIDO],LANÇ_MOV[RECEITA OU DESPESA],"Despesa",LANÇ_MOV[CONTAS],$C538,LANÇ_MOV[PLANO DE CONTAS],REL_DRE_FINANCEIRO!$B$445,LANÇ_MOV[ANO PAGAMENTO],$B$4,LANÇ_MOV[MÊS PAGAMENTO CORRESPONDENTE],O$6,LANÇ_MOV[EMPRESA],$C$4,LANÇ_MOV[CENTRO DE CUSTOS],$D$4)</f>
        <v>0</v>
      </c>
      <c r="P538" s="207">
        <f t="shared" si="70"/>
        <v>0</v>
      </c>
      <c r="Q538" s="329">
        <v>7.9999999999999996E-7</v>
      </c>
      <c r="R538" s="346">
        <f t="shared" si="72"/>
        <v>7.9999999999999996E-7</v>
      </c>
      <c r="S538" s="347" t="str">
        <f t="shared" si="73"/>
        <v>-</v>
      </c>
      <c r="T538" s="347">
        <f t="shared" si="74"/>
        <v>0</v>
      </c>
      <c r="U538" s="347">
        <f>HLOOKUP(Apoio!$P$12,$D$444:$P$545,X538,FALSE)+Q538</f>
        <v>7.9999999999999996E-7</v>
      </c>
      <c r="V538" s="447" t="str">
        <f t="shared" si="71"/>
        <v>-</v>
      </c>
      <c r="W538" s="448">
        <f>HLOOKUP(Apoio!$P$12,$D$444:$P$545,X538,FALSE)</f>
        <v>0</v>
      </c>
      <c r="X538" s="329">
        <v>95</v>
      </c>
    </row>
    <row r="539" spans="2:24" ht="30.05" customHeight="1" x14ac:dyDescent="0.35">
      <c r="B539" s="204" t="str">
        <f>'CAD_PL_REC-DESP'!T98</f>
        <v>2.4.94</v>
      </c>
      <c r="C539" s="205" t="str">
        <f>IF('CAD_PL_REC-DESP'!U98="","-",'CAD_PL_REC-DESP'!U98)</f>
        <v>-</v>
      </c>
      <c r="D539" s="206">
        <f>SUMIFS(LANÇ_MOV[VALOR LÍQUIDO],LANÇ_MOV[RECEITA OU DESPESA],"Despesa",LANÇ_MOV[CONTAS],$C539,LANÇ_MOV[PLANO DE CONTAS],REL_DRE_FINANCEIRO!$B$445,LANÇ_MOV[ANO PAGAMENTO],$B$4,LANÇ_MOV[MÊS PAGAMENTO CORRESPONDENTE],D$6,LANÇ_MOV[EMPRESA],$C$4,LANÇ_MOV[CENTRO DE CUSTOS],$D$4)</f>
        <v>0</v>
      </c>
      <c r="E539" s="206">
        <f>SUMIFS(LANÇ_MOV[VALOR LÍQUIDO],LANÇ_MOV[RECEITA OU DESPESA],"Despesa",LANÇ_MOV[CONTAS],$C539,LANÇ_MOV[PLANO DE CONTAS],REL_DRE_FINANCEIRO!$B$445,LANÇ_MOV[ANO PAGAMENTO],$B$4,LANÇ_MOV[MÊS PAGAMENTO CORRESPONDENTE],E$6,LANÇ_MOV[EMPRESA],$C$4,LANÇ_MOV[CENTRO DE CUSTOS],$D$4)</f>
        <v>0</v>
      </c>
      <c r="F539" s="206">
        <f>SUMIFS(LANÇ_MOV[VALOR LÍQUIDO],LANÇ_MOV[RECEITA OU DESPESA],"Despesa",LANÇ_MOV[CONTAS],$C539,LANÇ_MOV[PLANO DE CONTAS],REL_DRE_FINANCEIRO!$B$445,LANÇ_MOV[ANO PAGAMENTO],$B$4,LANÇ_MOV[MÊS PAGAMENTO CORRESPONDENTE],F$6,LANÇ_MOV[EMPRESA],$C$4,LANÇ_MOV[CENTRO DE CUSTOS],$D$4)</f>
        <v>0</v>
      </c>
      <c r="G539" s="206">
        <f>SUMIFS(LANÇ_MOV[VALOR LÍQUIDO],LANÇ_MOV[RECEITA OU DESPESA],"Despesa",LANÇ_MOV[CONTAS],$C539,LANÇ_MOV[PLANO DE CONTAS],REL_DRE_FINANCEIRO!$B$445,LANÇ_MOV[ANO PAGAMENTO],$B$4,LANÇ_MOV[MÊS PAGAMENTO CORRESPONDENTE],G$6,LANÇ_MOV[EMPRESA],$C$4,LANÇ_MOV[CENTRO DE CUSTOS],$D$4)</f>
        <v>0</v>
      </c>
      <c r="H539" s="206">
        <f>SUMIFS(LANÇ_MOV[VALOR LÍQUIDO],LANÇ_MOV[RECEITA OU DESPESA],"Despesa",LANÇ_MOV[CONTAS],$C539,LANÇ_MOV[PLANO DE CONTAS],REL_DRE_FINANCEIRO!$B$445,LANÇ_MOV[ANO PAGAMENTO],$B$4,LANÇ_MOV[MÊS PAGAMENTO CORRESPONDENTE],H$6,LANÇ_MOV[EMPRESA],$C$4,LANÇ_MOV[CENTRO DE CUSTOS],$D$4)</f>
        <v>0</v>
      </c>
      <c r="I539" s="206">
        <f>SUMIFS(LANÇ_MOV[VALOR LÍQUIDO],LANÇ_MOV[RECEITA OU DESPESA],"Despesa",LANÇ_MOV[CONTAS],$C539,LANÇ_MOV[PLANO DE CONTAS],REL_DRE_FINANCEIRO!$B$445,LANÇ_MOV[ANO PAGAMENTO],$B$4,LANÇ_MOV[MÊS PAGAMENTO CORRESPONDENTE],I$6,LANÇ_MOV[EMPRESA],$C$4,LANÇ_MOV[CENTRO DE CUSTOS],$D$4)</f>
        <v>0</v>
      </c>
      <c r="J539" s="206">
        <f>SUMIFS(LANÇ_MOV[VALOR LÍQUIDO],LANÇ_MOV[RECEITA OU DESPESA],"Despesa",LANÇ_MOV[CONTAS],$C539,LANÇ_MOV[PLANO DE CONTAS],REL_DRE_FINANCEIRO!$B$445,LANÇ_MOV[ANO PAGAMENTO],$B$4,LANÇ_MOV[MÊS PAGAMENTO CORRESPONDENTE],J$6,LANÇ_MOV[EMPRESA],$C$4,LANÇ_MOV[CENTRO DE CUSTOS],$D$4)</f>
        <v>0</v>
      </c>
      <c r="K539" s="206">
        <f>SUMIFS(LANÇ_MOV[VALOR LÍQUIDO],LANÇ_MOV[RECEITA OU DESPESA],"Despesa",LANÇ_MOV[CONTAS],$C539,LANÇ_MOV[PLANO DE CONTAS],REL_DRE_FINANCEIRO!$B$445,LANÇ_MOV[ANO PAGAMENTO],$B$4,LANÇ_MOV[MÊS PAGAMENTO CORRESPONDENTE],K$6,LANÇ_MOV[EMPRESA],$C$4,LANÇ_MOV[CENTRO DE CUSTOS],$D$4)</f>
        <v>0</v>
      </c>
      <c r="L539" s="206">
        <f>SUMIFS(LANÇ_MOV[VALOR LÍQUIDO],LANÇ_MOV[RECEITA OU DESPESA],"Despesa",LANÇ_MOV[CONTAS],$C539,LANÇ_MOV[PLANO DE CONTAS],REL_DRE_FINANCEIRO!$B$445,LANÇ_MOV[ANO PAGAMENTO],$B$4,LANÇ_MOV[MÊS PAGAMENTO CORRESPONDENTE],L$6,LANÇ_MOV[EMPRESA],$C$4,LANÇ_MOV[CENTRO DE CUSTOS],$D$4)</f>
        <v>0</v>
      </c>
      <c r="M539" s="206">
        <f>SUMIFS(LANÇ_MOV[VALOR LÍQUIDO],LANÇ_MOV[RECEITA OU DESPESA],"Despesa",LANÇ_MOV[CONTAS],$C539,LANÇ_MOV[PLANO DE CONTAS],REL_DRE_FINANCEIRO!$B$445,LANÇ_MOV[ANO PAGAMENTO],$B$4,LANÇ_MOV[MÊS PAGAMENTO CORRESPONDENTE],M$6,LANÇ_MOV[EMPRESA],$C$4,LANÇ_MOV[CENTRO DE CUSTOS],$D$4)</f>
        <v>0</v>
      </c>
      <c r="N539" s="206">
        <f>SUMIFS(LANÇ_MOV[VALOR LÍQUIDO],LANÇ_MOV[RECEITA OU DESPESA],"Despesa",LANÇ_MOV[CONTAS],$C539,LANÇ_MOV[PLANO DE CONTAS],REL_DRE_FINANCEIRO!$B$445,LANÇ_MOV[ANO PAGAMENTO],$B$4,LANÇ_MOV[MÊS PAGAMENTO CORRESPONDENTE],N$6,LANÇ_MOV[EMPRESA],$C$4,LANÇ_MOV[CENTRO DE CUSTOS],$D$4)</f>
        <v>0</v>
      </c>
      <c r="O539" s="206">
        <f>SUMIFS(LANÇ_MOV[VALOR LÍQUIDO],LANÇ_MOV[RECEITA OU DESPESA],"Despesa",LANÇ_MOV[CONTAS],$C539,LANÇ_MOV[PLANO DE CONTAS],REL_DRE_FINANCEIRO!$B$445,LANÇ_MOV[ANO PAGAMENTO],$B$4,LANÇ_MOV[MÊS PAGAMENTO CORRESPONDENTE],O$6,LANÇ_MOV[EMPRESA],$C$4,LANÇ_MOV[CENTRO DE CUSTOS],$D$4)</f>
        <v>0</v>
      </c>
      <c r="P539" s="207">
        <f t="shared" si="70"/>
        <v>0</v>
      </c>
      <c r="Q539" s="329">
        <v>6.9999999999999997E-7</v>
      </c>
      <c r="R539" s="346">
        <f t="shared" si="72"/>
        <v>6.9999999999999997E-7</v>
      </c>
      <c r="S539" s="347" t="str">
        <f t="shared" si="73"/>
        <v>-</v>
      </c>
      <c r="T539" s="347">
        <f t="shared" si="74"/>
        <v>0</v>
      </c>
      <c r="U539" s="347">
        <f>HLOOKUP(Apoio!$P$12,$D$444:$P$545,X539,FALSE)+Q539</f>
        <v>6.9999999999999997E-7</v>
      </c>
      <c r="V539" s="447" t="str">
        <f t="shared" si="71"/>
        <v>-</v>
      </c>
      <c r="W539" s="448">
        <f>HLOOKUP(Apoio!$P$12,$D$444:$P$545,X539,FALSE)</f>
        <v>0</v>
      </c>
      <c r="X539" s="329">
        <v>96</v>
      </c>
    </row>
    <row r="540" spans="2:24" ht="30.05" customHeight="1" x14ac:dyDescent="0.35">
      <c r="B540" s="204" t="str">
        <f>'CAD_PL_REC-DESP'!T99</f>
        <v>2.4.95</v>
      </c>
      <c r="C540" s="205" t="str">
        <f>IF('CAD_PL_REC-DESP'!U99="","-",'CAD_PL_REC-DESP'!U99)</f>
        <v>-</v>
      </c>
      <c r="D540" s="206">
        <f>SUMIFS(LANÇ_MOV[VALOR LÍQUIDO],LANÇ_MOV[RECEITA OU DESPESA],"Despesa",LANÇ_MOV[CONTAS],$C540,LANÇ_MOV[PLANO DE CONTAS],REL_DRE_FINANCEIRO!$B$445,LANÇ_MOV[ANO PAGAMENTO],$B$4,LANÇ_MOV[MÊS PAGAMENTO CORRESPONDENTE],D$6,LANÇ_MOV[EMPRESA],$C$4,LANÇ_MOV[CENTRO DE CUSTOS],$D$4)</f>
        <v>0</v>
      </c>
      <c r="E540" s="206">
        <f>SUMIFS(LANÇ_MOV[VALOR LÍQUIDO],LANÇ_MOV[RECEITA OU DESPESA],"Despesa",LANÇ_MOV[CONTAS],$C540,LANÇ_MOV[PLANO DE CONTAS],REL_DRE_FINANCEIRO!$B$445,LANÇ_MOV[ANO PAGAMENTO],$B$4,LANÇ_MOV[MÊS PAGAMENTO CORRESPONDENTE],E$6,LANÇ_MOV[EMPRESA],$C$4,LANÇ_MOV[CENTRO DE CUSTOS],$D$4)</f>
        <v>0</v>
      </c>
      <c r="F540" s="206">
        <f>SUMIFS(LANÇ_MOV[VALOR LÍQUIDO],LANÇ_MOV[RECEITA OU DESPESA],"Despesa",LANÇ_MOV[CONTAS],$C540,LANÇ_MOV[PLANO DE CONTAS],REL_DRE_FINANCEIRO!$B$445,LANÇ_MOV[ANO PAGAMENTO],$B$4,LANÇ_MOV[MÊS PAGAMENTO CORRESPONDENTE],F$6,LANÇ_MOV[EMPRESA],$C$4,LANÇ_MOV[CENTRO DE CUSTOS],$D$4)</f>
        <v>0</v>
      </c>
      <c r="G540" s="206">
        <f>SUMIFS(LANÇ_MOV[VALOR LÍQUIDO],LANÇ_MOV[RECEITA OU DESPESA],"Despesa",LANÇ_MOV[CONTAS],$C540,LANÇ_MOV[PLANO DE CONTAS],REL_DRE_FINANCEIRO!$B$445,LANÇ_MOV[ANO PAGAMENTO],$B$4,LANÇ_MOV[MÊS PAGAMENTO CORRESPONDENTE],G$6,LANÇ_MOV[EMPRESA],$C$4,LANÇ_MOV[CENTRO DE CUSTOS],$D$4)</f>
        <v>0</v>
      </c>
      <c r="H540" s="206">
        <f>SUMIFS(LANÇ_MOV[VALOR LÍQUIDO],LANÇ_MOV[RECEITA OU DESPESA],"Despesa",LANÇ_MOV[CONTAS],$C540,LANÇ_MOV[PLANO DE CONTAS],REL_DRE_FINANCEIRO!$B$445,LANÇ_MOV[ANO PAGAMENTO],$B$4,LANÇ_MOV[MÊS PAGAMENTO CORRESPONDENTE],H$6,LANÇ_MOV[EMPRESA],$C$4,LANÇ_MOV[CENTRO DE CUSTOS],$D$4)</f>
        <v>0</v>
      </c>
      <c r="I540" s="206">
        <f>SUMIFS(LANÇ_MOV[VALOR LÍQUIDO],LANÇ_MOV[RECEITA OU DESPESA],"Despesa",LANÇ_MOV[CONTAS],$C540,LANÇ_MOV[PLANO DE CONTAS],REL_DRE_FINANCEIRO!$B$445,LANÇ_MOV[ANO PAGAMENTO],$B$4,LANÇ_MOV[MÊS PAGAMENTO CORRESPONDENTE],I$6,LANÇ_MOV[EMPRESA],$C$4,LANÇ_MOV[CENTRO DE CUSTOS],$D$4)</f>
        <v>0</v>
      </c>
      <c r="J540" s="206">
        <f>SUMIFS(LANÇ_MOV[VALOR LÍQUIDO],LANÇ_MOV[RECEITA OU DESPESA],"Despesa",LANÇ_MOV[CONTAS],$C540,LANÇ_MOV[PLANO DE CONTAS],REL_DRE_FINANCEIRO!$B$445,LANÇ_MOV[ANO PAGAMENTO],$B$4,LANÇ_MOV[MÊS PAGAMENTO CORRESPONDENTE],J$6,LANÇ_MOV[EMPRESA],$C$4,LANÇ_MOV[CENTRO DE CUSTOS],$D$4)</f>
        <v>0</v>
      </c>
      <c r="K540" s="206">
        <f>SUMIFS(LANÇ_MOV[VALOR LÍQUIDO],LANÇ_MOV[RECEITA OU DESPESA],"Despesa",LANÇ_MOV[CONTAS],$C540,LANÇ_MOV[PLANO DE CONTAS],REL_DRE_FINANCEIRO!$B$445,LANÇ_MOV[ANO PAGAMENTO],$B$4,LANÇ_MOV[MÊS PAGAMENTO CORRESPONDENTE],K$6,LANÇ_MOV[EMPRESA],$C$4,LANÇ_MOV[CENTRO DE CUSTOS],$D$4)</f>
        <v>0</v>
      </c>
      <c r="L540" s="206">
        <f>SUMIFS(LANÇ_MOV[VALOR LÍQUIDO],LANÇ_MOV[RECEITA OU DESPESA],"Despesa",LANÇ_MOV[CONTAS],$C540,LANÇ_MOV[PLANO DE CONTAS],REL_DRE_FINANCEIRO!$B$445,LANÇ_MOV[ANO PAGAMENTO],$B$4,LANÇ_MOV[MÊS PAGAMENTO CORRESPONDENTE],L$6,LANÇ_MOV[EMPRESA],$C$4,LANÇ_MOV[CENTRO DE CUSTOS],$D$4)</f>
        <v>0</v>
      </c>
      <c r="M540" s="206">
        <f>SUMIFS(LANÇ_MOV[VALOR LÍQUIDO],LANÇ_MOV[RECEITA OU DESPESA],"Despesa",LANÇ_MOV[CONTAS],$C540,LANÇ_MOV[PLANO DE CONTAS],REL_DRE_FINANCEIRO!$B$445,LANÇ_MOV[ANO PAGAMENTO],$B$4,LANÇ_MOV[MÊS PAGAMENTO CORRESPONDENTE],M$6,LANÇ_MOV[EMPRESA],$C$4,LANÇ_MOV[CENTRO DE CUSTOS],$D$4)</f>
        <v>0</v>
      </c>
      <c r="N540" s="206">
        <f>SUMIFS(LANÇ_MOV[VALOR LÍQUIDO],LANÇ_MOV[RECEITA OU DESPESA],"Despesa",LANÇ_MOV[CONTAS],$C540,LANÇ_MOV[PLANO DE CONTAS],REL_DRE_FINANCEIRO!$B$445,LANÇ_MOV[ANO PAGAMENTO],$B$4,LANÇ_MOV[MÊS PAGAMENTO CORRESPONDENTE],N$6,LANÇ_MOV[EMPRESA],$C$4,LANÇ_MOV[CENTRO DE CUSTOS],$D$4)</f>
        <v>0</v>
      </c>
      <c r="O540" s="206">
        <f>SUMIFS(LANÇ_MOV[VALOR LÍQUIDO],LANÇ_MOV[RECEITA OU DESPESA],"Despesa",LANÇ_MOV[CONTAS],$C540,LANÇ_MOV[PLANO DE CONTAS],REL_DRE_FINANCEIRO!$B$445,LANÇ_MOV[ANO PAGAMENTO],$B$4,LANÇ_MOV[MÊS PAGAMENTO CORRESPONDENTE],O$6,LANÇ_MOV[EMPRESA],$C$4,LANÇ_MOV[CENTRO DE CUSTOS],$D$4)</f>
        <v>0</v>
      </c>
      <c r="P540" s="207">
        <f t="shared" si="70"/>
        <v>0</v>
      </c>
      <c r="Q540" s="329">
        <v>5.9999999999999997E-7</v>
      </c>
      <c r="R540" s="346">
        <f t="shared" si="72"/>
        <v>5.9999999999999997E-7</v>
      </c>
      <c r="S540" s="347" t="str">
        <f t="shared" si="73"/>
        <v>-</v>
      </c>
      <c r="T540" s="347">
        <f t="shared" si="74"/>
        <v>0</v>
      </c>
      <c r="U540" s="347">
        <f>HLOOKUP(Apoio!$P$12,$D$444:$P$545,X540,FALSE)+Q540</f>
        <v>5.9999999999999997E-7</v>
      </c>
      <c r="V540" s="447" t="str">
        <f t="shared" si="71"/>
        <v>-</v>
      </c>
      <c r="W540" s="448">
        <f>HLOOKUP(Apoio!$P$12,$D$444:$P$545,X540,FALSE)</f>
        <v>0</v>
      </c>
      <c r="X540" s="329">
        <v>97</v>
      </c>
    </row>
    <row r="541" spans="2:24" ht="30.05" customHeight="1" x14ac:dyDescent="0.35">
      <c r="B541" s="204" t="str">
        <f>'CAD_PL_REC-DESP'!T100</f>
        <v>2.4.96</v>
      </c>
      <c r="C541" s="205" t="str">
        <f>IF('CAD_PL_REC-DESP'!U100="","-",'CAD_PL_REC-DESP'!U100)</f>
        <v>-</v>
      </c>
      <c r="D541" s="206">
        <f>SUMIFS(LANÇ_MOV[VALOR LÍQUIDO],LANÇ_MOV[RECEITA OU DESPESA],"Despesa",LANÇ_MOV[CONTAS],$C541,LANÇ_MOV[PLANO DE CONTAS],REL_DRE_FINANCEIRO!$B$445,LANÇ_MOV[ANO PAGAMENTO],$B$4,LANÇ_MOV[MÊS PAGAMENTO CORRESPONDENTE],D$6,LANÇ_MOV[EMPRESA],$C$4,LANÇ_MOV[CENTRO DE CUSTOS],$D$4)</f>
        <v>0</v>
      </c>
      <c r="E541" s="206">
        <f>SUMIFS(LANÇ_MOV[VALOR LÍQUIDO],LANÇ_MOV[RECEITA OU DESPESA],"Despesa",LANÇ_MOV[CONTAS],$C541,LANÇ_MOV[PLANO DE CONTAS],REL_DRE_FINANCEIRO!$B$445,LANÇ_MOV[ANO PAGAMENTO],$B$4,LANÇ_MOV[MÊS PAGAMENTO CORRESPONDENTE],E$6,LANÇ_MOV[EMPRESA],$C$4,LANÇ_MOV[CENTRO DE CUSTOS],$D$4)</f>
        <v>0</v>
      </c>
      <c r="F541" s="206">
        <f>SUMIFS(LANÇ_MOV[VALOR LÍQUIDO],LANÇ_MOV[RECEITA OU DESPESA],"Despesa",LANÇ_MOV[CONTAS],$C541,LANÇ_MOV[PLANO DE CONTAS],REL_DRE_FINANCEIRO!$B$445,LANÇ_MOV[ANO PAGAMENTO],$B$4,LANÇ_MOV[MÊS PAGAMENTO CORRESPONDENTE],F$6,LANÇ_MOV[EMPRESA],$C$4,LANÇ_MOV[CENTRO DE CUSTOS],$D$4)</f>
        <v>0</v>
      </c>
      <c r="G541" s="206">
        <f>SUMIFS(LANÇ_MOV[VALOR LÍQUIDO],LANÇ_MOV[RECEITA OU DESPESA],"Despesa",LANÇ_MOV[CONTAS],$C541,LANÇ_MOV[PLANO DE CONTAS],REL_DRE_FINANCEIRO!$B$445,LANÇ_MOV[ANO PAGAMENTO],$B$4,LANÇ_MOV[MÊS PAGAMENTO CORRESPONDENTE],G$6,LANÇ_MOV[EMPRESA],$C$4,LANÇ_MOV[CENTRO DE CUSTOS],$D$4)</f>
        <v>0</v>
      </c>
      <c r="H541" s="206">
        <f>SUMIFS(LANÇ_MOV[VALOR LÍQUIDO],LANÇ_MOV[RECEITA OU DESPESA],"Despesa",LANÇ_MOV[CONTAS],$C541,LANÇ_MOV[PLANO DE CONTAS],REL_DRE_FINANCEIRO!$B$445,LANÇ_MOV[ANO PAGAMENTO],$B$4,LANÇ_MOV[MÊS PAGAMENTO CORRESPONDENTE],H$6,LANÇ_MOV[EMPRESA],$C$4,LANÇ_MOV[CENTRO DE CUSTOS],$D$4)</f>
        <v>0</v>
      </c>
      <c r="I541" s="206">
        <f>SUMIFS(LANÇ_MOV[VALOR LÍQUIDO],LANÇ_MOV[RECEITA OU DESPESA],"Despesa",LANÇ_MOV[CONTAS],$C541,LANÇ_MOV[PLANO DE CONTAS],REL_DRE_FINANCEIRO!$B$445,LANÇ_MOV[ANO PAGAMENTO],$B$4,LANÇ_MOV[MÊS PAGAMENTO CORRESPONDENTE],I$6,LANÇ_MOV[EMPRESA],$C$4,LANÇ_MOV[CENTRO DE CUSTOS],$D$4)</f>
        <v>0</v>
      </c>
      <c r="J541" s="206">
        <f>SUMIFS(LANÇ_MOV[VALOR LÍQUIDO],LANÇ_MOV[RECEITA OU DESPESA],"Despesa",LANÇ_MOV[CONTAS],$C541,LANÇ_MOV[PLANO DE CONTAS],REL_DRE_FINANCEIRO!$B$445,LANÇ_MOV[ANO PAGAMENTO],$B$4,LANÇ_MOV[MÊS PAGAMENTO CORRESPONDENTE],J$6,LANÇ_MOV[EMPRESA],$C$4,LANÇ_MOV[CENTRO DE CUSTOS],$D$4)</f>
        <v>0</v>
      </c>
      <c r="K541" s="206">
        <f>SUMIFS(LANÇ_MOV[VALOR LÍQUIDO],LANÇ_MOV[RECEITA OU DESPESA],"Despesa",LANÇ_MOV[CONTAS],$C541,LANÇ_MOV[PLANO DE CONTAS],REL_DRE_FINANCEIRO!$B$445,LANÇ_MOV[ANO PAGAMENTO],$B$4,LANÇ_MOV[MÊS PAGAMENTO CORRESPONDENTE],K$6,LANÇ_MOV[EMPRESA],$C$4,LANÇ_MOV[CENTRO DE CUSTOS],$D$4)</f>
        <v>0</v>
      </c>
      <c r="L541" s="206">
        <f>SUMIFS(LANÇ_MOV[VALOR LÍQUIDO],LANÇ_MOV[RECEITA OU DESPESA],"Despesa",LANÇ_MOV[CONTAS],$C541,LANÇ_MOV[PLANO DE CONTAS],REL_DRE_FINANCEIRO!$B$445,LANÇ_MOV[ANO PAGAMENTO],$B$4,LANÇ_MOV[MÊS PAGAMENTO CORRESPONDENTE],L$6,LANÇ_MOV[EMPRESA],$C$4,LANÇ_MOV[CENTRO DE CUSTOS],$D$4)</f>
        <v>0</v>
      </c>
      <c r="M541" s="206">
        <f>SUMIFS(LANÇ_MOV[VALOR LÍQUIDO],LANÇ_MOV[RECEITA OU DESPESA],"Despesa",LANÇ_MOV[CONTAS],$C541,LANÇ_MOV[PLANO DE CONTAS],REL_DRE_FINANCEIRO!$B$445,LANÇ_MOV[ANO PAGAMENTO],$B$4,LANÇ_MOV[MÊS PAGAMENTO CORRESPONDENTE],M$6,LANÇ_MOV[EMPRESA],$C$4,LANÇ_MOV[CENTRO DE CUSTOS],$D$4)</f>
        <v>0</v>
      </c>
      <c r="N541" s="206">
        <f>SUMIFS(LANÇ_MOV[VALOR LÍQUIDO],LANÇ_MOV[RECEITA OU DESPESA],"Despesa",LANÇ_MOV[CONTAS],$C541,LANÇ_MOV[PLANO DE CONTAS],REL_DRE_FINANCEIRO!$B$445,LANÇ_MOV[ANO PAGAMENTO],$B$4,LANÇ_MOV[MÊS PAGAMENTO CORRESPONDENTE],N$6,LANÇ_MOV[EMPRESA],$C$4,LANÇ_MOV[CENTRO DE CUSTOS],$D$4)</f>
        <v>0</v>
      </c>
      <c r="O541" s="206">
        <f>SUMIFS(LANÇ_MOV[VALOR LÍQUIDO],LANÇ_MOV[RECEITA OU DESPESA],"Despesa",LANÇ_MOV[CONTAS],$C541,LANÇ_MOV[PLANO DE CONTAS],REL_DRE_FINANCEIRO!$B$445,LANÇ_MOV[ANO PAGAMENTO],$B$4,LANÇ_MOV[MÊS PAGAMENTO CORRESPONDENTE],O$6,LANÇ_MOV[EMPRESA],$C$4,LANÇ_MOV[CENTRO DE CUSTOS],$D$4)</f>
        <v>0</v>
      </c>
      <c r="P541" s="207">
        <f t="shared" si="70"/>
        <v>0</v>
      </c>
      <c r="Q541" s="329">
        <v>4.9999999999999998E-7</v>
      </c>
      <c r="R541" s="346">
        <f t="shared" si="72"/>
        <v>4.9999999999999998E-7</v>
      </c>
      <c r="S541" s="347" t="str">
        <f t="shared" si="73"/>
        <v>-</v>
      </c>
      <c r="T541" s="347">
        <f t="shared" si="74"/>
        <v>0</v>
      </c>
      <c r="U541" s="347">
        <f>HLOOKUP(Apoio!$P$12,$D$444:$P$545,X541,FALSE)+Q541</f>
        <v>4.9999999999999998E-7</v>
      </c>
      <c r="V541" s="447" t="str">
        <f t="shared" si="71"/>
        <v>-</v>
      </c>
      <c r="W541" s="448">
        <f>HLOOKUP(Apoio!$P$12,$D$444:$P$545,X541,FALSE)</f>
        <v>0</v>
      </c>
      <c r="X541" s="329">
        <v>98</v>
      </c>
    </row>
    <row r="542" spans="2:24" ht="30.05" customHeight="1" x14ac:dyDescent="0.35">
      <c r="B542" s="204" t="str">
        <f>'CAD_PL_REC-DESP'!T101</f>
        <v>2.4.97</v>
      </c>
      <c r="C542" s="205" t="str">
        <f>IF('CAD_PL_REC-DESP'!U101="","-",'CAD_PL_REC-DESP'!U101)</f>
        <v>-</v>
      </c>
      <c r="D542" s="206">
        <f>SUMIFS(LANÇ_MOV[VALOR LÍQUIDO],LANÇ_MOV[RECEITA OU DESPESA],"Despesa",LANÇ_MOV[CONTAS],$C542,LANÇ_MOV[PLANO DE CONTAS],REL_DRE_FINANCEIRO!$B$445,LANÇ_MOV[ANO PAGAMENTO],$B$4,LANÇ_MOV[MÊS PAGAMENTO CORRESPONDENTE],D$6,LANÇ_MOV[EMPRESA],$C$4,LANÇ_MOV[CENTRO DE CUSTOS],$D$4)</f>
        <v>0</v>
      </c>
      <c r="E542" s="206">
        <f>SUMIFS(LANÇ_MOV[VALOR LÍQUIDO],LANÇ_MOV[RECEITA OU DESPESA],"Despesa",LANÇ_MOV[CONTAS],$C542,LANÇ_MOV[PLANO DE CONTAS],REL_DRE_FINANCEIRO!$B$445,LANÇ_MOV[ANO PAGAMENTO],$B$4,LANÇ_MOV[MÊS PAGAMENTO CORRESPONDENTE],E$6,LANÇ_MOV[EMPRESA],$C$4,LANÇ_MOV[CENTRO DE CUSTOS],$D$4)</f>
        <v>0</v>
      </c>
      <c r="F542" s="206">
        <f>SUMIFS(LANÇ_MOV[VALOR LÍQUIDO],LANÇ_MOV[RECEITA OU DESPESA],"Despesa",LANÇ_MOV[CONTAS],$C542,LANÇ_MOV[PLANO DE CONTAS],REL_DRE_FINANCEIRO!$B$445,LANÇ_MOV[ANO PAGAMENTO],$B$4,LANÇ_MOV[MÊS PAGAMENTO CORRESPONDENTE],F$6,LANÇ_MOV[EMPRESA],$C$4,LANÇ_MOV[CENTRO DE CUSTOS],$D$4)</f>
        <v>0</v>
      </c>
      <c r="G542" s="206">
        <f>SUMIFS(LANÇ_MOV[VALOR LÍQUIDO],LANÇ_MOV[RECEITA OU DESPESA],"Despesa",LANÇ_MOV[CONTAS],$C542,LANÇ_MOV[PLANO DE CONTAS],REL_DRE_FINANCEIRO!$B$445,LANÇ_MOV[ANO PAGAMENTO],$B$4,LANÇ_MOV[MÊS PAGAMENTO CORRESPONDENTE],G$6,LANÇ_MOV[EMPRESA],$C$4,LANÇ_MOV[CENTRO DE CUSTOS],$D$4)</f>
        <v>0</v>
      </c>
      <c r="H542" s="206">
        <f>SUMIFS(LANÇ_MOV[VALOR LÍQUIDO],LANÇ_MOV[RECEITA OU DESPESA],"Despesa",LANÇ_MOV[CONTAS],$C542,LANÇ_MOV[PLANO DE CONTAS],REL_DRE_FINANCEIRO!$B$445,LANÇ_MOV[ANO PAGAMENTO],$B$4,LANÇ_MOV[MÊS PAGAMENTO CORRESPONDENTE],H$6,LANÇ_MOV[EMPRESA],$C$4,LANÇ_MOV[CENTRO DE CUSTOS],$D$4)</f>
        <v>0</v>
      </c>
      <c r="I542" s="206">
        <f>SUMIFS(LANÇ_MOV[VALOR LÍQUIDO],LANÇ_MOV[RECEITA OU DESPESA],"Despesa",LANÇ_MOV[CONTAS],$C542,LANÇ_MOV[PLANO DE CONTAS],REL_DRE_FINANCEIRO!$B$445,LANÇ_MOV[ANO PAGAMENTO],$B$4,LANÇ_MOV[MÊS PAGAMENTO CORRESPONDENTE],I$6,LANÇ_MOV[EMPRESA],$C$4,LANÇ_MOV[CENTRO DE CUSTOS],$D$4)</f>
        <v>0</v>
      </c>
      <c r="J542" s="206">
        <f>SUMIFS(LANÇ_MOV[VALOR LÍQUIDO],LANÇ_MOV[RECEITA OU DESPESA],"Despesa",LANÇ_MOV[CONTAS],$C542,LANÇ_MOV[PLANO DE CONTAS],REL_DRE_FINANCEIRO!$B$445,LANÇ_MOV[ANO PAGAMENTO],$B$4,LANÇ_MOV[MÊS PAGAMENTO CORRESPONDENTE],J$6,LANÇ_MOV[EMPRESA],$C$4,LANÇ_MOV[CENTRO DE CUSTOS],$D$4)</f>
        <v>0</v>
      </c>
      <c r="K542" s="206">
        <f>SUMIFS(LANÇ_MOV[VALOR LÍQUIDO],LANÇ_MOV[RECEITA OU DESPESA],"Despesa",LANÇ_MOV[CONTAS],$C542,LANÇ_MOV[PLANO DE CONTAS],REL_DRE_FINANCEIRO!$B$445,LANÇ_MOV[ANO PAGAMENTO],$B$4,LANÇ_MOV[MÊS PAGAMENTO CORRESPONDENTE],K$6,LANÇ_MOV[EMPRESA],$C$4,LANÇ_MOV[CENTRO DE CUSTOS],$D$4)</f>
        <v>0</v>
      </c>
      <c r="L542" s="206">
        <f>SUMIFS(LANÇ_MOV[VALOR LÍQUIDO],LANÇ_MOV[RECEITA OU DESPESA],"Despesa",LANÇ_MOV[CONTAS],$C542,LANÇ_MOV[PLANO DE CONTAS],REL_DRE_FINANCEIRO!$B$445,LANÇ_MOV[ANO PAGAMENTO],$B$4,LANÇ_MOV[MÊS PAGAMENTO CORRESPONDENTE],L$6,LANÇ_MOV[EMPRESA],$C$4,LANÇ_MOV[CENTRO DE CUSTOS],$D$4)</f>
        <v>0</v>
      </c>
      <c r="M542" s="206">
        <f>SUMIFS(LANÇ_MOV[VALOR LÍQUIDO],LANÇ_MOV[RECEITA OU DESPESA],"Despesa",LANÇ_MOV[CONTAS],$C542,LANÇ_MOV[PLANO DE CONTAS],REL_DRE_FINANCEIRO!$B$445,LANÇ_MOV[ANO PAGAMENTO],$B$4,LANÇ_MOV[MÊS PAGAMENTO CORRESPONDENTE],M$6,LANÇ_MOV[EMPRESA],$C$4,LANÇ_MOV[CENTRO DE CUSTOS],$D$4)</f>
        <v>0</v>
      </c>
      <c r="N542" s="206">
        <f>SUMIFS(LANÇ_MOV[VALOR LÍQUIDO],LANÇ_MOV[RECEITA OU DESPESA],"Despesa",LANÇ_MOV[CONTAS],$C542,LANÇ_MOV[PLANO DE CONTAS],REL_DRE_FINANCEIRO!$B$445,LANÇ_MOV[ANO PAGAMENTO],$B$4,LANÇ_MOV[MÊS PAGAMENTO CORRESPONDENTE],N$6,LANÇ_MOV[EMPRESA],$C$4,LANÇ_MOV[CENTRO DE CUSTOS],$D$4)</f>
        <v>0</v>
      </c>
      <c r="O542" s="206">
        <f>SUMIFS(LANÇ_MOV[VALOR LÍQUIDO],LANÇ_MOV[RECEITA OU DESPESA],"Despesa",LANÇ_MOV[CONTAS],$C542,LANÇ_MOV[PLANO DE CONTAS],REL_DRE_FINANCEIRO!$B$445,LANÇ_MOV[ANO PAGAMENTO],$B$4,LANÇ_MOV[MÊS PAGAMENTO CORRESPONDENTE],O$6,LANÇ_MOV[EMPRESA],$C$4,LANÇ_MOV[CENTRO DE CUSTOS],$D$4)</f>
        <v>0</v>
      </c>
      <c r="P542" s="207">
        <f t="shared" si="70"/>
        <v>0</v>
      </c>
      <c r="Q542" s="329">
        <v>3.9999999999999998E-7</v>
      </c>
      <c r="R542" s="346">
        <f t="shared" si="72"/>
        <v>3.9999999999999998E-7</v>
      </c>
      <c r="S542" s="347" t="str">
        <f t="shared" si="73"/>
        <v>-</v>
      </c>
      <c r="T542" s="347">
        <f t="shared" si="74"/>
        <v>0</v>
      </c>
      <c r="U542" s="347">
        <f>HLOOKUP(Apoio!$P$12,$D$444:$P$545,X542,FALSE)+Q542</f>
        <v>3.9999999999999998E-7</v>
      </c>
      <c r="V542" s="447" t="str">
        <f t="shared" si="71"/>
        <v>-</v>
      </c>
      <c r="W542" s="448">
        <f>HLOOKUP(Apoio!$P$12,$D$444:$P$545,X542,FALSE)</f>
        <v>0</v>
      </c>
      <c r="X542" s="329">
        <v>99</v>
      </c>
    </row>
    <row r="543" spans="2:24" ht="30.05" customHeight="1" x14ac:dyDescent="0.35">
      <c r="B543" s="204" t="str">
        <f>'CAD_PL_REC-DESP'!T102</f>
        <v>2.4.98</v>
      </c>
      <c r="C543" s="205" t="str">
        <f>IF('CAD_PL_REC-DESP'!U102="","-",'CAD_PL_REC-DESP'!U102)</f>
        <v>-</v>
      </c>
      <c r="D543" s="206">
        <f>SUMIFS(LANÇ_MOV[VALOR LÍQUIDO],LANÇ_MOV[RECEITA OU DESPESA],"Despesa",LANÇ_MOV[CONTAS],$C543,LANÇ_MOV[PLANO DE CONTAS],REL_DRE_FINANCEIRO!$B$445,LANÇ_MOV[ANO PAGAMENTO],$B$4,LANÇ_MOV[MÊS PAGAMENTO CORRESPONDENTE],D$6,LANÇ_MOV[EMPRESA],$C$4,LANÇ_MOV[CENTRO DE CUSTOS],$D$4)</f>
        <v>0</v>
      </c>
      <c r="E543" s="206">
        <f>SUMIFS(LANÇ_MOV[VALOR LÍQUIDO],LANÇ_MOV[RECEITA OU DESPESA],"Despesa",LANÇ_MOV[CONTAS],$C543,LANÇ_MOV[PLANO DE CONTAS],REL_DRE_FINANCEIRO!$B$445,LANÇ_MOV[ANO PAGAMENTO],$B$4,LANÇ_MOV[MÊS PAGAMENTO CORRESPONDENTE],E$6,LANÇ_MOV[EMPRESA],$C$4,LANÇ_MOV[CENTRO DE CUSTOS],$D$4)</f>
        <v>0</v>
      </c>
      <c r="F543" s="206">
        <f>SUMIFS(LANÇ_MOV[VALOR LÍQUIDO],LANÇ_MOV[RECEITA OU DESPESA],"Despesa",LANÇ_MOV[CONTAS],$C543,LANÇ_MOV[PLANO DE CONTAS],REL_DRE_FINANCEIRO!$B$445,LANÇ_MOV[ANO PAGAMENTO],$B$4,LANÇ_MOV[MÊS PAGAMENTO CORRESPONDENTE],F$6,LANÇ_MOV[EMPRESA],$C$4,LANÇ_MOV[CENTRO DE CUSTOS],$D$4)</f>
        <v>0</v>
      </c>
      <c r="G543" s="206">
        <f>SUMIFS(LANÇ_MOV[VALOR LÍQUIDO],LANÇ_MOV[RECEITA OU DESPESA],"Despesa",LANÇ_MOV[CONTAS],$C543,LANÇ_MOV[PLANO DE CONTAS],REL_DRE_FINANCEIRO!$B$445,LANÇ_MOV[ANO PAGAMENTO],$B$4,LANÇ_MOV[MÊS PAGAMENTO CORRESPONDENTE],G$6,LANÇ_MOV[EMPRESA],$C$4,LANÇ_MOV[CENTRO DE CUSTOS],$D$4)</f>
        <v>0</v>
      </c>
      <c r="H543" s="206">
        <f>SUMIFS(LANÇ_MOV[VALOR LÍQUIDO],LANÇ_MOV[RECEITA OU DESPESA],"Despesa",LANÇ_MOV[CONTAS],$C543,LANÇ_MOV[PLANO DE CONTAS],REL_DRE_FINANCEIRO!$B$445,LANÇ_MOV[ANO PAGAMENTO],$B$4,LANÇ_MOV[MÊS PAGAMENTO CORRESPONDENTE],H$6,LANÇ_MOV[EMPRESA],$C$4,LANÇ_MOV[CENTRO DE CUSTOS],$D$4)</f>
        <v>0</v>
      </c>
      <c r="I543" s="206">
        <f>SUMIFS(LANÇ_MOV[VALOR LÍQUIDO],LANÇ_MOV[RECEITA OU DESPESA],"Despesa",LANÇ_MOV[CONTAS],$C543,LANÇ_MOV[PLANO DE CONTAS],REL_DRE_FINANCEIRO!$B$445,LANÇ_MOV[ANO PAGAMENTO],$B$4,LANÇ_MOV[MÊS PAGAMENTO CORRESPONDENTE],I$6,LANÇ_MOV[EMPRESA],$C$4,LANÇ_MOV[CENTRO DE CUSTOS],$D$4)</f>
        <v>0</v>
      </c>
      <c r="J543" s="206">
        <f>SUMIFS(LANÇ_MOV[VALOR LÍQUIDO],LANÇ_MOV[RECEITA OU DESPESA],"Despesa",LANÇ_MOV[CONTAS],$C543,LANÇ_MOV[PLANO DE CONTAS],REL_DRE_FINANCEIRO!$B$445,LANÇ_MOV[ANO PAGAMENTO],$B$4,LANÇ_MOV[MÊS PAGAMENTO CORRESPONDENTE],J$6,LANÇ_MOV[EMPRESA],$C$4,LANÇ_MOV[CENTRO DE CUSTOS],$D$4)</f>
        <v>0</v>
      </c>
      <c r="K543" s="206">
        <f>SUMIFS(LANÇ_MOV[VALOR LÍQUIDO],LANÇ_MOV[RECEITA OU DESPESA],"Despesa",LANÇ_MOV[CONTAS],$C543,LANÇ_MOV[PLANO DE CONTAS],REL_DRE_FINANCEIRO!$B$445,LANÇ_MOV[ANO PAGAMENTO],$B$4,LANÇ_MOV[MÊS PAGAMENTO CORRESPONDENTE],K$6,LANÇ_MOV[EMPRESA],$C$4,LANÇ_MOV[CENTRO DE CUSTOS],$D$4)</f>
        <v>0</v>
      </c>
      <c r="L543" s="206">
        <f>SUMIFS(LANÇ_MOV[VALOR LÍQUIDO],LANÇ_MOV[RECEITA OU DESPESA],"Despesa",LANÇ_MOV[CONTAS],$C543,LANÇ_MOV[PLANO DE CONTAS],REL_DRE_FINANCEIRO!$B$445,LANÇ_MOV[ANO PAGAMENTO],$B$4,LANÇ_MOV[MÊS PAGAMENTO CORRESPONDENTE],L$6,LANÇ_MOV[EMPRESA],$C$4,LANÇ_MOV[CENTRO DE CUSTOS],$D$4)</f>
        <v>0</v>
      </c>
      <c r="M543" s="206">
        <f>SUMIFS(LANÇ_MOV[VALOR LÍQUIDO],LANÇ_MOV[RECEITA OU DESPESA],"Despesa",LANÇ_MOV[CONTAS],$C543,LANÇ_MOV[PLANO DE CONTAS],REL_DRE_FINANCEIRO!$B$445,LANÇ_MOV[ANO PAGAMENTO],$B$4,LANÇ_MOV[MÊS PAGAMENTO CORRESPONDENTE],M$6,LANÇ_MOV[EMPRESA],$C$4,LANÇ_MOV[CENTRO DE CUSTOS],$D$4)</f>
        <v>0</v>
      </c>
      <c r="N543" s="206">
        <f>SUMIFS(LANÇ_MOV[VALOR LÍQUIDO],LANÇ_MOV[RECEITA OU DESPESA],"Despesa",LANÇ_MOV[CONTAS],$C543,LANÇ_MOV[PLANO DE CONTAS],REL_DRE_FINANCEIRO!$B$445,LANÇ_MOV[ANO PAGAMENTO],$B$4,LANÇ_MOV[MÊS PAGAMENTO CORRESPONDENTE],N$6,LANÇ_MOV[EMPRESA],$C$4,LANÇ_MOV[CENTRO DE CUSTOS],$D$4)</f>
        <v>0</v>
      </c>
      <c r="O543" s="206">
        <f>SUMIFS(LANÇ_MOV[VALOR LÍQUIDO],LANÇ_MOV[RECEITA OU DESPESA],"Despesa",LANÇ_MOV[CONTAS],$C543,LANÇ_MOV[PLANO DE CONTAS],REL_DRE_FINANCEIRO!$B$445,LANÇ_MOV[ANO PAGAMENTO],$B$4,LANÇ_MOV[MÊS PAGAMENTO CORRESPONDENTE],O$6,LANÇ_MOV[EMPRESA],$C$4,LANÇ_MOV[CENTRO DE CUSTOS],$D$4)</f>
        <v>0</v>
      </c>
      <c r="P543" s="207">
        <f t="shared" si="70"/>
        <v>0</v>
      </c>
      <c r="Q543" s="329">
        <v>2.9999999999999999E-7</v>
      </c>
      <c r="R543" s="346">
        <f t="shared" si="72"/>
        <v>2.9999999999999999E-7</v>
      </c>
      <c r="S543" s="347" t="str">
        <f t="shared" si="73"/>
        <v>-</v>
      </c>
      <c r="T543" s="347">
        <f t="shared" si="74"/>
        <v>0</v>
      </c>
      <c r="U543" s="347">
        <f>HLOOKUP(Apoio!$P$12,$D$444:$P$545,X543,FALSE)+Q543</f>
        <v>2.9999999999999999E-7</v>
      </c>
      <c r="V543" s="447" t="str">
        <f t="shared" si="71"/>
        <v>-</v>
      </c>
      <c r="W543" s="448">
        <f>HLOOKUP(Apoio!$P$12,$D$444:$P$545,X543,FALSE)</f>
        <v>0</v>
      </c>
      <c r="X543" s="329">
        <v>100</v>
      </c>
    </row>
    <row r="544" spans="2:24" ht="30.05" customHeight="1" x14ac:dyDescent="0.35">
      <c r="B544" s="204" t="str">
        <f>'CAD_PL_REC-DESP'!T103</f>
        <v>2.4.99</v>
      </c>
      <c r="C544" s="205" t="str">
        <f>IF('CAD_PL_REC-DESP'!U103="","-",'CAD_PL_REC-DESP'!U103)</f>
        <v>-</v>
      </c>
      <c r="D544" s="206">
        <f>SUMIFS(LANÇ_MOV[VALOR LÍQUIDO],LANÇ_MOV[RECEITA OU DESPESA],"Despesa",LANÇ_MOV[CONTAS],$C544,LANÇ_MOV[PLANO DE CONTAS],REL_DRE_FINANCEIRO!$B$445,LANÇ_MOV[ANO PAGAMENTO],$B$4,LANÇ_MOV[MÊS PAGAMENTO CORRESPONDENTE],D$6,LANÇ_MOV[EMPRESA],$C$4,LANÇ_MOV[CENTRO DE CUSTOS],$D$4)</f>
        <v>0</v>
      </c>
      <c r="E544" s="206">
        <f>SUMIFS(LANÇ_MOV[VALOR LÍQUIDO],LANÇ_MOV[RECEITA OU DESPESA],"Despesa",LANÇ_MOV[CONTAS],$C544,LANÇ_MOV[PLANO DE CONTAS],REL_DRE_FINANCEIRO!$B$445,LANÇ_MOV[ANO PAGAMENTO],$B$4,LANÇ_MOV[MÊS PAGAMENTO CORRESPONDENTE],E$6,LANÇ_MOV[EMPRESA],$C$4,LANÇ_MOV[CENTRO DE CUSTOS],$D$4)</f>
        <v>0</v>
      </c>
      <c r="F544" s="206">
        <f>SUMIFS(LANÇ_MOV[VALOR LÍQUIDO],LANÇ_MOV[RECEITA OU DESPESA],"Despesa",LANÇ_MOV[CONTAS],$C544,LANÇ_MOV[PLANO DE CONTAS],REL_DRE_FINANCEIRO!$B$445,LANÇ_MOV[ANO PAGAMENTO],$B$4,LANÇ_MOV[MÊS PAGAMENTO CORRESPONDENTE],F$6,LANÇ_MOV[EMPRESA],$C$4,LANÇ_MOV[CENTRO DE CUSTOS],$D$4)</f>
        <v>0</v>
      </c>
      <c r="G544" s="206">
        <f>SUMIFS(LANÇ_MOV[VALOR LÍQUIDO],LANÇ_MOV[RECEITA OU DESPESA],"Despesa",LANÇ_MOV[CONTAS],$C544,LANÇ_MOV[PLANO DE CONTAS],REL_DRE_FINANCEIRO!$B$445,LANÇ_MOV[ANO PAGAMENTO],$B$4,LANÇ_MOV[MÊS PAGAMENTO CORRESPONDENTE],G$6,LANÇ_MOV[EMPRESA],$C$4,LANÇ_MOV[CENTRO DE CUSTOS],$D$4)</f>
        <v>0</v>
      </c>
      <c r="H544" s="206">
        <f>SUMIFS(LANÇ_MOV[VALOR LÍQUIDO],LANÇ_MOV[RECEITA OU DESPESA],"Despesa",LANÇ_MOV[CONTAS],$C544,LANÇ_MOV[PLANO DE CONTAS],REL_DRE_FINANCEIRO!$B$445,LANÇ_MOV[ANO PAGAMENTO],$B$4,LANÇ_MOV[MÊS PAGAMENTO CORRESPONDENTE],H$6,LANÇ_MOV[EMPRESA],$C$4,LANÇ_MOV[CENTRO DE CUSTOS],$D$4)</f>
        <v>0</v>
      </c>
      <c r="I544" s="206">
        <f>SUMIFS(LANÇ_MOV[VALOR LÍQUIDO],LANÇ_MOV[RECEITA OU DESPESA],"Despesa",LANÇ_MOV[CONTAS],$C544,LANÇ_MOV[PLANO DE CONTAS],REL_DRE_FINANCEIRO!$B$445,LANÇ_MOV[ANO PAGAMENTO],$B$4,LANÇ_MOV[MÊS PAGAMENTO CORRESPONDENTE],I$6,LANÇ_MOV[EMPRESA],$C$4,LANÇ_MOV[CENTRO DE CUSTOS],$D$4)</f>
        <v>0</v>
      </c>
      <c r="J544" s="206">
        <f>SUMIFS(LANÇ_MOV[VALOR LÍQUIDO],LANÇ_MOV[RECEITA OU DESPESA],"Despesa",LANÇ_MOV[CONTAS],$C544,LANÇ_MOV[PLANO DE CONTAS],REL_DRE_FINANCEIRO!$B$445,LANÇ_MOV[ANO PAGAMENTO],$B$4,LANÇ_MOV[MÊS PAGAMENTO CORRESPONDENTE],J$6,LANÇ_MOV[EMPRESA],$C$4,LANÇ_MOV[CENTRO DE CUSTOS],$D$4)</f>
        <v>0</v>
      </c>
      <c r="K544" s="206">
        <f>SUMIFS(LANÇ_MOV[VALOR LÍQUIDO],LANÇ_MOV[RECEITA OU DESPESA],"Despesa",LANÇ_MOV[CONTAS],$C544,LANÇ_MOV[PLANO DE CONTAS],REL_DRE_FINANCEIRO!$B$445,LANÇ_MOV[ANO PAGAMENTO],$B$4,LANÇ_MOV[MÊS PAGAMENTO CORRESPONDENTE],K$6,LANÇ_MOV[EMPRESA],$C$4,LANÇ_MOV[CENTRO DE CUSTOS],$D$4)</f>
        <v>0</v>
      </c>
      <c r="L544" s="206">
        <f>SUMIFS(LANÇ_MOV[VALOR LÍQUIDO],LANÇ_MOV[RECEITA OU DESPESA],"Despesa",LANÇ_MOV[CONTAS],$C544,LANÇ_MOV[PLANO DE CONTAS],REL_DRE_FINANCEIRO!$B$445,LANÇ_MOV[ANO PAGAMENTO],$B$4,LANÇ_MOV[MÊS PAGAMENTO CORRESPONDENTE],L$6,LANÇ_MOV[EMPRESA],$C$4,LANÇ_MOV[CENTRO DE CUSTOS],$D$4)</f>
        <v>0</v>
      </c>
      <c r="M544" s="206">
        <f>SUMIFS(LANÇ_MOV[VALOR LÍQUIDO],LANÇ_MOV[RECEITA OU DESPESA],"Despesa",LANÇ_MOV[CONTAS],$C544,LANÇ_MOV[PLANO DE CONTAS],REL_DRE_FINANCEIRO!$B$445,LANÇ_MOV[ANO PAGAMENTO],$B$4,LANÇ_MOV[MÊS PAGAMENTO CORRESPONDENTE],M$6,LANÇ_MOV[EMPRESA],$C$4,LANÇ_MOV[CENTRO DE CUSTOS],$D$4)</f>
        <v>0</v>
      </c>
      <c r="N544" s="206">
        <f>SUMIFS(LANÇ_MOV[VALOR LÍQUIDO],LANÇ_MOV[RECEITA OU DESPESA],"Despesa",LANÇ_MOV[CONTAS],$C544,LANÇ_MOV[PLANO DE CONTAS],REL_DRE_FINANCEIRO!$B$445,LANÇ_MOV[ANO PAGAMENTO],$B$4,LANÇ_MOV[MÊS PAGAMENTO CORRESPONDENTE],N$6,LANÇ_MOV[EMPRESA],$C$4,LANÇ_MOV[CENTRO DE CUSTOS],$D$4)</f>
        <v>0</v>
      </c>
      <c r="O544" s="206">
        <f>SUMIFS(LANÇ_MOV[VALOR LÍQUIDO],LANÇ_MOV[RECEITA OU DESPESA],"Despesa",LANÇ_MOV[CONTAS],$C544,LANÇ_MOV[PLANO DE CONTAS],REL_DRE_FINANCEIRO!$B$445,LANÇ_MOV[ANO PAGAMENTO],$B$4,LANÇ_MOV[MÊS PAGAMENTO CORRESPONDENTE],O$6,LANÇ_MOV[EMPRESA],$C$4,LANÇ_MOV[CENTRO DE CUSTOS],$D$4)</f>
        <v>0</v>
      </c>
      <c r="P544" s="207">
        <f t="shared" si="70"/>
        <v>0</v>
      </c>
      <c r="Q544" s="329">
        <v>1.9999999999999999E-7</v>
      </c>
      <c r="R544" s="346">
        <f t="shared" si="72"/>
        <v>1.9999999999999999E-7</v>
      </c>
      <c r="S544" s="347" t="str">
        <f t="shared" si="73"/>
        <v>-</v>
      </c>
      <c r="T544" s="347">
        <f t="shared" si="74"/>
        <v>0</v>
      </c>
      <c r="U544" s="347">
        <f>HLOOKUP(Apoio!$P$12,$D$444:$P$545,X544,FALSE)+Q544</f>
        <v>1.9999999999999999E-7</v>
      </c>
      <c r="V544" s="447" t="str">
        <f t="shared" si="71"/>
        <v>-</v>
      </c>
      <c r="W544" s="448">
        <f>HLOOKUP(Apoio!$P$12,$D$444:$P$545,X544,FALSE)</f>
        <v>0</v>
      </c>
      <c r="X544" s="329">
        <v>101</v>
      </c>
    </row>
    <row r="545" spans="2:50" ht="30.05" customHeight="1" x14ac:dyDescent="0.35">
      <c r="B545" s="204" t="str">
        <f>'CAD_PL_REC-DESP'!T104</f>
        <v>2.4.100</v>
      </c>
      <c r="C545" s="205" t="str">
        <f>IF('CAD_PL_REC-DESP'!U104="","-",'CAD_PL_REC-DESP'!U104)</f>
        <v>-</v>
      </c>
      <c r="D545" s="206">
        <f>SUMIFS(LANÇ_MOV[VALOR LÍQUIDO],LANÇ_MOV[RECEITA OU DESPESA],"Despesa",LANÇ_MOV[CONTAS],$C545,LANÇ_MOV[PLANO DE CONTAS],REL_DRE_FINANCEIRO!$B$445,LANÇ_MOV[ANO PAGAMENTO],$B$4,LANÇ_MOV[MÊS PAGAMENTO CORRESPONDENTE],D$6,LANÇ_MOV[EMPRESA],$C$4,LANÇ_MOV[CENTRO DE CUSTOS],$D$4)</f>
        <v>0</v>
      </c>
      <c r="E545" s="206">
        <f>SUMIFS(LANÇ_MOV[VALOR LÍQUIDO],LANÇ_MOV[RECEITA OU DESPESA],"Despesa",LANÇ_MOV[CONTAS],$C545,LANÇ_MOV[PLANO DE CONTAS],REL_DRE_FINANCEIRO!$B$445,LANÇ_MOV[ANO PAGAMENTO],$B$4,LANÇ_MOV[MÊS PAGAMENTO CORRESPONDENTE],E$6,LANÇ_MOV[EMPRESA],$C$4,LANÇ_MOV[CENTRO DE CUSTOS],$D$4)</f>
        <v>0</v>
      </c>
      <c r="F545" s="206">
        <f>SUMIFS(LANÇ_MOV[VALOR LÍQUIDO],LANÇ_MOV[RECEITA OU DESPESA],"Despesa",LANÇ_MOV[CONTAS],$C545,LANÇ_MOV[PLANO DE CONTAS],REL_DRE_FINANCEIRO!$B$445,LANÇ_MOV[ANO PAGAMENTO],$B$4,LANÇ_MOV[MÊS PAGAMENTO CORRESPONDENTE],F$6,LANÇ_MOV[EMPRESA],$C$4,LANÇ_MOV[CENTRO DE CUSTOS],$D$4)</f>
        <v>0</v>
      </c>
      <c r="G545" s="206">
        <f>SUMIFS(LANÇ_MOV[VALOR LÍQUIDO],LANÇ_MOV[RECEITA OU DESPESA],"Despesa",LANÇ_MOV[CONTAS],$C545,LANÇ_MOV[PLANO DE CONTAS],REL_DRE_FINANCEIRO!$B$445,LANÇ_MOV[ANO PAGAMENTO],$B$4,LANÇ_MOV[MÊS PAGAMENTO CORRESPONDENTE],G$6,LANÇ_MOV[EMPRESA],$C$4,LANÇ_MOV[CENTRO DE CUSTOS],$D$4)</f>
        <v>0</v>
      </c>
      <c r="H545" s="206">
        <f>SUMIFS(LANÇ_MOV[VALOR LÍQUIDO],LANÇ_MOV[RECEITA OU DESPESA],"Despesa",LANÇ_MOV[CONTAS],$C545,LANÇ_MOV[PLANO DE CONTAS],REL_DRE_FINANCEIRO!$B$445,LANÇ_MOV[ANO PAGAMENTO],$B$4,LANÇ_MOV[MÊS PAGAMENTO CORRESPONDENTE],H$6,LANÇ_MOV[EMPRESA],$C$4,LANÇ_MOV[CENTRO DE CUSTOS],$D$4)</f>
        <v>0</v>
      </c>
      <c r="I545" s="206">
        <f>SUMIFS(LANÇ_MOV[VALOR LÍQUIDO],LANÇ_MOV[RECEITA OU DESPESA],"Despesa",LANÇ_MOV[CONTAS],$C545,LANÇ_MOV[PLANO DE CONTAS],REL_DRE_FINANCEIRO!$B$445,LANÇ_MOV[ANO PAGAMENTO],$B$4,LANÇ_MOV[MÊS PAGAMENTO CORRESPONDENTE],I$6,LANÇ_MOV[EMPRESA],$C$4,LANÇ_MOV[CENTRO DE CUSTOS],$D$4)</f>
        <v>0</v>
      </c>
      <c r="J545" s="206">
        <f>SUMIFS(LANÇ_MOV[VALOR LÍQUIDO],LANÇ_MOV[RECEITA OU DESPESA],"Despesa",LANÇ_MOV[CONTAS],$C545,LANÇ_MOV[PLANO DE CONTAS],REL_DRE_FINANCEIRO!$B$445,LANÇ_MOV[ANO PAGAMENTO],$B$4,LANÇ_MOV[MÊS PAGAMENTO CORRESPONDENTE],J$6,LANÇ_MOV[EMPRESA],$C$4,LANÇ_MOV[CENTRO DE CUSTOS],$D$4)</f>
        <v>0</v>
      </c>
      <c r="K545" s="206">
        <f>SUMIFS(LANÇ_MOV[VALOR LÍQUIDO],LANÇ_MOV[RECEITA OU DESPESA],"Despesa",LANÇ_MOV[CONTAS],$C545,LANÇ_MOV[PLANO DE CONTAS],REL_DRE_FINANCEIRO!$B$445,LANÇ_MOV[ANO PAGAMENTO],$B$4,LANÇ_MOV[MÊS PAGAMENTO CORRESPONDENTE],K$6,LANÇ_MOV[EMPRESA],$C$4,LANÇ_MOV[CENTRO DE CUSTOS],$D$4)</f>
        <v>0</v>
      </c>
      <c r="L545" s="206">
        <f>SUMIFS(LANÇ_MOV[VALOR LÍQUIDO],LANÇ_MOV[RECEITA OU DESPESA],"Despesa",LANÇ_MOV[CONTAS],$C545,LANÇ_MOV[PLANO DE CONTAS],REL_DRE_FINANCEIRO!$B$445,LANÇ_MOV[ANO PAGAMENTO],$B$4,LANÇ_MOV[MÊS PAGAMENTO CORRESPONDENTE],L$6,LANÇ_MOV[EMPRESA],$C$4,LANÇ_MOV[CENTRO DE CUSTOS],$D$4)</f>
        <v>0</v>
      </c>
      <c r="M545" s="206">
        <f>SUMIFS(LANÇ_MOV[VALOR LÍQUIDO],LANÇ_MOV[RECEITA OU DESPESA],"Despesa",LANÇ_MOV[CONTAS],$C545,LANÇ_MOV[PLANO DE CONTAS],REL_DRE_FINANCEIRO!$B$445,LANÇ_MOV[ANO PAGAMENTO],$B$4,LANÇ_MOV[MÊS PAGAMENTO CORRESPONDENTE],M$6,LANÇ_MOV[EMPRESA],$C$4,LANÇ_MOV[CENTRO DE CUSTOS],$D$4)</f>
        <v>0</v>
      </c>
      <c r="N545" s="206">
        <f>SUMIFS(LANÇ_MOV[VALOR LÍQUIDO],LANÇ_MOV[RECEITA OU DESPESA],"Despesa",LANÇ_MOV[CONTAS],$C545,LANÇ_MOV[PLANO DE CONTAS],REL_DRE_FINANCEIRO!$B$445,LANÇ_MOV[ANO PAGAMENTO],$B$4,LANÇ_MOV[MÊS PAGAMENTO CORRESPONDENTE],N$6,LANÇ_MOV[EMPRESA],$C$4,LANÇ_MOV[CENTRO DE CUSTOS],$D$4)</f>
        <v>0</v>
      </c>
      <c r="O545" s="206">
        <f>SUMIFS(LANÇ_MOV[VALOR LÍQUIDO],LANÇ_MOV[RECEITA OU DESPESA],"Despesa",LANÇ_MOV[CONTAS],$C545,LANÇ_MOV[PLANO DE CONTAS],REL_DRE_FINANCEIRO!$B$445,LANÇ_MOV[ANO PAGAMENTO],$B$4,LANÇ_MOV[MÊS PAGAMENTO CORRESPONDENTE],O$6,LANÇ_MOV[EMPRESA],$C$4,LANÇ_MOV[CENTRO DE CUSTOS],$D$4)</f>
        <v>0</v>
      </c>
      <c r="P545" s="207">
        <f t="shared" si="70"/>
        <v>0</v>
      </c>
      <c r="Q545" s="329">
        <v>9.9999999999999995E-8</v>
      </c>
      <c r="R545" s="346">
        <f t="shared" si="72"/>
        <v>9.9999999999999995E-8</v>
      </c>
      <c r="S545" s="347" t="str">
        <f t="shared" si="73"/>
        <v>-</v>
      </c>
      <c r="T545" s="347">
        <f t="shared" si="74"/>
        <v>0</v>
      </c>
      <c r="U545" s="347">
        <f>HLOOKUP(Apoio!$P$12,$D$444:$P$545,X545,FALSE)+Q545</f>
        <v>9.9999999999999995E-8</v>
      </c>
      <c r="V545" s="447" t="str">
        <f t="shared" si="71"/>
        <v>-</v>
      </c>
      <c r="W545" s="448">
        <f>HLOOKUP(Apoio!$P$12,$D$444:$P$545,X545,FALSE)</f>
        <v>0</v>
      </c>
      <c r="X545" s="329">
        <v>102</v>
      </c>
    </row>
    <row r="546" spans="2:50" s="110" customFormat="1" ht="6.75" customHeight="1" x14ac:dyDescent="0.35">
      <c r="B546" s="111"/>
      <c r="C546" s="111"/>
      <c r="D546" s="25" t="s">
        <v>1044</v>
      </c>
      <c r="E546" s="25" t="s">
        <v>1045</v>
      </c>
      <c r="F546" s="25" t="s">
        <v>1046</v>
      </c>
      <c r="G546" s="25" t="s">
        <v>1047</v>
      </c>
      <c r="H546" s="25" t="s">
        <v>1048</v>
      </c>
      <c r="I546" s="25" t="s">
        <v>1049</v>
      </c>
      <c r="J546" s="25" t="s">
        <v>1050</v>
      </c>
      <c r="K546" s="25" t="s">
        <v>1051</v>
      </c>
      <c r="L546" s="25" t="s">
        <v>1052</v>
      </c>
      <c r="M546" s="25" t="s">
        <v>1053</v>
      </c>
      <c r="N546" s="25" t="s">
        <v>1054</v>
      </c>
      <c r="O546" s="25" t="s">
        <v>1055</v>
      </c>
      <c r="P546" s="25" t="s">
        <v>1063</v>
      </c>
      <c r="Q546" s="329"/>
      <c r="R546" s="346"/>
      <c r="S546" s="347"/>
      <c r="T546" s="347"/>
      <c r="U546" s="347"/>
      <c r="V546" s="447"/>
      <c r="W546" s="448"/>
      <c r="X546" s="346"/>
      <c r="Y546" s="329"/>
      <c r="Z546" s="340"/>
      <c r="AA546" s="340"/>
      <c r="AB546" s="340"/>
      <c r="AC546" s="437"/>
      <c r="AD546" s="340"/>
      <c r="AE546" s="340"/>
      <c r="AF546" s="25"/>
      <c r="AG546" s="25"/>
      <c r="AH546" s="25"/>
      <c r="AI546" s="25"/>
      <c r="AJ546" s="25"/>
      <c r="AK546" s="25"/>
      <c r="AL546" s="25"/>
      <c r="AM546" s="25"/>
      <c r="AN546" s="25"/>
      <c r="AO546" s="25"/>
      <c r="AP546" s="25"/>
      <c r="AQ546" s="25"/>
      <c r="AR546" s="25"/>
      <c r="AS546" s="25"/>
      <c r="AT546" s="25"/>
      <c r="AU546" s="25"/>
      <c r="AV546" s="25"/>
      <c r="AW546" s="25"/>
      <c r="AX546" s="25"/>
    </row>
    <row r="547" spans="2:50" s="15" customFormat="1" ht="30.05" customHeight="1" x14ac:dyDescent="0.35">
      <c r="B547" s="606" t="s">
        <v>1107</v>
      </c>
      <c r="C547" s="607"/>
      <c r="D547" s="202">
        <f>D549-D651</f>
        <v>0</v>
      </c>
      <c r="E547" s="202">
        <f t="shared" ref="E547:P547" si="75">E549-E651</f>
        <v>0</v>
      </c>
      <c r="F547" s="202">
        <f t="shared" si="75"/>
        <v>0</v>
      </c>
      <c r="G547" s="202">
        <f t="shared" si="75"/>
        <v>0</v>
      </c>
      <c r="H547" s="202">
        <f t="shared" si="75"/>
        <v>0</v>
      </c>
      <c r="I547" s="202">
        <f t="shared" si="75"/>
        <v>0</v>
      </c>
      <c r="J547" s="202">
        <f t="shared" si="75"/>
        <v>0</v>
      </c>
      <c r="K547" s="202">
        <f t="shared" si="75"/>
        <v>0</v>
      </c>
      <c r="L547" s="202">
        <f t="shared" si="75"/>
        <v>0</v>
      </c>
      <c r="M547" s="202">
        <f t="shared" si="75"/>
        <v>0</v>
      </c>
      <c r="N547" s="202">
        <f t="shared" si="75"/>
        <v>0</v>
      </c>
      <c r="O547" s="202">
        <f t="shared" si="75"/>
        <v>0</v>
      </c>
      <c r="P547" s="202">
        <f t="shared" si="75"/>
        <v>0</v>
      </c>
      <c r="Q547" s="331"/>
      <c r="R547" s="349"/>
      <c r="S547" s="350"/>
      <c r="T547" s="350"/>
      <c r="U547" s="350"/>
      <c r="V547" s="449"/>
      <c r="W547" s="450"/>
      <c r="X547" s="349"/>
      <c r="Y547" s="331"/>
      <c r="Z547" s="342"/>
      <c r="AA547" s="342"/>
      <c r="AB547" s="342"/>
      <c r="AC547" s="439"/>
      <c r="AD547" s="342"/>
      <c r="AE547" s="342"/>
      <c r="AF547" s="343"/>
      <c r="AG547" s="343"/>
      <c r="AH547" s="343"/>
      <c r="AI547" s="343"/>
      <c r="AJ547" s="343"/>
      <c r="AK547" s="343"/>
      <c r="AL547" s="343"/>
      <c r="AM547" s="343"/>
      <c r="AN547" s="343"/>
      <c r="AO547" s="343"/>
      <c r="AP547" s="343"/>
      <c r="AQ547" s="343"/>
      <c r="AR547" s="343"/>
      <c r="AS547" s="343"/>
      <c r="AT547" s="121"/>
      <c r="AU547" s="121"/>
      <c r="AV547" s="121"/>
      <c r="AW547" s="121"/>
      <c r="AX547" s="121"/>
    </row>
    <row r="548" spans="2:50" s="110" customFormat="1" ht="6.75" customHeight="1" thickBot="1" x14ac:dyDescent="0.4">
      <c r="B548" s="111"/>
      <c r="C548" s="111"/>
      <c r="D548" s="25" t="s">
        <v>1044</v>
      </c>
      <c r="E548" s="25" t="s">
        <v>1045</v>
      </c>
      <c r="F548" s="25" t="s">
        <v>1046</v>
      </c>
      <c r="G548" s="25" t="s">
        <v>1047</v>
      </c>
      <c r="H548" s="25" t="s">
        <v>1048</v>
      </c>
      <c r="I548" s="25" t="s">
        <v>1049</v>
      </c>
      <c r="J548" s="25" t="s">
        <v>1050</v>
      </c>
      <c r="K548" s="25" t="s">
        <v>1051</v>
      </c>
      <c r="L548" s="25" t="s">
        <v>1052</v>
      </c>
      <c r="M548" s="25" t="s">
        <v>1053</v>
      </c>
      <c r="N548" s="25" t="s">
        <v>1054</v>
      </c>
      <c r="O548" s="25" t="s">
        <v>1055</v>
      </c>
      <c r="P548" s="135" t="s">
        <v>1198</v>
      </c>
      <c r="Q548" s="329"/>
      <c r="R548" s="346"/>
      <c r="S548" s="347"/>
      <c r="T548" s="347"/>
      <c r="U548" s="347"/>
      <c r="V548" s="447"/>
      <c r="W548" s="448"/>
      <c r="X548" s="346"/>
      <c r="Y548" s="329"/>
      <c r="Z548" s="340"/>
      <c r="AA548" s="340"/>
      <c r="AB548" s="340"/>
      <c r="AC548" s="437"/>
      <c r="AD548" s="340"/>
      <c r="AE548" s="340"/>
      <c r="AF548" s="25"/>
      <c r="AG548" s="25"/>
      <c r="AH548" s="25"/>
      <c r="AI548" s="25"/>
      <c r="AJ548" s="25"/>
      <c r="AK548" s="25"/>
      <c r="AL548" s="25"/>
      <c r="AM548" s="25"/>
      <c r="AN548" s="25"/>
      <c r="AO548" s="25"/>
      <c r="AP548" s="25"/>
      <c r="AQ548" s="25"/>
      <c r="AR548" s="25"/>
      <c r="AS548" s="25"/>
      <c r="AT548" s="25"/>
      <c r="AU548" s="25"/>
      <c r="AV548" s="25"/>
      <c r="AW548" s="25"/>
      <c r="AX548" s="25"/>
    </row>
    <row r="549" spans="2:50" ht="30.05" customHeight="1" thickTop="1" x14ac:dyDescent="0.35">
      <c r="B549" s="601" t="str">
        <f>'CAD_PL_REC-DESP'!F4</f>
        <v>RECEITAS NÃO OPERACIONAIS</v>
      </c>
      <c r="C549" s="602"/>
      <c r="D549" s="203">
        <f>SUM(D550:D649)</f>
        <v>0</v>
      </c>
      <c r="E549" s="203">
        <f t="shared" ref="E549:O549" si="76">SUM(E550:E649)</f>
        <v>0</v>
      </c>
      <c r="F549" s="203">
        <f t="shared" si="76"/>
        <v>0</v>
      </c>
      <c r="G549" s="203">
        <f t="shared" si="76"/>
        <v>0</v>
      </c>
      <c r="H549" s="203">
        <f t="shared" si="76"/>
        <v>0</v>
      </c>
      <c r="I549" s="203">
        <f t="shared" si="76"/>
        <v>0</v>
      </c>
      <c r="J549" s="203">
        <f t="shared" si="76"/>
        <v>0</v>
      </c>
      <c r="K549" s="203">
        <f t="shared" si="76"/>
        <v>0</v>
      </c>
      <c r="L549" s="203">
        <f t="shared" si="76"/>
        <v>0</v>
      </c>
      <c r="M549" s="203">
        <f t="shared" si="76"/>
        <v>0</v>
      </c>
      <c r="N549" s="203">
        <f t="shared" si="76"/>
        <v>0</v>
      </c>
      <c r="O549" s="203">
        <f t="shared" si="76"/>
        <v>0</v>
      </c>
      <c r="P549" s="203">
        <f>SUM(D549:O549)</f>
        <v>0</v>
      </c>
      <c r="R549" s="346"/>
      <c r="S549" s="347"/>
      <c r="T549" s="347"/>
      <c r="U549" s="347"/>
      <c r="V549" s="447"/>
      <c r="W549" s="448"/>
      <c r="X549" s="346"/>
    </row>
    <row r="550" spans="2:50" ht="30.05" customHeight="1" x14ac:dyDescent="0.35">
      <c r="B550" s="204" t="str">
        <f>'CAD_PL_REC-DESP'!E5</f>
        <v>1.2.1</v>
      </c>
      <c r="C550" s="205" t="str">
        <f>IF('CAD_PL_REC-DESP'!F5="","-",'CAD_PL_REC-DESP'!F5)</f>
        <v>APORTE SOCIO</v>
      </c>
      <c r="D550" s="206">
        <f>SUMIFS(LANÇ_MOV[VALOR LÍQUIDO],LANÇ_MOV[RECEITA OU DESPESA],"Receita",LANÇ_MOV[CONTAS],$C550,LANÇ_MOV[PLANO DE CONTAS],REL_DRE_FINANCEIRO!$B$549,LANÇ_MOV[ANO PAGAMENTO],$B$4,LANÇ_MOV[MÊS PAGAMENTO CORRESPONDENTE],D$6,LANÇ_MOV[EMPRESA],$C$4,LANÇ_MOV[CENTRO DE CUSTOS],$D$4)</f>
        <v>0</v>
      </c>
      <c r="E550" s="206">
        <f>SUMIFS(LANÇ_MOV[VALOR LÍQUIDO],LANÇ_MOV[RECEITA OU DESPESA],"Receita",LANÇ_MOV[CONTAS],$C550,LANÇ_MOV[PLANO DE CONTAS],REL_DRE_FINANCEIRO!$B$549,LANÇ_MOV[ANO PAGAMENTO],$B$4,LANÇ_MOV[MÊS PAGAMENTO CORRESPONDENTE],E$6,LANÇ_MOV[EMPRESA],$C$4,LANÇ_MOV[CENTRO DE CUSTOS],$D$4)</f>
        <v>0</v>
      </c>
      <c r="F550" s="206">
        <f>SUMIFS(LANÇ_MOV[VALOR LÍQUIDO],LANÇ_MOV[RECEITA OU DESPESA],"Receita",LANÇ_MOV[CONTAS],$C550,LANÇ_MOV[PLANO DE CONTAS],REL_DRE_FINANCEIRO!$B$549,LANÇ_MOV[ANO PAGAMENTO],$B$4,LANÇ_MOV[MÊS PAGAMENTO CORRESPONDENTE],F$6,LANÇ_MOV[EMPRESA],$C$4,LANÇ_MOV[CENTRO DE CUSTOS],$D$4)</f>
        <v>0</v>
      </c>
      <c r="G550" s="206">
        <f>SUMIFS(LANÇ_MOV[VALOR LÍQUIDO],LANÇ_MOV[RECEITA OU DESPESA],"Receita",LANÇ_MOV[CONTAS],$C550,LANÇ_MOV[PLANO DE CONTAS],REL_DRE_FINANCEIRO!$B$549,LANÇ_MOV[ANO PAGAMENTO],$B$4,LANÇ_MOV[MÊS PAGAMENTO CORRESPONDENTE],G$6,LANÇ_MOV[EMPRESA],$C$4,LANÇ_MOV[CENTRO DE CUSTOS],$D$4)</f>
        <v>0</v>
      </c>
      <c r="H550" s="206">
        <f>SUMIFS(LANÇ_MOV[VALOR LÍQUIDO],LANÇ_MOV[RECEITA OU DESPESA],"Receita",LANÇ_MOV[CONTAS],$C550,LANÇ_MOV[PLANO DE CONTAS],REL_DRE_FINANCEIRO!$B$549,LANÇ_MOV[ANO PAGAMENTO],$B$4,LANÇ_MOV[MÊS PAGAMENTO CORRESPONDENTE],H$6,LANÇ_MOV[EMPRESA],$C$4,LANÇ_MOV[CENTRO DE CUSTOS],$D$4)</f>
        <v>0</v>
      </c>
      <c r="I550" s="206">
        <f>SUMIFS(LANÇ_MOV[VALOR LÍQUIDO],LANÇ_MOV[RECEITA OU DESPESA],"Receita",LANÇ_MOV[CONTAS],$C550,LANÇ_MOV[PLANO DE CONTAS],REL_DRE_FINANCEIRO!$B$549,LANÇ_MOV[ANO PAGAMENTO],$B$4,LANÇ_MOV[MÊS PAGAMENTO CORRESPONDENTE],I$6,LANÇ_MOV[EMPRESA],$C$4,LANÇ_MOV[CENTRO DE CUSTOS],$D$4)</f>
        <v>0</v>
      </c>
      <c r="J550" s="206">
        <f>SUMIFS(LANÇ_MOV[VALOR LÍQUIDO],LANÇ_MOV[RECEITA OU DESPESA],"Receita",LANÇ_MOV[CONTAS],$C550,LANÇ_MOV[PLANO DE CONTAS],REL_DRE_FINANCEIRO!$B$549,LANÇ_MOV[ANO PAGAMENTO],$B$4,LANÇ_MOV[MÊS PAGAMENTO CORRESPONDENTE],J$6,LANÇ_MOV[EMPRESA],$C$4,LANÇ_MOV[CENTRO DE CUSTOS],$D$4)</f>
        <v>0</v>
      </c>
      <c r="K550" s="206">
        <f>SUMIFS(LANÇ_MOV[VALOR LÍQUIDO],LANÇ_MOV[RECEITA OU DESPESA],"Receita",LANÇ_MOV[CONTAS],$C550,LANÇ_MOV[PLANO DE CONTAS],REL_DRE_FINANCEIRO!$B$549,LANÇ_MOV[ANO PAGAMENTO],$B$4,LANÇ_MOV[MÊS PAGAMENTO CORRESPONDENTE],K$6,LANÇ_MOV[EMPRESA],$C$4,LANÇ_MOV[CENTRO DE CUSTOS],$D$4)</f>
        <v>0</v>
      </c>
      <c r="L550" s="206">
        <f>SUMIFS(LANÇ_MOV[VALOR LÍQUIDO],LANÇ_MOV[RECEITA OU DESPESA],"Receita",LANÇ_MOV[CONTAS],$C550,LANÇ_MOV[PLANO DE CONTAS],REL_DRE_FINANCEIRO!$B$549,LANÇ_MOV[ANO PAGAMENTO],$B$4,LANÇ_MOV[MÊS PAGAMENTO CORRESPONDENTE],L$6,LANÇ_MOV[EMPRESA],$C$4,LANÇ_MOV[CENTRO DE CUSTOS],$D$4)</f>
        <v>0</v>
      </c>
      <c r="M550" s="206">
        <f>SUMIFS(LANÇ_MOV[VALOR LÍQUIDO],LANÇ_MOV[RECEITA OU DESPESA],"Receita",LANÇ_MOV[CONTAS],$C550,LANÇ_MOV[PLANO DE CONTAS],REL_DRE_FINANCEIRO!$B$549,LANÇ_MOV[ANO PAGAMENTO],$B$4,LANÇ_MOV[MÊS PAGAMENTO CORRESPONDENTE],M$6,LANÇ_MOV[EMPRESA],$C$4,LANÇ_MOV[CENTRO DE CUSTOS],$D$4)</f>
        <v>0</v>
      </c>
      <c r="N550" s="206">
        <f>SUMIFS(LANÇ_MOV[VALOR LÍQUIDO],LANÇ_MOV[RECEITA OU DESPESA],"Receita",LANÇ_MOV[CONTAS],$C550,LANÇ_MOV[PLANO DE CONTAS],REL_DRE_FINANCEIRO!$B$549,LANÇ_MOV[ANO PAGAMENTO],$B$4,LANÇ_MOV[MÊS PAGAMENTO CORRESPONDENTE],N$6,LANÇ_MOV[EMPRESA],$C$4,LANÇ_MOV[CENTRO DE CUSTOS],$D$4)</f>
        <v>0</v>
      </c>
      <c r="O550" s="206">
        <f>SUMIFS(LANÇ_MOV[VALOR LÍQUIDO],LANÇ_MOV[RECEITA OU DESPESA],"Receita",LANÇ_MOV[CONTAS],$C550,LANÇ_MOV[PLANO DE CONTAS],REL_DRE_FINANCEIRO!$B$549,LANÇ_MOV[ANO PAGAMENTO],$B$4,LANÇ_MOV[MÊS PAGAMENTO CORRESPONDENTE],O$6,LANÇ_MOV[EMPRESA],$C$4,LANÇ_MOV[CENTRO DE CUSTOS],$D$4)</f>
        <v>0</v>
      </c>
      <c r="P550" s="207">
        <f t="shared" ref="P550:P613" si="77">SUM(D550:O550)</f>
        <v>0</v>
      </c>
      <c r="Q550" s="329">
        <v>1.0000000000000001E-5</v>
      </c>
      <c r="R550" s="346">
        <f t="shared" ref="R550:R613" si="78">P550+Q550</f>
        <v>1.0000000000000001E-5</v>
      </c>
      <c r="S550" s="347" t="str">
        <f t="shared" ref="S550:S613" si="79">C550</f>
        <v>APORTE SOCIO</v>
      </c>
      <c r="T550" s="347">
        <f t="shared" ref="T550:T613" si="80">P550</f>
        <v>0</v>
      </c>
      <c r="U550" s="347">
        <f>HLOOKUP(Apoio!$P$12,$D$548:$P$649,X550,FALSE)+Q550</f>
        <v>1.0000000000000001E-5</v>
      </c>
      <c r="V550" s="447" t="str">
        <f t="shared" ref="V550:V613" si="81">S550</f>
        <v>APORTE SOCIO</v>
      </c>
      <c r="W550" s="448">
        <f>HLOOKUP(Apoio!$P$12,$D$548:$P$649,X550,FALSE)</f>
        <v>0</v>
      </c>
      <c r="X550" s="329">
        <v>3</v>
      </c>
      <c r="Y550" s="329">
        <v>1</v>
      </c>
      <c r="Z550" s="340" t="str">
        <f>VLOOKUP(LARGE($R$550:$R$649,Y550),$R$550:$S$649,2,FALSE)</f>
        <v>APORTE SOCIO</v>
      </c>
      <c r="AA550" s="340">
        <f>VLOOKUP(Z550,$S$550:$T$649,2,FALSE)</f>
        <v>0</v>
      </c>
    </row>
    <row r="551" spans="2:50" ht="30.05" customHeight="1" x14ac:dyDescent="0.35">
      <c r="B551" s="204" t="str">
        <f>'CAD_PL_REC-DESP'!E6</f>
        <v>1.2.2</v>
      </c>
      <c r="C551" s="205" t="str">
        <f>IF('CAD_PL_REC-DESP'!F6="","-",'CAD_PL_REC-DESP'!F6)</f>
        <v>DINHEIRO SAQUE</v>
      </c>
      <c r="D551" s="206">
        <f>SUMIFS(LANÇ_MOV[VALOR LÍQUIDO],LANÇ_MOV[RECEITA OU DESPESA],"Receita",LANÇ_MOV[CONTAS],$C551,LANÇ_MOV[PLANO DE CONTAS],REL_DRE_FINANCEIRO!$B$549,LANÇ_MOV[ANO PAGAMENTO],$B$4,LANÇ_MOV[MÊS PAGAMENTO CORRESPONDENTE],D$6,LANÇ_MOV[EMPRESA],$C$4,LANÇ_MOV[CENTRO DE CUSTOS],$D$4)</f>
        <v>0</v>
      </c>
      <c r="E551" s="206">
        <f>SUMIFS(LANÇ_MOV[VALOR LÍQUIDO],LANÇ_MOV[RECEITA OU DESPESA],"Receita",LANÇ_MOV[CONTAS],$C551,LANÇ_MOV[PLANO DE CONTAS],REL_DRE_FINANCEIRO!$B$549,LANÇ_MOV[ANO PAGAMENTO],$B$4,LANÇ_MOV[MÊS PAGAMENTO CORRESPONDENTE],E$6,LANÇ_MOV[EMPRESA],$C$4,LANÇ_MOV[CENTRO DE CUSTOS],$D$4)</f>
        <v>0</v>
      </c>
      <c r="F551" s="206">
        <f>SUMIFS(LANÇ_MOV[VALOR LÍQUIDO],LANÇ_MOV[RECEITA OU DESPESA],"Receita",LANÇ_MOV[CONTAS],$C551,LANÇ_MOV[PLANO DE CONTAS],REL_DRE_FINANCEIRO!$B$549,LANÇ_MOV[ANO PAGAMENTO],$B$4,LANÇ_MOV[MÊS PAGAMENTO CORRESPONDENTE],F$6,LANÇ_MOV[EMPRESA],$C$4,LANÇ_MOV[CENTRO DE CUSTOS],$D$4)</f>
        <v>0</v>
      </c>
      <c r="G551" s="206">
        <f>SUMIFS(LANÇ_MOV[VALOR LÍQUIDO],LANÇ_MOV[RECEITA OU DESPESA],"Receita",LANÇ_MOV[CONTAS],$C551,LANÇ_MOV[PLANO DE CONTAS],REL_DRE_FINANCEIRO!$B$549,LANÇ_MOV[ANO PAGAMENTO],$B$4,LANÇ_MOV[MÊS PAGAMENTO CORRESPONDENTE],G$6,LANÇ_MOV[EMPRESA],$C$4,LANÇ_MOV[CENTRO DE CUSTOS],$D$4)</f>
        <v>0</v>
      </c>
      <c r="H551" s="206">
        <f>SUMIFS(LANÇ_MOV[VALOR LÍQUIDO],LANÇ_MOV[RECEITA OU DESPESA],"Receita",LANÇ_MOV[CONTAS],$C551,LANÇ_MOV[PLANO DE CONTAS],REL_DRE_FINANCEIRO!$B$549,LANÇ_MOV[ANO PAGAMENTO],$B$4,LANÇ_MOV[MÊS PAGAMENTO CORRESPONDENTE],H$6,LANÇ_MOV[EMPRESA],$C$4,LANÇ_MOV[CENTRO DE CUSTOS],$D$4)</f>
        <v>0</v>
      </c>
      <c r="I551" s="206">
        <f>SUMIFS(LANÇ_MOV[VALOR LÍQUIDO],LANÇ_MOV[RECEITA OU DESPESA],"Receita",LANÇ_MOV[CONTAS],$C551,LANÇ_MOV[PLANO DE CONTAS],REL_DRE_FINANCEIRO!$B$549,LANÇ_MOV[ANO PAGAMENTO],$B$4,LANÇ_MOV[MÊS PAGAMENTO CORRESPONDENTE],I$6,LANÇ_MOV[EMPRESA],$C$4,LANÇ_MOV[CENTRO DE CUSTOS],$D$4)</f>
        <v>0</v>
      </c>
      <c r="J551" s="206">
        <f>SUMIFS(LANÇ_MOV[VALOR LÍQUIDO],LANÇ_MOV[RECEITA OU DESPESA],"Receita",LANÇ_MOV[CONTAS],$C551,LANÇ_MOV[PLANO DE CONTAS],REL_DRE_FINANCEIRO!$B$549,LANÇ_MOV[ANO PAGAMENTO],$B$4,LANÇ_MOV[MÊS PAGAMENTO CORRESPONDENTE],J$6,LANÇ_MOV[EMPRESA],$C$4,LANÇ_MOV[CENTRO DE CUSTOS],$D$4)</f>
        <v>0</v>
      </c>
      <c r="K551" s="206">
        <f>SUMIFS(LANÇ_MOV[VALOR LÍQUIDO],LANÇ_MOV[RECEITA OU DESPESA],"Receita",LANÇ_MOV[CONTAS],$C551,LANÇ_MOV[PLANO DE CONTAS],REL_DRE_FINANCEIRO!$B$549,LANÇ_MOV[ANO PAGAMENTO],$B$4,LANÇ_MOV[MÊS PAGAMENTO CORRESPONDENTE],K$6,LANÇ_MOV[EMPRESA],$C$4,LANÇ_MOV[CENTRO DE CUSTOS],$D$4)</f>
        <v>0</v>
      </c>
      <c r="L551" s="206">
        <f>SUMIFS(LANÇ_MOV[VALOR LÍQUIDO],LANÇ_MOV[RECEITA OU DESPESA],"Receita",LANÇ_MOV[CONTAS],$C551,LANÇ_MOV[PLANO DE CONTAS],REL_DRE_FINANCEIRO!$B$549,LANÇ_MOV[ANO PAGAMENTO],$B$4,LANÇ_MOV[MÊS PAGAMENTO CORRESPONDENTE],L$6,LANÇ_MOV[EMPRESA],$C$4,LANÇ_MOV[CENTRO DE CUSTOS],$D$4)</f>
        <v>0</v>
      </c>
      <c r="M551" s="206">
        <f>SUMIFS(LANÇ_MOV[VALOR LÍQUIDO],LANÇ_MOV[RECEITA OU DESPESA],"Receita",LANÇ_MOV[CONTAS],$C551,LANÇ_MOV[PLANO DE CONTAS],REL_DRE_FINANCEIRO!$B$549,LANÇ_MOV[ANO PAGAMENTO],$B$4,LANÇ_MOV[MÊS PAGAMENTO CORRESPONDENTE],M$6,LANÇ_MOV[EMPRESA],$C$4,LANÇ_MOV[CENTRO DE CUSTOS],$D$4)</f>
        <v>0</v>
      </c>
      <c r="N551" s="206">
        <f>SUMIFS(LANÇ_MOV[VALOR LÍQUIDO],LANÇ_MOV[RECEITA OU DESPESA],"Receita",LANÇ_MOV[CONTAS],$C551,LANÇ_MOV[PLANO DE CONTAS],REL_DRE_FINANCEIRO!$B$549,LANÇ_MOV[ANO PAGAMENTO],$B$4,LANÇ_MOV[MÊS PAGAMENTO CORRESPONDENTE],N$6,LANÇ_MOV[EMPRESA],$C$4,LANÇ_MOV[CENTRO DE CUSTOS],$D$4)</f>
        <v>0</v>
      </c>
      <c r="O551" s="206">
        <f>SUMIFS(LANÇ_MOV[VALOR LÍQUIDO],LANÇ_MOV[RECEITA OU DESPESA],"Receita",LANÇ_MOV[CONTAS],$C551,LANÇ_MOV[PLANO DE CONTAS],REL_DRE_FINANCEIRO!$B$549,LANÇ_MOV[ANO PAGAMENTO],$B$4,LANÇ_MOV[MÊS PAGAMENTO CORRESPONDENTE],O$6,LANÇ_MOV[EMPRESA],$C$4,LANÇ_MOV[CENTRO DE CUSTOS],$D$4)</f>
        <v>0</v>
      </c>
      <c r="P551" s="207">
        <f t="shared" si="77"/>
        <v>0</v>
      </c>
      <c r="Q551" s="329">
        <v>9.9000000000000001E-6</v>
      </c>
      <c r="R551" s="346">
        <f t="shared" si="78"/>
        <v>9.9000000000000001E-6</v>
      </c>
      <c r="S551" s="347" t="str">
        <f t="shared" si="79"/>
        <v>DINHEIRO SAQUE</v>
      </c>
      <c r="T551" s="347">
        <f t="shared" si="80"/>
        <v>0</v>
      </c>
      <c r="U551" s="347">
        <f>HLOOKUP(Apoio!$P$12,$D$548:$P$649,X551,FALSE)+Q551</f>
        <v>9.9000000000000001E-6</v>
      </c>
      <c r="V551" s="447" t="str">
        <f t="shared" si="81"/>
        <v>DINHEIRO SAQUE</v>
      </c>
      <c r="W551" s="448">
        <f>HLOOKUP(Apoio!$P$12,$D$548:$P$649,X551,FALSE)</f>
        <v>0</v>
      </c>
      <c r="X551" s="329">
        <v>4</v>
      </c>
      <c r="Y551" s="329">
        <v>2</v>
      </c>
      <c r="Z551" s="340" t="str">
        <f>VLOOKUP(LARGE($R$550:$R$649,Y551),$R$550:$S$649,2,FALSE)</f>
        <v>DINHEIRO SAQUE</v>
      </c>
      <c r="AA551" s="340">
        <f>VLOOKUP(Z551,$S$550:$T$649,2,FALSE)</f>
        <v>0</v>
      </c>
    </row>
    <row r="552" spans="2:50" ht="30.05" customHeight="1" x14ac:dyDescent="0.35">
      <c r="B552" s="204" t="str">
        <f>'CAD_PL_REC-DESP'!E7</f>
        <v>1.2.3</v>
      </c>
      <c r="C552" s="205" t="str">
        <f>IF('CAD_PL_REC-DESP'!F7="","-",'CAD_PL_REC-DESP'!F7)</f>
        <v>EMPRÉSTIMOS</v>
      </c>
      <c r="D552" s="206">
        <f>SUMIFS(LANÇ_MOV[VALOR LÍQUIDO],LANÇ_MOV[RECEITA OU DESPESA],"Receita",LANÇ_MOV[CONTAS],$C552,LANÇ_MOV[PLANO DE CONTAS],REL_DRE_FINANCEIRO!$B$549,LANÇ_MOV[ANO PAGAMENTO],$B$4,LANÇ_MOV[MÊS PAGAMENTO CORRESPONDENTE],D$6,LANÇ_MOV[EMPRESA],$C$4,LANÇ_MOV[CENTRO DE CUSTOS],$D$4)</f>
        <v>0</v>
      </c>
      <c r="E552" s="206">
        <f>SUMIFS(LANÇ_MOV[VALOR LÍQUIDO],LANÇ_MOV[RECEITA OU DESPESA],"Receita",LANÇ_MOV[CONTAS],$C552,LANÇ_MOV[PLANO DE CONTAS],REL_DRE_FINANCEIRO!$B$549,LANÇ_MOV[ANO PAGAMENTO],$B$4,LANÇ_MOV[MÊS PAGAMENTO CORRESPONDENTE],E$6,LANÇ_MOV[EMPRESA],$C$4,LANÇ_MOV[CENTRO DE CUSTOS],$D$4)</f>
        <v>0</v>
      </c>
      <c r="F552" s="206">
        <f>SUMIFS(LANÇ_MOV[VALOR LÍQUIDO],LANÇ_MOV[RECEITA OU DESPESA],"Receita",LANÇ_MOV[CONTAS],$C552,LANÇ_MOV[PLANO DE CONTAS],REL_DRE_FINANCEIRO!$B$549,LANÇ_MOV[ANO PAGAMENTO],$B$4,LANÇ_MOV[MÊS PAGAMENTO CORRESPONDENTE],F$6,LANÇ_MOV[EMPRESA],$C$4,LANÇ_MOV[CENTRO DE CUSTOS],$D$4)</f>
        <v>0</v>
      </c>
      <c r="G552" s="206">
        <f>SUMIFS(LANÇ_MOV[VALOR LÍQUIDO],LANÇ_MOV[RECEITA OU DESPESA],"Receita",LANÇ_MOV[CONTAS],$C552,LANÇ_MOV[PLANO DE CONTAS],REL_DRE_FINANCEIRO!$B$549,LANÇ_MOV[ANO PAGAMENTO],$B$4,LANÇ_MOV[MÊS PAGAMENTO CORRESPONDENTE],G$6,LANÇ_MOV[EMPRESA],$C$4,LANÇ_MOV[CENTRO DE CUSTOS],$D$4)</f>
        <v>0</v>
      </c>
      <c r="H552" s="206">
        <f>SUMIFS(LANÇ_MOV[VALOR LÍQUIDO],LANÇ_MOV[RECEITA OU DESPESA],"Receita",LANÇ_MOV[CONTAS],$C552,LANÇ_MOV[PLANO DE CONTAS],REL_DRE_FINANCEIRO!$B$549,LANÇ_MOV[ANO PAGAMENTO],$B$4,LANÇ_MOV[MÊS PAGAMENTO CORRESPONDENTE],H$6,LANÇ_MOV[EMPRESA],$C$4,LANÇ_MOV[CENTRO DE CUSTOS],$D$4)</f>
        <v>0</v>
      </c>
      <c r="I552" s="206">
        <f>SUMIFS(LANÇ_MOV[VALOR LÍQUIDO],LANÇ_MOV[RECEITA OU DESPESA],"Receita",LANÇ_MOV[CONTAS],$C552,LANÇ_MOV[PLANO DE CONTAS],REL_DRE_FINANCEIRO!$B$549,LANÇ_MOV[ANO PAGAMENTO],$B$4,LANÇ_MOV[MÊS PAGAMENTO CORRESPONDENTE],I$6,LANÇ_MOV[EMPRESA],$C$4,LANÇ_MOV[CENTRO DE CUSTOS],$D$4)</f>
        <v>0</v>
      </c>
      <c r="J552" s="206">
        <f>SUMIFS(LANÇ_MOV[VALOR LÍQUIDO],LANÇ_MOV[RECEITA OU DESPESA],"Receita",LANÇ_MOV[CONTAS],$C552,LANÇ_MOV[PLANO DE CONTAS],REL_DRE_FINANCEIRO!$B$549,LANÇ_MOV[ANO PAGAMENTO],$B$4,LANÇ_MOV[MÊS PAGAMENTO CORRESPONDENTE],J$6,LANÇ_MOV[EMPRESA],$C$4,LANÇ_MOV[CENTRO DE CUSTOS],$D$4)</f>
        <v>0</v>
      </c>
      <c r="K552" s="206">
        <f>SUMIFS(LANÇ_MOV[VALOR LÍQUIDO],LANÇ_MOV[RECEITA OU DESPESA],"Receita",LANÇ_MOV[CONTAS],$C552,LANÇ_MOV[PLANO DE CONTAS],REL_DRE_FINANCEIRO!$B$549,LANÇ_MOV[ANO PAGAMENTO],$B$4,LANÇ_MOV[MÊS PAGAMENTO CORRESPONDENTE],K$6,LANÇ_MOV[EMPRESA],$C$4,LANÇ_MOV[CENTRO DE CUSTOS],$D$4)</f>
        <v>0</v>
      </c>
      <c r="L552" s="206">
        <f>SUMIFS(LANÇ_MOV[VALOR LÍQUIDO],LANÇ_MOV[RECEITA OU DESPESA],"Receita",LANÇ_MOV[CONTAS],$C552,LANÇ_MOV[PLANO DE CONTAS],REL_DRE_FINANCEIRO!$B$549,LANÇ_MOV[ANO PAGAMENTO],$B$4,LANÇ_MOV[MÊS PAGAMENTO CORRESPONDENTE],L$6,LANÇ_MOV[EMPRESA],$C$4,LANÇ_MOV[CENTRO DE CUSTOS],$D$4)</f>
        <v>0</v>
      </c>
      <c r="M552" s="206">
        <f>SUMIFS(LANÇ_MOV[VALOR LÍQUIDO],LANÇ_MOV[RECEITA OU DESPESA],"Receita",LANÇ_MOV[CONTAS],$C552,LANÇ_MOV[PLANO DE CONTAS],REL_DRE_FINANCEIRO!$B$549,LANÇ_MOV[ANO PAGAMENTO],$B$4,LANÇ_MOV[MÊS PAGAMENTO CORRESPONDENTE],M$6,LANÇ_MOV[EMPRESA],$C$4,LANÇ_MOV[CENTRO DE CUSTOS],$D$4)</f>
        <v>0</v>
      </c>
      <c r="N552" s="206">
        <f>SUMIFS(LANÇ_MOV[VALOR LÍQUIDO],LANÇ_MOV[RECEITA OU DESPESA],"Receita",LANÇ_MOV[CONTAS],$C552,LANÇ_MOV[PLANO DE CONTAS],REL_DRE_FINANCEIRO!$B$549,LANÇ_MOV[ANO PAGAMENTO],$B$4,LANÇ_MOV[MÊS PAGAMENTO CORRESPONDENTE],N$6,LANÇ_MOV[EMPRESA],$C$4,LANÇ_MOV[CENTRO DE CUSTOS],$D$4)</f>
        <v>0</v>
      </c>
      <c r="O552" s="206">
        <f>SUMIFS(LANÇ_MOV[VALOR LÍQUIDO],LANÇ_MOV[RECEITA OU DESPESA],"Receita",LANÇ_MOV[CONTAS],$C552,LANÇ_MOV[PLANO DE CONTAS],REL_DRE_FINANCEIRO!$B$549,LANÇ_MOV[ANO PAGAMENTO],$B$4,LANÇ_MOV[MÊS PAGAMENTO CORRESPONDENTE],O$6,LANÇ_MOV[EMPRESA],$C$4,LANÇ_MOV[CENTRO DE CUSTOS],$D$4)</f>
        <v>0</v>
      </c>
      <c r="P552" s="207">
        <f t="shared" si="77"/>
        <v>0</v>
      </c>
      <c r="Q552" s="329">
        <v>9.7999999999999993E-6</v>
      </c>
      <c r="R552" s="346">
        <f t="shared" si="78"/>
        <v>9.7999999999999993E-6</v>
      </c>
      <c r="S552" s="347" t="str">
        <f t="shared" si="79"/>
        <v>EMPRÉSTIMOS</v>
      </c>
      <c r="T552" s="347">
        <f t="shared" si="80"/>
        <v>0</v>
      </c>
      <c r="U552" s="347">
        <f>HLOOKUP(Apoio!$P$12,$D$548:$P$649,X552,FALSE)+Q552</f>
        <v>9.7999999999999993E-6</v>
      </c>
      <c r="V552" s="447" t="str">
        <f t="shared" si="81"/>
        <v>EMPRÉSTIMOS</v>
      </c>
      <c r="W552" s="448">
        <f>HLOOKUP(Apoio!$P$12,$D$548:$P$649,X552,FALSE)</f>
        <v>0</v>
      </c>
      <c r="X552" s="329">
        <v>5</v>
      </c>
      <c r="Y552" s="329">
        <v>3</v>
      </c>
      <c r="Z552" s="340" t="str">
        <f>VLOOKUP(LARGE($R$550:$R$649,Y552),$R$550:$S$649,2,FALSE)</f>
        <v>EMPRÉSTIMOS</v>
      </c>
      <c r="AA552" s="340">
        <f>VLOOKUP(Z552,$S$550:$T$649,2,FALSE)</f>
        <v>0</v>
      </c>
    </row>
    <row r="553" spans="2:50" ht="30.05" customHeight="1" x14ac:dyDescent="0.35">
      <c r="B553" s="204" t="str">
        <f>'CAD_PL_REC-DESP'!E8</f>
        <v>1.2.4</v>
      </c>
      <c r="C553" s="205" t="str">
        <f>IF('CAD_PL_REC-DESP'!F8="","-",'CAD_PL_REC-DESP'!F8)</f>
        <v>EMPRÉSTIMOS A CLIENTES</v>
      </c>
      <c r="D553" s="206">
        <f>SUMIFS(LANÇ_MOV[VALOR LÍQUIDO],LANÇ_MOV[RECEITA OU DESPESA],"Receita",LANÇ_MOV[CONTAS],$C553,LANÇ_MOV[PLANO DE CONTAS],REL_DRE_FINANCEIRO!$B$549,LANÇ_MOV[ANO PAGAMENTO],$B$4,LANÇ_MOV[MÊS PAGAMENTO CORRESPONDENTE],D$6,LANÇ_MOV[EMPRESA],$C$4,LANÇ_MOV[CENTRO DE CUSTOS],$D$4)</f>
        <v>0</v>
      </c>
      <c r="E553" s="206">
        <f>SUMIFS(LANÇ_MOV[VALOR LÍQUIDO],LANÇ_MOV[RECEITA OU DESPESA],"Receita",LANÇ_MOV[CONTAS],$C553,LANÇ_MOV[PLANO DE CONTAS],REL_DRE_FINANCEIRO!$B$549,LANÇ_MOV[ANO PAGAMENTO],$B$4,LANÇ_MOV[MÊS PAGAMENTO CORRESPONDENTE],E$6,LANÇ_MOV[EMPRESA],$C$4,LANÇ_MOV[CENTRO DE CUSTOS],$D$4)</f>
        <v>0</v>
      </c>
      <c r="F553" s="206">
        <f>SUMIFS(LANÇ_MOV[VALOR LÍQUIDO],LANÇ_MOV[RECEITA OU DESPESA],"Receita",LANÇ_MOV[CONTAS],$C553,LANÇ_MOV[PLANO DE CONTAS],REL_DRE_FINANCEIRO!$B$549,LANÇ_MOV[ANO PAGAMENTO],$B$4,LANÇ_MOV[MÊS PAGAMENTO CORRESPONDENTE],F$6,LANÇ_MOV[EMPRESA],$C$4,LANÇ_MOV[CENTRO DE CUSTOS],$D$4)</f>
        <v>0</v>
      </c>
      <c r="G553" s="206">
        <f>SUMIFS(LANÇ_MOV[VALOR LÍQUIDO],LANÇ_MOV[RECEITA OU DESPESA],"Receita",LANÇ_MOV[CONTAS],$C553,LANÇ_MOV[PLANO DE CONTAS],REL_DRE_FINANCEIRO!$B$549,LANÇ_MOV[ANO PAGAMENTO],$B$4,LANÇ_MOV[MÊS PAGAMENTO CORRESPONDENTE],G$6,LANÇ_MOV[EMPRESA],$C$4,LANÇ_MOV[CENTRO DE CUSTOS],$D$4)</f>
        <v>0</v>
      </c>
      <c r="H553" s="206">
        <f>SUMIFS(LANÇ_MOV[VALOR LÍQUIDO],LANÇ_MOV[RECEITA OU DESPESA],"Receita",LANÇ_MOV[CONTAS],$C553,LANÇ_MOV[PLANO DE CONTAS],REL_DRE_FINANCEIRO!$B$549,LANÇ_MOV[ANO PAGAMENTO],$B$4,LANÇ_MOV[MÊS PAGAMENTO CORRESPONDENTE],H$6,LANÇ_MOV[EMPRESA],$C$4,LANÇ_MOV[CENTRO DE CUSTOS],$D$4)</f>
        <v>0</v>
      </c>
      <c r="I553" s="206">
        <f>SUMIFS(LANÇ_MOV[VALOR LÍQUIDO],LANÇ_MOV[RECEITA OU DESPESA],"Receita",LANÇ_MOV[CONTAS],$C553,LANÇ_MOV[PLANO DE CONTAS],REL_DRE_FINANCEIRO!$B$549,LANÇ_MOV[ANO PAGAMENTO],$B$4,LANÇ_MOV[MÊS PAGAMENTO CORRESPONDENTE],I$6,LANÇ_MOV[EMPRESA],$C$4,LANÇ_MOV[CENTRO DE CUSTOS],$D$4)</f>
        <v>0</v>
      </c>
      <c r="J553" s="206">
        <f>SUMIFS(LANÇ_MOV[VALOR LÍQUIDO],LANÇ_MOV[RECEITA OU DESPESA],"Receita",LANÇ_MOV[CONTAS],$C553,LANÇ_MOV[PLANO DE CONTAS],REL_DRE_FINANCEIRO!$B$549,LANÇ_MOV[ANO PAGAMENTO],$B$4,LANÇ_MOV[MÊS PAGAMENTO CORRESPONDENTE],J$6,LANÇ_MOV[EMPRESA],$C$4,LANÇ_MOV[CENTRO DE CUSTOS],$D$4)</f>
        <v>0</v>
      </c>
      <c r="K553" s="206">
        <f>SUMIFS(LANÇ_MOV[VALOR LÍQUIDO],LANÇ_MOV[RECEITA OU DESPESA],"Receita",LANÇ_MOV[CONTAS],$C553,LANÇ_MOV[PLANO DE CONTAS],REL_DRE_FINANCEIRO!$B$549,LANÇ_MOV[ANO PAGAMENTO],$B$4,LANÇ_MOV[MÊS PAGAMENTO CORRESPONDENTE],K$6,LANÇ_MOV[EMPRESA],$C$4,LANÇ_MOV[CENTRO DE CUSTOS],$D$4)</f>
        <v>0</v>
      </c>
      <c r="L553" s="206">
        <f>SUMIFS(LANÇ_MOV[VALOR LÍQUIDO],LANÇ_MOV[RECEITA OU DESPESA],"Receita",LANÇ_MOV[CONTAS],$C553,LANÇ_MOV[PLANO DE CONTAS],REL_DRE_FINANCEIRO!$B$549,LANÇ_MOV[ANO PAGAMENTO],$B$4,LANÇ_MOV[MÊS PAGAMENTO CORRESPONDENTE],L$6,LANÇ_MOV[EMPRESA],$C$4,LANÇ_MOV[CENTRO DE CUSTOS],$D$4)</f>
        <v>0</v>
      </c>
      <c r="M553" s="206">
        <f>SUMIFS(LANÇ_MOV[VALOR LÍQUIDO],LANÇ_MOV[RECEITA OU DESPESA],"Receita",LANÇ_MOV[CONTAS],$C553,LANÇ_MOV[PLANO DE CONTAS],REL_DRE_FINANCEIRO!$B$549,LANÇ_MOV[ANO PAGAMENTO],$B$4,LANÇ_MOV[MÊS PAGAMENTO CORRESPONDENTE],M$6,LANÇ_MOV[EMPRESA],$C$4,LANÇ_MOV[CENTRO DE CUSTOS],$D$4)</f>
        <v>0</v>
      </c>
      <c r="N553" s="206">
        <f>SUMIFS(LANÇ_MOV[VALOR LÍQUIDO],LANÇ_MOV[RECEITA OU DESPESA],"Receita",LANÇ_MOV[CONTAS],$C553,LANÇ_MOV[PLANO DE CONTAS],REL_DRE_FINANCEIRO!$B$549,LANÇ_MOV[ANO PAGAMENTO],$B$4,LANÇ_MOV[MÊS PAGAMENTO CORRESPONDENTE],N$6,LANÇ_MOV[EMPRESA],$C$4,LANÇ_MOV[CENTRO DE CUSTOS],$D$4)</f>
        <v>0</v>
      </c>
      <c r="O553" s="206">
        <f>SUMIFS(LANÇ_MOV[VALOR LÍQUIDO],LANÇ_MOV[RECEITA OU DESPESA],"Receita",LANÇ_MOV[CONTAS],$C553,LANÇ_MOV[PLANO DE CONTAS],REL_DRE_FINANCEIRO!$B$549,LANÇ_MOV[ANO PAGAMENTO],$B$4,LANÇ_MOV[MÊS PAGAMENTO CORRESPONDENTE],O$6,LANÇ_MOV[EMPRESA],$C$4,LANÇ_MOV[CENTRO DE CUSTOS],$D$4)</f>
        <v>0</v>
      </c>
      <c r="P553" s="207">
        <f t="shared" si="77"/>
        <v>0</v>
      </c>
      <c r="Q553" s="329">
        <v>9.7000000000000003E-6</v>
      </c>
      <c r="R553" s="346">
        <f t="shared" si="78"/>
        <v>9.7000000000000003E-6</v>
      </c>
      <c r="S553" s="347" t="str">
        <f t="shared" si="79"/>
        <v>EMPRÉSTIMOS A CLIENTES</v>
      </c>
      <c r="T553" s="347">
        <f t="shared" si="80"/>
        <v>0</v>
      </c>
      <c r="U553" s="347">
        <f>HLOOKUP(Apoio!$P$12,$D$548:$P$649,X553,FALSE)+Q553</f>
        <v>9.7000000000000003E-6</v>
      </c>
      <c r="V553" s="447" t="str">
        <f t="shared" si="81"/>
        <v>EMPRÉSTIMOS A CLIENTES</v>
      </c>
      <c r="W553" s="448">
        <f>HLOOKUP(Apoio!$P$12,$D$548:$P$649,X553,FALSE)</f>
        <v>0</v>
      </c>
      <c r="X553" s="329">
        <v>6</v>
      </c>
      <c r="Y553" s="329">
        <v>4</v>
      </c>
      <c r="Z553" s="340" t="str">
        <f>VLOOKUP(LARGE($R$550:$R$649,Y553),$R$550:$S$649,2,FALSE)</f>
        <v>EMPRÉSTIMOS A CLIENTES</v>
      </c>
      <c r="AA553" s="340">
        <f>VLOOKUP(Z553,$S$550:$T$649,2,FALSE)</f>
        <v>0</v>
      </c>
    </row>
    <row r="554" spans="2:50" ht="30.05" customHeight="1" x14ac:dyDescent="0.35">
      <c r="B554" s="204" t="str">
        <f>'CAD_PL_REC-DESP'!E9</f>
        <v>1.2.5</v>
      </c>
      <c r="C554" s="205" t="str">
        <f>IF('CAD_PL_REC-DESP'!F9="","-",'CAD_PL_REC-DESP'!F9)</f>
        <v>ESTORNO</v>
      </c>
      <c r="D554" s="206">
        <f>SUMIFS(LANÇ_MOV[VALOR LÍQUIDO],LANÇ_MOV[RECEITA OU DESPESA],"Receita",LANÇ_MOV[CONTAS],$C554,LANÇ_MOV[PLANO DE CONTAS],REL_DRE_FINANCEIRO!$B$549,LANÇ_MOV[ANO PAGAMENTO],$B$4,LANÇ_MOV[MÊS PAGAMENTO CORRESPONDENTE],D$6,LANÇ_MOV[EMPRESA],$C$4,LANÇ_MOV[CENTRO DE CUSTOS],$D$4)</f>
        <v>0</v>
      </c>
      <c r="E554" s="206">
        <f>SUMIFS(LANÇ_MOV[VALOR LÍQUIDO],LANÇ_MOV[RECEITA OU DESPESA],"Receita",LANÇ_MOV[CONTAS],$C554,LANÇ_MOV[PLANO DE CONTAS],REL_DRE_FINANCEIRO!$B$549,LANÇ_MOV[ANO PAGAMENTO],$B$4,LANÇ_MOV[MÊS PAGAMENTO CORRESPONDENTE],E$6,LANÇ_MOV[EMPRESA],$C$4,LANÇ_MOV[CENTRO DE CUSTOS],$D$4)</f>
        <v>0</v>
      </c>
      <c r="F554" s="206">
        <f>SUMIFS(LANÇ_MOV[VALOR LÍQUIDO],LANÇ_MOV[RECEITA OU DESPESA],"Receita",LANÇ_MOV[CONTAS],$C554,LANÇ_MOV[PLANO DE CONTAS],REL_DRE_FINANCEIRO!$B$549,LANÇ_MOV[ANO PAGAMENTO],$B$4,LANÇ_MOV[MÊS PAGAMENTO CORRESPONDENTE],F$6,LANÇ_MOV[EMPRESA],$C$4,LANÇ_MOV[CENTRO DE CUSTOS],$D$4)</f>
        <v>0</v>
      </c>
      <c r="G554" s="206">
        <f>SUMIFS(LANÇ_MOV[VALOR LÍQUIDO],LANÇ_MOV[RECEITA OU DESPESA],"Receita",LANÇ_MOV[CONTAS],$C554,LANÇ_MOV[PLANO DE CONTAS],REL_DRE_FINANCEIRO!$B$549,LANÇ_MOV[ANO PAGAMENTO],$B$4,LANÇ_MOV[MÊS PAGAMENTO CORRESPONDENTE],G$6,LANÇ_MOV[EMPRESA],$C$4,LANÇ_MOV[CENTRO DE CUSTOS],$D$4)</f>
        <v>0</v>
      </c>
      <c r="H554" s="206">
        <f>SUMIFS(LANÇ_MOV[VALOR LÍQUIDO],LANÇ_MOV[RECEITA OU DESPESA],"Receita",LANÇ_MOV[CONTAS],$C554,LANÇ_MOV[PLANO DE CONTAS],REL_DRE_FINANCEIRO!$B$549,LANÇ_MOV[ANO PAGAMENTO],$B$4,LANÇ_MOV[MÊS PAGAMENTO CORRESPONDENTE],H$6,LANÇ_MOV[EMPRESA],$C$4,LANÇ_MOV[CENTRO DE CUSTOS],$D$4)</f>
        <v>0</v>
      </c>
      <c r="I554" s="206">
        <f>SUMIFS(LANÇ_MOV[VALOR LÍQUIDO],LANÇ_MOV[RECEITA OU DESPESA],"Receita",LANÇ_MOV[CONTAS],$C554,LANÇ_MOV[PLANO DE CONTAS],REL_DRE_FINANCEIRO!$B$549,LANÇ_MOV[ANO PAGAMENTO],$B$4,LANÇ_MOV[MÊS PAGAMENTO CORRESPONDENTE],I$6,LANÇ_MOV[EMPRESA],$C$4,LANÇ_MOV[CENTRO DE CUSTOS],$D$4)</f>
        <v>0</v>
      </c>
      <c r="J554" s="206">
        <f>SUMIFS(LANÇ_MOV[VALOR LÍQUIDO],LANÇ_MOV[RECEITA OU DESPESA],"Receita",LANÇ_MOV[CONTAS],$C554,LANÇ_MOV[PLANO DE CONTAS],REL_DRE_FINANCEIRO!$B$549,LANÇ_MOV[ANO PAGAMENTO],$B$4,LANÇ_MOV[MÊS PAGAMENTO CORRESPONDENTE],J$6,LANÇ_MOV[EMPRESA],$C$4,LANÇ_MOV[CENTRO DE CUSTOS],$D$4)</f>
        <v>0</v>
      </c>
      <c r="K554" s="206">
        <f>SUMIFS(LANÇ_MOV[VALOR LÍQUIDO],LANÇ_MOV[RECEITA OU DESPESA],"Receita",LANÇ_MOV[CONTAS],$C554,LANÇ_MOV[PLANO DE CONTAS],REL_DRE_FINANCEIRO!$B$549,LANÇ_MOV[ANO PAGAMENTO],$B$4,LANÇ_MOV[MÊS PAGAMENTO CORRESPONDENTE],K$6,LANÇ_MOV[EMPRESA],$C$4,LANÇ_MOV[CENTRO DE CUSTOS],$D$4)</f>
        <v>0</v>
      </c>
      <c r="L554" s="206">
        <f>SUMIFS(LANÇ_MOV[VALOR LÍQUIDO],LANÇ_MOV[RECEITA OU DESPESA],"Receita",LANÇ_MOV[CONTAS],$C554,LANÇ_MOV[PLANO DE CONTAS],REL_DRE_FINANCEIRO!$B$549,LANÇ_MOV[ANO PAGAMENTO],$B$4,LANÇ_MOV[MÊS PAGAMENTO CORRESPONDENTE],L$6,LANÇ_MOV[EMPRESA],$C$4,LANÇ_MOV[CENTRO DE CUSTOS],$D$4)</f>
        <v>0</v>
      </c>
      <c r="M554" s="206">
        <f>SUMIFS(LANÇ_MOV[VALOR LÍQUIDO],LANÇ_MOV[RECEITA OU DESPESA],"Receita",LANÇ_MOV[CONTAS],$C554,LANÇ_MOV[PLANO DE CONTAS],REL_DRE_FINANCEIRO!$B$549,LANÇ_MOV[ANO PAGAMENTO],$B$4,LANÇ_MOV[MÊS PAGAMENTO CORRESPONDENTE],M$6,LANÇ_MOV[EMPRESA],$C$4,LANÇ_MOV[CENTRO DE CUSTOS],$D$4)</f>
        <v>0</v>
      </c>
      <c r="N554" s="206">
        <f>SUMIFS(LANÇ_MOV[VALOR LÍQUIDO],LANÇ_MOV[RECEITA OU DESPESA],"Receita",LANÇ_MOV[CONTAS],$C554,LANÇ_MOV[PLANO DE CONTAS],REL_DRE_FINANCEIRO!$B$549,LANÇ_MOV[ANO PAGAMENTO],$B$4,LANÇ_MOV[MÊS PAGAMENTO CORRESPONDENTE],N$6,LANÇ_MOV[EMPRESA],$C$4,LANÇ_MOV[CENTRO DE CUSTOS],$D$4)</f>
        <v>0</v>
      </c>
      <c r="O554" s="206">
        <f>SUMIFS(LANÇ_MOV[VALOR LÍQUIDO],LANÇ_MOV[RECEITA OU DESPESA],"Receita",LANÇ_MOV[CONTAS],$C554,LANÇ_MOV[PLANO DE CONTAS],REL_DRE_FINANCEIRO!$B$549,LANÇ_MOV[ANO PAGAMENTO],$B$4,LANÇ_MOV[MÊS PAGAMENTO CORRESPONDENTE],O$6,LANÇ_MOV[EMPRESA],$C$4,LANÇ_MOV[CENTRO DE CUSTOS],$D$4)</f>
        <v>0</v>
      </c>
      <c r="P554" s="207">
        <f t="shared" si="77"/>
        <v>0</v>
      </c>
      <c r="Q554" s="329">
        <v>9.5999999999999996E-6</v>
      </c>
      <c r="R554" s="346">
        <f t="shared" si="78"/>
        <v>9.5999999999999996E-6</v>
      </c>
      <c r="S554" s="347" t="str">
        <f t="shared" si="79"/>
        <v>ESTORNO</v>
      </c>
      <c r="T554" s="347">
        <f t="shared" si="80"/>
        <v>0</v>
      </c>
      <c r="U554" s="347">
        <f>HLOOKUP(Apoio!$P$12,$D$548:$P$649,X554,FALSE)+Q554</f>
        <v>9.5999999999999996E-6</v>
      </c>
      <c r="V554" s="447" t="str">
        <f t="shared" si="81"/>
        <v>ESTORNO</v>
      </c>
      <c r="W554" s="448">
        <f>HLOOKUP(Apoio!$P$12,$D$548:$P$649,X554,FALSE)</f>
        <v>0</v>
      </c>
      <c r="X554" s="329">
        <v>7</v>
      </c>
      <c r="Y554" s="329">
        <v>5</v>
      </c>
      <c r="Z554" s="340" t="str">
        <f>VLOOKUP(LARGE($R$550:$R$649,Y554),$R$550:$S$649,2,FALSE)</f>
        <v>ESTORNO</v>
      </c>
      <c r="AA554" s="340">
        <f>VLOOKUP(Z554,$S$550:$T$649,2,FALSE)</f>
        <v>0</v>
      </c>
    </row>
    <row r="555" spans="2:50" ht="30.05" customHeight="1" x14ac:dyDescent="0.35">
      <c r="B555" s="204" t="str">
        <f>'CAD_PL_REC-DESP'!E10</f>
        <v>1.2.6</v>
      </c>
      <c r="C555" s="205" t="str">
        <f>IF('CAD_PL_REC-DESP'!F10="","-",'CAD_PL_REC-DESP'!F10)</f>
        <v>OUTRAS RECEITAS NÃO OPERACIONAIS</v>
      </c>
      <c r="D555" s="206">
        <f>SUMIFS(LANÇ_MOV[VALOR LÍQUIDO],LANÇ_MOV[RECEITA OU DESPESA],"Receita",LANÇ_MOV[CONTAS],$C555,LANÇ_MOV[PLANO DE CONTAS],REL_DRE_FINANCEIRO!$B$549,LANÇ_MOV[ANO PAGAMENTO],$B$4,LANÇ_MOV[MÊS PAGAMENTO CORRESPONDENTE],D$6,LANÇ_MOV[EMPRESA],$C$4,LANÇ_MOV[CENTRO DE CUSTOS],$D$4)</f>
        <v>0</v>
      </c>
      <c r="E555" s="206">
        <f>SUMIFS(LANÇ_MOV[VALOR LÍQUIDO],LANÇ_MOV[RECEITA OU DESPESA],"Receita",LANÇ_MOV[CONTAS],$C555,LANÇ_MOV[PLANO DE CONTAS],REL_DRE_FINANCEIRO!$B$549,LANÇ_MOV[ANO PAGAMENTO],$B$4,LANÇ_MOV[MÊS PAGAMENTO CORRESPONDENTE],E$6,LANÇ_MOV[EMPRESA],$C$4,LANÇ_MOV[CENTRO DE CUSTOS],$D$4)</f>
        <v>0</v>
      </c>
      <c r="F555" s="206">
        <f>SUMIFS(LANÇ_MOV[VALOR LÍQUIDO],LANÇ_MOV[RECEITA OU DESPESA],"Receita",LANÇ_MOV[CONTAS],$C555,LANÇ_MOV[PLANO DE CONTAS],REL_DRE_FINANCEIRO!$B$549,LANÇ_MOV[ANO PAGAMENTO],$B$4,LANÇ_MOV[MÊS PAGAMENTO CORRESPONDENTE],F$6,LANÇ_MOV[EMPRESA],$C$4,LANÇ_MOV[CENTRO DE CUSTOS],$D$4)</f>
        <v>0</v>
      </c>
      <c r="G555" s="206">
        <f>SUMIFS(LANÇ_MOV[VALOR LÍQUIDO],LANÇ_MOV[RECEITA OU DESPESA],"Receita",LANÇ_MOV[CONTAS],$C555,LANÇ_MOV[PLANO DE CONTAS],REL_DRE_FINANCEIRO!$B$549,LANÇ_MOV[ANO PAGAMENTO],$B$4,LANÇ_MOV[MÊS PAGAMENTO CORRESPONDENTE],G$6,LANÇ_MOV[EMPRESA],$C$4,LANÇ_MOV[CENTRO DE CUSTOS],$D$4)</f>
        <v>0</v>
      </c>
      <c r="H555" s="206">
        <f>SUMIFS(LANÇ_MOV[VALOR LÍQUIDO],LANÇ_MOV[RECEITA OU DESPESA],"Receita",LANÇ_MOV[CONTAS],$C555,LANÇ_MOV[PLANO DE CONTAS],REL_DRE_FINANCEIRO!$B$549,LANÇ_MOV[ANO PAGAMENTO],$B$4,LANÇ_MOV[MÊS PAGAMENTO CORRESPONDENTE],H$6,LANÇ_MOV[EMPRESA],$C$4,LANÇ_MOV[CENTRO DE CUSTOS],$D$4)</f>
        <v>0</v>
      </c>
      <c r="I555" s="206">
        <f>SUMIFS(LANÇ_MOV[VALOR LÍQUIDO],LANÇ_MOV[RECEITA OU DESPESA],"Receita",LANÇ_MOV[CONTAS],$C555,LANÇ_MOV[PLANO DE CONTAS],REL_DRE_FINANCEIRO!$B$549,LANÇ_MOV[ANO PAGAMENTO],$B$4,LANÇ_MOV[MÊS PAGAMENTO CORRESPONDENTE],I$6,LANÇ_MOV[EMPRESA],$C$4,LANÇ_MOV[CENTRO DE CUSTOS],$D$4)</f>
        <v>0</v>
      </c>
      <c r="J555" s="206">
        <f>SUMIFS(LANÇ_MOV[VALOR LÍQUIDO],LANÇ_MOV[RECEITA OU DESPESA],"Receita",LANÇ_MOV[CONTAS],$C555,LANÇ_MOV[PLANO DE CONTAS],REL_DRE_FINANCEIRO!$B$549,LANÇ_MOV[ANO PAGAMENTO],$B$4,LANÇ_MOV[MÊS PAGAMENTO CORRESPONDENTE],J$6,LANÇ_MOV[EMPRESA],$C$4,LANÇ_MOV[CENTRO DE CUSTOS],$D$4)</f>
        <v>0</v>
      </c>
      <c r="K555" s="206">
        <f>SUMIFS(LANÇ_MOV[VALOR LÍQUIDO],LANÇ_MOV[RECEITA OU DESPESA],"Receita",LANÇ_MOV[CONTAS],$C555,LANÇ_MOV[PLANO DE CONTAS],REL_DRE_FINANCEIRO!$B$549,LANÇ_MOV[ANO PAGAMENTO],$B$4,LANÇ_MOV[MÊS PAGAMENTO CORRESPONDENTE],K$6,LANÇ_MOV[EMPRESA],$C$4,LANÇ_MOV[CENTRO DE CUSTOS],$D$4)</f>
        <v>0</v>
      </c>
      <c r="L555" s="206">
        <f>SUMIFS(LANÇ_MOV[VALOR LÍQUIDO],LANÇ_MOV[RECEITA OU DESPESA],"Receita",LANÇ_MOV[CONTAS],$C555,LANÇ_MOV[PLANO DE CONTAS],REL_DRE_FINANCEIRO!$B$549,LANÇ_MOV[ANO PAGAMENTO],$B$4,LANÇ_MOV[MÊS PAGAMENTO CORRESPONDENTE],L$6,LANÇ_MOV[EMPRESA],$C$4,LANÇ_MOV[CENTRO DE CUSTOS],$D$4)</f>
        <v>0</v>
      </c>
      <c r="M555" s="206">
        <f>SUMIFS(LANÇ_MOV[VALOR LÍQUIDO],LANÇ_MOV[RECEITA OU DESPESA],"Receita",LANÇ_MOV[CONTAS],$C555,LANÇ_MOV[PLANO DE CONTAS],REL_DRE_FINANCEIRO!$B$549,LANÇ_MOV[ANO PAGAMENTO],$B$4,LANÇ_MOV[MÊS PAGAMENTO CORRESPONDENTE],M$6,LANÇ_MOV[EMPRESA],$C$4,LANÇ_MOV[CENTRO DE CUSTOS],$D$4)</f>
        <v>0</v>
      </c>
      <c r="N555" s="206">
        <f>SUMIFS(LANÇ_MOV[VALOR LÍQUIDO],LANÇ_MOV[RECEITA OU DESPESA],"Receita",LANÇ_MOV[CONTAS],$C555,LANÇ_MOV[PLANO DE CONTAS],REL_DRE_FINANCEIRO!$B$549,LANÇ_MOV[ANO PAGAMENTO],$B$4,LANÇ_MOV[MÊS PAGAMENTO CORRESPONDENTE],N$6,LANÇ_MOV[EMPRESA],$C$4,LANÇ_MOV[CENTRO DE CUSTOS],$D$4)</f>
        <v>0</v>
      </c>
      <c r="O555" s="206">
        <f>SUMIFS(LANÇ_MOV[VALOR LÍQUIDO],LANÇ_MOV[RECEITA OU DESPESA],"Receita",LANÇ_MOV[CONTAS],$C555,LANÇ_MOV[PLANO DE CONTAS],REL_DRE_FINANCEIRO!$B$549,LANÇ_MOV[ANO PAGAMENTO],$B$4,LANÇ_MOV[MÊS PAGAMENTO CORRESPONDENTE],O$6,LANÇ_MOV[EMPRESA],$C$4,LANÇ_MOV[CENTRO DE CUSTOS],$D$4)</f>
        <v>0</v>
      </c>
      <c r="P555" s="207">
        <f t="shared" si="77"/>
        <v>0</v>
      </c>
      <c r="Q555" s="329">
        <v>9.5000000000000005E-6</v>
      </c>
      <c r="R555" s="346">
        <f t="shared" si="78"/>
        <v>9.5000000000000005E-6</v>
      </c>
      <c r="S555" s="347" t="str">
        <f t="shared" si="79"/>
        <v>OUTRAS RECEITAS NÃO OPERACIONAIS</v>
      </c>
      <c r="T555" s="347">
        <f t="shared" si="80"/>
        <v>0</v>
      </c>
      <c r="U555" s="347">
        <f>HLOOKUP(Apoio!$P$12,$D$548:$P$649,X555,FALSE)+Q555</f>
        <v>9.5000000000000005E-6</v>
      </c>
      <c r="V555" s="447" t="str">
        <f t="shared" si="81"/>
        <v>OUTRAS RECEITAS NÃO OPERACIONAIS</v>
      </c>
      <c r="W555" s="448">
        <f>HLOOKUP(Apoio!$P$12,$D$548:$P$649,X555,FALSE)</f>
        <v>0</v>
      </c>
      <c r="X555" s="329">
        <v>8</v>
      </c>
      <c r="Z555" s="340" t="s">
        <v>1121</v>
      </c>
      <c r="AA555" s="340" t="s">
        <v>1123</v>
      </c>
    </row>
    <row r="556" spans="2:50" ht="30.05" customHeight="1" x14ac:dyDescent="0.35">
      <c r="B556" s="204" t="str">
        <f>'CAD_PL_REC-DESP'!E11</f>
        <v>1.2.7</v>
      </c>
      <c r="C556" s="205" t="str">
        <f>IF('CAD_PL_REC-DESP'!F11="","-",'CAD_PL_REC-DESP'!F11)</f>
        <v>RECEITAS FINANCEIRAS</v>
      </c>
      <c r="D556" s="206">
        <f>SUMIFS(LANÇ_MOV[VALOR LÍQUIDO],LANÇ_MOV[RECEITA OU DESPESA],"Receita",LANÇ_MOV[CONTAS],$C556,LANÇ_MOV[PLANO DE CONTAS],REL_DRE_FINANCEIRO!$B$549,LANÇ_MOV[ANO PAGAMENTO],$B$4,LANÇ_MOV[MÊS PAGAMENTO CORRESPONDENTE],D$6,LANÇ_MOV[EMPRESA],$C$4,LANÇ_MOV[CENTRO DE CUSTOS],$D$4)</f>
        <v>0</v>
      </c>
      <c r="E556" s="206">
        <f>SUMIFS(LANÇ_MOV[VALOR LÍQUIDO],LANÇ_MOV[RECEITA OU DESPESA],"Receita",LANÇ_MOV[CONTAS],$C556,LANÇ_MOV[PLANO DE CONTAS],REL_DRE_FINANCEIRO!$B$549,LANÇ_MOV[ANO PAGAMENTO],$B$4,LANÇ_MOV[MÊS PAGAMENTO CORRESPONDENTE],E$6,LANÇ_MOV[EMPRESA],$C$4,LANÇ_MOV[CENTRO DE CUSTOS],$D$4)</f>
        <v>0</v>
      </c>
      <c r="F556" s="206">
        <f>SUMIFS(LANÇ_MOV[VALOR LÍQUIDO],LANÇ_MOV[RECEITA OU DESPESA],"Receita",LANÇ_MOV[CONTAS],$C556,LANÇ_MOV[PLANO DE CONTAS],REL_DRE_FINANCEIRO!$B$549,LANÇ_MOV[ANO PAGAMENTO],$B$4,LANÇ_MOV[MÊS PAGAMENTO CORRESPONDENTE],F$6,LANÇ_MOV[EMPRESA],$C$4,LANÇ_MOV[CENTRO DE CUSTOS],$D$4)</f>
        <v>0</v>
      </c>
      <c r="G556" s="206">
        <f>SUMIFS(LANÇ_MOV[VALOR LÍQUIDO],LANÇ_MOV[RECEITA OU DESPESA],"Receita",LANÇ_MOV[CONTAS],$C556,LANÇ_MOV[PLANO DE CONTAS],REL_DRE_FINANCEIRO!$B$549,LANÇ_MOV[ANO PAGAMENTO],$B$4,LANÇ_MOV[MÊS PAGAMENTO CORRESPONDENTE],G$6,LANÇ_MOV[EMPRESA],$C$4,LANÇ_MOV[CENTRO DE CUSTOS],$D$4)</f>
        <v>0</v>
      </c>
      <c r="H556" s="206">
        <f>SUMIFS(LANÇ_MOV[VALOR LÍQUIDO],LANÇ_MOV[RECEITA OU DESPESA],"Receita",LANÇ_MOV[CONTAS],$C556,LANÇ_MOV[PLANO DE CONTAS],REL_DRE_FINANCEIRO!$B$549,LANÇ_MOV[ANO PAGAMENTO],$B$4,LANÇ_MOV[MÊS PAGAMENTO CORRESPONDENTE],H$6,LANÇ_MOV[EMPRESA],$C$4,LANÇ_MOV[CENTRO DE CUSTOS],$D$4)</f>
        <v>0</v>
      </c>
      <c r="I556" s="206">
        <f>SUMIFS(LANÇ_MOV[VALOR LÍQUIDO],LANÇ_MOV[RECEITA OU DESPESA],"Receita",LANÇ_MOV[CONTAS],$C556,LANÇ_MOV[PLANO DE CONTAS],REL_DRE_FINANCEIRO!$B$549,LANÇ_MOV[ANO PAGAMENTO],$B$4,LANÇ_MOV[MÊS PAGAMENTO CORRESPONDENTE],I$6,LANÇ_MOV[EMPRESA],$C$4,LANÇ_MOV[CENTRO DE CUSTOS],$D$4)</f>
        <v>0</v>
      </c>
      <c r="J556" s="206">
        <f>SUMIFS(LANÇ_MOV[VALOR LÍQUIDO],LANÇ_MOV[RECEITA OU DESPESA],"Receita",LANÇ_MOV[CONTAS],$C556,LANÇ_MOV[PLANO DE CONTAS],REL_DRE_FINANCEIRO!$B$549,LANÇ_MOV[ANO PAGAMENTO],$B$4,LANÇ_MOV[MÊS PAGAMENTO CORRESPONDENTE],J$6,LANÇ_MOV[EMPRESA],$C$4,LANÇ_MOV[CENTRO DE CUSTOS],$D$4)</f>
        <v>0</v>
      </c>
      <c r="K556" s="206">
        <f>SUMIFS(LANÇ_MOV[VALOR LÍQUIDO],LANÇ_MOV[RECEITA OU DESPESA],"Receita",LANÇ_MOV[CONTAS],$C556,LANÇ_MOV[PLANO DE CONTAS],REL_DRE_FINANCEIRO!$B$549,LANÇ_MOV[ANO PAGAMENTO],$B$4,LANÇ_MOV[MÊS PAGAMENTO CORRESPONDENTE],K$6,LANÇ_MOV[EMPRESA],$C$4,LANÇ_MOV[CENTRO DE CUSTOS],$D$4)</f>
        <v>0</v>
      </c>
      <c r="L556" s="206">
        <f>SUMIFS(LANÇ_MOV[VALOR LÍQUIDO],LANÇ_MOV[RECEITA OU DESPESA],"Receita",LANÇ_MOV[CONTAS],$C556,LANÇ_MOV[PLANO DE CONTAS],REL_DRE_FINANCEIRO!$B$549,LANÇ_MOV[ANO PAGAMENTO],$B$4,LANÇ_MOV[MÊS PAGAMENTO CORRESPONDENTE],L$6,LANÇ_MOV[EMPRESA],$C$4,LANÇ_MOV[CENTRO DE CUSTOS],$D$4)</f>
        <v>0</v>
      </c>
      <c r="M556" s="206">
        <f>SUMIFS(LANÇ_MOV[VALOR LÍQUIDO],LANÇ_MOV[RECEITA OU DESPESA],"Receita",LANÇ_MOV[CONTAS],$C556,LANÇ_MOV[PLANO DE CONTAS],REL_DRE_FINANCEIRO!$B$549,LANÇ_MOV[ANO PAGAMENTO],$B$4,LANÇ_MOV[MÊS PAGAMENTO CORRESPONDENTE],M$6,LANÇ_MOV[EMPRESA],$C$4,LANÇ_MOV[CENTRO DE CUSTOS],$D$4)</f>
        <v>0</v>
      </c>
      <c r="N556" s="206">
        <f>SUMIFS(LANÇ_MOV[VALOR LÍQUIDO],LANÇ_MOV[RECEITA OU DESPESA],"Receita",LANÇ_MOV[CONTAS],$C556,LANÇ_MOV[PLANO DE CONTAS],REL_DRE_FINANCEIRO!$B$549,LANÇ_MOV[ANO PAGAMENTO],$B$4,LANÇ_MOV[MÊS PAGAMENTO CORRESPONDENTE],N$6,LANÇ_MOV[EMPRESA],$C$4,LANÇ_MOV[CENTRO DE CUSTOS],$D$4)</f>
        <v>0</v>
      </c>
      <c r="O556" s="206">
        <f>SUMIFS(LANÇ_MOV[VALOR LÍQUIDO],LANÇ_MOV[RECEITA OU DESPESA],"Receita",LANÇ_MOV[CONTAS],$C556,LANÇ_MOV[PLANO DE CONTAS],REL_DRE_FINANCEIRO!$B$549,LANÇ_MOV[ANO PAGAMENTO],$B$4,LANÇ_MOV[MÊS PAGAMENTO CORRESPONDENTE],O$6,LANÇ_MOV[EMPRESA],$C$4,LANÇ_MOV[CENTRO DE CUSTOS],$D$4)</f>
        <v>0</v>
      </c>
      <c r="P556" s="207">
        <f t="shared" si="77"/>
        <v>0</v>
      </c>
      <c r="Q556" s="329">
        <v>9.3999999999999998E-6</v>
      </c>
      <c r="R556" s="346">
        <f t="shared" si="78"/>
        <v>9.3999999999999998E-6</v>
      </c>
      <c r="S556" s="347" t="str">
        <f t="shared" si="79"/>
        <v>RECEITAS FINANCEIRAS</v>
      </c>
      <c r="T556" s="347">
        <f t="shared" si="80"/>
        <v>0</v>
      </c>
      <c r="U556" s="347">
        <f>HLOOKUP(Apoio!$P$12,$D$548:$P$649,X556,FALSE)+Q556</f>
        <v>9.3999999999999998E-6</v>
      </c>
      <c r="V556" s="447" t="str">
        <f t="shared" si="81"/>
        <v>RECEITAS FINANCEIRAS</v>
      </c>
      <c r="W556" s="448">
        <f>HLOOKUP(Apoio!$P$12,$D$548:$P$649,X556,FALSE)</f>
        <v>0</v>
      </c>
      <c r="X556" s="329">
        <v>9</v>
      </c>
      <c r="Y556" s="329">
        <v>1</v>
      </c>
      <c r="Z556" s="340" t="str">
        <f>VLOOKUP(LARGE($U$550:$U$649,Y556),$U$550:$V$649,2,FALSE)</f>
        <v>APORTE SOCIO</v>
      </c>
      <c r="AA556" s="340">
        <f>VLOOKUP(Z556,$V$550:$W$649,2,FALSE)</f>
        <v>0</v>
      </c>
    </row>
    <row r="557" spans="2:50" ht="30.05" customHeight="1" x14ac:dyDescent="0.35">
      <c r="B557" s="204" t="str">
        <f>'CAD_PL_REC-DESP'!E12</f>
        <v>1.2.8</v>
      </c>
      <c r="C557" s="205" t="str">
        <f>IF('CAD_PL_REC-DESP'!F12="","-",'CAD_PL_REC-DESP'!F12)</f>
        <v>RENDIMENTO DE APLICAÇÃO</v>
      </c>
      <c r="D557" s="206">
        <f>SUMIFS(LANÇ_MOV[VALOR LÍQUIDO],LANÇ_MOV[RECEITA OU DESPESA],"Receita",LANÇ_MOV[CONTAS],$C557,LANÇ_MOV[PLANO DE CONTAS],REL_DRE_FINANCEIRO!$B$549,LANÇ_MOV[ANO PAGAMENTO],$B$4,LANÇ_MOV[MÊS PAGAMENTO CORRESPONDENTE],D$6,LANÇ_MOV[EMPRESA],$C$4,LANÇ_MOV[CENTRO DE CUSTOS],$D$4)</f>
        <v>0</v>
      </c>
      <c r="E557" s="206">
        <f>SUMIFS(LANÇ_MOV[VALOR LÍQUIDO],LANÇ_MOV[RECEITA OU DESPESA],"Receita",LANÇ_MOV[CONTAS],$C557,LANÇ_MOV[PLANO DE CONTAS],REL_DRE_FINANCEIRO!$B$549,LANÇ_MOV[ANO PAGAMENTO],$B$4,LANÇ_MOV[MÊS PAGAMENTO CORRESPONDENTE],E$6,LANÇ_MOV[EMPRESA],$C$4,LANÇ_MOV[CENTRO DE CUSTOS],$D$4)</f>
        <v>0</v>
      </c>
      <c r="F557" s="206">
        <f>SUMIFS(LANÇ_MOV[VALOR LÍQUIDO],LANÇ_MOV[RECEITA OU DESPESA],"Receita",LANÇ_MOV[CONTAS],$C557,LANÇ_MOV[PLANO DE CONTAS],REL_DRE_FINANCEIRO!$B$549,LANÇ_MOV[ANO PAGAMENTO],$B$4,LANÇ_MOV[MÊS PAGAMENTO CORRESPONDENTE],F$6,LANÇ_MOV[EMPRESA],$C$4,LANÇ_MOV[CENTRO DE CUSTOS],$D$4)</f>
        <v>0</v>
      </c>
      <c r="G557" s="206">
        <f>SUMIFS(LANÇ_MOV[VALOR LÍQUIDO],LANÇ_MOV[RECEITA OU DESPESA],"Receita",LANÇ_MOV[CONTAS],$C557,LANÇ_MOV[PLANO DE CONTAS],REL_DRE_FINANCEIRO!$B$549,LANÇ_MOV[ANO PAGAMENTO],$B$4,LANÇ_MOV[MÊS PAGAMENTO CORRESPONDENTE],G$6,LANÇ_MOV[EMPRESA],$C$4,LANÇ_MOV[CENTRO DE CUSTOS],$D$4)</f>
        <v>0</v>
      </c>
      <c r="H557" s="206">
        <f>SUMIFS(LANÇ_MOV[VALOR LÍQUIDO],LANÇ_MOV[RECEITA OU DESPESA],"Receita",LANÇ_MOV[CONTAS],$C557,LANÇ_MOV[PLANO DE CONTAS],REL_DRE_FINANCEIRO!$B$549,LANÇ_MOV[ANO PAGAMENTO],$B$4,LANÇ_MOV[MÊS PAGAMENTO CORRESPONDENTE],H$6,LANÇ_MOV[EMPRESA],$C$4,LANÇ_MOV[CENTRO DE CUSTOS],$D$4)</f>
        <v>0</v>
      </c>
      <c r="I557" s="206">
        <f>SUMIFS(LANÇ_MOV[VALOR LÍQUIDO],LANÇ_MOV[RECEITA OU DESPESA],"Receita",LANÇ_MOV[CONTAS],$C557,LANÇ_MOV[PLANO DE CONTAS],REL_DRE_FINANCEIRO!$B$549,LANÇ_MOV[ANO PAGAMENTO],$B$4,LANÇ_MOV[MÊS PAGAMENTO CORRESPONDENTE],I$6,LANÇ_MOV[EMPRESA],$C$4,LANÇ_MOV[CENTRO DE CUSTOS],$D$4)</f>
        <v>0</v>
      </c>
      <c r="J557" s="206">
        <f>SUMIFS(LANÇ_MOV[VALOR LÍQUIDO],LANÇ_MOV[RECEITA OU DESPESA],"Receita",LANÇ_MOV[CONTAS],$C557,LANÇ_MOV[PLANO DE CONTAS],REL_DRE_FINANCEIRO!$B$549,LANÇ_MOV[ANO PAGAMENTO],$B$4,LANÇ_MOV[MÊS PAGAMENTO CORRESPONDENTE],J$6,LANÇ_MOV[EMPRESA],$C$4,LANÇ_MOV[CENTRO DE CUSTOS],$D$4)</f>
        <v>0</v>
      </c>
      <c r="K557" s="206">
        <f>SUMIFS(LANÇ_MOV[VALOR LÍQUIDO],LANÇ_MOV[RECEITA OU DESPESA],"Receita",LANÇ_MOV[CONTAS],$C557,LANÇ_MOV[PLANO DE CONTAS],REL_DRE_FINANCEIRO!$B$549,LANÇ_MOV[ANO PAGAMENTO],$B$4,LANÇ_MOV[MÊS PAGAMENTO CORRESPONDENTE],K$6,LANÇ_MOV[EMPRESA],$C$4,LANÇ_MOV[CENTRO DE CUSTOS],$D$4)</f>
        <v>0</v>
      </c>
      <c r="L557" s="206">
        <f>SUMIFS(LANÇ_MOV[VALOR LÍQUIDO],LANÇ_MOV[RECEITA OU DESPESA],"Receita",LANÇ_MOV[CONTAS],$C557,LANÇ_MOV[PLANO DE CONTAS],REL_DRE_FINANCEIRO!$B$549,LANÇ_MOV[ANO PAGAMENTO],$B$4,LANÇ_MOV[MÊS PAGAMENTO CORRESPONDENTE],L$6,LANÇ_MOV[EMPRESA],$C$4,LANÇ_MOV[CENTRO DE CUSTOS],$D$4)</f>
        <v>0</v>
      </c>
      <c r="M557" s="206">
        <f>SUMIFS(LANÇ_MOV[VALOR LÍQUIDO],LANÇ_MOV[RECEITA OU DESPESA],"Receita",LANÇ_MOV[CONTAS],$C557,LANÇ_MOV[PLANO DE CONTAS],REL_DRE_FINANCEIRO!$B$549,LANÇ_MOV[ANO PAGAMENTO],$B$4,LANÇ_MOV[MÊS PAGAMENTO CORRESPONDENTE],M$6,LANÇ_MOV[EMPRESA],$C$4,LANÇ_MOV[CENTRO DE CUSTOS],$D$4)</f>
        <v>0</v>
      </c>
      <c r="N557" s="206">
        <f>SUMIFS(LANÇ_MOV[VALOR LÍQUIDO],LANÇ_MOV[RECEITA OU DESPESA],"Receita",LANÇ_MOV[CONTAS],$C557,LANÇ_MOV[PLANO DE CONTAS],REL_DRE_FINANCEIRO!$B$549,LANÇ_MOV[ANO PAGAMENTO],$B$4,LANÇ_MOV[MÊS PAGAMENTO CORRESPONDENTE],N$6,LANÇ_MOV[EMPRESA],$C$4,LANÇ_MOV[CENTRO DE CUSTOS],$D$4)</f>
        <v>0</v>
      </c>
      <c r="O557" s="206">
        <f>SUMIFS(LANÇ_MOV[VALOR LÍQUIDO],LANÇ_MOV[RECEITA OU DESPESA],"Receita",LANÇ_MOV[CONTAS],$C557,LANÇ_MOV[PLANO DE CONTAS],REL_DRE_FINANCEIRO!$B$549,LANÇ_MOV[ANO PAGAMENTO],$B$4,LANÇ_MOV[MÊS PAGAMENTO CORRESPONDENTE],O$6,LANÇ_MOV[EMPRESA],$C$4,LANÇ_MOV[CENTRO DE CUSTOS],$D$4)</f>
        <v>0</v>
      </c>
      <c r="P557" s="207">
        <f t="shared" si="77"/>
        <v>0</v>
      </c>
      <c r="Q557" s="329">
        <v>9.3000000000000007E-6</v>
      </c>
      <c r="R557" s="346">
        <f t="shared" si="78"/>
        <v>9.3000000000000007E-6</v>
      </c>
      <c r="S557" s="347" t="str">
        <f t="shared" si="79"/>
        <v>RENDIMENTO DE APLICAÇÃO</v>
      </c>
      <c r="T557" s="347">
        <f t="shared" si="80"/>
        <v>0</v>
      </c>
      <c r="U557" s="347">
        <f>HLOOKUP(Apoio!$P$12,$D$548:$P$649,X557,FALSE)+Q557</f>
        <v>9.3000000000000007E-6</v>
      </c>
      <c r="V557" s="447" t="str">
        <f t="shared" si="81"/>
        <v>RENDIMENTO DE APLICAÇÃO</v>
      </c>
      <c r="W557" s="448">
        <f>HLOOKUP(Apoio!$P$12,$D$548:$P$649,X557,FALSE)</f>
        <v>0</v>
      </c>
      <c r="X557" s="329">
        <v>10</v>
      </c>
      <c r="Y557" s="329">
        <v>2</v>
      </c>
      <c r="Z557" s="340" t="str">
        <f>VLOOKUP(LARGE($U$550:$U$649,Y557),$U$550:$V$649,2,FALSE)</f>
        <v>DINHEIRO SAQUE</v>
      </c>
      <c r="AA557" s="340">
        <f>VLOOKUP(Z557,$V$550:$W$649,2,FALSE)</f>
        <v>0</v>
      </c>
    </row>
    <row r="558" spans="2:50" ht="30.05" customHeight="1" x14ac:dyDescent="0.35">
      <c r="B558" s="204" t="str">
        <f>'CAD_PL_REC-DESP'!E13</f>
        <v>1.2.9</v>
      </c>
      <c r="C558" s="205" t="str">
        <f>IF('CAD_PL_REC-DESP'!F13="","-",'CAD_PL_REC-DESP'!F13)</f>
        <v>RESGATE DE APLICAÇÃO</v>
      </c>
      <c r="D558" s="206">
        <f>SUMIFS(LANÇ_MOV[VALOR LÍQUIDO],LANÇ_MOV[RECEITA OU DESPESA],"Receita",LANÇ_MOV[CONTAS],$C558,LANÇ_MOV[PLANO DE CONTAS],REL_DRE_FINANCEIRO!$B$549,LANÇ_MOV[ANO PAGAMENTO],$B$4,LANÇ_MOV[MÊS PAGAMENTO CORRESPONDENTE],D$6,LANÇ_MOV[EMPRESA],$C$4,LANÇ_MOV[CENTRO DE CUSTOS],$D$4)</f>
        <v>0</v>
      </c>
      <c r="E558" s="206">
        <f>SUMIFS(LANÇ_MOV[VALOR LÍQUIDO],LANÇ_MOV[RECEITA OU DESPESA],"Receita",LANÇ_MOV[CONTAS],$C558,LANÇ_MOV[PLANO DE CONTAS],REL_DRE_FINANCEIRO!$B$549,LANÇ_MOV[ANO PAGAMENTO],$B$4,LANÇ_MOV[MÊS PAGAMENTO CORRESPONDENTE],E$6,LANÇ_MOV[EMPRESA],$C$4,LANÇ_MOV[CENTRO DE CUSTOS],$D$4)</f>
        <v>0</v>
      </c>
      <c r="F558" s="206">
        <f>SUMIFS(LANÇ_MOV[VALOR LÍQUIDO],LANÇ_MOV[RECEITA OU DESPESA],"Receita",LANÇ_MOV[CONTAS],$C558,LANÇ_MOV[PLANO DE CONTAS],REL_DRE_FINANCEIRO!$B$549,LANÇ_MOV[ANO PAGAMENTO],$B$4,LANÇ_MOV[MÊS PAGAMENTO CORRESPONDENTE],F$6,LANÇ_MOV[EMPRESA],$C$4,LANÇ_MOV[CENTRO DE CUSTOS],$D$4)</f>
        <v>0</v>
      </c>
      <c r="G558" s="206">
        <f>SUMIFS(LANÇ_MOV[VALOR LÍQUIDO],LANÇ_MOV[RECEITA OU DESPESA],"Receita",LANÇ_MOV[CONTAS],$C558,LANÇ_MOV[PLANO DE CONTAS],REL_DRE_FINANCEIRO!$B$549,LANÇ_MOV[ANO PAGAMENTO],$B$4,LANÇ_MOV[MÊS PAGAMENTO CORRESPONDENTE],G$6,LANÇ_MOV[EMPRESA],$C$4,LANÇ_MOV[CENTRO DE CUSTOS],$D$4)</f>
        <v>0</v>
      </c>
      <c r="H558" s="206">
        <f>SUMIFS(LANÇ_MOV[VALOR LÍQUIDO],LANÇ_MOV[RECEITA OU DESPESA],"Receita",LANÇ_MOV[CONTAS],$C558,LANÇ_MOV[PLANO DE CONTAS],REL_DRE_FINANCEIRO!$B$549,LANÇ_MOV[ANO PAGAMENTO],$B$4,LANÇ_MOV[MÊS PAGAMENTO CORRESPONDENTE],H$6,LANÇ_MOV[EMPRESA],$C$4,LANÇ_MOV[CENTRO DE CUSTOS],$D$4)</f>
        <v>0</v>
      </c>
      <c r="I558" s="206">
        <f>SUMIFS(LANÇ_MOV[VALOR LÍQUIDO],LANÇ_MOV[RECEITA OU DESPESA],"Receita",LANÇ_MOV[CONTAS],$C558,LANÇ_MOV[PLANO DE CONTAS],REL_DRE_FINANCEIRO!$B$549,LANÇ_MOV[ANO PAGAMENTO],$B$4,LANÇ_MOV[MÊS PAGAMENTO CORRESPONDENTE],I$6,LANÇ_MOV[EMPRESA],$C$4,LANÇ_MOV[CENTRO DE CUSTOS],$D$4)</f>
        <v>0</v>
      </c>
      <c r="J558" s="206">
        <f>SUMIFS(LANÇ_MOV[VALOR LÍQUIDO],LANÇ_MOV[RECEITA OU DESPESA],"Receita",LANÇ_MOV[CONTAS],$C558,LANÇ_MOV[PLANO DE CONTAS],REL_DRE_FINANCEIRO!$B$549,LANÇ_MOV[ANO PAGAMENTO],$B$4,LANÇ_MOV[MÊS PAGAMENTO CORRESPONDENTE],J$6,LANÇ_MOV[EMPRESA],$C$4,LANÇ_MOV[CENTRO DE CUSTOS],$D$4)</f>
        <v>0</v>
      </c>
      <c r="K558" s="206">
        <f>SUMIFS(LANÇ_MOV[VALOR LÍQUIDO],LANÇ_MOV[RECEITA OU DESPESA],"Receita",LANÇ_MOV[CONTAS],$C558,LANÇ_MOV[PLANO DE CONTAS],REL_DRE_FINANCEIRO!$B$549,LANÇ_MOV[ANO PAGAMENTO],$B$4,LANÇ_MOV[MÊS PAGAMENTO CORRESPONDENTE],K$6,LANÇ_MOV[EMPRESA],$C$4,LANÇ_MOV[CENTRO DE CUSTOS],$D$4)</f>
        <v>0</v>
      </c>
      <c r="L558" s="206">
        <f>SUMIFS(LANÇ_MOV[VALOR LÍQUIDO],LANÇ_MOV[RECEITA OU DESPESA],"Receita",LANÇ_MOV[CONTAS],$C558,LANÇ_MOV[PLANO DE CONTAS],REL_DRE_FINANCEIRO!$B$549,LANÇ_MOV[ANO PAGAMENTO],$B$4,LANÇ_MOV[MÊS PAGAMENTO CORRESPONDENTE],L$6,LANÇ_MOV[EMPRESA],$C$4,LANÇ_MOV[CENTRO DE CUSTOS],$D$4)</f>
        <v>0</v>
      </c>
      <c r="M558" s="206">
        <f>SUMIFS(LANÇ_MOV[VALOR LÍQUIDO],LANÇ_MOV[RECEITA OU DESPESA],"Receita",LANÇ_MOV[CONTAS],$C558,LANÇ_MOV[PLANO DE CONTAS],REL_DRE_FINANCEIRO!$B$549,LANÇ_MOV[ANO PAGAMENTO],$B$4,LANÇ_MOV[MÊS PAGAMENTO CORRESPONDENTE],M$6,LANÇ_MOV[EMPRESA],$C$4,LANÇ_MOV[CENTRO DE CUSTOS],$D$4)</f>
        <v>0</v>
      </c>
      <c r="N558" s="206">
        <f>SUMIFS(LANÇ_MOV[VALOR LÍQUIDO],LANÇ_MOV[RECEITA OU DESPESA],"Receita",LANÇ_MOV[CONTAS],$C558,LANÇ_MOV[PLANO DE CONTAS],REL_DRE_FINANCEIRO!$B$549,LANÇ_MOV[ANO PAGAMENTO],$B$4,LANÇ_MOV[MÊS PAGAMENTO CORRESPONDENTE],N$6,LANÇ_MOV[EMPRESA],$C$4,LANÇ_MOV[CENTRO DE CUSTOS],$D$4)</f>
        <v>0</v>
      </c>
      <c r="O558" s="206">
        <f>SUMIFS(LANÇ_MOV[VALOR LÍQUIDO],LANÇ_MOV[RECEITA OU DESPESA],"Receita",LANÇ_MOV[CONTAS],$C558,LANÇ_MOV[PLANO DE CONTAS],REL_DRE_FINANCEIRO!$B$549,LANÇ_MOV[ANO PAGAMENTO],$B$4,LANÇ_MOV[MÊS PAGAMENTO CORRESPONDENTE],O$6,LANÇ_MOV[EMPRESA],$C$4,LANÇ_MOV[CENTRO DE CUSTOS],$D$4)</f>
        <v>0</v>
      </c>
      <c r="P558" s="207">
        <f t="shared" si="77"/>
        <v>0</v>
      </c>
      <c r="Q558" s="329">
        <v>9.2E-6</v>
      </c>
      <c r="R558" s="346">
        <f t="shared" si="78"/>
        <v>9.2E-6</v>
      </c>
      <c r="S558" s="347" t="str">
        <f t="shared" si="79"/>
        <v>RESGATE DE APLICAÇÃO</v>
      </c>
      <c r="T558" s="347">
        <f t="shared" si="80"/>
        <v>0</v>
      </c>
      <c r="U558" s="347">
        <f>HLOOKUP(Apoio!$P$12,$D$548:$P$649,X558,FALSE)+Q558</f>
        <v>9.2E-6</v>
      </c>
      <c r="V558" s="447" t="str">
        <f t="shared" si="81"/>
        <v>RESGATE DE APLICAÇÃO</v>
      </c>
      <c r="W558" s="448">
        <f>HLOOKUP(Apoio!$P$12,$D$548:$P$649,X558,FALSE)</f>
        <v>0</v>
      </c>
      <c r="X558" s="329">
        <v>11</v>
      </c>
      <c r="Y558" s="329">
        <v>3</v>
      </c>
      <c r="Z558" s="340" t="str">
        <f>VLOOKUP(LARGE($U$550:$U$649,Y558),$U$550:$V$649,2,FALSE)</f>
        <v>EMPRÉSTIMOS</v>
      </c>
      <c r="AA558" s="340">
        <f>VLOOKUP(Z558,$V$550:$W$649,2,FALSE)</f>
        <v>0</v>
      </c>
    </row>
    <row r="559" spans="2:50" ht="30.05" customHeight="1" x14ac:dyDescent="0.35">
      <c r="B559" s="204" t="str">
        <f>'CAD_PL_REC-DESP'!E14</f>
        <v>1.2.10</v>
      </c>
      <c r="C559" s="205" t="str">
        <f>IF('CAD_PL_REC-DESP'!F14="","-",'CAD_PL_REC-DESP'!F14)</f>
        <v>-</v>
      </c>
      <c r="D559" s="206">
        <f>SUMIFS(LANÇ_MOV[VALOR LÍQUIDO],LANÇ_MOV[RECEITA OU DESPESA],"Receita",LANÇ_MOV[CONTAS],$C559,LANÇ_MOV[PLANO DE CONTAS],REL_DRE_FINANCEIRO!$B$549,LANÇ_MOV[ANO PAGAMENTO],$B$4,LANÇ_MOV[MÊS PAGAMENTO CORRESPONDENTE],D$6,LANÇ_MOV[EMPRESA],$C$4,LANÇ_MOV[CENTRO DE CUSTOS],$D$4)</f>
        <v>0</v>
      </c>
      <c r="E559" s="206">
        <f>SUMIFS(LANÇ_MOV[VALOR LÍQUIDO],LANÇ_MOV[RECEITA OU DESPESA],"Receita",LANÇ_MOV[CONTAS],$C559,LANÇ_MOV[PLANO DE CONTAS],REL_DRE_FINANCEIRO!$B$549,LANÇ_MOV[ANO PAGAMENTO],$B$4,LANÇ_MOV[MÊS PAGAMENTO CORRESPONDENTE],E$6,LANÇ_MOV[EMPRESA],$C$4,LANÇ_MOV[CENTRO DE CUSTOS],$D$4)</f>
        <v>0</v>
      </c>
      <c r="F559" s="206">
        <f>SUMIFS(LANÇ_MOV[VALOR LÍQUIDO],LANÇ_MOV[RECEITA OU DESPESA],"Receita",LANÇ_MOV[CONTAS],$C559,LANÇ_MOV[PLANO DE CONTAS],REL_DRE_FINANCEIRO!$B$549,LANÇ_MOV[ANO PAGAMENTO],$B$4,LANÇ_MOV[MÊS PAGAMENTO CORRESPONDENTE],F$6,LANÇ_MOV[EMPRESA],$C$4,LANÇ_MOV[CENTRO DE CUSTOS],$D$4)</f>
        <v>0</v>
      </c>
      <c r="G559" s="206">
        <f>SUMIFS(LANÇ_MOV[VALOR LÍQUIDO],LANÇ_MOV[RECEITA OU DESPESA],"Receita",LANÇ_MOV[CONTAS],$C559,LANÇ_MOV[PLANO DE CONTAS],REL_DRE_FINANCEIRO!$B$549,LANÇ_MOV[ANO PAGAMENTO],$B$4,LANÇ_MOV[MÊS PAGAMENTO CORRESPONDENTE],G$6,LANÇ_MOV[EMPRESA],$C$4,LANÇ_MOV[CENTRO DE CUSTOS],$D$4)</f>
        <v>0</v>
      </c>
      <c r="H559" s="206">
        <f>SUMIFS(LANÇ_MOV[VALOR LÍQUIDO],LANÇ_MOV[RECEITA OU DESPESA],"Receita",LANÇ_MOV[CONTAS],$C559,LANÇ_MOV[PLANO DE CONTAS],REL_DRE_FINANCEIRO!$B$549,LANÇ_MOV[ANO PAGAMENTO],$B$4,LANÇ_MOV[MÊS PAGAMENTO CORRESPONDENTE],H$6,LANÇ_MOV[EMPRESA],$C$4,LANÇ_MOV[CENTRO DE CUSTOS],$D$4)</f>
        <v>0</v>
      </c>
      <c r="I559" s="206">
        <f>SUMIFS(LANÇ_MOV[VALOR LÍQUIDO],LANÇ_MOV[RECEITA OU DESPESA],"Receita",LANÇ_MOV[CONTAS],$C559,LANÇ_MOV[PLANO DE CONTAS],REL_DRE_FINANCEIRO!$B$549,LANÇ_MOV[ANO PAGAMENTO],$B$4,LANÇ_MOV[MÊS PAGAMENTO CORRESPONDENTE],I$6,LANÇ_MOV[EMPRESA],$C$4,LANÇ_MOV[CENTRO DE CUSTOS],$D$4)</f>
        <v>0</v>
      </c>
      <c r="J559" s="206">
        <f>SUMIFS(LANÇ_MOV[VALOR LÍQUIDO],LANÇ_MOV[RECEITA OU DESPESA],"Receita",LANÇ_MOV[CONTAS],$C559,LANÇ_MOV[PLANO DE CONTAS],REL_DRE_FINANCEIRO!$B$549,LANÇ_MOV[ANO PAGAMENTO],$B$4,LANÇ_MOV[MÊS PAGAMENTO CORRESPONDENTE],J$6,LANÇ_MOV[EMPRESA],$C$4,LANÇ_MOV[CENTRO DE CUSTOS],$D$4)</f>
        <v>0</v>
      </c>
      <c r="K559" s="206">
        <f>SUMIFS(LANÇ_MOV[VALOR LÍQUIDO],LANÇ_MOV[RECEITA OU DESPESA],"Receita",LANÇ_MOV[CONTAS],$C559,LANÇ_MOV[PLANO DE CONTAS],REL_DRE_FINANCEIRO!$B$549,LANÇ_MOV[ANO PAGAMENTO],$B$4,LANÇ_MOV[MÊS PAGAMENTO CORRESPONDENTE],K$6,LANÇ_MOV[EMPRESA],$C$4,LANÇ_MOV[CENTRO DE CUSTOS],$D$4)</f>
        <v>0</v>
      </c>
      <c r="L559" s="206">
        <f>SUMIFS(LANÇ_MOV[VALOR LÍQUIDO],LANÇ_MOV[RECEITA OU DESPESA],"Receita",LANÇ_MOV[CONTAS],$C559,LANÇ_MOV[PLANO DE CONTAS],REL_DRE_FINANCEIRO!$B$549,LANÇ_MOV[ANO PAGAMENTO],$B$4,LANÇ_MOV[MÊS PAGAMENTO CORRESPONDENTE],L$6,LANÇ_MOV[EMPRESA],$C$4,LANÇ_MOV[CENTRO DE CUSTOS],$D$4)</f>
        <v>0</v>
      </c>
      <c r="M559" s="206">
        <f>SUMIFS(LANÇ_MOV[VALOR LÍQUIDO],LANÇ_MOV[RECEITA OU DESPESA],"Receita",LANÇ_MOV[CONTAS],$C559,LANÇ_MOV[PLANO DE CONTAS],REL_DRE_FINANCEIRO!$B$549,LANÇ_MOV[ANO PAGAMENTO],$B$4,LANÇ_MOV[MÊS PAGAMENTO CORRESPONDENTE],M$6,LANÇ_MOV[EMPRESA],$C$4,LANÇ_MOV[CENTRO DE CUSTOS],$D$4)</f>
        <v>0</v>
      </c>
      <c r="N559" s="206">
        <f>SUMIFS(LANÇ_MOV[VALOR LÍQUIDO],LANÇ_MOV[RECEITA OU DESPESA],"Receita",LANÇ_MOV[CONTAS],$C559,LANÇ_MOV[PLANO DE CONTAS],REL_DRE_FINANCEIRO!$B$549,LANÇ_MOV[ANO PAGAMENTO],$B$4,LANÇ_MOV[MÊS PAGAMENTO CORRESPONDENTE],N$6,LANÇ_MOV[EMPRESA],$C$4,LANÇ_MOV[CENTRO DE CUSTOS],$D$4)</f>
        <v>0</v>
      </c>
      <c r="O559" s="206">
        <f>SUMIFS(LANÇ_MOV[VALOR LÍQUIDO],LANÇ_MOV[RECEITA OU DESPESA],"Receita",LANÇ_MOV[CONTAS],$C559,LANÇ_MOV[PLANO DE CONTAS],REL_DRE_FINANCEIRO!$B$549,LANÇ_MOV[ANO PAGAMENTO],$B$4,LANÇ_MOV[MÊS PAGAMENTO CORRESPONDENTE],O$6,LANÇ_MOV[EMPRESA],$C$4,LANÇ_MOV[CENTRO DE CUSTOS],$D$4)</f>
        <v>0</v>
      </c>
      <c r="P559" s="207">
        <f t="shared" si="77"/>
        <v>0</v>
      </c>
      <c r="Q559" s="329">
        <v>9.0999999999999993E-6</v>
      </c>
      <c r="R559" s="346">
        <f t="shared" si="78"/>
        <v>9.0999999999999993E-6</v>
      </c>
      <c r="S559" s="347" t="str">
        <f t="shared" si="79"/>
        <v>-</v>
      </c>
      <c r="T559" s="347">
        <f t="shared" si="80"/>
        <v>0</v>
      </c>
      <c r="U559" s="347">
        <f>HLOOKUP(Apoio!$P$12,$D$548:$P$649,X559,FALSE)+Q559</f>
        <v>9.0999999999999993E-6</v>
      </c>
      <c r="V559" s="447" t="str">
        <f t="shared" si="81"/>
        <v>-</v>
      </c>
      <c r="W559" s="448">
        <f>HLOOKUP(Apoio!$P$12,$D$548:$P$649,X559,FALSE)</f>
        <v>0</v>
      </c>
      <c r="X559" s="329">
        <v>12</v>
      </c>
      <c r="Y559" s="329">
        <v>4</v>
      </c>
      <c r="Z559" s="340" t="str">
        <f>VLOOKUP(LARGE($U$550:$U$649,Y559),$U$550:$V$649,2,FALSE)</f>
        <v>EMPRÉSTIMOS A CLIENTES</v>
      </c>
      <c r="AA559" s="340">
        <f>VLOOKUP(Z559,$V$550:$W$649,2,FALSE)</f>
        <v>0</v>
      </c>
    </row>
    <row r="560" spans="2:50" ht="30.05" customHeight="1" x14ac:dyDescent="0.35">
      <c r="B560" s="204" t="str">
        <f>'CAD_PL_REC-DESP'!E15</f>
        <v>1.2.11</v>
      </c>
      <c r="C560" s="205" t="str">
        <f>IF('CAD_PL_REC-DESP'!F15="","-",'CAD_PL_REC-DESP'!F15)</f>
        <v>-</v>
      </c>
      <c r="D560" s="206">
        <f>SUMIFS(LANÇ_MOV[VALOR LÍQUIDO],LANÇ_MOV[RECEITA OU DESPESA],"Receita",LANÇ_MOV[CONTAS],$C560,LANÇ_MOV[PLANO DE CONTAS],REL_DRE_FINANCEIRO!$B$549,LANÇ_MOV[ANO PAGAMENTO],$B$4,LANÇ_MOV[MÊS PAGAMENTO CORRESPONDENTE],D$6,LANÇ_MOV[EMPRESA],$C$4,LANÇ_MOV[CENTRO DE CUSTOS],$D$4)</f>
        <v>0</v>
      </c>
      <c r="E560" s="206">
        <f>SUMIFS(LANÇ_MOV[VALOR LÍQUIDO],LANÇ_MOV[RECEITA OU DESPESA],"Receita",LANÇ_MOV[CONTAS],$C560,LANÇ_MOV[PLANO DE CONTAS],REL_DRE_FINANCEIRO!$B$549,LANÇ_MOV[ANO PAGAMENTO],$B$4,LANÇ_MOV[MÊS PAGAMENTO CORRESPONDENTE],E$6,LANÇ_MOV[EMPRESA],$C$4,LANÇ_MOV[CENTRO DE CUSTOS],$D$4)</f>
        <v>0</v>
      </c>
      <c r="F560" s="206">
        <f>SUMIFS(LANÇ_MOV[VALOR LÍQUIDO],LANÇ_MOV[RECEITA OU DESPESA],"Receita",LANÇ_MOV[CONTAS],$C560,LANÇ_MOV[PLANO DE CONTAS],REL_DRE_FINANCEIRO!$B$549,LANÇ_MOV[ANO PAGAMENTO],$B$4,LANÇ_MOV[MÊS PAGAMENTO CORRESPONDENTE],F$6,LANÇ_MOV[EMPRESA],$C$4,LANÇ_MOV[CENTRO DE CUSTOS],$D$4)</f>
        <v>0</v>
      </c>
      <c r="G560" s="206">
        <f>SUMIFS(LANÇ_MOV[VALOR LÍQUIDO],LANÇ_MOV[RECEITA OU DESPESA],"Receita",LANÇ_MOV[CONTAS],$C560,LANÇ_MOV[PLANO DE CONTAS],REL_DRE_FINANCEIRO!$B$549,LANÇ_MOV[ANO PAGAMENTO],$B$4,LANÇ_MOV[MÊS PAGAMENTO CORRESPONDENTE],G$6,LANÇ_MOV[EMPRESA],$C$4,LANÇ_MOV[CENTRO DE CUSTOS],$D$4)</f>
        <v>0</v>
      </c>
      <c r="H560" s="206">
        <f>SUMIFS(LANÇ_MOV[VALOR LÍQUIDO],LANÇ_MOV[RECEITA OU DESPESA],"Receita",LANÇ_MOV[CONTAS],$C560,LANÇ_MOV[PLANO DE CONTAS],REL_DRE_FINANCEIRO!$B$549,LANÇ_MOV[ANO PAGAMENTO],$B$4,LANÇ_MOV[MÊS PAGAMENTO CORRESPONDENTE],H$6,LANÇ_MOV[EMPRESA],$C$4,LANÇ_MOV[CENTRO DE CUSTOS],$D$4)</f>
        <v>0</v>
      </c>
      <c r="I560" s="206">
        <f>SUMIFS(LANÇ_MOV[VALOR LÍQUIDO],LANÇ_MOV[RECEITA OU DESPESA],"Receita",LANÇ_MOV[CONTAS],$C560,LANÇ_MOV[PLANO DE CONTAS],REL_DRE_FINANCEIRO!$B$549,LANÇ_MOV[ANO PAGAMENTO],$B$4,LANÇ_MOV[MÊS PAGAMENTO CORRESPONDENTE],I$6,LANÇ_MOV[EMPRESA],$C$4,LANÇ_MOV[CENTRO DE CUSTOS],$D$4)</f>
        <v>0</v>
      </c>
      <c r="J560" s="206">
        <f>SUMIFS(LANÇ_MOV[VALOR LÍQUIDO],LANÇ_MOV[RECEITA OU DESPESA],"Receita",LANÇ_MOV[CONTAS],$C560,LANÇ_MOV[PLANO DE CONTAS],REL_DRE_FINANCEIRO!$B$549,LANÇ_MOV[ANO PAGAMENTO],$B$4,LANÇ_MOV[MÊS PAGAMENTO CORRESPONDENTE],J$6,LANÇ_MOV[EMPRESA],$C$4,LANÇ_MOV[CENTRO DE CUSTOS],$D$4)</f>
        <v>0</v>
      </c>
      <c r="K560" s="206">
        <f>SUMIFS(LANÇ_MOV[VALOR LÍQUIDO],LANÇ_MOV[RECEITA OU DESPESA],"Receita",LANÇ_MOV[CONTAS],$C560,LANÇ_MOV[PLANO DE CONTAS],REL_DRE_FINANCEIRO!$B$549,LANÇ_MOV[ANO PAGAMENTO],$B$4,LANÇ_MOV[MÊS PAGAMENTO CORRESPONDENTE],K$6,LANÇ_MOV[EMPRESA],$C$4,LANÇ_MOV[CENTRO DE CUSTOS],$D$4)</f>
        <v>0</v>
      </c>
      <c r="L560" s="206">
        <f>SUMIFS(LANÇ_MOV[VALOR LÍQUIDO],LANÇ_MOV[RECEITA OU DESPESA],"Receita",LANÇ_MOV[CONTAS],$C560,LANÇ_MOV[PLANO DE CONTAS],REL_DRE_FINANCEIRO!$B$549,LANÇ_MOV[ANO PAGAMENTO],$B$4,LANÇ_MOV[MÊS PAGAMENTO CORRESPONDENTE],L$6,LANÇ_MOV[EMPRESA],$C$4,LANÇ_MOV[CENTRO DE CUSTOS],$D$4)</f>
        <v>0</v>
      </c>
      <c r="M560" s="206">
        <f>SUMIFS(LANÇ_MOV[VALOR LÍQUIDO],LANÇ_MOV[RECEITA OU DESPESA],"Receita",LANÇ_MOV[CONTAS],$C560,LANÇ_MOV[PLANO DE CONTAS],REL_DRE_FINANCEIRO!$B$549,LANÇ_MOV[ANO PAGAMENTO],$B$4,LANÇ_MOV[MÊS PAGAMENTO CORRESPONDENTE],M$6,LANÇ_MOV[EMPRESA],$C$4,LANÇ_MOV[CENTRO DE CUSTOS],$D$4)</f>
        <v>0</v>
      </c>
      <c r="N560" s="206">
        <f>SUMIFS(LANÇ_MOV[VALOR LÍQUIDO],LANÇ_MOV[RECEITA OU DESPESA],"Receita",LANÇ_MOV[CONTAS],$C560,LANÇ_MOV[PLANO DE CONTAS],REL_DRE_FINANCEIRO!$B$549,LANÇ_MOV[ANO PAGAMENTO],$B$4,LANÇ_MOV[MÊS PAGAMENTO CORRESPONDENTE],N$6,LANÇ_MOV[EMPRESA],$C$4,LANÇ_MOV[CENTRO DE CUSTOS],$D$4)</f>
        <v>0</v>
      </c>
      <c r="O560" s="206">
        <f>SUMIFS(LANÇ_MOV[VALOR LÍQUIDO],LANÇ_MOV[RECEITA OU DESPESA],"Receita",LANÇ_MOV[CONTAS],$C560,LANÇ_MOV[PLANO DE CONTAS],REL_DRE_FINANCEIRO!$B$549,LANÇ_MOV[ANO PAGAMENTO],$B$4,LANÇ_MOV[MÊS PAGAMENTO CORRESPONDENTE],O$6,LANÇ_MOV[EMPRESA],$C$4,LANÇ_MOV[CENTRO DE CUSTOS],$D$4)</f>
        <v>0</v>
      </c>
      <c r="P560" s="207">
        <f t="shared" si="77"/>
        <v>0</v>
      </c>
      <c r="Q560" s="329">
        <v>9.0000000000000002E-6</v>
      </c>
      <c r="R560" s="346">
        <f t="shared" si="78"/>
        <v>9.0000000000000002E-6</v>
      </c>
      <c r="S560" s="347" t="str">
        <f t="shared" si="79"/>
        <v>-</v>
      </c>
      <c r="T560" s="347">
        <f t="shared" si="80"/>
        <v>0</v>
      </c>
      <c r="U560" s="347">
        <f>HLOOKUP(Apoio!$P$12,$D$548:$P$649,X560,FALSE)+Q560</f>
        <v>9.0000000000000002E-6</v>
      </c>
      <c r="V560" s="447" t="str">
        <f t="shared" si="81"/>
        <v>-</v>
      </c>
      <c r="W560" s="448">
        <f>HLOOKUP(Apoio!$P$12,$D$548:$P$649,X560,FALSE)</f>
        <v>0</v>
      </c>
      <c r="X560" s="329">
        <v>13</v>
      </c>
      <c r="Y560" s="329">
        <v>5</v>
      </c>
      <c r="Z560" s="340" t="str">
        <f>VLOOKUP(LARGE($U$550:$U$649,Y560),$U$550:$V$649,2,FALSE)</f>
        <v>ESTORNO</v>
      </c>
      <c r="AA560" s="340">
        <f>VLOOKUP(Z560,$V$550:$W$649,2,FALSE)</f>
        <v>0</v>
      </c>
    </row>
    <row r="561" spans="2:27" ht="30.05" customHeight="1" x14ac:dyDescent="0.35">
      <c r="B561" s="204" t="str">
        <f>'CAD_PL_REC-DESP'!E16</f>
        <v>1.2.12</v>
      </c>
      <c r="C561" s="205" t="str">
        <f>IF('CAD_PL_REC-DESP'!F16="","-",'CAD_PL_REC-DESP'!F16)</f>
        <v>-</v>
      </c>
      <c r="D561" s="206">
        <f>SUMIFS(LANÇ_MOV[VALOR LÍQUIDO],LANÇ_MOV[RECEITA OU DESPESA],"Receita",LANÇ_MOV[CONTAS],$C561,LANÇ_MOV[PLANO DE CONTAS],REL_DRE_FINANCEIRO!$B$549,LANÇ_MOV[ANO PAGAMENTO],$B$4,LANÇ_MOV[MÊS PAGAMENTO CORRESPONDENTE],D$6,LANÇ_MOV[EMPRESA],$C$4,LANÇ_MOV[CENTRO DE CUSTOS],$D$4)</f>
        <v>0</v>
      </c>
      <c r="E561" s="206">
        <f>SUMIFS(LANÇ_MOV[VALOR LÍQUIDO],LANÇ_MOV[RECEITA OU DESPESA],"Receita",LANÇ_MOV[CONTAS],$C561,LANÇ_MOV[PLANO DE CONTAS],REL_DRE_FINANCEIRO!$B$549,LANÇ_MOV[ANO PAGAMENTO],$B$4,LANÇ_MOV[MÊS PAGAMENTO CORRESPONDENTE],E$6,LANÇ_MOV[EMPRESA],$C$4,LANÇ_MOV[CENTRO DE CUSTOS],$D$4)</f>
        <v>0</v>
      </c>
      <c r="F561" s="206">
        <f>SUMIFS(LANÇ_MOV[VALOR LÍQUIDO],LANÇ_MOV[RECEITA OU DESPESA],"Receita",LANÇ_MOV[CONTAS],$C561,LANÇ_MOV[PLANO DE CONTAS],REL_DRE_FINANCEIRO!$B$549,LANÇ_MOV[ANO PAGAMENTO],$B$4,LANÇ_MOV[MÊS PAGAMENTO CORRESPONDENTE],F$6,LANÇ_MOV[EMPRESA],$C$4,LANÇ_MOV[CENTRO DE CUSTOS],$D$4)</f>
        <v>0</v>
      </c>
      <c r="G561" s="206">
        <f>SUMIFS(LANÇ_MOV[VALOR LÍQUIDO],LANÇ_MOV[RECEITA OU DESPESA],"Receita",LANÇ_MOV[CONTAS],$C561,LANÇ_MOV[PLANO DE CONTAS],REL_DRE_FINANCEIRO!$B$549,LANÇ_MOV[ANO PAGAMENTO],$B$4,LANÇ_MOV[MÊS PAGAMENTO CORRESPONDENTE],G$6,LANÇ_MOV[EMPRESA],$C$4,LANÇ_MOV[CENTRO DE CUSTOS],$D$4)</f>
        <v>0</v>
      </c>
      <c r="H561" s="206">
        <f>SUMIFS(LANÇ_MOV[VALOR LÍQUIDO],LANÇ_MOV[RECEITA OU DESPESA],"Receita",LANÇ_MOV[CONTAS],$C561,LANÇ_MOV[PLANO DE CONTAS],REL_DRE_FINANCEIRO!$B$549,LANÇ_MOV[ANO PAGAMENTO],$B$4,LANÇ_MOV[MÊS PAGAMENTO CORRESPONDENTE],H$6,LANÇ_MOV[EMPRESA],$C$4,LANÇ_MOV[CENTRO DE CUSTOS],$D$4)</f>
        <v>0</v>
      </c>
      <c r="I561" s="206">
        <f>SUMIFS(LANÇ_MOV[VALOR LÍQUIDO],LANÇ_MOV[RECEITA OU DESPESA],"Receita",LANÇ_MOV[CONTAS],$C561,LANÇ_MOV[PLANO DE CONTAS],REL_DRE_FINANCEIRO!$B$549,LANÇ_MOV[ANO PAGAMENTO],$B$4,LANÇ_MOV[MÊS PAGAMENTO CORRESPONDENTE],I$6,LANÇ_MOV[EMPRESA],$C$4,LANÇ_MOV[CENTRO DE CUSTOS],$D$4)</f>
        <v>0</v>
      </c>
      <c r="J561" s="206">
        <f>SUMIFS(LANÇ_MOV[VALOR LÍQUIDO],LANÇ_MOV[RECEITA OU DESPESA],"Receita",LANÇ_MOV[CONTAS],$C561,LANÇ_MOV[PLANO DE CONTAS],REL_DRE_FINANCEIRO!$B$549,LANÇ_MOV[ANO PAGAMENTO],$B$4,LANÇ_MOV[MÊS PAGAMENTO CORRESPONDENTE],J$6,LANÇ_MOV[EMPRESA],$C$4,LANÇ_MOV[CENTRO DE CUSTOS],$D$4)</f>
        <v>0</v>
      </c>
      <c r="K561" s="206">
        <f>SUMIFS(LANÇ_MOV[VALOR LÍQUIDO],LANÇ_MOV[RECEITA OU DESPESA],"Receita",LANÇ_MOV[CONTAS],$C561,LANÇ_MOV[PLANO DE CONTAS],REL_DRE_FINANCEIRO!$B$549,LANÇ_MOV[ANO PAGAMENTO],$B$4,LANÇ_MOV[MÊS PAGAMENTO CORRESPONDENTE],K$6,LANÇ_MOV[EMPRESA],$C$4,LANÇ_MOV[CENTRO DE CUSTOS],$D$4)</f>
        <v>0</v>
      </c>
      <c r="L561" s="206">
        <f>SUMIFS(LANÇ_MOV[VALOR LÍQUIDO],LANÇ_MOV[RECEITA OU DESPESA],"Receita",LANÇ_MOV[CONTAS],$C561,LANÇ_MOV[PLANO DE CONTAS],REL_DRE_FINANCEIRO!$B$549,LANÇ_MOV[ANO PAGAMENTO],$B$4,LANÇ_MOV[MÊS PAGAMENTO CORRESPONDENTE],L$6,LANÇ_MOV[EMPRESA],$C$4,LANÇ_MOV[CENTRO DE CUSTOS],$D$4)</f>
        <v>0</v>
      </c>
      <c r="M561" s="206">
        <f>SUMIFS(LANÇ_MOV[VALOR LÍQUIDO],LANÇ_MOV[RECEITA OU DESPESA],"Receita",LANÇ_MOV[CONTAS],$C561,LANÇ_MOV[PLANO DE CONTAS],REL_DRE_FINANCEIRO!$B$549,LANÇ_MOV[ANO PAGAMENTO],$B$4,LANÇ_MOV[MÊS PAGAMENTO CORRESPONDENTE],M$6,LANÇ_MOV[EMPRESA],$C$4,LANÇ_MOV[CENTRO DE CUSTOS],$D$4)</f>
        <v>0</v>
      </c>
      <c r="N561" s="206">
        <f>SUMIFS(LANÇ_MOV[VALOR LÍQUIDO],LANÇ_MOV[RECEITA OU DESPESA],"Receita",LANÇ_MOV[CONTAS],$C561,LANÇ_MOV[PLANO DE CONTAS],REL_DRE_FINANCEIRO!$B$549,LANÇ_MOV[ANO PAGAMENTO],$B$4,LANÇ_MOV[MÊS PAGAMENTO CORRESPONDENTE],N$6,LANÇ_MOV[EMPRESA],$C$4,LANÇ_MOV[CENTRO DE CUSTOS],$D$4)</f>
        <v>0</v>
      </c>
      <c r="O561" s="206">
        <f>SUMIFS(LANÇ_MOV[VALOR LÍQUIDO],LANÇ_MOV[RECEITA OU DESPESA],"Receita",LANÇ_MOV[CONTAS],$C561,LANÇ_MOV[PLANO DE CONTAS],REL_DRE_FINANCEIRO!$B$549,LANÇ_MOV[ANO PAGAMENTO],$B$4,LANÇ_MOV[MÊS PAGAMENTO CORRESPONDENTE],O$6,LANÇ_MOV[EMPRESA],$C$4,LANÇ_MOV[CENTRO DE CUSTOS],$D$4)</f>
        <v>0</v>
      </c>
      <c r="P561" s="207">
        <f t="shared" si="77"/>
        <v>0</v>
      </c>
      <c r="Q561" s="329">
        <v>8.8999999999999995E-6</v>
      </c>
      <c r="R561" s="346">
        <f t="shared" si="78"/>
        <v>8.8999999999999995E-6</v>
      </c>
      <c r="S561" s="347" t="str">
        <f t="shared" si="79"/>
        <v>-</v>
      </c>
      <c r="T561" s="347">
        <f t="shared" si="80"/>
        <v>0</v>
      </c>
      <c r="U561" s="347">
        <f>HLOOKUP(Apoio!$P$12,$D$548:$P$649,X561,FALSE)+Q561</f>
        <v>8.8999999999999995E-6</v>
      </c>
      <c r="V561" s="447" t="str">
        <f t="shared" si="81"/>
        <v>-</v>
      </c>
      <c r="W561" s="448">
        <f>HLOOKUP(Apoio!$P$12,$D$548:$P$649,X561,FALSE)</f>
        <v>0</v>
      </c>
      <c r="X561" s="329">
        <v>14</v>
      </c>
      <c r="AA561" s="340">
        <f>SUM(AA556:AA560)</f>
        <v>0</v>
      </c>
    </row>
    <row r="562" spans="2:27" ht="30.05" customHeight="1" x14ac:dyDescent="0.35">
      <c r="B562" s="204" t="str">
        <f>'CAD_PL_REC-DESP'!E17</f>
        <v>1.2.13</v>
      </c>
      <c r="C562" s="205" t="str">
        <f>IF('CAD_PL_REC-DESP'!F17="","-",'CAD_PL_REC-DESP'!F17)</f>
        <v>-</v>
      </c>
      <c r="D562" s="206">
        <f>SUMIFS(LANÇ_MOV[VALOR LÍQUIDO],LANÇ_MOV[RECEITA OU DESPESA],"Receita",LANÇ_MOV[CONTAS],$C562,LANÇ_MOV[PLANO DE CONTAS],REL_DRE_FINANCEIRO!$B$549,LANÇ_MOV[ANO PAGAMENTO],$B$4,LANÇ_MOV[MÊS PAGAMENTO CORRESPONDENTE],D$6,LANÇ_MOV[EMPRESA],$C$4,LANÇ_MOV[CENTRO DE CUSTOS],$D$4)</f>
        <v>0</v>
      </c>
      <c r="E562" s="206">
        <f>SUMIFS(LANÇ_MOV[VALOR LÍQUIDO],LANÇ_MOV[RECEITA OU DESPESA],"Receita",LANÇ_MOV[CONTAS],$C562,LANÇ_MOV[PLANO DE CONTAS],REL_DRE_FINANCEIRO!$B$549,LANÇ_MOV[ANO PAGAMENTO],$B$4,LANÇ_MOV[MÊS PAGAMENTO CORRESPONDENTE],E$6,LANÇ_MOV[EMPRESA],$C$4,LANÇ_MOV[CENTRO DE CUSTOS],$D$4)</f>
        <v>0</v>
      </c>
      <c r="F562" s="206">
        <f>SUMIFS(LANÇ_MOV[VALOR LÍQUIDO],LANÇ_MOV[RECEITA OU DESPESA],"Receita",LANÇ_MOV[CONTAS],$C562,LANÇ_MOV[PLANO DE CONTAS],REL_DRE_FINANCEIRO!$B$549,LANÇ_MOV[ANO PAGAMENTO],$B$4,LANÇ_MOV[MÊS PAGAMENTO CORRESPONDENTE],F$6,LANÇ_MOV[EMPRESA],$C$4,LANÇ_MOV[CENTRO DE CUSTOS],$D$4)</f>
        <v>0</v>
      </c>
      <c r="G562" s="206">
        <f>SUMIFS(LANÇ_MOV[VALOR LÍQUIDO],LANÇ_MOV[RECEITA OU DESPESA],"Receita",LANÇ_MOV[CONTAS],$C562,LANÇ_MOV[PLANO DE CONTAS],REL_DRE_FINANCEIRO!$B$549,LANÇ_MOV[ANO PAGAMENTO],$B$4,LANÇ_MOV[MÊS PAGAMENTO CORRESPONDENTE],G$6,LANÇ_MOV[EMPRESA],$C$4,LANÇ_MOV[CENTRO DE CUSTOS],$D$4)</f>
        <v>0</v>
      </c>
      <c r="H562" s="206">
        <f>SUMIFS(LANÇ_MOV[VALOR LÍQUIDO],LANÇ_MOV[RECEITA OU DESPESA],"Receita",LANÇ_MOV[CONTAS],$C562,LANÇ_MOV[PLANO DE CONTAS],REL_DRE_FINANCEIRO!$B$549,LANÇ_MOV[ANO PAGAMENTO],$B$4,LANÇ_MOV[MÊS PAGAMENTO CORRESPONDENTE],H$6,LANÇ_MOV[EMPRESA],$C$4,LANÇ_MOV[CENTRO DE CUSTOS],$D$4)</f>
        <v>0</v>
      </c>
      <c r="I562" s="206">
        <f>SUMIFS(LANÇ_MOV[VALOR LÍQUIDO],LANÇ_MOV[RECEITA OU DESPESA],"Receita",LANÇ_MOV[CONTAS],$C562,LANÇ_MOV[PLANO DE CONTAS],REL_DRE_FINANCEIRO!$B$549,LANÇ_MOV[ANO PAGAMENTO],$B$4,LANÇ_MOV[MÊS PAGAMENTO CORRESPONDENTE],I$6,LANÇ_MOV[EMPRESA],$C$4,LANÇ_MOV[CENTRO DE CUSTOS],$D$4)</f>
        <v>0</v>
      </c>
      <c r="J562" s="206">
        <f>SUMIFS(LANÇ_MOV[VALOR LÍQUIDO],LANÇ_MOV[RECEITA OU DESPESA],"Receita",LANÇ_MOV[CONTAS],$C562,LANÇ_MOV[PLANO DE CONTAS],REL_DRE_FINANCEIRO!$B$549,LANÇ_MOV[ANO PAGAMENTO],$B$4,LANÇ_MOV[MÊS PAGAMENTO CORRESPONDENTE],J$6,LANÇ_MOV[EMPRESA],$C$4,LANÇ_MOV[CENTRO DE CUSTOS],$D$4)</f>
        <v>0</v>
      </c>
      <c r="K562" s="206">
        <f>SUMIFS(LANÇ_MOV[VALOR LÍQUIDO],LANÇ_MOV[RECEITA OU DESPESA],"Receita",LANÇ_MOV[CONTAS],$C562,LANÇ_MOV[PLANO DE CONTAS],REL_DRE_FINANCEIRO!$B$549,LANÇ_MOV[ANO PAGAMENTO],$B$4,LANÇ_MOV[MÊS PAGAMENTO CORRESPONDENTE],K$6,LANÇ_MOV[EMPRESA],$C$4,LANÇ_MOV[CENTRO DE CUSTOS],$D$4)</f>
        <v>0</v>
      </c>
      <c r="L562" s="206">
        <f>SUMIFS(LANÇ_MOV[VALOR LÍQUIDO],LANÇ_MOV[RECEITA OU DESPESA],"Receita",LANÇ_MOV[CONTAS],$C562,LANÇ_MOV[PLANO DE CONTAS],REL_DRE_FINANCEIRO!$B$549,LANÇ_MOV[ANO PAGAMENTO],$B$4,LANÇ_MOV[MÊS PAGAMENTO CORRESPONDENTE],L$6,LANÇ_MOV[EMPRESA],$C$4,LANÇ_MOV[CENTRO DE CUSTOS],$D$4)</f>
        <v>0</v>
      </c>
      <c r="M562" s="206">
        <f>SUMIFS(LANÇ_MOV[VALOR LÍQUIDO],LANÇ_MOV[RECEITA OU DESPESA],"Receita",LANÇ_MOV[CONTAS],$C562,LANÇ_MOV[PLANO DE CONTAS],REL_DRE_FINANCEIRO!$B$549,LANÇ_MOV[ANO PAGAMENTO],$B$4,LANÇ_MOV[MÊS PAGAMENTO CORRESPONDENTE],M$6,LANÇ_MOV[EMPRESA],$C$4,LANÇ_MOV[CENTRO DE CUSTOS],$D$4)</f>
        <v>0</v>
      </c>
      <c r="N562" s="206">
        <f>SUMIFS(LANÇ_MOV[VALOR LÍQUIDO],LANÇ_MOV[RECEITA OU DESPESA],"Receita",LANÇ_MOV[CONTAS],$C562,LANÇ_MOV[PLANO DE CONTAS],REL_DRE_FINANCEIRO!$B$549,LANÇ_MOV[ANO PAGAMENTO],$B$4,LANÇ_MOV[MÊS PAGAMENTO CORRESPONDENTE],N$6,LANÇ_MOV[EMPRESA],$C$4,LANÇ_MOV[CENTRO DE CUSTOS],$D$4)</f>
        <v>0</v>
      </c>
      <c r="O562" s="206">
        <f>SUMIFS(LANÇ_MOV[VALOR LÍQUIDO],LANÇ_MOV[RECEITA OU DESPESA],"Receita",LANÇ_MOV[CONTAS],$C562,LANÇ_MOV[PLANO DE CONTAS],REL_DRE_FINANCEIRO!$B$549,LANÇ_MOV[ANO PAGAMENTO],$B$4,LANÇ_MOV[MÊS PAGAMENTO CORRESPONDENTE],O$6,LANÇ_MOV[EMPRESA],$C$4,LANÇ_MOV[CENTRO DE CUSTOS],$D$4)</f>
        <v>0</v>
      </c>
      <c r="P562" s="207">
        <f t="shared" si="77"/>
        <v>0</v>
      </c>
      <c r="Q562" s="329">
        <v>8.8000000000000004E-6</v>
      </c>
      <c r="R562" s="346">
        <f t="shared" si="78"/>
        <v>8.8000000000000004E-6</v>
      </c>
      <c r="S562" s="347" t="str">
        <f t="shared" si="79"/>
        <v>-</v>
      </c>
      <c r="T562" s="347">
        <f t="shared" si="80"/>
        <v>0</v>
      </c>
      <c r="U562" s="347">
        <f>HLOOKUP(Apoio!$P$12,$D$548:$P$649,X562,FALSE)+Q562</f>
        <v>8.8000000000000004E-6</v>
      </c>
      <c r="V562" s="447" t="str">
        <f t="shared" si="81"/>
        <v>-</v>
      </c>
      <c r="W562" s="448">
        <f>HLOOKUP(Apoio!$P$12,$D$548:$P$649,X562,FALSE)</f>
        <v>0</v>
      </c>
      <c r="X562" s="329">
        <v>15</v>
      </c>
    </row>
    <row r="563" spans="2:27" ht="30.05" customHeight="1" x14ac:dyDescent="0.35">
      <c r="B563" s="204" t="str">
        <f>'CAD_PL_REC-DESP'!E18</f>
        <v>1.2.14</v>
      </c>
      <c r="C563" s="205" t="str">
        <f>IF('CAD_PL_REC-DESP'!F18="","-",'CAD_PL_REC-DESP'!F18)</f>
        <v>-</v>
      </c>
      <c r="D563" s="206">
        <f>SUMIFS(LANÇ_MOV[VALOR LÍQUIDO],LANÇ_MOV[RECEITA OU DESPESA],"Receita",LANÇ_MOV[CONTAS],$C563,LANÇ_MOV[PLANO DE CONTAS],REL_DRE_FINANCEIRO!$B$549,LANÇ_MOV[ANO PAGAMENTO],$B$4,LANÇ_MOV[MÊS PAGAMENTO CORRESPONDENTE],D$6,LANÇ_MOV[EMPRESA],$C$4,LANÇ_MOV[CENTRO DE CUSTOS],$D$4)</f>
        <v>0</v>
      </c>
      <c r="E563" s="206">
        <f>SUMIFS(LANÇ_MOV[VALOR LÍQUIDO],LANÇ_MOV[RECEITA OU DESPESA],"Receita",LANÇ_MOV[CONTAS],$C563,LANÇ_MOV[PLANO DE CONTAS],REL_DRE_FINANCEIRO!$B$549,LANÇ_MOV[ANO PAGAMENTO],$B$4,LANÇ_MOV[MÊS PAGAMENTO CORRESPONDENTE],E$6,LANÇ_MOV[EMPRESA],$C$4,LANÇ_MOV[CENTRO DE CUSTOS],$D$4)</f>
        <v>0</v>
      </c>
      <c r="F563" s="206">
        <f>SUMIFS(LANÇ_MOV[VALOR LÍQUIDO],LANÇ_MOV[RECEITA OU DESPESA],"Receita",LANÇ_MOV[CONTAS],$C563,LANÇ_MOV[PLANO DE CONTAS],REL_DRE_FINANCEIRO!$B$549,LANÇ_MOV[ANO PAGAMENTO],$B$4,LANÇ_MOV[MÊS PAGAMENTO CORRESPONDENTE],F$6,LANÇ_MOV[EMPRESA],$C$4,LANÇ_MOV[CENTRO DE CUSTOS],$D$4)</f>
        <v>0</v>
      </c>
      <c r="G563" s="206">
        <f>SUMIFS(LANÇ_MOV[VALOR LÍQUIDO],LANÇ_MOV[RECEITA OU DESPESA],"Receita",LANÇ_MOV[CONTAS],$C563,LANÇ_MOV[PLANO DE CONTAS],REL_DRE_FINANCEIRO!$B$549,LANÇ_MOV[ANO PAGAMENTO],$B$4,LANÇ_MOV[MÊS PAGAMENTO CORRESPONDENTE],G$6,LANÇ_MOV[EMPRESA],$C$4,LANÇ_MOV[CENTRO DE CUSTOS],$D$4)</f>
        <v>0</v>
      </c>
      <c r="H563" s="206">
        <f>SUMIFS(LANÇ_MOV[VALOR LÍQUIDO],LANÇ_MOV[RECEITA OU DESPESA],"Receita",LANÇ_MOV[CONTAS],$C563,LANÇ_MOV[PLANO DE CONTAS],REL_DRE_FINANCEIRO!$B$549,LANÇ_MOV[ANO PAGAMENTO],$B$4,LANÇ_MOV[MÊS PAGAMENTO CORRESPONDENTE],H$6,LANÇ_MOV[EMPRESA],$C$4,LANÇ_MOV[CENTRO DE CUSTOS],$D$4)</f>
        <v>0</v>
      </c>
      <c r="I563" s="206">
        <f>SUMIFS(LANÇ_MOV[VALOR LÍQUIDO],LANÇ_MOV[RECEITA OU DESPESA],"Receita",LANÇ_MOV[CONTAS],$C563,LANÇ_MOV[PLANO DE CONTAS],REL_DRE_FINANCEIRO!$B$549,LANÇ_MOV[ANO PAGAMENTO],$B$4,LANÇ_MOV[MÊS PAGAMENTO CORRESPONDENTE],I$6,LANÇ_MOV[EMPRESA],$C$4,LANÇ_MOV[CENTRO DE CUSTOS],$D$4)</f>
        <v>0</v>
      </c>
      <c r="J563" s="206">
        <f>SUMIFS(LANÇ_MOV[VALOR LÍQUIDO],LANÇ_MOV[RECEITA OU DESPESA],"Receita",LANÇ_MOV[CONTAS],$C563,LANÇ_MOV[PLANO DE CONTAS],REL_DRE_FINANCEIRO!$B$549,LANÇ_MOV[ANO PAGAMENTO],$B$4,LANÇ_MOV[MÊS PAGAMENTO CORRESPONDENTE],J$6,LANÇ_MOV[EMPRESA],$C$4,LANÇ_MOV[CENTRO DE CUSTOS],$D$4)</f>
        <v>0</v>
      </c>
      <c r="K563" s="206">
        <f>SUMIFS(LANÇ_MOV[VALOR LÍQUIDO],LANÇ_MOV[RECEITA OU DESPESA],"Receita",LANÇ_MOV[CONTAS],$C563,LANÇ_MOV[PLANO DE CONTAS],REL_DRE_FINANCEIRO!$B$549,LANÇ_MOV[ANO PAGAMENTO],$B$4,LANÇ_MOV[MÊS PAGAMENTO CORRESPONDENTE],K$6,LANÇ_MOV[EMPRESA],$C$4,LANÇ_MOV[CENTRO DE CUSTOS],$D$4)</f>
        <v>0</v>
      </c>
      <c r="L563" s="206">
        <f>SUMIFS(LANÇ_MOV[VALOR LÍQUIDO],LANÇ_MOV[RECEITA OU DESPESA],"Receita",LANÇ_MOV[CONTAS],$C563,LANÇ_MOV[PLANO DE CONTAS],REL_DRE_FINANCEIRO!$B$549,LANÇ_MOV[ANO PAGAMENTO],$B$4,LANÇ_MOV[MÊS PAGAMENTO CORRESPONDENTE],L$6,LANÇ_MOV[EMPRESA],$C$4,LANÇ_MOV[CENTRO DE CUSTOS],$D$4)</f>
        <v>0</v>
      </c>
      <c r="M563" s="206">
        <f>SUMIFS(LANÇ_MOV[VALOR LÍQUIDO],LANÇ_MOV[RECEITA OU DESPESA],"Receita",LANÇ_MOV[CONTAS],$C563,LANÇ_MOV[PLANO DE CONTAS],REL_DRE_FINANCEIRO!$B$549,LANÇ_MOV[ANO PAGAMENTO],$B$4,LANÇ_MOV[MÊS PAGAMENTO CORRESPONDENTE],M$6,LANÇ_MOV[EMPRESA],$C$4,LANÇ_MOV[CENTRO DE CUSTOS],$D$4)</f>
        <v>0</v>
      </c>
      <c r="N563" s="206">
        <f>SUMIFS(LANÇ_MOV[VALOR LÍQUIDO],LANÇ_MOV[RECEITA OU DESPESA],"Receita",LANÇ_MOV[CONTAS],$C563,LANÇ_MOV[PLANO DE CONTAS],REL_DRE_FINANCEIRO!$B$549,LANÇ_MOV[ANO PAGAMENTO],$B$4,LANÇ_MOV[MÊS PAGAMENTO CORRESPONDENTE],N$6,LANÇ_MOV[EMPRESA],$C$4,LANÇ_MOV[CENTRO DE CUSTOS],$D$4)</f>
        <v>0</v>
      </c>
      <c r="O563" s="206">
        <f>SUMIFS(LANÇ_MOV[VALOR LÍQUIDO],LANÇ_MOV[RECEITA OU DESPESA],"Receita",LANÇ_MOV[CONTAS],$C563,LANÇ_MOV[PLANO DE CONTAS],REL_DRE_FINANCEIRO!$B$549,LANÇ_MOV[ANO PAGAMENTO],$B$4,LANÇ_MOV[MÊS PAGAMENTO CORRESPONDENTE],O$6,LANÇ_MOV[EMPRESA],$C$4,LANÇ_MOV[CENTRO DE CUSTOS],$D$4)</f>
        <v>0</v>
      </c>
      <c r="P563" s="207">
        <f t="shared" si="77"/>
        <v>0</v>
      </c>
      <c r="Q563" s="329">
        <v>8.6999999999999997E-6</v>
      </c>
      <c r="R563" s="346">
        <f t="shared" si="78"/>
        <v>8.6999999999999997E-6</v>
      </c>
      <c r="S563" s="347" t="str">
        <f t="shared" si="79"/>
        <v>-</v>
      </c>
      <c r="T563" s="347">
        <f t="shared" si="80"/>
        <v>0</v>
      </c>
      <c r="U563" s="347">
        <f>HLOOKUP(Apoio!$P$12,$D$548:$P$649,X563,FALSE)+Q563</f>
        <v>8.6999999999999997E-6</v>
      </c>
      <c r="V563" s="447" t="str">
        <f t="shared" si="81"/>
        <v>-</v>
      </c>
      <c r="W563" s="448">
        <f>HLOOKUP(Apoio!$P$12,$D$548:$P$649,X563,FALSE)</f>
        <v>0</v>
      </c>
      <c r="X563" s="329">
        <v>16</v>
      </c>
    </row>
    <row r="564" spans="2:27" ht="30.05" customHeight="1" x14ac:dyDescent="0.35">
      <c r="B564" s="204" t="str">
        <f>'CAD_PL_REC-DESP'!E19</f>
        <v>1.2.15</v>
      </c>
      <c r="C564" s="205" t="str">
        <f>IF('CAD_PL_REC-DESP'!F19="","-",'CAD_PL_REC-DESP'!F19)</f>
        <v>-</v>
      </c>
      <c r="D564" s="206">
        <f>SUMIFS(LANÇ_MOV[VALOR LÍQUIDO],LANÇ_MOV[RECEITA OU DESPESA],"Receita",LANÇ_MOV[CONTAS],$C564,LANÇ_MOV[PLANO DE CONTAS],REL_DRE_FINANCEIRO!$B$549,LANÇ_MOV[ANO PAGAMENTO],$B$4,LANÇ_MOV[MÊS PAGAMENTO CORRESPONDENTE],D$6,LANÇ_MOV[EMPRESA],$C$4,LANÇ_MOV[CENTRO DE CUSTOS],$D$4)</f>
        <v>0</v>
      </c>
      <c r="E564" s="206">
        <f>SUMIFS(LANÇ_MOV[VALOR LÍQUIDO],LANÇ_MOV[RECEITA OU DESPESA],"Receita",LANÇ_MOV[CONTAS],$C564,LANÇ_MOV[PLANO DE CONTAS],REL_DRE_FINANCEIRO!$B$549,LANÇ_MOV[ANO PAGAMENTO],$B$4,LANÇ_MOV[MÊS PAGAMENTO CORRESPONDENTE],E$6,LANÇ_MOV[EMPRESA],$C$4,LANÇ_MOV[CENTRO DE CUSTOS],$D$4)</f>
        <v>0</v>
      </c>
      <c r="F564" s="206">
        <f>SUMIFS(LANÇ_MOV[VALOR LÍQUIDO],LANÇ_MOV[RECEITA OU DESPESA],"Receita",LANÇ_MOV[CONTAS],$C564,LANÇ_MOV[PLANO DE CONTAS],REL_DRE_FINANCEIRO!$B$549,LANÇ_MOV[ANO PAGAMENTO],$B$4,LANÇ_MOV[MÊS PAGAMENTO CORRESPONDENTE],F$6,LANÇ_MOV[EMPRESA],$C$4,LANÇ_MOV[CENTRO DE CUSTOS],$D$4)</f>
        <v>0</v>
      </c>
      <c r="G564" s="206">
        <f>SUMIFS(LANÇ_MOV[VALOR LÍQUIDO],LANÇ_MOV[RECEITA OU DESPESA],"Receita",LANÇ_MOV[CONTAS],$C564,LANÇ_MOV[PLANO DE CONTAS],REL_DRE_FINANCEIRO!$B$549,LANÇ_MOV[ANO PAGAMENTO],$B$4,LANÇ_MOV[MÊS PAGAMENTO CORRESPONDENTE],G$6,LANÇ_MOV[EMPRESA],$C$4,LANÇ_MOV[CENTRO DE CUSTOS],$D$4)</f>
        <v>0</v>
      </c>
      <c r="H564" s="206">
        <f>SUMIFS(LANÇ_MOV[VALOR LÍQUIDO],LANÇ_MOV[RECEITA OU DESPESA],"Receita",LANÇ_MOV[CONTAS],$C564,LANÇ_MOV[PLANO DE CONTAS],REL_DRE_FINANCEIRO!$B$549,LANÇ_MOV[ANO PAGAMENTO],$B$4,LANÇ_MOV[MÊS PAGAMENTO CORRESPONDENTE],H$6,LANÇ_MOV[EMPRESA],$C$4,LANÇ_MOV[CENTRO DE CUSTOS],$D$4)</f>
        <v>0</v>
      </c>
      <c r="I564" s="206">
        <f>SUMIFS(LANÇ_MOV[VALOR LÍQUIDO],LANÇ_MOV[RECEITA OU DESPESA],"Receita",LANÇ_MOV[CONTAS],$C564,LANÇ_MOV[PLANO DE CONTAS],REL_DRE_FINANCEIRO!$B$549,LANÇ_MOV[ANO PAGAMENTO],$B$4,LANÇ_MOV[MÊS PAGAMENTO CORRESPONDENTE],I$6,LANÇ_MOV[EMPRESA],$C$4,LANÇ_MOV[CENTRO DE CUSTOS],$D$4)</f>
        <v>0</v>
      </c>
      <c r="J564" s="206">
        <f>SUMIFS(LANÇ_MOV[VALOR LÍQUIDO],LANÇ_MOV[RECEITA OU DESPESA],"Receita",LANÇ_MOV[CONTAS],$C564,LANÇ_MOV[PLANO DE CONTAS],REL_DRE_FINANCEIRO!$B$549,LANÇ_MOV[ANO PAGAMENTO],$B$4,LANÇ_MOV[MÊS PAGAMENTO CORRESPONDENTE],J$6,LANÇ_MOV[EMPRESA],$C$4,LANÇ_MOV[CENTRO DE CUSTOS],$D$4)</f>
        <v>0</v>
      </c>
      <c r="K564" s="206">
        <f>SUMIFS(LANÇ_MOV[VALOR LÍQUIDO],LANÇ_MOV[RECEITA OU DESPESA],"Receita",LANÇ_MOV[CONTAS],$C564,LANÇ_MOV[PLANO DE CONTAS],REL_DRE_FINANCEIRO!$B$549,LANÇ_MOV[ANO PAGAMENTO],$B$4,LANÇ_MOV[MÊS PAGAMENTO CORRESPONDENTE],K$6,LANÇ_MOV[EMPRESA],$C$4,LANÇ_MOV[CENTRO DE CUSTOS],$D$4)</f>
        <v>0</v>
      </c>
      <c r="L564" s="206">
        <f>SUMIFS(LANÇ_MOV[VALOR LÍQUIDO],LANÇ_MOV[RECEITA OU DESPESA],"Receita",LANÇ_MOV[CONTAS],$C564,LANÇ_MOV[PLANO DE CONTAS],REL_DRE_FINANCEIRO!$B$549,LANÇ_MOV[ANO PAGAMENTO],$B$4,LANÇ_MOV[MÊS PAGAMENTO CORRESPONDENTE],L$6,LANÇ_MOV[EMPRESA],$C$4,LANÇ_MOV[CENTRO DE CUSTOS],$D$4)</f>
        <v>0</v>
      </c>
      <c r="M564" s="206">
        <f>SUMIFS(LANÇ_MOV[VALOR LÍQUIDO],LANÇ_MOV[RECEITA OU DESPESA],"Receita",LANÇ_MOV[CONTAS],$C564,LANÇ_MOV[PLANO DE CONTAS],REL_DRE_FINANCEIRO!$B$549,LANÇ_MOV[ANO PAGAMENTO],$B$4,LANÇ_MOV[MÊS PAGAMENTO CORRESPONDENTE],M$6,LANÇ_MOV[EMPRESA],$C$4,LANÇ_MOV[CENTRO DE CUSTOS],$D$4)</f>
        <v>0</v>
      </c>
      <c r="N564" s="206">
        <f>SUMIFS(LANÇ_MOV[VALOR LÍQUIDO],LANÇ_MOV[RECEITA OU DESPESA],"Receita",LANÇ_MOV[CONTAS],$C564,LANÇ_MOV[PLANO DE CONTAS],REL_DRE_FINANCEIRO!$B$549,LANÇ_MOV[ANO PAGAMENTO],$B$4,LANÇ_MOV[MÊS PAGAMENTO CORRESPONDENTE],N$6,LANÇ_MOV[EMPRESA],$C$4,LANÇ_MOV[CENTRO DE CUSTOS],$D$4)</f>
        <v>0</v>
      </c>
      <c r="O564" s="206">
        <f>SUMIFS(LANÇ_MOV[VALOR LÍQUIDO],LANÇ_MOV[RECEITA OU DESPESA],"Receita",LANÇ_MOV[CONTAS],$C564,LANÇ_MOV[PLANO DE CONTAS],REL_DRE_FINANCEIRO!$B$549,LANÇ_MOV[ANO PAGAMENTO],$B$4,LANÇ_MOV[MÊS PAGAMENTO CORRESPONDENTE],O$6,LANÇ_MOV[EMPRESA],$C$4,LANÇ_MOV[CENTRO DE CUSTOS],$D$4)</f>
        <v>0</v>
      </c>
      <c r="P564" s="207">
        <f t="shared" si="77"/>
        <v>0</v>
      </c>
      <c r="Q564" s="329">
        <v>8.6000000000000007E-6</v>
      </c>
      <c r="R564" s="346">
        <f t="shared" si="78"/>
        <v>8.6000000000000007E-6</v>
      </c>
      <c r="S564" s="347" t="str">
        <f t="shared" si="79"/>
        <v>-</v>
      </c>
      <c r="T564" s="347">
        <f t="shared" si="80"/>
        <v>0</v>
      </c>
      <c r="U564" s="347">
        <f>HLOOKUP(Apoio!$P$12,$D$548:$P$649,X564,FALSE)+Q564</f>
        <v>8.6000000000000007E-6</v>
      </c>
      <c r="V564" s="447" t="str">
        <f t="shared" si="81"/>
        <v>-</v>
      </c>
      <c r="W564" s="448">
        <f>HLOOKUP(Apoio!$P$12,$D$548:$P$649,X564,FALSE)</f>
        <v>0</v>
      </c>
      <c r="X564" s="329">
        <v>17</v>
      </c>
    </row>
    <row r="565" spans="2:27" ht="30.05" customHeight="1" x14ac:dyDescent="0.35">
      <c r="B565" s="204" t="str">
        <f>'CAD_PL_REC-DESP'!E20</f>
        <v>1.2.16</v>
      </c>
      <c r="C565" s="205" t="str">
        <f>IF('CAD_PL_REC-DESP'!F20="","-",'CAD_PL_REC-DESP'!F20)</f>
        <v>-</v>
      </c>
      <c r="D565" s="206">
        <f>SUMIFS(LANÇ_MOV[VALOR LÍQUIDO],LANÇ_MOV[RECEITA OU DESPESA],"Receita",LANÇ_MOV[CONTAS],$C565,LANÇ_MOV[PLANO DE CONTAS],REL_DRE_FINANCEIRO!$B$549,LANÇ_MOV[ANO PAGAMENTO],$B$4,LANÇ_MOV[MÊS PAGAMENTO CORRESPONDENTE],D$6,LANÇ_MOV[EMPRESA],$C$4,LANÇ_MOV[CENTRO DE CUSTOS],$D$4)</f>
        <v>0</v>
      </c>
      <c r="E565" s="206">
        <f>SUMIFS(LANÇ_MOV[VALOR LÍQUIDO],LANÇ_MOV[RECEITA OU DESPESA],"Receita",LANÇ_MOV[CONTAS],$C565,LANÇ_MOV[PLANO DE CONTAS],REL_DRE_FINANCEIRO!$B$549,LANÇ_MOV[ANO PAGAMENTO],$B$4,LANÇ_MOV[MÊS PAGAMENTO CORRESPONDENTE],E$6,LANÇ_MOV[EMPRESA],$C$4,LANÇ_MOV[CENTRO DE CUSTOS],$D$4)</f>
        <v>0</v>
      </c>
      <c r="F565" s="206">
        <f>SUMIFS(LANÇ_MOV[VALOR LÍQUIDO],LANÇ_MOV[RECEITA OU DESPESA],"Receita",LANÇ_MOV[CONTAS],$C565,LANÇ_MOV[PLANO DE CONTAS],REL_DRE_FINANCEIRO!$B$549,LANÇ_MOV[ANO PAGAMENTO],$B$4,LANÇ_MOV[MÊS PAGAMENTO CORRESPONDENTE],F$6,LANÇ_MOV[EMPRESA],$C$4,LANÇ_MOV[CENTRO DE CUSTOS],$D$4)</f>
        <v>0</v>
      </c>
      <c r="G565" s="206">
        <f>SUMIFS(LANÇ_MOV[VALOR LÍQUIDO],LANÇ_MOV[RECEITA OU DESPESA],"Receita",LANÇ_MOV[CONTAS],$C565,LANÇ_MOV[PLANO DE CONTAS],REL_DRE_FINANCEIRO!$B$549,LANÇ_MOV[ANO PAGAMENTO],$B$4,LANÇ_MOV[MÊS PAGAMENTO CORRESPONDENTE],G$6,LANÇ_MOV[EMPRESA],$C$4,LANÇ_MOV[CENTRO DE CUSTOS],$D$4)</f>
        <v>0</v>
      </c>
      <c r="H565" s="206">
        <f>SUMIFS(LANÇ_MOV[VALOR LÍQUIDO],LANÇ_MOV[RECEITA OU DESPESA],"Receita",LANÇ_MOV[CONTAS],$C565,LANÇ_MOV[PLANO DE CONTAS],REL_DRE_FINANCEIRO!$B$549,LANÇ_MOV[ANO PAGAMENTO],$B$4,LANÇ_MOV[MÊS PAGAMENTO CORRESPONDENTE],H$6,LANÇ_MOV[EMPRESA],$C$4,LANÇ_MOV[CENTRO DE CUSTOS],$D$4)</f>
        <v>0</v>
      </c>
      <c r="I565" s="206">
        <f>SUMIFS(LANÇ_MOV[VALOR LÍQUIDO],LANÇ_MOV[RECEITA OU DESPESA],"Receita",LANÇ_MOV[CONTAS],$C565,LANÇ_MOV[PLANO DE CONTAS],REL_DRE_FINANCEIRO!$B$549,LANÇ_MOV[ANO PAGAMENTO],$B$4,LANÇ_MOV[MÊS PAGAMENTO CORRESPONDENTE],I$6,LANÇ_MOV[EMPRESA],$C$4,LANÇ_MOV[CENTRO DE CUSTOS],$D$4)</f>
        <v>0</v>
      </c>
      <c r="J565" s="206">
        <f>SUMIFS(LANÇ_MOV[VALOR LÍQUIDO],LANÇ_MOV[RECEITA OU DESPESA],"Receita",LANÇ_MOV[CONTAS],$C565,LANÇ_MOV[PLANO DE CONTAS],REL_DRE_FINANCEIRO!$B$549,LANÇ_MOV[ANO PAGAMENTO],$B$4,LANÇ_MOV[MÊS PAGAMENTO CORRESPONDENTE],J$6,LANÇ_MOV[EMPRESA],$C$4,LANÇ_MOV[CENTRO DE CUSTOS],$D$4)</f>
        <v>0</v>
      </c>
      <c r="K565" s="206">
        <f>SUMIFS(LANÇ_MOV[VALOR LÍQUIDO],LANÇ_MOV[RECEITA OU DESPESA],"Receita",LANÇ_MOV[CONTAS],$C565,LANÇ_MOV[PLANO DE CONTAS],REL_DRE_FINANCEIRO!$B$549,LANÇ_MOV[ANO PAGAMENTO],$B$4,LANÇ_MOV[MÊS PAGAMENTO CORRESPONDENTE],K$6,LANÇ_MOV[EMPRESA],$C$4,LANÇ_MOV[CENTRO DE CUSTOS],$D$4)</f>
        <v>0</v>
      </c>
      <c r="L565" s="206">
        <f>SUMIFS(LANÇ_MOV[VALOR LÍQUIDO],LANÇ_MOV[RECEITA OU DESPESA],"Receita",LANÇ_MOV[CONTAS],$C565,LANÇ_MOV[PLANO DE CONTAS],REL_DRE_FINANCEIRO!$B$549,LANÇ_MOV[ANO PAGAMENTO],$B$4,LANÇ_MOV[MÊS PAGAMENTO CORRESPONDENTE],L$6,LANÇ_MOV[EMPRESA],$C$4,LANÇ_MOV[CENTRO DE CUSTOS],$D$4)</f>
        <v>0</v>
      </c>
      <c r="M565" s="206">
        <f>SUMIFS(LANÇ_MOV[VALOR LÍQUIDO],LANÇ_MOV[RECEITA OU DESPESA],"Receita",LANÇ_MOV[CONTAS],$C565,LANÇ_MOV[PLANO DE CONTAS],REL_DRE_FINANCEIRO!$B$549,LANÇ_MOV[ANO PAGAMENTO],$B$4,LANÇ_MOV[MÊS PAGAMENTO CORRESPONDENTE],M$6,LANÇ_MOV[EMPRESA],$C$4,LANÇ_MOV[CENTRO DE CUSTOS],$D$4)</f>
        <v>0</v>
      </c>
      <c r="N565" s="206">
        <f>SUMIFS(LANÇ_MOV[VALOR LÍQUIDO],LANÇ_MOV[RECEITA OU DESPESA],"Receita",LANÇ_MOV[CONTAS],$C565,LANÇ_MOV[PLANO DE CONTAS],REL_DRE_FINANCEIRO!$B$549,LANÇ_MOV[ANO PAGAMENTO],$B$4,LANÇ_MOV[MÊS PAGAMENTO CORRESPONDENTE],N$6,LANÇ_MOV[EMPRESA],$C$4,LANÇ_MOV[CENTRO DE CUSTOS],$D$4)</f>
        <v>0</v>
      </c>
      <c r="O565" s="206">
        <f>SUMIFS(LANÇ_MOV[VALOR LÍQUIDO],LANÇ_MOV[RECEITA OU DESPESA],"Receita",LANÇ_MOV[CONTAS],$C565,LANÇ_MOV[PLANO DE CONTAS],REL_DRE_FINANCEIRO!$B$549,LANÇ_MOV[ANO PAGAMENTO],$B$4,LANÇ_MOV[MÊS PAGAMENTO CORRESPONDENTE],O$6,LANÇ_MOV[EMPRESA],$C$4,LANÇ_MOV[CENTRO DE CUSTOS],$D$4)</f>
        <v>0</v>
      </c>
      <c r="P565" s="207">
        <f t="shared" si="77"/>
        <v>0</v>
      </c>
      <c r="Q565" s="329">
        <v>8.4999999999999999E-6</v>
      </c>
      <c r="R565" s="346">
        <f t="shared" si="78"/>
        <v>8.4999999999999999E-6</v>
      </c>
      <c r="S565" s="347" t="str">
        <f t="shared" si="79"/>
        <v>-</v>
      </c>
      <c r="T565" s="347">
        <f t="shared" si="80"/>
        <v>0</v>
      </c>
      <c r="U565" s="347">
        <f>HLOOKUP(Apoio!$P$12,$D$548:$P$649,X565,FALSE)+Q565</f>
        <v>8.4999999999999999E-6</v>
      </c>
      <c r="V565" s="447" t="str">
        <f t="shared" si="81"/>
        <v>-</v>
      </c>
      <c r="W565" s="448">
        <f>HLOOKUP(Apoio!$P$12,$D$548:$P$649,X565,FALSE)</f>
        <v>0</v>
      </c>
      <c r="X565" s="329">
        <v>18</v>
      </c>
    </row>
    <row r="566" spans="2:27" ht="30.05" customHeight="1" x14ac:dyDescent="0.35">
      <c r="B566" s="204" t="str">
        <f>'CAD_PL_REC-DESP'!E21</f>
        <v>1.2.17</v>
      </c>
      <c r="C566" s="205" t="str">
        <f>IF('CAD_PL_REC-DESP'!F21="","-",'CAD_PL_REC-DESP'!F21)</f>
        <v>-</v>
      </c>
      <c r="D566" s="206">
        <f>SUMIFS(LANÇ_MOV[VALOR LÍQUIDO],LANÇ_MOV[RECEITA OU DESPESA],"Receita",LANÇ_MOV[CONTAS],$C566,LANÇ_MOV[PLANO DE CONTAS],REL_DRE_FINANCEIRO!$B$549,LANÇ_MOV[ANO PAGAMENTO],$B$4,LANÇ_MOV[MÊS PAGAMENTO CORRESPONDENTE],D$6,LANÇ_MOV[EMPRESA],$C$4,LANÇ_MOV[CENTRO DE CUSTOS],$D$4)</f>
        <v>0</v>
      </c>
      <c r="E566" s="206">
        <f>SUMIFS(LANÇ_MOV[VALOR LÍQUIDO],LANÇ_MOV[RECEITA OU DESPESA],"Receita",LANÇ_MOV[CONTAS],$C566,LANÇ_MOV[PLANO DE CONTAS],REL_DRE_FINANCEIRO!$B$549,LANÇ_MOV[ANO PAGAMENTO],$B$4,LANÇ_MOV[MÊS PAGAMENTO CORRESPONDENTE],E$6,LANÇ_MOV[EMPRESA],$C$4,LANÇ_MOV[CENTRO DE CUSTOS],$D$4)</f>
        <v>0</v>
      </c>
      <c r="F566" s="206">
        <f>SUMIFS(LANÇ_MOV[VALOR LÍQUIDO],LANÇ_MOV[RECEITA OU DESPESA],"Receita",LANÇ_MOV[CONTAS],$C566,LANÇ_MOV[PLANO DE CONTAS],REL_DRE_FINANCEIRO!$B$549,LANÇ_MOV[ANO PAGAMENTO],$B$4,LANÇ_MOV[MÊS PAGAMENTO CORRESPONDENTE],F$6,LANÇ_MOV[EMPRESA],$C$4,LANÇ_MOV[CENTRO DE CUSTOS],$D$4)</f>
        <v>0</v>
      </c>
      <c r="G566" s="206">
        <f>SUMIFS(LANÇ_MOV[VALOR LÍQUIDO],LANÇ_MOV[RECEITA OU DESPESA],"Receita",LANÇ_MOV[CONTAS],$C566,LANÇ_MOV[PLANO DE CONTAS],REL_DRE_FINANCEIRO!$B$549,LANÇ_MOV[ANO PAGAMENTO],$B$4,LANÇ_MOV[MÊS PAGAMENTO CORRESPONDENTE],G$6,LANÇ_MOV[EMPRESA],$C$4,LANÇ_MOV[CENTRO DE CUSTOS],$D$4)</f>
        <v>0</v>
      </c>
      <c r="H566" s="206">
        <f>SUMIFS(LANÇ_MOV[VALOR LÍQUIDO],LANÇ_MOV[RECEITA OU DESPESA],"Receita",LANÇ_MOV[CONTAS],$C566,LANÇ_MOV[PLANO DE CONTAS],REL_DRE_FINANCEIRO!$B$549,LANÇ_MOV[ANO PAGAMENTO],$B$4,LANÇ_MOV[MÊS PAGAMENTO CORRESPONDENTE],H$6,LANÇ_MOV[EMPRESA],$C$4,LANÇ_MOV[CENTRO DE CUSTOS],$D$4)</f>
        <v>0</v>
      </c>
      <c r="I566" s="206">
        <f>SUMIFS(LANÇ_MOV[VALOR LÍQUIDO],LANÇ_MOV[RECEITA OU DESPESA],"Receita",LANÇ_MOV[CONTAS],$C566,LANÇ_MOV[PLANO DE CONTAS],REL_DRE_FINANCEIRO!$B$549,LANÇ_MOV[ANO PAGAMENTO],$B$4,LANÇ_MOV[MÊS PAGAMENTO CORRESPONDENTE],I$6,LANÇ_MOV[EMPRESA],$C$4,LANÇ_MOV[CENTRO DE CUSTOS],$D$4)</f>
        <v>0</v>
      </c>
      <c r="J566" s="206">
        <f>SUMIFS(LANÇ_MOV[VALOR LÍQUIDO],LANÇ_MOV[RECEITA OU DESPESA],"Receita",LANÇ_MOV[CONTAS],$C566,LANÇ_MOV[PLANO DE CONTAS],REL_DRE_FINANCEIRO!$B$549,LANÇ_MOV[ANO PAGAMENTO],$B$4,LANÇ_MOV[MÊS PAGAMENTO CORRESPONDENTE],J$6,LANÇ_MOV[EMPRESA],$C$4,LANÇ_MOV[CENTRO DE CUSTOS],$D$4)</f>
        <v>0</v>
      </c>
      <c r="K566" s="206">
        <f>SUMIFS(LANÇ_MOV[VALOR LÍQUIDO],LANÇ_MOV[RECEITA OU DESPESA],"Receita",LANÇ_MOV[CONTAS],$C566,LANÇ_MOV[PLANO DE CONTAS],REL_DRE_FINANCEIRO!$B$549,LANÇ_MOV[ANO PAGAMENTO],$B$4,LANÇ_MOV[MÊS PAGAMENTO CORRESPONDENTE],K$6,LANÇ_MOV[EMPRESA],$C$4,LANÇ_MOV[CENTRO DE CUSTOS],$D$4)</f>
        <v>0</v>
      </c>
      <c r="L566" s="206">
        <f>SUMIFS(LANÇ_MOV[VALOR LÍQUIDO],LANÇ_MOV[RECEITA OU DESPESA],"Receita",LANÇ_MOV[CONTAS],$C566,LANÇ_MOV[PLANO DE CONTAS],REL_DRE_FINANCEIRO!$B$549,LANÇ_MOV[ANO PAGAMENTO],$B$4,LANÇ_MOV[MÊS PAGAMENTO CORRESPONDENTE],L$6,LANÇ_MOV[EMPRESA],$C$4,LANÇ_MOV[CENTRO DE CUSTOS],$D$4)</f>
        <v>0</v>
      </c>
      <c r="M566" s="206">
        <f>SUMIFS(LANÇ_MOV[VALOR LÍQUIDO],LANÇ_MOV[RECEITA OU DESPESA],"Receita",LANÇ_MOV[CONTAS],$C566,LANÇ_MOV[PLANO DE CONTAS],REL_DRE_FINANCEIRO!$B$549,LANÇ_MOV[ANO PAGAMENTO],$B$4,LANÇ_MOV[MÊS PAGAMENTO CORRESPONDENTE],M$6,LANÇ_MOV[EMPRESA],$C$4,LANÇ_MOV[CENTRO DE CUSTOS],$D$4)</f>
        <v>0</v>
      </c>
      <c r="N566" s="206">
        <f>SUMIFS(LANÇ_MOV[VALOR LÍQUIDO],LANÇ_MOV[RECEITA OU DESPESA],"Receita",LANÇ_MOV[CONTAS],$C566,LANÇ_MOV[PLANO DE CONTAS],REL_DRE_FINANCEIRO!$B$549,LANÇ_MOV[ANO PAGAMENTO],$B$4,LANÇ_MOV[MÊS PAGAMENTO CORRESPONDENTE],N$6,LANÇ_MOV[EMPRESA],$C$4,LANÇ_MOV[CENTRO DE CUSTOS],$D$4)</f>
        <v>0</v>
      </c>
      <c r="O566" s="206">
        <f>SUMIFS(LANÇ_MOV[VALOR LÍQUIDO],LANÇ_MOV[RECEITA OU DESPESA],"Receita",LANÇ_MOV[CONTAS],$C566,LANÇ_MOV[PLANO DE CONTAS],REL_DRE_FINANCEIRO!$B$549,LANÇ_MOV[ANO PAGAMENTO],$B$4,LANÇ_MOV[MÊS PAGAMENTO CORRESPONDENTE],O$6,LANÇ_MOV[EMPRESA],$C$4,LANÇ_MOV[CENTRO DE CUSTOS],$D$4)</f>
        <v>0</v>
      </c>
      <c r="P566" s="207">
        <f t="shared" si="77"/>
        <v>0</v>
      </c>
      <c r="Q566" s="329">
        <v>8.3999999999999992E-6</v>
      </c>
      <c r="R566" s="346">
        <f t="shared" si="78"/>
        <v>8.3999999999999992E-6</v>
      </c>
      <c r="S566" s="347" t="str">
        <f t="shared" si="79"/>
        <v>-</v>
      </c>
      <c r="T566" s="347">
        <f t="shared" si="80"/>
        <v>0</v>
      </c>
      <c r="U566" s="347">
        <f>HLOOKUP(Apoio!$P$12,$D$548:$P$649,X566,FALSE)+Q566</f>
        <v>8.3999999999999992E-6</v>
      </c>
      <c r="V566" s="447" t="str">
        <f t="shared" si="81"/>
        <v>-</v>
      </c>
      <c r="W566" s="448">
        <f>HLOOKUP(Apoio!$P$12,$D$548:$P$649,X566,FALSE)</f>
        <v>0</v>
      </c>
      <c r="X566" s="329">
        <v>19</v>
      </c>
    </row>
    <row r="567" spans="2:27" ht="30.05" customHeight="1" x14ac:dyDescent="0.35">
      <c r="B567" s="204" t="str">
        <f>'CAD_PL_REC-DESP'!E22</f>
        <v>1.2.18</v>
      </c>
      <c r="C567" s="205" t="str">
        <f>IF('CAD_PL_REC-DESP'!F22="","-",'CAD_PL_REC-DESP'!F22)</f>
        <v>-</v>
      </c>
      <c r="D567" s="206">
        <f>SUMIFS(LANÇ_MOV[VALOR LÍQUIDO],LANÇ_MOV[RECEITA OU DESPESA],"Receita",LANÇ_MOV[CONTAS],$C567,LANÇ_MOV[PLANO DE CONTAS],REL_DRE_FINANCEIRO!$B$549,LANÇ_MOV[ANO PAGAMENTO],$B$4,LANÇ_MOV[MÊS PAGAMENTO CORRESPONDENTE],D$6,LANÇ_MOV[EMPRESA],$C$4,LANÇ_MOV[CENTRO DE CUSTOS],$D$4)</f>
        <v>0</v>
      </c>
      <c r="E567" s="206">
        <f>SUMIFS(LANÇ_MOV[VALOR LÍQUIDO],LANÇ_MOV[RECEITA OU DESPESA],"Receita",LANÇ_MOV[CONTAS],$C567,LANÇ_MOV[PLANO DE CONTAS],REL_DRE_FINANCEIRO!$B$549,LANÇ_MOV[ANO PAGAMENTO],$B$4,LANÇ_MOV[MÊS PAGAMENTO CORRESPONDENTE],E$6,LANÇ_MOV[EMPRESA],$C$4,LANÇ_MOV[CENTRO DE CUSTOS],$D$4)</f>
        <v>0</v>
      </c>
      <c r="F567" s="206">
        <f>SUMIFS(LANÇ_MOV[VALOR LÍQUIDO],LANÇ_MOV[RECEITA OU DESPESA],"Receita",LANÇ_MOV[CONTAS],$C567,LANÇ_MOV[PLANO DE CONTAS],REL_DRE_FINANCEIRO!$B$549,LANÇ_MOV[ANO PAGAMENTO],$B$4,LANÇ_MOV[MÊS PAGAMENTO CORRESPONDENTE],F$6,LANÇ_MOV[EMPRESA],$C$4,LANÇ_MOV[CENTRO DE CUSTOS],$D$4)</f>
        <v>0</v>
      </c>
      <c r="G567" s="206">
        <f>SUMIFS(LANÇ_MOV[VALOR LÍQUIDO],LANÇ_MOV[RECEITA OU DESPESA],"Receita",LANÇ_MOV[CONTAS],$C567,LANÇ_MOV[PLANO DE CONTAS],REL_DRE_FINANCEIRO!$B$549,LANÇ_MOV[ANO PAGAMENTO],$B$4,LANÇ_MOV[MÊS PAGAMENTO CORRESPONDENTE],G$6,LANÇ_MOV[EMPRESA],$C$4,LANÇ_MOV[CENTRO DE CUSTOS],$D$4)</f>
        <v>0</v>
      </c>
      <c r="H567" s="206">
        <f>SUMIFS(LANÇ_MOV[VALOR LÍQUIDO],LANÇ_MOV[RECEITA OU DESPESA],"Receita",LANÇ_MOV[CONTAS],$C567,LANÇ_MOV[PLANO DE CONTAS],REL_DRE_FINANCEIRO!$B$549,LANÇ_MOV[ANO PAGAMENTO],$B$4,LANÇ_MOV[MÊS PAGAMENTO CORRESPONDENTE],H$6,LANÇ_MOV[EMPRESA],$C$4,LANÇ_MOV[CENTRO DE CUSTOS],$D$4)</f>
        <v>0</v>
      </c>
      <c r="I567" s="206">
        <f>SUMIFS(LANÇ_MOV[VALOR LÍQUIDO],LANÇ_MOV[RECEITA OU DESPESA],"Receita",LANÇ_MOV[CONTAS],$C567,LANÇ_MOV[PLANO DE CONTAS],REL_DRE_FINANCEIRO!$B$549,LANÇ_MOV[ANO PAGAMENTO],$B$4,LANÇ_MOV[MÊS PAGAMENTO CORRESPONDENTE],I$6,LANÇ_MOV[EMPRESA],$C$4,LANÇ_MOV[CENTRO DE CUSTOS],$D$4)</f>
        <v>0</v>
      </c>
      <c r="J567" s="206">
        <f>SUMIFS(LANÇ_MOV[VALOR LÍQUIDO],LANÇ_MOV[RECEITA OU DESPESA],"Receita",LANÇ_MOV[CONTAS],$C567,LANÇ_MOV[PLANO DE CONTAS],REL_DRE_FINANCEIRO!$B$549,LANÇ_MOV[ANO PAGAMENTO],$B$4,LANÇ_MOV[MÊS PAGAMENTO CORRESPONDENTE],J$6,LANÇ_MOV[EMPRESA],$C$4,LANÇ_MOV[CENTRO DE CUSTOS],$D$4)</f>
        <v>0</v>
      </c>
      <c r="K567" s="206">
        <f>SUMIFS(LANÇ_MOV[VALOR LÍQUIDO],LANÇ_MOV[RECEITA OU DESPESA],"Receita",LANÇ_MOV[CONTAS],$C567,LANÇ_MOV[PLANO DE CONTAS],REL_DRE_FINANCEIRO!$B$549,LANÇ_MOV[ANO PAGAMENTO],$B$4,LANÇ_MOV[MÊS PAGAMENTO CORRESPONDENTE],K$6,LANÇ_MOV[EMPRESA],$C$4,LANÇ_MOV[CENTRO DE CUSTOS],$D$4)</f>
        <v>0</v>
      </c>
      <c r="L567" s="206">
        <f>SUMIFS(LANÇ_MOV[VALOR LÍQUIDO],LANÇ_MOV[RECEITA OU DESPESA],"Receita",LANÇ_MOV[CONTAS],$C567,LANÇ_MOV[PLANO DE CONTAS],REL_DRE_FINANCEIRO!$B$549,LANÇ_MOV[ANO PAGAMENTO],$B$4,LANÇ_MOV[MÊS PAGAMENTO CORRESPONDENTE],L$6,LANÇ_MOV[EMPRESA],$C$4,LANÇ_MOV[CENTRO DE CUSTOS],$D$4)</f>
        <v>0</v>
      </c>
      <c r="M567" s="206">
        <f>SUMIFS(LANÇ_MOV[VALOR LÍQUIDO],LANÇ_MOV[RECEITA OU DESPESA],"Receita",LANÇ_MOV[CONTAS],$C567,LANÇ_MOV[PLANO DE CONTAS],REL_DRE_FINANCEIRO!$B$549,LANÇ_MOV[ANO PAGAMENTO],$B$4,LANÇ_MOV[MÊS PAGAMENTO CORRESPONDENTE],M$6,LANÇ_MOV[EMPRESA],$C$4,LANÇ_MOV[CENTRO DE CUSTOS],$D$4)</f>
        <v>0</v>
      </c>
      <c r="N567" s="206">
        <f>SUMIFS(LANÇ_MOV[VALOR LÍQUIDO],LANÇ_MOV[RECEITA OU DESPESA],"Receita",LANÇ_MOV[CONTAS],$C567,LANÇ_MOV[PLANO DE CONTAS],REL_DRE_FINANCEIRO!$B$549,LANÇ_MOV[ANO PAGAMENTO],$B$4,LANÇ_MOV[MÊS PAGAMENTO CORRESPONDENTE],N$6,LANÇ_MOV[EMPRESA],$C$4,LANÇ_MOV[CENTRO DE CUSTOS],$D$4)</f>
        <v>0</v>
      </c>
      <c r="O567" s="206">
        <f>SUMIFS(LANÇ_MOV[VALOR LÍQUIDO],LANÇ_MOV[RECEITA OU DESPESA],"Receita",LANÇ_MOV[CONTAS],$C567,LANÇ_MOV[PLANO DE CONTAS],REL_DRE_FINANCEIRO!$B$549,LANÇ_MOV[ANO PAGAMENTO],$B$4,LANÇ_MOV[MÊS PAGAMENTO CORRESPONDENTE],O$6,LANÇ_MOV[EMPRESA],$C$4,LANÇ_MOV[CENTRO DE CUSTOS],$D$4)</f>
        <v>0</v>
      </c>
      <c r="P567" s="207">
        <f t="shared" si="77"/>
        <v>0</v>
      </c>
      <c r="Q567" s="329">
        <v>8.3000000000000002E-6</v>
      </c>
      <c r="R567" s="346">
        <f t="shared" si="78"/>
        <v>8.3000000000000002E-6</v>
      </c>
      <c r="S567" s="347" t="str">
        <f t="shared" si="79"/>
        <v>-</v>
      </c>
      <c r="T567" s="347">
        <f t="shared" si="80"/>
        <v>0</v>
      </c>
      <c r="U567" s="347">
        <f>HLOOKUP(Apoio!$P$12,$D$548:$P$649,X567,FALSE)+Q567</f>
        <v>8.3000000000000002E-6</v>
      </c>
      <c r="V567" s="447" t="str">
        <f t="shared" si="81"/>
        <v>-</v>
      </c>
      <c r="W567" s="448">
        <f>HLOOKUP(Apoio!$P$12,$D$548:$P$649,X567,FALSE)</f>
        <v>0</v>
      </c>
      <c r="X567" s="329">
        <v>20</v>
      </c>
    </row>
    <row r="568" spans="2:27" ht="30.05" customHeight="1" x14ac:dyDescent="0.35">
      <c r="B568" s="204" t="str">
        <f>'CAD_PL_REC-DESP'!E23</f>
        <v>1.2.19</v>
      </c>
      <c r="C568" s="205" t="str">
        <f>IF('CAD_PL_REC-DESP'!F23="","-",'CAD_PL_REC-DESP'!F23)</f>
        <v>-</v>
      </c>
      <c r="D568" s="206">
        <f>SUMIFS(LANÇ_MOV[VALOR LÍQUIDO],LANÇ_MOV[RECEITA OU DESPESA],"Receita",LANÇ_MOV[CONTAS],$C568,LANÇ_MOV[PLANO DE CONTAS],REL_DRE_FINANCEIRO!$B$549,LANÇ_MOV[ANO PAGAMENTO],$B$4,LANÇ_MOV[MÊS PAGAMENTO CORRESPONDENTE],D$6,LANÇ_MOV[EMPRESA],$C$4,LANÇ_MOV[CENTRO DE CUSTOS],$D$4)</f>
        <v>0</v>
      </c>
      <c r="E568" s="206">
        <f>SUMIFS(LANÇ_MOV[VALOR LÍQUIDO],LANÇ_MOV[RECEITA OU DESPESA],"Receita",LANÇ_MOV[CONTAS],$C568,LANÇ_MOV[PLANO DE CONTAS],REL_DRE_FINANCEIRO!$B$549,LANÇ_MOV[ANO PAGAMENTO],$B$4,LANÇ_MOV[MÊS PAGAMENTO CORRESPONDENTE],E$6,LANÇ_MOV[EMPRESA],$C$4,LANÇ_MOV[CENTRO DE CUSTOS],$D$4)</f>
        <v>0</v>
      </c>
      <c r="F568" s="206">
        <f>SUMIFS(LANÇ_MOV[VALOR LÍQUIDO],LANÇ_MOV[RECEITA OU DESPESA],"Receita",LANÇ_MOV[CONTAS],$C568,LANÇ_MOV[PLANO DE CONTAS],REL_DRE_FINANCEIRO!$B$549,LANÇ_MOV[ANO PAGAMENTO],$B$4,LANÇ_MOV[MÊS PAGAMENTO CORRESPONDENTE],F$6,LANÇ_MOV[EMPRESA],$C$4,LANÇ_MOV[CENTRO DE CUSTOS],$D$4)</f>
        <v>0</v>
      </c>
      <c r="G568" s="206">
        <f>SUMIFS(LANÇ_MOV[VALOR LÍQUIDO],LANÇ_MOV[RECEITA OU DESPESA],"Receita",LANÇ_MOV[CONTAS],$C568,LANÇ_MOV[PLANO DE CONTAS],REL_DRE_FINANCEIRO!$B$549,LANÇ_MOV[ANO PAGAMENTO],$B$4,LANÇ_MOV[MÊS PAGAMENTO CORRESPONDENTE],G$6,LANÇ_MOV[EMPRESA],$C$4,LANÇ_MOV[CENTRO DE CUSTOS],$D$4)</f>
        <v>0</v>
      </c>
      <c r="H568" s="206">
        <f>SUMIFS(LANÇ_MOV[VALOR LÍQUIDO],LANÇ_MOV[RECEITA OU DESPESA],"Receita",LANÇ_MOV[CONTAS],$C568,LANÇ_MOV[PLANO DE CONTAS],REL_DRE_FINANCEIRO!$B$549,LANÇ_MOV[ANO PAGAMENTO],$B$4,LANÇ_MOV[MÊS PAGAMENTO CORRESPONDENTE],H$6,LANÇ_MOV[EMPRESA],$C$4,LANÇ_MOV[CENTRO DE CUSTOS],$D$4)</f>
        <v>0</v>
      </c>
      <c r="I568" s="206">
        <f>SUMIFS(LANÇ_MOV[VALOR LÍQUIDO],LANÇ_MOV[RECEITA OU DESPESA],"Receita",LANÇ_MOV[CONTAS],$C568,LANÇ_MOV[PLANO DE CONTAS],REL_DRE_FINANCEIRO!$B$549,LANÇ_MOV[ANO PAGAMENTO],$B$4,LANÇ_MOV[MÊS PAGAMENTO CORRESPONDENTE],I$6,LANÇ_MOV[EMPRESA],$C$4,LANÇ_MOV[CENTRO DE CUSTOS],$D$4)</f>
        <v>0</v>
      </c>
      <c r="J568" s="206">
        <f>SUMIFS(LANÇ_MOV[VALOR LÍQUIDO],LANÇ_MOV[RECEITA OU DESPESA],"Receita",LANÇ_MOV[CONTAS],$C568,LANÇ_MOV[PLANO DE CONTAS],REL_DRE_FINANCEIRO!$B$549,LANÇ_MOV[ANO PAGAMENTO],$B$4,LANÇ_MOV[MÊS PAGAMENTO CORRESPONDENTE],J$6,LANÇ_MOV[EMPRESA],$C$4,LANÇ_MOV[CENTRO DE CUSTOS],$D$4)</f>
        <v>0</v>
      </c>
      <c r="K568" s="206">
        <f>SUMIFS(LANÇ_MOV[VALOR LÍQUIDO],LANÇ_MOV[RECEITA OU DESPESA],"Receita",LANÇ_MOV[CONTAS],$C568,LANÇ_MOV[PLANO DE CONTAS],REL_DRE_FINANCEIRO!$B$549,LANÇ_MOV[ANO PAGAMENTO],$B$4,LANÇ_MOV[MÊS PAGAMENTO CORRESPONDENTE],K$6,LANÇ_MOV[EMPRESA],$C$4,LANÇ_MOV[CENTRO DE CUSTOS],$D$4)</f>
        <v>0</v>
      </c>
      <c r="L568" s="206">
        <f>SUMIFS(LANÇ_MOV[VALOR LÍQUIDO],LANÇ_MOV[RECEITA OU DESPESA],"Receita",LANÇ_MOV[CONTAS],$C568,LANÇ_MOV[PLANO DE CONTAS],REL_DRE_FINANCEIRO!$B$549,LANÇ_MOV[ANO PAGAMENTO],$B$4,LANÇ_MOV[MÊS PAGAMENTO CORRESPONDENTE],L$6,LANÇ_MOV[EMPRESA],$C$4,LANÇ_MOV[CENTRO DE CUSTOS],$D$4)</f>
        <v>0</v>
      </c>
      <c r="M568" s="206">
        <f>SUMIFS(LANÇ_MOV[VALOR LÍQUIDO],LANÇ_MOV[RECEITA OU DESPESA],"Receita",LANÇ_MOV[CONTAS],$C568,LANÇ_MOV[PLANO DE CONTAS],REL_DRE_FINANCEIRO!$B$549,LANÇ_MOV[ANO PAGAMENTO],$B$4,LANÇ_MOV[MÊS PAGAMENTO CORRESPONDENTE],M$6,LANÇ_MOV[EMPRESA],$C$4,LANÇ_MOV[CENTRO DE CUSTOS],$D$4)</f>
        <v>0</v>
      </c>
      <c r="N568" s="206">
        <f>SUMIFS(LANÇ_MOV[VALOR LÍQUIDO],LANÇ_MOV[RECEITA OU DESPESA],"Receita",LANÇ_MOV[CONTAS],$C568,LANÇ_MOV[PLANO DE CONTAS],REL_DRE_FINANCEIRO!$B$549,LANÇ_MOV[ANO PAGAMENTO],$B$4,LANÇ_MOV[MÊS PAGAMENTO CORRESPONDENTE],N$6,LANÇ_MOV[EMPRESA],$C$4,LANÇ_MOV[CENTRO DE CUSTOS],$D$4)</f>
        <v>0</v>
      </c>
      <c r="O568" s="206">
        <f>SUMIFS(LANÇ_MOV[VALOR LÍQUIDO],LANÇ_MOV[RECEITA OU DESPESA],"Receita",LANÇ_MOV[CONTAS],$C568,LANÇ_MOV[PLANO DE CONTAS],REL_DRE_FINANCEIRO!$B$549,LANÇ_MOV[ANO PAGAMENTO],$B$4,LANÇ_MOV[MÊS PAGAMENTO CORRESPONDENTE],O$6,LANÇ_MOV[EMPRESA],$C$4,LANÇ_MOV[CENTRO DE CUSTOS],$D$4)</f>
        <v>0</v>
      </c>
      <c r="P568" s="207">
        <f t="shared" si="77"/>
        <v>0</v>
      </c>
      <c r="Q568" s="329">
        <v>8.1999999999999994E-6</v>
      </c>
      <c r="R568" s="346">
        <f t="shared" si="78"/>
        <v>8.1999999999999994E-6</v>
      </c>
      <c r="S568" s="347" t="str">
        <f t="shared" si="79"/>
        <v>-</v>
      </c>
      <c r="T568" s="347">
        <f t="shared" si="80"/>
        <v>0</v>
      </c>
      <c r="U568" s="347">
        <f>HLOOKUP(Apoio!$P$12,$D$548:$P$649,X568,FALSE)+Q568</f>
        <v>8.1999999999999994E-6</v>
      </c>
      <c r="V568" s="447" t="str">
        <f t="shared" si="81"/>
        <v>-</v>
      </c>
      <c r="W568" s="448">
        <f>HLOOKUP(Apoio!$P$12,$D$548:$P$649,X568,FALSE)</f>
        <v>0</v>
      </c>
      <c r="X568" s="329">
        <v>21</v>
      </c>
    </row>
    <row r="569" spans="2:27" ht="30.05" customHeight="1" x14ac:dyDescent="0.35">
      <c r="B569" s="204" t="str">
        <f>'CAD_PL_REC-DESP'!E24</f>
        <v>1.2.20</v>
      </c>
      <c r="C569" s="205" t="str">
        <f>IF('CAD_PL_REC-DESP'!F24="","-",'CAD_PL_REC-DESP'!F24)</f>
        <v>-</v>
      </c>
      <c r="D569" s="206">
        <f>SUMIFS(LANÇ_MOV[VALOR LÍQUIDO],LANÇ_MOV[RECEITA OU DESPESA],"Receita",LANÇ_MOV[CONTAS],$C569,LANÇ_MOV[PLANO DE CONTAS],REL_DRE_FINANCEIRO!$B$549,LANÇ_MOV[ANO PAGAMENTO],$B$4,LANÇ_MOV[MÊS PAGAMENTO CORRESPONDENTE],D$6,LANÇ_MOV[EMPRESA],$C$4,LANÇ_MOV[CENTRO DE CUSTOS],$D$4)</f>
        <v>0</v>
      </c>
      <c r="E569" s="206">
        <f>SUMIFS(LANÇ_MOV[VALOR LÍQUIDO],LANÇ_MOV[RECEITA OU DESPESA],"Receita",LANÇ_MOV[CONTAS],$C569,LANÇ_MOV[PLANO DE CONTAS],REL_DRE_FINANCEIRO!$B$549,LANÇ_MOV[ANO PAGAMENTO],$B$4,LANÇ_MOV[MÊS PAGAMENTO CORRESPONDENTE],E$6,LANÇ_MOV[EMPRESA],$C$4,LANÇ_MOV[CENTRO DE CUSTOS],$D$4)</f>
        <v>0</v>
      </c>
      <c r="F569" s="206">
        <f>SUMIFS(LANÇ_MOV[VALOR LÍQUIDO],LANÇ_MOV[RECEITA OU DESPESA],"Receita",LANÇ_MOV[CONTAS],$C569,LANÇ_MOV[PLANO DE CONTAS],REL_DRE_FINANCEIRO!$B$549,LANÇ_MOV[ANO PAGAMENTO],$B$4,LANÇ_MOV[MÊS PAGAMENTO CORRESPONDENTE],F$6,LANÇ_MOV[EMPRESA],$C$4,LANÇ_MOV[CENTRO DE CUSTOS],$D$4)</f>
        <v>0</v>
      </c>
      <c r="G569" s="206">
        <f>SUMIFS(LANÇ_MOV[VALOR LÍQUIDO],LANÇ_MOV[RECEITA OU DESPESA],"Receita",LANÇ_MOV[CONTAS],$C569,LANÇ_MOV[PLANO DE CONTAS],REL_DRE_FINANCEIRO!$B$549,LANÇ_MOV[ANO PAGAMENTO],$B$4,LANÇ_MOV[MÊS PAGAMENTO CORRESPONDENTE],G$6,LANÇ_MOV[EMPRESA],$C$4,LANÇ_MOV[CENTRO DE CUSTOS],$D$4)</f>
        <v>0</v>
      </c>
      <c r="H569" s="206">
        <f>SUMIFS(LANÇ_MOV[VALOR LÍQUIDO],LANÇ_MOV[RECEITA OU DESPESA],"Receita",LANÇ_MOV[CONTAS],$C569,LANÇ_MOV[PLANO DE CONTAS],REL_DRE_FINANCEIRO!$B$549,LANÇ_MOV[ANO PAGAMENTO],$B$4,LANÇ_MOV[MÊS PAGAMENTO CORRESPONDENTE],H$6,LANÇ_MOV[EMPRESA],$C$4,LANÇ_MOV[CENTRO DE CUSTOS],$D$4)</f>
        <v>0</v>
      </c>
      <c r="I569" s="206">
        <f>SUMIFS(LANÇ_MOV[VALOR LÍQUIDO],LANÇ_MOV[RECEITA OU DESPESA],"Receita",LANÇ_MOV[CONTAS],$C569,LANÇ_MOV[PLANO DE CONTAS],REL_DRE_FINANCEIRO!$B$549,LANÇ_MOV[ANO PAGAMENTO],$B$4,LANÇ_MOV[MÊS PAGAMENTO CORRESPONDENTE],I$6,LANÇ_MOV[EMPRESA],$C$4,LANÇ_MOV[CENTRO DE CUSTOS],$D$4)</f>
        <v>0</v>
      </c>
      <c r="J569" s="206">
        <f>SUMIFS(LANÇ_MOV[VALOR LÍQUIDO],LANÇ_MOV[RECEITA OU DESPESA],"Receita",LANÇ_MOV[CONTAS],$C569,LANÇ_MOV[PLANO DE CONTAS],REL_DRE_FINANCEIRO!$B$549,LANÇ_MOV[ANO PAGAMENTO],$B$4,LANÇ_MOV[MÊS PAGAMENTO CORRESPONDENTE],J$6,LANÇ_MOV[EMPRESA],$C$4,LANÇ_MOV[CENTRO DE CUSTOS],$D$4)</f>
        <v>0</v>
      </c>
      <c r="K569" s="206">
        <f>SUMIFS(LANÇ_MOV[VALOR LÍQUIDO],LANÇ_MOV[RECEITA OU DESPESA],"Receita",LANÇ_MOV[CONTAS],$C569,LANÇ_MOV[PLANO DE CONTAS],REL_DRE_FINANCEIRO!$B$549,LANÇ_MOV[ANO PAGAMENTO],$B$4,LANÇ_MOV[MÊS PAGAMENTO CORRESPONDENTE],K$6,LANÇ_MOV[EMPRESA],$C$4,LANÇ_MOV[CENTRO DE CUSTOS],$D$4)</f>
        <v>0</v>
      </c>
      <c r="L569" s="206">
        <f>SUMIFS(LANÇ_MOV[VALOR LÍQUIDO],LANÇ_MOV[RECEITA OU DESPESA],"Receita",LANÇ_MOV[CONTAS],$C569,LANÇ_MOV[PLANO DE CONTAS],REL_DRE_FINANCEIRO!$B$549,LANÇ_MOV[ANO PAGAMENTO],$B$4,LANÇ_MOV[MÊS PAGAMENTO CORRESPONDENTE],L$6,LANÇ_MOV[EMPRESA],$C$4,LANÇ_MOV[CENTRO DE CUSTOS],$D$4)</f>
        <v>0</v>
      </c>
      <c r="M569" s="206">
        <f>SUMIFS(LANÇ_MOV[VALOR LÍQUIDO],LANÇ_MOV[RECEITA OU DESPESA],"Receita",LANÇ_MOV[CONTAS],$C569,LANÇ_MOV[PLANO DE CONTAS],REL_DRE_FINANCEIRO!$B$549,LANÇ_MOV[ANO PAGAMENTO],$B$4,LANÇ_MOV[MÊS PAGAMENTO CORRESPONDENTE],M$6,LANÇ_MOV[EMPRESA],$C$4,LANÇ_MOV[CENTRO DE CUSTOS],$D$4)</f>
        <v>0</v>
      </c>
      <c r="N569" s="206">
        <f>SUMIFS(LANÇ_MOV[VALOR LÍQUIDO],LANÇ_MOV[RECEITA OU DESPESA],"Receita",LANÇ_MOV[CONTAS],$C569,LANÇ_MOV[PLANO DE CONTAS],REL_DRE_FINANCEIRO!$B$549,LANÇ_MOV[ANO PAGAMENTO],$B$4,LANÇ_MOV[MÊS PAGAMENTO CORRESPONDENTE],N$6,LANÇ_MOV[EMPRESA],$C$4,LANÇ_MOV[CENTRO DE CUSTOS],$D$4)</f>
        <v>0</v>
      </c>
      <c r="O569" s="206">
        <f>SUMIFS(LANÇ_MOV[VALOR LÍQUIDO],LANÇ_MOV[RECEITA OU DESPESA],"Receita",LANÇ_MOV[CONTAS],$C569,LANÇ_MOV[PLANO DE CONTAS],REL_DRE_FINANCEIRO!$B$549,LANÇ_MOV[ANO PAGAMENTO],$B$4,LANÇ_MOV[MÊS PAGAMENTO CORRESPONDENTE],O$6,LANÇ_MOV[EMPRESA],$C$4,LANÇ_MOV[CENTRO DE CUSTOS],$D$4)</f>
        <v>0</v>
      </c>
      <c r="P569" s="207">
        <f t="shared" si="77"/>
        <v>0</v>
      </c>
      <c r="Q569" s="329">
        <v>8.1000000000000004E-6</v>
      </c>
      <c r="R569" s="346">
        <f t="shared" si="78"/>
        <v>8.1000000000000004E-6</v>
      </c>
      <c r="S569" s="347" t="str">
        <f t="shared" si="79"/>
        <v>-</v>
      </c>
      <c r="T569" s="347">
        <f t="shared" si="80"/>
        <v>0</v>
      </c>
      <c r="U569" s="347">
        <f>HLOOKUP(Apoio!$P$12,$D$548:$P$649,X569,FALSE)+Q569</f>
        <v>8.1000000000000004E-6</v>
      </c>
      <c r="V569" s="447" t="str">
        <f t="shared" si="81"/>
        <v>-</v>
      </c>
      <c r="W569" s="448">
        <f>HLOOKUP(Apoio!$P$12,$D$548:$P$649,X569,FALSE)</f>
        <v>0</v>
      </c>
      <c r="X569" s="329">
        <v>22</v>
      </c>
    </row>
    <row r="570" spans="2:27" ht="30.05" customHeight="1" x14ac:dyDescent="0.35">
      <c r="B570" s="204" t="str">
        <f>'CAD_PL_REC-DESP'!E25</f>
        <v>1.2.21</v>
      </c>
      <c r="C570" s="205" t="str">
        <f>IF('CAD_PL_REC-DESP'!F25="","-",'CAD_PL_REC-DESP'!F25)</f>
        <v>-</v>
      </c>
      <c r="D570" s="206">
        <f>SUMIFS(LANÇ_MOV[VALOR LÍQUIDO],LANÇ_MOV[RECEITA OU DESPESA],"Receita",LANÇ_MOV[CONTAS],$C570,LANÇ_MOV[PLANO DE CONTAS],REL_DRE_FINANCEIRO!$B$549,LANÇ_MOV[ANO PAGAMENTO],$B$4,LANÇ_MOV[MÊS PAGAMENTO CORRESPONDENTE],D$6,LANÇ_MOV[EMPRESA],$C$4,LANÇ_MOV[CENTRO DE CUSTOS],$D$4)</f>
        <v>0</v>
      </c>
      <c r="E570" s="206">
        <f>SUMIFS(LANÇ_MOV[VALOR LÍQUIDO],LANÇ_MOV[RECEITA OU DESPESA],"Receita",LANÇ_MOV[CONTAS],$C570,LANÇ_MOV[PLANO DE CONTAS],REL_DRE_FINANCEIRO!$B$549,LANÇ_MOV[ANO PAGAMENTO],$B$4,LANÇ_MOV[MÊS PAGAMENTO CORRESPONDENTE],E$6,LANÇ_MOV[EMPRESA],$C$4,LANÇ_MOV[CENTRO DE CUSTOS],$D$4)</f>
        <v>0</v>
      </c>
      <c r="F570" s="206">
        <f>SUMIFS(LANÇ_MOV[VALOR LÍQUIDO],LANÇ_MOV[RECEITA OU DESPESA],"Receita",LANÇ_MOV[CONTAS],$C570,LANÇ_MOV[PLANO DE CONTAS],REL_DRE_FINANCEIRO!$B$549,LANÇ_MOV[ANO PAGAMENTO],$B$4,LANÇ_MOV[MÊS PAGAMENTO CORRESPONDENTE],F$6,LANÇ_MOV[EMPRESA],$C$4,LANÇ_MOV[CENTRO DE CUSTOS],$D$4)</f>
        <v>0</v>
      </c>
      <c r="G570" s="206">
        <f>SUMIFS(LANÇ_MOV[VALOR LÍQUIDO],LANÇ_MOV[RECEITA OU DESPESA],"Receita",LANÇ_MOV[CONTAS],$C570,LANÇ_MOV[PLANO DE CONTAS],REL_DRE_FINANCEIRO!$B$549,LANÇ_MOV[ANO PAGAMENTO],$B$4,LANÇ_MOV[MÊS PAGAMENTO CORRESPONDENTE],G$6,LANÇ_MOV[EMPRESA],$C$4,LANÇ_MOV[CENTRO DE CUSTOS],$D$4)</f>
        <v>0</v>
      </c>
      <c r="H570" s="206">
        <f>SUMIFS(LANÇ_MOV[VALOR LÍQUIDO],LANÇ_MOV[RECEITA OU DESPESA],"Receita",LANÇ_MOV[CONTAS],$C570,LANÇ_MOV[PLANO DE CONTAS],REL_DRE_FINANCEIRO!$B$549,LANÇ_MOV[ANO PAGAMENTO],$B$4,LANÇ_MOV[MÊS PAGAMENTO CORRESPONDENTE],H$6,LANÇ_MOV[EMPRESA],$C$4,LANÇ_MOV[CENTRO DE CUSTOS],$D$4)</f>
        <v>0</v>
      </c>
      <c r="I570" s="206">
        <f>SUMIFS(LANÇ_MOV[VALOR LÍQUIDO],LANÇ_MOV[RECEITA OU DESPESA],"Receita",LANÇ_MOV[CONTAS],$C570,LANÇ_MOV[PLANO DE CONTAS],REL_DRE_FINANCEIRO!$B$549,LANÇ_MOV[ANO PAGAMENTO],$B$4,LANÇ_MOV[MÊS PAGAMENTO CORRESPONDENTE],I$6,LANÇ_MOV[EMPRESA],$C$4,LANÇ_MOV[CENTRO DE CUSTOS],$D$4)</f>
        <v>0</v>
      </c>
      <c r="J570" s="206">
        <f>SUMIFS(LANÇ_MOV[VALOR LÍQUIDO],LANÇ_MOV[RECEITA OU DESPESA],"Receita",LANÇ_MOV[CONTAS],$C570,LANÇ_MOV[PLANO DE CONTAS],REL_DRE_FINANCEIRO!$B$549,LANÇ_MOV[ANO PAGAMENTO],$B$4,LANÇ_MOV[MÊS PAGAMENTO CORRESPONDENTE],J$6,LANÇ_MOV[EMPRESA],$C$4,LANÇ_MOV[CENTRO DE CUSTOS],$D$4)</f>
        <v>0</v>
      </c>
      <c r="K570" s="206">
        <f>SUMIFS(LANÇ_MOV[VALOR LÍQUIDO],LANÇ_MOV[RECEITA OU DESPESA],"Receita",LANÇ_MOV[CONTAS],$C570,LANÇ_MOV[PLANO DE CONTAS],REL_DRE_FINANCEIRO!$B$549,LANÇ_MOV[ANO PAGAMENTO],$B$4,LANÇ_MOV[MÊS PAGAMENTO CORRESPONDENTE],K$6,LANÇ_MOV[EMPRESA],$C$4,LANÇ_MOV[CENTRO DE CUSTOS],$D$4)</f>
        <v>0</v>
      </c>
      <c r="L570" s="206">
        <f>SUMIFS(LANÇ_MOV[VALOR LÍQUIDO],LANÇ_MOV[RECEITA OU DESPESA],"Receita",LANÇ_MOV[CONTAS],$C570,LANÇ_MOV[PLANO DE CONTAS],REL_DRE_FINANCEIRO!$B$549,LANÇ_MOV[ANO PAGAMENTO],$B$4,LANÇ_MOV[MÊS PAGAMENTO CORRESPONDENTE],L$6,LANÇ_MOV[EMPRESA],$C$4,LANÇ_MOV[CENTRO DE CUSTOS],$D$4)</f>
        <v>0</v>
      </c>
      <c r="M570" s="206">
        <f>SUMIFS(LANÇ_MOV[VALOR LÍQUIDO],LANÇ_MOV[RECEITA OU DESPESA],"Receita",LANÇ_MOV[CONTAS],$C570,LANÇ_MOV[PLANO DE CONTAS],REL_DRE_FINANCEIRO!$B$549,LANÇ_MOV[ANO PAGAMENTO],$B$4,LANÇ_MOV[MÊS PAGAMENTO CORRESPONDENTE],M$6,LANÇ_MOV[EMPRESA],$C$4,LANÇ_MOV[CENTRO DE CUSTOS],$D$4)</f>
        <v>0</v>
      </c>
      <c r="N570" s="206">
        <f>SUMIFS(LANÇ_MOV[VALOR LÍQUIDO],LANÇ_MOV[RECEITA OU DESPESA],"Receita",LANÇ_MOV[CONTAS],$C570,LANÇ_MOV[PLANO DE CONTAS],REL_DRE_FINANCEIRO!$B$549,LANÇ_MOV[ANO PAGAMENTO],$B$4,LANÇ_MOV[MÊS PAGAMENTO CORRESPONDENTE],N$6,LANÇ_MOV[EMPRESA],$C$4,LANÇ_MOV[CENTRO DE CUSTOS],$D$4)</f>
        <v>0</v>
      </c>
      <c r="O570" s="206">
        <f>SUMIFS(LANÇ_MOV[VALOR LÍQUIDO],LANÇ_MOV[RECEITA OU DESPESA],"Receita",LANÇ_MOV[CONTAS],$C570,LANÇ_MOV[PLANO DE CONTAS],REL_DRE_FINANCEIRO!$B$549,LANÇ_MOV[ANO PAGAMENTO],$B$4,LANÇ_MOV[MÊS PAGAMENTO CORRESPONDENTE],O$6,LANÇ_MOV[EMPRESA],$C$4,LANÇ_MOV[CENTRO DE CUSTOS],$D$4)</f>
        <v>0</v>
      </c>
      <c r="P570" s="207">
        <f t="shared" si="77"/>
        <v>0</v>
      </c>
      <c r="Q570" s="329">
        <v>7.9999999999999996E-6</v>
      </c>
      <c r="R570" s="346">
        <f t="shared" si="78"/>
        <v>7.9999999999999996E-6</v>
      </c>
      <c r="S570" s="347" t="str">
        <f t="shared" si="79"/>
        <v>-</v>
      </c>
      <c r="T570" s="347">
        <f t="shared" si="80"/>
        <v>0</v>
      </c>
      <c r="U570" s="347">
        <f>HLOOKUP(Apoio!$P$12,$D$548:$P$649,X570,FALSE)+Q570</f>
        <v>7.9999999999999996E-6</v>
      </c>
      <c r="V570" s="447" t="str">
        <f t="shared" si="81"/>
        <v>-</v>
      </c>
      <c r="W570" s="448">
        <f>HLOOKUP(Apoio!$P$12,$D$548:$P$649,X570,FALSE)</f>
        <v>0</v>
      </c>
      <c r="X570" s="329">
        <v>23</v>
      </c>
    </row>
    <row r="571" spans="2:27" ht="30.05" customHeight="1" x14ac:dyDescent="0.35">
      <c r="B571" s="204" t="str">
        <f>'CAD_PL_REC-DESP'!E26</f>
        <v>1.2.22</v>
      </c>
      <c r="C571" s="205" t="str">
        <f>IF('CAD_PL_REC-DESP'!F26="","-",'CAD_PL_REC-DESP'!F26)</f>
        <v>-</v>
      </c>
      <c r="D571" s="206">
        <f>SUMIFS(LANÇ_MOV[VALOR LÍQUIDO],LANÇ_MOV[RECEITA OU DESPESA],"Receita",LANÇ_MOV[CONTAS],$C571,LANÇ_MOV[PLANO DE CONTAS],REL_DRE_FINANCEIRO!$B$549,LANÇ_MOV[ANO PAGAMENTO],$B$4,LANÇ_MOV[MÊS PAGAMENTO CORRESPONDENTE],D$6,LANÇ_MOV[EMPRESA],$C$4,LANÇ_MOV[CENTRO DE CUSTOS],$D$4)</f>
        <v>0</v>
      </c>
      <c r="E571" s="206">
        <f>SUMIFS(LANÇ_MOV[VALOR LÍQUIDO],LANÇ_MOV[RECEITA OU DESPESA],"Receita",LANÇ_MOV[CONTAS],$C571,LANÇ_MOV[PLANO DE CONTAS],REL_DRE_FINANCEIRO!$B$549,LANÇ_MOV[ANO PAGAMENTO],$B$4,LANÇ_MOV[MÊS PAGAMENTO CORRESPONDENTE],E$6,LANÇ_MOV[EMPRESA],$C$4,LANÇ_MOV[CENTRO DE CUSTOS],$D$4)</f>
        <v>0</v>
      </c>
      <c r="F571" s="206">
        <f>SUMIFS(LANÇ_MOV[VALOR LÍQUIDO],LANÇ_MOV[RECEITA OU DESPESA],"Receita",LANÇ_MOV[CONTAS],$C571,LANÇ_MOV[PLANO DE CONTAS],REL_DRE_FINANCEIRO!$B$549,LANÇ_MOV[ANO PAGAMENTO],$B$4,LANÇ_MOV[MÊS PAGAMENTO CORRESPONDENTE],F$6,LANÇ_MOV[EMPRESA],$C$4,LANÇ_MOV[CENTRO DE CUSTOS],$D$4)</f>
        <v>0</v>
      </c>
      <c r="G571" s="206">
        <f>SUMIFS(LANÇ_MOV[VALOR LÍQUIDO],LANÇ_MOV[RECEITA OU DESPESA],"Receita",LANÇ_MOV[CONTAS],$C571,LANÇ_MOV[PLANO DE CONTAS],REL_DRE_FINANCEIRO!$B$549,LANÇ_MOV[ANO PAGAMENTO],$B$4,LANÇ_MOV[MÊS PAGAMENTO CORRESPONDENTE],G$6,LANÇ_MOV[EMPRESA],$C$4,LANÇ_MOV[CENTRO DE CUSTOS],$D$4)</f>
        <v>0</v>
      </c>
      <c r="H571" s="206">
        <f>SUMIFS(LANÇ_MOV[VALOR LÍQUIDO],LANÇ_MOV[RECEITA OU DESPESA],"Receita",LANÇ_MOV[CONTAS],$C571,LANÇ_MOV[PLANO DE CONTAS],REL_DRE_FINANCEIRO!$B$549,LANÇ_MOV[ANO PAGAMENTO],$B$4,LANÇ_MOV[MÊS PAGAMENTO CORRESPONDENTE],H$6,LANÇ_MOV[EMPRESA],$C$4,LANÇ_MOV[CENTRO DE CUSTOS],$D$4)</f>
        <v>0</v>
      </c>
      <c r="I571" s="206">
        <f>SUMIFS(LANÇ_MOV[VALOR LÍQUIDO],LANÇ_MOV[RECEITA OU DESPESA],"Receita",LANÇ_MOV[CONTAS],$C571,LANÇ_MOV[PLANO DE CONTAS],REL_DRE_FINANCEIRO!$B$549,LANÇ_MOV[ANO PAGAMENTO],$B$4,LANÇ_MOV[MÊS PAGAMENTO CORRESPONDENTE],I$6,LANÇ_MOV[EMPRESA],$C$4,LANÇ_MOV[CENTRO DE CUSTOS],$D$4)</f>
        <v>0</v>
      </c>
      <c r="J571" s="206">
        <f>SUMIFS(LANÇ_MOV[VALOR LÍQUIDO],LANÇ_MOV[RECEITA OU DESPESA],"Receita",LANÇ_MOV[CONTAS],$C571,LANÇ_MOV[PLANO DE CONTAS],REL_DRE_FINANCEIRO!$B$549,LANÇ_MOV[ANO PAGAMENTO],$B$4,LANÇ_MOV[MÊS PAGAMENTO CORRESPONDENTE],J$6,LANÇ_MOV[EMPRESA],$C$4,LANÇ_MOV[CENTRO DE CUSTOS],$D$4)</f>
        <v>0</v>
      </c>
      <c r="K571" s="206">
        <f>SUMIFS(LANÇ_MOV[VALOR LÍQUIDO],LANÇ_MOV[RECEITA OU DESPESA],"Receita",LANÇ_MOV[CONTAS],$C571,LANÇ_MOV[PLANO DE CONTAS],REL_DRE_FINANCEIRO!$B$549,LANÇ_MOV[ANO PAGAMENTO],$B$4,LANÇ_MOV[MÊS PAGAMENTO CORRESPONDENTE],K$6,LANÇ_MOV[EMPRESA],$C$4,LANÇ_MOV[CENTRO DE CUSTOS],$D$4)</f>
        <v>0</v>
      </c>
      <c r="L571" s="206">
        <f>SUMIFS(LANÇ_MOV[VALOR LÍQUIDO],LANÇ_MOV[RECEITA OU DESPESA],"Receita",LANÇ_MOV[CONTAS],$C571,LANÇ_MOV[PLANO DE CONTAS],REL_DRE_FINANCEIRO!$B$549,LANÇ_MOV[ANO PAGAMENTO],$B$4,LANÇ_MOV[MÊS PAGAMENTO CORRESPONDENTE],L$6,LANÇ_MOV[EMPRESA],$C$4,LANÇ_MOV[CENTRO DE CUSTOS],$D$4)</f>
        <v>0</v>
      </c>
      <c r="M571" s="206">
        <f>SUMIFS(LANÇ_MOV[VALOR LÍQUIDO],LANÇ_MOV[RECEITA OU DESPESA],"Receita",LANÇ_MOV[CONTAS],$C571,LANÇ_MOV[PLANO DE CONTAS],REL_DRE_FINANCEIRO!$B$549,LANÇ_MOV[ANO PAGAMENTO],$B$4,LANÇ_MOV[MÊS PAGAMENTO CORRESPONDENTE],M$6,LANÇ_MOV[EMPRESA],$C$4,LANÇ_MOV[CENTRO DE CUSTOS],$D$4)</f>
        <v>0</v>
      </c>
      <c r="N571" s="206">
        <f>SUMIFS(LANÇ_MOV[VALOR LÍQUIDO],LANÇ_MOV[RECEITA OU DESPESA],"Receita",LANÇ_MOV[CONTAS],$C571,LANÇ_MOV[PLANO DE CONTAS],REL_DRE_FINANCEIRO!$B$549,LANÇ_MOV[ANO PAGAMENTO],$B$4,LANÇ_MOV[MÊS PAGAMENTO CORRESPONDENTE],N$6,LANÇ_MOV[EMPRESA],$C$4,LANÇ_MOV[CENTRO DE CUSTOS],$D$4)</f>
        <v>0</v>
      </c>
      <c r="O571" s="206">
        <f>SUMIFS(LANÇ_MOV[VALOR LÍQUIDO],LANÇ_MOV[RECEITA OU DESPESA],"Receita",LANÇ_MOV[CONTAS],$C571,LANÇ_MOV[PLANO DE CONTAS],REL_DRE_FINANCEIRO!$B$549,LANÇ_MOV[ANO PAGAMENTO],$B$4,LANÇ_MOV[MÊS PAGAMENTO CORRESPONDENTE],O$6,LANÇ_MOV[EMPRESA],$C$4,LANÇ_MOV[CENTRO DE CUSTOS],$D$4)</f>
        <v>0</v>
      </c>
      <c r="P571" s="207">
        <f t="shared" si="77"/>
        <v>0</v>
      </c>
      <c r="Q571" s="329">
        <v>7.9000000000000006E-6</v>
      </c>
      <c r="R571" s="346">
        <f t="shared" si="78"/>
        <v>7.9000000000000006E-6</v>
      </c>
      <c r="S571" s="347" t="str">
        <f t="shared" si="79"/>
        <v>-</v>
      </c>
      <c r="T571" s="347">
        <f t="shared" si="80"/>
        <v>0</v>
      </c>
      <c r="U571" s="347">
        <f>HLOOKUP(Apoio!$P$12,$D$548:$P$649,X571,FALSE)+Q571</f>
        <v>7.9000000000000006E-6</v>
      </c>
      <c r="V571" s="447" t="str">
        <f t="shared" si="81"/>
        <v>-</v>
      </c>
      <c r="W571" s="448">
        <f>HLOOKUP(Apoio!$P$12,$D$548:$P$649,X571,FALSE)</f>
        <v>0</v>
      </c>
      <c r="X571" s="329">
        <v>24</v>
      </c>
    </row>
    <row r="572" spans="2:27" ht="30.05" customHeight="1" x14ac:dyDescent="0.35">
      <c r="B572" s="204" t="str">
        <f>'CAD_PL_REC-DESP'!E27</f>
        <v>1.2.23</v>
      </c>
      <c r="C572" s="205" t="str">
        <f>IF('CAD_PL_REC-DESP'!F27="","-",'CAD_PL_REC-DESP'!F27)</f>
        <v>-</v>
      </c>
      <c r="D572" s="206">
        <f>SUMIFS(LANÇ_MOV[VALOR LÍQUIDO],LANÇ_MOV[RECEITA OU DESPESA],"Receita",LANÇ_MOV[CONTAS],$C572,LANÇ_MOV[PLANO DE CONTAS],REL_DRE_FINANCEIRO!$B$549,LANÇ_MOV[ANO PAGAMENTO],$B$4,LANÇ_MOV[MÊS PAGAMENTO CORRESPONDENTE],D$6,LANÇ_MOV[EMPRESA],$C$4,LANÇ_MOV[CENTRO DE CUSTOS],$D$4)</f>
        <v>0</v>
      </c>
      <c r="E572" s="206">
        <f>SUMIFS(LANÇ_MOV[VALOR LÍQUIDO],LANÇ_MOV[RECEITA OU DESPESA],"Receita",LANÇ_MOV[CONTAS],$C572,LANÇ_MOV[PLANO DE CONTAS],REL_DRE_FINANCEIRO!$B$549,LANÇ_MOV[ANO PAGAMENTO],$B$4,LANÇ_MOV[MÊS PAGAMENTO CORRESPONDENTE],E$6,LANÇ_MOV[EMPRESA],$C$4,LANÇ_MOV[CENTRO DE CUSTOS],$D$4)</f>
        <v>0</v>
      </c>
      <c r="F572" s="206">
        <f>SUMIFS(LANÇ_MOV[VALOR LÍQUIDO],LANÇ_MOV[RECEITA OU DESPESA],"Receita",LANÇ_MOV[CONTAS],$C572,LANÇ_MOV[PLANO DE CONTAS],REL_DRE_FINANCEIRO!$B$549,LANÇ_MOV[ANO PAGAMENTO],$B$4,LANÇ_MOV[MÊS PAGAMENTO CORRESPONDENTE],F$6,LANÇ_MOV[EMPRESA],$C$4,LANÇ_MOV[CENTRO DE CUSTOS],$D$4)</f>
        <v>0</v>
      </c>
      <c r="G572" s="206">
        <f>SUMIFS(LANÇ_MOV[VALOR LÍQUIDO],LANÇ_MOV[RECEITA OU DESPESA],"Receita",LANÇ_MOV[CONTAS],$C572,LANÇ_MOV[PLANO DE CONTAS],REL_DRE_FINANCEIRO!$B$549,LANÇ_MOV[ANO PAGAMENTO],$B$4,LANÇ_MOV[MÊS PAGAMENTO CORRESPONDENTE],G$6,LANÇ_MOV[EMPRESA],$C$4,LANÇ_MOV[CENTRO DE CUSTOS],$D$4)</f>
        <v>0</v>
      </c>
      <c r="H572" s="206">
        <f>SUMIFS(LANÇ_MOV[VALOR LÍQUIDO],LANÇ_MOV[RECEITA OU DESPESA],"Receita",LANÇ_MOV[CONTAS],$C572,LANÇ_MOV[PLANO DE CONTAS],REL_DRE_FINANCEIRO!$B$549,LANÇ_MOV[ANO PAGAMENTO],$B$4,LANÇ_MOV[MÊS PAGAMENTO CORRESPONDENTE],H$6,LANÇ_MOV[EMPRESA],$C$4,LANÇ_MOV[CENTRO DE CUSTOS],$D$4)</f>
        <v>0</v>
      </c>
      <c r="I572" s="206">
        <f>SUMIFS(LANÇ_MOV[VALOR LÍQUIDO],LANÇ_MOV[RECEITA OU DESPESA],"Receita",LANÇ_MOV[CONTAS],$C572,LANÇ_MOV[PLANO DE CONTAS],REL_DRE_FINANCEIRO!$B$549,LANÇ_MOV[ANO PAGAMENTO],$B$4,LANÇ_MOV[MÊS PAGAMENTO CORRESPONDENTE],I$6,LANÇ_MOV[EMPRESA],$C$4,LANÇ_MOV[CENTRO DE CUSTOS],$D$4)</f>
        <v>0</v>
      </c>
      <c r="J572" s="206">
        <f>SUMIFS(LANÇ_MOV[VALOR LÍQUIDO],LANÇ_MOV[RECEITA OU DESPESA],"Receita",LANÇ_MOV[CONTAS],$C572,LANÇ_MOV[PLANO DE CONTAS],REL_DRE_FINANCEIRO!$B$549,LANÇ_MOV[ANO PAGAMENTO],$B$4,LANÇ_MOV[MÊS PAGAMENTO CORRESPONDENTE],J$6,LANÇ_MOV[EMPRESA],$C$4,LANÇ_MOV[CENTRO DE CUSTOS],$D$4)</f>
        <v>0</v>
      </c>
      <c r="K572" s="206">
        <f>SUMIFS(LANÇ_MOV[VALOR LÍQUIDO],LANÇ_MOV[RECEITA OU DESPESA],"Receita",LANÇ_MOV[CONTAS],$C572,LANÇ_MOV[PLANO DE CONTAS],REL_DRE_FINANCEIRO!$B$549,LANÇ_MOV[ANO PAGAMENTO],$B$4,LANÇ_MOV[MÊS PAGAMENTO CORRESPONDENTE],K$6,LANÇ_MOV[EMPRESA],$C$4,LANÇ_MOV[CENTRO DE CUSTOS],$D$4)</f>
        <v>0</v>
      </c>
      <c r="L572" s="206">
        <f>SUMIFS(LANÇ_MOV[VALOR LÍQUIDO],LANÇ_MOV[RECEITA OU DESPESA],"Receita",LANÇ_MOV[CONTAS],$C572,LANÇ_MOV[PLANO DE CONTAS],REL_DRE_FINANCEIRO!$B$549,LANÇ_MOV[ANO PAGAMENTO],$B$4,LANÇ_MOV[MÊS PAGAMENTO CORRESPONDENTE],L$6,LANÇ_MOV[EMPRESA],$C$4,LANÇ_MOV[CENTRO DE CUSTOS],$D$4)</f>
        <v>0</v>
      </c>
      <c r="M572" s="206">
        <f>SUMIFS(LANÇ_MOV[VALOR LÍQUIDO],LANÇ_MOV[RECEITA OU DESPESA],"Receita",LANÇ_MOV[CONTAS],$C572,LANÇ_MOV[PLANO DE CONTAS],REL_DRE_FINANCEIRO!$B$549,LANÇ_MOV[ANO PAGAMENTO],$B$4,LANÇ_MOV[MÊS PAGAMENTO CORRESPONDENTE],M$6,LANÇ_MOV[EMPRESA],$C$4,LANÇ_MOV[CENTRO DE CUSTOS],$D$4)</f>
        <v>0</v>
      </c>
      <c r="N572" s="206">
        <f>SUMIFS(LANÇ_MOV[VALOR LÍQUIDO],LANÇ_MOV[RECEITA OU DESPESA],"Receita",LANÇ_MOV[CONTAS],$C572,LANÇ_MOV[PLANO DE CONTAS],REL_DRE_FINANCEIRO!$B$549,LANÇ_MOV[ANO PAGAMENTO],$B$4,LANÇ_MOV[MÊS PAGAMENTO CORRESPONDENTE],N$6,LANÇ_MOV[EMPRESA],$C$4,LANÇ_MOV[CENTRO DE CUSTOS],$D$4)</f>
        <v>0</v>
      </c>
      <c r="O572" s="206">
        <f>SUMIFS(LANÇ_MOV[VALOR LÍQUIDO],LANÇ_MOV[RECEITA OU DESPESA],"Receita",LANÇ_MOV[CONTAS],$C572,LANÇ_MOV[PLANO DE CONTAS],REL_DRE_FINANCEIRO!$B$549,LANÇ_MOV[ANO PAGAMENTO],$B$4,LANÇ_MOV[MÊS PAGAMENTO CORRESPONDENTE],O$6,LANÇ_MOV[EMPRESA],$C$4,LANÇ_MOV[CENTRO DE CUSTOS],$D$4)</f>
        <v>0</v>
      </c>
      <c r="P572" s="207">
        <f t="shared" si="77"/>
        <v>0</v>
      </c>
      <c r="Q572" s="329">
        <v>7.7999999999999999E-6</v>
      </c>
      <c r="R572" s="346">
        <f t="shared" si="78"/>
        <v>7.7999999999999999E-6</v>
      </c>
      <c r="S572" s="347" t="str">
        <f t="shared" si="79"/>
        <v>-</v>
      </c>
      <c r="T572" s="347">
        <f t="shared" si="80"/>
        <v>0</v>
      </c>
      <c r="U572" s="347">
        <f>HLOOKUP(Apoio!$P$12,$D$548:$P$649,X572,FALSE)+Q572</f>
        <v>7.7999999999999999E-6</v>
      </c>
      <c r="V572" s="447" t="str">
        <f t="shared" si="81"/>
        <v>-</v>
      </c>
      <c r="W572" s="448">
        <f>HLOOKUP(Apoio!$P$12,$D$548:$P$649,X572,FALSE)</f>
        <v>0</v>
      </c>
      <c r="X572" s="329">
        <v>25</v>
      </c>
    </row>
    <row r="573" spans="2:27" ht="30.05" customHeight="1" x14ac:dyDescent="0.35">
      <c r="B573" s="204" t="str">
        <f>'CAD_PL_REC-DESP'!E28</f>
        <v>1.2.24</v>
      </c>
      <c r="C573" s="205" t="str">
        <f>IF('CAD_PL_REC-DESP'!F28="","-",'CAD_PL_REC-DESP'!F28)</f>
        <v>-</v>
      </c>
      <c r="D573" s="206">
        <f>SUMIFS(LANÇ_MOV[VALOR LÍQUIDO],LANÇ_MOV[RECEITA OU DESPESA],"Receita",LANÇ_MOV[CONTAS],$C573,LANÇ_MOV[PLANO DE CONTAS],REL_DRE_FINANCEIRO!$B$549,LANÇ_MOV[ANO PAGAMENTO],$B$4,LANÇ_MOV[MÊS PAGAMENTO CORRESPONDENTE],D$6,LANÇ_MOV[EMPRESA],$C$4,LANÇ_MOV[CENTRO DE CUSTOS],$D$4)</f>
        <v>0</v>
      </c>
      <c r="E573" s="206">
        <f>SUMIFS(LANÇ_MOV[VALOR LÍQUIDO],LANÇ_MOV[RECEITA OU DESPESA],"Receita",LANÇ_MOV[CONTAS],$C573,LANÇ_MOV[PLANO DE CONTAS],REL_DRE_FINANCEIRO!$B$549,LANÇ_MOV[ANO PAGAMENTO],$B$4,LANÇ_MOV[MÊS PAGAMENTO CORRESPONDENTE],E$6,LANÇ_MOV[EMPRESA],$C$4,LANÇ_MOV[CENTRO DE CUSTOS],$D$4)</f>
        <v>0</v>
      </c>
      <c r="F573" s="206">
        <f>SUMIFS(LANÇ_MOV[VALOR LÍQUIDO],LANÇ_MOV[RECEITA OU DESPESA],"Receita",LANÇ_MOV[CONTAS],$C573,LANÇ_MOV[PLANO DE CONTAS],REL_DRE_FINANCEIRO!$B$549,LANÇ_MOV[ANO PAGAMENTO],$B$4,LANÇ_MOV[MÊS PAGAMENTO CORRESPONDENTE],F$6,LANÇ_MOV[EMPRESA],$C$4,LANÇ_MOV[CENTRO DE CUSTOS],$D$4)</f>
        <v>0</v>
      </c>
      <c r="G573" s="206">
        <f>SUMIFS(LANÇ_MOV[VALOR LÍQUIDO],LANÇ_MOV[RECEITA OU DESPESA],"Receita",LANÇ_MOV[CONTAS],$C573,LANÇ_MOV[PLANO DE CONTAS],REL_DRE_FINANCEIRO!$B$549,LANÇ_MOV[ANO PAGAMENTO],$B$4,LANÇ_MOV[MÊS PAGAMENTO CORRESPONDENTE],G$6,LANÇ_MOV[EMPRESA],$C$4,LANÇ_MOV[CENTRO DE CUSTOS],$D$4)</f>
        <v>0</v>
      </c>
      <c r="H573" s="206">
        <f>SUMIFS(LANÇ_MOV[VALOR LÍQUIDO],LANÇ_MOV[RECEITA OU DESPESA],"Receita",LANÇ_MOV[CONTAS],$C573,LANÇ_MOV[PLANO DE CONTAS],REL_DRE_FINANCEIRO!$B$549,LANÇ_MOV[ANO PAGAMENTO],$B$4,LANÇ_MOV[MÊS PAGAMENTO CORRESPONDENTE],H$6,LANÇ_MOV[EMPRESA],$C$4,LANÇ_MOV[CENTRO DE CUSTOS],$D$4)</f>
        <v>0</v>
      </c>
      <c r="I573" s="206">
        <f>SUMIFS(LANÇ_MOV[VALOR LÍQUIDO],LANÇ_MOV[RECEITA OU DESPESA],"Receita",LANÇ_MOV[CONTAS],$C573,LANÇ_MOV[PLANO DE CONTAS],REL_DRE_FINANCEIRO!$B$549,LANÇ_MOV[ANO PAGAMENTO],$B$4,LANÇ_MOV[MÊS PAGAMENTO CORRESPONDENTE],I$6,LANÇ_MOV[EMPRESA],$C$4,LANÇ_MOV[CENTRO DE CUSTOS],$D$4)</f>
        <v>0</v>
      </c>
      <c r="J573" s="206">
        <f>SUMIFS(LANÇ_MOV[VALOR LÍQUIDO],LANÇ_MOV[RECEITA OU DESPESA],"Receita",LANÇ_MOV[CONTAS],$C573,LANÇ_MOV[PLANO DE CONTAS],REL_DRE_FINANCEIRO!$B$549,LANÇ_MOV[ANO PAGAMENTO],$B$4,LANÇ_MOV[MÊS PAGAMENTO CORRESPONDENTE],J$6,LANÇ_MOV[EMPRESA],$C$4,LANÇ_MOV[CENTRO DE CUSTOS],$D$4)</f>
        <v>0</v>
      </c>
      <c r="K573" s="206">
        <f>SUMIFS(LANÇ_MOV[VALOR LÍQUIDO],LANÇ_MOV[RECEITA OU DESPESA],"Receita",LANÇ_MOV[CONTAS],$C573,LANÇ_MOV[PLANO DE CONTAS],REL_DRE_FINANCEIRO!$B$549,LANÇ_MOV[ANO PAGAMENTO],$B$4,LANÇ_MOV[MÊS PAGAMENTO CORRESPONDENTE],K$6,LANÇ_MOV[EMPRESA],$C$4,LANÇ_MOV[CENTRO DE CUSTOS],$D$4)</f>
        <v>0</v>
      </c>
      <c r="L573" s="206">
        <f>SUMIFS(LANÇ_MOV[VALOR LÍQUIDO],LANÇ_MOV[RECEITA OU DESPESA],"Receita",LANÇ_MOV[CONTAS],$C573,LANÇ_MOV[PLANO DE CONTAS],REL_DRE_FINANCEIRO!$B$549,LANÇ_MOV[ANO PAGAMENTO],$B$4,LANÇ_MOV[MÊS PAGAMENTO CORRESPONDENTE],L$6,LANÇ_MOV[EMPRESA],$C$4,LANÇ_MOV[CENTRO DE CUSTOS],$D$4)</f>
        <v>0</v>
      </c>
      <c r="M573" s="206">
        <f>SUMIFS(LANÇ_MOV[VALOR LÍQUIDO],LANÇ_MOV[RECEITA OU DESPESA],"Receita",LANÇ_MOV[CONTAS],$C573,LANÇ_MOV[PLANO DE CONTAS],REL_DRE_FINANCEIRO!$B$549,LANÇ_MOV[ANO PAGAMENTO],$B$4,LANÇ_MOV[MÊS PAGAMENTO CORRESPONDENTE],M$6,LANÇ_MOV[EMPRESA],$C$4,LANÇ_MOV[CENTRO DE CUSTOS],$D$4)</f>
        <v>0</v>
      </c>
      <c r="N573" s="206">
        <f>SUMIFS(LANÇ_MOV[VALOR LÍQUIDO],LANÇ_MOV[RECEITA OU DESPESA],"Receita",LANÇ_MOV[CONTAS],$C573,LANÇ_MOV[PLANO DE CONTAS],REL_DRE_FINANCEIRO!$B$549,LANÇ_MOV[ANO PAGAMENTO],$B$4,LANÇ_MOV[MÊS PAGAMENTO CORRESPONDENTE],N$6,LANÇ_MOV[EMPRESA],$C$4,LANÇ_MOV[CENTRO DE CUSTOS],$D$4)</f>
        <v>0</v>
      </c>
      <c r="O573" s="206">
        <f>SUMIFS(LANÇ_MOV[VALOR LÍQUIDO],LANÇ_MOV[RECEITA OU DESPESA],"Receita",LANÇ_MOV[CONTAS],$C573,LANÇ_MOV[PLANO DE CONTAS],REL_DRE_FINANCEIRO!$B$549,LANÇ_MOV[ANO PAGAMENTO],$B$4,LANÇ_MOV[MÊS PAGAMENTO CORRESPONDENTE],O$6,LANÇ_MOV[EMPRESA],$C$4,LANÇ_MOV[CENTRO DE CUSTOS],$D$4)</f>
        <v>0</v>
      </c>
      <c r="P573" s="207">
        <f t="shared" si="77"/>
        <v>0</v>
      </c>
      <c r="Q573" s="329">
        <v>7.7000000000000008E-6</v>
      </c>
      <c r="R573" s="346">
        <f t="shared" si="78"/>
        <v>7.7000000000000008E-6</v>
      </c>
      <c r="S573" s="347" t="str">
        <f t="shared" si="79"/>
        <v>-</v>
      </c>
      <c r="T573" s="347">
        <f t="shared" si="80"/>
        <v>0</v>
      </c>
      <c r="U573" s="347">
        <f>HLOOKUP(Apoio!$P$12,$D$548:$P$649,X573,FALSE)+Q573</f>
        <v>7.7000000000000008E-6</v>
      </c>
      <c r="V573" s="447" t="str">
        <f t="shared" si="81"/>
        <v>-</v>
      </c>
      <c r="W573" s="448">
        <f>HLOOKUP(Apoio!$P$12,$D$548:$P$649,X573,FALSE)</f>
        <v>0</v>
      </c>
      <c r="X573" s="329">
        <v>26</v>
      </c>
    </row>
    <row r="574" spans="2:27" ht="30.05" customHeight="1" x14ac:dyDescent="0.35">
      <c r="B574" s="204" t="str">
        <f>'CAD_PL_REC-DESP'!E29</f>
        <v>1.2.25</v>
      </c>
      <c r="C574" s="205" t="str">
        <f>IF('CAD_PL_REC-DESP'!F29="","-",'CAD_PL_REC-DESP'!F29)</f>
        <v>-</v>
      </c>
      <c r="D574" s="206">
        <f>SUMIFS(LANÇ_MOV[VALOR LÍQUIDO],LANÇ_MOV[RECEITA OU DESPESA],"Receita",LANÇ_MOV[CONTAS],$C574,LANÇ_MOV[PLANO DE CONTAS],REL_DRE_FINANCEIRO!$B$549,LANÇ_MOV[ANO PAGAMENTO],$B$4,LANÇ_MOV[MÊS PAGAMENTO CORRESPONDENTE],D$6,LANÇ_MOV[EMPRESA],$C$4,LANÇ_MOV[CENTRO DE CUSTOS],$D$4)</f>
        <v>0</v>
      </c>
      <c r="E574" s="206">
        <f>SUMIFS(LANÇ_MOV[VALOR LÍQUIDO],LANÇ_MOV[RECEITA OU DESPESA],"Receita",LANÇ_MOV[CONTAS],$C574,LANÇ_MOV[PLANO DE CONTAS],REL_DRE_FINANCEIRO!$B$549,LANÇ_MOV[ANO PAGAMENTO],$B$4,LANÇ_MOV[MÊS PAGAMENTO CORRESPONDENTE],E$6,LANÇ_MOV[EMPRESA],$C$4,LANÇ_MOV[CENTRO DE CUSTOS],$D$4)</f>
        <v>0</v>
      </c>
      <c r="F574" s="206">
        <f>SUMIFS(LANÇ_MOV[VALOR LÍQUIDO],LANÇ_MOV[RECEITA OU DESPESA],"Receita",LANÇ_MOV[CONTAS],$C574,LANÇ_MOV[PLANO DE CONTAS],REL_DRE_FINANCEIRO!$B$549,LANÇ_MOV[ANO PAGAMENTO],$B$4,LANÇ_MOV[MÊS PAGAMENTO CORRESPONDENTE],F$6,LANÇ_MOV[EMPRESA],$C$4,LANÇ_MOV[CENTRO DE CUSTOS],$D$4)</f>
        <v>0</v>
      </c>
      <c r="G574" s="206">
        <f>SUMIFS(LANÇ_MOV[VALOR LÍQUIDO],LANÇ_MOV[RECEITA OU DESPESA],"Receita",LANÇ_MOV[CONTAS],$C574,LANÇ_MOV[PLANO DE CONTAS],REL_DRE_FINANCEIRO!$B$549,LANÇ_MOV[ANO PAGAMENTO],$B$4,LANÇ_MOV[MÊS PAGAMENTO CORRESPONDENTE],G$6,LANÇ_MOV[EMPRESA],$C$4,LANÇ_MOV[CENTRO DE CUSTOS],$D$4)</f>
        <v>0</v>
      </c>
      <c r="H574" s="206">
        <f>SUMIFS(LANÇ_MOV[VALOR LÍQUIDO],LANÇ_MOV[RECEITA OU DESPESA],"Receita",LANÇ_MOV[CONTAS],$C574,LANÇ_MOV[PLANO DE CONTAS],REL_DRE_FINANCEIRO!$B$549,LANÇ_MOV[ANO PAGAMENTO],$B$4,LANÇ_MOV[MÊS PAGAMENTO CORRESPONDENTE],H$6,LANÇ_MOV[EMPRESA],$C$4,LANÇ_MOV[CENTRO DE CUSTOS],$D$4)</f>
        <v>0</v>
      </c>
      <c r="I574" s="206">
        <f>SUMIFS(LANÇ_MOV[VALOR LÍQUIDO],LANÇ_MOV[RECEITA OU DESPESA],"Receita",LANÇ_MOV[CONTAS],$C574,LANÇ_MOV[PLANO DE CONTAS],REL_DRE_FINANCEIRO!$B$549,LANÇ_MOV[ANO PAGAMENTO],$B$4,LANÇ_MOV[MÊS PAGAMENTO CORRESPONDENTE],I$6,LANÇ_MOV[EMPRESA],$C$4,LANÇ_MOV[CENTRO DE CUSTOS],$D$4)</f>
        <v>0</v>
      </c>
      <c r="J574" s="206">
        <f>SUMIFS(LANÇ_MOV[VALOR LÍQUIDO],LANÇ_MOV[RECEITA OU DESPESA],"Receita",LANÇ_MOV[CONTAS],$C574,LANÇ_MOV[PLANO DE CONTAS],REL_DRE_FINANCEIRO!$B$549,LANÇ_MOV[ANO PAGAMENTO],$B$4,LANÇ_MOV[MÊS PAGAMENTO CORRESPONDENTE],J$6,LANÇ_MOV[EMPRESA],$C$4,LANÇ_MOV[CENTRO DE CUSTOS],$D$4)</f>
        <v>0</v>
      </c>
      <c r="K574" s="206">
        <f>SUMIFS(LANÇ_MOV[VALOR LÍQUIDO],LANÇ_MOV[RECEITA OU DESPESA],"Receita",LANÇ_MOV[CONTAS],$C574,LANÇ_MOV[PLANO DE CONTAS],REL_DRE_FINANCEIRO!$B$549,LANÇ_MOV[ANO PAGAMENTO],$B$4,LANÇ_MOV[MÊS PAGAMENTO CORRESPONDENTE],K$6,LANÇ_MOV[EMPRESA],$C$4,LANÇ_MOV[CENTRO DE CUSTOS],$D$4)</f>
        <v>0</v>
      </c>
      <c r="L574" s="206">
        <f>SUMIFS(LANÇ_MOV[VALOR LÍQUIDO],LANÇ_MOV[RECEITA OU DESPESA],"Receita",LANÇ_MOV[CONTAS],$C574,LANÇ_MOV[PLANO DE CONTAS],REL_DRE_FINANCEIRO!$B$549,LANÇ_MOV[ANO PAGAMENTO],$B$4,LANÇ_MOV[MÊS PAGAMENTO CORRESPONDENTE],L$6,LANÇ_MOV[EMPRESA],$C$4,LANÇ_MOV[CENTRO DE CUSTOS],$D$4)</f>
        <v>0</v>
      </c>
      <c r="M574" s="206">
        <f>SUMIFS(LANÇ_MOV[VALOR LÍQUIDO],LANÇ_MOV[RECEITA OU DESPESA],"Receita",LANÇ_MOV[CONTAS],$C574,LANÇ_MOV[PLANO DE CONTAS],REL_DRE_FINANCEIRO!$B$549,LANÇ_MOV[ANO PAGAMENTO],$B$4,LANÇ_MOV[MÊS PAGAMENTO CORRESPONDENTE],M$6,LANÇ_MOV[EMPRESA],$C$4,LANÇ_MOV[CENTRO DE CUSTOS],$D$4)</f>
        <v>0</v>
      </c>
      <c r="N574" s="206">
        <f>SUMIFS(LANÇ_MOV[VALOR LÍQUIDO],LANÇ_MOV[RECEITA OU DESPESA],"Receita",LANÇ_MOV[CONTAS],$C574,LANÇ_MOV[PLANO DE CONTAS],REL_DRE_FINANCEIRO!$B$549,LANÇ_MOV[ANO PAGAMENTO],$B$4,LANÇ_MOV[MÊS PAGAMENTO CORRESPONDENTE],N$6,LANÇ_MOV[EMPRESA],$C$4,LANÇ_MOV[CENTRO DE CUSTOS],$D$4)</f>
        <v>0</v>
      </c>
      <c r="O574" s="206">
        <f>SUMIFS(LANÇ_MOV[VALOR LÍQUIDO],LANÇ_MOV[RECEITA OU DESPESA],"Receita",LANÇ_MOV[CONTAS],$C574,LANÇ_MOV[PLANO DE CONTAS],REL_DRE_FINANCEIRO!$B$549,LANÇ_MOV[ANO PAGAMENTO],$B$4,LANÇ_MOV[MÊS PAGAMENTO CORRESPONDENTE],O$6,LANÇ_MOV[EMPRESA],$C$4,LANÇ_MOV[CENTRO DE CUSTOS],$D$4)</f>
        <v>0</v>
      </c>
      <c r="P574" s="207">
        <f t="shared" si="77"/>
        <v>0</v>
      </c>
      <c r="Q574" s="329">
        <v>7.6000000000000001E-6</v>
      </c>
      <c r="R574" s="346">
        <f t="shared" si="78"/>
        <v>7.6000000000000001E-6</v>
      </c>
      <c r="S574" s="347" t="str">
        <f t="shared" si="79"/>
        <v>-</v>
      </c>
      <c r="T574" s="347">
        <f t="shared" si="80"/>
        <v>0</v>
      </c>
      <c r="U574" s="347">
        <f>HLOOKUP(Apoio!$P$12,$D$548:$P$649,X574,FALSE)+Q574</f>
        <v>7.6000000000000001E-6</v>
      </c>
      <c r="V574" s="447" t="str">
        <f t="shared" si="81"/>
        <v>-</v>
      </c>
      <c r="W574" s="448">
        <f>HLOOKUP(Apoio!$P$12,$D$548:$P$649,X574,FALSE)</f>
        <v>0</v>
      </c>
      <c r="X574" s="329">
        <v>27</v>
      </c>
    </row>
    <row r="575" spans="2:27" ht="30.05" customHeight="1" x14ac:dyDescent="0.35">
      <c r="B575" s="204" t="str">
        <f>'CAD_PL_REC-DESP'!E30</f>
        <v>1.2.26</v>
      </c>
      <c r="C575" s="205" t="str">
        <f>IF('CAD_PL_REC-DESP'!F30="","-",'CAD_PL_REC-DESP'!F30)</f>
        <v>-</v>
      </c>
      <c r="D575" s="206">
        <f>SUMIFS(LANÇ_MOV[VALOR LÍQUIDO],LANÇ_MOV[RECEITA OU DESPESA],"Receita",LANÇ_MOV[CONTAS],$C575,LANÇ_MOV[PLANO DE CONTAS],REL_DRE_FINANCEIRO!$B$549,LANÇ_MOV[ANO PAGAMENTO],$B$4,LANÇ_MOV[MÊS PAGAMENTO CORRESPONDENTE],D$6,LANÇ_MOV[EMPRESA],$C$4,LANÇ_MOV[CENTRO DE CUSTOS],$D$4)</f>
        <v>0</v>
      </c>
      <c r="E575" s="206">
        <f>SUMIFS(LANÇ_MOV[VALOR LÍQUIDO],LANÇ_MOV[RECEITA OU DESPESA],"Receita",LANÇ_MOV[CONTAS],$C575,LANÇ_MOV[PLANO DE CONTAS],REL_DRE_FINANCEIRO!$B$549,LANÇ_MOV[ANO PAGAMENTO],$B$4,LANÇ_MOV[MÊS PAGAMENTO CORRESPONDENTE],E$6,LANÇ_MOV[EMPRESA],$C$4,LANÇ_MOV[CENTRO DE CUSTOS],$D$4)</f>
        <v>0</v>
      </c>
      <c r="F575" s="206">
        <f>SUMIFS(LANÇ_MOV[VALOR LÍQUIDO],LANÇ_MOV[RECEITA OU DESPESA],"Receita",LANÇ_MOV[CONTAS],$C575,LANÇ_MOV[PLANO DE CONTAS],REL_DRE_FINANCEIRO!$B$549,LANÇ_MOV[ANO PAGAMENTO],$B$4,LANÇ_MOV[MÊS PAGAMENTO CORRESPONDENTE],F$6,LANÇ_MOV[EMPRESA],$C$4,LANÇ_MOV[CENTRO DE CUSTOS],$D$4)</f>
        <v>0</v>
      </c>
      <c r="G575" s="206">
        <f>SUMIFS(LANÇ_MOV[VALOR LÍQUIDO],LANÇ_MOV[RECEITA OU DESPESA],"Receita",LANÇ_MOV[CONTAS],$C575,LANÇ_MOV[PLANO DE CONTAS],REL_DRE_FINANCEIRO!$B$549,LANÇ_MOV[ANO PAGAMENTO],$B$4,LANÇ_MOV[MÊS PAGAMENTO CORRESPONDENTE],G$6,LANÇ_MOV[EMPRESA],$C$4,LANÇ_MOV[CENTRO DE CUSTOS],$D$4)</f>
        <v>0</v>
      </c>
      <c r="H575" s="206">
        <f>SUMIFS(LANÇ_MOV[VALOR LÍQUIDO],LANÇ_MOV[RECEITA OU DESPESA],"Receita",LANÇ_MOV[CONTAS],$C575,LANÇ_MOV[PLANO DE CONTAS],REL_DRE_FINANCEIRO!$B$549,LANÇ_MOV[ANO PAGAMENTO],$B$4,LANÇ_MOV[MÊS PAGAMENTO CORRESPONDENTE],H$6,LANÇ_MOV[EMPRESA],$C$4,LANÇ_MOV[CENTRO DE CUSTOS],$D$4)</f>
        <v>0</v>
      </c>
      <c r="I575" s="206">
        <f>SUMIFS(LANÇ_MOV[VALOR LÍQUIDO],LANÇ_MOV[RECEITA OU DESPESA],"Receita",LANÇ_MOV[CONTAS],$C575,LANÇ_MOV[PLANO DE CONTAS],REL_DRE_FINANCEIRO!$B$549,LANÇ_MOV[ANO PAGAMENTO],$B$4,LANÇ_MOV[MÊS PAGAMENTO CORRESPONDENTE],I$6,LANÇ_MOV[EMPRESA],$C$4,LANÇ_MOV[CENTRO DE CUSTOS],$D$4)</f>
        <v>0</v>
      </c>
      <c r="J575" s="206">
        <f>SUMIFS(LANÇ_MOV[VALOR LÍQUIDO],LANÇ_MOV[RECEITA OU DESPESA],"Receita",LANÇ_MOV[CONTAS],$C575,LANÇ_MOV[PLANO DE CONTAS],REL_DRE_FINANCEIRO!$B$549,LANÇ_MOV[ANO PAGAMENTO],$B$4,LANÇ_MOV[MÊS PAGAMENTO CORRESPONDENTE],J$6,LANÇ_MOV[EMPRESA],$C$4,LANÇ_MOV[CENTRO DE CUSTOS],$D$4)</f>
        <v>0</v>
      </c>
      <c r="K575" s="206">
        <f>SUMIFS(LANÇ_MOV[VALOR LÍQUIDO],LANÇ_MOV[RECEITA OU DESPESA],"Receita",LANÇ_MOV[CONTAS],$C575,LANÇ_MOV[PLANO DE CONTAS],REL_DRE_FINANCEIRO!$B$549,LANÇ_MOV[ANO PAGAMENTO],$B$4,LANÇ_MOV[MÊS PAGAMENTO CORRESPONDENTE],K$6,LANÇ_MOV[EMPRESA],$C$4,LANÇ_MOV[CENTRO DE CUSTOS],$D$4)</f>
        <v>0</v>
      </c>
      <c r="L575" s="206">
        <f>SUMIFS(LANÇ_MOV[VALOR LÍQUIDO],LANÇ_MOV[RECEITA OU DESPESA],"Receita",LANÇ_MOV[CONTAS],$C575,LANÇ_MOV[PLANO DE CONTAS],REL_DRE_FINANCEIRO!$B$549,LANÇ_MOV[ANO PAGAMENTO],$B$4,LANÇ_MOV[MÊS PAGAMENTO CORRESPONDENTE],L$6,LANÇ_MOV[EMPRESA],$C$4,LANÇ_MOV[CENTRO DE CUSTOS],$D$4)</f>
        <v>0</v>
      </c>
      <c r="M575" s="206">
        <f>SUMIFS(LANÇ_MOV[VALOR LÍQUIDO],LANÇ_MOV[RECEITA OU DESPESA],"Receita",LANÇ_MOV[CONTAS],$C575,LANÇ_MOV[PLANO DE CONTAS],REL_DRE_FINANCEIRO!$B$549,LANÇ_MOV[ANO PAGAMENTO],$B$4,LANÇ_MOV[MÊS PAGAMENTO CORRESPONDENTE],M$6,LANÇ_MOV[EMPRESA],$C$4,LANÇ_MOV[CENTRO DE CUSTOS],$D$4)</f>
        <v>0</v>
      </c>
      <c r="N575" s="206">
        <f>SUMIFS(LANÇ_MOV[VALOR LÍQUIDO],LANÇ_MOV[RECEITA OU DESPESA],"Receita",LANÇ_MOV[CONTAS],$C575,LANÇ_MOV[PLANO DE CONTAS],REL_DRE_FINANCEIRO!$B$549,LANÇ_MOV[ANO PAGAMENTO],$B$4,LANÇ_MOV[MÊS PAGAMENTO CORRESPONDENTE],N$6,LANÇ_MOV[EMPRESA],$C$4,LANÇ_MOV[CENTRO DE CUSTOS],$D$4)</f>
        <v>0</v>
      </c>
      <c r="O575" s="206">
        <f>SUMIFS(LANÇ_MOV[VALOR LÍQUIDO],LANÇ_MOV[RECEITA OU DESPESA],"Receita",LANÇ_MOV[CONTAS],$C575,LANÇ_MOV[PLANO DE CONTAS],REL_DRE_FINANCEIRO!$B$549,LANÇ_MOV[ANO PAGAMENTO],$B$4,LANÇ_MOV[MÊS PAGAMENTO CORRESPONDENTE],O$6,LANÇ_MOV[EMPRESA],$C$4,LANÇ_MOV[CENTRO DE CUSTOS],$D$4)</f>
        <v>0</v>
      </c>
      <c r="P575" s="207">
        <f t="shared" si="77"/>
        <v>0</v>
      </c>
      <c r="Q575" s="329">
        <v>7.5000000000000002E-6</v>
      </c>
      <c r="R575" s="346">
        <f t="shared" si="78"/>
        <v>7.5000000000000002E-6</v>
      </c>
      <c r="S575" s="347" t="str">
        <f t="shared" si="79"/>
        <v>-</v>
      </c>
      <c r="T575" s="347">
        <f t="shared" si="80"/>
        <v>0</v>
      </c>
      <c r="U575" s="347">
        <f>HLOOKUP(Apoio!$P$12,$D$548:$P$649,X575,FALSE)+Q575</f>
        <v>7.5000000000000002E-6</v>
      </c>
      <c r="V575" s="447" t="str">
        <f t="shared" si="81"/>
        <v>-</v>
      </c>
      <c r="W575" s="448">
        <f>HLOOKUP(Apoio!$P$12,$D$548:$P$649,X575,FALSE)</f>
        <v>0</v>
      </c>
      <c r="X575" s="329">
        <v>28</v>
      </c>
    </row>
    <row r="576" spans="2:27" ht="30.05" customHeight="1" x14ac:dyDescent="0.35">
      <c r="B576" s="204" t="str">
        <f>'CAD_PL_REC-DESP'!E31</f>
        <v>1.2.27</v>
      </c>
      <c r="C576" s="205" t="str">
        <f>IF('CAD_PL_REC-DESP'!F31="","-",'CAD_PL_REC-DESP'!F31)</f>
        <v>-</v>
      </c>
      <c r="D576" s="206">
        <f>SUMIFS(LANÇ_MOV[VALOR LÍQUIDO],LANÇ_MOV[RECEITA OU DESPESA],"Receita",LANÇ_MOV[CONTAS],$C576,LANÇ_MOV[PLANO DE CONTAS],REL_DRE_FINANCEIRO!$B$549,LANÇ_MOV[ANO PAGAMENTO],$B$4,LANÇ_MOV[MÊS PAGAMENTO CORRESPONDENTE],D$6,LANÇ_MOV[EMPRESA],$C$4,LANÇ_MOV[CENTRO DE CUSTOS],$D$4)</f>
        <v>0</v>
      </c>
      <c r="E576" s="206">
        <f>SUMIFS(LANÇ_MOV[VALOR LÍQUIDO],LANÇ_MOV[RECEITA OU DESPESA],"Receita",LANÇ_MOV[CONTAS],$C576,LANÇ_MOV[PLANO DE CONTAS],REL_DRE_FINANCEIRO!$B$549,LANÇ_MOV[ANO PAGAMENTO],$B$4,LANÇ_MOV[MÊS PAGAMENTO CORRESPONDENTE],E$6,LANÇ_MOV[EMPRESA],$C$4,LANÇ_MOV[CENTRO DE CUSTOS],$D$4)</f>
        <v>0</v>
      </c>
      <c r="F576" s="206">
        <f>SUMIFS(LANÇ_MOV[VALOR LÍQUIDO],LANÇ_MOV[RECEITA OU DESPESA],"Receita",LANÇ_MOV[CONTAS],$C576,LANÇ_MOV[PLANO DE CONTAS],REL_DRE_FINANCEIRO!$B$549,LANÇ_MOV[ANO PAGAMENTO],$B$4,LANÇ_MOV[MÊS PAGAMENTO CORRESPONDENTE],F$6,LANÇ_MOV[EMPRESA],$C$4,LANÇ_MOV[CENTRO DE CUSTOS],$D$4)</f>
        <v>0</v>
      </c>
      <c r="G576" s="206">
        <f>SUMIFS(LANÇ_MOV[VALOR LÍQUIDO],LANÇ_MOV[RECEITA OU DESPESA],"Receita",LANÇ_MOV[CONTAS],$C576,LANÇ_MOV[PLANO DE CONTAS],REL_DRE_FINANCEIRO!$B$549,LANÇ_MOV[ANO PAGAMENTO],$B$4,LANÇ_MOV[MÊS PAGAMENTO CORRESPONDENTE],G$6,LANÇ_MOV[EMPRESA],$C$4,LANÇ_MOV[CENTRO DE CUSTOS],$D$4)</f>
        <v>0</v>
      </c>
      <c r="H576" s="206">
        <f>SUMIFS(LANÇ_MOV[VALOR LÍQUIDO],LANÇ_MOV[RECEITA OU DESPESA],"Receita",LANÇ_MOV[CONTAS],$C576,LANÇ_MOV[PLANO DE CONTAS],REL_DRE_FINANCEIRO!$B$549,LANÇ_MOV[ANO PAGAMENTO],$B$4,LANÇ_MOV[MÊS PAGAMENTO CORRESPONDENTE],H$6,LANÇ_MOV[EMPRESA],$C$4,LANÇ_MOV[CENTRO DE CUSTOS],$D$4)</f>
        <v>0</v>
      </c>
      <c r="I576" s="206">
        <f>SUMIFS(LANÇ_MOV[VALOR LÍQUIDO],LANÇ_MOV[RECEITA OU DESPESA],"Receita",LANÇ_MOV[CONTAS],$C576,LANÇ_MOV[PLANO DE CONTAS],REL_DRE_FINANCEIRO!$B$549,LANÇ_MOV[ANO PAGAMENTO],$B$4,LANÇ_MOV[MÊS PAGAMENTO CORRESPONDENTE],I$6,LANÇ_MOV[EMPRESA],$C$4,LANÇ_MOV[CENTRO DE CUSTOS],$D$4)</f>
        <v>0</v>
      </c>
      <c r="J576" s="206">
        <f>SUMIFS(LANÇ_MOV[VALOR LÍQUIDO],LANÇ_MOV[RECEITA OU DESPESA],"Receita",LANÇ_MOV[CONTAS],$C576,LANÇ_MOV[PLANO DE CONTAS],REL_DRE_FINANCEIRO!$B$549,LANÇ_MOV[ANO PAGAMENTO],$B$4,LANÇ_MOV[MÊS PAGAMENTO CORRESPONDENTE],J$6,LANÇ_MOV[EMPRESA],$C$4,LANÇ_MOV[CENTRO DE CUSTOS],$D$4)</f>
        <v>0</v>
      </c>
      <c r="K576" s="206">
        <f>SUMIFS(LANÇ_MOV[VALOR LÍQUIDO],LANÇ_MOV[RECEITA OU DESPESA],"Receita",LANÇ_MOV[CONTAS],$C576,LANÇ_MOV[PLANO DE CONTAS],REL_DRE_FINANCEIRO!$B$549,LANÇ_MOV[ANO PAGAMENTO],$B$4,LANÇ_MOV[MÊS PAGAMENTO CORRESPONDENTE],K$6,LANÇ_MOV[EMPRESA],$C$4,LANÇ_MOV[CENTRO DE CUSTOS],$D$4)</f>
        <v>0</v>
      </c>
      <c r="L576" s="206">
        <f>SUMIFS(LANÇ_MOV[VALOR LÍQUIDO],LANÇ_MOV[RECEITA OU DESPESA],"Receita",LANÇ_MOV[CONTAS],$C576,LANÇ_MOV[PLANO DE CONTAS],REL_DRE_FINANCEIRO!$B$549,LANÇ_MOV[ANO PAGAMENTO],$B$4,LANÇ_MOV[MÊS PAGAMENTO CORRESPONDENTE],L$6,LANÇ_MOV[EMPRESA],$C$4,LANÇ_MOV[CENTRO DE CUSTOS],$D$4)</f>
        <v>0</v>
      </c>
      <c r="M576" s="206">
        <f>SUMIFS(LANÇ_MOV[VALOR LÍQUIDO],LANÇ_MOV[RECEITA OU DESPESA],"Receita",LANÇ_MOV[CONTAS],$C576,LANÇ_MOV[PLANO DE CONTAS],REL_DRE_FINANCEIRO!$B$549,LANÇ_MOV[ANO PAGAMENTO],$B$4,LANÇ_MOV[MÊS PAGAMENTO CORRESPONDENTE],M$6,LANÇ_MOV[EMPRESA],$C$4,LANÇ_MOV[CENTRO DE CUSTOS],$D$4)</f>
        <v>0</v>
      </c>
      <c r="N576" s="206">
        <f>SUMIFS(LANÇ_MOV[VALOR LÍQUIDO],LANÇ_MOV[RECEITA OU DESPESA],"Receita",LANÇ_MOV[CONTAS],$C576,LANÇ_MOV[PLANO DE CONTAS],REL_DRE_FINANCEIRO!$B$549,LANÇ_MOV[ANO PAGAMENTO],$B$4,LANÇ_MOV[MÊS PAGAMENTO CORRESPONDENTE],N$6,LANÇ_MOV[EMPRESA],$C$4,LANÇ_MOV[CENTRO DE CUSTOS],$D$4)</f>
        <v>0</v>
      </c>
      <c r="O576" s="206">
        <f>SUMIFS(LANÇ_MOV[VALOR LÍQUIDO],LANÇ_MOV[RECEITA OU DESPESA],"Receita",LANÇ_MOV[CONTAS],$C576,LANÇ_MOV[PLANO DE CONTAS],REL_DRE_FINANCEIRO!$B$549,LANÇ_MOV[ANO PAGAMENTO],$B$4,LANÇ_MOV[MÊS PAGAMENTO CORRESPONDENTE],O$6,LANÇ_MOV[EMPRESA],$C$4,LANÇ_MOV[CENTRO DE CUSTOS],$D$4)</f>
        <v>0</v>
      </c>
      <c r="P576" s="207">
        <f t="shared" si="77"/>
        <v>0</v>
      </c>
      <c r="Q576" s="329">
        <v>7.4000000000000003E-6</v>
      </c>
      <c r="R576" s="346">
        <f t="shared" si="78"/>
        <v>7.4000000000000003E-6</v>
      </c>
      <c r="S576" s="347" t="str">
        <f t="shared" si="79"/>
        <v>-</v>
      </c>
      <c r="T576" s="347">
        <f t="shared" si="80"/>
        <v>0</v>
      </c>
      <c r="U576" s="347">
        <f>HLOOKUP(Apoio!$P$12,$D$548:$P$649,X576,FALSE)+Q576</f>
        <v>7.4000000000000003E-6</v>
      </c>
      <c r="V576" s="447" t="str">
        <f t="shared" si="81"/>
        <v>-</v>
      </c>
      <c r="W576" s="448">
        <f>HLOOKUP(Apoio!$P$12,$D$548:$P$649,X576,FALSE)</f>
        <v>0</v>
      </c>
      <c r="X576" s="329">
        <v>29</v>
      </c>
    </row>
    <row r="577" spans="2:24" ht="30.05" customHeight="1" x14ac:dyDescent="0.35">
      <c r="B577" s="204" t="str">
        <f>'CAD_PL_REC-DESP'!E32</f>
        <v>1.2.28</v>
      </c>
      <c r="C577" s="205" t="str">
        <f>IF('CAD_PL_REC-DESP'!F32="","-",'CAD_PL_REC-DESP'!F32)</f>
        <v>-</v>
      </c>
      <c r="D577" s="206">
        <f>SUMIFS(LANÇ_MOV[VALOR LÍQUIDO],LANÇ_MOV[RECEITA OU DESPESA],"Receita",LANÇ_MOV[CONTAS],$C577,LANÇ_MOV[PLANO DE CONTAS],REL_DRE_FINANCEIRO!$B$549,LANÇ_MOV[ANO PAGAMENTO],$B$4,LANÇ_MOV[MÊS PAGAMENTO CORRESPONDENTE],D$6,LANÇ_MOV[EMPRESA],$C$4,LANÇ_MOV[CENTRO DE CUSTOS],$D$4)</f>
        <v>0</v>
      </c>
      <c r="E577" s="206">
        <f>SUMIFS(LANÇ_MOV[VALOR LÍQUIDO],LANÇ_MOV[RECEITA OU DESPESA],"Receita",LANÇ_MOV[CONTAS],$C577,LANÇ_MOV[PLANO DE CONTAS],REL_DRE_FINANCEIRO!$B$549,LANÇ_MOV[ANO PAGAMENTO],$B$4,LANÇ_MOV[MÊS PAGAMENTO CORRESPONDENTE],E$6,LANÇ_MOV[EMPRESA],$C$4,LANÇ_MOV[CENTRO DE CUSTOS],$D$4)</f>
        <v>0</v>
      </c>
      <c r="F577" s="206">
        <f>SUMIFS(LANÇ_MOV[VALOR LÍQUIDO],LANÇ_MOV[RECEITA OU DESPESA],"Receita",LANÇ_MOV[CONTAS],$C577,LANÇ_MOV[PLANO DE CONTAS],REL_DRE_FINANCEIRO!$B$549,LANÇ_MOV[ANO PAGAMENTO],$B$4,LANÇ_MOV[MÊS PAGAMENTO CORRESPONDENTE],F$6,LANÇ_MOV[EMPRESA],$C$4,LANÇ_MOV[CENTRO DE CUSTOS],$D$4)</f>
        <v>0</v>
      </c>
      <c r="G577" s="206">
        <f>SUMIFS(LANÇ_MOV[VALOR LÍQUIDO],LANÇ_MOV[RECEITA OU DESPESA],"Receita",LANÇ_MOV[CONTAS],$C577,LANÇ_MOV[PLANO DE CONTAS],REL_DRE_FINANCEIRO!$B$549,LANÇ_MOV[ANO PAGAMENTO],$B$4,LANÇ_MOV[MÊS PAGAMENTO CORRESPONDENTE],G$6,LANÇ_MOV[EMPRESA],$C$4,LANÇ_MOV[CENTRO DE CUSTOS],$D$4)</f>
        <v>0</v>
      </c>
      <c r="H577" s="206">
        <f>SUMIFS(LANÇ_MOV[VALOR LÍQUIDO],LANÇ_MOV[RECEITA OU DESPESA],"Receita",LANÇ_MOV[CONTAS],$C577,LANÇ_MOV[PLANO DE CONTAS],REL_DRE_FINANCEIRO!$B$549,LANÇ_MOV[ANO PAGAMENTO],$B$4,LANÇ_MOV[MÊS PAGAMENTO CORRESPONDENTE],H$6,LANÇ_MOV[EMPRESA],$C$4,LANÇ_MOV[CENTRO DE CUSTOS],$D$4)</f>
        <v>0</v>
      </c>
      <c r="I577" s="206">
        <f>SUMIFS(LANÇ_MOV[VALOR LÍQUIDO],LANÇ_MOV[RECEITA OU DESPESA],"Receita",LANÇ_MOV[CONTAS],$C577,LANÇ_MOV[PLANO DE CONTAS],REL_DRE_FINANCEIRO!$B$549,LANÇ_MOV[ANO PAGAMENTO],$B$4,LANÇ_MOV[MÊS PAGAMENTO CORRESPONDENTE],I$6,LANÇ_MOV[EMPRESA],$C$4,LANÇ_MOV[CENTRO DE CUSTOS],$D$4)</f>
        <v>0</v>
      </c>
      <c r="J577" s="206">
        <f>SUMIFS(LANÇ_MOV[VALOR LÍQUIDO],LANÇ_MOV[RECEITA OU DESPESA],"Receita",LANÇ_MOV[CONTAS],$C577,LANÇ_MOV[PLANO DE CONTAS],REL_DRE_FINANCEIRO!$B$549,LANÇ_MOV[ANO PAGAMENTO],$B$4,LANÇ_MOV[MÊS PAGAMENTO CORRESPONDENTE],J$6,LANÇ_MOV[EMPRESA],$C$4,LANÇ_MOV[CENTRO DE CUSTOS],$D$4)</f>
        <v>0</v>
      </c>
      <c r="K577" s="206">
        <f>SUMIFS(LANÇ_MOV[VALOR LÍQUIDO],LANÇ_MOV[RECEITA OU DESPESA],"Receita",LANÇ_MOV[CONTAS],$C577,LANÇ_MOV[PLANO DE CONTAS],REL_DRE_FINANCEIRO!$B$549,LANÇ_MOV[ANO PAGAMENTO],$B$4,LANÇ_MOV[MÊS PAGAMENTO CORRESPONDENTE],K$6,LANÇ_MOV[EMPRESA],$C$4,LANÇ_MOV[CENTRO DE CUSTOS],$D$4)</f>
        <v>0</v>
      </c>
      <c r="L577" s="206">
        <f>SUMIFS(LANÇ_MOV[VALOR LÍQUIDO],LANÇ_MOV[RECEITA OU DESPESA],"Receita",LANÇ_MOV[CONTAS],$C577,LANÇ_MOV[PLANO DE CONTAS],REL_DRE_FINANCEIRO!$B$549,LANÇ_MOV[ANO PAGAMENTO],$B$4,LANÇ_MOV[MÊS PAGAMENTO CORRESPONDENTE],L$6,LANÇ_MOV[EMPRESA],$C$4,LANÇ_MOV[CENTRO DE CUSTOS],$D$4)</f>
        <v>0</v>
      </c>
      <c r="M577" s="206">
        <f>SUMIFS(LANÇ_MOV[VALOR LÍQUIDO],LANÇ_MOV[RECEITA OU DESPESA],"Receita",LANÇ_MOV[CONTAS],$C577,LANÇ_MOV[PLANO DE CONTAS],REL_DRE_FINANCEIRO!$B$549,LANÇ_MOV[ANO PAGAMENTO],$B$4,LANÇ_MOV[MÊS PAGAMENTO CORRESPONDENTE],M$6,LANÇ_MOV[EMPRESA],$C$4,LANÇ_MOV[CENTRO DE CUSTOS],$D$4)</f>
        <v>0</v>
      </c>
      <c r="N577" s="206">
        <f>SUMIFS(LANÇ_MOV[VALOR LÍQUIDO],LANÇ_MOV[RECEITA OU DESPESA],"Receita",LANÇ_MOV[CONTAS],$C577,LANÇ_MOV[PLANO DE CONTAS],REL_DRE_FINANCEIRO!$B$549,LANÇ_MOV[ANO PAGAMENTO],$B$4,LANÇ_MOV[MÊS PAGAMENTO CORRESPONDENTE],N$6,LANÇ_MOV[EMPRESA],$C$4,LANÇ_MOV[CENTRO DE CUSTOS],$D$4)</f>
        <v>0</v>
      </c>
      <c r="O577" s="206">
        <f>SUMIFS(LANÇ_MOV[VALOR LÍQUIDO],LANÇ_MOV[RECEITA OU DESPESA],"Receita",LANÇ_MOV[CONTAS],$C577,LANÇ_MOV[PLANO DE CONTAS],REL_DRE_FINANCEIRO!$B$549,LANÇ_MOV[ANO PAGAMENTO],$B$4,LANÇ_MOV[MÊS PAGAMENTO CORRESPONDENTE],O$6,LANÇ_MOV[EMPRESA],$C$4,LANÇ_MOV[CENTRO DE CUSTOS],$D$4)</f>
        <v>0</v>
      </c>
      <c r="P577" s="207">
        <f t="shared" si="77"/>
        <v>0</v>
      </c>
      <c r="Q577" s="329">
        <v>7.3000000000000004E-6</v>
      </c>
      <c r="R577" s="346">
        <f t="shared" si="78"/>
        <v>7.3000000000000004E-6</v>
      </c>
      <c r="S577" s="347" t="str">
        <f t="shared" si="79"/>
        <v>-</v>
      </c>
      <c r="T577" s="347">
        <f t="shared" si="80"/>
        <v>0</v>
      </c>
      <c r="U577" s="347">
        <f>HLOOKUP(Apoio!$P$12,$D$548:$P$649,X577,FALSE)+Q577</f>
        <v>7.3000000000000004E-6</v>
      </c>
      <c r="V577" s="447" t="str">
        <f t="shared" si="81"/>
        <v>-</v>
      </c>
      <c r="W577" s="448">
        <f>HLOOKUP(Apoio!$P$12,$D$548:$P$649,X577,FALSE)</f>
        <v>0</v>
      </c>
      <c r="X577" s="329">
        <v>30</v>
      </c>
    </row>
    <row r="578" spans="2:24" ht="30.05" customHeight="1" x14ac:dyDescent="0.35">
      <c r="B578" s="204" t="str">
        <f>'CAD_PL_REC-DESP'!E33</f>
        <v>1.2.29</v>
      </c>
      <c r="C578" s="205" t="str">
        <f>IF('CAD_PL_REC-DESP'!F33="","-",'CAD_PL_REC-DESP'!F33)</f>
        <v>-</v>
      </c>
      <c r="D578" s="206">
        <f>SUMIFS(LANÇ_MOV[VALOR LÍQUIDO],LANÇ_MOV[RECEITA OU DESPESA],"Receita",LANÇ_MOV[CONTAS],$C578,LANÇ_MOV[PLANO DE CONTAS],REL_DRE_FINANCEIRO!$B$549,LANÇ_MOV[ANO PAGAMENTO],$B$4,LANÇ_MOV[MÊS PAGAMENTO CORRESPONDENTE],D$6,LANÇ_MOV[EMPRESA],$C$4,LANÇ_MOV[CENTRO DE CUSTOS],$D$4)</f>
        <v>0</v>
      </c>
      <c r="E578" s="206">
        <f>SUMIFS(LANÇ_MOV[VALOR LÍQUIDO],LANÇ_MOV[RECEITA OU DESPESA],"Receita",LANÇ_MOV[CONTAS],$C578,LANÇ_MOV[PLANO DE CONTAS],REL_DRE_FINANCEIRO!$B$549,LANÇ_MOV[ANO PAGAMENTO],$B$4,LANÇ_MOV[MÊS PAGAMENTO CORRESPONDENTE],E$6,LANÇ_MOV[EMPRESA],$C$4,LANÇ_MOV[CENTRO DE CUSTOS],$D$4)</f>
        <v>0</v>
      </c>
      <c r="F578" s="206">
        <f>SUMIFS(LANÇ_MOV[VALOR LÍQUIDO],LANÇ_MOV[RECEITA OU DESPESA],"Receita",LANÇ_MOV[CONTAS],$C578,LANÇ_MOV[PLANO DE CONTAS],REL_DRE_FINANCEIRO!$B$549,LANÇ_MOV[ANO PAGAMENTO],$B$4,LANÇ_MOV[MÊS PAGAMENTO CORRESPONDENTE],F$6,LANÇ_MOV[EMPRESA],$C$4,LANÇ_MOV[CENTRO DE CUSTOS],$D$4)</f>
        <v>0</v>
      </c>
      <c r="G578" s="206">
        <f>SUMIFS(LANÇ_MOV[VALOR LÍQUIDO],LANÇ_MOV[RECEITA OU DESPESA],"Receita",LANÇ_MOV[CONTAS],$C578,LANÇ_MOV[PLANO DE CONTAS],REL_DRE_FINANCEIRO!$B$549,LANÇ_MOV[ANO PAGAMENTO],$B$4,LANÇ_MOV[MÊS PAGAMENTO CORRESPONDENTE],G$6,LANÇ_MOV[EMPRESA],$C$4,LANÇ_MOV[CENTRO DE CUSTOS],$D$4)</f>
        <v>0</v>
      </c>
      <c r="H578" s="206">
        <f>SUMIFS(LANÇ_MOV[VALOR LÍQUIDO],LANÇ_MOV[RECEITA OU DESPESA],"Receita",LANÇ_MOV[CONTAS],$C578,LANÇ_MOV[PLANO DE CONTAS],REL_DRE_FINANCEIRO!$B$549,LANÇ_MOV[ANO PAGAMENTO],$B$4,LANÇ_MOV[MÊS PAGAMENTO CORRESPONDENTE],H$6,LANÇ_MOV[EMPRESA],$C$4,LANÇ_MOV[CENTRO DE CUSTOS],$D$4)</f>
        <v>0</v>
      </c>
      <c r="I578" s="206">
        <f>SUMIFS(LANÇ_MOV[VALOR LÍQUIDO],LANÇ_MOV[RECEITA OU DESPESA],"Receita",LANÇ_MOV[CONTAS],$C578,LANÇ_MOV[PLANO DE CONTAS],REL_DRE_FINANCEIRO!$B$549,LANÇ_MOV[ANO PAGAMENTO],$B$4,LANÇ_MOV[MÊS PAGAMENTO CORRESPONDENTE],I$6,LANÇ_MOV[EMPRESA],$C$4,LANÇ_MOV[CENTRO DE CUSTOS],$D$4)</f>
        <v>0</v>
      </c>
      <c r="J578" s="206">
        <f>SUMIFS(LANÇ_MOV[VALOR LÍQUIDO],LANÇ_MOV[RECEITA OU DESPESA],"Receita",LANÇ_MOV[CONTAS],$C578,LANÇ_MOV[PLANO DE CONTAS],REL_DRE_FINANCEIRO!$B$549,LANÇ_MOV[ANO PAGAMENTO],$B$4,LANÇ_MOV[MÊS PAGAMENTO CORRESPONDENTE],J$6,LANÇ_MOV[EMPRESA],$C$4,LANÇ_MOV[CENTRO DE CUSTOS],$D$4)</f>
        <v>0</v>
      </c>
      <c r="K578" s="206">
        <f>SUMIFS(LANÇ_MOV[VALOR LÍQUIDO],LANÇ_MOV[RECEITA OU DESPESA],"Receita",LANÇ_MOV[CONTAS],$C578,LANÇ_MOV[PLANO DE CONTAS],REL_DRE_FINANCEIRO!$B$549,LANÇ_MOV[ANO PAGAMENTO],$B$4,LANÇ_MOV[MÊS PAGAMENTO CORRESPONDENTE],K$6,LANÇ_MOV[EMPRESA],$C$4,LANÇ_MOV[CENTRO DE CUSTOS],$D$4)</f>
        <v>0</v>
      </c>
      <c r="L578" s="206">
        <f>SUMIFS(LANÇ_MOV[VALOR LÍQUIDO],LANÇ_MOV[RECEITA OU DESPESA],"Receita",LANÇ_MOV[CONTAS],$C578,LANÇ_MOV[PLANO DE CONTAS],REL_DRE_FINANCEIRO!$B$549,LANÇ_MOV[ANO PAGAMENTO],$B$4,LANÇ_MOV[MÊS PAGAMENTO CORRESPONDENTE],L$6,LANÇ_MOV[EMPRESA],$C$4,LANÇ_MOV[CENTRO DE CUSTOS],$D$4)</f>
        <v>0</v>
      </c>
      <c r="M578" s="206">
        <f>SUMIFS(LANÇ_MOV[VALOR LÍQUIDO],LANÇ_MOV[RECEITA OU DESPESA],"Receita",LANÇ_MOV[CONTAS],$C578,LANÇ_MOV[PLANO DE CONTAS],REL_DRE_FINANCEIRO!$B$549,LANÇ_MOV[ANO PAGAMENTO],$B$4,LANÇ_MOV[MÊS PAGAMENTO CORRESPONDENTE],M$6,LANÇ_MOV[EMPRESA],$C$4,LANÇ_MOV[CENTRO DE CUSTOS],$D$4)</f>
        <v>0</v>
      </c>
      <c r="N578" s="206">
        <f>SUMIFS(LANÇ_MOV[VALOR LÍQUIDO],LANÇ_MOV[RECEITA OU DESPESA],"Receita",LANÇ_MOV[CONTAS],$C578,LANÇ_MOV[PLANO DE CONTAS],REL_DRE_FINANCEIRO!$B$549,LANÇ_MOV[ANO PAGAMENTO],$B$4,LANÇ_MOV[MÊS PAGAMENTO CORRESPONDENTE],N$6,LANÇ_MOV[EMPRESA],$C$4,LANÇ_MOV[CENTRO DE CUSTOS],$D$4)</f>
        <v>0</v>
      </c>
      <c r="O578" s="206">
        <f>SUMIFS(LANÇ_MOV[VALOR LÍQUIDO],LANÇ_MOV[RECEITA OU DESPESA],"Receita",LANÇ_MOV[CONTAS],$C578,LANÇ_MOV[PLANO DE CONTAS],REL_DRE_FINANCEIRO!$B$549,LANÇ_MOV[ANO PAGAMENTO],$B$4,LANÇ_MOV[MÊS PAGAMENTO CORRESPONDENTE],O$6,LANÇ_MOV[EMPRESA],$C$4,LANÇ_MOV[CENTRO DE CUSTOS],$D$4)</f>
        <v>0</v>
      </c>
      <c r="P578" s="207">
        <f t="shared" si="77"/>
        <v>0</v>
      </c>
      <c r="Q578" s="329">
        <v>7.1999999999999997E-6</v>
      </c>
      <c r="R578" s="346">
        <f t="shared" si="78"/>
        <v>7.1999999999999997E-6</v>
      </c>
      <c r="S578" s="347" t="str">
        <f t="shared" si="79"/>
        <v>-</v>
      </c>
      <c r="T578" s="347">
        <f t="shared" si="80"/>
        <v>0</v>
      </c>
      <c r="U578" s="347">
        <f>HLOOKUP(Apoio!$P$12,$D$548:$P$649,X578,FALSE)+Q578</f>
        <v>7.1999999999999997E-6</v>
      </c>
      <c r="V578" s="447" t="str">
        <f t="shared" si="81"/>
        <v>-</v>
      </c>
      <c r="W578" s="448">
        <f>HLOOKUP(Apoio!$P$12,$D$548:$P$649,X578,FALSE)</f>
        <v>0</v>
      </c>
      <c r="X578" s="329">
        <v>31</v>
      </c>
    </row>
    <row r="579" spans="2:24" ht="30.05" customHeight="1" x14ac:dyDescent="0.35">
      <c r="B579" s="204" t="str">
        <f>'CAD_PL_REC-DESP'!E34</f>
        <v>1.2.30</v>
      </c>
      <c r="C579" s="205" t="str">
        <f>IF('CAD_PL_REC-DESP'!F34="","-",'CAD_PL_REC-DESP'!F34)</f>
        <v>-</v>
      </c>
      <c r="D579" s="206">
        <f>SUMIFS(LANÇ_MOV[VALOR LÍQUIDO],LANÇ_MOV[RECEITA OU DESPESA],"Receita",LANÇ_MOV[CONTAS],$C579,LANÇ_MOV[PLANO DE CONTAS],REL_DRE_FINANCEIRO!$B$549,LANÇ_MOV[ANO PAGAMENTO],$B$4,LANÇ_MOV[MÊS PAGAMENTO CORRESPONDENTE],D$6,LANÇ_MOV[EMPRESA],$C$4,LANÇ_MOV[CENTRO DE CUSTOS],$D$4)</f>
        <v>0</v>
      </c>
      <c r="E579" s="206">
        <f>SUMIFS(LANÇ_MOV[VALOR LÍQUIDO],LANÇ_MOV[RECEITA OU DESPESA],"Receita",LANÇ_MOV[CONTAS],$C579,LANÇ_MOV[PLANO DE CONTAS],REL_DRE_FINANCEIRO!$B$549,LANÇ_MOV[ANO PAGAMENTO],$B$4,LANÇ_MOV[MÊS PAGAMENTO CORRESPONDENTE],E$6,LANÇ_MOV[EMPRESA],$C$4,LANÇ_MOV[CENTRO DE CUSTOS],$D$4)</f>
        <v>0</v>
      </c>
      <c r="F579" s="206">
        <f>SUMIFS(LANÇ_MOV[VALOR LÍQUIDO],LANÇ_MOV[RECEITA OU DESPESA],"Receita",LANÇ_MOV[CONTAS],$C579,LANÇ_MOV[PLANO DE CONTAS],REL_DRE_FINANCEIRO!$B$549,LANÇ_MOV[ANO PAGAMENTO],$B$4,LANÇ_MOV[MÊS PAGAMENTO CORRESPONDENTE],F$6,LANÇ_MOV[EMPRESA],$C$4,LANÇ_MOV[CENTRO DE CUSTOS],$D$4)</f>
        <v>0</v>
      </c>
      <c r="G579" s="206">
        <f>SUMIFS(LANÇ_MOV[VALOR LÍQUIDO],LANÇ_MOV[RECEITA OU DESPESA],"Receita",LANÇ_MOV[CONTAS],$C579,LANÇ_MOV[PLANO DE CONTAS],REL_DRE_FINANCEIRO!$B$549,LANÇ_MOV[ANO PAGAMENTO],$B$4,LANÇ_MOV[MÊS PAGAMENTO CORRESPONDENTE],G$6,LANÇ_MOV[EMPRESA],$C$4,LANÇ_MOV[CENTRO DE CUSTOS],$D$4)</f>
        <v>0</v>
      </c>
      <c r="H579" s="206">
        <f>SUMIFS(LANÇ_MOV[VALOR LÍQUIDO],LANÇ_MOV[RECEITA OU DESPESA],"Receita",LANÇ_MOV[CONTAS],$C579,LANÇ_MOV[PLANO DE CONTAS],REL_DRE_FINANCEIRO!$B$549,LANÇ_MOV[ANO PAGAMENTO],$B$4,LANÇ_MOV[MÊS PAGAMENTO CORRESPONDENTE],H$6,LANÇ_MOV[EMPRESA],$C$4,LANÇ_MOV[CENTRO DE CUSTOS],$D$4)</f>
        <v>0</v>
      </c>
      <c r="I579" s="206">
        <f>SUMIFS(LANÇ_MOV[VALOR LÍQUIDO],LANÇ_MOV[RECEITA OU DESPESA],"Receita",LANÇ_MOV[CONTAS],$C579,LANÇ_MOV[PLANO DE CONTAS],REL_DRE_FINANCEIRO!$B$549,LANÇ_MOV[ANO PAGAMENTO],$B$4,LANÇ_MOV[MÊS PAGAMENTO CORRESPONDENTE],I$6,LANÇ_MOV[EMPRESA],$C$4,LANÇ_MOV[CENTRO DE CUSTOS],$D$4)</f>
        <v>0</v>
      </c>
      <c r="J579" s="206">
        <f>SUMIFS(LANÇ_MOV[VALOR LÍQUIDO],LANÇ_MOV[RECEITA OU DESPESA],"Receita",LANÇ_MOV[CONTAS],$C579,LANÇ_MOV[PLANO DE CONTAS],REL_DRE_FINANCEIRO!$B$549,LANÇ_MOV[ANO PAGAMENTO],$B$4,LANÇ_MOV[MÊS PAGAMENTO CORRESPONDENTE],J$6,LANÇ_MOV[EMPRESA],$C$4,LANÇ_MOV[CENTRO DE CUSTOS],$D$4)</f>
        <v>0</v>
      </c>
      <c r="K579" s="206">
        <f>SUMIFS(LANÇ_MOV[VALOR LÍQUIDO],LANÇ_MOV[RECEITA OU DESPESA],"Receita",LANÇ_MOV[CONTAS],$C579,LANÇ_MOV[PLANO DE CONTAS],REL_DRE_FINANCEIRO!$B$549,LANÇ_MOV[ANO PAGAMENTO],$B$4,LANÇ_MOV[MÊS PAGAMENTO CORRESPONDENTE],K$6,LANÇ_MOV[EMPRESA],$C$4,LANÇ_MOV[CENTRO DE CUSTOS],$D$4)</f>
        <v>0</v>
      </c>
      <c r="L579" s="206">
        <f>SUMIFS(LANÇ_MOV[VALOR LÍQUIDO],LANÇ_MOV[RECEITA OU DESPESA],"Receita",LANÇ_MOV[CONTAS],$C579,LANÇ_MOV[PLANO DE CONTAS],REL_DRE_FINANCEIRO!$B$549,LANÇ_MOV[ANO PAGAMENTO],$B$4,LANÇ_MOV[MÊS PAGAMENTO CORRESPONDENTE],L$6,LANÇ_MOV[EMPRESA],$C$4,LANÇ_MOV[CENTRO DE CUSTOS],$D$4)</f>
        <v>0</v>
      </c>
      <c r="M579" s="206">
        <f>SUMIFS(LANÇ_MOV[VALOR LÍQUIDO],LANÇ_MOV[RECEITA OU DESPESA],"Receita",LANÇ_MOV[CONTAS],$C579,LANÇ_MOV[PLANO DE CONTAS],REL_DRE_FINANCEIRO!$B$549,LANÇ_MOV[ANO PAGAMENTO],$B$4,LANÇ_MOV[MÊS PAGAMENTO CORRESPONDENTE],M$6,LANÇ_MOV[EMPRESA],$C$4,LANÇ_MOV[CENTRO DE CUSTOS],$D$4)</f>
        <v>0</v>
      </c>
      <c r="N579" s="206">
        <f>SUMIFS(LANÇ_MOV[VALOR LÍQUIDO],LANÇ_MOV[RECEITA OU DESPESA],"Receita",LANÇ_MOV[CONTAS],$C579,LANÇ_MOV[PLANO DE CONTAS],REL_DRE_FINANCEIRO!$B$549,LANÇ_MOV[ANO PAGAMENTO],$B$4,LANÇ_MOV[MÊS PAGAMENTO CORRESPONDENTE],N$6,LANÇ_MOV[EMPRESA],$C$4,LANÇ_MOV[CENTRO DE CUSTOS],$D$4)</f>
        <v>0</v>
      </c>
      <c r="O579" s="206">
        <f>SUMIFS(LANÇ_MOV[VALOR LÍQUIDO],LANÇ_MOV[RECEITA OU DESPESA],"Receita",LANÇ_MOV[CONTAS],$C579,LANÇ_MOV[PLANO DE CONTAS],REL_DRE_FINANCEIRO!$B$549,LANÇ_MOV[ANO PAGAMENTO],$B$4,LANÇ_MOV[MÊS PAGAMENTO CORRESPONDENTE],O$6,LANÇ_MOV[EMPRESA],$C$4,LANÇ_MOV[CENTRO DE CUSTOS],$D$4)</f>
        <v>0</v>
      </c>
      <c r="P579" s="207">
        <f t="shared" si="77"/>
        <v>0</v>
      </c>
      <c r="Q579" s="329">
        <v>7.0999999999999998E-6</v>
      </c>
      <c r="R579" s="346">
        <f t="shared" si="78"/>
        <v>7.0999999999999998E-6</v>
      </c>
      <c r="S579" s="347" t="str">
        <f t="shared" si="79"/>
        <v>-</v>
      </c>
      <c r="T579" s="347">
        <f t="shared" si="80"/>
        <v>0</v>
      </c>
      <c r="U579" s="347">
        <f>HLOOKUP(Apoio!$P$12,$D$548:$P$649,X579,FALSE)+Q579</f>
        <v>7.0999999999999998E-6</v>
      </c>
      <c r="V579" s="447" t="str">
        <f t="shared" si="81"/>
        <v>-</v>
      </c>
      <c r="W579" s="448">
        <f>HLOOKUP(Apoio!$P$12,$D$548:$P$649,X579,FALSE)</f>
        <v>0</v>
      </c>
      <c r="X579" s="329">
        <v>32</v>
      </c>
    </row>
    <row r="580" spans="2:24" ht="30.05" customHeight="1" x14ac:dyDescent="0.35">
      <c r="B580" s="204" t="str">
        <f>'CAD_PL_REC-DESP'!E35</f>
        <v>1.2.31</v>
      </c>
      <c r="C580" s="205" t="str">
        <f>IF('CAD_PL_REC-DESP'!F35="","-",'CAD_PL_REC-DESP'!F35)</f>
        <v>-</v>
      </c>
      <c r="D580" s="206">
        <f>SUMIFS(LANÇ_MOV[VALOR LÍQUIDO],LANÇ_MOV[RECEITA OU DESPESA],"Receita",LANÇ_MOV[CONTAS],$C580,LANÇ_MOV[PLANO DE CONTAS],REL_DRE_FINANCEIRO!$B$549,LANÇ_MOV[ANO PAGAMENTO],$B$4,LANÇ_MOV[MÊS PAGAMENTO CORRESPONDENTE],D$6,LANÇ_MOV[EMPRESA],$C$4,LANÇ_MOV[CENTRO DE CUSTOS],$D$4)</f>
        <v>0</v>
      </c>
      <c r="E580" s="206">
        <f>SUMIFS(LANÇ_MOV[VALOR LÍQUIDO],LANÇ_MOV[RECEITA OU DESPESA],"Receita",LANÇ_MOV[CONTAS],$C580,LANÇ_MOV[PLANO DE CONTAS],REL_DRE_FINANCEIRO!$B$549,LANÇ_MOV[ANO PAGAMENTO],$B$4,LANÇ_MOV[MÊS PAGAMENTO CORRESPONDENTE],E$6,LANÇ_MOV[EMPRESA],$C$4,LANÇ_MOV[CENTRO DE CUSTOS],$D$4)</f>
        <v>0</v>
      </c>
      <c r="F580" s="206">
        <f>SUMIFS(LANÇ_MOV[VALOR LÍQUIDO],LANÇ_MOV[RECEITA OU DESPESA],"Receita",LANÇ_MOV[CONTAS],$C580,LANÇ_MOV[PLANO DE CONTAS],REL_DRE_FINANCEIRO!$B$549,LANÇ_MOV[ANO PAGAMENTO],$B$4,LANÇ_MOV[MÊS PAGAMENTO CORRESPONDENTE],F$6,LANÇ_MOV[EMPRESA],$C$4,LANÇ_MOV[CENTRO DE CUSTOS],$D$4)</f>
        <v>0</v>
      </c>
      <c r="G580" s="206">
        <f>SUMIFS(LANÇ_MOV[VALOR LÍQUIDO],LANÇ_MOV[RECEITA OU DESPESA],"Receita",LANÇ_MOV[CONTAS],$C580,LANÇ_MOV[PLANO DE CONTAS],REL_DRE_FINANCEIRO!$B$549,LANÇ_MOV[ANO PAGAMENTO],$B$4,LANÇ_MOV[MÊS PAGAMENTO CORRESPONDENTE],G$6,LANÇ_MOV[EMPRESA],$C$4,LANÇ_MOV[CENTRO DE CUSTOS],$D$4)</f>
        <v>0</v>
      </c>
      <c r="H580" s="206">
        <f>SUMIFS(LANÇ_MOV[VALOR LÍQUIDO],LANÇ_MOV[RECEITA OU DESPESA],"Receita",LANÇ_MOV[CONTAS],$C580,LANÇ_MOV[PLANO DE CONTAS],REL_DRE_FINANCEIRO!$B$549,LANÇ_MOV[ANO PAGAMENTO],$B$4,LANÇ_MOV[MÊS PAGAMENTO CORRESPONDENTE],H$6,LANÇ_MOV[EMPRESA],$C$4,LANÇ_MOV[CENTRO DE CUSTOS],$D$4)</f>
        <v>0</v>
      </c>
      <c r="I580" s="206">
        <f>SUMIFS(LANÇ_MOV[VALOR LÍQUIDO],LANÇ_MOV[RECEITA OU DESPESA],"Receita",LANÇ_MOV[CONTAS],$C580,LANÇ_MOV[PLANO DE CONTAS],REL_DRE_FINANCEIRO!$B$549,LANÇ_MOV[ANO PAGAMENTO],$B$4,LANÇ_MOV[MÊS PAGAMENTO CORRESPONDENTE],I$6,LANÇ_MOV[EMPRESA],$C$4,LANÇ_MOV[CENTRO DE CUSTOS],$D$4)</f>
        <v>0</v>
      </c>
      <c r="J580" s="206">
        <f>SUMIFS(LANÇ_MOV[VALOR LÍQUIDO],LANÇ_MOV[RECEITA OU DESPESA],"Receita",LANÇ_MOV[CONTAS],$C580,LANÇ_MOV[PLANO DE CONTAS],REL_DRE_FINANCEIRO!$B$549,LANÇ_MOV[ANO PAGAMENTO],$B$4,LANÇ_MOV[MÊS PAGAMENTO CORRESPONDENTE],J$6,LANÇ_MOV[EMPRESA],$C$4,LANÇ_MOV[CENTRO DE CUSTOS],$D$4)</f>
        <v>0</v>
      </c>
      <c r="K580" s="206">
        <f>SUMIFS(LANÇ_MOV[VALOR LÍQUIDO],LANÇ_MOV[RECEITA OU DESPESA],"Receita",LANÇ_MOV[CONTAS],$C580,LANÇ_MOV[PLANO DE CONTAS],REL_DRE_FINANCEIRO!$B$549,LANÇ_MOV[ANO PAGAMENTO],$B$4,LANÇ_MOV[MÊS PAGAMENTO CORRESPONDENTE],K$6,LANÇ_MOV[EMPRESA],$C$4,LANÇ_MOV[CENTRO DE CUSTOS],$D$4)</f>
        <v>0</v>
      </c>
      <c r="L580" s="206">
        <f>SUMIFS(LANÇ_MOV[VALOR LÍQUIDO],LANÇ_MOV[RECEITA OU DESPESA],"Receita",LANÇ_MOV[CONTAS],$C580,LANÇ_MOV[PLANO DE CONTAS],REL_DRE_FINANCEIRO!$B$549,LANÇ_MOV[ANO PAGAMENTO],$B$4,LANÇ_MOV[MÊS PAGAMENTO CORRESPONDENTE],L$6,LANÇ_MOV[EMPRESA],$C$4,LANÇ_MOV[CENTRO DE CUSTOS],$D$4)</f>
        <v>0</v>
      </c>
      <c r="M580" s="206">
        <f>SUMIFS(LANÇ_MOV[VALOR LÍQUIDO],LANÇ_MOV[RECEITA OU DESPESA],"Receita",LANÇ_MOV[CONTAS],$C580,LANÇ_MOV[PLANO DE CONTAS],REL_DRE_FINANCEIRO!$B$549,LANÇ_MOV[ANO PAGAMENTO],$B$4,LANÇ_MOV[MÊS PAGAMENTO CORRESPONDENTE],M$6,LANÇ_MOV[EMPRESA],$C$4,LANÇ_MOV[CENTRO DE CUSTOS],$D$4)</f>
        <v>0</v>
      </c>
      <c r="N580" s="206">
        <f>SUMIFS(LANÇ_MOV[VALOR LÍQUIDO],LANÇ_MOV[RECEITA OU DESPESA],"Receita",LANÇ_MOV[CONTAS],$C580,LANÇ_MOV[PLANO DE CONTAS],REL_DRE_FINANCEIRO!$B$549,LANÇ_MOV[ANO PAGAMENTO],$B$4,LANÇ_MOV[MÊS PAGAMENTO CORRESPONDENTE],N$6,LANÇ_MOV[EMPRESA],$C$4,LANÇ_MOV[CENTRO DE CUSTOS],$D$4)</f>
        <v>0</v>
      </c>
      <c r="O580" s="206">
        <f>SUMIFS(LANÇ_MOV[VALOR LÍQUIDO],LANÇ_MOV[RECEITA OU DESPESA],"Receita",LANÇ_MOV[CONTAS],$C580,LANÇ_MOV[PLANO DE CONTAS],REL_DRE_FINANCEIRO!$B$549,LANÇ_MOV[ANO PAGAMENTO],$B$4,LANÇ_MOV[MÊS PAGAMENTO CORRESPONDENTE],O$6,LANÇ_MOV[EMPRESA],$C$4,LANÇ_MOV[CENTRO DE CUSTOS],$D$4)</f>
        <v>0</v>
      </c>
      <c r="P580" s="207">
        <f t="shared" si="77"/>
        <v>0</v>
      </c>
      <c r="Q580" s="329">
        <v>6.9999999999999999E-6</v>
      </c>
      <c r="R580" s="346">
        <f t="shared" si="78"/>
        <v>6.9999999999999999E-6</v>
      </c>
      <c r="S580" s="347" t="str">
        <f t="shared" si="79"/>
        <v>-</v>
      </c>
      <c r="T580" s="347">
        <f t="shared" si="80"/>
        <v>0</v>
      </c>
      <c r="U580" s="347">
        <f>HLOOKUP(Apoio!$P$12,$D$548:$P$649,X580,FALSE)+Q580</f>
        <v>6.9999999999999999E-6</v>
      </c>
      <c r="V580" s="447" t="str">
        <f t="shared" si="81"/>
        <v>-</v>
      </c>
      <c r="W580" s="448">
        <f>HLOOKUP(Apoio!$P$12,$D$548:$P$649,X580,FALSE)</f>
        <v>0</v>
      </c>
      <c r="X580" s="329">
        <v>33</v>
      </c>
    </row>
    <row r="581" spans="2:24" ht="30.05" customHeight="1" x14ac:dyDescent="0.35">
      <c r="B581" s="204" t="str">
        <f>'CAD_PL_REC-DESP'!E36</f>
        <v>1.2.32</v>
      </c>
      <c r="C581" s="205" t="str">
        <f>IF('CAD_PL_REC-DESP'!F36="","-",'CAD_PL_REC-DESP'!F36)</f>
        <v>-</v>
      </c>
      <c r="D581" s="206">
        <f>SUMIFS(LANÇ_MOV[VALOR LÍQUIDO],LANÇ_MOV[RECEITA OU DESPESA],"Receita",LANÇ_MOV[CONTAS],$C581,LANÇ_MOV[PLANO DE CONTAS],REL_DRE_FINANCEIRO!$B$549,LANÇ_MOV[ANO PAGAMENTO],$B$4,LANÇ_MOV[MÊS PAGAMENTO CORRESPONDENTE],D$6,LANÇ_MOV[EMPRESA],$C$4,LANÇ_MOV[CENTRO DE CUSTOS],$D$4)</f>
        <v>0</v>
      </c>
      <c r="E581" s="206">
        <f>SUMIFS(LANÇ_MOV[VALOR LÍQUIDO],LANÇ_MOV[RECEITA OU DESPESA],"Receita",LANÇ_MOV[CONTAS],$C581,LANÇ_MOV[PLANO DE CONTAS],REL_DRE_FINANCEIRO!$B$549,LANÇ_MOV[ANO PAGAMENTO],$B$4,LANÇ_MOV[MÊS PAGAMENTO CORRESPONDENTE],E$6,LANÇ_MOV[EMPRESA],$C$4,LANÇ_MOV[CENTRO DE CUSTOS],$D$4)</f>
        <v>0</v>
      </c>
      <c r="F581" s="206">
        <f>SUMIFS(LANÇ_MOV[VALOR LÍQUIDO],LANÇ_MOV[RECEITA OU DESPESA],"Receita",LANÇ_MOV[CONTAS],$C581,LANÇ_MOV[PLANO DE CONTAS],REL_DRE_FINANCEIRO!$B$549,LANÇ_MOV[ANO PAGAMENTO],$B$4,LANÇ_MOV[MÊS PAGAMENTO CORRESPONDENTE],F$6,LANÇ_MOV[EMPRESA],$C$4,LANÇ_MOV[CENTRO DE CUSTOS],$D$4)</f>
        <v>0</v>
      </c>
      <c r="G581" s="206">
        <f>SUMIFS(LANÇ_MOV[VALOR LÍQUIDO],LANÇ_MOV[RECEITA OU DESPESA],"Receita",LANÇ_MOV[CONTAS],$C581,LANÇ_MOV[PLANO DE CONTAS],REL_DRE_FINANCEIRO!$B$549,LANÇ_MOV[ANO PAGAMENTO],$B$4,LANÇ_MOV[MÊS PAGAMENTO CORRESPONDENTE],G$6,LANÇ_MOV[EMPRESA],$C$4,LANÇ_MOV[CENTRO DE CUSTOS],$D$4)</f>
        <v>0</v>
      </c>
      <c r="H581" s="206">
        <f>SUMIFS(LANÇ_MOV[VALOR LÍQUIDO],LANÇ_MOV[RECEITA OU DESPESA],"Receita",LANÇ_MOV[CONTAS],$C581,LANÇ_MOV[PLANO DE CONTAS],REL_DRE_FINANCEIRO!$B$549,LANÇ_MOV[ANO PAGAMENTO],$B$4,LANÇ_MOV[MÊS PAGAMENTO CORRESPONDENTE],H$6,LANÇ_MOV[EMPRESA],$C$4,LANÇ_MOV[CENTRO DE CUSTOS],$D$4)</f>
        <v>0</v>
      </c>
      <c r="I581" s="206">
        <f>SUMIFS(LANÇ_MOV[VALOR LÍQUIDO],LANÇ_MOV[RECEITA OU DESPESA],"Receita",LANÇ_MOV[CONTAS],$C581,LANÇ_MOV[PLANO DE CONTAS],REL_DRE_FINANCEIRO!$B$549,LANÇ_MOV[ANO PAGAMENTO],$B$4,LANÇ_MOV[MÊS PAGAMENTO CORRESPONDENTE],I$6,LANÇ_MOV[EMPRESA],$C$4,LANÇ_MOV[CENTRO DE CUSTOS],$D$4)</f>
        <v>0</v>
      </c>
      <c r="J581" s="206">
        <f>SUMIFS(LANÇ_MOV[VALOR LÍQUIDO],LANÇ_MOV[RECEITA OU DESPESA],"Receita",LANÇ_MOV[CONTAS],$C581,LANÇ_MOV[PLANO DE CONTAS],REL_DRE_FINANCEIRO!$B$549,LANÇ_MOV[ANO PAGAMENTO],$B$4,LANÇ_MOV[MÊS PAGAMENTO CORRESPONDENTE],J$6,LANÇ_MOV[EMPRESA],$C$4,LANÇ_MOV[CENTRO DE CUSTOS],$D$4)</f>
        <v>0</v>
      </c>
      <c r="K581" s="206">
        <f>SUMIFS(LANÇ_MOV[VALOR LÍQUIDO],LANÇ_MOV[RECEITA OU DESPESA],"Receita",LANÇ_MOV[CONTAS],$C581,LANÇ_MOV[PLANO DE CONTAS],REL_DRE_FINANCEIRO!$B$549,LANÇ_MOV[ANO PAGAMENTO],$B$4,LANÇ_MOV[MÊS PAGAMENTO CORRESPONDENTE],K$6,LANÇ_MOV[EMPRESA],$C$4,LANÇ_MOV[CENTRO DE CUSTOS],$D$4)</f>
        <v>0</v>
      </c>
      <c r="L581" s="206">
        <f>SUMIFS(LANÇ_MOV[VALOR LÍQUIDO],LANÇ_MOV[RECEITA OU DESPESA],"Receita",LANÇ_MOV[CONTAS],$C581,LANÇ_MOV[PLANO DE CONTAS],REL_DRE_FINANCEIRO!$B$549,LANÇ_MOV[ANO PAGAMENTO],$B$4,LANÇ_MOV[MÊS PAGAMENTO CORRESPONDENTE],L$6,LANÇ_MOV[EMPRESA],$C$4,LANÇ_MOV[CENTRO DE CUSTOS],$D$4)</f>
        <v>0</v>
      </c>
      <c r="M581" s="206">
        <f>SUMIFS(LANÇ_MOV[VALOR LÍQUIDO],LANÇ_MOV[RECEITA OU DESPESA],"Receita",LANÇ_MOV[CONTAS],$C581,LANÇ_MOV[PLANO DE CONTAS],REL_DRE_FINANCEIRO!$B$549,LANÇ_MOV[ANO PAGAMENTO],$B$4,LANÇ_MOV[MÊS PAGAMENTO CORRESPONDENTE],M$6,LANÇ_MOV[EMPRESA],$C$4,LANÇ_MOV[CENTRO DE CUSTOS],$D$4)</f>
        <v>0</v>
      </c>
      <c r="N581" s="206">
        <f>SUMIFS(LANÇ_MOV[VALOR LÍQUIDO],LANÇ_MOV[RECEITA OU DESPESA],"Receita",LANÇ_MOV[CONTAS],$C581,LANÇ_MOV[PLANO DE CONTAS],REL_DRE_FINANCEIRO!$B$549,LANÇ_MOV[ANO PAGAMENTO],$B$4,LANÇ_MOV[MÊS PAGAMENTO CORRESPONDENTE],N$6,LANÇ_MOV[EMPRESA],$C$4,LANÇ_MOV[CENTRO DE CUSTOS],$D$4)</f>
        <v>0</v>
      </c>
      <c r="O581" s="206">
        <f>SUMIFS(LANÇ_MOV[VALOR LÍQUIDO],LANÇ_MOV[RECEITA OU DESPESA],"Receita",LANÇ_MOV[CONTAS],$C581,LANÇ_MOV[PLANO DE CONTAS],REL_DRE_FINANCEIRO!$B$549,LANÇ_MOV[ANO PAGAMENTO],$B$4,LANÇ_MOV[MÊS PAGAMENTO CORRESPONDENTE],O$6,LANÇ_MOV[EMPRESA],$C$4,LANÇ_MOV[CENTRO DE CUSTOS],$D$4)</f>
        <v>0</v>
      </c>
      <c r="P581" s="207">
        <f t="shared" si="77"/>
        <v>0</v>
      </c>
      <c r="Q581" s="329">
        <v>6.9E-6</v>
      </c>
      <c r="R581" s="346">
        <f t="shared" si="78"/>
        <v>6.9E-6</v>
      </c>
      <c r="S581" s="347" t="str">
        <f t="shared" si="79"/>
        <v>-</v>
      </c>
      <c r="T581" s="347">
        <f t="shared" si="80"/>
        <v>0</v>
      </c>
      <c r="U581" s="347">
        <f>HLOOKUP(Apoio!$P$12,$D$548:$P$649,X581,FALSE)+Q581</f>
        <v>6.9E-6</v>
      </c>
      <c r="V581" s="447" t="str">
        <f t="shared" si="81"/>
        <v>-</v>
      </c>
      <c r="W581" s="448">
        <f>HLOOKUP(Apoio!$P$12,$D$548:$P$649,X581,FALSE)</f>
        <v>0</v>
      </c>
      <c r="X581" s="329">
        <v>34</v>
      </c>
    </row>
    <row r="582" spans="2:24" ht="30.05" customHeight="1" x14ac:dyDescent="0.35">
      <c r="B582" s="204" t="str">
        <f>'CAD_PL_REC-DESP'!E37</f>
        <v>1.2.33</v>
      </c>
      <c r="C582" s="205" t="str">
        <f>IF('CAD_PL_REC-DESP'!F37="","-",'CAD_PL_REC-DESP'!F37)</f>
        <v>-</v>
      </c>
      <c r="D582" s="206">
        <f>SUMIFS(LANÇ_MOV[VALOR LÍQUIDO],LANÇ_MOV[RECEITA OU DESPESA],"Receita",LANÇ_MOV[CONTAS],$C582,LANÇ_MOV[PLANO DE CONTAS],REL_DRE_FINANCEIRO!$B$549,LANÇ_MOV[ANO PAGAMENTO],$B$4,LANÇ_MOV[MÊS PAGAMENTO CORRESPONDENTE],D$6,LANÇ_MOV[EMPRESA],$C$4,LANÇ_MOV[CENTRO DE CUSTOS],$D$4)</f>
        <v>0</v>
      </c>
      <c r="E582" s="206">
        <f>SUMIFS(LANÇ_MOV[VALOR LÍQUIDO],LANÇ_MOV[RECEITA OU DESPESA],"Receita",LANÇ_MOV[CONTAS],$C582,LANÇ_MOV[PLANO DE CONTAS],REL_DRE_FINANCEIRO!$B$549,LANÇ_MOV[ANO PAGAMENTO],$B$4,LANÇ_MOV[MÊS PAGAMENTO CORRESPONDENTE],E$6,LANÇ_MOV[EMPRESA],$C$4,LANÇ_MOV[CENTRO DE CUSTOS],$D$4)</f>
        <v>0</v>
      </c>
      <c r="F582" s="206">
        <f>SUMIFS(LANÇ_MOV[VALOR LÍQUIDO],LANÇ_MOV[RECEITA OU DESPESA],"Receita",LANÇ_MOV[CONTAS],$C582,LANÇ_MOV[PLANO DE CONTAS],REL_DRE_FINANCEIRO!$B$549,LANÇ_MOV[ANO PAGAMENTO],$B$4,LANÇ_MOV[MÊS PAGAMENTO CORRESPONDENTE],F$6,LANÇ_MOV[EMPRESA],$C$4,LANÇ_MOV[CENTRO DE CUSTOS],$D$4)</f>
        <v>0</v>
      </c>
      <c r="G582" s="206">
        <f>SUMIFS(LANÇ_MOV[VALOR LÍQUIDO],LANÇ_MOV[RECEITA OU DESPESA],"Receita",LANÇ_MOV[CONTAS],$C582,LANÇ_MOV[PLANO DE CONTAS],REL_DRE_FINANCEIRO!$B$549,LANÇ_MOV[ANO PAGAMENTO],$B$4,LANÇ_MOV[MÊS PAGAMENTO CORRESPONDENTE],G$6,LANÇ_MOV[EMPRESA],$C$4,LANÇ_MOV[CENTRO DE CUSTOS],$D$4)</f>
        <v>0</v>
      </c>
      <c r="H582" s="206">
        <f>SUMIFS(LANÇ_MOV[VALOR LÍQUIDO],LANÇ_MOV[RECEITA OU DESPESA],"Receita",LANÇ_MOV[CONTAS],$C582,LANÇ_MOV[PLANO DE CONTAS],REL_DRE_FINANCEIRO!$B$549,LANÇ_MOV[ANO PAGAMENTO],$B$4,LANÇ_MOV[MÊS PAGAMENTO CORRESPONDENTE],H$6,LANÇ_MOV[EMPRESA],$C$4,LANÇ_MOV[CENTRO DE CUSTOS],$D$4)</f>
        <v>0</v>
      </c>
      <c r="I582" s="206">
        <f>SUMIFS(LANÇ_MOV[VALOR LÍQUIDO],LANÇ_MOV[RECEITA OU DESPESA],"Receita",LANÇ_MOV[CONTAS],$C582,LANÇ_MOV[PLANO DE CONTAS],REL_DRE_FINANCEIRO!$B$549,LANÇ_MOV[ANO PAGAMENTO],$B$4,LANÇ_MOV[MÊS PAGAMENTO CORRESPONDENTE],I$6,LANÇ_MOV[EMPRESA],$C$4,LANÇ_MOV[CENTRO DE CUSTOS],$D$4)</f>
        <v>0</v>
      </c>
      <c r="J582" s="206">
        <f>SUMIFS(LANÇ_MOV[VALOR LÍQUIDO],LANÇ_MOV[RECEITA OU DESPESA],"Receita",LANÇ_MOV[CONTAS],$C582,LANÇ_MOV[PLANO DE CONTAS],REL_DRE_FINANCEIRO!$B$549,LANÇ_MOV[ANO PAGAMENTO],$B$4,LANÇ_MOV[MÊS PAGAMENTO CORRESPONDENTE],J$6,LANÇ_MOV[EMPRESA],$C$4,LANÇ_MOV[CENTRO DE CUSTOS],$D$4)</f>
        <v>0</v>
      </c>
      <c r="K582" s="206">
        <f>SUMIFS(LANÇ_MOV[VALOR LÍQUIDO],LANÇ_MOV[RECEITA OU DESPESA],"Receita",LANÇ_MOV[CONTAS],$C582,LANÇ_MOV[PLANO DE CONTAS],REL_DRE_FINANCEIRO!$B$549,LANÇ_MOV[ANO PAGAMENTO],$B$4,LANÇ_MOV[MÊS PAGAMENTO CORRESPONDENTE],K$6,LANÇ_MOV[EMPRESA],$C$4,LANÇ_MOV[CENTRO DE CUSTOS],$D$4)</f>
        <v>0</v>
      </c>
      <c r="L582" s="206">
        <f>SUMIFS(LANÇ_MOV[VALOR LÍQUIDO],LANÇ_MOV[RECEITA OU DESPESA],"Receita",LANÇ_MOV[CONTAS],$C582,LANÇ_MOV[PLANO DE CONTAS],REL_DRE_FINANCEIRO!$B$549,LANÇ_MOV[ANO PAGAMENTO],$B$4,LANÇ_MOV[MÊS PAGAMENTO CORRESPONDENTE],L$6,LANÇ_MOV[EMPRESA],$C$4,LANÇ_MOV[CENTRO DE CUSTOS],$D$4)</f>
        <v>0</v>
      </c>
      <c r="M582" s="206">
        <f>SUMIFS(LANÇ_MOV[VALOR LÍQUIDO],LANÇ_MOV[RECEITA OU DESPESA],"Receita",LANÇ_MOV[CONTAS],$C582,LANÇ_MOV[PLANO DE CONTAS],REL_DRE_FINANCEIRO!$B$549,LANÇ_MOV[ANO PAGAMENTO],$B$4,LANÇ_MOV[MÊS PAGAMENTO CORRESPONDENTE],M$6,LANÇ_MOV[EMPRESA],$C$4,LANÇ_MOV[CENTRO DE CUSTOS],$D$4)</f>
        <v>0</v>
      </c>
      <c r="N582" s="206">
        <f>SUMIFS(LANÇ_MOV[VALOR LÍQUIDO],LANÇ_MOV[RECEITA OU DESPESA],"Receita",LANÇ_MOV[CONTAS],$C582,LANÇ_MOV[PLANO DE CONTAS],REL_DRE_FINANCEIRO!$B$549,LANÇ_MOV[ANO PAGAMENTO],$B$4,LANÇ_MOV[MÊS PAGAMENTO CORRESPONDENTE],N$6,LANÇ_MOV[EMPRESA],$C$4,LANÇ_MOV[CENTRO DE CUSTOS],$D$4)</f>
        <v>0</v>
      </c>
      <c r="O582" s="206">
        <f>SUMIFS(LANÇ_MOV[VALOR LÍQUIDO],LANÇ_MOV[RECEITA OU DESPESA],"Receita",LANÇ_MOV[CONTAS],$C582,LANÇ_MOV[PLANO DE CONTAS],REL_DRE_FINANCEIRO!$B$549,LANÇ_MOV[ANO PAGAMENTO],$B$4,LANÇ_MOV[MÊS PAGAMENTO CORRESPONDENTE],O$6,LANÇ_MOV[EMPRESA],$C$4,LANÇ_MOV[CENTRO DE CUSTOS],$D$4)</f>
        <v>0</v>
      </c>
      <c r="P582" s="207">
        <f t="shared" si="77"/>
        <v>0</v>
      </c>
      <c r="Q582" s="329">
        <v>6.8000000000000001E-6</v>
      </c>
      <c r="R582" s="346">
        <f t="shared" si="78"/>
        <v>6.8000000000000001E-6</v>
      </c>
      <c r="S582" s="347" t="str">
        <f t="shared" si="79"/>
        <v>-</v>
      </c>
      <c r="T582" s="347">
        <f t="shared" si="80"/>
        <v>0</v>
      </c>
      <c r="U582" s="347">
        <f>HLOOKUP(Apoio!$P$12,$D$548:$P$649,X582,FALSE)+Q582</f>
        <v>6.8000000000000001E-6</v>
      </c>
      <c r="V582" s="447" t="str">
        <f t="shared" si="81"/>
        <v>-</v>
      </c>
      <c r="W582" s="448">
        <f>HLOOKUP(Apoio!$P$12,$D$548:$P$649,X582,FALSE)</f>
        <v>0</v>
      </c>
      <c r="X582" s="329">
        <v>35</v>
      </c>
    </row>
    <row r="583" spans="2:24" ht="30.05" customHeight="1" x14ac:dyDescent="0.35">
      <c r="B583" s="204" t="str">
        <f>'CAD_PL_REC-DESP'!E38</f>
        <v>1.2.34</v>
      </c>
      <c r="C583" s="205" t="str">
        <f>IF('CAD_PL_REC-DESP'!F38="","-",'CAD_PL_REC-DESP'!F38)</f>
        <v>-</v>
      </c>
      <c r="D583" s="206">
        <f>SUMIFS(LANÇ_MOV[VALOR LÍQUIDO],LANÇ_MOV[RECEITA OU DESPESA],"Receita",LANÇ_MOV[CONTAS],$C583,LANÇ_MOV[PLANO DE CONTAS],REL_DRE_FINANCEIRO!$B$549,LANÇ_MOV[ANO PAGAMENTO],$B$4,LANÇ_MOV[MÊS PAGAMENTO CORRESPONDENTE],D$6,LANÇ_MOV[EMPRESA],$C$4,LANÇ_MOV[CENTRO DE CUSTOS],$D$4)</f>
        <v>0</v>
      </c>
      <c r="E583" s="206">
        <f>SUMIFS(LANÇ_MOV[VALOR LÍQUIDO],LANÇ_MOV[RECEITA OU DESPESA],"Receita",LANÇ_MOV[CONTAS],$C583,LANÇ_MOV[PLANO DE CONTAS],REL_DRE_FINANCEIRO!$B$549,LANÇ_MOV[ANO PAGAMENTO],$B$4,LANÇ_MOV[MÊS PAGAMENTO CORRESPONDENTE],E$6,LANÇ_MOV[EMPRESA],$C$4,LANÇ_MOV[CENTRO DE CUSTOS],$D$4)</f>
        <v>0</v>
      </c>
      <c r="F583" s="206">
        <f>SUMIFS(LANÇ_MOV[VALOR LÍQUIDO],LANÇ_MOV[RECEITA OU DESPESA],"Receita",LANÇ_MOV[CONTAS],$C583,LANÇ_MOV[PLANO DE CONTAS],REL_DRE_FINANCEIRO!$B$549,LANÇ_MOV[ANO PAGAMENTO],$B$4,LANÇ_MOV[MÊS PAGAMENTO CORRESPONDENTE],F$6,LANÇ_MOV[EMPRESA],$C$4,LANÇ_MOV[CENTRO DE CUSTOS],$D$4)</f>
        <v>0</v>
      </c>
      <c r="G583" s="206">
        <f>SUMIFS(LANÇ_MOV[VALOR LÍQUIDO],LANÇ_MOV[RECEITA OU DESPESA],"Receita",LANÇ_MOV[CONTAS],$C583,LANÇ_MOV[PLANO DE CONTAS],REL_DRE_FINANCEIRO!$B$549,LANÇ_MOV[ANO PAGAMENTO],$B$4,LANÇ_MOV[MÊS PAGAMENTO CORRESPONDENTE],G$6,LANÇ_MOV[EMPRESA],$C$4,LANÇ_MOV[CENTRO DE CUSTOS],$D$4)</f>
        <v>0</v>
      </c>
      <c r="H583" s="206">
        <f>SUMIFS(LANÇ_MOV[VALOR LÍQUIDO],LANÇ_MOV[RECEITA OU DESPESA],"Receita",LANÇ_MOV[CONTAS],$C583,LANÇ_MOV[PLANO DE CONTAS],REL_DRE_FINANCEIRO!$B$549,LANÇ_MOV[ANO PAGAMENTO],$B$4,LANÇ_MOV[MÊS PAGAMENTO CORRESPONDENTE],H$6,LANÇ_MOV[EMPRESA],$C$4,LANÇ_MOV[CENTRO DE CUSTOS],$D$4)</f>
        <v>0</v>
      </c>
      <c r="I583" s="206">
        <f>SUMIFS(LANÇ_MOV[VALOR LÍQUIDO],LANÇ_MOV[RECEITA OU DESPESA],"Receita",LANÇ_MOV[CONTAS],$C583,LANÇ_MOV[PLANO DE CONTAS],REL_DRE_FINANCEIRO!$B$549,LANÇ_MOV[ANO PAGAMENTO],$B$4,LANÇ_MOV[MÊS PAGAMENTO CORRESPONDENTE],I$6,LANÇ_MOV[EMPRESA],$C$4,LANÇ_MOV[CENTRO DE CUSTOS],$D$4)</f>
        <v>0</v>
      </c>
      <c r="J583" s="206">
        <f>SUMIFS(LANÇ_MOV[VALOR LÍQUIDO],LANÇ_MOV[RECEITA OU DESPESA],"Receita",LANÇ_MOV[CONTAS],$C583,LANÇ_MOV[PLANO DE CONTAS],REL_DRE_FINANCEIRO!$B$549,LANÇ_MOV[ANO PAGAMENTO],$B$4,LANÇ_MOV[MÊS PAGAMENTO CORRESPONDENTE],J$6,LANÇ_MOV[EMPRESA],$C$4,LANÇ_MOV[CENTRO DE CUSTOS],$D$4)</f>
        <v>0</v>
      </c>
      <c r="K583" s="206">
        <f>SUMIFS(LANÇ_MOV[VALOR LÍQUIDO],LANÇ_MOV[RECEITA OU DESPESA],"Receita",LANÇ_MOV[CONTAS],$C583,LANÇ_MOV[PLANO DE CONTAS],REL_DRE_FINANCEIRO!$B$549,LANÇ_MOV[ANO PAGAMENTO],$B$4,LANÇ_MOV[MÊS PAGAMENTO CORRESPONDENTE],K$6,LANÇ_MOV[EMPRESA],$C$4,LANÇ_MOV[CENTRO DE CUSTOS],$D$4)</f>
        <v>0</v>
      </c>
      <c r="L583" s="206">
        <f>SUMIFS(LANÇ_MOV[VALOR LÍQUIDO],LANÇ_MOV[RECEITA OU DESPESA],"Receita",LANÇ_MOV[CONTAS],$C583,LANÇ_MOV[PLANO DE CONTAS],REL_DRE_FINANCEIRO!$B$549,LANÇ_MOV[ANO PAGAMENTO],$B$4,LANÇ_MOV[MÊS PAGAMENTO CORRESPONDENTE],L$6,LANÇ_MOV[EMPRESA],$C$4,LANÇ_MOV[CENTRO DE CUSTOS],$D$4)</f>
        <v>0</v>
      </c>
      <c r="M583" s="206">
        <f>SUMIFS(LANÇ_MOV[VALOR LÍQUIDO],LANÇ_MOV[RECEITA OU DESPESA],"Receita",LANÇ_MOV[CONTAS],$C583,LANÇ_MOV[PLANO DE CONTAS],REL_DRE_FINANCEIRO!$B$549,LANÇ_MOV[ANO PAGAMENTO],$B$4,LANÇ_MOV[MÊS PAGAMENTO CORRESPONDENTE],M$6,LANÇ_MOV[EMPRESA],$C$4,LANÇ_MOV[CENTRO DE CUSTOS],$D$4)</f>
        <v>0</v>
      </c>
      <c r="N583" s="206">
        <f>SUMIFS(LANÇ_MOV[VALOR LÍQUIDO],LANÇ_MOV[RECEITA OU DESPESA],"Receita",LANÇ_MOV[CONTAS],$C583,LANÇ_MOV[PLANO DE CONTAS],REL_DRE_FINANCEIRO!$B$549,LANÇ_MOV[ANO PAGAMENTO],$B$4,LANÇ_MOV[MÊS PAGAMENTO CORRESPONDENTE],N$6,LANÇ_MOV[EMPRESA],$C$4,LANÇ_MOV[CENTRO DE CUSTOS],$D$4)</f>
        <v>0</v>
      </c>
      <c r="O583" s="206">
        <f>SUMIFS(LANÇ_MOV[VALOR LÍQUIDO],LANÇ_MOV[RECEITA OU DESPESA],"Receita",LANÇ_MOV[CONTAS],$C583,LANÇ_MOV[PLANO DE CONTAS],REL_DRE_FINANCEIRO!$B$549,LANÇ_MOV[ANO PAGAMENTO],$B$4,LANÇ_MOV[MÊS PAGAMENTO CORRESPONDENTE],O$6,LANÇ_MOV[EMPRESA],$C$4,LANÇ_MOV[CENTRO DE CUSTOS],$D$4)</f>
        <v>0</v>
      </c>
      <c r="P583" s="207">
        <f t="shared" si="77"/>
        <v>0</v>
      </c>
      <c r="Q583" s="329">
        <v>6.7000000000000002E-6</v>
      </c>
      <c r="R583" s="346">
        <f t="shared" si="78"/>
        <v>6.7000000000000002E-6</v>
      </c>
      <c r="S583" s="347" t="str">
        <f t="shared" si="79"/>
        <v>-</v>
      </c>
      <c r="T583" s="347">
        <f t="shared" si="80"/>
        <v>0</v>
      </c>
      <c r="U583" s="347">
        <f>HLOOKUP(Apoio!$P$12,$D$548:$P$649,X583,FALSE)+Q583</f>
        <v>6.7000000000000002E-6</v>
      </c>
      <c r="V583" s="447" t="str">
        <f t="shared" si="81"/>
        <v>-</v>
      </c>
      <c r="W583" s="448">
        <f>HLOOKUP(Apoio!$P$12,$D$548:$P$649,X583,FALSE)</f>
        <v>0</v>
      </c>
      <c r="X583" s="329">
        <v>36</v>
      </c>
    </row>
    <row r="584" spans="2:24" ht="30.05" customHeight="1" x14ac:dyDescent="0.35">
      <c r="B584" s="204" t="str">
        <f>'CAD_PL_REC-DESP'!E39</f>
        <v>1.2.35</v>
      </c>
      <c r="C584" s="205" t="str">
        <f>IF('CAD_PL_REC-DESP'!F39="","-",'CAD_PL_REC-DESP'!F39)</f>
        <v>-</v>
      </c>
      <c r="D584" s="206">
        <f>SUMIFS(LANÇ_MOV[VALOR LÍQUIDO],LANÇ_MOV[RECEITA OU DESPESA],"Receita",LANÇ_MOV[CONTAS],$C584,LANÇ_MOV[PLANO DE CONTAS],REL_DRE_FINANCEIRO!$B$549,LANÇ_MOV[ANO PAGAMENTO],$B$4,LANÇ_MOV[MÊS PAGAMENTO CORRESPONDENTE],D$6,LANÇ_MOV[EMPRESA],$C$4,LANÇ_MOV[CENTRO DE CUSTOS],$D$4)</f>
        <v>0</v>
      </c>
      <c r="E584" s="206">
        <f>SUMIFS(LANÇ_MOV[VALOR LÍQUIDO],LANÇ_MOV[RECEITA OU DESPESA],"Receita",LANÇ_MOV[CONTAS],$C584,LANÇ_MOV[PLANO DE CONTAS],REL_DRE_FINANCEIRO!$B$549,LANÇ_MOV[ANO PAGAMENTO],$B$4,LANÇ_MOV[MÊS PAGAMENTO CORRESPONDENTE],E$6,LANÇ_MOV[EMPRESA],$C$4,LANÇ_MOV[CENTRO DE CUSTOS],$D$4)</f>
        <v>0</v>
      </c>
      <c r="F584" s="206">
        <f>SUMIFS(LANÇ_MOV[VALOR LÍQUIDO],LANÇ_MOV[RECEITA OU DESPESA],"Receita",LANÇ_MOV[CONTAS],$C584,LANÇ_MOV[PLANO DE CONTAS],REL_DRE_FINANCEIRO!$B$549,LANÇ_MOV[ANO PAGAMENTO],$B$4,LANÇ_MOV[MÊS PAGAMENTO CORRESPONDENTE],F$6,LANÇ_MOV[EMPRESA],$C$4,LANÇ_MOV[CENTRO DE CUSTOS],$D$4)</f>
        <v>0</v>
      </c>
      <c r="G584" s="206">
        <f>SUMIFS(LANÇ_MOV[VALOR LÍQUIDO],LANÇ_MOV[RECEITA OU DESPESA],"Receita",LANÇ_MOV[CONTAS],$C584,LANÇ_MOV[PLANO DE CONTAS],REL_DRE_FINANCEIRO!$B$549,LANÇ_MOV[ANO PAGAMENTO],$B$4,LANÇ_MOV[MÊS PAGAMENTO CORRESPONDENTE],G$6,LANÇ_MOV[EMPRESA],$C$4,LANÇ_MOV[CENTRO DE CUSTOS],$D$4)</f>
        <v>0</v>
      </c>
      <c r="H584" s="206">
        <f>SUMIFS(LANÇ_MOV[VALOR LÍQUIDO],LANÇ_MOV[RECEITA OU DESPESA],"Receita",LANÇ_MOV[CONTAS],$C584,LANÇ_MOV[PLANO DE CONTAS],REL_DRE_FINANCEIRO!$B$549,LANÇ_MOV[ANO PAGAMENTO],$B$4,LANÇ_MOV[MÊS PAGAMENTO CORRESPONDENTE],H$6,LANÇ_MOV[EMPRESA],$C$4,LANÇ_MOV[CENTRO DE CUSTOS],$D$4)</f>
        <v>0</v>
      </c>
      <c r="I584" s="206">
        <f>SUMIFS(LANÇ_MOV[VALOR LÍQUIDO],LANÇ_MOV[RECEITA OU DESPESA],"Receita",LANÇ_MOV[CONTAS],$C584,LANÇ_MOV[PLANO DE CONTAS],REL_DRE_FINANCEIRO!$B$549,LANÇ_MOV[ANO PAGAMENTO],$B$4,LANÇ_MOV[MÊS PAGAMENTO CORRESPONDENTE],I$6,LANÇ_MOV[EMPRESA],$C$4,LANÇ_MOV[CENTRO DE CUSTOS],$D$4)</f>
        <v>0</v>
      </c>
      <c r="J584" s="206">
        <f>SUMIFS(LANÇ_MOV[VALOR LÍQUIDO],LANÇ_MOV[RECEITA OU DESPESA],"Receita",LANÇ_MOV[CONTAS],$C584,LANÇ_MOV[PLANO DE CONTAS],REL_DRE_FINANCEIRO!$B$549,LANÇ_MOV[ANO PAGAMENTO],$B$4,LANÇ_MOV[MÊS PAGAMENTO CORRESPONDENTE],J$6,LANÇ_MOV[EMPRESA],$C$4,LANÇ_MOV[CENTRO DE CUSTOS],$D$4)</f>
        <v>0</v>
      </c>
      <c r="K584" s="206">
        <f>SUMIFS(LANÇ_MOV[VALOR LÍQUIDO],LANÇ_MOV[RECEITA OU DESPESA],"Receita",LANÇ_MOV[CONTAS],$C584,LANÇ_MOV[PLANO DE CONTAS],REL_DRE_FINANCEIRO!$B$549,LANÇ_MOV[ANO PAGAMENTO],$B$4,LANÇ_MOV[MÊS PAGAMENTO CORRESPONDENTE],K$6,LANÇ_MOV[EMPRESA],$C$4,LANÇ_MOV[CENTRO DE CUSTOS],$D$4)</f>
        <v>0</v>
      </c>
      <c r="L584" s="206">
        <f>SUMIFS(LANÇ_MOV[VALOR LÍQUIDO],LANÇ_MOV[RECEITA OU DESPESA],"Receita",LANÇ_MOV[CONTAS],$C584,LANÇ_MOV[PLANO DE CONTAS],REL_DRE_FINANCEIRO!$B$549,LANÇ_MOV[ANO PAGAMENTO],$B$4,LANÇ_MOV[MÊS PAGAMENTO CORRESPONDENTE],L$6,LANÇ_MOV[EMPRESA],$C$4,LANÇ_MOV[CENTRO DE CUSTOS],$D$4)</f>
        <v>0</v>
      </c>
      <c r="M584" s="206">
        <f>SUMIFS(LANÇ_MOV[VALOR LÍQUIDO],LANÇ_MOV[RECEITA OU DESPESA],"Receita",LANÇ_MOV[CONTAS],$C584,LANÇ_MOV[PLANO DE CONTAS],REL_DRE_FINANCEIRO!$B$549,LANÇ_MOV[ANO PAGAMENTO],$B$4,LANÇ_MOV[MÊS PAGAMENTO CORRESPONDENTE],M$6,LANÇ_MOV[EMPRESA],$C$4,LANÇ_MOV[CENTRO DE CUSTOS],$D$4)</f>
        <v>0</v>
      </c>
      <c r="N584" s="206">
        <f>SUMIFS(LANÇ_MOV[VALOR LÍQUIDO],LANÇ_MOV[RECEITA OU DESPESA],"Receita",LANÇ_MOV[CONTAS],$C584,LANÇ_MOV[PLANO DE CONTAS],REL_DRE_FINANCEIRO!$B$549,LANÇ_MOV[ANO PAGAMENTO],$B$4,LANÇ_MOV[MÊS PAGAMENTO CORRESPONDENTE],N$6,LANÇ_MOV[EMPRESA],$C$4,LANÇ_MOV[CENTRO DE CUSTOS],$D$4)</f>
        <v>0</v>
      </c>
      <c r="O584" s="206">
        <f>SUMIFS(LANÇ_MOV[VALOR LÍQUIDO],LANÇ_MOV[RECEITA OU DESPESA],"Receita",LANÇ_MOV[CONTAS],$C584,LANÇ_MOV[PLANO DE CONTAS],REL_DRE_FINANCEIRO!$B$549,LANÇ_MOV[ANO PAGAMENTO],$B$4,LANÇ_MOV[MÊS PAGAMENTO CORRESPONDENTE],O$6,LANÇ_MOV[EMPRESA],$C$4,LANÇ_MOV[CENTRO DE CUSTOS],$D$4)</f>
        <v>0</v>
      </c>
      <c r="P584" s="207">
        <f t="shared" si="77"/>
        <v>0</v>
      </c>
      <c r="Q584" s="329">
        <v>6.6000000000000003E-6</v>
      </c>
      <c r="R584" s="346">
        <f t="shared" si="78"/>
        <v>6.6000000000000003E-6</v>
      </c>
      <c r="S584" s="347" t="str">
        <f t="shared" si="79"/>
        <v>-</v>
      </c>
      <c r="T584" s="347">
        <f t="shared" si="80"/>
        <v>0</v>
      </c>
      <c r="U584" s="347">
        <f>HLOOKUP(Apoio!$P$12,$D$548:$P$649,X584,FALSE)+Q584</f>
        <v>6.6000000000000003E-6</v>
      </c>
      <c r="V584" s="447" t="str">
        <f t="shared" si="81"/>
        <v>-</v>
      </c>
      <c r="W584" s="448">
        <f>HLOOKUP(Apoio!$P$12,$D$548:$P$649,X584,FALSE)</f>
        <v>0</v>
      </c>
      <c r="X584" s="329">
        <v>37</v>
      </c>
    </row>
    <row r="585" spans="2:24" ht="30.05" customHeight="1" x14ac:dyDescent="0.35">
      <c r="B585" s="204" t="str">
        <f>'CAD_PL_REC-DESP'!E40</f>
        <v>1.2.36</v>
      </c>
      <c r="C585" s="205" t="str">
        <f>IF('CAD_PL_REC-DESP'!F40="","-",'CAD_PL_REC-DESP'!F40)</f>
        <v>-</v>
      </c>
      <c r="D585" s="206">
        <f>SUMIFS(LANÇ_MOV[VALOR LÍQUIDO],LANÇ_MOV[RECEITA OU DESPESA],"Receita",LANÇ_MOV[CONTAS],$C585,LANÇ_MOV[PLANO DE CONTAS],REL_DRE_FINANCEIRO!$B$549,LANÇ_MOV[ANO PAGAMENTO],$B$4,LANÇ_MOV[MÊS PAGAMENTO CORRESPONDENTE],D$6,LANÇ_MOV[EMPRESA],$C$4,LANÇ_MOV[CENTRO DE CUSTOS],$D$4)</f>
        <v>0</v>
      </c>
      <c r="E585" s="206">
        <f>SUMIFS(LANÇ_MOV[VALOR LÍQUIDO],LANÇ_MOV[RECEITA OU DESPESA],"Receita",LANÇ_MOV[CONTAS],$C585,LANÇ_MOV[PLANO DE CONTAS],REL_DRE_FINANCEIRO!$B$549,LANÇ_MOV[ANO PAGAMENTO],$B$4,LANÇ_MOV[MÊS PAGAMENTO CORRESPONDENTE],E$6,LANÇ_MOV[EMPRESA],$C$4,LANÇ_MOV[CENTRO DE CUSTOS],$D$4)</f>
        <v>0</v>
      </c>
      <c r="F585" s="206">
        <f>SUMIFS(LANÇ_MOV[VALOR LÍQUIDO],LANÇ_MOV[RECEITA OU DESPESA],"Receita",LANÇ_MOV[CONTAS],$C585,LANÇ_MOV[PLANO DE CONTAS],REL_DRE_FINANCEIRO!$B$549,LANÇ_MOV[ANO PAGAMENTO],$B$4,LANÇ_MOV[MÊS PAGAMENTO CORRESPONDENTE],F$6,LANÇ_MOV[EMPRESA],$C$4,LANÇ_MOV[CENTRO DE CUSTOS],$D$4)</f>
        <v>0</v>
      </c>
      <c r="G585" s="206">
        <f>SUMIFS(LANÇ_MOV[VALOR LÍQUIDO],LANÇ_MOV[RECEITA OU DESPESA],"Receita",LANÇ_MOV[CONTAS],$C585,LANÇ_MOV[PLANO DE CONTAS],REL_DRE_FINANCEIRO!$B$549,LANÇ_MOV[ANO PAGAMENTO],$B$4,LANÇ_MOV[MÊS PAGAMENTO CORRESPONDENTE],G$6,LANÇ_MOV[EMPRESA],$C$4,LANÇ_MOV[CENTRO DE CUSTOS],$D$4)</f>
        <v>0</v>
      </c>
      <c r="H585" s="206">
        <f>SUMIFS(LANÇ_MOV[VALOR LÍQUIDO],LANÇ_MOV[RECEITA OU DESPESA],"Receita",LANÇ_MOV[CONTAS],$C585,LANÇ_MOV[PLANO DE CONTAS],REL_DRE_FINANCEIRO!$B$549,LANÇ_MOV[ANO PAGAMENTO],$B$4,LANÇ_MOV[MÊS PAGAMENTO CORRESPONDENTE],H$6,LANÇ_MOV[EMPRESA],$C$4,LANÇ_MOV[CENTRO DE CUSTOS],$D$4)</f>
        <v>0</v>
      </c>
      <c r="I585" s="206">
        <f>SUMIFS(LANÇ_MOV[VALOR LÍQUIDO],LANÇ_MOV[RECEITA OU DESPESA],"Receita",LANÇ_MOV[CONTAS],$C585,LANÇ_MOV[PLANO DE CONTAS],REL_DRE_FINANCEIRO!$B$549,LANÇ_MOV[ANO PAGAMENTO],$B$4,LANÇ_MOV[MÊS PAGAMENTO CORRESPONDENTE],I$6,LANÇ_MOV[EMPRESA],$C$4,LANÇ_MOV[CENTRO DE CUSTOS],$D$4)</f>
        <v>0</v>
      </c>
      <c r="J585" s="206">
        <f>SUMIFS(LANÇ_MOV[VALOR LÍQUIDO],LANÇ_MOV[RECEITA OU DESPESA],"Receita",LANÇ_MOV[CONTAS],$C585,LANÇ_MOV[PLANO DE CONTAS],REL_DRE_FINANCEIRO!$B$549,LANÇ_MOV[ANO PAGAMENTO],$B$4,LANÇ_MOV[MÊS PAGAMENTO CORRESPONDENTE],J$6,LANÇ_MOV[EMPRESA],$C$4,LANÇ_MOV[CENTRO DE CUSTOS],$D$4)</f>
        <v>0</v>
      </c>
      <c r="K585" s="206">
        <f>SUMIFS(LANÇ_MOV[VALOR LÍQUIDO],LANÇ_MOV[RECEITA OU DESPESA],"Receita",LANÇ_MOV[CONTAS],$C585,LANÇ_MOV[PLANO DE CONTAS],REL_DRE_FINANCEIRO!$B$549,LANÇ_MOV[ANO PAGAMENTO],$B$4,LANÇ_MOV[MÊS PAGAMENTO CORRESPONDENTE],K$6,LANÇ_MOV[EMPRESA],$C$4,LANÇ_MOV[CENTRO DE CUSTOS],$D$4)</f>
        <v>0</v>
      </c>
      <c r="L585" s="206">
        <f>SUMIFS(LANÇ_MOV[VALOR LÍQUIDO],LANÇ_MOV[RECEITA OU DESPESA],"Receita",LANÇ_MOV[CONTAS],$C585,LANÇ_MOV[PLANO DE CONTAS],REL_DRE_FINANCEIRO!$B$549,LANÇ_MOV[ANO PAGAMENTO],$B$4,LANÇ_MOV[MÊS PAGAMENTO CORRESPONDENTE],L$6,LANÇ_MOV[EMPRESA],$C$4,LANÇ_MOV[CENTRO DE CUSTOS],$D$4)</f>
        <v>0</v>
      </c>
      <c r="M585" s="206">
        <f>SUMIFS(LANÇ_MOV[VALOR LÍQUIDO],LANÇ_MOV[RECEITA OU DESPESA],"Receita",LANÇ_MOV[CONTAS],$C585,LANÇ_MOV[PLANO DE CONTAS],REL_DRE_FINANCEIRO!$B$549,LANÇ_MOV[ANO PAGAMENTO],$B$4,LANÇ_MOV[MÊS PAGAMENTO CORRESPONDENTE],M$6,LANÇ_MOV[EMPRESA],$C$4,LANÇ_MOV[CENTRO DE CUSTOS],$D$4)</f>
        <v>0</v>
      </c>
      <c r="N585" s="206">
        <f>SUMIFS(LANÇ_MOV[VALOR LÍQUIDO],LANÇ_MOV[RECEITA OU DESPESA],"Receita",LANÇ_MOV[CONTAS],$C585,LANÇ_MOV[PLANO DE CONTAS],REL_DRE_FINANCEIRO!$B$549,LANÇ_MOV[ANO PAGAMENTO],$B$4,LANÇ_MOV[MÊS PAGAMENTO CORRESPONDENTE],N$6,LANÇ_MOV[EMPRESA],$C$4,LANÇ_MOV[CENTRO DE CUSTOS],$D$4)</f>
        <v>0</v>
      </c>
      <c r="O585" s="206">
        <f>SUMIFS(LANÇ_MOV[VALOR LÍQUIDO],LANÇ_MOV[RECEITA OU DESPESA],"Receita",LANÇ_MOV[CONTAS],$C585,LANÇ_MOV[PLANO DE CONTAS],REL_DRE_FINANCEIRO!$B$549,LANÇ_MOV[ANO PAGAMENTO],$B$4,LANÇ_MOV[MÊS PAGAMENTO CORRESPONDENTE],O$6,LANÇ_MOV[EMPRESA],$C$4,LANÇ_MOV[CENTRO DE CUSTOS],$D$4)</f>
        <v>0</v>
      </c>
      <c r="P585" s="207">
        <f t="shared" si="77"/>
        <v>0</v>
      </c>
      <c r="Q585" s="329">
        <v>6.4999999999999996E-6</v>
      </c>
      <c r="R585" s="346">
        <f t="shared" si="78"/>
        <v>6.4999999999999996E-6</v>
      </c>
      <c r="S585" s="347" t="str">
        <f t="shared" si="79"/>
        <v>-</v>
      </c>
      <c r="T585" s="347">
        <f t="shared" si="80"/>
        <v>0</v>
      </c>
      <c r="U585" s="347">
        <f>HLOOKUP(Apoio!$P$12,$D$548:$P$649,X585,FALSE)+Q585</f>
        <v>6.4999999999999996E-6</v>
      </c>
      <c r="V585" s="447" t="str">
        <f t="shared" si="81"/>
        <v>-</v>
      </c>
      <c r="W585" s="448">
        <f>HLOOKUP(Apoio!$P$12,$D$548:$P$649,X585,FALSE)</f>
        <v>0</v>
      </c>
      <c r="X585" s="329">
        <v>38</v>
      </c>
    </row>
    <row r="586" spans="2:24" ht="30.05" customHeight="1" x14ac:dyDescent="0.35">
      <c r="B586" s="204" t="str">
        <f>'CAD_PL_REC-DESP'!E41</f>
        <v>1.2.37</v>
      </c>
      <c r="C586" s="205" t="str">
        <f>IF('CAD_PL_REC-DESP'!F41="","-",'CAD_PL_REC-DESP'!F41)</f>
        <v>-</v>
      </c>
      <c r="D586" s="206">
        <f>SUMIFS(LANÇ_MOV[VALOR LÍQUIDO],LANÇ_MOV[RECEITA OU DESPESA],"Receita",LANÇ_MOV[CONTAS],$C586,LANÇ_MOV[PLANO DE CONTAS],REL_DRE_FINANCEIRO!$B$549,LANÇ_MOV[ANO PAGAMENTO],$B$4,LANÇ_MOV[MÊS PAGAMENTO CORRESPONDENTE],D$6,LANÇ_MOV[EMPRESA],$C$4,LANÇ_MOV[CENTRO DE CUSTOS],$D$4)</f>
        <v>0</v>
      </c>
      <c r="E586" s="206">
        <f>SUMIFS(LANÇ_MOV[VALOR LÍQUIDO],LANÇ_MOV[RECEITA OU DESPESA],"Receita",LANÇ_MOV[CONTAS],$C586,LANÇ_MOV[PLANO DE CONTAS],REL_DRE_FINANCEIRO!$B$549,LANÇ_MOV[ANO PAGAMENTO],$B$4,LANÇ_MOV[MÊS PAGAMENTO CORRESPONDENTE],E$6,LANÇ_MOV[EMPRESA],$C$4,LANÇ_MOV[CENTRO DE CUSTOS],$D$4)</f>
        <v>0</v>
      </c>
      <c r="F586" s="206">
        <f>SUMIFS(LANÇ_MOV[VALOR LÍQUIDO],LANÇ_MOV[RECEITA OU DESPESA],"Receita",LANÇ_MOV[CONTAS],$C586,LANÇ_MOV[PLANO DE CONTAS],REL_DRE_FINANCEIRO!$B$549,LANÇ_MOV[ANO PAGAMENTO],$B$4,LANÇ_MOV[MÊS PAGAMENTO CORRESPONDENTE],F$6,LANÇ_MOV[EMPRESA],$C$4,LANÇ_MOV[CENTRO DE CUSTOS],$D$4)</f>
        <v>0</v>
      </c>
      <c r="G586" s="206">
        <f>SUMIFS(LANÇ_MOV[VALOR LÍQUIDO],LANÇ_MOV[RECEITA OU DESPESA],"Receita",LANÇ_MOV[CONTAS],$C586,LANÇ_MOV[PLANO DE CONTAS],REL_DRE_FINANCEIRO!$B$549,LANÇ_MOV[ANO PAGAMENTO],$B$4,LANÇ_MOV[MÊS PAGAMENTO CORRESPONDENTE],G$6,LANÇ_MOV[EMPRESA],$C$4,LANÇ_MOV[CENTRO DE CUSTOS],$D$4)</f>
        <v>0</v>
      </c>
      <c r="H586" s="206">
        <f>SUMIFS(LANÇ_MOV[VALOR LÍQUIDO],LANÇ_MOV[RECEITA OU DESPESA],"Receita",LANÇ_MOV[CONTAS],$C586,LANÇ_MOV[PLANO DE CONTAS],REL_DRE_FINANCEIRO!$B$549,LANÇ_MOV[ANO PAGAMENTO],$B$4,LANÇ_MOV[MÊS PAGAMENTO CORRESPONDENTE],H$6,LANÇ_MOV[EMPRESA],$C$4,LANÇ_MOV[CENTRO DE CUSTOS],$D$4)</f>
        <v>0</v>
      </c>
      <c r="I586" s="206">
        <f>SUMIFS(LANÇ_MOV[VALOR LÍQUIDO],LANÇ_MOV[RECEITA OU DESPESA],"Receita",LANÇ_MOV[CONTAS],$C586,LANÇ_MOV[PLANO DE CONTAS],REL_DRE_FINANCEIRO!$B$549,LANÇ_MOV[ANO PAGAMENTO],$B$4,LANÇ_MOV[MÊS PAGAMENTO CORRESPONDENTE],I$6,LANÇ_MOV[EMPRESA],$C$4,LANÇ_MOV[CENTRO DE CUSTOS],$D$4)</f>
        <v>0</v>
      </c>
      <c r="J586" s="206">
        <f>SUMIFS(LANÇ_MOV[VALOR LÍQUIDO],LANÇ_MOV[RECEITA OU DESPESA],"Receita",LANÇ_MOV[CONTAS],$C586,LANÇ_MOV[PLANO DE CONTAS],REL_DRE_FINANCEIRO!$B$549,LANÇ_MOV[ANO PAGAMENTO],$B$4,LANÇ_MOV[MÊS PAGAMENTO CORRESPONDENTE],J$6,LANÇ_MOV[EMPRESA],$C$4,LANÇ_MOV[CENTRO DE CUSTOS],$D$4)</f>
        <v>0</v>
      </c>
      <c r="K586" s="206">
        <f>SUMIFS(LANÇ_MOV[VALOR LÍQUIDO],LANÇ_MOV[RECEITA OU DESPESA],"Receita",LANÇ_MOV[CONTAS],$C586,LANÇ_MOV[PLANO DE CONTAS],REL_DRE_FINANCEIRO!$B$549,LANÇ_MOV[ANO PAGAMENTO],$B$4,LANÇ_MOV[MÊS PAGAMENTO CORRESPONDENTE],K$6,LANÇ_MOV[EMPRESA],$C$4,LANÇ_MOV[CENTRO DE CUSTOS],$D$4)</f>
        <v>0</v>
      </c>
      <c r="L586" s="206">
        <f>SUMIFS(LANÇ_MOV[VALOR LÍQUIDO],LANÇ_MOV[RECEITA OU DESPESA],"Receita",LANÇ_MOV[CONTAS],$C586,LANÇ_MOV[PLANO DE CONTAS],REL_DRE_FINANCEIRO!$B$549,LANÇ_MOV[ANO PAGAMENTO],$B$4,LANÇ_MOV[MÊS PAGAMENTO CORRESPONDENTE],L$6,LANÇ_MOV[EMPRESA],$C$4,LANÇ_MOV[CENTRO DE CUSTOS],$D$4)</f>
        <v>0</v>
      </c>
      <c r="M586" s="206">
        <f>SUMIFS(LANÇ_MOV[VALOR LÍQUIDO],LANÇ_MOV[RECEITA OU DESPESA],"Receita",LANÇ_MOV[CONTAS],$C586,LANÇ_MOV[PLANO DE CONTAS],REL_DRE_FINANCEIRO!$B$549,LANÇ_MOV[ANO PAGAMENTO],$B$4,LANÇ_MOV[MÊS PAGAMENTO CORRESPONDENTE],M$6,LANÇ_MOV[EMPRESA],$C$4,LANÇ_MOV[CENTRO DE CUSTOS],$D$4)</f>
        <v>0</v>
      </c>
      <c r="N586" s="206">
        <f>SUMIFS(LANÇ_MOV[VALOR LÍQUIDO],LANÇ_MOV[RECEITA OU DESPESA],"Receita",LANÇ_MOV[CONTAS],$C586,LANÇ_MOV[PLANO DE CONTAS],REL_DRE_FINANCEIRO!$B$549,LANÇ_MOV[ANO PAGAMENTO],$B$4,LANÇ_MOV[MÊS PAGAMENTO CORRESPONDENTE],N$6,LANÇ_MOV[EMPRESA],$C$4,LANÇ_MOV[CENTRO DE CUSTOS],$D$4)</f>
        <v>0</v>
      </c>
      <c r="O586" s="206">
        <f>SUMIFS(LANÇ_MOV[VALOR LÍQUIDO],LANÇ_MOV[RECEITA OU DESPESA],"Receita",LANÇ_MOV[CONTAS],$C586,LANÇ_MOV[PLANO DE CONTAS],REL_DRE_FINANCEIRO!$B$549,LANÇ_MOV[ANO PAGAMENTO],$B$4,LANÇ_MOV[MÊS PAGAMENTO CORRESPONDENTE],O$6,LANÇ_MOV[EMPRESA],$C$4,LANÇ_MOV[CENTRO DE CUSTOS],$D$4)</f>
        <v>0</v>
      </c>
      <c r="P586" s="207">
        <f t="shared" si="77"/>
        <v>0</v>
      </c>
      <c r="Q586" s="329">
        <v>6.3999999999999997E-6</v>
      </c>
      <c r="R586" s="346">
        <f t="shared" si="78"/>
        <v>6.3999999999999997E-6</v>
      </c>
      <c r="S586" s="347" t="str">
        <f t="shared" si="79"/>
        <v>-</v>
      </c>
      <c r="T586" s="347">
        <f t="shared" si="80"/>
        <v>0</v>
      </c>
      <c r="U586" s="347">
        <f>HLOOKUP(Apoio!$P$12,$D$548:$P$649,X586,FALSE)+Q586</f>
        <v>6.3999999999999997E-6</v>
      </c>
      <c r="V586" s="447" t="str">
        <f t="shared" si="81"/>
        <v>-</v>
      </c>
      <c r="W586" s="448">
        <f>HLOOKUP(Apoio!$P$12,$D$548:$P$649,X586,FALSE)</f>
        <v>0</v>
      </c>
      <c r="X586" s="329">
        <v>39</v>
      </c>
    </row>
    <row r="587" spans="2:24" ht="30.05" customHeight="1" x14ac:dyDescent="0.35">
      <c r="B587" s="204" t="str">
        <f>'CAD_PL_REC-DESP'!E42</f>
        <v>1.2.38</v>
      </c>
      <c r="C587" s="205" t="str">
        <f>IF('CAD_PL_REC-DESP'!F42="","-",'CAD_PL_REC-DESP'!F42)</f>
        <v>-</v>
      </c>
      <c r="D587" s="206">
        <f>SUMIFS(LANÇ_MOV[VALOR LÍQUIDO],LANÇ_MOV[RECEITA OU DESPESA],"Receita",LANÇ_MOV[CONTAS],$C587,LANÇ_MOV[PLANO DE CONTAS],REL_DRE_FINANCEIRO!$B$549,LANÇ_MOV[ANO PAGAMENTO],$B$4,LANÇ_MOV[MÊS PAGAMENTO CORRESPONDENTE],D$6,LANÇ_MOV[EMPRESA],$C$4,LANÇ_MOV[CENTRO DE CUSTOS],$D$4)</f>
        <v>0</v>
      </c>
      <c r="E587" s="206">
        <f>SUMIFS(LANÇ_MOV[VALOR LÍQUIDO],LANÇ_MOV[RECEITA OU DESPESA],"Receita",LANÇ_MOV[CONTAS],$C587,LANÇ_MOV[PLANO DE CONTAS],REL_DRE_FINANCEIRO!$B$549,LANÇ_MOV[ANO PAGAMENTO],$B$4,LANÇ_MOV[MÊS PAGAMENTO CORRESPONDENTE],E$6,LANÇ_MOV[EMPRESA],$C$4,LANÇ_MOV[CENTRO DE CUSTOS],$D$4)</f>
        <v>0</v>
      </c>
      <c r="F587" s="206">
        <f>SUMIFS(LANÇ_MOV[VALOR LÍQUIDO],LANÇ_MOV[RECEITA OU DESPESA],"Receita",LANÇ_MOV[CONTAS],$C587,LANÇ_MOV[PLANO DE CONTAS],REL_DRE_FINANCEIRO!$B$549,LANÇ_MOV[ANO PAGAMENTO],$B$4,LANÇ_MOV[MÊS PAGAMENTO CORRESPONDENTE],F$6,LANÇ_MOV[EMPRESA],$C$4,LANÇ_MOV[CENTRO DE CUSTOS],$D$4)</f>
        <v>0</v>
      </c>
      <c r="G587" s="206">
        <f>SUMIFS(LANÇ_MOV[VALOR LÍQUIDO],LANÇ_MOV[RECEITA OU DESPESA],"Receita",LANÇ_MOV[CONTAS],$C587,LANÇ_MOV[PLANO DE CONTAS],REL_DRE_FINANCEIRO!$B$549,LANÇ_MOV[ANO PAGAMENTO],$B$4,LANÇ_MOV[MÊS PAGAMENTO CORRESPONDENTE],G$6,LANÇ_MOV[EMPRESA],$C$4,LANÇ_MOV[CENTRO DE CUSTOS],$D$4)</f>
        <v>0</v>
      </c>
      <c r="H587" s="206">
        <f>SUMIFS(LANÇ_MOV[VALOR LÍQUIDO],LANÇ_MOV[RECEITA OU DESPESA],"Receita",LANÇ_MOV[CONTAS],$C587,LANÇ_MOV[PLANO DE CONTAS],REL_DRE_FINANCEIRO!$B$549,LANÇ_MOV[ANO PAGAMENTO],$B$4,LANÇ_MOV[MÊS PAGAMENTO CORRESPONDENTE],H$6,LANÇ_MOV[EMPRESA],$C$4,LANÇ_MOV[CENTRO DE CUSTOS],$D$4)</f>
        <v>0</v>
      </c>
      <c r="I587" s="206">
        <f>SUMIFS(LANÇ_MOV[VALOR LÍQUIDO],LANÇ_MOV[RECEITA OU DESPESA],"Receita",LANÇ_MOV[CONTAS],$C587,LANÇ_MOV[PLANO DE CONTAS],REL_DRE_FINANCEIRO!$B$549,LANÇ_MOV[ANO PAGAMENTO],$B$4,LANÇ_MOV[MÊS PAGAMENTO CORRESPONDENTE],I$6,LANÇ_MOV[EMPRESA],$C$4,LANÇ_MOV[CENTRO DE CUSTOS],$D$4)</f>
        <v>0</v>
      </c>
      <c r="J587" s="206">
        <f>SUMIFS(LANÇ_MOV[VALOR LÍQUIDO],LANÇ_MOV[RECEITA OU DESPESA],"Receita",LANÇ_MOV[CONTAS],$C587,LANÇ_MOV[PLANO DE CONTAS],REL_DRE_FINANCEIRO!$B$549,LANÇ_MOV[ANO PAGAMENTO],$B$4,LANÇ_MOV[MÊS PAGAMENTO CORRESPONDENTE],J$6,LANÇ_MOV[EMPRESA],$C$4,LANÇ_MOV[CENTRO DE CUSTOS],$D$4)</f>
        <v>0</v>
      </c>
      <c r="K587" s="206">
        <f>SUMIFS(LANÇ_MOV[VALOR LÍQUIDO],LANÇ_MOV[RECEITA OU DESPESA],"Receita",LANÇ_MOV[CONTAS],$C587,LANÇ_MOV[PLANO DE CONTAS],REL_DRE_FINANCEIRO!$B$549,LANÇ_MOV[ANO PAGAMENTO],$B$4,LANÇ_MOV[MÊS PAGAMENTO CORRESPONDENTE],K$6,LANÇ_MOV[EMPRESA],$C$4,LANÇ_MOV[CENTRO DE CUSTOS],$D$4)</f>
        <v>0</v>
      </c>
      <c r="L587" s="206">
        <f>SUMIFS(LANÇ_MOV[VALOR LÍQUIDO],LANÇ_MOV[RECEITA OU DESPESA],"Receita",LANÇ_MOV[CONTAS],$C587,LANÇ_MOV[PLANO DE CONTAS],REL_DRE_FINANCEIRO!$B$549,LANÇ_MOV[ANO PAGAMENTO],$B$4,LANÇ_MOV[MÊS PAGAMENTO CORRESPONDENTE],L$6,LANÇ_MOV[EMPRESA],$C$4,LANÇ_MOV[CENTRO DE CUSTOS],$D$4)</f>
        <v>0</v>
      </c>
      <c r="M587" s="206">
        <f>SUMIFS(LANÇ_MOV[VALOR LÍQUIDO],LANÇ_MOV[RECEITA OU DESPESA],"Receita",LANÇ_MOV[CONTAS],$C587,LANÇ_MOV[PLANO DE CONTAS],REL_DRE_FINANCEIRO!$B$549,LANÇ_MOV[ANO PAGAMENTO],$B$4,LANÇ_MOV[MÊS PAGAMENTO CORRESPONDENTE],M$6,LANÇ_MOV[EMPRESA],$C$4,LANÇ_MOV[CENTRO DE CUSTOS],$D$4)</f>
        <v>0</v>
      </c>
      <c r="N587" s="206">
        <f>SUMIFS(LANÇ_MOV[VALOR LÍQUIDO],LANÇ_MOV[RECEITA OU DESPESA],"Receita",LANÇ_MOV[CONTAS],$C587,LANÇ_MOV[PLANO DE CONTAS],REL_DRE_FINANCEIRO!$B$549,LANÇ_MOV[ANO PAGAMENTO],$B$4,LANÇ_MOV[MÊS PAGAMENTO CORRESPONDENTE],N$6,LANÇ_MOV[EMPRESA],$C$4,LANÇ_MOV[CENTRO DE CUSTOS],$D$4)</f>
        <v>0</v>
      </c>
      <c r="O587" s="206">
        <f>SUMIFS(LANÇ_MOV[VALOR LÍQUIDO],LANÇ_MOV[RECEITA OU DESPESA],"Receita",LANÇ_MOV[CONTAS],$C587,LANÇ_MOV[PLANO DE CONTAS],REL_DRE_FINANCEIRO!$B$549,LANÇ_MOV[ANO PAGAMENTO],$B$4,LANÇ_MOV[MÊS PAGAMENTO CORRESPONDENTE],O$6,LANÇ_MOV[EMPRESA],$C$4,LANÇ_MOV[CENTRO DE CUSTOS],$D$4)</f>
        <v>0</v>
      </c>
      <c r="P587" s="207">
        <f t="shared" si="77"/>
        <v>0</v>
      </c>
      <c r="Q587" s="329">
        <v>6.2999999999999998E-6</v>
      </c>
      <c r="R587" s="346">
        <f t="shared" si="78"/>
        <v>6.2999999999999998E-6</v>
      </c>
      <c r="S587" s="347" t="str">
        <f t="shared" si="79"/>
        <v>-</v>
      </c>
      <c r="T587" s="347">
        <f t="shared" si="80"/>
        <v>0</v>
      </c>
      <c r="U587" s="347">
        <f>HLOOKUP(Apoio!$P$12,$D$548:$P$649,X587,FALSE)+Q587</f>
        <v>6.2999999999999998E-6</v>
      </c>
      <c r="V587" s="447" t="str">
        <f t="shared" si="81"/>
        <v>-</v>
      </c>
      <c r="W587" s="448">
        <f>HLOOKUP(Apoio!$P$12,$D$548:$P$649,X587,FALSE)</f>
        <v>0</v>
      </c>
      <c r="X587" s="329">
        <v>40</v>
      </c>
    </row>
    <row r="588" spans="2:24" ht="30.05" customHeight="1" x14ac:dyDescent="0.35">
      <c r="B588" s="204" t="str">
        <f>'CAD_PL_REC-DESP'!E43</f>
        <v>1.2.39</v>
      </c>
      <c r="C588" s="205" t="str">
        <f>IF('CAD_PL_REC-DESP'!F43="","-",'CAD_PL_REC-DESP'!F43)</f>
        <v>-</v>
      </c>
      <c r="D588" s="206">
        <f>SUMIFS(LANÇ_MOV[VALOR LÍQUIDO],LANÇ_MOV[RECEITA OU DESPESA],"Receita",LANÇ_MOV[CONTAS],$C588,LANÇ_MOV[PLANO DE CONTAS],REL_DRE_FINANCEIRO!$B$549,LANÇ_MOV[ANO PAGAMENTO],$B$4,LANÇ_MOV[MÊS PAGAMENTO CORRESPONDENTE],D$6,LANÇ_MOV[EMPRESA],$C$4,LANÇ_MOV[CENTRO DE CUSTOS],$D$4)</f>
        <v>0</v>
      </c>
      <c r="E588" s="206">
        <f>SUMIFS(LANÇ_MOV[VALOR LÍQUIDO],LANÇ_MOV[RECEITA OU DESPESA],"Receita",LANÇ_MOV[CONTAS],$C588,LANÇ_MOV[PLANO DE CONTAS],REL_DRE_FINANCEIRO!$B$549,LANÇ_MOV[ANO PAGAMENTO],$B$4,LANÇ_MOV[MÊS PAGAMENTO CORRESPONDENTE],E$6,LANÇ_MOV[EMPRESA],$C$4,LANÇ_MOV[CENTRO DE CUSTOS],$D$4)</f>
        <v>0</v>
      </c>
      <c r="F588" s="206">
        <f>SUMIFS(LANÇ_MOV[VALOR LÍQUIDO],LANÇ_MOV[RECEITA OU DESPESA],"Receita",LANÇ_MOV[CONTAS],$C588,LANÇ_MOV[PLANO DE CONTAS],REL_DRE_FINANCEIRO!$B$549,LANÇ_MOV[ANO PAGAMENTO],$B$4,LANÇ_MOV[MÊS PAGAMENTO CORRESPONDENTE],F$6,LANÇ_MOV[EMPRESA],$C$4,LANÇ_MOV[CENTRO DE CUSTOS],$D$4)</f>
        <v>0</v>
      </c>
      <c r="G588" s="206">
        <f>SUMIFS(LANÇ_MOV[VALOR LÍQUIDO],LANÇ_MOV[RECEITA OU DESPESA],"Receita",LANÇ_MOV[CONTAS],$C588,LANÇ_MOV[PLANO DE CONTAS],REL_DRE_FINANCEIRO!$B$549,LANÇ_MOV[ANO PAGAMENTO],$B$4,LANÇ_MOV[MÊS PAGAMENTO CORRESPONDENTE],G$6,LANÇ_MOV[EMPRESA],$C$4,LANÇ_MOV[CENTRO DE CUSTOS],$D$4)</f>
        <v>0</v>
      </c>
      <c r="H588" s="206">
        <f>SUMIFS(LANÇ_MOV[VALOR LÍQUIDO],LANÇ_MOV[RECEITA OU DESPESA],"Receita",LANÇ_MOV[CONTAS],$C588,LANÇ_MOV[PLANO DE CONTAS],REL_DRE_FINANCEIRO!$B$549,LANÇ_MOV[ANO PAGAMENTO],$B$4,LANÇ_MOV[MÊS PAGAMENTO CORRESPONDENTE],H$6,LANÇ_MOV[EMPRESA],$C$4,LANÇ_MOV[CENTRO DE CUSTOS],$D$4)</f>
        <v>0</v>
      </c>
      <c r="I588" s="206">
        <f>SUMIFS(LANÇ_MOV[VALOR LÍQUIDO],LANÇ_MOV[RECEITA OU DESPESA],"Receita",LANÇ_MOV[CONTAS],$C588,LANÇ_MOV[PLANO DE CONTAS],REL_DRE_FINANCEIRO!$B$549,LANÇ_MOV[ANO PAGAMENTO],$B$4,LANÇ_MOV[MÊS PAGAMENTO CORRESPONDENTE],I$6,LANÇ_MOV[EMPRESA],$C$4,LANÇ_MOV[CENTRO DE CUSTOS],$D$4)</f>
        <v>0</v>
      </c>
      <c r="J588" s="206">
        <f>SUMIFS(LANÇ_MOV[VALOR LÍQUIDO],LANÇ_MOV[RECEITA OU DESPESA],"Receita",LANÇ_MOV[CONTAS],$C588,LANÇ_MOV[PLANO DE CONTAS],REL_DRE_FINANCEIRO!$B$549,LANÇ_MOV[ANO PAGAMENTO],$B$4,LANÇ_MOV[MÊS PAGAMENTO CORRESPONDENTE],J$6,LANÇ_MOV[EMPRESA],$C$4,LANÇ_MOV[CENTRO DE CUSTOS],$D$4)</f>
        <v>0</v>
      </c>
      <c r="K588" s="206">
        <f>SUMIFS(LANÇ_MOV[VALOR LÍQUIDO],LANÇ_MOV[RECEITA OU DESPESA],"Receita",LANÇ_MOV[CONTAS],$C588,LANÇ_MOV[PLANO DE CONTAS],REL_DRE_FINANCEIRO!$B$549,LANÇ_MOV[ANO PAGAMENTO],$B$4,LANÇ_MOV[MÊS PAGAMENTO CORRESPONDENTE],K$6,LANÇ_MOV[EMPRESA],$C$4,LANÇ_MOV[CENTRO DE CUSTOS],$D$4)</f>
        <v>0</v>
      </c>
      <c r="L588" s="206">
        <f>SUMIFS(LANÇ_MOV[VALOR LÍQUIDO],LANÇ_MOV[RECEITA OU DESPESA],"Receita",LANÇ_MOV[CONTAS],$C588,LANÇ_MOV[PLANO DE CONTAS],REL_DRE_FINANCEIRO!$B$549,LANÇ_MOV[ANO PAGAMENTO],$B$4,LANÇ_MOV[MÊS PAGAMENTO CORRESPONDENTE],L$6,LANÇ_MOV[EMPRESA],$C$4,LANÇ_MOV[CENTRO DE CUSTOS],$D$4)</f>
        <v>0</v>
      </c>
      <c r="M588" s="206">
        <f>SUMIFS(LANÇ_MOV[VALOR LÍQUIDO],LANÇ_MOV[RECEITA OU DESPESA],"Receita",LANÇ_MOV[CONTAS],$C588,LANÇ_MOV[PLANO DE CONTAS],REL_DRE_FINANCEIRO!$B$549,LANÇ_MOV[ANO PAGAMENTO],$B$4,LANÇ_MOV[MÊS PAGAMENTO CORRESPONDENTE],M$6,LANÇ_MOV[EMPRESA],$C$4,LANÇ_MOV[CENTRO DE CUSTOS],$D$4)</f>
        <v>0</v>
      </c>
      <c r="N588" s="206">
        <f>SUMIFS(LANÇ_MOV[VALOR LÍQUIDO],LANÇ_MOV[RECEITA OU DESPESA],"Receita",LANÇ_MOV[CONTAS],$C588,LANÇ_MOV[PLANO DE CONTAS],REL_DRE_FINANCEIRO!$B$549,LANÇ_MOV[ANO PAGAMENTO],$B$4,LANÇ_MOV[MÊS PAGAMENTO CORRESPONDENTE],N$6,LANÇ_MOV[EMPRESA],$C$4,LANÇ_MOV[CENTRO DE CUSTOS],$D$4)</f>
        <v>0</v>
      </c>
      <c r="O588" s="206">
        <f>SUMIFS(LANÇ_MOV[VALOR LÍQUIDO],LANÇ_MOV[RECEITA OU DESPESA],"Receita",LANÇ_MOV[CONTAS],$C588,LANÇ_MOV[PLANO DE CONTAS],REL_DRE_FINANCEIRO!$B$549,LANÇ_MOV[ANO PAGAMENTO],$B$4,LANÇ_MOV[MÊS PAGAMENTO CORRESPONDENTE],O$6,LANÇ_MOV[EMPRESA],$C$4,LANÇ_MOV[CENTRO DE CUSTOS],$D$4)</f>
        <v>0</v>
      </c>
      <c r="P588" s="207">
        <f t="shared" si="77"/>
        <v>0</v>
      </c>
      <c r="Q588" s="329">
        <v>6.1999999999999999E-6</v>
      </c>
      <c r="R588" s="346">
        <f t="shared" si="78"/>
        <v>6.1999999999999999E-6</v>
      </c>
      <c r="S588" s="347" t="str">
        <f t="shared" si="79"/>
        <v>-</v>
      </c>
      <c r="T588" s="347">
        <f t="shared" si="80"/>
        <v>0</v>
      </c>
      <c r="U588" s="347">
        <f>HLOOKUP(Apoio!$P$12,$D$548:$P$649,X588,FALSE)+Q588</f>
        <v>6.1999999999999999E-6</v>
      </c>
      <c r="V588" s="447" t="str">
        <f t="shared" si="81"/>
        <v>-</v>
      </c>
      <c r="W588" s="448">
        <f>HLOOKUP(Apoio!$P$12,$D$548:$P$649,X588,FALSE)</f>
        <v>0</v>
      </c>
      <c r="X588" s="329">
        <v>41</v>
      </c>
    </row>
    <row r="589" spans="2:24" ht="30.05" customHeight="1" x14ac:dyDescent="0.35">
      <c r="B589" s="204" t="str">
        <f>'CAD_PL_REC-DESP'!E44</f>
        <v>1.2.40</v>
      </c>
      <c r="C589" s="205" t="str">
        <f>IF('CAD_PL_REC-DESP'!F44="","-",'CAD_PL_REC-DESP'!F44)</f>
        <v>-</v>
      </c>
      <c r="D589" s="206">
        <f>SUMIFS(LANÇ_MOV[VALOR LÍQUIDO],LANÇ_MOV[RECEITA OU DESPESA],"Receita",LANÇ_MOV[CONTAS],$C589,LANÇ_MOV[PLANO DE CONTAS],REL_DRE_FINANCEIRO!$B$549,LANÇ_MOV[ANO PAGAMENTO],$B$4,LANÇ_MOV[MÊS PAGAMENTO CORRESPONDENTE],D$6,LANÇ_MOV[EMPRESA],$C$4,LANÇ_MOV[CENTRO DE CUSTOS],$D$4)</f>
        <v>0</v>
      </c>
      <c r="E589" s="206">
        <f>SUMIFS(LANÇ_MOV[VALOR LÍQUIDO],LANÇ_MOV[RECEITA OU DESPESA],"Receita",LANÇ_MOV[CONTAS],$C589,LANÇ_MOV[PLANO DE CONTAS],REL_DRE_FINANCEIRO!$B$549,LANÇ_MOV[ANO PAGAMENTO],$B$4,LANÇ_MOV[MÊS PAGAMENTO CORRESPONDENTE],E$6,LANÇ_MOV[EMPRESA],$C$4,LANÇ_MOV[CENTRO DE CUSTOS],$D$4)</f>
        <v>0</v>
      </c>
      <c r="F589" s="206">
        <f>SUMIFS(LANÇ_MOV[VALOR LÍQUIDO],LANÇ_MOV[RECEITA OU DESPESA],"Receita",LANÇ_MOV[CONTAS],$C589,LANÇ_MOV[PLANO DE CONTAS],REL_DRE_FINANCEIRO!$B$549,LANÇ_MOV[ANO PAGAMENTO],$B$4,LANÇ_MOV[MÊS PAGAMENTO CORRESPONDENTE],F$6,LANÇ_MOV[EMPRESA],$C$4,LANÇ_MOV[CENTRO DE CUSTOS],$D$4)</f>
        <v>0</v>
      </c>
      <c r="G589" s="206">
        <f>SUMIFS(LANÇ_MOV[VALOR LÍQUIDO],LANÇ_MOV[RECEITA OU DESPESA],"Receita",LANÇ_MOV[CONTAS],$C589,LANÇ_MOV[PLANO DE CONTAS],REL_DRE_FINANCEIRO!$B$549,LANÇ_MOV[ANO PAGAMENTO],$B$4,LANÇ_MOV[MÊS PAGAMENTO CORRESPONDENTE],G$6,LANÇ_MOV[EMPRESA],$C$4,LANÇ_MOV[CENTRO DE CUSTOS],$D$4)</f>
        <v>0</v>
      </c>
      <c r="H589" s="206">
        <f>SUMIFS(LANÇ_MOV[VALOR LÍQUIDO],LANÇ_MOV[RECEITA OU DESPESA],"Receita",LANÇ_MOV[CONTAS],$C589,LANÇ_MOV[PLANO DE CONTAS],REL_DRE_FINANCEIRO!$B$549,LANÇ_MOV[ANO PAGAMENTO],$B$4,LANÇ_MOV[MÊS PAGAMENTO CORRESPONDENTE],H$6,LANÇ_MOV[EMPRESA],$C$4,LANÇ_MOV[CENTRO DE CUSTOS],$D$4)</f>
        <v>0</v>
      </c>
      <c r="I589" s="206">
        <f>SUMIFS(LANÇ_MOV[VALOR LÍQUIDO],LANÇ_MOV[RECEITA OU DESPESA],"Receita",LANÇ_MOV[CONTAS],$C589,LANÇ_MOV[PLANO DE CONTAS],REL_DRE_FINANCEIRO!$B$549,LANÇ_MOV[ANO PAGAMENTO],$B$4,LANÇ_MOV[MÊS PAGAMENTO CORRESPONDENTE],I$6,LANÇ_MOV[EMPRESA],$C$4,LANÇ_MOV[CENTRO DE CUSTOS],$D$4)</f>
        <v>0</v>
      </c>
      <c r="J589" s="206">
        <f>SUMIFS(LANÇ_MOV[VALOR LÍQUIDO],LANÇ_MOV[RECEITA OU DESPESA],"Receita",LANÇ_MOV[CONTAS],$C589,LANÇ_MOV[PLANO DE CONTAS],REL_DRE_FINANCEIRO!$B$549,LANÇ_MOV[ANO PAGAMENTO],$B$4,LANÇ_MOV[MÊS PAGAMENTO CORRESPONDENTE],J$6,LANÇ_MOV[EMPRESA],$C$4,LANÇ_MOV[CENTRO DE CUSTOS],$D$4)</f>
        <v>0</v>
      </c>
      <c r="K589" s="206">
        <f>SUMIFS(LANÇ_MOV[VALOR LÍQUIDO],LANÇ_MOV[RECEITA OU DESPESA],"Receita",LANÇ_MOV[CONTAS],$C589,LANÇ_MOV[PLANO DE CONTAS],REL_DRE_FINANCEIRO!$B$549,LANÇ_MOV[ANO PAGAMENTO],$B$4,LANÇ_MOV[MÊS PAGAMENTO CORRESPONDENTE],K$6,LANÇ_MOV[EMPRESA],$C$4,LANÇ_MOV[CENTRO DE CUSTOS],$D$4)</f>
        <v>0</v>
      </c>
      <c r="L589" s="206">
        <f>SUMIFS(LANÇ_MOV[VALOR LÍQUIDO],LANÇ_MOV[RECEITA OU DESPESA],"Receita",LANÇ_MOV[CONTAS],$C589,LANÇ_MOV[PLANO DE CONTAS],REL_DRE_FINANCEIRO!$B$549,LANÇ_MOV[ANO PAGAMENTO],$B$4,LANÇ_MOV[MÊS PAGAMENTO CORRESPONDENTE],L$6,LANÇ_MOV[EMPRESA],$C$4,LANÇ_MOV[CENTRO DE CUSTOS],$D$4)</f>
        <v>0</v>
      </c>
      <c r="M589" s="206">
        <f>SUMIFS(LANÇ_MOV[VALOR LÍQUIDO],LANÇ_MOV[RECEITA OU DESPESA],"Receita",LANÇ_MOV[CONTAS],$C589,LANÇ_MOV[PLANO DE CONTAS],REL_DRE_FINANCEIRO!$B$549,LANÇ_MOV[ANO PAGAMENTO],$B$4,LANÇ_MOV[MÊS PAGAMENTO CORRESPONDENTE],M$6,LANÇ_MOV[EMPRESA],$C$4,LANÇ_MOV[CENTRO DE CUSTOS],$D$4)</f>
        <v>0</v>
      </c>
      <c r="N589" s="206">
        <f>SUMIFS(LANÇ_MOV[VALOR LÍQUIDO],LANÇ_MOV[RECEITA OU DESPESA],"Receita",LANÇ_MOV[CONTAS],$C589,LANÇ_MOV[PLANO DE CONTAS],REL_DRE_FINANCEIRO!$B$549,LANÇ_MOV[ANO PAGAMENTO],$B$4,LANÇ_MOV[MÊS PAGAMENTO CORRESPONDENTE],N$6,LANÇ_MOV[EMPRESA],$C$4,LANÇ_MOV[CENTRO DE CUSTOS],$D$4)</f>
        <v>0</v>
      </c>
      <c r="O589" s="206">
        <f>SUMIFS(LANÇ_MOV[VALOR LÍQUIDO],LANÇ_MOV[RECEITA OU DESPESA],"Receita",LANÇ_MOV[CONTAS],$C589,LANÇ_MOV[PLANO DE CONTAS],REL_DRE_FINANCEIRO!$B$549,LANÇ_MOV[ANO PAGAMENTO],$B$4,LANÇ_MOV[MÊS PAGAMENTO CORRESPONDENTE],O$6,LANÇ_MOV[EMPRESA],$C$4,LANÇ_MOV[CENTRO DE CUSTOS],$D$4)</f>
        <v>0</v>
      </c>
      <c r="P589" s="207">
        <f t="shared" si="77"/>
        <v>0</v>
      </c>
      <c r="Q589" s="329">
        <v>6.1E-6</v>
      </c>
      <c r="R589" s="346">
        <f t="shared" si="78"/>
        <v>6.1E-6</v>
      </c>
      <c r="S589" s="347" t="str">
        <f t="shared" si="79"/>
        <v>-</v>
      </c>
      <c r="T589" s="347">
        <f t="shared" si="80"/>
        <v>0</v>
      </c>
      <c r="U589" s="347">
        <f>HLOOKUP(Apoio!$P$12,$D$548:$P$649,X589,FALSE)+Q589</f>
        <v>6.1E-6</v>
      </c>
      <c r="V589" s="447" t="str">
        <f t="shared" si="81"/>
        <v>-</v>
      </c>
      <c r="W589" s="448">
        <f>HLOOKUP(Apoio!$P$12,$D$548:$P$649,X589,FALSE)</f>
        <v>0</v>
      </c>
      <c r="X589" s="329">
        <v>42</v>
      </c>
    </row>
    <row r="590" spans="2:24" ht="30.05" customHeight="1" x14ac:dyDescent="0.35">
      <c r="B590" s="204" t="str">
        <f>'CAD_PL_REC-DESP'!E45</f>
        <v>1.2.41</v>
      </c>
      <c r="C590" s="205" t="str">
        <f>IF('CAD_PL_REC-DESP'!F45="","-",'CAD_PL_REC-DESP'!F45)</f>
        <v>-</v>
      </c>
      <c r="D590" s="206">
        <f>SUMIFS(LANÇ_MOV[VALOR LÍQUIDO],LANÇ_MOV[RECEITA OU DESPESA],"Receita",LANÇ_MOV[CONTAS],$C590,LANÇ_MOV[PLANO DE CONTAS],REL_DRE_FINANCEIRO!$B$549,LANÇ_MOV[ANO PAGAMENTO],$B$4,LANÇ_MOV[MÊS PAGAMENTO CORRESPONDENTE],D$6,LANÇ_MOV[EMPRESA],$C$4,LANÇ_MOV[CENTRO DE CUSTOS],$D$4)</f>
        <v>0</v>
      </c>
      <c r="E590" s="206">
        <f>SUMIFS(LANÇ_MOV[VALOR LÍQUIDO],LANÇ_MOV[RECEITA OU DESPESA],"Receita",LANÇ_MOV[CONTAS],$C590,LANÇ_MOV[PLANO DE CONTAS],REL_DRE_FINANCEIRO!$B$549,LANÇ_MOV[ANO PAGAMENTO],$B$4,LANÇ_MOV[MÊS PAGAMENTO CORRESPONDENTE],E$6,LANÇ_MOV[EMPRESA],$C$4,LANÇ_MOV[CENTRO DE CUSTOS],$D$4)</f>
        <v>0</v>
      </c>
      <c r="F590" s="206">
        <f>SUMIFS(LANÇ_MOV[VALOR LÍQUIDO],LANÇ_MOV[RECEITA OU DESPESA],"Receita",LANÇ_MOV[CONTAS],$C590,LANÇ_MOV[PLANO DE CONTAS],REL_DRE_FINANCEIRO!$B$549,LANÇ_MOV[ANO PAGAMENTO],$B$4,LANÇ_MOV[MÊS PAGAMENTO CORRESPONDENTE],F$6,LANÇ_MOV[EMPRESA],$C$4,LANÇ_MOV[CENTRO DE CUSTOS],$D$4)</f>
        <v>0</v>
      </c>
      <c r="G590" s="206">
        <f>SUMIFS(LANÇ_MOV[VALOR LÍQUIDO],LANÇ_MOV[RECEITA OU DESPESA],"Receita",LANÇ_MOV[CONTAS],$C590,LANÇ_MOV[PLANO DE CONTAS],REL_DRE_FINANCEIRO!$B$549,LANÇ_MOV[ANO PAGAMENTO],$B$4,LANÇ_MOV[MÊS PAGAMENTO CORRESPONDENTE],G$6,LANÇ_MOV[EMPRESA],$C$4,LANÇ_MOV[CENTRO DE CUSTOS],$D$4)</f>
        <v>0</v>
      </c>
      <c r="H590" s="206">
        <f>SUMIFS(LANÇ_MOV[VALOR LÍQUIDO],LANÇ_MOV[RECEITA OU DESPESA],"Receita",LANÇ_MOV[CONTAS],$C590,LANÇ_MOV[PLANO DE CONTAS],REL_DRE_FINANCEIRO!$B$549,LANÇ_MOV[ANO PAGAMENTO],$B$4,LANÇ_MOV[MÊS PAGAMENTO CORRESPONDENTE],H$6,LANÇ_MOV[EMPRESA],$C$4,LANÇ_MOV[CENTRO DE CUSTOS],$D$4)</f>
        <v>0</v>
      </c>
      <c r="I590" s="206">
        <f>SUMIFS(LANÇ_MOV[VALOR LÍQUIDO],LANÇ_MOV[RECEITA OU DESPESA],"Receita",LANÇ_MOV[CONTAS],$C590,LANÇ_MOV[PLANO DE CONTAS],REL_DRE_FINANCEIRO!$B$549,LANÇ_MOV[ANO PAGAMENTO],$B$4,LANÇ_MOV[MÊS PAGAMENTO CORRESPONDENTE],I$6,LANÇ_MOV[EMPRESA],$C$4,LANÇ_MOV[CENTRO DE CUSTOS],$D$4)</f>
        <v>0</v>
      </c>
      <c r="J590" s="206">
        <f>SUMIFS(LANÇ_MOV[VALOR LÍQUIDO],LANÇ_MOV[RECEITA OU DESPESA],"Receita",LANÇ_MOV[CONTAS],$C590,LANÇ_MOV[PLANO DE CONTAS],REL_DRE_FINANCEIRO!$B$549,LANÇ_MOV[ANO PAGAMENTO],$B$4,LANÇ_MOV[MÊS PAGAMENTO CORRESPONDENTE],J$6,LANÇ_MOV[EMPRESA],$C$4,LANÇ_MOV[CENTRO DE CUSTOS],$D$4)</f>
        <v>0</v>
      </c>
      <c r="K590" s="206">
        <f>SUMIFS(LANÇ_MOV[VALOR LÍQUIDO],LANÇ_MOV[RECEITA OU DESPESA],"Receita",LANÇ_MOV[CONTAS],$C590,LANÇ_MOV[PLANO DE CONTAS],REL_DRE_FINANCEIRO!$B$549,LANÇ_MOV[ANO PAGAMENTO],$B$4,LANÇ_MOV[MÊS PAGAMENTO CORRESPONDENTE],K$6,LANÇ_MOV[EMPRESA],$C$4,LANÇ_MOV[CENTRO DE CUSTOS],$D$4)</f>
        <v>0</v>
      </c>
      <c r="L590" s="206">
        <f>SUMIFS(LANÇ_MOV[VALOR LÍQUIDO],LANÇ_MOV[RECEITA OU DESPESA],"Receita",LANÇ_MOV[CONTAS],$C590,LANÇ_MOV[PLANO DE CONTAS],REL_DRE_FINANCEIRO!$B$549,LANÇ_MOV[ANO PAGAMENTO],$B$4,LANÇ_MOV[MÊS PAGAMENTO CORRESPONDENTE],L$6,LANÇ_MOV[EMPRESA],$C$4,LANÇ_MOV[CENTRO DE CUSTOS],$D$4)</f>
        <v>0</v>
      </c>
      <c r="M590" s="206">
        <f>SUMIFS(LANÇ_MOV[VALOR LÍQUIDO],LANÇ_MOV[RECEITA OU DESPESA],"Receita",LANÇ_MOV[CONTAS],$C590,LANÇ_MOV[PLANO DE CONTAS],REL_DRE_FINANCEIRO!$B$549,LANÇ_MOV[ANO PAGAMENTO],$B$4,LANÇ_MOV[MÊS PAGAMENTO CORRESPONDENTE],M$6,LANÇ_MOV[EMPRESA],$C$4,LANÇ_MOV[CENTRO DE CUSTOS],$D$4)</f>
        <v>0</v>
      </c>
      <c r="N590" s="206">
        <f>SUMIFS(LANÇ_MOV[VALOR LÍQUIDO],LANÇ_MOV[RECEITA OU DESPESA],"Receita",LANÇ_MOV[CONTAS],$C590,LANÇ_MOV[PLANO DE CONTAS],REL_DRE_FINANCEIRO!$B$549,LANÇ_MOV[ANO PAGAMENTO],$B$4,LANÇ_MOV[MÊS PAGAMENTO CORRESPONDENTE],N$6,LANÇ_MOV[EMPRESA],$C$4,LANÇ_MOV[CENTRO DE CUSTOS],$D$4)</f>
        <v>0</v>
      </c>
      <c r="O590" s="206">
        <f>SUMIFS(LANÇ_MOV[VALOR LÍQUIDO],LANÇ_MOV[RECEITA OU DESPESA],"Receita",LANÇ_MOV[CONTAS],$C590,LANÇ_MOV[PLANO DE CONTAS],REL_DRE_FINANCEIRO!$B$549,LANÇ_MOV[ANO PAGAMENTO],$B$4,LANÇ_MOV[MÊS PAGAMENTO CORRESPONDENTE],O$6,LANÇ_MOV[EMPRESA],$C$4,LANÇ_MOV[CENTRO DE CUSTOS],$D$4)</f>
        <v>0</v>
      </c>
      <c r="P590" s="207">
        <f t="shared" si="77"/>
        <v>0</v>
      </c>
      <c r="Q590" s="329">
        <v>6.0000000000000002E-6</v>
      </c>
      <c r="R590" s="346">
        <f t="shared" si="78"/>
        <v>6.0000000000000002E-6</v>
      </c>
      <c r="S590" s="347" t="str">
        <f t="shared" si="79"/>
        <v>-</v>
      </c>
      <c r="T590" s="347">
        <f t="shared" si="80"/>
        <v>0</v>
      </c>
      <c r="U590" s="347">
        <f>HLOOKUP(Apoio!$P$12,$D$548:$P$649,X590,FALSE)+Q590</f>
        <v>6.0000000000000002E-6</v>
      </c>
      <c r="V590" s="447" t="str">
        <f t="shared" si="81"/>
        <v>-</v>
      </c>
      <c r="W590" s="448">
        <f>HLOOKUP(Apoio!$P$12,$D$548:$P$649,X590,FALSE)</f>
        <v>0</v>
      </c>
      <c r="X590" s="329">
        <v>43</v>
      </c>
    </row>
    <row r="591" spans="2:24" ht="30.05" customHeight="1" x14ac:dyDescent="0.35">
      <c r="B591" s="204" t="str">
        <f>'CAD_PL_REC-DESP'!E46</f>
        <v>1.2.42</v>
      </c>
      <c r="C591" s="205" t="str">
        <f>IF('CAD_PL_REC-DESP'!F46="","-",'CAD_PL_REC-DESP'!F46)</f>
        <v>-</v>
      </c>
      <c r="D591" s="206">
        <f>SUMIFS(LANÇ_MOV[VALOR LÍQUIDO],LANÇ_MOV[RECEITA OU DESPESA],"Receita",LANÇ_MOV[CONTAS],$C591,LANÇ_MOV[PLANO DE CONTAS],REL_DRE_FINANCEIRO!$B$549,LANÇ_MOV[ANO PAGAMENTO],$B$4,LANÇ_MOV[MÊS PAGAMENTO CORRESPONDENTE],D$6,LANÇ_MOV[EMPRESA],$C$4,LANÇ_MOV[CENTRO DE CUSTOS],$D$4)</f>
        <v>0</v>
      </c>
      <c r="E591" s="206">
        <f>SUMIFS(LANÇ_MOV[VALOR LÍQUIDO],LANÇ_MOV[RECEITA OU DESPESA],"Receita",LANÇ_MOV[CONTAS],$C591,LANÇ_MOV[PLANO DE CONTAS],REL_DRE_FINANCEIRO!$B$549,LANÇ_MOV[ANO PAGAMENTO],$B$4,LANÇ_MOV[MÊS PAGAMENTO CORRESPONDENTE],E$6,LANÇ_MOV[EMPRESA],$C$4,LANÇ_MOV[CENTRO DE CUSTOS],$D$4)</f>
        <v>0</v>
      </c>
      <c r="F591" s="206">
        <f>SUMIFS(LANÇ_MOV[VALOR LÍQUIDO],LANÇ_MOV[RECEITA OU DESPESA],"Receita",LANÇ_MOV[CONTAS],$C591,LANÇ_MOV[PLANO DE CONTAS],REL_DRE_FINANCEIRO!$B$549,LANÇ_MOV[ANO PAGAMENTO],$B$4,LANÇ_MOV[MÊS PAGAMENTO CORRESPONDENTE],F$6,LANÇ_MOV[EMPRESA],$C$4,LANÇ_MOV[CENTRO DE CUSTOS],$D$4)</f>
        <v>0</v>
      </c>
      <c r="G591" s="206">
        <f>SUMIFS(LANÇ_MOV[VALOR LÍQUIDO],LANÇ_MOV[RECEITA OU DESPESA],"Receita",LANÇ_MOV[CONTAS],$C591,LANÇ_MOV[PLANO DE CONTAS],REL_DRE_FINANCEIRO!$B$549,LANÇ_MOV[ANO PAGAMENTO],$B$4,LANÇ_MOV[MÊS PAGAMENTO CORRESPONDENTE],G$6,LANÇ_MOV[EMPRESA],$C$4,LANÇ_MOV[CENTRO DE CUSTOS],$D$4)</f>
        <v>0</v>
      </c>
      <c r="H591" s="206">
        <f>SUMIFS(LANÇ_MOV[VALOR LÍQUIDO],LANÇ_MOV[RECEITA OU DESPESA],"Receita",LANÇ_MOV[CONTAS],$C591,LANÇ_MOV[PLANO DE CONTAS],REL_DRE_FINANCEIRO!$B$549,LANÇ_MOV[ANO PAGAMENTO],$B$4,LANÇ_MOV[MÊS PAGAMENTO CORRESPONDENTE],H$6,LANÇ_MOV[EMPRESA],$C$4,LANÇ_MOV[CENTRO DE CUSTOS],$D$4)</f>
        <v>0</v>
      </c>
      <c r="I591" s="206">
        <f>SUMIFS(LANÇ_MOV[VALOR LÍQUIDO],LANÇ_MOV[RECEITA OU DESPESA],"Receita",LANÇ_MOV[CONTAS],$C591,LANÇ_MOV[PLANO DE CONTAS],REL_DRE_FINANCEIRO!$B$549,LANÇ_MOV[ANO PAGAMENTO],$B$4,LANÇ_MOV[MÊS PAGAMENTO CORRESPONDENTE],I$6,LANÇ_MOV[EMPRESA],$C$4,LANÇ_MOV[CENTRO DE CUSTOS],$D$4)</f>
        <v>0</v>
      </c>
      <c r="J591" s="206">
        <f>SUMIFS(LANÇ_MOV[VALOR LÍQUIDO],LANÇ_MOV[RECEITA OU DESPESA],"Receita",LANÇ_MOV[CONTAS],$C591,LANÇ_MOV[PLANO DE CONTAS],REL_DRE_FINANCEIRO!$B$549,LANÇ_MOV[ANO PAGAMENTO],$B$4,LANÇ_MOV[MÊS PAGAMENTO CORRESPONDENTE],J$6,LANÇ_MOV[EMPRESA],$C$4,LANÇ_MOV[CENTRO DE CUSTOS],$D$4)</f>
        <v>0</v>
      </c>
      <c r="K591" s="206">
        <f>SUMIFS(LANÇ_MOV[VALOR LÍQUIDO],LANÇ_MOV[RECEITA OU DESPESA],"Receita",LANÇ_MOV[CONTAS],$C591,LANÇ_MOV[PLANO DE CONTAS],REL_DRE_FINANCEIRO!$B$549,LANÇ_MOV[ANO PAGAMENTO],$B$4,LANÇ_MOV[MÊS PAGAMENTO CORRESPONDENTE],K$6,LANÇ_MOV[EMPRESA],$C$4,LANÇ_MOV[CENTRO DE CUSTOS],$D$4)</f>
        <v>0</v>
      </c>
      <c r="L591" s="206">
        <f>SUMIFS(LANÇ_MOV[VALOR LÍQUIDO],LANÇ_MOV[RECEITA OU DESPESA],"Receita",LANÇ_MOV[CONTAS],$C591,LANÇ_MOV[PLANO DE CONTAS],REL_DRE_FINANCEIRO!$B$549,LANÇ_MOV[ANO PAGAMENTO],$B$4,LANÇ_MOV[MÊS PAGAMENTO CORRESPONDENTE],L$6,LANÇ_MOV[EMPRESA],$C$4,LANÇ_MOV[CENTRO DE CUSTOS],$D$4)</f>
        <v>0</v>
      </c>
      <c r="M591" s="206">
        <f>SUMIFS(LANÇ_MOV[VALOR LÍQUIDO],LANÇ_MOV[RECEITA OU DESPESA],"Receita",LANÇ_MOV[CONTAS],$C591,LANÇ_MOV[PLANO DE CONTAS],REL_DRE_FINANCEIRO!$B$549,LANÇ_MOV[ANO PAGAMENTO],$B$4,LANÇ_MOV[MÊS PAGAMENTO CORRESPONDENTE],M$6,LANÇ_MOV[EMPRESA],$C$4,LANÇ_MOV[CENTRO DE CUSTOS],$D$4)</f>
        <v>0</v>
      </c>
      <c r="N591" s="206">
        <f>SUMIFS(LANÇ_MOV[VALOR LÍQUIDO],LANÇ_MOV[RECEITA OU DESPESA],"Receita",LANÇ_MOV[CONTAS],$C591,LANÇ_MOV[PLANO DE CONTAS],REL_DRE_FINANCEIRO!$B$549,LANÇ_MOV[ANO PAGAMENTO],$B$4,LANÇ_MOV[MÊS PAGAMENTO CORRESPONDENTE],N$6,LANÇ_MOV[EMPRESA],$C$4,LANÇ_MOV[CENTRO DE CUSTOS],$D$4)</f>
        <v>0</v>
      </c>
      <c r="O591" s="206">
        <f>SUMIFS(LANÇ_MOV[VALOR LÍQUIDO],LANÇ_MOV[RECEITA OU DESPESA],"Receita",LANÇ_MOV[CONTAS],$C591,LANÇ_MOV[PLANO DE CONTAS],REL_DRE_FINANCEIRO!$B$549,LANÇ_MOV[ANO PAGAMENTO],$B$4,LANÇ_MOV[MÊS PAGAMENTO CORRESPONDENTE],O$6,LANÇ_MOV[EMPRESA],$C$4,LANÇ_MOV[CENTRO DE CUSTOS],$D$4)</f>
        <v>0</v>
      </c>
      <c r="P591" s="207">
        <f t="shared" si="77"/>
        <v>0</v>
      </c>
      <c r="Q591" s="329">
        <v>5.9000000000000003E-6</v>
      </c>
      <c r="R591" s="346">
        <f t="shared" si="78"/>
        <v>5.9000000000000003E-6</v>
      </c>
      <c r="S591" s="347" t="str">
        <f t="shared" si="79"/>
        <v>-</v>
      </c>
      <c r="T591" s="347">
        <f t="shared" si="80"/>
        <v>0</v>
      </c>
      <c r="U591" s="347">
        <f>HLOOKUP(Apoio!$P$12,$D$548:$P$649,X591,FALSE)+Q591</f>
        <v>5.9000000000000003E-6</v>
      </c>
      <c r="V591" s="447" t="str">
        <f t="shared" si="81"/>
        <v>-</v>
      </c>
      <c r="W591" s="448">
        <f>HLOOKUP(Apoio!$P$12,$D$548:$P$649,X591,FALSE)</f>
        <v>0</v>
      </c>
      <c r="X591" s="329">
        <v>44</v>
      </c>
    </row>
    <row r="592" spans="2:24" ht="30.05" customHeight="1" x14ac:dyDescent="0.35">
      <c r="B592" s="204" t="str">
        <f>'CAD_PL_REC-DESP'!E47</f>
        <v>1.2.43</v>
      </c>
      <c r="C592" s="205" t="str">
        <f>IF('CAD_PL_REC-DESP'!F47="","-",'CAD_PL_REC-DESP'!F47)</f>
        <v>-</v>
      </c>
      <c r="D592" s="206">
        <f>SUMIFS(LANÇ_MOV[VALOR LÍQUIDO],LANÇ_MOV[RECEITA OU DESPESA],"Receita",LANÇ_MOV[CONTAS],$C592,LANÇ_MOV[PLANO DE CONTAS],REL_DRE_FINANCEIRO!$B$549,LANÇ_MOV[ANO PAGAMENTO],$B$4,LANÇ_MOV[MÊS PAGAMENTO CORRESPONDENTE],D$6,LANÇ_MOV[EMPRESA],$C$4,LANÇ_MOV[CENTRO DE CUSTOS],$D$4)</f>
        <v>0</v>
      </c>
      <c r="E592" s="206">
        <f>SUMIFS(LANÇ_MOV[VALOR LÍQUIDO],LANÇ_MOV[RECEITA OU DESPESA],"Receita",LANÇ_MOV[CONTAS],$C592,LANÇ_MOV[PLANO DE CONTAS],REL_DRE_FINANCEIRO!$B$549,LANÇ_MOV[ANO PAGAMENTO],$B$4,LANÇ_MOV[MÊS PAGAMENTO CORRESPONDENTE],E$6,LANÇ_MOV[EMPRESA],$C$4,LANÇ_MOV[CENTRO DE CUSTOS],$D$4)</f>
        <v>0</v>
      </c>
      <c r="F592" s="206">
        <f>SUMIFS(LANÇ_MOV[VALOR LÍQUIDO],LANÇ_MOV[RECEITA OU DESPESA],"Receita",LANÇ_MOV[CONTAS],$C592,LANÇ_MOV[PLANO DE CONTAS],REL_DRE_FINANCEIRO!$B$549,LANÇ_MOV[ANO PAGAMENTO],$B$4,LANÇ_MOV[MÊS PAGAMENTO CORRESPONDENTE],F$6,LANÇ_MOV[EMPRESA],$C$4,LANÇ_MOV[CENTRO DE CUSTOS],$D$4)</f>
        <v>0</v>
      </c>
      <c r="G592" s="206">
        <f>SUMIFS(LANÇ_MOV[VALOR LÍQUIDO],LANÇ_MOV[RECEITA OU DESPESA],"Receita",LANÇ_MOV[CONTAS],$C592,LANÇ_MOV[PLANO DE CONTAS],REL_DRE_FINANCEIRO!$B$549,LANÇ_MOV[ANO PAGAMENTO],$B$4,LANÇ_MOV[MÊS PAGAMENTO CORRESPONDENTE],G$6,LANÇ_MOV[EMPRESA],$C$4,LANÇ_MOV[CENTRO DE CUSTOS],$D$4)</f>
        <v>0</v>
      </c>
      <c r="H592" s="206">
        <f>SUMIFS(LANÇ_MOV[VALOR LÍQUIDO],LANÇ_MOV[RECEITA OU DESPESA],"Receita",LANÇ_MOV[CONTAS],$C592,LANÇ_MOV[PLANO DE CONTAS],REL_DRE_FINANCEIRO!$B$549,LANÇ_MOV[ANO PAGAMENTO],$B$4,LANÇ_MOV[MÊS PAGAMENTO CORRESPONDENTE],H$6,LANÇ_MOV[EMPRESA],$C$4,LANÇ_MOV[CENTRO DE CUSTOS],$D$4)</f>
        <v>0</v>
      </c>
      <c r="I592" s="206">
        <f>SUMIFS(LANÇ_MOV[VALOR LÍQUIDO],LANÇ_MOV[RECEITA OU DESPESA],"Receita",LANÇ_MOV[CONTAS],$C592,LANÇ_MOV[PLANO DE CONTAS],REL_DRE_FINANCEIRO!$B$549,LANÇ_MOV[ANO PAGAMENTO],$B$4,LANÇ_MOV[MÊS PAGAMENTO CORRESPONDENTE],I$6,LANÇ_MOV[EMPRESA],$C$4,LANÇ_MOV[CENTRO DE CUSTOS],$D$4)</f>
        <v>0</v>
      </c>
      <c r="J592" s="206">
        <f>SUMIFS(LANÇ_MOV[VALOR LÍQUIDO],LANÇ_MOV[RECEITA OU DESPESA],"Receita",LANÇ_MOV[CONTAS],$C592,LANÇ_MOV[PLANO DE CONTAS],REL_DRE_FINANCEIRO!$B$549,LANÇ_MOV[ANO PAGAMENTO],$B$4,LANÇ_MOV[MÊS PAGAMENTO CORRESPONDENTE],J$6,LANÇ_MOV[EMPRESA],$C$4,LANÇ_MOV[CENTRO DE CUSTOS],$D$4)</f>
        <v>0</v>
      </c>
      <c r="K592" s="206">
        <f>SUMIFS(LANÇ_MOV[VALOR LÍQUIDO],LANÇ_MOV[RECEITA OU DESPESA],"Receita",LANÇ_MOV[CONTAS],$C592,LANÇ_MOV[PLANO DE CONTAS],REL_DRE_FINANCEIRO!$B$549,LANÇ_MOV[ANO PAGAMENTO],$B$4,LANÇ_MOV[MÊS PAGAMENTO CORRESPONDENTE],K$6,LANÇ_MOV[EMPRESA],$C$4,LANÇ_MOV[CENTRO DE CUSTOS],$D$4)</f>
        <v>0</v>
      </c>
      <c r="L592" s="206">
        <f>SUMIFS(LANÇ_MOV[VALOR LÍQUIDO],LANÇ_MOV[RECEITA OU DESPESA],"Receita",LANÇ_MOV[CONTAS],$C592,LANÇ_MOV[PLANO DE CONTAS],REL_DRE_FINANCEIRO!$B$549,LANÇ_MOV[ANO PAGAMENTO],$B$4,LANÇ_MOV[MÊS PAGAMENTO CORRESPONDENTE],L$6,LANÇ_MOV[EMPRESA],$C$4,LANÇ_MOV[CENTRO DE CUSTOS],$D$4)</f>
        <v>0</v>
      </c>
      <c r="M592" s="206">
        <f>SUMIFS(LANÇ_MOV[VALOR LÍQUIDO],LANÇ_MOV[RECEITA OU DESPESA],"Receita",LANÇ_MOV[CONTAS],$C592,LANÇ_MOV[PLANO DE CONTAS],REL_DRE_FINANCEIRO!$B$549,LANÇ_MOV[ANO PAGAMENTO],$B$4,LANÇ_MOV[MÊS PAGAMENTO CORRESPONDENTE],M$6,LANÇ_MOV[EMPRESA],$C$4,LANÇ_MOV[CENTRO DE CUSTOS],$D$4)</f>
        <v>0</v>
      </c>
      <c r="N592" s="206">
        <f>SUMIFS(LANÇ_MOV[VALOR LÍQUIDO],LANÇ_MOV[RECEITA OU DESPESA],"Receita",LANÇ_MOV[CONTAS],$C592,LANÇ_MOV[PLANO DE CONTAS],REL_DRE_FINANCEIRO!$B$549,LANÇ_MOV[ANO PAGAMENTO],$B$4,LANÇ_MOV[MÊS PAGAMENTO CORRESPONDENTE],N$6,LANÇ_MOV[EMPRESA],$C$4,LANÇ_MOV[CENTRO DE CUSTOS],$D$4)</f>
        <v>0</v>
      </c>
      <c r="O592" s="206">
        <f>SUMIFS(LANÇ_MOV[VALOR LÍQUIDO],LANÇ_MOV[RECEITA OU DESPESA],"Receita",LANÇ_MOV[CONTAS],$C592,LANÇ_MOV[PLANO DE CONTAS],REL_DRE_FINANCEIRO!$B$549,LANÇ_MOV[ANO PAGAMENTO],$B$4,LANÇ_MOV[MÊS PAGAMENTO CORRESPONDENTE],O$6,LANÇ_MOV[EMPRESA],$C$4,LANÇ_MOV[CENTRO DE CUSTOS],$D$4)</f>
        <v>0</v>
      </c>
      <c r="P592" s="207">
        <f t="shared" si="77"/>
        <v>0</v>
      </c>
      <c r="Q592" s="329">
        <v>5.8000000000000004E-6</v>
      </c>
      <c r="R592" s="346">
        <f t="shared" si="78"/>
        <v>5.8000000000000004E-6</v>
      </c>
      <c r="S592" s="347" t="str">
        <f t="shared" si="79"/>
        <v>-</v>
      </c>
      <c r="T592" s="347">
        <f t="shared" si="80"/>
        <v>0</v>
      </c>
      <c r="U592" s="347">
        <f>HLOOKUP(Apoio!$P$12,$D$548:$P$649,X592,FALSE)+Q592</f>
        <v>5.8000000000000004E-6</v>
      </c>
      <c r="V592" s="447" t="str">
        <f t="shared" si="81"/>
        <v>-</v>
      </c>
      <c r="W592" s="448">
        <f>HLOOKUP(Apoio!$P$12,$D$548:$P$649,X592,FALSE)</f>
        <v>0</v>
      </c>
      <c r="X592" s="329">
        <v>45</v>
      </c>
    </row>
    <row r="593" spans="2:24" ht="30.05" customHeight="1" x14ac:dyDescent="0.35">
      <c r="B593" s="204" t="str">
        <f>'CAD_PL_REC-DESP'!E48</f>
        <v>1.2.44</v>
      </c>
      <c r="C593" s="205" t="str">
        <f>IF('CAD_PL_REC-DESP'!F48="","-",'CAD_PL_REC-DESP'!F48)</f>
        <v>-</v>
      </c>
      <c r="D593" s="206">
        <f>SUMIFS(LANÇ_MOV[VALOR LÍQUIDO],LANÇ_MOV[RECEITA OU DESPESA],"Receita",LANÇ_MOV[CONTAS],$C593,LANÇ_MOV[PLANO DE CONTAS],REL_DRE_FINANCEIRO!$B$549,LANÇ_MOV[ANO PAGAMENTO],$B$4,LANÇ_MOV[MÊS PAGAMENTO CORRESPONDENTE],D$6,LANÇ_MOV[EMPRESA],$C$4,LANÇ_MOV[CENTRO DE CUSTOS],$D$4)</f>
        <v>0</v>
      </c>
      <c r="E593" s="206">
        <f>SUMIFS(LANÇ_MOV[VALOR LÍQUIDO],LANÇ_MOV[RECEITA OU DESPESA],"Receita",LANÇ_MOV[CONTAS],$C593,LANÇ_MOV[PLANO DE CONTAS],REL_DRE_FINANCEIRO!$B$549,LANÇ_MOV[ANO PAGAMENTO],$B$4,LANÇ_MOV[MÊS PAGAMENTO CORRESPONDENTE],E$6,LANÇ_MOV[EMPRESA],$C$4,LANÇ_MOV[CENTRO DE CUSTOS],$D$4)</f>
        <v>0</v>
      </c>
      <c r="F593" s="206">
        <f>SUMIFS(LANÇ_MOV[VALOR LÍQUIDO],LANÇ_MOV[RECEITA OU DESPESA],"Receita",LANÇ_MOV[CONTAS],$C593,LANÇ_MOV[PLANO DE CONTAS],REL_DRE_FINANCEIRO!$B$549,LANÇ_MOV[ANO PAGAMENTO],$B$4,LANÇ_MOV[MÊS PAGAMENTO CORRESPONDENTE],F$6,LANÇ_MOV[EMPRESA],$C$4,LANÇ_MOV[CENTRO DE CUSTOS],$D$4)</f>
        <v>0</v>
      </c>
      <c r="G593" s="206">
        <f>SUMIFS(LANÇ_MOV[VALOR LÍQUIDO],LANÇ_MOV[RECEITA OU DESPESA],"Receita",LANÇ_MOV[CONTAS],$C593,LANÇ_MOV[PLANO DE CONTAS],REL_DRE_FINANCEIRO!$B$549,LANÇ_MOV[ANO PAGAMENTO],$B$4,LANÇ_MOV[MÊS PAGAMENTO CORRESPONDENTE],G$6,LANÇ_MOV[EMPRESA],$C$4,LANÇ_MOV[CENTRO DE CUSTOS],$D$4)</f>
        <v>0</v>
      </c>
      <c r="H593" s="206">
        <f>SUMIFS(LANÇ_MOV[VALOR LÍQUIDO],LANÇ_MOV[RECEITA OU DESPESA],"Receita",LANÇ_MOV[CONTAS],$C593,LANÇ_MOV[PLANO DE CONTAS],REL_DRE_FINANCEIRO!$B$549,LANÇ_MOV[ANO PAGAMENTO],$B$4,LANÇ_MOV[MÊS PAGAMENTO CORRESPONDENTE],H$6,LANÇ_MOV[EMPRESA],$C$4,LANÇ_MOV[CENTRO DE CUSTOS],$D$4)</f>
        <v>0</v>
      </c>
      <c r="I593" s="206">
        <f>SUMIFS(LANÇ_MOV[VALOR LÍQUIDO],LANÇ_MOV[RECEITA OU DESPESA],"Receita",LANÇ_MOV[CONTAS],$C593,LANÇ_MOV[PLANO DE CONTAS],REL_DRE_FINANCEIRO!$B$549,LANÇ_MOV[ANO PAGAMENTO],$B$4,LANÇ_MOV[MÊS PAGAMENTO CORRESPONDENTE],I$6,LANÇ_MOV[EMPRESA],$C$4,LANÇ_MOV[CENTRO DE CUSTOS],$D$4)</f>
        <v>0</v>
      </c>
      <c r="J593" s="206">
        <f>SUMIFS(LANÇ_MOV[VALOR LÍQUIDO],LANÇ_MOV[RECEITA OU DESPESA],"Receita",LANÇ_MOV[CONTAS],$C593,LANÇ_MOV[PLANO DE CONTAS],REL_DRE_FINANCEIRO!$B$549,LANÇ_MOV[ANO PAGAMENTO],$B$4,LANÇ_MOV[MÊS PAGAMENTO CORRESPONDENTE],J$6,LANÇ_MOV[EMPRESA],$C$4,LANÇ_MOV[CENTRO DE CUSTOS],$D$4)</f>
        <v>0</v>
      </c>
      <c r="K593" s="206">
        <f>SUMIFS(LANÇ_MOV[VALOR LÍQUIDO],LANÇ_MOV[RECEITA OU DESPESA],"Receita",LANÇ_MOV[CONTAS],$C593,LANÇ_MOV[PLANO DE CONTAS],REL_DRE_FINANCEIRO!$B$549,LANÇ_MOV[ANO PAGAMENTO],$B$4,LANÇ_MOV[MÊS PAGAMENTO CORRESPONDENTE],K$6,LANÇ_MOV[EMPRESA],$C$4,LANÇ_MOV[CENTRO DE CUSTOS],$D$4)</f>
        <v>0</v>
      </c>
      <c r="L593" s="206">
        <f>SUMIFS(LANÇ_MOV[VALOR LÍQUIDO],LANÇ_MOV[RECEITA OU DESPESA],"Receita",LANÇ_MOV[CONTAS],$C593,LANÇ_MOV[PLANO DE CONTAS],REL_DRE_FINANCEIRO!$B$549,LANÇ_MOV[ANO PAGAMENTO],$B$4,LANÇ_MOV[MÊS PAGAMENTO CORRESPONDENTE],L$6,LANÇ_MOV[EMPRESA],$C$4,LANÇ_MOV[CENTRO DE CUSTOS],$D$4)</f>
        <v>0</v>
      </c>
      <c r="M593" s="206">
        <f>SUMIFS(LANÇ_MOV[VALOR LÍQUIDO],LANÇ_MOV[RECEITA OU DESPESA],"Receita",LANÇ_MOV[CONTAS],$C593,LANÇ_MOV[PLANO DE CONTAS],REL_DRE_FINANCEIRO!$B$549,LANÇ_MOV[ANO PAGAMENTO],$B$4,LANÇ_MOV[MÊS PAGAMENTO CORRESPONDENTE],M$6,LANÇ_MOV[EMPRESA],$C$4,LANÇ_MOV[CENTRO DE CUSTOS],$D$4)</f>
        <v>0</v>
      </c>
      <c r="N593" s="206">
        <f>SUMIFS(LANÇ_MOV[VALOR LÍQUIDO],LANÇ_MOV[RECEITA OU DESPESA],"Receita",LANÇ_MOV[CONTAS],$C593,LANÇ_MOV[PLANO DE CONTAS],REL_DRE_FINANCEIRO!$B$549,LANÇ_MOV[ANO PAGAMENTO],$B$4,LANÇ_MOV[MÊS PAGAMENTO CORRESPONDENTE],N$6,LANÇ_MOV[EMPRESA],$C$4,LANÇ_MOV[CENTRO DE CUSTOS],$D$4)</f>
        <v>0</v>
      </c>
      <c r="O593" s="206">
        <f>SUMIFS(LANÇ_MOV[VALOR LÍQUIDO],LANÇ_MOV[RECEITA OU DESPESA],"Receita",LANÇ_MOV[CONTAS],$C593,LANÇ_MOV[PLANO DE CONTAS],REL_DRE_FINANCEIRO!$B$549,LANÇ_MOV[ANO PAGAMENTO],$B$4,LANÇ_MOV[MÊS PAGAMENTO CORRESPONDENTE],O$6,LANÇ_MOV[EMPRESA],$C$4,LANÇ_MOV[CENTRO DE CUSTOS],$D$4)</f>
        <v>0</v>
      </c>
      <c r="P593" s="207">
        <f t="shared" si="77"/>
        <v>0</v>
      </c>
      <c r="Q593" s="329">
        <v>5.6999999999999996E-6</v>
      </c>
      <c r="R593" s="346">
        <f t="shared" si="78"/>
        <v>5.6999999999999996E-6</v>
      </c>
      <c r="S593" s="347" t="str">
        <f t="shared" si="79"/>
        <v>-</v>
      </c>
      <c r="T593" s="347">
        <f t="shared" si="80"/>
        <v>0</v>
      </c>
      <c r="U593" s="347">
        <f>HLOOKUP(Apoio!$P$12,$D$548:$P$649,X593,FALSE)+Q593</f>
        <v>5.6999999999999996E-6</v>
      </c>
      <c r="V593" s="447" t="str">
        <f t="shared" si="81"/>
        <v>-</v>
      </c>
      <c r="W593" s="448">
        <f>HLOOKUP(Apoio!$P$12,$D$548:$P$649,X593,FALSE)</f>
        <v>0</v>
      </c>
      <c r="X593" s="329">
        <v>46</v>
      </c>
    </row>
    <row r="594" spans="2:24" ht="30.05" customHeight="1" x14ac:dyDescent="0.35">
      <c r="B594" s="204" t="str">
        <f>'CAD_PL_REC-DESP'!E49</f>
        <v>1.2.45</v>
      </c>
      <c r="C594" s="205" t="str">
        <f>IF('CAD_PL_REC-DESP'!F49="","-",'CAD_PL_REC-DESP'!F49)</f>
        <v>-</v>
      </c>
      <c r="D594" s="206">
        <f>SUMIFS(LANÇ_MOV[VALOR LÍQUIDO],LANÇ_MOV[RECEITA OU DESPESA],"Receita",LANÇ_MOV[CONTAS],$C594,LANÇ_MOV[PLANO DE CONTAS],REL_DRE_FINANCEIRO!$B$549,LANÇ_MOV[ANO PAGAMENTO],$B$4,LANÇ_MOV[MÊS PAGAMENTO CORRESPONDENTE],D$6,LANÇ_MOV[EMPRESA],$C$4,LANÇ_MOV[CENTRO DE CUSTOS],$D$4)</f>
        <v>0</v>
      </c>
      <c r="E594" s="206">
        <f>SUMIFS(LANÇ_MOV[VALOR LÍQUIDO],LANÇ_MOV[RECEITA OU DESPESA],"Receita",LANÇ_MOV[CONTAS],$C594,LANÇ_MOV[PLANO DE CONTAS],REL_DRE_FINANCEIRO!$B$549,LANÇ_MOV[ANO PAGAMENTO],$B$4,LANÇ_MOV[MÊS PAGAMENTO CORRESPONDENTE],E$6,LANÇ_MOV[EMPRESA],$C$4,LANÇ_MOV[CENTRO DE CUSTOS],$D$4)</f>
        <v>0</v>
      </c>
      <c r="F594" s="206">
        <f>SUMIFS(LANÇ_MOV[VALOR LÍQUIDO],LANÇ_MOV[RECEITA OU DESPESA],"Receita",LANÇ_MOV[CONTAS],$C594,LANÇ_MOV[PLANO DE CONTAS],REL_DRE_FINANCEIRO!$B$549,LANÇ_MOV[ANO PAGAMENTO],$B$4,LANÇ_MOV[MÊS PAGAMENTO CORRESPONDENTE],F$6,LANÇ_MOV[EMPRESA],$C$4,LANÇ_MOV[CENTRO DE CUSTOS],$D$4)</f>
        <v>0</v>
      </c>
      <c r="G594" s="206">
        <f>SUMIFS(LANÇ_MOV[VALOR LÍQUIDO],LANÇ_MOV[RECEITA OU DESPESA],"Receita",LANÇ_MOV[CONTAS],$C594,LANÇ_MOV[PLANO DE CONTAS],REL_DRE_FINANCEIRO!$B$549,LANÇ_MOV[ANO PAGAMENTO],$B$4,LANÇ_MOV[MÊS PAGAMENTO CORRESPONDENTE],G$6,LANÇ_MOV[EMPRESA],$C$4,LANÇ_MOV[CENTRO DE CUSTOS],$D$4)</f>
        <v>0</v>
      </c>
      <c r="H594" s="206">
        <f>SUMIFS(LANÇ_MOV[VALOR LÍQUIDO],LANÇ_MOV[RECEITA OU DESPESA],"Receita",LANÇ_MOV[CONTAS],$C594,LANÇ_MOV[PLANO DE CONTAS],REL_DRE_FINANCEIRO!$B$549,LANÇ_MOV[ANO PAGAMENTO],$B$4,LANÇ_MOV[MÊS PAGAMENTO CORRESPONDENTE],H$6,LANÇ_MOV[EMPRESA],$C$4,LANÇ_MOV[CENTRO DE CUSTOS],$D$4)</f>
        <v>0</v>
      </c>
      <c r="I594" s="206">
        <f>SUMIFS(LANÇ_MOV[VALOR LÍQUIDO],LANÇ_MOV[RECEITA OU DESPESA],"Receita",LANÇ_MOV[CONTAS],$C594,LANÇ_MOV[PLANO DE CONTAS],REL_DRE_FINANCEIRO!$B$549,LANÇ_MOV[ANO PAGAMENTO],$B$4,LANÇ_MOV[MÊS PAGAMENTO CORRESPONDENTE],I$6,LANÇ_MOV[EMPRESA],$C$4,LANÇ_MOV[CENTRO DE CUSTOS],$D$4)</f>
        <v>0</v>
      </c>
      <c r="J594" s="206">
        <f>SUMIFS(LANÇ_MOV[VALOR LÍQUIDO],LANÇ_MOV[RECEITA OU DESPESA],"Receita",LANÇ_MOV[CONTAS],$C594,LANÇ_MOV[PLANO DE CONTAS],REL_DRE_FINANCEIRO!$B$549,LANÇ_MOV[ANO PAGAMENTO],$B$4,LANÇ_MOV[MÊS PAGAMENTO CORRESPONDENTE],J$6,LANÇ_MOV[EMPRESA],$C$4,LANÇ_MOV[CENTRO DE CUSTOS],$D$4)</f>
        <v>0</v>
      </c>
      <c r="K594" s="206">
        <f>SUMIFS(LANÇ_MOV[VALOR LÍQUIDO],LANÇ_MOV[RECEITA OU DESPESA],"Receita",LANÇ_MOV[CONTAS],$C594,LANÇ_MOV[PLANO DE CONTAS],REL_DRE_FINANCEIRO!$B$549,LANÇ_MOV[ANO PAGAMENTO],$B$4,LANÇ_MOV[MÊS PAGAMENTO CORRESPONDENTE],K$6,LANÇ_MOV[EMPRESA],$C$4,LANÇ_MOV[CENTRO DE CUSTOS],$D$4)</f>
        <v>0</v>
      </c>
      <c r="L594" s="206">
        <f>SUMIFS(LANÇ_MOV[VALOR LÍQUIDO],LANÇ_MOV[RECEITA OU DESPESA],"Receita",LANÇ_MOV[CONTAS],$C594,LANÇ_MOV[PLANO DE CONTAS],REL_DRE_FINANCEIRO!$B$549,LANÇ_MOV[ANO PAGAMENTO],$B$4,LANÇ_MOV[MÊS PAGAMENTO CORRESPONDENTE],L$6,LANÇ_MOV[EMPRESA],$C$4,LANÇ_MOV[CENTRO DE CUSTOS],$D$4)</f>
        <v>0</v>
      </c>
      <c r="M594" s="206">
        <f>SUMIFS(LANÇ_MOV[VALOR LÍQUIDO],LANÇ_MOV[RECEITA OU DESPESA],"Receita",LANÇ_MOV[CONTAS],$C594,LANÇ_MOV[PLANO DE CONTAS],REL_DRE_FINANCEIRO!$B$549,LANÇ_MOV[ANO PAGAMENTO],$B$4,LANÇ_MOV[MÊS PAGAMENTO CORRESPONDENTE],M$6,LANÇ_MOV[EMPRESA],$C$4,LANÇ_MOV[CENTRO DE CUSTOS],$D$4)</f>
        <v>0</v>
      </c>
      <c r="N594" s="206">
        <f>SUMIFS(LANÇ_MOV[VALOR LÍQUIDO],LANÇ_MOV[RECEITA OU DESPESA],"Receita",LANÇ_MOV[CONTAS],$C594,LANÇ_MOV[PLANO DE CONTAS],REL_DRE_FINANCEIRO!$B$549,LANÇ_MOV[ANO PAGAMENTO],$B$4,LANÇ_MOV[MÊS PAGAMENTO CORRESPONDENTE],N$6,LANÇ_MOV[EMPRESA],$C$4,LANÇ_MOV[CENTRO DE CUSTOS],$D$4)</f>
        <v>0</v>
      </c>
      <c r="O594" s="206">
        <f>SUMIFS(LANÇ_MOV[VALOR LÍQUIDO],LANÇ_MOV[RECEITA OU DESPESA],"Receita",LANÇ_MOV[CONTAS],$C594,LANÇ_MOV[PLANO DE CONTAS],REL_DRE_FINANCEIRO!$B$549,LANÇ_MOV[ANO PAGAMENTO],$B$4,LANÇ_MOV[MÊS PAGAMENTO CORRESPONDENTE],O$6,LANÇ_MOV[EMPRESA],$C$4,LANÇ_MOV[CENTRO DE CUSTOS],$D$4)</f>
        <v>0</v>
      </c>
      <c r="P594" s="207">
        <f t="shared" si="77"/>
        <v>0</v>
      </c>
      <c r="Q594" s="329">
        <v>5.5999999999999997E-6</v>
      </c>
      <c r="R594" s="346">
        <f t="shared" si="78"/>
        <v>5.5999999999999997E-6</v>
      </c>
      <c r="S594" s="347" t="str">
        <f t="shared" si="79"/>
        <v>-</v>
      </c>
      <c r="T594" s="347">
        <f t="shared" si="80"/>
        <v>0</v>
      </c>
      <c r="U594" s="347">
        <f>HLOOKUP(Apoio!$P$12,$D$548:$P$649,X594,FALSE)+Q594</f>
        <v>5.5999999999999997E-6</v>
      </c>
      <c r="V594" s="447" t="str">
        <f t="shared" si="81"/>
        <v>-</v>
      </c>
      <c r="W594" s="448">
        <f>HLOOKUP(Apoio!$P$12,$D$548:$P$649,X594,FALSE)</f>
        <v>0</v>
      </c>
      <c r="X594" s="329">
        <v>47</v>
      </c>
    </row>
    <row r="595" spans="2:24" ht="30.05" customHeight="1" x14ac:dyDescent="0.35">
      <c r="B595" s="204" t="str">
        <f>'CAD_PL_REC-DESP'!E50</f>
        <v>1.2.46</v>
      </c>
      <c r="C595" s="205" t="str">
        <f>IF('CAD_PL_REC-DESP'!F50="","-",'CAD_PL_REC-DESP'!F50)</f>
        <v>-</v>
      </c>
      <c r="D595" s="206">
        <f>SUMIFS(LANÇ_MOV[VALOR LÍQUIDO],LANÇ_MOV[RECEITA OU DESPESA],"Receita",LANÇ_MOV[CONTAS],$C595,LANÇ_MOV[PLANO DE CONTAS],REL_DRE_FINANCEIRO!$B$549,LANÇ_MOV[ANO PAGAMENTO],$B$4,LANÇ_MOV[MÊS PAGAMENTO CORRESPONDENTE],D$6,LANÇ_MOV[EMPRESA],$C$4,LANÇ_MOV[CENTRO DE CUSTOS],$D$4)</f>
        <v>0</v>
      </c>
      <c r="E595" s="206">
        <f>SUMIFS(LANÇ_MOV[VALOR LÍQUIDO],LANÇ_MOV[RECEITA OU DESPESA],"Receita",LANÇ_MOV[CONTAS],$C595,LANÇ_MOV[PLANO DE CONTAS],REL_DRE_FINANCEIRO!$B$549,LANÇ_MOV[ANO PAGAMENTO],$B$4,LANÇ_MOV[MÊS PAGAMENTO CORRESPONDENTE],E$6,LANÇ_MOV[EMPRESA],$C$4,LANÇ_MOV[CENTRO DE CUSTOS],$D$4)</f>
        <v>0</v>
      </c>
      <c r="F595" s="206">
        <f>SUMIFS(LANÇ_MOV[VALOR LÍQUIDO],LANÇ_MOV[RECEITA OU DESPESA],"Receita",LANÇ_MOV[CONTAS],$C595,LANÇ_MOV[PLANO DE CONTAS],REL_DRE_FINANCEIRO!$B$549,LANÇ_MOV[ANO PAGAMENTO],$B$4,LANÇ_MOV[MÊS PAGAMENTO CORRESPONDENTE],F$6,LANÇ_MOV[EMPRESA],$C$4,LANÇ_MOV[CENTRO DE CUSTOS],$D$4)</f>
        <v>0</v>
      </c>
      <c r="G595" s="206">
        <f>SUMIFS(LANÇ_MOV[VALOR LÍQUIDO],LANÇ_MOV[RECEITA OU DESPESA],"Receita",LANÇ_MOV[CONTAS],$C595,LANÇ_MOV[PLANO DE CONTAS],REL_DRE_FINANCEIRO!$B$549,LANÇ_MOV[ANO PAGAMENTO],$B$4,LANÇ_MOV[MÊS PAGAMENTO CORRESPONDENTE],G$6,LANÇ_MOV[EMPRESA],$C$4,LANÇ_MOV[CENTRO DE CUSTOS],$D$4)</f>
        <v>0</v>
      </c>
      <c r="H595" s="206">
        <f>SUMIFS(LANÇ_MOV[VALOR LÍQUIDO],LANÇ_MOV[RECEITA OU DESPESA],"Receita",LANÇ_MOV[CONTAS],$C595,LANÇ_MOV[PLANO DE CONTAS],REL_DRE_FINANCEIRO!$B$549,LANÇ_MOV[ANO PAGAMENTO],$B$4,LANÇ_MOV[MÊS PAGAMENTO CORRESPONDENTE],H$6,LANÇ_MOV[EMPRESA],$C$4,LANÇ_MOV[CENTRO DE CUSTOS],$D$4)</f>
        <v>0</v>
      </c>
      <c r="I595" s="206">
        <f>SUMIFS(LANÇ_MOV[VALOR LÍQUIDO],LANÇ_MOV[RECEITA OU DESPESA],"Receita",LANÇ_MOV[CONTAS],$C595,LANÇ_MOV[PLANO DE CONTAS],REL_DRE_FINANCEIRO!$B$549,LANÇ_MOV[ANO PAGAMENTO],$B$4,LANÇ_MOV[MÊS PAGAMENTO CORRESPONDENTE],I$6,LANÇ_MOV[EMPRESA],$C$4,LANÇ_MOV[CENTRO DE CUSTOS],$D$4)</f>
        <v>0</v>
      </c>
      <c r="J595" s="206">
        <f>SUMIFS(LANÇ_MOV[VALOR LÍQUIDO],LANÇ_MOV[RECEITA OU DESPESA],"Receita",LANÇ_MOV[CONTAS],$C595,LANÇ_MOV[PLANO DE CONTAS],REL_DRE_FINANCEIRO!$B$549,LANÇ_MOV[ANO PAGAMENTO],$B$4,LANÇ_MOV[MÊS PAGAMENTO CORRESPONDENTE],J$6,LANÇ_MOV[EMPRESA],$C$4,LANÇ_MOV[CENTRO DE CUSTOS],$D$4)</f>
        <v>0</v>
      </c>
      <c r="K595" s="206">
        <f>SUMIFS(LANÇ_MOV[VALOR LÍQUIDO],LANÇ_MOV[RECEITA OU DESPESA],"Receita",LANÇ_MOV[CONTAS],$C595,LANÇ_MOV[PLANO DE CONTAS],REL_DRE_FINANCEIRO!$B$549,LANÇ_MOV[ANO PAGAMENTO],$B$4,LANÇ_MOV[MÊS PAGAMENTO CORRESPONDENTE],K$6,LANÇ_MOV[EMPRESA],$C$4,LANÇ_MOV[CENTRO DE CUSTOS],$D$4)</f>
        <v>0</v>
      </c>
      <c r="L595" s="206">
        <f>SUMIFS(LANÇ_MOV[VALOR LÍQUIDO],LANÇ_MOV[RECEITA OU DESPESA],"Receita",LANÇ_MOV[CONTAS],$C595,LANÇ_MOV[PLANO DE CONTAS],REL_DRE_FINANCEIRO!$B$549,LANÇ_MOV[ANO PAGAMENTO],$B$4,LANÇ_MOV[MÊS PAGAMENTO CORRESPONDENTE],L$6,LANÇ_MOV[EMPRESA],$C$4,LANÇ_MOV[CENTRO DE CUSTOS],$D$4)</f>
        <v>0</v>
      </c>
      <c r="M595" s="206">
        <f>SUMIFS(LANÇ_MOV[VALOR LÍQUIDO],LANÇ_MOV[RECEITA OU DESPESA],"Receita",LANÇ_MOV[CONTAS],$C595,LANÇ_MOV[PLANO DE CONTAS],REL_DRE_FINANCEIRO!$B$549,LANÇ_MOV[ANO PAGAMENTO],$B$4,LANÇ_MOV[MÊS PAGAMENTO CORRESPONDENTE],M$6,LANÇ_MOV[EMPRESA],$C$4,LANÇ_MOV[CENTRO DE CUSTOS],$D$4)</f>
        <v>0</v>
      </c>
      <c r="N595" s="206">
        <f>SUMIFS(LANÇ_MOV[VALOR LÍQUIDO],LANÇ_MOV[RECEITA OU DESPESA],"Receita",LANÇ_MOV[CONTAS],$C595,LANÇ_MOV[PLANO DE CONTAS],REL_DRE_FINANCEIRO!$B$549,LANÇ_MOV[ANO PAGAMENTO],$B$4,LANÇ_MOV[MÊS PAGAMENTO CORRESPONDENTE],N$6,LANÇ_MOV[EMPRESA],$C$4,LANÇ_MOV[CENTRO DE CUSTOS],$D$4)</f>
        <v>0</v>
      </c>
      <c r="O595" s="206">
        <f>SUMIFS(LANÇ_MOV[VALOR LÍQUIDO],LANÇ_MOV[RECEITA OU DESPESA],"Receita",LANÇ_MOV[CONTAS],$C595,LANÇ_MOV[PLANO DE CONTAS],REL_DRE_FINANCEIRO!$B$549,LANÇ_MOV[ANO PAGAMENTO],$B$4,LANÇ_MOV[MÊS PAGAMENTO CORRESPONDENTE],O$6,LANÇ_MOV[EMPRESA],$C$4,LANÇ_MOV[CENTRO DE CUSTOS],$D$4)</f>
        <v>0</v>
      </c>
      <c r="P595" s="207">
        <f t="shared" si="77"/>
        <v>0</v>
      </c>
      <c r="Q595" s="329">
        <v>5.4999999999999999E-6</v>
      </c>
      <c r="R595" s="346">
        <f t="shared" si="78"/>
        <v>5.4999999999999999E-6</v>
      </c>
      <c r="S595" s="347" t="str">
        <f t="shared" si="79"/>
        <v>-</v>
      </c>
      <c r="T595" s="347">
        <f t="shared" si="80"/>
        <v>0</v>
      </c>
      <c r="U595" s="347">
        <f>HLOOKUP(Apoio!$P$12,$D$548:$P$649,X595,FALSE)+Q595</f>
        <v>5.4999999999999999E-6</v>
      </c>
      <c r="V595" s="447" t="str">
        <f t="shared" si="81"/>
        <v>-</v>
      </c>
      <c r="W595" s="448">
        <f>HLOOKUP(Apoio!$P$12,$D$548:$P$649,X595,FALSE)</f>
        <v>0</v>
      </c>
      <c r="X595" s="329">
        <v>48</v>
      </c>
    </row>
    <row r="596" spans="2:24" ht="30.05" customHeight="1" x14ac:dyDescent="0.35">
      <c r="B596" s="204" t="str">
        <f>'CAD_PL_REC-DESP'!E51</f>
        <v>1.2.47</v>
      </c>
      <c r="C596" s="205" t="str">
        <f>IF('CAD_PL_REC-DESP'!F51="","-",'CAD_PL_REC-DESP'!F51)</f>
        <v>-</v>
      </c>
      <c r="D596" s="206">
        <f>SUMIFS(LANÇ_MOV[VALOR LÍQUIDO],LANÇ_MOV[RECEITA OU DESPESA],"Receita",LANÇ_MOV[CONTAS],$C596,LANÇ_MOV[PLANO DE CONTAS],REL_DRE_FINANCEIRO!$B$549,LANÇ_MOV[ANO PAGAMENTO],$B$4,LANÇ_MOV[MÊS PAGAMENTO CORRESPONDENTE],D$6,LANÇ_MOV[EMPRESA],$C$4,LANÇ_MOV[CENTRO DE CUSTOS],$D$4)</f>
        <v>0</v>
      </c>
      <c r="E596" s="206">
        <f>SUMIFS(LANÇ_MOV[VALOR LÍQUIDO],LANÇ_MOV[RECEITA OU DESPESA],"Receita",LANÇ_MOV[CONTAS],$C596,LANÇ_MOV[PLANO DE CONTAS],REL_DRE_FINANCEIRO!$B$549,LANÇ_MOV[ANO PAGAMENTO],$B$4,LANÇ_MOV[MÊS PAGAMENTO CORRESPONDENTE],E$6,LANÇ_MOV[EMPRESA],$C$4,LANÇ_MOV[CENTRO DE CUSTOS],$D$4)</f>
        <v>0</v>
      </c>
      <c r="F596" s="206">
        <f>SUMIFS(LANÇ_MOV[VALOR LÍQUIDO],LANÇ_MOV[RECEITA OU DESPESA],"Receita",LANÇ_MOV[CONTAS],$C596,LANÇ_MOV[PLANO DE CONTAS],REL_DRE_FINANCEIRO!$B$549,LANÇ_MOV[ANO PAGAMENTO],$B$4,LANÇ_MOV[MÊS PAGAMENTO CORRESPONDENTE],F$6,LANÇ_MOV[EMPRESA],$C$4,LANÇ_MOV[CENTRO DE CUSTOS],$D$4)</f>
        <v>0</v>
      </c>
      <c r="G596" s="206">
        <f>SUMIFS(LANÇ_MOV[VALOR LÍQUIDO],LANÇ_MOV[RECEITA OU DESPESA],"Receita",LANÇ_MOV[CONTAS],$C596,LANÇ_MOV[PLANO DE CONTAS],REL_DRE_FINANCEIRO!$B$549,LANÇ_MOV[ANO PAGAMENTO],$B$4,LANÇ_MOV[MÊS PAGAMENTO CORRESPONDENTE],G$6,LANÇ_MOV[EMPRESA],$C$4,LANÇ_MOV[CENTRO DE CUSTOS],$D$4)</f>
        <v>0</v>
      </c>
      <c r="H596" s="206">
        <f>SUMIFS(LANÇ_MOV[VALOR LÍQUIDO],LANÇ_MOV[RECEITA OU DESPESA],"Receita",LANÇ_MOV[CONTAS],$C596,LANÇ_MOV[PLANO DE CONTAS],REL_DRE_FINANCEIRO!$B$549,LANÇ_MOV[ANO PAGAMENTO],$B$4,LANÇ_MOV[MÊS PAGAMENTO CORRESPONDENTE],H$6,LANÇ_MOV[EMPRESA],$C$4,LANÇ_MOV[CENTRO DE CUSTOS],$D$4)</f>
        <v>0</v>
      </c>
      <c r="I596" s="206">
        <f>SUMIFS(LANÇ_MOV[VALOR LÍQUIDO],LANÇ_MOV[RECEITA OU DESPESA],"Receita",LANÇ_MOV[CONTAS],$C596,LANÇ_MOV[PLANO DE CONTAS],REL_DRE_FINANCEIRO!$B$549,LANÇ_MOV[ANO PAGAMENTO],$B$4,LANÇ_MOV[MÊS PAGAMENTO CORRESPONDENTE],I$6,LANÇ_MOV[EMPRESA],$C$4,LANÇ_MOV[CENTRO DE CUSTOS],$D$4)</f>
        <v>0</v>
      </c>
      <c r="J596" s="206">
        <f>SUMIFS(LANÇ_MOV[VALOR LÍQUIDO],LANÇ_MOV[RECEITA OU DESPESA],"Receita",LANÇ_MOV[CONTAS],$C596,LANÇ_MOV[PLANO DE CONTAS],REL_DRE_FINANCEIRO!$B$549,LANÇ_MOV[ANO PAGAMENTO],$B$4,LANÇ_MOV[MÊS PAGAMENTO CORRESPONDENTE],J$6,LANÇ_MOV[EMPRESA],$C$4,LANÇ_MOV[CENTRO DE CUSTOS],$D$4)</f>
        <v>0</v>
      </c>
      <c r="K596" s="206">
        <f>SUMIFS(LANÇ_MOV[VALOR LÍQUIDO],LANÇ_MOV[RECEITA OU DESPESA],"Receita",LANÇ_MOV[CONTAS],$C596,LANÇ_MOV[PLANO DE CONTAS],REL_DRE_FINANCEIRO!$B$549,LANÇ_MOV[ANO PAGAMENTO],$B$4,LANÇ_MOV[MÊS PAGAMENTO CORRESPONDENTE],K$6,LANÇ_MOV[EMPRESA],$C$4,LANÇ_MOV[CENTRO DE CUSTOS],$D$4)</f>
        <v>0</v>
      </c>
      <c r="L596" s="206">
        <f>SUMIFS(LANÇ_MOV[VALOR LÍQUIDO],LANÇ_MOV[RECEITA OU DESPESA],"Receita",LANÇ_MOV[CONTAS],$C596,LANÇ_MOV[PLANO DE CONTAS],REL_DRE_FINANCEIRO!$B$549,LANÇ_MOV[ANO PAGAMENTO],$B$4,LANÇ_MOV[MÊS PAGAMENTO CORRESPONDENTE],L$6,LANÇ_MOV[EMPRESA],$C$4,LANÇ_MOV[CENTRO DE CUSTOS],$D$4)</f>
        <v>0</v>
      </c>
      <c r="M596" s="206">
        <f>SUMIFS(LANÇ_MOV[VALOR LÍQUIDO],LANÇ_MOV[RECEITA OU DESPESA],"Receita",LANÇ_MOV[CONTAS],$C596,LANÇ_MOV[PLANO DE CONTAS],REL_DRE_FINANCEIRO!$B$549,LANÇ_MOV[ANO PAGAMENTO],$B$4,LANÇ_MOV[MÊS PAGAMENTO CORRESPONDENTE],M$6,LANÇ_MOV[EMPRESA],$C$4,LANÇ_MOV[CENTRO DE CUSTOS],$D$4)</f>
        <v>0</v>
      </c>
      <c r="N596" s="206">
        <f>SUMIFS(LANÇ_MOV[VALOR LÍQUIDO],LANÇ_MOV[RECEITA OU DESPESA],"Receita",LANÇ_MOV[CONTAS],$C596,LANÇ_MOV[PLANO DE CONTAS],REL_DRE_FINANCEIRO!$B$549,LANÇ_MOV[ANO PAGAMENTO],$B$4,LANÇ_MOV[MÊS PAGAMENTO CORRESPONDENTE],N$6,LANÇ_MOV[EMPRESA],$C$4,LANÇ_MOV[CENTRO DE CUSTOS],$D$4)</f>
        <v>0</v>
      </c>
      <c r="O596" s="206">
        <f>SUMIFS(LANÇ_MOV[VALOR LÍQUIDO],LANÇ_MOV[RECEITA OU DESPESA],"Receita",LANÇ_MOV[CONTAS],$C596,LANÇ_MOV[PLANO DE CONTAS],REL_DRE_FINANCEIRO!$B$549,LANÇ_MOV[ANO PAGAMENTO],$B$4,LANÇ_MOV[MÊS PAGAMENTO CORRESPONDENTE],O$6,LANÇ_MOV[EMPRESA],$C$4,LANÇ_MOV[CENTRO DE CUSTOS],$D$4)</f>
        <v>0</v>
      </c>
      <c r="P596" s="207">
        <f t="shared" si="77"/>
        <v>0</v>
      </c>
      <c r="Q596" s="329">
        <v>5.4E-6</v>
      </c>
      <c r="R596" s="346">
        <f t="shared" si="78"/>
        <v>5.4E-6</v>
      </c>
      <c r="S596" s="347" t="str">
        <f t="shared" si="79"/>
        <v>-</v>
      </c>
      <c r="T596" s="347">
        <f t="shared" si="80"/>
        <v>0</v>
      </c>
      <c r="U596" s="347">
        <f>HLOOKUP(Apoio!$P$12,$D$548:$P$649,X596,FALSE)+Q596</f>
        <v>5.4E-6</v>
      </c>
      <c r="V596" s="447" t="str">
        <f t="shared" si="81"/>
        <v>-</v>
      </c>
      <c r="W596" s="448">
        <f>HLOOKUP(Apoio!$P$12,$D$548:$P$649,X596,FALSE)</f>
        <v>0</v>
      </c>
      <c r="X596" s="329">
        <v>49</v>
      </c>
    </row>
    <row r="597" spans="2:24" ht="30.05" customHeight="1" x14ac:dyDescent="0.35">
      <c r="B597" s="204" t="str">
        <f>'CAD_PL_REC-DESP'!E52</f>
        <v>1.2.48</v>
      </c>
      <c r="C597" s="205" t="str">
        <f>IF('CAD_PL_REC-DESP'!F52="","-",'CAD_PL_REC-DESP'!F52)</f>
        <v>-</v>
      </c>
      <c r="D597" s="206">
        <f>SUMIFS(LANÇ_MOV[VALOR LÍQUIDO],LANÇ_MOV[RECEITA OU DESPESA],"Receita",LANÇ_MOV[CONTAS],$C597,LANÇ_MOV[PLANO DE CONTAS],REL_DRE_FINANCEIRO!$B$549,LANÇ_MOV[ANO PAGAMENTO],$B$4,LANÇ_MOV[MÊS PAGAMENTO CORRESPONDENTE],D$6,LANÇ_MOV[EMPRESA],$C$4,LANÇ_MOV[CENTRO DE CUSTOS],$D$4)</f>
        <v>0</v>
      </c>
      <c r="E597" s="206">
        <f>SUMIFS(LANÇ_MOV[VALOR LÍQUIDO],LANÇ_MOV[RECEITA OU DESPESA],"Receita",LANÇ_MOV[CONTAS],$C597,LANÇ_MOV[PLANO DE CONTAS],REL_DRE_FINANCEIRO!$B$549,LANÇ_MOV[ANO PAGAMENTO],$B$4,LANÇ_MOV[MÊS PAGAMENTO CORRESPONDENTE],E$6,LANÇ_MOV[EMPRESA],$C$4,LANÇ_MOV[CENTRO DE CUSTOS],$D$4)</f>
        <v>0</v>
      </c>
      <c r="F597" s="206">
        <f>SUMIFS(LANÇ_MOV[VALOR LÍQUIDO],LANÇ_MOV[RECEITA OU DESPESA],"Receita",LANÇ_MOV[CONTAS],$C597,LANÇ_MOV[PLANO DE CONTAS],REL_DRE_FINANCEIRO!$B$549,LANÇ_MOV[ANO PAGAMENTO],$B$4,LANÇ_MOV[MÊS PAGAMENTO CORRESPONDENTE],F$6,LANÇ_MOV[EMPRESA],$C$4,LANÇ_MOV[CENTRO DE CUSTOS],$D$4)</f>
        <v>0</v>
      </c>
      <c r="G597" s="206">
        <f>SUMIFS(LANÇ_MOV[VALOR LÍQUIDO],LANÇ_MOV[RECEITA OU DESPESA],"Receita",LANÇ_MOV[CONTAS],$C597,LANÇ_MOV[PLANO DE CONTAS],REL_DRE_FINANCEIRO!$B$549,LANÇ_MOV[ANO PAGAMENTO],$B$4,LANÇ_MOV[MÊS PAGAMENTO CORRESPONDENTE],G$6,LANÇ_MOV[EMPRESA],$C$4,LANÇ_MOV[CENTRO DE CUSTOS],$D$4)</f>
        <v>0</v>
      </c>
      <c r="H597" s="206">
        <f>SUMIFS(LANÇ_MOV[VALOR LÍQUIDO],LANÇ_MOV[RECEITA OU DESPESA],"Receita",LANÇ_MOV[CONTAS],$C597,LANÇ_MOV[PLANO DE CONTAS],REL_DRE_FINANCEIRO!$B$549,LANÇ_MOV[ANO PAGAMENTO],$B$4,LANÇ_MOV[MÊS PAGAMENTO CORRESPONDENTE],H$6,LANÇ_MOV[EMPRESA],$C$4,LANÇ_MOV[CENTRO DE CUSTOS],$D$4)</f>
        <v>0</v>
      </c>
      <c r="I597" s="206">
        <f>SUMIFS(LANÇ_MOV[VALOR LÍQUIDO],LANÇ_MOV[RECEITA OU DESPESA],"Receita",LANÇ_MOV[CONTAS],$C597,LANÇ_MOV[PLANO DE CONTAS],REL_DRE_FINANCEIRO!$B$549,LANÇ_MOV[ANO PAGAMENTO],$B$4,LANÇ_MOV[MÊS PAGAMENTO CORRESPONDENTE],I$6,LANÇ_MOV[EMPRESA],$C$4,LANÇ_MOV[CENTRO DE CUSTOS],$D$4)</f>
        <v>0</v>
      </c>
      <c r="J597" s="206">
        <f>SUMIFS(LANÇ_MOV[VALOR LÍQUIDO],LANÇ_MOV[RECEITA OU DESPESA],"Receita",LANÇ_MOV[CONTAS],$C597,LANÇ_MOV[PLANO DE CONTAS],REL_DRE_FINANCEIRO!$B$549,LANÇ_MOV[ANO PAGAMENTO],$B$4,LANÇ_MOV[MÊS PAGAMENTO CORRESPONDENTE],J$6,LANÇ_MOV[EMPRESA],$C$4,LANÇ_MOV[CENTRO DE CUSTOS],$D$4)</f>
        <v>0</v>
      </c>
      <c r="K597" s="206">
        <f>SUMIFS(LANÇ_MOV[VALOR LÍQUIDO],LANÇ_MOV[RECEITA OU DESPESA],"Receita",LANÇ_MOV[CONTAS],$C597,LANÇ_MOV[PLANO DE CONTAS],REL_DRE_FINANCEIRO!$B$549,LANÇ_MOV[ANO PAGAMENTO],$B$4,LANÇ_MOV[MÊS PAGAMENTO CORRESPONDENTE],K$6,LANÇ_MOV[EMPRESA],$C$4,LANÇ_MOV[CENTRO DE CUSTOS],$D$4)</f>
        <v>0</v>
      </c>
      <c r="L597" s="206">
        <f>SUMIFS(LANÇ_MOV[VALOR LÍQUIDO],LANÇ_MOV[RECEITA OU DESPESA],"Receita",LANÇ_MOV[CONTAS],$C597,LANÇ_MOV[PLANO DE CONTAS],REL_DRE_FINANCEIRO!$B$549,LANÇ_MOV[ANO PAGAMENTO],$B$4,LANÇ_MOV[MÊS PAGAMENTO CORRESPONDENTE],L$6,LANÇ_MOV[EMPRESA],$C$4,LANÇ_MOV[CENTRO DE CUSTOS],$D$4)</f>
        <v>0</v>
      </c>
      <c r="M597" s="206">
        <f>SUMIFS(LANÇ_MOV[VALOR LÍQUIDO],LANÇ_MOV[RECEITA OU DESPESA],"Receita",LANÇ_MOV[CONTAS],$C597,LANÇ_MOV[PLANO DE CONTAS],REL_DRE_FINANCEIRO!$B$549,LANÇ_MOV[ANO PAGAMENTO],$B$4,LANÇ_MOV[MÊS PAGAMENTO CORRESPONDENTE],M$6,LANÇ_MOV[EMPRESA],$C$4,LANÇ_MOV[CENTRO DE CUSTOS],$D$4)</f>
        <v>0</v>
      </c>
      <c r="N597" s="206">
        <f>SUMIFS(LANÇ_MOV[VALOR LÍQUIDO],LANÇ_MOV[RECEITA OU DESPESA],"Receita",LANÇ_MOV[CONTAS],$C597,LANÇ_MOV[PLANO DE CONTAS],REL_DRE_FINANCEIRO!$B$549,LANÇ_MOV[ANO PAGAMENTO],$B$4,LANÇ_MOV[MÊS PAGAMENTO CORRESPONDENTE],N$6,LANÇ_MOV[EMPRESA],$C$4,LANÇ_MOV[CENTRO DE CUSTOS],$D$4)</f>
        <v>0</v>
      </c>
      <c r="O597" s="206">
        <f>SUMIFS(LANÇ_MOV[VALOR LÍQUIDO],LANÇ_MOV[RECEITA OU DESPESA],"Receita",LANÇ_MOV[CONTAS],$C597,LANÇ_MOV[PLANO DE CONTAS],REL_DRE_FINANCEIRO!$B$549,LANÇ_MOV[ANO PAGAMENTO],$B$4,LANÇ_MOV[MÊS PAGAMENTO CORRESPONDENTE],O$6,LANÇ_MOV[EMPRESA],$C$4,LANÇ_MOV[CENTRO DE CUSTOS],$D$4)</f>
        <v>0</v>
      </c>
      <c r="P597" s="207">
        <f t="shared" si="77"/>
        <v>0</v>
      </c>
      <c r="Q597" s="329">
        <v>5.3000000000000001E-6</v>
      </c>
      <c r="R597" s="346">
        <f t="shared" si="78"/>
        <v>5.3000000000000001E-6</v>
      </c>
      <c r="S597" s="347" t="str">
        <f t="shared" si="79"/>
        <v>-</v>
      </c>
      <c r="T597" s="347">
        <f t="shared" si="80"/>
        <v>0</v>
      </c>
      <c r="U597" s="347">
        <f>HLOOKUP(Apoio!$P$12,$D$548:$P$649,X597,FALSE)+Q597</f>
        <v>5.3000000000000001E-6</v>
      </c>
      <c r="V597" s="447" t="str">
        <f t="shared" si="81"/>
        <v>-</v>
      </c>
      <c r="W597" s="448">
        <f>HLOOKUP(Apoio!$P$12,$D$548:$P$649,X597,FALSE)</f>
        <v>0</v>
      </c>
      <c r="X597" s="329">
        <v>50</v>
      </c>
    </row>
    <row r="598" spans="2:24" ht="30.05" customHeight="1" x14ac:dyDescent="0.35">
      <c r="B598" s="204" t="str">
        <f>'CAD_PL_REC-DESP'!E53</f>
        <v>1.2.49</v>
      </c>
      <c r="C598" s="205" t="str">
        <f>IF('CAD_PL_REC-DESP'!F53="","-",'CAD_PL_REC-DESP'!F53)</f>
        <v>-</v>
      </c>
      <c r="D598" s="206">
        <f>SUMIFS(LANÇ_MOV[VALOR LÍQUIDO],LANÇ_MOV[RECEITA OU DESPESA],"Receita",LANÇ_MOV[CONTAS],$C598,LANÇ_MOV[PLANO DE CONTAS],REL_DRE_FINANCEIRO!$B$549,LANÇ_MOV[ANO PAGAMENTO],$B$4,LANÇ_MOV[MÊS PAGAMENTO CORRESPONDENTE],D$6,LANÇ_MOV[EMPRESA],$C$4,LANÇ_MOV[CENTRO DE CUSTOS],$D$4)</f>
        <v>0</v>
      </c>
      <c r="E598" s="206">
        <f>SUMIFS(LANÇ_MOV[VALOR LÍQUIDO],LANÇ_MOV[RECEITA OU DESPESA],"Receita",LANÇ_MOV[CONTAS],$C598,LANÇ_MOV[PLANO DE CONTAS],REL_DRE_FINANCEIRO!$B$549,LANÇ_MOV[ANO PAGAMENTO],$B$4,LANÇ_MOV[MÊS PAGAMENTO CORRESPONDENTE],E$6,LANÇ_MOV[EMPRESA],$C$4,LANÇ_MOV[CENTRO DE CUSTOS],$D$4)</f>
        <v>0</v>
      </c>
      <c r="F598" s="206">
        <f>SUMIFS(LANÇ_MOV[VALOR LÍQUIDO],LANÇ_MOV[RECEITA OU DESPESA],"Receita",LANÇ_MOV[CONTAS],$C598,LANÇ_MOV[PLANO DE CONTAS],REL_DRE_FINANCEIRO!$B$549,LANÇ_MOV[ANO PAGAMENTO],$B$4,LANÇ_MOV[MÊS PAGAMENTO CORRESPONDENTE],F$6,LANÇ_MOV[EMPRESA],$C$4,LANÇ_MOV[CENTRO DE CUSTOS],$D$4)</f>
        <v>0</v>
      </c>
      <c r="G598" s="206">
        <f>SUMIFS(LANÇ_MOV[VALOR LÍQUIDO],LANÇ_MOV[RECEITA OU DESPESA],"Receita",LANÇ_MOV[CONTAS],$C598,LANÇ_MOV[PLANO DE CONTAS],REL_DRE_FINANCEIRO!$B$549,LANÇ_MOV[ANO PAGAMENTO],$B$4,LANÇ_MOV[MÊS PAGAMENTO CORRESPONDENTE],G$6,LANÇ_MOV[EMPRESA],$C$4,LANÇ_MOV[CENTRO DE CUSTOS],$D$4)</f>
        <v>0</v>
      </c>
      <c r="H598" s="206">
        <f>SUMIFS(LANÇ_MOV[VALOR LÍQUIDO],LANÇ_MOV[RECEITA OU DESPESA],"Receita",LANÇ_MOV[CONTAS],$C598,LANÇ_MOV[PLANO DE CONTAS],REL_DRE_FINANCEIRO!$B$549,LANÇ_MOV[ANO PAGAMENTO],$B$4,LANÇ_MOV[MÊS PAGAMENTO CORRESPONDENTE],H$6,LANÇ_MOV[EMPRESA],$C$4,LANÇ_MOV[CENTRO DE CUSTOS],$D$4)</f>
        <v>0</v>
      </c>
      <c r="I598" s="206">
        <f>SUMIFS(LANÇ_MOV[VALOR LÍQUIDO],LANÇ_MOV[RECEITA OU DESPESA],"Receita",LANÇ_MOV[CONTAS],$C598,LANÇ_MOV[PLANO DE CONTAS],REL_DRE_FINANCEIRO!$B$549,LANÇ_MOV[ANO PAGAMENTO],$B$4,LANÇ_MOV[MÊS PAGAMENTO CORRESPONDENTE],I$6,LANÇ_MOV[EMPRESA],$C$4,LANÇ_MOV[CENTRO DE CUSTOS],$D$4)</f>
        <v>0</v>
      </c>
      <c r="J598" s="206">
        <f>SUMIFS(LANÇ_MOV[VALOR LÍQUIDO],LANÇ_MOV[RECEITA OU DESPESA],"Receita",LANÇ_MOV[CONTAS],$C598,LANÇ_MOV[PLANO DE CONTAS],REL_DRE_FINANCEIRO!$B$549,LANÇ_MOV[ANO PAGAMENTO],$B$4,LANÇ_MOV[MÊS PAGAMENTO CORRESPONDENTE],J$6,LANÇ_MOV[EMPRESA],$C$4,LANÇ_MOV[CENTRO DE CUSTOS],$D$4)</f>
        <v>0</v>
      </c>
      <c r="K598" s="206">
        <f>SUMIFS(LANÇ_MOV[VALOR LÍQUIDO],LANÇ_MOV[RECEITA OU DESPESA],"Receita",LANÇ_MOV[CONTAS],$C598,LANÇ_MOV[PLANO DE CONTAS],REL_DRE_FINANCEIRO!$B$549,LANÇ_MOV[ANO PAGAMENTO],$B$4,LANÇ_MOV[MÊS PAGAMENTO CORRESPONDENTE],K$6,LANÇ_MOV[EMPRESA],$C$4,LANÇ_MOV[CENTRO DE CUSTOS],$D$4)</f>
        <v>0</v>
      </c>
      <c r="L598" s="206">
        <f>SUMIFS(LANÇ_MOV[VALOR LÍQUIDO],LANÇ_MOV[RECEITA OU DESPESA],"Receita",LANÇ_MOV[CONTAS],$C598,LANÇ_MOV[PLANO DE CONTAS],REL_DRE_FINANCEIRO!$B$549,LANÇ_MOV[ANO PAGAMENTO],$B$4,LANÇ_MOV[MÊS PAGAMENTO CORRESPONDENTE],L$6,LANÇ_MOV[EMPRESA],$C$4,LANÇ_MOV[CENTRO DE CUSTOS],$D$4)</f>
        <v>0</v>
      </c>
      <c r="M598" s="206">
        <f>SUMIFS(LANÇ_MOV[VALOR LÍQUIDO],LANÇ_MOV[RECEITA OU DESPESA],"Receita",LANÇ_MOV[CONTAS],$C598,LANÇ_MOV[PLANO DE CONTAS],REL_DRE_FINANCEIRO!$B$549,LANÇ_MOV[ANO PAGAMENTO],$B$4,LANÇ_MOV[MÊS PAGAMENTO CORRESPONDENTE],M$6,LANÇ_MOV[EMPRESA],$C$4,LANÇ_MOV[CENTRO DE CUSTOS],$D$4)</f>
        <v>0</v>
      </c>
      <c r="N598" s="206">
        <f>SUMIFS(LANÇ_MOV[VALOR LÍQUIDO],LANÇ_MOV[RECEITA OU DESPESA],"Receita",LANÇ_MOV[CONTAS],$C598,LANÇ_MOV[PLANO DE CONTAS],REL_DRE_FINANCEIRO!$B$549,LANÇ_MOV[ANO PAGAMENTO],$B$4,LANÇ_MOV[MÊS PAGAMENTO CORRESPONDENTE],N$6,LANÇ_MOV[EMPRESA],$C$4,LANÇ_MOV[CENTRO DE CUSTOS],$D$4)</f>
        <v>0</v>
      </c>
      <c r="O598" s="206">
        <f>SUMIFS(LANÇ_MOV[VALOR LÍQUIDO],LANÇ_MOV[RECEITA OU DESPESA],"Receita",LANÇ_MOV[CONTAS],$C598,LANÇ_MOV[PLANO DE CONTAS],REL_DRE_FINANCEIRO!$B$549,LANÇ_MOV[ANO PAGAMENTO],$B$4,LANÇ_MOV[MÊS PAGAMENTO CORRESPONDENTE],O$6,LANÇ_MOV[EMPRESA],$C$4,LANÇ_MOV[CENTRO DE CUSTOS],$D$4)</f>
        <v>0</v>
      </c>
      <c r="P598" s="207">
        <f t="shared" si="77"/>
        <v>0</v>
      </c>
      <c r="Q598" s="329">
        <v>5.2000000000000002E-6</v>
      </c>
      <c r="R598" s="346">
        <f t="shared" si="78"/>
        <v>5.2000000000000002E-6</v>
      </c>
      <c r="S598" s="347" t="str">
        <f t="shared" si="79"/>
        <v>-</v>
      </c>
      <c r="T598" s="347">
        <f t="shared" si="80"/>
        <v>0</v>
      </c>
      <c r="U598" s="347">
        <f>HLOOKUP(Apoio!$P$12,$D$548:$P$649,X598,FALSE)+Q598</f>
        <v>5.2000000000000002E-6</v>
      </c>
      <c r="V598" s="447" t="str">
        <f t="shared" si="81"/>
        <v>-</v>
      </c>
      <c r="W598" s="448">
        <f>HLOOKUP(Apoio!$P$12,$D$548:$P$649,X598,FALSE)</f>
        <v>0</v>
      </c>
      <c r="X598" s="329">
        <v>51</v>
      </c>
    </row>
    <row r="599" spans="2:24" ht="30.05" customHeight="1" x14ac:dyDescent="0.35">
      <c r="B599" s="204" t="str">
        <f>'CAD_PL_REC-DESP'!E54</f>
        <v>1.2.50</v>
      </c>
      <c r="C599" s="205" t="str">
        <f>IF('CAD_PL_REC-DESP'!F54="","-",'CAD_PL_REC-DESP'!F54)</f>
        <v>-</v>
      </c>
      <c r="D599" s="206">
        <f>SUMIFS(LANÇ_MOV[VALOR LÍQUIDO],LANÇ_MOV[RECEITA OU DESPESA],"Receita",LANÇ_MOV[CONTAS],$C599,LANÇ_MOV[PLANO DE CONTAS],REL_DRE_FINANCEIRO!$B$549,LANÇ_MOV[ANO PAGAMENTO],$B$4,LANÇ_MOV[MÊS PAGAMENTO CORRESPONDENTE],D$6,LANÇ_MOV[EMPRESA],$C$4,LANÇ_MOV[CENTRO DE CUSTOS],$D$4)</f>
        <v>0</v>
      </c>
      <c r="E599" s="206">
        <f>SUMIFS(LANÇ_MOV[VALOR LÍQUIDO],LANÇ_MOV[RECEITA OU DESPESA],"Receita",LANÇ_MOV[CONTAS],$C599,LANÇ_MOV[PLANO DE CONTAS],REL_DRE_FINANCEIRO!$B$549,LANÇ_MOV[ANO PAGAMENTO],$B$4,LANÇ_MOV[MÊS PAGAMENTO CORRESPONDENTE],E$6,LANÇ_MOV[EMPRESA],$C$4,LANÇ_MOV[CENTRO DE CUSTOS],$D$4)</f>
        <v>0</v>
      </c>
      <c r="F599" s="206">
        <f>SUMIFS(LANÇ_MOV[VALOR LÍQUIDO],LANÇ_MOV[RECEITA OU DESPESA],"Receita",LANÇ_MOV[CONTAS],$C599,LANÇ_MOV[PLANO DE CONTAS],REL_DRE_FINANCEIRO!$B$549,LANÇ_MOV[ANO PAGAMENTO],$B$4,LANÇ_MOV[MÊS PAGAMENTO CORRESPONDENTE],F$6,LANÇ_MOV[EMPRESA],$C$4,LANÇ_MOV[CENTRO DE CUSTOS],$D$4)</f>
        <v>0</v>
      </c>
      <c r="G599" s="206">
        <f>SUMIFS(LANÇ_MOV[VALOR LÍQUIDO],LANÇ_MOV[RECEITA OU DESPESA],"Receita",LANÇ_MOV[CONTAS],$C599,LANÇ_MOV[PLANO DE CONTAS],REL_DRE_FINANCEIRO!$B$549,LANÇ_MOV[ANO PAGAMENTO],$B$4,LANÇ_MOV[MÊS PAGAMENTO CORRESPONDENTE],G$6,LANÇ_MOV[EMPRESA],$C$4,LANÇ_MOV[CENTRO DE CUSTOS],$D$4)</f>
        <v>0</v>
      </c>
      <c r="H599" s="206">
        <f>SUMIFS(LANÇ_MOV[VALOR LÍQUIDO],LANÇ_MOV[RECEITA OU DESPESA],"Receita",LANÇ_MOV[CONTAS],$C599,LANÇ_MOV[PLANO DE CONTAS],REL_DRE_FINANCEIRO!$B$549,LANÇ_MOV[ANO PAGAMENTO],$B$4,LANÇ_MOV[MÊS PAGAMENTO CORRESPONDENTE],H$6,LANÇ_MOV[EMPRESA],$C$4,LANÇ_MOV[CENTRO DE CUSTOS],$D$4)</f>
        <v>0</v>
      </c>
      <c r="I599" s="206">
        <f>SUMIFS(LANÇ_MOV[VALOR LÍQUIDO],LANÇ_MOV[RECEITA OU DESPESA],"Receita",LANÇ_MOV[CONTAS],$C599,LANÇ_MOV[PLANO DE CONTAS],REL_DRE_FINANCEIRO!$B$549,LANÇ_MOV[ANO PAGAMENTO],$B$4,LANÇ_MOV[MÊS PAGAMENTO CORRESPONDENTE],I$6,LANÇ_MOV[EMPRESA],$C$4,LANÇ_MOV[CENTRO DE CUSTOS],$D$4)</f>
        <v>0</v>
      </c>
      <c r="J599" s="206">
        <f>SUMIFS(LANÇ_MOV[VALOR LÍQUIDO],LANÇ_MOV[RECEITA OU DESPESA],"Receita",LANÇ_MOV[CONTAS],$C599,LANÇ_MOV[PLANO DE CONTAS],REL_DRE_FINANCEIRO!$B$549,LANÇ_MOV[ANO PAGAMENTO],$B$4,LANÇ_MOV[MÊS PAGAMENTO CORRESPONDENTE],J$6,LANÇ_MOV[EMPRESA],$C$4,LANÇ_MOV[CENTRO DE CUSTOS],$D$4)</f>
        <v>0</v>
      </c>
      <c r="K599" s="206">
        <f>SUMIFS(LANÇ_MOV[VALOR LÍQUIDO],LANÇ_MOV[RECEITA OU DESPESA],"Receita",LANÇ_MOV[CONTAS],$C599,LANÇ_MOV[PLANO DE CONTAS],REL_DRE_FINANCEIRO!$B$549,LANÇ_MOV[ANO PAGAMENTO],$B$4,LANÇ_MOV[MÊS PAGAMENTO CORRESPONDENTE],K$6,LANÇ_MOV[EMPRESA],$C$4,LANÇ_MOV[CENTRO DE CUSTOS],$D$4)</f>
        <v>0</v>
      </c>
      <c r="L599" s="206">
        <f>SUMIFS(LANÇ_MOV[VALOR LÍQUIDO],LANÇ_MOV[RECEITA OU DESPESA],"Receita",LANÇ_MOV[CONTAS],$C599,LANÇ_MOV[PLANO DE CONTAS],REL_DRE_FINANCEIRO!$B$549,LANÇ_MOV[ANO PAGAMENTO],$B$4,LANÇ_MOV[MÊS PAGAMENTO CORRESPONDENTE],L$6,LANÇ_MOV[EMPRESA],$C$4,LANÇ_MOV[CENTRO DE CUSTOS],$D$4)</f>
        <v>0</v>
      </c>
      <c r="M599" s="206">
        <f>SUMIFS(LANÇ_MOV[VALOR LÍQUIDO],LANÇ_MOV[RECEITA OU DESPESA],"Receita",LANÇ_MOV[CONTAS],$C599,LANÇ_MOV[PLANO DE CONTAS],REL_DRE_FINANCEIRO!$B$549,LANÇ_MOV[ANO PAGAMENTO],$B$4,LANÇ_MOV[MÊS PAGAMENTO CORRESPONDENTE],M$6,LANÇ_MOV[EMPRESA],$C$4,LANÇ_MOV[CENTRO DE CUSTOS],$D$4)</f>
        <v>0</v>
      </c>
      <c r="N599" s="206">
        <f>SUMIFS(LANÇ_MOV[VALOR LÍQUIDO],LANÇ_MOV[RECEITA OU DESPESA],"Receita",LANÇ_MOV[CONTAS],$C599,LANÇ_MOV[PLANO DE CONTAS],REL_DRE_FINANCEIRO!$B$549,LANÇ_MOV[ANO PAGAMENTO],$B$4,LANÇ_MOV[MÊS PAGAMENTO CORRESPONDENTE],N$6,LANÇ_MOV[EMPRESA],$C$4,LANÇ_MOV[CENTRO DE CUSTOS],$D$4)</f>
        <v>0</v>
      </c>
      <c r="O599" s="206">
        <f>SUMIFS(LANÇ_MOV[VALOR LÍQUIDO],LANÇ_MOV[RECEITA OU DESPESA],"Receita",LANÇ_MOV[CONTAS],$C599,LANÇ_MOV[PLANO DE CONTAS],REL_DRE_FINANCEIRO!$B$549,LANÇ_MOV[ANO PAGAMENTO],$B$4,LANÇ_MOV[MÊS PAGAMENTO CORRESPONDENTE],O$6,LANÇ_MOV[EMPRESA],$C$4,LANÇ_MOV[CENTRO DE CUSTOS],$D$4)</f>
        <v>0</v>
      </c>
      <c r="P599" s="207">
        <f t="shared" si="77"/>
        <v>0</v>
      </c>
      <c r="Q599" s="329">
        <v>5.1000000000000003E-6</v>
      </c>
      <c r="R599" s="346">
        <f t="shared" si="78"/>
        <v>5.1000000000000003E-6</v>
      </c>
      <c r="S599" s="347" t="str">
        <f t="shared" si="79"/>
        <v>-</v>
      </c>
      <c r="T599" s="347">
        <f t="shared" si="80"/>
        <v>0</v>
      </c>
      <c r="U599" s="347">
        <f>HLOOKUP(Apoio!$P$12,$D$548:$P$649,X599,FALSE)+Q599</f>
        <v>5.1000000000000003E-6</v>
      </c>
      <c r="V599" s="447" t="str">
        <f t="shared" si="81"/>
        <v>-</v>
      </c>
      <c r="W599" s="448">
        <f>HLOOKUP(Apoio!$P$12,$D$548:$P$649,X599,FALSE)</f>
        <v>0</v>
      </c>
      <c r="X599" s="329">
        <v>52</v>
      </c>
    </row>
    <row r="600" spans="2:24" ht="30.05" customHeight="1" x14ac:dyDescent="0.35">
      <c r="B600" s="204" t="str">
        <f>'CAD_PL_REC-DESP'!E55</f>
        <v>1.2.51</v>
      </c>
      <c r="C600" s="205" t="str">
        <f>IF('CAD_PL_REC-DESP'!F55="","-",'CAD_PL_REC-DESP'!F55)</f>
        <v>-</v>
      </c>
      <c r="D600" s="206">
        <f>SUMIFS(LANÇ_MOV[VALOR LÍQUIDO],LANÇ_MOV[RECEITA OU DESPESA],"Receita",LANÇ_MOV[CONTAS],$C600,LANÇ_MOV[PLANO DE CONTAS],REL_DRE_FINANCEIRO!$B$549,LANÇ_MOV[ANO PAGAMENTO],$B$4,LANÇ_MOV[MÊS PAGAMENTO CORRESPONDENTE],D$6,LANÇ_MOV[EMPRESA],$C$4,LANÇ_MOV[CENTRO DE CUSTOS],$D$4)</f>
        <v>0</v>
      </c>
      <c r="E600" s="206">
        <f>SUMIFS(LANÇ_MOV[VALOR LÍQUIDO],LANÇ_MOV[RECEITA OU DESPESA],"Receita",LANÇ_MOV[CONTAS],$C600,LANÇ_MOV[PLANO DE CONTAS],REL_DRE_FINANCEIRO!$B$549,LANÇ_MOV[ANO PAGAMENTO],$B$4,LANÇ_MOV[MÊS PAGAMENTO CORRESPONDENTE],E$6,LANÇ_MOV[EMPRESA],$C$4,LANÇ_MOV[CENTRO DE CUSTOS],$D$4)</f>
        <v>0</v>
      </c>
      <c r="F600" s="206">
        <f>SUMIFS(LANÇ_MOV[VALOR LÍQUIDO],LANÇ_MOV[RECEITA OU DESPESA],"Receita",LANÇ_MOV[CONTAS],$C600,LANÇ_MOV[PLANO DE CONTAS],REL_DRE_FINANCEIRO!$B$549,LANÇ_MOV[ANO PAGAMENTO],$B$4,LANÇ_MOV[MÊS PAGAMENTO CORRESPONDENTE],F$6,LANÇ_MOV[EMPRESA],$C$4,LANÇ_MOV[CENTRO DE CUSTOS],$D$4)</f>
        <v>0</v>
      </c>
      <c r="G600" s="206">
        <f>SUMIFS(LANÇ_MOV[VALOR LÍQUIDO],LANÇ_MOV[RECEITA OU DESPESA],"Receita",LANÇ_MOV[CONTAS],$C600,LANÇ_MOV[PLANO DE CONTAS],REL_DRE_FINANCEIRO!$B$549,LANÇ_MOV[ANO PAGAMENTO],$B$4,LANÇ_MOV[MÊS PAGAMENTO CORRESPONDENTE],G$6,LANÇ_MOV[EMPRESA],$C$4,LANÇ_MOV[CENTRO DE CUSTOS],$D$4)</f>
        <v>0</v>
      </c>
      <c r="H600" s="206">
        <f>SUMIFS(LANÇ_MOV[VALOR LÍQUIDO],LANÇ_MOV[RECEITA OU DESPESA],"Receita",LANÇ_MOV[CONTAS],$C600,LANÇ_MOV[PLANO DE CONTAS],REL_DRE_FINANCEIRO!$B$549,LANÇ_MOV[ANO PAGAMENTO],$B$4,LANÇ_MOV[MÊS PAGAMENTO CORRESPONDENTE],H$6,LANÇ_MOV[EMPRESA],$C$4,LANÇ_MOV[CENTRO DE CUSTOS],$D$4)</f>
        <v>0</v>
      </c>
      <c r="I600" s="206">
        <f>SUMIFS(LANÇ_MOV[VALOR LÍQUIDO],LANÇ_MOV[RECEITA OU DESPESA],"Receita",LANÇ_MOV[CONTAS],$C600,LANÇ_MOV[PLANO DE CONTAS],REL_DRE_FINANCEIRO!$B$549,LANÇ_MOV[ANO PAGAMENTO],$B$4,LANÇ_MOV[MÊS PAGAMENTO CORRESPONDENTE],I$6,LANÇ_MOV[EMPRESA],$C$4,LANÇ_MOV[CENTRO DE CUSTOS],$D$4)</f>
        <v>0</v>
      </c>
      <c r="J600" s="206">
        <f>SUMIFS(LANÇ_MOV[VALOR LÍQUIDO],LANÇ_MOV[RECEITA OU DESPESA],"Receita",LANÇ_MOV[CONTAS],$C600,LANÇ_MOV[PLANO DE CONTAS],REL_DRE_FINANCEIRO!$B$549,LANÇ_MOV[ANO PAGAMENTO],$B$4,LANÇ_MOV[MÊS PAGAMENTO CORRESPONDENTE],J$6,LANÇ_MOV[EMPRESA],$C$4,LANÇ_MOV[CENTRO DE CUSTOS],$D$4)</f>
        <v>0</v>
      </c>
      <c r="K600" s="206">
        <f>SUMIFS(LANÇ_MOV[VALOR LÍQUIDO],LANÇ_MOV[RECEITA OU DESPESA],"Receita",LANÇ_MOV[CONTAS],$C600,LANÇ_MOV[PLANO DE CONTAS],REL_DRE_FINANCEIRO!$B$549,LANÇ_MOV[ANO PAGAMENTO],$B$4,LANÇ_MOV[MÊS PAGAMENTO CORRESPONDENTE],K$6,LANÇ_MOV[EMPRESA],$C$4,LANÇ_MOV[CENTRO DE CUSTOS],$D$4)</f>
        <v>0</v>
      </c>
      <c r="L600" s="206">
        <f>SUMIFS(LANÇ_MOV[VALOR LÍQUIDO],LANÇ_MOV[RECEITA OU DESPESA],"Receita",LANÇ_MOV[CONTAS],$C600,LANÇ_MOV[PLANO DE CONTAS],REL_DRE_FINANCEIRO!$B$549,LANÇ_MOV[ANO PAGAMENTO],$B$4,LANÇ_MOV[MÊS PAGAMENTO CORRESPONDENTE],L$6,LANÇ_MOV[EMPRESA],$C$4,LANÇ_MOV[CENTRO DE CUSTOS],$D$4)</f>
        <v>0</v>
      </c>
      <c r="M600" s="206">
        <f>SUMIFS(LANÇ_MOV[VALOR LÍQUIDO],LANÇ_MOV[RECEITA OU DESPESA],"Receita",LANÇ_MOV[CONTAS],$C600,LANÇ_MOV[PLANO DE CONTAS],REL_DRE_FINANCEIRO!$B$549,LANÇ_MOV[ANO PAGAMENTO],$B$4,LANÇ_MOV[MÊS PAGAMENTO CORRESPONDENTE],M$6,LANÇ_MOV[EMPRESA],$C$4,LANÇ_MOV[CENTRO DE CUSTOS],$D$4)</f>
        <v>0</v>
      </c>
      <c r="N600" s="206">
        <f>SUMIFS(LANÇ_MOV[VALOR LÍQUIDO],LANÇ_MOV[RECEITA OU DESPESA],"Receita",LANÇ_MOV[CONTAS],$C600,LANÇ_MOV[PLANO DE CONTAS],REL_DRE_FINANCEIRO!$B$549,LANÇ_MOV[ANO PAGAMENTO],$B$4,LANÇ_MOV[MÊS PAGAMENTO CORRESPONDENTE],N$6,LANÇ_MOV[EMPRESA],$C$4,LANÇ_MOV[CENTRO DE CUSTOS],$D$4)</f>
        <v>0</v>
      </c>
      <c r="O600" s="206">
        <f>SUMIFS(LANÇ_MOV[VALOR LÍQUIDO],LANÇ_MOV[RECEITA OU DESPESA],"Receita",LANÇ_MOV[CONTAS],$C600,LANÇ_MOV[PLANO DE CONTAS],REL_DRE_FINANCEIRO!$B$549,LANÇ_MOV[ANO PAGAMENTO],$B$4,LANÇ_MOV[MÊS PAGAMENTO CORRESPONDENTE],O$6,LANÇ_MOV[EMPRESA],$C$4,LANÇ_MOV[CENTRO DE CUSTOS],$D$4)</f>
        <v>0</v>
      </c>
      <c r="P600" s="207">
        <f t="shared" si="77"/>
        <v>0</v>
      </c>
      <c r="Q600" s="329">
        <v>5.0000000000000004E-6</v>
      </c>
      <c r="R600" s="346">
        <f t="shared" si="78"/>
        <v>5.0000000000000004E-6</v>
      </c>
      <c r="S600" s="347" t="str">
        <f t="shared" si="79"/>
        <v>-</v>
      </c>
      <c r="T600" s="347">
        <f t="shared" si="80"/>
        <v>0</v>
      </c>
      <c r="U600" s="347">
        <f>HLOOKUP(Apoio!$P$12,$D$548:$P$649,X600,FALSE)+Q600</f>
        <v>5.0000000000000004E-6</v>
      </c>
      <c r="V600" s="447" t="str">
        <f t="shared" si="81"/>
        <v>-</v>
      </c>
      <c r="W600" s="448">
        <f>HLOOKUP(Apoio!$P$12,$D$548:$P$649,X600,FALSE)</f>
        <v>0</v>
      </c>
      <c r="X600" s="329">
        <v>53</v>
      </c>
    </row>
    <row r="601" spans="2:24" ht="30.05" customHeight="1" x14ac:dyDescent="0.35">
      <c r="B601" s="204" t="str">
        <f>'CAD_PL_REC-DESP'!E56</f>
        <v>1.2.52</v>
      </c>
      <c r="C601" s="205" t="str">
        <f>IF('CAD_PL_REC-DESP'!F56="","-",'CAD_PL_REC-DESP'!F56)</f>
        <v>-</v>
      </c>
      <c r="D601" s="206">
        <f>SUMIFS(LANÇ_MOV[VALOR LÍQUIDO],LANÇ_MOV[RECEITA OU DESPESA],"Receita",LANÇ_MOV[CONTAS],$C601,LANÇ_MOV[PLANO DE CONTAS],REL_DRE_FINANCEIRO!$B$549,LANÇ_MOV[ANO PAGAMENTO],$B$4,LANÇ_MOV[MÊS PAGAMENTO CORRESPONDENTE],D$6,LANÇ_MOV[EMPRESA],$C$4,LANÇ_MOV[CENTRO DE CUSTOS],$D$4)</f>
        <v>0</v>
      </c>
      <c r="E601" s="206">
        <f>SUMIFS(LANÇ_MOV[VALOR LÍQUIDO],LANÇ_MOV[RECEITA OU DESPESA],"Receita",LANÇ_MOV[CONTAS],$C601,LANÇ_MOV[PLANO DE CONTAS],REL_DRE_FINANCEIRO!$B$549,LANÇ_MOV[ANO PAGAMENTO],$B$4,LANÇ_MOV[MÊS PAGAMENTO CORRESPONDENTE],E$6,LANÇ_MOV[EMPRESA],$C$4,LANÇ_MOV[CENTRO DE CUSTOS],$D$4)</f>
        <v>0</v>
      </c>
      <c r="F601" s="206">
        <f>SUMIFS(LANÇ_MOV[VALOR LÍQUIDO],LANÇ_MOV[RECEITA OU DESPESA],"Receita",LANÇ_MOV[CONTAS],$C601,LANÇ_MOV[PLANO DE CONTAS],REL_DRE_FINANCEIRO!$B$549,LANÇ_MOV[ANO PAGAMENTO],$B$4,LANÇ_MOV[MÊS PAGAMENTO CORRESPONDENTE],F$6,LANÇ_MOV[EMPRESA],$C$4,LANÇ_MOV[CENTRO DE CUSTOS],$D$4)</f>
        <v>0</v>
      </c>
      <c r="G601" s="206">
        <f>SUMIFS(LANÇ_MOV[VALOR LÍQUIDO],LANÇ_MOV[RECEITA OU DESPESA],"Receita",LANÇ_MOV[CONTAS],$C601,LANÇ_MOV[PLANO DE CONTAS],REL_DRE_FINANCEIRO!$B$549,LANÇ_MOV[ANO PAGAMENTO],$B$4,LANÇ_MOV[MÊS PAGAMENTO CORRESPONDENTE],G$6,LANÇ_MOV[EMPRESA],$C$4,LANÇ_MOV[CENTRO DE CUSTOS],$D$4)</f>
        <v>0</v>
      </c>
      <c r="H601" s="206">
        <f>SUMIFS(LANÇ_MOV[VALOR LÍQUIDO],LANÇ_MOV[RECEITA OU DESPESA],"Receita",LANÇ_MOV[CONTAS],$C601,LANÇ_MOV[PLANO DE CONTAS],REL_DRE_FINANCEIRO!$B$549,LANÇ_MOV[ANO PAGAMENTO],$B$4,LANÇ_MOV[MÊS PAGAMENTO CORRESPONDENTE],H$6,LANÇ_MOV[EMPRESA],$C$4,LANÇ_MOV[CENTRO DE CUSTOS],$D$4)</f>
        <v>0</v>
      </c>
      <c r="I601" s="206">
        <f>SUMIFS(LANÇ_MOV[VALOR LÍQUIDO],LANÇ_MOV[RECEITA OU DESPESA],"Receita",LANÇ_MOV[CONTAS],$C601,LANÇ_MOV[PLANO DE CONTAS],REL_DRE_FINANCEIRO!$B$549,LANÇ_MOV[ANO PAGAMENTO],$B$4,LANÇ_MOV[MÊS PAGAMENTO CORRESPONDENTE],I$6,LANÇ_MOV[EMPRESA],$C$4,LANÇ_MOV[CENTRO DE CUSTOS],$D$4)</f>
        <v>0</v>
      </c>
      <c r="J601" s="206">
        <f>SUMIFS(LANÇ_MOV[VALOR LÍQUIDO],LANÇ_MOV[RECEITA OU DESPESA],"Receita",LANÇ_MOV[CONTAS],$C601,LANÇ_MOV[PLANO DE CONTAS],REL_DRE_FINANCEIRO!$B$549,LANÇ_MOV[ANO PAGAMENTO],$B$4,LANÇ_MOV[MÊS PAGAMENTO CORRESPONDENTE],J$6,LANÇ_MOV[EMPRESA],$C$4,LANÇ_MOV[CENTRO DE CUSTOS],$D$4)</f>
        <v>0</v>
      </c>
      <c r="K601" s="206">
        <f>SUMIFS(LANÇ_MOV[VALOR LÍQUIDO],LANÇ_MOV[RECEITA OU DESPESA],"Receita",LANÇ_MOV[CONTAS],$C601,LANÇ_MOV[PLANO DE CONTAS],REL_DRE_FINANCEIRO!$B$549,LANÇ_MOV[ANO PAGAMENTO],$B$4,LANÇ_MOV[MÊS PAGAMENTO CORRESPONDENTE],K$6,LANÇ_MOV[EMPRESA],$C$4,LANÇ_MOV[CENTRO DE CUSTOS],$D$4)</f>
        <v>0</v>
      </c>
      <c r="L601" s="206">
        <f>SUMIFS(LANÇ_MOV[VALOR LÍQUIDO],LANÇ_MOV[RECEITA OU DESPESA],"Receita",LANÇ_MOV[CONTAS],$C601,LANÇ_MOV[PLANO DE CONTAS],REL_DRE_FINANCEIRO!$B$549,LANÇ_MOV[ANO PAGAMENTO],$B$4,LANÇ_MOV[MÊS PAGAMENTO CORRESPONDENTE],L$6,LANÇ_MOV[EMPRESA],$C$4,LANÇ_MOV[CENTRO DE CUSTOS],$D$4)</f>
        <v>0</v>
      </c>
      <c r="M601" s="206">
        <f>SUMIFS(LANÇ_MOV[VALOR LÍQUIDO],LANÇ_MOV[RECEITA OU DESPESA],"Receita",LANÇ_MOV[CONTAS],$C601,LANÇ_MOV[PLANO DE CONTAS],REL_DRE_FINANCEIRO!$B$549,LANÇ_MOV[ANO PAGAMENTO],$B$4,LANÇ_MOV[MÊS PAGAMENTO CORRESPONDENTE],M$6,LANÇ_MOV[EMPRESA],$C$4,LANÇ_MOV[CENTRO DE CUSTOS],$D$4)</f>
        <v>0</v>
      </c>
      <c r="N601" s="206">
        <f>SUMIFS(LANÇ_MOV[VALOR LÍQUIDO],LANÇ_MOV[RECEITA OU DESPESA],"Receita",LANÇ_MOV[CONTAS],$C601,LANÇ_MOV[PLANO DE CONTAS],REL_DRE_FINANCEIRO!$B$549,LANÇ_MOV[ANO PAGAMENTO],$B$4,LANÇ_MOV[MÊS PAGAMENTO CORRESPONDENTE],N$6,LANÇ_MOV[EMPRESA],$C$4,LANÇ_MOV[CENTRO DE CUSTOS],$D$4)</f>
        <v>0</v>
      </c>
      <c r="O601" s="206">
        <f>SUMIFS(LANÇ_MOV[VALOR LÍQUIDO],LANÇ_MOV[RECEITA OU DESPESA],"Receita",LANÇ_MOV[CONTAS],$C601,LANÇ_MOV[PLANO DE CONTAS],REL_DRE_FINANCEIRO!$B$549,LANÇ_MOV[ANO PAGAMENTO],$B$4,LANÇ_MOV[MÊS PAGAMENTO CORRESPONDENTE],O$6,LANÇ_MOV[EMPRESA],$C$4,LANÇ_MOV[CENTRO DE CUSTOS],$D$4)</f>
        <v>0</v>
      </c>
      <c r="P601" s="207">
        <f t="shared" si="77"/>
        <v>0</v>
      </c>
      <c r="Q601" s="329">
        <v>4.8999999999999997E-6</v>
      </c>
      <c r="R601" s="346">
        <f t="shared" si="78"/>
        <v>4.8999999999999997E-6</v>
      </c>
      <c r="S601" s="347" t="str">
        <f t="shared" si="79"/>
        <v>-</v>
      </c>
      <c r="T601" s="347">
        <f t="shared" si="80"/>
        <v>0</v>
      </c>
      <c r="U601" s="347">
        <f>HLOOKUP(Apoio!$P$12,$D$548:$P$649,X601,FALSE)+Q601</f>
        <v>4.8999999999999997E-6</v>
      </c>
      <c r="V601" s="447" t="str">
        <f t="shared" si="81"/>
        <v>-</v>
      </c>
      <c r="W601" s="448">
        <f>HLOOKUP(Apoio!$P$12,$D$548:$P$649,X601,FALSE)</f>
        <v>0</v>
      </c>
      <c r="X601" s="329">
        <v>54</v>
      </c>
    </row>
    <row r="602" spans="2:24" ht="30.05" customHeight="1" x14ac:dyDescent="0.35">
      <c r="B602" s="204" t="str">
        <f>'CAD_PL_REC-DESP'!E57</f>
        <v>1.2.53</v>
      </c>
      <c r="C602" s="205" t="str">
        <f>IF('CAD_PL_REC-DESP'!F57="","-",'CAD_PL_REC-DESP'!F57)</f>
        <v>-</v>
      </c>
      <c r="D602" s="206">
        <f>SUMIFS(LANÇ_MOV[VALOR LÍQUIDO],LANÇ_MOV[RECEITA OU DESPESA],"Receita",LANÇ_MOV[CONTAS],$C602,LANÇ_MOV[PLANO DE CONTAS],REL_DRE_FINANCEIRO!$B$549,LANÇ_MOV[ANO PAGAMENTO],$B$4,LANÇ_MOV[MÊS PAGAMENTO CORRESPONDENTE],D$6,LANÇ_MOV[EMPRESA],$C$4,LANÇ_MOV[CENTRO DE CUSTOS],$D$4)</f>
        <v>0</v>
      </c>
      <c r="E602" s="206">
        <f>SUMIFS(LANÇ_MOV[VALOR LÍQUIDO],LANÇ_MOV[RECEITA OU DESPESA],"Receita",LANÇ_MOV[CONTAS],$C602,LANÇ_MOV[PLANO DE CONTAS],REL_DRE_FINANCEIRO!$B$549,LANÇ_MOV[ANO PAGAMENTO],$B$4,LANÇ_MOV[MÊS PAGAMENTO CORRESPONDENTE],E$6,LANÇ_MOV[EMPRESA],$C$4,LANÇ_MOV[CENTRO DE CUSTOS],$D$4)</f>
        <v>0</v>
      </c>
      <c r="F602" s="206">
        <f>SUMIFS(LANÇ_MOV[VALOR LÍQUIDO],LANÇ_MOV[RECEITA OU DESPESA],"Receita",LANÇ_MOV[CONTAS],$C602,LANÇ_MOV[PLANO DE CONTAS],REL_DRE_FINANCEIRO!$B$549,LANÇ_MOV[ANO PAGAMENTO],$B$4,LANÇ_MOV[MÊS PAGAMENTO CORRESPONDENTE],F$6,LANÇ_MOV[EMPRESA],$C$4,LANÇ_MOV[CENTRO DE CUSTOS],$D$4)</f>
        <v>0</v>
      </c>
      <c r="G602" s="206">
        <f>SUMIFS(LANÇ_MOV[VALOR LÍQUIDO],LANÇ_MOV[RECEITA OU DESPESA],"Receita",LANÇ_MOV[CONTAS],$C602,LANÇ_MOV[PLANO DE CONTAS],REL_DRE_FINANCEIRO!$B$549,LANÇ_MOV[ANO PAGAMENTO],$B$4,LANÇ_MOV[MÊS PAGAMENTO CORRESPONDENTE],G$6,LANÇ_MOV[EMPRESA],$C$4,LANÇ_MOV[CENTRO DE CUSTOS],$D$4)</f>
        <v>0</v>
      </c>
      <c r="H602" s="206">
        <f>SUMIFS(LANÇ_MOV[VALOR LÍQUIDO],LANÇ_MOV[RECEITA OU DESPESA],"Receita",LANÇ_MOV[CONTAS],$C602,LANÇ_MOV[PLANO DE CONTAS],REL_DRE_FINANCEIRO!$B$549,LANÇ_MOV[ANO PAGAMENTO],$B$4,LANÇ_MOV[MÊS PAGAMENTO CORRESPONDENTE],H$6,LANÇ_MOV[EMPRESA],$C$4,LANÇ_MOV[CENTRO DE CUSTOS],$D$4)</f>
        <v>0</v>
      </c>
      <c r="I602" s="206">
        <f>SUMIFS(LANÇ_MOV[VALOR LÍQUIDO],LANÇ_MOV[RECEITA OU DESPESA],"Receita",LANÇ_MOV[CONTAS],$C602,LANÇ_MOV[PLANO DE CONTAS],REL_DRE_FINANCEIRO!$B$549,LANÇ_MOV[ANO PAGAMENTO],$B$4,LANÇ_MOV[MÊS PAGAMENTO CORRESPONDENTE],I$6,LANÇ_MOV[EMPRESA],$C$4,LANÇ_MOV[CENTRO DE CUSTOS],$D$4)</f>
        <v>0</v>
      </c>
      <c r="J602" s="206">
        <f>SUMIFS(LANÇ_MOV[VALOR LÍQUIDO],LANÇ_MOV[RECEITA OU DESPESA],"Receita",LANÇ_MOV[CONTAS],$C602,LANÇ_MOV[PLANO DE CONTAS],REL_DRE_FINANCEIRO!$B$549,LANÇ_MOV[ANO PAGAMENTO],$B$4,LANÇ_MOV[MÊS PAGAMENTO CORRESPONDENTE],J$6,LANÇ_MOV[EMPRESA],$C$4,LANÇ_MOV[CENTRO DE CUSTOS],$D$4)</f>
        <v>0</v>
      </c>
      <c r="K602" s="206">
        <f>SUMIFS(LANÇ_MOV[VALOR LÍQUIDO],LANÇ_MOV[RECEITA OU DESPESA],"Receita",LANÇ_MOV[CONTAS],$C602,LANÇ_MOV[PLANO DE CONTAS],REL_DRE_FINANCEIRO!$B$549,LANÇ_MOV[ANO PAGAMENTO],$B$4,LANÇ_MOV[MÊS PAGAMENTO CORRESPONDENTE],K$6,LANÇ_MOV[EMPRESA],$C$4,LANÇ_MOV[CENTRO DE CUSTOS],$D$4)</f>
        <v>0</v>
      </c>
      <c r="L602" s="206">
        <f>SUMIFS(LANÇ_MOV[VALOR LÍQUIDO],LANÇ_MOV[RECEITA OU DESPESA],"Receita",LANÇ_MOV[CONTAS],$C602,LANÇ_MOV[PLANO DE CONTAS],REL_DRE_FINANCEIRO!$B$549,LANÇ_MOV[ANO PAGAMENTO],$B$4,LANÇ_MOV[MÊS PAGAMENTO CORRESPONDENTE],L$6,LANÇ_MOV[EMPRESA],$C$4,LANÇ_MOV[CENTRO DE CUSTOS],$D$4)</f>
        <v>0</v>
      </c>
      <c r="M602" s="206">
        <f>SUMIFS(LANÇ_MOV[VALOR LÍQUIDO],LANÇ_MOV[RECEITA OU DESPESA],"Receita",LANÇ_MOV[CONTAS],$C602,LANÇ_MOV[PLANO DE CONTAS],REL_DRE_FINANCEIRO!$B$549,LANÇ_MOV[ANO PAGAMENTO],$B$4,LANÇ_MOV[MÊS PAGAMENTO CORRESPONDENTE],M$6,LANÇ_MOV[EMPRESA],$C$4,LANÇ_MOV[CENTRO DE CUSTOS],$D$4)</f>
        <v>0</v>
      </c>
      <c r="N602" s="206">
        <f>SUMIFS(LANÇ_MOV[VALOR LÍQUIDO],LANÇ_MOV[RECEITA OU DESPESA],"Receita",LANÇ_MOV[CONTAS],$C602,LANÇ_MOV[PLANO DE CONTAS],REL_DRE_FINANCEIRO!$B$549,LANÇ_MOV[ANO PAGAMENTO],$B$4,LANÇ_MOV[MÊS PAGAMENTO CORRESPONDENTE],N$6,LANÇ_MOV[EMPRESA],$C$4,LANÇ_MOV[CENTRO DE CUSTOS],$D$4)</f>
        <v>0</v>
      </c>
      <c r="O602" s="206">
        <f>SUMIFS(LANÇ_MOV[VALOR LÍQUIDO],LANÇ_MOV[RECEITA OU DESPESA],"Receita",LANÇ_MOV[CONTAS],$C602,LANÇ_MOV[PLANO DE CONTAS],REL_DRE_FINANCEIRO!$B$549,LANÇ_MOV[ANO PAGAMENTO],$B$4,LANÇ_MOV[MÊS PAGAMENTO CORRESPONDENTE],O$6,LANÇ_MOV[EMPRESA],$C$4,LANÇ_MOV[CENTRO DE CUSTOS],$D$4)</f>
        <v>0</v>
      </c>
      <c r="P602" s="207">
        <f t="shared" si="77"/>
        <v>0</v>
      </c>
      <c r="Q602" s="329">
        <v>4.7999999999999998E-6</v>
      </c>
      <c r="R602" s="346">
        <f t="shared" si="78"/>
        <v>4.7999999999999998E-6</v>
      </c>
      <c r="S602" s="347" t="str">
        <f t="shared" si="79"/>
        <v>-</v>
      </c>
      <c r="T602" s="347">
        <f t="shared" si="80"/>
        <v>0</v>
      </c>
      <c r="U602" s="347">
        <f>HLOOKUP(Apoio!$P$12,$D$548:$P$649,X602,FALSE)+Q602</f>
        <v>4.7999999999999998E-6</v>
      </c>
      <c r="V602" s="447" t="str">
        <f t="shared" si="81"/>
        <v>-</v>
      </c>
      <c r="W602" s="448">
        <f>HLOOKUP(Apoio!$P$12,$D$548:$P$649,X602,FALSE)</f>
        <v>0</v>
      </c>
      <c r="X602" s="329">
        <v>55</v>
      </c>
    </row>
    <row r="603" spans="2:24" ht="30.05" customHeight="1" x14ac:dyDescent="0.35">
      <c r="B603" s="204" t="str">
        <f>'CAD_PL_REC-DESP'!E58</f>
        <v>1.2.54</v>
      </c>
      <c r="C603" s="205" t="str">
        <f>IF('CAD_PL_REC-DESP'!F58="","-",'CAD_PL_REC-DESP'!F58)</f>
        <v>-</v>
      </c>
      <c r="D603" s="206">
        <f>SUMIFS(LANÇ_MOV[VALOR LÍQUIDO],LANÇ_MOV[RECEITA OU DESPESA],"Receita",LANÇ_MOV[CONTAS],$C603,LANÇ_MOV[PLANO DE CONTAS],REL_DRE_FINANCEIRO!$B$549,LANÇ_MOV[ANO PAGAMENTO],$B$4,LANÇ_MOV[MÊS PAGAMENTO CORRESPONDENTE],D$6,LANÇ_MOV[EMPRESA],$C$4,LANÇ_MOV[CENTRO DE CUSTOS],$D$4)</f>
        <v>0</v>
      </c>
      <c r="E603" s="206">
        <f>SUMIFS(LANÇ_MOV[VALOR LÍQUIDO],LANÇ_MOV[RECEITA OU DESPESA],"Receita",LANÇ_MOV[CONTAS],$C603,LANÇ_MOV[PLANO DE CONTAS],REL_DRE_FINANCEIRO!$B$549,LANÇ_MOV[ANO PAGAMENTO],$B$4,LANÇ_MOV[MÊS PAGAMENTO CORRESPONDENTE],E$6,LANÇ_MOV[EMPRESA],$C$4,LANÇ_MOV[CENTRO DE CUSTOS],$D$4)</f>
        <v>0</v>
      </c>
      <c r="F603" s="206">
        <f>SUMIFS(LANÇ_MOV[VALOR LÍQUIDO],LANÇ_MOV[RECEITA OU DESPESA],"Receita",LANÇ_MOV[CONTAS],$C603,LANÇ_MOV[PLANO DE CONTAS],REL_DRE_FINANCEIRO!$B$549,LANÇ_MOV[ANO PAGAMENTO],$B$4,LANÇ_MOV[MÊS PAGAMENTO CORRESPONDENTE],F$6,LANÇ_MOV[EMPRESA],$C$4,LANÇ_MOV[CENTRO DE CUSTOS],$D$4)</f>
        <v>0</v>
      </c>
      <c r="G603" s="206">
        <f>SUMIFS(LANÇ_MOV[VALOR LÍQUIDO],LANÇ_MOV[RECEITA OU DESPESA],"Receita",LANÇ_MOV[CONTAS],$C603,LANÇ_MOV[PLANO DE CONTAS],REL_DRE_FINANCEIRO!$B$549,LANÇ_MOV[ANO PAGAMENTO],$B$4,LANÇ_MOV[MÊS PAGAMENTO CORRESPONDENTE],G$6,LANÇ_MOV[EMPRESA],$C$4,LANÇ_MOV[CENTRO DE CUSTOS],$D$4)</f>
        <v>0</v>
      </c>
      <c r="H603" s="206">
        <f>SUMIFS(LANÇ_MOV[VALOR LÍQUIDO],LANÇ_MOV[RECEITA OU DESPESA],"Receita",LANÇ_MOV[CONTAS],$C603,LANÇ_MOV[PLANO DE CONTAS],REL_DRE_FINANCEIRO!$B$549,LANÇ_MOV[ANO PAGAMENTO],$B$4,LANÇ_MOV[MÊS PAGAMENTO CORRESPONDENTE],H$6,LANÇ_MOV[EMPRESA],$C$4,LANÇ_MOV[CENTRO DE CUSTOS],$D$4)</f>
        <v>0</v>
      </c>
      <c r="I603" s="206">
        <f>SUMIFS(LANÇ_MOV[VALOR LÍQUIDO],LANÇ_MOV[RECEITA OU DESPESA],"Receita",LANÇ_MOV[CONTAS],$C603,LANÇ_MOV[PLANO DE CONTAS],REL_DRE_FINANCEIRO!$B$549,LANÇ_MOV[ANO PAGAMENTO],$B$4,LANÇ_MOV[MÊS PAGAMENTO CORRESPONDENTE],I$6,LANÇ_MOV[EMPRESA],$C$4,LANÇ_MOV[CENTRO DE CUSTOS],$D$4)</f>
        <v>0</v>
      </c>
      <c r="J603" s="206">
        <f>SUMIFS(LANÇ_MOV[VALOR LÍQUIDO],LANÇ_MOV[RECEITA OU DESPESA],"Receita",LANÇ_MOV[CONTAS],$C603,LANÇ_MOV[PLANO DE CONTAS],REL_DRE_FINANCEIRO!$B$549,LANÇ_MOV[ANO PAGAMENTO],$B$4,LANÇ_MOV[MÊS PAGAMENTO CORRESPONDENTE],J$6,LANÇ_MOV[EMPRESA],$C$4,LANÇ_MOV[CENTRO DE CUSTOS],$D$4)</f>
        <v>0</v>
      </c>
      <c r="K603" s="206">
        <f>SUMIFS(LANÇ_MOV[VALOR LÍQUIDO],LANÇ_MOV[RECEITA OU DESPESA],"Receita",LANÇ_MOV[CONTAS],$C603,LANÇ_MOV[PLANO DE CONTAS],REL_DRE_FINANCEIRO!$B$549,LANÇ_MOV[ANO PAGAMENTO],$B$4,LANÇ_MOV[MÊS PAGAMENTO CORRESPONDENTE],K$6,LANÇ_MOV[EMPRESA],$C$4,LANÇ_MOV[CENTRO DE CUSTOS],$D$4)</f>
        <v>0</v>
      </c>
      <c r="L603" s="206">
        <f>SUMIFS(LANÇ_MOV[VALOR LÍQUIDO],LANÇ_MOV[RECEITA OU DESPESA],"Receita",LANÇ_MOV[CONTAS],$C603,LANÇ_MOV[PLANO DE CONTAS],REL_DRE_FINANCEIRO!$B$549,LANÇ_MOV[ANO PAGAMENTO],$B$4,LANÇ_MOV[MÊS PAGAMENTO CORRESPONDENTE],L$6,LANÇ_MOV[EMPRESA],$C$4,LANÇ_MOV[CENTRO DE CUSTOS],$D$4)</f>
        <v>0</v>
      </c>
      <c r="M603" s="206">
        <f>SUMIFS(LANÇ_MOV[VALOR LÍQUIDO],LANÇ_MOV[RECEITA OU DESPESA],"Receita",LANÇ_MOV[CONTAS],$C603,LANÇ_MOV[PLANO DE CONTAS],REL_DRE_FINANCEIRO!$B$549,LANÇ_MOV[ANO PAGAMENTO],$B$4,LANÇ_MOV[MÊS PAGAMENTO CORRESPONDENTE],M$6,LANÇ_MOV[EMPRESA],$C$4,LANÇ_MOV[CENTRO DE CUSTOS],$D$4)</f>
        <v>0</v>
      </c>
      <c r="N603" s="206">
        <f>SUMIFS(LANÇ_MOV[VALOR LÍQUIDO],LANÇ_MOV[RECEITA OU DESPESA],"Receita",LANÇ_MOV[CONTAS],$C603,LANÇ_MOV[PLANO DE CONTAS],REL_DRE_FINANCEIRO!$B$549,LANÇ_MOV[ANO PAGAMENTO],$B$4,LANÇ_MOV[MÊS PAGAMENTO CORRESPONDENTE],N$6,LANÇ_MOV[EMPRESA],$C$4,LANÇ_MOV[CENTRO DE CUSTOS],$D$4)</f>
        <v>0</v>
      </c>
      <c r="O603" s="206">
        <f>SUMIFS(LANÇ_MOV[VALOR LÍQUIDO],LANÇ_MOV[RECEITA OU DESPESA],"Receita",LANÇ_MOV[CONTAS],$C603,LANÇ_MOV[PLANO DE CONTAS],REL_DRE_FINANCEIRO!$B$549,LANÇ_MOV[ANO PAGAMENTO],$B$4,LANÇ_MOV[MÊS PAGAMENTO CORRESPONDENTE],O$6,LANÇ_MOV[EMPRESA],$C$4,LANÇ_MOV[CENTRO DE CUSTOS],$D$4)</f>
        <v>0</v>
      </c>
      <c r="P603" s="207">
        <f t="shared" si="77"/>
        <v>0</v>
      </c>
      <c r="Q603" s="329">
        <v>4.6999999999999999E-6</v>
      </c>
      <c r="R603" s="346">
        <f t="shared" si="78"/>
        <v>4.6999999999999999E-6</v>
      </c>
      <c r="S603" s="347" t="str">
        <f t="shared" si="79"/>
        <v>-</v>
      </c>
      <c r="T603" s="347">
        <f t="shared" si="80"/>
        <v>0</v>
      </c>
      <c r="U603" s="347">
        <f>HLOOKUP(Apoio!$P$12,$D$548:$P$649,X603,FALSE)+Q603</f>
        <v>4.6999999999999999E-6</v>
      </c>
      <c r="V603" s="447" t="str">
        <f t="shared" si="81"/>
        <v>-</v>
      </c>
      <c r="W603" s="448">
        <f>HLOOKUP(Apoio!$P$12,$D$548:$P$649,X603,FALSE)</f>
        <v>0</v>
      </c>
      <c r="X603" s="329">
        <v>56</v>
      </c>
    </row>
    <row r="604" spans="2:24" ht="30.05" customHeight="1" x14ac:dyDescent="0.35">
      <c r="B604" s="204" t="str">
        <f>'CAD_PL_REC-DESP'!E59</f>
        <v>1.2.55</v>
      </c>
      <c r="C604" s="205" t="str">
        <f>IF('CAD_PL_REC-DESP'!F59="","-",'CAD_PL_REC-DESP'!F59)</f>
        <v>-</v>
      </c>
      <c r="D604" s="206">
        <f>SUMIFS(LANÇ_MOV[VALOR LÍQUIDO],LANÇ_MOV[RECEITA OU DESPESA],"Receita",LANÇ_MOV[CONTAS],$C604,LANÇ_MOV[PLANO DE CONTAS],REL_DRE_FINANCEIRO!$B$549,LANÇ_MOV[ANO PAGAMENTO],$B$4,LANÇ_MOV[MÊS PAGAMENTO CORRESPONDENTE],D$6,LANÇ_MOV[EMPRESA],$C$4,LANÇ_MOV[CENTRO DE CUSTOS],$D$4)</f>
        <v>0</v>
      </c>
      <c r="E604" s="206">
        <f>SUMIFS(LANÇ_MOV[VALOR LÍQUIDO],LANÇ_MOV[RECEITA OU DESPESA],"Receita",LANÇ_MOV[CONTAS],$C604,LANÇ_MOV[PLANO DE CONTAS],REL_DRE_FINANCEIRO!$B$549,LANÇ_MOV[ANO PAGAMENTO],$B$4,LANÇ_MOV[MÊS PAGAMENTO CORRESPONDENTE],E$6,LANÇ_MOV[EMPRESA],$C$4,LANÇ_MOV[CENTRO DE CUSTOS],$D$4)</f>
        <v>0</v>
      </c>
      <c r="F604" s="206">
        <f>SUMIFS(LANÇ_MOV[VALOR LÍQUIDO],LANÇ_MOV[RECEITA OU DESPESA],"Receita",LANÇ_MOV[CONTAS],$C604,LANÇ_MOV[PLANO DE CONTAS],REL_DRE_FINANCEIRO!$B$549,LANÇ_MOV[ANO PAGAMENTO],$B$4,LANÇ_MOV[MÊS PAGAMENTO CORRESPONDENTE],F$6,LANÇ_MOV[EMPRESA],$C$4,LANÇ_MOV[CENTRO DE CUSTOS],$D$4)</f>
        <v>0</v>
      </c>
      <c r="G604" s="206">
        <f>SUMIFS(LANÇ_MOV[VALOR LÍQUIDO],LANÇ_MOV[RECEITA OU DESPESA],"Receita",LANÇ_MOV[CONTAS],$C604,LANÇ_MOV[PLANO DE CONTAS],REL_DRE_FINANCEIRO!$B$549,LANÇ_MOV[ANO PAGAMENTO],$B$4,LANÇ_MOV[MÊS PAGAMENTO CORRESPONDENTE],G$6,LANÇ_MOV[EMPRESA],$C$4,LANÇ_MOV[CENTRO DE CUSTOS],$D$4)</f>
        <v>0</v>
      </c>
      <c r="H604" s="206">
        <f>SUMIFS(LANÇ_MOV[VALOR LÍQUIDO],LANÇ_MOV[RECEITA OU DESPESA],"Receita",LANÇ_MOV[CONTAS],$C604,LANÇ_MOV[PLANO DE CONTAS],REL_DRE_FINANCEIRO!$B$549,LANÇ_MOV[ANO PAGAMENTO],$B$4,LANÇ_MOV[MÊS PAGAMENTO CORRESPONDENTE],H$6,LANÇ_MOV[EMPRESA],$C$4,LANÇ_MOV[CENTRO DE CUSTOS],$D$4)</f>
        <v>0</v>
      </c>
      <c r="I604" s="206">
        <f>SUMIFS(LANÇ_MOV[VALOR LÍQUIDO],LANÇ_MOV[RECEITA OU DESPESA],"Receita",LANÇ_MOV[CONTAS],$C604,LANÇ_MOV[PLANO DE CONTAS],REL_DRE_FINANCEIRO!$B$549,LANÇ_MOV[ANO PAGAMENTO],$B$4,LANÇ_MOV[MÊS PAGAMENTO CORRESPONDENTE],I$6,LANÇ_MOV[EMPRESA],$C$4,LANÇ_MOV[CENTRO DE CUSTOS],$D$4)</f>
        <v>0</v>
      </c>
      <c r="J604" s="206">
        <f>SUMIFS(LANÇ_MOV[VALOR LÍQUIDO],LANÇ_MOV[RECEITA OU DESPESA],"Receita",LANÇ_MOV[CONTAS],$C604,LANÇ_MOV[PLANO DE CONTAS],REL_DRE_FINANCEIRO!$B$549,LANÇ_MOV[ANO PAGAMENTO],$B$4,LANÇ_MOV[MÊS PAGAMENTO CORRESPONDENTE],J$6,LANÇ_MOV[EMPRESA],$C$4,LANÇ_MOV[CENTRO DE CUSTOS],$D$4)</f>
        <v>0</v>
      </c>
      <c r="K604" s="206">
        <f>SUMIFS(LANÇ_MOV[VALOR LÍQUIDO],LANÇ_MOV[RECEITA OU DESPESA],"Receita",LANÇ_MOV[CONTAS],$C604,LANÇ_MOV[PLANO DE CONTAS],REL_DRE_FINANCEIRO!$B$549,LANÇ_MOV[ANO PAGAMENTO],$B$4,LANÇ_MOV[MÊS PAGAMENTO CORRESPONDENTE],K$6,LANÇ_MOV[EMPRESA],$C$4,LANÇ_MOV[CENTRO DE CUSTOS],$D$4)</f>
        <v>0</v>
      </c>
      <c r="L604" s="206">
        <f>SUMIFS(LANÇ_MOV[VALOR LÍQUIDO],LANÇ_MOV[RECEITA OU DESPESA],"Receita",LANÇ_MOV[CONTAS],$C604,LANÇ_MOV[PLANO DE CONTAS],REL_DRE_FINANCEIRO!$B$549,LANÇ_MOV[ANO PAGAMENTO],$B$4,LANÇ_MOV[MÊS PAGAMENTO CORRESPONDENTE],L$6,LANÇ_MOV[EMPRESA],$C$4,LANÇ_MOV[CENTRO DE CUSTOS],$D$4)</f>
        <v>0</v>
      </c>
      <c r="M604" s="206">
        <f>SUMIFS(LANÇ_MOV[VALOR LÍQUIDO],LANÇ_MOV[RECEITA OU DESPESA],"Receita",LANÇ_MOV[CONTAS],$C604,LANÇ_MOV[PLANO DE CONTAS],REL_DRE_FINANCEIRO!$B$549,LANÇ_MOV[ANO PAGAMENTO],$B$4,LANÇ_MOV[MÊS PAGAMENTO CORRESPONDENTE],M$6,LANÇ_MOV[EMPRESA],$C$4,LANÇ_MOV[CENTRO DE CUSTOS],$D$4)</f>
        <v>0</v>
      </c>
      <c r="N604" s="206">
        <f>SUMIFS(LANÇ_MOV[VALOR LÍQUIDO],LANÇ_MOV[RECEITA OU DESPESA],"Receita",LANÇ_MOV[CONTAS],$C604,LANÇ_MOV[PLANO DE CONTAS],REL_DRE_FINANCEIRO!$B$549,LANÇ_MOV[ANO PAGAMENTO],$B$4,LANÇ_MOV[MÊS PAGAMENTO CORRESPONDENTE],N$6,LANÇ_MOV[EMPRESA],$C$4,LANÇ_MOV[CENTRO DE CUSTOS],$D$4)</f>
        <v>0</v>
      </c>
      <c r="O604" s="206">
        <f>SUMIFS(LANÇ_MOV[VALOR LÍQUIDO],LANÇ_MOV[RECEITA OU DESPESA],"Receita",LANÇ_MOV[CONTAS],$C604,LANÇ_MOV[PLANO DE CONTAS],REL_DRE_FINANCEIRO!$B$549,LANÇ_MOV[ANO PAGAMENTO],$B$4,LANÇ_MOV[MÊS PAGAMENTO CORRESPONDENTE],O$6,LANÇ_MOV[EMPRESA],$C$4,LANÇ_MOV[CENTRO DE CUSTOS],$D$4)</f>
        <v>0</v>
      </c>
      <c r="P604" s="207">
        <f t="shared" si="77"/>
        <v>0</v>
      </c>
      <c r="Q604" s="329">
        <v>4.6E-6</v>
      </c>
      <c r="R604" s="346">
        <f t="shared" si="78"/>
        <v>4.6E-6</v>
      </c>
      <c r="S604" s="347" t="str">
        <f t="shared" si="79"/>
        <v>-</v>
      </c>
      <c r="T604" s="347">
        <f t="shared" si="80"/>
        <v>0</v>
      </c>
      <c r="U604" s="347">
        <f>HLOOKUP(Apoio!$P$12,$D$548:$P$649,X604,FALSE)+Q604</f>
        <v>4.6E-6</v>
      </c>
      <c r="V604" s="447" t="str">
        <f t="shared" si="81"/>
        <v>-</v>
      </c>
      <c r="W604" s="448">
        <f>HLOOKUP(Apoio!$P$12,$D$548:$P$649,X604,FALSE)</f>
        <v>0</v>
      </c>
      <c r="X604" s="329">
        <v>57</v>
      </c>
    </row>
    <row r="605" spans="2:24" ht="30.05" customHeight="1" x14ac:dyDescent="0.35">
      <c r="B605" s="204" t="str">
        <f>'CAD_PL_REC-DESP'!E60</f>
        <v>1.2.56</v>
      </c>
      <c r="C605" s="205" t="str">
        <f>IF('CAD_PL_REC-DESP'!F60="","-",'CAD_PL_REC-DESP'!F60)</f>
        <v>-</v>
      </c>
      <c r="D605" s="206">
        <f>SUMIFS(LANÇ_MOV[VALOR LÍQUIDO],LANÇ_MOV[RECEITA OU DESPESA],"Receita",LANÇ_MOV[CONTAS],$C605,LANÇ_MOV[PLANO DE CONTAS],REL_DRE_FINANCEIRO!$B$549,LANÇ_MOV[ANO PAGAMENTO],$B$4,LANÇ_MOV[MÊS PAGAMENTO CORRESPONDENTE],D$6,LANÇ_MOV[EMPRESA],$C$4,LANÇ_MOV[CENTRO DE CUSTOS],$D$4)</f>
        <v>0</v>
      </c>
      <c r="E605" s="206">
        <f>SUMIFS(LANÇ_MOV[VALOR LÍQUIDO],LANÇ_MOV[RECEITA OU DESPESA],"Receita",LANÇ_MOV[CONTAS],$C605,LANÇ_MOV[PLANO DE CONTAS],REL_DRE_FINANCEIRO!$B$549,LANÇ_MOV[ANO PAGAMENTO],$B$4,LANÇ_MOV[MÊS PAGAMENTO CORRESPONDENTE],E$6,LANÇ_MOV[EMPRESA],$C$4,LANÇ_MOV[CENTRO DE CUSTOS],$D$4)</f>
        <v>0</v>
      </c>
      <c r="F605" s="206">
        <f>SUMIFS(LANÇ_MOV[VALOR LÍQUIDO],LANÇ_MOV[RECEITA OU DESPESA],"Receita",LANÇ_MOV[CONTAS],$C605,LANÇ_MOV[PLANO DE CONTAS],REL_DRE_FINANCEIRO!$B$549,LANÇ_MOV[ANO PAGAMENTO],$B$4,LANÇ_MOV[MÊS PAGAMENTO CORRESPONDENTE],F$6,LANÇ_MOV[EMPRESA],$C$4,LANÇ_MOV[CENTRO DE CUSTOS],$D$4)</f>
        <v>0</v>
      </c>
      <c r="G605" s="206">
        <f>SUMIFS(LANÇ_MOV[VALOR LÍQUIDO],LANÇ_MOV[RECEITA OU DESPESA],"Receita",LANÇ_MOV[CONTAS],$C605,LANÇ_MOV[PLANO DE CONTAS],REL_DRE_FINANCEIRO!$B$549,LANÇ_MOV[ANO PAGAMENTO],$B$4,LANÇ_MOV[MÊS PAGAMENTO CORRESPONDENTE],G$6,LANÇ_MOV[EMPRESA],$C$4,LANÇ_MOV[CENTRO DE CUSTOS],$D$4)</f>
        <v>0</v>
      </c>
      <c r="H605" s="206">
        <f>SUMIFS(LANÇ_MOV[VALOR LÍQUIDO],LANÇ_MOV[RECEITA OU DESPESA],"Receita",LANÇ_MOV[CONTAS],$C605,LANÇ_MOV[PLANO DE CONTAS],REL_DRE_FINANCEIRO!$B$549,LANÇ_MOV[ANO PAGAMENTO],$B$4,LANÇ_MOV[MÊS PAGAMENTO CORRESPONDENTE],H$6,LANÇ_MOV[EMPRESA],$C$4,LANÇ_MOV[CENTRO DE CUSTOS],$D$4)</f>
        <v>0</v>
      </c>
      <c r="I605" s="206">
        <f>SUMIFS(LANÇ_MOV[VALOR LÍQUIDO],LANÇ_MOV[RECEITA OU DESPESA],"Receita",LANÇ_MOV[CONTAS],$C605,LANÇ_MOV[PLANO DE CONTAS],REL_DRE_FINANCEIRO!$B$549,LANÇ_MOV[ANO PAGAMENTO],$B$4,LANÇ_MOV[MÊS PAGAMENTO CORRESPONDENTE],I$6,LANÇ_MOV[EMPRESA],$C$4,LANÇ_MOV[CENTRO DE CUSTOS],$D$4)</f>
        <v>0</v>
      </c>
      <c r="J605" s="206">
        <f>SUMIFS(LANÇ_MOV[VALOR LÍQUIDO],LANÇ_MOV[RECEITA OU DESPESA],"Receita",LANÇ_MOV[CONTAS],$C605,LANÇ_MOV[PLANO DE CONTAS],REL_DRE_FINANCEIRO!$B$549,LANÇ_MOV[ANO PAGAMENTO],$B$4,LANÇ_MOV[MÊS PAGAMENTO CORRESPONDENTE],J$6,LANÇ_MOV[EMPRESA],$C$4,LANÇ_MOV[CENTRO DE CUSTOS],$D$4)</f>
        <v>0</v>
      </c>
      <c r="K605" s="206">
        <f>SUMIFS(LANÇ_MOV[VALOR LÍQUIDO],LANÇ_MOV[RECEITA OU DESPESA],"Receita",LANÇ_MOV[CONTAS],$C605,LANÇ_MOV[PLANO DE CONTAS],REL_DRE_FINANCEIRO!$B$549,LANÇ_MOV[ANO PAGAMENTO],$B$4,LANÇ_MOV[MÊS PAGAMENTO CORRESPONDENTE],K$6,LANÇ_MOV[EMPRESA],$C$4,LANÇ_MOV[CENTRO DE CUSTOS],$D$4)</f>
        <v>0</v>
      </c>
      <c r="L605" s="206">
        <f>SUMIFS(LANÇ_MOV[VALOR LÍQUIDO],LANÇ_MOV[RECEITA OU DESPESA],"Receita",LANÇ_MOV[CONTAS],$C605,LANÇ_MOV[PLANO DE CONTAS],REL_DRE_FINANCEIRO!$B$549,LANÇ_MOV[ANO PAGAMENTO],$B$4,LANÇ_MOV[MÊS PAGAMENTO CORRESPONDENTE],L$6,LANÇ_MOV[EMPRESA],$C$4,LANÇ_MOV[CENTRO DE CUSTOS],$D$4)</f>
        <v>0</v>
      </c>
      <c r="M605" s="206">
        <f>SUMIFS(LANÇ_MOV[VALOR LÍQUIDO],LANÇ_MOV[RECEITA OU DESPESA],"Receita",LANÇ_MOV[CONTAS],$C605,LANÇ_MOV[PLANO DE CONTAS],REL_DRE_FINANCEIRO!$B$549,LANÇ_MOV[ANO PAGAMENTO],$B$4,LANÇ_MOV[MÊS PAGAMENTO CORRESPONDENTE],M$6,LANÇ_MOV[EMPRESA],$C$4,LANÇ_MOV[CENTRO DE CUSTOS],$D$4)</f>
        <v>0</v>
      </c>
      <c r="N605" s="206">
        <f>SUMIFS(LANÇ_MOV[VALOR LÍQUIDO],LANÇ_MOV[RECEITA OU DESPESA],"Receita",LANÇ_MOV[CONTAS],$C605,LANÇ_MOV[PLANO DE CONTAS],REL_DRE_FINANCEIRO!$B$549,LANÇ_MOV[ANO PAGAMENTO],$B$4,LANÇ_MOV[MÊS PAGAMENTO CORRESPONDENTE],N$6,LANÇ_MOV[EMPRESA],$C$4,LANÇ_MOV[CENTRO DE CUSTOS],$D$4)</f>
        <v>0</v>
      </c>
      <c r="O605" s="206">
        <f>SUMIFS(LANÇ_MOV[VALOR LÍQUIDO],LANÇ_MOV[RECEITA OU DESPESA],"Receita",LANÇ_MOV[CONTAS],$C605,LANÇ_MOV[PLANO DE CONTAS],REL_DRE_FINANCEIRO!$B$549,LANÇ_MOV[ANO PAGAMENTO],$B$4,LANÇ_MOV[MÊS PAGAMENTO CORRESPONDENTE],O$6,LANÇ_MOV[EMPRESA],$C$4,LANÇ_MOV[CENTRO DE CUSTOS],$D$4)</f>
        <v>0</v>
      </c>
      <c r="P605" s="207">
        <f t="shared" si="77"/>
        <v>0</v>
      </c>
      <c r="Q605" s="329">
        <v>4.5000000000000001E-6</v>
      </c>
      <c r="R605" s="346">
        <f t="shared" si="78"/>
        <v>4.5000000000000001E-6</v>
      </c>
      <c r="S605" s="347" t="str">
        <f t="shared" si="79"/>
        <v>-</v>
      </c>
      <c r="T605" s="347">
        <f t="shared" si="80"/>
        <v>0</v>
      </c>
      <c r="U605" s="347">
        <f>HLOOKUP(Apoio!$P$12,$D$548:$P$649,X605,FALSE)+Q605</f>
        <v>4.5000000000000001E-6</v>
      </c>
      <c r="V605" s="447" t="str">
        <f t="shared" si="81"/>
        <v>-</v>
      </c>
      <c r="W605" s="448">
        <f>HLOOKUP(Apoio!$P$12,$D$548:$P$649,X605,FALSE)</f>
        <v>0</v>
      </c>
      <c r="X605" s="329">
        <v>58</v>
      </c>
    </row>
    <row r="606" spans="2:24" ht="30.05" customHeight="1" x14ac:dyDescent="0.35">
      <c r="B606" s="204" t="str">
        <f>'CAD_PL_REC-DESP'!E61</f>
        <v>1.2.57</v>
      </c>
      <c r="C606" s="205" t="str">
        <f>IF('CAD_PL_REC-DESP'!F61="","-",'CAD_PL_REC-DESP'!F61)</f>
        <v>-</v>
      </c>
      <c r="D606" s="206">
        <f>SUMIFS(LANÇ_MOV[VALOR LÍQUIDO],LANÇ_MOV[RECEITA OU DESPESA],"Receita",LANÇ_MOV[CONTAS],$C606,LANÇ_MOV[PLANO DE CONTAS],REL_DRE_FINANCEIRO!$B$549,LANÇ_MOV[ANO PAGAMENTO],$B$4,LANÇ_MOV[MÊS PAGAMENTO CORRESPONDENTE],D$6,LANÇ_MOV[EMPRESA],$C$4,LANÇ_MOV[CENTRO DE CUSTOS],$D$4)</f>
        <v>0</v>
      </c>
      <c r="E606" s="206">
        <f>SUMIFS(LANÇ_MOV[VALOR LÍQUIDO],LANÇ_MOV[RECEITA OU DESPESA],"Receita",LANÇ_MOV[CONTAS],$C606,LANÇ_MOV[PLANO DE CONTAS],REL_DRE_FINANCEIRO!$B$549,LANÇ_MOV[ANO PAGAMENTO],$B$4,LANÇ_MOV[MÊS PAGAMENTO CORRESPONDENTE],E$6,LANÇ_MOV[EMPRESA],$C$4,LANÇ_MOV[CENTRO DE CUSTOS],$D$4)</f>
        <v>0</v>
      </c>
      <c r="F606" s="206">
        <f>SUMIFS(LANÇ_MOV[VALOR LÍQUIDO],LANÇ_MOV[RECEITA OU DESPESA],"Receita",LANÇ_MOV[CONTAS],$C606,LANÇ_MOV[PLANO DE CONTAS],REL_DRE_FINANCEIRO!$B$549,LANÇ_MOV[ANO PAGAMENTO],$B$4,LANÇ_MOV[MÊS PAGAMENTO CORRESPONDENTE],F$6,LANÇ_MOV[EMPRESA],$C$4,LANÇ_MOV[CENTRO DE CUSTOS],$D$4)</f>
        <v>0</v>
      </c>
      <c r="G606" s="206">
        <f>SUMIFS(LANÇ_MOV[VALOR LÍQUIDO],LANÇ_MOV[RECEITA OU DESPESA],"Receita",LANÇ_MOV[CONTAS],$C606,LANÇ_MOV[PLANO DE CONTAS],REL_DRE_FINANCEIRO!$B$549,LANÇ_MOV[ANO PAGAMENTO],$B$4,LANÇ_MOV[MÊS PAGAMENTO CORRESPONDENTE],G$6,LANÇ_MOV[EMPRESA],$C$4,LANÇ_MOV[CENTRO DE CUSTOS],$D$4)</f>
        <v>0</v>
      </c>
      <c r="H606" s="206">
        <f>SUMIFS(LANÇ_MOV[VALOR LÍQUIDO],LANÇ_MOV[RECEITA OU DESPESA],"Receita",LANÇ_MOV[CONTAS],$C606,LANÇ_MOV[PLANO DE CONTAS],REL_DRE_FINANCEIRO!$B$549,LANÇ_MOV[ANO PAGAMENTO],$B$4,LANÇ_MOV[MÊS PAGAMENTO CORRESPONDENTE],H$6,LANÇ_MOV[EMPRESA],$C$4,LANÇ_MOV[CENTRO DE CUSTOS],$D$4)</f>
        <v>0</v>
      </c>
      <c r="I606" s="206">
        <f>SUMIFS(LANÇ_MOV[VALOR LÍQUIDO],LANÇ_MOV[RECEITA OU DESPESA],"Receita",LANÇ_MOV[CONTAS],$C606,LANÇ_MOV[PLANO DE CONTAS],REL_DRE_FINANCEIRO!$B$549,LANÇ_MOV[ANO PAGAMENTO],$B$4,LANÇ_MOV[MÊS PAGAMENTO CORRESPONDENTE],I$6,LANÇ_MOV[EMPRESA],$C$4,LANÇ_MOV[CENTRO DE CUSTOS],$D$4)</f>
        <v>0</v>
      </c>
      <c r="J606" s="206">
        <f>SUMIFS(LANÇ_MOV[VALOR LÍQUIDO],LANÇ_MOV[RECEITA OU DESPESA],"Receita",LANÇ_MOV[CONTAS],$C606,LANÇ_MOV[PLANO DE CONTAS],REL_DRE_FINANCEIRO!$B$549,LANÇ_MOV[ANO PAGAMENTO],$B$4,LANÇ_MOV[MÊS PAGAMENTO CORRESPONDENTE],J$6,LANÇ_MOV[EMPRESA],$C$4,LANÇ_MOV[CENTRO DE CUSTOS],$D$4)</f>
        <v>0</v>
      </c>
      <c r="K606" s="206">
        <f>SUMIFS(LANÇ_MOV[VALOR LÍQUIDO],LANÇ_MOV[RECEITA OU DESPESA],"Receita",LANÇ_MOV[CONTAS],$C606,LANÇ_MOV[PLANO DE CONTAS],REL_DRE_FINANCEIRO!$B$549,LANÇ_MOV[ANO PAGAMENTO],$B$4,LANÇ_MOV[MÊS PAGAMENTO CORRESPONDENTE],K$6,LANÇ_MOV[EMPRESA],$C$4,LANÇ_MOV[CENTRO DE CUSTOS],$D$4)</f>
        <v>0</v>
      </c>
      <c r="L606" s="206">
        <f>SUMIFS(LANÇ_MOV[VALOR LÍQUIDO],LANÇ_MOV[RECEITA OU DESPESA],"Receita",LANÇ_MOV[CONTAS],$C606,LANÇ_MOV[PLANO DE CONTAS],REL_DRE_FINANCEIRO!$B$549,LANÇ_MOV[ANO PAGAMENTO],$B$4,LANÇ_MOV[MÊS PAGAMENTO CORRESPONDENTE],L$6,LANÇ_MOV[EMPRESA],$C$4,LANÇ_MOV[CENTRO DE CUSTOS],$D$4)</f>
        <v>0</v>
      </c>
      <c r="M606" s="206">
        <f>SUMIFS(LANÇ_MOV[VALOR LÍQUIDO],LANÇ_MOV[RECEITA OU DESPESA],"Receita",LANÇ_MOV[CONTAS],$C606,LANÇ_MOV[PLANO DE CONTAS],REL_DRE_FINANCEIRO!$B$549,LANÇ_MOV[ANO PAGAMENTO],$B$4,LANÇ_MOV[MÊS PAGAMENTO CORRESPONDENTE],M$6,LANÇ_MOV[EMPRESA],$C$4,LANÇ_MOV[CENTRO DE CUSTOS],$D$4)</f>
        <v>0</v>
      </c>
      <c r="N606" s="206">
        <f>SUMIFS(LANÇ_MOV[VALOR LÍQUIDO],LANÇ_MOV[RECEITA OU DESPESA],"Receita",LANÇ_MOV[CONTAS],$C606,LANÇ_MOV[PLANO DE CONTAS],REL_DRE_FINANCEIRO!$B$549,LANÇ_MOV[ANO PAGAMENTO],$B$4,LANÇ_MOV[MÊS PAGAMENTO CORRESPONDENTE],N$6,LANÇ_MOV[EMPRESA],$C$4,LANÇ_MOV[CENTRO DE CUSTOS],$D$4)</f>
        <v>0</v>
      </c>
      <c r="O606" s="206">
        <f>SUMIFS(LANÇ_MOV[VALOR LÍQUIDO],LANÇ_MOV[RECEITA OU DESPESA],"Receita",LANÇ_MOV[CONTAS],$C606,LANÇ_MOV[PLANO DE CONTAS],REL_DRE_FINANCEIRO!$B$549,LANÇ_MOV[ANO PAGAMENTO],$B$4,LANÇ_MOV[MÊS PAGAMENTO CORRESPONDENTE],O$6,LANÇ_MOV[EMPRESA],$C$4,LANÇ_MOV[CENTRO DE CUSTOS],$D$4)</f>
        <v>0</v>
      </c>
      <c r="P606" s="207">
        <f t="shared" si="77"/>
        <v>0</v>
      </c>
      <c r="Q606" s="329">
        <v>4.4000000000000002E-6</v>
      </c>
      <c r="R606" s="346">
        <f t="shared" si="78"/>
        <v>4.4000000000000002E-6</v>
      </c>
      <c r="S606" s="347" t="str">
        <f t="shared" si="79"/>
        <v>-</v>
      </c>
      <c r="T606" s="347">
        <f t="shared" si="80"/>
        <v>0</v>
      </c>
      <c r="U606" s="347">
        <f>HLOOKUP(Apoio!$P$12,$D$548:$P$649,X606,FALSE)+Q606</f>
        <v>4.4000000000000002E-6</v>
      </c>
      <c r="V606" s="447" t="str">
        <f t="shared" si="81"/>
        <v>-</v>
      </c>
      <c r="W606" s="448">
        <f>HLOOKUP(Apoio!$P$12,$D$548:$P$649,X606,FALSE)</f>
        <v>0</v>
      </c>
      <c r="X606" s="329">
        <v>59</v>
      </c>
    </row>
    <row r="607" spans="2:24" ht="30.05" customHeight="1" x14ac:dyDescent="0.35">
      <c r="B607" s="204" t="str">
        <f>'CAD_PL_REC-DESP'!E62</f>
        <v>1.2.58</v>
      </c>
      <c r="C607" s="205" t="str">
        <f>IF('CAD_PL_REC-DESP'!F62="","-",'CAD_PL_REC-DESP'!F62)</f>
        <v>-</v>
      </c>
      <c r="D607" s="206">
        <f>SUMIFS(LANÇ_MOV[VALOR LÍQUIDO],LANÇ_MOV[RECEITA OU DESPESA],"Receita",LANÇ_MOV[CONTAS],$C607,LANÇ_MOV[PLANO DE CONTAS],REL_DRE_FINANCEIRO!$B$549,LANÇ_MOV[ANO PAGAMENTO],$B$4,LANÇ_MOV[MÊS PAGAMENTO CORRESPONDENTE],D$6,LANÇ_MOV[EMPRESA],$C$4,LANÇ_MOV[CENTRO DE CUSTOS],$D$4)</f>
        <v>0</v>
      </c>
      <c r="E607" s="206">
        <f>SUMIFS(LANÇ_MOV[VALOR LÍQUIDO],LANÇ_MOV[RECEITA OU DESPESA],"Receita",LANÇ_MOV[CONTAS],$C607,LANÇ_MOV[PLANO DE CONTAS],REL_DRE_FINANCEIRO!$B$549,LANÇ_MOV[ANO PAGAMENTO],$B$4,LANÇ_MOV[MÊS PAGAMENTO CORRESPONDENTE],E$6,LANÇ_MOV[EMPRESA],$C$4,LANÇ_MOV[CENTRO DE CUSTOS],$D$4)</f>
        <v>0</v>
      </c>
      <c r="F607" s="206">
        <f>SUMIFS(LANÇ_MOV[VALOR LÍQUIDO],LANÇ_MOV[RECEITA OU DESPESA],"Receita",LANÇ_MOV[CONTAS],$C607,LANÇ_MOV[PLANO DE CONTAS],REL_DRE_FINANCEIRO!$B$549,LANÇ_MOV[ANO PAGAMENTO],$B$4,LANÇ_MOV[MÊS PAGAMENTO CORRESPONDENTE],F$6,LANÇ_MOV[EMPRESA],$C$4,LANÇ_MOV[CENTRO DE CUSTOS],$D$4)</f>
        <v>0</v>
      </c>
      <c r="G607" s="206">
        <f>SUMIFS(LANÇ_MOV[VALOR LÍQUIDO],LANÇ_MOV[RECEITA OU DESPESA],"Receita",LANÇ_MOV[CONTAS],$C607,LANÇ_MOV[PLANO DE CONTAS],REL_DRE_FINANCEIRO!$B$549,LANÇ_MOV[ANO PAGAMENTO],$B$4,LANÇ_MOV[MÊS PAGAMENTO CORRESPONDENTE],G$6,LANÇ_MOV[EMPRESA],$C$4,LANÇ_MOV[CENTRO DE CUSTOS],$D$4)</f>
        <v>0</v>
      </c>
      <c r="H607" s="206">
        <f>SUMIFS(LANÇ_MOV[VALOR LÍQUIDO],LANÇ_MOV[RECEITA OU DESPESA],"Receita",LANÇ_MOV[CONTAS],$C607,LANÇ_MOV[PLANO DE CONTAS],REL_DRE_FINANCEIRO!$B$549,LANÇ_MOV[ANO PAGAMENTO],$B$4,LANÇ_MOV[MÊS PAGAMENTO CORRESPONDENTE],H$6,LANÇ_MOV[EMPRESA],$C$4,LANÇ_MOV[CENTRO DE CUSTOS],$D$4)</f>
        <v>0</v>
      </c>
      <c r="I607" s="206">
        <f>SUMIFS(LANÇ_MOV[VALOR LÍQUIDO],LANÇ_MOV[RECEITA OU DESPESA],"Receita",LANÇ_MOV[CONTAS],$C607,LANÇ_MOV[PLANO DE CONTAS],REL_DRE_FINANCEIRO!$B$549,LANÇ_MOV[ANO PAGAMENTO],$B$4,LANÇ_MOV[MÊS PAGAMENTO CORRESPONDENTE],I$6,LANÇ_MOV[EMPRESA],$C$4,LANÇ_MOV[CENTRO DE CUSTOS],$D$4)</f>
        <v>0</v>
      </c>
      <c r="J607" s="206">
        <f>SUMIFS(LANÇ_MOV[VALOR LÍQUIDO],LANÇ_MOV[RECEITA OU DESPESA],"Receita",LANÇ_MOV[CONTAS],$C607,LANÇ_MOV[PLANO DE CONTAS],REL_DRE_FINANCEIRO!$B$549,LANÇ_MOV[ANO PAGAMENTO],$B$4,LANÇ_MOV[MÊS PAGAMENTO CORRESPONDENTE],J$6,LANÇ_MOV[EMPRESA],$C$4,LANÇ_MOV[CENTRO DE CUSTOS],$D$4)</f>
        <v>0</v>
      </c>
      <c r="K607" s="206">
        <f>SUMIFS(LANÇ_MOV[VALOR LÍQUIDO],LANÇ_MOV[RECEITA OU DESPESA],"Receita",LANÇ_MOV[CONTAS],$C607,LANÇ_MOV[PLANO DE CONTAS],REL_DRE_FINANCEIRO!$B$549,LANÇ_MOV[ANO PAGAMENTO],$B$4,LANÇ_MOV[MÊS PAGAMENTO CORRESPONDENTE],K$6,LANÇ_MOV[EMPRESA],$C$4,LANÇ_MOV[CENTRO DE CUSTOS],$D$4)</f>
        <v>0</v>
      </c>
      <c r="L607" s="206">
        <f>SUMIFS(LANÇ_MOV[VALOR LÍQUIDO],LANÇ_MOV[RECEITA OU DESPESA],"Receita",LANÇ_MOV[CONTAS],$C607,LANÇ_MOV[PLANO DE CONTAS],REL_DRE_FINANCEIRO!$B$549,LANÇ_MOV[ANO PAGAMENTO],$B$4,LANÇ_MOV[MÊS PAGAMENTO CORRESPONDENTE],L$6,LANÇ_MOV[EMPRESA],$C$4,LANÇ_MOV[CENTRO DE CUSTOS],$D$4)</f>
        <v>0</v>
      </c>
      <c r="M607" s="206">
        <f>SUMIFS(LANÇ_MOV[VALOR LÍQUIDO],LANÇ_MOV[RECEITA OU DESPESA],"Receita",LANÇ_MOV[CONTAS],$C607,LANÇ_MOV[PLANO DE CONTAS],REL_DRE_FINANCEIRO!$B$549,LANÇ_MOV[ANO PAGAMENTO],$B$4,LANÇ_MOV[MÊS PAGAMENTO CORRESPONDENTE],M$6,LANÇ_MOV[EMPRESA],$C$4,LANÇ_MOV[CENTRO DE CUSTOS],$D$4)</f>
        <v>0</v>
      </c>
      <c r="N607" s="206">
        <f>SUMIFS(LANÇ_MOV[VALOR LÍQUIDO],LANÇ_MOV[RECEITA OU DESPESA],"Receita",LANÇ_MOV[CONTAS],$C607,LANÇ_MOV[PLANO DE CONTAS],REL_DRE_FINANCEIRO!$B$549,LANÇ_MOV[ANO PAGAMENTO],$B$4,LANÇ_MOV[MÊS PAGAMENTO CORRESPONDENTE],N$6,LANÇ_MOV[EMPRESA],$C$4,LANÇ_MOV[CENTRO DE CUSTOS],$D$4)</f>
        <v>0</v>
      </c>
      <c r="O607" s="206">
        <f>SUMIFS(LANÇ_MOV[VALOR LÍQUIDO],LANÇ_MOV[RECEITA OU DESPESA],"Receita",LANÇ_MOV[CONTAS],$C607,LANÇ_MOV[PLANO DE CONTAS],REL_DRE_FINANCEIRO!$B$549,LANÇ_MOV[ANO PAGAMENTO],$B$4,LANÇ_MOV[MÊS PAGAMENTO CORRESPONDENTE],O$6,LANÇ_MOV[EMPRESA],$C$4,LANÇ_MOV[CENTRO DE CUSTOS],$D$4)</f>
        <v>0</v>
      </c>
      <c r="P607" s="207">
        <f t="shared" si="77"/>
        <v>0</v>
      </c>
      <c r="Q607" s="329">
        <v>4.3000000000000003E-6</v>
      </c>
      <c r="R607" s="346">
        <f t="shared" si="78"/>
        <v>4.3000000000000003E-6</v>
      </c>
      <c r="S607" s="347" t="str">
        <f t="shared" si="79"/>
        <v>-</v>
      </c>
      <c r="T607" s="347">
        <f t="shared" si="80"/>
        <v>0</v>
      </c>
      <c r="U607" s="347">
        <f>HLOOKUP(Apoio!$P$12,$D$548:$P$649,X607,FALSE)+Q607</f>
        <v>4.3000000000000003E-6</v>
      </c>
      <c r="V607" s="447" t="str">
        <f t="shared" si="81"/>
        <v>-</v>
      </c>
      <c r="W607" s="448">
        <f>HLOOKUP(Apoio!$P$12,$D$548:$P$649,X607,FALSE)</f>
        <v>0</v>
      </c>
      <c r="X607" s="329">
        <v>60</v>
      </c>
    </row>
    <row r="608" spans="2:24" ht="30.05" customHeight="1" x14ac:dyDescent="0.35">
      <c r="B608" s="204" t="str">
        <f>'CAD_PL_REC-DESP'!E63</f>
        <v>1.2.59</v>
      </c>
      <c r="C608" s="205" t="str">
        <f>IF('CAD_PL_REC-DESP'!F63="","-",'CAD_PL_REC-DESP'!F63)</f>
        <v>-</v>
      </c>
      <c r="D608" s="206">
        <f>SUMIFS(LANÇ_MOV[VALOR LÍQUIDO],LANÇ_MOV[RECEITA OU DESPESA],"Receita",LANÇ_MOV[CONTAS],$C608,LANÇ_MOV[PLANO DE CONTAS],REL_DRE_FINANCEIRO!$B$549,LANÇ_MOV[ANO PAGAMENTO],$B$4,LANÇ_MOV[MÊS PAGAMENTO CORRESPONDENTE],D$6,LANÇ_MOV[EMPRESA],$C$4,LANÇ_MOV[CENTRO DE CUSTOS],$D$4)</f>
        <v>0</v>
      </c>
      <c r="E608" s="206">
        <f>SUMIFS(LANÇ_MOV[VALOR LÍQUIDO],LANÇ_MOV[RECEITA OU DESPESA],"Receita",LANÇ_MOV[CONTAS],$C608,LANÇ_MOV[PLANO DE CONTAS],REL_DRE_FINANCEIRO!$B$549,LANÇ_MOV[ANO PAGAMENTO],$B$4,LANÇ_MOV[MÊS PAGAMENTO CORRESPONDENTE],E$6,LANÇ_MOV[EMPRESA],$C$4,LANÇ_MOV[CENTRO DE CUSTOS],$D$4)</f>
        <v>0</v>
      </c>
      <c r="F608" s="206">
        <f>SUMIFS(LANÇ_MOV[VALOR LÍQUIDO],LANÇ_MOV[RECEITA OU DESPESA],"Receita",LANÇ_MOV[CONTAS],$C608,LANÇ_MOV[PLANO DE CONTAS],REL_DRE_FINANCEIRO!$B$549,LANÇ_MOV[ANO PAGAMENTO],$B$4,LANÇ_MOV[MÊS PAGAMENTO CORRESPONDENTE],F$6,LANÇ_MOV[EMPRESA],$C$4,LANÇ_MOV[CENTRO DE CUSTOS],$D$4)</f>
        <v>0</v>
      </c>
      <c r="G608" s="206">
        <f>SUMIFS(LANÇ_MOV[VALOR LÍQUIDO],LANÇ_MOV[RECEITA OU DESPESA],"Receita",LANÇ_MOV[CONTAS],$C608,LANÇ_MOV[PLANO DE CONTAS],REL_DRE_FINANCEIRO!$B$549,LANÇ_MOV[ANO PAGAMENTO],$B$4,LANÇ_MOV[MÊS PAGAMENTO CORRESPONDENTE],G$6,LANÇ_MOV[EMPRESA],$C$4,LANÇ_MOV[CENTRO DE CUSTOS],$D$4)</f>
        <v>0</v>
      </c>
      <c r="H608" s="206">
        <f>SUMIFS(LANÇ_MOV[VALOR LÍQUIDO],LANÇ_MOV[RECEITA OU DESPESA],"Receita",LANÇ_MOV[CONTAS],$C608,LANÇ_MOV[PLANO DE CONTAS],REL_DRE_FINANCEIRO!$B$549,LANÇ_MOV[ANO PAGAMENTO],$B$4,LANÇ_MOV[MÊS PAGAMENTO CORRESPONDENTE],H$6,LANÇ_MOV[EMPRESA],$C$4,LANÇ_MOV[CENTRO DE CUSTOS],$D$4)</f>
        <v>0</v>
      </c>
      <c r="I608" s="206">
        <f>SUMIFS(LANÇ_MOV[VALOR LÍQUIDO],LANÇ_MOV[RECEITA OU DESPESA],"Receita",LANÇ_MOV[CONTAS],$C608,LANÇ_MOV[PLANO DE CONTAS],REL_DRE_FINANCEIRO!$B$549,LANÇ_MOV[ANO PAGAMENTO],$B$4,LANÇ_MOV[MÊS PAGAMENTO CORRESPONDENTE],I$6,LANÇ_MOV[EMPRESA],$C$4,LANÇ_MOV[CENTRO DE CUSTOS],$D$4)</f>
        <v>0</v>
      </c>
      <c r="J608" s="206">
        <f>SUMIFS(LANÇ_MOV[VALOR LÍQUIDO],LANÇ_MOV[RECEITA OU DESPESA],"Receita",LANÇ_MOV[CONTAS],$C608,LANÇ_MOV[PLANO DE CONTAS],REL_DRE_FINANCEIRO!$B$549,LANÇ_MOV[ANO PAGAMENTO],$B$4,LANÇ_MOV[MÊS PAGAMENTO CORRESPONDENTE],J$6,LANÇ_MOV[EMPRESA],$C$4,LANÇ_MOV[CENTRO DE CUSTOS],$D$4)</f>
        <v>0</v>
      </c>
      <c r="K608" s="206">
        <f>SUMIFS(LANÇ_MOV[VALOR LÍQUIDO],LANÇ_MOV[RECEITA OU DESPESA],"Receita",LANÇ_MOV[CONTAS],$C608,LANÇ_MOV[PLANO DE CONTAS],REL_DRE_FINANCEIRO!$B$549,LANÇ_MOV[ANO PAGAMENTO],$B$4,LANÇ_MOV[MÊS PAGAMENTO CORRESPONDENTE],K$6,LANÇ_MOV[EMPRESA],$C$4,LANÇ_MOV[CENTRO DE CUSTOS],$D$4)</f>
        <v>0</v>
      </c>
      <c r="L608" s="206">
        <f>SUMIFS(LANÇ_MOV[VALOR LÍQUIDO],LANÇ_MOV[RECEITA OU DESPESA],"Receita",LANÇ_MOV[CONTAS],$C608,LANÇ_MOV[PLANO DE CONTAS],REL_DRE_FINANCEIRO!$B$549,LANÇ_MOV[ANO PAGAMENTO],$B$4,LANÇ_MOV[MÊS PAGAMENTO CORRESPONDENTE],L$6,LANÇ_MOV[EMPRESA],$C$4,LANÇ_MOV[CENTRO DE CUSTOS],$D$4)</f>
        <v>0</v>
      </c>
      <c r="M608" s="206">
        <f>SUMIFS(LANÇ_MOV[VALOR LÍQUIDO],LANÇ_MOV[RECEITA OU DESPESA],"Receita",LANÇ_MOV[CONTAS],$C608,LANÇ_MOV[PLANO DE CONTAS],REL_DRE_FINANCEIRO!$B$549,LANÇ_MOV[ANO PAGAMENTO],$B$4,LANÇ_MOV[MÊS PAGAMENTO CORRESPONDENTE],M$6,LANÇ_MOV[EMPRESA],$C$4,LANÇ_MOV[CENTRO DE CUSTOS],$D$4)</f>
        <v>0</v>
      </c>
      <c r="N608" s="206">
        <f>SUMIFS(LANÇ_MOV[VALOR LÍQUIDO],LANÇ_MOV[RECEITA OU DESPESA],"Receita",LANÇ_MOV[CONTAS],$C608,LANÇ_MOV[PLANO DE CONTAS],REL_DRE_FINANCEIRO!$B$549,LANÇ_MOV[ANO PAGAMENTO],$B$4,LANÇ_MOV[MÊS PAGAMENTO CORRESPONDENTE],N$6,LANÇ_MOV[EMPRESA],$C$4,LANÇ_MOV[CENTRO DE CUSTOS],$D$4)</f>
        <v>0</v>
      </c>
      <c r="O608" s="206">
        <f>SUMIFS(LANÇ_MOV[VALOR LÍQUIDO],LANÇ_MOV[RECEITA OU DESPESA],"Receita",LANÇ_MOV[CONTAS],$C608,LANÇ_MOV[PLANO DE CONTAS],REL_DRE_FINANCEIRO!$B$549,LANÇ_MOV[ANO PAGAMENTO],$B$4,LANÇ_MOV[MÊS PAGAMENTO CORRESPONDENTE],O$6,LANÇ_MOV[EMPRESA],$C$4,LANÇ_MOV[CENTRO DE CUSTOS],$D$4)</f>
        <v>0</v>
      </c>
      <c r="P608" s="207">
        <f t="shared" si="77"/>
        <v>0</v>
      </c>
      <c r="Q608" s="329">
        <v>4.1999999999999996E-6</v>
      </c>
      <c r="R608" s="346">
        <f t="shared" si="78"/>
        <v>4.1999999999999996E-6</v>
      </c>
      <c r="S608" s="347" t="str">
        <f t="shared" si="79"/>
        <v>-</v>
      </c>
      <c r="T608" s="347">
        <f t="shared" si="80"/>
        <v>0</v>
      </c>
      <c r="U608" s="347">
        <f>HLOOKUP(Apoio!$P$12,$D$548:$P$649,X608,FALSE)+Q608</f>
        <v>4.1999999999999996E-6</v>
      </c>
      <c r="V608" s="447" t="str">
        <f t="shared" si="81"/>
        <v>-</v>
      </c>
      <c r="W608" s="448">
        <f>HLOOKUP(Apoio!$P$12,$D$548:$P$649,X608,FALSE)</f>
        <v>0</v>
      </c>
      <c r="X608" s="329">
        <v>61</v>
      </c>
    </row>
    <row r="609" spans="2:24" ht="30.05" customHeight="1" x14ac:dyDescent="0.35">
      <c r="B609" s="204" t="str">
        <f>'CAD_PL_REC-DESP'!E64</f>
        <v>1.2.60</v>
      </c>
      <c r="C609" s="205" t="str">
        <f>IF('CAD_PL_REC-DESP'!F64="","-",'CAD_PL_REC-DESP'!F64)</f>
        <v>-</v>
      </c>
      <c r="D609" s="206">
        <f>SUMIFS(LANÇ_MOV[VALOR LÍQUIDO],LANÇ_MOV[RECEITA OU DESPESA],"Receita",LANÇ_MOV[CONTAS],$C609,LANÇ_MOV[PLANO DE CONTAS],REL_DRE_FINANCEIRO!$B$549,LANÇ_MOV[ANO PAGAMENTO],$B$4,LANÇ_MOV[MÊS PAGAMENTO CORRESPONDENTE],D$6,LANÇ_MOV[EMPRESA],$C$4,LANÇ_MOV[CENTRO DE CUSTOS],$D$4)</f>
        <v>0</v>
      </c>
      <c r="E609" s="206">
        <f>SUMIFS(LANÇ_MOV[VALOR LÍQUIDO],LANÇ_MOV[RECEITA OU DESPESA],"Receita",LANÇ_MOV[CONTAS],$C609,LANÇ_MOV[PLANO DE CONTAS],REL_DRE_FINANCEIRO!$B$549,LANÇ_MOV[ANO PAGAMENTO],$B$4,LANÇ_MOV[MÊS PAGAMENTO CORRESPONDENTE],E$6,LANÇ_MOV[EMPRESA],$C$4,LANÇ_MOV[CENTRO DE CUSTOS],$D$4)</f>
        <v>0</v>
      </c>
      <c r="F609" s="206">
        <f>SUMIFS(LANÇ_MOV[VALOR LÍQUIDO],LANÇ_MOV[RECEITA OU DESPESA],"Receita",LANÇ_MOV[CONTAS],$C609,LANÇ_MOV[PLANO DE CONTAS],REL_DRE_FINANCEIRO!$B$549,LANÇ_MOV[ANO PAGAMENTO],$B$4,LANÇ_MOV[MÊS PAGAMENTO CORRESPONDENTE],F$6,LANÇ_MOV[EMPRESA],$C$4,LANÇ_MOV[CENTRO DE CUSTOS],$D$4)</f>
        <v>0</v>
      </c>
      <c r="G609" s="206">
        <f>SUMIFS(LANÇ_MOV[VALOR LÍQUIDO],LANÇ_MOV[RECEITA OU DESPESA],"Receita",LANÇ_MOV[CONTAS],$C609,LANÇ_MOV[PLANO DE CONTAS],REL_DRE_FINANCEIRO!$B$549,LANÇ_MOV[ANO PAGAMENTO],$B$4,LANÇ_MOV[MÊS PAGAMENTO CORRESPONDENTE],G$6,LANÇ_MOV[EMPRESA],$C$4,LANÇ_MOV[CENTRO DE CUSTOS],$D$4)</f>
        <v>0</v>
      </c>
      <c r="H609" s="206">
        <f>SUMIFS(LANÇ_MOV[VALOR LÍQUIDO],LANÇ_MOV[RECEITA OU DESPESA],"Receita",LANÇ_MOV[CONTAS],$C609,LANÇ_MOV[PLANO DE CONTAS],REL_DRE_FINANCEIRO!$B$549,LANÇ_MOV[ANO PAGAMENTO],$B$4,LANÇ_MOV[MÊS PAGAMENTO CORRESPONDENTE],H$6,LANÇ_MOV[EMPRESA],$C$4,LANÇ_MOV[CENTRO DE CUSTOS],$D$4)</f>
        <v>0</v>
      </c>
      <c r="I609" s="206">
        <f>SUMIFS(LANÇ_MOV[VALOR LÍQUIDO],LANÇ_MOV[RECEITA OU DESPESA],"Receita",LANÇ_MOV[CONTAS],$C609,LANÇ_MOV[PLANO DE CONTAS],REL_DRE_FINANCEIRO!$B$549,LANÇ_MOV[ANO PAGAMENTO],$B$4,LANÇ_MOV[MÊS PAGAMENTO CORRESPONDENTE],I$6,LANÇ_MOV[EMPRESA],$C$4,LANÇ_MOV[CENTRO DE CUSTOS],$D$4)</f>
        <v>0</v>
      </c>
      <c r="J609" s="206">
        <f>SUMIFS(LANÇ_MOV[VALOR LÍQUIDO],LANÇ_MOV[RECEITA OU DESPESA],"Receita",LANÇ_MOV[CONTAS],$C609,LANÇ_MOV[PLANO DE CONTAS],REL_DRE_FINANCEIRO!$B$549,LANÇ_MOV[ANO PAGAMENTO],$B$4,LANÇ_MOV[MÊS PAGAMENTO CORRESPONDENTE],J$6,LANÇ_MOV[EMPRESA],$C$4,LANÇ_MOV[CENTRO DE CUSTOS],$D$4)</f>
        <v>0</v>
      </c>
      <c r="K609" s="206">
        <f>SUMIFS(LANÇ_MOV[VALOR LÍQUIDO],LANÇ_MOV[RECEITA OU DESPESA],"Receita",LANÇ_MOV[CONTAS],$C609,LANÇ_MOV[PLANO DE CONTAS],REL_DRE_FINANCEIRO!$B$549,LANÇ_MOV[ANO PAGAMENTO],$B$4,LANÇ_MOV[MÊS PAGAMENTO CORRESPONDENTE],K$6,LANÇ_MOV[EMPRESA],$C$4,LANÇ_MOV[CENTRO DE CUSTOS],$D$4)</f>
        <v>0</v>
      </c>
      <c r="L609" s="206">
        <f>SUMIFS(LANÇ_MOV[VALOR LÍQUIDO],LANÇ_MOV[RECEITA OU DESPESA],"Receita",LANÇ_MOV[CONTAS],$C609,LANÇ_MOV[PLANO DE CONTAS],REL_DRE_FINANCEIRO!$B$549,LANÇ_MOV[ANO PAGAMENTO],$B$4,LANÇ_MOV[MÊS PAGAMENTO CORRESPONDENTE],L$6,LANÇ_MOV[EMPRESA],$C$4,LANÇ_MOV[CENTRO DE CUSTOS],$D$4)</f>
        <v>0</v>
      </c>
      <c r="M609" s="206">
        <f>SUMIFS(LANÇ_MOV[VALOR LÍQUIDO],LANÇ_MOV[RECEITA OU DESPESA],"Receita",LANÇ_MOV[CONTAS],$C609,LANÇ_MOV[PLANO DE CONTAS],REL_DRE_FINANCEIRO!$B$549,LANÇ_MOV[ANO PAGAMENTO],$B$4,LANÇ_MOV[MÊS PAGAMENTO CORRESPONDENTE],M$6,LANÇ_MOV[EMPRESA],$C$4,LANÇ_MOV[CENTRO DE CUSTOS],$D$4)</f>
        <v>0</v>
      </c>
      <c r="N609" s="206">
        <f>SUMIFS(LANÇ_MOV[VALOR LÍQUIDO],LANÇ_MOV[RECEITA OU DESPESA],"Receita",LANÇ_MOV[CONTAS],$C609,LANÇ_MOV[PLANO DE CONTAS],REL_DRE_FINANCEIRO!$B$549,LANÇ_MOV[ANO PAGAMENTO],$B$4,LANÇ_MOV[MÊS PAGAMENTO CORRESPONDENTE],N$6,LANÇ_MOV[EMPRESA],$C$4,LANÇ_MOV[CENTRO DE CUSTOS],$D$4)</f>
        <v>0</v>
      </c>
      <c r="O609" s="206">
        <f>SUMIFS(LANÇ_MOV[VALOR LÍQUIDO],LANÇ_MOV[RECEITA OU DESPESA],"Receita",LANÇ_MOV[CONTAS],$C609,LANÇ_MOV[PLANO DE CONTAS],REL_DRE_FINANCEIRO!$B$549,LANÇ_MOV[ANO PAGAMENTO],$B$4,LANÇ_MOV[MÊS PAGAMENTO CORRESPONDENTE],O$6,LANÇ_MOV[EMPRESA],$C$4,LANÇ_MOV[CENTRO DE CUSTOS],$D$4)</f>
        <v>0</v>
      </c>
      <c r="P609" s="207">
        <f t="shared" si="77"/>
        <v>0</v>
      </c>
      <c r="Q609" s="329">
        <v>4.0999999999999997E-6</v>
      </c>
      <c r="R609" s="346">
        <f t="shared" si="78"/>
        <v>4.0999999999999997E-6</v>
      </c>
      <c r="S609" s="347" t="str">
        <f t="shared" si="79"/>
        <v>-</v>
      </c>
      <c r="T609" s="347">
        <f t="shared" si="80"/>
        <v>0</v>
      </c>
      <c r="U609" s="347">
        <f>HLOOKUP(Apoio!$P$12,$D$548:$P$649,X609,FALSE)+Q609</f>
        <v>4.0999999999999997E-6</v>
      </c>
      <c r="V609" s="447" t="str">
        <f t="shared" si="81"/>
        <v>-</v>
      </c>
      <c r="W609" s="448">
        <f>HLOOKUP(Apoio!$P$12,$D$548:$P$649,X609,FALSE)</f>
        <v>0</v>
      </c>
      <c r="X609" s="329">
        <v>62</v>
      </c>
    </row>
    <row r="610" spans="2:24" ht="30.05" customHeight="1" x14ac:dyDescent="0.35">
      <c r="B610" s="204" t="str">
        <f>'CAD_PL_REC-DESP'!E65</f>
        <v>1.2.61</v>
      </c>
      <c r="C610" s="205" t="str">
        <f>IF('CAD_PL_REC-DESP'!F65="","-",'CAD_PL_REC-DESP'!F65)</f>
        <v>-</v>
      </c>
      <c r="D610" s="206">
        <f>SUMIFS(LANÇ_MOV[VALOR LÍQUIDO],LANÇ_MOV[RECEITA OU DESPESA],"Receita",LANÇ_MOV[CONTAS],$C610,LANÇ_MOV[PLANO DE CONTAS],REL_DRE_FINANCEIRO!$B$549,LANÇ_MOV[ANO PAGAMENTO],$B$4,LANÇ_MOV[MÊS PAGAMENTO CORRESPONDENTE],D$6,LANÇ_MOV[EMPRESA],$C$4,LANÇ_MOV[CENTRO DE CUSTOS],$D$4)</f>
        <v>0</v>
      </c>
      <c r="E610" s="206">
        <f>SUMIFS(LANÇ_MOV[VALOR LÍQUIDO],LANÇ_MOV[RECEITA OU DESPESA],"Receita",LANÇ_MOV[CONTAS],$C610,LANÇ_MOV[PLANO DE CONTAS],REL_DRE_FINANCEIRO!$B$549,LANÇ_MOV[ANO PAGAMENTO],$B$4,LANÇ_MOV[MÊS PAGAMENTO CORRESPONDENTE],E$6,LANÇ_MOV[EMPRESA],$C$4,LANÇ_MOV[CENTRO DE CUSTOS],$D$4)</f>
        <v>0</v>
      </c>
      <c r="F610" s="206">
        <f>SUMIFS(LANÇ_MOV[VALOR LÍQUIDO],LANÇ_MOV[RECEITA OU DESPESA],"Receita",LANÇ_MOV[CONTAS],$C610,LANÇ_MOV[PLANO DE CONTAS],REL_DRE_FINANCEIRO!$B$549,LANÇ_MOV[ANO PAGAMENTO],$B$4,LANÇ_MOV[MÊS PAGAMENTO CORRESPONDENTE],F$6,LANÇ_MOV[EMPRESA],$C$4,LANÇ_MOV[CENTRO DE CUSTOS],$D$4)</f>
        <v>0</v>
      </c>
      <c r="G610" s="206">
        <f>SUMIFS(LANÇ_MOV[VALOR LÍQUIDO],LANÇ_MOV[RECEITA OU DESPESA],"Receita",LANÇ_MOV[CONTAS],$C610,LANÇ_MOV[PLANO DE CONTAS],REL_DRE_FINANCEIRO!$B$549,LANÇ_MOV[ANO PAGAMENTO],$B$4,LANÇ_MOV[MÊS PAGAMENTO CORRESPONDENTE],G$6,LANÇ_MOV[EMPRESA],$C$4,LANÇ_MOV[CENTRO DE CUSTOS],$D$4)</f>
        <v>0</v>
      </c>
      <c r="H610" s="206">
        <f>SUMIFS(LANÇ_MOV[VALOR LÍQUIDO],LANÇ_MOV[RECEITA OU DESPESA],"Receita",LANÇ_MOV[CONTAS],$C610,LANÇ_MOV[PLANO DE CONTAS],REL_DRE_FINANCEIRO!$B$549,LANÇ_MOV[ANO PAGAMENTO],$B$4,LANÇ_MOV[MÊS PAGAMENTO CORRESPONDENTE],H$6,LANÇ_MOV[EMPRESA],$C$4,LANÇ_MOV[CENTRO DE CUSTOS],$D$4)</f>
        <v>0</v>
      </c>
      <c r="I610" s="206">
        <f>SUMIFS(LANÇ_MOV[VALOR LÍQUIDO],LANÇ_MOV[RECEITA OU DESPESA],"Receita",LANÇ_MOV[CONTAS],$C610,LANÇ_MOV[PLANO DE CONTAS],REL_DRE_FINANCEIRO!$B$549,LANÇ_MOV[ANO PAGAMENTO],$B$4,LANÇ_MOV[MÊS PAGAMENTO CORRESPONDENTE],I$6,LANÇ_MOV[EMPRESA],$C$4,LANÇ_MOV[CENTRO DE CUSTOS],$D$4)</f>
        <v>0</v>
      </c>
      <c r="J610" s="206">
        <f>SUMIFS(LANÇ_MOV[VALOR LÍQUIDO],LANÇ_MOV[RECEITA OU DESPESA],"Receita",LANÇ_MOV[CONTAS],$C610,LANÇ_MOV[PLANO DE CONTAS],REL_DRE_FINANCEIRO!$B$549,LANÇ_MOV[ANO PAGAMENTO],$B$4,LANÇ_MOV[MÊS PAGAMENTO CORRESPONDENTE],J$6,LANÇ_MOV[EMPRESA],$C$4,LANÇ_MOV[CENTRO DE CUSTOS],$D$4)</f>
        <v>0</v>
      </c>
      <c r="K610" s="206">
        <f>SUMIFS(LANÇ_MOV[VALOR LÍQUIDO],LANÇ_MOV[RECEITA OU DESPESA],"Receita",LANÇ_MOV[CONTAS],$C610,LANÇ_MOV[PLANO DE CONTAS],REL_DRE_FINANCEIRO!$B$549,LANÇ_MOV[ANO PAGAMENTO],$B$4,LANÇ_MOV[MÊS PAGAMENTO CORRESPONDENTE],K$6,LANÇ_MOV[EMPRESA],$C$4,LANÇ_MOV[CENTRO DE CUSTOS],$D$4)</f>
        <v>0</v>
      </c>
      <c r="L610" s="206">
        <f>SUMIFS(LANÇ_MOV[VALOR LÍQUIDO],LANÇ_MOV[RECEITA OU DESPESA],"Receita",LANÇ_MOV[CONTAS],$C610,LANÇ_MOV[PLANO DE CONTAS],REL_DRE_FINANCEIRO!$B$549,LANÇ_MOV[ANO PAGAMENTO],$B$4,LANÇ_MOV[MÊS PAGAMENTO CORRESPONDENTE],L$6,LANÇ_MOV[EMPRESA],$C$4,LANÇ_MOV[CENTRO DE CUSTOS],$D$4)</f>
        <v>0</v>
      </c>
      <c r="M610" s="206">
        <f>SUMIFS(LANÇ_MOV[VALOR LÍQUIDO],LANÇ_MOV[RECEITA OU DESPESA],"Receita",LANÇ_MOV[CONTAS],$C610,LANÇ_MOV[PLANO DE CONTAS],REL_DRE_FINANCEIRO!$B$549,LANÇ_MOV[ANO PAGAMENTO],$B$4,LANÇ_MOV[MÊS PAGAMENTO CORRESPONDENTE],M$6,LANÇ_MOV[EMPRESA],$C$4,LANÇ_MOV[CENTRO DE CUSTOS],$D$4)</f>
        <v>0</v>
      </c>
      <c r="N610" s="206">
        <f>SUMIFS(LANÇ_MOV[VALOR LÍQUIDO],LANÇ_MOV[RECEITA OU DESPESA],"Receita",LANÇ_MOV[CONTAS],$C610,LANÇ_MOV[PLANO DE CONTAS],REL_DRE_FINANCEIRO!$B$549,LANÇ_MOV[ANO PAGAMENTO],$B$4,LANÇ_MOV[MÊS PAGAMENTO CORRESPONDENTE],N$6,LANÇ_MOV[EMPRESA],$C$4,LANÇ_MOV[CENTRO DE CUSTOS],$D$4)</f>
        <v>0</v>
      </c>
      <c r="O610" s="206">
        <f>SUMIFS(LANÇ_MOV[VALOR LÍQUIDO],LANÇ_MOV[RECEITA OU DESPESA],"Receita",LANÇ_MOV[CONTAS],$C610,LANÇ_MOV[PLANO DE CONTAS],REL_DRE_FINANCEIRO!$B$549,LANÇ_MOV[ANO PAGAMENTO],$B$4,LANÇ_MOV[MÊS PAGAMENTO CORRESPONDENTE],O$6,LANÇ_MOV[EMPRESA],$C$4,LANÇ_MOV[CENTRO DE CUSTOS],$D$4)</f>
        <v>0</v>
      </c>
      <c r="P610" s="207">
        <f t="shared" si="77"/>
        <v>0</v>
      </c>
      <c r="Q610" s="329">
        <v>3.9999999999999998E-6</v>
      </c>
      <c r="R610" s="346">
        <f t="shared" si="78"/>
        <v>3.9999999999999998E-6</v>
      </c>
      <c r="S610" s="347" t="str">
        <f t="shared" si="79"/>
        <v>-</v>
      </c>
      <c r="T610" s="347">
        <f t="shared" si="80"/>
        <v>0</v>
      </c>
      <c r="U610" s="347">
        <f>HLOOKUP(Apoio!$P$12,$D$548:$P$649,X610,FALSE)+Q610</f>
        <v>3.9999999999999998E-6</v>
      </c>
      <c r="V610" s="447" t="str">
        <f t="shared" si="81"/>
        <v>-</v>
      </c>
      <c r="W610" s="448">
        <f>HLOOKUP(Apoio!$P$12,$D$548:$P$649,X610,FALSE)</f>
        <v>0</v>
      </c>
      <c r="X610" s="329">
        <v>63</v>
      </c>
    </row>
    <row r="611" spans="2:24" ht="30.05" customHeight="1" x14ac:dyDescent="0.35">
      <c r="B611" s="204" t="str">
        <f>'CAD_PL_REC-DESP'!E66</f>
        <v>1.2.62</v>
      </c>
      <c r="C611" s="205" t="str">
        <f>IF('CAD_PL_REC-DESP'!F66="","-",'CAD_PL_REC-DESP'!F66)</f>
        <v>-</v>
      </c>
      <c r="D611" s="206">
        <f>SUMIFS(LANÇ_MOV[VALOR LÍQUIDO],LANÇ_MOV[RECEITA OU DESPESA],"Receita",LANÇ_MOV[CONTAS],$C611,LANÇ_MOV[PLANO DE CONTAS],REL_DRE_FINANCEIRO!$B$549,LANÇ_MOV[ANO PAGAMENTO],$B$4,LANÇ_MOV[MÊS PAGAMENTO CORRESPONDENTE],D$6,LANÇ_MOV[EMPRESA],$C$4,LANÇ_MOV[CENTRO DE CUSTOS],$D$4)</f>
        <v>0</v>
      </c>
      <c r="E611" s="206">
        <f>SUMIFS(LANÇ_MOV[VALOR LÍQUIDO],LANÇ_MOV[RECEITA OU DESPESA],"Receita",LANÇ_MOV[CONTAS],$C611,LANÇ_MOV[PLANO DE CONTAS],REL_DRE_FINANCEIRO!$B$549,LANÇ_MOV[ANO PAGAMENTO],$B$4,LANÇ_MOV[MÊS PAGAMENTO CORRESPONDENTE],E$6,LANÇ_MOV[EMPRESA],$C$4,LANÇ_MOV[CENTRO DE CUSTOS],$D$4)</f>
        <v>0</v>
      </c>
      <c r="F611" s="206">
        <f>SUMIFS(LANÇ_MOV[VALOR LÍQUIDO],LANÇ_MOV[RECEITA OU DESPESA],"Receita",LANÇ_MOV[CONTAS],$C611,LANÇ_MOV[PLANO DE CONTAS],REL_DRE_FINANCEIRO!$B$549,LANÇ_MOV[ANO PAGAMENTO],$B$4,LANÇ_MOV[MÊS PAGAMENTO CORRESPONDENTE],F$6,LANÇ_MOV[EMPRESA],$C$4,LANÇ_MOV[CENTRO DE CUSTOS],$D$4)</f>
        <v>0</v>
      </c>
      <c r="G611" s="206">
        <f>SUMIFS(LANÇ_MOV[VALOR LÍQUIDO],LANÇ_MOV[RECEITA OU DESPESA],"Receita",LANÇ_MOV[CONTAS],$C611,LANÇ_MOV[PLANO DE CONTAS],REL_DRE_FINANCEIRO!$B$549,LANÇ_MOV[ANO PAGAMENTO],$B$4,LANÇ_MOV[MÊS PAGAMENTO CORRESPONDENTE],G$6,LANÇ_MOV[EMPRESA],$C$4,LANÇ_MOV[CENTRO DE CUSTOS],$D$4)</f>
        <v>0</v>
      </c>
      <c r="H611" s="206">
        <f>SUMIFS(LANÇ_MOV[VALOR LÍQUIDO],LANÇ_MOV[RECEITA OU DESPESA],"Receita",LANÇ_MOV[CONTAS],$C611,LANÇ_MOV[PLANO DE CONTAS],REL_DRE_FINANCEIRO!$B$549,LANÇ_MOV[ANO PAGAMENTO],$B$4,LANÇ_MOV[MÊS PAGAMENTO CORRESPONDENTE],H$6,LANÇ_MOV[EMPRESA],$C$4,LANÇ_MOV[CENTRO DE CUSTOS],$D$4)</f>
        <v>0</v>
      </c>
      <c r="I611" s="206">
        <f>SUMIFS(LANÇ_MOV[VALOR LÍQUIDO],LANÇ_MOV[RECEITA OU DESPESA],"Receita",LANÇ_MOV[CONTAS],$C611,LANÇ_MOV[PLANO DE CONTAS],REL_DRE_FINANCEIRO!$B$549,LANÇ_MOV[ANO PAGAMENTO],$B$4,LANÇ_MOV[MÊS PAGAMENTO CORRESPONDENTE],I$6,LANÇ_MOV[EMPRESA],$C$4,LANÇ_MOV[CENTRO DE CUSTOS],$D$4)</f>
        <v>0</v>
      </c>
      <c r="J611" s="206">
        <f>SUMIFS(LANÇ_MOV[VALOR LÍQUIDO],LANÇ_MOV[RECEITA OU DESPESA],"Receita",LANÇ_MOV[CONTAS],$C611,LANÇ_MOV[PLANO DE CONTAS],REL_DRE_FINANCEIRO!$B$549,LANÇ_MOV[ANO PAGAMENTO],$B$4,LANÇ_MOV[MÊS PAGAMENTO CORRESPONDENTE],J$6,LANÇ_MOV[EMPRESA],$C$4,LANÇ_MOV[CENTRO DE CUSTOS],$D$4)</f>
        <v>0</v>
      </c>
      <c r="K611" s="206">
        <f>SUMIFS(LANÇ_MOV[VALOR LÍQUIDO],LANÇ_MOV[RECEITA OU DESPESA],"Receita",LANÇ_MOV[CONTAS],$C611,LANÇ_MOV[PLANO DE CONTAS],REL_DRE_FINANCEIRO!$B$549,LANÇ_MOV[ANO PAGAMENTO],$B$4,LANÇ_MOV[MÊS PAGAMENTO CORRESPONDENTE],K$6,LANÇ_MOV[EMPRESA],$C$4,LANÇ_MOV[CENTRO DE CUSTOS],$D$4)</f>
        <v>0</v>
      </c>
      <c r="L611" s="206">
        <f>SUMIFS(LANÇ_MOV[VALOR LÍQUIDO],LANÇ_MOV[RECEITA OU DESPESA],"Receita",LANÇ_MOV[CONTAS],$C611,LANÇ_MOV[PLANO DE CONTAS],REL_DRE_FINANCEIRO!$B$549,LANÇ_MOV[ANO PAGAMENTO],$B$4,LANÇ_MOV[MÊS PAGAMENTO CORRESPONDENTE],L$6,LANÇ_MOV[EMPRESA],$C$4,LANÇ_MOV[CENTRO DE CUSTOS],$D$4)</f>
        <v>0</v>
      </c>
      <c r="M611" s="206">
        <f>SUMIFS(LANÇ_MOV[VALOR LÍQUIDO],LANÇ_MOV[RECEITA OU DESPESA],"Receita",LANÇ_MOV[CONTAS],$C611,LANÇ_MOV[PLANO DE CONTAS],REL_DRE_FINANCEIRO!$B$549,LANÇ_MOV[ANO PAGAMENTO],$B$4,LANÇ_MOV[MÊS PAGAMENTO CORRESPONDENTE],M$6,LANÇ_MOV[EMPRESA],$C$4,LANÇ_MOV[CENTRO DE CUSTOS],$D$4)</f>
        <v>0</v>
      </c>
      <c r="N611" s="206">
        <f>SUMIFS(LANÇ_MOV[VALOR LÍQUIDO],LANÇ_MOV[RECEITA OU DESPESA],"Receita",LANÇ_MOV[CONTAS],$C611,LANÇ_MOV[PLANO DE CONTAS],REL_DRE_FINANCEIRO!$B$549,LANÇ_MOV[ANO PAGAMENTO],$B$4,LANÇ_MOV[MÊS PAGAMENTO CORRESPONDENTE],N$6,LANÇ_MOV[EMPRESA],$C$4,LANÇ_MOV[CENTRO DE CUSTOS],$D$4)</f>
        <v>0</v>
      </c>
      <c r="O611" s="206">
        <f>SUMIFS(LANÇ_MOV[VALOR LÍQUIDO],LANÇ_MOV[RECEITA OU DESPESA],"Receita",LANÇ_MOV[CONTAS],$C611,LANÇ_MOV[PLANO DE CONTAS],REL_DRE_FINANCEIRO!$B$549,LANÇ_MOV[ANO PAGAMENTO],$B$4,LANÇ_MOV[MÊS PAGAMENTO CORRESPONDENTE],O$6,LANÇ_MOV[EMPRESA],$C$4,LANÇ_MOV[CENTRO DE CUSTOS],$D$4)</f>
        <v>0</v>
      </c>
      <c r="P611" s="207">
        <f t="shared" si="77"/>
        <v>0</v>
      </c>
      <c r="Q611" s="329">
        <v>3.8999999999999999E-6</v>
      </c>
      <c r="R611" s="346">
        <f t="shared" si="78"/>
        <v>3.8999999999999999E-6</v>
      </c>
      <c r="S611" s="347" t="str">
        <f t="shared" si="79"/>
        <v>-</v>
      </c>
      <c r="T611" s="347">
        <f t="shared" si="80"/>
        <v>0</v>
      </c>
      <c r="U611" s="347">
        <f>HLOOKUP(Apoio!$P$12,$D$548:$P$649,X611,FALSE)+Q611</f>
        <v>3.8999999999999999E-6</v>
      </c>
      <c r="V611" s="447" t="str">
        <f t="shared" si="81"/>
        <v>-</v>
      </c>
      <c r="W611" s="448">
        <f>HLOOKUP(Apoio!$P$12,$D$548:$P$649,X611,FALSE)</f>
        <v>0</v>
      </c>
      <c r="X611" s="329">
        <v>64</v>
      </c>
    </row>
    <row r="612" spans="2:24" ht="30.05" customHeight="1" x14ac:dyDescent="0.35">
      <c r="B612" s="204" t="str">
        <f>'CAD_PL_REC-DESP'!E67</f>
        <v>1.2.63</v>
      </c>
      <c r="C612" s="205" t="str">
        <f>IF('CAD_PL_REC-DESP'!F67="","-",'CAD_PL_REC-DESP'!F67)</f>
        <v>-</v>
      </c>
      <c r="D612" s="206">
        <f>SUMIFS(LANÇ_MOV[VALOR LÍQUIDO],LANÇ_MOV[RECEITA OU DESPESA],"Receita",LANÇ_MOV[CONTAS],$C612,LANÇ_MOV[PLANO DE CONTAS],REL_DRE_FINANCEIRO!$B$549,LANÇ_MOV[ANO PAGAMENTO],$B$4,LANÇ_MOV[MÊS PAGAMENTO CORRESPONDENTE],D$6,LANÇ_MOV[EMPRESA],$C$4,LANÇ_MOV[CENTRO DE CUSTOS],$D$4)</f>
        <v>0</v>
      </c>
      <c r="E612" s="206">
        <f>SUMIFS(LANÇ_MOV[VALOR LÍQUIDO],LANÇ_MOV[RECEITA OU DESPESA],"Receita",LANÇ_MOV[CONTAS],$C612,LANÇ_MOV[PLANO DE CONTAS],REL_DRE_FINANCEIRO!$B$549,LANÇ_MOV[ANO PAGAMENTO],$B$4,LANÇ_MOV[MÊS PAGAMENTO CORRESPONDENTE],E$6,LANÇ_MOV[EMPRESA],$C$4,LANÇ_MOV[CENTRO DE CUSTOS],$D$4)</f>
        <v>0</v>
      </c>
      <c r="F612" s="206">
        <f>SUMIFS(LANÇ_MOV[VALOR LÍQUIDO],LANÇ_MOV[RECEITA OU DESPESA],"Receita",LANÇ_MOV[CONTAS],$C612,LANÇ_MOV[PLANO DE CONTAS],REL_DRE_FINANCEIRO!$B$549,LANÇ_MOV[ANO PAGAMENTO],$B$4,LANÇ_MOV[MÊS PAGAMENTO CORRESPONDENTE],F$6,LANÇ_MOV[EMPRESA],$C$4,LANÇ_MOV[CENTRO DE CUSTOS],$D$4)</f>
        <v>0</v>
      </c>
      <c r="G612" s="206">
        <f>SUMIFS(LANÇ_MOV[VALOR LÍQUIDO],LANÇ_MOV[RECEITA OU DESPESA],"Receita",LANÇ_MOV[CONTAS],$C612,LANÇ_MOV[PLANO DE CONTAS],REL_DRE_FINANCEIRO!$B$549,LANÇ_MOV[ANO PAGAMENTO],$B$4,LANÇ_MOV[MÊS PAGAMENTO CORRESPONDENTE],G$6,LANÇ_MOV[EMPRESA],$C$4,LANÇ_MOV[CENTRO DE CUSTOS],$D$4)</f>
        <v>0</v>
      </c>
      <c r="H612" s="206">
        <f>SUMIFS(LANÇ_MOV[VALOR LÍQUIDO],LANÇ_MOV[RECEITA OU DESPESA],"Receita",LANÇ_MOV[CONTAS],$C612,LANÇ_MOV[PLANO DE CONTAS],REL_DRE_FINANCEIRO!$B$549,LANÇ_MOV[ANO PAGAMENTO],$B$4,LANÇ_MOV[MÊS PAGAMENTO CORRESPONDENTE],H$6,LANÇ_MOV[EMPRESA],$C$4,LANÇ_MOV[CENTRO DE CUSTOS],$D$4)</f>
        <v>0</v>
      </c>
      <c r="I612" s="206">
        <f>SUMIFS(LANÇ_MOV[VALOR LÍQUIDO],LANÇ_MOV[RECEITA OU DESPESA],"Receita",LANÇ_MOV[CONTAS],$C612,LANÇ_MOV[PLANO DE CONTAS],REL_DRE_FINANCEIRO!$B$549,LANÇ_MOV[ANO PAGAMENTO],$B$4,LANÇ_MOV[MÊS PAGAMENTO CORRESPONDENTE],I$6,LANÇ_MOV[EMPRESA],$C$4,LANÇ_MOV[CENTRO DE CUSTOS],$D$4)</f>
        <v>0</v>
      </c>
      <c r="J612" s="206">
        <f>SUMIFS(LANÇ_MOV[VALOR LÍQUIDO],LANÇ_MOV[RECEITA OU DESPESA],"Receita",LANÇ_MOV[CONTAS],$C612,LANÇ_MOV[PLANO DE CONTAS],REL_DRE_FINANCEIRO!$B$549,LANÇ_MOV[ANO PAGAMENTO],$B$4,LANÇ_MOV[MÊS PAGAMENTO CORRESPONDENTE],J$6,LANÇ_MOV[EMPRESA],$C$4,LANÇ_MOV[CENTRO DE CUSTOS],$D$4)</f>
        <v>0</v>
      </c>
      <c r="K612" s="206">
        <f>SUMIFS(LANÇ_MOV[VALOR LÍQUIDO],LANÇ_MOV[RECEITA OU DESPESA],"Receita",LANÇ_MOV[CONTAS],$C612,LANÇ_MOV[PLANO DE CONTAS],REL_DRE_FINANCEIRO!$B$549,LANÇ_MOV[ANO PAGAMENTO],$B$4,LANÇ_MOV[MÊS PAGAMENTO CORRESPONDENTE],K$6,LANÇ_MOV[EMPRESA],$C$4,LANÇ_MOV[CENTRO DE CUSTOS],$D$4)</f>
        <v>0</v>
      </c>
      <c r="L612" s="206">
        <f>SUMIFS(LANÇ_MOV[VALOR LÍQUIDO],LANÇ_MOV[RECEITA OU DESPESA],"Receita",LANÇ_MOV[CONTAS],$C612,LANÇ_MOV[PLANO DE CONTAS],REL_DRE_FINANCEIRO!$B$549,LANÇ_MOV[ANO PAGAMENTO],$B$4,LANÇ_MOV[MÊS PAGAMENTO CORRESPONDENTE],L$6,LANÇ_MOV[EMPRESA],$C$4,LANÇ_MOV[CENTRO DE CUSTOS],$D$4)</f>
        <v>0</v>
      </c>
      <c r="M612" s="206">
        <f>SUMIFS(LANÇ_MOV[VALOR LÍQUIDO],LANÇ_MOV[RECEITA OU DESPESA],"Receita",LANÇ_MOV[CONTAS],$C612,LANÇ_MOV[PLANO DE CONTAS],REL_DRE_FINANCEIRO!$B$549,LANÇ_MOV[ANO PAGAMENTO],$B$4,LANÇ_MOV[MÊS PAGAMENTO CORRESPONDENTE],M$6,LANÇ_MOV[EMPRESA],$C$4,LANÇ_MOV[CENTRO DE CUSTOS],$D$4)</f>
        <v>0</v>
      </c>
      <c r="N612" s="206">
        <f>SUMIFS(LANÇ_MOV[VALOR LÍQUIDO],LANÇ_MOV[RECEITA OU DESPESA],"Receita",LANÇ_MOV[CONTAS],$C612,LANÇ_MOV[PLANO DE CONTAS],REL_DRE_FINANCEIRO!$B$549,LANÇ_MOV[ANO PAGAMENTO],$B$4,LANÇ_MOV[MÊS PAGAMENTO CORRESPONDENTE],N$6,LANÇ_MOV[EMPRESA],$C$4,LANÇ_MOV[CENTRO DE CUSTOS],$D$4)</f>
        <v>0</v>
      </c>
      <c r="O612" s="206">
        <f>SUMIFS(LANÇ_MOV[VALOR LÍQUIDO],LANÇ_MOV[RECEITA OU DESPESA],"Receita",LANÇ_MOV[CONTAS],$C612,LANÇ_MOV[PLANO DE CONTAS],REL_DRE_FINANCEIRO!$B$549,LANÇ_MOV[ANO PAGAMENTO],$B$4,LANÇ_MOV[MÊS PAGAMENTO CORRESPONDENTE],O$6,LANÇ_MOV[EMPRESA],$C$4,LANÇ_MOV[CENTRO DE CUSTOS],$D$4)</f>
        <v>0</v>
      </c>
      <c r="P612" s="207">
        <f t="shared" si="77"/>
        <v>0</v>
      </c>
      <c r="Q612" s="329">
        <v>3.8E-6</v>
      </c>
      <c r="R612" s="346">
        <f t="shared" si="78"/>
        <v>3.8E-6</v>
      </c>
      <c r="S612" s="347" t="str">
        <f t="shared" si="79"/>
        <v>-</v>
      </c>
      <c r="T612" s="347">
        <f t="shared" si="80"/>
        <v>0</v>
      </c>
      <c r="U612" s="347">
        <f>HLOOKUP(Apoio!$P$12,$D$548:$P$649,X612,FALSE)+Q612</f>
        <v>3.8E-6</v>
      </c>
      <c r="V612" s="447" t="str">
        <f t="shared" si="81"/>
        <v>-</v>
      </c>
      <c r="W612" s="448">
        <f>HLOOKUP(Apoio!$P$12,$D$548:$P$649,X612,FALSE)</f>
        <v>0</v>
      </c>
      <c r="X612" s="329">
        <v>65</v>
      </c>
    </row>
    <row r="613" spans="2:24" ht="30.05" customHeight="1" x14ac:dyDescent="0.35">
      <c r="B613" s="204" t="str">
        <f>'CAD_PL_REC-DESP'!E68</f>
        <v>1.2.64</v>
      </c>
      <c r="C613" s="205" t="str">
        <f>IF('CAD_PL_REC-DESP'!F68="","-",'CAD_PL_REC-DESP'!F68)</f>
        <v>-</v>
      </c>
      <c r="D613" s="206">
        <f>SUMIFS(LANÇ_MOV[VALOR LÍQUIDO],LANÇ_MOV[RECEITA OU DESPESA],"Receita",LANÇ_MOV[CONTAS],$C613,LANÇ_MOV[PLANO DE CONTAS],REL_DRE_FINANCEIRO!$B$549,LANÇ_MOV[ANO PAGAMENTO],$B$4,LANÇ_MOV[MÊS PAGAMENTO CORRESPONDENTE],D$6,LANÇ_MOV[EMPRESA],$C$4,LANÇ_MOV[CENTRO DE CUSTOS],$D$4)</f>
        <v>0</v>
      </c>
      <c r="E613" s="206">
        <f>SUMIFS(LANÇ_MOV[VALOR LÍQUIDO],LANÇ_MOV[RECEITA OU DESPESA],"Receita",LANÇ_MOV[CONTAS],$C613,LANÇ_MOV[PLANO DE CONTAS],REL_DRE_FINANCEIRO!$B$549,LANÇ_MOV[ANO PAGAMENTO],$B$4,LANÇ_MOV[MÊS PAGAMENTO CORRESPONDENTE],E$6,LANÇ_MOV[EMPRESA],$C$4,LANÇ_MOV[CENTRO DE CUSTOS],$D$4)</f>
        <v>0</v>
      </c>
      <c r="F613" s="206">
        <f>SUMIFS(LANÇ_MOV[VALOR LÍQUIDO],LANÇ_MOV[RECEITA OU DESPESA],"Receita",LANÇ_MOV[CONTAS],$C613,LANÇ_MOV[PLANO DE CONTAS],REL_DRE_FINANCEIRO!$B$549,LANÇ_MOV[ANO PAGAMENTO],$B$4,LANÇ_MOV[MÊS PAGAMENTO CORRESPONDENTE],F$6,LANÇ_MOV[EMPRESA],$C$4,LANÇ_MOV[CENTRO DE CUSTOS],$D$4)</f>
        <v>0</v>
      </c>
      <c r="G613" s="206">
        <f>SUMIFS(LANÇ_MOV[VALOR LÍQUIDO],LANÇ_MOV[RECEITA OU DESPESA],"Receita",LANÇ_MOV[CONTAS],$C613,LANÇ_MOV[PLANO DE CONTAS],REL_DRE_FINANCEIRO!$B$549,LANÇ_MOV[ANO PAGAMENTO],$B$4,LANÇ_MOV[MÊS PAGAMENTO CORRESPONDENTE],G$6,LANÇ_MOV[EMPRESA],$C$4,LANÇ_MOV[CENTRO DE CUSTOS],$D$4)</f>
        <v>0</v>
      </c>
      <c r="H613" s="206">
        <f>SUMIFS(LANÇ_MOV[VALOR LÍQUIDO],LANÇ_MOV[RECEITA OU DESPESA],"Receita",LANÇ_MOV[CONTAS],$C613,LANÇ_MOV[PLANO DE CONTAS],REL_DRE_FINANCEIRO!$B$549,LANÇ_MOV[ANO PAGAMENTO],$B$4,LANÇ_MOV[MÊS PAGAMENTO CORRESPONDENTE],H$6,LANÇ_MOV[EMPRESA],$C$4,LANÇ_MOV[CENTRO DE CUSTOS],$D$4)</f>
        <v>0</v>
      </c>
      <c r="I613" s="206">
        <f>SUMIFS(LANÇ_MOV[VALOR LÍQUIDO],LANÇ_MOV[RECEITA OU DESPESA],"Receita",LANÇ_MOV[CONTAS],$C613,LANÇ_MOV[PLANO DE CONTAS],REL_DRE_FINANCEIRO!$B$549,LANÇ_MOV[ANO PAGAMENTO],$B$4,LANÇ_MOV[MÊS PAGAMENTO CORRESPONDENTE],I$6,LANÇ_MOV[EMPRESA],$C$4,LANÇ_MOV[CENTRO DE CUSTOS],$D$4)</f>
        <v>0</v>
      </c>
      <c r="J613" s="206">
        <f>SUMIFS(LANÇ_MOV[VALOR LÍQUIDO],LANÇ_MOV[RECEITA OU DESPESA],"Receita",LANÇ_MOV[CONTAS],$C613,LANÇ_MOV[PLANO DE CONTAS],REL_DRE_FINANCEIRO!$B$549,LANÇ_MOV[ANO PAGAMENTO],$B$4,LANÇ_MOV[MÊS PAGAMENTO CORRESPONDENTE],J$6,LANÇ_MOV[EMPRESA],$C$4,LANÇ_MOV[CENTRO DE CUSTOS],$D$4)</f>
        <v>0</v>
      </c>
      <c r="K613" s="206">
        <f>SUMIFS(LANÇ_MOV[VALOR LÍQUIDO],LANÇ_MOV[RECEITA OU DESPESA],"Receita",LANÇ_MOV[CONTAS],$C613,LANÇ_MOV[PLANO DE CONTAS],REL_DRE_FINANCEIRO!$B$549,LANÇ_MOV[ANO PAGAMENTO],$B$4,LANÇ_MOV[MÊS PAGAMENTO CORRESPONDENTE],K$6,LANÇ_MOV[EMPRESA],$C$4,LANÇ_MOV[CENTRO DE CUSTOS],$D$4)</f>
        <v>0</v>
      </c>
      <c r="L613" s="206">
        <f>SUMIFS(LANÇ_MOV[VALOR LÍQUIDO],LANÇ_MOV[RECEITA OU DESPESA],"Receita",LANÇ_MOV[CONTAS],$C613,LANÇ_MOV[PLANO DE CONTAS],REL_DRE_FINANCEIRO!$B$549,LANÇ_MOV[ANO PAGAMENTO],$B$4,LANÇ_MOV[MÊS PAGAMENTO CORRESPONDENTE],L$6,LANÇ_MOV[EMPRESA],$C$4,LANÇ_MOV[CENTRO DE CUSTOS],$D$4)</f>
        <v>0</v>
      </c>
      <c r="M613" s="206">
        <f>SUMIFS(LANÇ_MOV[VALOR LÍQUIDO],LANÇ_MOV[RECEITA OU DESPESA],"Receita",LANÇ_MOV[CONTAS],$C613,LANÇ_MOV[PLANO DE CONTAS],REL_DRE_FINANCEIRO!$B$549,LANÇ_MOV[ANO PAGAMENTO],$B$4,LANÇ_MOV[MÊS PAGAMENTO CORRESPONDENTE],M$6,LANÇ_MOV[EMPRESA],$C$4,LANÇ_MOV[CENTRO DE CUSTOS],$D$4)</f>
        <v>0</v>
      </c>
      <c r="N613" s="206">
        <f>SUMIFS(LANÇ_MOV[VALOR LÍQUIDO],LANÇ_MOV[RECEITA OU DESPESA],"Receita",LANÇ_MOV[CONTAS],$C613,LANÇ_MOV[PLANO DE CONTAS],REL_DRE_FINANCEIRO!$B$549,LANÇ_MOV[ANO PAGAMENTO],$B$4,LANÇ_MOV[MÊS PAGAMENTO CORRESPONDENTE],N$6,LANÇ_MOV[EMPRESA],$C$4,LANÇ_MOV[CENTRO DE CUSTOS],$D$4)</f>
        <v>0</v>
      </c>
      <c r="O613" s="206">
        <f>SUMIFS(LANÇ_MOV[VALOR LÍQUIDO],LANÇ_MOV[RECEITA OU DESPESA],"Receita",LANÇ_MOV[CONTAS],$C613,LANÇ_MOV[PLANO DE CONTAS],REL_DRE_FINANCEIRO!$B$549,LANÇ_MOV[ANO PAGAMENTO],$B$4,LANÇ_MOV[MÊS PAGAMENTO CORRESPONDENTE],O$6,LANÇ_MOV[EMPRESA],$C$4,LANÇ_MOV[CENTRO DE CUSTOS],$D$4)</f>
        <v>0</v>
      </c>
      <c r="P613" s="207">
        <f t="shared" si="77"/>
        <v>0</v>
      </c>
      <c r="Q613" s="329">
        <v>3.7000000000000002E-6</v>
      </c>
      <c r="R613" s="346">
        <f t="shared" si="78"/>
        <v>3.7000000000000002E-6</v>
      </c>
      <c r="S613" s="347" t="str">
        <f t="shared" si="79"/>
        <v>-</v>
      </c>
      <c r="T613" s="347">
        <f t="shared" si="80"/>
        <v>0</v>
      </c>
      <c r="U613" s="347">
        <f>HLOOKUP(Apoio!$P$12,$D$548:$P$649,X613,FALSE)+Q613</f>
        <v>3.7000000000000002E-6</v>
      </c>
      <c r="V613" s="447" t="str">
        <f t="shared" si="81"/>
        <v>-</v>
      </c>
      <c r="W613" s="448">
        <f>HLOOKUP(Apoio!$P$12,$D$548:$P$649,X613,FALSE)</f>
        <v>0</v>
      </c>
      <c r="X613" s="329">
        <v>66</v>
      </c>
    </row>
    <row r="614" spans="2:24" ht="30.05" customHeight="1" x14ac:dyDescent="0.35">
      <c r="B614" s="204" t="str">
        <f>'CAD_PL_REC-DESP'!E69</f>
        <v>1.2.65</v>
      </c>
      <c r="C614" s="205" t="str">
        <f>IF('CAD_PL_REC-DESP'!F69="","-",'CAD_PL_REC-DESP'!F69)</f>
        <v>-</v>
      </c>
      <c r="D614" s="206">
        <f>SUMIFS(LANÇ_MOV[VALOR LÍQUIDO],LANÇ_MOV[RECEITA OU DESPESA],"Receita",LANÇ_MOV[CONTAS],$C614,LANÇ_MOV[PLANO DE CONTAS],REL_DRE_FINANCEIRO!$B$549,LANÇ_MOV[ANO PAGAMENTO],$B$4,LANÇ_MOV[MÊS PAGAMENTO CORRESPONDENTE],D$6,LANÇ_MOV[EMPRESA],$C$4,LANÇ_MOV[CENTRO DE CUSTOS],$D$4)</f>
        <v>0</v>
      </c>
      <c r="E614" s="206">
        <f>SUMIFS(LANÇ_MOV[VALOR LÍQUIDO],LANÇ_MOV[RECEITA OU DESPESA],"Receita",LANÇ_MOV[CONTAS],$C614,LANÇ_MOV[PLANO DE CONTAS],REL_DRE_FINANCEIRO!$B$549,LANÇ_MOV[ANO PAGAMENTO],$B$4,LANÇ_MOV[MÊS PAGAMENTO CORRESPONDENTE],E$6,LANÇ_MOV[EMPRESA],$C$4,LANÇ_MOV[CENTRO DE CUSTOS],$D$4)</f>
        <v>0</v>
      </c>
      <c r="F614" s="206">
        <f>SUMIFS(LANÇ_MOV[VALOR LÍQUIDO],LANÇ_MOV[RECEITA OU DESPESA],"Receita",LANÇ_MOV[CONTAS],$C614,LANÇ_MOV[PLANO DE CONTAS],REL_DRE_FINANCEIRO!$B$549,LANÇ_MOV[ANO PAGAMENTO],$B$4,LANÇ_MOV[MÊS PAGAMENTO CORRESPONDENTE],F$6,LANÇ_MOV[EMPRESA],$C$4,LANÇ_MOV[CENTRO DE CUSTOS],$D$4)</f>
        <v>0</v>
      </c>
      <c r="G614" s="206">
        <f>SUMIFS(LANÇ_MOV[VALOR LÍQUIDO],LANÇ_MOV[RECEITA OU DESPESA],"Receita",LANÇ_MOV[CONTAS],$C614,LANÇ_MOV[PLANO DE CONTAS],REL_DRE_FINANCEIRO!$B$549,LANÇ_MOV[ANO PAGAMENTO],$B$4,LANÇ_MOV[MÊS PAGAMENTO CORRESPONDENTE],G$6,LANÇ_MOV[EMPRESA],$C$4,LANÇ_MOV[CENTRO DE CUSTOS],$D$4)</f>
        <v>0</v>
      </c>
      <c r="H614" s="206">
        <f>SUMIFS(LANÇ_MOV[VALOR LÍQUIDO],LANÇ_MOV[RECEITA OU DESPESA],"Receita",LANÇ_MOV[CONTAS],$C614,LANÇ_MOV[PLANO DE CONTAS],REL_DRE_FINANCEIRO!$B$549,LANÇ_MOV[ANO PAGAMENTO],$B$4,LANÇ_MOV[MÊS PAGAMENTO CORRESPONDENTE],H$6,LANÇ_MOV[EMPRESA],$C$4,LANÇ_MOV[CENTRO DE CUSTOS],$D$4)</f>
        <v>0</v>
      </c>
      <c r="I614" s="206">
        <f>SUMIFS(LANÇ_MOV[VALOR LÍQUIDO],LANÇ_MOV[RECEITA OU DESPESA],"Receita",LANÇ_MOV[CONTAS],$C614,LANÇ_MOV[PLANO DE CONTAS],REL_DRE_FINANCEIRO!$B$549,LANÇ_MOV[ANO PAGAMENTO],$B$4,LANÇ_MOV[MÊS PAGAMENTO CORRESPONDENTE],I$6,LANÇ_MOV[EMPRESA],$C$4,LANÇ_MOV[CENTRO DE CUSTOS],$D$4)</f>
        <v>0</v>
      </c>
      <c r="J614" s="206">
        <f>SUMIFS(LANÇ_MOV[VALOR LÍQUIDO],LANÇ_MOV[RECEITA OU DESPESA],"Receita",LANÇ_MOV[CONTAS],$C614,LANÇ_MOV[PLANO DE CONTAS],REL_DRE_FINANCEIRO!$B$549,LANÇ_MOV[ANO PAGAMENTO],$B$4,LANÇ_MOV[MÊS PAGAMENTO CORRESPONDENTE],J$6,LANÇ_MOV[EMPRESA],$C$4,LANÇ_MOV[CENTRO DE CUSTOS],$D$4)</f>
        <v>0</v>
      </c>
      <c r="K614" s="206">
        <f>SUMIFS(LANÇ_MOV[VALOR LÍQUIDO],LANÇ_MOV[RECEITA OU DESPESA],"Receita",LANÇ_MOV[CONTAS],$C614,LANÇ_MOV[PLANO DE CONTAS],REL_DRE_FINANCEIRO!$B$549,LANÇ_MOV[ANO PAGAMENTO],$B$4,LANÇ_MOV[MÊS PAGAMENTO CORRESPONDENTE],K$6,LANÇ_MOV[EMPRESA],$C$4,LANÇ_MOV[CENTRO DE CUSTOS],$D$4)</f>
        <v>0</v>
      </c>
      <c r="L614" s="206">
        <f>SUMIFS(LANÇ_MOV[VALOR LÍQUIDO],LANÇ_MOV[RECEITA OU DESPESA],"Receita",LANÇ_MOV[CONTAS],$C614,LANÇ_MOV[PLANO DE CONTAS],REL_DRE_FINANCEIRO!$B$549,LANÇ_MOV[ANO PAGAMENTO],$B$4,LANÇ_MOV[MÊS PAGAMENTO CORRESPONDENTE],L$6,LANÇ_MOV[EMPRESA],$C$4,LANÇ_MOV[CENTRO DE CUSTOS],$D$4)</f>
        <v>0</v>
      </c>
      <c r="M614" s="206">
        <f>SUMIFS(LANÇ_MOV[VALOR LÍQUIDO],LANÇ_MOV[RECEITA OU DESPESA],"Receita",LANÇ_MOV[CONTAS],$C614,LANÇ_MOV[PLANO DE CONTAS],REL_DRE_FINANCEIRO!$B$549,LANÇ_MOV[ANO PAGAMENTO],$B$4,LANÇ_MOV[MÊS PAGAMENTO CORRESPONDENTE],M$6,LANÇ_MOV[EMPRESA],$C$4,LANÇ_MOV[CENTRO DE CUSTOS],$D$4)</f>
        <v>0</v>
      </c>
      <c r="N614" s="206">
        <f>SUMIFS(LANÇ_MOV[VALOR LÍQUIDO],LANÇ_MOV[RECEITA OU DESPESA],"Receita",LANÇ_MOV[CONTAS],$C614,LANÇ_MOV[PLANO DE CONTAS],REL_DRE_FINANCEIRO!$B$549,LANÇ_MOV[ANO PAGAMENTO],$B$4,LANÇ_MOV[MÊS PAGAMENTO CORRESPONDENTE],N$6,LANÇ_MOV[EMPRESA],$C$4,LANÇ_MOV[CENTRO DE CUSTOS],$D$4)</f>
        <v>0</v>
      </c>
      <c r="O614" s="206">
        <f>SUMIFS(LANÇ_MOV[VALOR LÍQUIDO],LANÇ_MOV[RECEITA OU DESPESA],"Receita",LANÇ_MOV[CONTAS],$C614,LANÇ_MOV[PLANO DE CONTAS],REL_DRE_FINANCEIRO!$B$549,LANÇ_MOV[ANO PAGAMENTO],$B$4,LANÇ_MOV[MÊS PAGAMENTO CORRESPONDENTE],O$6,LANÇ_MOV[EMPRESA],$C$4,LANÇ_MOV[CENTRO DE CUSTOS],$D$4)</f>
        <v>0</v>
      </c>
      <c r="P614" s="207">
        <f t="shared" ref="P614:P649" si="82">SUM(D614:O614)</f>
        <v>0</v>
      </c>
      <c r="Q614" s="329">
        <v>3.5999999999999998E-6</v>
      </c>
      <c r="R614" s="346">
        <f t="shared" ref="R614:R649" si="83">P614+Q614</f>
        <v>3.5999999999999998E-6</v>
      </c>
      <c r="S614" s="347" t="str">
        <f t="shared" ref="S614:S649" si="84">C614</f>
        <v>-</v>
      </c>
      <c r="T614" s="347">
        <f t="shared" ref="T614:T649" si="85">P614</f>
        <v>0</v>
      </c>
      <c r="U614" s="347">
        <f>HLOOKUP(Apoio!$P$12,$D$548:$P$649,X614,FALSE)+Q614</f>
        <v>3.5999999999999998E-6</v>
      </c>
      <c r="V614" s="447" t="str">
        <f t="shared" ref="V614:V649" si="86">S614</f>
        <v>-</v>
      </c>
      <c r="W614" s="448">
        <f>HLOOKUP(Apoio!$P$12,$D$548:$P$649,X614,FALSE)</f>
        <v>0</v>
      </c>
      <c r="X614" s="329">
        <v>67</v>
      </c>
    </row>
    <row r="615" spans="2:24" ht="30.05" customHeight="1" x14ac:dyDescent="0.35">
      <c r="B615" s="204" t="str">
        <f>'CAD_PL_REC-DESP'!E70</f>
        <v>1.2.66</v>
      </c>
      <c r="C615" s="205" t="str">
        <f>IF('CAD_PL_REC-DESP'!F70="","-",'CAD_PL_REC-DESP'!F70)</f>
        <v>-</v>
      </c>
      <c r="D615" s="206">
        <f>SUMIFS(LANÇ_MOV[VALOR LÍQUIDO],LANÇ_MOV[RECEITA OU DESPESA],"Receita",LANÇ_MOV[CONTAS],$C615,LANÇ_MOV[PLANO DE CONTAS],REL_DRE_FINANCEIRO!$B$549,LANÇ_MOV[ANO PAGAMENTO],$B$4,LANÇ_MOV[MÊS PAGAMENTO CORRESPONDENTE],D$6,LANÇ_MOV[EMPRESA],$C$4,LANÇ_MOV[CENTRO DE CUSTOS],$D$4)</f>
        <v>0</v>
      </c>
      <c r="E615" s="206">
        <f>SUMIFS(LANÇ_MOV[VALOR LÍQUIDO],LANÇ_MOV[RECEITA OU DESPESA],"Receita",LANÇ_MOV[CONTAS],$C615,LANÇ_MOV[PLANO DE CONTAS],REL_DRE_FINANCEIRO!$B$549,LANÇ_MOV[ANO PAGAMENTO],$B$4,LANÇ_MOV[MÊS PAGAMENTO CORRESPONDENTE],E$6,LANÇ_MOV[EMPRESA],$C$4,LANÇ_MOV[CENTRO DE CUSTOS],$D$4)</f>
        <v>0</v>
      </c>
      <c r="F615" s="206">
        <f>SUMIFS(LANÇ_MOV[VALOR LÍQUIDO],LANÇ_MOV[RECEITA OU DESPESA],"Receita",LANÇ_MOV[CONTAS],$C615,LANÇ_MOV[PLANO DE CONTAS],REL_DRE_FINANCEIRO!$B$549,LANÇ_MOV[ANO PAGAMENTO],$B$4,LANÇ_MOV[MÊS PAGAMENTO CORRESPONDENTE],F$6,LANÇ_MOV[EMPRESA],$C$4,LANÇ_MOV[CENTRO DE CUSTOS],$D$4)</f>
        <v>0</v>
      </c>
      <c r="G615" s="206">
        <f>SUMIFS(LANÇ_MOV[VALOR LÍQUIDO],LANÇ_MOV[RECEITA OU DESPESA],"Receita",LANÇ_MOV[CONTAS],$C615,LANÇ_MOV[PLANO DE CONTAS],REL_DRE_FINANCEIRO!$B$549,LANÇ_MOV[ANO PAGAMENTO],$B$4,LANÇ_MOV[MÊS PAGAMENTO CORRESPONDENTE],G$6,LANÇ_MOV[EMPRESA],$C$4,LANÇ_MOV[CENTRO DE CUSTOS],$D$4)</f>
        <v>0</v>
      </c>
      <c r="H615" s="206">
        <f>SUMIFS(LANÇ_MOV[VALOR LÍQUIDO],LANÇ_MOV[RECEITA OU DESPESA],"Receita",LANÇ_MOV[CONTAS],$C615,LANÇ_MOV[PLANO DE CONTAS],REL_DRE_FINANCEIRO!$B$549,LANÇ_MOV[ANO PAGAMENTO],$B$4,LANÇ_MOV[MÊS PAGAMENTO CORRESPONDENTE],H$6,LANÇ_MOV[EMPRESA],$C$4,LANÇ_MOV[CENTRO DE CUSTOS],$D$4)</f>
        <v>0</v>
      </c>
      <c r="I615" s="206">
        <f>SUMIFS(LANÇ_MOV[VALOR LÍQUIDO],LANÇ_MOV[RECEITA OU DESPESA],"Receita",LANÇ_MOV[CONTAS],$C615,LANÇ_MOV[PLANO DE CONTAS],REL_DRE_FINANCEIRO!$B$549,LANÇ_MOV[ANO PAGAMENTO],$B$4,LANÇ_MOV[MÊS PAGAMENTO CORRESPONDENTE],I$6,LANÇ_MOV[EMPRESA],$C$4,LANÇ_MOV[CENTRO DE CUSTOS],$D$4)</f>
        <v>0</v>
      </c>
      <c r="J615" s="206">
        <f>SUMIFS(LANÇ_MOV[VALOR LÍQUIDO],LANÇ_MOV[RECEITA OU DESPESA],"Receita",LANÇ_MOV[CONTAS],$C615,LANÇ_MOV[PLANO DE CONTAS],REL_DRE_FINANCEIRO!$B$549,LANÇ_MOV[ANO PAGAMENTO],$B$4,LANÇ_MOV[MÊS PAGAMENTO CORRESPONDENTE],J$6,LANÇ_MOV[EMPRESA],$C$4,LANÇ_MOV[CENTRO DE CUSTOS],$D$4)</f>
        <v>0</v>
      </c>
      <c r="K615" s="206">
        <f>SUMIFS(LANÇ_MOV[VALOR LÍQUIDO],LANÇ_MOV[RECEITA OU DESPESA],"Receita",LANÇ_MOV[CONTAS],$C615,LANÇ_MOV[PLANO DE CONTAS],REL_DRE_FINANCEIRO!$B$549,LANÇ_MOV[ANO PAGAMENTO],$B$4,LANÇ_MOV[MÊS PAGAMENTO CORRESPONDENTE],K$6,LANÇ_MOV[EMPRESA],$C$4,LANÇ_MOV[CENTRO DE CUSTOS],$D$4)</f>
        <v>0</v>
      </c>
      <c r="L615" s="206">
        <f>SUMIFS(LANÇ_MOV[VALOR LÍQUIDO],LANÇ_MOV[RECEITA OU DESPESA],"Receita",LANÇ_MOV[CONTAS],$C615,LANÇ_MOV[PLANO DE CONTAS],REL_DRE_FINANCEIRO!$B$549,LANÇ_MOV[ANO PAGAMENTO],$B$4,LANÇ_MOV[MÊS PAGAMENTO CORRESPONDENTE],L$6,LANÇ_MOV[EMPRESA],$C$4,LANÇ_MOV[CENTRO DE CUSTOS],$D$4)</f>
        <v>0</v>
      </c>
      <c r="M615" s="206">
        <f>SUMIFS(LANÇ_MOV[VALOR LÍQUIDO],LANÇ_MOV[RECEITA OU DESPESA],"Receita",LANÇ_MOV[CONTAS],$C615,LANÇ_MOV[PLANO DE CONTAS],REL_DRE_FINANCEIRO!$B$549,LANÇ_MOV[ANO PAGAMENTO],$B$4,LANÇ_MOV[MÊS PAGAMENTO CORRESPONDENTE],M$6,LANÇ_MOV[EMPRESA],$C$4,LANÇ_MOV[CENTRO DE CUSTOS],$D$4)</f>
        <v>0</v>
      </c>
      <c r="N615" s="206">
        <f>SUMIFS(LANÇ_MOV[VALOR LÍQUIDO],LANÇ_MOV[RECEITA OU DESPESA],"Receita",LANÇ_MOV[CONTAS],$C615,LANÇ_MOV[PLANO DE CONTAS],REL_DRE_FINANCEIRO!$B$549,LANÇ_MOV[ANO PAGAMENTO],$B$4,LANÇ_MOV[MÊS PAGAMENTO CORRESPONDENTE],N$6,LANÇ_MOV[EMPRESA],$C$4,LANÇ_MOV[CENTRO DE CUSTOS],$D$4)</f>
        <v>0</v>
      </c>
      <c r="O615" s="206">
        <f>SUMIFS(LANÇ_MOV[VALOR LÍQUIDO],LANÇ_MOV[RECEITA OU DESPESA],"Receita",LANÇ_MOV[CONTAS],$C615,LANÇ_MOV[PLANO DE CONTAS],REL_DRE_FINANCEIRO!$B$549,LANÇ_MOV[ANO PAGAMENTO],$B$4,LANÇ_MOV[MÊS PAGAMENTO CORRESPONDENTE],O$6,LANÇ_MOV[EMPRESA],$C$4,LANÇ_MOV[CENTRO DE CUSTOS],$D$4)</f>
        <v>0</v>
      </c>
      <c r="P615" s="207">
        <f t="shared" si="82"/>
        <v>0</v>
      </c>
      <c r="Q615" s="329">
        <v>3.4999999999999999E-6</v>
      </c>
      <c r="R615" s="346">
        <f t="shared" si="83"/>
        <v>3.4999999999999999E-6</v>
      </c>
      <c r="S615" s="347" t="str">
        <f t="shared" si="84"/>
        <v>-</v>
      </c>
      <c r="T615" s="347">
        <f t="shared" si="85"/>
        <v>0</v>
      </c>
      <c r="U615" s="347">
        <f>HLOOKUP(Apoio!$P$12,$D$548:$P$649,X615,FALSE)+Q615</f>
        <v>3.4999999999999999E-6</v>
      </c>
      <c r="V615" s="447" t="str">
        <f t="shared" si="86"/>
        <v>-</v>
      </c>
      <c r="W615" s="448">
        <f>HLOOKUP(Apoio!$P$12,$D$548:$P$649,X615,FALSE)</f>
        <v>0</v>
      </c>
      <c r="X615" s="329">
        <v>68</v>
      </c>
    </row>
    <row r="616" spans="2:24" ht="30.05" customHeight="1" x14ac:dyDescent="0.35">
      <c r="B616" s="204" t="str">
        <f>'CAD_PL_REC-DESP'!E71</f>
        <v>1.2.67</v>
      </c>
      <c r="C616" s="205" t="str">
        <f>IF('CAD_PL_REC-DESP'!F71="","-",'CAD_PL_REC-DESP'!F71)</f>
        <v>-</v>
      </c>
      <c r="D616" s="206">
        <f>SUMIFS(LANÇ_MOV[VALOR LÍQUIDO],LANÇ_MOV[RECEITA OU DESPESA],"Receita",LANÇ_MOV[CONTAS],$C616,LANÇ_MOV[PLANO DE CONTAS],REL_DRE_FINANCEIRO!$B$549,LANÇ_MOV[ANO PAGAMENTO],$B$4,LANÇ_MOV[MÊS PAGAMENTO CORRESPONDENTE],D$6,LANÇ_MOV[EMPRESA],$C$4,LANÇ_MOV[CENTRO DE CUSTOS],$D$4)</f>
        <v>0</v>
      </c>
      <c r="E616" s="206">
        <f>SUMIFS(LANÇ_MOV[VALOR LÍQUIDO],LANÇ_MOV[RECEITA OU DESPESA],"Receita",LANÇ_MOV[CONTAS],$C616,LANÇ_MOV[PLANO DE CONTAS],REL_DRE_FINANCEIRO!$B$549,LANÇ_MOV[ANO PAGAMENTO],$B$4,LANÇ_MOV[MÊS PAGAMENTO CORRESPONDENTE],E$6,LANÇ_MOV[EMPRESA],$C$4,LANÇ_MOV[CENTRO DE CUSTOS],$D$4)</f>
        <v>0</v>
      </c>
      <c r="F616" s="206">
        <f>SUMIFS(LANÇ_MOV[VALOR LÍQUIDO],LANÇ_MOV[RECEITA OU DESPESA],"Receita",LANÇ_MOV[CONTAS],$C616,LANÇ_MOV[PLANO DE CONTAS],REL_DRE_FINANCEIRO!$B$549,LANÇ_MOV[ANO PAGAMENTO],$B$4,LANÇ_MOV[MÊS PAGAMENTO CORRESPONDENTE],F$6,LANÇ_MOV[EMPRESA],$C$4,LANÇ_MOV[CENTRO DE CUSTOS],$D$4)</f>
        <v>0</v>
      </c>
      <c r="G616" s="206">
        <f>SUMIFS(LANÇ_MOV[VALOR LÍQUIDO],LANÇ_MOV[RECEITA OU DESPESA],"Receita",LANÇ_MOV[CONTAS],$C616,LANÇ_MOV[PLANO DE CONTAS],REL_DRE_FINANCEIRO!$B$549,LANÇ_MOV[ANO PAGAMENTO],$B$4,LANÇ_MOV[MÊS PAGAMENTO CORRESPONDENTE],G$6,LANÇ_MOV[EMPRESA],$C$4,LANÇ_MOV[CENTRO DE CUSTOS],$D$4)</f>
        <v>0</v>
      </c>
      <c r="H616" s="206">
        <f>SUMIFS(LANÇ_MOV[VALOR LÍQUIDO],LANÇ_MOV[RECEITA OU DESPESA],"Receita",LANÇ_MOV[CONTAS],$C616,LANÇ_MOV[PLANO DE CONTAS],REL_DRE_FINANCEIRO!$B$549,LANÇ_MOV[ANO PAGAMENTO],$B$4,LANÇ_MOV[MÊS PAGAMENTO CORRESPONDENTE],H$6,LANÇ_MOV[EMPRESA],$C$4,LANÇ_MOV[CENTRO DE CUSTOS],$D$4)</f>
        <v>0</v>
      </c>
      <c r="I616" s="206">
        <f>SUMIFS(LANÇ_MOV[VALOR LÍQUIDO],LANÇ_MOV[RECEITA OU DESPESA],"Receita",LANÇ_MOV[CONTAS],$C616,LANÇ_MOV[PLANO DE CONTAS],REL_DRE_FINANCEIRO!$B$549,LANÇ_MOV[ANO PAGAMENTO],$B$4,LANÇ_MOV[MÊS PAGAMENTO CORRESPONDENTE],I$6,LANÇ_MOV[EMPRESA],$C$4,LANÇ_MOV[CENTRO DE CUSTOS],$D$4)</f>
        <v>0</v>
      </c>
      <c r="J616" s="206">
        <f>SUMIFS(LANÇ_MOV[VALOR LÍQUIDO],LANÇ_MOV[RECEITA OU DESPESA],"Receita",LANÇ_MOV[CONTAS],$C616,LANÇ_MOV[PLANO DE CONTAS],REL_DRE_FINANCEIRO!$B$549,LANÇ_MOV[ANO PAGAMENTO],$B$4,LANÇ_MOV[MÊS PAGAMENTO CORRESPONDENTE],J$6,LANÇ_MOV[EMPRESA],$C$4,LANÇ_MOV[CENTRO DE CUSTOS],$D$4)</f>
        <v>0</v>
      </c>
      <c r="K616" s="206">
        <f>SUMIFS(LANÇ_MOV[VALOR LÍQUIDO],LANÇ_MOV[RECEITA OU DESPESA],"Receita",LANÇ_MOV[CONTAS],$C616,LANÇ_MOV[PLANO DE CONTAS],REL_DRE_FINANCEIRO!$B$549,LANÇ_MOV[ANO PAGAMENTO],$B$4,LANÇ_MOV[MÊS PAGAMENTO CORRESPONDENTE],K$6,LANÇ_MOV[EMPRESA],$C$4,LANÇ_MOV[CENTRO DE CUSTOS],$D$4)</f>
        <v>0</v>
      </c>
      <c r="L616" s="206">
        <f>SUMIFS(LANÇ_MOV[VALOR LÍQUIDO],LANÇ_MOV[RECEITA OU DESPESA],"Receita",LANÇ_MOV[CONTAS],$C616,LANÇ_MOV[PLANO DE CONTAS],REL_DRE_FINANCEIRO!$B$549,LANÇ_MOV[ANO PAGAMENTO],$B$4,LANÇ_MOV[MÊS PAGAMENTO CORRESPONDENTE],L$6,LANÇ_MOV[EMPRESA],$C$4,LANÇ_MOV[CENTRO DE CUSTOS],$D$4)</f>
        <v>0</v>
      </c>
      <c r="M616" s="206">
        <f>SUMIFS(LANÇ_MOV[VALOR LÍQUIDO],LANÇ_MOV[RECEITA OU DESPESA],"Receita",LANÇ_MOV[CONTAS],$C616,LANÇ_MOV[PLANO DE CONTAS],REL_DRE_FINANCEIRO!$B$549,LANÇ_MOV[ANO PAGAMENTO],$B$4,LANÇ_MOV[MÊS PAGAMENTO CORRESPONDENTE],M$6,LANÇ_MOV[EMPRESA],$C$4,LANÇ_MOV[CENTRO DE CUSTOS],$D$4)</f>
        <v>0</v>
      </c>
      <c r="N616" s="206">
        <f>SUMIFS(LANÇ_MOV[VALOR LÍQUIDO],LANÇ_MOV[RECEITA OU DESPESA],"Receita",LANÇ_MOV[CONTAS],$C616,LANÇ_MOV[PLANO DE CONTAS],REL_DRE_FINANCEIRO!$B$549,LANÇ_MOV[ANO PAGAMENTO],$B$4,LANÇ_MOV[MÊS PAGAMENTO CORRESPONDENTE],N$6,LANÇ_MOV[EMPRESA],$C$4,LANÇ_MOV[CENTRO DE CUSTOS],$D$4)</f>
        <v>0</v>
      </c>
      <c r="O616" s="206">
        <f>SUMIFS(LANÇ_MOV[VALOR LÍQUIDO],LANÇ_MOV[RECEITA OU DESPESA],"Receita",LANÇ_MOV[CONTAS],$C616,LANÇ_MOV[PLANO DE CONTAS],REL_DRE_FINANCEIRO!$B$549,LANÇ_MOV[ANO PAGAMENTO],$B$4,LANÇ_MOV[MÊS PAGAMENTO CORRESPONDENTE],O$6,LANÇ_MOV[EMPRESA],$C$4,LANÇ_MOV[CENTRO DE CUSTOS],$D$4)</f>
        <v>0</v>
      </c>
      <c r="P616" s="207">
        <f t="shared" si="82"/>
        <v>0</v>
      </c>
      <c r="Q616" s="329">
        <v>3.4000000000000001E-6</v>
      </c>
      <c r="R616" s="346">
        <f t="shared" si="83"/>
        <v>3.4000000000000001E-6</v>
      </c>
      <c r="S616" s="347" t="str">
        <f t="shared" si="84"/>
        <v>-</v>
      </c>
      <c r="T616" s="347">
        <f t="shared" si="85"/>
        <v>0</v>
      </c>
      <c r="U616" s="347">
        <f>HLOOKUP(Apoio!$P$12,$D$548:$P$649,X616,FALSE)+Q616</f>
        <v>3.4000000000000001E-6</v>
      </c>
      <c r="V616" s="447" t="str">
        <f t="shared" si="86"/>
        <v>-</v>
      </c>
      <c r="W616" s="448">
        <f>HLOOKUP(Apoio!$P$12,$D$548:$P$649,X616,FALSE)</f>
        <v>0</v>
      </c>
      <c r="X616" s="329">
        <v>69</v>
      </c>
    </row>
    <row r="617" spans="2:24" ht="30.05" customHeight="1" x14ac:dyDescent="0.35">
      <c r="B617" s="204" t="str">
        <f>'CAD_PL_REC-DESP'!E72</f>
        <v>1.2.68</v>
      </c>
      <c r="C617" s="205" t="str">
        <f>IF('CAD_PL_REC-DESP'!F72="","-",'CAD_PL_REC-DESP'!F72)</f>
        <v>-</v>
      </c>
      <c r="D617" s="206">
        <f>SUMIFS(LANÇ_MOV[VALOR LÍQUIDO],LANÇ_MOV[RECEITA OU DESPESA],"Receita",LANÇ_MOV[CONTAS],$C617,LANÇ_MOV[PLANO DE CONTAS],REL_DRE_FINANCEIRO!$B$549,LANÇ_MOV[ANO PAGAMENTO],$B$4,LANÇ_MOV[MÊS PAGAMENTO CORRESPONDENTE],D$6,LANÇ_MOV[EMPRESA],$C$4,LANÇ_MOV[CENTRO DE CUSTOS],$D$4)</f>
        <v>0</v>
      </c>
      <c r="E617" s="206">
        <f>SUMIFS(LANÇ_MOV[VALOR LÍQUIDO],LANÇ_MOV[RECEITA OU DESPESA],"Receita",LANÇ_MOV[CONTAS],$C617,LANÇ_MOV[PLANO DE CONTAS],REL_DRE_FINANCEIRO!$B$549,LANÇ_MOV[ANO PAGAMENTO],$B$4,LANÇ_MOV[MÊS PAGAMENTO CORRESPONDENTE],E$6,LANÇ_MOV[EMPRESA],$C$4,LANÇ_MOV[CENTRO DE CUSTOS],$D$4)</f>
        <v>0</v>
      </c>
      <c r="F617" s="206">
        <f>SUMIFS(LANÇ_MOV[VALOR LÍQUIDO],LANÇ_MOV[RECEITA OU DESPESA],"Receita",LANÇ_MOV[CONTAS],$C617,LANÇ_MOV[PLANO DE CONTAS],REL_DRE_FINANCEIRO!$B$549,LANÇ_MOV[ANO PAGAMENTO],$B$4,LANÇ_MOV[MÊS PAGAMENTO CORRESPONDENTE],F$6,LANÇ_MOV[EMPRESA],$C$4,LANÇ_MOV[CENTRO DE CUSTOS],$D$4)</f>
        <v>0</v>
      </c>
      <c r="G617" s="206">
        <f>SUMIFS(LANÇ_MOV[VALOR LÍQUIDO],LANÇ_MOV[RECEITA OU DESPESA],"Receita",LANÇ_MOV[CONTAS],$C617,LANÇ_MOV[PLANO DE CONTAS],REL_DRE_FINANCEIRO!$B$549,LANÇ_MOV[ANO PAGAMENTO],$B$4,LANÇ_MOV[MÊS PAGAMENTO CORRESPONDENTE],G$6,LANÇ_MOV[EMPRESA],$C$4,LANÇ_MOV[CENTRO DE CUSTOS],$D$4)</f>
        <v>0</v>
      </c>
      <c r="H617" s="206">
        <f>SUMIFS(LANÇ_MOV[VALOR LÍQUIDO],LANÇ_MOV[RECEITA OU DESPESA],"Receita",LANÇ_MOV[CONTAS],$C617,LANÇ_MOV[PLANO DE CONTAS],REL_DRE_FINANCEIRO!$B$549,LANÇ_MOV[ANO PAGAMENTO],$B$4,LANÇ_MOV[MÊS PAGAMENTO CORRESPONDENTE],H$6,LANÇ_MOV[EMPRESA],$C$4,LANÇ_MOV[CENTRO DE CUSTOS],$D$4)</f>
        <v>0</v>
      </c>
      <c r="I617" s="206">
        <f>SUMIFS(LANÇ_MOV[VALOR LÍQUIDO],LANÇ_MOV[RECEITA OU DESPESA],"Receita",LANÇ_MOV[CONTAS],$C617,LANÇ_MOV[PLANO DE CONTAS],REL_DRE_FINANCEIRO!$B$549,LANÇ_MOV[ANO PAGAMENTO],$B$4,LANÇ_MOV[MÊS PAGAMENTO CORRESPONDENTE],I$6,LANÇ_MOV[EMPRESA],$C$4,LANÇ_MOV[CENTRO DE CUSTOS],$D$4)</f>
        <v>0</v>
      </c>
      <c r="J617" s="206">
        <f>SUMIFS(LANÇ_MOV[VALOR LÍQUIDO],LANÇ_MOV[RECEITA OU DESPESA],"Receita",LANÇ_MOV[CONTAS],$C617,LANÇ_MOV[PLANO DE CONTAS],REL_DRE_FINANCEIRO!$B$549,LANÇ_MOV[ANO PAGAMENTO],$B$4,LANÇ_MOV[MÊS PAGAMENTO CORRESPONDENTE],J$6,LANÇ_MOV[EMPRESA],$C$4,LANÇ_MOV[CENTRO DE CUSTOS],$D$4)</f>
        <v>0</v>
      </c>
      <c r="K617" s="206">
        <f>SUMIFS(LANÇ_MOV[VALOR LÍQUIDO],LANÇ_MOV[RECEITA OU DESPESA],"Receita",LANÇ_MOV[CONTAS],$C617,LANÇ_MOV[PLANO DE CONTAS],REL_DRE_FINANCEIRO!$B$549,LANÇ_MOV[ANO PAGAMENTO],$B$4,LANÇ_MOV[MÊS PAGAMENTO CORRESPONDENTE],K$6,LANÇ_MOV[EMPRESA],$C$4,LANÇ_MOV[CENTRO DE CUSTOS],$D$4)</f>
        <v>0</v>
      </c>
      <c r="L617" s="206">
        <f>SUMIFS(LANÇ_MOV[VALOR LÍQUIDO],LANÇ_MOV[RECEITA OU DESPESA],"Receita",LANÇ_MOV[CONTAS],$C617,LANÇ_MOV[PLANO DE CONTAS],REL_DRE_FINANCEIRO!$B$549,LANÇ_MOV[ANO PAGAMENTO],$B$4,LANÇ_MOV[MÊS PAGAMENTO CORRESPONDENTE],L$6,LANÇ_MOV[EMPRESA],$C$4,LANÇ_MOV[CENTRO DE CUSTOS],$D$4)</f>
        <v>0</v>
      </c>
      <c r="M617" s="206">
        <f>SUMIFS(LANÇ_MOV[VALOR LÍQUIDO],LANÇ_MOV[RECEITA OU DESPESA],"Receita",LANÇ_MOV[CONTAS],$C617,LANÇ_MOV[PLANO DE CONTAS],REL_DRE_FINANCEIRO!$B$549,LANÇ_MOV[ANO PAGAMENTO],$B$4,LANÇ_MOV[MÊS PAGAMENTO CORRESPONDENTE],M$6,LANÇ_MOV[EMPRESA],$C$4,LANÇ_MOV[CENTRO DE CUSTOS],$D$4)</f>
        <v>0</v>
      </c>
      <c r="N617" s="206">
        <f>SUMIFS(LANÇ_MOV[VALOR LÍQUIDO],LANÇ_MOV[RECEITA OU DESPESA],"Receita",LANÇ_MOV[CONTAS],$C617,LANÇ_MOV[PLANO DE CONTAS],REL_DRE_FINANCEIRO!$B$549,LANÇ_MOV[ANO PAGAMENTO],$B$4,LANÇ_MOV[MÊS PAGAMENTO CORRESPONDENTE],N$6,LANÇ_MOV[EMPRESA],$C$4,LANÇ_MOV[CENTRO DE CUSTOS],$D$4)</f>
        <v>0</v>
      </c>
      <c r="O617" s="206">
        <f>SUMIFS(LANÇ_MOV[VALOR LÍQUIDO],LANÇ_MOV[RECEITA OU DESPESA],"Receita",LANÇ_MOV[CONTAS],$C617,LANÇ_MOV[PLANO DE CONTAS],REL_DRE_FINANCEIRO!$B$549,LANÇ_MOV[ANO PAGAMENTO],$B$4,LANÇ_MOV[MÊS PAGAMENTO CORRESPONDENTE],O$6,LANÇ_MOV[EMPRESA],$C$4,LANÇ_MOV[CENTRO DE CUSTOS],$D$4)</f>
        <v>0</v>
      </c>
      <c r="P617" s="207">
        <f t="shared" si="82"/>
        <v>0</v>
      </c>
      <c r="Q617" s="329">
        <v>3.3000000000000002E-6</v>
      </c>
      <c r="R617" s="346">
        <f t="shared" si="83"/>
        <v>3.3000000000000002E-6</v>
      </c>
      <c r="S617" s="347" t="str">
        <f t="shared" si="84"/>
        <v>-</v>
      </c>
      <c r="T617" s="347">
        <f t="shared" si="85"/>
        <v>0</v>
      </c>
      <c r="U617" s="347">
        <f>HLOOKUP(Apoio!$P$12,$D$548:$P$649,X617,FALSE)+Q617</f>
        <v>3.3000000000000002E-6</v>
      </c>
      <c r="V617" s="447" t="str">
        <f t="shared" si="86"/>
        <v>-</v>
      </c>
      <c r="W617" s="448">
        <f>HLOOKUP(Apoio!$P$12,$D$548:$P$649,X617,FALSE)</f>
        <v>0</v>
      </c>
      <c r="X617" s="329">
        <v>70</v>
      </c>
    </row>
    <row r="618" spans="2:24" ht="30.05" customHeight="1" x14ac:dyDescent="0.35">
      <c r="B618" s="204" t="str">
        <f>'CAD_PL_REC-DESP'!E73</f>
        <v>1.2.69</v>
      </c>
      <c r="C618" s="205" t="str">
        <f>IF('CAD_PL_REC-DESP'!F73="","-",'CAD_PL_REC-DESP'!F73)</f>
        <v>-</v>
      </c>
      <c r="D618" s="206">
        <f>SUMIFS(LANÇ_MOV[VALOR LÍQUIDO],LANÇ_MOV[RECEITA OU DESPESA],"Receita",LANÇ_MOV[CONTAS],$C618,LANÇ_MOV[PLANO DE CONTAS],REL_DRE_FINANCEIRO!$B$549,LANÇ_MOV[ANO PAGAMENTO],$B$4,LANÇ_MOV[MÊS PAGAMENTO CORRESPONDENTE],D$6,LANÇ_MOV[EMPRESA],$C$4,LANÇ_MOV[CENTRO DE CUSTOS],$D$4)</f>
        <v>0</v>
      </c>
      <c r="E618" s="206">
        <f>SUMIFS(LANÇ_MOV[VALOR LÍQUIDO],LANÇ_MOV[RECEITA OU DESPESA],"Receita",LANÇ_MOV[CONTAS],$C618,LANÇ_MOV[PLANO DE CONTAS],REL_DRE_FINANCEIRO!$B$549,LANÇ_MOV[ANO PAGAMENTO],$B$4,LANÇ_MOV[MÊS PAGAMENTO CORRESPONDENTE],E$6,LANÇ_MOV[EMPRESA],$C$4,LANÇ_MOV[CENTRO DE CUSTOS],$D$4)</f>
        <v>0</v>
      </c>
      <c r="F618" s="206">
        <f>SUMIFS(LANÇ_MOV[VALOR LÍQUIDO],LANÇ_MOV[RECEITA OU DESPESA],"Receita",LANÇ_MOV[CONTAS],$C618,LANÇ_MOV[PLANO DE CONTAS],REL_DRE_FINANCEIRO!$B$549,LANÇ_MOV[ANO PAGAMENTO],$B$4,LANÇ_MOV[MÊS PAGAMENTO CORRESPONDENTE],F$6,LANÇ_MOV[EMPRESA],$C$4,LANÇ_MOV[CENTRO DE CUSTOS],$D$4)</f>
        <v>0</v>
      </c>
      <c r="G618" s="206">
        <f>SUMIFS(LANÇ_MOV[VALOR LÍQUIDO],LANÇ_MOV[RECEITA OU DESPESA],"Receita",LANÇ_MOV[CONTAS],$C618,LANÇ_MOV[PLANO DE CONTAS],REL_DRE_FINANCEIRO!$B$549,LANÇ_MOV[ANO PAGAMENTO],$B$4,LANÇ_MOV[MÊS PAGAMENTO CORRESPONDENTE],G$6,LANÇ_MOV[EMPRESA],$C$4,LANÇ_MOV[CENTRO DE CUSTOS],$D$4)</f>
        <v>0</v>
      </c>
      <c r="H618" s="206">
        <f>SUMIFS(LANÇ_MOV[VALOR LÍQUIDO],LANÇ_MOV[RECEITA OU DESPESA],"Receita",LANÇ_MOV[CONTAS],$C618,LANÇ_MOV[PLANO DE CONTAS],REL_DRE_FINANCEIRO!$B$549,LANÇ_MOV[ANO PAGAMENTO],$B$4,LANÇ_MOV[MÊS PAGAMENTO CORRESPONDENTE],H$6,LANÇ_MOV[EMPRESA],$C$4,LANÇ_MOV[CENTRO DE CUSTOS],$D$4)</f>
        <v>0</v>
      </c>
      <c r="I618" s="206">
        <f>SUMIFS(LANÇ_MOV[VALOR LÍQUIDO],LANÇ_MOV[RECEITA OU DESPESA],"Receita",LANÇ_MOV[CONTAS],$C618,LANÇ_MOV[PLANO DE CONTAS],REL_DRE_FINANCEIRO!$B$549,LANÇ_MOV[ANO PAGAMENTO],$B$4,LANÇ_MOV[MÊS PAGAMENTO CORRESPONDENTE],I$6,LANÇ_MOV[EMPRESA],$C$4,LANÇ_MOV[CENTRO DE CUSTOS],$D$4)</f>
        <v>0</v>
      </c>
      <c r="J618" s="206">
        <f>SUMIFS(LANÇ_MOV[VALOR LÍQUIDO],LANÇ_MOV[RECEITA OU DESPESA],"Receita",LANÇ_MOV[CONTAS],$C618,LANÇ_MOV[PLANO DE CONTAS],REL_DRE_FINANCEIRO!$B$549,LANÇ_MOV[ANO PAGAMENTO],$B$4,LANÇ_MOV[MÊS PAGAMENTO CORRESPONDENTE],J$6,LANÇ_MOV[EMPRESA],$C$4,LANÇ_MOV[CENTRO DE CUSTOS],$D$4)</f>
        <v>0</v>
      </c>
      <c r="K618" s="206">
        <f>SUMIFS(LANÇ_MOV[VALOR LÍQUIDO],LANÇ_MOV[RECEITA OU DESPESA],"Receita",LANÇ_MOV[CONTAS],$C618,LANÇ_MOV[PLANO DE CONTAS],REL_DRE_FINANCEIRO!$B$549,LANÇ_MOV[ANO PAGAMENTO],$B$4,LANÇ_MOV[MÊS PAGAMENTO CORRESPONDENTE],K$6,LANÇ_MOV[EMPRESA],$C$4,LANÇ_MOV[CENTRO DE CUSTOS],$D$4)</f>
        <v>0</v>
      </c>
      <c r="L618" s="206">
        <f>SUMIFS(LANÇ_MOV[VALOR LÍQUIDO],LANÇ_MOV[RECEITA OU DESPESA],"Receita",LANÇ_MOV[CONTAS],$C618,LANÇ_MOV[PLANO DE CONTAS],REL_DRE_FINANCEIRO!$B$549,LANÇ_MOV[ANO PAGAMENTO],$B$4,LANÇ_MOV[MÊS PAGAMENTO CORRESPONDENTE],L$6,LANÇ_MOV[EMPRESA],$C$4,LANÇ_MOV[CENTRO DE CUSTOS],$D$4)</f>
        <v>0</v>
      </c>
      <c r="M618" s="206">
        <f>SUMIFS(LANÇ_MOV[VALOR LÍQUIDO],LANÇ_MOV[RECEITA OU DESPESA],"Receita",LANÇ_MOV[CONTAS],$C618,LANÇ_MOV[PLANO DE CONTAS],REL_DRE_FINANCEIRO!$B$549,LANÇ_MOV[ANO PAGAMENTO],$B$4,LANÇ_MOV[MÊS PAGAMENTO CORRESPONDENTE],M$6,LANÇ_MOV[EMPRESA],$C$4,LANÇ_MOV[CENTRO DE CUSTOS],$D$4)</f>
        <v>0</v>
      </c>
      <c r="N618" s="206">
        <f>SUMIFS(LANÇ_MOV[VALOR LÍQUIDO],LANÇ_MOV[RECEITA OU DESPESA],"Receita",LANÇ_MOV[CONTAS],$C618,LANÇ_MOV[PLANO DE CONTAS],REL_DRE_FINANCEIRO!$B$549,LANÇ_MOV[ANO PAGAMENTO],$B$4,LANÇ_MOV[MÊS PAGAMENTO CORRESPONDENTE],N$6,LANÇ_MOV[EMPRESA],$C$4,LANÇ_MOV[CENTRO DE CUSTOS],$D$4)</f>
        <v>0</v>
      </c>
      <c r="O618" s="206">
        <f>SUMIFS(LANÇ_MOV[VALOR LÍQUIDO],LANÇ_MOV[RECEITA OU DESPESA],"Receita",LANÇ_MOV[CONTAS],$C618,LANÇ_MOV[PLANO DE CONTAS],REL_DRE_FINANCEIRO!$B$549,LANÇ_MOV[ANO PAGAMENTO],$B$4,LANÇ_MOV[MÊS PAGAMENTO CORRESPONDENTE],O$6,LANÇ_MOV[EMPRESA],$C$4,LANÇ_MOV[CENTRO DE CUSTOS],$D$4)</f>
        <v>0</v>
      </c>
      <c r="P618" s="207">
        <f t="shared" si="82"/>
        <v>0</v>
      </c>
      <c r="Q618" s="329">
        <v>3.1999999999999999E-6</v>
      </c>
      <c r="R618" s="346">
        <f t="shared" si="83"/>
        <v>3.1999999999999999E-6</v>
      </c>
      <c r="S618" s="347" t="str">
        <f t="shared" si="84"/>
        <v>-</v>
      </c>
      <c r="T618" s="347">
        <f t="shared" si="85"/>
        <v>0</v>
      </c>
      <c r="U618" s="347">
        <f>HLOOKUP(Apoio!$P$12,$D$548:$P$649,X618,FALSE)+Q618</f>
        <v>3.1999999999999999E-6</v>
      </c>
      <c r="V618" s="447" t="str">
        <f t="shared" si="86"/>
        <v>-</v>
      </c>
      <c r="W618" s="448">
        <f>HLOOKUP(Apoio!$P$12,$D$548:$P$649,X618,FALSE)</f>
        <v>0</v>
      </c>
      <c r="X618" s="329">
        <v>71</v>
      </c>
    </row>
    <row r="619" spans="2:24" ht="30.05" customHeight="1" x14ac:dyDescent="0.35">
      <c r="B619" s="204" t="str">
        <f>'CAD_PL_REC-DESP'!E74</f>
        <v>1.2.70</v>
      </c>
      <c r="C619" s="205" t="str">
        <f>IF('CAD_PL_REC-DESP'!F74="","-",'CAD_PL_REC-DESP'!F74)</f>
        <v>-</v>
      </c>
      <c r="D619" s="206">
        <f>SUMIFS(LANÇ_MOV[VALOR LÍQUIDO],LANÇ_MOV[RECEITA OU DESPESA],"Receita",LANÇ_MOV[CONTAS],$C619,LANÇ_MOV[PLANO DE CONTAS],REL_DRE_FINANCEIRO!$B$549,LANÇ_MOV[ANO PAGAMENTO],$B$4,LANÇ_MOV[MÊS PAGAMENTO CORRESPONDENTE],D$6,LANÇ_MOV[EMPRESA],$C$4,LANÇ_MOV[CENTRO DE CUSTOS],$D$4)</f>
        <v>0</v>
      </c>
      <c r="E619" s="206">
        <f>SUMIFS(LANÇ_MOV[VALOR LÍQUIDO],LANÇ_MOV[RECEITA OU DESPESA],"Receita",LANÇ_MOV[CONTAS],$C619,LANÇ_MOV[PLANO DE CONTAS],REL_DRE_FINANCEIRO!$B$549,LANÇ_MOV[ANO PAGAMENTO],$B$4,LANÇ_MOV[MÊS PAGAMENTO CORRESPONDENTE],E$6,LANÇ_MOV[EMPRESA],$C$4,LANÇ_MOV[CENTRO DE CUSTOS],$D$4)</f>
        <v>0</v>
      </c>
      <c r="F619" s="206">
        <f>SUMIFS(LANÇ_MOV[VALOR LÍQUIDO],LANÇ_MOV[RECEITA OU DESPESA],"Receita",LANÇ_MOV[CONTAS],$C619,LANÇ_MOV[PLANO DE CONTAS],REL_DRE_FINANCEIRO!$B$549,LANÇ_MOV[ANO PAGAMENTO],$B$4,LANÇ_MOV[MÊS PAGAMENTO CORRESPONDENTE],F$6,LANÇ_MOV[EMPRESA],$C$4,LANÇ_MOV[CENTRO DE CUSTOS],$D$4)</f>
        <v>0</v>
      </c>
      <c r="G619" s="206">
        <f>SUMIFS(LANÇ_MOV[VALOR LÍQUIDO],LANÇ_MOV[RECEITA OU DESPESA],"Receita",LANÇ_MOV[CONTAS],$C619,LANÇ_MOV[PLANO DE CONTAS],REL_DRE_FINANCEIRO!$B$549,LANÇ_MOV[ANO PAGAMENTO],$B$4,LANÇ_MOV[MÊS PAGAMENTO CORRESPONDENTE],G$6,LANÇ_MOV[EMPRESA],$C$4,LANÇ_MOV[CENTRO DE CUSTOS],$D$4)</f>
        <v>0</v>
      </c>
      <c r="H619" s="206">
        <f>SUMIFS(LANÇ_MOV[VALOR LÍQUIDO],LANÇ_MOV[RECEITA OU DESPESA],"Receita",LANÇ_MOV[CONTAS],$C619,LANÇ_MOV[PLANO DE CONTAS],REL_DRE_FINANCEIRO!$B$549,LANÇ_MOV[ANO PAGAMENTO],$B$4,LANÇ_MOV[MÊS PAGAMENTO CORRESPONDENTE],H$6,LANÇ_MOV[EMPRESA],$C$4,LANÇ_MOV[CENTRO DE CUSTOS],$D$4)</f>
        <v>0</v>
      </c>
      <c r="I619" s="206">
        <f>SUMIFS(LANÇ_MOV[VALOR LÍQUIDO],LANÇ_MOV[RECEITA OU DESPESA],"Receita",LANÇ_MOV[CONTAS],$C619,LANÇ_MOV[PLANO DE CONTAS],REL_DRE_FINANCEIRO!$B$549,LANÇ_MOV[ANO PAGAMENTO],$B$4,LANÇ_MOV[MÊS PAGAMENTO CORRESPONDENTE],I$6,LANÇ_MOV[EMPRESA],$C$4,LANÇ_MOV[CENTRO DE CUSTOS],$D$4)</f>
        <v>0</v>
      </c>
      <c r="J619" s="206">
        <f>SUMIFS(LANÇ_MOV[VALOR LÍQUIDO],LANÇ_MOV[RECEITA OU DESPESA],"Receita",LANÇ_MOV[CONTAS],$C619,LANÇ_MOV[PLANO DE CONTAS],REL_DRE_FINANCEIRO!$B$549,LANÇ_MOV[ANO PAGAMENTO],$B$4,LANÇ_MOV[MÊS PAGAMENTO CORRESPONDENTE],J$6,LANÇ_MOV[EMPRESA],$C$4,LANÇ_MOV[CENTRO DE CUSTOS],$D$4)</f>
        <v>0</v>
      </c>
      <c r="K619" s="206">
        <f>SUMIFS(LANÇ_MOV[VALOR LÍQUIDO],LANÇ_MOV[RECEITA OU DESPESA],"Receita",LANÇ_MOV[CONTAS],$C619,LANÇ_MOV[PLANO DE CONTAS],REL_DRE_FINANCEIRO!$B$549,LANÇ_MOV[ANO PAGAMENTO],$B$4,LANÇ_MOV[MÊS PAGAMENTO CORRESPONDENTE],K$6,LANÇ_MOV[EMPRESA],$C$4,LANÇ_MOV[CENTRO DE CUSTOS],$D$4)</f>
        <v>0</v>
      </c>
      <c r="L619" s="206">
        <f>SUMIFS(LANÇ_MOV[VALOR LÍQUIDO],LANÇ_MOV[RECEITA OU DESPESA],"Receita",LANÇ_MOV[CONTAS],$C619,LANÇ_MOV[PLANO DE CONTAS],REL_DRE_FINANCEIRO!$B$549,LANÇ_MOV[ANO PAGAMENTO],$B$4,LANÇ_MOV[MÊS PAGAMENTO CORRESPONDENTE],L$6,LANÇ_MOV[EMPRESA],$C$4,LANÇ_MOV[CENTRO DE CUSTOS],$D$4)</f>
        <v>0</v>
      </c>
      <c r="M619" s="206">
        <f>SUMIFS(LANÇ_MOV[VALOR LÍQUIDO],LANÇ_MOV[RECEITA OU DESPESA],"Receita",LANÇ_MOV[CONTAS],$C619,LANÇ_MOV[PLANO DE CONTAS],REL_DRE_FINANCEIRO!$B$549,LANÇ_MOV[ANO PAGAMENTO],$B$4,LANÇ_MOV[MÊS PAGAMENTO CORRESPONDENTE],M$6,LANÇ_MOV[EMPRESA],$C$4,LANÇ_MOV[CENTRO DE CUSTOS],$D$4)</f>
        <v>0</v>
      </c>
      <c r="N619" s="206">
        <f>SUMIFS(LANÇ_MOV[VALOR LÍQUIDO],LANÇ_MOV[RECEITA OU DESPESA],"Receita",LANÇ_MOV[CONTAS],$C619,LANÇ_MOV[PLANO DE CONTAS],REL_DRE_FINANCEIRO!$B$549,LANÇ_MOV[ANO PAGAMENTO],$B$4,LANÇ_MOV[MÊS PAGAMENTO CORRESPONDENTE],N$6,LANÇ_MOV[EMPRESA],$C$4,LANÇ_MOV[CENTRO DE CUSTOS],$D$4)</f>
        <v>0</v>
      </c>
      <c r="O619" s="206">
        <f>SUMIFS(LANÇ_MOV[VALOR LÍQUIDO],LANÇ_MOV[RECEITA OU DESPESA],"Receita",LANÇ_MOV[CONTAS],$C619,LANÇ_MOV[PLANO DE CONTAS],REL_DRE_FINANCEIRO!$B$549,LANÇ_MOV[ANO PAGAMENTO],$B$4,LANÇ_MOV[MÊS PAGAMENTO CORRESPONDENTE],O$6,LANÇ_MOV[EMPRESA],$C$4,LANÇ_MOV[CENTRO DE CUSTOS],$D$4)</f>
        <v>0</v>
      </c>
      <c r="P619" s="207">
        <f t="shared" si="82"/>
        <v>0</v>
      </c>
      <c r="Q619" s="329">
        <v>3.1E-6</v>
      </c>
      <c r="R619" s="346">
        <f t="shared" si="83"/>
        <v>3.1E-6</v>
      </c>
      <c r="S619" s="347" t="str">
        <f t="shared" si="84"/>
        <v>-</v>
      </c>
      <c r="T619" s="347">
        <f t="shared" si="85"/>
        <v>0</v>
      </c>
      <c r="U619" s="347">
        <f>HLOOKUP(Apoio!$P$12,$D$548:$P$649,X619,FALSE)+Q619</f>
        <v>3.1E-6</v>
      </c>
      <c r="V619" s="447" t="str">
        <f t="shared" si="86"/>
        <v>-</v>
      </c>
      <c r="W619" s="448">
        <f>HLOOKUP(Apoio!$P$12,$D$548:$P$649,X619,FALSE)</f>
        <v>0</v>
      </c>
      <c r="X619" s="329">
        <v>72</v>
      </c>
    </row>
    <row r="620" spans="2:24" ht="30.05" customHeight="1" x14ac:dyDescent="0.35">
      <c r="B620" s="204" t="str">
        <f>'CAD_PL_REC-DESP'!E75</f>
        <v>1.2.71</v>
      </c>
      <c r="C620" s="205" t="str">
        <f>IF('CAD_PL_REC-DESP'!F75="","-",'CAD_PL_REC-DESP'!F75)</f>
        <v>-</v>
      </c>
      <c r="D620" s="206">
        <f>SUMIFS(LANÇ_MOV[VALOR LÍQUIDO],LANÇ_MOV[RECEITA OU DESPESA],"Receita",LANÇ_MOV[CONTAS],$C620,LANÇ_MOV[PLANO DE CONTAS],REL_DRE_FINANCEIRO!$B$549,LANÇ_MOV[ANO PAGAMENTO],$B$4,LANÇ_MOV[MÊS PAGAMENTO CORRESPONDENTE],D$6,LANÇ_MOV[EMPRESA],$C$4,LANÇ_MOV[CENTRO DE CUSTOS],$D$4)</f>
        <v>0</v>
      </c>
      <c r="E620" s="206">
        <f>SUMIFS(LANÇ_MOV[VALOR LÍQUIDO],LANÇ_MOV[RECEITA OU DESPESA],"Receita",LANÇ_MOV[CONTAS],$C620,LANÇ_MOV[PLANO DE CONTAS],REL_DRE_FINANCEIRO!$B$549,LANÇ_MOV[ANO PAGAMENTO],$B$4,LANÇ_MOV[MÊS PAGAMENTO CORRESPONDENTE],E$6,LANÇ_MOV[EMPRESA],$C$4,LANÇ_MOV[CENTRO DE CUSTOS],$D$4)</f>
        <v>0</v>
      </c>
      <c r="F620" s="206">
        <f>SUMIFS(LANÇ_MOV[VALOR LÍQUIDO],LANÇ_MOV[RECEITA OU DESPESA],"Receita",LANÇ_MOV[CONTAS],$C620,LANÇ_MOV[PLANO DE CONTAS],REL_DRE_FINANCEIRO!$B$549,LANÇ_MOV[ANO PAGAMENTO],$B$4,LANÇ_MOV[MÊS PAGAMENTO CORRESPONDENTE],F$6,LANÇ_MOV[EMPRESA],$C$4,LANÇ_MOV[CENTRO DE CUSTOS],$D$4)</f>
        <v>0</v>
      </c>
      <c r="G620" s="206">
        <f>SUMIFS(LANÇ_MOV[VALOR LÍQUIDO],LANÇ_MOV[RECEITA OU DESPESA],"Receita",LANÇ_MOV[CONTAS],$C620,LANÇ_MOV[PLANO DE CONTAS],REL_DRE_FINANCEIRO!$B$549,LANÇ_MOV[ANO PAGAMENTO],$B$4,LANÇ_MOV[MÊS PAGAMENTO CORRESPONDENTE],G$6,LANÇ_MOV[EMPRESA],$C$4,LANÇ_MOV[CENTRO DE CUSTOS],$D$4)</f>
        <v>0</v>
      </c>
      <c r="H620" s="206">
        <f>SUMIFS(LANÇ_MOV[VALOR LÍQUIDO],LANÇ_MOV[RECEITA OU DESPESA],"Receita",LANÇ_MOV[CONTAS],$C620,LANÇ_MOV[PLANO DE CONTAS],REL_DRE_FINANCEIRO!$B$549,LANÇ_MOV[ANO PAGAMENTO],$B$4,LANÇ_MOV[MÊS PAGAMENTO CORRESPONDENTE],H$6,LANÇ_MOV[EMPRESA],$C$4,LANÇ_MOV[CENTRO DE CUSTOS],$D$4)</f>
        <v>0</v>
      </c>
      <c r="I620" s="206">
        <f>SUMIFS(LANÇ_MOV[VALOR LÍQUIDO],LANÇ_MOV[RECEITA OU DESPESA],"Receita",LANÇ_MOV[CONTAS],$C620,LANÇ_MOV[PLANO DE CONTAS],REL_DRE_FINANCEIRO!$B$549,LANÇ_MOV[ANO PAGAMENTO],$B$4,LANÇ_MOV[MÊS PAGAMENTO CORRESPONDENTE],I$6,LANÇ_MOV[EMPRESA],$C$4,LANÇ_MOV[CENTRO DE CUSTOS],$D$4)</f>
        <v>0</v>
      </c>
      <c r="J620" s="206">
        <f>SUMIFS(LANÇ_MOV[VALOR LÍQUIDO],LANÇ_MOV[RECEITA OU DESPESA],"Receita",LANÇ_MOV[CONTAS],$C620,LANÇ_MOV[PLANO DE CONTAS],REL_DRE_FINANCEIRO!$B$549,LANÇ_MOV[ANO PAGAMENTO],$B$4,LANÇ_MOV[MÊS PAGAMENTO CORRESPONDENTE],J$6,LANÇ_MOV[EMPRESA],$C$4,LANÇ_MOV[CENTRO DE CUSTOS],$D$4)</f>
        <v>0</v>
      </c>
      <c r="K620" s="206">
        <f>SUMIFS(LANÇ_MOV[VALOR LÍQUIDO],LANÇ_MOV[RECEITA OU DESPESA],"Receita",LANÇ_MOV[CONTAS],$C620,LANÇ_MOV[PLANO DE CONTAS],REL_DRE_FINANCEIRO!$B$549,LANÇ_MOV[ANO PAGAMENTO],$B$4,LANÇ_MOV[MÊS PAGAMENTO CORRESPONDENTE],K$6,LANÇ_MOV[EMPRESA],$C$4,LANÇ_MOV[CENTRO DE CUSTOS],$D$4)</f>
        <v>0</v>
      </c>
      <c r="L620" s="206">
        <f>SUMIFS(LANÇ_MOV[VALOR LÍQUIDO],LANÇ_MOV[RECEITA OU DESPESA],"Receita",LANÇ_MOV[CONTAS],$C620,LANÇ_MOV[PLANO DE CONTAS],REL_DRE_FINANCEIRO!$B$549,LANÇ_MOV[ANO PAGAMENTO],$B$4,LANÇ_MOV[MÊS PAGAMENTO CORRESPONDENTE],L$6,LANÇ_MOV[EMPRESA],$C$4,LANÇ_MOV[CENTRO DE CUSTOS],$D$4)</f>
        <v>0</v>
      </c>
      <c r="M620" s="206">
        <f>SUMIFS(LANÇ_MOV[VALOR LÍQUIDO],LANÇ_MOV[RECEITA OU DESPESA],"Receita",LANÇ_MOV[CONTAS],$C620,LANÇ_MOV[PLANO DE CONTAS],REL_DRE_FINANCEIRO!$B$549,LANÇ_MOV[ANO PAGAMENTO],$B$4,LANÇ_MOV[MÊS PAGAMENTO CORRESPONDENTE],M$6,LANÇ_MOV[EMPRESA],$C$4,LANÇ_MOV[CENTRO DE CUSTOS],$D$4)</f>
        <v>0</v>
      </c>
      <c r="N620" s="206">
        <f>SUMIFS(LANÇ_MOV[VALOR LÍQUIDO],LANÇ_MOV[RECEITA OU DESPESA],"Receita",LANÇ_MOV[CONTAS],$C620,LANÇ_MOV[PLANO DE CONTAS],REL_DRE_FINANCEIRO!$B$549,LANÇ_MOV[ANO PAGAMENTO],$B$4,LANÇ_MOV[MÊS PAGAMENTO CORRESPONDENTE],N$6,LANÇ_MOV[EMPRESA],$C$4,LANÇ_MOV[CENTRO DE CUSTOS],$D$4)</f>
        <v>0</v>
      </c>
      <c r="O620" s="206">
        <f>SUMIFS(LANÇ_MOV[VALOR LÍQUIDO],LANÇ_MOV[RECEITA OU DESPESA],"Receita",LANÇ_MOV[CONTAS],$C620,LANÇ_MOV[PLANO DE CONTAS],REL_DRE_FINANCEIRO!$B$549,LANÇ_MOV[ANO PAGAMENTO],$B$4,LANÇ_MOV[MÊS PAGAMENTO CORRESPONDENTE],O$6,LANÇ_MOV[EMPRESA],$C$4,LANÇ_MOV[CENTRO DE CUSTOS],$D$4)</f>
        <v>0</v>
      </c>
      <c r="P620" s="207">
        <f t="shared" si="82"/>
        <v>0</v>
      </c>
      <c r="Q620" s="329">
        <v>3.0000000000000001E-6</v>
      </c>
      <c r="R620" s="346">
        <f t="shared" si="83"/>
        <v>3.0000000000000001E-6</v>
      </c>
      <c r="S620" s="347" t="str">
        <f t="shared" si="84"/>
        <v>-</v>
      </c>
      <c r="T620" s="347">
        <f t="shared" si="85"/>
        <v>0</v>
      </c>
      <c r="U620" s="347">
        <f>HLOOKUP(Apoio!$P$12,$D$548:$P$649,X620,FALSE)+Q620</f>
        <v>3.0000000000000001E-6</v>
      </c>
      <c r="V620" s="447" t="str">
        <f t="shared" si="86"/>
        <v>-</v>
      </c>
      <c r="W620" s="448">
        <f>HLOOKUP(Apoio!$P$12,$D$548:$P$649,X620,FALSE)</f>
        <v>0</v>
      </c>
      <c r="X620" s="329">
        <v>73</v>
      </c>
    </row>
    <row r="621" spans="2:24" ht="30.05" customHeight="1" x14ac:dyDescent="0.35">
      <c r="B621" s="204" t="str">
        <f>'CAD_PL_REC-DESP'!E76</f>
        <v>1.2.72</v>
      </c>
      <c r="C621" s="205" t="str">
        <f>IF('CAD_PL_REC-DESP'!F76="","-",'CAD_PL_REC-DESP'!F76)</f>
        <v>-</v>
      </c>
      <c r="D621" s="206">
        <f>SUMIFS(LANÇ_MOV[VALOR LÍQUIDO],LANÇ_MOV[RECEITA OU DESPESA],"Receita",LANÇ_MOV[CONTAS],$C621,LANÇ_MOV[PLANO DE CONTAS],REL_DRE_FINANCEIRO!$B$549,LANÇ_MOV[ANO PAGAMENTO],$B$4,LANÇ_MOV[MÊS PAGAMENTO CORRESPONDENTE],D$6,LANÇ_MOV[EMPRESA],$C$4,LANÇ_MOV[CENTRO DE CUSTOS],$D$4)</f>
        <v>0</v>
      </c>
      <c r="E621" s="206">
        <f>SUMIFS(LANÇ_MOV[VALOR LÍQUIDO],LANÇ_MOV[RECEITA OU DESPESA],"Receita",LANÇ_MOV[CONTAS],$C621,LANÇ_MOV[PLANO DE CONTAS],REL_DRE_FINANCEIRO!$B$549,LANÇ_MOV[ANO PAGAMENTO],$B$4,LANÇ_MOV[MÊS PAGAMENTO CORRESPONDENTE],E$6,LANÇ_MOV[EMPRESA],$C$4,LANÇ_MOV[CENTRO DE CUSTOS],$D$4)</f>
        <v>0</v>
      </c>
      <c r="F621" s="206">
        <f>SUMIFS(LANÇ_MOV[VALOR LÍQUIDO],LANÇ_MOV[RECEITA OU DESPESA],"Receita",LANÇ_MOV[CONTAS],$C621,LANÇ_MOV[PLANO DE CONTAS],REL_DRE_FINANCEIRO!$B$549,LANÇ_MOV[ANO PAGAMENTO],$B$4,LANÇ_MOV[MÊS PAGAMENTO CORRESPONDENTE],F$6,LANÇ_MOV[EMPRESA],$C$4,LANÇ_MOV[CENTRO DE CUSTOS],$D$4)</f>
        <v>0</v>
      </c>
      <c r="G621" s="206">
        <f>SUMIFS(LANÇ_MOV[VALOR LÍQUIDO],LANÇ_MOV[RECEITA OU DESPESA],"Receita",LANÇ_MOV[CONTAS],$C621,LANÇ_MOV[PLANO DE CONTAS],REL_DRE_FINANCEIRO!$B$549,LANÇ_MOV[ANO PAGAMENTO],$B$4,LANÇ_MOV[MÊS PAGAMENTO CORRESPONDENTE],G$6,LANÇ_MOV[EMPRESA],$C$4,LANÇ_MOV[CENTRO DE CUSTOS],$D$4)</f>
        <v>0</v>
      </c>
      <c r="H621" s="206">
        <f>SUMIFS(LANÇ_MOV[VALOR LÍQUIDO],LANÇ_MOV[RECEITA OU DESPESA],"Receita",LANÇ_MOV[CONTAS],$C621,LANÇ_MOV[PLANO DE CONTAS],REL_DRE_FINANCEIRO!$B$549,LANÇ_MOV[ANO PAGAMENTO],$B$4,LANÇ_MOV[MÊS PAGAMENTO CORRESPONDENTE],H$6,LANÇ_MOV[EMPRESA],$C$4,LANÇ_MOV[CENTRO DE CUSTOS],$D$4)</f>
        <v>0</v>
      </c>
      <c r="I621" s="206">
        <f>SUMIFS(LANÇ_MOV[VALOR LÍQUIDO],LANÇ_MOV[RECEITA OU DESPESA],"Receita",LANÇ_MOV[CONTAS],$C621,LANÇ_MOV[PLANO DE CONTAS],REL_DRE_FINANCEIRO!$B$549,LANÇ_MOV[ANO PAGAMENTO],$B$4,LANÇ_MOV[MÊS PAGAMENTO CORRESPONDENTE],I$6,LANÇ_MOV[EMPRESA],$C$4,LANÇ_MOV[CENTRO DE CUSTOS],$D$4)</f>
        <v>0</v>
      </c>
      <c r="J621" s="206">
        <f>SUMIFS(LANÇ_MOV[VALOR LÍQUIDO],LANÇ_MOV[RECEITA OU DESPESA],"Receita",LANÇ_MOV[CONTAS],$C621,LANÇ_MOV[PLANO DE CONTAS],REL_DRE_FINANCEIRO!$B$549,LANÇ_MOV[ANO PAGAMENTO],$B$4,LANÇ_MOV[MÊS PAGAMENTO CORRESPONDENTE],J$6,LANÇ_MOV[EMPRESA],$C$4,LANÇ_MOV[CENTRO DE CUSTOS],$D$4)</f>
        <v>0</v>
      </c>
      <c r="K621" s="206">
        <f>SUMIFS(LANÇ_MOV[VALOR LÍQUIDO],LANÇ_MOV[RECEITA OU DESPESA],"Receita",LANÇ_MOV[CONTAS],$C621,LANÇ_MOV[PLANO DE CONTAS],REL_DRE_FINANCEIRO!$B$549,LANÇ_MOV[ANO PAGAMENTO],$B$4,LANÇ_MOV[MÊS PAGAMENTO CORRESPONDENTE],K$6,LANÇ_MOV[EMPRESA],$C$4,LANÇ_MOV[CENTRO DE CUSTOS],$D$4)</f>
        <v>0</v>
      </c>
      <c r="L621" s="206">
        <f>SUMIFS(LANÇ_MOV[VALOR LÍQUIDO],LANÇ_MOV[RECEITA OU DESPESA],"Receita",LANÇ_MOV[CONTAS],$C621,LANÇ_MOV[PLANO DE CONTAS],REL_DRE_FINANCEIRO!$B$549,LANÇ_MOV[ANO PAGAMENTO],$B$4,LANÇ_MOV[MÊS PAGAMENTO CORRESPONDENTE],L$6,LANÇ_MOV[EMPRESA],$C$4,LANÇ_MOV[CENTRO DE CUSTOS],$D$4)</f>
        <v>0</v>
      </c>
      <c r="M621" s="206">
        <f>SUMIFS(LANÇ_MOV[VALOR LÍQUIDO],LANÇ_MOV[RECEITA OU DESPESA],"Receita",LANÇ_MOV[CONTAS],$C621,LANÇ_MOV[PLANO DE CONTAS],REL_DRE_FINANCEIRO!$B$549,LANÇ_MOV[ANO PAGAMENTO],$B$4,LANÇ_MOV[MÊS PAGAMENTO CORRESPONDENTE],M$6,LANÇ_MOV[EMPRESA],$C$4,LANÇ_MOV[CENTRO DE CUSTOS],$D$4)</f>
        <v>0</v>
      </c>
      <c r="N621" s="206">
        <f>SUMIFS(LANÇ_MOV[VALOR LÍQUIDO],LANÇ_MOV[RECEITA OU DESPESA],"Receita",LANÇ_MOV[CONTAS],$C621,LANÇ_MOV[PLANO DE CONTAS],REL_DRE_FINANCEIRO!$B$549,LANÇ_MOV[ANO PAGAMENTO],$B$4,LANÇ_MOV[MÊS PAGAMENTO CORRESPONDENTE],N$6,LANÇ_MOV[EMPRESA],$C$4,LANÇ_MOV[CENTRO DE CUSTOS],$D$4)</f>
        <v>0</v>
      </c>
      <c r="O621" s="206">
        <f>SUMIFS(LANÇ_MOV[VALOR LÍQUIDO],LANÇ_MOV[RECEITA OU DESPESA],"Receita",LANÇ_MOV[CONTAS],$C621,LANÇ_MOV[PLANO DE CONTAS],REL_DRE_FINANCEIRO!$B$549,LANÇ_MOV[ANO PAGAMENTO],$B$4,LANÇ_MOV[MÊS PAGAMENTO CORRESPONDENTE],O$6,LANÇ_MOV[EMPRESA],$C$4,LANÇ_MOV[CENTRO DE CUSTOS],$D$4)</f>
        <v>0</v>
      </c>
      <c r="P621" s="207">
        <f t="shared" si="82"/>
        <v>0</v>
      </c>
      <c r="Q621" s="329">
        <v>2.9000000000000002E-6</v>
      </c>
      <c r="R621" s="346">
        <f t="shared" si="83"/>
        <v>2.9000000000000002E-6</v>
      </c>
      <c r="S621" s="347" t="str">
        <f t="shared" si="84"/>
        <v>-</v>
      </c>
      <c r="T621" s="347">
        <f t="shared" si="85"/>
        <v>0</v>
      </c>
      <c r="U621" s="347">
        <f>HLOOKUP(Apoio!$P$12,$D$548:$P$649,X621,FALSE)+Q621</f>
        <v>2.9000000000000002E-6</v>
      </c>
      <c r="V621" s="447" t="str">
        <f t="shared" si="86"/>
        <v>-</v>
      </c>
      <c r="W621" s="448">
        <f>HLOOKUP(Apoio!$P$12,$D$548:$P$649,X621,FALSE)</f>
        <v>0</v>
      </c>
      <c r="X621" s="329">
        <v>74</v>
      </c>
    </row>
    <row r="622" spans="2:24" ht="30.05" customHeight="1" x14ac:dyDescent="0.35">
      <c r="B622" s="204" t="str">
        <f>'CAD_PL_REC-DESP'!E77</f>
        <v>1.2.73</v>
      </c>
      <c r="C622" s="205" t="str">
        <f>IF('CAD_PL_REC-DESP'!F77="","-",'CAD_PL_REC-DESP'!F77)</f>
        <v>-</v>
      </c>
      <c r="D622" s="206">
        <f>SUMIFS(LANÇ_MOV[VALOR LÍQUIDO],LANÇ_MOV[RECEITA OU DESPESA],"Receita",LANÇ_MOV[CONTAS],$C622,LANÇ_MOV[PLANO DE CONTAS],REL_DRE_FINANCEIRO!$B$549,LANÇ_MOV[ANO PAGAMENTO],$B$4,LANÇ_MOV[MÊS PAGAMENTO CORRESPONDENTE],D$6,LANÇ_MOV[EMPRESA],$C$4,LANÇ_MOV[CENTRO DE CUSTOS],$D$4)</f>
        <v>0</v>
      </c>
      <c r="E622" s="206">
        <f>SUMIFS(LANÇ_MOV[VALOR LÍQUIDO],LANÇ_MOV[RECEITA OU DESPESA],"Receita",LANÇ_MOV[CONTAS],$C622,LANÇ_MOV[PLANO DE CONTAS],REL_DRE_FINANCEIRO!$B$549,LANÇ_MOV[ANO PAGAMENTO],$B$4,LANÇ_MOV[MÊS PAGAMENTO CORRESPONDENTE],E$6,LANÇ_MOV[EMPRESA],$C$4,LANÇ_MOV[CENTRO DE CUSTOS],$D$4)</f>
        <v>0</v>
      </c>
      <c r="F622" s="206">
        <f>SUMIFS(LANÇ_MOV[VALOR LÍQUIDO],LANÇ_MOV[RECEITA OU DESPESA],"Receita",LANÇ_MOV[CONTAS],$C622,LANÇ_MOV[PLANO DE CONTAS],REL_DRE_FINANCEIRO!$B$549,LANÇ_MOV[ANO PAGAMENTO],$B$4,LANÇ_MOV[MÊS PAGAMENTO CORRESPONDENTE],F$6,LANÇ_MOV[EMPRESA],$C$4,LANÇ_MOV[CENTRO DE CUSTOS],$D$4)</f>
        <v>0</v>
      </c>
      <c r="G622" s="206">
        <f>SUMIFS(LANÇ_MOV[VALOR LÍQUIDO],LANÇ_MOV[RECEITA OU DESPESA],"Receita",LANÇ_MOV[CONTAS],$C622,LANÇ_MOV[PLANO DE CONTAS],REL_DRE_FINANCEIRO!$B$549,LANÇ_MOV[ANO PAGAMENTO],$B$4,LANÇ_MOV[MÊS PAGAMENTO CORRESPONDENTE],G$6,LANÇ_MOV[EMPRESA],$C$4,LANÇ_MOV[CENTRO DE CUSTOS],$D$4)</f>
        <v>0</v>
      </c>
      <c r="H622" s="206">
        <f>SUMIFS(LANÇ_MOV[VALOR LÍQUIDO],LANÇ_MOV[RECEITA OU DESPESA],"Receita",LANÇ_MOV[CONTAS],$C622,LANÇ_MOV[PLANO DE CONTAS],REL_DRE_FINANCEIRO!$B$549,LANÇ_MOV[ANO PAGAMENTO],$B$4,LANÇ_MOV[MÊS PAGAMENTO CORRESPONDENTE],H$6,LANÇ_MOV[EMPRESA],$C$4,LANÇ_MOV[CENTRO DE CUSTOS],$D$4)</f>
        <v>0</v>
      </c>
      <c r="I622" s="206">
        <f>SUMIFS(LANÇ_MOV[VALOR LÍQUIDO],LANÇ_MOV[RECEITA OU DESPESA],"Receita",LANÇ_MOV[CONTAS],$C622,LANÇ_MOV[PLANO DE CONTAS],REL_DRE_FINANCEIRO!$B$549,LANÇ_MOV[ANO PAGAMENTO],$B$4,LANÇ_MOV[MÊS PAGAMENTO CORRESPONDENTE],I$6,LANÇ_MOV[EMPRESA],$C$4,LANÇ_MOV[CENTRO DE CUSTOS],$D$4)</f>
        <v>0</v>
      </c>
      <c r="J622" s="206">
        <f>SUMIFS(LANÇ_MOV[VALOR LÍQUIDO],LANÇ_MOV[RECEITA OU DESPESA],"Receita",LANÇ_MOV[CONTAS],$C622,LANÇ_MOV[PLANO DE CONTAS],REL_DRE_FINANCEIRO!$B$549,LANÇ_MOV[ANO PAGAMENTO],$B$4,LANÇ_MOV[MÊS PAGAMENTO CORRESPONDENTE],J$6,LANÇ_MOV[EMPRESA],$C$4,LANÇ_MOV[CENTRO DE CUSTOS],$D$4)</f>
        <v>0</v>
      </c>
      <c r="K622" s="206">
        <f>SUMIFS(LANÇ_MOV[VALOR LÍQUIDO],LANÇ_MOV[RECEITA OU DESPESA],"Receita",LANÇ_MOV[CONTAS],$C622,LANÇ_MOV[PLANO DE CONTAS],REL_DRE_FINANCEIRO!$B$549,LANÇ_MOV[ANO PAGAMENTO],$B$4,LANÇ_MOV[MÊS PAGAMENTO CORRESPONDENTE],K$6,LANÇ_MOV[EMPRESA],$C$4,LANÇ_MOV[CENTRO DE CUSTOS],$D$4)</f>
        <v>0</v>
      </c>
      <c r="L622" s="206">
        <f>SUMIFS(LANÇ_MOV[VALOR LÍQUIDO],LANÇ_MOV[RECEITA OU DESPESA],"Receita",LANÇ_MOV[CONTAS],$C622,LANÇ_MOV[PLANO DE CONTAS],REL_DRE_FINANCEIRO!$B$549,LANÇ_MOV[ANO PAGAMENTO],$B$4,LANÇ_MOV[MÊS PAGAMENTO CORRESPONDENTE],L$6,LANÇ_MOV[EMPRESA],$C$4,LANÇ_MOV[CENTRO DE CUSTOS],$D$4)</f>
        <v>0</v>
      </c>
      <c r="M622" s="206">
        <f>SUMIFS(LANÇ_MOV[VALOR LÍQUIDO],LANÇ_MOV[RECEITA OU DESPESA],"Receita",LANÇ_MOV[CONTAS],$C622,LANÇ_MOV[PLANO DE CONTAS],REL_DRE_FINANCEIRO!$B$549,LANÇ_MOV[ANO PAGAMENTO],$B$4,LANÇ_MOV[MÊS PAGAMENTO CORRESPONDENTE],M$6,LANÇ_MOV[EMPRESA],$C$4,LANÇ_MOV[CENTRO DE CUSTOS],$D$4)</f>
        <v>0</v>
      </c>
      <c r="N622" s="206">
        <f>SUMIFS(LANÇ_MOV[VALOR LÍQUIDO],LANÇ_MOV[RECEITA OU DESPESA],"Receita",LANÇ_MOV[CONTAS],$C622,LANÇ_MOV[PLANO DE CONTAS],REL_DRE_FINANCEIRO!$B$549,LANÇ_MOV[ANO PAGAMENTO],$B$4,LANÇ_MOV[MÊS PAGAMENTO CORRESPONDENTE],N$6,LANÇ_MOV[EMPRESA],$C$4,LANÇ_MOV[CENTRO DE CUSTOS],$D$4)</f>
        <v>0</v>
      </c>
      <c r="O622" s="206">
        <f>SUMIFS(LANÇ_MOV[VALOR LÍQUIDO],LANÇ_MOV[RECEITA OU DESPESA],"Receita",LANÇ_MOV[CONTAS],$C622,LANÇ_MOV[PLANO DE CONTAS],REL_DRE_FINANCEIRO!$B$549,LANÇ_MOV[ANO PAGAMENTO],$B$4,LANÇ_MOV[MÊS PAGAMENTO CORRESPONDENTE],O$6,LANÇ_MOV[EMPRESA],$C$4,LANÇ_MOV[CENTRO DE CUSTOS],$D$4)</f>
        <v>0</v>
      </c>
      <c r="P622" s="207">
        <f t="shared" si="82"/>
        <v>0</v>
      </c>
      <c r="Q622" s="329">
        <v>2.7999999999999999E-6</v>
      </c>
      <c r="R622" s="346">
        <f t="shared" si="83"/>
        <v>2.7999999999999999E-6</v>
      </c>
      <c r="S622" s="347" t="str">
        <f t="shared" si="84"/>
        <v>-</v>
      </c>
      <c r="T622" s="347">
        <f t="shared" si="85"/>
        <v>0</v>
      </c>
      <c r="U622" s="347">
        <f>HLOOKUP(Apoio!$P$12,$D$548:$P$649,X622,FALSE)+Q622</f>
        <v>2.7999999999999999E-6</v>
      </c>
      <c r="V622" s="447" t="str">
        <f t="shared" si="86"/>
        <v>-</v>
      </c>
      <c r="W622" s="448">
        <f>HLOOKUP(Apoio!$P$12,$D$548:$P$649,X622,FALSE)</f>
        <v>0</v>
      </c>
      <c r="X622" s="329">
        <v>75</v>
      </c>
    </row>
    <row r="623" spans="2:24" ht="30.05" customHeight="1" x14ac:dyDescent="0.35">
      <c r="B623" s="204" t="str">
        <f>'CAD_PL_REC-DESP'!E78</f>
        <v>1.2.74</v>
      </c>
      <c r="C623" s="205" t="str">
        <f>IF('CAD_PL_REC-DESP'!F78="","-",'CAD_PL_REC-DESP'!F78)</f>
        <v>-</v>
      </c>
      <c r="D623" s="206">
        <f>SUMIFS(LANÇ_MOV[VALOR LÍQUIDO],LANÇ_MOV[RECEITA OU DESPESA],"Receita",LANÇ_MOV[CONTAS],$C623,LANÇ_MOV[PLANO DE CONTAS],REL_DRE_FINANCEIRO!$B$549,LANÇ_MOV[ANO PAGAMENTO],$B$4,LANÇ_MOV[MÊS PAGAMENTO CORRESPONDENTE],D$6,LANÇ_MOV[EMPRESA],$C$4,LANÇ_MOV[CENTRO DE CUSTOS],$D$4)</f>
        <v>0</v>
      </c>
      <c r="E623" s="206">
        <f>SUMIFS(LANÇ_MOV[VALOR LÍQUIDO],LANÇ_MOV[RECEITA OU DESPESA],"Receita",LANÇ_MOV[CONTAS],$C623,LANÇ_MOV[PLANO DE CONTAS],REL_DRE_FINANCEIRO!$B$549,LANÇ_MOV[ANO PAGAMENTO],$B$4,LANÇ_MOV[MÊS PAGAMENTO CORRESPONDENTE],E$6,LANÇ_MOV[EMPRESA],$C$4,LANÇ_MOV[CENTRO DE CUSTOS],$D$4)</f>
        <v>0</v>
      </c>
      <c r="F623" s="206">
        <f>SUMIFS(LANÇ_MOV[VALOR LÍQUIDO],LANÇ_MOV[RECEITA OU DESPESA],"Receita",LANÇ_MOV[CONTAS],$C623,LANÇ_MOV[PLANO DE CONTAS],REL_DRE_FINANCEIRO!$B$549,LANÇ_MOV[ANO PAGAMENTO],$B$4,LANÇ_MOV[MÊS PAGAMENTO CORRESPONDENTE],F$6,LANÇ_MOV[EMPRESA],$C$4,LANÇ_MOV[CENTRO DE CUSTOS],$D$4)</f>
        <v>0</v>
      </c>
      <c r="G623" s="206">
        <f>SUMIFS(LANÇ_MOV[VALOR LÍQUIDO],LANÇ_MOV[RECEITA OU DESPESA],"Receita",LANÇ_MOV[CONTAS],$C623,LANÇ_MOV[PLANO DE CONTAS],REL_DRE_FINANCEIRO!$B$549,LANÇ_MOV[ANO PAGAMENTO],$B$4,LANÇ_MOV[MÊS PAGAMENTO CORRESPONDENTE],G$6,LANÇ_MOV[EMPRESA],$C$4,LANÇ_MOV[CENTRO DE CUSTOS],$D$4)</f>
        <v>0</v>
      </c>
      <c r="H623" s="206">
        <f>SUMIFS(LANÇ_MOV[VALOR LÍQUIDO],LANÇ_MOV[RECEITA OU DESPESA],"Receita",LANÇ_MOV[CONTAS],$C623,LANÇ_MOV[PLANO DE CONTAS],REL_DRE_FINANCEIRO!$B$549,LANÇ_MOV[ANO PAGAMENTO],$B$4,LANÇ_MOV[MÊS PAGAMENTO CORRESPONDENTE],H$6,LANÇ_MOV[EMPRESA],$C$4,LANÇ_MOV[CENTRO DE CUSTOS],$D$4)</f>
        <v>0</v>
      </c>
      <c r="I623" s="206">
        <f>SUMIFS(LANÇ_MOV[VALOR LÍQUIDO],LANÇ_MOV[RECEITA OU DESPESA],"Receita",LANÇ_MOV[CONTAS],$C623,LANÇ_MOV[PLANO DE CONTAS],REL_DRE_FINANCEIRO!$B$549,LANÇ_MOV[ANO PAGAMENTO],$B$4,LANÇ_MOV[MÊS PAGAMENTO CORRESPONDENTE],I$6,LANÇ_MOV[EMPRESA],$C$4,LANÇ_MOV[CENTRO DE CUSTOS],$D$4)</f>
        <v>0</v>
      </c>
      <c r="J623" s="206">
        <f>SUMIFS(LANÇ_MOV[VALOR LÍQUIDO],LANÇ_MOV[RECEITA OU DESPESA],"Receita",LANÇ_MOV[CONTAS],$C623,LANÇ_MOV[PLANO DE CONTAS],REL_DRE_FINANCEIRO!$B$549,LANÇ_MOV[ANO PAGAMENTO],$B$4,LANÇ_MOV[MÊS PAGAMENTO CORRESPONDENTE],J$6,LANÇ_MOV[EMPRESA],$C$4,LANÇ_MOV[CENTRO DE CUSTOS],$D$4)</f>
        <v>0</v>
      </c>
      <c r="K623" s="206">
        <f>SUMIFS(LANÇ_MOV[VALOR LÍQUIDO],LANÇ_MOV[RECEITA OU DESPESA],"Receita",LANÇ_MOV[CONTAS],$C623,LANÇ_MOV[PLANO DE CONTAS],REL_DRE_FINANCEIRO!$B$549,LANÇ_MOV[ANO PAGAMENTO],$B$4,LANÇ_MOV[MÊS PAGAMENTO CORRESPONDENTE],K$6,LANÇ_MOV[EMPRESA],$C$4,LANÇ_MOV[CENTRO DE CUSTOS],$D$4)</f>
        <v>0</v>
      </c>
      <c r="L623" s="206">
        <f>SUMIFS(LANÇ_MOV[VALOR LÍQUIDO],LANÇ_MOV[RECEITA OU DESPESA],"Receita",LANÇ_MOV[CONTAS],$C623,LANÇ_MOV[PLANO DE CONTAS],REL_DRE_FINANCEIRO!$B$549,LANÇ_MOV[ANO PAGAMENTO],$B$4,LANÇ_MOV[MÊS PAGAMENTO CORRESPONDENTE],L$6,LANÇ_MOV[EMPRESA],$C$4,LANÇ_MOV[CENTRO DE CUSTOS],$D$4)</f>
        <v>0</v>
      </c>
      <c r="M623" s="206">
        <f>SUMIFS(LANÇ_MOV[VALOR LÍQUIDO],LANÇ_MOV[RECEITA OU DESPESA],"Receita",LANÇ_MOV[CONTAS],$C623,LANÇ_MOV[PLANO DE CONTAS],REL_DRE_FINANCEIRO!$B$549,LANÇ_MOV[ANO PAGAMENTO],$B$4,LANÇ_MOV[MÊS PAGAMENTO CORRESPONDENTE],M$6,LANÇ_MOV[EMPRESA],$C$4,LANÇ_MOV[CENTRO DE CUSTOS],$D$4)</f>
        <v>0</v>
      </c>
      <c r="N623" s="206">
        <f>SUMIFS(LANÇ_MOV[VALOR LÍQUIDO],LANÇ_MOV[RECEITA OU DESPESA],"Receita",LANÇ_MOV[CONTAS],$C623,LANÇ_MOV[PLANO DE CONTAS],REL_DRE_FINANCEIRO!$B$549,LANÇ_MOV[ANO PAGAMENTO],$B$4,LANÇ_MOV[MÊS PAGAMENTO CORRESPONDENTE],N$6,LANÇ_MOV[EMPRESA],$C$4,LANÇ_MOV[CENTRO DE CUSTOS],$D$4)</f>
        <v>0</v>
      </c>
      <c r="O623" s="206">
        <f>SUMIFS(LANÇ_MOV[VALOR LÍQUIDO],LANÇ_MOV[RECEITA OU DESPESA],"Receita",LANÇ_MOV[CONTAS],$C623,LANÇ_MOV[PLANO DE CONTAS],REL_DRE_FINANCEIRO!$B$549,LANÇ_MOV[ANO PAGAMENTO],$B$4,LANÇ_MOV[MÊS PAGAMENTO CORRESPONDENTE],O$6,LANÇ_MOV[EMPRESA],$C$4,LANÇ_MOV[CENTRO DE CUSTOS],$D$4)</f>
        <v>0</v>
      </c>
      <c r="P623" s="207">
        <f t="shared" si="82"/>
        <v>0</v>
      </c>
      <c r="Q623" s="329">
        <v>2.7E-6</v>
      </c>
      <c r="R623" s="346">
        <f t="shared" si="83"/>
        <v>2.7E-6</v>
      </c>
      <c r="S623" s="347" t="str">
        <f t="shared" si="84"/>
        <v>-</v>
      </c>
      <c r="T623" s="347">
        <f t="shared" si="85"/>
        <v>0</v>
      </c>
      <c r="U623" s="347">
        <f>HLOOKUP(Apoio!$P$12,$D$548:$P$649,X623,FALSE)+Q623</f>
        <v>2.7E-6</v>
      </c>
      <c r="V623" s="447" t="str">
        <f t="shared" si="86"/>
        <v>-</v>
      </c>
      <c r="W623" s="448">
        <f>HLOOKUP(Apoio!$P$12,$D$548:$P$649,X623,FALSE)</f>
        <v>0</v>
      </c>
      <c r="X623" s="329">
        <v>76</v>
      </c>
    </row>
    <row r="624" spans="2:24" ht="30.05" customHeight="1" x14ac:dyDescent="0.35">
      <c r="B624" s="204" t="str">
        <f>'CAD_PL_REC-DESP'!E79</f>
        <v>1.2.75</v>
      </c>
      <c r="C624" s="205" t="str">
        <f>IF('CAD_PL_REC-DESP'!F79="","-",'CAD_PL_REC-DESP'!F79)</f>
        <v>-</v>
      </c>
      <c r="D624" s="206">
        <f>SUMIFS(LANÇ_MOV[VALOR LÍQUIDO],LANÇ_MOV[RECEITA OU DESPESA],"Receita",LANÇ_MOV[CONTAS],$C624,LANÇ_MOV[PLANO DE CONTAS],REL_DRE_FINANCEIRO!$B$549,LANÇ_MOV[ANO PAGAMENTO],$B$4,LANÇ_MOV[MÊS PAGAMENTO CORRESPONDENTE],D$6,LANÇ_MOV[EMPRESA],$C$4,LANÇ_MOV[CENTRO DE CUSTOS],$D$4)</f>
        <v>0</v>
      </c>
      <c r="E624" s="206">
        <f>SUMIFS(LANÇ_MOV[VALOR LÍQUIDO],LANÇ_MOV[RECEITA OU DESPESA],"Receita",LANÇ_MOV[CONTAS],$C624,LANÇ_MOV[PLANO DE CONTAS],REL_DRE_FINANCEIRO!$B$549,LANÇ_MOV[ANO PAGAMENTO],$B$4,LANÇ_MOV[MÊS PAGAMENTO CORRESPONDENTE],E$6,LANÇ_MOV[EMPRESA],$C$4,LANÇ_MOV[CENTRO DE CUSTOS],$D$4)</f>
        <v>0</v>
      </c>
      <c r="F624" s="206">
        <f>SUMIFS(LANÇ_MOV[VALOR LÍQUIDO],LANÇ_MOV[RECEITA OU DESPESA],"Receita",LANÇ_MOV[CONTAS],$C624,LANÇ_MOV[PLANO DE CONTAS],REL_DRE_FINANCEIRO!$B$549,LANÇ_MOV[ANO PAGAMENTO],$B$4,LANÇ_MOV[MÊS PAGAMENTO CORRESPONDENTE],F$6,LANÇ_MOV[EMPRESA],$C$4,LANÇ_MOV[CENTRO DE CUSTOS],$D$4)</f>
        <v>0</v>
      </c>
      <c r="G624" s="206">
        <f>SUMIFS(LANÇ_MOV[VALOR LÍQUIDO],LANÇ_MOV[RECEITA OU DESPESA],"Receita",LANÇ_MOV[CONTAS],$C624,LANÇ_MOV[PLANO DE CONTAS],REL_DRE_FINANCEIRO!$B$549,LANÇ_MOV[ANO PAGAMENTO],$B$4,LANÇ_MOV[MÊS PAGAMENTO CORRESPONDENTE],G$6,LANÇ_MOV[EMPRESA],$C$4,LANÇ_MOV[CENTRO DE CUSTOS],$D$4)</f>
        <v>0</v>
      </c>
      <c r="H624" s="206">
        <f>SUMIFS(LANÇ_MOV[VALOR LÍQUIDO],LANÇ_MOV[RECEITA OU DESPESA],"Receita",LANÇ_MOV[CONTAS],$C624,LANÇ_MOV[PLANO DE CONTAS],REL_DRE_FINANCEIRO!$B$549,LANÇ_MOV[ANO PAGAMENTO],$B$4,LANÇ_MOV[MÊS PAGAMENTO CORRESPONDENTE],H$6,LANÇ_MOV[EMPRESA],$C$4,LANÇ_MOV[CENTRO DE CUSTOS],$D$4)</f>
        <v>0</v>
      </c>
      <c r="I624" s="206">
        <f>SUMIFS(LANÇ_MOV[VALOR LÍQUIDO],LANÇ_MOV[RECEITA OU DESPESA],"Receita",LANÇ_MOV[CONTAS],$C624,LANÇ_MOV[PLANO DE CONTAS],REL_DRE_FINANCEIRO!$B$549,LANÇ_MOV[ANO PAGAMENTO],$B$4,LANÇ_MOV[MÊS PAGAMENTO CORRESPONDENTE],I$6,LANÇ_MOV[EMPRESA],$C$4,LANÇ_MOV[CENTRO DE CUSTOS],$D$4)</f>
        <v>0</v>
      </c>
      <c r="J624" s="206">
        <f>SUMIFS(LANÇ_MOV[VALOR LÍQUIDO],LANÇ_MOV[RECEITA OU DESPESA],"Receita",LANÇ_MOV[CONTAS],$C624,LANÇ_MOV[PLANO DE CONTAS],REL_DRE_FINANCEIRO!$B$549,LANÇ_MOV[ANO PAGAMENTO],$B$4,LANÇ_MOV[MÊS PAGAMENTO CORRESPONDENTE],J$6,LANÇ_MOV[EMPRESA],$C$4,LANÇ_MOV[CENTRO DE CUSTOS],$D$4)</f>
        <v>0</v>
      </c>
      <c r="K624" s="206">
        <f>SUMIFS(LANÇ_MOV[VALOR LÍQUIDO],LANÇ_MOV[RECEITA OU DESPESA],"Receita",LANÇ_MOV[CONTAS],$C624,LANÇ_MOV[PLANO DE CONTAS],REL_DRE_FINANCEIRO!$B$549,LANÇ_MOV[ANO PAGAMENTO],$B$4,LANÇ_MOV[MÊS PAGAMENTO CORRESPONDENTE],K$6,LANÇ_MOV[EMPRESA],$C$4,LANÇ_MOV[CENTRO DE CUSTOS],$D$4)</f>
        <v>0</v>
      </c>
      <c r="L624" s="206">
        <f>SUMIFS(LANÇ_MOV[VALOR LÍQUIDO],LANÇ_MOV[RECEITA OU DESPESA],"Receita",LANÇ_MOV[CONTAS],$C624,LANÇ_MOV[PLANO DE CONTAS],REL_DRE_FINANCEIRO!$B$549,LANÇ_MOV[ANO PAGAMENTO],$B$4,LANÇ_MOV[MÊS PAGAMENTO CORRESPONDENTE],L$6,LANÇ_MOV[EMPRESA],$C$4,LANÇ_MOV[CENTRO DE CUSTOS],$D$4)</f>
        <v>0</v>
      </c>
      <c r="M624" s="206">
        <f>SUMIFS(LANÇ_MOV[VALOR LÍQUIDO],LANÇ_MOV[RECEITA OU DESPESA],"Receita",LANÇ_MOV[CONTAS],$C624,LANÇ_MOV[PLANO DE CONTAS],REL_DRE_FINANCEIRO!$B$549,LANÇ_MOV[ANO PAGAMENTO],$B$4,LANÇ_MOV[MÊS PAGAMENTO CORRESPONDENTE],M$6,LANÇ_MOV[EMPRESA],$C$4,LANÇ_MOV[CENTRO DE CUSTOS],$D$4)</f>
        <v>0</v>
      </c>
      <c r="N624" s="206">
        <f>SUMIFS(LANÇ_MOV[VALOR LÍQUIDO],LANÇ_MOV[RECEITA OU DESPESA],"Receita",LANÇ_MOV[CONTAS],$C624,LANÇ_MOV[PLANO DE CONTAS],REL_DRE_FINANCEIRO!$B$549,LANÇ_MOV[ANO PAGAMENTO],$B$4,LANÇ_MOV[MÊS PAGAMENTO CORRESPONDENTE],N$6,LANÇ_MOV[EMPRESA],$C$4,LANÇ_MOV[CENTRO DE CUSTOS],$D$4)</f>
        <v>0</v>
      </c>
      <c r="O624" s="206">
        <f>SUMIFS(LANÇ_MOV[VALOR LÍQUIDO],LANÇ_MOV[RECEITA OU DESPESA],"Receita",LANÇ_MOV[CONTAS],$C624,LANÇ_MOV[PLANO DE CONTAS],REL_DRE_FINANCEIRO!$B$549,LANÇ_MOV[ANO PAGAMENTO],$B$4,LANÇ_MOV[MÊS PAGAMENTO CORRESPONDENTE],O$6,LANÇ_MOV[EMPRESA],$C$4,LANÇ_MOV[CENTRO DE CUSTOS],$D$4)</f>
        <v>0</v>
      </c>
      <c r="P624" s="207">
        <f t="shared" si="82"/>
        <v>0</v>
      </c>
      <c r="Q624" s="329">
        <v>2.6000000000000001E-6</v>
      </c>
      <c r="R624" s="346">
        <f t="shared" si="83"/>
        <v>2.6000000000000001E-6</v>
      </c>
      <c r="S624" s="347" t="str">
        <f t="shared" si="84"/>
        <v>-</v>
      </c>
      <c r="T624" s="347">
        <f t="shared" si="85"/>
        <v>0</v>
      </c>
      <c r="U624" s="347">
        <f>HLOOKUP(Apoio!$P$12,$D$548:$P$649,X624,FALSE)+Q624</f>
        <v>2.6000000000000001E-6</v>
      </c>
      <c r="V624" s="447" t="str">
        <f t="shared" si="86"/>
        <v>-</v>
      </c>
      <c r="W624" s="448">
        <f>HLOOKUP(Apoio!$P$12,$D$548:$P$649,X624,FALSE)</f>
        <v>0</v>
      </c>
      <c r="X624" s="329">
        <v>77</v>
      </c>
    </row>
    <row r="625" spans="2:24" ht="30.05" customHeight="1" x14ac:dyDescent="0.35">
      <c r="B625" s="204" t="str">
        <f>'CAD_PL_REC-DESP'!E80</f>
        <v>1.2.76</v>
      </c>
      <c r="C625" s="205" t="str">
        <f>IF('CAD_PL_REC-DESP'!F80="","-",'CAD_PL_REC-DESP'!F80)</f>
        <v>-</v>
      </c>
      <c r="D625" s="206">
        <f>SUMIFS(LANÇ_MOV[VALOR LÍQUIDO],LANÇ_MOV[RECEITA OU DESPESA],"Receita",LANÇ_MOV[CONTAS],$C625,LANÇ_MOV[PLANO DE CONTAS],REL_DRE_FINANCEIRO!$B$549,LANÇ_MOV[ANO PAGAMENTO],$B$4,LANÇ_MOV[MÊS PAGAMENTO CORRESPONDENTE],D$6,LANÇ_MOV[EMPRESA],$C$4,LANÇ_MOV[CENTRO DE CUSTOS],$D$4)</f>
        <v>0</v>
      </c>
      <c r="E625" s="206">
        <f>SUMIFS(LANÇ_MOV[VALOR LÍQUIDO],LANÇ_MOV[RECEITA OU DESPESA],"Receita",LANÇ_MOV[CONTAS],$C625,LANÇ_MOV[PLANO DE CONTAS],REL_DRE_FINANCEIRO!$B$549,LANÇ_MOV[ANO PAGAMENTO],$B$4,LANÇ_MOV[MÊS PAGAMENTO CORRESPONDENTE],E$6,LANÇ_MOV[EMPRESA],$C$4,LANÇ_MOV[CENTRO DE CUSTOS],$D$4)</f>
        <v>0</v>
      </c>
      <c r="F625" s="206">
        <f>SUMIFS(LANÇ_MOV[VALOR LÍQUIDO],LANÇ_MOV[RECEITA OU DESPESA],"Receita",LANÇ_MOV[CONTAS],$C625,LANÇ_MOV[PLANO DE CONTAS],REL_DRE_FINANCEIRO!$B$549,LANÇ_MOV[ANO PAGAMENTO],$B$4,LANÇ_MOV[MÊS PAGAMENTO CORRESPONDENTE],F$6,LANÇ_MOV[EMPRESA],$C$4,LANÇ_MOV[CENTRO DE CUSTOS],$D$4)</f>
        <v>0</v>
      </c>
      <c r="G625" s="206">
        <f>SUMIFS(LANÇ_MOV[VALOR LÍQUIDO],LANÇ_MOV[RECEITA OU DESPESA],"Receita",LANÇ_MOV[CONTAS],$C625,LANÇ_MOV[PLANO DE CONTAS],REL_DRE_FINANCEIRO!$B$549,LANÇ_MOV[ANO PAGAMENTO],$B$4,LANÇ_MOV[MÊS PAGAMENTO CORRESPONDENTE],G$6,LANÇ_MOV[EMPRESA],$C$4,LANÇ_MOV[CENTRO DE CUSTOS],$D$4)</f>
        <v>0</v>
      </c>
      <c r="H625" s="206">
        <f>SUMIFS(LANÇ_MOV[VALOR LÍQUIDO],LANÇ_MOV[RECEITA OU DESPESA],"Receita",LANÇ_MOV[CONTAS],$C625,LANÇ_MOV[PLANO DE CONTAS],REL_DRE_FINANCEIRO!$B$549,LANÇ_MOV[ANO PAGAMENTO],$B$4,LANÇ_MOV[MÊS PAGAMENTO CORRESPONDENTE],H$6,LANÇ_MOV[EMPRESA],$C$4,LANÇ_MOV[CENTRO DE CUSTOS],$D$4)</f>
        <v>0</v>
      </c>
      <c r="I625" s="206">
        <f>SUMIFS(LANÇ_MOV[VALOR LÍQUIDO],LANÇ_MOV[RECEITA OU DESPESA],"Receita",LANÇ_MOV[CONTAS],$C625,LANÇ_MOV[PLANO DE CONTAS],REL_DRE_FINANCEIRO!$B$549,LANÇ_MOV[ANO PAGAMENTO],$B$4,LANÇ_MOV[MÊS PAGAMENTO CORRESPONDENTE],I$6,LANÇ_MOV[EMPRESA],$C$4,LANÇ_MOV[CENTRO DE CUSTOS],$D$4)</f>
        <v>0</v>
      </c>
      <c r="J625" s="206">
        <f>SUMIFS(LANÇ_MOV[VALOR LÍQUIDO],LANÇ_MOV[RECEITA OU DESPESA],"Receita",LANÇ_MOV[CONTAS],$C625,LANÇ_MOV[PLANO DE CONTAS],REL_DRE_FINANCEIRO!$B$549,LANÇ_MOV[ANO PAGAMENTO],$B$4,LANÇ_MOV[MÊS PAGAMENTO CORRESPONDENTE],J$6,LANÇ_MOV[EMPRESA],$C$4,LANÇ_MOV[CENTRO DE CUSTOS],$D$4)</f>
        <v>0</v>
      </c>
      <c r="K625" s="206">
        <f>SUMIFS(LANÇ_MOV[VALOR LÍQUIDO],LANÇ_MOV[RECEITA OU DESPESA],"Receita",LANÇ_MOV[CONTAS],$C625,LANÇ_MOV[PLANO DE CONTAS],REL_DRE_FINANCEIRO!$B$549,LANÇ_MOV[ANO PAGAMENTO],$B$4,LANÇ_MOV[MÊS PAGAMENTO CORRESPONDENTE],K$6,LANÇ_MOV[EMPRESA],$C$4,LANÇ_MOV[CENTRO DE CUSTOS],$D$4)</f>
        <v>0</v>
      </c>
      <c r="L625" s="206">
        <f>SUMIFS(LANÇ_MOV[VALOR LÍQUIDO],LANÇ_MOV[RECEITA OU DESPESA],"Receita",LANÇ_MOV[CONTAS],$C625,LANÇ_MOV[PLANO DE CONTAS],REL_DRE_FINANCEIRO!$B$549,LANÇ_MOV[ANO PAGAMENTO],$B$4,LANÇ_MOV[MÊS PAGAMENTO CORRESPONDENTE],L$6,LANÇ_MOV[EMPRESA],$C$4,LANÇ_MOV[CENTRO DE CUSTOS],$D$4)</f>
        <v>0</v>
      </c>
      <c r="M625" s="206">
        <f>SUMIFS(LANÇ_MOV[VALOR LÍQUIDO],LANÇ_MOV[RECEITA OU DESPESA],"Receita",LANÇ_MOV[CONTAS],$C625,LANÇ_MOV[PLANO DE CONTAS],REL_DRE_FINANCEIRO!$B$549,LANÇ_MOV[ANO PAGAMENTO],$B$4,LANÇ_MOV[MÊS PAGAMENTO CORRESPONDENTE],M$6,LANÇ_MOV[EMPRESA],$C$4,LANÇ_MOV[CENTRO DE CUSTOS],$D$4)</f>
        <v>0</v>
      </c>
      <c r="N625" s="206">
        <f>SUMIFS(LANÇ_MOV[VALOR LÍQUIDO],LANÇ_MOV[RECEITA OU DESPESA],"Receita",LANÇ_MOV[CONTAS],$C625,LANÇ_MOV[PLANO DE CONTAS],REL_DRE_FINANCEIRO!$B$549,LANÇ_MOV[ANO PAGAMENTO],$B$4,LANÇ_MOV[MÊS PAGAMENTO CORRESPONDENTE],N$6,LANÇ_MOV[EMPRESA],$C$4,LANÇ_MOV[CENTRO DE CUSTOS],$D$4)</f>
        <v>0</v>
      </c>
      <c r="O625" s="206">
        <f>SUMIFS(LANÇ_MOV[VALOR LÍQUIDO],LANÇ_MOV[RECEITA OU DESPESA],"Receita",LANÇ_MOV[CONTAS],$C625,LANÇ_MOV[PLANO DE CONTAS],REL_DRE_FINANCEIRO!$B$549,LANÇ_MOV[ANO PAGAMENTO],$B$4,LANÇ_MOV[MÊS PAGAMENTO CORRESPONDENTE],O$6,LANÇ_MOV[EMPRESA],$C$4,LANÇ_MOV[CENTRO DE CUSTOS],$D$4)</f>
        <v>0</v>
      </c>
      <c r="P625" s="207">
        <f t="shared" si="82"/>
        <v>0</v>
      </c>
      <c r="Q625" s="329">
        <v>2.5000000000000002E-6</v>
      </c>
      <c r="R625" s="346">
        <f t="shared" si="83"/>
        <v>2.5000000000000002E-6</v>
      </c>
      <c r="S625" s="347" t="str">
        <f t="shared" si="84"/>
        <v>-</v>
      </c>
      <c r="T625" s="347">
        <f t="shared" si="85"/>
        <v>0</v>
      </c>
      <c r="U625" s="347">
        <f>HLOOKUP(Apoio!$P$12,$D$548:$P$649,X625,FALSE)+Q625</f>
        <v>2.5000000000000002E-6</v>
      </c>
      <c r="V625" s="447" t="str">
        <f t="shared" si="86"/>
        <v>-</v>
      </c>
      <c r="W625" s="448">
        <f>HLOOKUP(Apoio!$P$12,$D$548:$P$649,X625,FALSE)</f>
        <v>0</v>
      </c>
      <c r="X625" s="329">
        <v>78</v>
      </c>
    </row>
    <row r="626" spans="2:24" ht="30.05" customHeight="1" x14ac:dyDescent="0.35">
      <c r="B626" s="204" t="str">
        <f>'CAD_PL_REC-DESP'!E81</f>
        <v>1.2.77</v>
      </c>
      <c r="C626" s="205" t="str">
        <f>IF('CAD_PL_REC-DESP'!F81="","-",'CAD_PL_REC-DESP'!F81)</f>
        <v>-</v>
      </c>
      <c r="D626" s="206">
        <f>SUMIFS(LANÇ_MOV[VALOR LÍQUIDO],LANÇ_MOV[RECEITA OU DESPESA],"Receita",LANÇ_MOV[CONTAS],$C626,LANÇ_MOV[PLANO DE CONTAS],REL_DRE_FINANCEIRO!$B$549,LANÇ_MOV[ANO PAGAMENTO],$B$4,LANÇ_MOV[MÊS PAGAMENTO CORRESPONDENTE],D$6,LANÇ_MOV[EMPRESA],$C$4,LANÇ_MOV[CENTRO DE CUSTOS],$D$4)</f>
        <v>0</v>
      </c>
      <c r="E626" s="206">
        <f>SUMIFS(LANÇ_MOV[VALOR LÍQUIDO],LANÇ_MOV[RECEITA OU DESPESA],"Receita",LANÇ_MOV[CONTAS],$C626,LANÇ_MOV[PLANO DE CONTAS],REL_DRE_FINANCEIRO!$B$549,LANÇ_MOV[ANO PAGAMENTO],$B$4,LANÇ_MOV[MÊS PAGAMENTO CORRESPONDENTE],E$6,LANÇ_MOV[EMPRESA],$C$4,LANÇ_MOV[CENTRO DE CUSTOS],$D$4)</f>
        <v>0</v>
      </c>
      <c r="F626" s="206">
        <f>SUMIFS(LANÇ_MOV[VALOR LÍQUIDO],LANÇ_MOV[RECEITA OU DESPESA],"Receita",LANÇ_MOV[CONTAS],$C626,LANÇ_MOV[PLANO DE CONTAS],REL_DRE_FINANCEIRO!$B$549,LANÇ_MOV[ANO PAGAMENTO],$B$4,LANÇ_MOV[MÊS PAGAMENTO CORRESPONDENTE],F$6,LANÇ_MOV[EMPRESA],$C$4,LANÇ_MOV[CENTRO DE CUSTOS],$D$4)</f>
        <v>0</v>
      </c>
      <c r="G626" s="206">
        <f>SUMIFS(LANÇ_MOV[VALOR LÍQUIDO],LANÇ_MOV[RECEITA OU DESPESA],"Receita",LANÇ_MOV[CONTAS],$C626,LANÇ_MOV[PLANO DE CONTAS],REL_DRE_FINANCEIRO!$B$549,LANÇ_MOV[ANO PAGAMENTO],$B$4,LANÇ_MOV[MÊS PAGAMENTO CORRESPONDENTE],G$6,LANÇ_MOV[EMPRESA],$C$4,LANÇ_MOV[CENTRO DE CUSTOS],$D$4)</f>
        <v>0</v>
      </c>
      <c r="H626" s="206">
        <f>SUMIFS(LANÇ_MOV[VALOR LÍQUIDO],LANÇ_MOV[RECEITA OU DESPESA],"Receita",LANÇ_MOV[CONTAS],$C626,LANÇ_MOV[PLANO DE CONTAS],REL_DRE_FINANCEIRO!$B$549,LANÇ_MOV[ANO PAGAMENTO],$B$4,LANÇ_MOV[MÊS PAGAMENTO CORRESPONDENTE],H$6,LANÇ_MOV[EMPRESA],$C$4,LANÇ_MOV[CENTRO DE CUSTOS],$D$4)</f>
        <v>0</v>
      </c>
      <c r="I626" s="206">
        <f>SUMIFS(LANÇ_MOV[VALOR LÍQUIDO],LANÇ_MOV[RECEITA OU DESPESA],"Receita",LANÇ_MOV[CONTAS],$C626,LANÇ_MOV[PLANO DE CONTAS],REL_DRE_FINANCEIRO!$B$549,LANÇ_MOV[ANO PAGAMENTO],$B$4,LANÇ_MOV[MÊS PAGAMENTO CORRESPONDENTE],I$6,LANÇ_MOV[EMPRESA],$C$4,LANÇ_MOV[CENTRO DE CUSTOS],$D$4)</f>
        <v>0</v>
      </c>
      <c r="J626" s="206">
        <f>SUMIFS(LANÇ_MOV[VALOR LÍQUIDO],LANÇ_MOV[RECEITA OU DESPESA],"Receita",LANÇ_MOV[CONTAS],$C626,LANÇ_MOV[PLANO DE CONTAS],REL_DRE_FINANCEIRO!$B$549,LANÇ_MOV[ANO PAGAMENTO],$B$4,LANÇ_MOV[MÊS PAGAMENTO CORRESPONDENTE],J$6,LANÇ_MOV[EMPRESA],$C$4,LANÇ_MOV[CENTRO DE CUSTOS],$D$4)</f>
        <v>0</v>
      </c>
      <c r="K626" s="206">
        <f>SUMIFS(LANÇ_MOV[VALOR LÍQUIDO],LANÇ_MOV[RECEITA OU DESPESA],"Receita",LANÇ_MOV[CONTAS],$C626,LANÇ_MOV[PLANO DE CONTAS],REL_DRE_FINANCEIRO!$B$549,LANÇ_MOV[ANO PAGAMENTO],$B$4,LANÇ_MOV[MÊS PAGAMENTO CORRESPONDENTE],K$6,LANÇ_MOV[EMPRESA],$C$4,LANÇ_MOV[CENTRO DE CUSTOS],$D$4)</f>
        <v>0</v>
      </c>
      <c r="L626" s="206">
        <f>SUMIFS(LANÇ_MOV[VALOR LÍQUIDO],LANÇ_MOV[RECEITA OU DESPESA],"Receita",LANÇ_MOV[CONTAS],$C626,LANÇ_MOV[PLANO DE CONTAS],REL_DRE_FINANCEIRO!$B$549,LANÇ_MOV[ANO PAGAMENTO],$B$4,LANÇ_MOV[MÊS PAGAMENTO CORRESPONDENTE],L$6,LANÇ_MOV[EMPRESA],$C$4,LANÇ_MOV[CENTRO DE CUSTOS],$D$4)</f>
        <v>0</v>
      </c>
      <c r="M626" s="206">
        <f>SUMIFS(LANÇ_MOV[VALOR LÍQUIDO],LANÇ_MOV[RECEITA OU DESPESA],"Receita",LANÇ_MOV[CONTAS],$C626,LANÇ_MOV[PLANO DE CONTAS],REL_DRE_FINANCEIRO!$B$549,LANÇ_MOV[ANO PAGAMENTO],$B$4,LANÇ_MOV[MÊS PAGAMENTO CORRESPONDENTE],M$6,LANÇ_MOV[EMPRESA],$C$4,LANÇ_MOV[CENTRO DE CUSTOS],$D$4)</f>
        <v>0</v>
      </c>
      <c r="N626" s="206">
        <f>SUMIFS(LANÇ_MOV[VALOR LÍQUIDO],LANÇ_MOV[RECEITA OU DESPESA],"Receita",LANÇ_MOV[CONTAS],$C626,LANÇ_MOV[PLANO DE CONTAS],REL_DRE_FINANCEIRO!$B$549,LANÇ_MOV[ANO PAGAMENTO],$B$4,LANÇ_MOV[MÊS PAGAMENTO CORRESPONDENTE],N$6,LANÇ_MOV[EMPRESA],$C$4,LANÇ_MOV[CENTRO DE CUSTOS],$D$4)</f>
        <v>0</v>
      </c>
      <c r="O626" s="206">
        <f>SUMIFS(LANÇ_MOV[VALOR LÍQUIDO],LANÇ_MOV[RECEITA OU DESPESA],"Receita",LANÇ_MOV[CONTAS],$C626,LANÇ_MOV[PLANO DE CONTAS],REL_DRE_FINANCEIRO!$B$549,LANÇ_MOV[ANO PAGAMENTO],$B$4,LANÇ_MOV[MÊS PAGAMENTO CORRESPONDENTE],O$6,LANÇ_MOV[EMPRESA],$C$4,LANÇ_MOV[CENTRO DE CUSTOS],$D$4)</f>
        <v>0</v>
      </c>
      <c r="P626" s="207">
        <f t="shared" si="82"/>
        <v>0</v>
      </c>
      <c r="Q626" s="329">
        <v>2.3999999999999999E-6</v>
      </c>
      <c r="R626" s="346">
        <f t="shared" si="83"/>
        <v>2.3999999999999999E-6</v>
      </c>
      <c r="S626" s="347" t="str">
        <f t="shared" si="84"/>
        <v>-</v>
      </c>
      <c r="T626" s="347">
        <f t="shared" si="85"/>
        <v>0</v>
      </c>
      <c r="U626" s="347">
        <f>HLOOKUP(Apoio!$P$12,$D$548:$P$649,X626,FALSE)+Q626</f>
        <v>2.3999999999999999E-6</v>
      </c>
      <c r="V626" s="447" t="str">
        <f t="shared" si="86"/>
        <v>-</v>
      </c>
      <c r="W626" s="448">
        <f>HLOOKUP(Apoio!$P$12,$D$548:$P$649,X626,FALSE)</f>
        <v>0</v>
      </c>
      <c r="X626" s="329">
        <v>79</v>
      </c>
    </row>
    <row r="627" spans="2:24" ht="30.05" customHeight="1" x14ac:dyDescent="0.35">
      <c r="B627" s="204" t="str">
        <f>'CAD_PL_REC-DESP'!E82</f>
        <v>1.2.78</v>
      </c>
      <c r="C627" s="205" t="str">
        <f>IF('CAD_PL_REC-DESP'!F82="","-",'CAD_PL_REC-DESP'!F82)</f>
        <v>-</v>
      </c>
      <c r="D627" s="206">
        <f>SUMIFS(LANÇ_MOV[VALOR LÍQUIDO],LANÇ_MOV[RECEITA OU DESPESA],"Receita",LANÇ_MOV[CONTAS],$C627,LANÇ_MOV[PLANO DE CONTAS],REL_DRE_FINANCEIRO!$B$549,LANÇ_MOV[ANO PAGAMENTO],$B$4,LANÇ_MOV[MÊS PAGAMENTO CORRESPONDENTE],D$6,LANÇ_MOV[EMPRESA],$C$4,LANÇ_MOV[CENTRO DE CUSTOS],$D$4)</f>
        <v>0</v>
      </c>
      <c r="E627" s="206">
        <f>SUMIFS(LANÇ_MOV[VALOR LÍQUIDO],LANÇ_MOV[RECEITA OU DESPESA],"Receita",LANÇ_MOV[CONTAS],$C627,LANÇ_MOV[PLANO DE CONTAS],REL_DRE_FINANCEIRO!$B$549,LANÇ_MOV[ANO PAGAMENTO],$B$4,LANÇ_MOV[MÊS PAGAMENTO CORRESPONDENTE],E$6,LANÇ_MOV[EMPRESA],$C$4,LANÇ_MOV[CENTRO DE CUSTOS],$D$4)</f>
        <v>0</v>
      </c>
      <c r="F627" s="206">
        <f>SUMIFS(LANÇ_MOV[VALOR LÍQUIDO],LANÇ_MOV[RECEITA OU DESPESA],"Receita",LANÇ_MOV[CONTAS],$C627,LANÇ_MOV[PLANO DE CONTAS],REL_DRE_FINANCEIRO!$B$549,LANÇ_MOV[ANO PAGAMENTO],$B$4,LANÇ_MOV[MÊS PAGAMENTO CORRESPONDENTE],F$6,LANÇ_MOV[EMPRESA],$C$4,LANÇ_MOV[CENTRO DE CUSTOS],$D$4)</f>
        <v>0</v>
      </c>
      <c r="G627" s="206">
        <f>SUMIFS(LANÇ_MOV[VALOR LÍQUIDO],LANÇ_MOV[RECEITA OU DESPESA],"Receita",LANÇ_MOV[CONTAS],$C627,LANÇ_MOV[PLANO DE CONTAS],REL_DRE_FINANCEIRO!$B$549,LANÇ_MOV[ANO PAGAMENTO],$B$4,LANÇ_MOV[MÊS PAGAMENTO CORRESPONDENTE],G$6,LANÇ_MOV[EMPRESA],$C$4,LANÇ_MOV[CENTRO DE CUSTOS],$D$4)</f>
        <v>0</v>
      </c>
      <c r="H627" s="206">
        <f>SUMIFS(LANÇ_MOV[VALOR LÍQUIDO],LANÇ_MOV[RECEITA OU DESPESA],"Receita",LANÇ_MOV[CONTAS],$C627,LANÇ_MOV[PLANO DE CONTAS],REL_DRE_FINANCEIRO!$B$549,LANÇ_MOV[ANO PAGAMENTO],$B$4,LANÇ_MOV[MÊS PAGAMENTO CORRESPONDENTE],H$6,LANÇ_MOV[EMPRESA],$C$4,LANÇ_MOV[CENTRO DE CUSTOS],$D$4)</f>
        <v>0</v>
      </c>
      <c r="I627" s="206">
        <f>SUMIFS(LANÇ_MOV[VALOR LÍQUIDO],LANÇ_MOV[RECEITA OU DESPESA],"Receita",LANÇ_MOV[CONTAS],$C627,LANÇ_MOV[PLANO DE CONTAS],REL_DRE_FINANCEIRO!$B$549,LANÇ_MOV[ANO PAGAMENTO],$B$4,LANÇ_MOV[MÊS PAGAMENTO CORRESPONDENTE],I$6,LANÇ_MOV[EMPRESA],$C$4,LANÇ_MOV[CENTRO DE CUSTOS],$D$4)</f>
        <v>0</v>
      </c>
      <c r="J627" s="206">
        <f>SUMIFS(LANÇ_MOV[VALOR LÍQUIDO],LANÇ_MOV[RECEITA OU DESPESA],"Receita",LANÇ_MOV[CONTAS],$C627,LANÇ_MOV[PLANO DE CONTAS],REL_DRE_FINANCEIRO!$B$549,LANÇ_MOV[ANO PAGAMENTO],$B$4,LANÇ_MOV[MÊS PAGAMENTO CORRESPONDENTE],J$6,LANÇ_MOV[EMPRESA],$C$4,LANÇ_MOV[CENTRO DE CUSTOS],$D$4)</f>
        <v>0</v>
      </c>
      <c r="K627" s="206">
        <f>SUMIFS(LANÇ_MOV[VALOR LÍQUIDO],LANÇ_MOV[RECEITA OU DESPESA],"Receita",LANÇ_MOV[CONTAS],$C627,LANÇ_MOV[PLANO DE CONTAS],REL_DRE_FINANCEIRO!$B$549,LANÇ_MOV[ANO PAGAMENTO],$B$4,LANÇ_MOV[MÊS PAGAMENTO CORRESPONDENTE],K$6,LANÇ_MOV[EMPRESA],$C$4,LANÇ_MOV[CENTRO DE CUSTOS],$D$4)</f>
        <v>0</v>
      </c>
      <c r="L627" s="206">
        <f>SUMIFS(LANÇ_MOV[VALOR LÍQUIDO],LANÇ_MOV[RECEITA OU DESPESA],"Receita",LANÇ_MOV[CONTAS],$C627,LANÇ_MOV[PLANO DE CONTAS],REL_DRE_FINANCEIRO!$B$549,LANÇ_MOV[ANO PAGAMENTO],$B$4,LANÇ_MOV[MÊS PAGAMENTO CORRESPONDENTE],L$6,LANÇ_MOV[EMPRESA],$C$4,LANÇ_MOV[CENTRO DE CUSTOS],$D$4)</f>
        <v>0</v>
      </c>
      <c r="M627" s="206">
        <f>SUMIFS(LANÇ_MOV[VALOR LÍQUIDO],LANÇ_MOV[RECEITA OU DESPESA],"Receita",LANÇ_MOV[CONTAS],$C627,LANÇ_MOV[PLANO DE CONTAS],REL_DRE_FINANCEIRO!$B$549,LANÇ_MOV[ANO PAGAMENTO],$B$4,LANÇ_MOV[MÊS PAGAMENTO CORRESPONDENTE],M$6,LANÇ_MOV[EMPRESA],$C$4,LANÇ_MOV[CENTRO DE CUSTOS],$D$4)</f>
        <v>0</v>
      </c>
      <c r="N627" s="206">
        <f>SUMIFS(LANÇ_MOV[VALOR LÍQUIDO],LANÇ_MOV[RECEITA OU DESPESA],"Receita",LANÇ_MOV[CONTAS],$C627,LANÇ_MOV[PLANO DE CONTAS],REL_DRE_FINANCEIRO!$B$549,LANÇ_MOV[ANO PAGAMENTO],$B$4,LANÇ_MOV[MÊS PAGAMENTO CORRESPONDENTE],N$6,LANÇ_MOV[EMPRESA],$C$4,LANÇ_MOV[CENTRO DE CUSTOS],$D$4)</f>
        <v>0</v>
      </c>
      <c r="O627" s="206">
        <f>SUMIFS(LANÇ_MOV[VALOR LÍQUIDO],LANÇ_MOV[RECEITA OU DESPESA],"Receita",LANÇ_MOV[CONTAS],$C627,LANÇ_MOV[PLANO DE CONTAS],REL_DRE_FINANCEIRO!$B$549,LANÇ_MOV[ANO PAGAMENTO],$B$4,LANÇ_MOV[MÊS PAGAMENTO CORRESPONDENTE],O$6,LANÇ_MOV[EMPRESA],$C$4,LANÇ_MOV[CENTRO DE CUSTOS],$D$4)</f>
        <v>0</v>
      </c>
      <c r="P627" s="207">
        <f t="shared" si="82"/>
        <v>0</v>
      </c>
      <c r="Q627" s="329">
        <v>2.3E-6</v>
      </c>
      <c r="R627" s="346">
        <f t="shared" si="83"/>
        <v>2.3E-6</v>
      </c>
      <c r="S627" s="347" t="str">
        <f t="shared" si="84"/>
        <v>-</v>
      </c>
      <c r="T627" s="347">
        <f t="shared" si="85"/>
        <v>0</v>
      </c>
      <c r="U627" s="347">
        <f>HLOOKUP(Apoio!$P$12,$D$548:$P$649,X627,FALSE)+Q627</f>
        <v>2.3E-6</v>
      </c>
      <c r="V627" s="447" t="str">
        <f t="shared" si="86"/>
        <v>-</v>
      </c>
      <c r="W627" s="448">
        <f>HLOOKUP(Apoio!$P$12,$D$548:$P$649,X627,FALSE)</f>
        <v>0</v>
      </c>
      <c r="X627" s="329">
        <v>80</v>
      </c>
    </row>
    <row r="628" spans="2:24" ht="30.05" customHeight="1" x14ac:dyDescent="0.35">
      <c r="B628" s="204" t="str">
        <f>'CAD_PL_REC-DESP'!E83</f>
        <v>1.2.79</v>
      </c>
      <c r="C628" s="205" t="str">
        <f>IF('CAD_PL_REC-DESP'!F83="","-",'CAD_PL_REC-DESP'!F83)</f>
        <v>-</v>
      </c>
      <c r="D628" s="206">
        <f>SUMIFS(LANÇ_MOV[VALOR LÍQUIDO],LANÇ_MOV[RECEITA OU DESPESA],"Receita",LANÇ_MOV[CONTAS],$C628,LANÇ_MOV[PLANO DE CONTAS],REL_DRE_FINANCEIRO!$B$549,LANÇ_MOV[ANO PAGAMENTO],$B$4,LANÇ_MOV[MÊS PAGAMENTO CORRESPONDENTE],D$6,LANÇ_MOV[EMPRESA],$C$4,LANÇ_MOV[CENTRO DE CUSTOS],$D$4)</f>
        <v>0</v>
      </c>
      <c r="E628" s="206">
        <f>SUMIFS(LANÇ_MOV[VALOR LÍQUIDO],LANÇ_MOV[RECEITA OU DESPESA],"Receita",LANÇ_MOV[CONTAS],$C628,LANÇ_MOV[PLANO DE CONTAS],REL_DRE_FINANCEIRO!$B$549,LANÇ_MOV[ANO PAGAMENTO],$B$4,LANÇ_MOV[MÊS PAGAMENTO CORRESPONDENTE],E$6,LANÇ_MOV[EMPRESA],$C$4,LANÇ_MOV[CENTRO DE CUSTOS],$D$4)</f>
        <v>0</v>
      </c>
      <c r="F628" s="206">
        <f>SUMIFS(LANÇ_MOV[VALOR LÍQUIDO],LANÇ_MOV[RECEITA OU DESPESA],"Receita",LANÇ_MOV[CONTAS],$C628,LANÇ_MOV[PLANO DE CONTAS],REL_DRE_FINANCEIRO!$B$549,LANÇ_MOV[ANO PAGAMENTO],$B$4,LANÇ_MOV[MÊS PAGAMENTO CORRESPONDENTE],F$6,LANÇ_MOV[EMPRESA],$C$4,LANÇ_MOV[CENTRO DE CUSTOS],$D$4)</f>
        <v>0</v>
      </c>
      <c r="G628" s="206">
        <f>SUMIFS(LANÇ_MOV[VALOR LÍQUIDO],LANÇ_MOV[RECEITA OU DESPESA],"Receita",LANÇ_MOV[CONTAS],$C628,LANÇ_MOV[PLANO DE CONTAS],REL_DRE_FINANCEIRO!$B$549,LANÇ_MOV[ANO PAGAMENTO],$B$4,LANÇ_MOV[MÊS PAGAMENTO CORRESPONDENTE],G$6,LANÇ_MOV[EMPRESA],$C$4,LANÇ_MOV[CENTRO DE CUSTOS],$D$4)</f>
        <v>0</v>
      </c>
      <c r="H628" s="206">
        <f>SUMIFS(LANÇ_MOV[VALOR LÍQUIDO],LANÇ_MOV[RECEITA OU DESPESA],"Receita",LANÇ_MOV[CONTAS],$C628,LANÇ_MOV[PLANO DE CONTAS],REL_DRE_FINANCEIRO!$B$549,LANÇ_MOV[ANO PAGAMENTO],$B$4,LANÇ_MOV[MÊS PAGAMENTO CORRESPONDENTE],H$6,LANÇ_MOV[EMPRESA],$C$4,LANÇ_MOV[CENTRO DE CUSTOS],$D$4)</f>
        <v>0</v>
      </c>
      <c r="I628" s="206">
        <f>SUMIFS(LANÇ_MOV[VALOR LÍQUIDO],LANÇ_MOV[RECEITA OU DESPESA],"Receita",LANÇ_MOV[CONTAS],$C628,LANÇ_MOV[PLANO DE CONTAS],REL_DRE_FINANCEIRO!$B$549,LANÇ_MOV[ANO PAGAMENTO],$B$4,LANÇ_MOV[MÊS PAGAMENTO CORRESPONDENTE],I$6,LANÇ_MOV[EMPRESA],$C$4,LANÇ_MOV[CENTRO DE CUSTOS],$D$4)</f>
        <v>0</v>
      </c>
      <c r="J628" s="206">
        <f>SUMIFS(LANÇ_MOV[VALOR LÍQUIDO],LANÇ_MOV[RECEITA OU DESPESA],"Receita",LANÇ_MOV[CONTAS],$C628,LANÇ_MOV[PLANO DE CONTAS],REL_DRE_FINANCEIRO!$B$549,LANÇ_MOV[ANO PAGAMENTO],$B$4,LANÇ_MOV[MÊS PAGAMENTO CORRESPONDENTE],J$6,LANÇ_MOV[EMPRESA],$C$4,LANÇ_MOV[CENTRO DE CUSTOS],$D$4)</f>
        <v>0</v>
      </c>
      <c r="K628" s="206">
        <f>SUMIFS(LANÇ_MOV[VALOR LÍQUIDO],LANÇ_MOV[RECEITA OU DESPESA],"Receita",LANÇ_MOV[CONTAS],$C628,LANÇ_MOV[PLANO DE CONTAS],REL_DRE_FINANCEIRO!$B$549,LANÇ_MOV[ANO PAGAMENTO],$B$4,LANÇ_MOV[MÊS PAGAMENTO CORRESPONDENTE],K$6,LANÇ_MOV[EMPRESA],$C$4,LANÇ_MOV[CENTRO DE CUSTOS],$D$4)</f>
        <v>0</v>
      </c>
      <c r="L628" s="206">
        <f>SUMIFS(LANÇ_MOV[VALOR LÍQUIDO],LANÇ_MOV[RECEITA OU DESPESA],"Receita",LANÇ_MOV[CONTAS],$C628,LANÇ_MOV[PLANO DE CONTAS],REL_DRE_FINANCEIRO!$B$549,LANÇ_MOV[ANO PAGAMENTO],$B$4,LANÇ_MOV[MÊS PAGAMENTO CORRESPONDENTE],L$6,LANÇ_MOV[EMPRESA],$C$4,LANÇ_MOV[CENTRO DE CUSTOS],$D$4)</f>
        <v>0</v>
      </c>
      <c r="M628" s="206">
        <f>SUMIFS(LANÇ_MOV[VALOR LÍQUIDO],LANÇ_MOV[RECEITA OU DESPESA],"Receita",LANÇ_MOV[CONTAS],$C628,LANÇ_MOV[PLANO DE CONTAS],REL_DRE_FINANCEIRO!$B$549,LANÇ_MOV[ANO PAGAMENTO],$B$4,LANÇ_MOV[MÊS PAGAMENTO CORRESPONDENTE],M$6,LANÇ_MOV[EMPRESA],$C$4,LANÇ_MOV[CENTRO DE CUSTOS],$D$4)</f>
        <v>0</v>
      </c>
      <c r="N628" s="206">
        <f>SUMIFS(LANÇ_MOV[VALOR LÍQUIDO],LANÇ_MOV[RECEITA OU DESPESA],"Receita",LANÇ_MOV[CONTAS],$C628,LANÇ_MOV[PLANO DE CONTAS],REL_DRE_FINANCEIRO!$B$549,LANÇ_MOV[ANO PAGAMENTO],$B$4,LANÇ_MOV[MÊS PAGAMENTO CORRESPONDENTE],N$6,LANÇ_MOV[EMPRESA],$C$4,LANÇ_MOV[CENTRO DE CUSTOS],$D$4)</f>
        <v>0</v>
      </c>
      <c r="O628" s="206">
        <f>SUMIFS(LANÇ_MOV[VALOR LÍQUIDO],LANÇ_MOV[RECEITA OU DESPESA],"Receita",LANÇ_MOV[CONTAS],$C628,LANÇ_MOV[PLANO DE CONTAS],REL_DRE_FINANCEIRO!$B$549,LANÇ_MOV[ANO PAGAMENTO],$B$4,LANÇ_MOV[MÊS PAGAMENTO CORRESPONDENTE],O$6,LANÇ_MOV[EMPRESA],$C$4,LANÇ_MOV[CENTRO DE CUSTOS],$D$4)</f>
        <v>0</v>
      </c>
      <c r="P628" s="207">
        <f t="shared" si="82"/>
        <v>0</v>
      </c>
      <c r="Q628" s="329">
        <v>2.2000000000000001E-6</v>
      </c>
      <c r="R628" s="346">
        <f t="shared" si="83"/>
        <v>2.2000000000000001E-6</v>
      </c>
      <c r="S628" s="347" t="str">
        <f t="shared" si="84"/>
        <v>-</v>
      </c>
      <c r="T628" s="347">
        <f t="shared" si="85"/>
        <v>0</v>
      </c>
      <c r="U628" s="347">
        <f>HLOOKUP(Apoio!$P$12,$D$548:$P$649,X628,FALSE)+Q628</f>
        <v>2.2000000000000001E-6</v>
      </c>
      <c r="V628" s="447" t="str">
        <f t="shared" si="86"/>
        <v>-</v>
      </c>
      <c r="W628" s="448">
        <f>HLOOKUP(Apoio!$P$12,$D$548:$P$649,X628,FALSE)</f>
        <v>0</v>
      </c>
      <c r="X628" s="329">
        <v>81</v>
      </c>
    </row>
    <row r="629" spans="2:24" ht="30.05" customHeight="1" x14ac:dyDescent="0.35">
      <c r="B629" s="204" t="str">
        <f>'CAD_PL_REC-DESP'!E84</f>
        <v>1.2.80</v>
      </c>
      <c r="C629" s="205" t="str">
        <f>IF('CAD_PL_REC-DESP'!F84="","-",'CAD_PL_REC-DESP'!F84)</f>
        <v>-</v>
      </c>
      <c r="D629" s="206">
        <f>SUMIFS(LANÇ_MOV[VALOR LÍQUIDO],LANÇ_MOV[RECEITA OU DESPESA],"Receita",LANÇ_MOV[CONTAS],$C629,LANÇ_MOV[PLANO DE CONTAS],REL_DRE_FINANCEIRO!$B$549,LANÇ_MOV[ANO PAGAMENTO],$B$4,LANÇ_MOV[MÊS PAGAMENTO CORRESPONDENTE],D$6,LANÇ_MOV[EMPRESA],$C$4,LANÇ_MOV[CENTRO DE CUSTOS],$D$4)</f>
        <v>0</v>
      </c>
      <c r="E629" s="206">
        <f>SUMIFS(LANÇ_MOV[VALOR LÍQUIDO],LANÇ_MOV[RECEITA OU DESPESA],"Receita",LANÇ_MOV[CONTAS],$C629,LANÇ_MOV[PLANO DE CONTAS],REL_DRE_FINANCEIRO!$B$549,LANÇ_MOV[ANO PAGAMENTO],$B$4,LANÇ_MOV[MÊS PAGAMENTO CORRESPONDENTE],E$6,LANÇ_MOV[EMPRESA],$C$4,LANÇ_MOV[CENTRO DE CUSTOS],$D$4)</f>
        <v>0</v>
      </c>
      <c r="F629" s="206">
        <f>SUMIFS(LANÇ_MOV[VALOR LÍQUIDO],LANÇ_MOV[RECEITA OU DESPESA],"Receita",LANÇ_MOV[CONTAS],$C629,LANÇ_MOV[PLANO DE CONTAS],REL_DRE_FINANCEIRO!$B$549,LANÇ_MOV[ANO PAGAMENTO],$B$4,LANÇ_MOV[MÊS PAGAMENTO CORRESPONDENTE],F$6,LANÇ_MOV[EMPRESA],$C$4,LANÇ_MOV[CENTRO DE CUSTOS],$D$4)</f>
        <v>0</v>
      </c>
      <c r="G629" s="206">
        <f>SUMIFS(LANÇ_MOV[VALOR LÍQUIDO],LANÇ_MOV[RECEITA OU DESPESA],"Receita",LANÇ_MOV[CONTAS],$C629,LANÇ_MOV[PLANO DE CONTAS],REL_DRE_FINANCEIRO!$B$549,LANÇ_MOV[ANO PAGAMENTO],$B$4,LANÇ_MOV[MÊS PAGAMENTO CORRESPONDENTE],G$6,LANÇ_MOV[EMPRESA],$C$4,LANÇ_MOV[CENTRO DE CUSTOS],$D$4)</f>
        <v>0</v>
      </c>
      <c r="H629" s="206">
        <f>SUMIFS(LANÇ_MOV[VALOR LÍQUIDO],LANÇ_MOV[RECEITA OU DESPESA],"Receita",LANÇ_MOV[CONTAS],$C629,LANÇ_MOV[PLANO DE CONTAS],REL_DRE_FINANCEIRO!$B$549,LANÇ_MOV[ANO PAGAMENTO],$B$4,LANÇ_MOV[MÊS PAGAMENTO CORRESPONDENTE],H$6,LANÇ_MOV[EMPRESA],$C$4,LANÇ_MOV[CENTRO DE CUSTOS],$D$4)</f>
        <v>0</v>
      </c>
      <c r="I629" s="206">
        <f>SUMIFS(LANÇ_MOV[VALOR LÍQUIDO],LANÇ_MOV[RECEITA OU DESPESA],"Receita",LANÇ_MOV[CONTAS],$C629,LANÇ_MOV[PLANO DE CONTAS],REL_DRE_FINANCEIRO!$B$549,LANÇ_MOV[ANO PAGAMENTO],$B$4,LANÇ_MOV[MÊS PAGAMENTO CORRESPONDENTE],I$6,LANÇ_MOV[EMPRESA],$C$4,LANÇ_MOV[CENTRO DE CUSTOS],$D$4)</f>
        <v>0</v>
      </c>
      <c r="J629" s="206">
        <f>SUMIFS(LANÇ_MOV[VALOR LÍQUIDO],LANÇ_MOV[RECEITA OU DESPESA],"Receita",LANÇ_MOV[CONTAS],$C629,LANÇ_MOV[PLANO DE CONTAS],REL_DRE_FINANCEIRO!$B$549,LANÇ_MOV[ANO PAGAMENTO],$B$4,LANÇ_MOV[MÊS PAGAMENTO CORRESPONDENTE],J$6,LANÇ_MOV[EMPRESA],$C$4,LANÇ_MOV[CENTRO DE CUSTOS],$D$4)</f>
        <v>0</v>
      </c>
      <c r="K629" s="206">
        <f>SUMIFS(LANÇ_MOV[VALOR LÍQUIDO],LANÇ_MOV[RECEITA OU DESPESA],"Receita",LANÇ_MOV[CONTAS],$C629,LANÇ_MOV[PLANO DE CONTAS],REL_DRE_FINANCEIRO!$B$549,LANÇ_MOV[ANO PAGAMENTO],$B$4,LANÇ_MOV[MÊS PAGAMENTO CORRESPONDENTE],K$6,LANÇ_MOV[EMPRESA],$C$4,LANÇ_MOV[CENTRO DE CUSTOS],$D$4)</f>
        <v>0</v>
      </c>
      <c r="L629" s="206">
        <f>SUMIFS(LANÇ_MOV[VALOR LÍQUIDO],LANÇ_MOV[RECEITA OU DESPESA],"Receita",LANÇ_MOV[CONTAS],$C629,LANÇ_MOV[PLANO DE CONTAS],REL_DRE_FINANCEIRO!$B$549,LANÇ_MOV[ANO PAGAMENTO],$B$4,LANÇ_MOV[MÊS PAGAMENTO CORRESPONDENTE],L$6,LANÇ_MOV[EMPRESA],$C$4,LANÇ_MOV[CENTRO DE CUSTOS],$D$4)</f>
        <v>0</v>
      </c>
      <c r="M629" s="206">
        <f>SUMIFS(LANÇ_MOV[VALOR LÍQUIDO],LANÇ_MOV[RECEITA OU DESPESA],"Receita",LANÇ_MOV[CONTAS],$C629,LANÇ_MOV[PLANO DE CONTAS],REL_DRE_FINANCEIRO!$B$549,LANÇ_MOV[ANO PAGAMENTO],$B$4,LANÇ_MOV[MÊS PAGAMENTO CORRESPONDENTE],M$6,LANÇ_MOV[EMPRESA],$C$4,LANÇ_MOV[CENTRO DE CUSTOS],$D$4)</f>
        <v>0</v>
      </c>
      <c r="N629" s="206">
        <f>SUMIFS(LANÇ_MOV[VALOR LÍQUIDO],LANÇ_MOV[RECEITA OU DESPESA],"Receita",LANÇ_MOV[CONTAS],$C629,LANÇ_MOV[PLANO DE CONTAS],REL_DRE_FINANCEIRO!$B$549,LANÇ_MOV[ANO PAGAMENTO],$B$4,LANÇ_MOV[MÊS PAGAMENTO CORRESPONDENTE],N$6,LANÇ_MOV[EMPRESA],$C$4,LANÇ_MOV[CENTRO DE CUSTOS],$D$4)</f>
        <v>0</v>
      </c>
      <c r="O629" s="206">
        <f>SUMIFS(LANÇ_MOV[VALOR LÍQUIDO],LANÇ_MOV[RECEITA OU DESPESA],"Receita",LANÇ_MOV[CONTAS],$C629,LANÇ_MOV[PLANO DE CONTAS],REL_DRE_FINANCEIRO!$B$549,LANÇ_MOV[ANO PAGAMENTO],$B$4,LANÇ_MOV[MÊS PAGAMENTO CORRESPONDENTE],O$6,LANÇ_MOV[EMPRESA],$C$4,LANÇ_MOV[CENTRO DE CUSTOS],$D$4)</f>
        <v>0</v>
      </c>
      <c r="P629" s="207">
        <f t="shared" si="82"/>
        <v>0</v>
      </c>
      <c r="Q629" s="329">
        <v>2.0999999999999998E-6</v>
      </c>
      <c r="R629" s="346">
        <f t="shared" si="83"/>
        <v>2.0999999999999998E-6</v>
      </c>
      <c r="S629" s="347" t="str">
        <f t="shared" si="84"/>
        <v>-</v>
      </c>
      <c r="T629" s="347">
        <f t="shared" si="85"/>
        <v>0</v>
      </c>
      <c r="U629" s="347">
        <f>HLOOKUP(Apoio!$P$12,$D$548:$P$649,X629,FALSE)+Q629</f>
        <v>2.0999999999999998E-6</v>
      </c>
      <c r="V629" s="447" t="str">
        <f t="shared" si="86"/>
        <v>-</v>
      </c>
      <c r="W629" s="448">
        <f>HLOOKUP(Apoio!$P$12,$D$548:$P$649,X629,FALSE)</f>
        <v>0</v>
      </c>
      <c r="X629" s="329">
        <v>82</v>
      </c>
    </row>
    <row r="630" spans="2:24" ht="30.05" customHeight="1" x14ac:dyDescent="0.35">
      <c r="B630" s="204" t="str">
        <f>'CAD_PL_REC-DESP'!E85</f>
        <v>1.2.81</v>
      </c>
      <c r="C630" s="205" t="str">
        <f>IF('CAD_PL_REC-DESP'!F85="","-",'CAD_PL_REC-DESP'!F85)</f>
        <v>-</v>
      </c>
      <c r="D630" s="206">
        <f>SUMIFS(LANÇ_MOV[VALOR LÍQUIDO],LANÇ_MOV[RECEITA OU DESPESA],"Receita",LANÇ_MOV[CONTAS],$C630,LANÇ_MOV[PLANO DE CONTAS],REL_DRE_FINANCEIRO!$B$549,LANÇ_MOV[ANO PAGAMENTO],$B$4,LANÇ_MOV[MÊS PAGAMENTO CORRESPONDENTE],D$6,LANÇ_MOV[EMPRESA],$C$4,LANÇ_MOV[CENTRO DE CUSTOS],$D$4)</f>
        <v>0</v>
      </c>
      <c r="E630" s="206">
        <f>SUMIFS(LANÇ_MOV[VALOR LÍQUIDO],LANÇ_MOV[RECEITA OU DESPESA],"Receita",LANÇ_MOV[CONTAS],$C630,LANÇ_MOV[PLANO DE CONTAS],REL_DRE_FINANCEIRO!$B$549,LANÇ_MOV[ANO PAGAMENTO],$B$4,LANÇ_MOV[MÊS PAGAMENTO CORRESPONDENTE],E$6,LANÇ_MOV[EMPRESA],$C$4,LANÇ_MOV[CENTRO DE CUSTOS],$D$4)</f>
        <v>0</v>
      </c>
      <c r="F630" s="206">
        <f>SUMIFS(LANÇ_MOV[VALOR LÍQUIDO],LANÇ_MOV[RECEITA OU DESPESA],"Receita",LANÇ_MOV[CONTAS],$C630,LANÇ_MOV[PLANO DE CONTAS],REL_DRE_FINANCEIRO!$B$549,LANÇ_MOV[ANO PAGAMENTO],$B$4,LANÇ_MOV[MÊS PAGAMENTO CORRESPONDENTE],F$6,LANÇ_MOV[EMPRESA],$C$4,LANÇ_MOV[CENTRO DE CUSTOS],$D$4)</f>
        <v>0</v>
      </c>
      <c r="G630" s="206">
        <f>SUMIFS(LANÇ_MOV[VALOR LÍQUIDO],LANÇ_MOV[RECEITA OU DESPESA],"Receita",LANÇ_MOV[CONTAS],$C630,LANÇ_MOV[PLANO DE CONTAS],REL_DRE_FINANCEIRO!$B$549,LANÇ_MOV[ANO PAGAMENTO],$B$4,LANÇ_MOV[MÊS PAGAMENTO CORRESPONDENTE],G$6,LANÇ_MOV[EMPRESA],$C$4,LANÇ_MOV[CENTRO DE CUSTOS],$D$4)</f>
        <v>0</v>
      </c>
      <c r="H630" s="206">
        <f>SUMIFS(LANÇ_MOV[VALOR LÍQUIDO],LANÇ_MOV[RECEITA OU DESPESA],"Receita",LANÇ_MOV[CONTAS],$C630,LANÇ_MOV[PLANO DE CONTAS],REL_DRE_FINANCEIRO!$B$549,LANÇ_MOV[ANO PAGAMENTO],$B$4,LANÇ_MOV[MÊS PAGAMENTO CORRESPONDENTE],H$6,LANÇ_MOV[EMPRESA],$C$4,LANÇ_MOV[CENTRO DE CUSTOS],$D$4)</f>
        <v>0</v>
      </c>
      <c r="I630" s="206">
        <f>SUMIFS(LANÇ_MOV[VALOR LÍQUIDO],LANÇ_MOV[RECEITA OU DESPESA],"Receita",LANÇ_MOV[CONTAS],$C630,LANÇ_MOV[PLANO DE CONTAS],REL_DRE_FINANCEIRO!$B$549,LANÇ_MOV[ANO PAGAMENTO],$B$4,LANÇ_MOV[MÊS PAGAMENTO CORRESPONDENTE],I$6,LANÇ_MOV[EMPRESA],$C$4,LANÇ_MOV[CENTRO DE CUSTOS],$D$4)</f>
        <v>0</v>
      </c>
      <c r="J630" s="206">
        <f>SUMIFS(LANÇ_MOV[VALOR LÍQUIDO],LANÇ_MOV[RECEITA OU DESPESA],"Receita",LANÇ_MOV[CONTAS],$C630,LANÇ_MOV[PLANO DE CONTAS],REL_DRE_FINANCEIRO!$B$549,LANÇ_MOV[ANO PAGAMENTO],$B$4,LANÇ_MOV[MÊS PAGAMENTO CORRESPONDENTE],J$6,LANÇ_MOV[EMPRESA],$C$4,LANÇ_MOV[CENTRO DE CUSTOS],$D$4)</f>
        <v>0</v>
      </c>
      <c r="K630" s="206">
        <f>SUMIFS(LANÇ_MOV[VALOR LÍQUIDO],LANÇ_MOV[RECEITA OU DESPESA],"Receita",LANÇ_MOV[CONTAS],$C630,LANÇ_MOV[PLANO DE CONTAS],REL_DRE_FINANCEIRO!$B$549,LANÇ_MOV[ANO PAGAMENTO],$B$4,LANÇ_MOV[MÊS PAGAMENTO CORRESPONDENTE],K$6,LANÇ_MOV[EMPRESA],$C$4,LANÇ_MOV[CENTRO DE CUSTOS],$D$4)</f>
        <v>0</v>
      </c>
      <c r="L630" s="206">
        <f>SUMIFS(LANÇ_MOV[VALOR LÍQUIDO],LANÇ_MOV[RECEITA OU DESPESA],"Receita",LANÇ_MOV[CONTAS],$C630,LANÇ_MOV[PLANO DE CONTAS],REL_DRE_FINANCEIRO!$B$549,LANÇ_MOV[ANO PAGAMENTO],$B$4,LANÇ_MOV[MÊS PAGAMENTO CORRESPONDENTE],L$6,LANÇ_MOV[EMPRESA],$C$4,LANÇ_MOV[CENTRO DE CUSTOS],$D$4)</f>
        <v>0</v>
      </c>
      <c r="M630" s="206">
        <f>SUMIFS(LANÇ_MOV[VALOR LÍQUIDO],LANÇ_MOV[RECEITA OU DESPESA],"Receita",LANÇ_MOV[CONTAS],$C630,LANÇ_MOV[PLANO DE CONTAS],REL_DRE_FINANCEIRO!$B$549,LANÇ_MOV[ANO PAGAMENTO],$B$4,LANÇ_MOV[MÊS PAGAMENTO CORRESPONDENTE],M$6,LANÇ_MOV[EMPRESA],$C$4,LANÇ_MOV[CENTRO DE CUSTOS],$D$4)</f>
        <v>0</v>
      </c>
      <c r="N630" s="206">
        <f>SUMIFS(LANÇ_MOV[VALOR LÍQUIDO],LANÇ_MOV[RECEITA OU DESPESA],"Receita",LANÇ_MOV[CONTAS],$C630,LANÇ_MOV[PLANO DE CONTAS],REL_DRE_FINANCEIRO!$B$549,LANÇ_MOV[ANO PAGAMENTO],$B$4,LANÇ_MOV[MÊS PAGAMENTO CORRESPONDENTE],N$6,LANÇ_MOV[EMPRESA],$C$4,LANÇ_MOV[CENTRO DE CUSTOS],$D$4)</f>
        <v>0</v>
      </c>
      <c r="O630" s="206">
        <f>SUMIFS(LANÇ_MOV[VALOR LÍQUIDO],LANÇ_MOV[RECEITA OU DESPESA],"Receita",LANÇ_MOV[CONTAS],$C630,LANÇ_MOV[PLANO DE CONTAS],REL_DRE_FINANCEIRO!$B$549,LANÇ_MOV[ANO PAGAMENTO],$B$4,LANÇ_MOV[MÊS PAGAMENTO CORRESPONDENTE],O$6,LANÇ_MOV[EMPRESA],$C$4,LANÇ_MOV[CENTRO DE CUSTOS],$D$4)</f>
        <v>0</v>
      </c>
      <c r="P630" s="207">
        <f t="shared" si="82"/>
        <v>0</v>
      </c>
      <c r="Q630" s="329">
        <v>1.9999999999999999E-6</v>
      </c>
      <c r="R630" s="346">
        <f t="shared" si="83"/>
        <v>1.9999999999999999E-6</v>
      </c>
      <c r="S630" s="347" t="str">
        <f t="shared" si="84"/>
        <v>-</v>
      </c>
      <c r="T630" s="347">
        <f t="shared" si="85"/>
        <v>0</v>
      </c>
      <c r="U630" s="347">
        <f>HLOOKUP(Apoio!$P$12,$D$548:$P$649,X630,FALSE)+Q630</f>
        <v>1.9999999999999999E-6</v>
      </c>
      <c r="V630" s="447" t="str">
        <f t="shared" si="86"/>
        <v>-</v>
      </c>
      <c r="W630" s="448">
        <f>HLOOKUP(Apoio!$P$12,$D$548:$P$649,X630,FALSE)</f>
        <v>0</v>
      </c>
      <c r="X630" s="329">
        <v>83</v>
      </c>
    </row>
    <row r="631" spans="2:24" ht="30.05" customHeight="1" x14ac:dyDescent="0.35">
      <c r="B631" s="204" t="str">
        <f>'CAD_PL_REC-DESP'!E86</f>
        <v>1.2.82</v>
      </c>
      <c r="C631" s="205" t="str">
        <f>IF('CAD_PL_REC-DESP'!F86="","-",'CAD_PL_REC-DESP'!F86)</f>
        <v>-</v>
      </c>
      <c r="D631" s="206">
        <f>SUMIFS(LANÇ_MOV[VALOR LÍQUIDO],LANÇ_MOV[RECEITA OU DESPESA],"Receita",LANÇ_MOV[CONTAS],$C631,LANÇ_MOV[PLANO DE CONTAS],REL_DRE_FINANCEIRO!$B$549,LANÇ_MOV[ANO PAGAMENTO],$B$4,LANÇ_MOV[MÊS PAGAMENTO CORRESPONDENTE],D$6,LANÇ_MOV[EMPRESA],$C$4,LANÇ_MOV[CENTRO DE CUSTOS],$D$4)</f>
        <v>0</v>
      </c>
      <c r="E631" s="206">
        <f>SUMIFS(LANÇ_MOV[VALOR LÍQUIDO],LANÇ_MOV[RECEITA OU DESPESA],"Receita",LANÇ_MOV[CONTAS],$C631,LANÇ_MOV[PLANO DE CONTAS],REL_DRE_FINANCEIRO!$B$549,LANÇ_MOV[ANO PAGAMENTO],$B$4,LANÇ_MOV[MÊS PAGAMENTO CORRESPONDENTE],E$6,LANÇ_MOV[EMPRESA],$C$4,LANÇ_MOV[CENTRO DE CUSTOS],$D$4)</f>
        <v>0</v>
      </c>
      <c r="F631" s="206">
        <f>SUMIFS(LANÇ_MOV[VALOR LÍQUIDO],LANÇ_MOV[RECEITA OU DESPESA],"Receita",LANÇ_MOV[CONTAS],$C631,LANÇ_MOV[PLANO DE CONTAS],REL_DRE_FINANCEIRO!$B$549,LANÇ_MOV[ANO PAGAMENTO],$B$4,LANÇ_MOV[MÊS PAGAMENTO CORRESPONDENTE],F$6,LANÇ_MOV[EMPRESA],$C$4,LANÇ_MOV[CENTRO DE CUSTOS],$D$4)</f>
        <v>0</v>
      </c>
      <c r="G631" s="206">
        <f>SUMIFS(LANÇ_MOV[VALOR LÍQUIDO],LANÇ_MOV[RECEITA OU DESPESA],"Receita",LANÇ_MOV[CONTAS],$C631,LANÇ_MOV[PLANO DE CONTAS],REL_DRE_FINANCEIRO!$B$549,LANÇ_MOV[ANO PAGAMENTO],$B$4,LANÇ_MOV[MÊS PAGAMENTO CORRESPONDENTE],G$6,LANÇ_MOV[EMPRESA],$C$4,LANÇ_MOV[CENTRO DE CUSTOS],$D$4)</f>
        <v>0</v>
      </c>
      <c r="H631" s="206">
        <f>SUMIFS(LANÇ_MOV[VALOR LÍQUIDO],LANÇ_MOV[RECEITA OU DESPESA],"Receita",LANÇ_MOV[CONTAS],$C631,LANÇ_MOV[PLANO DE CONTAS],REL_DRE_FINANCEIRO!$B$549,LANÇ_MOV[ANO PAGAMENTO],$B$4,LANÇ_MOV[MÊS PAGAMENTO CORRESPONDENTE],H$6,LANÇ_MOV[EMPRESA],$C$4,LANÇ_MOV[CENTRO DE CUSTOS],$D$4)</f>
        <v>0</v>
      </c>
      <c r="I631" s="206">
        <f>SUMIFS(LANÇ_MOV[VALOR LÍQUIDO],LANÇ_MOV[RECEITA OU DESPESA],"Receita",LANÇ_MOV[CONTAS],$C631,LANÇ_MOV[PLANO DE CONTAS],REL_DRE_FINANCEIRO!$B$549,LANÇ_MOV[ANO PAGAMENTO],$B$4,LANÇ_MOV[MÊS PAGAMENTO CORRESPONDENTE],I$6,LANÇ_MOV[EMPRESA],$C$4,LANÇ_MOV[CENTRO DE CUSTOS],$D$4)</f>
        <v>0</v>
      </c>
      <c r="J631" s="206">
        <f>SUMIFS(LANÇ_MOV[VALOR LÍQUIDO],LANÇ_MOV[RECEITA OU DESPESA],"Receita",LANÇ_MOV[CONTAS],$C631,LANÇ_MOV[PLANO DE CONTAS],REL_DRE_FINANCEIRO!$B$549,LANÇ_MOV[ANO PAGAMENTO],$B$4,LANÇ_MOV[MÊS PAGAMENTO CORRESPONDENTE],J$6,LANÇ_MOV[EMPRESA],$C$4,LANÇ_MOV[CENTRO DE CUSTOS],$D$4)</f>
        <v>0</v>
      </c>
      <c r="K631" s="206">
        <f>SUMIFS(LANÇ_MOV[VALOR LÍQUIDO],LANÇ_MOV[RECEITA OU DESPESA],"Receita",LANÇ_MOV[CONTAS],$C631,LANÇ_MOV[PLANO DE CONTAS],REL_DRE_FINANCEIRO!$B$549,LANÇ_MOV[ANO PAGAMENTO],$B$4,LANÇ_MOV[MÊS PAGAMENTO CORRESPONDENTE],K$6,LANÇ_MOV[EMPRESA],$C$4,LANÇ_MOV[CENTRO DE CUSTOS],$D$4)</f>
        <v>0</v>
      </c>
      <c r="L631" s="206">
        <f>SUMIFS(LANÇ_MOV[VALOR LÍQUIDO],LANÇ_MOV[RECEITA OU DESPESA],"Receita",LANÇ_MOV[CONTAS],$C631,LANÇ_MOV[PLANO DE CONTAS],REL_DRE_FINANCEIRO!$B$549,LANÇ_MOV[ANO PAGAMENTO],$B$4,LANÇ_MOV[MÊS PAGAMENTO CORRESPONDENTE],L$6,LANÇ_MOV[EMPRESA],$C$4,LANÇ_MOV[CENTRO DE CUSTOS],$D$4)</f>
        <v>0</v>
      </c>
      <c r="M631" s="206">
        <f>SUMIFS(LANÇ_MOV[VALOR LÍQUIDO],LANÇ_MOV[RECEITA OU DESPESA],"Receita",LANÇ_MOV[CONTAS],$C631,LANÇ_MOV[PLANO DE CONTAS],REL_DRE_FINANCEIRO!$B$549,LANÇ_MOV[ANO PAGAMENTO],$B$4,LANÇ_MOV[MÊS PAGAMENTO CORRESPONDENTE],M$6,LANÇ_MOV[EMPRESA],$C$4,LANÇ_MOV[CENTRO DE CUSTOS],$D$4)</f>
        <v>0</v>
      </c>
      <c r="N631" s="206">
        <f>SUMIFS(LANÇ_MOV[VALOR LÍQUIDO],LANÇ_MOV[RECEITA OU DESPESA],"Receita",LANÇ_MOV[CONTAS],$C631,LANÇ_MOV[PLANO DE CONTAS],REL_DRE_FINANCEIRO!$B$549,LANÇ_MOV[ANO PAGAMENTO],$B$4,LANÇ_MOV[MÊS PAGAMENTO CORRESPONDENTE],N$6,LANÇ_MOV[EMPRESA],$C$4,LANÇ_MOV[CENTRO DE CUSTOS],$D$4)</f>
        <v>0</v>
      </c>
      <c r="O631" s="206">
        <f>SUMIFS(LANÇ_MOV[VALOR LÍQUIDO],LANÇ_MOV[RECEITA OU DESPESA],"Receita",LANÇ_MOV[CONTAS],$C631,LANÇ_MOV[PLANO DE CONTAS],REL_DRE_FINANCEIRO!$B$549,LANÇ_MOV[ANO PAGAMENTO],$B$4,LANÇ_MOV[MÊS PAGAMENTO CORRESPONDENTE],O$6,LANÇ_MOV[EMPRESA],$C$4,LANÇ_MOV[CENTRO DE CUSTOS],$D$4)</f>
        <v>0</v>
      </c>
      <c r="P631" s="207">
        <f t="shared" si="82"/>
        <v>0</v>
      </c>
      <c r="Q631" s="329">
        <v>1.9E-6</v>
      </c>
      <c r="R631" s="346">
        <f t="shared" si="83"/>
        <v>1.9E-6</v>
      </c>
      <c r="S631" s="347" t="str">
        <f t="shared" si="84"/>
        <v>-</v>
      </c>
      <c r="T631" s="347">
        <f t="shared" si="85"/>
        <v>0</v>
      </c>
      <c r="U631" s="347">
        <f>HLOOKUP(Apoio!$P$12,$D$548:$P$649,X631,FALSE)+Q631</f>
        <v>1.9E-6</v>
      </c>
      <c r="V631" s="447" t="str">
        <f t="shared" si="86"/>
        <v>-</v>
      </c>
      <c r="W631" s="448">
        <f>HLOOKUP(Apoio!$P$12,$D$548:$P$649,X631,FALSE)</f>
        <v>0</v>
      </c>
      <c r="X631" s="329">
        <v>84</v>
      </c>
    </row>
    <row r="632" spans="2:24" ht="30.05" customHeight="1" x14ac:dyDescent="0.35">
      <c r="B632" s="204" t="str">
        <f>'CAD_PL_REC-DESP'!E87</f>
        <v>1.2.83</v>
      </c>
      <c r="C632" s="205" t="str">
        <f>IF('CAD_PL_REC-DESP'!F87="","-",'CAD_PL_REC-DESP'!F87)</f>
        <v>-</v>
      </c>
      <c r="D632" s="206">
        <f>SUMIFS(LANÇ_MOV[VALOR LÍQUIDO],LANÇ_MOV[RECEITA OU DESPESA],"Receita",LANÇ_MOV[CONTAS],$C632,LANÇ_MOV[PLANO DE CONTAS],REL_DRE_FINANCEIRO!$B$549,LANÇ_MOV[ANO PAGAMENTO],$B$4,LANÇ_MOV[MÊS PAGAMENTO CORRESPONDENTE],D$6,LANÇ_MOV[EMPRESA],$C$4,LANÇ_MOV[CENTRO DE CUSTOS],$D$4)</f>
        <v>0</v>
      </c>
      <c r="E632" s="206">
        <f>SUMIFS(LANÇ_MOV[VALOR LÍQUIDO],LANÇ_MOV[RECEITA OU DESPESA],"Receita",LANÇ_MOV[CONTAS],$C632,LANÇ_MOV[PLANO DE CONTAS],REL_DRE_FINANCEIRO!$B$549,LANÇ_MOV[ANO PAGAMENTO],$B$4,LANÇ_MOV[MÊS PAGAMENTO CORRESPONDENTE],E$6,LANÇ_MOV[EMPRESA],$C$4,LANÇ_MOV[CENTRO DE CUSTOS],$D$4)</f>
        <v>0</v>
      </c>
      <c r="F632" s="206">
        <f>SUMIFS(LANÇ_MOV[VALOR LÍQUIDO],LANÇ_MOV[RECEITA OU DESPESA],"Receita",LANÇ_MOV[CONTAS],$C632,LANÇ_MOV[PLANO DE CONTAS],REL_DRE_FINANCEIRO!$B$549,LANÇ_MOV[ANO PAGAMENTO],$B$4,LANÇ_MOV[MÊS PAGAMENTO CORRESPONDENTE],F$6,LANÇ_MOV[EMPRESA],$C$4,LANÇ_MOV[CENTRO DE CUSTOS],$D$4)</f>
        <v>0</v>
      </c>
      <c r="G632" s="206">
        <f>SUMIFS(LANÇ_MOV[VALOR LÍQUIDO],LANÇ_MOV[RECEITA OU DESPESA],"Receita",LANÇ_MOV[CONTAS],$C632,LANÇ_MOV[PLANO DE CONTAS],REL_DRE_FINANCEIRO!$B$549,LANÇ_MOV[ANO PAGAMENTO],$B$4,LANÇ_MOV[MÊS PAGAMENTO CORRESPONDENTE],G$6,LANÇ_MOV[EMPRESA],$C$4,LANÇ_MOV[CENTRO DE CUSTOS],$D$4)</f>
        <v>0</v>
      </c>
      <c r="H632" s="206">
        <f>SUMIFS(LANÇ_MOV[VALOR LÍQUIDO],LANÇ_MOV[RECEITA OU DESPESA],"Receita",LANÇ_MOV[CONTAS],$C632,LANÇ_MOV[PLANO DE CONTAS],REL_DRE_FINANCEIRO!$B$549,LANÇ_MOV[ANO PAGAMENTO],$B$4,LANÇ_MOV[MÊS PAGAMENTO CORRESPONDENTE],H$6,LANÇ_MOV[EMPRESA],$C$4,LANÇ_MOV[CENTRO DE CUSTOS],$D$4)</f>
        <v>0</v>
      </c>
      <c r="I632" s="206">
        <f>SUMIFS(LANÇ_MOV[VALOR LÍQUIDO],LANÇ_MOV[RECEITA OU DESPESA],"Receita",LANÇ_MOV[CONTAS],$C632,LANÇ_MOV[PLANO DE CONTAS],REL_DRE_FINANCEIRO!$B$549,LANÇ_MOV[ANO PAGAMENTO],$B$4,LANÇ_MOV[MÊS PAGAMENTO CORRESPONDENTE],I$6,LANÇ_MOV[EMPRESA],$C$4,LANÇ_MOV[CENTRO DE CUSTOS],$D$4)</f>
        <v>0</v>
      </c>
      <c r="J632" s="206">
        <f>SUMIFS(LANÇ_MOV[VALOR LÍQUIDO],LANÇ_MOV[RECEITA OU DESPESA],"Receita",LANÇ_MOV[CONTAS],$C632,LANÇ_MOV[PLANO DE CONTAS],REL_DRE_FINANCEIRO!$B$549,LANÇ_MOV[ANO PAGAMENTO],$B$4,LANÇ_MOV[MÊS PAGAMENTO CORRESPONDENTE],J$6,LANÇ_MOV[EMPRESA],$C$4,LANÇ_MOV[CENTRO DE CUSTOS],$D$4)</f>
        <v>0</v>
      </c>
      <c r="K632" s="206">
        <f>SUMIFS(LANÇ_MOV[VALOR LÍQUIDO],LANÇ_MOV[RECEITA OU DESPESA],"Receita",LANÇ_MOV[CONTAS],$C632,LANÇ_MOV[PLANO DE CONTAS],REL_DRE_FINANCEIRO!$B$549,LANÇ_MOV[ANO PAGAMENTO],$B$4,LANÇ_MOV[MÊS PAGAMENTO CORRESPONDENTE],K$6,LANÇ_MOV[EMPRESA],$C$4,LANÇ_MOV[CENTRO DE CUSTOS],$D$4)</f>
        <v>0</v>
      </c>
      <c r="L632" s="206">
        <f>SUMIFS(LANÇ_MOV[VALOR LÍQUIDO],LANÇ_MOV[RECEITA OU DESPESA],"Receita",LANÇ_MOV[CONTAS],$C632,LANÇ_MOV[PLANO DE CONTAS],REL_DRE_FINANCEIRO!$B$549,LANÇ_MOV[ANO PAGAMENTO],$B$4,LANÇ_MOV[MÊS PAGAMENTO CORRESPONDENTE],L$6,LANÇ_MOV[EMPRESA],$C$4,LANÇ_MOV[CENTRO DE CUSTOS],$D$4)</f>
        <v>0</v>
      </c>
      <c r="M632" s="206">
        <f>SUMIFS(LANÇ_MOV[VALOR LÍQUIDO],LANÇ_MOV[RECEITA OU DESPESA],"Receita",LANÇ_MOV[CONTAS],$C632,LANÇ_MOV[PLANO DE CONTAS],REL_DRE_FINANCEIRO!$B$549,LANÇ_MOV[ANO PAGAMENTO],$B$4,LANÇ_MOV[MÊS PAGAMENTO CORRESPONDENTE],M$6,LANÇ_MOV[EMPRESA],$C$4,LANÇ_MOV[CENTRO DE CUSTOS],$D$4)</f>
        <v>0</v>
      </c>
      <c r="N632" s="206">
        <f>SUMIFS(LANÇ_MOV[VALOR LÍQUIDO],LANÇ_MOV[RECEITA OU DESPESA],"Receita",LANÇ_MOV[CONTAS],$C632,LANÇ_MOV[PLANO DE CONTAS],REL_DRE_FINANCEIRO!$B$549,LANÇ_MOV[ANO PAGAMENTO],$B$4,LANÇ_MOV[MÊS PAGAMENTO CORRESPONDENTE],N$6,LANÇ_MOV[EMPRESA],$C$4,LANÇ_MOV[CENTRO DE CUSTOS],$D$4)</f>
        <v>0</v>
      </c>
      <c r="O632" s="206">
        <f>SUMIFS(LANÇ_MOV[VALOR LÍQUIDO],LANÇ_MOV[RECEITA OU DESPESA],"Receita",LANÇ_MOV[CONTAS],$C632,LANÇ_MOV[PLANO DE CONTAS],REL_DRE_FINANCEIRO!$B$549,LANÇ_MOV[ANO PAGAMENTO],$B$4,LANÇ_MOV[MÊS PAGAMENTO CORRESPONDENTE],O$6,LANÇ_MOV[EMPRESA],$C$4,LANÇ_MOV[CENTRO DE CUSTOS],$D$4)</f>
        <v>0</v>
      </c>
      <c r="P632" s="207">
        <f t="shared" si="82"/>
        <v>0</v>
      </c>
      <c r="Q632" s="329">
        <v>1.7999999999999999E-6</v>
      </c>
      <c r="R632" s="346">
        <f t="shared" si="83"/>
        <v>1.7999999999999999E-6</v>
      </c>
      <c r="S632" s="347" t="str">
        <f t="shared" si="84"/>
        <v>-</v>
      </c>
      <c r="T632" s="347">
        <f t="shared" si="85"/>
        <v>0</v>
      </c>
      <c r="U632" s="347">
        <f>HLOOKUP(Apoio!$P$12,$D$548:$P$649,X632,FALSE)+Q632</f>
        <v>1.7999999999999999E-6</v>
      </c>
      <c r="V632" s="447" t="str">
        <f t="shared" si="86"/>
        <v>-</v>
      </c>
      <c r="W632" s="448">
        <f>HLOOKUP(Apoio!$P$12,$D$548:$P$649,X632,FALSE)</f>
        <v>0</v>
      </c>
      <c r="X632" s="329">
        <v>85</v>
      </c>
    </row>
    <row r="633" spans="2:24" ht="30.05" customHeight="1" x14ac:dyDescent="0.35">
      <c r="B633" s="204" t="str">
        <f>'CAD_PL_REC-DESP'!E88</f>
        <v>1.2.84</v>
      </c>
      <c r="C633" s="205" t="str">
        <f>IF('CAD_PL_REC-DESP'!F88="","-",'CAD_PL_REC-DESP'!F88)</f>
        <v>-</v>
      </c>
      <c r="D633" s="206">
        <f>SUMIFS(LANÇ_MOV[VALOR LÍQUIDO],LANÇ_MOV[RECEITA OU DESPESA],"Receita",LANÇ_MOV[CONTAS],$C633,LANÇ_MOV[PLANO DE CONTAS],REL_DRE_FINANCEIRO!$B$549,LANÇ_MOV[ANO PAGAMENTO],$B$4,LANÇ_MOV[MÊS PAGAMENTO CORRESPONDENTE],D$6,LANÇ_MOV[EMPRESA],$C$4,LANÇ_MOV[CENTRO DE CUSTOS],$D$4)</f>
        <v>0</v>
      </c>
      <c r="E633" s="206">
        <f>SUMIFS(LANÇ_MOV[VALOR LÍQUIDO],LANÇ_MOV[RECEITA OU DESPESA],"Receita",LANÇ_MOV[CONTAS],$C633,LANÇ_MOV[PLANO DE CONTAS],REL_DRE_FINANCEIRO!$B$549,LANÇ_MOV[ANO PAGAMENTO],$B$4,LANÇ_MOV[MÊS PAGAMENTO CORRESPONDENTE],E$6,LANÇ_MOV[EMPRESA],$C$4,LANÇ_MOV[CENTRO DE CUSTOS],$D$4)</f>
        <v>0</v>
      </c>
      <c r="F633" s="206">
        <f>SUMIFS(LANÇ_MOV[VALOR LÍQUIDO],LANÇ_MOV[RECEITA OU DESPESA],"Receita",LANÇ_MOV[CONTAS],$C633,LANÇ_MOV[PLANO DE CONTAS],REL_DRE_FINANCEIRO!$B$549,LANÇ_MOV[ANO PAGAMENTO],$B$4,LANÇ_MOV[MÊS PAGAMENTO CORRESPONDENTE],F$6,LANÇ_MOV[EMPRESA],$C$4,LANÇ_MOV[CENTRO DE CUSTOS],$D$4)</f>
        <v>0</v>
      </c>
      <c r="G633" s="206">
        <f>SUMIFS(LANÇ_MOV[VALOR LÍQUIDO],LANÇ_MOV[RECEITA OU DESPESA],"Receita",LANÇ_MOV[CONTAS],$C633,LANÇ_MOV[PLANO DE CONTAS],REL_DRE_FINANCEIRO!$B$549,LANÇ_MOV[ANO PAGAMENTO],$B$4,LANÇ_MOV[MÊS PAGAMENTO CORRESPONDENTE],G$6,LANÇ_MOV[EMPRESA],$C$4,LANÇ_MOV[CENTRO DE CUSTOS],$D$4)</f>
        <v>0</v>
      </c>
      <c r="H633" s="206">
        <f>SUMIFS(LANÇ_MOV[VALOR LÍQUIDO],LANÇ_MOV[RECEITA OU DESPESA],"Receita",LANÇ_MOV[CONTAS],$C633,LANÇ_MOV[PLANO DE CONTAS],REL_DRE_FINANCEIRO!$B$549,LANÇ_MOV[ANO PAGAMENTO],$B$4,LANÇ_MOV[MÊS PAGAMENTO CORRESPONDENTE],H$6,LANÇ_MOV[EMPRESA],$C$4,LANÇ_MOV[CENTRO DE CUSTOS],$D$4)</f>
        <v>0</v>
      </c>
      <c r="I633" s="206">
        <f>SUMIFS(LANÇ_MOV[VALOR LÍQUIDO],LANÇ_MOV[RECEITA OU DESPESA],"Receita",LANÇ_MOV[CONTAS],$C633,LANÇ_MOV[PLANO DE CONTAS],REL_DRE_FINANCEIRO!$B$549,LANÇ_MOV[ANO PAGAMENTO],$B$4,LANÇ_MOV[MÊS PAGAMENTO CORRESPONDENTE],I$6,LANÇ_MOV[EMPRESA],$C$4,LANÇ_MOV[CENTRO DE CUSTOS],$D$4)</f>
        <v>0</v>
      </c>
      <c r="J633" s="206">
        <f>SUMIFS(LANÇ_MOV[VALOR LÍQUIDO],LANÇ_MOV[RECEITA OU DESPESA],"Receita",LANÇ_MOV[CONTAS],$C633,LANÇ_MOV[PLANO DE CONTAS],REL_DRE_FINANCEIRO!$B$549,LANÇ_MOV[ANO PAGAMENTO],$B$4,LANÇ_MOV[MÊS PAGAMENTO CORRESPONDENTE],J$6,LANÇ_MOV[EMPRESA],$C$4,LANÇ_MOV[CENTRO DE CUSTOS],$D$4)</f>
        <v>0</v>
      </c>
      <c r="K633" s="206">
        <f>SUMIFS(LANÇ_MOV[VALOR LÍQUIDO],LANÇ_MOV[RECEITA OU DESPESA],"Receita",LANÇ_MOV[CONTAS],$C633,LANÇ_MOV[PLANO DE CONTAS],REL_DRE_FINANCEIRO!$B$549,LANÇ_MOV[ANO PAGAMENTO],$B$4,LANÇ_MOV[MÊS PAGAMENTO CORRESPONDENTE],K$6,LANÇ_MOV[EMPRESA],$C$4,LANÇ_MOV[CENTRO DE CUSTOS],$D$4)</f>
        <v>0</v>
      </c>
      <c r="L633" s="206">
        <f>SUMIFS(LANÇ_MOV[VALOR LÍQUIDO],LANÇ_MOV[RECEITA OU DESPESA],"Receita",LANÇ_MOV[CONTAS],$C633,LANÇ_MOV[PLANO DE CONTAS],REL_DRE_FINANCEIRO!$B$549,LANÇ_MOV[ANO PAGAMENTO],$B$4,LANÇ_MOV[MÊS PAGAMENTO CORRESPONDENTE],L$6,LANÇ_MOV[EMPRESA],$C$4,LANÇ_MOV[CENTRO DE CUSTOS],$D$4)</f>
        <v>0</v>
      </c>
      <c r="M633" s="206">
        <f>SUMIFS(LANÇ_MOV[VALOR LÍQUIDO],LANÇ_MOV[RECEITA OU DESPESA],"Receita",LANÇ_MOV[CONTAS],$C633,LANÇ_MOV[PLANO DE CONTAS],REL_DRE_FINANCEIRO!$B$549,LANÇ_MOV[ANO PAGAMENTO],$B$4,LANÇ_MOV[MÊS PAGAMENTO CORRESPONDENTE],M$6,LANÇ_MOV[EMPRESA],$C$4,LANÇ_MOV[CENTRO DE CUSTOS],$D$4)</f>
        <v>0</v>
      </c>
      <c r="N633" s="206">
        <f>SUMIFS(LANÇ_MOV[VALOR LÍQUIDO],LANÇ_MOV[RECEITA OU DESPESA],"Receita",LANÇ_MOV[CONTAS],$C633,LANÇ_MOV[PLANO DE CONTAS],REL_DRE_FINANCEIRO!$B$549,LANÇ_MOV[ANO PAGAMENTO],$B$4,LANÇ_MOV[MÊS PAGAMENTO CORRESPONDENTE],N$6,LANÇ_MOV[EMPRESA],$C$4,LANÇ_MOV[CENTRO DE CUSTOS],$D$4)</f>
        <v>0</v>
      </c>
      <c r="O633" s="206">
        <f>SUMIFS(LANÇ_MOV[VALOR LÍQUIDO],LANÇ_MOV[RECEITA OU DESPESA],"Receita",LANÇ_MOV[CONTAS],$C633,LANÇ_MOV[PLANO DE CONTAS],REL_DRE_FINANCEIRO!$B$549,LANÇ_MOV[ANO PAGAMENTO],$B$4,LANÇ_MOV[MÊS PAGAMENTO CORRESPONDENTE],O$6,LANÇ_MOV[EMPRESA],$C$4,LANÇ_MOV[CENTRO DE CUSTOS],$D$4)</f>
        <v>0</v>
      </c>
      <c r="P633" s="207">
        <f t="shared" si="82"/>
        <v>0</v>
      </c>
      <c r="Q633" s="329">
        <v>1.7E-6</v>
      </c>
      <c r="R633" s="346">
        <f t="shared" si="83"/>
        <v>1.7E-6</v>
      </c>
      <c r="S633" s="347" t="str">
        <f t="shared" si="84"/>
        <v>-</v>
      </c>
      <c r="T633" s="347">
        <f t="shared" si="85"/>
        <v>0</v>
      </c>
      <c r="U633" s="347">
        <f>HLOOKUP(Apoio!$P$12,$D$548:$P$649,X633,FALSE)+Q633</f>
        <v>1.7E-6</v>
      </c>
      <c r="V633" s="447" t="str">
        <f t="shared" si="86"/>
        <v>-</v>
      </c>
      <c r="W633" s="448">
        <f>HLOOKUP(Apoio!$P$12,$D$548:$P$649,X633,FALSE)</f>
        <v>0</v>
      </c>
      <c r="X633" s="329">
        <v>86</v>
      </c>
    </row>
    <row r="634" spans="2:24" ht="30.05" customHeight="1" x14ac:dyDescent="0.35">
      <c r="B634" s="204" t="str">
        <f>'CAD_PL_REC-DESP'!E89</f>
        <v>1.2.85</v>
      </c>
      <c r="C634" s="205" t="str">
        <f>IF('CAD_PL_REC-DESP'!F89="","-",'CAD_PL_REC-DESP'!F89)</f>
        <v>-</v>
      </c>
      <c r="D634" s="206">
        <f>SUMIFS(LANÇ_MOV[VALOR LÍQUIDO],LANÇ_MOV[RECEITA OU DESPESA],"Receita",LANÇ_MOV[CONTAS],$C634,LANÇ_MOV[PLANO DE CONTAS],REL_DRE_FINANCEIRO!$B$549,LANÇ_MOV[ANO PAGAMENTO],$B$4,LANÇ_MOV[MÊS PAGAMENTO CORRESPONDENTE],D$6,LANÇ_MOV[EMPRESA],$C$4,LANÇ_MOV[CENTRO DE CUSTOS],$D$4)</f>
        <v>0</v>
      </c>
      <c r="E634" s="206">
        <f>SUMIFS(LANÇ_MOV[VALOR LÍQUIDO],LANÇ_MOV[RECEITA OU DESPESA],"Receita",LANÇ_MOV[CONTAS],$C634,LANÇ_MOV[PLANO DE CONTAS],REL_DRE_FINANCEIRO!$B$549,LANÇ_MOV[ANO PAGAMENTO],$B$4,LANÇ_MOV[MÊS PAGAMENTO CORRESPONDENTE],E$6,LANÇ_MOV[EMPRESA],$C$4,LANÇ_MOV[CENTRO DE CUSTOS],$D$4)</f>
        <v>0</v>
      </c>
      <c r="F634" s="206">
        <f>SUMIFS(LANÇ_MOV[VALOR LÍQUIDO],LANÇ_MOV[RECEITA OU DESPESA],"Receita",LANÇ_MOV[CONTAS],$C634,LANÇ_MOV[PLANO DE CONTAS],REL_DRE_FINANCEIRO!$B$549,LANÇ_MOV[ANO PAGAMENTO],$B$4,LANÇ_MOV[MÊS PAGAMENTO CORRESPONDENTE],F$6,LANÇ_MOV[EMPRESA],$C$4,LANÇ_MOV[CENTRO DE CUSTOS],$D$4)</f>
        <v>0</v>
      </c>
      <c r="G634" s="206">
        <f>SUMIFS(LANÇ_MOV[VALOR LÍQUIDO],LANÇ_MOV[RECEITA OU DESPESA],"Receita",LANÇ_MOV[CONTAS],$C634,LANÇ_MOV[PLANO DE CONTAS],REL_DRE_FINANCEIRO!$B$549,LANÇ_MOV[ANO PAGAMENTO],$B$4,LANÇ_MOV[MÊS PAGAMENTO CORRESPONDENTE],G$6,LANÇ_MOV[EMPRESA],$C$4,LANÇ_MOV[CENTRO DE CUSTOS],$D$4)</f>
        <v>0</v>
      </c>
      <c r="H634" s="206">
        <f>SUMIFS(LANÇ_MOV[VALOR LÍQUIDO],LANÇ_MOV[RECEITA OU DESPESA],"Receita",LANÇ_MOV[CONTAS],$C634,LANÇ_MOV[PLANO DE CONTAS],REL_DRE_FINANCEIRO!$B$549,LANÇ_MOV[ANO PAGAMENTO],$B$4,LANÇ_MOV[MÊS PAGAMENTO CORRESPONDENTE],H$6,LANÇ_MOV[EMPRESA],$C$4,LANÇ_MOV[CENTRO DE CUSTOS],$D$4)</f>
        <v>0</v>
      </c>
      <c r="I634" s="206">
        <f>SUMIFS(LANÇ_MOV[VALOR LÍQUIDO],LANÇ_MOV[RECEITA OU DESPESA],"Receita",LANÇ_MOV[CONTAS],$C634,LANÇ_MOV[PLANO DE CONTAS],REL_DRE_FINANCEIRO!$B$549,LANÇ_MOV[ANO PAGAMENTO],$B$4,LANÇ_MOV[MÊS PAGAMENTO CORRESPONDENTE],I$6,LANÇ_MOV[EMPRESA],$C$4,LANÇ_MOV[CENTRO DE CUSTOS],$D$4)</f>
        <v>0</v>
      </c>
      <c r="J634" s="206">
        <f>SUMIFS(LANÇ_MOV[VALOR LÍQUIDO],LANÇ_MOV[RECEITA OU DESPESA],"Receita",LANÇ_MOV[CONTAS],$C634,LANÇ_MOV[PLANO DE CONTAS],REL_DRE_FINANCEIRO!$B$549,LANÇ_MOV[ANO PAGAMENTO],$B$4,LANÇ_MOV[MÊS PAGAMENTO CORRESPONDENTE],J$6,LANÇ_MOV[EMPRESA],$C$4,LANÇ_MOV[CENTRO DE CUSTOS],$D$4)</f>
        <v>0</v>
      </c>
      <c r="K634" s="206">
        <f>SUMIFS(LANÇ_MOV[VALOR LÍQUIDO],LANÇ_MOV[RECEITA OU DESPESA],"Receita",LANÇ_MOV[CONTAS],$C634,LANÇ_MOV[PLANO DE CONTAS],REL_DRE_FINANCEIRO!$B$549,LANÇ_MOV[ANO PAGAMENTO],$B$4,LANÇ_MOV[MÊS PAGAMENTO CORRESPONDENTE],K$6,LANÇ_MOV[EMPRESA],$C$4,LANÇ_MOV[CENTRO DE CUSTOS],$D$4)</f>
        <v>0</v>
      </c>
      <c r="L634" s="206">
        <f>SUMIFS(LANÇ_MOV[VALOR LÍQUIDO],LANÇ_MOV[RECEITA OU DESPESA],"Receita",LANÇ_MOV[CONTAS],$C634,LANÇ_MOV[PLANO DE CONTAS],REL_DRE_FINANCEIRO!$B$549,LANÇ_MOV[ANO PAGAMENTO],$B$4,LANÇ_MOV[MÊS PAGAMENTO CORRESPONDENTE],L$6,LANÇ_MOV[EMPRESA],$C$4,LANÇ_MOV[CENTRO DE CUSTOS],$D$4)</f>
        <v>0</v>
      </c>
      <c r="M634" s="206">
        <f>SUMIFS(LANÇ_MOV[VALOR LÍQUIDO],LANÇ_MOV[RECEITA OU DESPESA],"Receita",LANÇ_MOV[CONTAS],$C634,LANÇ_MOV[PLANO DE CONTAS],REL_DRE_FINANCEIRO!$B$549,LANÇ_MOV[ANO PAGAMENTO],$B$4,LANÇ_MOV[MÊS PAGAMENTO CORRESPONDENTE],M$6,LANÇ_MOV[EMPRESA],$C$4,LANÇ_MOV[CENTRO DE CUSTOS],$D$4)</f>
        <v>0</v>
      </c>
      <c r="N634" s="206">
        <f>SUMIFS(LANÇ_MOV[VALOR LÍQUIDO],LANÇ_MOV[RECEITA OU DESPESA],"Receita",LANÇ_MOV[CONTAS],$C634,LANÇ_MOV[PLANO DE CONTAS],REL_DRE_FINANCEIRO!$B$549,LANÇ_MOV[ANO PAGAMENTO],$B$4,LANÇ_MOV[MÊS PAGAMENTO CORRESPONDENTE],N$6,LANÇ_MOV[EMPRESA],$C$4,LANÇ_MOV[CENTRO DE CUSTOS],$D$4)</f>
        <v>0</v>
      </c>
      <c r="O634" s="206">
        <f>SUMIFS(LANÇ_MOV[VALOR LÍQUIDO],LANÇ_MOV[RECEITA OU DESPESA],"Receita",LANÇ_MOV[CONTAS],$C634,LANÇ_MOV[PLANO DE CONTAS],REL_DRE_FINANCEIRO!$B$549,LANÇ_MOV[ANO PAGAMENTO],$B$4,LANÇ_MOV[MÊS PAGAMENTO CORRESPONDENTE],O$6,LANÇ_MOV[EMPRESA],$C$4,LANÇ_MOV[CENTRO DE CUSTOS],$D$4)</f>
        <v>0</v>
      </c>
      <c r="P634" s="207">
        <f t="shared" si="82"/>
        <v>0</v>
      </c>
      <c r="Q634" s="329">
        <v>1.5999999999999999E-6</v>
      </c>
      <c r="R634" s="346">
        <f t="shared" si="83"/>
        <v>1.5999999999999999E-6</v>
      </c>
      <c r="S634" s="347" t="str">
        <f t="shared" si="84"/>
        <v>-</v>
      </c>
      <c r="T634" s="347">
        <f t="shared" si="85"/>
        <v>0</v>
      </c>
      <c r="U634" s="347">
        <f>HLOOKUP(Apoio!$P$12,$D$548:$P$649,X634,FALSE)+Q634</f>
        <v>1.5999999999999999E-6</v>
      </c>
      <c r="V634" s="447" t="str">
        <f t="shared" si="86"/>
        <v>-</v>
      </c>
      <c r="W634" s="448">
        <f>HLOOKUP(Apoio!$P$12,$D$548:$P$649,X634,FALSE)</f>
        <v>0</v>
      </c>
      <c r="X634" s="329">
        <v>87</v>
      </c>
    </row>
    <row r="635" spans="2:24" ht="30.05" customHeight="1" x14ac:dyDescent="0.35">
      <c r="B635" s="204" t="str">
        <f>'CAD_PL_REC-DESP'!E90</f>
        <v>1.2.86</v>
      </c>
      <c r="C635" s="205" t="str">
        <f>IF('CAD_PL_REC-DESP'!F90="","-",'CAD_PL_REC-DESP'!F90)</f>
        <v>-</v>
      </c>
      <c r="D635" s="206">
        <f>SUMIFS(LANÇ_MOV[VALOR LÍQUIDO],LANÇ_MOV[RECEITA OU DESPESA],"Receita",LANÇ_MOV[CONTAS],$C635,LANÇ_MOV[PLANO DE CONTAS],REL_DRE_FINANCEIRO!$B$549,LANÇ_MOV[ANO PAGAMENTO],$B$4,LANÇ_MOV[MÊS PAGAMENTO CORRESPONDENTE],D$6,LANÇ_MOV[EMPRESA],$C$4,LANÇ_MOV[CENTRO DE CUSTOS],$D$4)</f>
        <v>0</v>
      </c>
      <c r="E635" s="206">
        <f>SUMIFS(LANÇ_MOV[VALOR LÍQUIDO],LANÇ_MOV[RECEITA OU DESPESA],"Receita",LANÇ_MOV[CONTAS],$C635,LANÇ_MOV[PLANO DE CONTAS],REL_DRE_FINANCEIRO!$B$549,LANÇ_MOV[ANO PAGAMENTO],$B$4,LANÇ_MOV[MÊS PAGAMENTO CORRESPONDENTE],E$6,LANÇ_MOV[EMPRESA],$C$4,LANÇ_MOV[CENTRO DE CUSTOS],$D$4)</f>
        <v>0</v>
      </c>
      <c r="F635" s="206">
        <f>SUMIFS(LANÇ_MOV[VALOR LÍQUIDO],LANÇ_MOV[RECEITA OU DESPESA],"Receita",LANÇ_MOV[CONTAS],$C635,LANÇ_MOV[PLANO DE CONTAS],REL_DRE_FINANCEIRO!$B$549,LANÇ_MOV[ANO PAGAMENTO],$B$4,LANÇ_MOV[MÊS PAGAMENTO CORRESPONDENTE],F$6,LANÇ_MOV[EMPRESA],$C$4,LANÇ_MOV[CENTRO DE CUSTOS],$D$4)</f>
        <v>0</v>
      </c>
      <c r="G635" s="206">
        <f>SUMIFS(LANÇ_MOV[VALOR LÍQUIDO],LANÇ_MOV[RECEITA OU DESPESA],"Receita",LANÇ_MOV[CONTAS],$C635,LANÇ_MOV[PLANO DE CONTAS],REL_DRE_FINANCEIRO!$B$549,LANÇ_MOV[ANO PAGAMENTO],$B$4,LANÇ_MOV[MÊS PAGAMENTO CORRESPONDENTE],G$6,LANÇ_MOV[EMPRESA],$C$4,LANÇ_MOV[CENTRO DE CUSTOS],$D$4)</f>
        <v>0</v>
      </c>
      <c r="H635" s="206">
        <f>SUMIFS(LANÇ_MOV[VALOR LÍQUIDO],LANÇ_MOV[RECEITA OU DESPESA],"Receita",LANÇ_MOV[CONTAS],$C635,LANÇ_MOV[PLANO DE CONTAS],REL_DRE_FINANCEIRO!$B$549,LANÇ_MOV[ANO PAGAMENTO],$B$4,LANÇ_MOV[MÊS PAGAMENTO CORRESPONDENTE],H$6,LANÇ_MOV[EMPRESA],$C$4,LANÇ_MOV[CENTRO DE CUSTOS],$D$4)</f>
        <v>0</v>
      </c>
      <c r="I635" s="206">
        <f>SUMIFS(LANÇ_MOV[VALOR LÍQUIDO],LANÇ_MOV[RECEITA OU DESPESA],"Receita",LANÇ_MOV[CONTAS],$C635,LANÇ_MOV[PLANO DE CONTAS],REL_DRE_FINANCEIRO!$B$549,LANÇ_MOV[ANO PAGAMENTO],$B$4,LANÇ_MOV[MÊS PAGAMENTO CORRESPONDENTE],I$6,LANÇ_MOV[EMPRESA],$C$4,LANÇ_MOV[CENTRO DE CUSTOS],$D$4)</f>
        <v>0</v>
      </c>
      <c r="J635" s="206">
        <f>SUMIFS(LANÇ_MOV[VALOR LÍQUIDO],LANÇ_MOV[RECEITA OU DESPESA],"Receita",LANÇ_MOV[CONTAS],$C635,LANÇ_MOV[PLANO DE CONTAS],REL_DRE_FINANCEIRO!$B$549,LANÇ_MOV[ANO PAGAMENTO],$B$4,LANÇ_MOV[MÊS PAGAMENTO CORRESPONDENTE],J$6,LANÇ_MOV[EMPRESA],$C$4,LANÇ_MOV[CENTRO DE CUSTOS],$D$4)</f>
        <v>0</v>
      </c>
      <c r="K635" s="206">
        <f>SUMIFS(LANÇ_MOV[VALOR LÍQUIDO],LANÇ_MOV[RECEITA OU DESPESA],"Receita",LANÇ_MOV[CONTAS],$C635,LANÇ_MOV[PLANO DE CONTAS],REL_DRE_FINANCEIRO!$B$549,LANÇ_MOV[ANO PAGAMENTO],$B$4,LANÇ_MOV[MÊS PAGAMENTO CORRESPONDENTE],K$6,LANÇ_MOV[EMPRESA],$C$4,LANÇ_MOV[CENTRO DE CUSTOS],$D$4)</f>
        <v>0</v>
      </c>
      <c r="L635" s="206">
        <f>SUMIFS(LANÇ_MOV[VALOR LÍQUIDO],LANÇ_MOV[RECEITA OU DESPESA],"Receita",LANÇ_MOV[CONTAS],$C635,LANÇ_MOV[PLANO DE CONTAS],REL_DRE_FINANCEIRO!$B$549,LANÇ_MOV[ANO PAGAMENTO],$B$4,LANÇ_MOV[MÊS PAGAMENTO CORRESPONDENTE],L$6,LANÇ_MOV[EMPRESA],$C$4,LANÇ_MOV[CENTRO DE CUSTOS],$D$4)</f>
        <v>0</v>
      </c>
      <c r="M635" s="206">
        <f>SUMIFS(LANÇ_MOV[VALOR LÍQUIDO],LANÇ_MOV[RECEITA OU DESPESA],"Receita",LANÇ_MOV[CONTAS],$C635,LANÇ_MOV[PLANO DE CONTAS],REL_DRE_FINANCEIRO!$B$549,LANÇ_MOV[ANO PAGAMENTO],$B$4,LANÇ_MOV[MÊS PAGAMENTO CORRESPONDENTE],M$6,LANÇ_MOV[EMPRESA],$C$4,LANÇ_MOV[CENTRO DE CUSTOS],$D$4)</f>
        <v>0</v>
      </c>
      <c r="N635" s="206">
        <f>SUMIFS(LANÇ_MOV[VALOR LÍQUIDO],LANÇ_MOV[RECEITA OU DESPESA],"Receita",LANÇ_MOV[CONTAS],$C635,LANÇ_MOV[PLANO DE CONTAS],REL_DRE_FINANCEIRO!$B$549,LANÇ_MOV[ANO PAGAMENTO],$B$4,LANÇ_MOV[MÊS PAGAMENTO CORRESPONDENTE],N$6,LANÇ_MOV[EMPRESA],$C$4,LANÇ_MOV[CENTRO DE CUSTOS],$D$4)</f>
        <v>0</v>
      </c>
      <c r="O635" s="206">
        <f>SUMIFS(LANÇ_MOV[VALOR LÍQUIDO],LANÇ_MOV[RECEITA OU DESPESA],"Receita",LANÇ_MOV[CONTAS],$C635,LANÇ_MOV[PLANO DE CONTAS],REL_DRE_FINANCEIRO!$B$549,LANÇ_MOV[ANO PAGAMENTO],$B$4,LANÇ_MOV[MÊS PAGAMENTO CORRESPONDENTE],O$6,LANÇ_MOV[EMPRESA],$C$4,LANÇ_MOV[CENTRO DE CUSTOS],$D$4)</f>
        <v>0</v>
      </c>
      <c r="P635" s="207">
        <f t="shared" si="82"/>
        <v>0</v>
      </c>
      <c r="Q635" s="329">
        <v>1.5E-6</v>
      </c>
      <c r="R635" s="346">
        <f t="shared" si="83"/>
        <v>1.5E-6</v>
      </c>
      <c r="S635" s="347" t="str">
        <f t="shared" si="84"/>
        <v>-</v>
      </c>
      <c r="T635" s="347">
        <f t="shared" si="85"/>
        <v>0</v>
      </c>
      <c r="U635" s="347">
        <f>HLOOKUP(Apoio!$P$12,$D$548:$P$649,X635,FALSE)+Q635</f>
        <v>1.5E-6</v>
      </c>
      <c r="V635" s="447" t="str">
        <f t="shared" si="86"/>
        <v>-</v>
      </c>
      <c r="W635" s="448">
        <f>HLOOKUP(Apoio!$P$12,$D$548:$P$649,X635,FALSE)</f>
        <v>0</v>
      </c>
      <c r="X635" s="329">
        <v>88</v>
      </c>
    </row>
    <row r="636" spans="2:24" ht="30.05" customHeight="1" x14ac:dyDescent="0.35">
      <c r="B636" s="204" t="str">
        <f>'CAD_PL_REC-DESP'!E91</f>
        <v>1.2.87</v>
      </c>
      <c r="C636" s="205" t="str">
        <f>IF('CAD_PL_REC-DESP'!F91="","-",'CAD_PL_REC-DESP'!F91)</f>
        <v>-</v>
      </c>
      <c r="D636" s="206">
        <f>SUMIFS(LANÇ_MOV[VALOR LÍQUIDO],LANÇ_MOV[RECEITA OU DESPESA],"Receita",LANÇ_MOV[CONTAS],$C636,LANÇ_MOV[PLANO DE CONTAS],REL_DRE_FINANCEIRO!$B$549,LANÇ_MOV[ANO PAGAMENTO],$B$4,LANÇ_MOV[MÊS PAGAMENTO CORRESPONDENTE],D$6,LANÇ_MOV[EMPRESA],$C$4,LANÇ_MOV[CENTRO DE CUSTOS],$D$4)</f>
        <v>0</v>
      </c>
      <c r="E636" s="206">
        <f>SUMIFS(LANÇ_MOV[VALOR LÍQUIDO],LANÇ_MOV[RECEITA OU DESPESA],"Receita",LANÇ_MOV[CONTAS],$C636,LANÇ_MOV[PLANO DE CONTAS],REL_DRE_FINANCEIRO!$B$549,LANÇ_MOV[ANO PAGAMENTO],$B$4,LANÇ_MOV[MÊS PAGAMENTO CORRESPONDENTE],E$6,LANÇ_MOV[EMPRESA],$C$4,LANÇ_MOV[CENTRO DE CUSTOS],$D$4)</f>
        <v>0</v>
      </c>
      <c r="F636" s="206">
        <f>SUMIFS(LANÇ_MOV[VALOR LÍQUIDO],LANÇ_MOV[RECEITA OU DESPESA],"Receita",LANÇ_MOV[CONTAS],$C636,LANÇ_MOV[PLANO DE CONTAS],REL_DRE_FINANCEIRO!$B$549,LANÇ_MOV[ANO PAGAMENTO],$B$4,LANÇ_MOV[MÊS PAGAMENTO CORRESPONDENTE],F$6,LANÇ_MOV[EMPRESA],$C$4,LANÇ_MOV[CENTRO DE CUSTOS],$D$4)</f>
        <v>0</v>
      </c>
      <c r="G636" s="206">
        <f>SUMIFS(LANÇ_MOV[VALOR LÍQUIDO],LANÇ_MOV[RECEITA OU DESPESA],"Receita",LANÇ_MOV[CONTAS],$C636,LANÇ_MOV[PLANO DE CONTAS],REL_DRE_FINANCEIRO!$B$549,LANÇ_MOV[ANO PAGAMENTO],$B$4,LANÇ_MOV[MÊS PAGAMENTO CORRESPONDENTE],G$6,LANÇ_MOV[EMPRESA],$C$4,LANÇ_MOV[CENTRO DE CUSTOS],$D$4)</f>
        <v>0</v>
      </c>
      <c r="H636" s="206">
        <f>SUMIFS(LANÇ_MOV[VALOR LÍQUIDO],LANÇ_MOV[RECEITA OU DESPESA],"Receita",LANÇ_MOV[CONTAS],$C636,LANÇ_MOV[PLANO DE CONTAS],REL_DRE_FINANCEIRO!$B$549,LANÇ_MOV[ANO PAGAMENTO],$B$4,LANÇ_MOV[MÊS PAGAMENTO CORRESPONDENTE],H$6,LANÇ_MOV[EMPRESA],$C$4,LANÇ_MOV[CENTRO DE CUSTOS],$D$4)</f>
        <v>0</v>
      </c>
      <c r="I636" s="206">
        <f>SUMIFS(LANÇ_MOV[VALOR LÍQUIDO],LANÇ_MOV[RECEITA OU DESPESA],"Receita",LANÇ_MOV[CONTAS],$C636,LANÇ_MOV[PLANO DE CONTAS],REL_DRE_FINANCEIRO!$B$549,LANÇ_MOV[ANO PAGAMENTO],$B$4,LANÇ_MOV[MÊS PAGAMENTO CORRESPONDENTE],I$6,LANÇ_MOV[EMPRESA],$C$4,LANÇ_MOV[CENTRO DE CUSTOS],$D$4)</f>
        <v>0</v>
      </c>
      <c r="J636" s="206">
        <f>SUMIFS(LANÇ_MOV[VALOR LÍQUIDO],LANÇ_MOV[RECEITA OU DESPESA],"Receita",LANÇ_MOV[CONTAS],$C636,LANÇ_MOV[PLANO DE CONTAS],REL_DRE_FINANCEIRO!$B$549,LANÇ_MOV[ANO PAGAMENTO],$B$4,LANÇ_MOV[MÊS PAGAMENTO CORRESPONDENTE],J$6,LANÇ_MOV[EMPRESA],$C$4,LANÇ_MOV[CENTRO DE CUSTOS],$D$4)</f>
        <v>0</v>
      </c>
      <c r="K636" s="206">
        <f>SUMIFS(LANÇ_MOV[VALOR LÍQUIDO],LANÇ_MOV[RECEITA OU DESPESA],"Receita",LANÇ_MOV[CONTAS],$C636,LANÇ_MOV[PLANO DE CONTAS],REL_DRE_FINANCEIRO!$B$549,LANÇ_MOV[ANO PAGAMENTO],$B$4,LANÇ_MOV[MÊS PAGAMENTO CORRESPONDENTE],K$6,LANÇ_MOV[EMPRESA],$C$4,LANÇ_MOV[CENTRO DE CUSTOS],$D$4)</f>
        <v>0</v>
      </c>
      <c r="L636" s="206">
        <f>SUMIFS(LANÇ_MOV[VALOR LÍQUIDO],LANÇ_MOV[RECEITA OU DESPESA],"Receita",LANÇ_MOV[CONTAS],$C636,LANÇ_MOV[PLANO DE CONTAS],REL_DRE_FINANCEIRO!$B$549,LANÇ_MOV[ANO PAGAMENTO],$B$4,LANÇ_MOV[MÊS PAGAMENTO CORRESPONDENTE],L$6,LANÇ_MOV[EMPRESA],$C$4,LANÇ_MOV[CENTRO DE CUSTOS],$D$4)</f>
        <v>0</v>
      </c>
      <c r="M636" s="206">
        <f>SUMIFS(LANÇ_MOV[VALOR LÍQUIDO],LANÇ_MOV[RECEITA OU DESPESA],"Receita",LANÇ_MOV[CONTAS],$C636,LANÇ_MOV[PLANO DE CONTAS],REL_DRE_FINANCEIRO!$B$549,LANÇ_MOV[ANO PAGAMENTO],$B$4,LANÇ_MOV[MÊS PAGAMENTO CORRESPONDENTE],M$6,LANÇ_MOV[EMPRESA],$C$4,LANÇ_MOV[CENTRO DE CUSTOS],$D$4)</f>
        <v>0</v>
      </c>
      <c r="N636" s="206">
        <f>SUMIFS(LANÇ_MOV[VALOR LÍQUIDO],LANÇ_MOV[RECEITA OU DESPESA],"Receita",LANÇ_MOV[CONTAS],$C636,LANÇ_MOV[PLANO DE CONTAS],REL_DRE_FINANCEIRO!$B$549,LANÇ_MOV[ANO PAGAMENTO],$B$4,LANÇ_MOV[MÊS PAGAMENTO CORRESPONDENTE],N$6,LANÇ_MOV[EMPRESA],$C$4,LANÇ_MOV[CENTRO DE CUSTOS],$D$4)</f>
        <v>0</v>
      </c>
      <c r="O636" s="206">
        <f>SUMIFS(LANÇ_MOV[VALOR LÍQUIDO],LANÇ_MOV[RECEITA OU DESPESA],"Receita",LANÇ_MOV[CONTAS],$C636,LANÇ_MOV[PLANO DE CONTAS],REL_DRE_FINANCEIRO!$B$549,LANÇ_MOV[ANO PAGAMENTO],$B$4,LANÇ_MOV[MÊS PAGAMENTO CORRESPONDENTE],O$6,LANÇ_MOV[EMPRESA],$C$4,LANÇ_MOV[CENTRO DE CUSTOS],$D$4)</f>
        <v>0</v>
      </c>
      <c r="P636" s="207">
        <f t="shared" si="82"/>
        <v>0</v>
      </c>
      <c r="Q636" s="329">
        <v>1.3999999999999999E-6</v>
      </c>
      <c r="R636" s="346">
        <f t="shared" si="83"/>
        <v>1.3999999999999999E-6</v>
      </c>
      <c r="S636" s="347" t="str">
        <f t="shared" si="84"/>
        <v>-</v>
      </c>
      <c r="T636" s="347">
        <f t="shared" si="85"/>
        <v>0</v>
      </c>
      <c r="U636" s="347">
        <f>HLOOKUP(Apoio!$P$12,$D$548:$P$649,X636,FALSE)+Q636</f>
        <v>1.3999999999999999E-6</v>
      </c>
      <c r="V636" s="447" t="str">
        <f t="shared" si="86"/>
        <v>-</v>
      </c>
      <c r="W636" s="448">
        <f>HLOOKUP(Apoio!$P$12,$D$548:$P$649,X636,FALSE)</f>
        <v>0</v>
      </c>
      <c r="X636" s="329">
        <v>89</v>
      </c>
    </row>
    <row r="637" spans="2:24" ht="30.05" customHeight="1" x14ac:dyDescent="0.35">
      <c r="B637" s="204" t="str">
        <f>'CAD_PL_REC-DESP'!E92</f>
        <v>1.2.88</v>
      </c>
      <c r="C637" s="205" t="str">
        <f>IF('CAD_PL_REC-DESP'!F92="","-",'CAD_PL_REC-DESP'!F92)</f>
        <v>-</v>
      </c>
      <c r="D637" s="206">
        <f>SUMIFS(LANÇ_MOV[VALOR LÍQUIDO],LANÇ_MOV[RECEITA OU DESPESA],"Receita",LANÇ_MOV[CONTAS],$C637,LANÇ_MOV[PLANO DE CONTAS],REL_DRE_FINANCEIRO!$B$549,LANÇ_MOV[ANO PAGAMENTO],$B$4,LANÇ_MOV[MÊS PAGAMENTO CORRESPONDENTE],D$6,LANÇ_MOV[EMPRESA],$C$4,LANÇ_MOV[CENTRO DE CUSTOS],$D$4)</f>
        <v>0</v>
      </c>
      <c r="E637" s="206">
        <f>SUMIFS(LANÇ_MOV[VALOR LÍQUIDO],LANÇ_MOV[RECEITA OU DESPESA],"Receita",LANÇ_MOV[CONTAS],$C637,LANÇ_MOV[PLANO DE CONTAS],REL_DRE_FINANCEIRO!$B$549,LANÇ_MOV[ANO PAGAMENTO],$B$4,LANÇ_MOV[MÊS PAGAMENTO CORRESPONDENTE],E$6,LANÇ_MOV[EMPRESA],$C$4,LANÇ_MOV[CENTRO DE CUSTOS],$D$4)</f>
        <v>0</v>
      </c>
      <c r="F637" s="206">
        <f>SUMIFS(LANÇ_MOV[VALOR LÍQUIDO],LANÇ_MOV[RECEITA OU DESPESA],"Receita",LANÇ_MOV[CONTAS],$C637,LANÇ_MOV[PLANO DE CONTAS],REL_DRE_FINANCEIRO!$B$549,LANÇ_MOV[ANO PAGAMENTO],$B$4,LANÇ_MOV[MÊS PAGAMENTO CORRESPONDENTE],F$6,LANÇ_MOV[EMPRESA],$C$4,LANÇ_MOV[CENTRO DE CUSTOS],$D$4)</f>
        <v>0</v>
      </c>
      <c r="G637" s="206">
        <f>SUMIFS(LANÇ_MOV[VALOR LÍQUIDO],LANÇ_MOV[RECEITA OU DESPESA],"Receita",LANÇ_MOV[CONTAS],$C637,LANÇ_MOV[PLANO DE CONTAS],REL_DRE_FINANCEIRO!$B$549,LANÇ_MOV[ANO PAGAMENTO],$B$4,LANÇ_MOV[MÊS PAGAMENTO CORRESPONDENTE],G$6,LANÇ_MOV[EMPRESA],$C$4,LANÇ_MOV[CENTRO DE CUSTOS],$D$4)</f>
        <v>0</v>
      </c>
      <c r="H637" s="206">
        <f>SUMIFS(LANÇ_MOV[VALOR LÍQUIDO],LANÇ_MOV[RECEITA OU DESPESA],"Receita",LANÇ_MOV[CONTAS],$C637,LANÇ_MOV[PLANO DE CONTAS],REL_DRE_FINANCEIRO!$B$549,LANÇ_MOV[ANO PAGAMENTO],$B$4,LANÇ_MOV[MÊS PAGAMENTO CORRESPONDENTE],H$6,LANÇ_MOV[EMPRESA],$C$4,LANÇ_MOV[CENTRO DE CUSTOS],$D$4)</f>
        <v>0</v>
      </c>
      <c r="I637" s="206">
        <f>SUMIFS(LANÇ_MOV[VALOR LÍQUIDO],LANÇ_MOV[RECEITA OU DESPESA],"Receita",LANÇ_MOV[CONTAS],$C637,LANÇ_MOV[PLANO DE CONTAS],REL_DRE_FINANCEIRO!$B$549,LANÇ_MOV[ANO PAGAMENTO],$B$4,LANÇ_MOV[MÊS PAGAMENTO CORRESPONDENTE],I$6,LANÇ_MOV[EMPRESA],$C$4,LANÇ_MOV[CENTRO DE CUSTOS],$D$4)</f>
        <v>0</v>
      </c>
      <c r="J637" s="206">
        <f>SUMIFS(LANÇ_MOV[VALOR LÍQUIDO],LANÇ_MOV[RECEITA OU DESPESA],"Receita",LANÇ_MOV[CONTAS],$C637,LANÇ_MOV[PLANO DE CONTAS],REL_DRE_FINANCEIRO!$B$549,LANÇ_MOV[ANO PAGAMENTO],$B$4,LANÇ_MOV[MÊS PAGAMENTO CORRESPONDENTE],J$6,LANÇ_MOV[EMPRESA],$C$4,LANÇ_MOV[CENTRO DE CUSTOS],$D$4)</f>
        <v>0</v>
      </c>
      <c r="K637" s="206">
        <f>SUMIFS(LANÇ_MOV[VALOR LÍQUIDO],LANÇ_MOV[RECEITA OU DESPESA],"Receita",LANÇ_MOV[CONTAS],$C637,LANÇ_MOV[PLANO DE CONTAS],REL_DRE_FINANCEIRO!$B$549,LANÇ_MOV[ANO PAGAMENTO],$B$4,LANÇ_MOV[MÊS PAGAMENTO CORRESPONDENTE],K$6,LANÇ_MOV[EMPRESA],$C$4,LANÇ_MOV[CENTRO DE CUSTOS],$D$4)</f>
        <v>0</v>
      </c>
      <c r="L637" s="206">
        <f>SUMIFS(LANÇ_MOV[VALOR LÍQUIDO],LANÇ_MOV[RECEITA OU DESPESA],"Receita",LANÇ_MOV[CONTAS],$C637,LANÇ_MOV[PLANO DE CONTAS],REL_DRE_FINANCEIRO!$B$549,LANÇ_MOV[ANO PAGAMENTO],$B$4,LANÇ_MOV[MÊS PAGAMENTO CORRESPONDENTE],L$6,LANÇ_MOV[EMPRESA],$C$4,LANÇ_MOV[CENTRO DE CUSTOS],$D$4)</f>
        <v>0</v>
      </c>
      <c r="M637" s="206">
        <f>SUMIFS(LANÇ_MOV[VALOR LÍQUIDO],LANÇ_MOV[RECEITA OU DESPESA],"Receita",LANÇ_MOV[CONTAS],$C637,LANÇ_MOV[PLANO DE CONTAS],REL_DRE_FINANCEIRO!$B$549,LANÇ_MOV[ANO PAGAMENTO],$B$4,LANÇ_MOV[MÊS PAGAMENTO CORRESPONDENTE],M$6,LANÇ_MOV[EMPRESA],$C$4,LANÇ_MOV[CENTRO DE CUSTOS],$D$4)</f>
        <v>0</v>
      </c>
      <c r="N637" s="206">
        <f>SUMIFS(LANÇ_MOV[VALOR LÍQUIDO],LANÇ_MOV[RECEITA OU DESPESA],"Receita",LANÇ_MOV[CONTAS],$C637,LANÇ_MOV[PLANO DE CONTAS],REL_DRE_FINANCEIRO!$B$549,LANÇ_MOV[ANO PAGAMENTO],$B$4,LANÇ_MOV[MÊS PAGAMENTO CORRESPONDENTE],N$6,LANÇ_MOV[EMPRESA],$C$4,LANÇ_MOV[CENTRO DE CUSTOS],$D$4)</f>
        <v>0</v>
      </c>
      <c r="O637" s="206">
        <f>SUMIFS(LANÇ_MOV[VALOR LÍQUIDO],LANÇ_MOV[RECEITA OU DESPESA],"Receita",LANÇ_MOV[CONTAS],$C637,LANÇ_MOV[PLANO DE CONTAS],REL_DRE_FINANCEIRO!$B$549,LANÇ_MOV[ANO PAGAMENTO],$B$4,LANÇ_MOV[MÊS PAGAMENTO CORRESPONDENTE],O$6,LANÇ_MOV[EMPRESA],$C$4,LANÇ_MOV[CENTRO DE CUSTOS],$D$4)</f>
        <v>0</v>
      </c>
      <c r="P637" s="207">
        <f t="shared" si="82"/>
        <v>0</v>
      </c>
      <c r="Q637" s="329">
        <v>1.3E-6</v>
      </c>
      <c r="R637" s="346">
        <f t="shared" si="83"/>
        <v>1.3E-6</v>
      </c>
      <c r="S637" s="347" t="str">
        <f t="shared" si="84"/>
        <v>-</v>
      </c>
      <c r="T637" s="347">
        <f t="shared" si="85"/>
        <v>0</v>
      </c>
      <c r="U637" s="347">
        <f>HLOOKUP(Apoio!$P$12,$D$548:$P$649,X637,FALSE)+Q637</f>
        <v>1.3E-6</v>
      </c>
      <c r="V637" s="447" t="str">
        <f t="shared" si="86"/>
        <v>-</v>
      </c>
      <c r="W637" s="448">
        <f>HLOOKUP(Apoio!$P$12,$D$548:$P$649,X637,FALSE)</f>
        <v>0</v>
      </c>
      <c r="X637" s="329">
        <v>90</v>
      </c>
    </row>
    <row r="638" spans="2:24" ht="30.05" customHeight="1" x14ac:dyDescent="0.35">
      <c r="B638" s="204" t="str">
        <f>'CAD_PL_REC-DESP'!E93</f>
        <v>1.2.89</v>
      </c>
      <c r="C638" s="205" t="str">
        <f>IF('CAD_PL_REC-DESP'!F93="","-",'CAD_PL_REC-DESP'!F93)</f>
        <v>-</v>
      </c>
      <c r="D638" s="206">
        <f>SUMIFS(LANÇ_MOV[VALOR LÍQUIDO],LANÇ_MOV[RECEITA OU DESPESA],"Receita",LANÇ_MOV[CONTAS],$C638,LANÇ_MOV[PLANO DE CONTAS],REL_DRE_FINANCEIRO!$B$549,LANÇ_MOV[ANO PAGAMENTO],$B$4,LANÇ_MOV[MÊS PAGAMENTO CORRESPONDENTE],D$6,LANÇ_MOV[EMPRESA],$C$4,LANÇ_MOV[CENTRO DE CUSTOS],$D$4)</f>
        <v>0</v>
      </c>
      <c r="E638" s="206">
        <f>SUMIFS(LANÇ_MOV[VALOR LÍQUIDO],LANÇ_MOV[RECEITA OU DESPESA],"Receita",LANÇ_MOV[CONTAS],$C638,LANÇ_MOV[PLANO DE CONTAS],REL_DRE_FINANCEIRO!$B$549,LANÇ_MOV[ANO PAGAMENTO],$B$4,LANÇ_MOV[MÊS PAGAMENTO CORRESPONDENTE],E$6,LANÇ_MOV[EMPRESA],$C$4,LANÇ_MOV[CENTRO DE CUSTOS],$D$4)</f>
        <v>0</v>
      </c>
      <c r="F638" s="206">
        <f>SUMIFS(LANÇ_MOV[VALOR LÍQUIDO],LANÇ_MOV[RECEITA OU DESPESA],"Receita",LANÇ_MOV[CONTAS],$C638,LANÇ_MOV[PLANO DE CONTAS],REL_DRE_FINANCEIRO!$B$549,LANÇ_MOV[ANO PAGAMENTO],$B$4,LANÇ_MOV[MÊS PAGAMENTO CORRESPONDENTE],F$6,LANÇ_MOV[EMPRESA],$C$4,LANÇ_MOV[CENTRO DE CUSTOS],$D$4)</f>
        <v>0</v>
      </c>
      <c r="G638" s="206">
        <f>SUMIFS(LANÇ_MOV[VALOR LÍQUIDO],LANÇ_MOV[RECEITA OU DESPESA],"Receita",LANÇ_MOV[CONTAS],$C638,LANÇ_MOV[PLANO DE CONTAS],REL_DRE_FINANCEIRO!$B$549,LANÇ_MOV[ANO PAGAMENTO],$B$4,LANÇ_MOV[MÊS PAGAMENTO CORRESPONDENTE],G$6,LANÇ_MOV[EMPRESA],$C$4,LANÇ_MOV[CENTRO DE CUSTOS],$D$4)</f>
        <v>0</v>
      </c>
      <c r="H638" s="206">
        <f>SUMIFS(LANÇ_MOV[VALOR LÍQUIDO],LANÇ_MOV[RECEITA OU DESPESA],"Receita",LANÇ_MOV[CONTAS],$C638,LANÇ_MOV[PLANO DE CONTAS],REL_DRE_FINANCEIRO!$B$549,LANÇ_MOV[ANO PAGAMENTO],$B$4,LANÇ_MOV[MÊS PAGAMENTO CORRESPONDENTE],H$6,LANÇ_MOV[EMPRESA],$C$4,LANÇ_MOV[CENTRO DE CUSTOS],$D$4)</f>
        <v>0</v>
      </c>
      <c r="I638" s="206">
        <f>SUMIFS(LANÇ_MOV[VALOR LÍQUIDO],LANÇ_MOV[RECEITA OU DESPESA],"Receita",LANÇ_MOV[CONTAS],$C638,LANÇ_MOV[PLANO DE CONTAS],REL_DRE_FINANCEIRO!$B$549,LANÇ_MOV[ANO PAGAMENTO],$B$4,LANÇ_MOV[MÊS PAGAMENTO CORRESPONDENTE],I$6,LANÇ_MOV[EMPRESA],$C$4,LANÇ_MOV[CENTRO DE CUSTOS],$D$4)</f>
        <v>0</v>
      </c>
      <c r="J638" s="206">
        <f>SUMIFS(LANÇ_MOV[VALOR LÍQUIDO],LANÇ_MOV[RECEITA OU DESPESA],"Receita",LANÇ_MOV[CONTAS],$C638,LANÇ_MOV[PLANO DE CONTAS],REL_DRE_FINANCEIRO!$B$549,LANÇ_MOV[ANO PAGAMENTO],$B$4,LANÇ_MOV[MÊS PAGAMENTO CORRESPONDENTE],J$6,LANÇ_MOV[EMPRESA],$C$4,LANÇ_MOV[CENTRO DE CUSTOS],$D$4)</f>
        <v>0</v>
      </c>
      <c r="K638" s="206">
        <f>SUMIFS(LANÇ_MOV[VALOR LÍQUIDO],LANÇ_MOV[RECEITA OU DESPESA],"Receita",LANÇ_MOV[CONTAS],$C638,LANÇ_MOV[PLANO DE CONTAS],REL_DRE_FINANCEIRO!$B$549,LANÇ_MOV[ANO PAGAMENTO],$B$4,LANÇ_MOV[MÊS PAGAMENTO CORRESPONDENTE],K$6,LANÇ_MOV[EMPRESA],$C$4,LANÇ_MOV[CENTRO DE CUSTOS],$D$4)</f>
        <v>0</v>
      </c>
      <c r="L638" s="206">
        <f>SUMIFS(LANÇ_MOV[VALOR LÍQUIDO],LANÇ_MOV[RECEITA OU DESPESA],"Receita",LANÇ_MOV[CONTAS],$C638,LANÇ_MOV[PLANO DE CONTAS],REL_DRE_FINANCEIRO!$B$549,LANÇ_MOV[ANO PAGAMENTO],$B$4,LANÇ_MOV[MÊS PAGAMENTO CORRESPONDENTE],L$6,LANÇ_MOV[EMPRESA],$C$4,LANÇ_MOV[CENTRO DE CUSTOS],$D$4)</f>
        <v>0</v>
      </c>
      <c r="M638" s="206">
        <f>SUMIFS(LANÇ_MOV[VALOR LÍQUIDO],LANÇ_MOV[RECEITA OU DESPESA],"Receita",LANÇ_MOV[CONTAS],$C638,LANÇ_MOV[PLANO DE CONTAS],REL_DRE_FINANCEIRO!$B$549,LANÇ_MOV[ANO PAGAMENTO],$B$4,LANÇ_MOV[MÊS PAGAMENTO CORRESPONDENTE],M$6,LANÇ_MOV[EMPRESA],$C$4,LANÇ_MOV[CENTRO DE CUSTOS],$D$4)</f>
        <v>0</v>
      </c>
      <c r="N638" s="206">
        <f>SUMIFS(LANÇ_MOV[VALOR LÍQUIDO],LANÇ_MOV[RECEITA OU DESPESA],"Receita",LANÇ_MOV[CONTAS],$C638,LANÇ_MOV[PLANO DE CONTAS],REL_DRE_FINANCEIRO!$B$549,LANÇ_MOV[ANO PAGAMENTO],$B$4,LANÇ_MOV[MÊS PAGAMENTO CORRESPONDENTE],N$6,LANÇ_MOV[EMPRESA],$C$4,LANÇ_MOV[CENTRO DE CUSTOS],$D$4)</f>
        <v>0</v>
      </c>
      <c r="O638" s="206">
        <f>SUMIFS(LANÇ_MOV[VALOR LÍQUIDO],LANÇ_MOV[RECEITA OU DESPESA],"Receita",LANÇ_MOV[CONTAS],$C638,LANÇ_MOV[PLANO DE CONTAS],REL_DRE_FINANCEIRO!$B$549,LANÇ_MOV[ANO PAGAMENTO],$B$4,LANÇ_MOV[MÊS PAGAMENTO CORRESPONDENTE],O$6,LANÇ_MOV[EMPRESA],$C$4,LANÇ_MOV[CENTRO DE CUSTOS],$D$4)</f>
        <v>0</v>
      </c>
      <c r="P638" s="207">
        <f t="shared" si="82"/>
        <v>0</v>
      </c>
      <c r="Q638" s="329">
        <v>1.1999999999999999E-6</v>
      </c>
      <c r="R638" s="346">
        <f t="shared" si="83"/>
        <v>1.1999999999999999E-6</v>
      </c>
      <c r="S638" s="347" t="str">
        <f t="shared" si="84"/>
        <v>-</v>
      </c>
      <c r="T638" s="347">
        <f t="shared" si="85"/>
        <v>0</v>
      </c>
      <c r="U638" s="347">
        <f>HLOOKUP(Apoio!$P$12,$D$548:$P$649,X638,FALSE)+Q638</f>
        <v>1.1999999999999999E-6</v>
      </c>
      <c r="V638" s="447" t="str">
        <f t="shared" si="86"/>
        <v>-</v>
      </c>
      <c r="W638" s="448">
        <f>HLOOKUP(Apoio!$P$12,$D$548:$P$649,X638,FALSE)</f>
        <v>0</v>
      </c>
      <c r="X638" s="329">
        <v>91</v>
      </c>
    </row>
    <row r="639" spans="2:24" ht="30.05" customHeight="1" x14ac:dyDescent="0.35">
      <c r="B639" s="204" t="str">
        <f>'CAD_PL_REC-DESP'!E94</f>
        <v>1.2.90</v>
      </c>
      <c r="C639" s="205" t="str">
        <f>IF('CAD_PL_REC-DESP'!F94="","-",'CAD_PL_REC-DESP'!F94)</f>
        <v>-</v>
      </c>
      <c r="D639" s="206">
        <f>SUMIFS(LANÇ_MOV[VALOR LÍQUIDO],LANÇ_MOV[RECEITA OU DESPESA],"Receita",LANÇ_MOV[CONTAS],$C639,LANÇ_MOV[PLANO DE CONTAS],REL_DRE_FINANCEIRO!$B$549,LANÇ_MOV[ANO PAGAMENTO],$B$4,LANÇ_MOV[MÊS PAGAMENTO CORRESPONDENTE],D$6,LANÇ_MOV[EMPRESA],$C$4,LANÇ_MOV[CENTRO DE CUSTOS],$D$4)</f>
        <v>0</v>
      </c>
      <c r="E639" s="206">
        <f>SUMIFS(LANÇ_MOV[VALOR LÍQUIDO],LANÇ_MOV[RECEITA OU DESPESA],"Receita",LANÇ_MOV[CONTAS],$C639,LANÇ_MOV[PLANO DE CONTAS],REL_DRE_FINANCEIRO!$B$549,LANÇ_MOV[ANO PAGAMENTO],$B$4,LANÇ_MOV[MÊS PAGAMENTO CORRESPONDENTE],E$6,LANÇ_MOV[EMPRESA],$C$4,LANÇ_MOV[CENTRO DE CUSTOS],$D$4)</f>
        <v>0</v>
      </c>
      <c r="F639" s="206">
        <f>SUMIFS(LANÇ_MOV[VALOR LÍQUIDO],LANÇ_MOV[RECEITA OU DESPESA],"Receita",LANÇ_MOV[CONTAS],$C639,LANÇ_MOV[PLANO DE CONTAS],REL_DRE_FINANCEIRO!$B$549,LANÇ_MOV[ANO PAGAMENTO],$B$4,LANÇ_MOV[MÊS PAGAMENTO CORRESPONDENTE],F$6,LANÇ_MOV[EMPRESA],$C$4,LANÇ_MOV[CENTRO DE CUSTOS],$D$4)</f>
        <v>0</v>
      </c>
      <c r="G639" s="206">
        <f>SUMIFS(LANÇ_MOV[VALOR LÍQUIDO],LANÇ_MOV[RECEITA OU DESPESA],"Receita",LANÇ_MOV[CONTAS],$C639,LANÇ_MOV[PLANO DE CONTAS],REL_DRE_FINANCEIRO!$B$549,LANÇ_MOV[ANO PAGAMENTO],$B$4,LANÇ_MOV[MÊS PAGAMENTO CORRESPONDENTE],G$6,LANÇ_MOV[EMPRESA],$C$4,LANÇ_MOV[CENTRO DE CUSTOS],$D$4)</f>
        <v>0</v>
      </c>
      <c r="H639" s="206">
        <f>SUMIFS(LANÇ_MOV[VALOR LÍQUIDO],LANÇ_MOV[RECEITA OU DESPESA],"Receita",LANÇ_MOV[CONTAS],$C639,LANÇ_MOV[PLANO DE CONTAS],REL_DRE_FINANCEIRO!$B$549,LANÇ_MOV[ANO PAGAMENTO],$B$4,LANÇ_MOV[MÊS PAGAMENTO CORRESPONDENTE],H$6,LANÇ_MOV[EMPRESA],$C$4,LANÇ_MOV[CENTRO DE CUSTOS],$D$4)</f>
        <v>0</v>
      </c>
      <c r="I639" s="206">
        <f>SUMIFS(LANÇ_MOV[VALOR LÍQUIDO],LANÇ_MOV[RECEITA OU DESPESA],"Receita",LANÇ_MOV[CONTAS],$C639,LANÇ_MOV[PLANO DE CONTAS],REL_DRE_FINANCEIRO!$B$549,LANÇ_MOV[ANO PAGAMENTO],$B$4,LANÇ_MOV[MÊS PAGAMENTO CORRESPONDENTE],I$6,LANÇ_MOV[EMPRESA],$C$4,LANÇ_MOV[CENTRO DE CUSTOS],$D$4)</f>
        <v>0</v>
      </c>
      <c r="J639" s="206">
        <f>SUMIFS(LANÇ_MOV[VALOR LÍQUIDO],LANÇ_MOV[RECEITA OU DESPESA],"Receita",LANÇ_MOV[CONTAS],$C639,LANÇ_MOV[PLANO DE CONTAS],REL_DRE_FINANCEIRO!$B$549,LANÇ_MOV[ANO PAGAMENTO],$B$4,LANÇ_MOV[MÊS PAGAMENTO CORRESPONDENTE],J$6,LANÇ_MOV[EMPRESA],$C$4,LANÇ_MOV[CENTRO DE CUSTOS],$D$4)</f>
        <v>0</v>
      </c>
      <c r="K639" s="206">
        <f>SUMIFS(LANÇ_MOV[VALOR LÍQUIDO],LANÇ_MOV[RECEITA OU DESPESA],"Receita",LANÇ_MOV[CONTAS],$C639,LANÇ_MOV[PLANO DE CONTAS],REL_DRE_FINANCEIRO!$B$549,LANÇ_MOV[ANO PAGAMENTO],$B$4,LANÇ_MOV[MÊS PAGAMENTO CORRESPONDENTE],K$6,LANÇ_MOV[EMPRESA],$C$4,LANÇ_MOV[CENTRO DE CUSTOS],$D$4)</f>
        <v>0</v>
      </c>
      <c r="L639" s="206">
        <f>SUMIFS(LANÇ_MOV[VALOR LÍQUIDO],LANÇ_MOV[RECEITA OU DESPESA],"Receita",LANÇ_MOV[CONTAS],$C639,LANÇ_MOV[PLANO DE CONTAS],REL_DRE_FINANCEIRO!$B$549,LANÇ_MOV[ANO PAGAMENTO],$B$4,LANÇ_MOV[MÊS PAGAMENTO CORRESPONDENTE],L$6,LANÇ_MOV[EMPRESA],$C$4,LANÇ_MOV[CENTRO DE CUSTOS],$D$4)</f>
        <v>0</v>
      </c>
      <c r="M639" s="206">
        <f>SUMIFS(LANÇ_MOV[VALOR LÍQUIDO],LANÇ_MOV[RECEITA OU DESPESA],"Receita",LANÇ_MOV[CONTAS],$C639,LANÇ_MOV[PLANO DE CONTAS],REL_DRE_FINANCEIRO!$B$549,LANÇ_MOV[ANO PAGAMENTO],$B$4,LANÇ_MOV[MÊS PAGAMENTO CORRESPONDENTE],M$6,LANÇ_MOV[EMPRESA],$C$4,LANÇ_MOV[CENTRO DE CUSTOS],$D$4)</f>
        <v>0</v>
      </c>
      <c r="N639" s="206">
        <f>SUMIFS(LANÇ_MOV[VALOR LÍQUIDO],LANÇ_MOV[RECEITA OU DESPESA],"Receita",LANÇ_MOV[CONTAS],$C639,LANÇ_MOV[PLANO DE CONTAS],REL_DRE_FINANCEIRO!$B$549,LANÇ_MOV[ANO PAGAMENTO],$B$4,LANÇ_MOV[MÊS PAGAMENTO CORRESPONDENTE],N$6,LANÇ_MOV[EMPRESA],$C$4,LANÇ_MOV[CENTRO DE CUSTOS],$D$4)</f>
        <v>0</v>
      </c>
      <c r="O639" s="206">
        <f>SUMIFS(LANÇ_MOV[VALOR LÍQUIDO],LANÇ_MOV[RECEITA OU DESPESA],"Receita",LANÇ_MOV[CONTAS],$C639,LANÇ_MOV[PLANO DE CONTAS],REL_DRE_FINANCEIRO!$B$549,LANÇ_MOV[ANO PAGAMENTO],$B$4,LANÇ_MOV[MÊS PAGAMENTO CORRESPONDENTE],O$6,LANÇ_MOV[EMPRESA],$C$4,LANÇ_MOV[CENTRO DE CUSTOS],$D$4)</f>
        <v>0</v>
      </c>
      <c r="P639" s="207">
        <f t="shared" si="82"/>
        <v>0</v>
      </c>
      <c r="Q639" s="329">
        <v>1.1000000000000001E-6</v>
      </c>
      <c r="R639" s="346">
        <f t="shared" si="83"/>
        <v>1.1000000000000001E-6</v>
      </c>
      <c r="S639" s="347" t="str">
        <f t="shared" si="84"/>
        <v>-</v>
      </c>
      <c r="T639" s="347">
        <f t="shared" si="85"/>
        <v>0</v>
      </c>
      <c r="U639" s="347">
        <f>HLOOKUP(Apoio!$P$12,$D$548:$P$649,X639,FALSE)+Q639</f>
        <v>1.1000000000000001E-6</v>
      </c>
      <c r="V639" s="447" t="str">
        <f t="shared" si="86"/>
        <v>-</v>
      </c>
      <c r="W639" s="448">
        <f>HLOOKUP(Apoio!$P$12,$D$548:$P$649,X639,FALSE)</f>
        <v>0</v>
      </c>
      <c r="X639" s="329">
        <v>92</v>
      </c>
    </row>
    <row r="640" spans="2:24" ht="30.05" customHeight="1" x14ac:dyDescent="0.35">
      <c r="B640" s="204" t="str">
        <f>'CAD_PL_REC-DESP'!E95</f>
        <v>1.2.91</v>
      </c>
      <c r="C640" s="205" t="str">
        <f>IF('CAD_PL_REC-DESP'!F95="","-",'CAD_PL_REC-DESP'!F95)</f>
        <v>-</v>
      </c>
      <c r="D640" s="206">
        <f>SUMIFS(LANÇ_MOV[VALOR LÍQUIDO],LANÇ_MOV[RECEITA OU DESPESA],"Receita",LANÇ_MOV[CONTAS],$C640,LANÇ_MOV[PLANO DE CONTAS],REL_DRE_FINANCEIRO!$B$549,LANÇ_MOV[ANO PAGAMENTO],$B$4,LANÇ_MOV[MÊS PAGAMENTO CORRESPONDENTE],D$6,LANÇ_MOV[EMPRESA],$C$4,LANÇ_MOV[CENTRO DE CUSTOS],$D$4)</f>
        <v>0</v>
      </c>
      <c r="E640" s="206">
        <f>SUMIFS(LANÇ_MOV[VALOR LÍQUIDO],LANÇ_MOV[RECEITA OU DESPESA],"Receita",LANÇ_MOV[CONTAS],$C640,LANÇ_MOV[PLANO DE CONTAS],REL_DRE_FINANCEIRO!$B$549,LANÇ_MOV[ANO PAGAMENTO],$B$4,LANÇ_MOV[MÊS PAGAMENTO CORRESPONDENTE],E$6,LANÇ_MOV[EMPRESA],$C$4,LANÇ_MOV[CENTRO DE CUSTOS],$D$4)</f>
        <v>0</v>
      </c>
      <c r="F640" s="206">
        <f>SUMIFS(LANÇ_MOV[VALOR LÍQUIDO],LANÇ_MOV[RECEITA OU DESPESA],"Receita",LANÇ_MOV[CONTAS],$C640,LANÇ_MOV[PLANO DE CONTAS],REL_DRE_FINANCEIRO!$B$549,LANÇ_MOV[ANO PAGAMENTO],$B$4,LANÇ_MOV[MÊS PAGAMENTO CORRESPONDENTE],F$6,LANÇ_MOV[EMPRESA],$C$4,LANÇ_MOV[CENTRO DE CUSTOS],$D$4)</f>
        <v>0</v>
      </c>
      <c r="G640" s="206">
        <f>SUMIFS(LANÇ_MOV[VALOR LÍQUIDO],LANÇ_MOV[RECEITA OU DESPESA],"Receita",LANÇ_MOV[CONTAS],$C640,LANÇ_MOV[PLANO DE CONTAS],REL_DRE_FINANCEIRO!$B$549,LANÇ_MOV[ANO PAGAMENTO],$B$4,LANÇ_MOV[MÊS PAGAMENTO CORRESPONDENTE],G$6,LANÇ_MOV[EMPRESA],$C$4,LANÇ_MOV[CENTRO DE CUSTOS],$D$4)</f>
        <v>0</v>
      </c>
      <c r="H640" s="206">
        <f>SUMIFS(LANÇ_MOV[VALOR LÍQUIDO],LANÇ_MOV[RECEITA OU DESPESA],"Receita",LANÇ_MOV[CONTAS],$C640,LANÇ_MOV[PLANO DE CONTAS],REL_DRE_FINANCEIRO!$B$549,LANÇ_MOV[ANO PAGAMENTO],$B$4,LANÇ_MOV[MÊS PAGAMENTO CORRESPONDENTE],H$6,LANÇ_MOV[EMPRESA],$C$4,LANÇ_MOV[CENTRO DE CUSTOS],$D$4)</f>
        <v>0</v>
      </c>
      <c r="I640" s="206">
        <f>SUMIFS(LANÇ_MOV[VALOR LÍQUIDO],LANÇ_MOV[RECEITA OU DESPESA],"Receita",LANÇ_MOV[CONTAS],$C640,LANÇ_MOV[PLANO DE CONTAS],REL_DRE_FINANCEIRO!$B$549,LANÇ_MOV[ANO PAGAMENTO],$B$4,LANÇ_MOV[MÊS PAGAMENTO CORRESPONDENTE],I$6,LANÇ_MOV[EMPRESA],$C$4,LANÇ_MOV[CENTRO DE CUSTOS],$D$4)</f>
        <v>0</v>
      </c>
      <c r="J640" s="206">
        <f>SUMIFS(LANÇ_MOV[VALOR LÍQUIDO],LANÇ_MOV[RECEITA OU DESPESA],"Receita",LANÇ_MOV[CONTAS],$C640,LANÇ_MOV[PLANO DE CONTAS],REL_DRE_FINANCEIRO!$B$549,LANÇ_MOV[ANO PAGAMENTO],$B$4,LANÇ_MOV[MÊS PAGAMENTO CORRESPONDENTE],J$6,LANÇ_MOV[EMPRESA],$C$4,LANÇ_MOV[CENTRO DE CUSTOS],$D$4)</f>
        <v>0</v>
      </c>
      <c r="K640" s="206">
        <f>SUMIFS(LANÇ_MOV[VALOR LÍQUIDO],LANÇ_MOV[RECEITA OU DESPESA],"Receita",LANÇ_MOV[CONTAS],$C640,LANÇ_MOV[PLANO DE CONTAS],REL_DRE_FINANCEIRO!$B$549,LANÇ_MOV[ANO PAGAMENTO],$B$4,LANÇ_MOV[MÊS PAGAMENTO CORRESPONDENTE],K$6,LANÇ_MOV[EMPRESA],$C$4,LANÇ_MOV[CENTRO DE CUSTOS],$D$4)</f>
        <v>0</v>
      </c>
      <c r="L640" s="206">
        <f>SUMIFS(LANÇ_MOV[VALOR LÍQUIDO],LANÇ_MOV[RECEITA OU DESPESA],"Receita",LANÇ_MOV[CONTAS],$C640,LANÇ_MOV[PLANO DE CONTAS],REL_DRE_FINANCEIRO!$B$549,LANÇ_MOV[ANO PAGAMENTO],$B$4,LANÇ_MOV[MÊS PAGAMENTO CORRESPONDENTE],L$6,LANÇ_MOV[EMPRESA],$C$4,LANÇ_MOV[CENTRO DE CUSTOS],$D$4)</f>
        <v>0</v>
      </c>
      <c r="M640" s="206">
        <f>SUMIFS(LANÇ_MOV[VALOR LÍQUIDO],LANÇ_MOV[RECEITA OU DESPESA],"Receita",LANÇ_MOV[CONTAS],$C640,LANÇ_MOV[PLANO DE CONTAS],REL_DRE_FINANCEIRO!$B$549,LANÇ_MOV[ANO PAGAMENTO],$B$4,LANÇ_MOV[MÊS PAGAMENTO CORRESPONDENTE],M$6,LANÇ_MOV[EMPRESA],$C$4,LANÇ_MOV[CENTRO DE CUSTOS],$D$4)</f>
        <v>0</v>
      </c>
      <c r="N640" s="206">
        <f>SUMIFS(LANÇ_MOV[VALOR LÍQUIDO],LANÇ_MOV[RECEITA OU DESPESA],"Receita",LANÇ_MOV[CONTAS],$C640,LANÇ_MOV[PLANO DE CONTAS],REL_DRE_FINANCEIRO!$B$549,LANÇ_MOV[ANO PAGAMENTO],$B$4,LANÇ_MOV[MÊS PAGAMENTO CORRESPONDENTE],N$6,LANÇ_MOV[EMPRESA],$C$4,LANÇ_MOV[CENTRO DE CUSTOS],$D$4)</f>
        <v>0</v>
      </c>
      <c r="O640" s="206">
        <f>SUMIFS(LANÇ_MOV[VALOR LÍQUIDO],LANÇ_MOV[RECEITA OU DESPESA],"Receita",LANÇ_MOV[CONTAS],$C640,LANÇ_MOV[PLANO DE CONTAS],REL_DRE_FINANCEIRO!$B$549,LANÇ_MOV[ANO PAGAMENTO],$B$4,LANÇ_MOV[MÊS PAGAMENTO CORRESPONDENTE],O$6,LANÇ_MOV[EMPRESA],$C$4,LANÇ_MOV[CENTRO DE CUSTOS],$D$4)</f>
        <v>0</v>
      </c>
      <c r="P640" s="207">
        <f t="shared" si="82"/>
        <v>0</v>
      </c>
      <c r="Q640" s="329">
        <v>9.9999999999999995E-7</v>
      </c>
      <c r="R640" s="346">
        <f t="shared" si="83"/>
        <v>9.9999999999999995E-7</v>
      </c>
      <c r="S640" s="347" t="str">
        <f t="shared" si="84"/>
        <v>-</v>
      </c>
      <c r="T640" s="347">
        <f t="shared" si="85"/>
        <v>0</v>
      </c>
      <c r="U640" s="347">
        <f>HLOOKUP(Apoio!$P$12,$D$548:$P$649,X640,FALSE)+Q640</f>
        <v>9.9999999999999995E-7</v>
      </c>
      <c r="V640" s="447" t="str">
        <f t="shared" si="86"/>
        <v>-</v>
      </c>
      <c r="W640" s="448">
        <f>HLOOKUP(Apoio!$P$12,$D$548:$P$649,X640,FALSE)</f>
        <v>0</v>
      </c>
      <c r="X640" s="329">
        <v>93</v>
      </c>
    </row>
    <row r="641" spans="2:27" ht="30.05" customHeight="1" x14ac:dyDescent="0.35">
      <c r="B641" s="204" t="str">
        <f>'CAD_PL_REC-DESP'!E96</f>
        <v>1.2.92</v>
      </c>
      <c r="C641" s="205" t="str">
        <f>IF('CAD_PL_REC-DESP'!F96="","-",'CAD_PL_REC-DESP'!F96)</f>
        <v>-</v>
      </c>
      <c r="D641" s="206">
        <f>SUMIFS(LANÇ_MOV[VALOR LÍQUIDO],LANÇ_MOV[RECEITA OU DESPESA],"Receita",LANÇ_MOV[CONTAS],$C641,LANÇ_MOV[PLANO DE CONTAS],REL_DRE_FINANCEIRO!$B$549,LANÇ_MOV[ANO PAGAMENTO],$B$4,LANÇ_MOV[MÊS PAGAMENTO CORRESPONDENTE],D$6,LANÇ_MOV[EMPRESA],$C$4,LANÇ_MOV[CENTRO DE CUSTOS],$D$4)</f>
        <v>0</v>
      </c>
      <c r="E641" s="206">
        <f>SUMIFS(LANÇ_MOV[VALOR LÍQUIDO],LANÇ_MOV[RECEITA OU DESPESA],"Receita",LANÇ_MOV[CONTAS],$C641,LANÇ_MOV[PLANO DE CONTAS],REL_DRE_FINANCEIRO!$B$549,LANÇ_MOV[ANO PAGAMENTO],$B$4,LANÇ_MOV[MÊS PAGAMENTO CORRESPONDENTE],E$6,LANÇ_MOV[EMPRESA],$C$4,LANÇ_MOV[CENTRO DE CUSTOS],$D$4)</f>
        <v>0</v>
      </c>
      <c r="F641" s="206">
        <f>SUMIFS(LANÇ_MOV[VALOR LÍQUIDO],LANÇ_MOV[RECEITA OU DESPESA],"Receita",LANÇ_MOV[CONTAS],$C641,LANÇ_MOV[PLANO DE CONTAS],REL_DRE_FINANCEIRO!$B$549,LANÇ_MOV[ANO PAGAMENTO],$B$4,LANÇ_MOV[MÊS PAGAMENTO CORRESPONDENTE],F$6,LANÇ_MOV[EMPRESA],$C$4,LANÇ_MOV[CENTRO DE CUSTOS],$D$4)</f>
        <v>0</v>
      </c>
      <c r="G641" s="206">
        <f>SUMIFS(LANÇ_MOV[VALOR LÍQUIDO],LANÇ_MOV[RECEITA OU DESPESA],"Receita",LANÇ_MOV[CONTAS],$C641,LANÇ_MOV[PLANO DE CONTAS],REL_DRE_FINANCEIRO!$B$549,LANÇ_MOV[ANO PAGAMENTO],$B$4,LANÇ_MOV[MÊS PAGAMENTO CORRESPONDENTE],G$6,LANÇ_MOV[EMPRESA],$C$4,LANÇ_MOV[CENTRO DE CUSTOS],$D$4)</f>
        <v>0</v>
      </c>
      <c r="H641" s="206">
        <f>SUMIFS(LANÇ_MOV[VALOR LÍQUIDO],LANÇ_MOV[RECEITA OU DESPESA],"Receita",LANÇ_MOV[CONTAS],$C641,LANÇ_MOV[PLANO DE CONTAS],REL_DRE_FINANCEIRO!$B$549,LANÇ_MOV[ANO PAGAMENTO],$B$4,LANÇ_MOV[MÊS PAGAMENTO CORRESPONDENTE],H$6,LANÇ_MOV[EMPRESA],$C$4,LANÇ_MOV[CENTRO DE CUSTOS],$D$4)</f>
        <v>0</v>
      </c>
      <c r="I641" s="206">
        <f>SUMIFS(LANÇ_MOV[VALOR LÍQUIDO],LANÇ_MOV[RECEITA OU DESPESA],"Receita",LANÇ_MOV[CONTAS],$C641,LANÇ_MOV[PLANO DE CONTAS],REL_DRE_FINANCEIRO!$B$549,LANÇ_MOV[ANO PAGAMENTO],$B$4,LANÇ_MOV[MÊS PAGAMENTO CORRESPONDENTE],I$6,LANÇ_MOV[EMPRESA],$C$4,LANÇ_MOV[CENTRO DE CUSTOS],$D$4)</f>
        <v>0</v>
      </c>
      <c r="J641" s="206">
        <f>SUMIFS(LANÇ_MOV[VALOR LÍQUIDO],LANÇ_MOV[RECEITA OU DESPESA],"Receita",LANÇ_MOV[CONTAS],$C641,LANÇ_MOV[PLANO DE CONTAS],REL_DRE_FINANCEIRO!$B$549,LANÇ_MOV[ANO PAGAMENTO],$B$4,LANÇ_MOV[MÊS PAGAMENTO CORRESPONDENTE],J$6,LANÇ_MOV[EMPRESA],$C$4,LANÇ_MOV[CENTRO DE CUSTOS],$D$4)</f>
        <v>0</v>
      </c>
      <c r="K641" s="206">
        <f>SUMIFS(LANÇ_MOV[VALOR LÍQUIDO],LANÇ_MOV[RECEITA OU DESPESA],"Receita",LANÇ_MOV[CONTAS],$C641,LANÇ_MOV[PLANO DE CONTAS],REL_DRE_FINANCEIRO!$B$549,LANÇ_MOV[ANO PAGAMENTO],$B$4,LANÇ_MOV[MÊS PAGAMENTO CORRESPONDENTE],K$6,LANÇ_MOV[EMPRESA],$C$4,LANÇ_MOV[CENTRO DE CUSTOS],$D$4)</f>
        <v>0</v>
      </c>
      <c r="L641" s="206">
        <f>SUMIFS(LANÇ_MOV[VALOR LÍQUIDO],LANÇ_MOV[RECEITA OU DESPESA],"Receita",LANÇ_MOV[CONTAS],$C641,LANÇ_MOV[PLANO DE CONTAS],REL_DRE_FINANCEIRO!$B$549,LANÇ_MOV[ANO PAGAMENTO],$B$4,LANÇ_MOV[MÊS PAGAMENTO CORRESPONDENTE],L$6,LANÇ_MOV[EMPRESA],$C$4,LANÇ_MOV[CENTRO DE CUSTOS],$D$4)</f>
        <v>0</v>
      </c>
      <c r="M641" s="206">
        <f>SUMIFS(LANÇ_MOV[VALOR LÍQUIDO],LANÇ_MOV[RECEITA OU DESPESA],"Receita",LANÇ_MOV[CONTAS],$C641,LANÇ_MOV[PLANO DE CONTAS],REL_DRE_FINANCEIRO!$B$549,LANÇ_MOV[ANO PAGAMENTO],$B$4,LANÇ_MOV[MÊS PAGAMENTO CORRESPONDENTE],M$6,LANÇ_MOV[EMPRESA],$C$4,LANÇ_MOV[CENTRO DE CUSTOS],$D$4)</f>
        <v>0</v>
      </c>
      <c r="N641" s="206">
        <f>SUMIFS(LANÇ_MOV[VALOR LÍQUIDO],LANÇ_MOV[RECEITA OU DESPESA],"Receita",LANÇ_MOV[CONTAS],$C641,LANÇ_MOV[PLANO DE CONTAS],REL_DRE_FINANCEIRO!$B$549,LANÇ_MOV[ANO PAGAMENTO],$B$4,LANÇ_MOV[MÊS PAGAMENTO CORRESPONDENTE],N$6,LANÇ_MOV[EMPRESA],$C$4,LANÇ_MOV[CENTRO DE CUSTOS],$D$4)</f>
        <v>0</v>
      </c>
      <c r="O641" s="206">
        <f>SUMIFS(LANÇ_MOV[VALOR LÍQUIDO],LANÇ_MOV[RECEITA OU DESPESA],"Receita",LANÇ_MOV[CONTAS],$C641,LANÇ_MOV[PLANO DE CONTAS],REL_DRE_FINANCEIRO!$B$549,LANÇ_MOV[ANO PAGAMENTO],$B$4,LANÇ_MOV[MÊS PAGAMENTO CORRESPONDENTE],O$6,LANÇ_MOV[EMPRESA],$C$4,LANÇ_MOV[CENTRO DE CUSTOS],$D$4)</f>
        <v>0</v>
      </c>
      <c r="P641" s="207">
        <f t="shared" si="82"/>
        <v>0</v>
      </c>
      <c r="Q641" s="329">
        <v>8.9999999999999996E-7</v>
      </c>
      <c r="R641" s="346">
        <f t="shared" si="83"/>
        <v>8.9999999999999996E-7</v>
      </c>
      <c r="S641" s="347" t="str">
        <f t="shared" si="84"/>
        <v>-</v>
      </c>
      <c r="T641" s="347">
        <f t="shared" si="85"/>
        <v>0</v>
      </c>
      <c r="U641" s="347">
        <f>HLOOKUP(Apoio!$P$12,$D$548:$P$649,X641,FALSE)+Q641</f>
        <v>8.9999999999999996E-7</v>
      </c>
      <c r="V641" s="447" t="str">
        <f t="shared" si="86"/>
        <v>-</v>
      </c>
      <c r="W641" s="448">
        <f>HLOOKUP(Apoio!$P$12,$D$548:$P$649,X641,FALSE)</f>
        <v>0</v>
      </c>
      <c r="X641" s="329">
        <v>94</v>
      </c>
    </row>
    <row r="642" spans="2:27" ht="30.05" customHeight="1" x14ac:dyDescent="0.35">
      <c r="B642" s="204" t="str">
        <f>'CAD_PL_REC-DESP'!E97</f>
        <v>1.2.93</v>
      </c>
      <c r="C642" s="205" t="str">
        <f>IF('CAD_PL_REC-DESP'!F97="","-",'CAD_PL_REC-DESP'!F97)</f>
        <v>-</v>
      </c>
      <c r="D642" s="206">
        <f>SUMIFS(LANÇ_MOV[VALOR LÍQUIDO],LANÇ_MOV[RECEITA OU DESPESA],"Receita",LANÇ_MOV[CONTAS],$C642,LANÇ_MOV[PLANO DE CONTAS],REL_DRE_FINANCEIRO!$B$549,LANÇ_MOV[ANO PAGAMENTO],$B$4,LANÇ_MOV[MÊS PAGAMENTO CORRESPONDENTE],D$6,LANÇ_MOV[EMPRESA],$C$4,LANÇ_MOV[CENTRO DE CUSTOS],$D$4)</f>
        <v>0</v>
      </c>
      <c r="E642" s="206">
        <f>SUMIFS(LANÇ_MOV[VALOR LÍQUIDO],LANÇ_MOV[RECEITA OU DESPESA],"Receita",LANÇ_MOV[CONTAS],$C642,LANÇ_MOV[PLANO DE CONTAS],REL_DRE_FINANCEIRO!$B$549,LANÇ_MOV[ANO PAGAMENTO],$B$4,LANÇ_MOV[MÊS PAGAMENTO CORRESPONDENTE],E$6,LANÇ_MOV[EMPRESA],$C$4,LANÇ_MOV[CENTRO DE CUSTOS],$D$4)</f>
        <v>0</v>
      </c>
      <c r="F642" s="206">
        <f>SUMIFS(LANÇ_MOV[VALOR LÍQUIDO],LANÇ_MOV[RECEITA OU DESPESA],"Receita",LANÇ_MOV[CONTAS],$C642,LANÇ_MOV[PLANO DE CONTAS],REL_DRE_FINANCEIRO!$B$549,LANÇ_MOV[ANO PAGAMENTO],$B$4,LANÇ_MOV[MÊS PAGAMENTO CORRESPONDENTE],F$6,LANÇ_MOV[EMPRESA],$C$4,LANÇ_MOV[CENTRO DE CUSTOS],$D$4)</f>
        <v>0</v>
      </c>
      <c r="G642" s="206">
        <f>SUMIFS(LANÇ_MOV[VALOR LÍQUIDO],LANÇ_MOV[RECEITA OU DESPESA],"Receita",LANÇ_MOV[CONTAS],$C642,LANÇ_MOV[PLANO DE CONTAS],REL_DRE_FINANCEIRO!$B$549,LANÇ_MOV[ANO PAGAMENTO],$B$4,LANÇ_MOV[MÊS PAGAMENTO CORRESPONDENTE],G$6,LANÇ_MOV[EMPRESA],$C$4,LANÇ_MOV[CENTRO DE CUSTOS],$D$4)</f>
        <v>0</v>
      </c>
      <c r="H642" s="206">
        <f>SUMIFS(LANÇ_MOV[VALOR LÍQUIDO],LANÇ_MOV[RECEITA OU DESPESA],"Receita",LANÇ_MOV[CONTAS],$C642,LANÇ_MOV[PLANO DE CONTAS],REL_DRE_FINANCEIRO!$B$549,LANÇ_MOV[ANO PAGAMENTO],$B$4,LANÇ_MOV[MÊS PAGAMENTO CORRESPONDENTE],H$6,LANÇ_MOV[EMPRESA],$C$4,LANÇ_MOV[CENTRO DE CUSTOS],$D$4)</f>
        <v>0</v>
      </c>
      <c r="I642" s="206">
        <f>SUMIFS(LANÇ_MOV[VALOR LÍQUIDO],LANÇ_MOV[RECEITA OU DESPESA],"Receita",LANÇ_MOV[CONTAS],$C642,LANÇ_MOV[PLANO DE CONTAS],REL_DRE_FINANCEIRO!$B$549,LANÇ_MOV[ANO PAGAMENTO],$B$4,LANÇ_MOV[MÊS PAGAMENTO CORRESPONDENTE],I$6,LANÇ_MOV[EMPRESA],$C$4,LANÇ_MOV[CENTRO DE CUSTOS],$D$4)</f>
        <v>0</v>
      </c>
      <c r="J642" s="206">
        <f>SUMIFS(LANÇ_MOV[VALOR LÍQUIDO],LANÇ_MOV[RECEITA OU DESPESA],"Receita",LANÇ_MOV[CONTAS],$C642,LANÇ_MOV[PLANO DE CONTAS],REL_DRE_FINANCEIRO!$B$549,LANÇ_MOV[ANO PAGAMENTO],$B$4,LANÇ_MOV[MÊS PAGAMENTO CORRESPONDENTE],J$6,LANÇ_MOV[EMPRESA],$C$4,LANÇ_MOV[CENTRO DE CUSTOS],$D$4)</f>
        <v>0</v>
      </c>
      <c r="K642" s="206">
        <f>SUMIFS(LANÇ_MOV[VALOR LÍQUIDO],LANÇ_MOV[RECEITA OU DESPESA],"Receita",LANÇ_MOV[CONTAS],$C642,LANÇ_MOV[PLANO DE CONTAS],REL_DRE_FINANCEIRO!$B$549,LANÇ_MOV[ANO PAGAMENTO],$B$4,LANÇ_MOV[MÊS PAGAMENTO CORRESPONDENTE],K$6,LANÇ_MOV[EMPRESA],$C$4,LANÇ_MOV[CENTRO DE CUSTOS],$D$4)</f>
        <v>0</v>
      </c>
      <c r="L642" s="206">
        <f>SUMIFS(LANÇ_MOV[VALOR LÍQUIDO],LANÇ_MOV[RECEITA OU DESPESA],"Receita",LANÇ_MOV[CONTAS],$C642,LANÇ_MOV[PLANO DE CONTAS],REL_DRE_FINANCEIRO!$B$549,LANÇ_MOV[ANO PAGAMENTO],$B$4,LANÇ_MOV[MÊS PAGAMENTO CORRESPONDENTE],L$6,LANÇ_MOV[EMPRESA],$C$4,LANÇ_MOV[CENTRO DE CUSTOS],$D$4)</f>
        <v>0</v>
      </c>
      <c r="M642" s="206">
        <f>SUMIFS(LANÇ_MOV[VALOR LÍQUIDO],LANÇ_MOV[RECEITA OU DESPESA],"Receita",LANÇ_MOV[CONTAS],$C642,LANÇ_MOV[PLANO DE CONTAS],REL_DRE_FINANCEIRO!$B$549,LANÇ_MOV[ANO PAGAMENTO],$B$4,LANÇ_MOV[MÊS PAGAMENTO CORRESPONDENTE],M$6,LANÇ_MOV[EMPRESA],$C$4,LANÇ_MOV[CENTRO DE CUSTOS],$D$4)</f>
        <v>0</v>
      </c>
      <c r="N642" s="206">
        <f>SUMIFS(LANÇ_MOV[VALOR LÍQUIDO],LANÇ_MOV[RECEITA OU DESPESA],"Receita",LANÇ_MOV[CONTAS],$C642,LANÇ_MOV[PLANO DE CONTAS],REL_DRE_FINANCEIRO!$B$549,LANÇ_MOV[ANO PAGAMENTO],$B$4,LANÇ_MOV[MÊS PAGAMENTO CORRESPONDENTE],N$6,LANÇ_MOV[EMPRESA],$C$4,LANÇ_MOV[CENTRO DE CUSTOS],$D$4)</f>
        <v>0</v>
      </c>
      <c r="O642" s="206">
        <f>SUMIFS(LANÇ_MOV[VALOR LÍQUIDO],LANÇ_MOV[RECEITA OU DESPESA],"Receita",LANÇ_MOV[CONTAS],$C642,LANÇ_MOV[PLANO DE CONTAS],REL_DRE_FINANCEIRO!$B$549,LANÇ_MOV[ANO PAGAMENTO],$B$4,LANÇ_MOV[MÊS PAGAMENTO CORRESPONDENTE],O$6,LANÇ_MOV[EMPRESA],$C$4,LANÇ_MOV[CENTRO DE CUSTOS],$D$4)</f>
        <v>0</v>
      </c>
      <c r="P642" s="207">
        <f t="shared" si="82"/>
        <v>0</v>
      </c>
      <c r="Q642" s="329">
        <v>7.9999999999999996E-7</v>
      </c>
      <c r="R642" s="346">
        <f t="shared" si="83"/>
        <v>7.9999999999999996E-7</v>
      </c>
      <c r="S642" s="347" t="str">
        <f t="shared" si="84"/>
        <v>-</v>
      </c>
      <c r="T642" s="347">
        <f t="shared" si="85"/>
        <v>0</v>
      </c>
      <c r="U642" s="347">
        <f>HLOOKUP(Apoio!$P$12,$D$548:$P$649,X642,FALSE)+Q642</f>
        <v>7.9999999999999996E-7</v>
      </c>
      <c r="V642" s="447" t="str">
        <f t="shared" si="86"/>
        <v>-</v>
      </c>
      <c r="W642" s="448">
        <f>HLOOKUP(Apoio!$P$12,$D$548:$P$649,X642,FALSE)</f>
        <v>0</v>
      </c>
      <c r="X642" s="329">
        <v>95</v>
      </c>
    </row>
    <row r="643" spans="2:27" ht="30.05" customHeight="1" x14ac:dyDescent="0.35">
      <c r="B643" s="204" t="str">
        <f>'CAD_PL_REC-DESP'!E98</f>
        <v>1.2.94</v>
      </c>
      <c r="C643" s="205" t="str">
        <f>IF('CAD_PL_REC-DESP'!F98="","-",'CAD_PL_REC-DESP'!F98)</f>
        <v>-</v>
      </c>
      <c r="D643" s="206">
        <f>SUMIFS(LANÇ_MOV[VALOR LÍQUIDO],LANÇ_MOV[RECEITA OU DESPESA],"Receita",LANÇ_MOV[CONTAS],$C643,LANÇ_MOV[PLANO DE CONTAS],REL_DRE_FINANCEIRO!$B$549,LANÇ_MOV[ANO PAGAMENTO],$B$4,LANÇ_MOV[MÊS PAGAMENTO CORRESPONDENTE],D$6,LANÇ_MOV[EMPRESA],$C$4,LANÇ_MOV[CENTRO DE CUSTOS],$D$4)</f>
        <v>0</v>
      </c>
      <c r="E643" s="206">
        <f>SUMIFS(LANÇ_MOV[VALOR LÍQUIDO],LANÇ_MOV[RECEITA OU DESPESA],"Receita",LANÇ_MOV[CONTAS],$C643,LANÇ_MOV[PLANO DE CONTAS],REL_DRE_FINANCEIRO!$B$549,LANÇ_MOV[ANO PAGAMENTO],$B$4,LANÇ_MOV[MÊS PAGAMENTO CORRESPONDENTE],E$6,LANÇ_MOV[EMPRESA],$C$4,LANÇ_MOV[CENTRO DE CUSTOS],$D$4)</f>
        <v>0</v>
      </c>
      <c r="F643" s="206">
        <f>SUMIFS(LANÇ_MOV[VALOR LÍQUIDO],LANÇ_MOV[RECEITA OU DESPESA],"Receita",LANÇ_MOV[CONTAS],$C643,LANÇ_MOV[PLANO DE CONTAS],REL_DRE_FINANCEIRO!$B$549,LANÇ_MOV[ANO PAGAMENTO],$B$4,LANÇ_MOV[MÊS PAGAMENTO CORRESPONDENTE],F$6,LANÇ_MOV[EMPRESA],$C$4,LANÇ_MOV[CENTRO DE CUSTOS],$D$4)</f>
        <v>0</v>
      </c>
      <c r="G643" s="206">
        <f>SUMIFS(LANÇ_MOV[VALOR LÍQUIDO],LANÇ_MOV[RECEITA OU DESPESA],"Receita",LANÇ_MOV[CONTAS],$C643,LANÇ_MOV[PLANO DE CONTAS],REL_DRE_FINANCEIRO!$B$549,LANÇ_MOV[ANO PAGAMENTO],$B$4,LANÇ_MOV[MÊS PAGAMENTO CORRESPONDENTE],G$6,LANÇ_MOV[EMPRESA],$C$4,LANÇ_MOV[CENTRO DE CUSTOS],$D$4)</f>
        <v>0</v>
      </c>
      <c r="H643" s="206">
        <f>SUMIFS(LANÇ_MOV[VALOR LÍQUIDO],LANÇ_MOV[RECEITA OU DESPESA],"Receita",LANÇ_MOV[CONTAS],$C643,LANÇ_MOV[PLANO DE CONTAS],REL_DRE_FINANCEIRO!$B$549,LANÇ_MOV[ANO PAGAMENTO],$B$4,LANÇ_MOV[MÊS PAGAMENTO CORRESPONDENTE],H$6,LANÇ_MOV[EMPRESA],$C$4,LANÇ_MOV[CENTRO DE CUSTOS],$D$4)</f>
        <v>0</v>
      </c>
      <c r="I643" s="206">
        <f>SUMIFS(LANÇ_MOV[VALOR LÍQUIDO],LANÇ_MOV[RECEITA OU DESPESA],"Receita",LANÇ_MOV[CONTAS],$C643,LANÇ_MOV[PLANO DE CONTAS],REL_DRE_FINANCEIRO!$B$549,LANÇ_MOV[ANO PAGAMENTO],$B$4,LANÇ_MOV[MÊS PAGAMENTO CORRESPONDENTE],I$6,LANÇ_MOV[EMPRESA],$C$4,LANÇ_MOV[CENTRO DE CUSTOS],$D$4)</f>
        <v>0</v>
      </c>
      <c r="J643" s="206">
        <f>SUMIFS(LANÇ_MOV[VALOR LÍQUIDO],LANÇ_MOV[RECEITA OU DESPESA],"Receita",LANÇ_MOV[CONTAS],$C643,LANÇ_MOV[PLANO DE CONTAS],REL_DRE_FINANCEIRO!$B$549,LANÇ_MOV[ANO PAGAMENTO],$B$4,LANÇ_MOV[MÊS PAGAMENTO CORRESPONDENTE],J$6,LANÇ_MOV[EMPRESA],$C$4,LANÇ_MOV[CENTRO DE CUSTOS],$D$4)</f>
        <v>0</v>
      </c>
      <c r="K643" s="206">
        <f>SUMIFS(LANÇ_MOV[VALOR LÍQUIDO],LANÇ_MOV[RECEITA OU DESPESA],"Receita",LANÇ_MOV[CONTAS],$C643,LANÇ_MOV[PLANO DE CONTAS],REL_DRE_FINANCEIRO!$B$549,LANÇ_MOV[ANO PAGAMENTO],$B$4,LANÇ_MOV[MÊS PAGAMENTO CORRESPONDENTE],K$6,LANÇ_MOV[EMPRESA],$C$4,LANÇ_MOV[CENTRO DE CUSTOS],$D$4)</f>
        <v>0</v>
      </c>
      <c r="L643" s="206">
        <f>SUMIFS(LANÇ_MOV[VALOR LÍQUIDO],LANÇ_MOV[RECEITA OU DESPESA],"Receita",LANÇ_MOV[CONTAS],$C643,LANÇ_MOV[PLANO DE CONTAS],REL_DRE_FINANCEIRO!$B$549,LANÇ_MOV[ANO PAGAMENTO],$B$4,LANÇ_MOV[MÊS PAGAMENTO CORRESPONDENTE],L$6,LANÇ_MOV[EMPRESA],$C$4,LANÇ_MOV[CENTRO DE CUSTOS],$D$4)</f>
        <v>0</v>
      </c>
      <c r="M643" s="206">
        <f>SUMIFS(LANÇ_MOV[VALOR LÍQUIDO],LANÇ_MOV[RECEITA OU DESPESA],"Receita",LANÇ_MOV[CONTAS],$C643,LANÇ_MOV[PLANO DE CONTAS],REL_DRE_FINANCEIRO!$B$549,LANÇ_MOV[ANO PAGAMENTO],$B$4,LANÇ_MOV[MÊS PAGAMENTO CORRESPONDENTE],M$6,LANÇ_MOV[EMPRESA],$C$4,LANÇ_MOV[CENTRO DE CUSTOS],$D$4)</f>
        <v>0</v>
      </c>
      <c r="N643" s="206">
        <f>SUMIFS(LANÇ_MOV[VALOR LÍQUIDO],LANÇ_MOV[RECEITA OU DESPESA],"Receita",LANÇ_MOV[CONTAS],$C643,LANÇ_MOV[PLANO DE CONTAS],REL_DRE_FINANCEIRO!$B$549,LANÇ_MOV[ANO PAGAMENTO],$B$4,LANÇ_MOV[MÊS PAGAMENTO CORRESPONDENTE],N$6,LANÇ_MOV[EMPRESA],$C$4,LANÇ_MOV[CENTRO DE CUSTOS],$D$4)</f>
        <v>0</v>
      </c>
      <c r="O643" s="206">
        <f>SUMIFS(LANÇ_MOV[VALOR LÍQUIDO],LANÇ_MOV[RECEITA OU DESPESA],"Receita",LANÇ_MOV[CONTAS],$C643,LANÇ_MOV[PLANO DE CONTAS],REL_DRE_FINANCEIRO!$B$549,LANÇ_MOV[ANO PAGAMENTO],$B$4,LANÇ_MOV[MÊS PAGAMENTO CORRESPONDENTE],O$6,LANÇ_MOV[EMPRESA],$C$4,LANÇ_MOV[CENTRO DE CUSTOS],$D$4)</f>
        <v>0</v>
      </c>
      <c r="P643" s="207">
        <f t="shared" si="82"/>
        <v>0</v>
      </c>
      <c r="Q643" s="329">
        <v>6.9999999999999997E-7</v>
      </c>
      <c r="R643" s="346">
        <f t="shared" si="83"/>
        <v>6.9999999999999997E-7</v>
      </c>
      <c r="S643" s="347" t="str">
        <f t="shared" si="84"/>
        <v>-</v>
      </c>
      <c r="T643" s="347">
        <f t="shared" si="85"/>
        <v>0</v>
      </c>
      <c r="U643" s="347">
        <f>HLOOKUP(Apoio!$P$12,$D$548:$P$649,X643,FALSE)+Q643</f>
        <v>6.9999999999999997E-7</v>
      </c>
      <c r="V643" s="447" t="str">
        <f t="shared" si="86"/>
        <v>-</v>
      </c>
      <c r="W643" s="448">
        <f>HLOOKUP(Apoio!$P$12,$D$548:$P$649,X643,FALSE)</f>
        <v>0</v>
      </c>
      <c r="X643" s="329">
        <v>96</v>
      </c>
    </row>
    <row r="644" spans="2:27" ht="30.05" customHeight="1" x14ac:dyDescent="0.35">
      <c r="B644" s="204" t="str">
        <f>'CAD_PL_REC-DESP'!E99</f>
        <v>1.2.95</v>
      </c>
      <c r="C644" s="205" t="str">
        <f>IF('CAD_PL_REC-DESP'!F99="","-",'CAD_PL_REC-DESP'!F99)</f>
        <v>-</v>
      </c>
      <c r="D644" s="206">
        <f>SUMIFS(LANÇ_MOV[VALOR LÍQUIDO],LANÇ_MOV[RECEITA OU DESPESA],"Receita",LANÇ_MOV[CONTAS],$C644,LANÇ_MOV[PLANO DE CONTAS],REL_DRE_FINANCEIRO!$B$549,LANÇ_MOV[ANO PAGAMENTO],$B$4,LANÇ_MOV[MÊS PAGAMENTO CORRESPONDENTE],D$6,LANÇ_MOV[EMPRESA],$C$4,LANÇ_MOV[CENTRO DE CUSTOS],$D$4)</f>
        <v>0</v>
      </c>
      <c r="E644" s="206">
        <f>SUMIFS(LANÇ_MOV[VALOR LÍQUIDO],LANÇ_MOV[RECEITA OU DESPESA],"Receita",LANÇ_MOV[CONTAS],$C644,LANÇ_MOV[PLANO DE CONTAS],REL_DRE_FINANCEIRO!$B$549,LANÇ_MOV[ANO PAGAMENTO],$B$4,LANÇ_MOV[MÊS PAGAMENTO CORRESPONDENTE],E$6,LANÇ_MOV[EMPRESA],$C$4,LANÇ_MOV[CENTRO DE CUSTOS],$D$4)</f>
        <v>0</v>
      </c>
      <c r="F644" s="206">
        <f>SUMIFS(LANÇ_MOV[VALOR LÍQUIDO],LANÇ_MOV[RECEITA OU DESPESA],"Receita",LANÇ_MOV[CONTAS],$C644,LANÇ_MOV[PLANO DE CONTAS],REL_DRE_FINANCEIRO!$B$549,LANÇ_MOV[ANO PAGAMENTO],$B$4,LANÇ_MOV[MÊS PAGAMENTO CORRESPONDENTE],F$6,LANÇ_MOV[EMPRESA],$C$4,LANÇ_MOV[CENTRO DE CUSTOS],$D$4)</f>
        <v>0</v>
      </c>
      <c r="G644" s="206">
        <f>SUMIFS(LANÇ_MOV[VALOR LÍQUIDO],LANÇ_MOV[RECEITA OU DESPESA],"Receita",LANÇ_MOV[CONTAS],$C644,LANÇ_MOV[PLANO DE CONTAS],REL_DRE_FINANCEIRO!$B$549,LANÇ_MOV[ANO PAGAMENTO],$B$4,LANÇ_MOV[MÊS PAGAMENTO CORRESPONDENTE],G$6,LANÇ_MOV[EMPRESA],$C$4,LANÇ_MOV[CENTRO DE CUSTOS],$D$4)</f>
        <v>0</v>
      </c>
      <c r="H644" s="206">
        <f>SUMIFS(LANÇ_MOV[VALOR LÍQUIDO],LANÇ_MOV[RECEITA OU DESPESA],"Receita",LANÇ_MOV[CONTAS],$C644,LANÇ_MOV[PLANO DE CONTAS],REL_DRE_FINANCEIRO!$B$549,LANÇ_MOV[ANO PAGAMENTO],$B$4,LANÇ_MOV[MÊS PAGAMENTO CORRESPONDENTE],H$6,LANÇ_MOV[EMPRESA],$C$4,LANÇ_MOV[CENTRO DE CUSTOS],$D$4)</f>
        <v>0</v>
      </c>
      <c r="I644" s="206">
        <f>SUMIFS(LANÇ_MOV[VALOR LÍQUIDO],LANÇ_MOV[RECEITA OU DESPESA],"Receita",LANÇ_MOV[CONTAS],$C644,LANÇ_MOV[PLANO DE CONTAS],REL_DRE_FINANCEIRO!$B$549,LANÇ_MOV[ANO PAGAMENTO],$B$4,LANÇ_MOV[MÊS PAGAMENTO CORRESPONDENTE],I$6,LANÇ_MOV[EMPRESA],$C$4,LANÇ_MOV[CENTRO DE CUSTOS],$D$4)</f>
        <v>0</v>
      </c>
      <c r="J644" s="206">
        <f>SUMIFS(LANÇ_MOV[VALOR LÍQUIDO],LANÇ_MOV[RECEITA OU DESPESA],"Receita",LANÇ_MOV[CONTAS],$C644,LANÇ_MOV[PLANO DE CONTAS],REL_DRE_FINANCEIRO!$B$549,LANÇ_MOV[ANO PAGAMENTO],$B$4,LANÇ_MOV[MÊS PAGAMENTO CORRESPONDENTE],J$6,LANÇ_MOV[EMPRESA],$C$4,LANÇ_MOV[CENTRO DE CUSTOS],$D$4)</f>
        <v>0</v>
      </c>
      <c r="K644" s="206">
        <f>SUMIFS(LANÇ_MOV[VALOR LÍQUIDO],LANÇ_MOV[RECEITA OU DESPESA],"Receita",LANÇ_MOV[CONTAS],$C644,LANÇ_MOV[PLANO DE CONTAS],REL_DRE_FINANCEIRO!$B$549,LANÇ_MOV[ANO PAGAMENTO],$B$4,LANÇ_MOV[MÊS PAGAMENTO CORRESPONDENTE],K$6,LANÇ_MOV[EMPRESA],$C$4,LANÇ_MOV[CENTRO DE CUSTOS],$D$4)</f>
        <v>0</v>
      </c>
      <c r="L644" s="206">
        <f>SUMIFS(LANÇ_MOV[VALOR LÍQUIDO],LANÇ_MOV[RECEITA OU DESPESA],"Receita",LANÇ_MOV[CONTAS],$C644,LANÇ_MOV[PLANO DE CONTAS],REL_DRE_FINANCEIRO!$B$549,LANÇ_MOV[ANO PAGAMENTO],$B$4,LANÇ_MOV[MÊS PAGAMENTO CORRESPONDENTE],L$6,LANÇ_MOV[EMPRESA],$C$4,LANÇ_MOV[CENTRO DE CUSTOS],$D$4)</f>
        <v>0</v>
      </c>
      <c r="M644" s="206">
        <f>SUMIFS(LANÇ_MOV[VALOR LÍQUIDO],LANÇ_MOV[RECEITA OU DESPESA],"Receita",LANÇ_MOV[CONTAS],$C644,LANÇ_MOV[PLANO DE CONTAS],REL_DRE_FINANCEIRO!$B$549,LANÇ_MOV[ANO PAGAMENTO],$B$4,LANÇ_MOV[MÊS PAGAMENTO CORRESPONDENTE],M$6,LANÇ_MOV[EMPRESA],$C$4,LANÇ_MOV[CENTRO DE CUSTOS],$D$4)</f>
        <v>0</v>
      </c>
      <c r="N644" s="206">
        <f>SUMIFS(LANÇ_MOV[VALOR LÍQUIDO],LANÇ_MOV[RECEITA OU DESPESA],"Receita",LANÇ_MOV[CONTAS],$C644,LANÇ_MOV[PLANO DE CONTAS],REL_DRE_FINANCEIRO!$B$549,LANÇ_MOV[ANO PAGAMENTO],$B$4,LANÇ_MOV[MÊS PAGAMENTO CORRESPONDENTE],N$6,LANÇ_MOV[EMPRESA],$C$4,LANÇ_MOV[CENTRO DE CUSTOS],$D$4)</f>
        <v>0</v>
      </c>
      <c r="O644" s="206">
        <f>SUMIFS(LANÇ_MOV[VALOR LÍQUIDO],LANÇ_MOV[RECEITA OU DESPESA],"Receita",LANÇ_MOV[CONTAS],$C644,LANÇ_MOV[PLANO DE CONTAS],REL_DRE_FINANCEIRO!$B$549,LANÇ_MOV[ANO PAGAMENTO],$B$4,LANÇ_MOV[MÊS PAGAMENTO CORRESPONDENTE],O$6,LANÇ_MOV[EMPRESA],$C$4,LANÇ_MOV[CENTRO DE CUSTOS],$D$4)</f>
        <v>0</v>
      </c>
      <c r="P644" s="207">
        <f t="shared" si="82"/>
        <v>0</v>
      </c>
      <c r="Q644" s="329">
        <v>5.9999999999999997E-7</v>
      </c>
      <c r="R644" s="346">
        <f t="shared" si="83"/>
        <v>5.9999999999999997E-7</v>
      </c>
      <c r="S644" s="347" t="str">
        <f t="shared" si="84"/>
        <v>-</v>
      </c>
      <c r="T644" s="347">
        <f t="shared" si="85"/>
        <v>0</v>
      </c>
      <c r="U644" s="347">
        <f>HLOOKUP(Apoio!$P$12,$D$548:$P$649,X644,FALSE)+Q644</f>
        <v>5.9999999999999997E-7</v>
      </c>
      <c r="V644" s="447" t="str">
        <f t="shared" si="86"/>
        <v>-</v>
      </c>
      <c r="W644" s="448">
        <f>HLOOKUP(Apoio!$P$12,$D$548:$P$649,X644,FALSE)</f>
        <v>0</v>
      </c>
      <c r="X644" s="329">
        <v>97</v>
      </c>
    </row>
    <row r="645" spans="2:27" ht="30.05" customHeight="1" x14ac:dyDescent="0.35">
      <c r="B645" s="204" t="str">
        <f>'CAD_PL_REC-DESP'!E100</f>
        <v>1.2.96</v>
      </c>
      <c r="C645" s="205" t="str">
        <f>IF('CAD_PL_REC-DESP'!F100="","-",'CAD_PL_REC-DESP'!F100)</f>
        <v>-</v>
      </c>
      <c r="D645" s="206">
        <f>SUMIFS(LANÇ_MOV[VALOR LÍQUIDO],LANÇ_MOV[RECEITA OU DESPESA],"Receita",LANÇ_MOV[CONTAS],$C645,LANÇ_MOV[PLANO DE CONTAS],REL_DRE_FINANCEIRO!$B$549,LANÇ_MOV[ANO PAGAMENTO],$B$4,LANÇ_MOV[MÊS PAGAMENTO CORRESPONDENTE],D$6,LANÇ_MOV[EMPRESA],$C$4,LANÇ_MOV[CENTRO DE CUSTOS],$D$4)</f>
        <v>0</v>
      </c>
      <c r="E645" s="206">
        <f>SUMIFS(LANÇ_MOV[VALOR LÍQUIDO],LANÇ_MOV[RECEITA OU DESPESA],"Receita",LANÇ_MOV[CONTAS],$C645,LANÇ_MOV[PLANO DE CONTAS],REL_DRE_FINANCEIRO!$B$549,LANÇ_MOV[ANO PAGAMENTO],$B$4,LANÇ_MOV[MÊS PAGAMENTO CORRESPONDENTE],E$6,LANÇ_MOV[EMPRESA],$C$4,LANÇ_MOV[CENTRO DE CUSTOS],$D$4)</f>
        <v>0</v>
      </c>
      <c r="F645" s="206">
        <f>SUMIFS(LANÇ_MOV[VALOR LÍQUIDO],LANÇ_MOV[RECEITA OU DESPESA],"Receita",LANÇ_MOV[CONTAS],$C645,LANÇ_MOV[PLANO DE CONTAS],REL_DRE_FINANCEIRO!$B$549,LANÇ_MOV[ANO PAGAMENTO],$B$4,LANÇ_MOV[MÊS PAGAMENTO CORRESPONDENTE],F$6,LANÇ_MOV[EMPRESA],$C$4,LANÇ_MOV[CENTRO DE CUSTOS],$D$4)</f>
        <v>0</v>
      </c>
      <c r="G645" s="206">
        <f>SUMIFS(LANÇ_MOV[VALOR LÍQUIDO],LANÇ_MOV[RECEITA OU DESPESA],"Receita",LANÇ_MOV[CONTAS],$C645,LANÇ_MOV[PLANO DE CONTAS],REL_DRE_FINANCEIRO!$B$549,LANÇ_MOV[ANO PAGAMENTO],$B$4,LANÇ_MOV[MÊS PAGAMENTO CORRESPONDENTE],G$6,LANÇ_MOV[EMPRESA],$C$4,LANÇ_MOV[CENTRO DE CUSTOS],$D$4)</f>
        <v>0</v>
      </c>
      <c r="H645" s="206">
        <f>SUMIFS(LANÇ_MOV[VALOR LÍQUIDO],LANÇ_MOV[RECEITA OU DESPESA],"Receita",LANÇ_MOV[CONTAS],$C645,LANÇ_MOV[PLANO DE CONTAS],REL_DRE_FINANCEIRO!$B$549,LANÇ_MOV[ANO PAGAMENTO],$B$4,LANÇ_MOV[MÊS PAGAMENTO CORRESPONDENTE],H$6,LANÇ_MOV[EMPRESA],$C$4,LANÇ_MOV[CENTRO DE CUSTOS],$D$4)</f>
        <v>0</v>
      </c>
      <c r="I645" s="206">
        <f>SUMIFS(LANÇ_MOV[VALOR LÍQUIDO],LANÇ_MOV[RECEITA OU DESPESA],"Receita",LANÇ_MOV[CONTAS],$C645,LANÇ_MOV[PLANO DE CONTAS],REL_DRE_FINANCEIRO!$B$549,LANÇ_MOV[ANO PAGAMENTO],$B$4,LANÇ_MOV[MÊS PAGAMENTO CORRESPONDENTE],I$6,LANÇ_MOV[EMPRESA],$C$4,LANÇ_MOV[CENTRO DE CUSTOS],$D$4)</f>
        <v>0</v>
      </c>
      <c r="J645" s="206">
        <f>SUMIFS(LANÇ_MOV[VALOR LÍQUIDO],LANÇ_MOV[RECEITA OU DESPESA],"Receita",LANÇ_MOV[CONTAS],$C645,LANÇ_MOV[PLANO DE CONTAS],REL_DRE_FINANCEIRO!$B$549,LANÇ_MOV[ANO PAGAMENTO],$B$4,LANÇ_MOV[MÊS PAGAMENTO CORRESPONDENTE],J$6,LANÇ_MOV[EMPRESA],$C$4,LANÇ_MOV[CENTRO DE CUSTOS],$D$4)</f>
        <v>0</v>
      </c>
      <c r="K645" s="206">
        <f>SUMIFS(LANÇ_MOV[VALOR LÍQUIDO],LANÇ_MOV[RECEITA OU DESPESA],"Receita",LANÇ_MOV[CONTAS],$C645,LANÇ_MOV[PLANO DE CONTAS],REL_DRE_FINANCEIRO!$B$549,LANÇ_MOV[ANO PAGAMENTO],$B$4,LANÇ_MOV[MÊS PAGAMENTO CORRESPONDENTE],K$6,LANÇ_MOV[EMPRESA],$C$4,LANÇ_MOV[CENTRO DE CUSTOS],$D$4)</f>
        <v>0</v>
      </c>
      <c r="L645" s="206">
        <f>SUMIFS(LANÇ_MOV[VALOR LÍQUIDO],LANÇ_MOV[RECEITA OU DESPESA],"Receita",LANÇ_MOV[CONTAS],$C645,LANÇ_MOV[PLANO DE CONTAS],REL_DRE_FINANCEIRO!$B$549,LANÇ_MOV[ANO PAGAMENTO],$B$4,LANÇ_MOV[MÊS PAGAMENTO CORRESPONDENTE],L$6,LANÇ_MOV[EMPRESA],$C$4,LANÇ_MOV[CENTRO DE CUSTOS],$D$4)</f>
        <v>0</v>
      </c>
      <c r="M645" s="206">
        <f>SUMIFS(LANÇ_MOV[VALOR LÍQUIDO],LANÇ_MOV[RECEITA OU DESPESA],"Receita",LANÇ_MOV[CONTAS],$C645,LANÇ_MOV[PLANO DE CONTAS],REL_DRE_FINANCEIRO!$B$549,LANÇ_MOV[ANO PAGAMENTO],$B$4,LANÇ_MOV[MÊS PAGAMENTO CORRESPONDENTE],M$6,LANÇ_MOV[EMPRESA],$C$4,LANÇ_MOV[CENTRO DE CUSTOS],$D$4)</f>
        <v>0</v>
      </c>
      <c r="N645" s="206">
        <f>SUMIFS(LANÇ_MOV[VALOR LÍQUIDO],LANÇ_MOV[RECEITA OU DESPESA],"Receita",LANÇ_MOV[CONTAS],$C645,LANÇ_MOV[PLANO DE CONTAS],REL_DRE_FINANCEIRO!$B$549,LANÇ_MOV[ANO PAGAMENTO],$B$4,LANÇ_MOV[MÊS PAGAMENTO CORRESPONDENTE],N$6,LANÇ_MOV[EMPRESA],$C$4,LANÇ_MOV[CENTRO DE CUSTOS],$D$4)</f>
        <v>0</v>
      </c>
      <c r="O645" s="206">
        <f>SUMIFS(LANÇ_MOV[VALOR LÍQUIDO],LANÇ_MOV[RECEITA OU DESPESA],"Receita",LANÇ_MOV[CONTAS],$C645,LANÇ_MOV[PLANO DE CONTAS],REL_DRE_FINANCEIRO!$B$549,LANÇ_MOV[ANO PAGAMENTO],$B$4,LANÇ_MOV[MÊS PAGAMENTO CORRESPONDENTE],O$6,LANÇ_MOV[EMPRESA],$C$4,LANÇ_MOV[CENTRO DE CUSTOS],$D$4)</f>
        <v>0</v>
      </c>
      <c r="P645" s="207">
        <f t="shared" si="82"/>
        <v>0</v>
      </c>
      <c r="Q645" s="329">
        <v>4.9999999999999998E-7</v>
      </c>
      <c r="R645" s="346">
        <f t="shared" si="83"/>
        <v>4.9999999999999998E-7</v>
      </c>
      <c r="S645" s="347" t="str">
        <f t="shared" si="84"/>
        <v>-</v>
      </c>
      <c r="T645" s="347">
        <f t="shared" si="85"/>
        <v>0</v>
      </c>
      <c r="U645" s="347">
        <f>HLOOKUP(Apoio!$P$12,$D$548:$P$649,X645,FALSE)+Q645</f>
        <v>4.9999999999999998E-7</v>
      </c>
      <c r="V645" s="447" t="str">
        <f t="shared" si="86"/>
        <v>-</v>
      </c>
      <c r="W645" s="448">
        <f>HLOOKUP(Apoio!$P$12,$D$548:$P$649,X645,FALSE)</f>
        <v>0</v>
      </c>
      <c r="X645" s="329">
        <v>98</v>
      </c>
    </row>
    <row r="646" spans="2:27" ht="30.05" customHeight="1" x14ac:dyDescent="0.35">
      <c r="B646" s="204" t="str">
        <f>'CAD_PL_REC-DESP'!E101</f>
        <v>1.2.97</v>
      </c>
      <c r="C646" s="205" t="str">
        <f>IF('CAD_PL_REC-DESP'!F101="","-",'CAD_PL_REC-DESP'!F101)</f>
        <v>-</v>
      </c>
      <c r="D646" s="206">
        <f>SUMIFS(LANÇ_MOV[VALOR LÍQUIDO],LANÇ_MOV[RECEITA OU DESPESA],"Receita",LANÇ_MOV[CONTAS],$C646,LANÇ_MOV[PLANO DE CONTAS],REL_DRE_FINANCEIRO!$B$549,LANÇ_MOV[ANO PAGAMENTO],$B$4,LANÇ_MOV[MÊS PAGAMENTO CORRESPONDENTE],D$6,LANÇ_MOV[EMPRESA],$C$4,LANÇ_MOV[CENTRO DE CUSTOS],$D$4)</f>
        <v>0</v>
      </c>
      <c r="E646" s="206">
        <f>SUMIFS(LANÇ_MOV[VALOR LÍQUIDO],LANÇ_MOV[RECEITA OU DESPESA],"Receita",LANÇ_MOV[CONTAS],$C646,LANÇ_MOV[PLANO DE CONTAS],REL_DRE_FINANCEIRO!$B$549,LANÇ_MOV[ANO PAGAMENTO],$B$4,LANÇ_MOV[MÊS PAGAMENTO CORRESPONDENTE],E$6,LANÇ_MOV[EMPRESA],$C$4,LANÇ_MOV[CENTRO DE CUSTOS],$D$4)</f>
        <v>0</v>
      </c>
      <c r="F646" s="206">
        <f>SUMIFS(LANÇ_MOV[VALOR LÍQUIDO],LANÇ_MOV[RECEITA OU DESPESA],"Receita",LANÇ_MOV[CONTAS],$C646,LANÇ_MOV[PLANO DE CONTAS],REL_DRE_FINANCEIRO!$B$549,LANÇ_MOV[ANO PAGAMENTO],$B$4,LANÇ_MOV[MÊS PAGAMENTO CORRESPONDENTE],F$6,LANÇ_MOV[EMPRESA],$C$4,LANÇ_MOV[CENTRO DE CUSTOS],$D$4)</f>
        <v>0</v>
      </c>
      <c r="G646" s="206">
        <f>SUMIFS(LANÇ_MOV[VALOR LÍQUIDO],LANÇ_MOV[RECEITA OU DESPESA],"Receita",LANÇ_MOV[CONTAS],$C646,LANÇ_MOV[PLANO DE CONTAS],REL_DRE_FINANCEIRO!$B$549,LANÇ_MOV[ANO PAGAMENTO],$B$4,LANÇ_MOV[MÊS PAGAMENTO CORRESPONDENTE],G$6,LANÇ_MOV[EMPRESA],$C$4,LANÇ_MOV[CENTRO DE CUSTOS],$D$4)</f>
        <v>0</v>
      </c>
      <c r="H646" s="206">
        <f>SUMIFS(LANÇ_MOV[VALOR LÍQUIDO],LANÇ_MOV[RECEITA OU DESPESA],"Receita",LANÇ_MOV[CONTAS],$C646,LANÇ_MOV[PLANO DE CONTAS],REL_DRE_FINANCEIRO!$B$549,LANÇ_MOV[ANO PAGAMENTO],$B$4,LANÇ_MOV[MÊS PAGAMENTO CORRESPONDENTE],H$6,LANÇ_MOV[EMPRESA],$C$4,LANÇ_MOV[CENTRO DE CUSTOS],$D$4)</f>
        <v>0</v>
      </c>
      <c r="I646" s="206">
        <f>SUMIFS(LANÇ_MOV[VALOR LÍQUIDO],LANÇ_MOV[RECEITA OU DESPESA],"Receita",LANÇ_MOV[CONTAS],$C646,LANÇ_MOV[PLANO DE CONTAS],REL_DRE_FINANCEIRO!$B$549,LANÇ_MOV[ANO PAGAMENTO],$B$4,LANÇ_MOV[MÊS PAGAMENTO CORRESPONDENTE],I$6,LANÇ_MOV[EMPRESA],$C$4,LANÇ_MOV[CENTRO DE CUSTOS],$D$4)</f>
        <v>0</v>
      </c>
      <c r="J646" s="206">
        <f>SUMIFS(LANÇ_MOV[VALOR LÍQUIDO],LANÇ_MOV[RECEITA OU DESPESA],"Receita",LANÇ_MOV[CONTAS],$C646,LANÇ_MOV[PLANO DE CONTAS],REL_DRE_FINANCEIRO!$B$549,LANÇ_MOV[ANO PAGAMENTO],$B$4,LANÇ_MOV[MÊS PAGAMENTO CORRESPONDENTE],J$6,LANÇ_MOV[EMPRESA],$C$4,LANÇ_MOV[CENTRO DE CUSTOS],$D$4)</f>
        <v>0</v>
      </c>
      <c r="K646" s="206">
        <f>SUMIFS(LANÇ_MOV[VALOR LÍQUIDO],LANÇ_MOV[RECEITA OU DESPESA],"Receita",LANÇ_MOV[CONTAS],$C646,LANÇ_MOV[PLANO DE CONTAS],REL_DRE_FINANCEIRO!$B$549,LANÇ_MOV[ANO PAGAMENTO],$B$4,LANÇ_MOV[MÊS PAGAMENTO CORRESPONDENTE],K$6,LANÇ_MOV[EMPRESA],$C$4,LANÇ_MOV[CENTRO DE CUSTOS],$D$4)</f>
        <v>0</v>
      </c>
      <c r="L646" s="206">
        <f>SUMIFS(LANÇ_MOV[VALOR LÍQUIDO],LANÇ_MOV[RECEITA OU DESPESA],"Receita",LANÇ_MOV[CONTAS],$C646,LANÇ_MOV[PLANO DE CONTAS],REL_DRE_FINANCEIRO!$B$549,LANÇ_MOV[ANO PAGAMENTO],$B$4,LANÇ_MOV[MÊS PAGAMENTO CORRESPONDENTE],L$6,LANÇ_MOV[EMPRESA],$C$4,LANÇ_MOV[CENTRO DE CUSTOS],$D$4)</f>
        <v>0</v>
      </c>
      <c r="M646" s="206">
        <f>SUMIFS(LANÇ_MOV[VALOR LÍQUIDO],LANÇ_MOV[RECEITA OU DESPESA],"Receita",LANÇ_MOV[CONTAS],$C646,LANÇ_MOV[PLANO DE CONTAS],REL_DRE_FINANCEIRO!$B$549,LANÇ_MOV[ANO PAGAMENTO],$B$4,LANÇ_MOV[MÊS PAGAMENTO CORRESPONDENTE],M$6,LANÇ_MOV[EMPRESA],$C$4,LANÇ_MOV[CENTRO DE CUSTOS],$D$4)</f>
        <v>0</v>
      </c>
      <c r="N646" s="206">
        <f>SUMIFS(LANÇ_MOV[VALOR LÍQUIDO],LANÇ_MOV[RECEITA OU DESPESA],"Receita",LANÇ_MOV[CONTAS],$C646,LANÇ_MOV[PLANO DE CONTAS],REL_DRE_FINANCEIRO!$B$549,LANÇ_MOV[ANO PAGAMENTO],$B$4,LANÇ_MOV[MÊS PAGAMENTO CORRESPONDENTE],N$6,LANÇ_MOV[EMPRESA],$C$4,LANÇ_MOV[CENTRO DE CUSTOS],$D$4)</f>
        <v>0</v>
      </c>
      <c r="O646" s="206">
        <f>SUMIFS(LANÇ_MOV[VALOR LÍQUIDO],LANÇ_MOV[RECEITA OU DESPESA],"Receita",LANÇ_MOV[CONTAS],$C646,LANÇ_MOV[PLANO DE CONTAS],REL_DRE_FINANCEIRO!$B$549,LANÇ_MOV[ANO PAGAMENTO],$B$4,LANÇ_MOV[MÊS PAGAMENTO CORRESPONDENTE],O$6,LANÇ_MOV[EMPRESA],$C$4,LANÇ_MOV[CENTRO DE CUSTOS],$D$4)</f>
        <v>0</v>
      </c>
      <c r="P646" s="207">
        <f t="shared" si="82"/>
        <v>0</v>
      </c>
      <c r="Q646" s="329">
        <v>3.9999999999999998E-7</v>
      </c>
      <c r="R646" s="346">
        <f t="shared" si="83"/>
        <v>3.9999999999999998E-7</v>
      </c>
      <c r="S646" s="347" t="str">
        <f t="shared" si="84"/>
        <v>-</v>
      </c>
      <c r="T646" s="347">
        <f t="shared" si="85"/>
        <v>0</v>
      </c>
      <c r="U646" s="347">
        <f>HLOOKUP(Apoio!$P$12,$D$548:$P$649,X646,FALSE)+Q646</f>
        <v>3.9999999999999998E-7</v>
      </c>
      <c r="V646" s="447" t="str">
        <f t="shared" si="86"/>
        <v>-</v>
      </c>
      <c r="W646" s="448">
        <f>HLOOKUP(Apoio!$P$12,$D$548:$P$649,X646,FALSE)</f>
        <v>0</v>
      </c>
      <c r="X646" s="329">
        <v>99</v>
      </c>
    </row>
    <row r="647" spans="2:27" ht="30.05" customHeight="1" x14ac:dyDescent="0.35">
      <c r="B647" s="204" t="str">
        <f>'CAD_PL_REC-DESP'!E102</f>
        <v>1.2.98</v>
      </c>
      <c r="C647" s="205" t="str">
        <f>IF('CAD_PL_REC-DESP'!F102="","-",'CAD_PL_REC-DESP'!F102)</f>
        <v>-</v>
      </c>
      <c r="D647" s="206">
        <f>SUMIFS(LANÇ_MOV[VALOR LÍQUIDO],LANÇ_MOV[RECEITA OU DESPESA],"Receita",LANÇ_MOV[CONTAS],$C647,LANÇ_MOV[PLANO DE CONTAS],REL_DRE_FINANCEIRO!$B$549,LANÇ_MOV[ANO PAGAMENTO],$B$4,LANÇ_MOV[MÊS PAGAMENTO CORRESPONDENTE],D$6,LANÇ_MOV[EMPRESA],$C$4,LANÇ_MOV[CENTRO DE CUSTOS],$D$4)</f>
        <v>0</v>
      </c>
      <c r="E647" s="206">
        <f>SUMIFS(LANÇ_MOV[VALOR LÍQUIDO],LANÇ_MOV[RECEITA OU DESPESA],"Receita",LANÇ_MOV[CONTAS],$C647,LANÇ_MOV[PLANO DE CONTAS],REL_DRE_FINANCEIRO!$B$549,LANÇ_MOV[ANO PAGAMENTO],$B$4,LANÇ_MOV[MÊS PAGAMENTO CORRESPONDENTE],E$6,LANÇ_MOV[EMPRESA],$C$4,LANÇ_MOV[CENTRO DE CUSTOS],$D$4)</f>
        <v>0</v>
      </c>
      <c r="F647" s="206">
        <f>SUMIFS(LANÇ_MOV[VALOR LÍQUIDO],LANÇ_MOV[RECEITA OU DESPESA],"Receita",LANÇ_MOV[CONTAS],$C647,LANÇ_MOV[PLANO DE CONTAS],REL_DRE_FINANCEIRO!$B$549,LANÇ_MOV[ANO PAGAMENTO],$B$4,LANÇ_MOV[MÊS PAGAMENTO CORRESPONDENTE],F$6,LANÇ_MOV[EMPRESA],$C$4,LANÇ_MOV[CENTRO DE CUSTOS],$D$4)</f>
        <v>0</v>
      </c>
      <c r="G647" s="206">
        <f>SUMIFS(LANÇ_MOV[VALOR LÍQUIDO],LANÇ_MOV[RECEITA OU DESPESA],"Receita",LANÇ_MOV[CONTAS],$C647,LANÇ_MOV[PLANO DE CONTAS],REL_DRE_FINANCEIRO!$B$549,LANÇ_MOV[ANO PAGAMENTO],$B$4,LANÇ_MOV[MÊS PAGAMENTO CORRESPONDENTE],G$6,LANÇ_MOV[EMPRESA],$C$4,LANÇ_MOV[CENTRO DE CUSTOS],$D$4)</f>
        <v>0</v>
      </c>
      <c r="H647" s="206">
        <f>SUMIFS(LANÇ_MOV[VALOR LÍQUIDO],LANÇ_MOV[RECEITA OU DESPESA],"Receita",LANÇ_MOV[CONTAS],$C647,LANÇ_MOV[PLANO DE CONTAS],REL_DRE_FINANCEIRO!$B$549,LANÇ_MOV[ANO PAGAMENTO],$B$4,LANÇ_MOV[MÊS PAGAMENTO CORRESPONDENTE],H$6,LANÇ_MOV[EMPRESA],$C$4,LANÇ_MOV[CENTRO DE CUSTOS],$D$4)</f>
        <v>0</v>
      </c>
      <c r="I647" s="206">
        <f>SUMIFS(LANÇ_MOV[VALOR LÍQUIDO],LANÇ_MOV[RECEITA OU DESPESA],"Receita",LANÇ_MOV[CONTAS],$C647,LANÇ_MOV[PLANO DE CONTAS],REL_DRE_FINANCEIRO!$B$549,LANÇ_MOV[ANO PAGAMENTO],$B$4,LANÇ_MOV[MÊS PAGAMENTO CORRESPONDENTE],I$6,LANÇ_MOV[EMPRESA],$C$4,LANÇ_MOV[CENTRO DE CUSTOS],$D$4)</f>
        <v>0</v>
      </c>
      <c r="J647" s="206">
        <f>SUMIFS(LANÇ_MOV[VALOR LÍQUIDO],LANÇ_MOV[RECEITA OU DESPESA],"Receita",LANÇ_MOV[CONTAS],$C647,LANÇ_MOV[PLANO DE CONTAS],REL_DRE_FINANCEIRO!$B$549,LANÇ_MOV[ANO PAGAMENTO],$B$4,LANÇ_MOV[MÊS PAGAMENTO CORRESPONDENTE],J$6,LANÇ_MOV[EMPRESA],$C$4,LANÇ_MOV[CENTRO DE CUSTOS],$D$4)</f>
        <v>0</v>
      </c>
      <c r="K647" s="206">
        <f>SUMIFS(LANÇ_MOV[VALOR LÍQUIDO],LANÇ_MOV[RECEITA OU DESPESA],"Receita",LANÇ_MOV[CONTAS],$C647,LANÇ_MOV[PLANO DE CONTAS],REL_DRE_FINANCEIRO!$B$549,LANÇ_MOV[ANO PAGAMENTO],$B$4,LANÇ_MOV[MÊS PAGAMENTO CORRESPONDENTE],K$6,LANÇ_MOV[EMPRESA],$C$4,LANÇ_MOV[CENTRO DE CUSTOS],$D$4)</f>
        <v>0</v>
      </c>
      <c r="L647" s="206">
        <f>SUMIFS(LANÇ_MOV[VALOR LÍQUIDO],LANÇ_MOV[RECEITA OU DESPESA],"Receita",LANÇ_MOV[CONTAS],$C647,LANÇ_MOV[PLANO DE CONTAS],REL_DRE_FINANCEIRO!$B$549,LANÇ_MOV[ANO PAGAMENTO],$B$4,LANÇ_MOV[MÊS PAGAMENTO CORRESPONDENTE],L$6,LANÇ_MOV[EMPRESA],$C$4,LANÇ_MOV[CENTRO DE CUSTOS],$D$4)</f>
        <v>0</v>
      </c>
      <c r="M647" s="206">
        <f>SUMIFS(LANÇ_MOV[VALOR LÍQUIDO],LANÇ_MOV[RECEITA OU DESPESA],"Receita",LANÇ_MOV[CONTAS],$C647,LANÇ_MOV[PLANO DE CONTAS],REL_DRE_FINANCEIRO!$B$549,LANÇ_MOV[ANO PAGAMENTO],$B$4,LANÇ_MOV[MÊS PAGAMENTO CORRESPONDENTE],M$6,LANÇ_MOV[EMPRESA],$C$4,LANÇ_MOV[CENTRO DE CUSTOS],$D$4)</f>
        <v>0</v>
      </c>
      <c r="N647" s="206">
        <f>SUMIFS(LANÇ_MOV[VALOR LÍQUIDO],LANÇ_MOV[RECEITA OU DESPESA],"Receita",LANÇ_MOV[CONTAS],$C647,LANÇ_MOV[PLANO DE CONTAS],REL_DRE_FINANCEIRO!$B$549,LANÇ_MOV[ANO PAGAMENTO],$B$4,LANÇ_MOV[MÊS PAGAMENTO CORRESPONDENTE],N$6,LANÇ_MOV[EMPRESA],$C$4,LANÇ_MOV[CENTRO DE CUSTOS],$D$4)</f>
        <v>0</v>
      </c>
      <c r="O647" s="206">
        <f>SUMIFS(LANÇ_MOV[VALOR LÍQUIDO],LANÇ_MOV[RECEITA OU DESPESA],"Receita",LANÇ_MOV[CONTAS],$C647,LANÇ_MOV[PLANO DE CONTAS],REL_DRE_FINANCEIRO!$B$549,LANÇ_MOV[ANO PAGAMENTO],$B$4,LANÇ_MOV[MÊS PAGAMENTO CORRESPONDENTE],O$6,LANÇ_MOV[EMPRESA],$C$4,LANÇ_MOV[CENTRO DE CUSTOS],$D$4)</f>
        <v>0</v>
      </c>
      <c r="P647" s="207">
        <f t="shared" si="82"/>
        <v>0</v>
      </c>
      <c r="Q647" s="329">
        <v>2.9999999999999999E-7</v>
      </c>
      <c r="R647" s="346">
        <f t="shared" si="83"/>
        <v>2.9999999999999999E-7</v>
      </c>
      <c r="S647" s="347" t="str">
        <f t="shared" si="84"/>
        <v>-</v>
      </c>
      <c r="T647" s="347">
        <f t="shared" si="85"/>
        <v>0</v>
      </c>
      <c r="U647" s="347">
        <f>HLOOKUP(Apoio!$P$12,$D$548:$P$649,X647,FALSE)+Q647</f>
        <v>2.9999999999999999E-7</v>
      </c>
      <c r="V647" s="447" t="str">
        <f t="shared" si="86"/>
        <v>-</v>
      </c>
      <c r="W647" s="448">
        <f>HLOOKUP(Apoio!$P$12,$D$548:$P$649,X647,FALSE)</f>
        <v>0</v>
      </c>
      <c r="X647" s="329">
        <v>100</v>
      </c>
    </row>
    <row r="648" spans="2:27" ht="30.05" customHeight="1" x14ac:dyDescent="0.35">
      <c r="B648" s="204" t="str">
        <f>'CAD_PL_REC-DESP'!E103</f>
        <v>1.2.99</v>
      </c>
      <c r="C648" s="205" t="str">
        <f>IF('CAD_PL_REC-DESP'!F103="","-",'CAD_PL_REC-DESP'!F103)</f>
        <v>-</v>
      </c>
      <c r="D648" s="206">
        <f>SUMIFS(LANÇ_MOV[VALOR LÍQUIDO],LANÇ_MOV[RECEITA OU DESPESA],"Receita",LANÇ_MOV[CONTAS],$C648,LANÇ_MOV[PLANO DE CONTAS],REL_DRE_FINANCEIRO!$B$549,LANÇ_MOV[ANO PAGAMENTO],$B$4,LANÇ_MOV[MÊS PAGAMENTO CORRESPONDENTE],D$6,LANÇ_MOV[EMPRESA],$C$4,LANÇ_MOV[CENTRO DE CUSTOS],$D$4)</f>
        <v>0</v>
      </c>
      <c r="E648" s="206">
        <f>SUMIFS(LANÇ_MOV[VALOR LÍQUIDO],LANÇ_MOV[RECEITA OU DESPESA],"Receita",LANÇ_MOV[CONTAS],$C648,LANÇ_MOV[PLANO DE CONTAS],REL_DRE_FINANCEIRO!$B$549,LANÇ_MOV[ANO PAGAMENTO],$B$4,LANÇ_MOV[MÊS PAGAMENTO CORRESPONDENTE],E$6,LANÇ_MOV[EMPRESA],$C$4,LANÇ_MOV[CENTRO DE CUSTOS],$D$4)</f>
        <v>0</v>
      </c>
      <c r="F648" s="206">
        <f>SUMIFS(LANÇ_MOV[VALOR LÍQUIDO],LANÇ_MOV[RECEITA OU DESPESA],"Receita",LANÇ_MOV[CONTAS],$C648,LANÇ_MOV[PLANO DE CONTAS],REL_DRE_FINANCEIRO!$B$549,LANÇ_MOV[ANO PAGAMENTO],$B$4,LANÇ_MOV[MÊS PAGAMENTO CORRESPONDENTE],F$6,LANÇ_MOV[EMPRESA],$C$4,LANÇ_MOV[CENTRO DE CUSTOS],$D$4)</f>
        <v>0</v>
      </c>
      <c r="G648" s="206">
        <f>SUMIFS(LANÇ_MOV[VALOR LÍQUIDO],LANÇ_MOV[RECEITA OU DESPESA],"Receita",LANÇ_MOV[CONTAS],$C648,LANÇ_MOV[PLANO DE CONTAS],REL_DRE_FINANCEIRO!$B$549,LANÇ_MOV[ANO PAGAMENTO],$B$4,LANÇ_MOV[MÊS PAGAMENTO CORRESPONDENTE],G$6,LANÇ_MOV[EMPRESA],$C$4,LANÇ_MOV[CENTRO DE CUSTOS],$D$4)</f>
        <v>0</v>
      </c>
      <c r="H648" s="206">
        <f>SUMIFS(LANÇ_MOV[VALOR LÍQUIDO],LANÇ_MOV[RECEITA OU DESPESA],"Receita",LANÇ_MOV[CONTAS],$C648,LANÇ_MOV[PLANO DE CONTAS],REL_DRE_FINANCEIRO!$B$549,LANÇ_MOV[ANO PAGAMENTO],$B$4,LANÇ_MOV[MÊS PAGAMENTO CORRESPONDENTE],H$6,LANÇ_MOV[EMPRESA],$C$4,LANÇ_MOV[CENTRO DE CUSTOS],$D$4)</f>
        <v>0</v>
      </c>
      <c r="I648" s="206">
        <f>SUMIFS(LANÇ_MOV[VALOR LÍQUIDO],LANÇ_MOV[RECEITA OU DESPESA],"Receita",LANÇ_MOV[CONTAS],$C648,LANÇ_MOV[PLANO DE CONTAS],REL_DRE_FINANCEIRO!$B$549,LANÇ_MOV[ANO PAGAMENTO],$B$4,LANÇ_MOV[MÊS PAGAMENTO CORRESPONDENTE],I$6,LANÇ_MOV[EMPRESA],$C$4,LANÇ_MOV[CENTRO DE CUSTOS],$D$4)</f>
        <v>0</v>
      </c>
      <c r="J648" s="206">
        <f>SUMIFS(LANÇ_MOV[VALOR LÍQUIDO],LANÇ_MOV[RECEITA OU DESPESA],"Receita",LANÇ_MOV[CONTAS],$C648,LANÇ_MOV[PLANO DE CONTAS],REL_DRE_FINANCEIRO!$B$549,LANÇ_MOV[ANO PAGAMENTO],$B$4,LANÇ_MOV[MÊS PAGAMENTO CORRESPONDENTE],J$6,LANÇ_MOV[EMPRESA],$C$4,LANÇ_MOV[CENTRO DE CUSTOS],$D$4)</f>
        <v>0</v>
      </c>
      <c r="K648" s="206">
        <f>SUMIFS(LANÇ_MOV[VALOR LÍQUIDO],LANÇ_MOV[RECEITA OU DESPESA],"Receita",LANÇ_MOV[CONTAS],$C648,LANÇ_MOV[PLANO DE CONTAS],REL_DRE_FINANCEIRO!$B$549,LANÇ_MOV[ANO PAGAMENTO],$B$4,LANÇ_MOV[MÊS PAGAMENTO CORRESPONDENTE],K$6,LANÇ_MOV[EMPRESA],$C$4,LANÇ_MOV[CENTRO DE CUSTOS],$D$4)</f>
        <v>0</v>
      </c>
      <c r="L648" s="206">
        <f>SUMIFS(LANÇ_MOV[VALOR LÍQUIDO],LANÇ_MOV[RECEITA OU DESPESA],"Receita",LANÇ_MOV[CONTAS],$C648,LANÇ_MOV[PLANO DE CONTAS],REL_DRE_FINANCEIRO!$B$549,LANÇ_MOV[ANO PAGAMENTO],$B$4,LANÇ_MOV[MÊS PAGAMENTO CORRESPONDENTE],L$6,LANÇ_MOV[EMPRESA],$C$4,LANÇ_MOV[CENTRO DE CUSTOS],$D$4)</f>
        <v>0</v>
      </c>
      <c r="M648" s="206">
        <f>SUMIFS(LANÇ_MOV[VALOR LÍQUIDO],LANÇ_MOV[RECEITA OU DESPESA],"Receita",LANÇ_MOV[CONTAS],$C648,LANÇ_MOV[PLANO DE CONTAS],REL_DRE_FINANCEIRO!$B$549,LANÇ_MOV[ANO PAGAMENTO],$B$4,LANÇ_MOV[MÊS PAGAMENTO CORRESPONDENTE],M$6,LANÇ_MOV[EMPRESA],$C$4,LANÇ_MOV[CENTRO DE CUSTOS],$D$4)</f>
        <v>0</v>
      </c>
      <c r="N648" s="206">
        <f>SUMIFS(LANÇ_MOV[VALOR LÍQUIDO],LANÇ_MOV[RECEITA OU DESPESA],"Receita",LANÇ_MOV[CONTAS],$C648,LANÇ_MOV[PLANO DE CONTAS],REL_DRE_FINANCEIRO!$B$549,LANÇ_MOV[ANO PAGAMENTO],$B$4,LANÇ_MOV[MÊS PAGAMENTO CORRESPONDENTE],N$6,LANÇ_MOV[EMPRESA],$C$4,LANÇ_MOV[CENTRO DE CUSTOS],$D$4)</f>
        <v>0</v>
      </c>
      <c r="O648" s="206">
        <f>SUMIFS(LANÇ_MOV[VALOR LÍQUIDO],LANÇ_MOV[RECEITA OU DESPESA],"Receita",LANÇ_MOV[CONTAS],$C648,LANÇ_MOV[PLANO DE CONTAS],REL_DRE_FINANCEIRO!$B$549,LANÇ_MOV[ANO PAGAMENTO],$B$4,LANÇ_MOV[MÊS PAGAMENTO CORRESPONDENTE],O$6,LANÇ_MOV[EMPRESA],$C$4,LANÇ_MOV[CENTRO DE CUSTOS],$D$4)</f>
        <v>0</v>
      </c>
      <c r="P648" s="207">
        <f t="shared" si="82"/>
        <v>0</v>
      </c>
      <c r="Q648" s="329">
        <v>1.9999999999999999E-7</v>
      </c>
      <c r="R648" s="346">
        <f t="shared" si="83"/>
        <v>1.9999999999999999E-7</v>
      </c>
      <c r="S648" s="347" t="str">
        <f t="shared" si="84"/>
        <v>-</v>
      </c>
      <c r="T648" s="347">
        <f t="shared" si="85"/>
        <v>0</v>
      </c>
      <c r="U648" s="347">
        <f>HLOOKUP(Apoio!$P$12,$D$548:$P$649,X648,FALSE)+Q648</f>
        <v>1.9999999999999999E-7</v>
      </c>
      <c r="V648" s="447" t="str">
        <f t="shared" si="86"/>
        <v>-</v>
      </c>
      <c r="W648" s="448">
        <f>HLOOKUP(Apoio!$P$12,$D$548:$P$649,X648,FALSE)</f>
        <v>0</v>
      </c>
      <c r="X648" s="329">
        <v>101</v>
      </c>
    </row>
    <row r="649" spans="2:27" ht="30.05" customHeight="1" x14ac:dyDescent="0.35">
      <c r="B649" s="204" t="str">
        <f>'CAD_PL_REC-DESP'!E104</f>
        <v>1.2.100</v>
      </c>
      <c r="C649" s="205" t="str">
        <f>IF('CAD_PL_REC-DESP'!F104="","-",'CAD_PL_REC-DESP'!F104)</f>
        <v>-</v>
      </c>
      <c r="D649" s="206">
        <f>SUMIFS(LANÇ_MOV[VALOR LÍQUIDO],LANÇ_MOV[RECEITA OU DESPESA],"Receita",LANÇ_MOV[CONTAS],$C649,LANÇ_MOV[PLANO DE CONTAS],REL_DRE_FINANCEIRO!$B$549,LANÇ_MOV[ANO PAGAMENTO],$B$4,LANÇ_MOV[MÊS PAGAMENTO CORRESPONDENTE],D$6,LANÇ_MOV[EMPRESA],$C$4,LANÇ_MOV[CENTRO DE CUSTOS],$D$4)</f>
        <v>0</v>
      </c>
      <c r="E649" s="206">
        <f>SUMIFS(LANÇ_MOV[VALOR LÍQUIDO],LANÇ_MOV[RECEITA OU DESPESA],"Receita",LANÇ_MOV[CONTAS],$C649,LANÇ_MOV[PLANO DE CONTAS],REL_DRE_FINANCEIRO!$B$549,LANÇ_MOV[ANO PAGAMENTO],$B$4,LANÇ_MOV[MÊS PAGAMENTO CORRESPONDENTE],E$6,LANÇ_MOV[EMPRESA],$C$4,LANÇ_MOV[CENTRO DE CUSTOS],$D$4)</f>
        <v>0</v>
      </c>
      <c r="F649" s="206">
        <f>SUMIFS(LANÇ_MOV[VALOR LÍQUIDO],LANÇ_MOV[RECEITA OU DESPESA],"Receita",LANÇ_MOV[CONTAS],$C649,LANÇ_MOV[PLANO DE CONTAS],REL_DRE_FINANCEIRO!$B$549,LANÇ_MOV[ANO PAGAMENTO],$B$4,LANÇ_MOV[MÊS PAGAMENTO CORRESPONDENTE],F$6,LANÇ_MOV[EMPRESA],$C$4,LANÇ_MOV[CENTRO DE CUSTOS],$D$4)</f>
        <v>0</v>
      </c>
      <c r="G649" s="206">
        <f>SUMIFS(LANÇ_MOV[VALOR LÍQUIDO],LANÇ_MOV[RECEITA OU DESPESA],"Receita",LANÇ_MOV[CONTAS],$C649,LANÇ_MOV[PLANO DE CONTAS],REL_DRE_FINANCEIRO!$B$549,LANÇ_MOV[ANO PAGAMENTO],$B$4,LANÇ_MOV[MÊS PAGAMENTO CORRESPONDENTE],G$6,LANÇ_MOV[EMPRESA],$C$4,LANÇ_MOV[CENTRO DE CUSTOS],$D$4)</f>
        <v>0</v>
      </c>
      <c r="H649" s="206">
        <f>SUMIFS(LANÇ_MOV[VALOR LÍQUIDO],LANÇ_MOV[RECEITA OU DESPESA],"Receita",LANÇ_MOV[CONTAS],$C649,LANÇ_MOV[PLANO DE CONTAS],REL_DRE_FINANCEIRO!$B$549,LANÇ_MOV[ANO PAGAMENTO],$B$4,LANÇ_MOV[MÊS PAGAMENTO CORRESPONDENTE],H$6,LANÇ_MOV[EMPRESA],$C$4,LANÇ_MOV[CENTRO DE CUSTOS],$D$4)</f>
        <v>0</v>
      </c>
      <c r="I649" s="206">
        <f>SUMIFS(LANÇ_MOV[VALOR LÍQUIDO],LANÇ_MOV[RECEITA OU DESPESA],"Receita",LANÇ_MOV[CONTAS],$C649,LANÇ_MOV[PLANO DE CONTAS],REL_DRE_FINANCEIRO!$B$549,LANÇ_MOV[ANO PAGAMENTO],$B$4,LANÇ_MOV[MÊS PAGAMENTO CORRESPONDENTE],I$6,LANÇ_MOV[EMPRESA],$C$4,LANÇ_MOV[CENTRO DE CUSTOS],$D$4)</f>
        <v>0</v>
      </c>
      <c r="J649" s="206">
        <f>SUMIFS(LANÇ_MOV[VALOR LÍQUIDO],LANÇ_MOV[RECEITA OU DESPESA],"Receita",LANÇ_MOV[CONTAS],$C649,LANÇ_MOV[PLANO DE CONTAS],REL_DRE_FINANCEIRO!$B$549,LANÇ_MOV[ANO PAGAMENTO],$B$4,LANÇ_MOV[MÊS PAGAMENTO CORRESPONDENTE],J$6,LANÇ_MOV[EMPRESA],$C$4,LANÇ_MOV[CENTRO DE CUSTOS],$D$4)</f>
        <v>0</v>
      </c>
      <c r="K649" s="206">
        <f>SUMIFS(LANÇ_MOV[VALOR LÍQUIDO],LANÇ_MOV[RECEITA OU DESPESA],"Receita",LANÇ_MOV[CONTAS],$C649,LANÇ_MOV[PLANO DE CONTAS],REL_DRE_FINANCEIRO!$B$549,LANÇ_MOV[ANO PAGAMENTO],$B$4,LANÇ_MOV[MÊS PAGAMENTO CORRESPONDENTE],K$6,LANÇ_MOV[EMPRESA],$C$4,LANÇ_MOV[CENTRO DE CUSTOS],$D$4)</f>
        <v>0</v>
      </c>
      <c r="L649" s="206">
        <f>SUMIFS(LANÇ_MOV[VALOR LÍQUIDO],LANÇ_MOV[RECEITA OU DESPESA],"Receita",LANÇ_MOV[CONTAS],$C649,LANÇ_MOV[PLANO DE CONTAS],REL_DRE_FINANCEIRO!$B$549,LANÇ_MOV[ANO PAGAMENTO],$B$4,LANÇ_MOV[MÊS PAGAMENTO CORRESPONDENTE],L$6,LANÇ_MOV[EMPRESA],$C$4,LANÇ_MOV[CENTRO DE CUSTOS],$D$4)</f>
        <v>0</v>
      </c>
      <c r="M649" s="206">
        <f>SUMIFS(LANÇ_MOV[VALOR LÍQUIDO],LANÇ_MOV[RECEITA OU DESPESA],"Receita",LANÇ_MOV[CONTAS],$C649,LANÇ_MOV[PLANO DE CONTAS],REL_DRE_FINANCEIRO!$B$549,LANÇ_MOV[ANO PAGAMENTO],$B$4,LANÇ_MOV[MÊS PAGAMENTO CORRESPONDENTE],M$6,LANÇ_MOV[EMPRESA],$C$4,LANÇ_MOV[CENTRO DE CUSTOS],$D$4)</f>
        <v>0</v>
      </c>
      <c r="N649" s="206">
        <f>SUMIFS(LANÇ_MOV[VALOR LÍQUIDO],LANÇ_MOV[RECEITA OU DESPESA],"Receita",LANÇ_MOV[CONTAS],$C649,LANÇ_MOV[PLANO DE CONTAS],REL_DRE_FINANCEIRO!$B$549,LANÇ_MOV[ANO PAGAMENTO],$B$4,LANÇ_MOV[MÊS PAGAMENTO CORRESPONDENTE],N$6,LANÇ_MOV[EMPRESA],$C$4,LANÇ_MOV[CENTRO DE CUSTOS],$D$4)</f>
        <v>0</v>
      </c>
      <c r="O649" s="206">
        <f>SUMIFS(LANÇ_MOV[VALOR LÍQUIDO],LANÇ_MOV[RECEITA OU DESPESA],"Receita",LANÇ_MOV[CONTAS],$C649,LANÇ_MOV[PLANO DE CONTAS],REL_DRE_FINANCEIRO!$B$549,LANÇ_MOV[ANO PAGAMENTO],$B$4,LANÇ_MOV[MÊS PAGAMENTO CORRESPONDENTE],O$6,LANÇ_MOV[EMPRESA],$C$4,LANÇ_MOV[CENTRO DE CUSTOS],$D$4)</f>
        <v>0</v>
      </c>
      <c r="P649" s="207">
        <f t="shared" si="82"/>
        <v>0</v>
      </c>
      <c r="Q649" s="329">
        <v>9.9999999999999995E-8</v>
      </c>
      <c r="R649" s="346">
        <f t="shared" si="83"/>
        <v>9.9999999999999995E-8</v>
      </c>
      <c r="S649" s="347" t="str">
        <f t="shared" si="84"/>
        <v>-</v>
      </c>
      <c r="T649" s="347">
        <f t="shared" si="85"/>
        <v>0</v>
      </c>
      <c r="U649" s="347">
        <f>HLOOKUP(Apoio!$P$12,$D$548:$P$649,X649,FALSE)+Q649</f>
        <v>9.9999999999999995E-8</v>
      </c>
      <c r="V649" s="447" t="str">
        <f t="shared" si="86"/>
        <v>-</v>
      </c>
      <c r="W649" s="448">
        <f>HLOOKUP(Apoio!$P$12,$D$548:$P$649,X649,FALSE)</f>
        <v>0</v>
      </c>
      <c r="X649" s="329">
        <v>102</v>
      </c>
    </row>
    <row r="650" spans="2:27" ht="6.75" customHeight="1" thickBot="1" x14ac:dyDescent="0.4">
      <c r="D650" s="25" t="s">
        <v>1044</v>
      </c>
      <c r="E650" s="25" t="s">
        <v>1045</v>
      </c>
      <c r="F650" s="25" t="s">
        <v>1046</v>
      </c>
      <c r="G650" s="25" t="s">
        <v>1047</v>
      </c>
      <c r="H650" s="25" t="s">
        <v>1048</v>
      </c>
      <c r="I650" s="25" t="s">
        <v>1049</v>
      </c>
      <c r="J650" s="25" t="s">
        <v>1050</v>
      </c>
      <c r="K650" s="25" t="s">
        <v>1051</v>
      </c>
      <c r="L650" s="25" t="s">
        <v>1052</v>
      </c>
      <c r="M650" s="25" t="s">
        <v>1053</v>
      </c>
      <c r="N650" s="25" t="s">
        <v>1054</v>
      </c>
      <c r="O650" s="25" t="s">
        <v>1055</v>
      </c>
      <c r="P650" s="135" t="s">
        <v>1198</v>
      </c>
      <c r="R650" s="346"/>
      <c r="S650" s="347"/>
      <c r="T650" s="347"/>
      <c r="U650" s="347"/>
      <c r="V650" s="447"/>
      <c r="W650" s="448"/>
      <c r="X650" s="346"/>
    </row>
    <row r="651" spans="2:27" ht="30.05" customHeight="1" thickTop="1" x14ac:dyDescent="0.35">
      <c r="B651" s="601" t="str">
        <f>'CAD_PL_REC-DESP'!X4</f>
        <v>DESPESAS NÃO OPERACIONAIS</v>
      </c>
      <c r="C651" s="602"/>
      <c r="D651" s="203">
        <f>SUM(D652:D751)</f>
        <v>0</v>
      </c>
      <c r="E651" s="203">
        <f t="shared" ref="E651:O651" si="87">SUM(E652:E751)</f>
        <v>0</v>
      </c>
      <c r="F651" s="203">
        <f t="shared" si="87"/>
        <v>0</v>
      </c>
      <c r="G651" s="203">
        <f t="shared" si="87"/>
        <v>0</v>
      </c>
      <c r="H651" s="203">
        <f t="shared" si="87"/>
        <v>0</v>
      </c>
      <c r="I651" s="203">
        <f t="shared" si="87"/>
        <v>0</v>
      </c>
      <c r="J651" s="203">
        <f t="shared" si="87"/>
        <v>0</v>
      </c>
      <c r="K651" s="203">
        <f t="shared" si="87"/>
        <v>0</v>
      </c>
      <c r="L651" s="203">
        <f t="shared" si="87"/>
        <v>0</v>
      </c>
      <c r="M651" s="203">
        <f t="shared" si="87"/>
        <v>0</v>
      </c>
      <c r="N651" s="203">
        <f t="shared" si="87"/>
        <v>0</v>
      </c>
      <c r="O651" s="203">
        <f t="shared" si="87"/>
        <v>0</v>
      </c>
      <c r="P651" s="203">
        <f>SUM(D651:O651)</f>
        <v>0</v>
      </c>
      <c r="R651" s="346"/>
      <c r="S651" s="347"/>
      <c r="T651" s="347"/>
      <c r="U651" s="347"/>
      <c r="V651" s="447"/>
      <c r="W651" s="448"/>
      <c r="X651" s="346"/>
    </row>
    <row r="652" spans="2:27" ht="30.05" customHeight="1" x14ac:dyDescent="0.35">
      <c r="B652" s="204" t="str">
        <f>'CAD_PL_REC-DESP'!W5</f>
        <v>2.5.1</v>
      </c>
      <c r="C652" s="205" t="str">
        <f>IF('CAD_PL_REC-DESP'!X5="","-",'CAD_PL_REC-DESP'!X5)</f>
        <v>DEVOLUÇÃO DE EMPRÉSTIMO</v>
      </c>
      <c r="D652" s="206">
        <f>SUMIFS(LANÇ_MOV[VALOR LÍQUIDO],LANÇ_MOV[RECEITA OU DESPESA],"Despesa",LANÇ_MOV[CONTAS],$C652,LANÇ_MOV[PLANO DE CONTAS],REL_DRE_FINANCEIRO!$B$651,LANÇ_MOV[ANO PAGAMENTO],$B$4,LANÇ_MOV[MÊS PAGAMENTO CORRESPONDENTE],D$6,LANÇ_MOV[EMPRESA],$C$4,LANÇ_MOV[CENTRO DE CUSTOS],$D$4)</f>
        <v>0</v>
      </c>
      <c r="E652" s="206">
        <f>SUMIFS(LANÇ_MOV[VALOR LÍQUIDO],LANÇ_MOV[RECEITA OU DESPESA],"Despesa",LANÇ_MOV[CONTAS],$C652,LANÇ_MOV[PLANO DE CONTAS],REL_DRE_FINANCEIRO!$B$651,LANÇ_MOV[ANO PAGAMENTO],$B$4,LANÇ_MOV[MÊS PAGAMENTO CORRESPONDENTE],E$6,LANÇ_MOV[EMPRESA],$C$4,LANÇ_MOV[CENTRO DE CUSTOS],$D$4)</f>
        <v>0</v>
      </c>
      <c r="F652" s="206">
        <f>SUMIFS(LANÇ_MOV[VALOR LÍQUIDO],LANÇ_MOV[RECEITA OU DESPESA],"Despesa",LANÇ_MOV[CONTAS],$C652,LANÇ_MOV[PLANO DE CONTAS],REL_DRE_FINANCEIRO!$B$651,LANÇ_MOV[ANO PAGAMENTO],$B$4,LANÇ_MOV[MÊS PAGAMENTO CORRESPONDENTE],F$6,LANÇ_MOV[EMPRESA],$C$4,LANÇ_MOV[CENTRO DE CUSTOS],$D$4)</f>
        <v>0</v>
      </c>
      <c r="G652" s="206">
        <f>SUMIFS(LANÇ_MOV[VALOR LÍQUIDO],LANÇ_MOV[RECEITA OU DESPESA],"Despesa",LANÇ_MOV[CONTAS],$C652,LANÇ_MOV[PLANO DE CONTAS],REL_DRE_FINANCEIRO!$B$651,LANÇ_MOV[ANO PAGAMENTO],$B$4,LANÇ_MOV[MÊS PAGAMENTO CORRESPONDENTE],G$6,LANÇ_MOV[EMPRESA],$C$4,LANÇ_MOV[CENTRO DE CUSTOS],$D$4)</f>
        <v>0</v>
      </c>
      <c r="H652" s="206">
        <f>SUMIFS(LANÇ_MOV[VALOR LÍQUIDO],LANÇ_MOV[RECEITA OU DESPESA],"Despesa",LANÇ_MOV[CONTAS],$C652,LANÇ_MOV[PLANO DE CONTAS],REL_DRE_FINANCEIRO!$B$651,LANÇ_MOV[ANO PAGAMENTO],$B$4,LANÇ_MOV[MÊS PAGAMENTO CORRESPONDENTE],H$6,LANÇ_MOV[EMPRESA],$C$4,LANÇ_MOV[CENTRO DE CUSTOS],$D$4)</f>
        <v>0</v>
      </c>
      <c r="I652" s="206">
        <f>SUMIFS(LANÇ_MOV[VALOR LÍQUIDO],LANÇ_MOV[RECEITA OU DESPESA],"Despesa",LANÇ_MOV[CONTAS],$C652,LANÇ_MOV[PLANO DE CONTAS],REL_DRE_FINANCEIRO!$B$651,LANÇ_MOV[ANO PAGAMENTO],$B$4,LANÇ_MOV[MÊS PAGAMENTO CORRESPONDENTE],I$6,LANÇ_MOV[EMPRESA],$C$4,LANÇ_MOV[CENTRO DE CUSTOS],$D$4)</f>
        <v>0</v>
      </c>
      <c r="J652" s="206">
        <f>SUMIFS(LANÇ_MOV[VALOR LÍQUIDO],LANÇ_MOV[RECEITA OU DESPESA],"Despesa",LANÇ_MOV[CONTAS],$C652,LANÇ_MOV[PLANO DE CONTAS],REL_DRE_FINANCEIRO!$B$651,LANÇ_MOV[ANO PAGAMENTO],$B$4,LANÇ_MOV[MÊS PAGAMENTO CORRESPONDENTE],J$6,LANÇ_MOV[EMPRESA],$C$4,LANÇ_MOV[CENTRO DE CUSTOS],$D$4)</f>
        <v>0</v>
      </c>
      <c r="K652" s="206">
        <f>SUMIFS(LANÇ_MOV[VALOR LÍQUIDO],LANÇ_MOV[RECEITA OU DESPESA],"Despesa",LANÇ_MOV[CONTAS],$C652,LANÇ_MOV[PLANO DE CONTAS],REL_DRE_FINANCEIRO!$B$651,LANÇ_MOV[ANO PAGAMENTO],$B$4,LANÇ_MOV[MÊS PAGAMENTO CORRESPONDENTE],K$6,LANÇ_MOV[EMPRESA],$C$4,LANÇ_MOV[CENTRO DE CUSTOS],$D$4)</f>
        <v>0</v>
      </c>
      <c r="L652" s="206">
        <f>SUMIFS(LANÇ_MOV[VALOR LÍQUIDO],LANÇ_MOV[RECEITA OU DESPESA],"Despesa",LANÇ_MOV[CONTAS],$C652,LANÇ_MOV[PLANO DE CONTAS],REL_DRE_FINANCEIRO!$B$651,LANÇ_MOV[ANO PAGAMENTO],$B$4,LANÇ_MOV[MÊS PAGAMENTO CORRESPONDENTE],L$6,LANÇ_MOV[EMPRESA],$C$4,LANÇ_MOV[CENTRO DE CUSTOS],$D$4)</f>
        <v>0</v>
      </c>
      <c r="M652" s="206">
        <f>SUMIFS(LANÇ_MOV[VALOR LÍQUIDO],LANÇ_MOV[RECEITA OU DESPESA],"Despesa",LANÇ_MOV[CONTAS],$C652,LANÇ_MOV[PLANO DE CONTAS],REL_DRE_FINANCEIRO!$B$651,LANÇ_MOV[ANO PAGAMENTO],$B$4,LANÇ_MOV[MÊS PAGAMENTO CORRESPONDENTE],M$6,LANÇ_MOV[EMPRESA],$C$4,LANÇ_MOV[CENTRO DE CUSTOS],$D$4)</f>
        <v>0</v>
      </c>
      <c r="N652" s="206">
        <f>SUMIFS(LANÇ_MOV[VALOR LÍQUIDO],LANÇ_MOV[RECEITA OU DESPESA],"Despesa",LANÇ_MOV[CONTAS],$C652,LANÇ_MOV[PLANO DE CONTAS],REL_DRE_FINANCEIRO!$B$651,LANÇ_MOV[ANO PAGAMENTO],$B$4,LANÇ_MOV[MÊS PAGAMENTO CORRESPONDENTE],N$6,LANÇ_MOV[EMPRESA],$C$4,LANÇ_MOV[CENTRO DE CUSTOS],$D$4)</f>
        <v>0</v>
      </c>
      <c r="O652" s="206">
        <f>SUMIFS(LANÇ_MOV[VALOR LÍQUIDO],LANÇ_MOV[RECEITA OU DESPESA],"Despesa",LANÇ_MOV[CONTAS],$C652,LANÇ_MOV[PLANO DE CONTAS],REL_DRE_FINANCEIRO!$B$651,LANÇ_MOV[ANO PAGAMENTO],$B$4,LANÇ_MOV[MÊS PAGAMENTO CORRESPONDENTE],O$6,LANÇ_MOV[EMPRESA],$C$4,LANÇ_MOV[CENTRO DE CUSTOS],$D$4)</f>
        <v>0</v>
      </c>
      <c r="P652" s="207">
        <f t="shared" ref="P652:P715" si="88">SUM(D652:O652)</f>
        <v>0</v>
      </c>
      <c r="Q652" s="333">
        <v>1.0000000000000001E-5</v>
      </c>
      <c r="R652" s="346">
        <f t="shared" ref="R652:R715" si="89">P652+Q652</f>
        <v>1.0000000000000001E-5</v>
      </c>
      <c r="S652" s="347" t="str">
        <f t="shared" ref="S652:S715" si="90">C652</f>
        <v>DEVOLUÇÃO DE EMPRÉSTIMO</v>
      </c>
      <c r="T652" s="347">
        <f t="shared" ref="T652:T715" si="91">P652</f>
        <v>0</v>
      </c>
      <c r="U652" s="347">
        <f>HLOOKUP(Apoio!$P$12,$D$650:$P$751,X652,FALSE)+Q652</f>
        <v>1.0000000000000001E-5</v>
      </c>
      <c r="V652" s="447" t="str">
        <f>S652</f>
        <v>DEVOLUÇÃO DE EMPRÉSTIMO</v>
      </c>
      <c r="W652" s="448">
        <f>HLOOKUP(Apoio!$P$12,$D$650:$P$751,X652,FALSE)</f>
        <v>0</v>
      </c>
      <c r="X652" s="329">
        <v>3</v>
      </c>
      <c r="Y652" s="329">
        <v>1</v>
      </c>
      <c r="Z652" s="340" t="str">
        <f>VLOOKUP(LARGE($R$652:$R$751,Y652),$R$652:$S$751,2,FALSE)</f>
        <v>DEVOLUÇÃO DE EMPRÉSTIMO</v>
      </c>
      <c r="AA652" s="340">
        <f>VLOOKUP(Z652,$S$652:$T$751,2,FALSE)</f>
        <v>0</v>
      </c>
    </row>
    <row r="653" spans="2:27" ht="30.05" customHeight="1" x14ac:dyDescent="0.35">
      <c r="B653" s="204" t="str">
        <f>'CAD_PL_REC-DESP'!W6</f>
        <v>2.5.2</v>
      </c>
      <c r="C653" s="205" t="str">
        <f>IF('CAD_PL_REC-DESP'!X6="","-",'CAD_PL_REC-DESP'!X6)</f>
        <v>MATERIAIS DE USO E CONSUMO</v>
      </c>
      <c r="D653" s="206">
        <f>SUMIFS(LANÇ_MOV[VALOR LÍQUIDO],LANÇ_MOV[RECEITA OU DESPESA],"Despesa",LANÇ_MOV[CONTAS],$C653,LANÇ_MOV[PLANO DE CONTAS],REL_DRE_FINANCEIRO!$B$651,LANÇ_MOV[ANO PAGAMENTO],$B$4,LANÇ_MOV[MÊS PAGAMENTO CORRESPONDENTE],D$6,LANÇ_MOV[EMPRESA],$C$4,LANÇ_MOV[CENTRO DE CUSTOS],$D$4)</f>
        <v>0</v>
      </c>
      <c r="E653" s="206">
        <f>SUMIFS(LANÇ_MOV[VALOR LÍQUIDO],LANÇ_MOV[RECEITA OU DESPESA],"Despesa",LANÇ_MOV[CONTAS],$C653,LANÇ_MOV[PLANO DE CONTAS],REL_DRE_FINANCEIRO!$B$651,LANÇ_MOV[ANO PAGAMENTO],$B$4,LANÇ_MOV[MÊS PAGAMENTO CORRESPONDENTE],E$6,LANÇ_MOV[EMPRESA],$C$4,LANÇ_MOV[CENTRO DE CUSTOS],$D$4)</f>
        <v>0</v>
      </c>
      <c r="F653" s="206">
        <f>SUMIFS(LANÇ_MOV[VALOR LÍQUIDO],LANÇ_MOV[RECEITA OU DESPESA],"Despesa",LANÇ_MOV[CONTAS],$C653,LANÇ_MOV[PLANO DE CONTAS],REL_DRE_FINANCEIRO!$B$651,LANÇ_MOV[ANO PAGAMENTO],$B$4,LANÇ_MOV[MÊS PAGAMENTO CORRESPONDENTE],F$6,LANÇ_MOV[EMPRESA],$C$4,LANÇ_MOV[CENTRO DE CUSTOS],$D$4)</f>
        <v>0</v>
      </c>
      <c r="G653" s="206">
        <f>SUMIFS(LANÇ_MOV[VALOR LÍQUIDO],LANÇ_MOV[RECEITA OU DESPESA],"Despesa",LANÇ_MOV[CONTAS],$C653,LANÇ_MOV[PLANO DE CONTAS],REL_DRE_FINANCEIRO!$B$651,LANÇ_MOV[ANO PAGAMENTO],$B$4,LANÇ_MOV[MÊS PAGAMENTO CORRESPONDENTE],G$6,LANÇ_MOV[EMPRESA],$C$4,LANÇ_MOV[CENTRO DE CUSTOS],$D$4)</f>
        <v>0</v>
      </c>
      <c r="H653" s="206">
        <f>SUMIFS(LANÇ_MOV[VALOR LÍQUIDO],LANÇ_MOV[RECEITA OU DESPESA],"Despesa",LANÇ_MOV[CONTAS],$C653,LANÇ_MOV[PLANO DE CONTAS],REL_DRE_FINANCEIRO!$B$651,LANÇ_MOV[ANO PAGAMENTO],$B$4,LANÇ_MOV[MÊS PAGAMENTO CORRESPONDENTE],H$6,LANÇ_MOV[EMPRESA],$C$4,LANÇ_MOV[CENTRO DE CUSTOS],$D$4)</f>
        <v>0</v>
      </c>
      <c r="I653" s="206">
        <f>SUMIFS(LANÇ_MOV[VALOR LÍQUIDO],LANÇ_MOV[RECEITA OU DESPESA],"Despesa",LANÇ_MOV[CONTAS],$C653,LANÇ_MOV[PLANO DE CONTAS],REL_DRE_FINANCEIRO!$B$651,LANÇ_MOV[ANO PAGAMENTO],$B$4,LANÇ_MOV[MÊS PAGAMENTO CORRESPONDENTE],I$6,LANÇ_MOV[EMPRESA],$C$4,LANÇ_MOV[CENTRO DE CUSTOS],$D$4)</f>
        <v>0</v>
      </c>
      <c r="J653" s="206">
        <f>SUMIFS(LANÇ_MOV[VALOR LÍQUIDO],LANÇ_MOV[RECEITA OU DESPESA],"Despesa",LANÇ_MOV[CONTAS],$C653,LANÇ_MOV[PLANO DE CONTAS],REL_DRE_FINANCEIRO!$B$651,LANÇ_MOV[ANO PAGAMENTO],$B$4,LANÇ_MOV[MÊS PAGAMENTO CORRESPONDENTE],J$6,LANÇ_MOV[EMPRESA],$C$4,LANÇ_MOV[CENTRO DE CUSTOS],$D$4)</f>
        <v>0</v>
      </c>
      <c r="K653" s="206">
        <f>SUMIFS(LANÇ_MOV[VALOR LÍQUIDO],LANÇ_MOV[RECEITA OU DESPESA],"Despesa",LANÇ_MOV[CONTAS],$C653,LANÇ_MOV[PLANO DE CONTAS],REL_DRE_FINANCEIRO!$B$651,LANÇ_MOV[ANO PAGAMENTO],$B$4,LANÇ_MOV[MÊS PAGAMENTO CORRESPONDENTE],K$6,LANÇ_MOV[EMPRESA],$C$4,LANÇ_MOV[CENTRO DE CUSTOS],$D$4)</f>
        <v>0</v>
      </c>
      <c r="L653" s="206">
        <f>SUMIFS(LANÇ_MOV[VALOR LÍQUIDO],LANÇ_MOV[RECEITA OU DESPESA],"Despesa",LANÇ_MOV[CONTAS],$C653,LANÇ_MOV[PLANO DE CONTAS],REL_DRE_FINANCEIRO!$B$651,LANÇ_MOV[ANO PAGAMENTO],$B$4,LANÇ_MOV[MÊS PAGAMENTO CORRESPONDENTE],L$6,LANÇ_MOV[EMPRESA],$C$4,LANÇ_MOV[CENTRO DE CUSTOS],$D$4)</f>
        <v>0</v>
      </c>
      <c r="M653" s="206">
        <f>SUMIFS(LANÇ_MOV[VALOR LÍQUIDO],LANÇ_MOV[RECEITA OU DESPESA],"Despesa",LANÇ_MOV[CONTAS],$C653,LANÇ_MOV[PLANO DE CONTAS],REL_DRE_FINANCEIRO!$B$651,LANÇ_MOV[ANO PAGAMENTO],$B$4,LANÇ_MOV[MÊS PAGAMENTO CORRESPONDENTE],M$6,LANÇ_MOV[EMPRESA],$C$4,LANÇ_MOV[CENTRO DE CUSTOS],$D$4)</f>
        <v>0</v>
      </c>
      <c r="N653" s="206">
        <f>SUMIFS(LANÇ_MOV[VALOR LÍQUIDO],LANÇ_MOV[RECEITA OU DESPESA],"Despesa",LANÇ_MOV[CONTAS],$C653,LANÇ_MOV[PLANO DE CONTAS],REL_DRE_FINANCEIRO!$B$651,LANÇ_MOV[ANO PAGAMENTO],$B$4,LANÇ_MOV[MÊS PAGAMENTO CORRESPONDENTE],N$6,LANÇ_MOV[EMPRESA],$C$4,LANÇ_MOV[CENTRO DE CUSTOS],$D$4)</f>
        <v>0</v>
      </c>
      <c r="O653" s="206">
        <f>SUMIFS(LANÇ_MOV[VALOR LÍQUIDO],LANÇ_MOV[RECEITA OU DESPESA],"Despesa",LANÇ_MOV[CONTAS],$C653,LANÇ_MOV[PLANO DE CONTAS],REL_DRE_FINANCEIRO!$B$651,LANÇ_MOV[ANO PAGAMENTO],$B$4,LANÇ_MOV[MÊS PAGAMENTO CORRESPONDENTE],O$6,LANÇ_MOV[EMPRESA],$C$4,LANÇ_MOV[CENTRO DE CUSTOS],$D$4)</f>
        <v>0</v>
      </c>
      <c r="P653" s="207">
        <f t="shared" si="88"/>
        <v>0</v>
      </c>
      <c r="Q653" s="329">
        <v>9.9000000000000001E-6</v>
      </c>
      <c r="R653" s="346">
        <f t="shared" si="89"/>
        <v>9.9000000000000001E-6</v>
      </c>
      <c r="S653" s="347" t="str">
        <f t="shared" si="90"/>
        <v>MATERIAIS DE USO E CONSUMO</v>
      </c>
      <c r="T653" s="347">
        <f t="shared" si="91"/>
        <v>0</v>
      </c>
      <c r="U653" s="347">
        <f>HLOOKUP(Apoio!$P$12,$D$650:$P$751,X653,FALSE)+Q653</f>
        <v>9.9000000000000001E-6</v>
      </c>
      <c r="V653" s="447" t="str">
        <f t="shared" ref="V653:V716" si="92">S653</f>
        <v>MATERIAIS DE USO E CONSUMO</v>
      </c>
      <c r="W653" s="448">
        <f>HLOOKUP(Apoio!$P$12,$D$650:$P$751,X653,FALSE)</f>
        <v>0</v>
      </c>
      <c r="X653" s="329">
        <v>4</v>
      </c>
      <c r="Y653" s="329">
        <v>2</v>
      </c>
      <c r="Z653" s="340" t="str">
        <f t="shared" ref="Z653:Z662" si="93">VLOOKUP(LARGE($R$652:$R$751,Y653),$R$652:$S$751,2,FALSE)</f>
        <v>MATERIAIS DE USO E CONSUMO</v>
      </c>
      <c r="AA653" s="340">
        <f>VLOOKUP(Z653,$S$652:$T$751,2,FALSE)</f>
        <v>0</v>
      </c>
    </row>
    <row r="654" spans="2:27" ht="30.05" customHeight="1" x14ac:dyDescent="0.35">
      <c r="B654" s="204" t="str">
        <f>'CAD_PL_REC-DESP'!W7</f>
        <v>2.5.3</v>
      </c>
      <c r="C654" s="205" t="str">
        <f>IF('CAD_PL_REC-DESP'!X7="","-",'CAD_PL_REC-DESP'!X7)</f>
        <v>OUTRAS DESPESAS NÃO OPERACIONAIS</v>
      </c>
      <c r="D654" s="206">
        <f>SUMIFS(LANÇ_MOV[VALOR LÍQUIDO],LANÇ_MOV[RECEITA OU DESPESA],"Despesa",LANÇ_MOV[CONTAS],$C654,LANÇ_MOV[PLANO DE CONTAS],REL_DRE_FINANCEIRO!$B$651,LANÇ_MOV[ANO PAGAMENTO],$B$4,LANÇ_MOV[MÊS PAGAMENTO CORRESPONDENTE],D$6,LANÇ_MOV[EMPRESA],$C$4,LANÇ_MOV[CENTRO DE CUSTOS],$D$4)</f>
        <v>0</v>
      </c>
      <c r="E654" s="206">
        <f>SUMIFS(LANÇ_MOV[VALOR LÍQUIDO],LANÇ_MOV[RECEITA OU DESPESA],"Despesa",LANÇ_MOV[CONTAS],$C654,LANÇ_MOV[PLANO DE CONTAS],REL_DRE_FINANCEIRO!$B$651,LANÇ_MOV[ANO PAGAMENTO],$B$4,LANÇ_MOV[MÊS PAGAMENTO CORRESPONDENTE],E$6,LANÇ_MOV[EMPRESA],$C$4,LANÇ_MOV[CENTRO DE CUSTOS],$D$4)</f>
        <v>0</v>
      </c>
      <c r="F654" s="206">
        <f>SUMIFS(LANÇ_MOV[VALOR LÍQUIDO],LANÇ_MOV[RECEITA OU DESPESA],"Despesa",LANÇ_MOV[CONTAS],$C654,LANÇ_MOV[PLANO DE CONTAS],REL_DRE_FINANCEIRO!$B$651,LANÇ_MOV[ANO PAGAMENTO],$B$4,LANÇ_MOV[MÊS PAGAMENTO CORRESPONDENTE],F$6,LANÇ_MOV[EMPRESA],$C$4,LANÇ_MOV[CENTRO DE CUSTOS],$D$4)</f>
        <v>0</v>
      </c>
      <c r="G654" s="206">
        <f>SUMIFS(LANÇ_MOV[VALOR LÍQUIDO],LANÇ_MOV[RECEITA OU DESPESA],"Despesa",LANÇ_MOV[CONTAS],$C654,LANÇ_MOV[PLANO DE CONTAS],REL_DRE_FINANCEIRO!$B$651,LANÇ_MOV[ANO PAGAMENTO],$B$4,LANÇ_MOV[MÊS PAGAMENTO CORRESPONDENTE],G$6,LANÇ_MOV[EMPRESA],$C$4,LANÇ_MOV[CENTRO DE CUSTOS],$D$4)</f>
        <v>0</v>
      </c>
      <c r="H654" s="206">
        <f>SUMIFS(LANÇ_MOV[VALOR LÍQUIDO],LANÇ_MOV[RECEITA OU DESPESA],"Despesa",LANÇ_MOV[CONTAS],$C654,LANÇ_MOV[PLANO DE CONTAS],REL_DRE_FINANCEIRO!$B$651,LANÇ_MOV[ANO PAGAMENTO],$B$4,LANÇ_MOV[MÊS PAGAMENTO CORRESPONDENTE],H$6,LANÇ_MOV[EMPRESA],$C$4,LANÇ_MOV[CENTRO DE CUSTOS],$D$4)</f>
        <v>0</v>
      </c>
      <c r="I654" s="206">
        <f>SUMIFS(LANÇ_MOV[VALOR LÍQUIDO],LANÇ_MOV[RECEITA OU DESPESA],"Despesa",LANÇ_MOV[CONTAS],$C654,LANÇ_MOV[PLANO DE CONTAS],REL_DRE_FINANCEIRO!$B$651,LANÇ_MOV[ANO PAGAMENTO],$B$4,LANÇ_MOV[MÊS PAGAMENTO CORRESPONDENTE],I$6,LANÇ_MOV[EMPRESA],$C$4,LANÇ_MOV[CENTRO DE CUSTOS],$D$4)</f>
        <v>0</v>
      </c>
      <c r="J654" s="206">
        <f>SUMIFS(LANÇ_MOV[VALOR LÍQUIDO],LANÇ_MOV[RECEITA OU DESPESA],"Despesa",LANÇ_MOV[CONTAS],$C654,LANÇ_MOV[PLANO DE CONTAS],REL_DRE_FINANCEIRO!$B$651,LANÇ_MOV[ANO PAGAMENTO],$B$4,LANÇ_MOV[MÊS PAGAMENTO CORRESPONDENTE],J$6,LANÇ_MOV[EMPRESA],$C$4,LANÇ_MOV[CENTRO DE CUSTOS],$D$4)</f>
        <v>0</v>
      </c>
      <c r="K654" s="206">
        <f>SUMIFS(LANÇ_MOV[VALOR LÍQUIDO],LANÇ_MOV[RECEITA OU DESPESA],"Despesa",LANÇ_MOV[CONTAS],$C654,LANÇ_MOV[PLANO DE CONTAS],REL_DRE_FINANCEIRO!$B$651,LANÇ_MOV[ANO PAGAMENTO],$B$4,LANÇ_MOV[MÊS PAGAMENTO CORRESPONDENTE],K$6,LANÇ_MOV[EMPRESA],$C$4,LANÇ_MOV[CENTRO DE CUSTOS],$D$4)</f>
        <v>0</v>
      </c>
      <c r="L654" s="206">
        <f>SUMIFS(LANÇ_MOV[VALOR LÍQUIDO],LANÇ_MOV[RECEITA OU DESPESA],"Despesa",LANÇ_MOV[CONTAS],$C654,LANÇ_MOV[PLANO DE CONTAS],REL_DRE_FINANCEIRO!$B$651,LANÇ_MOV[ANO PAGAMENTO],$B$4,LANÇ_MOV[MÊS PAGAMENTO CORRESPONDENTE],L$6,LANÇ_MOV[EMPRESA],$C$4,LANÇ_MOV[CENTRO DE CUSTOS],$D$4)</f>
        <v>0</v>
      </c>
      <c r="M654" s="206">
        <f>SUMIFS(LANÇ_MOV[VALOR LÍQUIDO],LANÇ_MOV[RECEITA OU DESPESA],"Despesa",LANÇ_MOV[CONTAS],$C654,LANÇ_MOV[PLANO DE CONTAS],REL_DRE_FINANCEIRO!$B$651,LANÇ_MOV[ANO PAGAMENTO],$B$4,LANÇ_MOV[MÊS PAGAMENTO CORRESPONDENTE],M$6,LANÇ_MOV[EMPRESA],$C$4,LANÇ_MOV[CENTRO DE CUSTOS],$D$4)</f>
        <v>0</v>
      </c>
      <c r="N654" s="206">
        <f>SUMIFS(LANÇ_MOV[VALOR LÍQUIDO],LANÇ_MOV[RECEITA OU DESPESA],"Despesa",LANÇ_MOV[CONTAS],$C654,LANÇ_MOV[PLANO DE CONTAS],REL_DRE_FINANCEIRO!$B$651,LANÇ_MOV[ANO PAGAMENTO],$B$4,LANÇ_MOV[MÊS PAGAMENTO CORRESPONDENTE],N$6,LANÇ_MOV[EMPRESA],$C$4,LANÇ_MOV[CENTRO DE CUSTOS],$D$4)</f>
        <v>0</v>
      </c>
      <c r="O654" s="206">
        <f>SUMIFS(LANÇ_MOV[VALOR LÍQUIDO],LANÇ_MOV[RECEITA OU DESPESA],"Despesa",LANÇ_MOV[CONTAS],$C654,LANÇ_MOV[PLANO DE CONTAS],REL_DRE_FINANCEIRO!$B$651,LANÇ_MOV[ANO PAGAMENTO],$B$4,LANÇ_MOV[MÊS PAGAMENTO CORRESPONDENTE],O$6,LANÇ_MOV[EMPRESA],$C$4,LANÇ_MOV[CENTRO DE CUSTOS],$D$4)</f>
        <v>0</v>
      </c>
      <c r="P654" s="207">
        <f t="shared" si="88"/>
        <v>0</v>
      </c>
      <c r="Q654" s="329">
        <v>9.7999999999999993E-6</v>
      </c>
      <c r="R654" s="346">
        <f t="shared" si="89"/>
        <v>9.7999999999999993E-6</v>
      </c>
      <c r="S654" s="347" t="str">
        <f t="shared" si="90"/>
        <v>OUTRAS DESPESAS NÃO OPERACIONAIS</v>
      </c>
      <c r="T654" s="347">
        <f t="shared" si="91"/>
        <v>0</v>
      </c>
      <c r="U654" s="347">
        <f>HLOOKUP(Apoio!$P$12,$D$650:$P$751,X654,FALSE)+Q654</f>
        <v>9.7999999999999993E-6</v>
      </c>
      <c r="V654" s="447" t="str">
        <f t="shared" si="92"/>
        <v>OUTRAS DESPESAS NÃO OPERACIONAIS</v>
      </c>
      <c r="W654" s="448">
        <f>HLOOKUP(Apoio!$P$12,$D$650:$P$751,X654,FALSE)</f>
        <v>0</v>
      </c>
      <c r="X654" s="329">
        <v>5</v>
      </c>
      <c r="Y654" s="329">
        <v>3</v>
      </c>
      <c r="Z654" s="340" t="str">
        <f t="shared" si="93"/>
        <v>OUTRAS DESPESAS NÃO OPERACIONAIS</v>
      </c>
      <c r="AA654" s="340">
        <f>VLOOKUP(Z654,$S$652:$T$751,2,FALSE)</f>
        <v>0</v>
      </c>
    </row>
    <row r="655" spans="2:27" ht="30.05" customHeight="1" x14ac:dyDescent="0.35">
      <c r="B655" s="204" t="str">
        <f>'CAD_PL_REC-DESP'!W8</f>
        <v>2.5.4</v>
      </c>
      <c r="C655" s="205" t="str">
        <f>IF('CAD_PL_REC-DESP'!X8="","-",'CAD_PL_REC-DESP'!X8)</f>
        <v>RESGATE APLICAÇÕES</v>
      </c>
      <c r="D655" s="206">
        <f>SUMIFS(LANÇ_MOV[VALOR LÍQUIDO],LANÇ_MOV[RECEITA OU DESPESA],"Despesa",LANÇ_MOV[CONTAS],$C655,LANÇ_MOV[PLANO DE CONTAS],REL_DRE_FINANCEIRO!$B$651,LANÇ_MOV[ANO PAGAMENTO],$B$4,LANÇ_MOV[MÊS PAGAMENTO CORRESPONDENTE],D$6,LANÇ_MOV[EMPRESA],$C$4,LANÇ_MOV[CENTRO DE CUSTOS],$D$4)</f>
        <v>0</v>
      </c>
      <c r="E655" s="206">
        <f>SUMIFS(LANÇ_MOV[VALOR LÍQUIDO],LANÇ_MOV[RECEITA OU DESPESA],"Despesa",LANÇ_MOV[CONTAS],$C655,LANÇ_MOV[PLANO DE CONTAS],REL_DRE_FINANCEIRO!$B$651,LANÇ_MOV[ANO PAGAMENTO],$B$4,LANÇ_MOV[MÊS PAGAMENTO CORRESPONDENTE],E$6,LANÇ_MOV[EMPRESA],$C$4,LANÇ_MOV[CENTRO DE CUSTOS],$D$4)</f>
        <v>0</v>
      </c>
      <c r="F655" s="206">
        <f>SUMIFS(LANÇ_MOV[VALOR LÍQUIDO],LANÇ_MOV[RECEITA OU DESPESA],"Despesa",LANÇ_MOV[CONTAS],$C655,LANÇ_MOV[PLANO DE CONTAS],REL_DRE_FINANCEIRO!$B$651,LANÇ_MOV[ANO PAGAMENTO],$B$4,LANÇ_MOV[MÊS PAGAMENTO CORRESPONDENTE],F$6,LANÇ_MOV[EMPRESA],$C$4,LANÇ_MOV[CENTRO DE CUSTOS],$D$4)</f>
        <v>0</v>
      </c>
      <c r="G655" s="206">
        <f>SUMIFS(LANÇ_MOV[VALOR LÍQUIDO],LANÇ_MOV[RECEITA OU DESPESA],"Despesa",LANÇ_MOV[CONTAS],$C655,LANÇ_MOV[PLANO DE CONTAS],REL_DRE_FINANCEIRO!$B$651,LANÇ_MOV[ANO PAGAMENTO],$B$4,LANÇ_MOV[MÊS PAGAMENTO CORRESPONDENTE],G$6,LANÇ_MOV[EMPRESA],$C$4,LANÇ_MOV[CENTRO DE CUSTOS],$D$4)</f>
        <v>0</v>
      </c>
      <c r="H655" s="206">
        <f>SUMIFS(LANÇ_MOV[VALOR LÍQUIDO],LANÇ_MOV[RECEITA OU DESPESA],"Despesa",LANÇ_MOV[CONTAS],$C655,LANÇ_MOV[PLANO DE CONTAS],REL_DRE_FINANCEIRO!$B$651,LANÇ_MOV[ANO PAGAMENTO],$B$4,LANÇ_MOV[MÊS PAGAMENTO CORRESPONDENTE],H$6,LANÇ_MOV[EMPRESA],$C$4,LANÇ_MOV[CENTRO DE CUSTOS],$D$4)</f>
        <v>0</v>
      </c>
      <c r="I655" s="206">
        <f>SUMIFS(LANÇ_MOV[VALOR LÍQUIDO],LANÇ_MOV[RECEITA OU DESPESA],"Despesa",LANÇ_MOV[CONTAS],$C655,LANÇ_MOV[PLANO DE CONTAS],REL_DRE_FINANCEIRO!$B$651,LANÇ_MOV[ANO PAGAMENTO],$B$4,LANÇ_MOV[MÊS PAGAMENTO CORRESPONDENTE],I$6,LANÇ_MOV[EMPRESA],$C$4,LANÇ_MOV[CENTRO DE CUSTOS],$D$4)</f>
        <v>0</v>
      </c>
      <c r="J655" s="206">
        <f>SUMIFS(LANÇ_MOV[VALOR LÍQUIDO],LANÇ_MOV[RECEITA OU DESPESA],"Despesa",LANÇ_MOV[CONTAS],$C655,LANÇ_MOV[PLANO DE CONTAS],REL_DRE_FINANCEIRO!$B$651,LANÇ_MOV[ANO PAGAMENTO],$B$4,LANÇ_MOV[MÊS PAGAMENTO CORRESPONDENTE],J$6,LANÇ_MOV[EMPRESA],$C$4,LANÇ_MOV[CENTRO DE CUSTOS],$D$4)</f>
        <v>0</v>
      </c>
      <c r="K655" s="206">
        <f>SUMIFS(LANÇ_MOV[VALOR LÍQUIDO],LANÇ_MOV[RECEITA OU DESPESA],"Despesa",LANÇ_MOV[CONTAS],$C655,LANÇ_MOV[PLANO DE CONTAS],REL_DRE_FINANCEIRO!$B$651,LANÇ_MOV[ANO PAGAMENTO],$B$4,LANÇ_MOV[MÊS PAGAMENTO CORRESPONDENTE],K$6,LANÇ_MOV[EMPRESA],$C$4,LANÇ_MOV[CENTRO DE CUSTOS],$D$4)</f>
        <v>0</v>
      </c>
      <c r="L655" s="206">
        <f>SUMIFS(LANÇ_MOV[VALOR LÍQUIDO],LANÇ_MOV[RECEITA OU DESPESA],"Despesa",LANÇ_MOV[CONTAS],$C655,LANÇ_MOV[PLANO DE CONTAS],REL_DRE_FINANCEIRO!$B$651,LANÇ_MOV[ANO PAGAMENTO],$B$4,LANÇ_MOV[MÊS PAGAMENTO CORRESPONDENTE],L$6,LANÇ_MOV[EMPRESA],$C$4,LANÇ_MOV[CENTRO DE CUSTOS],$D$4)</f>
        <v>0</v>
      </c>
      <c r="M655" s="206">
        <f>SUMIFS(LANÇ_MOV[VALOR LÍQUIDO],LANÇ_MOV[RECEITA OU DESPESA],"Despesa",LANÇ_MOV[CONTAS],$C655,LANÇ_MOV[PLANO DE CONTAS],REL_DRE_FINANCEIRO!$B$651,LANÇ_MOV[ANO PAGAMENTO],$B$4,LANÇ_MOV[MÊS PAGAMENTO CORRESPONDENTE],M$6,LANÇ_MOV[EMPRESA],$C$4,LANÇ_MOV[CENTRO DE CUSTOS],$D$4)</f>
        <v>0</v>
      </c>
      <c r="N655" s="206">
        <f>SUMIFS(LANÇ_MOV[VALOR LÍQUIDO],LANÇ_MOV[RECEITA OU DESPESA],"Despesa",LANÇ_MOV[CONTAS],$C655,LANÇ_MOV[PLANO DE CONTAS],REL_DRE_FINANCEIRO!$B$651,LANÇ_MOV[ANO PAGAMENTO],$B$4,LANÇ_MOV[MÊS PAGAMENTO CORRESPONDENTE],N$6,LANÇ_MOV[EMPRESA],$C$4,LANÇ_MOV[CENTRO DE CUSTOS],$D$4)</f>
        <v>0</v>
      </c>
      <c r="O655" s="206">
        <f>SUMIFS(LANÇ_MOV[VALOR LÍQUIDO],LANÇ_MOV[RECEITA OU DESPESA],"Despesa",LANÇ_MOV[CONTAS],$C655,LANÇ_MOV[PLANO DE CONTAS],REL_DRE_FINANCEIRO!$B$651,LANÇ_MOV[ANO PAGAMENTO],$B$4,LANÇ_MOV[MÊS PAGAMENTO CORRESPONDENTE],O$6,LANÇ_MOV[EMPRESA],$C$4,LANÇ_MOV[CENTRO DE CUSTOS],$D$4)</f>
        <v>0</v>
      </c>
      <c r="P655" s="207">
        <f t="shared" si="88"/>
        <v>0</v>
      </c>
      <c r="Q655" s="329">
        <v>9.7000000000000003E-6</v>
      </c>
      <c r="R655" s="346">
        <f t="shared" si="89"/>
        <v>9.7000000000000003E-6</v>
      </c>
      <c r="S655" s="347" t="str">
        <f t="shared" si="90"/>
        <v>RESGATE APLICAÇÕES</v>
      </c>
      <c r="T655" s="347">
        <f t="shared" si="91"/>
        <v>0</v>
      </c>
      <c r="U655" s="347">
        <f>HLOOKUP(Apoio!$P$12,$D$650:$P$751,X655,FALSE)+Q655</f>
        <v>9.7000000000000003E-6</v>
      </c>
      <c r="V655" s="447" t="str">
        <f t="shared" si="92"/>
        <v>RESGATE APLICAÇÕES</v>
      </c>
      <c r="W655" s="448">
        <f>HLOOKUP(Apoio!$P$12,$D$650:$P$751,X655,FALSE)</f>
        <v>0</v>
      </c>
      <c r="X655" s="329">
        <v>6</v>
      </c>
      <c r="Y655" s="329">
        <v>4</v>
      </c>
      <c r="Z655" s="340" t="str">
        <f t="shared" si="93"/>
        <v>RESGATE APLICAÇÕES</v>
      </c>
      <c r="AA655" s="340">
        <f>VLOOKUP(Z655,$S$652:$T$751,2,FALSE)</f>
        <v>0</v>
      </c>
    </row>
    <row r="656" spans="2:27" ht="30.05" customHeight="1" x14ac:dyDescent="0.35">
      <c r="B656" s="204" t="str">
        <f>'CAD_PL_REC-DESP'!W9</f>
        <v>2.5.5</v>
      </c>
      <c r="C656" s="205" t="str">
        <f>IF('CAD_PL_REC-DESP'!X9="","-",'CAD_PL_REC-DESP'!X9)</f>
        <v>TARIFA BANCÁRIA</v>
      </c>
      <c r="D656" s="206">
        <f>SUMIFS(LANÇ_MOV[VALOR LÍQUIDO],LANÇ_MOV[RECEITA OU DESPESA],"Despesa",LANÇ_MOV[CONTAS],$C656,LANÇ_MOV[PLANO DE CONTAS],REL_DRE_FINANCEIRO!$B$651,LANÇ_MOV[ANO PAGAMENTO],$B$4,LANÇ_MOV[MÊS PAGAMENTO CORRESPONDENTE],D$6,LANÇ_MOV[EMPRESA],$C$4,LANÇ_MOV[CENTRO DE CUSTOS],$D$4)</f>
        <v>0</v>
      </c>
      <c r="E656" s="206">
        <f>SUMIFS(LANÇ_MOV[VALOR LÍQUIDO],LANÇ_MOV[RECEITA OU DESPESA],"Despesa",LANÇ_MOV[CONTAS],$C656,LANÇ_MOV[PLANO DE CONTAS],REL_DRE_FINANCEIRO!$B$651,LANÇ_MOV[ANO PAGAMENTO],$B$4,LANÇ_MOV[MÊS PAGAMENTO CORRESPONDENTE],E$6,LANÇ_MOV[EMPRESA],$C$4,LANÇ_MOV[CENTRO DE CUSTOS],$D$4)</f>
        <v>0</v>
      </c>
      <c r="F656" s="206">
        <f>SUMIFS(LANÇ_MOV[VALOR LÍQUIDO],LANÇ_MOV[RECEITA OU DESPESA],"Despesa",LANÇ_MOV[CONTAS],$C656,LANÇ_MOV[PLANO DE CONTAS],REL_DRE_FINANCEIRO!$B$651,LANÇ_MOV[ANO PAGAMENTO],$B$4,LANÇ_MOV[MÊS PAGAMENTO CORRESPONDENTE],F$6,LANÇ_MOV[EMPRESA],$C$4,LANÇ_MOV[CENTRO DE CUSTOS],$D$4)</f>
        <v>0</v>
      </c>
      <c r="G656" s="206">
        <f>SUMIFS(LANÇ_MOV[VALOR LÍQUIDO],LANÇ_MOV[RECEITA OU DESPESA],"Despesa",LANÇ_MOV[CONTAS],$C656,LANÇ_MOV[PLANO DE CONTAS],REL_DRE_FINANCEIRO!$B$651,LANÇ_MOV[ANO PAGAMENTO],$B$4,LANÇ_MOV[MÊS PAGAMENTO CORRESPONDENTE],G$6,LANÇ_MOV[EMPRESA],$C$4,LANÇ_MOV[CENTRO DE CUSTOS],$D$4)</f>
        <v>0</v>
      </c>
      <c r="H656" s="206">
        <f>SUMIFS(LANÇ_MOV[VALOR LÍQUIDO],LANÇ_MOV[RECEITA OU DESPESA],"Despesa",LANÇ_MOV[CONTAS],$C656,LANÇ_MOV[PLANO DE CONTAS],REL_DRE_FINANCEIRO!$B$651,LANÇ_MOV[ANO PAGAMENTO],$B$4,LANÇ_MOV[MÊS PAGAMENTO CORRESPONDENTE],H$6,LANÇ_MOV[EMPRESA],$C$4,LANÇ_MOV[CENTRO DE CUSTOS],$D$4)</f>
        <v>0</v>
      </c>
      <c r="I656" s="206">
        <f>SUMIFS(LANÇ_MOV[VALOR LÍQUIDO],LANÇ_MOV[RECEITA OU DESPESA],"Despesa",LANÇ_MOV[CONTAS],$C656,LANÇ_MOV[PLANO DE CONTAS],REL_DRE_FINANCEIRO!$B$651,LANÇ_MOV[ANO PAGAMENTO],$B$4,LANÇ_MOV[MÊS PAGAMENTO CORRESPONDENTE],I$6,LANÇ_MOV[EMPRESA],$C$4,LANÇ_MOV[CENTRO DE CUSTOS],$D$4)</f>
        <v>0</v>
      </c>
      <c r="J656" s="206">
        <f>SUMIFS(LANÇ_MOV[VALOR LÍQUIDO],LANÇ_MOV[RECEITA OU DESPESA],"Despesa",LANÇ_MOV[CONTAS],$C656,LANÇ_MOV[PLANO DE CONTAS],REL_DRE_FINANCEIRO!$B$651,LANÇ_MOV[ANO PAGAMENTO],$B$4,LANÇ_MOV[MÊS PAGAMENTO CORRESPONDENTE],J$6,LANÇ_MOV[EMPRESA],$C$4,LANÇ_MOV[CENTRO DE CUSTOS],$D$4)</f>
        <v>0</v>
      </c>
      <c r="K656" s="206">
        <f>SUMIFS(LANÇ_MOV[VALOR LÍQUIDO],LANÇ_MOV[RECEITA OU DESPESA],"Despesa",LANÇ_MOV[CONTAS],$C656,LANÇ_MOV[PLANO DE CONTAS],REL_DRE_FINANCEIRO!$B$651,LANÇ_MOV[ANO PAGAMENTO],$B$4,LANÇ_MOV[MÊS PAGAMENTO CORRESPONDENTE],K$6,LANÇ_MOV[EMPRESA],$C$4,LANÇ_MOV[CENTRO DE CUSTOS],$D$4)</f>
        <v>0</v>
      </c>
      <c r="L656" s="206">
        <f>SUMIFS(LANÇ_MOV[VALOR LÍQUIDO],LANÇ_MOV[RECEITA OU DESPESA],"Despesa",LANÇ_MOV[CONTAS],$C656,LANÇ_MOV[PLANO DE CONTAS],REL_DRE_FINANCEIRO!$B$651,LANÇ_MOV[ANO PAGAMENTO],$B$4,LANÇ_MOV[MÊS PAGAMENTO CORRESPONDENTE],L$6,LANÇ_MOV[EMPRESA],$C$4,LANÇ_MOV[CENTRO DE CUSTOS],$D$4)</f>
        <v>0</v>
      </c>
      <c r="M656" s="206">
        <f>SUMIFS(LANÇ_MOV[VALOR LÍQUIDO],LANÇ_MOV[RECEITA OU DESPESA],"Despesa",LANÇ_MOV[CONTAS],$C656,LANÇ_MOV[PLANO DE CONTAS],REL_DRE_FINANCEIRO!$B$651,LANÇ_MOV[ANO PAGAMENTO],$B$4,LANÇ_MOV[MÊS PAGAMENTO CORRESPONDENTE],M$6,LANÇ_MOV[EMPRESA],$C$4,LANÇ_MOV[CENTRO DE CUSTOS],$D$4)</f>
        <v>0</v>
      </c>
      <c r="N656" s="206">
        <f>SUMIFS(LANÇ_MOV[VALOR LÍQUIDO],LANÇ_MOV[RECEITA OU DESPESA],"Despesa",LANÇ_MOV[CONTAS],$C656,LANÇ_MOV[PLANO DE CONTAS],REL_DRE_FINANCEIRO!$B$651,LANÇ_MOV[ANO PAGAMENTO],$B$4,LANÇ_MOV[MÊS PAGAMENTO CORRESPONDENTE],N$6,LANÇ_MOV[EMPRESA],$C$4,LANÇ_MOV[CENTRO DE CUSTOS],$D$4)</f>
        <v>0</v>
      </c>
      <c r="O656" s="206">
        <f>SUMIFS(LANÇ_MOV[VALOR LÍQUIDO],LANÇ_MOV[RECEITA OU DESPESA],"Despesa",LANÇ_MOV[CONTAS],$C656,LANÇ_MOV[PLANO DE CONTAS],REL_DRE_FINANCEIRO!$B$651,LANÇ_MOV[ANO PAGAMENTO],$B$4,LANÇ_MOV[MÊS PAGAMENTO CORRESPONDENTE],O$6,LANÇ_MOV[EMPRESA],$C$4,LANÇ_MOV[CENTRO DE CUSTOS],$D$4)</f>
        <v>0</v>
      </c>
      <c r="P656" s="207">
        <f t="shared" si="88"/>
        <v>0</v>
      </c>
      <c r="Q656" s="329">
        <v>9.5999999999999996E-6</v>
      </c>
      <c r="R656" s="346">
        <f t="shared" si="89"/>
        <v>9.5999999999999996E-6</v>
      </c>
      <c r="S656" s="347" t="str">
        <f t="shared" si="90"/>
        <v>TARIFA BANCÁRIA</v>
      </c>
      <c r="T656" s="347">
        <f t="shared" si="91"/>
        <v>0</v>
      </c>
      <c r="U656" s="347">
        <f>HLOOKUP(Apoio!$P$12,$D$650:$P$751,X656,FALSE)+Q656</f>
        <v>9.5999999999999996E-6</v>
      </c>
      <c r="V656" s="447" t="str">
        <f t="shared" si="92"/>
        <v>TARIFA BANCÁRIA</v>
      </c>
      <c r="W656" s="448">
        <f>HLOOKUP(Apoio!$P$12,$D$650:$P$751,X656,FALSE)</f>
        <v>0</v>
      </c>
      <c r="X656" s="329">
        <v>7</v>
      </c>
      <c r="Y656" s="329">
        <v>5</v>
      </c>
      <c r="Z656" s="340" t="str">
        <f t="shared" si="93"/>
        <v>TARIFA BANCÁRIA</v>
      </c>
      <c r="AA656" s="340">
        <f>VLOOKUP(Z656,$S$652:$T$751,2,FALSE)</f>
        <v>0</v>
      </c>
    </row>
    <row r="657" spans="2:27" ht="30.05" customHeight="1" x14ac:dyDescent="0.35">
      <c r="B657" s="204" t="str">
        <f>'CAD_PL_REC-DESP'!W10</f>
        <v>2.5.6</v>
      </c>
      <c r="C657" s="205" t="str">
        <f>IF('CAD_PL_REC-DESP'!X10="","-",'CAD_PL_REC-DESP'!X10)</f>
        <v>TARIFA PIX</v>
      </c>
      <c r="D657" s="206">
        <f>SUMIFS(LANÇ_MOV[VALOR LÍQUIDO],LANÇ_MOV[RECEITA OU DESPESA],"Despesa",LANÇ_MOV[CONTAS],$C657,LANÇ_MOV[PLANO DE CONTAS],REL_DRE_FINANCEIRO!$B$651,LANÇ_MOV[ANO PAGAMENTO],$B$4,LANÇ_MOV[MÊS PAGAMENTO CORRESPONDENTE],D$6,LANÇ_MOV[EMPRESA],$C$4,LANÇ_MOV[CENTRO DE CUSTOS],$D$4)</f>
        <v>0</v>
      </c>
      <c r="E657" s="206">
        <f>SUMIFS(LANÇ_MOV[VALOR LÍQUIDO],LANÇ_MOV[RECEITA OU DESPESA],"Despesa",LANÇ_MOV[CONTAS],$C657,LANÇ_MOV[PLANO DE CONTAS],REL_DRE_FINANCEIRO!$B$651,LANÇ_MOV[ANO PAGAMENTO],$B$4,LANÇ_MOV[MÊS PAGAMENTO CORRESPONDENTE],E$6,LANÇ_MOV[EMPRESA],$C$4,LANÇ_MOV[CENTRO DE CUSTOS],$D$4)</f>
        <v>0</v>
      </c>
      <c r="F657" s="206">
        <f>SUMIFS(LANÇ_MOV[VALOR LÍQUIDO],LANÇ_MOV[RECEITA OU DESPESA],"Despesa",LANÇ_MOV[CONTAS],$C657,LANÇ_MOV[PLANO DE CONTAS],REL_DRE_FINANCEIRO!$B$651,LANÇ_MOV[ANO PAGAMENTO],$B$4,LANÇ_MOV[MÊS PAGAMENTO CORRESPONDENTE],F$6,LANÇ_MOV[EMPRESA],$C$4,LANÇ_MOV[CENTRO DE CUSTOS],$D$4)</f>
        <v>0</v>
      </c>
      <c r="G657" s="206">
        <f>SUMIFS(LANÇ_MOV[VALOR LÍQUIDO],LANÇ_MOV[RECEITA OU DESPESA],"Despesa",LANÇ_MOV[CONTAS],$C657,LANÇ_MOV[PLANO DE CONTAS],REL_DRE_FINANCEIRO!$B$651,LANÇ_MOV[ANO PAGAMENTO],$B$4,LANÇ_MOV[MÊS PAGAMENTO CORRESPONDENTE],G$6,LANÇ_MOV[EMPRESA],$C$4,LANÇ_MOV[CENTRO DE CUSTOS],$D$4)</f>
        <v>0</v>
      </c>
      <c r="H657" s="206">
        <f>SUMIFS(LANÇ_MOV[VALOR LÍQUIDO],LANÇ_MOV[RECEITA OU DESPESA],"Despesa",LANÇ_MOV[CONTAS],$C657,LANÇ_MOV[PLANO DE CONTAS],REL_DRE_FINANCEIRO!$B$651,LANÇ_MOV[ANO PAGAMENTO],$B$4,LANÇ_MOV[MÊS PAGAMENTO CORRESPONDENTE],H$6,LANÇ_MOV[EMPRESA],$C$4,LANÇ_MOV[CENTRO DE CUSTOS],$D$4)</f>
        <v>0</v>
      </c>
      <c r="I657" s="206">
        <f>SUMIFS(LANÇ_MOV[VALOR LÍQUIDO],LANÇ_MOV[RECEITA OU DESPESA],"Despesa",LANÇ_MOV[CONTAS],$C657,LANÇ_MOV[PLANO DE CONTAS],REL_DRE_FINANCEIRO!$B$651,LANÇ_MOV[ANO PAGAMENTO],$B$4,LANÇ_MOV[MÊS PAGAMENTO CORRESPONDENTE],I$6,LANÇ_MOV[EMPRESA],$C$4,LANÇ_MOV[CENTRO DE CUSTOS],$D$4)</f>
        <v>0</v>
      </c>
      <c r="J657" s="206">
        <f>SUMIFS(LANÇ_MOV[VALOR LÍQUIDO],LANÇ_MOV[RECEITA OU DESPESA],"Despesa",LANÇ_MOV[CONTAS],$C657,LANÇ_MOV[PLANO DE CONTAS],REL_DRE_FINANCEIRO!$B$651,LANÇ_MOV[ANO PAGAMENTO],$B$4,LANÇ_MOV[MÊS PAGAMENTO CORRESPONDENTE],J$6,LANÇ_MOV[EMPRESA],$C$4,LANÇ_MOV[CENTRO DE CUSTOS],$D$4)</f>
        <v>0</v>
      </c>
      <c r="K657" s="206">
        <f>SUMIFS(LANÇ_MOV[VALOR LÍQUIDO],LANÇ_MOV[RECEITA OU DESPESA],"Despesa",LANÇ_MOV[CONTAS],$C657,LANÇ_MOV[PLANO DE CONTAS],REL_DRE_FINANCEIRO!$B$651,LANÇ_MOV[ANO PAGAMENTO],$B$4,LANÇ_MOV[MÊS PAGAMENTO CORRESPONDENTE],K$6,LANÇ_MOV[EMPRESA],$C$4,LANÇ_MOV[CENTRO DE CUSTOS],$D$4)</f>
        <v>0</v>
      </c>
      <c r="L657" s="206">
        <f>SUMIFS(LANÇ_MOV[VALOR LÍQUIDO],LANÇ_MOV[RECEITA OU DESPESA],"Despesa",LANÇ_MOV[CONTAS],$C657,LANÇ_MOV[PLANO DE CONTAS],REL_DRE_FINANCEIRO!$B$651,LANÇ_MOV[ANO PAGAMENTO],$B$4,LANÇ_MOV[MÊS PAGAMENTO CORRESPONDENTE],L$6,LANÇ_MOV[EMPRESA],$C$4,LANÇ_MOV[CENTRO DE CUSTOS],$D$4)</f>
        <v>0</v>
      </c>
      <c r="M657" s="206">
        <f>SUMIFS(LANÇ_MOV[VALOR LÍQUIDO],LANÇ_MOV[RECEITA OU DESPESA],"Despesa",LANÇ_MOV[CONTAS],$C657,LANÇ_MOV[PLANO DE CONTAS],REL_DRE_FINANCEIRO!$B$651,LANÇ_MOV[ANO PAGAMENTO],$B$4,LANÇ_MOV[MÊS PAGAMENTO CORRESPONDENTE],M$6,LANÇ_MOV[EMPRESA],$C$4,LANÇ_MOV[CENTRO DE CUSTOS],$D$4)</f>
        <v>0</v>
      </c>
      <c r="N657" s="206">
        <f>SUMIFS(LANÇ_MOV[VALOR LÍQUIDO],LANÇ_MOV[RECEITA OU DESPESA],"Despesa",LANÇ_MOV[CONTAS],$C657,LANÇ_MOV[PLANO DE CONTAS],REL_DRE_FINANCEIRO!$B$651,LANÇ_MOV[ANO PAGAMENTO],$B$4,LANÇ_MOV[MÊS PAGAMENTO CORRESPONDENTE],N$6,LANÇ_MOV[EMPRESA],$C$4,LANÇ_MOV[CENTRO DE CUSTOS],$D$4)</f>
        <v>0</v>
      </c>
      <c r="O657" s="206">
        <f>SUMIFS(LANÇ_MOV[VALOR LÍQUIDO],LANÇ_MOV[RECEITA OU DESPESA],"Despesa",LANÇ_MOV[CONTAS],$C657,LANÇ_MOV[PLANO DE CONTAS],REL_DRE_FINANCEIRO!$B$651,LANÇ_MOV[ANO PAGAMENTO],$B$4,LANÇ_MOV[MÊS PAGAMENTO CORRESPONDENTE],O$6,LANÇ_MOV[EMPRESA],$C$4,LANÇ_MOV[CENTRO DE CUSTOS],$D$4)</f>
        <v>0</v>
      </c>
      <c r="P657" s="207">
        <f t="shared" si="88"/>
        <v>0</v>
      </c>
      <c r="Q657" s="329">
        <v>9.5000000000000005E-6</v>
      </c>
      <c r="R657" s="346">
        <f t="shared" si="89"/>
        <v>9.5000000000000005E-6</v>
      </c>
      <c r="S657" s="347" t="str">
        <f t="shared" si="90"/>
        <v>TARIFA PIX</v>
      </c>
      <c r="T657" s="347">
        <f t="shared" si="91"/>
        <v>0</v>
      </c>
      <c r="U657" s="347">
        <f>HLOOKUP(Apoio!$P$12,$D$650:$P$751,X657,FALSE)+Q657</f>
        <v>9.5000000000000005E-6</v>
      </c>
      <c r="V657" s="447" t="str">
        <f t="shared" si="92"/>
        <v>TARIFA PIX</v>
      </c>
      <c r="W657" s="448">
        <f>HLOOKUP(Apoio!$P$12,$D$650:$P$751,X657,FALSE)</f>
        <v>0</v>
      </c>
      <c r="X657" s="329">
        <v>8</v>
      </c>
      <c r="Z657" s="340" t="s">
        <v>1121</v>
      </c>
      <c r="AA657" s="340" t="s">
        <v>1123</v>
      </c>
    </row>
    <row r="658" spans="2:27" ht="30.05" customHeight="1" x14ac:dyDescent="0.35">
      <c r="B658" s="204" t="str">
        <f>'CAD_PL_REC-DESP'!W11</f>
        <v>2.5.7</v>
      </c>
      <c r="C658" s="205" t="str">
        <f>IF('CAD_PL_REC-DESP'!X11="","-",'CAD_PL_REC-DESP'!X11)</f>
        <v>-</v>
      </c>
      <c r="D658" s="206">
        <f>SUMIFS(LANÇ_MOV[VALOR LÍQUIDO],LANÇ_MOV[RECEITA OU DESPESA],"Despesa",LANÇ_MOV[CONTAS],$C658,LANÇ_MOV[PLANO DE CONTAS],REL_DRE_FINANCEIRO!$B$651,LANÇ_MOV[ANO PAGAMENTO],$B$4,LANÇ_MOV[MÊS PAGAMENTO CORRESPONDENTE],D$6,LANÇ_MOV[EMPRESA],$C$4,LANÇ_MOV[CENTRO DE CUSTOS],$D$4)</f>
        <v>0</v>
      </c>
      <c r="E658" s="206">
        <f>SUMIFS(LANÇ_MOV[VALOR LÍQUIDO],LANÇ_MOV[RECEITA OU DESPESA],"Despesa",LANÇ_MOV[CONTAS],$C658,LANÇ_MOV[PLANO DE CONTAS],REL_DRE_FINANCEIRO!$B$651,LANÇ_MOV[ANO PAGAMENTO],$B$4,LANÇ_MOV[MÊS PAGAMENTO CORRESPONDENTE],E$6,LANÇ_MOV[EMPRESA],$C$4,LANÇ_MOV[CENTRO DE CUSTOS],$D$4)</f>
        <v>0</v>
      </c>
      <c r="F658" s="206">
        <f>SUMIFS(LANÇ_MOV[VALOR LÍQUIDO],LANÇ_MOV[RECEITA OU DESPESA],"Despesa",LANÇ_MOV[CONTAS],$C658,LANÇ_MOV[PLANO DE CONTAS],REL_DRE_FINANCEIRO!$B$651,LANÇ_MOV[ANO PAGAMENTO],$B$4,LANÇ_MOV[MÊS PAGAMENTO CORRESPONDENTE],F$6,LANÇ_MOV[EMPRESA],$C$4,LANÇ_MOV[CENTRO DE CUSTOS],$D$4)</f>
        <v>0</v>
      </c>
      <c r="G658" s="206">
        <f>SUMIFS(LANÇ_MOV[VALOR LÍQUIDO],LANÇ_MOV[RECEITA OU DESPESA],"Despesa",LANÇ_MOV[CONTAS],$C658,LANÇ_MOV[PLANO DE CONTAS],REL_DRE_FINANCEIRO!$B$651,LANÇ_MOV[ANO PAGAMENTO],$B$4,LANÇ_MOV[MÊS PAGAMENTO CORRESPONDENTE],G$6,LANÇ_MOV[EMPRESA],$C$4,LANÇ_MOV[CENTRO DE CUSTOS],$D$4)</f>
        <v>0</v>
      </c>
      <c r="H658" s="206">
        <f>SUMIFS(LANÇ_MOV[VALOR LÍQUIDO],LANÇ_MOV[RECEITA OU DESPESA],"Despesa",LANÇ_MOV[CONTAS],$C658,LANÇ_MOV[PLANO DE CONTAS],REL_DRE_FINANCEIRO!$B$651,LANÇ_MOV[ANO PAGAMENTO],$B$4,LANÇ_MOV[MÊS PAGAMENTO CORRESPONDENTE],H$6,LANÇ_MOV[EMPRESA],$C$4,LANÇ_MOV[CENTRO DE CUSTOS],$D$4)</f>
        <v>0</v>
      </c>
      <c r="I658" s="206">
        <f>SUMIFS(LANÇ_MOV[VALOR LÍQUIDO],LANÇ_MOV[RECEITA OU DESPESA],"Despesa",LANÇ_MOV[CONTAS],$C658,LANÇ_MOV[PLANO DE CONTAS],REL_DRE_FINANCEIRO!$B$651,LANÇ_MOV[ANO PAGAMENTO],$B$4,LANÇ_MOV[MÊS PAGAMENTO CORRESPONDENTE],I$6,LANÇ_MOV[EMPRESA],$C$4,LANÇ_MOV[CENTRO DE CUSTOS],$D$4)</f>
        <v>0</v>
      </c>
      <c r="J658" s="206">
        <f>SUMIFS(LANÇ_MOV[VALOR LÍQUIDO],LANÇ_MOV[RECEITA OU DESPESA],"Despesa",LANÇ_MOV[CONTAS],$C658,LANÇ_MOV[PLANO DE CONTAS],REL_DRE_FINANCEIRO!$B$651,LANÇ_MOV[ANO PAGAMENTO],$B$4,LANÇ_MOV[MÊS PAGAMENTO CORRESPONDENTE],J$6,LANÇ_MOV[EMPRESA],$C$4,LANÇ_MOV[CENTRO DE CUSTOS],$D$4)</f>
        <v>0</v>
      </c>
      <c r="K658" s="206">
        <f>SUMIFS(LANÇ_MOV[VALOR LÍQUIDO],LANÇ_MOV[RECEITA OU DESPESA],"Despesa",LANÇ_MOV[CONTAS],$C658,LANÇ_MOV[PLANO DE CONTAS],REL_DRE_FINANCEIRO!$B$651,LANÇ_MOV[ANO PAGAMENTO],$B$4,LANÇ_MOV[MÊS PAGAMENTO CORRESPONDENTE],K$6,LANÇ_MOV[EMPRESA],$C$4,LANÇ_MOV[CENTRO DE CUSTOS],$D$4)</f>
        <v>0</v>
      </c>
      <c r="L658" s="206">
        <f>SUMIFS(LANÇ_MOV[VALOR LÍQUIDO],LANÇ_MOV[RECEITA OU DESPESA],"Despesa",LANÇ_MOV[CONTAS],$C658,LANÇ_MOV[PLANO DE CONTAS],REL_DRE_FINANCEIRO!$B$651,LANÇ_MOV[ANO PAGAMENTO],$B$4,LANÇ_MOV[MÊS PAGAMENTO CORRESPONDENTE],L$6,LANÇ_MOV[EMPRESA],$C$4,LANÇ_MOV[CENTRO DE CUSTOS],$D$4)</f>
        <v>0</v>
      </c>
      <c r="M658" s="206">
        <f>SUMIFS(LANÇ_MOV[VALOR LÍQUIDO],LANÇ_MOV[RECEITA OU DESPESA],"Despesa",LANÇ_MOV[CONTAS],$C658,LANÇ_MOV[PLANO DE CONTAS],REL_DRE_FINANCEIRO!$B$651,LANÇ_MOV[ANO PAGAMENTO],$B$4,LANÇ_MOV[MÊS PAGAMENTO CORRESPONDENTE],M$6,LANÇ_MOV[EMPRESA],$C$4,LANÇ_MOV[CENTRO DE CUSTOS],$D$4)</f>
        <v>0</v>
      </c>
      <c r="N658" s="206">
        <f>SUMIFS(LANÇ_MOV[VALOR LÍQUIDO],LANÇ_MOV[RECEITA OU DESPESA],"Despesa",LANÇ_MOV[CONTAS],$C658,LANÇ_MOV[PLANO DE CONTAS],REL_DRE_FINANCEIRO!$B$651,LANÇ_MOV[ANO PAGAMENTO],$B$4,LANÇ_MOV[MÊS PAGAMENTO CORRESPONDENTE],N$6,LANÇ_MOV[EMPRESA],$C$4,LANÇ_MOV[CENTRO DE CUSTOS],$D$4)</f>
        <v>0</v>
      </c>
      <c r="O658" s="206">
        <f>SUMIFS(LANÇ_MOV[VALOR LÍQUIDO],LANÇ_MOV[RECEITA OU DESPESA],"Despesa",LANÇ_MOV[CONTAS],$C658,LANÇ_MOV[PLANO DE CONTAS],REL_DRE_FINANCEIRO!$B$651,LANÇ_MOV[ANO PAGAMENTO],$B$4,LANÇ_MOV[MÊS PAGAMENTO CORRESPONDENTE],O$6,LANÇ_MOV[EMPRESA],$C$4,LANÇ_MOV[CENTRO DE CUSTOS],$D$4)</f>
        <v>0</v>
      </c>
      <c r="P658" s="207">
        <f t="shared" si="88"/>
        <v>0</v>
      </c>
      <c r="Q658" s="329">
        <v>9.3999999999999998E-6</v>
      </c>
      <c r="R658" s="346">
        <f t="shared" si="89"/>
        <v>9.3999999999999998E-6</v>
      </c>
      <c r="S658" s="347" t="str">
        <f t="shared" si="90"/>
        <v>-</v>
      </c>
      <c r="T658" s="347">
        <f t="shared" si="91"/>
        <v>0</v>
      </c>
      <c r="U658" s="347">
        <f>HLOOKUP(Apoio!$P$12,$D$650:$P$751,X658,FALSE)+Q658</f>
        <v>9.3999999999999998E-6</v>
      </c>
      <c r="V658" s="447" t="str">
        <f t="shared" si="92"/>
        <v>-</v>
      </c>
      <c r="W658" s="448">
        <f>HLOOKUP(Apoio!$P$12,$D$650:$P$751,X658,FALSE)</f>
        <v>0</v>
      </c>
      <c r="X658" s="329">
        <v>9</v>
      </c>
      <c r="Y658" s="329">
        <v>1</v>
      </c>
      <c r="Z658" s="340" t="str">
        <f t="shared" si="93"/>
        <v>DEVOLUÇÃO DE EMPRÉSTIMO</v>
      </c>
      <c r="AA658" s="340">
        <f>VLOOKUP(Z658,$V$652:$W$751,2,FALSE)</f>
        <v>0</v>
      </c>
    </row>
    <row r="659" spans="2:27" ht="30.05" customHeight="1" x14ac:dyDescent="0.35">
      <c r="B659" s="204" t="str">
        <f>'CAD_PL_REC-DESP'!W12</f>
        <v>2.5.8</v>
      </c>
      <c r="C659" s="205" t="str">
        <f>IF('CAD_PL_REC-DESP'!X12="","-",'CAD_PL_REC-DESP'!X12)</f>
        <v>-</v>
      </c>
      <c r="D659" s="206">
        <f>SUMIFS(LANÇ_MOV[VALOR LÍQUIDO],LANÇ_MOV[RECEITA OU DESPESA],"Despesa",LANÇ_MOV[CONTAS],$C659,LANÇ_MOV[PLANO DE CONTAS],REL_DRE_FINANCEIRO!$B$651,LANÇ_MOV[ANO PAGAMENTO],$B$4,LANÇ_MOV[MÊS PAGAMENTO CORRESPONDENTE],D$6,LANÇ_MOV[EMPRESA],$C$4,LANÇ_MOV[CENTRO DE CUSTOS],$D$4)</f>
        <v>0</v>
      </c>
      <c r="E659" s="206">
        <f>SUMIFS(LANÇ_MOV[VALOR LÍQUIDO],LANÇ_MOV[RECEITA OU DESPESA],"Despesa",LANÇ_MOV[CONTAS],$C659,LANÇ_MOV[PLANO DE CONTAS],REL_DRE_FINANCEIRO!$B$651,LANÇ_MOV[ANO PAGAMENTO],$B$4,LANÇ_MOV[MÊS PAGAMENTO CORRESPONDENTE],E$6,LANÇ_MOV[EMPRESA],$C$4,LANÇ_MOV[CENTRO DE CUSTOS],$D$4)</f>
        <v>0</v>
      </c>
      <c r="F659" s="206">
        <f>SUMIFS(LANÇ_MOV[VALOR LÍQUIDO],LANÇ_MOV[RECEITA OU DESPESA],"Despesa",LANÇ_MOV[CONTAS],$C659,LANÇ_MOV[PLANO DE CONTAS],REL_DRE_FINANCEIRO!$B$651,LANÇ_MOV[ANO PAGAMENTO],$B$4,LANÇ_MOV[MÊS PAGAMENTO CORRESPONDENTE],F$6,LANÇ_MOV[EMPRESA],$C$4,LANÇ_MOV[CENTRO DE CUSTOS],$D$4)</f>
        <v>0</v>
      </c>
      <c r="G659" s="206">
        <f>SUMIFS(LANÇ_MOV[VALOR LÍQUIDO],LANÇ_MOV[RECEITA OU DESPESA],"Despesa",LANÇ_MOV[CONTAS],$C659,LANÇ_MOV[PLANO DE CONTAS],REL_DRE_FINANCEIRO!$B$651,LANÇ_MOV[ANO PAGAMENTO],$B$4,LANÇ_MOV[MÊS PAGAMENTO CORRESPONDENTE],G$6,LANÇ_MOV[EMPRESA],$C$4,LANÇ_MOV[CENTRO DE CUSTOS],$D$4)</f>
        <v>0</v>
      </c>
      <c r="H659" s="206">
        <f>SUMIFS(LANÇ_MOV[VALOR LÍQUIDO],LANÇ_MOV[RECEITA OU DESPESA],"Despesa",LANÇ_MOV[CONTAS],$C659,LANÇ_MOV[PLANO DE CONTAS],REL_DRE_FINANCEIRO!$B$651,LANÇ_MOV[ANO PAGAMENTO],$B$4,LANÇ_MOV[MÊS PAGAMENTO CORRESPONDENTE],H$6,LANÇ_MOV[EMPRESA],$C$4,LANÇ_MOV[CENTRO DE CUSTOS],$D$4)</f>
        <v>0</v>
      </c>
      <c r="I659" s="206">
        <f>SUMIFS(LANÇ_MOV[VALOR LÍQUIDO],LANÇ_MOV[RECEITA OU DESPESA],"Despesa",LANÇ_MOV[CONTAS],$C659,LANÇ_MOV[PLANO DE CONTAS],REL_DRE_FINANCEIRO!$B$651,LANÇ_MOV[ANO PAGAMENTO],$B$4,LANÇ_MOV[MÊS PAGAMENTO CORRESPONDENTE],I$6,LANÇ_MOV[EMPRESA],$C$4,LANÇ_MOV[CENTRO DE CUSTOS],$D$4)</f>
        <v>0</v>
      </c>
      <c r="J659" s="206">
        <f>SUMIFS(LANÇ_MOV[VALOR LÍQUIDO],LANÇ_MOV[RECEITA OU DESPESA],"Despesa",LANÇ_MOV[CONTAS],$C659,LANÇ_MOV[PLANO DE CONTAS],REL_DRE_FINANCEIRO!$B$651,LANÇ_MOV[ANO PAGAMENTO],$B$4,LANÇ_MOV[MÊS PAGAMENTO CORRESPONDENTE],J$6,LANÇ_MOV[EMPRESA],$C$4,LANÇ_MOV[CENTRO DE CUSTOS],$D$4)</f>
        <v>0</v>
      </c>
      <c r="K659" s="206">
        <f>SUMIFS(LANÇ_MOV[VALOR LÍQUIDO],LANÇ_MOV[RECEITA OU DESPESA],"Despesa",LANÇ_MOV[CONTAS],$C659,LANÇ_MOV[PLANO DE CONTAS],REL_DRE_FINANCEIRO!$B$651,LANÇ_MOV[ANO PAGAMENTO],$B$4,LANÇ_MOV[MÊS PAGAMENTO CORRESPONDENTE],K$6,LANÇ_MOV[EMPRESA],$C$4,LANÇ_MOV[CENTRO DE CUSTOS],$D$4)</f>
        <v>0</v>
      </c>
      <c r="L659" s="206">
        <f>SUMIFS(LANÇ_MOV[VALOR LÍQUIDO],LANÇ_MOV[RECEITA OU DESPESA],"Despesa",LANÇ_MOV[CONTAS],$C659,LANÇ_MOV[PLANO DE CONTAS],REL_DRE_FINANCEIRO!$B$651,LANÇ_MOV[ANO PAGAMENTO],$B$4,LANÇ_MOV[MÊS PAGAMENTO CORRESPONDENTE],L$6,LANÇ_MOV[EMPRESA],$C$4,LANÇ_MOV[CENTRO DE CUSTOS],$D$4)</f>
        <v>0</v>
      </c>
      <c r="M659" s="206">
        <f>SUMIFS(LANÇ_MOV[VALOR LÍQUIDO],LANÇ_MOV[RECEITA OU DESPESA],"Despesa",LANÇ_MOV[CONTAS],$C659,LANÇ_MOV[PLANO DE CONTAS],REL_DRE_FINANCEIRO!$B$651,LANÇ_MOV[ANO PAGAMENTO],$B$4,LANÇ_MOV[MÊS PAGAMENTO CORRESPONDENTE],M$6,LANÇ_MOV[EMPRESA],$C$4,LANÇ_MOV[CENTRO DE CUSTOS],$D$4)</f>
        <v>0</v>
      </c>
      <c r="N659" s="206">
        <f>SUMIFS(LANÇ_MOV[VALOR LÍQUIDO],LANÇ_MOV[RECEITA OU DESPESA],"Despesa",LANÇ_MOV[CONTAS],$C659,LANÇ_MOV[PLANO DE CONTAS],REL_DRE_FINANCEIRO!$B$651,LANÇ_MOV[ANO PAGAMENTO],$B$4,LANÇ_MOV[MÊS PAGAMENTO CORRESPONDENTE],N$6,LANÇ_MOV[EMPRESA],$C$4,LANÇ_MOV[CENTRO DE CUSTOS],$D$4)</f>
        <v>0</v>
      </c>
      <c r="O659" s="206">
        <f>SUMIFS(LANÇ_MOV[VALOR LÍQUIDO],LANÇ_MOV[RECEITA OU DESPESA],"Despesa",LANÇ_MOV[CONTAS],$C659,LANÇ_MOV[PLANO DE CONTAS],REL_DRE_FINANCEIRO!$B$651,LANÇ_MOV[ANO PAGAMENTO],$B$4,LANÇ_MOV[MÊS PAGAMENTO CORRESPONDENTE],O$6,LANÇ_MOV[EMPRESA],$C$4,LANÇ_MOV[CENTRO DE CUSTOS],$D$4)</f>
        <v>0</v>
      </c>
      <c r="P659" s="207">
        <f t="shared" si="88"/>
        <v>0</v>
      </c>
      <c r="Q659" s="329">
        <v>9.3000000000000007E-6</v>
      </c>
      <c r="R659" s="346">
        <f t="shared" si="89"/>
        <v>9.3000000000000007E-6</v>
      </c>
      <c r="S659" s="347" t="str">
        <f t="shared" si="90"/>
        <v>-</v>
      </c>
      <c r="T659" s="347">
        <f t="shared" si="91"/>
        <v>0</v>
      </c>
      <c r="U659" s="347">
        <f>HLOOKUP(Apoio!$P$12,$D$650:$P$751,X659,FALSE)+Q659</f>
        <v>9.3000000000000007E-6</v>
      </c>
      <c r="V659" s="447" t="str">
        <f t="shared" si="92"/>
        <v>-</v>
      </c>
      <c r="W659" s="448">
        <f>HLOOKUP(Apoio!$P$12,$D$650:$P$751,X659,FALSE)</f>
        <v>0</v>
      </c>
      <c r="X659" s="329">
        <v>10</v>
      </c>
      <c r="Y659" s="329">
        <v>2</v>
      </c>
      <c r="Z659" s="340" t="str">
        <f t="shared" si="93"/>
        <v>MATERIAIS DE USO E CONSUMO</v>
      </c>
      <c r="AA659" s="340">
        <f>VLOOKUP(Z659,$V$652:$W$751,2,FALSE)</f>
        <v>0</v>
      </c>
    </row>
    <row r="660" spans="2:27" ht="30.05" customHeight="1" x14ac:dyDescent="0.35">
      <c r="B660" s="204" t="str">
        <f>'CAD_PL_REC-DESP'!W13</f>
        <v>2.5.9</v>
      </c>
      <c r="C660" s="205" t="str">
        <f>IF('CAD_PL_REC-DESP'!X13="","-",'CAD_PL_REC-DESP'!X13)</f>
        <v>-</v>
      </c>
      <c r="D660" s="206">
        <f>SUMIFS(LANÇ_MOV[VALOR LÍQUIDO],LANÇ_MOV[RECEITA OU DESPESA],"Despesa",LANÇ_MOV[CONTAS],$C660,LANÇ_MOV[PLANO DE CONTAS],REL_DRE_FINANCEIRO!$B$651,LANÇ_MOV[ANO PAGAMENTO],$B$4,LANÇ_MOV[MÊS PAGAMENTO CORRESPONDENTE],D$6,LANÇ_MOV[EMPRESA],$C$4,LANÇ_MOV[CENTRO DE CUSTOS],$D$4)</f>
        <v>0</v>
      </c>
      <c r="E660" s="206">
        <f>SUMIFS(LANÇ_MOV[VALOR LÍQUIDO],LANÇ_MOV[RECEITA OU DESPESA],"Despesa",LANÇ_MOV[CONTAS],$C660,LANÇ_MOV[PLANO DE CONTAS],REL_DRE_FINANCEIRO!$B$651,LANÇ_MOV[ANO PAGAMENTO],$B$4,LANÇ_MOV[MÊS PAGAMENTO CORRESPONDENTE],E$6,LANÇ_MOV[EMPRESA],$C$4,LANÇ_MOV[CENTRO DE CUSTOS],$D$4)</f>
        <v>0</v>
      </c>
      <c r="F660" s="206">
        <f>SUMIFS(LANÇ_MOV[VALOR LÍQUIDO],LANÇ_MOV[RECEITA OU DESPESA],"Despesa",LANÇ_MOV[CONTAS],$C660,LANÇ_MOV[PLANO DE CONTAS],REL_DRE_FINANCEIRO!$B$651,LANÇ_MOV[ANO PAGAMENTO],$B$4,LANÇ_MOV[MÊS PAGAMENTO CORRESPONDENTE],F$6,LANÇ_MOV[EMPRESA],$C$4,LANÇ_MOV[CENTRO DE CUSTOS],$D$4)</f>
        <v>0</v>
      </c>
      <c r="G660" s="206">
        <f>SUMIFS(LANÇ_MOV[VALOR LÍQUIDO],LANÇ_MOV[RECEITA OU DESPESA],"Despesa",LANÇ_MOV[CONTAS],$C660,LANÇ_MOV[PLANO DE CONTAS],REL_DRE_FINANCEIRO!$B$651,LANÇ_MOV[ANO PAGAMENTO],$B$4,LANÇ_MOV[MÊS PAGAMENTO CORRESPONDENTE],G$6,LANÇ_MOV[EMPRESA],$C$4,LANÇ_MOV[CENTRO DE CUSTOS],$D$4)</f>
        <v>0</v>
      </c>
      <c r="H660" s="206">
        <f>SUMIFS(LANÇ_MOV[VALOR LÍQUIDO],LANÇ_MOV[RECEITA OU DESPESA],"Despesa",LANÇ_MOV[CONTAS],$C660,LANÇ_MOV[PLANO DE CONTAS],REL_DRE_FINANCEIRO!$B$651,LANÇ_MOV[ANO PAGAMENTO],$B$4,LANÇ_MOV[MÊS PAGAMENTO CORRESPONDENTE],H$6,LANÇ_MOV[EMPRESA],$C$4,LANÇ_MOV[CENTRO DE CUSTOS],$D$4)</f>
        <v>0</v>
      </c>
      <c r="I660" s="206">
        <f>SUMIFS(LANÇ_MOV[VALOR LÍQUIDO],LANÇ_MOV[RECEITA OU DESPESA],"Despesa",LANÇ_MOV[CONTAS],$C660,LANÇ_MOV[PLANO DE CONTAS],REL_DRE_FINANCEIRO!$B$651,LANÇ_MOV[ANO PAGAMENTO],$B$4,LANÇ_MOV[MÊS PAGAMENTO CORRESPONDENTE],I$6,LANÇ_MOV[EMPRESA],$C$4,LANÇ_MOV[CENTRO DE CUSTOS],$D$4)</f>
        <v>0</v>
      </c>
      <c r="J660" s="206">
        <f>SUMIFS(LANÇ_MOV[VALOR LÍQUIDO],LANÇ_MOV[RECEITA OU DESPESA],"Despesa",LANÇ_MOV[CONTAS],$C660,LANÇ_MOV[PLANO DE CONTAS],REL_DRE_FINANCEIRO!$B$651,LANÇ_MOV[ANO PAGAMENTO],$B$4,LANÇ_MOV[MÊS PAGAMENTO CORRESPONDENTE],J$6,LANÇ_MOV[EMPRESA],$C$4,LANÇ_MOV[CENTRO DE CUSTOS],$D$4)</f>
        <v>0</v>
      </c>
      <c r="K660" s="206">
        <f>SUMIFS(LANÇ_MOV[VALOR LÍQUIDO],LANÇ_MOV[RECEITA OU DESPESA],"Despesa",LANÇ_MOV[CONTAS],$C660,LANÇ_MOV[PLANO DE CONTAS],REL_DRE_FINANCEIRO!$B$651,LANÇ_MOV[ANO PAGAMENTO],$B$4,LANÇ_MOV[MÊS PAGAMENTO CORRESPONDENTE],K$6,LANÇ_MOV[EMPRESA],$C$4,LANÇ_MOV[CENTRO DE CUSTOS],$D$4)</f>
        <v>0</v>
      </c>
      <c r="L660" s="206">
        <f>SUMIFS(LANÇ_MOV[VALOR LÍQUIDO],LANÇ_MOV[RECEITA OU DESPESA],"Despesa",LANÇ_MOV[CONTAS],$C660,LANÇ_MOV[PLANO DE CONTAS],REL_DRE_FINANCEIRO!$B$651,LANÇ_MOV[ANO PAGAMENTO],$B$4,LANÇ_MOV[MÊS PAGAMENTO CORRESPONDENTE],L$6,LANÇ_MOV[EMPRESA],$C$4,LANÇ_MOV[CENTRO DE CUSTOS],$D$4)</f>
        <v>0</v>
      </c>
      <c r="M660" s="206">
        <f>SUMIFS(LANÇ_MOV[VALOR LÍQUIDO],LANÇ_MOV[RECEITA OU DESPESA],"Despesa",LANÇ_MOV[CONTAS],$C660,LANÇ_MOV[PLANO DE CONTAS],REL_DRE_FINANCEIRO!$B$651,LANÇ_MOV[ANO PAGAMENTO],$B$4,LANÇ_MOV[MÊS PAGAMENTO CORRESPONDENTE],M$6,LANÇ_MOV[EMPRESA],$C$4,LANÇ_MOV[CENTRO DE CUSTOS],$D$4)</f>
        <v>0</v>
      </c>
      <c r="N660" s="206">
        <f>SUMIFS(LANÇ_MOV[VALOR LÍQUIDO],LANÇ_MOV[RECEITA OU DESPESA],"Despesa",LANÇ_MOV[CONTAS],$C660,LANÇ_MOV[PLANO DE CONTAS],REL_DRE_FINANCEIRO!$B$651,LANÇ_MOV[ANO PAGAMENTO],$B$4,LANÇ_MOV[MÊS PAGAMENTO CORRESPONDENTE],N$6,LANÇ_MOV[EMPRESA],$C$4,LANÇ_MOV[CENTRO DE CUSTOS],$D$4)</f>
        <v>0</v>
      </c>
      <c r="O660" s="206">
        <f>SUMIFS(LANÇ_MOV[VALOR LÍQUIDO],LANÇ_MOV[RECEITA OU DESPESA],"Despesa",LANÇ_MOV[CONTAS],$C660,LANÇ_MOV[PLANO DE CONTAS],REL_DRE_FINANCEIRO!$B$651,LANÇ_MOV[ANO PAGAMENTO],$B$4,LANÇ_MOV[MÊS PAGAMENTO CORRESPONDENTE],O$6,LANÇ_MOV[EMPRESA],$C$4,LANÇ_MOV[CENTRO DE CUSTOS],$D$4)</f>
        <v>0</v>
      </c>
      <c r="P660" s="207">
        <f t="shared" si="88"/>
        <v>0</v>
      </c>
      <c r="Q660" s="329">
        <v>9.2E-6</v>
      </c>
      <c r="R660" s="346">
        <f t="shared" si="89"/>
        <v>9.2E-6</v>
      </c>
      <c r="S660" s="347" t="str">
        <f t="shared" si="90"/>
        <v>-</v>
      </c>
      <c r="T660" s="347">
        <f t="shared" si="91"/>
        <v>0</v>
      </c>
      <c r="U660" s="347">
        <f>HLOOKUP(Apoio!$P$12,$D$650:$P$751,X660,FALSE)+Q660</f>
        <v>9.2E-6</v>
      </c>
      <c r="V660" s="447" t="str">
        <f t="shared" si="92"/>
        <v>-</v>
      </c>
      <c r="W660" s="448">
        <f>HLOOKUP(Apoio!$P$12,$D$650:$P$751,X660,FALSE)</f>
        <v>0</v>
      </c>
      <c r="X660" s="329">
        <v>11</v>
      </c>
      <c r="Y660" s="329">
        <v>3</v>
      </c>
      <c r="Z660" s="340" t="str">
        <f t="shared" si="93"/>
        <v>OUTRAS DESPESAS NÃO OPERACIONAIS</v>
      </c>
      <c r="AA660" s="340">
        <f>VLOOKUP(Z660,$V$652:$W$751,2,FALSE)</f>
        <v>0</v>
      </c>
    </row>
    <row r="661" spans="2:27" ht="30.05" customHeight="1" x14ac:dyDescent="0.35">
      <c r="B661" s="204" t="str">
        <f>'CAD_PL_REC-DESP'!W14</f>
        <v>2.5.10</v>
      </c>
      <c r="C661" s="205" t="str">
        <f>IF('CAD_PL_REC-DESP'!X14="","-",'CAD_PL_REC-DESP'!X14)</f>
        <v>-</v>
      </c>
      <c r="D661" s="206">
        <f>SUMIFS(LANÇ_MOV[VALOR LÍQUIDO],LANÇ_MOV[RECEITA OU DESPESA],"Despesa",LANÇ_MOV[CONTAS],$C661,LANÇ_MOV[PLANO DE CONTAS],REL_DRE_FINANCEIRO!$B$651,LANÇ_MOV[ANO PAGAMENTO],$B$4,LANÇ_MOV[MÊS PAGAMENTO CORRESPONDENTE],D$6,LANÇ_MOV[EMPRESA],$C$4,LANÇ_MOV[CENTRO DE CUSTOS],$D$4)</f>
        <v>0</v>
      </c>
      <c r="E661" s="206">
        <f>SUMIFS(LANÇ_MOV[VALOR LÍQUIDO],LANÇ_MOV[RECEITA OU DESPESA],"Despesa",LANÇ_MOV[CONTAS],$C661,LANÇ_MOV[PLANO DE CONTAS],REL_DRE_FINANCEIRO!$B$651,LANÇ_MOV[ANO PAGAMENTO],$B$4,LANÇ_MOV[MÊS PAGAMENTO CORRESPONDENTE],E$6,LANÇ_MOV[EMPRESA],$C$4,LANÇ_MOV[CENTRO DE CUSTOS],$D$4)</f>
        <v>0</v>
      </c>
      <c r="F661" s="206">
        <f>SUMIFS(LANÇ_MOV[VALOR LÍQUIDO],LANÇ_MOV[RECEITA OU DESPESA],"Despesa",LANÇ_MOV[CONTAS],$C661,LANÇ_MOV[PLANO DE CONTAS],REL_DRE_FINANCEIRO!$B$651,LANÇ_MOV[ANO PAGAMENTO],$B$4,LANÇ_MOV[MÊS PAGAMENTO CORRESPONDENTE],F$6,LANÇ_MOV[EMPRESA],$C$4,LANÇ_MOV[CENTRO DE CUSTOS],$D$4)</f>
        <v>0</v>
      </c>
      <c r="G661" s="206">
        <f>SUMIFS(LANÇ_MOV[VALOR LÍQUIDO],LANÇ_MOV[RECEITA OU DESPESA],"Despesa",LANÇ_MOV[CONTAS],$C661,LANÇ_MOV[PLANO DE CONTAS],REL_DRE_FINANCEIRO!$B$651,LANÇ_MOV[ANO PAGAMENTO],$B$4,LANÇ_MOV[MÊS PAGAMENTO CORRESPONDENTE],G$6,LANÇ_MOV[EMPRESA],$C$4,LANÇ_MOV[CENTRO DE CUSTOS],$D$4)</f>
        <v>0</v>
      </c>
      <c r="H661" s="206">
        <f>SUMIFS(LANÇ_MOV[VALOR LÍQUIDO],LANÇ_MOV[RECEITA OU DESPESA],"Despesa",LANÇ_MOV[CONTAS],$C661,LANÇ_MOV[PLANO DE CONTAS],REL_DRE_FINANCEIRO!$B$651,LANÇ_MOV[ANO PAGAMENTO],$B$4,LANÇ_MOV[MÊS PAGAMENTO CORRESPONDENTE],H$6,LANÇ_MOV[EMPRESA],$C$4,LANÇ_MOV[CENTRO DE CUSTOS],$D$4)</f>
        <v>0</v>
      </c>
      <c r="I661" s="206">
        <f>SUMIFS(LANÇ_MOV[VALOR LÍQUIDO],LANÇ_MOV[RECEITA OU DESPESA],"Despesa",LANÇ_MOV[CONTAS],$C661,LANÇ_MOV[PLANO DE CONTAS],REL_DRE_FINANCEIRO!$B$651,LANÇ_MOV[ANO PAGAMENTO],$B$4,LANÇ_MOV[MÊS PAGAMENTO CORRESPONDENTE],I$6,LANÇ_MOV[EMPRESA],$C$4,LANÇ_MOV[CENTRO DE CUSTOS],$D$4)</f>
        <v>0</v>
      </c>
      <c r="J661" s="206">
        <f>SUMIFS(LANÇ_MOV[VALOR LÍQUIDO],LANÇ_MOV[RECEITA OU DESPESA],"Despesa",LANÇ_MOV[CONTAS],$C661,LANÇ_MOV[PLANO DE CONTAS],REL_DRE_FINANCEIRO!$B$651,LANÇ_MOV[ANO PAGAMENTO],$B$4,LANÇ_MOV[MÊS PAGAMENTO CORRESPONDENTE],J$6,LANÇ_MOV[EMPRESA],$C$4,LANÇ_MOV[CENTRO DE CUSTOS],$D$4)</f>
        <v>0</v>
      </c>
      <c r="K661" s="206">
        <f>SUMIFS(LANÇ_MOV[VALOR LÍQUIDO],LANÇ_MOV[RECEITA OU DESPESA],"Despesa",LANÇ_MOV[CONTAS],$C661,LANÇ_MOV[PLANO DE CONTAS],REL_DRE_FINANCEIRO!$B$651,LANÇ_MOV[ANO PAGAMENTO],$B$4,LANÇ_MOV[MÊS PAGAMENTO CORRESPONDENTE],K$6,LANÇ_MOV[EMPRESA],$C$4,LANÇ_MOV[CENTRO DE CUSTOS],$D$4)</f>
        <v>0</v>
      </c>
      <c r="L661" s="206">
        <f>SUMIFS(LANÇ_MOV[VALOR LÍQUIDO],LANÇ_MOV[RECEITA OU DESPESA],"Despesa",LANÇ_MOV[CONTAS],$C661,LANÇ_MOV[PLANO DE CONTAS],REL_DRE_FINANCEIRO!$B$651,LANÇ_MOV[ANO PAGAMENTO],$B$4,LANÇ_MOV[MÊS PAGAMENTO CORRESPONDENTE],L$6,LANÇ_MOV[EMPRESA],$C$4,LANÇ_MOV[CENTRO DE CUSTOS],$D$4)</f>
        <v>0</v>
      </c>
      <c r="M661" s="206">
        <f>SUMIFS(LANÇ_MOV[VALOR LÍQUIDO],LANÇ_MOV[RECEITA OU DESPESA],"Despesa",LANÇ_MOV[CONTAS],$C661,LANÇ_MOV[PLANO DE CONTAS],REL_DRE_FINANCEIRO!$B$651,LANÇ_MOV[ANO PAGAMENTO],$B$4,LANÇ_MOV[MÊS PAGAMENTO CORRESPONDENTE],M$6,LANÇ_MOV[EMPRESA],$C$4,LANÇ_MOV[CENTRO DE CUSTOS],$D$4)</f>
        <v>0</v>
      </c>
      <c r="N661" s="206">
        <f>SUMIFS(LANÇ_MOV[VALOR LÍQUIDO],LANÇ_MOV[RECEITA OU DESPESA],"Despesa",LANÇ_MOV[CONTAS],$C661,LANÇ_MOV[PLANO DE CONTAS],REL_DRE_FINANCEIRO!$B$651,LANÇ_MOV[ANO PAGAMENTO],$B$4,LANÇ_MOV[MÊS PAGAMENTO CORRESPONDENTE],N$6,LANÇ_MOV[EMPRESA],$C$4,LANÇ_MOV[CENTRO DE CUSTOS],$D$4)</f>
        <v>0</v>
      </c>
      <c r="O661" s="206">
        <f>SUMIFS(LANÇ_MOV[VALOR LÍQUIDO],LANÇ_MOV[RECEITA OU DESPESA],"Despesa",LANÇ_MOV[CONTAS],$C661,LANÇ_MOV[PLANO DE CONTAS],REL_DRE_FINANCEIRO!$B$651,LANÇ_MOV[ANO PAGAMENTO],$B$4,LANÇ_MOV[MÊS PAGAMENTO CORRESPONDENTE],O$6,LANÇ_MOV[EMPRESA],$C$4,LANÇ_MOV[CENTRO DE CUSTOS],$D$4)</f>
        <v>0</v>
      </c>
      <c r="P661" s="207">
        <f t="shared" si="88"/>
        <v>0</v>
      </c>
      <c r="Q661" s="329">
        <v>9.0999999999999993E-6</v>
      </c>
      <c r="R661" s="346">
        <f t="shared" si="89"/>
        <v>9.0999999999999993E-6</v>
      </c>
      <c r="S661" s="347" t="str">
        <f t="shared" si="90"/>
        <v>-</v>
      </c>
      <c r="T661" s="347">
        <f t="shared" si="91"/>
        <v>0</v>
      </c>
      <c r="U661" s="347">
        <f>HLOOKUP(Apoio!$P$12,$D$650:$P$751,X661,FALSE)+Q661</f>
        <v>9.0999999999999993E-6</v>
      </c>
      <c r="V661" s="447" t="str">
        <f t="shared" si="92"/>
        <v>-</v>
      </c>
      <c r="W661" s="448">
        <f>HLOOKUP(Apoio!$P$12,$D$650:$P$751,X661,FALSE)</f>
        <v>0</v>
      </c>
      <c r="X661" s="329">
        <v>12</v>
      </c>
      <c r="Y661" s="329">
        <v>4</v>
      </c>
      <c r="Z661" s="340" t="str">
        <f t="shared" si="93"/>
        <v>RESGATE APLICAÇÕES</v>
      </c>
      <c r="AA661" s="340">
        <f>VLOOKUP(Z661,$V$652:$W$751,2,FALSE)</f>
        <v>0</v>
      </c>
    </row>
    <row r="662" spans="2:27" ht="30.05" customHeight="1" x14ac:dyDescent="0.35">
      <c r="B662" s="204" t="str">
        <f>'CAD_PL_REC-DESP'!W15</f>
        <v>2.5.11</v>
      </c>
      <c r="C662" s="205" t="str">
        <f>IF('CAD_PL_REC-DESP'!X15="","-",'CAD_PL_REC-DESP'!X15)</f>
        <v>-</v>
      </c>
      <c r="D662" s="206">
        <f>SUMIFS(LANÇ_MOV[VALOR LÍQUIDO],LANÇ_MOV[RECEITA OU DESPESA],"Despesa",LANÇ_MOV[CONTAS],$C662,LANÇ_MOV[PLANO DE CONTAS],REL_DRE_FINANCEIRO!$B$651,LANÇ_MOV[ANO PAGAMENTO],$B$4,LANÇ_MOV[MÊS PAGAMENTO CORRESPONDENTE],D$6,LANÇ_MOV[EMPRESA],$C$4,LANÇ_MOV[CENTRO DE CUSTOS],$D$4)</f>
        <v>0</v>
      </c>
      <c r="E662" s="206">
        <f>SUMIFS(LANÇ_MOV[VALOR LÍQUIDO],LANÇ_MOV[RECEITA OU DESPESA],"Despesa",LANÇ_MOV[CONTAS],$C662,LANÇ_MOV[PLANO DE CONTAS],REL_DRE_FINANCEIRO!$B$651,LANÇ_MOV[ANO PAGAMENTO],$B$4,LANÇ_MOV[MÊS PAGAMENTO CORRESPONDENTE],E$6,LANÇ_MOV[EMPRESA],$C$4,LANÇ_MOV[CENTRO DE CUSTOS],$D$4)</f>
        <v>0</v>
      </c>
      <c r="F662" s="206">
        <f>SUMIFS(LANÇ_MOV[VALOR LÍQUIDO],LANÇ_MOV[RECEITA OU DESPESA],"Despesa",LANÇ_MOV[CONTAS],$C662,LANÇ_MOV[PLANO DE CONTAS],REL_DRE_FINANCEIRO!$B$651,LANÇ_MOV[ANO PAGAMENTO],$B$4,LANÇ_MOV[MÊS PAGAMENTO CORRESPONDENTE],F$6,LANÇ_MOV[EMPRESA],$C$4,LANÇ_MOV[CENTRO DE CUSTOS],$D$4)</f>
        <v>0</v>
      </c>
      <c r="G662" s="206">
        <f>SUMIFS(LANÇ_MOV[VALOR LÍQUIDO],LANÇ_MOV[RECEITA OU DESPESA],"Despesa",LANÇ_MOV[CONTAS],$C662,LANÇ_MOV[PLANO DE CONTAS],REL_DRE_FINANCEIRO!$B$651,LANÇ_MOV[ANO PAGAMENTO],$B$4,LANÇ_MOV[MÊS PAGAMENTO CORRESPONDENTE],G$6,LANÇ_MOV[EMPRESA],$C$4,LANÇ_MOV[CENTRO DE CUSTOS],$D$4)</f>
        <v>0</v>
      </c>
      <c r="H662" s="206">
        <f>SUMIFS(LANÇ_MOV[VALOR LÍQUIDO],LANÇ_MOV[RECEITA OU DESPESA],"Despesa",LANÇ_MOV[CONTAS],$C662,LANÇ_MOV[PLANO DE CONTAS],REL_DRE_FINANCEIRO!$B$651,LANÇ_MOV[ANO PAGAMENTO],$B$4,LANÇ_MOV[MÊS PAGAMENTO CORRESPONDENTE],H$6,LANÇ_MOV[EMPRESA],$C$4,LANÇ_MOV[CENTRO DE CUSTOS],$D$4)</f>
        <v>0</v>
      </c>
      <c r="I662" s="206">
        <f>SUMIFS(LANÇ_MOV[VALOR LÍQUIDO],LANÇ_MOV[RECEITA OU DESPESA],"Despesa",LANÇ_MOV[CONTAS],$C662,LANÇ_MOV[PLANO DE CONTAS],REL_DRE_FINANCEIRO!$B$651,LANÇ_MOV[ANO PAGAMENTO],$B$4,LANÇ_MOV[MÊS PAGAMENTO CORRESPONDENTE],I$6,LANÇ_MOV[EMPRESA],$C$4,LANÇ_MOV[CENTRO DE CUSTOS],$D$4)</f>
        <v>0</v>
      </c>
      <c r="J662" s="206">
        <f>SUMIFS(LANÇ_MOV[VALOR LÍQUIDO],LANÇ_MOV[RECEITA OU DESPESA],"Despesa",LANÇ_MOV[CONTAS],$C662,LANÇ_MOV[PLANO DE CONTAS],REL_DRE_FINANCEIRO!$B$651,LANÇ_MOV[ANO PAGAMENTO],$B$4,LANÇ_MOV[MÊS PAGAMENTO CORRESPONDENTE],J$6,LANÇ_MOV[EMPRESA],$C$4,LANÇ_MOV[CENTRO DE CUSTOS],$D$4)</f>
        <v>0</v>
      </c>
      <c r="K662" s="206">
        <f>SUMIFS(LANÇ_MOV[VALOR LÍQUIDO],LANÇ_MOV[RECEITA OU DESPESA],"Despesa",LANÇ_MOV[CONTAS],$C662,LANÇ_MOV[PLANO DE CONTAS],REL_DRE_FINANCEIRO!$B$651,LANÇ_MOV[ANO PAGAMENTO],$B$4,LANÇ_MOV[MÊS PAGAMENTO CORRESPONDENTE],K$6,LANÇ_MOV[EMPRESA],$C$4,LANÇ_MOV[CENTRO DE CUSTOS],$D$4)</f>
        <v>0</v>
      </c>
      <c r="L662" s="206">
        <f>SUMIFS(LANÇ_MOV[VALOR LÍQUIDO],LANÇ_MOV[RECEITA OU DESPESA],"Despesa",LANÇ_MOV[CONTAS],$C662,LANÇ_MOV[PLANO DE CONTAS],REL_DRE_FINANCEIRO!$B$651,LANÇ_MOV[ANO PAGAMENTO],$B$4,LANÇ_MOV[MÊS PAGAMENTO CORRESPONDENTE],L$6,LANÇ_MOV[EMPRESA],$C$4,LANÇ_MOV[CENTRO DE CUSTOS],$D$4)</f>
        <v>0</v>
      </c>
      <c r="M662" s="206">
        <f>SUMIFS(LANÇ_MOV[VALOR LÍQUIDO],LANÇ_MOV[RECEITA OU DESPESA],"Despesa",LANÇ_MOV[CONTAS],$C662,LANÇ_MOV[PLANO DE CONTAS],REL_DRE_FINANCEIRO!$B$651,LANÇ_MOV[ANO PAGAMENTO],$B$4,LANÇ_MOV[MÊS PAGAMENTO CORRESPONDENTE],M$6,LANÇ_MOV[EMPRESA],$C$4,LANÇ_MOV[CENTRO DE CUSTOS],$D$4)</f>
        <v>0</v>
      </c>
      <c r="N662" s="206">
        <f>SUMIFS(LANÇ_MOV[VALOR LÍQUIDO],LANÇ_MOV[RECEITA OU DESPESA],"Despesa",LANÇ_MOV[CONTAS],$C662,LANÇ_MOV[PLANO DE CONTAS],REL_DRE_FINANCEIRO!$B$651,LANÇ_MOV[ANO PAGAMENTO],$B$4,LANÇ_MOV[MÊS PAGAMENTO CORRESPONDENTE],N$6,LANÇ_MOV[EMPRESA],$C$4,LANÇ_MOV[CENTRO DE CUSTOS],$D$4)</f>
        <v>0</v>
      </c>
      <c r="O662" s="206">
        <f>SUMIFS(LANÇ_MOV[VALOR LÍQUIDO],LANÇ_MOV[RECEITA OU DESPESA],"Despesa",LANÇ_MOV[CONTAS],$C662,LANÇ_MOV[PLANO DE CONTAS],REL_DRE_FINANCEIRO!$B$651,LANÇ_MOV[ANO PAGAMENTO],$B$4,LANÇ_MOV[MÊS PAGAMENTO CORRESPONDENTE],O$6,LANÇ_MOV[EMPRESA],$C$4,LANÇ_MOV[CENTRO DE CUSTOS],$D$4)</f>
        <v>0</v>
      </c>
      <c r="P662" s="207">
        <f t="shared" si="88"/>
        <v>0</v>
      </c>
      <c r="Q662" s="329">
        <v>9.0000000000000002E-6</v>
      </c>
      <c r="R662" s="346">
        <f t="shared" si="89"/>
        <v>9.0000000000000002E-6</v>
      </c>
      <c r="S662" s="347" t="str">
        <f t="shared" si="90"/>
        <v>-</v>
      </c>
      <c r="T662" s="347">
        <f t="shared" si="91"/>
        <v>0</v>
      </c>
      <c r="U662" s="347">
        <f>HLOOKUP(Apoio!$P$12,$D$650:$P$751,X662,FALSE)+Q662</f>
        <v>9.0000000000000002E-6</v>
      </c>
      <c r="V662" s="447" t="str">
        <f t="shared" si="92"/>
        <v>-</v>
      </c>
      <c r="W662" s="448">
        <f>HLOOKUP(Apoio!$P$12,$D$650:$P$751,X662,FALSE)</f>
        <v>0</v>
      </c>
      <c r="X662" s="329">
        <v>13</v>
      </c>
      <c r="Y662" s="329">
        <v>5</v>
      </c>
      <c r="Z662" s="340" t="str">
        <f t="shared" si="93"/>
        <v>TARIFA BANCÁRIA</v>
      </c>
      <c r="AA662" s="340">
        <f>VLOOKUP(Z662,$V$652:$W$751,2,FALSE)</f>
        <v>0</v>
      </c>
    </row>
    <row r="663" spans="2:27" ht="30.05" customHeight="1" x14ac:dyDescent="0.35">
      <c r="B663" s="204" t="str">
        <f>'CAD_PL_REC-DESP'!W16</f>
        <v>2.5.12</v>
      </c>
      <c r="C663" s="205" t="str">
        <f>IF('CAD_PL_REC-DESP'!X16="","-",'CAD_PL_REC-DESP'!X16)</f>
        <v>-</v>
      </c>
      <c r="D663" s="206">
        <f>SUMIFS(LANÇ_MOV[VALOR LÍQUIDO],LANÇ_MOV[RECEITA OU DESPESA],"Despesa",LANÇ_MOV[CONTAS],$C663,LANÇ_MOV[PLANO DE CONTAS],REL_DRE_FINANCEIRO!$B$651,LANÇ_MOV[ANO PAGAMENTO],$B$4,LANÇ_MOV[MÊS PAGAMENTO CORRESPONDENTE],D$6,LANÇ_MOV[EMPRESA],$C$4,LANÇ_MOV[CENTRO DE CUSTOS],$D$4)</f>
        <v>0</v>
      </c>
      <c r="E663" s="206">
        <f>SUMIFS(LANÇ_MOV[VALOR LÍQUIDO],LANÇ_MOV[RECEITA OU DESPESA],"Despesa",LANÇ_MOV[CONTAS],$C663,LANÇ_MOV[PLANO DE CONTAS],REL_DRE_FINANCEIRO!$B$651,LANÇ_MOV[ANO PAGAMENTO],$B$4,LANÇ_MOV[MÊS PAGAMENTO CORRESPONDENTE],E$6,LANÇ_MOV[EMPRESA],$C$4,LANÇ_MOV[CENTRO DE CUSTOS],$D$4)</f>
        <v>0</v>
      </c>
      <c r="F663" s="206">
        <f>SUMIFS(LANÇ_MOV[VALOR LÍQUIDO],LANÇ_MOV[RECEITA OU DESPESA],"Despesa",LANÇ_MOV[CONTAS],$C663,LANÇ_MOV[PLANO DE CONTAS],REL_DRE_FINANCEIRO!$B$651,LANÇ_MOV[ANO PAGAMENTO],$B$4,LANÇ_MOV[MÊS PAGAMENTO CORRESPONDENTE],F$6,LANÇ_MOV[EMPRESA],$C$4,LANÇ_MOV[CENTRO DE CUSTOS],$D$4)</f>
        <v>0</v>
      </c>
      <c r="G663" s="206">
        <f>SUMIFS(LANÇ_MOV[VALOR LÍQUIDO],LANÇ_MOV[RECEITA OU DESPESA],"Despesa",LANÇ_MOV[CONTAS],$C663,LANÇ_MOV[PLANO DE CONTAS],REL_DRE_FINANCEIRO!$B$651,LANÇ_MOV[ANO PAGAMENTO],$B$4,LANÇ_MOV[MÊS PAGAMENTO CORRESPONDENTE],G$6,LANÇ_MOV[EMPRESA],$C$4,LANÇ_MOV[CENTRO DE CUSTOS],$D$4)</f>
        <v>0</v>
      </c>
      <c r="H663" s="206">
        <f>SUMIFS(LANÇ_MOV[VALOR LÍQUIDO],LANÇ_MOV[RECEITA OU DESPESA],"Despesa",LANÇ_MOV[CONTAS],$C663,LANÇ_MOV[PLANO DE CONTAS],REL_DRE_FINANCEIRO!$B$651,LANÇ_MOV[ANO PAGAMENTO],$B$4,LANÇ_MOV[MÊS PAGAMENTO CORRESPONDENTE],H$6,LANÇ_MOV[EMPRESA],$C$4,LANÇ_MOV[CENTRO DE CUSTOS],$D$4)</f>
        <v>0</v>
      </c>
      <c r="I663" s="206">
        <f>SUMIFS(LANÇ_MOV[VALOR LÍQUIDO],LANÇ_MOV[RECEITA OU DESPESA],"Despesa",LANÇ_MOV[CONTAS],$C663,LANÇ_MOV[PLANO DE CONTAS],REL_DRE_FINANCEIRO!$B$651,LANÇ_MOV[ANO PAGAMENTO],$B$4,LANÇ_MOV[MÊS PAGAMENTO CORRESPONDENTE],I$6,LANÇ_MOV[EMPRESA],$C$4,LANÇ_MOV[CENTRO DE CUSTOS],$D$4)</f>
        <v>0</v>
      </c>
      <c r="J663" s="206">
        <f>SUMIFS(LANÇ_MOV[VALOR LÍQUIDO],LANÇ_MOV[RECEITA OU DESPESA],"Despesa",LANÇ_MOV[CONTAS],$C663,LANÇ_MOV[PLANO DE CONTAS],REL_DRE_FINANCEIRO!$B$651,LANÇ_MOV[ANO PAGAMENTO],$B$4,LANÇ_MOV[MÊS PAGAMENTO CORRESPONDENTE],J$6,LANÇ_MOV[EMPRESA],$C$4,LANÇ_MOV[CENTRO DE CUSTOS],$D$4)</f>
        <v>0</v>
      </c>
      <c r="K663" s="206">
        <f>SUMIFS(LANÇ_MOV[VALOR LÍQUIDO],LANÇ_MOV[RECEITA OU DESPESA],"Despesa",LANÇ_MOV[CONTAS],$C663,LANÇ_MOV[PLANO DE CONTAS],REL_DRE_FINANCEIRO!$B$651,LANÇ_MOV[ANO PAGAMENTO],$B$4,LANÇ_MOV[MÊS PAGAMENTO CORRESPONDENTE],K$6,LANÇ_MOV[EMPRESA],$C$4,LANÇ_MOV[CENTRO DE CUSTOS],$D$4)</f>
        <v>0</v>
      </c>
      <c r="L663" s="206">
        <f>SUMIFS(LANÇ_MOV[VALOR LÍQUIDO],LANÇ_MOV[RECEITA OU DESPESA],"Despesa",LANÇ_MOV[CONTAS],$C663,LANÇ_MOV[PLANO DE CONTAS],REL_DRE_FINANCEIRO!$B$651,LANÇ_MOV[ANO PAGAMENTO],$B$4,LANÇ_MOV[MÊS PAGAMENTO CORRESPONDENTE],L$6,LANÇ_MOV[EMPRESA],$C$4,LANÇ_MOV[CENTRO DE CUSTOS],$D$4)</f>
        <v>0</v>
      </c>
      <c r="M663" s="206">
        <f>SUMIFS(LANÇ_MOV[VALOR LÍQUIDO],LANÇ_MOV[RECEITA OU DESPESA],"Despesa",LANÇ_MOV[CONTAS],$C663,LANÇ_MOV[PLANO DE CONTAS],REL_DRE_FINANCEIRO!$B$651,LANÇ_MOV[ANO PAGAMENTO],$B$4,LANÇ_MOV[MÊS PAGAMENTO CORRESPONDENTE],M$6,LANÇ_MOV[EMPRESA],$C$4,LANÇ_MOV[CENTRO DE CUSTOS],$D$4)</f>
        <v>0</v>
      </c>
      <c r="N663" s="206">
        <f>SUMIFS(LANÇ_MOV[VALOR LÍQUIDO],LANÇ_MOV[RECEITA OU DESPESA],"Despesa",LANÇ_MOV[CONTAS],$C663,LANÇ_MOV[PLANO DE CONTAS],REL_DRE_FINANCEIRO!$B$651,LANÇ_MOV[ANO PAGAMENTO],$B$4,LANÇ_MOV[MÊS PAGAMENTO CORRESPONDENTE],N$6,LANÇ_MOV[EMPRESA],$C$4,LANÇ_MOV[CENTRO DE CUSTOS],$D$4)</f>
        <v>0</v>
      </c>
      <c r="O663" s="206">
        <f>SUMIFS(LANÇ_MOV[VALOR LÍQUIDO],LANÇ_MOV[RECEITA OU DESPESA],"Despesa",LANÇ_MOV[CONTAS],$C663,LANÇ_MOV[PLANO DE CONTAS],REL_DRE_FINANCEIRO!$B$651,LANÇ_MOV[ANO PAGAMENTO],$B$4,LANÇ_MOV[MÊS PAGAMENTO CORRESPONDENTE],O$6,LANÇ_MOV[EMPRESA],$C$4,LANÇ_MOV[CENTRO DE CUSTOS],$D$4)</f>
        <v>0</v>
      </c>
      <c r="P663" s="207">
        <f t="shared" si="88"/>
        <v>0</v>
      </c>
      <c r="Q663" s="329">
        <v>8.8999999999999995E-6</v>
      </c>
      <c r="R663" s="346">
        <f t="shared" si="89"/>
        <v>8.8999999999999995E-6</v>
      </c>
      <c r="S663" s="347" t="str">
        <f t="shared" si="90"/>
        <v>-</v>
      </c>
      <c r="T663" s="347">
        <f t="shared" si="91"/>
        <v>0</v>
      </c>
      <c r="U663" s="347">
        <f>HLOOKUP(Apoio!$P$12,$D$650:$P$751,X663,FALSE)+Q663</f>
        <v>8.8999999999999995E-6</v>
      </c>
      <c r="V663" s="447" t="str">
        <f t="shared" si="92"/>
        <v>-</v>
      </c>
      <c r="W663" s="448">
        <f>HLOOKUP(Apoio!$P$12,$D$650:$P$751,X663,FALSE)</f>
        <v>0</v>
      </c>
      <c r="X663" s="329">
        <v>14</v>
      </c>
      <c r="AA663" s="340">
        <f>SUM(AA658:AA662)</f>
        <v>0</v>
      </c>
    </row>
    <row r="664" spans="2:27" ht="30.05" customHeight="1" x14ac:dyDescent="0.35">
      <c r="B664" s="204" t="str">
        <f>'CAD_PL_REC-DESP'!W17</f>
        <v>2.5.13</v>
      </c>
      <c r="C664" s="205" t="str">
        <f>IF('CAD_PL_REC-DESP'!X17="","-",'CAD_PL_REC-DESP'!X17)</f>
        <v>-</v>
      </c>
      <c r="D664" s="206">
        <f>SUMIFS(LANÇ_MOV[VALOR LÍQUIDO],LANÇ_MOV[RECEITA OU DESPESA],"Despesa",LANÇ_MOV[CONTAS],$C664,LANÇ_MOV[PLANO DE CONTAS],REL_DRE_FINANCEIRO!$B$651,LANÇ_MOV[ANO PAGAMENTO],$B$4,LANÇ_MOV[MÊS PAGAMENTO CORRESPONDENTE],D$6,LANÇ_MOV[EMPRESA],$C$4,LANÇ_MOV[CENTRO DE CUSTOS],$D$4)</f>
        <v>0</v>
      </c>
      <c r="E664" s="206">
        <f>SUMIFS(LANÇ_MOV[VALOR LÍQUIDO],LANÇ_MOV[RECEITA OU DESPESA],"Despesa",LANÇ_MOV[CONTAS],$C664,LANÇ_MOV[PLANO DE CONTAS],REL_DRE_FINANCEIRO!$B$651,LANÇ_MOV[ANO PAGAMENTO],$B$4,LANÇ_MOV[MÊS PAGAMENTO CORRESPONDENTE],E$6,LANÇ_MOV[EMPRESA],$C$4,LANÇ_MOV[CENTRO DE CUSTOS],$D$4)</f>
        <v>0</v>
      </c>
      <c r="F664" s="206">
        <f>SUMIFS(LANÇ_MOV[VALOR LÍQUIDO],LANÇ_MOV[RECEITA OU DESPESA],"Despesa",LANÇ_MOV[CONTAS],$C664,LANÇ_MOV[PLANO DE CONTAS],REL_DRE_FINANCEIRO!$B$651,LANÇ_MOV[ANO PAGAMENTO],$B$4,LANÇ_MOV[MÊS PAGAMENTO CORRESPONDENTE],F$6,LANÇ_MOV[EMPRESA],$C$4,LANÇ_MOV[CENTRO DE CUSTOS],$D$4)</f>
        <v>0</v>
      </c>
      <c r="G664" s="206">
        <f>SUMIFS(LANÇ_MOV[VALOR LÍQUIDO],LANÇ_MOV[RECEITA OU DESPESA],"Despesa",LANÇ_MOV[CONTAS],$C664,LANÇ_MOV[PLANO DE CONTAS],REL_DRE_FINANCEIRO!$B$651,LANÇ_MOV[ANO PAGAMENTO],$B$4,LANÇ_MOV[MÊS PAGAMENTO CORRESPONDENTE],G$6,LANÇ_MOV[EMPRESA],$C$4,LANÇ_MOV[CENTRO DE CUSTOS],$D$4)</f>
        <v>0</v>
      </c>
      <c r="H664" s="206">
        <f>SUMIFS(LANÇ_MOV[VALOR LÍQUIDO],LANÇ_MOV[RECEITA OU DESPESA],"Despesa",LANÇ_MOV[CONTAS],$C664,LANÇ_MOV[PLANO DE CONTAS],REL_DRE_FINANCEIRO!$B$651,LANÇ_MOV[ANO PAGAMENTO],$B$4,LANÇ_MOV[MÊS PAGAMENTO CORRESPONDENTE],H$6,LANÇ_MOV[EMPRESA],$C$4,LANÇ_MOV[CENTRO DE CUSTOS],$D$4)</f>
        <v>0</v>
      </c>
      <c r="I664" s="206">
        <f>SUMIFS(LANÇ_MOV[VALOR LÍQUIDO],LANÇ_MOV[RECEITA OU DESPESA],"Despesa",LANÇ_MOV[CONTAS],$C664,LANÇ_MOV[PLANO DE CONTAS],REL_DRE_FINANCEIRO!$B$651,LANÇ_MOV[ANO PAGAMENTO],$B$4,LANÇ_MOV[MÊS PAGAMENTO CORRESPONDENTE],I$6,LANÇ_MOV[EMPRESA],$C$4,LANÇ_MOV[CENTRO DE CUSTOS],$D$4)</f>
        <v>0</v>
      </c>
      <c r="J664" s="206">
        <f>SUMIFS(LANÇ_MOV[VALOR LÍQUIDO],LANÇ_MOV[RECEITA OU DESPESA],"Despesa",LANÇ_MOV[CONTAS],$C664,LANÇ_MOV[PLANO DE CONTAS],REL_DRE_FINANCEIRO!$B$651,LANÇ_MOV[ANO PAGAMENTO],$B$4,LANÇ_MOV[MÊS PAGAMENTO CORRESPONDENTE],J$6,LANÇ_MOV[EMPRESA],$C$4,LANÇ_MOV[CENTRO DE CUSTOS],$D$4)</f>
        <v>0</v>
      </c>
      <c r="K664" s="206">
        <f>SUMIFS(LANÇ_MOV[VALOR LÍQUIDO],LANÇ_MOV[RECEITA OU DESPESA],"Despesa",LANÇ_MOV[CONTAS],$C664,LANÇ_MOV[PLANO DE CONTAS],REL_DRE_FINANCEIRO!$B$651,LANÇ_MOV[ANO PAGAMENTO],$B$4,LANÇ_MOV[MÊS PAGAMENTO CORRESPONDENTE],K$6,LANÇ_MOV[EMPRESA],$C$4,LANÇ_MOV[CENTRO DE CUSTOS],$D$4)</f>
        <v>0</v>
      </c>
      <c r="L664" s="206">
        <f>SUMIFS(LANÇ_MOV[VALOR LÍQUIDO],LANÇ_MOV[RECEITA OU DESPESA],"Despesa",LANÇ_MOV[CONTAS],$C664,LANÇ_MOV[PLANO DE CONTAS],REL_DRE_FINANCEIRO!$B$651,LANÇ_MOV[ANO PAGAMENTO],$B$4,LANÇ_MOV[MÊS PAGAMENTO CORRESPONDENTE],L$6,LANÇ_MOV[EMPRESA],$C$4,LANÇ_MOV[CENTRO DE CUSTOS],$D$4)</f>
        <v>0</v>
      </c>
      <c r="M664" s="206">
        <f>SUMIFS(LANÇ_MOV[VALOR LÍQUIDO],LANÇ_MOV[RECEITA OU DESPESA],"Despesa",LANÇ_MOV[CONTAS],$C664,LANÇ_MOV[PLANO DE CONTAS],REL_DRE_FINANCEIRO!$B$651,LANÇ_MOV[ANO PAGAMENTO],$B$4,LANÇ_MOV[MÊS PAGAMENTO CORRESPONDENTE],M$6,LANÇ_MOV[EMPRESA],$C$4,LANÇ_MOV[CENTRO DE CUSTOS],$D$4)</f>
        <v>0</v>
      </c>
      <c r="N664" s="206">
        <f>SUMIFS(LANÇ_MOV[VALOR LÍQUIDO],LANÇ_MOV[RECEITA OU DESPESA],"Despesa",LANÇ_MOV[CONTAS],$C664,LANÇ_MOV[PLANO DE CONTAS],REL_DRE_FINANCEIRO!$B$651,LANÇ_MOV[ANO PAGAMENTO],$B$4,LANÇ_MOV[MÊS PAGAMENTO CORRESPONDENTE],N$6,LANÇ_MOV[EMPRESA],$C$4,LANÇ_MOV[CENTRO DE CUSTOS],$D$4)</f>
        <v>0</v>
      </c>
      <c r="O664" s="206">
        <f>SUMIFS(LANÇ_MOV[VALOR LÍQUIDO],LANÇ_MOV[RECEITA OU DESPESA],"Despesa",LANÇ_MOV[CONTAS],$C664,LANÇ_MOV[PLANO DE CONTAS],REL_DRE_FINANCEIRO!$B$651,LANÇ_MOV[ANO PAGAMENTO],$B$4,LANÇ_MOV[MÊS PAGAMENTO CORRESPONDENTE],O$6,LANÇ_MOV[EMPRESA],$C$4,LANÇ_MOV[CENTRO DE CUSTOS],$D$4)</f>
        <v>0</v>
      </c>
      <c r="P664" s="207">
        <f t="shared" si="88"/>
        <v>0</v>
      </c>
      <c r="Q664" s="329">
        <v>8.8000000000000004E-6</v>
      </c>
      <c r="R664" s="346">
        <f t="shared" si="89"/>
        <v>8.8000000000000004E-6</v>
      </c>
      <c r="S664" s="347" t="str">
        <f t="shared" si="90"/>
        <v>-</v>
      </c>
      <c r="T664" s="347">
        <f t="shared" si="91"/>
        <v>0</v>
      </c>
      <c r="U664" s="347">
        <f>HLOOKUP(Apoio!$P$12,$D$650:$P$751,X664,FALSE)+Q664</f>
        <v>8.8000000000000004E-6</v>
      </c>
      <c r="V664" s="447" t="str">
        <f t="shared" si="92"/>
        <v>-</v>
      </c>
      <c r="W664" s="448">
        <f>HLOOKUP(Apoio!$P$12,$D$650:$P$751,X664,FALSE)</f>
        <v>0</v>
      </c>
      <c r="X664" s="329">
        <v>15</v>
      </c>
    </row>
    <row r="665" spans="2:27" ht="30.05" customHeight="1" x14ac:dyDescent="0.35">
      <c r="B665" s="204" t="str">
        <f>'CAD_PL_REC-DESP'!W18</f>
        <v>2.5.14</v>
      </c>
      <c r="C665" s="205" t="str">
        <f>IF('CAD_PL_REC-DESP'!X18="","-",'CAD_PL_REC-DESP'!X18)</f>
        <v>-</v>
      </c>
      <c r="D665" s="206">
        <f>SUMIFS(LANÇ_MOV[VALOR LÍQUIDO],LANÇ_MOV[RECEITA OU DESPESA],"Despesa",LANÇ_MOV[CONTAS],$C665,LANÇ_MOV[PLANO DE CONTAS],REL_DRE_FINANCEIRO!$B$651,LANÇ_MOV[ANO PAGAMENTO],$B$4,LANÇ_MOV[MÊS PAGAMENTO CORRESPONDENTE],D$6,LANÇ_MOV[EMPRESA],$C$4,LANÇ_MOV[CENTRO DE CUSTOS],$D$4)</f>
        <v>0</v>
      </c>
      <c r="E665" s="206">
        <f>SUMIFS(LANÇ_MOV[VALOR LÍQUIDO],LANÇ_MOV[RECEITA OU DESPESA],"Despesa",LANÇ_MOV[CONTAS],$C665,LANÇ_MOV[PLANO DE CONTAS],REL_DRE_FINANCEIRO!$B$651,LANÇ_MOV[ANO PAGAMENTO],$B$4,LANÇ_MOV[MÊS PAGAMENTO CORRESPONDENTE],E$6,LANÇ_MOV[EMPRESA],$C$4,LANÇ_MOV[CENTRO DE CUSTOS],$D$4)</f>
        <v>0</v>
      </c>
      <c r="F665" s="206">
        <f>SUMIFS(LANÇ_MOV[VALOR LÍQUIDO],LANÇ_MOV[RECEITA OU DESPESA],"Despesa",LANÇ_MOV[CONTAS],$C665,LANÇ_MOV[PLANO DE CONTAS],REL_DRE_FINANCEIRO!$B$651,LANÇ_MOV[ANO PAGAMENTO],$B$4,LANÇ_MOV[MÊS PAGAMENTO CORRESPONDENTE],F$6,LANÇ_MOV[EMPRESA],$C$4,LANÇ_MOV[CENTRO DE CUSTOS],$D$4)</f>
        <v>0</v>
      </c>
      <c r="G665" s="206">
        <f>SUMIFS(LANÇ_MOV[VALOR LÍQUIDO],LANÇ_MOV[RECEITA OU DESPESA],"Despesa",LANÇ_MOV[CONTAS],$C665,LANÇ_MOV[PLANO DE CONTAS],REL_DRE_FINANCEIRO!$B$651,LANÇ_MOV[ANO PAGAMENTO],$B$4,LANÇ_MOV[MÊS PAGAMENTO CORRESPONDENTE],G$6,LANÇ_MOV[EMPRESA],$C$4,LANÇ_MOV[CENTRO DE CUSTOS],$D$4)</f>
        <v>0</v>
      </c>
      <c r="H665" s="206">
        <f>SUMIFS(LANÇ_MOV[VALOR LÍQUIDO],LANÇ_MOV[RECEITA OU DESPESA],"Despesa",LANÇ_MOV[CONTAS],$C665,LANÇ_MOV[PLANO DE CONTAS],REL_DRE_FINANCEIRO!$B$651,LANÇ_MOV[ANO PAGAMENTO],$B$4,LANÇ_MOV[MÊS PAGAMENTO CORRESPONDENTE],H$6,LANÇ_MOV[EMPRESA],$C$4,LANÇ_MOV[CENTRO DE CUSTOS],$D$4)</f>
        <v>0</v>
      </c>
      <c r="I665" s="206">
        <f>SUMIFS(LANÇ_MOV[VALOR LÍQUIDO],LANÇ_MOV[RECEITA OU DESPESA],"Despesa",LANÇ_MOV[CONTAS],$C665,LANÇ_MOV[PLANO DE CONTAS],REL_DRE_FINANCEIRO!$B$651,LANÇ_MOV[ANO PAGAMENTO],$B$4,LANÇ_MOV[MÊS PAGAMENTO CORRESPONDENTE],I$6,LANÇ_MOV[EMPRESA],$C$4,LANÇ_MOV[CENTRO DE CUSTOS],$D$4)</f>
        <v>0</v>
      </c>
      <c r="J665" s="206">
        <f>SUMIFS(LANÇ_MOV[VALOR LÍQUIDO],LANÇ_MOV[RECEITA OU DESPESA],"Despesa",LANÇ_MOV[CONTAS],$C665,LANÇ_MOV[PLANO DE CONTAS],REL_DRE_FINANCEIRO!$B$651,LANÇ_MOV[ANO PAGAMENTO],$B$4,LANÇ_MOV[MÊS PAGAMENTO CORRESPONDENTE],J$6,LANÇ_MOV[EMPRESA],$C$4,LANÇ_MOV[CENTRO DE CUSTOS],$D$4)</f>
        <v>0</v>
      </c>
      <c r="K665" s="206">
        <f>SUMIFS(LANÇ_MOV[VALOR LÍQUIDO],LANÇ_MOV[RECEITA OU DESPESA],"Despesa",LANÇ_MOV[CONTAS],$C665,LANÇ_MOV[PLANO DE CONTAS],REL_DRE_FINANCEIRO!$B$651,LANÇ_MOV[ANO PAGAMENTO],$B$4,LANÇ_MOV[MÊS PAGAMENTO CORRESPONDENTE],K$6,LANÇ_MOV[EMPRESA],$C$4,LANÇ_MOV[CENTRO DE CUSTOS],$D$4)</f>
        <v>0</v>
      </c>
      <c r="L665" s="206">
        <f>SUMIFS(LANÇ_MOV[VALOR LÍQUIDO],LANÇ_MOV[RECEITA OU DESPESA],"Despesa",LANÇ_MOV[CONTAS],$C665,LANÇ_MOV[PLANO DE CONTAS],REL_DRE_FINANCEIRO!$B$651,LANÇ_MOV[ANO PAGAMENTO],$B$4,LANÇ_MOV[MÊS PAGAMENTO CORRESPONDENTE],L$6,LANÇ_MOV[EMPRESA],$C$4,LANÇ_MOV[CENTRO DE CUSTOS],$D$4)</f>
        <v>0</v>
      </c>
      <c r="M665" s="206">
        <f>SUMIFS(LANÇ_MOV[VALOR LÍQUIDO],LANÇ_MOV[RECEITA OU DESPESA],"Despesa",LANÇ_MOV[CONTAS],$C665,LANÇ_MOV[PLANO DE CONTAS],REL_DRE_FINANCEIRO!$B$651,LANÇ_MOV[ANO PAGAMENTO],$B$4,LANÇ_MOV[MÊS PAGAMENTO CORRESPONDENTE],M$6,LANÇ_MOV[EMPRESA],$C$4,LANÇ_MOV[CENTRO DE CUSTOS],$D$4)</f>
        <v>0</v>
      </c>
      <c r="N665" s="206">
        <f>SUMIFS(LANÇ_MOV[VALOR LÍQUIDO],LANÇ_MOV[RECEITA OU DESPESA],"Despesa",LANÇ_MOV[CONTAS],$C665,LANÇ_MOV[PLANO DE CONTAS],REL_DRE_FINANCEIRO!$B$651,LANÇ_MOV[ANO PAGAMENTO],$B$4,LANÇ_MOV[MÊS PAGAMENTO CORRESPONDENTE],N$6,LANÇ_MOV[EMPRESA],$C$4,LANÇ_MOV[CENTRO DE CUSTOS],$D$4)</f>
        <v>0</v>
      </c>
      <c r="O665" s="206">
        <f>SUMIFS(LANÇ_MOV[VALOR LÍQUIDO],LANÇ_MOV[RECEITA OU DESPESA],"Despesa",LANÇ_MOV[CONTAS],$C665,LANÇ_MOV[PLANO DE CONTAS],REL_DRE_FINANCEIRO!$B$651,LANÇ_MOV[ANO PAGAMENTO],$B$4,LANÇ_MOV[MÊS PAGAMENTO CORRESPONDENTE],O$6,LANÇ_MOV[EMPRESA],$C$4,LANÇ_MOV[CENTRO DE CUSTOS],$D$4)</f>
        <v>0</v>
      </c>
      <c r="P665" s="207">
        <f t="shared" si="88"/>
        <v>0</v>
      </c>
      <c r="Q665" s="329">
        <v>8.6999999999999997E-6</v>
      </c>
      <c r="R665" s="346">
        <f t="shared" si="89"/>
        <v>8.6999999999999997E-6</v>
      </c>
      <c r="S665" s="347" t="str">
        <f t="shared" si="90"/>
        <v>-</v>
      </c>
      <c r="T665" s="347">
        <f t="shared" si="91"/>
        <v>0</v>
      </c>
      <c r="U665" s="347">
        <f>HLOOKUP(Apoio!$P$12,$D$650:$P$751,X665,FALSE)+Q665</f>
        <v>8.6999999999999997E-6</v>
      </c>
      <c r="V665" s="447" t="str">
        <f t="shared" si="92"/>
        <v>-</v>
      </c>
      <c r="W665" s="448">
        <f>HLOOKUP(Apoio!$P$12,$D$650:$P$751,X665,FALSE)</f>
        <v>0</v>
      </c>
      <c r="X665" s="329">
        <v>16</v>
      </c>
    </row>
    <row r="666" spans="2:27" ht="30.05" customHeight="1" x14ac:dyDescent="0.35">
      <c r="B666" s="204" t="str">
        <f>'CAD_PL_REC-DESP'!W19</f>
        <v>2.5.15</v>
      </c>
      <c r="C666" s="205" t="str">
        <f>IF('CAD_PL_REC-DESP'!X19="","-",'CAD_PL_REC-DESP'!X19)</f>
        <v>-</v>
      </c>
      <c r="D666" s="206">
        <f>SUMIFS(LANÇ_MOV[VALOR LÍQUIDO],LANÇ_MOV[RECEITA OU DESPESA],"Despesa",LANÇ_MOV[CONTAS],$C666,LANÇ_MOV[PLANO DE CONTAS],REL_DRE_FINANCEIRO!$B$651,LANÇ_MOV[ANO PAGAMENTO],$B$4,LANÇ_MOV[MÊS PAGAMENTO CORRESPONDENTE],D$6,LANÇ_MOV[EMPRESA],$C$4,LANÇ_MOV[CENTRO DE CUSTOS],$D$4)</f>
        <v>0</v>
      </c>
      <c r="E666" s="206">
        <f>SUMIFS(LANÇ_MOV[VALOR LÍQUIDO],LANÇ_MOV[RECEITA OU DESPESA],"Despesa",LANÇ_MOV[CONTAS],$C666,LANÇ_MOV[PLANO DE CONTAS],REL_DRE_FINANCEIRO!$B$651,LANÇ_MOV[ANO PAGAMENTO],$B$4,LANÇ_MOV[MÊS PAGAMENTO CORRESPONDENTE],E$6,LANÇ_MOV[EMPRESA],$C$4,LANÇ_MOV[CENTRO DE CUSTOS],$D$4)</f>
        <v>0</v>
      </c>
      <c r="F666" s="206">
        <f>SUMIFS(LANÇ_MOV[VALOR LÍQUIDO],LANÇ_MOV[RECEITA OU DESPESA],"Despesa",LANÇ_MOV[CONTAS],$C666,LANÇ_MOV[PLANO DE CONTAS],REL_DRE_FINANCEIRO!$B$651,LANÇ_MOV[ANO PAGAMENTO],$B$4,LANÇ_MOV[MÊS PAGAMENTO CORRESPONDENTE],F$6,LANÇ_MOV[EMPRESA],$C$4,LANÇ_MOV[CENTRO DE CUSTOS],$D$4)</f>
        <v>0</v>
      </c>
      <c r="G666" s="206">
        <f>SUMIFS(LANÇ_MOV[VALOR LÍQUIDO],LANÇ_MOV[RECEITA OU DESPESA],"Despesa",LANÇ_MOV[CONTAS],$C666,LANÇ_MOV[PLANO DE CONTAS],REL_DRE_FINANCEIRO!$B$651,LANÇ_MOV[ANO PAGAMENTO],$B$4,LANÇ_MOV[MÊS PAGAMENTO CORRESPONDENTE],G$6,LANÇ_MOV[EMPRESA],$C$4,LANÇ_MOV[CENTRO DE CUSTOS],$D$4)</f>
        <v>0</v>
      </c>
      <c r="H666" s="206">
        <f>SUMIFS(LANÇ_MOV[VALOR LÍQUIDO],LANÇ_MOV[RECEITA OU DESPESA],"Despesa",LANÇ_MOV[CONTAS],$C666,LANÇ_MOV[PLANO DE CONTAS],REL_DRE_FINANCEIRO!$B$651,LANÇ_MOV[ANO PAGAMENTO],$B$4,LANÇ_MOV[MÊS PAGAMENTO CORRESPONDENTE],H$6,LANÇ_MOV[EMPRESA],$C$4,LANÇ_MOV[CENTRO DE CUSTOS],$D$4)</f>
        <v>0</v>
      </c>
      <c r="I666" s="206">
        <f>SUMIFS(LANÇ_MOV[VALOR LÍQUIDO],LANÇ_MOV[RECEITA OU DESPESA],"Despesa",LANÇ_MOV[CONTAS],$C666,LANÇ_MOV[PLANO DE CONTAS],REL_DRE_FINANCEIRO!$B$651,LANÇ_MOV[ANO PAGAMENTO],$B$4,LANÇ_MOV[MÊS PAGAMENTO CORRESPONDENTE],I$6,LANÇ_MOV[EMPRESA],$C$4,LANÇ_MOV[CENTRO DE CUSTOS],$D$4)</f>
        <v>0</v>
      </c>
      <c r="J666" s="206">
        <f>SUMIFS(LANÇ_MOV[VALOR LÍQUIDO],LANÇ_MOV[RECEITA OU DESPESA],"Despesa",LANÇ_MOV[CONTAS],$C666,LANÇ_MOV[PLANO DE CONTAS],REL_DRE_FINANCEIRO!$B$651,LANÇ_MOV[ANO PAGAMENTO],$B$4,LANÇ_MOV[MÊS PAGAMENTO CORRESPONDENTE],J$6,LANÇ_MOV[EMPRESA],$C$4,LANÇ_MOV[CENTRO DE CUSTOS],$D$4)</f>
        <v>0</v>
      </c>
      <c r="K666" s="206">
        <f>SUMIFS(LANÇ_MOV[VALOR LÍQUIDO],LANÇ_MOV[RECEITA OU DESPESA],"Despesa",LANÇ_MOV[CONTAS],$C666,LANÇ_MOV[PLANO DE CONTAS],REL_DRE_FINANCEIRO!$B$651,LANÇ_MOV[ANO PAGAMENTO],$B$4,LANÇ_MOV[MÊS PAGAMENTO CORRESPONDENTE],K$6,LANÇ_MOV[EMPRESA],$C$4,LANÇ_MOV[CENTRO DE CUSTOS],$D$4)</f>
        <v>0</v>
      </c>
      <c r="L666" s="206">
        <f>SUMIFS(LANÇ_MOV[VALOR LÍQUIDO],LANÇ_MOV[RECEITA OU DESPESA],"Despesa",LANÇ_MOV[CONTAS],$C666,LANÇ_MOV[PLANO DE CONTAS],REL_DRE_FINANCEIRO!$B$651,LANÇ_MOV[ANO PAGAMENTO],$B$4,LANÇ_MOV[MÊS PAGAMENTO CORRESPONDENTE],L$6,LANÇ_MOV[EMPRESA],$C$4,LANÇ_MOV[CENTRO DE CUSTOS],$D$4)</f>
        <v>0</v>
      </c>
      <c r="M666" s="206">
        <f>SUMIFS(LANÇ_MOV[VALOR LÍQUIDO],LANÇ_MOV[RECEITA OU DESPESA],"Despesa",LANÇ_MOV[CONTAS],$C666,LANÇ_MOV[PLANO DE CONTAS],REL_DRE_FINANCEIRO!$B$651,LANÇ_MOV[ANO PAGAMENTO],$B$4,LANÇ_MOV[MÊS PAGAMENTO CORRESPONDENTE],M$6,LANÇ_MOV[EMPRESA],$C$4,LANÇ_MOV[CENTRO DE CUSTOS],$D$4)</f>
        <v>0</v>
      </c>
      <c r="N666" s="206">
        <f>SUMIFS(LANÇ_MOV[VALOR LÍQUIDO],LANÇ_MOV[RECEITA OU DESPESA],"Despesa",LANÇ_MOV[CONTAS],$C666,LANÇ_MOV[PLANO DE CONTAS],REL_DRE_FINANCEIRO!$B$651,LANÇ_MOV[ANO PAGAMENTO],$B$4,LANÇ_MOV[MÊS PAGAMENTO CORRESPONDENTE],N$6,LANÇ_MOV[EMPRESA],$C$4,LANÇ_MOV[CENTRO DE CUSTOS],$D$4)</f>
        <v>0</v>
      </c>
      <c r="O666" s="206">
        <f>SUMIFS(LANÇ_MOV[VALOR LÍQUIDO],LANÇ_MOV[RECEITA OU DESPESA],"Despesa",LANÇ_MOV[CONTAS],$C666,LANÇ_MOV[PLANO DE CONTAS],REL_DRE_FINANCEIRO!$B$651,LANÇ_MOV[ANO PAGAMENTO],$B$4,LANÇ_MOV[MÊS PAGAMENTO CORRESPONDENTE],O$6,LANÇ_MOV[EMPRESA],$C$4,LANÇ_MOV[CENTRO DE CUSTOS],$D$4)</f>
        <v>0</v>
      </c>
      <c r="P666" s="207">
        <f t="shared" si="88"/>
        <v>0</v>
      </c>
      <c r="Q666" s="329">
        <v>8.6000000000000007E-6</v>
      </c>
      <c r="R666" s="346">
        <f t="shared" si="89"/>
        <v>8.6000000000000007E-6</v>
      </c>
      <c r="S666" s="347" t="str">
        <f t="shared" si="90"/>
        <v>-</v>
      </c>
      <c r="T666" s="347">
        <f t="shared" si="91"/>
        <v>0</v>
      </c>
      <c r="U666" s="347">
        <f>HLOOKUP(Apoio!$P$12,$D$650:$P$751,X666,FALSE)+Q666</f>
        <v>8.6000000000000007E-6</v>
      </c>
      <c r="V666" s="447" t="str">
        <f t="shared" si="92"/>
        <v>-</v>
      </c>
      <c r="W666" s="448">
        <f>HLOOKUP(Apoio!$P$12,$D$650:$P$751,X666,FALSE)</f>
        <v>0</v>
      </c>
      <c r="X666" s="329">
        <v>17</v>
      </c>
    </row>
    <row r="667" spans="2:27" ht="30.05" customHeight="1" x14ac:dyDescent="0.35">
      <c r="B667" s="204" t="str">
        <f>'CAD_PL_REC-DESP'!W20</f>
        <v>2.5.16</v>
      </c>
      <c r="C667" s="205" t="str">
        <f>IF('CAD_PL_REC-DESP'!X20="","-",'CAD_PL_REC-DESP'!X20)</f>
        <v>-</v>
      </c>
      <c r="D667" s="206">
        <f>SUMIFS(LANÇ_MOV[VALOR LÍQUIDO],LANÇ_MOV[RECEITA OU DESPESA],"Despesa",LANÇ_MOV[CONTAS],$C667,LANÇ_MOV[PLANO DE CONTAS],REL_DRE_FINANCEIRO!$B$651,LANÇ_MOV[ANO PAGAMENTO],$B$4,LANÇ_MOV[MÊS PAGAMENTO CORRESPONDENTE],D$6,LANÇ_MOV[EMPRESA],$C$4,LANÇ_MOV[CENTRO DE CUSTOS],$D$4)</f>
        <v>0</v>
      </c>
      <c r="E667" s="206">
        <f>SUMIFS(LANÇ_MOV[VALOR LÍQUIDO],LANÇ_MOV[RECEITA OU DESPESA],"Despesa",LANÇ_MOV[CONTAS],$C667,LANÇ_MOV[PLANO DE CONTAS],REL_DRE_FINANCEIRO!$B$651,LANÇ_MOV[ANO PAGAMENTO],$B$4,LANÇ_MOV[MÊS PAGAMENTO CORRESPONDENTE],E$6,LANÇ_MOV[EMPRESA],$C$4,LANÇ_MOV[CENTRO DE CUSTOS],$D$4)</f>
        <v>0</v>
      </c>
      <c r="F667" s="206">
        <f>SUMIFS(LANÇ_MOV[VALOR LÍQUIDO],LANÇ_MOV[RECEITA OU DESPESA],"Despesa",LANÇ_MOV[CONTAS],$C667,LANÇ_MOV[PLANO DE CONTAS],REL_DRE_FINANCEIRO!$B$651,LANÇ_MOV[ANO PAGAMENTO],$B$4,LANÇ_MOV[MÊS PAGAMENTO CORRESPONDENTE],F$6,LANÇ_MOV[EMPRESA],$C$4,LANÇ_MOV[CENTRO DE CUSTOS],$D$4)</f>
        <v>0</v>
      </c>
      <c r="G667" s="206">
        <f>SUMIFS(LANÇ_MOV[VALOR LÍQUIDO],LANÇ_MOV[RECEITA OU DESPESA],"Despesa",LANÇ_MOV[CONTAS],$C667,LANÇ_MOV[PLANO DE CONTAS],REL_DRE_FINANCEIRO!$B$651,LANÇ_MOV[ANO PAGAMENTO],$B$4,LANÇ_MOV[MÊS PAGAMENTO CORRESPONDENTE],G$6,LANÇ_MOV[EMPRESA],$C$4,LANÇ_MOV[CENTRO DE CUSTOS],$D$4)</f>
        <v>0</v>
      </c>
      <c r="H667" s="206">
        <f>SUMIFS(LANÇ_MOV[VALOR LÍQUIDO],LANÇ_MOV[RECEITA OU DESPESA],"Despesa",LANÇ_MOV[CONTAS],$C667,LANÇ_MOV[PLANO DE CONTAS],REL_DRE_FINANCEIRO!$B$651,LANÇ_MOV[ANO PAGAMENTO],$B$4,LANÇ_MOV[MÊS PAGAMENTO CORRESPONDENTE],H$6,LANÇ_MOV[EMPRESA],$C$4,LANÇ_MOV[CENTRO DE CUSTOS],$D$4)</f>
        <v>0</v>
      </c>
      <c r="I667" s="206">
        <f>SUMIFS(LANÇ_MOV[VALOR LÍQUIDO],LANÇ_MOV[RECEITA OU DESPESA],"Despesa",LANÇ_MOV[CONTAS],$C667,LANÇ_MOV[PLANO DE CONTAS],REL_DRE_FINANCEIRO!$B$651,LANÇ_MOV[ANO PAGAMENTO],$B$4,LANÇ_MOV[MÊS PAGAMENTO CORRESPONDENTE],I$6,LANÇ_MOV[EMPRESA],$C$4,LANÇ_MOV[CENTRO DE CUSTOS],$D$4)</f>
        <v>0</v>
      </c>
      <c r="J667" s="206">
        <f>SUMIFS(LANÇ_MOV[VALOR LÍQUIDO],LANÇ_MOV[RECEITA OU DESPESA],"Despesa",LANÇ_MOV[CONTAS],$C667,LANÇ_MOV[PLANO DE CONTAS],REL_DRE_FINANCEIRO!$B$651,LANÇ_MOV[ANO PAGAMENTO],$B$4,LANÇ_MOV[MÊS PAGAMENTO CORRESPONDENTE],J$6,LANÇ_MOV[EMPRESA],$C$4,LANÇ_MOV[CENTRO DE CUSTOS],$D$4)</f>
        <v>0</v>
      </c>
      <c r="K667" s="206">
        <f>SUMIFS(LANÇ_MOV[VALOR LÍQUIDO],LANÇ_MOV[RECEITA OU DESPESA],"Despesa",LANÇ_MOV[CONTAS],$C667,LANÇ_MOV[PLANO DE CONTAS],REL_DRE_FINANCEIRO!$B$651,LANÇ_MOV[ANO PAGAMENTO],$B$4,LANÇ_MOV[MÊS PAGAMENTO CORRESPONDENTE],K$6,LANÇ_MOV[EMPRESA],$C$4,LANÇ_MOV[CENTRO DE CUSTOS],$D$4)</f>
        <v>0</v>
      </c>
      <c r="L667" s="206">
        <f>SUMIFS(LANÇ_MOV[VALOR LÍQUIDO],LANÇ_MOV[RECEITA OU DESPESA],"Despesa",LANÇ_MOV[CONTAS],$C667,LANÇ_MOV[PLANO DE CONTAS],REL_DRE_FINANCEIRO!$B$651,LANÇ_MOV[ANO PAGAMENTO],$B$4,LANÇ_MOV[MÊS PAGAMENTO CORRESPONDENTE],L$6,LANÇ_MOV[EMPRESA],$C$4,LANÇ_MOV[CENTRO DE CUSTOS],$D$4)</f>
        <v>0</v>
      </c>
      <c r="M667" s="206">
        <f>SUMIFS(LANÇ_MOV[VALOR LÍQUIDO],LANÇ_MOV[RECEITA OU DESPESA],"Despesa",LANÇ_MOV[CONTAS],$C667,LANÇ_MOV[PLANO DE CONTAS],REL_DRE_FINANCEIRO!$B$651,LANÇ_MOV[ANO PAGAMENTO],$B$4,LANÇ_MOV[MÊS PAGAMENTO CORRESPONDENTE],M$6,LANÇ_MOV[EMPRESA],$C$4,LANÇ_MOV[CENTRO DE CUSTOS],$D$4)</f>
        <v>0</v>
      </c>
      <c r="N667" s="206">
        <f>SUMIFS(LANÇ_MOV[VALOR LÍQUIDO],LANÇ_MOV[RECEITA OU DESPESA],"Despesa",LANÇ_MOV[CONTAS],$C667,LANÇ_MOV[PLANO DE CONTAS],REL_DRE_FINANCEIRO!$B$651,LANÇ_MOV[ANO PAGAMENTO],$B$4,LANÇ_MOV[MÊS PAGAMENTO CORRESPONDENTE],N$6,LANÇ_MOV[EMPRESA],$C$4,LANÇ_MOV[CENTRO DE CUSTOS],$D$4)</f>
        <v>0</v>
      </c>
      <c r="O667" s="206">
        <f>SUMIFS(LANÇ_MOV[VALOR LÍQUIDO],LANÇ_MOV[RECEITA OU DESPESA],"Despesa",LANÇ_MOV[CONTAS],$C667,LANÇ_MOV[PLANO DE CONTAS],REL_DRE_FINANCEIRO!$B$651,LANÇ_MOV[ANO PAGAMENTO],$B$4,LANÇ_MOV[MÊS PAGAMENTO CORRESPONDENTE],O$6,LANÇ_MOV[EMPRESA],$C$4,LANÇ_MOV[CENTRO DE CUSTOS],$D$4)</f>
        <v>0</v>
      </c>
      <c r="P667" s="207">
        <f t="shared" si="88"/>
        <v>0</v>
      </c>
      <c r="Q667" s="329">
        <v>8.4999999999999999E-6</v>
      </c>
      <c r="R667" s="346">
        <f t="shared" si="89"/>
        <v>8.4999999999999999E-6</v>
      </c>
      <c r="S667" s="347" t="str">
        <f t="shared" si="90"/>
        <v>-</v>
      </c>
      <c r="T667" s="347">
        <f t="shared" si="91"/>
        <v>0</v>
      </c>
      <c r="U667" s="347">
        <f>HLOOKUP(Apoio!$P$12,$D$650:$P$751,X667,FALSE)+Q667</f>
        <v>8.4999999999999999E-6</v>
      </c>
      <c r="V667" s="447" t="str">
        <f t="shared" si="92"/>
        <v>-</v>
      </c>
      <c r="W667" s="448">
        <f>HLOOKUP(Apoio!$P$12,$D$650:$P$751,X667,FALSE)</f>
        <v>0</v>
      </c>
      <c r="X667" s="329">
        <v>18</v>
      </c>
    </row>
    <row r="668" spans="2:27" ht="30.05" customHeight="1" x14ac:dyDescent="0.35">
      <c r="B668" s="204" t="str">
        <f>'CAD_PL_REC-DESP'!W21</f>
        <v>2.5.17</v>
      </c>
      <c r="C668" s="205" t="str">
        <f>IF('CAD_PL_REC-DESP'!X21="","-",'CAD_PL_REC-DESP'!X21)</f>
        <v>-</v>
      </c>
      <c r="D668" s="206">
        <f>SUMIFS(LANÇ_MOV[VALOR LÍQUIDO],LANÇ_MOV[RECEITA OU DESPESA],"Despesa",LANÇ_MOV[CONTAS],$C668,LANÇ_MOV[PLANO DE CONTAS],REL_DRE_FINANCEIRO!$B$651,LANÇ_MOV[ANO PAGAMENTO],$B$4,LANÇ_MOV[MÊS PAGAMENTO CORRESPONDENTE],D$6,LANÇ_MOV[EMPRESA],$C$4,LANÇ_MOV[CENTRO DE CUSTOS],$D$4)</f>
        <v>0</v>
      </c>
      <c r="E668" s="206">
        <f>SUMIFS(LANÇ_MOV[VALOR LÍQUIDO],LANÇ_MOV[RECEITA OU DESPESA],"Despesa",LANÇ_MOV[CONTAS],$C668,LANÇ_MOV[PLANO DE CONTAS],REL_DRE_FINANCEIRO!$B$651,LANÇ_MOV[ANO PAGAMENTO],$B$4,LANÇ_MOV[MÊS PAGAMENTO CORRESPONDENTE],E$6,LANÇ_MOV[EMPRESA],$C$4,LANÇ_MOV[CENTRO DE CUSTOS],$D$4)</f>
        <v>0</v>
      </c>
      <c r="F668" s="206">
        <f>SUMIFS(LANÇ_MOV[VALOR LÍQUIDO],LANÇ_MOV[RECEITA OU DESPESA],"Despesa",LANÇ_MOV[CONTAS],$C668,LANÇ_MOV[PLANO DE CONTAS],REL_DRE_FINANCEIRO!$B$651,LANÇ_MOV[ANO PAGAMENTO],$B$4,LANÇ_MOV[MÊS PAGAMENTO CORRESPONDENTE],F$6,LANÇ_MOV[EMPRESA],$C$4,LANÇ_MOV[CENTRO DE CUSTOS],$D$4)</f>
        <v>0</v>
      </c>
      <c r="G668" s="206">
        <f>SUMIFS(LANÇ_MOV[VALOR LÍQUIDO],LANÇ_MOV[RECEITA OU DESPESA],"Despesa",LANÇ_MOV[CONTAS],$C668,LANÇ_MOV[PLANO DE CONTAS],REL_DRE_FINANCEIRO!$B$651,LANÇ_MOV[ANO PAGAMENTO],$B$4,LANÇ_MOV[MÊS PAGAMENTO CORRESPONDENTE],G$6,LANÇ_MOV[EMPRESA],$C$4,LANÇ_MOV[CENTRO DE CUSTOS],$D$4)</f>
        <v>0</v>
      </c>
      <c r="H668" s="206">
        <f>SUMIFS(LANÇ_MOV[VALOR LÍQUIDO],LANÇ_MOV[RECEITA OU DESPESA],"Despesa",LANÇ_MOV[CONTAS],$C668,LANÇ_MOV[PLANO DE CONTAS],REL_DRE_FINANCEIRO!$B$651,LANÇ_MOV[ANO PAGAMENTO],$B$4,LANÇ_MOV[MÊS PAGAMENTO CORRESPONDENTE],H$6,LANÇ_MOV[EMPRESA],$C$4,LANÇ_MOV[CENTRO DE CUSTOS],$D$4)</f>
        <v>0</v>
      </c>
      <c r="I668" s="206">
        <f>SUMIFS(LANÇ_MOV[VALOR LÍQUIDO],LANÇ_MOV[RECEITA OU DESPESA],"Despesa",LANÇ_MOV[CONTAS],$C668,LANÇ_MOV[PLANO DE CONTAS],REL_DRE_FINANCEIRO!$B$651,LANÇ_MOV[ANO PAGAMENTO],$B$4,LANÇ_MOV[MÊS PAGAMENTO CORRESPONDENTE],I$6,LANÇ_MOV[EMPRESA],$C$4,LANÇ_MOV[CENTRO DE CUSTOS],$D$4)</f>
        <v>0</v>
      </c>
      <c r="J668" s="206">
        <f>SUMIFS(LANÇ_MOV[VALOR LÍQUIDO],LANÇ_MOV[RECEITA OU DESPESA],"Despesa",LANÇ_MOV[CONTAS],$C668,LANÇ_MOV[PLANO DE CONTAS],REL_DRE_FINANCEIRO!$B$651,LANÇ_MOV[ANO PAGAMENTO],$B$4,LANÇ_MOV[MÊS PAGAMENTO CORRESPONDENTE],J$6,LANÇ_MOV[EMPRESA],$C$4,LANÇ_MOV[CENTRO DE CUSTOS],$D$4)</f>
        <v>0</v>
      </c>
      <c r="K668" s="206">
        <f>SUMIFS(LANÇ_MOV[VALOR LÍQUIDO],LANÇ_MOV[RECEITA OU DESPESA],"Despesa",LANÇ_MOV[CONTAS],$C668,LANÇ_MOV[PLANO DE CONTAS],REL_DRE_FINANCEIRO!$B$651,LANÇ_MOV[ANO PAGAMENTO],$B$4,LANÇ_MOV[MÊS PAGAMENTO CORRESPONDENTE],K$6,LANÇ_MOV[EMPRESA],$C$4,LANÇ_MOV[CENTRO DE CUSTOS],$D$4)</f>
        <v>0</v>
      </c>
      <c r="L668" s="206">
        <f>SUMIFS(LANÇ_MOV[VALOR LÍQUIDO],LANÇ_MOV[RECEITA OU DESPESA],"Despesa",LANÇ_MOV[CONTAS],$C668,LANÇ_MOV[PLANO DE CONTAS],REL_DRE_FINANCEIRO!$B$651,LANÇ_MOV[ANO PAGAMENTO],$B$4,LANÇ_MOV[MÊS PAGAMENTO CORRESPONDENTE],L$6,LANÇ_MOV[EMPRESA],$C$4,LANÇ_MOV[CENTRO DE CUSTOS],$D$4)</f>
        <v>0</v>
      </c>
      <c r="M668" s="206">
        <f>SUMIFS(LANÇ_MOV[VALOR LÍQUIDO],LANÇ_MOV[RECEITA OU DESPESA],"Despesa",LANÇ_MOV[CONTAS],$C668,LANÇ_MOV[PLANO DE CONTAS],REL_DRE_FINANCEIRO!$B$651,LANÇ_MOV[ANO PAGAMENTO],$B$4,LANÇ_MOV[MÊS PAGAMENTO CORRESPONDENTE],M$6,LANÇ_MOV[EMPRESA],$C$4,LANÇ_MOV[CENTRO DE CUSTOS],$D$4)</f>
        <v>0</v>
      </c>
      <c r="N668" s="206">
        <f>SUMIFS(LANÇ_MOV[VALOR LÍQUIDO],LANÇ_MOV[RECEITA OU DESPESA],"Despesa",LANÇ_MOV[CONTAS],$C668,LANÇ_MOV[PLANO DE CONTAS],REL_DRE_FINANCEIRO!$B$651,LANÇ_MOV[ANO PAGAMENTO],$B$4,LANÇ_MOV[MÊS PAGAMENTO CORRESPONDENTE],N$6,LANÇ_MOV[EMPRESA],$C$4,LANÇ_MOV[CENTRO DE CUSTOS],$D$4)</f>
        <v>0</v>
      </c>
      <c r="O668" s="206">
        <f>SUMIFS(LANÇ_MOV[VALOR LÍQUIDO],LANÇ_MOV[RECEITA OU DESPESA],"Despesa",LANÇ_MOV[CONTAS],$C668,LANÇ_MOV[PLANO DE CONTAS],REL_DRE_FINANCEIRO!$B$651,LANÇ_MOV[ANO PAGAMENTO],$B$4,LANÇ_MOV[MÊS PAGAMENTO CORRESPONDENTE],O$6,LANÇ_MOV[EMPRESA],$C$4,LANÇ_MOV[CENTRO DE CUSTOS],$D$4)</f>
        <v>0</v>
      </c>
      <c r="P668" s="207">
        <f t="shared" si="88"/>
        <v>0</v>
      </c>
      <c r="Q668" s="329">
        <v>8.3999999999999992E-6</v>
      </c>
      <c r="R668" s="346">
        <f t="shared" si="89"/>
        <v>8.3999999999999992E-6</v>
      </c>
      <c r="S668" s="347" t="str">
        <f t="shared" si="90"/>
        <v>-</v>
      </c>
      <c r="T668" s="347">
        <f t="shared" si="91"/>
        <v>0</v>
      </c>
      <c r="U668" s="347">
        <f>HLOOKUP(Apoio!$P$12,$D$650:$P$751,X668,FALSE)+Q668</f>
        <v>8.3999999999999992E-6</v>
      </c>
      <c r="V668" s="447" t="str">
        <f t="shared" si="92"/>
        <v>-</v>
      </c>
      <c r="W668" s="448">
        <f>HLOOKUP(Apoio!$P$12,$D$650:$P$751,X668,FALSE)</f>
        <v>0</v>
      </c>
      <c r="X668" s="329">
        <v>19</v>
      </c>
    </row>
    <row r="669" spans="2:27" ht="30.05" customHeight="1" x14ac:dyDescent="0.35">
      <c r="B669" s="204" t="str">
        <f>'CAD_PL_REC-DESP'!W22</f>
        <v>2.5.18</v>
      </c>
      <c r="C669" s="205" t="str">
        <f>IF('CAD_PL_REC-DESP'!X22="","-",'CAD_PL_REC-DESP'!X22)</f>
        <v>-</v>
      </c>
      <c r="D669" s="206">
        <f>SUMIFS(LANÇ_MOV[VALOR LÍQUIDO],LANÇ_MOV[RECEITA OU DESPESA],"Despesa",LANÇ_MOV[CONTAS],$C669,LANÇ_MOV[PLANO DE CONTAS],REL_DRE_FINANCEIRO!$B$651,LANÇ_MOV[ANO PAGAMENTO],$B$4,LANÇ_MOV[MÊS PAGAMENTO CORRESPONDENTE],D$6,LANÇ_MOV[EMPRESA],$C$4,LANÇ_MOV[CENTRO DE CUSTOS],$D$4)</f>
        <v>0</v>
      </c>
      <c r="E669" s="206">
        <f>SUMIFS(LANÇ_MOV[VALOR LÍQUIDO],LANÇ_MOV[RECEITA OU DESPESA],"Despesa",LANÇ_MOV[CONTAS],$C669,LANÇ_MOV[PLANO DE CONTAS],REL_DRE_FINANCEIRO!$B$651,LANÇ_MOV[ANO PAGAMENTO],$B$4,LANÇ_MOV[MÊS PAGAMENTO CORRESPONDENTE],E$6,LANÇ_MOV[EMPRESA],$C$4,LANÇ_MOV[CENTRO DE CUSTOS],$D$4)</f>
        <v>0</v>
      </c>
      <c r="F669" s="206">
        <f>SUMIFS(LANÇ_MOV[VALOR LÍQUIDO],LANÇ_MOV[RECEITA OU DESPESA],"Despesa",LANÇ_MOV[CONTAS],$C669,LANÇ_MOV[PLANO DE CONTAS],REL_DRE_FINANCEIRO!$B$651,LANÇ_MOV[ANO PAGAMENTO],$B$4,LANÇ_MOV[MÊS PAGAMENTO CORRESPONDENTE],F$6,LANÇ_MOV[EMPRESA],$C$4,LANÇ_MOV[CENTRO DE CUSTOS],$D$4)</f>
        <v>0</v>
      </c>
      <c r="G669" s="206">
        <f>SUMIFS(LANÇ_MOV[VALOR LÍQUIDO],LANÇ_MOV[RECEITA OU DESPESA],"Despesa",LANÇ_MOV[CONTAS],$C669,LANÇ_MOV[PLANO DE CONTAS],REL_DRE_FINANCEIRO!$B$651,LANÇ_MOV[ANO PAGAMENTO],$B$4,LANÇ_MOV[MÊS PAGAMENTO CORRESPONDENTE],G$6,LANÇ_MOV[EMPRESA],$C$4,LANÇ_MOV[CENTRO DE CUSTOS],$D$4)</f>
        <v>0</v>
      </c>
      <c r="H669" s="206">
        <f>SUMIFS(LANÇ_MOV[VALOR LÍQUIDO],LANÇ_MOV[RECEITA OU DESPESA],"Despesa",LANÇ_MOV[CONTAS],$C669,LANÇ_MOV[PLANO DE CONTAS],REL_DRE_FINANCEIRO!$B$651,LANÇ_MOV[ANO PAGAMENTO],$B$4,LANÇ_MOV[MÊS PAGAMENTO CORRESPONDENTE],H$6,LANÇ_MOV[EMPRESA],$C$4,LANÇ_MOV[CENTRO DE CUSTOS],$D$4)</f>
        <v>0</v>
      </c>
      <c r="I669" s="206">
        <f>SUMIFS(LANÇ_MOV[VALOR LÍQUIDO],LANÇ_MOV[RECEITA OU DESPESA],"Despesa",LANÇ_MOV[CONTAS],$C669,LANÇ_MOV[PLANO DE CONTAS],REL_DRE_FINANCEIRO!$B$651,LANÇ_MOV[ANO PAGAMENTO],$B$4,LANÇ_MOV[MÊS PAGAMENTO CORRESPONDENTE],I$6,LANÇ_MOV[EMPRESA],$C$4,LANÇ_MOV[CENTRO DE CUSTOS],$D$4)</f>
        <v>0</v>
      </c>
      <c r="J669" s="206">
        <f>SUMIFS(LANÇ_MOV[VALOR LÍQUIDO],LANÇ_MOV[RECEITA OU DESPESA],"Despesa",LANÇ_MOV[CONTAS],$C669,LANÇ_MOV[PLANO DE CONTAS],REL_DRE_FINANCEIRO!$B$651,LANÇ_MOV[ANO PAGAMENTO],$B$4,LANÇ_MOV[MÊS PAGAMENTO CORRESPONDENTE],J$6,LANÇ_MOV[EMPRESA],$C$4,LANÇ_MOV[CENTRO DE CUSTOS],$D$4)</f>
        <v>0</v>
      </c>
      <c r="K669" s="206">
        <f>SUMIFS(LANÇ_MOV[VALOR LÍQUIDO],LANÇ_MOV[RECEITA OU DESPESA],"Despesa",LANÇ_MOV[CONTAS],$C669,LANÇ_MOV[PLANO DE CONTAS],REL_DRE_FINANCEIRO!$B$651,LANÇ_MOV[ANO PAGAMENTO],$B$4,LANÇ_MOV[MÊS PAGAMENTO CORRESPONDENTE],K$6,LANÇ_MOV[EMPRESA],$C$4,LANÇ_MOV[CENTRO DE CUSTOS],$D$4)</f>
        <v>0</v>
      </c>
      <c r="L669" s="206">
        <f>SUMIFS(LANÇ_MOV[VALOR LÍQUIDO],LANÇ_MOV[RECEITA OU DESPESA],"Despesa",LANÇ_MOV[CONTAS],$C669,LANÇ_MOV[PLANO DE CONTAS],REL_DRE_FINANCEIRO!$B$651,LANÇ_MOV[ANO PAGAMENTO],$B$4,LANÇ_MOV[MÊS PAGAMENTO CORRESPONDENTE],L$6,LANÇ_MOV[EMPRESA],$C$4,LANÇ_MOV[CENTRO DE CUSTOS],$D$4)</f>
        <v>0</v>
      </c>
      <c r="M669" s="206">
        <f>SUMIFS(LANÇ_MOV[VALOR LÍQUIDO],LANÇ_MOV[RECEITA OU DESPESA],"Despesa",LANÇ_MOV[CONTAS],$C669,LANÇ_MOV[PLANO DE CONTAS],REL_DRE_FINANCEIRO!$B$651,LANÇ_MOV[ANO PAGAMENTO],$B$4,LANÇ_MOV[MÊS PAGAMENTO CORRESPONDENTE],M$6,LANÇ_MOV[EMPRESA],$C$4,LANÇ_MOV[CENTRO DE CUSTOS],$D$4)</f>
        <v>0</v>
      </c>
      <c r="N669" s="206">
        <f>SUMIFS(LANÇ_MOV[VALOR LÍQUIDO],LANÇ_MOV[RECEITA OU DESPESA],"Despesa",LANÇ_MOV[CONTAS],$C669,LANÇ_MOV[PLANO DE CONTAS],REL_DRE_FINANCEIRO!$B$651,LANÇ_MOV[ANO PAGAMENTO],$B$4,LANÇ_MOV[MÊS PAGAMENTO CORRESPONDENTE],N$6,LANÇ_MOV[EMPRESA],$C$4,LANÇ_MOV[CENTRO DE CUSTOS],$D$4)</f>
        <v>0</v>
      </c>
      <c r="O669" s="206">
        <f>SUMIFS(LANÇ_MOV[VALOR LÍQUIDO],LANÇ_MOV[RECEITA OU DESPESA],"Despesa",LANÇ_MOV[CONTAS],$C669,LANÇ_MOV[PLANO DE CONTAS],REL_DRE_FINANCEIRO!$B$651,LANÇ_MOV[ANO PAGAMENTO],$B$4,LANÇ_MOV[MÊS PAGAMENTO CORRESPONDENTE],O$6,LANÇ_MOV[EMPRESA],$C$4,LANÇ_MOV[CENTRO DE CUSTOS],$D$4)</f>
        <v>0</v>
      </c>
      <c r="P669" s="207">
        <f t="shared" si="88"/>
        <v>0</v>
      </c>
      <c r="Q669" s="329">
        <v>8.3000000000000002E-6</v>
      </c>
      <c r="R669" s="346">
        <f t="shared" si="89"/>
        <v>8.3000000000000002E-6</v>
      </c>
      <c r="S669" s="347" t="str">
        <f t="shared" si="90"/>
        <v>-</v>
      </c>
      <c r="T669" s="347">
        <f t="shared" si="91"/>
        <v>0</v>
      </c>
      <c r="U669" s="347">
        <f>HLOOKUP(Apoio!$P$12,$D$650:$P$751,X669,FALSE)+Q669</f>
        <v>8.3000000000000002E-6</v>
      </c>
      <c r="V669" s="447" t="str">
        <f t="shared" si="92"/>
        <v>-</v>
      </c>
      <c r="W669" s="448">
        <f>HLOOKUP(Apoio!$P$12,$D$650:$P$751,X669,FALSE)</f>
        <v>0</v>
      </c>
      <c r="X669" s="329">
        <v>20</v>
      </c>
    </row>
    <row r="670" spans="2:27" ht="30.05" customHeight="1" x14ac:dyDescent="0.35">
      <c r="B670" s="204" t="str">
        <f>'CAD_PL_REC-DESP'!W23</f>
        <v>2.5.19</v>
      </c>
      <c r="C670" s="205" t="str">
        <f>IF('CAD_PL_REC-DESP'!X23="","-",'CAD_PL_REC-DESP'!X23)</f>
        <v>-</v>
      </c>
      <c r="D670" s="206">
        <f>SUMIFS(LANÇ_MOV[VALOR LÍQUIDO],LANÇ_MOV[RECEITA OU DESPESA],"Despesa",LANÇ_MOV[CONTAS],$C670,LANÇ_MOV[PLANO DE CONTAS],REL_DRE_FINANCEIRO!$B$651,LANÇ_MOV[ANO PAGAMENTO],$B$4,LANÇ_MOV[MÊS PAGAMENTO CORRESPONDENTE],D$6,LANÇ_MOV[EMPRESA],$C$4,LANÇ_MOV[CENTRO DE CUSTOS],$D$4)</f>
        <v>0</v>
      </c>
      <c r="E670" s="206">
        <f>SUMIFS(LANÇ_MOV[VALOR LÍQUIDO],LANÇ_MOV[RECEITA OU DESPESA],"Despesa",LANÇ_MOV[CONTAS],$C670,LANÇ_MOV[PLANO DE CONTAS],REL_DRE_FINANCEIRO!$B$651,LANÇ_MOV[ANO PAGAMENTO],$B$4,LANÇ_MOV[MÊS PAGAMENTO CORRESPONDENTE],E$6,LANÇ_MOV[EMPRESA],$C$4,LANÇ_MOV[CENTRO DE CUSTOS],$D$4)</f>
        <v>0</v>
      </c>
      <c r="F670" s="206">
        <f>SUMIFS(LANÇ_MOV[VALOR LÍQUIDO],LANÇ_MOV[RECEITA OU DESPESA],"Despesa",LANÇ_MOV[CONTAS],$C670,LANÇ_MOV[PLANO DE CONTAS],REL_DRE_FINANCEIRO!$B$651,LANÇ_MOV[ANO PAGAMENTO],$B$4,LANÇ_MOV[MÊS PAGAMENTO CORRESPONDENTE],F$6,LANÇ_MOV[EMPRESA],$C$4,LANÇ_MOV[CENTRO DE CUSTOS],$D$4)</f>
        <v>0</v>
      </c>
      <c r="G670" s="206">
        <f>SUMIFS(LANÇ_MOV[VALOR LÍQUIDO],LANÇ_MOV[RECEITA OU DESPESA],"Despesa",LANÇ_MOV[CONTAS],$C670,LANÇ_MOV[PLANO DE CONTAS],REL_DRE_FINANCEIRO!$B$651,LANÇ_MOV[ANO PAGAMENTO],$B$4,LANÇ_MOV[MÊS PAGAMENTO CORRESPONDENTE],G$6,LANÇ_MOV[EMPRESA],$C$4,LANÇ_MOV[CENTRO DE CUSTOS],$D$4)</f>
        <v>0</v>
      </c>
      <c r="H670" s="206">
        <f>SUMIFS(LANÇ_MOV[VALOR LÍQUIDO],LANÇ_MOV[RECEITA OU DESPESA],"Despesa",LANÇ_MOV[CONTAS],$C670,LANÇ_MOV[PLANO DE CONTAS],REL_DRE_FINANCEIRO!$B$651,LANÇ_MOV[ANO PAGAMENTO],$B$4,LANÇ_MOV[MÊS PAGAMENTO CORRESPONDENTE],H$6,LANÇ_MOV[EMPRESA],$C$4,LANÇ_MOV[CENTRO DE CUSTOS],$D$4)</f>
        <v>0</v>
      </c>
      <c r="I670" s="206">
        <f>SUMIFS(LANÇ_MOV[VALOR LÍQUIDO],LANÇ_MOV[RECEITA OU DESPESA],"Despesa",LANÇ_MOV[CONTAS],$C670,LANÇ_MOV[PLANO DE CONTAS],REL_DRE_FINANCEIRO!$B$651,LANÇ_MOV[ANO PAGAMENTO],$B$4,LANÇ_MOV[MÊS PAGAMENTO CORRESPONDENTE],I$6,LANÇ_MOV[EMPRESA],$C$4,LANÇ_MOV[CENTRO DE CUSTOS],$D$4)</f>
        <v>0</v>
      </c>
      <c r="J670" s="206">
        <f>SUMIFS(LANÇ_MOV[VALOR LÍQUIDO],LANÇ_MOV[RECEITA OU DESPESA],"Despesa",LANÇ_MOV[CONTAS],$C670,LANÇ_MOV[PLANO DE CONTAS],REL_DRE_FINANCEIRO!$B$651,LANÇ_MOV[ANO PAGAMENTO],$B$4,LANÇ_MOV[MÊS PAGAMENTO CORRESPONDENTE],J$6,LANÇ_MOV[EMPRESA],$C$4,LANÇ_MOV[CENTRO DE CUSTOS],$D$4)</f>
        <v>0</v>
      </c>
      <c r="K670" s="206">
        <f>SUMIFS(LANÇ_MOV[VALOR LÍQUIDO],LANÇ_MOV[RECEITA OU DESPESA],"Despesa",LANÇ_MOV[CONTAS],$C670,LANÇ_MOV[PLANO DE CONTAS],REL_DRE_FINANCEIRO!$B$651,LANÇ_MOV[ANO PAGAMENTO],$B$4,LANÇ_MOV[MÊS PAGAMENTO CORRESPONDENTE],K$6,LANÇ_MOV[EMPRESA],$C$4,LANÇ_MOV[CENTRO DE CUSTOS],$D$4)</f>
        <v>0</v>
      </c>
      <c r="L670" s="206">
        <f>SUMIFS(LANÇ_MOV[VALOR LÍQUIDO],LANÇ_MOV[RECEITA OU DESPESA],"Despesa",LANÇ_MOV[CONTAS],$C670,LANÇ_MOV[PLANO DE CONTAS],REL_DRE_FINANCEIRO!$B$651,LANÇ_MOV[ANO PAGAMENTO],$B$4,LANÇ_MOV[MÊS PAGAMENTO CORRESPONDENTE],L$6,LANÇ_MOV[EMPRESA],$C$4,LANÇ_MOV[CENTRO DE CUSTOS],$D$4)</f>
        <v>0</v>
      </c>
      <c r="M670" s="206">
        <f>SUMIFS(LANÇ_MOV[VALOR LÍQUIDO],LANÇ_MOV[RECEITA OU DESPESA],"Despesa",LANÇ_MOV[CONTAS],$C670,LANÇ_MOV[PLANO DE CONTAS],REL_DRE_FINANCEIRO!$B$651,LANÇ_MOV[ANO PAGAMENTO],$B$4,LANÇ_MOV[MÊS PAGAMENTO CORRESPONDENTE],M$6,LANÇ_MOV[EMPRESA],$C$4,LANÇ_MOV[CENTRO DE CUSTOS],$D$4)</f>
        <v>0</v>
      </c>
      <c r="N670" s="206">
        <f>SUMIFS(LANÇ_MOV[VALOR LÍQUIDO],LANÇ_MOV[RECEITA OU DESPESA],"Despesa",LANÇ_MOV[CONTAS],$C670,LANÇ_MOV[PLANO DE CONTAS],REL_DRE_FINANCEIRO!$B$651,LANÇ_MOV[ANO PAGAMENTO],$B$4,LANÇ_MOV[MÊS PAGAMENTO CORRESPONDENTE],N$6,LANÇ_MOV[EMPRESA],$C$4,LANÇ_MOV[CENTRO DE CUSTOS],$D$4)</f>
        <v>0</v>
      </c>
      <c r="O670" s="206">
        <f>SUMIFS(LANÇ_MOV[VALOR LÍQUIDO],LANÇ_MOV[RECEITA OU DESPESA],"Despesa",LANÇ_MOV[CONTAS],$C670,LANÇ_MOV[PLANO DE CONTAS],REL_DRE_FINANCEIRO!$B$651,LANÇ_MOV[ANO PAGAMENTO],$B$4,LANÇ_MOV[MÊS PAGAMENTO CORRESPONDENTE],O$6,LANÇ_MOV[EMPRESA],$C$4,LANÇ_MOV[CENTRO DE CUSTOS],$D$4)</f>
        <v>0</v>
      </c>
      <c r="P670" s="207">
        <f t="shared" si="88"/>
        <v>0</v>
      </c>
      <c r="Q670" s="329">
        <v>8.1999999999999994E-6</v>
      </c>
      <c r="R670" s="346">
        <f t="shared" si="89"/>
        <v>8.1999999999999994E-6</v>
      </c>
      <c r="S670" s="347" t="str">
        <f t="shared" si="90"/>
        <v>-</v>
      </c>
      <c r="T670" s="347">
        <f t="shared" si="91"/>
        <v>0</v>
      </c>
      <c r="U670" s="347">
        <f>HLOOKUP(Apoio!$P$12,$D$650:$P$751,X670,FALSE)+Q670</f>
        <v>8.1999999999999994E-6</v>
      </c>
      <c r="V670" s="447" t="str">
        <f t="shared" si="92"/>
        <v>-</v>
      </c>
      <c r="W670" s="448">
        <f>HLOOKUP(Apoio!$P$12,$D$650:$P$751,X670,FALSE)</f>
        <v>0</v>
      </c>
      <c r="X670" s="329">
        <v>21</v>
      </c>
    </row>
    <row r="671" spans="2:27" ht="30.05" customHeight="1" x14ac:dyDescent="0.35">
      <c r="B671" s="204" t="str">
        <f>'CAD_PL_REC-DESP'!W24</f>
        <v>2.5.20</v>
      </c>
      <c r="C671" s="205" t="str">
        <f>IF('CAD_PL_REC-DESP'!X24="","-",'CAD_PL_REC-DESP'!X24)</f>
        <v>-</v>
      </c>
      <c r="D671" s="206">
        <f>SUMIFS(LANÇ_MOV[VALOR LÍQUIDO],LANÇ_MOV[RECEITA OU DESPESA],"Despesa",LANÇ_MOV[CONTAS],$C671,LANÇ_MOV[PLANO DE CONTAS],REL_DRE_FINANCEIRO!$B$651,LANÇ_MOV[ANO PAGAMENTO],$B$4,LANÇ_MOV[MÊS PAGAMENTO CORRESPONDENTE],D$6,LANÇ_MOV[EMPRESA],$C$4,LANÇ_MOV[CENTRO DE CUSTOS],$D$4)</f>
        <v>0</v>
      </c>
      <c r="E671" s="206">
        <f>SUMIFS(LANÇ_MOV[VALOR LÍQUIDO],LANÇ_MOV[RECEITA OU DESPESA],"Despesa",LANÇ_MOV[CONTAS],$C671,LANÇ_MOV[PLANO DE CONTAS],REL_DRE_FINANCEIRO!$B$651,LANÇ_MOV[ANO PAGAMENTO],$B$4,LANÇ_MOV[MÊS PAGAMENTO CORRESPONDENTE],E$6,LANÇ_MOV[EMPRESA],$C$4,LANÇ_MOV[CENTRO DE CUSTOS],$D$4)</f>
        <v>0</v>
      </c>
      <c r="F671" s="206">
        <f>SUMIFS(LANÇ_MOV[VALOR LÍQUIDO],LANÇ_MOV[RECEITA OU DESPESA],"Despesa",LANÇ_MOV[CONTAS],$C671,LANÇ_MOV[PLANO DE CONTAS],REL_DRE_FINANCEIRO!$B$651,LANÇ_MOV[ANO PAGAMENTO],$B$4,LANÇ_MOV[MÊS PAGAMENTO CORRESPONDENTE],F$6,LANÇ_MOV[EMPRESA],$C$4,LANÇ_MOV[CENTRO DE CUSTOS],$D$4)</f>
        <v>0</v>
      </c>
      <c r="G671" s="206">
        <f>SUMIFS(LANÇ_MOV[VALOR LÍQUIDO],LANÇ_MOV[RECEITA OU DESPESA],"Despesa",LANÇ_MOV[CONTAS],$C671,LANÇ_MOV[PLANO DE CONTAS],REL_DRE_FINANCEIRO!$B$651,LANÇ_MOV[ANO PAGAMENTO],$B$4,LANÇ_MOV[MÊS PAGAMENTO CORRESPONDENTE],G$6,LANÇ_MOV[EMPRESA],$C$4,LANÇ_MOV[CENTRO DE CUSTOS],$D$4)</f>
        <v>0</v>
      </c>
      <c r="H671" s="206">
        <f>SUMIFS(LANÇ_MOV[VALOR LÍQUIDO],LANÇ_MOV[RECEITA OU DESPESA],"Despesa",LANÇ_MOV[CONTAS],$C671,LANÇ_MOV[PLANO DE CONTAS],REL_DRE_FINANCEIRO!$B$651,LANÇ_MOV[ANO PAGAMENTO],$B$4,LANÇ_MOV[MÊS PAGAMENTO CORRESPONDENTE],H$6,LANÇ_MOV[EMPRESA],$C$4,LANÇ_MOV[CENTRO DE CUSTOS],$D$4)</f>
        <v>0</v>
      </c>
      <c r="I671" s="206">
        <f>SUMIFS(LANÇ_MOV[VALOR LÍQUIDO],LANÇ_MOV[RECEITA OU DESPESA],"Despesa",LANÇ_MOV[CONTAS],$C671,LANÇ_MOV[PLANO DE CONTAS],REL_DRE_FINANCEIRO!$B$651,LANÇ_MOV[ANO PAGAMENTO],$B$4,LANÇ_MOV[MÊS PAGAMENTO CORRESPONDENTE],I$6,LANÇ_MOV[EMPRESA],$C$4,LANÇ_MOV[CENTRO DE CUSTOS],$D$4)</f>
        <v>0</v>
      </c>
      <c r="J671" s="206">
        <f>SUMIFS(LANÇ_MOV[VALOR LÍQUIDO],LANÇ_MOV[RECEITA OU DESPESA],"Despesa",LANÇ_MOV[CONTAS],$C671,LANÇ_MOV[PLANO DE CONTAS],REL_DRE_FINANCEIRO!$B$651,LANÇ_MOV[ANO PAGAMENTO],$B$4,LANÇ_MOV[MÊS PAGAMENTO CORRESPONDENTE],J$6,LANÇ_MOV[EMPRESA],$C$4,LANÇ_MOV[CENTRO DE CUSTOS],$D$4)</f>
        <v>0</v>
      </c>
      <c r="K671" s="206">
        <f>SUMIFS(LANÇ_MOV[VALOR LÍQUIDO],LANÇ_MOV[RECEITA OU DESPESA],"Despesa",LANÇ_MOV[CONTAS],$C671,LANÇ_MOV[PLANO DE CONTAS],REL_DRE_FINANCEIRO!$B$651,LANÇ_MOV[ANO PAGAMENTO],$B$4,LANÇ_MOV[MÊS PAGAMENTO CORRESPONDENTE],K$6,LANÇ_MOV[EMPRESA],$C$4,LANÇ_MOV[CENTRO DE CUSTOS],$D$4)</f>
        <v>0</v>
      </c>
      <c r="L671" s="206">
        <f>SUMIFS(LANÇ_MOV[VALOR LÍQUIDO],LANÇ_MOV[RECEITA OU DESPESA],"Despesa",LANÇ_MOV[CONTAS],$C671,LANÇ_MOV[PLANO DE CONTAS],REL_DRE_FINANCEIRO!$B$651,LANÇ_MOV[ANO PAGAMENTO],$B$4,LANÇ_MOV[MÊS PAGAMENTO CORRESPONDENTE],L$6,LANÇ_MOV[EMPRESA],$C$4,LANÇ_MOV[CENTRO DE CUSTOS],$D$4)</f>
        <v>0</v>
      </c>
      <c r="M671" s="206">
        <f>SUMIFS(LANÇ_MOV[VALOR LÍQUIDO],LANÇ_MOV[RECEITA OU DESPESA],"Despesa",LANÇ_MOV[CONTAS],$C671,LANÇ_MOV[PLANO DE CONTAS],REL_DRE_FINANCEIRO!$B$651,LANÇ_MOV[ANO PAGAMENTO],$B$4,LANÇ_MOV[MÊS PAGAMENTO CORRESPONDENTE],M$6,LANÇ_MOV[EMPRESA],$C$4,LANÇ_MOV[CENTRO DE CUSTOS],$D$4)</f>
        <v>0</v>
      </c>
      <c r="N671" s="206">
        <f>SUMIFS(LANÇ_MOV[VALOR LÍQUIDO],LANÇ_MOV[RECEITA OU DESPESA],"Despesa",LANÇ_MOV[CONTAS],$C671,LANÇ_MOV[PLANO DE CONTAS],REL_DRE_FINANCEIRO!$B$651,LANÇ_MOV[ANO PAGAMENTO],$B$4,LANÇ_MOV[MÊS PAGAMENTO CORRESPONDENTE],N$6,LANÇ_MOV[EMPRESA],$C$4,LANÇ_MOV[CENTRO DE CUSTOS],$D$4)</f>
        <v>0</v>
      </c>
      <c r="O671" s="206">
        <f>SUMIFS(LANÇ_MOV[VALOR LÍQUIDO],LANÇ_MOV[RECEITA OU DESPESA],"Despesa",LANÇ_MOV[CONTAS],$C671,LANÇ_MOV[PLANO DE CONTAS],REL_DRE_FINANCEIRO!$B$651,LANÇ_MOV[ANO PAGAMENTO],$B$4,LANÇ_MOV[MÊS PAGAMENTO CORRESPONDENTE],O$6,LANÇ_MOV[EMPRESA],$C$4,LANÇ_MOV[CENTRO DE CUSTOS],$D$4)</f>
        <v>0</v>
      </c>
      <c r="P671" s="207">
        <f t="shared" si="88"/>
        <v>0</v>
      </c>
      <c r="Q671" s="329">
        <v>8.1000000000000004E-6</v>
      </c>
      <c r="R671" s="346">
        <f t="shared" si="89"/>
        <v>8.1000000000000004E-6</v>
      </c>
      <c r="S671" s="347" t="str">
        <f t="shared" si="90"/>
        <v>-</v>
      </c>
      <c r="T671" s="347">
        <f t="shared" si="91"/>
        <v>0</v>
      </c>
      <c r="U671" s="347">
        <f>HLOOKUP(Apoio!$P$12,$D$650:$P$751,X671,FALSE)+Q671</f>
        <v>8.1000000000000004E-6</v>
      </c>
      <c r="V671" s="447" t="str">
        <f t="shared" si="92"/>
        <v>-</v>
      </c>
      <c r="W671" s="448">
        <f>HLOOKUP(Apoio!$P$12,$D$650:$P$751,X671,FALSE)</f>
        <v>0</v>
      </c>
      <c r="X671" s="329">
        <v>22</v>
      </c>
    </row>
    <row r="672" spans="2:27" ht="30.05" customHeight="1" x14ac:dyDescent="0.35">
      <c r="B672" s="204" t="str">
        <f>'CAD_PL_REC-DESP'!W25</f>
        <v>2.5.21</v>
      </c>
      <c r="C672" s="205" t="str">
        <f>IF('CAD_PL_REC-DESP'!X25="","-",'CAD_PL_REC-DESP'!X25)</f>
        <v>-</v>
      </c>
      <c r="D672" s="206">
        <f>SUMIFS(LANÇ_MOV[VALOR LÍQUIDO],LANÇ_MOV[RECEITA OU DESPESA],"Despesa",LANÇ_MOV[CONTAS],$C672,LANÇ_MOV[PLANO DE CONTAS],REL_DRE_FINANCEIRO!$B$651,LANÇ_MOV[ANO PAGAMENTO],$B$4,LANÇ_MOV[MÊS PAGAMENTO CORRESPONDENTE],D$6,LANÇ_MOV[EMPRESA],$C$4,LANÇ_MOV[CENTRO DE CUSTOS],$D$4)</f>
        <v>0</v>
      </c>
      <c r="E672" s="206">
        <f>SUMIFS(LANÇ_MOV[VALOR LÍQUIDO],LANÇ_MOV[RECEITA OU DESPESA],"Despesa",LANÇ_MOV[CONTAS],$C672,LANÇ_MOV[PLANO DE CONTAS],REL_DRE_FINANCEIRO!$B$651,LANÇ_MOV[ANO PAGAMENTO],$B$4,LANÇ_MOV[MÊS PAGAMENTO CORRESPONDENTE],E$6,LANÇ_MOV[EMPRESA],$C$4,LANÇ_MOV[CENTRO DE CUSTOS],$D$4)</f>
        <v>0</v>
      </c>
      <c r="F672" s="206">
        <f>SUMIFS(LANÇ_MOV[VALOR LÍQUIDO],LANÇ_MOV[RECEITA OU DESPESA],"Despesa",LANÇ_MOV[CONTAS],$C672,LANÇ_MOV[PLANO DE CONTAS],REL_DRE_FINANCEIRO!$B$651,LANÇ_MOV[ANO PAGAMENTO],$B$4,LANÇ_MOV[MÊS PAGAMENTO CORRESPONDENTE],F$6,LANÇ_MOV[EMPRESA],$C$4,LANÇ_MOV[CENTRO DE CUSTOS],$D$4)</f>
        <v>0</v>
      </c>
      <c r="G672" s="206">
        <f>SUMIFS(LANÇ_MOV[VALOR LÍQUIDO],LANÇ_MOV[RECEITA OU DESPESA],"Despesa",LANÇ_MOV[CONTAS],$C672,LANÇ_MOV[PLANO DE CONTAS],REL_DRE_FINANCEIRO!$B$651,LANÇ_MOV[ANO PAGAMENTO],$B$4,LANÇ_MOV[MÊS PAGAMENTO CORRESPONDENTE],G$6,LANÇ_MOV[EMPRESA],$C$4,LANÇ_MOV[CENTRO DE CUSTOS],$D$4)</f>
        <v>0</v>
      </c>
      <c r="H672" s="206">
        <f>SUMIFS(LANÇ_MOV[VALOR LÍQUIDO],LANÇ_MOV[RECEITA OU DESPESA],"Despesa",LANÇ_MOV[CONTAS],$C672,LANÇ_MOV[PLANO DE CONTAS],REL_DRE_FINANCEIRO!$B$651,LANÇ_MOV[ANO PAGAMENTO],$B$4,LANÇ_MOV[MÊS PAGAMENTO CORRESPONDENTE],H$6,LANÇ_MOV[EMPRESA],$C$4,LANÇ_MOV[CENTRO DE CUSTOS],$D$4)</f>
        <v>0</v>
      </c>
      <c r="I672" s="206">
        <f>SUMIFS(LANÇ_MOV[VALOR LÍQUIDO],LANÇ_MOV[RECEITA OU DESPESA],"Despesa",LANÇ_MOV[CONTAS],$C672,LANÇ_MOV[PLANO DE CONTAS],REL_DRE_FINANCEIRO!$B$651,LANÇ_MOV[ANO PAGAMENTO],$B$4,LANÇ_MOV[MÊS PAGAMENTO CORRESPONDENTE],I$6,LANÇ_MOV[EMPRESA],$C$4,LANÇ_MOV[CENTRO DE CUSTOS],$D$4)</f>
        <v>0</v>
      </c>
      <c r="J672" s="206">
        <f>SUMIFS(LANÇ_MOV[VALOR LÍQUIDO],LANÇ_MOV[RECEITA OU DESPESA],"Despesa",LANÇ_MOV[CONTAS],$C672,LANÇ_MOV[PLANO DE CONTAS],REL_DRE_FINANCEIRO!$B$651,LANÇ_MOV[ANO PAGAMENTO],$B$4,LANÇ_MOV[MÊS PAGAMENTO CORRESPONDENTE],J$6,LANÇ_MOV[EMPRESA],$C$4,LANÇ_MOV[CENTRO DE CUSTOS],$D$4)</f>
        <v>0</v>
      </c>
      <c r="K672" s="206">
        <f>SUMIFS(LANÇ_MOV[VALOR LÍQUIDO],LANÇ_MOV[RECEITA OU DESPESA],"Despesa",LANÇ_MOV[CONTAS],$C672,LANÇ_MOV[PLANO DE CONTAS],REL_DRE_FINANCEIRO!$B$651,LANÇ_MOV[ANO PAGAMENTO],$B$4,LANÇ_MOV[MÊS PAGAMENTO CORRESPONDENTE],K$6,LANÇ_MOV[EMPRESA],$C$4,LANÇ_MOV[CENTRO DE CUSTOS],$D$4)</f>
        <v>0</v>
      </c>
      <c r="L672" s="206">
        <f>SUMIFS(LANÇ_MOV[VALOR LÍQUIDO],LANÇ_MOV[RECEITA OU DESPESA],"Despesa",LANÇ_MOV[CONTAS],$C672,LANÇ_MOV[PLANO DE CONTAS],REL_DRE_FINANCEIRO!$B$651,LANÇ_MOV[ANO PAGAMENTO],$B$4,LANÇ_MOV[MÊS PAGAMENTO CORRESPONDENTE],L$6,LANÇ_MOV[EMPRESA],$C$4,LANÇ_MOV[CENTRO DE CUSTOS],$D$4)</f>
        <v>0</v>
      </c>
      <c r="M672" s="206">
        <f>SUMIFS(LANÇ_MOV[VALOR LÍQUIDO],LANÇ_MOV[RECEITA OU DESPESA],"Despesa",LANÇ_MOV[CONTAS],$C672,LANÇ_MOV[PLANO DE CONTAS],REL_DRE_FINANCEIRO!$B$651,LANÇ_MOV[ANO PAGAMENTO],$B$4,LANÇ_MOV[MÊS PAGAMENTO CORRESPONDENTE],M$6,LANÇ_MOV[EMPRESA],$C$4,LANÇ_MOV[CENTRO DE CUSTOS],$D$4)</f>
        <v>0</v>
      </c>
      <c r="N672" s="206">
        <f>SUMIFS(LANÇ_MOV[VALOR LÍQUIDO],LANÇ_MOV[RECEITA OU DESPESA],"Despesa",LANÇ_MOV[CONTAS],$C672,LANÇ_MOV[PLANO DE CONTAS],REL_DRE_FINANCEIRO!$B$651,LANÇ_MOV[ANO PAGAMENTO],$B$4,LANÇ_MOV[MÊS PAGAMENTO CORRESPONDENTE],N$6,LANÇ_MOV[EMPRESA],$C$4,LANÇ_MOV[CENTRO DE CUSTOS],$D$4)</f>
        <v>0</v>
      </c>
      <c r="O672" s="206">
        <f>SUMIFS(LANÇ_MOV[VALOR LÍQUIDO],LANÇ_MOV[RECEITA OU DESPESA],"Despesa",LANÇ_MOV[CONTAS],$C672,LANÇ_MOV[PLANO DE CONTAS],REL_DRE_FINANCEIRO!$B$651,LANÇ_MOV[ANO PAGAMENTO],$B$4,LANÇ_MOV[MÊS PAGAMENTO CORRESPONDENTE],O$6,LANÇ_MOV[EMPRESA],$C$4,LANÇ_MOV[CENTRO DE CUSTOS],$D$4)</f>
        <v>0</v>
      </c>
      <c r="P672" s="207">
        <f t="shared" si="88"/>
        <v>0</v>
      </c>
      <c r="Q672" s="329">
        <v>7.9999999999999996E-6</v>
      </c>
      <c r="R672" s="346">
        <f t="shared" si="89"/>
        <v>7.9999999999999996E-6</v>
      </c>
      <c r="S672" s="347" t="str">
        <f t="shared" si="90"/>
        <v>-</v>
      </c>
      <c r="T672" s="347">
        <f t="shared" si="91"/>
        <v>0</v>
      </c>
      <c r="U672" s="347">
        <f>HLOOKUP(Apoio!$P$12,$D$650:$P$751,X672,FALSE)+Q672</f>
        <v>7.9999999999999996E-6</v>
      </c>
      <c r="V672" s="447" t="str">
        <f t="shared" si="92"/>
        <v>-</v>
      </c>
      <c r="W672" s="448">
        <f>HLOOKUP(Apoio!$P$12,$D$650:$P$751,X672,FALSE)</f>
        <v>0</v>
      </c>
      <c r="X672" s="329">
        <v>23</v>
      </c>
    </row>
    <row r="673" spans="2:24" ht="30.05" customHeight="1" x14ac:dyDescent="0.35">
      <c r="B673" s="204" t="str">
        <f>'CAD_PL_REC-DESP'!W26</f>
        <v>2.5.22</v>
      </c>
      <c r="C673" s="205" t="str">
        <f>IF('CAD_PL_REC-DESP'!X26="","-",'CAD_PL_REC-DESP'!X26)</f>
        <v>-</v>
      </c>
      <c r="D673" s="206">
        <f>SUMIFS(LANÇ_MOV[VALOR LÍQUIDO],LANÇ_MOV[RECEITA OU DESPESA],"Despesa",LANÇ_MOV[CONTAS],$C673,LANÇ_MOV[PLANO DE CONTAS],REL_DRE_FINANCEIRO!$B$651,LANÇ_MOV[ANO PAGAMENTO],$B$4,LANÇ_MOV[MÊS PAGAMENTO CORRESPONDENTE],D$6,LANÇ_MOV[EMPRESA],$C$4,LANÇ_MOV[CENTRO DE CUSTOS],$D$4)</f>
        <v>0</v>
      </c>
      <c r="E673" s="206">
        <f>SUMIFS(LANÇ_MOV[VALOR LÍQUIDO],LANÇ_MOV[RECEITA OU DESPESA],"Despesa",LANÇ_MOV[CONTAS],$C673,LANÇ_MOV[PLANO DE CONTAS],REL_DRE_FINANCEIRO!$B$651,LANÇ_MOV[ANO PAGAMENTO],$B$4,LANÇ_MOV[MÊS PAGAMENTO CORRESPONDENTE],E$6,LANÇ_MOV[EMPRESA],$C$4,LANÇ_MOV[CENTRO DE CUSTOS],$D$4)</f>
        <v>0</v>
      </c>
      <c r="F673" s="206">
        <f>SUMIFS(LANÇ_MOV[VALOR LÍQUIDO],LANÇ_MOV[RECEITA OU DESPESA],"Despesa",LANÇ_MOV[CONTAS],$C673,LANÇ_MOV[PLANO DE CONTAS],REL_DRE_FINANCEIRO!$B$651,LANÇ_MOV[ANO PAGAMENTO],$B$4,LANÇ_MOV[MÊS PAGAMENTO CORRESPONDENTE],F$6,LANÇ_MOV[EMPRESA],$C$4,LANÇ_MOV[CENTRO DE CUSTOS],$D$4)</f>
        <v>0</v>
      </c>
      <c r="G673" s="206">
        <f>SUMIFS(LANÇ_MOV[VALOR LÍQUIDO],LANÇ_MOV[RECEITA OU DESPESA],"Despesa",LANÇ_MOV[CONTAS],$C673,LANÇ_MOV[PLANO DE CONTAS],REL_DRE_FINANCEIRO!$B$651,LANÇ_MOV[ANO PAGAMENTO],$B$4,LANÇ_MOV[MÊS PAGAMENTO CORRESPONDENTE],G$6,LANÇ_MOV[EMPRESA],$C$4,LANÇ_MOV[CENTRO DE CUSTOS],$D$4)</f>
        <v>0</v>
      </c>
      <c r="H673" s="206">
        <f>SUMIFS(LANÇ_MOV[VALOR LÍQUIDO],LANÇ_MOV[RECEITA OU DESPESA],"Despesa",LANÇ_MOV[CONTAS],$C673,LANÇ_MOV[PLANO DE CONTAS],REL_DRE_FINANCEIRO!$B$651,LANÇ_MOV[ANO PAGAMENTO],$B$4,LANÇ_MOV[MÊS PAGAMENTO CORRESPONDENTE],H$6,LANÇ_MOV[EMPRESA],$C$4,LANÇ_MOV[CENTRO DE CUSTOS],$D$4)</f>
        <v>0</v>
      </c>
      <c r="I673" s="206">
        <f>SUMIFS(LANÇ_MOV[VALOR LÍQUIDO],LANÇ_MOV[RECEITA OU DESPESA],"Despesa",LANÇ_MOV[CONTAS],$C673,LANÇ_MOV[PLANO DE CONTAS],REL_DRE_FINANCEIRO!$B$651,LANÇ_MOV[ANO PAGAMENTO],$B$4,LANÇ_MOV[MÊS PAGAMENTO CORRESPONDENTE],I$6,LANÇ_MOV[EMPRESA],$C$4,LANÇ_MOV[CENTRO DE CUSTOS],$D$4)</f>
        <v>0</v>
      </c>
      <c r="J673" s="206">
        <f>SUMIFS(LANÇ_MOV[VALOR LÍQUIDO],LANÇ_MOV[RECEITA OU DESPESA],"Despesa",LANÇ_MOV[CONTAS],$C673,LANÇ_MOV[PLANO DE CONTAS],REL_DRE_FINANCEIRO!$B$651,LANÇ_MOV[ANO PAGAMENTO],$B$4,LANÇ_MOV[MÊS PAGAMENTO CORRESPONDENTE],J$6,LANÇ_MOV[EMPRESA],$C$4,LANÇ_MOV[CENTRO DE CUSTOS],$D$4)</f>
        <v>0</v>
      </c>
      <c r="K673" s="206">
        <f>SUMIFS(LANÇ_MOV[VALOR LÍQUIDO],LANÇ_MOV[RECEITA OU DESPESA],"Despesa",LANÇ_MOV[CONTAS],$C673,LANÇ_MOV[PLANO DE CONTAS],REL_DRE_FINANCEIRO!$B$651,LANÇ_MOV[ANO PAGAMENTO],$B$4,LANÇ_MOV[MÊS PAGAMENTO CORRESPONDENTE],K$6,LANÇ_MOV[EMPRESA],$C$4,LANÇ_MOV[CENTRO DE CUSTOS],$D$4)</f>
        <v>0</v>
      </c>
      <c r="L673" s="206">
        <f>SUMIFS(LANÇ_MOV[VALOR LÍQUIDO],LANÇ_MOV[RECEITA OU DESPESA],"Despesa",LANÇ_MOV[CONTAS],$C673,LANÇ_MOV[PLANO DE CONTAS],REL_DRE_FINANCEIRO!$B$651,LANÇ_MOV[ANO PAGAMENTO],$B$4,LANÇ_MOV[MÊS PAGAMENTO CORRESPONDENTE],L$6,LANÇ_MOV[EMPRESA],$C$4,LANÇ_MOV[CENTRO DE CUSTOS],$D$4)</f>
        <v>0</v>
      </c>
      <c r="M673" s="206">
        <f>SUMIFS(LANÇ_MOV[VALOR LÍQUIDO],LANÇ_MOV[RECEITA OU DESPESA],"Despesa",LANÇ_MOV[CONTAS],$C673,LANÇ_MOV[PLANO DE CONTAS],REL_DRE_FINANCEIRO!$B$651,LANÇ_MOV[ANO PAGAMENTO],$B$4,LANÇ_MOV[MÊS PAGAMENTO CORRESPONDENTE],M$6,LANÇ_MOV[EMPRESA],$C$4,LANÇ_MOV[CENTRO DE CUSTOS],$D$4)</f>
        <v>0</v>
      </c>
      <c r="N673" s="206">
        <f>SUMIFS(LANÇ_MOV[VALOR LÍQUIDO],LANÇ_MOV[RECEITA OU DESPESA],"Despesa",LANÇ_MOV[CONTAS],$C673,LANÇ_MOV[PLANO DE CONTAS],REL_DRE_FINANCEIRO!$B$651,LANÇ_MOV[ANO PAGAMENTO],$B$4,LANÇ_MOV[MÊS PAGAMENTO CORRESPONDENTE],N$6,LANÇ_MOV[EMPRESA],$C$4,LANÇ_MOV[CENTRO DE CUSTOS],$D$4)</f>
        <v>0</v>
      </c>
      <c r="O673" s="206">
        <f>SUMIFS(LANÇ_MOV[VALOR LÍQUIDO],LANÇ_MOV[RECEITA OU DESPESA],"Despesa",LANÇ_MOV[CONTAS],$C673,LANÇ_MOV[PLANO DE CONTAS],REL_DRE_FINANCEIRO!$B$651,LANÇ_MOV[ANO PAGAMENTO],$B$4,LANÇ_MOV[MÊS PAGAMENTO CORRESPONDENTE],O$6,LANÇ_MOV[EMPRESA],$C$4,LANÇ_MOV[CENTRO DE CUSTOS],$D$4)</f>
        <v>0</v>
      </c>
      <c r="P673" s="207">
        <f t="shared" si="88"/>
        <v>0</v>
      </c>
      <c r="Q673" s="329">
        <v>7.9000000000000006E-6</v>
      </c>
      <c r="R673" s="346">
        <f t="shared" si="89"/>
        <v>7.9000000000000006E-6</v>
      </c>
      <c r="S673" s="347" t="str">
        <f t="shared" si="90"/>
        <v>-</v>
      </c>
      <c r="T673" s="347">
        <f t="shared" si="91"/>
        <v>0</v>
      </c>
      <c r="U673" s="347">
        <f>HLOOKUP(Apoio!$P$12,$D$650:$P$751,X673,FALSE)+Q673</f>
        <v>7.9000000000000006E-6</v>
      </c>
      <c r="V673" s="447" t="str">
        <f t="shared" si="92"/>
        <v>-</v>
      </c>
      <c r="W673" s="448">
        <f>HLOOKUP(Apoio!$P$12,$D$650:$P$751,X673,FALSE)</f>
        <v>0</v>
      </c>
      <c r="X673" s="329">
        <v>24</v>
      </c>
    </row>
    <row r="674" spans="2:24" ht="30.05" customHeight="1" x14ac:dyDescent="0.35">
      <c r="B674" s="204" t="str">
        <f>'CAD_PL_REC-DESP'!W27</f>
        <v>2.5.23</v>
      </c>
      <c r="C674" s="205" t="str">
        <f>IF('CAD_PL_REC-DESP'!X27="","-",'CAD_PL_REC-DESP'!X27)</f>
        <v>-</v>
      </c>
      <c r="D674" s="206">
        <f>SUMIFS(LANÇ_MOV[VALOR LÍQUIDO],LANÇ_MOV[RECEITA OU DESPESA],"Despesa",LANÇ_MOV[CONTAS],$C674,LANÇ_MOV[PLANO DE CONTAS],REL_DRE_FINANCEIRO!$B$651,LANÇ_MOV[ANO PAGAMENTO],$B$4,LANÇ_MOV[MÊS PAGAMENTO CORRESPONDENTE],D$6,LANÇ_MOV[EMPRESA],$C$4,LANÇ_MOV[CENTRO DE CUSTOS],$D$4)</f>
        <v>0</v>
      </c>
      <c r="E674" s="206">
        <f>SUMIFS(LANÇ_MOV[VALOR LÍQUIDO],LANÇ_MOV[RECEITA OU DESPESA],"Despesa",LANÇ_MOV[CONTAS],$C674,LANÇ_MOV[PLANO DE CONTAS],REL_DRE_FINANCEIRO!$B$651,LANÇ_MOV[ANO PAGAMENTO],$B$4,LANÇ_MOV[MÊS PAGAMENTO CORRESPONDENTE],E$6,LANÇ_MOV[EMPRESA],$C$4,LANÇ_MOV[CENTRO DE CUSTOS],$D$4)</f>
        <v>0</v>
      </c>
      <c r="F674" s="206">
        <f>SUMIFS(LANÇ_MOV[VALOR LÍQUIDO],LANÇ_MOV[RECEITA OU DESPESA],"Despesa",LANÇ_MOV[CONTAS],$C674,LANÇ_MOV[PLANO DE CONTAS],REL_DRE_FINANCEIRO!$B$651,LANÇ_MOV[ANO PAGAMENTO],$B$4,LANÇ_MOV[MÊS PAGAMENTO CORRESPONDENTE],F$6,LANÇ_MOV[EMPRESA],$C$4,LANÇ_MOV[CENTRO DE CUSTOS],$D$4)</f>
        <v>0</v>
      </c>
      <c r="G674" s="206">
        <f>SUMIFS(LANÇ_MOV[VALOR LÍQUIDO],LANÇ_MOV[RECEITA OU DESPESA],"Despesa",LANÇ_MOV[CONTAS],$C674,LANÇ_MOV[PLANO DE CONTAS],REL_DRE_FINANCEIRO!$B$651,LANÇ_MOV[ANO PAGAMENTO],$B$4,LANÇ_MOV[MÊS PAGAMENTO CORRESPONDENTE],G$6,LANÇ_MOV[EMPRESA],$C$4,LANÇ_MOV[CENTRO DE CUSTOS],$D$4)</f>
        <v>0</v>
      </c>
      <c r="H674" s="206">
        <f>SUMIFS(LANÇ_MOV[VALOR LÍQUIDO],LANÇ_MOV[RECEITA OU DESPESA],"Despesa",LANÇ_MOV[CONTAS],$C674,LANÇ_MOV[PLANO DE CONTAS],REL_DRE_FINANCEIRO!$B$651,LANÇ_MOV[ANO PAGAMENTO],$B$4,LANÇ_MOV[MÊS PAGAMENTO CORRESPONDENTE],H$6,LANÇ_MOV[EMPRESA],$C$4,LANÇ_MOV[CENTRO DE CUSTOS],$D$4)</f>
        <v>0</v>
      </c>
      <c r="I674" s="206">
        <f>SUMIFS(LANÇ_MOV[VALOR LÍQUIDO],LANÇ_MOV[RECEITA OU DESPESA],"Despesa",LANÇ_MOV[CONTAS],$C674,LANÇ_MOV[PLANO DE CONTAS],REL_DRE_FINANCEIRO!$B$651,LANÇ_MOV[ANO PAGAMENTO],$B$4,LANÇ_MOV[MÊS PAGAMENTO CORRESPONDENTE],I$6,LANÇ_MOV[EMPRESA],$C$4,LANÇ_MOV[CENTRO DE CUSTOS],$D$4)</f>
        <v>0</v>
      </c>
      <c r="J674" s="206">
        <f>SUMIFS(LANÇ_MOV[VALOR LÍQUIDO],LANÇ_MOV[RECEITA OU DESPESA],"Despesa",LANÇ_MOV[CONTAS],$C674,LANÇ_MOV[PLANO DE CONTAS],REL_DRE_FINANCEIRO!$B$651,LANÇ_MOV[ANO PAGAMENTO],$B$4,LANÇ_MOV[MÊS PAGAMENTO CORRESPONDENTE],J$6,LANÇ_MOV[EMPRESA],$C$4,LANÇ_MOV[CENTRO DE CUSTOS],$D$4)</f>
        <v>0</v>
      </c>
      <c r="K674" s="206">
        <f>SUMIFS(LANÇ_MOV[VALOR LÍQUIDO],LANÇ_MOV[RECEITA OU DESPESA],"Despesa",LANÇ_MOV[CONTAS],$C674,LANÇ_MOV[PLANO DE CONTAS],REL_DRE_FINANCEIRO!$B$651,LANÇ_MOV[ANO PAGAMENTO],$B$4,LANÇ_MOV[MÊS PAGAMENTO CORRESPONDENTE],K$6,LANÇ_MOV[EMPRESA],$C$4,LANÇ_MOV[CENTRO DE CUSTOS],$D$4)</f>
        <v>0</v>
      </c>
      <c r="L674" s="206">
        <f>SUMIFS(LANÇ_MOV[VALOR LÍQUIDO],LANÇ_MOV[RECEITA OU DESPESA],"Despesa",LANÇ_MOV[CONTAS],$C674,LANÇ_MOV[PLANO DE CONTAS],REL_DRE_FINANCEIRO!$B$651,LANÇ_MOV[ANO PAGAMENTO],$B$4,LANÇ_MOV[MÊS PAGAMENTO CORRESPONDENTE],L$6,LANÇ_MOV[EMPRESA],$C$4,LANÇ_MOV[CENTRO DE CUSTOS],$D$4)</f>
        <v>0</v>
      </c>
      <c r="M674" s="206">
        <f>SUMIFS(LANÇ_MOV[VALOR LÍQUIDO],LANÇ_MOV[RECEITA OU DESPESA],"Despesa",LANÇ_MOV[CONTAS],$C674,LANÇ_MOV[PLANO DE CONTAS],REL_DRE_FINANCEIRO!$B$651,LANÇ_MOV[ANO PAGAMENTO],$B$4,LANÇ_MOV[MÊS PAGAMENTO CORRESPONDENTE],M$6,LANÇ_MOV[EMPRESA],$C$4,LANÇ_MOV[CENTRO DE CUSTOS],$D$4)</f>
        <v>0</v>
      </c>
      <c r="N674" s="206">
        <f>SUMIFS(LANÇ_MOV[VALOR LÍQUIDO],LANÇ_MOV[RECEITA OU DESPESA],"Despesa",LANÇ_MOV[CONTAS],$C674,LANÇ_MOV[PLANO DE CONTAS],REL_DRE_FINANCEIRO!$B$651,LANÇ_MOV[ANO PAGAMENTO],$B$4,LANÇ_MOV[MÊS PAGAMENTO CORRESPONDENTE],N$6,LANÇ_MOV[EMPRESA],$C$4,LANÇ_MOV[CENTRO DE CUSTOS],$D$4)</f>
        <v>0</v>
      </c>
      <c r="O674" s="206">
        <f>SUMIFS(LANÇ_MOV[VALOR LÍQUIDO],LANÇ_MOV[RECEITA OU DESPESA],"Despesa",LANÇ_MOV[CONTAS],$C674,LANÇ_MOV[PLANO DE CONTAS],REL_DRE_FINANCEIRO!$B$651,LANÇ_MOV[ANO PAGAMENTO],$B$4,LANÇ_MOV[MÊS PAGAMENTO CORRESPONDENTE],O$6,LANÇ_MOV[EMPRESA],$C$4,LANÇ_MOV[CENTRO DE CUSTOS],$D$4)</f>
        <v>0</v>
      </c>
      <c r="P674" s="207">
        <f t="shared" si="88"/>
        <v>0</v>
      </c>
      <c r="Q674" s="329">
        <v>7.7999999999999999E-6</v>
      </c>
      <c r="R674" s="346">
        <f t="shared" si="89"/>
        <v>7.7999999999999999E-6</v>
      </c>
      <c r="S674" s="347" t="str">
        <f t="shared" si="90"/>
        <v>-</v>
      </c>
      <c r="T674" s="347">
        <f t="shared" si="91"/>
        <v>0</v>
      </c>
      <c r="U674" s="347">
        <f>HLOOKUP(Apoio!$P$12,$D$650:$P$751,X674,FALSE)+Q674</f>
        <v>7.7999999999999999E-6</v>
      </c>
      <c r="V674" s="447" t="str">
        <f t="shared" si="92"/>
        <v>-</v>
      </c>
      <c r="W674" s="448">
        <f>HLOOKUP(Apoio!$P$12,$D$650:$P$751,X674,FALSE)</f>
        <v>0</v>
      </c>
      <c r="X674" s="329">
        <v>25</v>
      </c>
    </row>
    <row r="675" spans="2:24" ht="30.05" customHeight="1" x14ac:dyDescent="0.35">
      <c r="B675" s="204" t="str">
        <f>'CAD_PL_REC-DESP'!W28</f>
        <v>2.5.24</v>
      </c>
      <c r="C675" s="205" t="str">
        <f>IF('CAD_PL_REC-DESP'!X28="","-",'CAD_PL_REC-DESP'!X28)</f>
        <v>-</v>
      </c>
      <c r="D675" s="206">
        <f>SUMIFS(LANÇ_MOV[VALOR LÍQUIDO],LANÇ_MOV[RECEITA OU DESPESA],"Despesa",LANÇ_MOV[CONTAS],$C675,LANÇ_MOV[PLANO DE CONTAS],REL_DRE_FINANCEIRO!$B$651,LANÇ_MOV[ANO PAGAMENTO],$B$4,LANÇ_MOV[MÊS PAGAMENTO CORRESPONDENTE],D$6,LANÇ_MOV[EMPRESA],$C$4,LANÇ_MOV[CENTRO DE CUSTOS],$D$4)</f>
        <v>0</v>
      </c>
      <c r="E675" s="206">
        <f>SUMIFS(LANÇ_MOV[VALOR LÍQUIDO],LANÇ_MOV[RECEITA OU DESPESA],"Despesa",LANÇ_MOV[CONTAS],$C675,LANÇ_MOV[PLANO DE CONTAS],REL_DRE_FINANCEIRO!$B$651,LANÇ_MOV[ANO PAGAMENTO],$B$4,LANÇ_MOV[MÊS PAGAMENTO CORRESPONDENTE],E$6,LANÇ_MOV[EMPRESA],$C$4,LANÇ_MOV[CENTRO DE CUSTOS],$D$4)</f>
        <v>0</v>
      </c>
      <c r="F675" s="206">
        <f>SUMIFS(LANÇ_MOV[VALOR LÍQUIDO],LANÇ_MOV[RECEITA OU DESPESA],"Despesa",LANÇ_MOV[CONTAS],$C675,LANÇ_MOV[PLANO DE CONTAS],REL_DRE_FINANCEIRO!$B$651,LANÇ_MOV[ANO PAGAMENTO],$B$4,LANÇ_MOV[MÊS PAGAMENTO CORRESPONDENTE],F$6,LANÇ_MOV[EMPRESA],$C$4,LANÇ_MOV[CENTRO DE CUSTOS],$D$4)</f>
        <v>0</v>
      </c>
      <c r="G675" s="206">
        <f>SUMIFS(LANÇ_MOV[VALOR LÍQUIDO],LANÇ_MOV[RECEITA OU DESPESA],"Despesa",LANÇ_MOV[CONTAS],$C675,LANÇ_MOV[PLANO DE CONTAS],REL_DRE_FINANCEIRO!$B$651,LANÇ_MOV[ANO PAGAMENTO],$B$4,LANÇ_MOV[MÊS PAGAMENTO CORRESPONDENTE],G$6,LANÇ_MOV[EMPRESA],$C$4,LANÇ_MOV[CENTRO DE CUSTOS],$D$4)</f>
        <v>0</v>
      </c>
      <c r="H675" s="206">
        <f>SUMIFS(LANÇ_MOV[VALOR LÍQUIDO],LANÇ_MOV[RECEITA OU DESPESA],"Despesa",LANÇ_MOV[CONTAS],$C675,LANÇ_MOV[PLANO DE CONTAS],REL_DRE_FINANCEIRO!$B$651,LANÇ_MOV[ANO PAGAMENTO],$B$4,LANÇ_MOV[MÊS PAGAMENTO CORRESPONDENTE],H$6,LANÇ_MOV[EMPRESA],$C$4,LANÇ_MOV[CENTRO DE CUSTOS],$D$4)</f>
        <v>0</v>
      </c>
      <c r="I675" s="206">
        <f>SUMIFS(LANÇ_MOV[VALOR LÍQUIDO],LANÇ_MOV[RECEITA OU DESPESA],"Despesa",LANÇ_MOV[CONTAS],$C675,LANÇ_MOV[PLANO DE CONTAS],REL_DRE_FINANCEIRO!$B$651,LANÇ_MOV[ANO PAGAMENTO],$B$4,LANÇ_MOV[MÊS PAGAMENTO CORRESPONDENTE],I$6,LANÇ_MOV[EMPRESA],$C$4,LANÇ_MOV[CENTRO DE CUSTOS],$D$4)</f>
        <v>0</v>
      </c>
      <c r="J675" s="206">
        <f>SUMIFS(LANÇ_MOV[VALOR LÍQUIDO],LANÇ_MOV[RECEITA OU DESPESA],"Despesa",LANÇ_MOV[CONTAS],$C675,LANÇ_MOV[PLANO DE CONTAS],REL_DRE_FINANCEIRO!$B$651,LANÇ_MOV[ANO PAGAMENTO],$B$4,LANÇ_MOV[MÊS PAGAMENTO CORRESPONDENTE],J$6,LANÇ_MOV[EMPRESA],$C$4,LANÇ_MOV[CENTRO DE CUSTOS],$D$4)</f>
        <v>0</v>
      </c>
      <c r="K675" s="206">
        <f>SUMIFS(LANÇ_MOV[VALOR LÍQUIDO],LANÇ_MOV[RECEITA OU DESPESA],"Despesa",LANÇ_MOV[CONTAS],$C675,LANÇ_MOV[PLANO DE CONTAS],REL_DRE_FINANCEIRO!$B$651,LANÇ_MOV[ANO PAGAMENTO],$B$4,LANÇ_MOV[MÊS PAGAMENTO CORRESPONDENTE],K$6,LANÇ_MOV[EMPRESA],$C$4,LANÇ_MOV[CENTRO DE CUSTOS],$D$4)</f>
        <v>0</v>
      </c>
      <c r="L675" s="206">
        <f>SUMIFS(LANÇ_MOV[VALOR LÍQUIDO],LANÇ_MOV[RECEITA OU DESPESA],"Despesa",LANÇ_MOV[CONTAS],$C675,LANÇ_MOV[PLANO DE CONTAS],REL_DRE_FINANCEIRO!$B$651,LANÇ_MOV[ANO PAGAMENTO],$B$4,LANÇ_MOV[MÊS PAGAMENTO CORRESPONDENTE],L$6,LANÇ_MOV[EMPRESA],$C$4,LANÇ_MOV[CENTRO DE CUSTOS],$D$4)</f>
        <v>0</v>
      </c>
      <c r="M675" s="206">
        <f>SUMIFS(LANÇ_MOV[VALOR LÍQUIDO],LANÇ_MOV[RECEITA OU DESPESA],"Despesa",LANÇ_MOV[CONTAS],$C675,LANÇ_MOV[PLANO DE CONTAS],REL_DRE_FINANCEIRO!$B$651,LANÇ_MOV[ANO PAGAMENTO],$B$4,LANÇ_MOV[MÊS PAGAMENTO CORRESPONDENTE],M$6,LANÇ_MOV[EMPRESA],$C$4,LANÇ_MOV[CENTRO DE CUSTOS],$D$4)</f>
        <v>0</v>
      </c>
      <c r="N675" s="206">
        <f>SUMIFS(LANÇ_MOV[VALOR LÍQUIDO],LANÇ_MOV[RECEITA OU DESPESA],"Despesa",LANÇ_MOV[CONTAS],$C675,LANÇ_MOV[PLANO DE CONTAS],REL_DRE_FINANCEIRO!$B$651,LANÇ_MOV[ANO PAGAMENTO],$B$4,LANÇ_MOV[MÊS PAGAMENTO CORRESPONDENTE],N$6,LANÇ_MOV[EMPRESA],$C$4,LANÇ_MOV[CENTRO DE CUSTOS],$D$4)</f>
        <v>0</v>
      </c>
      <c r="O675" s="206">
        <f>SUMIFS(LANÇ_MOV[VALOR LÍQUIDO],LANÇ_MOV[RECEITA OU DESPESA],"Despesa",LANÇ_MOV[CONTAS],$C675,LANÇ_MOV[PLANO DE CONTAS],REL_DRE_FINANCEIRO!$B$651,LANÇ_MOV[ANO PAGAMENTO],$B$4,LANÇ_MOV[MÊS PAGAMENTO CORRESPONDENTE],O$6,LANÇ_MOV[EMPRESA],$C$4,LANÇ_MOV[CENTRO DE CUSTOS],$D$4)</f>
        <v>0</v>
      </c>
      <c r="P675" s="207">
        <f t="shared" si="88"/>
        <v>0</v>
      </c>
      <c r="Q675" s="329">
        <v>7.7000000000000008E-6</v>
      </c>
      <c r="R675" s="346">
        <f t="shared" si="89"/>
        <v>7.7000000000000008E-6</v>
      </c>
      <c r="S675" s="347" t="str">
        <f t="shared" si="90"/>
        <v>-</v>
      </c>
      <c r="T675" s="347">
        <f t="shared" si="91"/>
        <v>0</v>
      </c>
      <c r="U675" s="347">
        <f>HLOOKUP(Apoio!$P$12,$D$650:$P$751,X675,FALSE)+Q675</f>
        <v>7.7000000000000008E-6</v>
      </c>
      <c r="V675" s="447" t="str">
        <f t="shared" si="92"/>
        <v>-</v>
      </c>
      <c r="W675" s="448">
        <f>HLOOKUP(Apoio!$P$12,$D$650:$P$751,X675,FALSE)</f>
        <v>0</v>
      </c>
      <c r="X675" s="329">
        <v>26</v>
      </c>
    </row>
    <row r="676" spans="2:24" ht="30.05" customHeight="1" x14ac:dyDescent="0.35">
      <c r="B676" s="204" t="str">
        <f>'CAD_PL_REC-DESP'!W29</f>
        <v>2.5.25</v>
      </c>
      <c r="C676" s="205" t="str">
        <f>IF('CAD_PL_REC-DESP'!X29="","-",'CAD_PL_REC-DESP'!X29)</f>
        <v>-</v>
      </c>
      <c r="D676" s="206">
        <f>SUMIFS(LANÇ_MOV[VALOR LÍQUIDO],LANÇ_MOV[RECEITA OU DESPESA],"Despesa",LANÇ_MOV[CONTAS],$C676,LANÇ_MOV[PLANO DE CONTAS],REL_DRE_FINANCEIRO!$B$651,LANÇ_MOV[ANO PAGAMENTO],$B$4,LANÇ_MOV[MÊS PAGAMENTO CORRESPONDENTE],D$6,LANÇ_MOV[EMPRESA],$C$4,LANÇ_MOV[CENTRO DE CUSTOS],$D$4)</f>
        <v>0</v>
      </c>
      <c r="E676" s="206">
        <f>SUMIFS(LANÇ_MOV[VALOR LÍQUIDO],LANÇ_MOV[RECEITA OU DESPESA],"Despesa",LANÇ_MOV[CONTAS],$C676,LANÇ_MOV[PLANO DE CONTAS],REL_DRE_FINANCEIRO!$B$651,LANÇ_MOV[ANO PAGAMENTO],$B$4,LANÇ_MOV[MÊS PAGAMENTO CORRESPONDENTE],E$6,LANÇ_MOV[EMPRESA],$C$4,LANÇ_MOV[CENTRO DE CUSTOS],$D$4)</f>
        <v>0</v>
      </c>
      <c r="F676" s="206">
        <f>SUMIFS(LANÇ_MOV[VALOR LÍQUIDO],LANÇ_MOV[RECEITA OU DESPESA],"Despesa",LANÇ_MOV[CONTAS],$C676,LANÇ_MOV[PLANO DE CONTAS],REL_DRE_FINANCEIRO!$B$651,LANÇ_MOV[ANO PAGAMENTO],$B$4,LANÇ_MOV[MÊS PAGAMENTO CORRESPONDENTE],F$6,LANÇ_MOV[EMPRESA],$C$4,LANÇ_MOV[CENTRO DE CUSTOS],$D$4)</f>
        <v>0</v>
      </c>
      <c r="G676" s="206">
        <f>SUMIFS(LANÇ_MOV[VALOR LÍQUIDO],LANÇ_MOV[RECEITA OU DESPESA],"Despesa",LANÇ_MOV[CONTAS],$C676,LANÇ_MOV[PLANO DE CONTAS],REL_DRE_FINANCEIRO!$B$651,LANÇ_MOV[ANO PAGAMENTO],$B$4,LANÇ_MOV[MÊS PAGAMENTO CORRESPONDENTE],G$6,LANÇ_MOV[EMPRESA],$C$4,LANÇ_MOV[CENTRO DE CUSTOS],$D$4)</f>
        <v>0</v>
      </c>
      <c r="H676" s="206">
        <f>SUMIFS(LANÇ_MOV[VALOR LÍQUIDO],LANÇ_MOV[RECEITA OU DESPESA],"Despesa",LANÇ_MOV[CONTAS],$C676,LANÇ_MOV[PLANO DE CONTAS],REL_DRE_FINANCEIRO!$B$651,LANÇ_MOV[ANO PAGAMENTO],$B$4,LANÇ_MOV[MÊS PAGAMENTO CORRESPONDENTE],H$6,LANÇ_MOV[EMPRESA],$C$4,LANÇ_MOV[CENTRO DE CUSTOS],$D$4)</f>
        <v>0</v>
      </c>
      <c r="I676" s="206">
        <f>SUMIFS(LANÇ_MOV[VALOR LÍQUIDO],LANÇ_MOV[RECEITA OU DESPESA],"Despesa",LANÇ_MOV[CONTAS],$C676,LANÇ_MOV[PLANO DE CONTAS],REL_DRE_FINANCEIRO!$B$651,LANÇ_MOV[ANO PAGAMENTO],$B$4,LANÇ_MOV[MÊS PAGAMENTO CORRESPONDENTE],I$6,LANÇ_MOV[EMPRESA],$C$4,LANÇ_MOV[CENTRO DE CUSTOS],$D$4)</f>
        <v>0</v>
      </c>
      <c r="J676" s="206">
        <f>SUMIFS(LANÇ_MOV[VALOR LÍQUIDO],LANÇ_MOV[RECEITA OU DESPESA],"Despesa",LANÇ_MOV[CONTAS],$C676,LANÇ_MOV[PLANO DE CONTAS],REL_DRE_FINANCEIRO!$B$651,LANÇ_MOV[ANO PAGAMENTO],$B$4,LANÇ_MOV[MÊS PAGAMENTO CORRESPONDENTE],J$6,LANÇ_MOV[EMPRESA],$C$4,LANÇ_MOV[CENTRO DE CUSTOS],$D$4)</f>
        <v>0</v>
      </c>
      <c r="K676" s="206">
        <f>SUMIFS(LANÇ_MOV[VALOR LÍQUIDO],LANÇ_MOV[RECEITA OU DESPESA],"Despesa",LANÇ_MOV[CONTAS],$C676,LANÇ_MOV[PLANO DE CONTAS],REL_DRE_FINANCEIRO!$B$651,LANÇ_MOV[ANO PAGAMENTO],$B$4,LANÇ_MOV[MÊS PAGAMENTO CORRESPONDENTE],K$6,LANÇ_MOV[EMPRESA],$C$4,LANÇ_MOV[CENTRO DE CUSTOS],$D$4)</f>
        <v>0</v>
      </c>
      <c r="L676" s="206">
        <f>SUMIFS(LANÇ_MOV[VALOR LÍQUIDO],LANÇ_MOV[RECEITA OU DESPESA],"Despesa",LANÇ_MOV[CONTAS],$C676,LANÇ_MOV[PLANO DE CONTAS],REL_DRE_FINANCEIRO!$B$651,LANÇ_MOV[ANO PAGAMENTO],$B$4,LANÇ_MOV[MÊS PAGAMENTO CORRESPONDENTE],L$6,LANÇ_MOV[EMPRESA],$C$4,LANÇ_MOV[CENTRO DE CUSTOS],$D$4)</f>
        <v>0</v>
      </c>
      <c r="M676" s="206">
        <f>SUMIFS(LANÇ_MOV[VALOR LÍQUIDO],LANÇ_MOV[RECEITA OU DESPESA],"Despesa",LANÇ_MOV[CONTAS],$C676,LANÇ_MOV[PLANO DE CONTAS],REL_DRE_FINANCEIRO!$B$651,LANÇ_MOV[ANO PAGAMENTO],$B$4,LANÇ_MOV[MÊS PAGAMENTO CORRESPONDENTE],M$6,LANÇ_MOV[EMPRESA],$C$4,LANÇ_MOV[CENTRO DE CUSTOS],$D$4)</f>
        <v>0</v>
      </c>
      <c r="N676" s="206">
        <f>SUMIFS(LANÇ_MOV[VALOR LÍQUIDO],LANÇ_MOV[RECEITA OU DESPESA],"Despesa",LANÇ_MOV[CONTAS],$C676,LANÇ_MOV[PLANO DE CONTAS],REL_DRE_FINANCEIRO!$B$651,LANÇ_MOV[ANO PAGAMENTO],$B$4,LANÇ_MOV[MÊS PAGAMENTO CORRESPONDENTE],N$6,LANÇ_MOV[EMPRESA],$C$4,LANÇ_MOV[CENTRO DE CUSTOS],$D$4)</f>
        <v>0</v>
      </c>
      <c r="O676" s="206">
        <f>SUMIFS(LANÇ_MOV[VALOR LÍQUIDO],LANÇ_MOV[RECEITA OU DESPESA],"Despesa",LANÇ_MOV[CONTAS],$C676,LANÇ_MOV[PLANO DE CONTAS],REL_DRE_FINANCEIRO!$B$651,LANÇ_MOV[ANO PAGAMENTO],$B$4,LANÇ_MOV[MÊS PAGAMENTO CORRESPONDENTE],O$6,LANÇ_MOV[EMPRESA],$C$4,LANÇ_MOV[CENTRO DE CUSTOS],$D$4)</f>
        <v>0</v>
      </c>
      <c r="P676" s="207">
        <f t="shared" si="88"/>
        <v>0</v>
      </c>
      <c r="Q676" s="329">
        <v>7.6000000000000001E-6</v>
      </c>
      <c r="R676" s="346">
        <f t="shared" si="89"/>
        <v>7.6000000000000001E-6</v>
      </c>
      <c r="S676" s="347" t="str">
        <f t="shared" si="90"/>
        <v>-</v>
      </c>
      <c r="T676" s="347">
        <f t="shared" si="91"/>
        <v>0</v>
      </c>
      <c r="U676" s="347">
        <f>HLOOKUP(Apoio!$P$12,$D$650:$P$751,X676,FALSE)+Q676</f>
        <v>7.6000000000000001E-6</v>
      </c>
      <c r="V676" s="447" t="str">
        <f t="shared" si="92"/>
        <v>-</v>
      </c>
      <c r="W676" s="448">
        <f>HLOOKUP(Apoio!$P$12,$D$650:$P$751,X676,FALSE)</f>
        <v>0</v>
      </c>
      <c r="X676" s="329">
        <v>27</v>
      </c>
    </row>
    <row r="677" spans="2:24" ht="30.05" customHeight="1" x14ac:dyDescent="0.35">
      <c r="B677" s="204" t="str">
        <f>'CAD_PL_REC-DESP'!W30</f>
        <v>2.5.26</v>
      </c>
      <c r="C677" s="205" t="str">
        <f>IF('CAD_PL_REC-DESP'!X30="","-",'CAD_PL_REC-DESP'!X30)</f>
        <v>-</v>
      </c>
      <c r="D677" s="206">
        <f>SUMIFS(LANÇ_MOV[VALOR LÍQUIDO],LANÇ_MOV[RECEITA OU DESPESA],"Despesa",LANÇ_MOV[CONTAS],$C677,LANÇ_MOV[PLANO DE CONTAS],REL_DRE_FINANCEIRO!$B$651,LANÇ_MOV[ANO PAGAMENTO],$B$4,LANÇ_MOV[MÊS PAGAMENTO CORRESPONDENTE],D$6,LANÇ_MOV[EMPRESA],$C$4,LANÇ_MOV[CENTRO DE CUSTOS],$D$4)</f>
        <v>0</v>
      </c>
      <c r="E677" s="206">
        <f>SUMIFS(LANÇ_MOV[VALOR LÍQUIDO],LANÇ_MOV[RECEITA OU DESPESA],"Despesa",LANÇ_MOV[CONTAS],$C677,LANÇ_MOV[PLANO DE CONTAS],REL_DRE_FINANCEIRO!$B$651,LANÇ_MOV[ANO PAGAMENTO],$B$4,LANÇ_MOV[MÊS PAGAMENTO CORRESPONDENTE],E$6,LANÇ_MOV[EMPRESA],$C$4,LANÇ_MOV[CENTRO DE CUSTOS],$D$4)</f>
        <v>0</v>
      </c>
      <c r="F677" s="206">
        <f>SUMIFS(LANÇ_MOV[VALOR LÍQUIDO],LANÇ_MOV[RECEITA OU DESPESA],"Despesa",LANÇ_MOV[CONTAS],$C677,LANÇ_MOV[PLANO DE CONTAS],REL_DRE_FINANCEIRO!$B$651,LANÇ_MOV[ANO PAGAMENTO],$B$4,LANÇ_MOV[MÊS PAGAMENTO CORRESPONDENTE],F$6,LANÇ_MOV[EMPRESA],$C$4,LANÇ_MOV[CENTRO DE CUSTOS],$D$4)</f>
        <v>0</v>
      </c>
      <c r="G677" s="206">
        <f>SUMIFS(LANÇ_MOV[VALOR LÍQUIDO],LANÇ_MOV[RECEITA OU DESPESA],"Despesa",LANÇ_MOV[CONTAS],$C677,LANÇ_MOV[PLANO DE CONTAS],REL_DRE_FINANCEIRO!$B$651,LANÇ_MOV[ANO PAGAMENTO],$B$4,LANÇ_MOV[MÊS PAGAMENTO CORRESPONDENTE],G$6,LANÇ_MOV[EMPRESA],$C$4,LANÇ_MOV[CENTRO DE CUSTOS],$D$4)</f>
        <v>0</v>
      </c>
      <c r="H677" s="206">
        <f>SUMIFS(LANÇ_MOV[VALOR LÍQUIDO],LANÇ_MOV[RECEITA OU DESPESA],"Despesa",LANÇ_MOV[CONTAS],$C677,LANÇ_MOV[PLANO DE CONTAS],REL_DRE_FINANCEIRO!$B$651,LANÇ_MOV[ANO PAGAMENTO],$B$4,LANÇ_MOV[MÊS PAGAMENTO CORRESPONDENTE],H$6,LANÇ_MOV[EMPRESA],$C$4,LANÇ_MOV[CENTRO DE CUSTOS],$D$4)</f>
        <v>0</v>
      </c>
      <c r="I677" s="206">
        <f>SUMIFS(LANÇ_MOV[VALOR LÍQUIDO],LANÇ_MOV[RECEITA OU DESPESA],"Despesa",LANÇ_MOV[CONTAS],$C677,LANÇ_MOV[PLANO DE CONTAS],REL_DRE_FINANCEIRO!$B$651,LANÇ_MOV[ANO PAGAMENTO],$B$4,LANÇ_MOV[MÊS PAGAMENTO CORRESPONDENTE],I$6,LANÇ_MOV[EMPRESA],$C$4,LANÇ_MOV[CENTRO DE CUSTOS],$D$4)</f>
        <v>0</v>
      </c>
      <c r="J677" s="206">
        <f>SUMIFS(LANÇ_MOV[VALOR LÍQUIDO],LANÇ_MOV[RECEITA OU DESPESA],"Despesa",LANÇ_MOV[CONTAS],$C677,LANÇ_MOV[PLANO DE CONTAS],REL_DRE_FINANCEIRO!$B$651,LANÇ_MOV[ANO PAGAMENTO],$B$4,LANÇ_MOV[MÊS PAGAMENTO CORRESPONDENTE],J$6,LANÇ_MOV[EMPRESA],$C$4,LANÇ_MOV[CENTRO DE CUSTOS],$D$4)</f>
        <v>0</v>
      </c>
      <c r="K677" s="206">
        <f>SUMIFS(LANÇ_MOV[VALOR LÍQUIDO],LANÇ_MOV[RECEITA OU DESPESA],"Despesa",LANÇ_MOV[CONTAS],$C677,LANÇ_MOV[PLANO DE CONTAS],REL_DRE_FINANCEIRO!$B$651,LANÇ_MOV[ANO PAGAMENTO],$B$4,LANÇ_MOV[MÊS PAGAMENTO CORRESPONDENTE],K$6,LANÇ_MOV[EMPRESA],$C$4,LANÇ_MOV[CENTRO DE CUSTOS],$D$4)</f>
        <v>0</v>
      </c>
      <c r="L677" s="206">
        <f>SUMIFS(LANÇ_MOV[VALOR LÍQUIDO],LANÇ_MOV[RECEITA OU DESPESA],"Despesa",LANÇ_MOV[CONTAS],$C677,LANÇ_MOV[PLANO DE CONTAS],REL_DRE_FINANCEIRO!$B$651,LANÇ_MOV[ANO PAGAMENTO],$B$4,LANÇ_MOV[MÊS PAGAMENTO CORRESPONDENTE],L$6,LANÇ_MOV[EMPRESA],$C$4,LANÇ_MOV[CENTRO DE CUSTOS],$D$4)</f>
        <v>0</v>
      </c>
      <c r="M677" s="206">
        <f>SUMIFS(LANÇ_MOV[VALOR LÍQUIDO],LANÇ_MOV[RECEITA OU DESPESA],"Despesa",LANÇ_MOV[CONTAS],$C677,LANÇ_MOV[PLANO DE CONTAS],REL_DRE_FINANCEIRO!$B$651,LANÇ_MOV[ANO PAGAMENTO],$B$4,LANÇ_MOV[MÊS PAGAMENTO CORRESPONDENTE],M$6,LANÇ_MOV[EMPRESA],$C$4,LANÇ_MOV[CENTRO DE CUSTOS],$D$4)</f>
        <v>0</v>
      </c>
      <c r="N677" s="206">
        <f>SUMIFS(LANÇ_MOV[VALOR LÍQUIDO],LANÇ_MOV[RECEITA OU DESPESA],"Despesa",LANÇ_MOV[CONTAS],$C677,LANÇ_MOV[PLANO DE CONTAS],REL_DRE_FINANCEIRO!$B$651,LANÇ_MOV[ANO PAGAMENTO],$B$4,LANÇ_MOV[MÊS PAGAMENTO CORRESPONDENTE],N$6,LANÇ_MOV[EMPRESA],$C$4,LANÇ_MOV[CENTRO DE CUSTOS],$D$4)</f>
        <v>0</v>
      </c>
      <c r="O677" s="206">
        <f>SUMIFS(LANÇ_MOV[VALOR LÍQUIDO],LANÇ_MOV[RECEITA OU DESPESA],"Despesa",LANÇ_MOV[CONTAS],$C677,LANÇ_MOV[PLANO DE CONTAS],REL_DRE_FINANCEIRO!$B$651,LANÇ_MOV[ANO PAGAMENTO],$B$4,LANÇ_MOV[MÊS PAGAMENTO CORRESPONDENTE],O$6,LANÇ_MOV[EMPRESA],$C$4,LANÇ_MOV[CENTRO DE CUSTOS],$D$4)</f>
        <v>0</v>
      </c>
      <c r="P677" s="207">
        <f t="shared" si="88"/>
        <v>0</v>
      </c>
      <c r="Q677" s="329">
        <v>7.5000000000000002E-6</v>
      </c>
      <c r="R677" s="346">
        <f t="shared" si="89"/>
        <v>7.5000000000000002E-6</v>
      </c>
      <c r="S677" s="347" t="str">
        <f t="shared" si="90"/>
        <v>-</v>
      </c>
      <c r="T677" s="347">
        <f t="shared" si="91"/>
        <v>0</v>
      </c>
      <c r="U677" s="347">
        <f>HLOOKUP(Apoio!$P$12,$D$650:$P$751,X677,FALSE)+Q677</f>
        <v>7.5000000000000002E-6</v>
      </c>
      <c r="V677" s="447" t="str">
        <f t="shared" si="92"/>
        <v>-</v>
      </c>
      <c r="W677" s="448">
        <f>HLOOKUP(Apoio!$P$12,$D$650:$P$751,X677,FALSE)</f>
        <v>0</v>
      </c>
      <c r="X677" s="329">
        <v>28</v>
      </c>
    </row>
    <row r="678" spans="2:24" ht="30.05" customHeight="1" x14ac:dyDescent="0.35">
      <c r="B678" s="204" t="str">
        <f>'CAD_PL_REC-DESP'!W31</f>
        <v>2.5.27</v>
      </c>
      <c r="C678" s="205" t="str">
        <f>IF('CAD_PL_REC-DESP'!X31="","-",'CAD_PL_REC-DESP'!X31)</f>
        <v>-</v>
      </c>
      <c r="D678" s="206">
        <f>SUMIFS(LANÇ_MOV[VALOR LÍQUIDO],LANÇ_MOV[RECEITA OU DESPESA],"Despesa",LANÇ_MOV[CONTAS],$C678,LANÇ_MOV[PLANO DE CONTAS],REL_DRE_FINANCEIRO!$B$651,LANÇ_MOV[ANO PAGAMENTO],$B$4,LANÇ_MOV[MÊS PAGAMENTO CORRESPONDENTE],D$6,LANÇ_MOV[EMPRESA],$C$4,LANÇ_MOV[CENTRO DE CUSTOS],$D$4)</f>
        <v>0</v>
      </c>
      <c r="E678" s="206">
        <f>SUMIFS(LANÇ_MOV[VALOR LÍQUIDO],LANÇ_MOV[RECEITA OU DESPESA],"Despesa",LANÇ_MOV[CONTAS],$C678,LANÇ_MOV[PLANO DE CONTAS],REL_DRE_FINANCEIRO!$B$651,LANÇ_MOV[ANO PAGAMENTO],$B$4,LANÇ_MOV[MÊS PAGAMENTO CORRESPONDENTE],E$6,LANÇ_MOV[EMPRESA],$C$4,LANÇ_MOV[CENTRO DE CUSTOS],$D$4)</f>
        <v>0</v>
      </c>
      <c r="F678" s="206">
        <f>SUMIFS(LANÇ_MOV[VALOR LÍQUIDO],LANÇ_MOV[RECEITA OU DESPESA],"Despesa",LANÇ_MOV[CONTAS],$C678,LANÇ_MOV[PLANO DE CONTAS],REL_DRE_FINANCEIRO!$B$651,LANÇ_MOV[ANO PAGAMENTO],$B$4,LANÇ_MOV[MÊS PAGAMENTO CORRESPONDENTE],F$6,LANÇ_MOV[EMPRESA],$C$4,LANÇ_MOV[CENTRO DE CUSTOS],$D$4)</f>
        <v>0</v>
      </c>
      <c r="G678" s="206">
        <f>SUMIFS(LANÇ_MOV[VALOR LÍQUIDO],LANÇ_MOV[RECEITA OU DESPESA],"Despesa",LANÇ_MOV[CONTAS],$C678,LANÇ_MOV[PLANO DE CONTAS],REL_DRE_FINANCEIRO!$B$651,LANÇ_MOV[ANO PAGAMENTO],$B$4,LANÇ_MOV[MÊS PAGAMENTO CORRESPONDENTE],G$6,LANÇ_MOV[EMPRESA],$C$4,LANÇ_MOV[CENTRO DE CUSTOS],$D$4)</f>
        <v>0</v>
      </c>
      <c r="H678" s="206">
        <f>SUMIFS(LANÇ_MOV[VALOR LÍQUIDO],LANÇ_MOV[RECEITA OU DESPESA],"Despesa",LANÇ_MOV[CONTAS],$C678,LANÇ_MOV[PLANO DE CONTAS],REL_DRE_FINANCEIRO!$B$651,LANÇ_MOV[ANO PAGAMENTO],$B$4,LANÇ_MOV[MÊS PAGAMENTO CORRESPONDENTE],H$6,LANÇ_MOV[EMPRESA],$C$4,LANÇ_MOV[CENTRO DE CUSTOS],$D$4)</f>
        <v>0</v>
      </c>
      <c r="I678" s="206">
        <f>SUMIFS(LANÇ_MOV[VALOR LÍQUIDO],LANÇ_MOV[RECEITA OU DESPESA],"Despesa",LANÇ_MOV[CONTAS],$C678,LANÇ_MOV[PLANO DE CONTAS],REL_DRE_FINANCEIRO!$B$651,LANÇ_MOV[ANO PAGAMENTO],$B$4,LANÇ_MOV[MÊS PAGAMENTO CORRESPONDENTE],I$6,LANÇ_MOV[EMPRESA],$C$4,LANÇ_MOV[CENTRO DE CUSTOS],$D$4)</f>
        <v>0</v>
      </c>
      <c r="J678" s="206">
        <f>SUMIFS(LANÇ_MOV[VALOR LÍQUIDO],LANÇ_MOV[RECEITA OU DESPESA],"Despesa",LANÇ_MOV[CONTAS],$C678,LANÇ_MOV[PLANO DE CONTAS],REL_DRE_FINANCEIRO!$B$651,LANÇ_MOV[ANO PAGAMENTO],$B$4,LANÇ_MOV[MÊS PAGAMENTO CORRESPONDENTE],J$6,LANÇ_MOV[EMPRESA],$C$4,LANÇ_MOV[CENTRO DE CUSTOS],$D$4)</f>
        <v>0</v>
      </c>
      <c r="K678" s="206">
        <f>SUMIFS(LANÇ_MOV[VALOR LÍQUIDO],LANÇ_MOV[RECEITA OU DESPESA],"Despesa",LANÇ_MOV[CONTAS],$C678,LANÇ_MOV[PLANO DE CONTAS],REL_DRE_FINANCEIRO!$B$651,LANÇ_MOV[ANO PAGAMENTO],$B$4,LANÇ_MOV[MÊS PAGAMENTO CORRESPONDENTE],K$6,LANÇ_MOV[EMPRESA],$C$4,LANÇ_MOV[CENTRO DE CUSTOS],$D$4)</f>
        <v>0</v>
      </c>
      <c r="L678" s="206">
        <f>SUMIFS(LANÇ_MOV[VALOR LÍQUIDO],LANÇ_MOV[RECEITA OU DESPESA],"Despesa",LANÇ_MOV[CONTAS],$C678,LANÇ_MOV[PLANO DE CONTAS],REL_DRE_FINANCEIRO!$B$651,LANÇ_MOV[ANO PAGAMENTO],$B$4,LANÇ_MOV[MÊS PAGAMENTO CORRESPONDENTE],L$6,LANÇ_MOV[EMPRESA],$C$4,LANÇ_MOV[CENTRO DE CUSTOS],$D$4)</f>
        <v>0</v>
      </c>
      <c r="M678" s="206">
        <f>SUMIFS(LANÇ_MOV[VALOR LÍQUIDO],LANÇ_MOV[RECEITA OU DESPESA],"Despesa",LANÇ_MOV[CONTAS],$C678,LANÇ_MOV[PLANO DE CONTAS],REL_DRE_FINANCEIRO!$B$651,LANÇ_MOV[ANO PAGAMENTO],$B$4,LANÇ_MOV[MÊS PAGAMENTO CORRESPONDENTE],M$6,LANÇ_MOV[EMPRESA],$C$4,LANÇ_MOV[CENTRO DE CUSTOS],$D$4)</f>
        <v>0</v>
      </c>
      <c r="N678" s="206">
        <f>SUMIFS(LANÇ_MOV[VALOR LÍQUIDO],LANÇ_MOV[RECEITA OU DESPESA],"Despesa",LANÇ_MOV[CONTAS],$C678,LANÇ_MOV[PLANO DE CONTAS],REL_DRE_FINANCEIRO!$B$651,LANÇ_MOV[ANO PAGAMENTO],$B$4,LANÇ_MOV[MÊS PAGAMENTO CORRESPONDENTE],N$6,LANÇ_MOV[EMPRESA],$C$4,LANÇ_MOV[CENTRO DE CUSTOS],$D$4)</f>
        <v>0</v>
      </c>
      <c r="O678" s="206">
        <f>SUMIFS(LANÇ_MOV[VALOR LÍQUIDO],LANÇ_MOV[RECEITA OU DESPESA],"Despesa",LANÇ_MOV[CONTAS],$C678,LANÇ_MOV[PLANO DE CONTAS],REL_DRE_FINANCEIRO!$B$651,LANÇ_MOV[ANO PAGAMENTO],$B$4,LANÇ_MOV[MÊS PAGAMENTO CORRESPONDENTE],O$6,LANÇ_MOV[EMPRESA],$C$4,LANÇ_MOV[CENTRO DE CUSTOS],$D$4)</f>
        <v>0</v>
      </c>
      <c r="P678" s="207">
        <f t="shared" si="88"/>
        <v>0</v>
      </c>
      <c r="Q678" s="329">
        <v>7.4000000000000003E-6</v>
      </c>
      <c r="R678" s="346">
        <f t="shared" si="89"/>
        <v>7.4000000000000003E-6</v>
      </c>
      <c r="S678" s="347" t="str">
        <f t="shared" si="90"/>
        <v>-</v>
      </c>
      <c r="T678" s="347">
        <f t="shared" si="91"/>
        <v>0</v>
      </c>
      <c r="U678" s="347">
        <f>HLOOKUP(Apoio!$P$12,$D$650:$P$751,X678,FALSE)+Q678</f>
        <v>7.4000000000000003E-6</v>
      </c>
      <c r="V678" s="447" t="str">
        <f t="shared" si="92"/>
        <v>-</v>
      </c>
      <c r="W678" s="448">
        <f>HLOOKUP(Apoio!$P$12,$D$650:$P$751,X678,FALSE)</f>
        <v>0</v>
      </c>
      <c r="X678" s="329">
        <v>29</v>
      </c>
    </row>
    <row r="679" spans="2:24" ht="30.05" customHeight="1" x14ac:dyDescent="0.35">
      <c r="B679" s="204" t="str">
        <f>'CAD_PL_REC-DESP'!W32</f>
        <v>2.5.28</v>
      </c>
      <c r="C679" s="205" t="str">
        <f>IF('CAD_PL_REC-DESP'!X32="","-",'CAD_PL_REC-DESP'!X32)</f>
        <v>-</v>
      </c>
      <c r="D679" s="206">
        <f>SUMIFS(LANÇ_MOV[VALOR LÍQUIDO],LANÇ_MOV[RECEITA OU DESPESA],"Despesa",LANÇ_MOV[CONTAS],$C679,LANÇ_MOV[PLANO DE CONTAS],REL_DRE_FINANCEIRO!$B$651,LANÇ_MOV[ANO PAGAMENTO],$B$4,LANÇ_MOV[MÊS PAGAMENTO CORRESPONDENTE],D$6,LANÇ_MOV[EMPRESA],$C$4,LANÇ_MOV[CENTRO DE CUSTOS],$D$4)</f>
        <v>0</v>
      </c>
      <c r="E679" s="206">
        <f>SUMIFS(LANÇ_MOV[VALOR LÍQUIDO],LANÇ_MOV[RECEITA OU DESPESA],"Despesa",LANÇ_MOV[CONTAS],$C679,LANÇ_MOV[PLANO DE CONTAS],REL_DRE_FINANCEIRO!$B$651,LANÇ_MOV[ANO PAGAMENTO],$B$4,LANÇ_MOV[MÊS PAGAMENTO CORRESPONDENTE],E$6,LANÇ_MOV[EMPRESA],$C$4,LANÇ_MOV[CENTRO DE CUSTOS],$D$4)</f>
        <v>0</v>
      </c>
      <c r="F679" s="206">
        <f>SUMIFS(LANÇ_MOV[VALOR LÍQUIDO],LANÇ_MOV[RECEITA OU DESPESA],"Despesa",LANÇ_MOV[CONTAS],$C679,LANÇ_MOV[PLANO DE CONTAS],REL_DRE_FINANCEIRO!$B$651,LANÇ_MOV[ANO PAGAMENTO],$B$4,LANÇ_MOV[MÊS PAGAMENTO CORRESPONDENTE],F$6,LANÇ_MOV[EMPRESA],$C$4,LANÇ_MOV[CENTRO DE CUSTOS],$D$4)</f>
        <v>0</v>
      </c>
      <c r="G679" s="206">
        <f>SUMIFS(LANÇ_MOV[VALOR LÍQUIDO],LANÇ_MOV[RECEITA OU DESPESA],"Despesa",LANÇ_MOV[CONTAS],$C679,LANÇ_MOV[PLANO DE CONTAS],REL_DRE_FINANCEIRO!$B$651,LANÇ_MOV[ANO PAGAMENTO],$B$4,LANÇ_MOV[MÊS PAGAMENTO CORRESPONDENTE],G$6,LANÇ_MOV[EMPRESA],$C$4,LANÇ_MOV[CENTRO DE CUSTOS],$D$4)</f>
        <v>0</v>
      </c>
      <c r="H679" s="206">
        <f>SUMIFS(LANÇ_MOV[VALOR LÍQUIDO],LANÇ_MOV[RECEITA OU DESPESA],"Despesa",LANÇ_MOV[CONTAS],$C679,LANÇ_MOV[PLANO DE CONTAS],REL_DRE_FINANCEIRO!$B$651,LANÇ_MOV[ANO PAGAMENTO],$B$4,LANÇ_MOV[MÊS PAGAMENTO CORRESPONDENTE],H$6,LANÇ_MOV[EMPRESA],$C$4,LANÇ_MOV[CENTRO DE CUSTOS],$D$4)</f>
        <v>0</v>
      </c>
      <c r="I679" s="206">
        <f>SUMIFS(LANÇ_MOV[VALOR LÍQUIDO],LANÇ_MOV[RECEITA OU DESPESA],"Despesa",LANÇ_MOV[CONTAS],$C679,LANÇ_MOV[PLANO DE CONTAS],REL_DRE_FINANCEIRO!$B$651,LANÇ_MOV[ANO PAGAMENTO],$B$4,LANÇ_MOV[MÊS PAGAMENTO CORRESPONDENTE],I$6,LANÇ_MOV[EMPRESA],$C$4,LANÇ_MOV[CENTRO DE CUSTOS],$D$4)</f>
        <v>0</v>
      </c>
      <c r="J679" s="206">
        <f>SUMIFS(LANÇ_MOV[VALOR LÍQUIDO],LANÇ_MOV[RECEITA OU DESPESA],"Despesa",LANÇ_MOV[CONTAS],$C679,LANÇ_MOV[PLANO DE CONTAS],REL_DRE_FINANCEIRO!$B$651,LANÇ_MOV[ANO PAGAMENTO],$B$4,LANÇ_MOV[MÊS PAGAMENTO CORRESPONDENTE],J$6,LANÇ_MOV[EMPRESA],$C$4,LANÇ_MOV[CENTRO DE CUSTOS],$D$4)</f>
        <v>0</v>
      </c>
      <c r="K679" s="206">
        <f>SUMIFS(LANÇ_MOV[VALOR LÍQUIDO],LANÇ_MOV[RECEITA OU DESPESA],"Despesa",LANÇ_MOV[CONTAS],$C679,LANÇ_MOV[PLANO DE CONTAS],REL_DRE_FINANCEIRO!$B$651,LANÇ_MOV[ANO PAGAMENTO],$B$4,LANÇ_MOV[MÊS PAGAMENTO CORRESPONDENTE],K$6,LANÇ_MOV[EMPRESA],$C$4,LANÇ_MOV[CENTRO DE CUSTOS],$D$4)</f>
        <v>0</v>
      </c>
      <c r="L679" s="206">
        <f>SUMIFS(LANÇ_MOV[VALOR LÍQUIDO],LANÇ_MOV[RECEITA OU DESPESA],"Despesa",LANÇ_MOV[CONTAS],$C679,LANÇ_MOV[PLANO DE CONTAS],REL_DRE_FINANCEIRO!$B$651,LANÇ_MOV[ANO PAGAMENTO],$B$4,LANÇ_MOV[MÊS PAGAMENTO CORRESPONDENTE],L$6,LANÇ_MOV[EMPRESA],$C$4,LANÇ_MOV[CENTRO DE CUSTOS],$D$4)</f>
        <v>0</v>
      </c>
      <c r="M679" s="206">
        <f>SUMIFS(LANÇ_MOV[VALOR LÍQUIDO],LANÇ_MOV[RECEITA OU DESPESA],"Despesa",LANÇ_MOV[CONTAS],$C679,LANÇ_MOV[PLANO DE CONTAS],REL_DRE_FINANCEIRO!$B$651,LANÇ_MOV[ANO PAGAMENTO],$B$4,LANÇ_MOV[MÊS PAGAMENTO CORRESPONDENTE],M$6,LANÇ_MOV[EMPRESA],$C$4,LANÇ_MOV[CENTRO DE CUSTOS],$D$4)</f>
        <v>0</v>
      </c>
      <c r="N679" s="206">
        <f>SUMIFS(LANÇ_MOV[VALOR LÍQUIDO],LANÇ_MOV[RECEITA OU DESPESA],"Despesa",LANÇ_MOV[CONTAS],$C679,LANÇ_MOV[PLANO DE CONTAS],REL_DRE_FINANCEIRO!$B$651,LANÇ_MOV[ANO PAGAMENTO],$B$4,LANÇ_MOV[MÊS PAGAMENTO CORRESPONDENTE],N$6,LANÇ_MOV[EMPRESA],$C$4,LANÇ_MOV[CENTRO DE CUSTOS],$D$4)</f>
        <v>0</v>
      </c>
      <c r="O679" s="206">
        <f>SUMIFS(LANÇ_MOV[VALOR LÍQUIDO],LANÇ_MOV[RECEITA OU DESPESA],"Despesa",LANÇ_MOV[CONTAS],$C679,LANÇ_MOV[PLANO DE CONTAS],REL_DRE_FINANCEIRO!$B$651,LANÇ_MOV[ANO PAGAMENTO],$B$4,LANÇ_MOV[MÊS PAGAMENTO CORRESPONDENTE],O$6,LANÇ_MOV[EMPRESA],$C$4,LANÇ_MOV[CENTRO DE CUSTOS],$D$4)</f>
        <v>0</v>
      </c>
      <c r="P679" s="207">
        <f t="shared" si="88"/>
        <v>0</v>
      </c>
      <c r="Q679" s="329">
        <v>7.3000000000000004E-6</v>
      </c>
      <c r="R679" s="346">
        <f t="shared" si="89"/>
        <v>7.3000000000000004E-6</v>
      </c>
      <c r="S679" s="347" t="str">
        <f t="shared" si="90"/>
        <v>-</v>
      </c>
      <c r="T679" s="347">
        <f t="shared" si="91"/>
        <v>0</v>
      </c>
      <c r="U679" s="347">
        <f>HLOOKUP(Apoio!$P$12,$D$650:$P$751,X679,FALSE)+Q679</f>
        <v>7.3000000000000004E-6</v>
      </c>
      <c r="V679" s="447" t="str">
        <f t="shared" si="92"/>
        <v>-</v>
      </c>
      <c r="W679" s="448">
        <f>HLOOKUP(Apoio!$P$12,$D$650:$P$751,X679,FALSE)</f>
        <v>0</v>
      </c>
      <c r="X679" s="329">
        <v>30</v>
      </c>
    </row>
    <row r="680" spans="2:24" ht="30.05" customHeight="1" x14ac:dyDescent="0.35">
      <c r="B680" s="204" t="str">
        <f>'CAD_PL_REC-DESP'!W33</f>
        <v>2.5.29</v>
      </c>
      <c r="C680" s="205" t="str">
        <f>IF('CAD_PL_REC-DESP'!X33="","-",'CAD_PL_REC-DESP'!X33)</f>
        <v>-</v>
      </c>
      <c r="D680" s="206">
        <f>SUMIFS(LANÇ_MOV[VALOR LÍQUIDO],LANÇ_MOV[RECEITA OU DESPESA],"Despesa",LANÇ_MOV[CONTAS],$C680,LANÇ_MOV[PLANO DE CONTAS],REL_DRE_FINANCEIRO!$B$651,LANÇ_MOV[ANO PAGAMENTO],$B$4,LANÇ_MOV[MÊS PAGAMENTO CORRESPONDENTE],D$6,LANÇ_MOV[EMPRESA],$C$4,LANÇ_MOV[CENTRO DE CUSTOS],$D$4)</f>
        <v>0</v>
      </c>
      <c r="E680" s="206">
        <f>SUMIFS(LANÇ_MOV[VALOR LÍQUIDO],LANÇ_MOV[RECEITA OU DESPESA],"Despesa",LANÇ_MOV[CONTAS],$C680,LANÇ_MOV[PLANO DE CONTAS],REL_DRE_FINANCEIRO!$B$651,LANÇ_MOV[ANO PAGAMENTO],$B$4,LANÇ_MOV[MÊS PAGAMENTO CORRESPONDENTE],E$6,LANÇ_MOV[EMPRESA],$C$4,LANÇ_MOV[CENTRO DE CUSTOS],$D$4)</f>
        <v>0</v>
      </c>
      <c r="F680" s="206">
        <f>SUMIFS(LANÇ_MOV[VALOR LÍQUIDO],LANÇ_MOV[RECEITA OU DESPESA],"Despesa",LANÇ_MOV[CONTAS],$C680,LANÇ_MOV[PLANO DE CONTAS],REL_DRE_FINANCEIRO!$B$651,LANÇ_MOV[ANO PAGAMENTO],$B$4,LANÇ_MOV[MÊS PAGAMENTO CORRESPONDENTE],F$6,LANÇ_MOV[EMPRESA],$C$4,LANÇ_MOV[CENTRO DE CUSTOS],$D$4)</f>
        <v>0</v>
      </c>
      <c r="G680" s="206">
        <f>SUMIFS(LANÇ_MOV[VALOR LÍQUIDO],LANÇ_MOV[RECEITA OU DESPESA],"Despesa",LANÇ_MOV[CONTAS],$C680,LANÇ_MOV[PLANO DE CONTAS],REL_DRE_FINANCEIRO!$B$651,LANÇ_MOV[ANO PAGAMENTO],$B$4,LANÇ_MOV[MÊS PAGAMENTO CORRESPONDENTE],G$6,LANÇ_MOV[EMPRESA],$C$4,LANÇ_MOV[CENTRO DE CUSTOS],$D$4)</f>
        <v>0</v>
      </c>
      <c r="H680" s="206">
        <f>SUMIFS(LANÇ_MOV[VALOR LÍQUIDO],LANÇ_MOV[RECEITA OU DESPESA],"Despesa",LANÇ_MOV[CONTAS],$C680,LANÇ_MOV[PLANO DE CONTAS],REL_DRE_FINANCEIRO!$B$651,LANÇ_MOV[ANO PAGAMENTO],$B$4,LANÇ_MOV[MÊS PAGAMENTO CORRESPONDENTE],H$6,LANÇ_MOV[EMPRESA],$C$4,LANÇ_MOV[CENTRO DE CUSTOS],$D$4)</f>
        <v>0</v>
      </c>
      <c r="I680" s="206">
        <f>SUMIFS(LANÇ_MOV[VALOR LÍQUIDO],LANÇ_MOV[RECEITA OU DESPESA],"Despesa",LANÇ_MOV[CONTAS],$C680,LANÇ_MOV[PLANO DE CONTAS],REL_DRE_FINANCEIRO!$B$651,LANÇ_MOV[ANO PAGAMENTO],$B$4,LANÇ_MOV[MÊS PAGAMENTO CORRESPONDENTE],I$6,LANÇ_MOV[EMPRESA],$C$4,LANÇ_MOV[CENTRO DE CUSTOS],$D$4)</f>
        <v>0</v>
      </c>
      <c r="J680" s="206">
        <f>SUMIFS(LANÇ_MOV[VALOR LÍQUIDO],LANÇ_MOV[RECEITA OU DESPESA],"Despesa",LANÇ_MOV[CONTAS],$C680,LANÇ_MOV[PLANO DE CONTAS],REL_DRE_FINANCEIRO!$B$651,LANÇ_MOV[ANO PAGAMENTO],$B$4,LANÇ_MOV[MÊS PAGAMENTO CORRESPONDENTE],J$6,LANÇ_MOV[EMPRESA],$C$4,LANÇ_MOV[CENTRO DE CUSTOS],$D$4)</f>
        <v>0</v>
      </c>
      <c r="K680" s="206">
        <f>SUMIFS(LANÇ_MOV[VALOR LÍQUIDO],LANÇ_MOV[RECEITA OU DESPESA],"Despesa",LANÇ_MOV[CONTAS],$C680,LANÇ_MOV[PLANO DE CONTAS],REL_DRE_FINANCEIRO!$B$651,LANÇ_MOV[ANO PAGAMENTO],$B$4,LANÇ_MOV[MÊS PAGAMENTO CORRESPONDENTE],K$6,LANÇ_MOV[EMPRESA],$C$4,LANÇ_MOV[CENTRO DE CUSTOS],$D$4)</f>
        <v>0</v>
      </c>
      <c r="L680" s="206">
        <f>SUMIFS(LANÇ_MOV[VALOR LÍQUIDO],LANÇ_MOV[RECEITA OU DESPESA],"Despesa",LANÇ_MOV[CONTAS],$C680,LANÇ_MOV[PLANO DE CONTAS],REL_DRE_FINANCEIRO!$B$651,LANÇ_MOV[ANO PAGAMENTO],$B$4,LANÇ_MOV[MÊS PAGAMENTO CORRESPONDENTE],L$6,LANÇ_MOV[EMPRESA],$C$4,LANÇ_MOV[CENTRO DE CUSTOS],$D$4)</f>
        <v>0</v>
      </c>
      <c r="M680" s="206">
        <f>SUMIFS(LANÇ_MOV[VALOR LÍQUIDO],LANÇ_MOV[RECEITA OU DESPESA],"Despesa",LANÇ_MOV[CONTAS],$C680,LANÇ_MOV[PLANO DE CONTAS],REL_DRE_FINANCEIRO!$B$651,LANÇ_MOV[ANO PAGAMENTO],$B$4,LANÇ_MOV[MÊS PAGAMENTO CORRESPONDENTE],M$6,LANÇ_MOV[EMPRESA],$C$4,LANÇ_MOV[CENTRO DE CUSTOS],$D$4)</f>
        <v>0</v>
      </c>
      <c r="N680" s="206">
        <f>SUMIFS(LANÇ_MOV[VALOR LÍQUIDO],LANÇ_MOV[RECEITA OU DESPESA],"Despesa",LANÇ_MOV[CONTAS],$C680,LANÇ_MOV[PLANO DE CONTAS],REL_DRE_FINANCEIRO!$B$651,LANÇ_MOV[ANO PAGAMENTO],$B$4,LANÇ_MOV[MÊS PAGAMENTO CORRESPONDENTE],N$6,LANÇ_MOV[EMPRESA],$C$4,LANÇ_MOV[CENTRO DE CUSTOS],$D$4)</f>
        <v>0</v>
      </c>
      <c r="O680" s="206">
        <f>SUMIFS(LANÇ_MOV[VALOR LÍQUIDO],LANÇ_MOV[RECEITA OU DESPESA],"Despesa",LANÇ_MOV[CONTAS],$C680,LANÇ_MOV[PLANO DE CONTAS],REL_DRE_FINANCEIRO!$B$651,LANÇ_MOV[ANO PAGAMENTO],$B$4,LANÇ_MOV[MÊS PAGAMENTO CORRESPONDENTE],O$6,LANÇ_MOV[EMPRESA],$C$4,LANÇ_MOV[CENTRO DE CUSTOS],$D$4)</f>
        <v>0</v>
      </c>
      <c r="P680" s="207">
        <f t="shared" si="88"/>
        <v>0</v>
      </c>
      <c r="Q680" s="329">
        <v>7.1999999999999997E-6</v>
      </c>
      <c r="R680" s="346">
        <f t="shared" si="89"/>
        <v>7.1999999999999997E-6</v>
      </c>
      <c r="S680" s="347" t="str">
        <f t="shared" si="90"/>
        <v>-</v>
      </c>
      <c r="T680" s="347">
        <f t="shared" si="91"/>
        <v>0</v>
      </c>
      <c r="U680" s="347">
        <f>HLOOKUP(Apoio!$P$12,$D$650:$P$751,X680,FALSE)+Q680</f>
        <v>7.1999999999999997E-6</v>
      </c>
      <c r="V680" s="447" t="str">
        <f t="shared" si="92"/>
        <v>-</v>
      </c>
      <c r="W680" s="448">
        <f>HLOOKUP(Apoio!$P$12,$D$650:$P$751,X680,FALSE)</f>
        <v>0</v>
      </c>
      <c r="X680" s="329">
        <v>31</v>
      </c>
    </row>
    <row r="681" spans="2:24" ht="30.05" customHeight="1" x14ac:dyDescent="0.35">
      <c r="B681" s="204" t="str">
        <f>'CAD_PL_REC-DESP'!W34</f>
        <v>2.5.30</v>
      </c>
      <c r="C681" s="205" t="str">
        <f>IF('CAD_PL_REC-DESP'!X34="","-",'CAD_PL_REC-DESP'!X34)</f>
        <v>-</v>
      </c>
      <c r="D681" s="206">
        <f>SUMIFS(LANÇ_MOV[VALOR LÍQUIDO],LANÇ_MOV[RECEITA OU DESPESA],"Despesa",LANÇ_MOV[CONTAS],$C681,LANÇ_MOV[PLANO DE CONTAS],REL_DRE_FINANCEIRO!$B$651,LANÇ_MOV[ANO PAGAMENTO],$B$4,LANÇ_MOV[MÊS PAGAMENTO CORRESPONDENTE],D$6,LANÇ_MOV[EMPRESA],$C$4,LANÇ_MOV[CENTRO DE CUSTOS],$D$4)</f>
        <v>0</v>
      </c>
      <c r="E681" s="206">
        <f>SUMIFS(LANÇ_MOV[VALOR LÍQUIDO],LANÇ_MOV[RECEITA OU DESPESA],"Despesa",LANÇ_MOV[CONTAS],$C681,LANÇ_MOV[PLANO DE CONTAS],REL_DRE_FINANCEIRO!$B$651,LANÇ_MOV[ANO PAGAMENTO],$B$4,LANÇ_MOV[MÊS PAGAMENTO CORRESPONDENTE],E$6,LANÇ_MOV[EMPRESA],$C$4,LANÇ_MOV[CENTRO DE CUSTOS],$D$4)</f>
        <v>0</v>
      </c>
      <c r="F681" s="206">
        <f>SUMIFS(LANÇ_MOV[VALOR LÍQUIDO],LANÇ_MOV[RECEITA OU DESPESA],"Despesa",LANÇ_MOV[CONTAS],$C681,LANÇ_MOV[PLANO DE CONTAS],REL_DRE_FINANCEIRO!$B$651,LANÇ_MOV[ANO PAGAMENTO],$B$4,LANÇ_MOV[MÊS PAGAMENTO CORRESPONDENTE],F$6,LANÇ_MOV[EMPRESA],$C$4,LANÇ_MOV[CENTRO DE CUSTOS],$D$4)</f>
        <v>0</v>
      </c>
      <c r="G681" s="206">
        <f>SUMIFS(LANÇ_MOV[VALOR LÍQUIDO],LANÇ_MOV[RECEITA OU DESPESA],"Despesa",LANÇ_MOV[CONTAS],$C681,LANÇ_MOV[PLANO DE CONTAS],REL_DRE_FINANCEIRO!$B$651,LANÇ_MOV[ANO PAGAMENTO],$B$4,LANÇ_MOV[MÊS PAGAMENTO CORRESPONDENTE],G$6,LANÇ_MOV[EMPRESA],$C$4,LANÇ_MOV[CENTRO DE CUSTOS],$D$4)</f>
        <v>0</v>
      </c>
      <c r="H681" s="206">
        <f>SUMIFS(LANÇ_MOV[VALOR LÍQUIDO],LANÇ_MOV[RECEITA OU DESPESA],"Despesa",LANÇ_MOV[CONTAS],$C681,LANÇ_MOV[PLANO DE CONTAS],REL_DRE_FINANCEIRO!$B$651,LANÇ_MOV[ANO PAGAMENTO],$B$4,LANÇ_MOV[MÊS PAGAMENTO CORRESPONDENTE],H$6,LANÇ_MOV[EMPRESA],$C$4,LANÇ_MOV[CENTRO DE CUSTOS],$D$4)</f>
        <v>0</v>
      </c>
      <c r="I681" s="206">
        <f>SUMIFS(LANÇ_MOV[VALOR LÍQUIDO],LANÇ_MOV[RECEITA OU DESPESA],"Despesa",LANÇ_MOV[CONTAS],$C681,LANÇ_MOV[PLANO DE CONTAS],REL_DRE_FINANCEIRO!$B$651,LANÇ_MOV[ANO PAGAMENTO],$B$4,LANÇ_MOV[MÊS PAGAMENTO CORRESPONDENTE],I$6,LANÇ_MOV[EMPRESA],$C$4,LANÇ_MOV[CENTRO DE CUSTOS],$D$4)</f>
        <v>0</v>
      </c>
      <c r="J681" s="206">
        <f>SUMIFS(LANÇ_MOV[VALOR LÍQUIDO],LANÇ_MOV[RECEITA OU DESPESA],"Despesa",LANÇ_MOV[CONTAS],$C681,LANÇ_MOV[PLANO DE CONTAS],REL_DRE_FINANCEIRO!$B$651,LANÇ_MOV[ANO PAGAMENTO],$B$4,LANÇ_MOV[MÊS PAGAMENTO CORRESPONDENTE],J$6,LANÇ_MOV[EMPRESA],$C$4,LANÇ_MOV[CENTRO DE CUSTOS],$D$4)</f>
        <v>0</v>
      </c>
      <c r="K681" s="206">
        <f>SUMIFS(LANÇ_MOV[VALOR LÍQUIDO],LANÇ_MOV[RECEITA OU DESPESA],"Despesa",LANÇ_MOV[CONTAS],$C681,LANÇ_MOV[PLANO DE CONTAS],REL_DRE_FINANCEIRO!$B$651,LANÇ_MOV[ANO PAGAMENTO],$B$4,LANÇ_MOV[MÊS PAGAMENTO CORRESPONDENTE],K$6,LANÇ_MOV[EMPRESA],$C$4,LANÇ_MOV[CENTRO DE CUSTOS],$D$4)</f>
        <v>0</v>
      </c>
      <c r="L681" s="206">
        <f>SUMIFS(LANÇ_MOV[VALOR LÍQUIDO],LANÇ_MOV[RECEITA OU DESPESA],"Despesa",LANÇ_MOV[CONTAS],$C681,LANÇ_MOV[PLANO DE CONTAS],REL_DRE_FINANCEIRO!$B$651,LANÇ_MOV[ANO PAGAMENTO],$B$4,LANÇ_MOV[MÊS PAGAMENTO CORRESPONDENTE],L$6,LANÇ_MOV[EMPRESA],$C$4,LANÇ_MOV[CENTRO DE CUSTOS],$D$4)</f>
        <v>0</v>
      </c>
      <c r="M681" s="206">
        <f>SUMIFS(LANÇ_MOV[VALOR LÍQUIDO],LANÇ_MOV[RECEITA OU DESPESA],"Despesa",LANÇ_MOV[CONTAS],$C681,LANÇ_MOV[PLANO DE CONTAS],REL_DRE_FINANCEIRO!$B$651,LANÇ_MOV[ANO PAGAMENTO],$B$4,LANÇ_MOV[MÊS PAGAMENTO CORRESPONDENTE],M$6,LANÇ_MOV[EMPRESA],$C$4,LANÇ_MOV[CENTRO DE CUSTOS],$D$4)</f>
        <v>0</v>
      </c>
      <c r="N681" s="206">
        <f>SUMIFS(LANÇ_MOV[VALOR LÍQUIDO],LANÇ_MOV[RECEITA OU DESPESA],"Despesa",LANÇ_MOV[CONTAS],$C681,LANÇ_MOV[PLANO DE CONTAS],REL_DRE_FINANCEIRO!$B$651,LANÇ_MOV[ANO PAGAMENTO],$B$4,LANÇ_MOV[MÊS PAGAMENTO CORRESPONDENTE],N$6,LANÇ_MOV[EMPRESA],$C$4,LANÇ_MOV[CENTRO DE CUSTOS],$D$4)</f>
        <v>0</v>
      </c>
      <c r="O681" s="206">
        <f>SUMIFS(LANÇ_MOV[VALOR LÍQUIDO],LANÇ_MOV[RECEITA OU DESPESA],"Despesa",LANÇ_MOV[CONTAS],$C681,LANÇ_MOV[PLANO DE CONTAS],REL_DRE_FINANCEIRO!$B$651,LANÇ_MOV[ANO PAGAMENTO],$B$4,LANÇ_MOV[MÊS PAGAMENTO CORRESPONDENTE],O$6,LANÇ_MOV[EMPRESA],$C$4,LANÇ_MOV[CENTRO DE CUSTOS],$D$4)</f>
        <v>0</v>
      </c>
      <c r="P681" s="207">
        <f t="shared" si="88"/>
        <v>0</v>
      </c>
      <c r="Q681" s="329">
        <v>7.0999999999999998E-6</v>
      </c>
      <c r="R681" s="346">
        <f t="shared" si="89"/>
        <v>7.0999999999999998E-6</v>
      </c>
      <c r="S681" s="347" t="str">
        <f t="shared" si="90"/>
        <v>-</v>
      </c>
      <c r="T681" s="347">
        <f t="shared" si="91"/>
        <v>0</v>
      </c>
      <c r="U681" s="347">
        <f>HLOOKUP(Apoio!$P$12,$D$650:$P$751,X681,FALSE)+Q681</f>
        <v>7.0999999999999998E-6</v>
      </c>
      <c r="V681" s="447" t="str">
        <f t="shared" si="92"/>
        <v>-</v>
      </c>
      <c r="W681" s="448">
        <f>HLOOKUP(Apoio!$P$12,$D$650:$P$751,X681,FALSE)</f>
        <v>0</v>
      </c>
      <c r="X681" s="329">
        <v>32</v>
      </c>
    </row>
    <row r="682" spans="2:24" ht="30.05" customHeight="1" x14ac:dyDescent="0.35">
      <c r="B682" s="204" t="str">
        <f>'CAD_PL_REC-DESP'!W35</f>
        <v>2.5.31</v>
      </c>
      <c r="C682" s="205" t="str">
        <f>IF('CAD_PL_REC-DESP'!X35="","-",'CAD_PL_REC-DESP'!X35)</f>
        <v>-</v>
      </c>
      <c r="D682" s="206">
        <f>SUMIFS(LANÇ_MOV[VALOR LÍQUIDO],LANÇ_MOV[RECEITA OU DESPESA],"Despesa",LANÇ_MOV[CONTAS],$C682,LANÇ_MOV[PLANO DE CONTAS],REL_DRE_FINANCEIRO!$B$651,LANÇ_MOV[ANO PAGAMENTO],$B$4,LANÇ_MOV[MÊS PAGAMENTO CORRESPONDENTE],D$6,LANÇ_MOV[EMPRESA],$C$4,LANÇ_MOV[CENTRO DE CUSTOS],$D$4)</f>
        <v>0</v>
      </c>
      <c r="E682" s="206">
        <f>SUMIFS(LANÇ_MOV[VALOR LÍQUIDO],LANÇ_MOV[RECEITA OU DESPESA],"Despesa",LANÇ_MOV[CONTAS],$C682,LANÇ_MOV[PLANO DE CONTAS],REL_DRE_FINANCEIRO!$B$651,LANÇ_MOV[ANO PAGAMENTO],$B$4,LANÇ_MOV[MÊS PAGAMENTO CORRESPONDENTE],E$6,LANÇ_MOV[EMPRESA],$C$4,LANÇ_MOV[CENTRO DE CUSTOS],$D$4)</f>
        <v>0</v>
      </c>
      <c r="F682" s="206">
        <f>SUMIFS(LANÇ_MOV[VALOR LÍQUIDO],LANÇ_MOV[RECEITA OU DESPESA],"Despesa",LANÇ_MOV[CONTAS],$C682,LANÇ_MOV[PLANO DE CONTAS],REL_DRE_FINANCEIRO!$B$651,LANÇ_MOV[ANO PAGAMENTO],$B$4,LANÇ_MOV[MÊS PAGAMENTO CORRESPONDENTE],F$6,LANÇ_MOV[EMPRESA],$C$4,LANÇ_MOV[CENTRO DE CUSTOS],$D$4)</f>
        <v>0</v>
      </c>
      <c r="G682" s="206">
        <f>SUMIFS(LANÇ_MOV[VALOR LÍQUIDO],LANÇ_MOV[RECEITA OU DESPESA],"Despesa",LANÇ_MOV[CONTAS],$C682,LANÇ_MOV[PLANO DE CONTAS],REL_DRE_FINANCEIRO!$B$651,LANÇ_MOV[ANO PAGAMENTO],$B$4,LANÇ_MOV[MÊS PAGAMENTO CORRESPONDENTE],G$6,LANÇ_MOV[EMPRESA],$C$4,LANÇ_MOV[CENTRO DE CUSTOS],$D$4)</f>
        <v>0</v>
      </c>
      <c r="H682" s="206">
        <f>SUMIFS(LANÇ_MOV[VALOR LÍQUIDO],LANÇ_MOV[RECEITA OU DESPESA],"Despesa",LANÇ_MOV[CONTAS],$C682,LANÇ_MOV[PLANO DE CONTAS],REL_DRE_FINANCEIRO!$B$651,LANÇ_MOV[ANO PAGAMENTO],$B$4,LANÇ_MOV[MÊS PAGAMENTO CORRESPONDENTE],H$6,LANÇ_MOV[EMPRESA],$C$4,LANÇ_MOV[CENTRO DE CUSTOS],$D$4)</f>
        <v>0</v>
      </c>
      <c r="I682" s="206">
        <f>SUMIFS(LANÇ_MOV[VALOR LÍQUIDO],LANÇ_MOV[RECEITA OU DESPESA],"Despesa",LANÇ_MOV[CONTAS],$C682,LANÇ_MOV[PLANO DE CONTAS],REL_DRE_FINANCEIRO!$B$651,LANÇ_MOV[ANO PAGAMENTO],$B$4,LANÇ_MOV[MÊS PAGAMENTO CORRESPONDENTE],I$6,LANÇ_MOV[EMPRESA],$C$4,LANÇ_MOV[CENTRO DE CUSTOS],$D$4)</f>
        <v>0</v>
      </c>
      <c r="J682" s="206">
        <f>SUMIFS(LANÇ_MOV[VALOR LÍQUIDO],LANÇ_MOV[RECEITA OU DESPESA],"Despesa",LANÇ_MOV[CONTAS],$C682,LANÇ_MOV[PLANO DE CONTAS],REL_DRE_FINANCEIRO!$B$651,LANÇ_MOV[ANO PAGAMENTO],$B$4,LANÇ_MOV[MÊS PAGAMENTO CORRESPONDENTE],J$6,LANÇ_MOV[EMPRESA],$C$4,LANÇ_MOV[CENTRO DE CUSTOS],$D$4)</f>
        <v>0</v>
      </c>
      <c r="K682" s="206">
        <f>SUMIFS(LANÇ_MOV[VALOR LÍQUIDO],LANÇ_MOV[RECEITA OU DESPESA],"Despesa",LANÇ_MOV[CONTAS],$C682,LANÇ_MOV[PLANO DE CONTAS],REL_DRE_FINANCEIRO!$B$651,LANÇ_MOV[ANO PAGAMENTO],$B$4,LANÇ_MOV[MÊS PAGAMENTO CORRESPONDENTE],K$6,LANÇ_MOV[EMPRESA],$C$4,LANÇ_MOV[CENTRO DE CUSTOS],$D$4)</f>
        <v>0</v>
      </c>
      <c r="L682" s="206">
        <f>SUMIFS(LANÇ_MOV[VALOR LÍQUIDO],LANÇ_MOV[RECEITA OU DESPESA],"Despesa",LANÇ_MOV[CONTAS],$C682,LANÇ_MOV[PLANO DE CONTAS],REL_DRE_FINANCEIRO!$B$651,LANÇ_MOV[ANO PAGAMENTO],$B$4,LANÇ_MOV[MÊS PAGAMENTO CORRESPONDENTE],L$6,LANÇ_MOV[EMPRESA],$C$4,LANÇ_MOV[CENTRO DE CUSTOS],$D$4)</f>
        <v>0</v>
      </c>
      <c r="M682" s="206">
        <f>SUMIFS(LANÇ_MOV[VALOR LÍQUIDO],LANÇ_MOV[RECEITA OU DESPESA],"Despesa",LANÇ_MOV[CONTAS],$C682,LANÇ_MOV[PLANO DE CONTAS],REL_DRE_FINANCEIRO!$B$651,LANÇ_MOV[ANO PAGAMENTO],$B$4,LANÇ_MOV[MÊS PAGAMENTO CORRESPONDENTE],M$6,LANÇ_MOV[EMPRESA],$C$4,LANÇ_MOV[CENTRO DE CUSTOS],$D$4)</f>
        <v>0</v>
      </c>
      <c r="N682" s="206">
        <f>SUMIFS(LANÇ_MOV[VALOR LÍQUIDO],LANÇ_MOV[RECEITA OU DESPESA],"Despesa",LANÇ_MOV[CONTAS],$C682,LANÇ_MOV[PLANO DE CONTAS],REL_DRE_FINANCEIRO!$B$651,LANÇ_MOV[ANO PAGAMENTO],$B$4,LANÇ_MOV[MÊS PAGAMENTO CORRESPONDENTE],N$6,LANÇ_MOV[EMPRESA],$C$4,LANÇ_MOV[CENTRO DE CUSTOS],$D$4)</f>
        <v>0</v>
      </c>
      <c r="O682" s="206">
        <f>SUMIFS(LANÇ_MOV[VALOR LÍQUIDO],LANÇ_MOV[RECEITA OU DESPESA],"Despesa",LANÇ_MOV[CONTAS],$C682,LANÇ_MOV[PLANO DE CONTAS],REL_DRE_FINANCEIRO!$B$651,LANÇ_MOV[ANO PAGAMENTO],$B$4,LANÇ_MOV[MÊS PAGAMENTO CORRESPONDENTE],O$6,LANÇ_MOV[EMPRESA],$C$4,LANÇ_MOV[CENTRO DE CUSTOS],$D$4)</f>
        <v>0</v>
      </c>
      <c r="P682" s="207">
        <f t="shared" si="88"/>
        <v>0</v>
      </c>
      <c r="Q682" s="329">
        <v>6.9999999999999999E-6</v>
      </c>
      <c r="R682" s="346">
        <f t="shared" si="89"/>
        <v>6.9999999999999999E-6</v>
      </c>
      <c r="S682" s="347" t="str">
        <f t="shared" si="90"/>
        <v>-</v>
      </c>
      <c r="T682" s="347">
        <f t="shared" si="91"/>
        <v>0</v>
      </c>
      <c r="U682" s="347">
        <f>HLOOKUP(Apoio!$P$12,$D$650:$P$751,X682,FALSE)+Q682</f>
        <v>6.9999999999999999E-6</v>
      </c>
      <c r="V682" s="447" t="str">
        <f t="shared" si="92"/>
        <v>-</v>
      </c>
      <c r="W682" s="448">
        <f>HLOOKUP(Apoio!$P$12,$D$650:$P$751,X682,FALSE)</f>
        <v>0</v>
      </c>
      <c r="X682" s="329">
        <v>33</v>
      </c>
    </row>
    <row r="683" spans="2:24" ht="30.05" customHeight="1" x14ac:dyDescent="0.35">
      <c r="B683" s="204" t="str">
        <f>'CAD_PL_REC-DESP'!W36</f>
        <v>2.5.32</v>
      </c>
      <c r="C683" s="205" t="str">
        <f>IF('CAD_PL_REC-DESP'!X36="","-",'CAD_PL_REC-DESP'!X36)</f>
        <v>-</v>
      </c>
      <c r="D683" s="206">
        <f>SUMIFS(LANÇ_MOV[VALOR LÍQUIDO],LANÇ_MOV[RECEITA OU DESPESA],"Despesa",LANÇ_MOV[CONTAS],$C683,LANÇ_MOV[PLANO DE CONTAS],REL_DRE_FINANCEIRO!$B$651,LANÇ_MOV[ANO PAGAMENTO],$B$4,LANÇ_MOV[MÊS PAGAMENTO CORRESPONDENTE],D$6,LANÇ_MOV[EMPRESA],$C$4,LANÇ_MOV[CENTRO DE CUSTOS],$D$4)</f>
        <v>0</v>
      </c>
      <c r="E683" s="206">
        <f>SUMIFS(LANÇ_MOV[VALOR LÍQUIDO],LANÇ_MOV[RECEITA OU DESPESA],"Despesa",LANÇ_MOV[CONTAS],$C683,LANÇ_MOV[PLANO DE CONTAS],REL_DRE_FINANCEIRO!$B$651,LANÇ_MOV[ANO PAGAMENTO],$B$4,LANÇ_MOV[MÊS PAGAMENTO CORRESPONDENTE],E$6,LANÇ_MOV[EMPRESA],$C$4,LANÇ_MOV[CENTRO DE CUSTOS],$D$4)</f>
        <v>0</v>
      </c>
      <c r="F683" s="206">
        <f>SUMIFS(LANÇ_MOV[VALOR LÍQUIDO],LANÇ_MOV[RECEITA OU DESPESA],"Despesa",LANÇ_MOV[CONTAS],$C683,LANÇ_MOV[PLANO DE CONTAS],REL_DRE_FINANCEIRO!$B$651,LANÇ_MOV[ANO PAGAMENTO],$B$4,LANÇ_MOV[MÊS PAGAMENTO CORRESPONDENTE],F$6,LANÇ_MOV[EMPRESA],$C$4,LANÇ_MOV[CENTRO DE CUSTOS],$D$4)</f>
        <v>0</v>
      </c>
      <c r="G683" s="206">
        <f>SUMIFS(LANÇ_MOV[VALOR LÍQUIDO],LANÇ_MOV[RECEITA OU DESPESA],"Despesa",LANÇ_MOV[CONTAS],$C683,LANÇ_MOV[PLANO DE CONTAS],REL_DRE_FINANCEIRO!$B$651,LANÇ_MOV[ANO PAGAMENTO],$B$4,LANÇ_MOV[MÊS PAGAMENTO CORRESPONDENTE],G$6,LANÇ_MOV[EMPRESA],$C$4,LANÇ_MOV[CENTRO DE CUSTOS],$D$4)</f>
        <v>0</v>
      </c>
      <c r="H683" s="206">
        <f>SUMIFS(LANÇ_MOV[VALOR LÍQUIDO],LANÇ_MOV[RECEITA OU DESPESA],"Despesa",LANÇ_MOV[CONTAS],$C683,LANÇ_MOV[PLANO DE CONTAS],REL_DRE_FINANCEIRO!$B$651,LANÇ_MOV[ANO PAGAMENTO],$B$4,LANÇ_MOV[MÊS PAGAMENTO CORRESPONDENTE],H$6,LANÇ_MOV[EMPRESA],$C$4,LANÇ_MOV[CENTRO DE CUSTOS],$D$4)</f>
        <v>0</v>
      </c>
      <c r="I683" s="206">
        <f>SUMIFS(LANÇ_MOV[VALOR LÍQUIDO],LANÇ_MOV[RECEITA OU DESPESA],"Despesa",LANÇ_MOV[CONTAS],$C683,LANÇ_MOV[PLANO DE CONTAS],REL_DRE_FINANCEIRO!$B$651,LANÇ_MOV[ANO PAGAMENTO],$B$4,LANÇ_MOV[MÊS PAGAMENTO CORRESPONDENTE],I$6,LANÇ_MOV[EMPRESA],$C$4,LANÇ_MOV[CENTRO DE CUSTOS],$D$4)</f>
        <v>0</v>
      </c>
      <c r="J683" s="206">
        <f>SUMIFS(LANÇ_MOV[VALOR LÍQUIDO],LANÇ_MOV[RECEITA OU DESPESA],"Despesa",LANÇ_MOV[CONTAS],$C683,LANÇ_MOV[PLANO DE CONTAS],REL_DRE_FINANCEIRO!$B$651,LANÇ_MOV[ANO PAGAMENTO],$B$4,LANÇ_MOV[MÊS PAGAMENTO CORRESPONDENTE],J$6,LANÇ_MOV[EMPRESA],$C$4,LANÇ_MOV[CENTRO DE CUSTOS],$D$4)</f>
        <v>0</v>
      </c>
      <c r="K683" s="206">
        <f>SUMIFS(LANÇ_MOV[VALOR LÍQUIDO],LANÇ_MOV[RECEITA OU DESPESA],"Despesa",LANÇ_MOV[CONTAS],$C683,LANÇ_MOV[PLANO DE CONTAS],REL_DRE_FINANCEIRO!$B$651,LANÇ_MOV[ANO PAGAMENTO],$B$4,LANÇ_MOV[MÊS PAGAMENTO CORRESPONDENTE],K$6,LANÇ_MOV[EMPRESA],$C$4,LANÇ_MOV[CENTRO DE CUSTOS],$D$4)</f>
        <v>0</v>
      </c>
      <c r="L683" s="206">
        <f>SUMIFS(LANÇ_MOV[VALOR LÍQUIDO],LANÇ_MOV[RECEITA OU DESPESA],"Despesa",LANÇ_MOV[CONTAS],$C683,LANÇ_MOV[PLANO DE CONTAS],REL_DRE_FINANCEIRO!$B$651,LANÇ_MOV[ANO PAGAMENTO],$B$4,LANÇ_MOV[MÊS PAGAMENTO CORRESPONDENTE],L$6,LANÇ_MOV[EMPRESA],$C$4,LANÇ_MOV[CENTRO DE CUSTOS],$D$4)</f>
        <v>0</v>
      </c>
      <c r="M683" s="206">
        <f>SUMIFS(LANÇ_MOV[VALOR LÍQUIDO],LANÇ_MOV[RECEITA OU DESPESA],"Despesa",LANÇ_MOV[CONTAS],$C683,LANÇ_MOV[PLANO DE CONTAS],REL_DRE_FINANCEIRO!$B$651,LANÇ_MOV[ANO PAGAMENTO],$B$4,LANÇ_MOV[MÊS PAGAMENTO CORRESPONDENTE],M$6,LANÇ_MOV[EMPRESA],$C$4,LANÇ_MOV[CENTRO DE CUSTOS],$D$4)</f>
        <v>0</v>
      </c>
      <c r="N683" s="206">
        <f>SUMIFS(LANÇ_MOV[VALOR LÍQUIDO],LANÇ_MOV[RECEITA OU DESPESA],"Despesa",LANÇ_MOV[CONTAS],$C683,LANÇ_MOV[PLANO DE CONTAS],REL_DRE_FINANCEIRO!$B$651,LANÇ_MOV[ANO PAGAMENTO],$B$4,LANÇ_MOV[MÊS PAGAMENTO CORRESPONDENTE],N$6,LANÇ_MOV[EMPRESA],$C$4,LANÇ_MOV[CENTRO DE CUSTOS],$D$4)</f>
        <v>0</v>
      </c>
      <c r="O683" s="206">
        <f>SUMIFS(LANÇ_MOV[VALOR LÍQUIDO],LANÇ_MOV[RECEITA OU DESPESA],"Despesa",LANÇ_MOV[CONTAS],$C683,LANÇ_MOV[PLANO DE CONTAS],REL_DRE_FINANCEIRO!$B$651,LANÇ_MOV[ANO PAGAMENTO],$B$4,LANÇ_MOV[MÊS PAGAMENTO CORRESPONDENTE],O$6,LANÇ_MOV[EMPRESA],$C$4,LANÇ_MOV[CENTRO DE CUSTOS],$D$4)</f>
        <v>0</v>
      </c>
      <c r="P683" s="207">
        <f t="shared" si="88"/>
        <v>0</v>
      </c>
      <c r="Q683" s="329">
        <v>6.9E-6</v>
      </c>
      <c r="R683" s="346">
        <f t="shared" si="89"/>
        <v>6.9E-6</v>
      </c>
      <c r="S683" s="347" t="str">
        <f t="shared" si="90"/>
        <v>-</v>
      </c>
      <c r="T683" s="347">
        <f t="shared" si="91"/>
        <v>0</v>
      </c>
      <c r="U683" s="347">
        <f>HLOOKUP(Apoio!$P$12,$D$650:$P$751,X683,FALSE)+Q683</f>
        <v>6.9E-6</v>
      </c>
      <c r="V683" s="447" t="str">
        <f t="shared" si="92"/>
        <v>-</v>
      </c>
      <c r="W683" s="448">
        <f>HLOOKUP(Apoio!$P$12,$D$650:$P$751,X683,FALSE)</f>
        <v>0</v>
      </c>
      <c r="X683" s="329">
        <v>34</v>
      </c>
    </row>
    <row r="684" spans="2:24" ht="30.05" customHeight="1" x14ac:dyDescent="0.35">
      <c r="B684" s="204" t="str">
        <f>'CAD_PL_REC-DESP'!W37</f>
        <v>2.5.33</v>
      </c>
      <c r="C684" s="205" t="str">
        <f>IF('CAD_PL_REC-DESP'!X37="","-",'CAD_PL_REC-DESP'!X37)</f>
        <v>-</v>
      </c>
      <c r="D684" s="206">
        <f>SUMIFS(LANÇ_MOV[VALOR LÍQUIDO],LANÇ_MOV[RECEITA OU DESPESA],"Despesa",LANÇ_MOV[CONTAS],$C684,LANÇ_MOV[PLANO DE CONTAS],REL_DRE_FINANCEIRO!$B$651,LANÇ_MOV[ANO PAGAMENTO],$B$4,LANÇ_MOV[MÊS PAGAMENTO CORRESPONDENTE],D$6,LANÇ_MOV[EMPRESA],$C$4,LANÇ_MOV[CENTRO DE CUSTOS],$D$4)</f>
        <v>0</v>
      </c>
      <c r="E684" s="206">
        <f>SUMIFS(LANÇ_MOV[VALOR LÍQUIDO],LANÇ_MOV[RECEITA OU DESPESA],"Despesa",LANÇ_MOV[CONTAS],$C684,LANÇ_MOV[PLANO DE CONTAS],REL_DRE_FINANCEIRO!$B$651,LANÇ_MOV[ANO PAGAMENTO],$B$4,LANÇ_MOV[MÊS PAGAMENTO CORRESPONDENTE],E$6,LANÇ_MOV[EMPRESA],$C$4,LANÇ_MOV[CENTRO DE CUSTOS],$D$4)</f>
        <v>0</v>
      </c>
      <c r="F684" s="206">
        <f>SUMIFS(LANÇ_MOV[VALOR LÍQUIDO],LANÇ_MOV[RECEITA OU DESPESA],"Despesa",LANÇ_MOV[CONTAS],$C684,LANÇ_MOV[PLANO DE CONTAS],REL_DRE_FINANCEIRO!$B$651,LANÇ_MOV[ANO PAGAMENTO],$B$4,LANÇ_MOV[MÊS PAGAMENTO CORRESPONDENTE],F$6,LANÇ_MOV[EMPRESA],$C$4,LANÇ_MOV[CENTRO DE CUSTOS],$D$4)</f>
        <v>0</v>
      </c>
      <c r="G684" s="206">
        <f>SUMIFS(LANÇ_MOV[VALOR LÍQUIDO],LANÇ_MOV[RECEITA OU DESPESA],"Despesa",LANÇ_MOV[CONTAS],$C684,LANÇ_MOV[PLANO DE CONTAS],REL_DRE_FINANCEIRO!$B$651,LANÇ_MOV[ANO PAGAMENTO],$B$4,LANÇ_MOV[MÊS PAGAMENTO CORRESPONDENTE],G$6,LANÇ_MOV[EMPRESA],$C$4,LANÇ_MOV[CENTRO DE CUSTOS],$D$4)</f>
        <v>0</v>
      </c>
      <c r="H684" s="206">
        <f>SUMIFS(LANÇ_MOV[VALOR LÍQUIDO],LANÇ_MOV[RECEITA OU DESPESA],"Despesa",LANÇ_MOV[CONTAS],$C684,LANÇ_MOV[PLANO DE CONTAS],REL_DRE_FINANCEIRO!$B$651,LANÇ_MOV[ANO PAGAMENTO],$B$4,LANÇ_MOV[MÊS PAGAMENTO CORRESPONDENTE],H$6,LANÇ_MOV[EMPRESA],$C$4,LANÇ_MOV[CENTRO DE CUSTOS],$D$4)</f>
        <v>0</v>
      </c>
      <c r="I684" s="206">
        <f>SUMIFS(LANÇ_MOV[VALOR LÍQUIDO],LANÇ_MOV[RECEITA OU DESPESA],"Despesa",LANÇ_MOV[CONTAS],$C684,LANÇ_MOV[PLANO DE CONTAS],REL_DRE_FINANCEIRO!$B$651,LANÇ_MOV[ANO PAGAMENTO],$B$4,LANÇ_MOV[MÊS PAGAMENTO CORRESPONDENTE],I$6,LANÇ_MOV[EMPRESA],$C$4,LANÇ_MOV[CENTRO DE CUSTOS],$D$4)</f>
        <v>0</v>
      </c>
      <c r="J684" s="206">
        <f>SUMIFS(LANÇ_MOV[VALOR LÍQUIDO],LANÇ_MOV[RECEITA OU DESPESA],"Despesa",LANÇ_MOV[CONTAS],$C684,LANÇ_MOV[PLANO DE CONTAS],REL_DRE_FINANCEIRO!$B$651,LANÇ_MOV[ANO PAGAMENTO],$B$4,LANÇ_MOV[MÊS PAGAMENTO CORRESPONDENTE],J$6,LANÇ_MOV[EMPRESA],$C$4,LANÇ_MOV[CENTRO DE CUSTOS],$D$4)</f>
        <v>0</v>
      </c>
      <c r="K684" s="206">
        <f>SUMIFS(LANÇ_MOV[VALOR LÍQUIDO],LANÇ_MOV[RECEITA OU DESPESA],"Despesa",LANÇ_MOV[CONTAS],$C684,LANÇ_MOV[PLANO DE CONTAS],REL_DRE_FINANCEIRO!$B$651,LANÇ_MOV[ANO PAGAMENTO],$B$4,LANÇ_MOV[MÊS PAGAMENTO CORRESPONDENTE],K$6,LANÇ_MOV[EMPRESA],$C$4,LANÇ_MOV[CENTRO DE CUSTOS],$D$4)</f>
        <v>0</v>
      </c>
      <c r="L684" s="206">
        <f>SUMIFS(LANÇ_MOV[VALOR LÍQUIDO],LANÇ_MOV[RECEITA OU DESPESA],"Despesa",LANÇ_MOV[CONTAS],$C684,LANÇ_MOV[PLANO DE CONTAS],REL_DRE_FINANCEIRO!$B$651,LANÇ_MOV[ANO PAGAMENTO],$B$4,LANÇ_MOV[MÊS PAGAMENTO CORRESPONDENTE],L$6,LANÇ_MOV[EMPRESA],$C$4,LANÇ_MOV[CENTRO DE CUSTOS],$D$4)</f>
        <v>0</v>
      </c>
      <c r="M684" s="206">
        <f>SUMIFS(LANÇ_MOV[VALOR LÍQUIDO],LANÇ_MOV[RECEITA OU DESPESA],"Despesa",LANÇ_MOV[CONTAS],$C684,LANÇ_MOV[PLANO DE CONTAS],REL_DRE_FINANCEIRO!$B$651,LANÇ_MOV[ANO PAGAMENTO],$B$4,LANÇ_MOV[MÊS PAGAMENTO CORRESPONDENTE],M$6,LANÇ_MOV[EMPRESA],$C$4,LANÇ_MOV[CENTRO DE CUSTOS],$D$4)</f>
        <v>0</v>
      </c>
      <c r="N684" s="206">
        <f>SUMIFS(LANÇ_MOV[VALOR LÍQUIDO],LANÇ_MOV[RECEITA OU DESPESA],"Despesa",LANÇ_MOV[CONTAS],$C684,LANÇ_MOV[PLANO DE CONTAS],REL_DRE_FINANCEIRO!$B$651,LANÇ_MOV[ANO PAGAMENTO],$B$4,LANÇ_MOV[MÊS PAGAMENTO CORRESPONDENTE],N$6,LANÇ_MOV[EMPRESA],$C$4,LANÇ_MOV[CENTRO DE CUSTOS],$D$4)</f>
        <v>0</v>
      </c>
      <c r="O684" s="206">
        <f>SUMIFS(LANÇ_MOV[VALOR LÍQUIDO],LANÇ_MOV[RECEITA OU DESPESA],"Despesa",LANÇ_MOV[CONTAS],$C684,LANÇ_MOV[PLANO DE CONTAS],REL_DRE_FINANCEIRO!$B$651,LANÇ_MOV[ANO PAGAMENTO],$B$4,LANÇ_MOV[MÊS PAGAMENTO CORRESPONDENTE],O$6,LANÇ_MOV[EMPRESA],$C$4,LANÇ_MOV[CENTRO DE CUSTOS],$D$4)</f>
        <v>0</v>
      </c>
      <c r="P684" s="207">
        <f t="shared" si="88"/>
        <v>0</v>
      </c>
      <c r="Q684" s="329">
        <v>6.8000000000000001E-6</v>
      </c>
      <c r="R684" s="346">
        <f t="shared" si="89"/>
        <v>6.8000000000000001E-6</v>
      </c>
      <c r="S684" s="347" t="str">
        <f t="shared" si="90"/>
        <v>-</v>
      </c>
      <c r="T684" s="347">
        <f t="shared" si="91"/>
        <v>0</v>
      </c>
      <c r="U684" s="347">
        <f>HLOOKUP(Apoio!$P$12,$D$650:$P$751,X684,FALSE)+Q684</f>
        <v>6.8000000000000001E-6</v>
      </c>
      <c r="V684" s="447" t="str">
        <f t="shared" si="92"/>
        <v>-</v>
      </c>
      <c r="W684" s="448">
        <f>HLOOKUP(Apoio!$P$12,$D$650:$P$751,X684,FALSE)</f>
        <v>0</v>
      </c>
      <c r="X684" s="329">
        <v>35</v>
      </c>
    </row>
    <row r="685" spans="2:24" ht="30.05" customHeight="1" x14ac:dyDescent="0.35">
      <c r="B685" s="204" t="str">
        <f>'CAD_PL_REC-DESP'!W38</f>
        <v>2.5.34</v>
      </c>
      <c r="C685" s="205" t="str">
        <f>IF('CAD_PL_REC-DESP'!X38="","-",'CAD_PL_REC-DESP'!X38)</f>
        <v>-</v>
      </c>
      <c r="D685" s="206">
        <f>SUMIFS(LANÇ_MOV[VALOR LÍQUIDO],LANÇ_MOV[RECEITA OU DESPESA],"Despesa",LANÇ_MOV[CONTAS],$C685,LANÇ_MOV[PLANO DE CONTAS],REL_DRE_FINANCEIRO!$B$651,LANÇ_MOV[ANO PAGAMENTO],$B$4,LANÇ_MOV[MÊS PAGAMENTO CORRESPONDENTE],D$6,LANÇ_MOV[EMPRESA],$C$4,LANÇ_MOV[CENTRO DE CUSTOS],$D$4)</f>
        <v>0</v>
      </c>
      <c r="E685" s="206">
        <f>SUMIFS(LANÇ_MOV[VALOR LÍQUIDO],LANÇ_MOV[RECEITA OU DESPESA],"Despesa",LANÇ_MOV[CONTAS],$C685,LANÇ_MOV[PLANO DE CONTAS],REL_DRE_FINANCEIRO!$B$651,LANÇ_MOV[ANO PAGAMENTO],$B$4,LANÇ_MOV[MÊS PAGAMENTO CORRESPONDENTE],E$6,LANÇ_MOV[EMPRESA],$C$4,LANÇ_MOV[CENTRO DE CUSTOS],$D$4)</f>
        <v>0</v>
      </c>
      <c r="F685" s="206">
        <f>SUMIFS(LANÇ_MOV[VALOR LÍQUIDO],LANÇ_MOV[RECEITA OU DESPESA],"Despesa",LANÇ_MOV[CONTAS],$C685,LANÇ_MOV[PLANO DE CONTAS],REL_DRE_FINANCEIRO!$B$651,LANÇ_MOV[ANO PAGAMENTO],$B$4,LANÇ_MOV[MÊS PAGAMENTO CORRESPONDENTE],F$6,LANÇ_MOV[EMPRESA],$C$4,LANÇ_MOV[CENTRO DE CUSTOS],$D$4)</f>
        <v>0</v>
      </c>
      <c r="G685" s="206">
        <f>SUMIFS(LANÇ_MOV[VALOR LÍQUIDO],LANÇ_MOV[RECEITA OU DESPESA],"Despesa",LANÇ_MOV[CONTAS],$C685,LANÇ_MOV[PLANO DE CONTAS],REL_DRE_FINANCEIRO!$B$651,LANÇ_MOV[ANO PAGAMENTO],$B$4,LANÇ_MOV[MÊS PAGAMENTO CORRESPONDENTE],G$6,LANÇ_MOV[EMPRESA],$C$4,LANÇ_MOV[CENTRO DE CUSTOS],$D$4)</f>
        <v>0</v>
      </c>
      <c r="H685" s="206">
        <f>SUMIFS(LANÇ_MOV[VALOR LÍQUIDO],LANÇ_MOV[RECEITA OU DESPESA],"Despesa",LANÇ_MOV[CONTAS],$C685,LANÇ_MOV[PLANO DE CONTAS],REL_DRE_FINANCEIRO!$B$651,LANÇ_MOV[ANO PAGAMENTO],$B$4,LANÇ_MOV[MÊS PAGAMENTO CORRESPONDENTE],H$6,LANÇ_MOV[EMPRESA],$C$4,LANÇ_MOV[CENTRO DE CUSTOS],$D$4)</f>
        <v>0</v>
      </c>
      <c r="I685" s="206">
        <f>SUMIFS(LANÇ_MOV[VALOR LÍQUIDO],LANÇ_MOV[RECEITA OU DESPESA],"Despesa",LANÇ_MOV[CONTAS],$C685,LANÇ_MOV[PLANO DE CONTAS],REL_DRE_FINANCEIRO!$B$651,LANÇ_MOV[ANO PAGAMENTO],$B$4,LANÇ_MOV[MÊS PAGAMENTO CORRESPONDENTE],I$6,LANÇ_MOV[EMPRESA],$C$4,LANÇ_MOV[CENTRO DE CUSTOS],$D$4)</f>
        <v>0</v>
      </c>
      <c r="J685" s="206">
        <f>SUMIFS(LANÇ_MOV[VALOR LÍQUIDO],LANÇ_MOV[RECEITA OU DESPESA],"Despesa",LANÇ_MOV[CONTAS],$C685,LANÇ_MOV[PLANO DE CONTAS],REL_DRE_FINANCEIRO!$B$651,LANÇ_MOV[ANO PAGAMENTO],$B$4,LANÇ_MOV[MÊS PAGAMENTO CORRESPONDENTE],J$6,LANÇ_MOV[EMPRESA],$C$4,LANÇ_MOV[CENTRO DE CUSTOS],$D$4)</f>
        <v>0</v>
      </c>
      <c r="K685" s="206">
        <f>SUMIFS(LANÇ_MOV[VALOR LÍQUIDO],LANÇ_MOV[RECEITA OU DESPESA],"Despesa",LANÇ_MOV[CONTAS],$C685,LANÇ_MOV[PLANO DE CONTAS],REL_DRE_FINANCEIRO!$B$651,LANÇ_MOV[ANO PAGAMENTO],$B$4,LANÇ_MOV[MÊS PAGAMENTO CORRESPONDENTE],K$6,LANÇ_MOV[EMPRESA],$C$4,LANÇ_MOV[CENTRO DE CUSTOS],$D$4)</f>
        <v>0</v>
      </c>
      <c r="L685" s="206">
        <f>SUMIFS(LANÇ_MOV[VALOR LÍQUIDO],LANÇ_MOV[RECEITA OU DESPESA],"Despesa",LANÇ_MOV[CONTAS],$C685,LANÇ_MOV[PLANO DE CONTAS],REL_DRE_FINANCEIRO!$B$651,LANÇ_MOV[ANO PAGAMENTO],$B$4,LANÇ_MOV[MÊS PAGAMENTO CORRESPONDENTE],L$6,LANÇ_MOV[EMPRESA],$C$4,LANÇ_MOV[CENTRO DE CUSTOS],$D$4)</f>
        <v>0</v>
      </c>
      <c r="M685" s="206">
        <f>SUMIFS(LANÇ_MOV[VALOR LÍQUIDO],LANÇ_MOV[RECEITA OU DESPESA],"Despesa",LANÇ_MOV[CONTAS],$C685,LANÇ_MOV[PLANO DE CONTAS],REL_DRE_FINANCEIRO!$B$651,LANÇ_MOV[ANO PAGAMENTO],$B$4,LANÇ_MOV[MÊS PAGAMENTO CORRESPONDENTE],M$6,LANÇ_MOV[EMPRESA],$C$4,LANÇ_MOV[CENTRO DE CUSTOS],$D$4)</f>
        <v>0</v>
      </c>
      <c r="N685" s="206">
        <f>SUMIFS(LANÇ_MOV[VALOR LÍQUIDO],LANÇ_MOV[RECEITA OU DESPESA],"Despesa",LANÇ_MOV[CONTAS],$C685,LANÇ_MOV[PLANO DE CONTAS],REL_DRE_FINANCEIRO!$B$651,LANÇ_MOV[ANO PAGAMENTO],$B$4,LANÇ_MOV[MÊS PAGAMENTO CORRESPONDENTE],N$6,LANÇ_MOV[EMPRESA],$C$4,LANÇ_MOV[CENTRO DE CUSTOS],$D$4)</f>
        <v>0</v>
      </c>
      <c r="O685" s="206">
        <f>SUMIFS(LANÇ_MOV[VALOR LÍQUIDO],LANÇ_MOV[RECEITA OU DESPESA],"Despesa",LANÇ_MOV[CONTAS],$C685,LANÇ_MOV[PLANO DE CONTAS],REL_DRE_FINANCEIRO!$B$651,LANÇ_MOV[ANO PAGAMENTO],$B$4,LANÇ_MOV[MÊS PAGAMENTO CORRESPONDENTE],O$6,LANÇ_MOV[EMPRESA],$C$4,LANÇ_MOV[CENTRO DE CUSTOS],$D$4)</f>
        <v>0</v>
      </c>
      <c r="P685" s="207">
        <f t="shared" si="88"/>
        <v>0</v>
      </c>
      <c r="Q685" s="329">
        <v>6.7000000000000002E-6</v>
      </c>
      <c r="R685" s="346">
        <f t="shared" si="89"/>
        <v>6.7000000000000002E-6</v>
      </c>
      <c r="S685" s="347" t="str">
        <f t="shared" si="90"/>
        <v>-</v>
      </c>
      <c r="T685" s="347">
        <f t="shared" si="91"/>
        <v>0</v>
      </c>
      <c r="U685" s="347">
        <f>HLOOKUP(Apoio!$P$12,$D$650:$P$751,X685,FALSE)+Q685</f>
        <v>6.7000000000000002E-6</v>
      </c>
      <c r="V685" s="447" t="str">
        <f t="shared" si="92"/>
        <v>-</v>
      </c>
      <c r="W685" s="448">
        <f>HLOOKUP(Apoio!$P$12,$D$650:$P$751,X685,FALSE)</f>
        <v>0</v>
      </c>
      <c r="X685" s="329">
        <v>36</v>
      </c>
    </row>
    <row r="686" spans="2:24" ht="30.05" customHeight="1" x14ac:dyDescent="0.35">
      <c r="B686" s="204" t="str">
        <f>'CAD_PL_REC-DESP'!W39</f>
        <v>2.5.35</v>
      </c>
      <c r="C686" s="205" t="str">
        <f>IF('CAD_PL_REC-DESP'!X39="","-",'CAD_PL_REC-DESP'!X39)</f>
        <v>-</v>
      </c>
      <c r="D686" s="206">
        <f>SUMIFS(LANÇ_MOV[VALOR LÍQUIDO],LANÇ_MOV[RECEITA OU DESPESA],"Despesa",LANÇ_MOV[CONTAS],$C686,LANÇ_MOV[PLANO DE CONTAS],REL_DRE_FINANCEIRO!$B$651,LANÇ_MOV[ANO PAGAMENTO],$B$4,LANÇ_MOV[MÊS PAGAMENTO CORRESPONDENTE],D$6,LANÇ_MOV[EMPRESA],$C$4,LANÇ_MOV[CENTRO DE CUSTOS],$D$4)</f>
        <v>0</v>
      </c>
      <c r="E686" s="206">
        <f>SUMIFS(LANÇ_MOV[VALOR LÍQUIDO],LANÇ_MOV[RECEITA OU DESPESA],"Despesa",LANÇ_MOV[CONTAS],$C686,LANÇ_MOV[PLANO DE CONTAS],REL_DRE_FINANCEIRO!$B$651,LANÇ_MOV[ANO PAGAMENTO],$B$4,LANÇ_MOV[MÊS PAGAMENTO CORRESPONDENTE],E$6,LANÇ_MOV[EMPRESA],$C$4,LANÇ_MOV[CENTRO DE CUSTOS],$D$4)</f>
        <v>0</v>
      </c>
      <c r="F686" s="206">
        <f>SUMIFS(LANÇ_MOV[VALOR LÍQUIDO],LANÇ_MOV[RECEITA OU DESPESA],"Despesa",LANÇ_MOV[CONTAS],$C686,LANÇ_MOV[PLANO DE CONTAS],REL_DRE_FINANCEIRO!$B$651,LANÇ_MOV[ANO PAGAMENTO],$B$4,LANÇ_MOV[MÊS PAGAMENTO CORRESPONDENTE],F$6,LANÇ_MOV[EMPRESA],$C$4,LANÇ_MOV[CENTRO DE CUSTOS],$D$4)</f>
        <v>0</v>
      </c>
      <c r="G686" s="206">
        <f>SUMIFS(LANÇ_MOV[VALOR LÍQUIDO],LANÇ_MOV[RECEITA OU DESPESA],"Despesa",LANÇ_MOV[CONTAS],$C686,LANÇ_MOV[PLANO DE CONTAS],REL_DRE_FINANCEIRO!$B$651,LANÇ_MOV[ANO PAGAMENTO],$B$4,LANÇ_MOV[MÊS PAGAMENTO CORRESPONDENTE],G$6,LANÇ_MOV[EMPRESA],$C$4,LANÇ_MOV[CENTRO DE CUSTOS],$D$4)</f>
        <v>0</v>
      </c>
      <c r="H686" s="206">
        <f>SUMIFS(LANÇ_MOV[VALOR LÍQUIDO],LANÇ_MOV[RECEITA OU DESPESA],"Despesa",LANÇ_MOV[CONTAS],$C686,LANÇ_MOV[PLANO DE CONTAS],REL_DRE_FINANCEIRO!$B$651,LANÇ_MOV[ANO PAGAMENTO],$B$4,LANÇ_MOV[MÊS PAGAMENTO CORRESPONDENTE],H$6,LANÇ_MOV[EMPRESA],$C$4,LANÇ_MOV[CENTRO DE CUSTOS],$D$4)</f>
        <v>0</v>
      </c>
      <c r="I686" s="206">
        <f>SUMIFS(LANÇ_MOV[VALOR LÍQUIDO],LANÇ_MOV[RECEITA OU DESPESA],"Despesa",LANÇ_MOV[CONTAS],$C686,LANÇ_MOV[PLANO DE CONTAS],REL_DRE_FINANCEIRO!$B$651,LANÇ_MOV[ANO PAGAMENTO],$B$4,LANÇ_MOV[MÊS PAGAMENTO CORRESPONDENTE],I$6,LANÇ_MOV[EMPRESA],$C$4,LANÇ_MOV[CENTRO DE CUSTOS],$D$4)</f>
        <v>0</v>
      </c>
      <c r="J686" s="206">
        <f>SUMIFS(LANÇ_MOV[VALOR LÍQUIDO],LANÇ_MOV[RECEITA OU DESPESA],"Despesa",LANÇ_MOV[CONTAS],$C686,LANÇ_MOV[PLANO DE CONTAS],REL_DRE_FINANCEIRO!$B$651,LANÇ_MOV[ANO PAGAMENTO],$B$4,LANÇ_MOV[MÊS PAGAMENTO CORRESPONDENTE],J$6,LANÇ_MOV[EMPRESA],$C$4,LANÇ_MOV[CENTRO DE CUSTOS],$D$4)</f>
        <v>0</v>
      </c>
      <c r="K686" s="206">
        <f>SUMIFS(LANÇ_MOV[VALOR LÍQUIDO],LANÇ_MOV[RECEITA OU DESPESA],"Despesa",LANÇ_MOV[CONTAS],$C686,LANÇ_MOV[PLANO DE CONTAS],REL_DRE_FINANCEIRO!$B$651,LANÇ_MOV[ANO PAGAMENTO],$B$4,LANÇ_MOV[MÊS PAGAMENTO CORRESPONDENTE],K$6,LANÇ_MOV[EMPRESA],$C$4,LANÇ_MOV[CENTRO DE CUSTOS],$D$4)</f>
        <v>0</v>
      </c>
      <c r="L686" s="206">
        <f>SUMIFS(LANÇ_MOV[VALOR LÍQUIDO],LANÇ_MOV[RECEITA OU DESPESA],"Despesa",LANÇ_MOV[CONTAS],$C686,LANÇ_MOV[PLANO DE CONTAS],REL_DRE_FINANCEIRO!$B$651,LANÇ_MOV[ANO PAGAMENTO],$B$4,LANÇ_MOV[MÊS PAGAMENTO CORRESPONDENTE],L$6,LANÇ_MOV[EMPRESA],$C$4,LANÇ_MOV[CENTRO DE CUSTOS],$D$4)</f>
        <v>0</v>
      </c>
      <c r="M686" s="206">
        <f>SUMIFS(LANÇ_MOV[VALOR LÍQUIDO],LANÇ_MOV[RECEITA OU DESPESA],"Despesa",LANÇ_MOV[CONTAS],$C686,LANÇ_MOV[PLANO DE CONTAS],REL_DRE_FINANCEIRO!$B$651,LANÇ_MOV[ANO PAGAMENTO],$B$4,LANÇ_MOV[MÊS PAGAMENTO CORRESPONDENTE],M$6,LANÇ_MOV[EMPRESA],$C$4,LANÇ_MOV[CENTRO DE CUSTOS],$D$4)</f>
        <v>0</v>
      </c>
      <c r="N686" s="206">
        <f>SUMIFS(LANÇ_MOV[VALOR LÍQUIDO],LANÇ_MOV[RECEITA OU DESPESA],"Despesa",LANÇ_MOV[CONTAS],$C686,LANÇ_MOV[PLANO DE CONTAS],REL_DRE_FINANCEIRO!$B$651,LANÇ_MOV[ANO PAGAMENTO],$B$4,LANÇ_MOV[MÊS PAGAMENTO CORRESPONDENTE],N$6,LANÇ_MOV[EMPRESA],$C$4,LANÇ_MOV[CENTRO DE CUSTOS],$D$4)</f>
        <v>0</v>
      </c>
      <c r="O686" s="206">
        <f>SUMIFS(LANÇ_MOV[VALOR LÍQUIDO],LANÇ_MOV[RECEITA OU DESPESA],"Despesa",LANÇ_MOV[CONTAS],$C686,LANÇ_MOV[PLANO DE CONTAS],REL_DRE_FINANCEIRO!$B$651,LANÇ_MOV[ANO PAGAMENTO],$B$4,LANÇ_MOV[MÊS PAGAMENTO CORRESPONDENTE],O$6,LANÇ_MOV[EMPRESA],$C$4,LANÇ_MOV[CENTRO DE CUSTOS],$D$4)</f>
        <v>0</v>
      </c>
      <c r="P686" s="207">
        <f t="shared" si="88"/>
        <v>0</v>
      </c>
      <c r="Q686" s="329">
        <v>6.6000000000000003E-6</v>
      </c>
      <c r="R686" s="346">
        <f t="shared" si="89"/>
        <v>6.6000000000000003E-6</v>
      </c>
      <c r="S686" s="347" t="str">
        <f t="shared" si="90"/>
        <v>-</v>
      </c>
      <c r="T686" s="347">
        <f t="shared" si="91"/>
        <v>0</v>
      </c>
      <c r="U686" s="347">
        <f>HLOOKUP(Apoio!$P$12,$D$650:$P$751,X686,FALSE)+Q686</f>
        <v>6.6000000000000003E-6</v>
      </c>
      <c r="V686" s="447" t="str">
        <f t="shared" si="92"/>
        <v>-</v>
      </c>
      <c r="W686" s="448">
        <f>HLOOKUP(Apoio!$P$12,$D$650:$P$751,X686,FALSE)</f>
        <v>0</v>
      </c>
      <c r="X686" s="329">
        <v>37</v>
      </c>
    </row>
    <row r="687" spans="2:24" ht="30.05" customHeight="1" x14ac:dyDescent="0.35">
      <c r="B687" s="204" t="str">
        <f>'CAD_PL_REC-DESP'!W40</f>
        <v>2.5.36</v>
      </c>
      <c r="C687" s="205" t="str">
        <f>IF('CAD_PL_REC-DESP'!X40="","-",'CAD_PL_REC-DESP'!X40)</f>
        <v>-</v>
      </c>
      <c r="D687" s="206">
        <f>SUMIFS(LANÇ_MOV[VALOR LÍQUIDO],LANÇ_MOV[RECEITA OU DESPESA],"Despesa",LANÇ_MOV[CONTAS],$C687,LANÇ_MOV[PLANO DE CONTAS],REL_DRE_FINANCEIRO!$B$651,LANÇ_MOV[ANO PAGAMENTO],$B$4,LANÇ_MOV[MÊS PAGAMENTO CORRESPONDENTE],D$6,LANÇ_MOV[EMPRESA],$C$4,LANÇ_MOV[CENTRO DE CUSTOS],$D$4)</f>
        <v>0</v>
      </c>
      <c r="E687" s="206">
        <f>SUMIFS(LANÇ_MOV[VALOR LÍQUIDO],LANÇ_MOV[RECEITA OU DESPESA],"Despesa",LANÇ_MOV[CONTAS],$C687,LANÇ_MOV[PLANO DE CONTAS],REL_DRE_FINANCEIRO!$B$651,LANÇ_MOV[ANO PAGAMENTO],$B$4,LANÇ_MOV[MÊS PAGAMENTO CORRESPONDENTE],E$6,LANÇ_MOV[EMPRESA],$C$4,LANÇ_MOV[CENTRO DE CUSTOS],$D$4)</f>
        <v>0</v>
      </c>
      <c r="F687" s="206">
        <f>SUMIFS(LANÇ_MOV[VALOR LÍQUIDO],LANÇ_MOV[RECEITA OU DESPESA],"Despesa",LANÇ_MOV[CONTAS],$C687,LANÇ_MOV[PLANO DE CONTAS],REL_DRE_FINANCEIRO!$B$651,LANÇ_MOV[ANO PAGAMENTO],$B$4,LANÇ_MOV[MÊS PAGAMENTO CORRESPONDENTE],F$6,LANÇ_MOV[EMPRESA],$C$4,LANÇ_MOV[CENTRO DE CUSTOS],$D$4)</f>
        <v>0</v>
      </c>
      <c r="G687" s="206">
        <f>SUMIFS(LANÇ_MOV[VALOR LÍQUIDO],LANÇ_MOV[RECEITA OU DESPESA],"Despesa",LANÇ_MOV[CONTAS],$C687,LANÇ_MOV[PLANO DE CONTAS],REL_DRE_FINANCEIRO!$B$651,LANÇ_MOV[ANO PAGAMENTO],$B$4,LANÇ_MOV[MÊS PAGAMENTO CORRESPONDENTE],G$6,LANÇ_MOV[EMPRESA],$C$4,LANÇ_MOV[CENTRO DE CUSTOS],$D$4)</f>
        <v>0</v>
      </c>
      <c r="H687" s="206">
        <f>SUMIFS(LANÇ_MOV[VALOR LÍQUIDO],LANÇ_MOV[RECEITA OU DESPESA],"Despesa",LANÇ_MOV[CONTAS],$C687,LANÇ_MOV[PLANO DE CONTAS],REL_DRE_FINANCEIRO!$B$651,LANÇ_MOV[ANO PAGAMENTO],$B$4,LANÇ_MOV[MÊS PAGAMENTO CORRESPONDENTE],H$6,LANÇ_MOV[EMPRESA],$C$4,LANÇ_MOV[CENTRO DE CUSTOS],$D$4)</f>
        <v>0</v>
      </c>
      <c r="I687" s="206">
        <f>SUMIFS(LANÇ_MOV[VALOR LÍQUIDO],LANÇ_MOV[RECEITA OU DESPESA],"Despesa",LANÇ_MOV[CONTAS],$C687,LANÇ_MOV[PLANO DE CONTAS],REL_DRE_FINANCEIRO!$B$651,LANÇ_MOV[ANO PAGAMENTO],$B$4,LANÇ_MOV[MÊS PAGAMENTO CORRESPONDENTE],I$6,LANÇ_MOV[EMPRESA],$C$4,LANÇ_MOV[CENTRO DE CUSTOS],$D$4)</f>
        <v>0</v>
      </c>
      <c r="J687" s="206">
        <f>SUMIFS(LANÇ_MOV[VALOR LÍQUIDO],LANÇ_MOV[RECEITA OU DESPESA],"Despesa",LANÇ_MOV[CONTAS],$C687,LANÇ_MOV[PLANO DE CONTAS],REL_DRE_FINANCEIRO!$B$651,LANÇ_MOV[ANO PAGAMENTO],$B$4,LANÇ_MOV[MÊS PAGAMENTO CORRESPONDENTE],J$6,LANÇ_MOV[EMPRESA],$C$4,LANÇ_MOV[CENTRO DE CUSTOS],$D$4)</f>
        <v>0</v>
      </c>
      <c r="K687" s="206">
        <f>SUMIFS(LANÇ_MOV[VALOR LÍQUIDO],LANÇ_MOV[RECEITA OU DESPESA],"Despesa",LANÇ_MOV[CONTAS],$C687,LANÇ_MOV[PLANO DE CONTAS],REL_DRE_FINANCEIRO!$B$651,LANÇ_MOV[ANO PAGAMENTO],$B$4,LANÇ_MOV[MÊS PAGAMENTO CORRESPONDENTE],K$6,LANÇ_MOV[EMPRESA],$C$4,LANÇ_MOV[CENTRO DE CUSTOS],$D$4)</f>
        <v>0</v>
      </c>
      <c r="L687" s="206">
        <f>SUMIFS(LANÇ_MOV[VALOR LÍQUIDO],LANÇ_MOV[RECEITA OU DESPESA],"Despesa",LANÇ_MOV[CONTAS],$C687,LANÇ_MOV[PLANO DE CONTAS],REL_DRE_FINANCEIRO!$B$651,LANÇ_MOV[ANO PAGAMENTO],$B$4,LANÇ_MOV[MÊS PAGAMENTO CORRESPONDENTE],L$6,LANÇ_MOV[EMPRESA],$C$4,LANÇ_MOV[CENTRO DE CUSTOS],$D$4)</f>
        <v>0</v>
      </c>
      <c r="M687" s="206">
        <f>SUMIFS(LANÇ_MOV[VALOR LÍQUIDO],LANÇ_MOV[RECEITA OU DESPESA],"Despesa",LANÇ_MOV[CONTAS],$C687,LANÇ_MOV[PLANO DE CONTAS],REL_DRE_FINANCEIRO!$B$651,LANÇ_MOV[ANO PAGAMENTO],$B$4,LANÇ_MOV[MÊS PAGAMENTO CORRESPONDENTE],M$6,LANÇ_MOV[EMPRESA],$C$4,LANÇ_MOV[CENTRO DE CUSTOS],$D$4)</f>
        <v>0</v>
      </c>
      <c r="N687" s="206">
        <f>SUMIFS(LANÇ_MOV[VALOR LÍQUIDO],LANÇ_MOV[RECEITA OU DESPESA],"Despesa",LANÇ_MOV[CONTAS],$C687,LANÇ_MOV[PLANO DE CONTAS],REL_DRE_FINANCEIRO!$B$651,LANÇ_MOV[ANO PAGAMENTO],$B$4,LANÇ_MOV[MÊS PAGAMENTO CORRESPONDENTE],N$6,LANÇ_MOV[EMPRESA],$C$4,LANÇ_MOV[CENTRO DE CUSTOS],$D$4)</f>
        <v>0</v>
      </c>
      <c r="O687" s="206">
        <f>SUMIFS(LANÇ_MOV[VALOR LÍQUIDO],LANÇ_MOV[RECEITA OU DESPESA],"Despesa",LANÇ_MOV[CONTAS],$C687,LANÇ_MOV[PLANO DE CONTAS],REL_DRE_FINANCEIRO!$B$651,LANÇ_MOV[ANO PAGAMENTO],$B$4,LANÇ_MOV[MÊS PAGAMENTO CORRESPONDENTE],O$6,LANÇ_MOV[EMPRESA],$C$4,LANÇ_MOV[CENTRO DE CUSTOS],$D$4)</f>
        <v>0</v>
      </c>
      <c r="P687" s="207">
        <f t="shared" si="88"/>
        <v>0</v>
      </c>
      <c r="Q687" s="329">
        <v>6.4999999999999996E-6</v>
      </c>
      <c r="R687" s="346">
        <f t="shared" si="89"/>
        <v>6.4999999999999996E-6</v>
      </c>
      <c r="S687" s="347" t="str">
        <f t="shared" si="90"/>
        <v>-</v>
      </c>
      <c r="T687" s="347">
        <f t="shared" si="91"/>
        <v>0</v>
      </c>
      <c r="U687" s="347">
        <f>HLOOKUP(Apoio!$P$12,$D$650:$P$751,X687,FALSE)+Q687</f>
        <v>6.4999999999999996E-6</v>
      </c>
      <c r="V687" s="447" t="str">
        <f t="shared" si="92"/>
        <v>-</v>
      </c>
      <c r="W687" s="448">
        <f>HLOOKUP(Apoio!$P$12,$D$650:$P$751,X687,FALSE)</f>
        <v>0</v>
      </c>
      <c r="X687" s="329">
        <v>38</v>
      </c>
    </row>
    <row r="688" spans="2:24" ht="30.05" customHeight="1" x14ac:dyDescent="0.35">
      <c r="B688" s="204" t="str">
        <f>'CAD_PL_REC-DESP'!W41</f>
        <v>2.5.37</v>
      </c>
      <c r="C688" s="205" t="str">
        <f>IF('CAD_PL_REC-DESP'!X41="","-",'CAD_PL_REC-DESP'!X41)</f>
        <v>-</v>
      </c>
      <c r="D688" s="206">
        <f>SUMIFS(LANÇ_MOV[VALOR LÍQUIDO],LANÇ_MOV[RECEITA OU DESPESA],"Despesa",LANÇ_MOV[CONTAS],$C688,LANÇ_MOV[PLANO DE CONTAS],REL_DRE_FINANCEIRO!$B$651,LANÇ_MOV[ANO PAGAMENTO],$B$4,LANÇ_MOV[MÊS PAGAMENTO CORRESPONDENTE],D$6,LANÇ_MOV[EMPRESA],$C$4,LANÇ_MOV[CENTRO DE CUSTOS],$D$4)</f>
        <v>0</v>
      </c>
      <c r="E688" s="206">
        <f>SUMIFS(LANÇ_MOV[VALOR LÍQUIDO],LANÇ_MOV[RECEITA OU DESPESA],"Despesa",LANÇ_MOV[CONTAS],$C688,LANÇ_MOV[PLANO DE CONTAS],REL_DRE_FINANCEIRO!$B$651,LANÇ_MOV[ANO PAGAMENTO],$B$4,LANÇ_MOV[MÊS PAGAMENTO CORRESPONDENTE],E$6,LANÇ_MOV[EMPRESA],$C$4,LANÇ_MOV[CENTRO DE CUSTOS],$D$4)</f>
        <v>0</v>
      </c>
      <c r="F688" s="206">
        <f>SUMIFS(LANÇ_MOV[VALOR LÍQUIDO],LANÇ_MOV[RECEITA OU DESPESA],"Despesa",LANÇ_MOV[CONTAS],$C688,LANÇ_MOV[PLANO DE CONTAS],REL_DRE_FINANCEIRO!$B$651,LANÇ_MOV[ANO PAGAMENTO],$B$4,LANÇ_MOV[MÊS PAGAMENTO CORRESPONDENTE],F$6,LANÇ_MOV[EMPRESA],$C$4,LANÇ_MOV[CENTRO DE CUSTOS],$D$4)</f>
        <v>0</v>
      </c>
      <c r="G688" s="206">
        <f>SUMIFS(LANÇ_MOV[VALOR LÍQUIDO],LANÇ_MOV[RECEITA OU DESPESA],"Despesa",LANÇ_MOV[CONTAS],$C688,LANÇ_MOV[PLANO DE CONTAS],REL_DRE_FINANCEIRO!$B$651,LANÇ_MOV[ANO PAGAMENTO],$B$4,LANÇ_MOV[MÊS PAGAMENTO CORRESPONDENTE],G$6,LANÇ_MOV[EMPRESA],$C$4,LANÇ_MOV[CENTRO DE CUSTOS],$D$4)</f>
        <v>0</v>
      </c>
      <c r="H688" s="206">
        <f>SUMIFS(LANÇ_MOV[VALOR LÍQUIDO],LANÇ_MOV[RECEITA OU DESPESA],"Despesa",LANÇ_MOV[CONTAS],$C688,LANÇ_MOV[PLANO DE CONTAS],REL_DRE_FINANCEIRO!$B$651,LANÇ_MOV[ANO PAGAMENTO],$B$4,LANÇ_MOV[MÊS PAGAMENTO CORRESPONDENTE],H$6,LANÇ_MOV[EMPRESA],$C$4,LANÇ_MOV[CENTRO DE CUSTOS],$D$4)</f>
        <v>0</v>
      </c>
      <c r="I688" s="206">
        <f>SUMIFS(LANÇ_MOV[VALOR LÍQUIDO],LANÇ_MOV[RECEITA OU DESPESA],"Despesa",LANÇ_MOV[CONTAS],$C688,LANÇ_MOV[PLANO DE CONTAS],REL_DRE_FINANCEIRO!$B$651,LANÇ_MOV[ANO PAGAMENTO],$B$4,LANÇ_MOV[MÊS PAGAMENTO CORRESPONDENTE],I$6,LANÇ_MOV[EMPRESA],$C$4,LANÇ_MOV[CENTRO DE CUSTOS],$D$4)</f>
        <v>0</v>
      </c>
      <c r="J688" s="206">
        <f>SUMIFS(LANÇ_MOV[VALOR LÍQUIDO],LANÇ_MOV[RECEITA OU DESPESA],"Despesa",LANÇ_MOV[CONTAS],$C688,LANÇ_MOV[PLANO DE CONTAS],REL_DRE_FINANCEIRO!$B$651,LANÇ_MOV[ANO PAGAMENTO],$B$4,LANÇ_MOV[MÊS PAGAMENTO CORRESPONDENTE],J$6,LANÇ_MOV[EMPRESA],$C$4,LANÇ_MOV[CENTRO DE CUSTOS],$D$4)</f>
        <v>0</v>
      </c>
      <c r="K688" s="206">
        <f>SUMIFS(LANÇ_MOV[VALOR LÍQUIDO],LANÇ_MOV[RECEITA OU DESPESA],"Despesa",LANÇ_MOV[CONTAS],$C688,LANÇ_MOV[PLANO DE CONTAS],REL_DRE_FINANCEIRO!$B$651,LANÇ_MOV[ANO PAGAMENTO],$B$4,LANÇ_MOV[MÊS PAGAMENTO CORRESPONDENTE],K$6,LANÇ_MOV[EMPRESA],$C$4,LANÇ_MOV[CENTRO DE CUSTOS],$D$4)</f>
        <v>0</v>
      </c>
      <c r="L688" s="206">
        <f>SUMIFS(LANÇ_MOV[VALOR LÍQUIDO],LANÇ_MOV[RECEITA OU DESPESA],"Despesa",LANÇ_MOV[CONTAS],$C688,LANÇ_MOV[PLANO DE CONTAS],REL_DRE_FINANCEIRO!$B$651,LANÇ_MOV[ANO PAGAMENTO],$B$4,LANÇ_MOV[MÊS PAGAMENTO CORRESPONDENTE],L$6,LANÇ_MOV[EMPRESA],$C$4,LANÇ_MOV[CENTRO DE CUSTOS],$D$4)</f>
        <v>0</v>
      </c>
      <c r="M688" s="206">
        <f>SUMIFS(LANÇ_MOV[VALOR LÍQUIDO],LANÇ_MOV[RECEITA OU DESPESA],"Despesa",LANÇ_MOV[CONTAS],$C688,LANÇ_MOV[PLANO DE CONTAS],REL_DRE_FINANCEIRO!$B$651,LANÇ_MOV[ANO PAGAMENTO],$B$4,LANÇ_MOV[MÊS PAGAMENTO CORRESPONDENTE],M$6,LANÇ_MOV[EMPRESA],$C$4,LANÇ_MOV[CENTRO DE CUSTOS],$D$4)</f>
        <v>0</v>
      </c>
      <c r="N688" s="206">
        <f>SUMIFS(LANÇ_MOV[VALOR LÍQUIDO],LANÇ_MOV[RECEITA OU DESPESA],"Despesa",LANÇ_MOV[CONTAS],$C688,LANÇ_MOV[PLANO DE CONTAS],REL_DRE_FINANCEIRO!$B$651,LANÇ_MOV[ANO PAGAMENTO],$B$4,LANÇ_MOV[MÊS PAGAMENTO CORRESPONDENTE],N$6,LANÇ_MOV[EMPRESA],$C$4,LANÇ_MOV[CENTRO DE CUSTOS],$D$4)</f>
        <v>0</v>
      </c>
      <c r="O688" s="206">
        <f>SUMIFS(LANÇ_MOV[VALOR LÍQUIDO],LANÇ_MOV[RECEITA OU DESPESA],"Despesa",LANÇ_MOV[CONTAS],$C688,LANÇ_MOV[PLANO DE CONTAS],REL_DRE_FINANCEIRO!$B$651,LANÇ_MOV[ANO PAGAMENTO],$B$4,LANÇ_MOV[MÊS PAGAMENTO CORRESPONDENTE],O$6,LANÇ_MOV[EMPRESA],$C$4,LANÇ_MOV[CENTRO DE CUSTOS],$D$4)</f>
        <v>0</v>
      </c>
      <c r="P688" s="207">
        <f t="shared" si="88"/>
        <v>0</v>
      </c>
      <c r="Q688" s="329">
        <v>6.3999999999999997E-6</v>
      </c>
      <c r="R688" s="346">
        <f t="shared" si="89"/>
        <v>6.3999999999999997E-6</v>
      </c>
      <c r="S688" s="347" t="str">
        <f t="shared" si="90"/>
        <v>-</v>
      </c>
      <c r="T688" s="347">
        <f t="shared" si="91"/>
        <v>0</v>
      </c>
      <c r="U688" s="347">
        <f>HLOOKUP(Apoio!$P$12,$D$650:$P$751,X688,FALSE)+Q688</f>
        <v>6.3999999999999997E-6</v>
      </c>
      <c r="V688" s="447" t="str">
        <f t="shared" si="92"/>
        <v>-</v>
      </c>
      <c r="W688" s="448">
        <f>HLOOKUP(Apoio!$P$12,$D$650:$P$751,X688,FALSE)</f>
        <v>0</v>
      </c>
      <c r="X688" s="329">
        <v>39</v>
      </c>
    </row>
    <row r="689" spans="2:24" ht="30.05" customHeight="1" x14ac:dyDescent="0.35">
      <c r="B689" s="204" t="str">
        <f>'CAD_PL_REC-DESP'!W42</f>
        <v>2.5.38</v>
      </c>
      <c r="C689" s="205" t="str">
        <f>IF('CAD_PL_REC-DESP'!X42="","-",'CAD_PL_REC-DESP'!X42)</f>
        <v>-</v>
      </c>
      <c r="D689" s="206">
        <f>SUMIFS(LANÇ_MOV[VALOR LÍQUIDO],LANÇ_MOV[RECEITA OU DESPESA],"Despesa",LANÇ_MOV[CONTAS],$C689,LANÇ_MOV[PLANO DE CONTAS],REL_DRE_FINANCEIRO!$B$651,LANÇ_MOV[ANO PAGAMENTO],$B$4,LANÇ_MOV[MÊS PAGAMENTO CORRESPONDENTE],D$6,LANÇ_MOV[EMPRESA],$C$4,LANÇ_MOV[CENTRO DE CUSTOS],$D$4)</f>
        <v>0</v>
      </c>
      <c r="E689" s="206">
        <f>SUMIFS(LANÇ_MOV[VALOR LÍQUIDO],LANÇ_MOV[RECEITA OU DESPESA],"Despesa",LANÇ_MOV[CONTAS],$C689,LANÇ_MOV[PLANO DE CONTAS],REL_DRE_FINANCEIRO!$B$651,LANÇ_MOV[ANO PAGAMENTO],$B$4,LANÇ_MOV[MÊS PAGAMENTO CORRESPONDENTE],E$6,LANÇ_MOV[EMPRESA],$C$4,LANÇ_MOV[CENTRO DE CUSTOS],$D$4)</f>
        <v>0</v>
      </c>
      <c r="F689" s="206">
        <f>SUMIFS(LANÇ_MOV[VALOR LÍQUIDO],LANÇ_MOV[RECEITA OU DESPESA],"Despesa",LANÇ_MOV[CONTAS],$C689,LANÇ_MOV[PLANO DE CONTAS],REL_DRE_FINANCEIRO!$B$651,LANÇ_MOV[ANO PAGAMENTO],$B$4,LANÇ_MOV[MÊS PAGAMENTO CORRESPONDENTE],F$6,LANÇ_MOV[EMPRESA],$C$4,LANÇ_MOV[CENTRO DE CUSTOS],$D$4)</f>
        <v>0</v>
      </c>
      <c r="G689" s="206">
        <f>SUMIFS(LANÇ_MOV[VALOR LÍQUIDO],LANÇ_MOV[RECEITA OU DESPESA],"Despesa",LANÇ_MOV[CONTAS],$C689,LANÇ_MOV[PLANO DE CONTAS],REL_DRE_FINANCEIRO!$B$651,LANÇ_MOV[ANO PAGAMENTO],$B$4,LANÇ_MOV[MÊS PAGAMENTO CORRESPONDENTE],G$6,LANÇ_MOV[EMPRESA],$C$4,LANÇ_MOV[CENTRO DE CUSTOS],$D$4)</f>
        <v>0</v>
      </c>
      <c r="H689" s="206">
        <f>SUMIFS(LANÇ_MOV[VALOR LÍQUIDO],LANÇ_MOV[RECEITA OU DESPESA],"Despesa",LANÇ_MOV[CONTAS],$C689,LANÇ_MOV[PLANO DE CONTAS],REL_DRE_FINANCEIRO!$B$651,LANÇ_MOV[ANO PAGAMENTO],$B$4,LANÇ_MOV[MÊS PAGAMENTO CORRESPONDENTE],H$6,LANÇ_MOV[EMPRESA],$C$4,LANÇ_MOV[CENTRO DE CUSTOS],$D$4)</f>
        <v>0</v>
      </c>
      <c r="I689" s="206">
        <f>SUMIFS(LANÇ_MOV[VALOR LÍQUIDO],LANÇ_MOV[RECEITA OU DESPESA],"Despesa",LANÇ_MOV[CONTAS],$C689,LANÇ_MOV[PLANO DE CONTAS],REL_DRE_FINANCEIRO!$B$651,LANÇ_MOV[ANO PAGAMENTO],$B$4,LANÇ_MOV[MÊS PAGAMENTO CORRESPONDENTE],I$6,LANÇ_MOV[EMPRESA],$C$4,LANÇ_MOV[CENTRO DE CUSTOS],$D$4)</f>
        <v>0</v>
      </c>
      <c r="J689" s="206">
        <f>SUMIFS(LANÇ_MOV[VALOR LÍQUIDO],LANÇ_MOV[RECEITA OU DESPESA],"Despesa",LANÇ_MOV[CONTAS],$C689,LANÇ_MOV[PLANO DE CONTAS],REL_DRE_FINANCEIRO!$B$651,LANÇ_MOV[ANO PAGAMENTO],$B$4,LANÇ_MOV[MÊS PAGAMENTO CORRESPONDENTE],J$6,LANÇ_MOV[EMPRESA],$C$4,LANÇ_MOV[CENTRO DE CUSTOS],$D$4)</f>
        <v>0</v>
      </c>
      <c r="K689" s="206">
        <f>SUMIFS(LANÇ_MOV[VALOR LÍQUIDO],LANÇ_MOV[RECEITA OU DESPESA],"Despesa",LANÇ_MOV[CONTAS],$C689,LANÇ_MOV[PLANO DE CONTAS],REL_DRE_FINANCEIRO!$B$651,LANÇ_MOV[ANO PAGAMENTO],$B$4,LANÇ_MOV[MÊS PAGAMENTO CORRESPONDENTE],K$6,LANÇ_MOV[EMPRESA],$C$4,LANÇ_MOV[CENTRO DE CUSTOS],$D$4)</f>
        <v>0</v>
      </c>
      <c r="L689" s="206">
        <f>SUMIFS(LANÇ_MOV[VALOR LÍQUIDO],LANÇ_MOV[RECEITA OU DESPESA],"Despesa",LANÇ_MOV[CONTAS],$C689,LANÇ_MOV[PLANO DE CONTAS],REL_DRE_FINANCEIRO!$B$651,LANÇ_MOV[ANO PAGAMENTO],$B$4,LANÇ_MOV[MÊS PAGAMENTO CORRESPONDENTE],L$6,LANÇ_MOV[EMPRESA],$C$4,LANÇ_MOV[CENTRO DE CUSTOS],$D$4)</f>
        <v>0</v>
      </c>
      <c r="M689" s="206">
        <f>SUMIFS(LANÇ_MOV[VALOR LÍQUIDO],LANÇ_MOV[RECEITA OU DESPESA],"Despesa",LANÇ_MOV[CONTAS],$C689,LANÇ_MOV[PLANO DE CONTAS],REL_DRE_FINANCEIRO!$B$651,LANÇ_MOV[ANO PAGAMENTO],$B$4,LANÇ_MOV[MÊS PAGAMENTO CORRESPONDENTE],M$6,LANÇ_MOV[EMPRESA],$C$4,LANÇ_MOV[CENTRO DE CUSTOS],$D$4)</f>
        <v>0</v>
      </c>
      <c r="N689" s="206">
        <f>SUMIFS(LANÇ_MOV[VALOR LÍQUIDO],LANÇ_MOV[RECEITA OU DESPESA],"Despesa",LANÇ_MOV[CONTAS],$C689,LANÇ_MOV[PLANO DE CONTAS],REL_DRE_FINANCEIRO!$B$651,LANÇ_MOV[ANO PAGAMENTO],$B$4,LANÇ_MOV[MÊS PAGAMENTO CORRESPONDENTE],N$6,LANÇ_MOV[EMPRESA],$C$4,LANÇ_MOV[CENTRO DE CUSTOS],$D$4)</f>
        <v>0</v>
      </c>
      <c r="O689" s="206">
        <f>SUMIFS(LANÇ_MOV[VALOR LÍQUIDO],LANÇ_MOV[RECEITA OU DESPESA],"Despesa",LANÇ_MOV[CONTAS],$C689,LANÇ_MOV[PLANO DE CONTAS],REL_DRE_FINANCEIRO!$B$651,LANÇ_MOV[ANO PAGAMENTO],$B$4,LANÇ_MOV[MÊS PAGAMENTO CORRESPONDENTE],O$6,LANÇ_MOV[EMPRESA],$C$4,LANÇ_MOV[CENTRO DE CUSTOS],$D$4)</f>
        <v>0</v>
      </c>
      <c r="P689" s="207">
        <f t="shared" si="88"/>
        <v>0</v>
      </c>
      <c r="Q689" s="329">
        <v>6.2999999999999998E-6</v>
      </c>
      <c r="R689" s="346">
        <f t="shared" si="89"/>
        <v>6.2999999999999998E-6</v>
      </c>
      <c r="S689" s="347" t="str">
        <f t="shared" si="90"/>
        <v>-</v>
      </c>
      <c r="T689" s="347">
        <f t="shared" si="91"/>
        <v>0</v>
      </c>
      <c r="U689" s="347">
        <f>HLOOKUP(Apoio!$P$12,$D$650:$P$751,X689,FALSE)+Q689</f>
        <v>6.2999999999999998E-6</v>
      </c>
      <c r="V689" s="447" t="str">
        <f t="shared" si="92"/>
        <v>-</v>
      </c>
      <c r="W689" s="448">
        <f>HLOOKUP(Apoio!$P$12,$D$650:$P$751,X689,FALSE)</f>
        <v>0</v>
      </c>
      <c r="X689" s="329">
        <v>40</v>
      </c>
    </row>
    <row r="690" spans="2:24" ht="30.05" customHeight="1" x14ac:dyDescent="0.35">
      <c r="B690" s="204" t="str">
        <f>'CAD_PL_REC-DESP'!W43</f>
        <v>2.5.39</v>
      </c>
      <c r="C690" s="205" t="str">
        <f>IF('CAD_PL_REC-DESP'!X43="","-",'CAD_PL_REC-DESP'!X43)</f>
        <v>-</v>
      </c>
      <c r="D690" s="206">
        <f>SUMIFS(LANÇ_MOV[VALOR LÍQUIDO],LANÇ_MOV[RECEITA OU DESPESA],"Despesa",LANÇ_MOV[CONTAS],$C690,LANÇ_MOV[PLANO DE CONTAS],REL_DRE_FINANCEIRO!$B$651,LANÇ_MOV[ANO PAGAMENTO],$B$4,LANÇ_MOV[MÊS PAGAMENTO CORRESPONDENTE],D$6,LANÇ_MOV[EMPRESA],$C$4,LANÇ_MOV[CENTRO DE CUSTOS],$D$4)</f>
        <v>0</v>
      </c>
      <c r="E690" s="206">
        <f>SUMIFS(LANÇ_MOV[VALOR LÍQUIDO],LANÇ_MOV[RECEITA OU DESPESA],"Despesa",LANÇ_MOV[CONTAS],$C690,LANÇ_MOV[PLANO DE CONTAS],REL_DRE_FINANCEIRO!$B$651,LANÇ_MOV[ANO PAGAMENTO],$B$4,LANÇ_MOV[MÊS PAGAMENTO CORRESPONDENTE],E$6,LANÇ_MOV[EMPRESA],$C$4,LANÇ_MOV[CENTRO DE CUSTOS],$D$4)</f>
        <v>0</v>
      </c>
      <c r="F690" s="206">
        <f>SUMIFS(LANÇ_MOV[VALOR LÍQUIDO],LANÇ_MOV[RECEITA OU DESPESA],"Despesa",LANÇ_MOV[CONTAS],$C690,LANÇ_MOV[PLANO DE CONTAS],REL_DRE_FINANCEIRO!$B$651,LANÇ_MOV[ANO PAGAMENTO],$B$4,LANÇ_MOV[MÊS PAGAMENTO CORRESPONDENTE],F$6,LANÇ_MOV[EMPRESA],$C$4,LANÇ_MOV[CENTRO DE CUSTOS],$D$4)</f>
        <v>0</v>
      </c>
      <c r="G690" s="206">
        <f>SUMIFS(LANÇ_MOV[VALOR LÍQUIDO],LANÇ_MOV[RECEITA OU DESPESA],"Despesa",LANÇ_MOV[CONTAS],$C690,LANÇ_MOV[PLANO DE CONTAS],REL_DRE_FINANCEIRO!$B$651,LANÇ_MOV[ANO PAGAMENTO],$B$4,LANÇ_MOV[MÊS PAGAMENTO CORRESPONDENTE],G$6,LANÇ_MOV[EMPRESA],$C$4,LANÇ_MOV[CENTRO DE CUSTOS],$D$4)</f>
        <v>0</v>
      </c>
      <c r="H690" s="206">
        <f>SUMIFS(LANÇ_MOV[VALOR LÍQUIDO],LANÇ_MOV[RECEITA OU DESPESA],"Despesa",LANÇ_MOV[CONTAS],$C690,LANÇ_MOV[PLANO DE CONTAS],REL_DRE_FINANCEIRO!$B$651,LANÇ_MOV[ANO PAGAMENTO],$B$4,LANÇ_MOV[MÊS PAGAMENTO CORRESPONDENTE],H$6,LANÇ_MOV[EMPRESA],$C$4,LANÇ_MOV[CENTRO DE CUSTOS],$D$4)</f>
        <v>0</v>
      </c>
      <c r="I690" s="206">
        <f>SUMIFS(LANÇ_MOV[VALOR LÍQUIDO],LANÇ_MOV[RECEITA OU DESPESA],"Despesa",LANÇ_MOV[CONTAS],$C690,LANÇ_MOV[PLANO DE CONTAS],REL_DRE_FINANCEIRO!$B$651,LANÇ_MOV[ANO PAGAMENTO],$B$4,LANÇ_MOV[MÊS PAGAMENTO CORRESPONDENTE],I$6,LANÇ_MOV[EMPRESA],$C$4,LANÇ_MOV[CENTRO DE CUSTOS],$D$4)</f>
        <v>0</v>
      </c>
      <c r="J690" s="206">
        <f>SUMIFS(LANÇ_MOV[VALOR LÍQUIDO],LANÇ_MOV[RECEITA OU DESPESA],"Despesa",LANÇ_MOV[CONTAS],$C690,LANÇ_MOV[PLANO DE CONTAS],REL_DRE_FINANCEIRO!$B$651,LANÇ_MOV[ANO PAGAMENTO],$B$4,LANÇ_MOV[MÊS PAGAMENTO CORRESPONDENTE],J$6,LANÇ_MOV[EMPRESA],$C$4,LANÇ_MOV[CENTRO DE CUSTOS],$D$4)</f>
        <v>0</v>
      </c>
      <c r="K690" s="206">
        <f>SUMIFS(LANÇ_MOV[VALOR LÍQUIDO],LANÇ_MOV[RECEITA OU DESPESA],"Despesa",LANÇ_MOV[CONTAS],$C690,LANÇ_MOV[PLANO DE CONTAS],REL_DRE_FINANCEIRO!$B$651,LANÇ_MOV[ANO PAGAMENTO],$B$4,LANÇ_MOV[MÊS PAGAMENTO CORRESPONDENTE],K$6,LANÇ_MOV[EMPRESA],$C$4,LANÇ_MOV[CENTRO DE CUSTOS],$D$4)</f>
        <v>0</v>
      </c>
      <c r="L690" s="206">
        <f>SUMIFS(LANÇ_MOV[VALOR LÍQUIDO],LANÇ_MOV[RECEITA OU DESPESA],"Despesa",LANÇ_MOV[CONTAS],$C690,LANÇ_MOV[PLANO DE CONTAS],REL_DRE_FINANCEIRO!$B$651,LANÇ_MOV[ANO PAGAMENTO],$B$4,LANÇ_MOV[MÊS PAGAMENTO CORRESPONDENTE],L$6,LANÇ_MOV[EMPRESA],$C$4,LANÇ_MOV[CENTRO DE CUSTOS],$D$4)</f>
        <v>0</v>
      </c>
      <c r="M690" s="206">
        <f>SUMIFS(LANÇ_MOV[VALOR LÍQUIDO],LANÇ_MOV[RECEITA OU DESPESA],"Despesa",LANÇ_MOV[CONTAS],$C690,LANÇ_MOV[PLANO DE CONTAS],REL_DRE_FINANCEIRO!$B$651,LANÇ_MOV[ANO PAGAMENTO],$B$4,LANÇ_MOV[MÊS PAGAMENTO CORRESPONDENTE],M$6,LANÇ_MOV[EMPRESA],$C$4,LANÇ_MOV[CENTRO DE CUSTOS],$D$4)</f>
        <v>0</v>
      </c>
      <c r="N690" s="206">
        <f>SUMIFS(LANÇ_MOV[VALOR LÍQUIDO],LANÇ_MOV[RECEITA OU DESPESA],"Despesa",LANÇ_MOV[CONTAS],$C690,LANÇ_MOV[PLANO DE CONTAS],REL_DRE_FINANCEIRO!$B$651,LANÇ_MOV[ANO PAGAMENTO],$B$4,LANÇ_MOV[MÊS PAGAMENTO CORRESPONDENTE],N$6,LANÇ_MOV[EMPRESA],$C$4,LANÇ_MOV[CENTRO DE CUSTOS],$D$4)</f>
        <v>0</v>
      </c>
      <c r="O690" s="206">
        <f>SUMIFS(LANÇ_MOV[VALOR LÍQUIDO],LANÇ_MOV[RECEITA OU DESPESA],"Despesa",LANÇ_MOV[CONTAS],$C690,LANÇ_MOV[PLANO DE CONTAS],REL_DRE_FINANCEIRO!$B$651,LANÇ_MOV[ANO PAGAMENTO],$B$4,LANÇ_MOV[MÊS PAGAMENTO CORRESPONDENTE],O$6,LANÇ_MOV[EMPRESA],$C$4,LANÇ_MOV[CENTRO DE CUSTOS],$D$4)</f>
        <v>0</v>
      </c>
      <c r="P690" s="207">
        <f t="shared" si="88"/>
        <v>0</v>
      </c>
      <c r="Q690" s="329">
        <v>6.1999999999999999E-6</v>
      </c>
      <c r="R690" s="346">
        <f t="shared" si="89"/>
        <v>6.1999999999999999E-6</v>
      </c>
      <c r="S690" s="347" t="str">
        <f t="shared" si="90"/>
        <v>-</v>
      </c>
      <c r="T690" s="347">
        <f t="shared" si="91"/>
        <v>0</v>
      </c>
      <c r="U690" s="347">
        <f>HLOOKUP(Apoio!$P$12,$D$650:$P$751,X690,FALSE)+Q690</f>
        <v>6.1999999999999999E-6</v>
      </c>
      <c r="V690" s="447" t="str">
        <f t="shared" si="92"/>
        <v>-</v>
      </c>
      <c r="W690" s="448">
        <f>HLOOKUP(Apoio!$P$12,$D$650:$P$751,X690,FALSE)</f>
        <v>0</v>
      </c>
      <c r="X690" s="329">
        <v>41</v>
      </c>
    </row>
    <row r="691" spans="2:24" ht="30.05" customHeight="1" x14ac:dyDescent="0.35">
      <c r="B691" s="204" t="str">
        <f>'CAD_PL_REC-DESP'!W44</f>
        <v>2.5.40</v>
      </c>
      <c r="C691" s="205" t="str">
        <f>IF('CAD_PL_REC-DESP'!X44="","-",'CAD_PL_REC-DESP'!X44)</f>
        <v>-</v>
      </c>
      <c r="D691" s="206">
        <f>SUMIFS(LANÇ_MOV[VALOR LÍQUIDO],LANÇ_MOV[RECEITA OU DESPESA],"Despesa",LANÇ_MOV[CONTAS],$C691,LANÇ_MOV[PLANO DE CONTAS],REL_DRE_FINANCEIRO!$B$651,LANÇ_MOV[ANO PAGAMENTO],$B$4,LANÇ_MOV[MÊS PAGAMENTO CORRESPONDENTE],D$6,LANÇ_MOV[EMPRESA],$C$4,LANÇ_MOV[CENTRO DE CUSTOS],$D$4)</f>
        <v>0</v>
      </c>
      <c r="E691" s="206">
        <f>SUMIFS(LANÇ_MOV[VALOR LÍQUIDO],LANÇ_MOV[RECEITA OU DESPESA],"Despesa",LANÇ_MOV[CONTAS],$C691,LANÇ_MOV[PLANO DE CONTAS],REL_DRE_FINANCEIRO!$B$651,LANÇ_MOV[ANO PAGAMENTO],$B$4,LANÇ_MOV[MÊS PAGAMENTO CORRESPONDENTE],E$6,LANÇ_MOV[EMPRESA],$C$4,LANÇ_MOV[CENTRO DE CUSTOS],$D$4)</f>
        <v>0</v>
      </c>
      <c r="F691" s="206">
        <f>SUMIFS(LANÇ_MOV[VALOR LÍQUIDO],LANÇ_MOV[RECEITA OU DESPESA],"Despesa",LANÇ_MOV[CONTAS],$C691,LANÇ_MOV[PLANO DE CONTAS],REL_DRE_FINANCEIRO!$B$651,LANÇ_MOV[ANO PAGAMENTO],$B$4,LANÇ_MOV[MÊS PAGAMENTO CORRESPONDENTE],F$6,LANÇ_MOV[EMPRESA],$C$4,LANÇ_MOV[CENTRO DE CUSTOS],$D$4)</f>
        <v>0</v>
      </c>
      <c r="G691" s="206">
        <f>SUMIFS(LANÇ_MOV[VALOR LÍQUIDO],LANÇ_MOV[RECEITA OU DESPESA],"Despesa",LANÇ_MOV[CONTAS],$C691,LANÇ_MOV[PLANO DE CONTAS],REL_DRE_FINANCEIRO!$B$651,LANÇ_MOV[ANO PAGAMENTO],$B$4,LANÇ_MOV[MÊS PAGAMENTO CORRESPONDENTE],G$6,LANÇ_MOV[EMPRESA],$C$4,LANÇ_MOV[CENTRO DE CUSTOS],$D$4)</f>
        <v>0</v>
      </c>
      <c r="H691" s="206">
        <f>SUMIFS(LANÇ_MOV[VALOR LÍQUIDO],LANÇ_MOV[RECEITA OU DESPESA],"Despesa",LANÇ_MOV[CONTAS],$C691,LANÇ_MOV[PLANO DE CONTAS],REL_DRE_FINANCEIRO!$B$651,LANÇ_MOV[ANO PAGAMENTO],$B$4,LANÇ_MOV[MÊS PAGAMENTO CORRESPONDENTE],H$6,LANÇ_MOV[EMPRESA],$C$4,LANÇ_MOV[CENTRO DE CUSTOS],$D$4)</f>
        <v>0</v>
      </c>
      <c r="I691" s="206">
        <f>SUMIFS(LANÇ_MOV[VALOR LÍQUIDO],LANÇ_MOV[RECEITA OU DESPESA],"Despesa",LANÇ_MOV[CONTAS],$C691,LANÇ_MOV[PLANO DE CONTAS],REL_DRE_FINANCEIRO!$B$651,LANÇ_MOV[ANO PAGAMENTO],$B$4,LANÇ_MOV[MÊS PAGAMENTO CORRESPONDENTE],I$6,LANÇ_MOV[EMPRESA],$C$4,LANÇ_MOV[CENTRO DE CUSTOS],$D$4)</f>
        <v>0</v>
      </c>
      <c r="J691" s="206">
        <f>SUMIFS(LANÇ_MOV[VALOR LÍQUIDO],LANÇ_MOV[RECEITA OU DESPESA],"Despesa",LANÇ_MOV[CONTAS],$C691,LANÇ_MOV[PLANO DE CONTAS],REL_DRE_FINANCEIRO!$B$651,LANÇ_MOV[ANO PAGAMENTO],$B$4,LANÇ_MOV[MÊS PAGAMENTO CORRESPONDENTE],J$6,LANÇ_MOV[EMPRESA],$C$4,LANÇ_MOV[CENTRO DE CUSTOS],$D$4)</f>
        <v>0</v>
      </c>
      <c r="K691" s="206">
        <f>SUMIFS(LANÇ_MOV[VALOR LÍQUIDO],LANÇ_MOV[RECEITA OU DESPESA],"Despesa",LANÇ_MOV[CONTAS],$C691,LANÇ_MOV[PLANO DE CONTAS],REL_DRE_FINANCEIRO!$B$651,LANÇ_MOV[ANO PAGAMENTO],$B$4,LANÇ_MOV[MÊS PAGAMENTO CORRESPONDENTE],K$6,LANÇ_MOV[EMPRESA],$C$4,LANÇ_MOV[CENTRO DE CUSTOS],$D$4)</f>
        <v>0</v>
      </c>
      <c r="L691" s="206">
        <f>SUMIFS(LANÇ_MOV[VALOR LÍQUIDO],LANÇ_MOV[RECEITA OU DESPESA],"Despesa",LANÇ_MOV[CONTAS],$C691,LANÇ_MOV[PLANO DE CONTAS],REL_DRE_FINANCEIRO!$B$651,LANÇ_MOV[ANO PAGAMENTO],$B$4,LANÇ_MOV[MÊS PAGAMENTO CORRESPONDENTE],L$6,LANÇ_MOV[EMPRESA],$C$4,LANÇ_MOV[CENTRO DE CUSTOS],$D$4)</f>
        <v>0</v>
      </c>
      <c r="M691" s="206">
        <f>SUMIFS(LANÇ_MOV[VALOR LÍQUIDO],LANÇ_MOV[RECEITA OU DESPESA],"Despesa",LANÇ_MOV[CONTAS],$C691,LANÇ_MOV[PLANO DE CONTAS],REL_DRE_FINANCEIRO!$B$651,LANÇ_MOV[ANO PAGAMENTO],$B$4,LANÇ_MOV[MÊS PAGAMENTO CORRESPONDENTE],M$6,LANÇ_MOV[EMPRESA],$C$4,LANÇ_MOV[CENTRO DE CUSTOS],$D$4)</f>
        <v>0</v>
      </c>
      <c r="N691" s="206">
        <f>SUMIFS(LANÇ_MOV[VALOR LÍQUIDO],LANÇ_MOV[RECEITA OU DESPESA],"Despesa",LANÇ_MOV[CONTAS],$C691,LANÇ_MOV[PLANO DE CONTAS],REL_DRE_FINANCEIRO!$B$651,LANÇ_MOV[ANO PAGAMENTO],$B$4,LANÇ_MOV[MÊS PAGAMENTO CORRESPONDENTE],N$6,LANÇ_MOV[EMPRESA],$C$4,LANÇ_MOV[CENTRO DE CUSTOS],$D$4)</f>
        <v>0</v>
      </c>
      <c r="O691" s="206">
        <f>SUMIFS(LANÇ_MOV[VALOR LÍQUIDO],LANÇ_MOV[RECEITA OU DESPESA],"Despesa",LANÇ_MOV[CONTAS],$C691,LANÇ_MOV[PLANO DE CONTAS],REL_DRE_FINANCEIRO!$B$651,LANÇ_MOV[ANO PAGAMENTO],$B$4,LANÇ_MOV[MÊS PAGAMENTO CORRESPONDENTE],O$6,LANÇ_MOV[EMPRESA],$C$4,LANÇ_MOV[CENTRO DE CUSTOS],$D$4)</f>
        <v>0</v>
      </c>
      <c r="P691" s="207">
        <f t="shared" si="88"/>
        <v>0</v>
      </c>
      <c r="Q691" s="329">
        <v>6.1E-6</v>
      </c>
      <c r="R691" s="346">
        <f t="shared" si="89"/>
        <v>6.1E-6</v>
      </c>
      <c r="S691" s="347" t="str">
        <f t="shared" si="90"/>
        <v>-</v>
      </c>
      <c r="T691" s="347">
        <f t="shared" si="91"/>
        <v>0</v>
      </c>
      <c r="U691" s="347">
        <f>HLOOKUP(Apoio!$P$12,$D$650:$P$751,X691,FALSE)+Q691</f>
        <v>6.1E-6</v>
      </c>
      <c r="V691" s="447" t="str">
        <f t="shared" si="92"/>
        <v>-</v>
      </c>
      <c r="W691" s="448">
        <f>HLOOKUP(Apoio!$P$12,$D$650:$P$751,X691,FALSE)</f>
        <v>0</v>
      </c>
      <c r="X691" s="329">
        <v>42</v>
      </c>
    </row>
    <row r="692" spans="2:24" ht="30.05" customHeight="1" x14ac:dyDescent="0.35">
      <c r="B692" s="204" t="str">
        <f>'CAD_PL_REC-DESP'!W45</f>
        <v>2.5.41</v>
      </c>
      <c r="C692" s="205" t="str">
        <f>IF('CAD_PL_REC-DESP'!X45="","-",'CAD_PL_REC-DESP'!X45)</f>
        <v>-</v>
      </c>
      <c r="D692" s="206">
        <f>SUMIFS(LANÇ_MOV[VALOR LÍQUIDO],LANÇ_MOV[RECEITA OU DESPESA],"Despesa",LANÇ_MOV[CONTAS],$C692,LANÇ_MOV[PLANO DE CONTAS],REL_DRE_FINANCEIRO!$B$651,LANÇ_MOV[ANO PAGAMENTO],$B$4,LANÇ_MOV[MÊS PAGAMENTO CORRESPONDENTE],D$6,LANÇ_MOV[EMPRESA],$C$4,LANÇ_MOV[CENTRO DE CUSTOS],$D$4)</f>
        <v>0</v>
      </c>
      <c r="E692" s="206">
        <f>SUMIFS(LANÇ_MOV[VALOR LÍQUIDO],LANÇ_MOV[RECEITA OU DESPESA],"Despesa",LANÇ_MOV[CONTAS],$C692,LANÇ_MOV[PLANO DE CONTAS],REL_DRE_FINANCEIRO!$B$651,LANÇ_MOV[ANO PAGAMENTO],$B$4,LANÇ_MOV[MÊS PAGAMENTO CORRESPONDENTE],E$6,LANÇ_MOV[EMPRESA],$C$4,LANÇ_MOV[CENTRO DE CUSTOS],$D$4)</f>
        <v>0</v>
      </c>
      <c r="F692" s="206">
        <f>SUMIFS(LANÇ_MOV[VALOR LÍQUIDO],LANÇ_MOV[RECEITA OU DESPESA],"Despesa",LANÇ_MOV[CONTAS],$C692,LANÇ_MOV[PLANO DE CONTAS],REL_DRE_FINANCEIRO!$B$651,LANÇ_MOV[ANO PAGAMENTO],$B$4,LANÇ_MOV[MÊS PAGAMENTO CORRESPONDENTE],F$6,LANÇ_MOV[EMPRESA],$C$4,LANÇ_MOV[CENTRO DE CUSTOS],$D$4)</f>
        <v>0</v>
      </c>
      <c r="G692" s="206">
        <f>SUMIFS(LANÇ_MOV[VALOR LÍQUIDO],LANÇ_MOV[RECEITA OU DESPESA],"Despesa",LANÇ_MOV[CONTAS],$C692,LANÇ_MOV[PLANO DE CONTAS],REL_DRE_FINANCEIRO!$B$651,LANÇ_MOV[ANO PAGAMENTO],$B$4,LANÇ_MOV[MÊS PAGAMENTO CORRESPONDENTE],G$6,LANÇ_MOV[EMPRESA],$C$4,LANÇ_MOV[CENTRO DE CUSTOS],$D$4)</f>
        <v>0</v>
      </c>
      <c r="H692" s="206">
        <f>SUMIFS(LANÇ_MOV[VALOR LÍQUIDO],LANÇ_MOV[RECEITA OU DESPESA],"Despesa",LANÇ_MOV[CONTAS],$C692,LANÇ_MOV[PLANO DE CONTAS],REL_DRE_FINANCEIRO!$B$651,LANÇ_MOV[ANO PAGAMENTO],$B$4,LANÇ_MOV[MÊS PAGAMENTO CORRESPONDENTE],H$6,LANÇ_MOV[EMPRESA],$C$4,LANÇ_MOV[CENTRO DE CUSTOS],$D$4)</f>
        <v>0</v>
      </c>
      <c r="I692" s="206">
        <f>SUMIFS(LANÇ_MOV[VALOR LÍQUIDO],LANÇ_MOV[RECEITA OU DESPESA],"Despesa",LANÇ_MOV[CONTAS],$C692,LANÇ_MOV[PLANO DE CONTAS],REL_DRE_FINANCEIRO!$B$651,LANÇ_MOV[ANO PAGAMENTO],$B$4,LANÇ_MOV[MÊS PAGAMENTO CORRESPONDENTE],I$6,LANÇ_MOV[EMPRESA],$C$4,LANÇ_MOV[CENTRO DE CUSTOS],$D$4)</f>
        <v>0</v>
      </c>
      <c r="J692" s="206">
        <f>SUMIFS(LANÇ_MOV[VALOR LÍQUIDO],LANÇ_MOV[RECEITA OU DESPESA],"Despesa",LANÇ_MOV[CONTAS],$C692,LANÇ_MOV[PLANO DE CONTAS],REL_DRE_FINANCEIRO!$B$651,LANÇ_MOV[ANO PAGAMENTO],$B$4,LANÇ_MOV[MÊS PAGAMENTO CORRESPONDENTE],J$6,LANÇ_MOV[EMPRESA],$C$4,LANÇ_MOV[CENTRO DE CUSTOS],$D$4)</f>
        <v>0</v>
      </c>
      <c r="K692" s="206">
        <f>SUMIFS(LANÇ_MOV[VALOR LÍQUIDO],LANÇ_MOV[RECEITA OU DESPESA],"Despesa",LANÇ_MOV[CONTAS],$C692,LANÇ_MOV[PLANO DE CONTAS],REL_DRE_FINANCEIRO!$B$651,LANÇ_MOV[ANO PAGAMENTO],$B$4,LANÇ_MOV[MÊS PAGAMENTO CORRESPONDENTE],K$6,LANÇ_MOV[EMPRESA],$C$4,LANÇ_MOV[CENTRO DE CUSTOS],$D$4)</f>
        <v>0</v>
      </c>
      <c r="L692" s="206">
        <f>SUMIFS(LANÇ_MOV[VALOR LÍQUIDO],LANÇ_MOV[RECEITA OU DESPESA],"Despesa",LANÇ_MOV[CONTAS],$C692,LANÇ_MOV[PLANO DE CONTAS],REL_DRE_FINANCEIRO!$B$651,LANÇ_MOV[ANO PAGAMENTO],$B$4,LANÇ_MOV[MÊS PAGAMENTO CORRESPONDENTE],L$6,LANÇ_MOV[EMPRESA],$C$4,LANÇ_MOV[CENTRO DE CUSTOS],$D$4)</f>
        <v>0</v>
      </c>
      <c r="M692" s="206">
        <f>SUMIFS(LANÇ_MOV[VALOR LÍQUIDO],LANÇ_MOV[RECEITA OU DESPESA],"Despesa",LANÇ_MOV[CONTAS],$C692,LANÇ_MOV[PLANO DE CONTAS],REL_DRE_FINANCEIRO!$B$651,LANÇ_MOV[ANO PAGAMENTO],$B$4,LANÇ_MOV[MÊS PAGAMENTO CORRESPONDENTE],M$6,LANÇ_MOV[EMPRESA],$C$4,LANÇ_MOV[CENTRO DE CUSTOS],$D$4)</f>
        <v>0</v>
      </c>
      <c r="N692" s="206">
        <f>SUMIFS(LANÇ_MOV[VALOR LÍQUIDO],LANÇ_MOV[RECEITA OU DESPESA],"Despesa",LANÇ_MOV[CONTAS],$C692,LANÇ_MOV[PLANO DE CONTAS],REL_DRE_FINANCEIRO!$B$651,LANÇ_MOV[ANO PAGAMENTO],$B$4,LANÇ_MOV[MÊS PAGAMENTO CORRESPONDENTE],N$6,LANÇ_MOV[EMPRESA],$C$4,LANÇ_MOV[CENTRO DE CUSTOS],$D$4)</f>
        <v>0</v>
      </c>
      <c r="O692" s="206">
        <f>SUMIFS(LANÇ_MOV[VALOR LÍQUIDO],LANÇ_MOV[RECEITA OU DESPESA],"Despesa",LANÇ_MOV[CONTAS],$C692,LANÇ_MOV[PLANO DE CONTAS],REL_DRE_FINANCEIRO!$B$651,LANÇ_MOV[ANO PAGAMENTO],$B$4,LANÇ_MOV[MÊS PAGAMENTO CORRESPONDENTE],O$6,LANÇ_MOV[EMPRESA],$C$4,LANÇ_MOV[CENTRO DE CUSTOS],$D$4)</f>
        <v>0</v>
      </c>
      <c r="P692" s="207">
        <f t="shared" si="88"/>
        <v>0</v>
      </c>
      <c r="Q692" s="329">
        <v>6.0000000000000002E-6</v>
      </c>
      <c r="R692" s="346">
        <f t="shared" si="89"/>
        <v>6.0000000000000002E-6</v>
      </c>
      <c r="S692" s="347" t="str">
        <f t="shared" si="90"/>
        <v>-</v>
      </c>
      <c r="T692" s="347">
        <f t="shared" si="91"/>
        <v>0</v>
      </c>
      <c r="U692" s="347">
        <f>HLOOKUP(Apoio!$P$12,$D$650:$P$751,X692,FALSE)+Q692</f>
        <v>6.0000000000000002E-6</v>
      </c>
      <c r="V692" s="447" t="str">
        <f t="shared" si="92"/>
        <v>-</v>
      </c>
      <c r="W692" s="448">
        <f>HLOOKUP(Apoio!$P$12,$D$650:$P$751,X692,FALSE)</f>
        <v>0</v>
      </c>
      <c r="X692" s="329">
        <v>43</v>
      </c>
    </row>
    <row r="693" spans="2:24" ht="30.05" customHeight="1" x14ac:dyDescent="0.35">
      <c r="B693" s="204" t="str">
        <f>'CAD_PL_REC-DESP'!W46</f>
        <v>2.5.42</v>
      </c>
      <c r="C693" s="205" t="str">
        <f>IF('CAD_PL_REC-DESP'!X46="","-",'CAD_PL_REC-DESP'!X46)</f>
        <v>-</v>
      </c>
      <c r="D693" s="206">
        <f>SUMIFS(LANÇ_MOV[VALOR LÍQUIDO],LANÇ_MOV[RECEITA OU DESPESA],"Despesa",LANÇ_MOV[CONTAS],$C693,LANÇ_MOV[PLANO DE CONTAS],REL_DRE_FINANCEIRO!$B$651,LANÇ_MOV[ANO PAGAMENTO],$B$4,LANÇ_MOV[MÊS PAGAMENTO CORRESPONDENTE],D$6,LANÇ_MOV[EMPRESA],$C$4,LANÇ_MOV[CENTRO DE CUSTOS],$D$4)</f>
        <v>0</v>
      </c>
      <c r="E693" s="206">
        <f>SUMIFS(LANÇ_MOV[VALOR LÍQUIDO],LANÇ_MOV[RECEITA OU DESPESA],"Despesa",LANÇ_MOV[CONTAS],$C693,LANÇ_MOV[PLANO DE CONTAS],REL_DRE_FINANCEIRO!$B$651,LANÇ_MOV[ANO PAGAMENTO],$B$4,LANÇ_MOV[MÊS PAGAMENTO CORRESPONDENTE],E$6,LANÇ_MOV[EMPRESA],$C$4,LANÇ_MOV[CENTRO DE CUSTOS],$D$4)</f>
        <v>0</v>
      </c>
      <c r="F693" s="206">
        <f>SUMIFS(LANÇ_MOV[VALOR LÍQUIDO],LANÇ_MOV[RECEITA OU DESPESA],"Despesa",LANÇ_MOV[CONTAS],$C693,LANÇ_MOV[PLANO DE CONTAS],REL_DRE_FINANCEIRO!$B$651,LANÇ_MOV[ANO PAGAMENTO],$B$4,LANÇ_MOV[MÊS PAGAMENTO CORRESPONDENTE],F$6,LANÇ_MOV[EMPRESA],$C$4,LANÇ_MOV[CENTRO DE CUSTOS],$D$4)</f>
        <v>0</v>
      </c>
      <c r="G693" s="206">
        <f>SUMIFS(LANÇ_MOV[VALOR LÍQUIDO],LANÇ_MOV[RECEITA OU DESPESA],"Despesa",LANÇ_MOV[CONTAS],$C693,LANÇ_MOV[PLANO DE CONTAS],REL_DRE_FINANCEIRO!$B$651,LANÇ_MOV[ANO PAGAMENTO],$B$4,LANÇ_MOV[MÊS PAGAMENTO CORRESPONDENTE],G$6,LANÇ_MOV[EMPRESA],$C$4,LANÇ_MOV[CENTRO DE CUSTOS],$D$4)</f>
        <v>0</v>
      </c>
      <c r="H693" s="206">
        <f>SUMIFS(LANÇ_MOV[VALOR LÍQUIDO],LANÇ_MOV[RECEITA OU DESPESA],"Despesa",LANÇ_MOV[CONTAS],$C693,LANÇ_MOV[PLANO DE CONTAS],REL_DRE_FINANCEIRO!$B$651,LANÇ_MOV[ANO PAGAMENTO],$B$4,LANÇ_MOV[MÊS PAGAMENTO CORRESPONDENTE],H$6,LANÇ_MOV[EMPRESA],$C$4,LANÇ_MOV[CENTRO DE CUSTOS],$D$4)</f>
        <v>0</v>
      </c>
      <c r="I693" s="206">
        <f>SUMIFS(LANÇ_MOV[VALOR LÍQUIDO],LANÇ_MOV[RECEITA OU DESPESA],"Despesa",LANÇ_MOV[CONTAS],$C693,LANÇ_MOV[PLANO DE CONTAS],REL_DRE_FINANCEIRO!$B$651,LANÇ_MOV[ANO PAGAMENTO],$B$4,LANÇ_MOV[MÊS PAGAMENTO CORRESPONDENTE],I$6,LANÇ_MOV[EMPRESA],$C$4,LANÇ_MOV[CENTRO DE CUSTOS],$D$4)</f>
        <v>0</v>
      </c>
      <c r="J693" s="206">
        <f>SUMIFS(LANÇ_MOV[VALOR LÍQUIDO],LANÇ_MOV[RECEITA OU DESPESA],"Despesa",LANÇ_MOV[CONTAS],$C693,LANÇ_MOV[PLANO DE CONTAS],REL_DRE_FINANCEIRO!$B$651,LANÇ_MOV[ANO PAGAMENTO],$B$4,LANÇ_MOV[MÊS PAGAMENTO CORRESPONDENTE],J$6,LANÇ_MOV[EMPRESA],$C$4,LANÇ_MOV[CENTRO DE CUSTOS],$D$4)</f>
        <v>0</v>
      </c>
      <c r="K693" s="206">
        <f>SUMIFS(LANÇ_MOV[VALOR LÍQUIDO],LANÇ_MOV[RECEITA OU DESPESA],"Despesa",LANÇ_MOV[CONTAS],$C693,LANÇ_MOV[PLANO DE CONTAS],REL_DRE_FINANCEIRO!$B$651,LANÇ_MOV[ANO PAGAMENTO],$B$4,LANÇ_MOV[MÊS PAGAMENTO CORRESPONDENTE],K$6,LANÇ_MOV[EMPRESA],$C$4,LANÇ_MOV[CENTRO DE CUSTOS],$D$4)</f>
        <v>0</v>
      </c>
      <c r="L693" s="206">
        <f>SUMIFS(LANÇ_MOV[VALOR LÍQUIDO],LANÇ_MOV[RECEITA OU DESPESA],"Despesa",LANÇ_MOV[CONTAS],$C693,LANÇ_MOV[PLANO DE CONTAS],REL_DRE_FINANCEIRO!$B$651,LANÇ_MOV[ANO PAGAMENTO],$B$4,LANÇ_MOV[MÊS PAGAMENTO CORRESPONDENTE],L$6,LANÇ_MOV[EMPRESA],$C$4,LANÇ_MOV[CENTRO DE CUSTOS],$D$4)</f>
        <v>0</v>
      </c>
      <c r="M693" s="206">
        <f>SUMIFS(LANÇ_MOV[VALOR LÍQUIDO],LANÇ_MOV[RECEITA OU DESPESA],"Despesa",LANÇ_MOV[CONTAS],$C693,LANÇ_MOV[PLANO DE CONTAS],REL_DRE_FINANCEIRO!$B$651,LANÇ_MOV[ANO PAGAMENTO],$B$4,LANÇ_MOV[MÊS PAGAMENTO CORRESPONDENTE],M$6,LANÇ_MOV[EMPRESA],$C$4,LANÇ_MOV[CENTRO DE CUSTOS],$D$4)</f>
        <v>0</v>
      </c>
      <c r="N693" s="206">
        <f>SUMIFS(LANÇ_MOV[VALOR LÍQUIDO],LANÇ_MOV[RECEITA OU DESPESA],"Despesa",LANÇ_MOV[CONTAS],$C693,LANÇ_MOV[PLANO DE CONTAS],REL_DRE_FINANCEIRO!$B$651,LANÇ_MOV[ANO PAGAMENTO],$B$4,LANÇ_MOV[MÊS PAGAMENTO CORRESPONDENTE],N$6,LANÇ_MOV[EMPRESA],$C$4,LANÇ_MOV[CENTRO DE CUSTOS],$D$4)</f>
        <v>0</v>
      </c>
      <c r="O693" s="206">
        <f>SUMIFS(LANÇ_MOV[VALOR LÍQUIDO],LANÇ_MOV[RECEITA OU DESPESA],"Despesa",LANÇ_MOV[CONTAS],$C693,LANÇ_MOV[PLANO DE CONTAS],REL_DRE_FINANCEIRO!$B$651,LANÇ_MOV[ANO PAGAMENTO],$B$4,LANÇ_MOV[MÊS PAGAMENTO CORRESPONDENTE],O$6,LANÇ_MOV[EMPRESA],$C$4,LANÇ_MOV[CENTRO DE CUSTOS],$D$4)</f>
        <v>0</v>
      </c>
      <c r="P693" s="207">
        <f t="shared" si="88"/>
        <v>0</v>
      </c>
      <c r="Q693" s="329">
        <v>5.9000000000000003E-6</v>
      </c>
      <c r="R693" s="346">
        <f t="shared" si="89"/>
        <v>5.9000000000000003E-6</v>
      </c>
      <c r="S693" s="347" t="str">
        <f t="shared" si="90"/>
        <v>-</v>
      </c>
      <c r="T693" s="347">
        <f t="shared" si="91"/>
        <v>0</v>
      </c>
      <c r="U693" s="347">
        <f>HLOOKUP(Apoio!$P$12,$D$650:$P$751,X693,FALSE)+Q693</f>
        <v>5.9000000000000003E-6</v>
      </c>
      <c r="V693" s="447" t="str">
        <f t="shared" si="92"/>
        <v>-</v>
      </c>
      <c r="W693" s="448">
        <f>HLOOKUP(Apoio!$P$12,$D$650:$P$751,X693,FALSE)</f>
        <v>0</v>
      </c>
      <c r="X693" s="329">
        <v>44</v>
      </c>
    </row>
    <row r="694" spans="2:24" ht="30.05" customHeight="1" x14ac:dyDescent="0.35">
      <c r="B694" s="204" t="str">
        <f>'CAD_PL_REC-DESP'!W47</f>
        <v>2.5.43</v>
      </c>
      <c r="C694" s="205" t="str">
        <f>IF('CAD_PL_REC-DESP'!X47="","-",'CAD_PL_REC-DESP'!X47)</f>
        <v>-</v>
      </c>
      <c r="D694" s="206">
        <f>SUMIFS(LANÇ_MOV[VALOR LÍQUIDO],LANÇ_MOV[RECEITA OU DESPESA],"Despesa",LANÇ_MOV[CONTAS],$C694,LANÇ_MOV[PLANO DE CONTAS],REL_DRE_FINANCEIRO!$B$651,LANÇ_MOV[ANO PAGAMENTO],$B$4,LANÇ_MOV[MÊS PAGAMENTO CORRESPONDENTE],D$6,LANÇ_MOV[EMPRESA],$C$4,LANÇ_MOV[CENTRO DE CUSTOS],$D$4)</f>
        <v>0</v>
      </c>
      <c r="E694" s="206">
        <f>SUMIFS(LANÇ_MOV[VALOR LÍQUIDO],LANÇ_MOV[RECEITA OU DESPESA],"Despesa",LANÇ_MOV[CONTAS],$C694,LANÇ_MOV[PLANO DE CONTAS],REL_DRE_FINANCEIRO!$B$651,LANÇ_MOV[ANO PAGAMENTO],$B$4,LANÇ_MOV[MÊS PAGAMENTO CORRESPONDENTE],E$6,LANÇ_MOV[EMPRESA],$C$4,LANÇ_MOV[CENTRO DE CUSTOS],$D$4)</f>
        <v>0</v>
      </c>
      <c r="F694" s="206">
        <f>SUMIFS(LANÇ_MOV[VALOR LÍQUIDO],LANÇ_MOV[RECEITA OU DESPESA],"Despesa",LANÇ_MOV[CONTAS],$C694,LANÇ_MOV[PLANO DE CONTAS],REL_DRE_FINANCEIRO!$B$651,LANÇ_MOV[ANO PAGAMENTO],$B$4,LANÇ_MOV[MÊS PAGAMENTO CORRESPONDENTE],F$6,LANÇ_MOV[EMPRESA],$C$4,LANÇ_MOV[CENTRO DE CUSTOS],$D$4)</f>
        <v>0</v>
      </c>
      <c r="G694" s="206">
        <f>SUMIFS(LANÇ_MOV[VALOR LÍQUIDO],LANÇ_MOV[RECEITA OU DESPESA],"Despesa",LANÇ_MOV[CONTAS],$C694,LANÇ_MOV[PLANO DE CONTAS],REL_DRE_FINANCEIRO!$B$651,LANÇ_MOV[ANO PAGAMENTO],$B$4,LANÇ_MOV[MÊS PAGAMENTO CORRESPONDENTE],G$6,LANÇ_MOV[EMPRESA],$C$4,LANÇ_MOV[CENTRO DE CUSTOS],$D$4)</f>
        <v>0</v>
      </c>
      <c r="H694" s="206">
        <f>SUMIFS(LANÇ_MOV[VALOR LÍQUIDO],LANÇ_MOV[RECEITA OU DESPESA],"Despesa",LANÇ_MOV[CONTAS],$C694,LANÇ_MOV[PLANO DE CONTAS],REL_DRE_FINANCEIRO!$B$651,LANÇ_MOV[ANO PAGAMENTO],$B$4,LANÇ_MOV[MÊS PAGAMENTO CORRESPONDENTE],H$6,LANÇ_MOV[EMPRESA],$C$4,LANÇ_MOV[CENTRO DE CUSTOS],$D$4)</f>
        <v>0</v>
      </c>
      <c r="I694" s="206">
        <f>SUMIFS(LANÇ_MOV[VALOR LÍQUIDO],LANÇ_MOV[RECEITA OU DESPESA],"Despesa",LANÇ_MOV[CONTAS],$C694,LANÇ_MOV[PLANO DE CONTAS],REL_DRE_FINANCEIRO!$B$651,LANÇ_MOV[ANO PAGAMENTO],$B$4,LANÇ_MOV[MÊS PAGAMENTO CORRESPONDENTE],I$6,LANÇ_MOV[EMPRESA],$C$4,LANÇ_MOV[CENTRO DE CUSTOS],$D$4)</f>
        <v>0</v>
      </c>
      <c r="J694" s="206">
        <f>SUMIFS(LANÇ_MOV[VALOR LÍQUIDO],LANÇ_MOV[RECEITA OU DESPESA],"Despesa",LANÇ_MOV[CONTAS],$C694,LANÇ_MOV[PLANO DE CONTAS],REL_DRE_FINANCEIRO!$B$651,LANÇ_MOV[ANO PAGAMENTO],$B$4,LANÇ_MOV[MÊS PAGAMENTO CORRESPONDENTE],J$6,LANÇ_MOV[EMPRESA],$C$4,LANÇ_MOV[CENTRO DE CUSTOS],$D$4)</f>
        <v>0</v>
      </c>
      <c r="K694" s="206">
        <f>SUMIFS(LANÇ_MOV[VALOR LÍQUIDO],LANÇ_MOV[RECEITA OU DESPESA],"Despesa",LANÇ_MOV[CONTAS],$C694,LANÇ_MOV[PLANO DE CONTAS],REL_DRE_FINANCEIRO!$B$651,LANÇ_MOV[ANO PAGAMENTO],$B$4,LANÇ_MOV[MÊS PAGAMENTO CORRESPONDENTE],K$6,LANÇ_MOV[EMPRESA],$C$4,LANÇ_MOV[CENTRO DE CUSTOS],$D$4)</f>
        <v>0</v>
      </c>
      <c r="L694" s="206">
        <f>SUMIFS(LANÇ_MOV[VALOR LÍQUIDO],LANÇ_MOV[RECEITA OU DESPESA],"Despesa",LANÇ_MOV[CONTAS],$C694,LANÇ_MOV[PLANO DE CONTAS],REL_DRE_FINANCEIRO!$B$651,LANÇ_MOV[ANO PAGAMENTO],$B$4,LANÇ_MOV[MÊS PAGAMENTO CORRESPONDENTE],L$6,LANÇ_MOV[EMPRESA],$C$4,LANÇ_MOV[CENTRO DE CUSTOS],$D$4)</f>
        <v>0</v>
      </c>
      <c r="M694" s="206">
        <f>SUMIFS(LANÇ_MOV[VALOR LÍQUIDO],LANÇ_MOV[RECEITA OU DESPESA],"Despesa",LANÇ_MOV[CONTAS],$C694,LANÇ_MOV[PLANO DE CONTAS],REL_DRE_FINANCEIRO!$B$651,LANÇ_MOV[ANO PAGAMENTO],$B$4,LANÇ_MOV[MÊS PAGAMENTO CORRESPONDENTE],M$6,LANÇ_MOV[EMPRESA],$C$4,LANÇ_MOV[CENTRO DE CUSTOS],$D$4)</f>
        <v>0</v>
      </c>
      <c r="N694" s="206">
        <f>SUMIFS(LANÇ_MOV[VALOR LÍQUIDO],LANÇ_MOV[RECEITA OU DESPESA],"Despesa",LANÇ_MOV[CONTAS],$C694,LANÇ_MOV[PLANO DE CONTAS],REL_DRE_FINANCEIRO!$B$651,LANÇ_MOV[ANO PAGAMENTO],$B$4,LANÇ_MOV[MÊS PAGAMENTO CORRESPONDENTE],N$6,LANÇ_MOV[EMPRESA],$C$4,LANÇ_MOV[CENTRO DE CUSTOS],$D$4)</f>
        <v>0</v>
      </c>
      <c r="O694" s="206">
        <f>SUMIFS(LANÇ_MOV[VALOR LÍQUIDO],LANÇ_MOV[RECEITA OU DESPESA],"Despesa",LANÇ_MOV[CONTAS],$C694,LANÇ_MOV[PLANO DE CONTAS],REL_DRE_FINANCEIRO!$B$651,LANÇ_MOV[ANO PAGAMENTO],$B$4,LANÇ_MOV[MÊS PAGAMENTO CORRESPONDENTE],O$6,LANÇ_MOV[EMPRESA],$C$4,LANÇ_MOV[CENTRO DE CUSTOS],$D$4)</f>
        <v>0</v>
      </c>
      <c r="P694" s="207">
        <f t="shared" si="88"/>
        <v>0</v>
      </c>
      <c r="Q694" s="329">
        <v>5.8000000000000004E-6</v>
      </c>
      <c r="R694" s="346">
        <f t="shared" si="89"/>
        <v>5.8000000000000004E-6</v>
      </c>
      <c r="S694" s="347" t="str">
        <f t="shared" si="90"/>
        <v>-</v>
      </c>
      <c r="T694" s="347">
        <f t="shared" si="91"/>
        <v>0</v>
      </c>
      <c r="U694" s="347">
        <f>HLOOKUP(Apoio!$P$12,$D$650:$P$751,X694,FALSE)+Q694</f>
        <v>5.8000000000000004E-6</v>
      </c>
      <c r="V694" s="447" t="str">
        <f t="shared" si="92"/>
        <v>-</v>
      </c>
      <c r="W694" s="448">
        <f>HLOOKUP(Apoio!$P$12,$D$650:$P$751,X694,FALSE)</f>
        <v>0</v>
      </c>
      <c r="X694" s="329">
        <v>45</v>
      </c>
    </row>
    <row r="695" spans="2:24" ht="30.05" customHeight="1" x14ac:dyDescent="0.35">
      <c r="B695" s="204" t="str">
        <f>'CAD_PL_REC-DESP'!W48</f>
        <v>2.5.44</v>
      </c>
      <c r="C695" s="205" t="str">
        <f>IF('CAD_PL_REC-DESP'!X48="","-",'CAD_PL_REC-DESP'!X48)</f>
        <v>-</v>
      </c>
      <c r="D695" s="206">
        <f>SUMIFS(LANÇ_MOV[VALOR LÍQUIDO],LANÇ_MOV[RECEITA OU DESPESA],"Despesa",LANÇ_MOV[CONTAS],$C695,LANÇ_MOV[PLANO DE CONTAS],REL_DRE_FINANCEIRO!$B$651,LANÇ_MOV[ANO PAGAMENTO],$B$4,LANÇ_MOV[MÊS PAGAMENTO CORRESPONDENTE],D$6,LANÇ_MOV[EMPRESA],$C$4,LANÇ_MOV[CENTRO DE CUSTOS],$D$4)</f>
        <v>0</v>
      </c>
      <c r="E695" s="206">
        <f>SUMIFS(LANÇ_MOV[VALOR LÍQUIDO],LANÇ_MOV[RECEITA OU DESPESA],"Despesa",LANÇ_MOV[CONTAS],$C695,LANÇ_MOV[PLANO DE CONTAS],REL_DRE_FINANCEIRO!$B$651,LANÇ_MOV[ANO PAGAMENTO],$B$4,LANÇ_MOV[MÊS PAGAMENTO CORRESPONDENTE],E$6,LANÇ_MOV[EMPRESA],$C$4,LANÇ_MOV[CENTRO DE CUSTOS],$D$4)</f>
        <v>0</v>
      </c>
      <c r="F695" s="206">
        <f>SUMIFS(LANÇ_MOV[VALOR LÍQUIDO],LANÇ_MOV[RECEITA OU DESPESA],"Despesa",LANÇ_MOV[CONTAS],$C695,LANÇ_MOV[PLANO DE CONTAS],REL_DRE_FINANCEIRO!$B$651,LANÇ_MOV[ANO PAGAMENTO],$B$4,LANÇ_MOV[MÊS PAGAMENTO CORRESPONDENTE],F$6,LANÇ_MOV[EMPRESA],$C$4,LANÇ_MOV[CENTRO DE CUSTOS],$D$4)</f>
        <v>0</v>
      </c>
      <c r="G695" s="206">
        <f>SUMIFS(LANÇ_MOV[VALOR LÍQUIDO],LANÇ_MOV[RECEITA OU DESPESA],"Despesa",LANÇ_MOV[CONTAS],$C695,LANÇ_MOV[PLANO DE CONTAS],REL_DRE_FINANCEIRO!$B$651,LANÇ_MOV[ANO PAGAMENTO],$B$4,LANÇ_MOV[MÊS PAGAMENTO CORRESPONDENTE],G$6,LANÇ_MOV[EMPRESA],$C$4,LANÇ_MOV[CENTRO DE CUSTOS],$D$4)</f>
        <v>0</v>
      </c>
      <c r="H695" s="206">
        <f>SUMIFS(LANÇ_MOV[VALOR LÍQUIDO],LANÇ_MOV[RECEITA OU DESPESA],"Despesa",LANÇ_MOV[CONTAS],$C695,LANÇ_MOV[PLANO DE CONTAS],REL_DRE_FINANCEIRO!$B$651,LANÇ_MOV[ANO PAGAMENTO],$B$4,LANÇ_MOV[MÊS PAGAMENTO CORRESPONDENTE],H$6,LANÇ_MOV[EMPRESA],$C$4,LANÇ_MOV[CENTRO DE CUSTOS],$D$4)</f>
        <v>0</v>
      </c>
      <c r="I695" s="206">
        <f>SUMIFS(LANÇ_MOV[VALOR LÍQUIDO],LANÇ_MOV[RECEITA OU DESPESA],"Despesa",LANÇ_MOV[CONTAS],$C695,LANÇ_MOV[PLANO DE CONTAS],REL_DRE_FINANCEIRO!$B$651,LANÇ_MOV[ANO PAGAMENTO],$B$4,LANÇ_MOV[MÊS PAGAMENTO CORRESPONDENTE],I$6,LANÇ_MOV[EMPRESA],$C$4,LANÇ_MOV[CENTRO DE CUSTOS],$D$4)</f>
        <v>0</v>
      </c>
      <c r="J695" s="206">
        <f>SUMIFS(LANÇ_MOV[VALOR LÍQUIDO],LANÇ_MOV[RECEITA OU DESPESA],"Despesa",LANÇ_MOV[CONTAS],$C695,LANÇ_MOV[PLANO DE CONTAS],REL_DRE_FINANCEIRO!$B$651,LANÇ_MOV[ANO PAGAMENTO],$B$4,LANÇ_MOV[MÊS PAGAMENTO CORRESPONDENTE],J$6,LANÇ_MOV[EMPRESA],$C$4,LANÇ_MOV[CENTRO DE CUSTOS],$D$4)</f>
        <v>0</v>
      </c>
      <c r="K695" s="206">
        <f>SUMIFS(LANÇ_MOV[VALOR LÍQUIDO],LANÇ_MOV[RECEITA OU DESPESA],"Despesa",LANÇ_MOV[CONTAS],$C695,LANÇ_MOV[PLANO DE CONTAS],REL_DRE_FINANCEIRO!$B$651,LANÇ_MOV[ANO PAGAMENTO],$B$4,LANÇ_MOV[MÊS PAGAMENTO CORRESPONDENTE],K$6,LANÇ_MOV[EMPRESA],$C$4,LANÇ_MOV[CENTRO DE CUSTOS],$D$4)</f>
        <v>0</v>
      </c>
      <c r="L695" s="206">
        <f>SUMIFS(LANÇ_MOV[VALOR LÍQUIDO],LANÇ_MOV[RECEITA OU DESPESA],"Despesa",LANÇ_MOV[CONTAS],$C695,LANÇ_MOV[PLANO DE CONTAS],REL_DRE_FINANCEIRO!$B$651,LANÇ_MOV[ANO PAGAMENTO],$B$4,LANÇ_MOV[MÊS PAGAMENTO CORRESPONDENTE],L$6,LANÇ_MOV[EMPRESA],$C$4,LANÇ_MOV[CENTRO DE CUSTOS],$D$4)</f>
        <v>0</v>
      </c>
      <c r="M695" s="206">
        <f>SUMIFS(LANÇ_MOV[VALOR LÍQUIDO],LANÇ_MOV[RECEITA OU DESPESA],"Despesa",LANÇ_MOV[CONTAS],$C695,LANÇ_MOV[PLANO DE CONTAS],REL_DRE_FINANCEIRO!$B$651,LANÇ_MOV[ANO PAGAMENTO],$B$4,LANÇ_MOV[MÊS PAGAMENTO CORRESPONDENTE],M$6,LANÇ_MOV[EMPRESA],$C$4,LANÇ_MOV[CENTRO DE CUSTOS],$D$4)</f>
        <v>0</v>
      </c>
      <c r="N695" s="206">
        <f>SUMIFS(LANÇ_MOV[VALOR LÍQUIDO],LANÇ_MOV[RECEITA OU DESPESA],"Despesa",LANÇ_MOV[CONTAS],$C695,LANÇ_MOV[PLANO DE CONTAS],REL_DRE_FINANCEIRO!$B$651,LANÇ_MOV[ANO PAGAMENTO],$B$4,LANÇ_MOV[MÊS PAGAMENTO CORRESPONDENTE],N$6,LANÇ_MOV[EMPRESA],$C$4,LANÇ_MOV[CENTRO DE CUSTOS],$D$4)</f>
        <v>0</v>
      </c>
      <c r="O695" s="206">
        <f>SUMIFS(LANÇ_MOV[VALOR LÍQUIDO],LANÇ_MOV[RECEITA OU DESPESA],"Despesa",LANÇ_MOV[CONTAS],$C695,LANÇ_MOV[PLANO DE CONTAS],REL_DRE_FINANCEIRO!$B$651,LANÇ_MOV[ANO PAGAMENTO],$B$4,LANÇ_MOV[MÊS PAGAMENTO CORRESPONDENTE],O$6,LANÇ_MOV[EMPRESA],$C$4,LANÇ_MOV[CENTRO DE CUSTOS],$D$4)</f>
        <v>0</v>
      </c>
      <c r="P695" s="207">
        <f t="shared" si="88"/>
        <v>0</v>
      </c>
      <c r="Q695" s="329">
        <v>5.6999999999999996E-6</v>
      </c>
      <c r="R695" s="346">
        <f t="shared" si="89"/>
        <v>5.6999999999999996E-6</v>
      </c>
      <c r="S695" s="347" t="str">
        <f t="shared" si="90"/>
        <v>-</v>
      </c>
      <c r="T695" s="347">
        <f t="shared" si="91"/>
        <v>0</v>
      </c>
      <c r="U695" s="347">
        <f>HLOOKUP(Apoio!$P$12,$D$650:$P$751,X695,FALSE)+Q695</f>
        <v>5.6999999999999996E-6</v>
      </c>
      <c r="V695" s="447" t="str">
        <f t="shared" si="92"/>
        <v>-</v>
      </c>
      <c r="W695" s="448">
        <f>HLOOKUP(Apoio!$P$12,$D$650:$P$751,X695,FALSE)</f>
        <v>0</v>
      </c>
      <c r="X695" s="329">
        <v>46</v>
      </c>
    </row>
    <row r="696" spans="2:24" ht="30.05" customHeight="1" x14ac:dyDescent="0.35">
      <c r="B696" s="204" t="str">
        <f>'CAD_PL_REC-DESP'!W49</f>
        <v>2.5.45</v>
      </c>
      <c r="C696" s="205" t="str">
        <f>IF('CAD_PL_REC-DESP'!X49="","-",'CAD_PL_REC-DESP'!X49)</f>
        <v>-</v>
      </c>
      <c r="D696" s="206">
        <f>SUMIFS(LANÇ_MOV[VALOR LÍQUIDO],LANÇ_MOV[RECEITA OU DESPESA],"Despesa",LANÇ_MOV[CONTAS],$C696,LANÇ_MOV[PLANO DE CONTAS],REL_DRE_FINANCEIRO!$B$651,LANÇ_MOV[ANO PAGAMENTO],$B$4,LANÇ_MOV[MÊS PAGAMENTO CORRESPONDENTE],D$6,LANÇ_MOV[EMPRESA],$C$4,LANÇ_MOV[CENTRO DE CUSTOS],$D$4)</f>
        <v>0</v>
      </c>
      <c r="E696" s="206">
        <f>SUMIFS(LANÇ_MOV[VALOR LÍQUIDO],LANÇ_MOV[RECEITA OU DESPESA],"Despesa",LANÇ_MOV[CONTAS],$C696,LANÇ_MOV[PLANO DE CONTAS],REL_DRE_FINANCEIRO!$B$651,LANÇ_MOV[ANO PAGAMENTO],$B$4,LANÇ_MOV[MÊS PAGAMENTO CORRESPONDENTE],E$6,LANÇ_MOV[EMPRESA],$C$4,LANÇ_MOV[CENTRO DE CUSTOS],$D$4)</f>
        <v>0</v>
      </c>
      <c r="F696" s="206">
        <f>SUMIFS(LANÇ_MOV[VALOR LÍQUIDO],LANÇ_MOV[RECEITA OU DESPESA],"Despesa",LANÇ_MOV[CONTAS],$C696,LANÇ_MOV[PLANO DE CONTAS],REL_DRE_FINANCEIRO!$B$651,LANÇ_MOV[ANO PAGAMENTO],$B$4,LANÇ_MOV[MÊS PAGAMENTO CORRESPONDENTE],F$6,LANÇ_MOV[EMPRESA],$C$4,LANÇ_MOV[CENTRO DE CUSTOS],$D$4)</f>
        <v>0</v>
      </c>
      <c r="G696" s="206">
        <f>SUMIFS(LANÇ_MOV[VALOR LÍQUIDO],LANÇ_MOV[RECEITA OU DESPESA],"Despesa",LANÇ_MOV[CONTAS],$C696,LANÇ_MOV[PLANO DE CONTAS],REL_DRE_FINANCEIRO!$B$651,LANÇ_MOV[ANO PAGAMENTO],$B$4,LANÇ_MOV[MÊS PAGAMENTO CORRESPONDENTE],G$6,LANÇ_MOV[EMPRESA],$C$4,LANÇ_MOV[CENTRO DE CUSTOS],$D$4)</f>
        <v>0</v>
      </c>
      <c r="H696" s="206">
        <f>SUMIFS(LANÇ_MOV[VALOR LÍQUIDO],LANÇ_MOV[RECEITA OU DESPESA],"Despesa",LANÇ_MOV[CONTAS],$C696,LANÇ_MOV[PLANO DE CONTAS],REL_DRE_FINANCEIRO!$B$651,LANÇ_MOV[ANO PAGAMENTO],$B$4,LANÇ_MOV[MÊS PAGAMENTO CORRESPONDENTE],H$6,LANÇ_MOV[EMPRESA],$C$4,LANÇ_MOV[CENTRO DE CUSTOS],$D$4)</f>
        <v>0</v>
      </c>
      <c r="I696" s="206">
        <f>SUMIFS(LANÇ_MOV[VALOR LÍQUIDO],LANÇ_MOV[RECEITA OU DESPESA],"Despesa",LANÇ_MOV[CONTAS],$C696,LANÇ_MOV[PLANO DE CONTAS],REL_DRE_FINANCEIRO!$B$651,LANÇ_MOV[ANO PAGAMENTO],$B$4,LANÇ_MOV[MÊS PAGAMENTO CORRESPONDENTE],I$6,LANÇ_MOV[EMPRESA],$C$4,LANÇ_MOV[CENTRO DE CUSTOS],$D$4)</f>
        <v>0</v>
      </c>
      <c r="J696" s="206">
        <f>SUMIFS(LANÇ_MOV[VALOR LÍQUIDO],LANÇ_MOV[RECEITA OU DESPESA],"Despesa",LANÇ_MOV[CONTAS],$C696,LANÇ_MOV[PLANO DE CONTAS],REL_DRE_FINANCEIRO!$B$651,LANÇ_MOV[ANO PAGAMENTO],$B$4,LANÇ_MOV[MÊS PAGAMENTO CORRESPONDENTE],J$6,LANÇ_MOV[EMPRESA],$C$4,LANÇ_MOV[CENTRO DE CUSTOS],$D$4)</f>
        <v>0</v>
      </c>
      <c r="K696" s="206">
        <f>SUMIFS(LANÇ_MOV[VALOR LÍQUIDO],LANÇ_MOV[RECEITA OU DESPESA],"Despesa",LANÇ_MOV[CONTAS],$C696,LANÇ_MOV[PLANO DE CONTAS],REL_DRE_FINANCEIRO!$B$651,LANÇ_MOV[ANO PAGAMENTO],$B$4,LANÇ_MOV[MÊS PAGAMENTO CORRESPONDENTE],K$6,LANÇ_MOV[EMPRESA],$C$4,LANÇ_MOV[CENTRO DE CUSTOS],$D$4)</f>
        <v>0</v>
      </c>
      <c r="L696" s="206">
        <f>SUMIFS(LANÇ_MOV[VALOR LÍQUIDO],LANÇ_MOV[RECEITA OU DESPESA],"Despesa",LANÇ_MOV[CONTAS],$C696,LANÇ_MOV[PLANO DE CONTAS],REL_DRE_FINANCEIRO!$B$651,LANÇ_MOV[ANO PAGAMENTO],$B$4,LANÇ_MOV[MÊS PAGAMENTO CORRESPONDENTE],L$6,LANÇ_MOV[EMPRESA],$C$4,LANÇ_MOV[CENTRO DE CUSTOS],$D$4)</f>
        <v>0</v>
      </c>
      <c r="M696" s="206">
        <f>SUMIFS(LANÇ_MOV[VALOR LÍQUIDO],LANÇ_MOV[RECEITA OU DESPESA],"Despesa",LANÇ_MOV[CONTAS],$C696,LANÇ_MOV[PLANO DE CONTAS],REL_DRE_FINANCEIRO!$B$651,LANÇ_MOV[ANO PAGAMENTO],$B$4,LANÇ_MOV[MÊS PAGAMENTO CORRESPONDENTE],M$6,LANÇ_MOV[EMPRESA],$C$4,LANÇ_MOV[CENTRO DE CUSTOS],$D$4)</f>
        <v>0</v>
      </c>
      <c r="N696" s="206">
        <f>SUMIFS(LANÇ_MOV[VALOR LÍQUIDO],LANÇ_MOV[RECEITA OU DESPESA],"Despesa",LANÇ_MOV[CONTAS],$C696,LANÇ_MOV[PLANO DE CONTAS],REL_DRE_FINANCEIRO!$B$651,LANÇ_MOV[ANO PAGAMENTO],$B$4,LANÇ_MOV[MÊS PAGAMENTO CORRESPONDENTE],N$6,LANÇ_MOV[EMPRESA],$C$4,LANÇ_MOV[CENTRO DE CUSTOS],$D$4)</f>
        <v>0</v>
      </c>
      <c r="O696" s="206">
        <f>SUMIFS(LANÇ_MOV[VALOR LÍQUIDO],LANÇ_MOV[RECEITA OU DESPESA],"Despesa",LANÇ_MOV[CONTAS],$C696,LANÇ_MOV[PLANO DE CONTAS],REL_DRE_FINANCEIRO!$B$651,LANÇ_MOV[ANO PAGAMENTO],$B$4,LANÇ_MOV[MÊS PAGAMENTO CORRESPONDENTE],O$6,LANÇ_MOV[EMPRESA],$C$4,LANÇ_MOV[CENTRO DE CUSTOS],$D$4)</f>
        <v>0</v>
      </c>
      <c r="P696" s="207">
        <f t="shared" si="88"/>
        <v>0</v>
      </c>
      <c r="Q696" s="329">
        <v>5.5999999999999997E-6</v>
      </c>
      <c r="R696" s="346">
        <f t="shared" si="89"/>
        <v>5.5999999999999997E-6</v>
      </c>
      <c r="S696" s="347" t="str">
        <f t="shared" si="90"/>
        <v>-</v>
      </c>
      <c r="T696" s="347">
        <f t="shared" si="91"/>
        <v>0</v>
      </c>
      <c r="U696" s="347">
        <f>HLOOKUP(Apoio!$P$12,$D$650:$P$751,X696,FALSE)+Q696</f>
        <v>5.5999999999999997E-6</v>
      </c>
      <c r="V696" s="447" t="str">
        <f t="shared" si="92"/>
        <v>-</v>
      </c>
      <c r="W696" s="448">
        <f>HLOOKUP(Apoio!$P$12,$D$650:$P$751,X696,FALSE)</f>
        <v>0</v>
      </c>
      <c r="X696" s="329">
        <v>47</v>
      </c>
    </row>
    <row r="697" spans="2:24" ht="30.05" customHeight="1" x14ac:dyDescent="0.35">
      <c r="B697" s="204" t="str">
        <f>'CAD_PL_REC-DESP'!W50</f>
        <v>2.5.46</v>
      </c>
      <c r="C697" s="205" t="str">
        <f>IF('CAD_PL_REC-DESP'!X50="","-",'CAD_PL_REC-DESP'!X50)</f>
        <v>-</v>
      </c>
      <c r="D697" s="206">
        <f>SUMIFS(LANÇ_MOV[VALOR LÍQUIDO],LANÇ_MOV[RECEITA OU DESPESA],"Despesa",LANÇ_MOV[CONTAS],$C697,LANÇ_MOV[PLANO DE CONTAS],REL_DRE_FINANCEIRO!$B$651,LANÇ_MOV[ANO PAGAMENTO],$B$4,LANÇ_MOV[MÊS PAGAMENTO CORRESPONDENTE],D$6,LANÇ_MOV[EMPRESA],$C$4,LANÇ_MOV[CENTRO DE CUSTOS],$D$4)</f>
        <v>0</v>
      </c>
      <c r="E697" s="206">
        <f>SUMIFS(LANÇ_MOV[VALOR LÍQUIDO],LANÇ_MOV[RECEITA OU DESPESA],"Despesa",LANÇ_MOV[CONTAS],$C697,LANÇ_MOV[PLANO DE CONTAS],REL_DRE_FINANCEIRO!$B$651,LANÇ_MOV[ANO PAGAMENTO],$B$4,LANÇ_MOV[MÊS PAGAMENTO CORRESPONDENTE],E$6,LANÇ_MOV[EMPRESA],$C$4,LANÇ_MOV[CENTRO DE CUSTOS],$D$4)</f>
        <v>0</v>
      </c>
      <c r="F697" s="206">
        <f>SUMIFS(LANÇ_MOV[VALOR LÍQUIDO],LANÇ_MOV[RECEITA OU DESPESA],"Despesa",LANÇ_MOV[CONTAS],$C697,LANÇ_MOV[PLANO DE CONTAS],REL_DRE_FINANCEIRO!$B$651,LANÇ_MOV[ANO PAGAMENTO],$B$4,LANÇ_MOV[MÊS PAGAMENTO CORRESPONDENTE],F$6,LANÇ_MOV[EMPRESA],$C$4,LANÇ_MOV[CENTRO DE CUSTOS],$D$4)</f>
        <v>0</v>
      </c>
      <c r="G697" s="206">
        <f>SUMIFS(LANÇ_MOV[VALOR LÍQUIDO],LANÇ_MOV[RECEITA OU DESPESA],"Despesa",LANÇ_MOV[CONTAS],$C697,LANÇ_MOV[PLANO DE CONTAS],REL_DRE_FINANCEIRO!$B$651,LANÇ_MOV[ANO PAGAMENTO],$B$4,LANÇ_MOV[MÊS PAGAMENTO CORRESPONDENTE],G$6,LANÇ_MOV[EMPRESA],$C$4,LANÇ_MOV[CENTRO DE CUSTOS],$D$4)</f>
        <v>0</v>
      </c>
      <c r="H697" s="206">
        <f>SUMIFS(LANÇ_MOV[VALOR LÍQUIDO],LANÇ_MOV[RECEITA OU DESPESA],"Despesa",LANÇ_MOV[CONTAS],$C697,LANÇ_MOV[PLANO DE CONTAS],REL_DRE_FINANCEIRO!$B$651,LANÇ_MOV[ANO PAGAMENTO],$B$4,LANÇ_MOV[MÊS PAGAMENTO CORRESPONDENTE],H$6,LANÇ_MOV[EMPRESA],$C$4,LANÇ_MOV[CENTRO DE CUSTOS],$D$4)</f>
        <v>0</v>
      </c>
      <c r="I697" s="206">
        <f>SUMIFS(LANÇ_MOV[VALOR LÍQUIDO],LANÇ_MOV[RECEITA OU DESPESA],"Despesa",LANÇ_MOV[CONTAS],$C697,LANÇ_MOV[PLANO DE CONTAS],REL_DRE_FINANCEIRO!$B$651,LANÇ_MOV[ANO PAGAMENTO],$B$4,LANÇ_MOV[MÊS PAGAMENTO CORRESPONDENTE],I$6,LANÇ_MOV[EMPRESA],$C$4,LANÇ_MOV[CENTRO DE CUSTOS],$D$4)</f>
        <v>0</v>
      </c>
      <c r="J697" s="206">
        <f>SUMIFS(LANÇ_MOV[VALOR LÍQUIDO],LANÇ_MOV[RECEITA OU DESPESA],"Despesa",LANÇ_MOV[CONTAS],$C697,LANÇ_MOV[PLANO DE CONTAS],REL_DRE_FINANCEIRO!$B$651,LANÇ_MOV[ANO PAGAMENTO],$B$4,LANÇ_MOV[MÊS PAGAMENTO CORRESPONDENTE],J$6,LANÇ_MOV[EMPRESA],$C$4,LANÇ_MOV[CENTRO DE CUSTOS],$D$4)</f>
        <v>0</v>
      </c>
      <c r="K697" s="206">
        <f>SUMIFS(LANÇ_MOV[VALOR LÍQUIDO],LANÇ_MOV[RECEITA OU DESPESA],"Despesa",LANÇ_MOV[CONTAS],$C697,LANÇ_MOV[PLANO DE CONTAS],REL_DRE_FINANCEIRO!$B$651,LANÇ_MOV[ANO PAGAMENTO],$B$4,LANÇ_MOV[MÊS PAGAMENTO CORRESPONDENTE],K$6,LANÇ_MOV[EMPRESA],$C$4,LANÇ_MOV[CENTRO DE CUSTOS],$D$4)</f>
        <v>0</v>
      </c>
      <c r="L697" s="206">
        <f>SUMIFS(LANÇ_MOV[VALOR LÍQUIDO],LANÇ_MOV[RECEITA OU DESPESA],"Despesa",LANÇ_MOV[CONTAS],$C697,LANÇ_MOV[PLANO DE CONTAS],REL_DRE_FINANCEIRO!$B$651,LANÇ_MOV[ANO PAGAMENTO],$B$4,LANÇ_MOV[MÊS PAGAMENTO CORRESPONDENTE],L$6,LANÇ_MOV[EMPRESA],$C$4,LANÇ_MOV[CENTRO DE CUSTOS],$D$4)</f>
        <v>0</v>
      </c>
      <c r="M697" s="206">
        <f>SUMIFS(LANÇ_MOV[VALOR LÍQUIDO],LANÇ_MOV[RECEITA OU DESPESA],"Despesa",LANÇ_MOV[CONTAS],$C697,LANÇ_MOV[PLANO DE CONTAS],REL_DRE_FINANCEIRO!$B$651,LANÇ_MOV[ANO PAGAMENTO],$B$4,LANÇ_MOV[MÊS PAGAMENTO CORRESPONDENTE],M$6,LANÇ_MOV[EMPRESA],$C$4,LANÇ_MOV[CENTRO DE CUSTOS],$D$4)</f>
        <v>0</v>
      </c>
      <c r="N697" s="206">
        <f>SUMIFS(LANÇ_MOV[VALOR LÍQUIDO],LANÇ_MOV[RECEITA OU DESPESA],"Despesa",LANÇ_MOV[CONTAS],$C697,LANÇ_MOV[PLANO DE CONTAS],REL_DRE_FINANCEIRO!$B$651,LANÇ_MOV[ANO PAGAMENTO],$B$4,LANÇ_MOV[MÊS PAGAMENTO CORRESPONDENTE],N$6,LANÇ_MOV[EMPRESA],$C$4,LANÇ_MOV[CENTRO DE CUSTOS],$D$4)</f>
        <v>0</v>
      </c>
      <c r="O697" s="206">
        <f>SUMIFS(LANÇ_MOV[VALOR LÍQUIDO],LANÇ_MOV[RECEITA OU DESPESA],"Despesa",LANÇ_MOV[CONTAS],$C697,LANÇ_MOV[PLANO DE CONTAS],REL_DRE_FINANCEIRO!$B$651,LANÇ_MOV[ANO PAGAMENTO],$B$4,LANÇ_MOV[MÊS PAGAMENTO CORRESPONDENTE],O$6,LANÇ_MOV[EMPRESA],$C$4,LANÇ_MOV[CENTRO DE CUSTOS],$D$4)</f>
        <v>0</v>
      </c>
      <c r="P697" s="207">
        <f t="shared" si="88"/>
        <v>0</v>
      </c>
      <c r="Q697" s="329">
        <v>5.4999999999999999E-6</v>
      </c>
      <c r="R697" s="346">
        <f t="shared" si="89"/>
        <v>5.4999999999999999E-6</v>
      </c>
      <c r="S697" s="347" t="str">
        <f t="shared" si="90"/>
        <v>-</v>
      </c>
      <c r="T697" s="347">
        <f t="shared" si="91"/>
        <v>0</v>
      </c>
      <c r="U697" s="347">
        <f>HLOOKUP(Apoio!$P$12,$D$650:$P$751,X697,FALSE)+Q697</f>
        <v>5.4999999999999999E-6</v>
      </c>
      <c r="V697" s="447" t="str">
        <f t="shared" si="92"/>
        <v>-</v>
      </c>
      <c r="W697" s="448">
        <f>HLOOKUP(Apoio!$P$12,$D$650:$P$751,X697,FALSE)</f>
        <v>0</v>
      </c>
      <c r="X697" s="329">
        <v>48</v>
      </c>
    </row>
    <row r="698" spans="2:24" ht="30.05" customHeight="1" x14ac:dyDescent="0.35">
      <c r="B698" s="204" t="str">
        <f>'CAD_PL_REC-DESP'!W51</f>
        <v>2.5.47</v>
      </c>
      <c r="C698" s="205" t="str">
        <f>IF('CAD_PL_REC-DESP'!X51="","-",'CAD_PL_REC-DESP'!X51)</f>
        <v>-</v>
      </c>
      <c r="D698" s="206">
        <f>SUMIFS(LANÇ_MOV[VALOR LÍQUIDO],LANÇ_MOV[RECEITA OU DESPESA],"Despesa",LANÇ_MOV[CONTAS],$C698,LANÇ_MOV[PLANO DE CONTAS],REL_DRE_FINANCEIRO!$B$651,LANÇ_MOV[ANO PAGAMENTO],$B$4,LANÇ_MOV[MÊS PAGAMENTO CORRESPONDENTE],D$6,LANÇ_MOV[EMPRESA],$C$4,LANÇ_MOV[CENTRO DE CUSTOS],$D$4)</f>
        <v>0</v>
      </c>
      <c r="E698" s="206">
        <f>SUMIFS(LANÇ_MOV[VALOR LÍQUIDO],LANÇ_MOV[RECEITA OU DESPESA],"Despesa",LANÇ_MOV[CONTAS],$C698,LANÇ_MOV[PLANO DE CONTAS],REL_DRE_FINANCEIRO!$B$651,LANÇ_MOV[ANO PAGAMENTO],$B$4,LANÇ_MOV[MÊS PAGAMENTO CORRESPONDENTE],E$6,LANÇ_MOV[EMPRESA],$C$4,LANÇ_MOV[CENTRO DE CUSTOS],$D$4)</f>
        <v>0</v>
      </c>
      <c r="F698" s="206">
        <f>SUMIFS(LANÇ_MOV[VALOR LÍQUIDO],LANÇ_MOV[RECEITA OU DESPESA],"Despesa",LANÇ_MOV[CONTAS],$C698,LANÇ_MOV[PLANO DE CONTAS],REL_DRE_FINANCEIRO!$B$651,LANÇ_MOV[ANO PAGAMENTO],$B$4,LANÇ_MOV[MÊS PAGAMENTO CORRESPONDENTE],F$6,LANÇ_MOV[EMPRESA],$C$4,LANÇ_MOV[CENTRO DE CUSTOS],$D$4)</f>
        <v>0</v>
      </c>
      <c r="G698" s="206">
        <f>SUMIFS(LANÇ_MOV[VALOR LÍQUIDO],LANÇ_MOV[RECEITA OU DESPESA],"Despesa",LANÇ_MOV[CONTAS],$C698,LANÇ_MOV[PLANO DE CONTAS],REL_DRE_FINANCEIRO!$B$651,LANÇ_MOV[ANO PAGAMENTO],$B$4,LANÇ_MOV[MÊS PAGAMENTO CORRESPONDENTE],G$6,LANÇ_MOV[EMPRESA],$C$4,LANÇ_MOV[CENTRO DE CUSTOS],$D$4)</f>
        <v>0</v>
      </c>
      <c r="H698" s="206">
        <f>SUMIFS(LANÇ_MOV[VALOR LÍQUIDO],LANÇ_MOV[RECEITA OU DESPESA],"Despesa",LANÇ_MOV[CONTAS],$C698,LANÇ_MOV[PLANO DE CONTAS],REL_DRE_FINANCEIRO!$B$651,LANÇ_MOV[ANO PAGAMENTO],$B$4,LANÇ_MOV[MÊS PAGAMENTO CORRESPONDENTE],H$6,LANÇ_MOV[EMPRESA],$C$4,LANÇ_MOV[CENTRO DE CUSTOS],$D$4)</f>
        <v>0</v>
      </c>
      <c r="I698" s="206">
        <f>SUMIFS(LANÇ_MOV[VALOR LÍQUIDO],LANÇ_MOV[RECEITA OU DESPESA],"Despesa",LANÇ_MOV[CONTAS],$C698,LANÇ_MOV[PLANO DE CONTAS],REL_DRE_FINANCEIRO!$B$651,LANÇ_MOV[ANO PAGAMENTO],$B$4,LANÇ_MOV[MÊS PAGAMENTO CORRESPONDENTE],I$6,LANÇ_MOV[EMPRESA],$C$4,LANÇ_MOV[CENTRO DE CUSTOS],$D$4)</f>
        <v>0</v>
      </c>
      <c r="J698" s="206">
        <f>SUMIFS(LANÇ_MOV[VALOR LÍQUIDO],LANÇ_MOV[RECEITA OU DESPESA],"Despesa",LANÇ_MOV[CONTAS],$C698,LANÇ_MOV[PLANO DE CONTAS],REL_DRE_FINANCEIRO!$B$651,LANÇ_MOV[ANO PAGAMENTO],$B$4,LANÇ_MOV[MÊS PAGAMENTO CORRESPONDENTE],J$6,LANÇ_MOV[EMPRESA],$C$4,LANÇ_MOV[CENTRO DE CUSTOS],$D$4)</f>
        <v>0</v>
      </c>
      <c r="K698" s="206">
        <f>SUMIFS(LANÇ_MOV[VALOR LÍQUIDO],LANÇ_MOV[RECEITA OU DESPESA],"Despesa",LANÇ_MOV[CONTAS],$C698,LANÇ_MOV[PLANO DE CONTAS],REL_DRE_FINANCEIRO!$B$651,LANÇ_MOV[ANO PAGAMENTO],$B$4,LANÇ_MOV[MÊS PAGAMENTO CORRESPONDENTE],K$6,LANÇ_MOV[EMPRESA],$C$4,LANÇ_MOV[CENTRO DE CUSTOS],$D$4)</f>
        <v>0</v>
      </c>
      <c r="L698" s="206">
        <f>SUMIFS(LANÇ_MOV[VALOR LÍQUIDO],LANÇ_MOV[RECEITA OU DESPESA],"Despesa",LANÇ_MOV[CONTAS],$C698,LANÇ_MOV[PLANO DE CONTAS],REL_DRE_FINANCEIRO!$B$651,LANÇ_MOV[ANO PAGAMENTO],$B$4,LANÇ_MOV[MÊS PAGAMENTO CORRESPONDENTE],L$6,LANÇ_MOV[EMPRESA],$C$4,LANÇ_MOV[CENTRO DE CUSTOS],$D$4)</f>
        <v>0</v>
      </c>
      <c r="M698" s="206">
        <f>SUMIFS(LANÇ_MOV[VALOR LÍQUIDO],LANÇ_MOV[RECEITA OU DESPESA],"Despesa",LANÇ_MOV[CONTAS],$C698,LANÇ_MOV[PLANO DE CONTAS],REL_DRE_FINANCEIRO!$B$651,LANÇ_MOV[ANO PAGAMENTO],$B$4,LANÇ_MOV[MÊS PAGAMENTO CORRESPONDENTE],M$6,LANÇ_MOV[EMPRESA],$C$4,LANÇ_MOV[CENTRO DE CUSTOS],$D$4)</f>
        <v>0</v>
      </c>
      <c r="N698" s="206">
        <f>SUMIFS(LANÇ_MOV[VALOR LÍQUIDO],LANÇ_MOV[RECEITA OU DESPESA],"Despesa",LANÇ_MOV[CONTAS],$C698,LANÇ_MOV[PLANO DE CONTAS],REL_DRE_FINANCEIRO!$B$651,LANÇ_MOV[ANO PAGAMENTO],$B$4,LANÇ_MOV[MÊS PAGAMENTO CORRESPONDENTE],N$6,LANÇ_MOV[EMPRESA],$C$4,LANÇ_MOV[CENTRO DE CUSTOS],$D$4)</f>
        <v>0</v>
      </c>
      <c r="O698" s="206">
        <f>SUMIFS(LANÇ_MOV[VALOR LÍQUIDO],LANÇ_MOV[RECEITA OU DESPESA],"Despesa",LANÇ_MOV[CONTAS],$C698,LANÇ_MOV[PLANO DE CONTAS],REL_DRE_FINANCEIRO!$B$651,LANÇ_MOV[ANO PAGAMENTO],$B$4,LANÇ_MOV[MÊS PAGAMENTO CORRESPONDENTE],O$6,LANÇ_MOV[EMPRESA],$C$4,LANÇ_MOV[CENTRO DE CUSTOS],$D$4)</f>
        <v>0</v>
      </c>
      <c r="P698" s="207">
        <f t="shared" si="88"/>
        <v>0</v>
      </c>
      <c r="Q698" s="329">
        <v>5.4E-6</v>
      </c>
      <c r="R698" s="346">
        <f t="shared" si="89"/>
        <v>5.4E-6</v>
      </c>
      <c r="S698" s="347" t="str">
        <f t="shared" si="90"/>
        <v>-</v>
      </c>
      <c r="T698" s="347">
        <f t="shared" si="91"/>
        <v>0</v>
      </c>
      <c r="U698" s="347">
        <f>HLOOKUP(Apoio!$P$12,$D$650:$P$751,X698,FALSE)+Q698</f>
        <v>5.4E-6</v>
      </c>
      <c r="V698" s="447" t="str">
        <f t="shared" si="92"/>
        <v>-</v>
      </c>
      <c r="W698" s="448">
        <f>HLOOKUP(Apoio!$P$12,$D$650:$P$751,X698,FALSE)</f>
        <v>0</v>
      </c>
      <c r="X698" s="329">
        <v>49</v>
      </c>
    </row>
    <row r="699" spans="2:24" ht="30.05" customHeight="1" x14ac:dyDescent="0.35">
      <c r="B699" s="204" t="str">
        <f>'CAD_PL_REC-DESP'!W52</f>
        <v>2.5.48</v>
      </c>
      <c r="C699" s="205" t="str">
        <f>IF('CAD_PL_REC-DESP'!X52="","-",'CAD_PL_REC-DESP'!X52)</f>
        <v>-</v>
      </c>
      <c r="D699" s="206">
        <f>SUMIFS(LANÇ_MOV[VALOR LÍQUIDO],LANÇ_MOV[RECEITA OU DESPESA],"Despesa",LANÇ_MOV[CONTAS],$C699,LANÇ_MOV[PLANO DE CONTAS],REL_DRE_FINANCEIRO!$B$651,LANÇ_MOV[ANO PAGAMENTO],$B$4,LANÇ_MOV[MÊS PAGAMENTO CORRESPONDENTE],D$6,LANÇ_MOV[EMPRESA],$C$4,LANÇ_MOV[CENTRO DE CUSTOS],$D$4)</f>
        <v>0</v>
      </c>
      <c r="E699" s="206">
        <f>SUMIFS(LANÇ_MOV[VALOR LÍQUIDO],LANÇ_MOV[RECEITA OU DESPESA],"Despesa",LANÇ_MOV[CONTAS],$C699,LANÇ_MOV[PLANO DE CONTAS],REL_DRE_FINANCEIRO!$B$651,LANÇ_MOV[ANO PAGAMENTO],$B$4,LANÇ_MOV[MÊS PAGAMENTO CORRESPONDENTE],E$6,LANÇ_MOV[EMPRESA],$C$4,LANÇ_MOV[CENTRO DE CUSTOS],$D$4)</f>
        <v>0</v>
      </c>
      <c r="F699" s="206">
        <f>SUMIFS(LANÇ_MOV[VALOR LÍQUIDO],LANÇ_MOV[RECEITA OU DESPESA],"Despesa",LANÇ_MOV[CONTAS],$C699,LANÇ_MOV[PLANO DE CONTAS],REL_DRE_FINANCEIRO!$B$651,LANÇ_MOV[ANO PAGAMENTO],$B$4,LANÇ_MOV[MÊS PAGAMENTO CORRESPONDENTE],F$6,LANÇ_MOV[EMPRESA],$C$4,LANÇ_MOV[CENTRO DE CUSTOS],$D$4)</f>
        <v>0</v>
      </c>
      <c r="G699" s="206">
        <f>SUMIFS(LANÇ_MOV[VALOR LÍQUIDO],LANÇ_MOV[RECEITA OU DESPESA],"Despesa",LANÇ_MOV[CONTAS],$C699,LANÇ_MOV[PLANO DE CONTAS],REL_DRE_FINANCEIRO!$B$651,LANÇ_MOV[ANO PAGAMENTO],$B$4,LANÇ_MOV[MÊS PAGAMENTO CORRESPONDENTE],G$6,LANÇ_MOV[EMPRESA],$C$4,LANÇ_MOV[CENTRO DE CUSTOS],$D$4)</f>
        <v>0</v>
      </c>
      <c r="H699" s="206">
        <f>SUMIFS(LANÇ_MOV[VALOR LÍQUIDO],LANÇ_MOV[RECEITA OU DESPESA],"Despesa",LANÇ_MOV[CONTAS],$C699,LANÇ_MOV[PLANO DE CONTAS],REL_DRE_FINANCEIRO!$B$651,LANÇ_MOV[ANO PAGAMENTO],$B$4,LANÇ_MOV[MÊS PAGAMENTO CORRESPONDENTE],H$6,LANÇ_MOV[EMPRESA],$C$4,LANÇ_MOV[CENTRO DE CUSTOS],$D$4)</f>
        <v>0</v>
      </c>
      <c r="I699" s="206">
        <f>SUMIFS(LANÇ_MOV[VALOR LÍQUIDO],LANÇ_MOV[RECEITA OU DESPESA],"Despesa",LANÇ_MOV[CONTAS],$C699,LANÇ_MOV[PLANO DE CONTAS],REL_DRE_FINANCEIRO!$B$651,LANÇ_MOV[ANO PAGAMENTO],$B$4,LANÇ_MOV[MÊS PAGAMENTO CORRESPONDENTE],I$6,LANÇ_MOV[EMPRESA],$C$4,LANÇ_MOV[CENTRO DE CUSTOS],$D$4)</f>
        <v>0</v>
      </c>
      <c r="J699" s="206">
        <f>SUMIFS(LANÇ_MOV[VALOR LÍQUIDO],LANÇ_MOV[RECEITA OU DESPESA],"Despesa",LANÇ_MOV[CONTAS],$C699,LANÇ_MOV[PLANO DE CONTAS],REL_DRE_FINANCEIRO!$B$651,LANÇ_MOV[ANO PAGAMENTO],$B$4,LANÇ_MOV[MÊS PAGAMENTO CORRESPONDENTE],J$6,LANÇ_MOV[EMPRESA],$C$4,LANÇ_MOV[CENTRO DE CUSTOS],$D$4)</f>
        <v>0</v>
      </c>
      <c r="K699" s="206">
        <f>SUMIFS(LANÇ_MOV[VALOR LÍQUIDO],LANÇ_MOV[RECEITA OU DESPESA],"Despesa",LANÇ_MOV[CONTAS],$C699,LANÇ_MOV[PLANO DE CONTAS],REL_DRE_FINANCEIRO!$B$651,LANÇ_MOV[ANO PAGAMENTO],$B$4,LANÇ_MOV[MÊS PAGAMENTO CORRESPONDENTE],K$6,LANÇ_MOV[EMPRESA],$C$4,LANÇ_MOV[CENTRO DE CUSTOS],$D$4)</f>
        <v>0</v>
      </c>
      <c r="L699" s="206">
        <f>SUMIFS(LANÇ_MOV[VALOR LÍQUIDO],LANÇ_MOV[RECEITA OU DESPESA],"Despesa",LANÇ_MOV[CONTAS],$C699,LANÇ_MOV[PLANO DE CONTAS],REL_DRE_FINANCEIRO!$B$651,LANÇ_MOV[ANO PAGAMENTO],$B$4,LANÇ_MOV[MÊS PAGAMENTO CORRESPONDENTE],L$6,LANÇ_MOV[EMPRESA],$C$4,LANÇ_MOV[CENTRO DE CUSTOS],$D$4)</f>
        <v>0</v>
      </c>
      <c r="M699" s="206">
        <f>SUMIFS(LANÇ_MOV[VALOR LÍQUIDO],LANÇ_MOV[RECEITA OU DESPESA],"Despesa",LANÇ_MOV[CONTAS],$C699,LANÇ_MOV[PLANO DE CONTAS],REL_DRE_FINANCEIRO!$B$651,LANÇ_MOV[ANO PAGAMENTO],$B$4,LANÇ_MOV[MÊS PAGAMENTO CORRESPONDENTE],M$6,LANÇ_MOV[EMPRESA],$C$4,LANÇ_MOV[CENTRO DE CUSTOS],$D$4)</f>
        <v>0</v>
      </c>
      <c r="N699" s="206">
        <f>SUMIFS(LANÇ_MOV[VALOR LÍQUIDO],LANÇ_MOV[RECEITA OU DESPESA],"Despesa",LANÇ_MOV[CONTAS],$C699,LANÇ_MOV[PLANO DE CONTAS],REL_DRE_FINANCEIRO!$B$651,LANÇ_MOV[ANO PAGAMENTO],$B$4,LANÇ_MOV[MÊS PAGAMENTO CORRESPONDENTE],N$6,LANÇ_MOV[EMPRESA],$C$4,LANÇ_MOV[CENTRO DE CUSTOS],$D$4)</f>
        <v>0</v>
      </c>
      <c r="O699" s="206">
        <f>SUMIFS(LANÇ_MOV[VALOR LÍQUIDO],LANÇ_MOV[RECEITA OU DESPESA],"Despesa",LANÇ_MOV[CONTAS],$C699,LANÇ_MOV[PLANO DE CONTAS],REL_DRE_FINANCEIRO!$B$651,LANÇ_MOV[ANO PAGAMENTO],$B$4,LANÇ_MOV[MÊS PAGAMENTO CORRESPONDENTE],O$6,LANÇ_MOV[EMPRESA],$C$4,LANÇ_MOV[CENTRO DE CUSTOS],$D$4)</f>
        <v>0</v>
      </c>
      <c r="P699" s="207">
        <f t="shared" si="88"/>
        <v>0</v>
      </c>
      <c r="Q699" s="329">
        <v>5.3000000000000001E-6</v>
      </c>
      <c r="R699" s="346">
        <f t="shared" si="89"/>
        <v>5.3000000000000001E-6</v>
      </c>
      <c r="S699" s="347" t="str">
        <f t="shared" si="90"/>
        <v>-</v>
      </c>
      <c r="T699" s="347">
        <f t="shared" si="91"/>
        <v>0</v>
      </c>
      <c r="U699" s="347">
        <f>HLOOKUP(Apoio!$P$12,$D$650:$P$751,X699,FALSE)+Q699</f>
        <v>5.3000000000000001E-6</v>
      </c>
      <c r="V699" s="447" t="str">
        <f t="shared" si="92"/>
        <v>-</v>
      </c>
      <c r="W699" s="448">
        <f>HLOOKUP(Apoio!$P$12,$D$650:$P$751,X699,FALSE)</f>
        <v>0</v>
      </c>
      <c r="X699" s="329">
        <v>50</v>
      </c>
    </row>
    <row r="700" spans="2:24" ht="30.05" customHeight="1" x14ac:dyDescent="0.35">
      <c r="B700" s="204" t="str">
        <f>'CAD_PL_REC-DESP'!W53</f>
        <v>2.5.49</v>
      </c>
      <c r="C700" s="205" t="str">
        <f>IF('CAD_PL_REC-DESP'!X53="","-",'CAD_PL_REC-DESP'!X53)</f>
        <v>-</v>
      </c>
      <c r="D700" s="206">
        <f>SUMIFS(LANÇ_MOV[VALOR LÍQUIDO],LANÇ_MOV[RECEITA OU DESPESA],"Despesa",LANÇ_MOV[CONTAS],$C700,LANÇ_MOV[PLANO DE CONTAS],REL_DRE_FINANCEIRO!$B$651,LANÇ_MOV[ANO PAGAMENTO],$B$4,LANÇ_MOV[MÊS PAGAMENTO CORRESPONDENTE],D$6,LANÇ_MOV[EMPRESA],$C$4,LANÇ_MOV[CENTRO DE CUSTOS],$D$4)</f>
        <v>0</v>
      </c>
      <c r="E700" s="206">
        <f>SUMIFS(LANÇ_MOV[VALOR LÍQUIDO],LANÇ_MOV[RECEITA OU DESPESA],"Despesa",LANÇ_MOV[CONTAS],$C700,LANÇ_MOV[PLANO DE CONTAS],REL_DRE_FINANCEIRO!$B$651,LANÇ_MOV[ANO PAGAMENTO],$B$4,LANÇ_MOV[MÊS PAGAMENTO CORRESPONDENTE],E$6,LANÇ_MOV[EMPRESA],$C$4,LANÇ_MOV[CENTRO DE CUSTOS],$D$4)</f>
        <v>0</v>
      </c>
      <c r="F700" s="206">
        <f>SUMIFS(LANÇ_MOV[VALOR LÍQUIDO],LANÇ_MOV[RECEITA OU DESPESA],"Despesa",LANÇ_MOV[CONTAS],$C700,LANÇ_MOV[PLANO DE CONTAS],REL_DRE_FINANCEIRO!$B$651,LANÇ_MOV[ANO PAGAMENTO],$B$4,LANÇ_MOV[MÊS PAGAMENTO CORRESPONDENTE],F$6,LANÇ_MOV[EMPRESA],$C$4,LANÇ_MOV[CENTRO DE CUSTOS],$D$4)</f>
        <v>0</v>
      </c>
      <c r="G700" s="206">
        <f>SUMIFS(LANÇ_MOV[VALOR LÍQUIDO],LANÇ_MOV[RECEITA OU DESPESA],"Despesa",LANÇ_MOV[CONTAS],$C700,LANÇ_MOV[PLANO DE CONTAS],REL_DRE_FINANCEIRO!$B$651,LANÇ_MOV[ANO PAGAMENTO],$B$4,LANÇ_MOV[MÊS PAGAMENTO CORRESPONDENTE],G$6,LANÇ_MOV[EMPRESA],$C$4,LANÇ_MOV[CENTRO DE CUSTOS],$D$4)</f>
        <v>0</v>
      </c>
      <c r="H700" s="206">
        <f>SUMIFS(LANÇ_MOV[VALOR LÍQUIDO],LANÇ_MOV[RECEITA OU DESPESA],"Despesa",LANÇ_MOV[CONTAS],$C700,LANÇ_MOV[PLANO DE CONTAS],REL_DRE_FINANCEIRO!$B$651,LANÇ_MOV[ANO PAGAMENTO],$B$4,LANÇ_MOV[MÊS PAGAMENTO CORRESPONDENTE],H$6,LANÇ_MOV[EMPRESA],$C$4,LANÇ_MOV[CENTRO DE CUSTOS],$D$4)</f>
        <v>0</v>
      </c>
      <c r="I700" s="206">
        <f>SUMIFS(LANÇ_MOV[VALOR LÍQUIDO],LANÇ_MOV[RECEITA OU DESPESA],"Despesa",LANÇ_MOV[CONTAS],$C700,LANÇ_MOV[PLANO DE CONTAS],REL_DRE_FINANCEIRO!$B$651,LANÇ_MOV[ANO PAGAMENTO],$B$4,LANÇ_MOV[MÊS PAGAMENTO CORRESPONDENTE],I$6,LANÇ_MOV[EMPRESA],$C$4,LANÇ_MOV[CENTRO DE CUSTOS],$D$4)</f>
        <v>0</v>
      </c>
      <c r="J700" s="206">
        <f>SUMIFS(LANÇ_MOV[VALOR LÍQUIDO],LANÇ_MOV[RECEITA OU DESPESA],"Despesa",LANÇ_MOV[CONTAS],$C700,LANÇ_MOV[PLANO DE CONTAS],REL_DRE_FINANCEIRO!$B$651,LANÇ_MOV[ANO PAGAMENTO],$B$4,LANÇ_MOV[MÊS PAGAMENTO CORRESPONDENTE],J$6,LANÇ_MOV[EMPRESA],$C$4,LANÇ_MOV[CENTRO DE CUSTOS],$D$4)</f>
        <v>0</v>
      </c>
      <c r="K700" s="206">
        <f>SUMIFS(LANÇ_MOV[VALOR LÍQUIDO],LANÇ_MOV[RECEITA OU DESPESA],"Despesa",LANÇ_MOV[CONTAS],$C700,LANÇ_MOV[PLANO DE CONTAS],REL_DRE_FINANCEIRO!$B$651,LANÇ_MOV[ANO PAGAMENTO],$B$4,LANÇ_MOV[MÊS PAGAMENTO CORRESPONDENTE],K$6,LANÇ_MOV[EMPRESA],$C$4,LANÇ_MOV[CENTRO DE CUSTOS],$D$4)</f>
        <v>0</v>
      </c>
      <c r="L700" s="206">
        <f>SUMIFS(LANÇ_MOV[VALOR LÍQUIDO],LANÇ_MOV[RECEITA OU DESPESA],"Despesa",LANÇ_MOV[CONTAS],$C700,LANÇ_MOV[PLANO DE CONTAS],REL_DRE_FINANCEIRO!$B$651,LANÇ_MOV[ANO PAGAMENTO],$B$4,LANÇ_MOV[MÊS PAGAMENTO CORRESPONDENTE],L$6,LANÇ_MOV[EMPRESA],$C$4,LANÇ_MOV[CENTRO DE CUSTOS],$D$4)</f>
        <v>0</v>
      </c>
      <c r="M700" s="206">
        <f>SUMIFS(LANÇ_MOV[VALOR LÍQUIDO],LANÇ_MOV[RECEITA OU DESPESA],"Despesa",LANÇ_MOV[CONTAS],$C700,LANÇ_MOV[PLANO DE CONTAS],REL_DRE_FINANCEIRO!$B$651,LANÇ_MOV[ANO PAGAMENTO],$B$4,LANÇ_MOV[MÊS PAGAMENTO CORRESPONDENTE],M$6,LANÇ_MOV[EMPRESA],$C$4,LANÇ_MOV[CENTRO DE CUSTOS],$D$4)</f>
        <v>0</v>
      </c>
      <c r="N700" s="206">
        <f>SUMIFS(LANÇ_MOV[VALOR LÍQUIDO],LANÇ_MOV[RECEITA OU DESPESA],"Despesa",LANÇ_MOV[CONTAS],$C700,LANÇ_MOV[PLANO DE CONTAS],REL_DRE_FINANCEIRO!$B$651,LANÇ_MOV[ANO PAGAMENTO],$B$4,LANÇ_MOV[MÊS PAGAMENTO CORRESPONDENTE],N$6,LANÇ_MOV[EMPRESA],$C$4,LANÇ_MOV[CENTRO DE CUSTOS],$D$4)</f>
        <v>0</v>
      </c>
      <c r="O700" s="206">
        <f>SUMIFS(LANÇ_MOV[VALOR LÍQUIDO],LANÇ_MOV[RECEITA OU DESPESA],"Despesa",LANÇ_MOV[CONTAS],$C700,LANÇ_MOV[PLANO DE CONTAS],REL_DRE_FINANCEIRO!$B$651,LANÇ_MOV[ANO PAGAMENTO],$B$4,LANÇ_MOV[MÊS PAGAMENTO CORRESPONDENTE],O$6,LANÇ_MOV[EMPRESA],$C$4,LANÇ_MOV[CENTRO DE CUSTOS],$D$4)</f>
        <v>0</v>
      </c>
      <c r="P700" s="207">
        <f t="shared" si="88"/>
        <v>0</v>
      </c>
      <c r="Q700" s="329">
        <v>5.2000000000000002E-6</v>
      </c>
      <c r="R700" s="346">
        <f t="shared" si="89"/>
        <v>5.2000000000000002E-6</v>
      </c>
      <c r="S700" s="347" t="str">
        <f t="shared" si="90"/>
        <v>-</v>
      </c>
      <c r="T700" s="347">
        <f t="shared" si="91"/>
        <v>0</v>
      </c>
      <c r="U700" s="347">
        <f>HLOOKUP(Apoio!$P$12,$D$650:$P$751,X700,FALSE)+Q700</f>
        <v>5.2000000000000002E-6</v>
      </c>
      <c r="V700" s="447" t="str">
        <f t="shared" si="92"/>
        <v>-</v>
      </c>
      <c r="W700" s="448">
        <f>HLOOKUP(Apoio!$P$12,$D$650:$P$751,X700,FALSE)</f>
        <v>0</v>
      </c>
      <c r="X700" s="329">
        <v>51</v>
      </c>
    </row>
    <row r="701" spans="2:24" ht="30.05" customHeight="1" x14ac:dyDescent="0.35">
      <c r="B701" s="204" t="str">
        <f>'CAD_PL_REC-DESP'!W54</f>
        <v>2.5.50</v>
      </c>
      <c r="C701" s="205" t="str">
        <f>IF('CAD_PL_REC-DESP'!X54="","-",'CAD_PL_REC-DESP'!X54)</f>
        <v>-</v>
      </c>
      <c r="D701" s="206">
        <f>SUMIFS(LANÇ_MOV[VALOR LÍQUIDO],LANÇ_MOV[RECEITA OU DESPESA],"Despesa",LANÇ_MOV[CONTAS],$C701,LANÇ_MOV[PLANO DE CONTAS],REL_DRE_FINANCEIRO!$B$651,LANÇ_MOV[ANO PAGAMENTO],$B$4,LANÇ_MOV[MÊS PAGAMENTO CORRESPONDENTE],D$6,LANÇ_MOV[EMPRESA],$C$4,LANÇ_MOV[CENTRO DE CUSTOS],$D$4)</f>
        <v>0</v>
      </c>
      <c r="E701" s="206">
        <f>SUMIFS(LANÇ_MOV[VALOR LÍQUIDO],LANÇ_MOV[RECEITA OU DESPESA],"Despesa",LANÇ_MOV[CONTAS],$C701,LANÇ_MOV[PLANO DE CONTAS],REL_DRE_FINANCEIRO!$B$651,LANÇ_MOV[ANO PAGAMENTO],$B$4,LANÇ_MOV[MÊS PAGAMENTO CORRESPONDENTE],E$6,LANÇ_MOV[EMPRESA],$C$4,LANÇ_MOV[CENTRO DE CUSTOS],$D$4)</f>
        <v>0</v>
      </c>
      <c r="F701" s="206">
        <f>SUMIFS(LANÇ_MOV[VALOR LÍQUIDO],LANÇ_MOV[RECEITA OU DESPESA],"Despesa",LANÇ_MOV[CONTAS],$C701,LANÇ_MOV[PLANO DE CONTAS],REL_DRE_FINANCEIRO!$B$651,LANÇ_MOV[ANO PAGAMENTO],$B$4,LANÇ_MOV[MÊS PAGAMENTO CORRESPONDENTE],F$6,LANÇ_MOV[EMPRESA],$C$4,LANÇ_MOV[CENTRO DE CUSTOS],$D$4)</f>
        <v>0</v>
      </c>
      <c r="G701" s="206">
        <f>SUMIFS(LANÇ_MOV[VALOR LÍQUIDO],LANÇ_MOV[RECEITA OU DESPESA],"Despesa",LANÇ_MOV[CONTAS],$C701,LANÇ_MOV[PLANO DE CONTAS],REL_DRE_FINANCEIRO!$B$651,LANÇ_MOV[ANO PAGAMENTO],$B$4,LANÇ_MOV[MÊS PAGAMENTO CORRESPONDENTE],G$6,LANÇ_MOV[EMPRESA],$C$4,LANÇ_MOV[CENTRO DE CUSTOS],$D$4)</f>
        <v>0</v>
      </c>
      <c r="H701" s="206">
        <f>SUMIFS(LANÇ_MOV[VALOR LÍQUIDO],LANÇ_MOV[RECEITA OU DESPESA],"Despesa",LANÇ_MOV[CONTAS],$C701,LANÇ_MOV[PLANO DE CONTAS],REL_DRE_FINANCEIRO!$B$651,LANÇ_MOV[ANO PAGAMENTO],$B$4,LANÇ_MOV[MÊS PAGAMENTO CORRESPONDENTE],H$6,LANÇ_MOV[EMPRESA],$C$4,LANÇ_MOV[CENTRO DE CUSTOS],$D$4)</f>
        <v>0</v>
      </c>
      <c r="I701" s="206">
        <f>SUMIFS(LANÇ_MOV[VALOR LÍQUIDO],LANÇ_MOV[RECEITA OU DESPESA],"Despesa",LANÇ_MOV[CONTAS],$C701,LANÇ_MOV[PLANO DE CONTAS],REL_DRE_FINANCEIRO!$B$651,LANÇ_MOV[ANO PAGAMENTO],$B$4,LANÇ_MOV[MÊS PAGAMENTO CORRESPONDENTE],I$6,LANÇ_MOV[EMPRESA],$C$4,LANÇ_MOV[CENTRO DE CUSTOS],$D$4)</f>
        <v>0</v>
      </c>
      <c r="J701" s="206">
        <f>SUMIFS(LANÇ_MOV[VALOR LÍQUIDO],LANÇ_MOV[RECEITA OU DESPESA],"Despesa",LANÇ_MOV[CONTAS],$C701,LANÇ_MOV[PLANO DE CONTAS],REL_DRE_FINANCEIRO!$B$651,LANÇ_MOV[ANO PAGAMENTO],$B$4,LANÇ_MOV[MÊS PAGAMENTO CORRESPONDENTE],J$6,LANÇ_MOV[EMPRESA],$C$4,LANÇ_MOV[CENTRO DE CUSTOS],$D$4)</f>
        <v>0</v>
      </c>
      <c r="K701" s="206">
        <f>SUMIFS(LANÇ_MOV[VALOR LÍQUIDO],LANÇ_MOV[RECEITA OU DESPESA],"Despesa",LANÇ_MOV[CONTAS],$C701,LANÇ_MOV[PLANO DE CONTAS],REL_DRE_FINANCEIRO!$B$651,LANÇ_MOV[ANO PAGAMENTO],$B$4,LANÇ_MOV[MÊS PAGAMENTO CORRESPONDENTE],K$6,LANÇ_MOV[EMPRESA],$C$4,LANÇ_MOV[CENTRO DE CUSTOS],$D$4)</f>
        <v>0</v>
      </c>
      <c r="L701" s="206">
        <f>SUMIFS(LANÇ_MOV[VALOR LÍQUIDO],LANÇ_MOV[RECEITA OU DESPESA],"Despesa",LANÇ_MOV[CONTAS],$C701,LANÇ_MOV[PLANO DE CONTAS],REL_DRE_FINANCEIRO!$B$651,LANÇ_MOV[ANO PAGAMENTO],$B$4,LANÇ_MOV[MÊS PAGAMENTO CORRESPONDENTE],L$6,LANÇ_MOV[EMPRESA],$C$4,LANÇ_MOV[CENTRO DE CUSTOS],$D$4)</f>
        <v>0</v>
      </c>
      <c r="M701" s="206">
        <f>SUMIFS(LANÇ_MOV[VALOR LÍQUIDO],LANÇ_MOV[RECEITA OU DESPESA],"Despesa",LANÇ_MOV[CONTAS],$C701,LANÇ_MOV[PLANO DE CONTAS],REL_DRE_FINANCEIRO!$B$651,LANÇ_MOV[ANO PAGAMENTO],$B$4,LANÇ_MOV[MÊS PAGAMENTO CORRESPONDENTE],M$6,LANÇ_MOV[EMPRESA],$C$4,LANÇ_MOV[CENTRO DE CUSTOS],$D$4)</f>
        <v>0</v>
      </c>
      <c r="N701" s="206">
        <f>SUMIFS(LANÇ_MOV[VALOR LÍQUIDO],LANÇ_MOV[RECEITA OU DESPESA],"Despesa",LANÇ_MOV[CONTAS],$C701,LANÇ_MOV[PLANO DE CONTAS],REL_DRE_FINANCEIRO!$B$651,LANÇ_MOV[ANO PAGAMENTO],$B$4,LANÇ_MOV[MÊS PAGAMENTO CORRESPONDENTE],N$6,LANÇ_MOV[EMPRESA],$C$4,LANÇ_MOV[CENTRO DE CUSTOS],$D$4)</f>
        <v>0</v>
      </c>
      <c r="O701" s="206">
        <f>SUMIFS(LANÇ_MOV[VALOR LÍQUIDO],LANÇ_MOV[RECEITA OU DESPESA],"Despesa",LANÇ_MOV[CONTAS],$C701,LANÇ_MOV[PLANO DE CONTAS],REL_DRE_FINANCEIRO!$B$651,LANÇ_MOV[ANO PAGAMENTO],$B$4,LANÇ_MOV[MÊS PAGAMENTO CORRESPONDENTE],O$6,LANÇ_MOV[EMPRESA],$C$4,LANÇ_MOV[CENTRO DE CUSTOS],$D$4)</f>
        <v>0</v>
      </c>
      <c r="P701" s="207">
        <f t="shared" si="88"/>
        <v>0</v>
      </c>
      <c r="Q701" s="329">
        <v>5.1000000000000003E-6</v>
      </c>
      <c r="R701" s="346">
        <f t="shared" si="89"/>
        <v>5.1000000000000003E-6</v>
      </c>
      <c r="S701" s="347" t="str">
        <f t="shared" si="90"/>
        <v>-</v>
      </c>
      <c r="T701" s="347">
        <f t="shared" si="91"/>
        <v>0</v>
      </c>
      <c r="U701" s="347">
        <f>HLOOKUP(Apoio!$P$12,$D$650:$P$751,X701,FALSE)+Q701</f>
        <v>5.1000000000000003E-6</v>
      </c>
      <c r="V701" s="447" t="str">
        <f t="shared" si="92"/>
        <v>-</v>
      </c>
      <c r="W701" s="448">
        <f>HLOOKUP(Apoio!$P$12,$D$650:$P$751,X701,FALSE)</f>
        <v>0</v>
      </c>
      <c r="X701" s="329">
        <v>52</v>
      </c>
    </row>
    <row r="702" spans="2:24" ht="30.05" customHeight="1" x14ac:dyDescent="0.35">
      <c r="B702" s="204" t="str">
        <f>'CAD_PL_REC-DESP'!W55</f>
        <v>2.5.51</v>
      </c>
      <c r="C702" s="205" t="str">
        <f>IF('CAD_PL_REC-DESP'!X55="","-",'CAD_PL_REC-DESP'!X55)</f>
        <v>-</v>
      </c>
      <c r="D702" s="206">
        <f>SUMIFS(LANÇ_MOV[VALOR LÍQUIDO],LANÇ_MOV[RECEITA OU DESPESA],"Despesa",LANÇ_MOV[CONTAS],$C702,LANÇ_MOV[PLANO DE CONTAS],REL_DRE_FINANCEIRO!$B$651,LANÇ_MOV[ANO PAGAMENTO],$B$4,LANÇ_MOV[MÊS PAGAMENTO CORRESPONDENTE],D$6,LANÇ_MOV[EMPRESA],$C$4,LANÇ_MOV[CENTRO DE CUSTOS],$D$4)</f>
        <v>0</v>
      </c>
      <c r="E702" s="206">
        <f>SUMIFS(LANÇ_MOV[VALOR LÍQUIDO],LANÇ_MOV[RECEITA OU DESPESA],"Despesa",LANÇ_MOV[CONTAS],$C702,LANÇ_MOV[PLANO DE CONTAS],REL_DRE_FINANCEIRO!$B$651,LANÇ_MOV[ANO PAGAMENTO],$B$4,LANÇ_MOV[MÊS PAGAMENTO CORRESPONDENTE],E$6,LANÇ_MOV[EMPRESA],$C$4,LANÇ_MOV[CENTRO DE CUSTOS],$D$4)</f>
        <v>0</v>
      </c>
      <c r="F702" s="206">
        <f>SUMIFS(LANÇ_MOV[VALOR LÍQUIDO],LANÇ_MOV[RECEITA OU DESPESA],"Despesa",LANÇ_MOV[CONTAS],$C702,LANÇ_MOV[PLANO DE CONTAS],REL_DRE_FINANCEIRO!$B$651,LANÇ_MOV[ANO PAGAMENTO],$B$4,LANÇ_MOV[MÊS PAGAMENTO CORRESPONDENTE],F$6,LANÇ_MOV[EMPRESA],$C$4,LANÇ_MOV[CENTRO DE CUSTOS],$D$4)</f>
        <v>0</v>
      </c>
      <c r="G702" s="206">
        <f>SUMIFS(LANÇ_MOV[VALOR LÍQUIDO],LANÇ_MOV[RECEITA OU DESPESA],"Despesa",LANÇ_MOV[CONTAS],$C702,LANÇ_MOV[PLANO DE CONTAS],REL_DRE_FINANCEIRO!$B$651,LANÇ_MOV[ANO PAGAMENTO],$B$4,LANÇ_MOV[MÊS PAGAMENTO CORRESPONDENTE],G$6,LANÇ_MOV[EMPRESA],$C$4,LANÇ_MOV[CENTRO DE CUSTOS],$D$4)</f>
        <v>0</v>
      </c>
      <c r="H702" s="206">
        <f>SUMIFS(LANÇ_MOV[VALOR LÍQUIDO],LANÇ_MOV[RECEITA OU DESPESA],"Despesa",LANÇ_MOV[CONTAS],$C702,LANÇ_MOV[PLANO DE CONTAS],REL_DRE_FINANCEIRO!$B$651,LANÇ_MOV[ANO PAGAMENTO],$B$4,LANÇ_MOV[MÊS PAGAMENTO CORRESPONDENTE],H$6,LANÇ_MOV[EMPRESA],$C$4,LANÇ_MOV[CENTRO DE CUSTOS],$D$4)</f>
        <v>0</v>
      </c>
      <c r="I702" s="206">
        <f>SUMIFS(LANÇ_MOV[VALOR LÍQUIDO],LANÇ_MOV[RECEITA OU DESPESA],"Despesa",LANÇ_MOV[CONTAS],$C702,LANÇ_MOV[PLANO DE CONTAS],REL_DRE_FINANCEIRO!$B$651,LANÇ_MOV[ANO PAGAMENTO],$B$4,LANÇ_MOV[MÊS PAGAMENTO CORRESPONDENTE],I$6,LANÇ_MOV[EMPRESA],$C$4,LANÇ_MOV[CENTRO DE CUSTOS],$D$4)</f>
        <v>0</v>
      </c>
      <c r="J702" s="206">
        <f>SUMIFS(LANÇ_MOV[VALOR LÍQUIDO],LANÇ_MOV[RECEITA OU DESPESA],"Despesa",LANÇ_MOV[CONTAS],$C702,LANÇ_MOV[PLANO DE CONTAS],REL_DRE_FINANCEIRO!$B$651,LANÇ_MOV[ANO PAGAMENTO],$B$4,LANÇ_MOV[MÊS PAGAMENTO CORRESPONDENTE],J$6,LANÇ_MOV[EMPRESA],$C$4,LANÇ_MOV[CENTRO DE CUSTOS],$D$4)</f>
        <v>0</v>
      </c>
      <c r="K702" s="206">
        <f>SUMIFS(LANÇ_MOV[VALOR LÍQUIDO],LANÇ_MOV[RECEITA OU DESPESA],"Despesa",LANÇ_MOV[CONTAS],$C702,LANÇ_MOV[PLANO DE CONTAS],REL_DRE_FINANCEIRO!$B$651,LANÇ_MOV[ANO PAGAMENTO],$B$4,LANÇ_MOV[MÊS PAGAMENTO CORRESPONDENTE],K$6,LANÇ_MOV[EMPRESA],$C$4,LANÇ_MOV[CENTRO DE CUSTOS],$D$4)</f>
        <v>0</v>
      </c>
      <c r="L702" s="206">
        <f>SUMIFS(LANÇ_MOV[VALOR LÍQUIDO],LANÇ_MOV[RECEITA OU DESPESA],"Despesa",LANÇ_MOV[CONTAS],$C702,LANÇ_MOV[PLANO DE CONTAS],REL_DRE_FINANCEIRO!$B$651,LANÇ_MOV[ANO PAGAMENTO],$B$4,LANÇ_MOV[MÊS PAGAMENTO CORRESPONDENTE],L$6,LANÇ_MOV[EMPRESA],$C$4,LANÇ_MOV[CENTRO DE CUSTOS],$D$4)</f>
        <v>0</v>
      </c>
      <c r="M702" s="206">
        <f>SUMIFS(LANÇ_MOV[VALOR LÍQUIDO],LANÇ_MOV[RECEITA OU DESPESA],"Despesa",LANÇ_MOV[CONTAS],$C702,LANÇ_MOV[PLANO DE CONTAS],REL_DRE_FINANCEIRO!$B$651,LANÇ_MOV[ANO PAGAMENTO],$B$4,LANÇ_MOV[MÊS PAGAMENTO CORRESPONDENTE],M$6,LANÇ_MOV[EMPRESA],$C$4,LANÇ_MOV[CENTRO DE CUSTOS],$D$4)</f>
        <v>0</v>
      </c>
      <c r="N702" s="206">
        <f>SUMIFS(LANÇ_MOV[VALOR LÍQUIDO],LANÇ_MOV[RECEITA OU DESPESA],"Despesa",LANÇ_MOV[CONTAS],$C702,LANÇ_MOV[PLANO DE CONTAS],REL_DRE_FINANCEIRO!$B$651,LANÇ_MOV[ANO PAGAMENTO],$B$4,LANÇ_MOV[MÊS PAGAMENTO CORRESPONDENTE],N$6,LANÇ_MOV[EMPRESA],$C$4,LANÇ_MOV[CENTRO DE CUSTOS],$D$4)</f>
        <v>0</v>
      </c>
      <c r="O702" s="206">
        <f>SUMIFS(LANÇ_MOV[VALOR LÍQUIDO],LANÇ_MOV[RECEITA OU DESPESA],"Despesa",LANÇ_MOV[CONTAS],$C702,LANÇ_MOV[PLANO DE CONTAS],REL_DRE_FINANCEIRO!$B$651,LANÇ_MOV[ANO PAGAMENTO],$B$4,LANÇ_MOV[MÊS PAGAMENTO CORRESPONDENTE],O$6,LANÇ_MOV[EMPRESA],$C$4,LANÇ_MOV[CENTRO DE CUSTOS],$D$4)</f>
        <v>0</v>
      </c>
      <c r="P702" s="207">
        <f t="shared" si="88"/>
        <v>0</v>
      </c>
      <c r="Q702" s="329">
        <v>5.0000000000000004E-6</v>
      </c>
      <c r="R702" s="346">
        <f t="shared" si="89"/>
        <v>5.0000000000000004E-6</v>
      </c>
      <c r="S702" s="347" t="str">
        <f t="shared" si="90"/>
        <v>-</v>
      </c>
      <c r="T702" s="347">
        <f t="shared" si="91"/>
        <v>0</v>
      </c>
      <c r="U702" s="347">
        <f>HLOOKUP(Apoio!$P$12,$D$650:$P$751,X702,FALSE)+Q702</f>
        <v>5.0000000000000004E-6</v>
      </c>
      <c r="V702" s="447" t="str">
        <f t="shared" si="92"/>
        <v>-</v>
      </c>
      <c r="W702" s="448">
        <f>HLOOKUP(Apoio!$P$12,$D$650:$P$751,X702,FALSE)</f>
        <v>0</v>
      </c>
      <c r="X702" s="329">
        <v>53</v>
      </c>
    </row>
    <row r="703" spans="2:24" ht="30.05" customHeight="1" x14ac:dyDescent="0.35">
      <c r="B703" s="204" t="str">
        <f>'CAD_PL_REC-DESP'!W56</f>
        <v>2.5.52</v>
      </c>
      <c r="C703" s="205" t="str">
        <f>IF('CAD_PL_REC-DESP'!X56="","-",'CAD_PL_REC-DESP'!X56)</f>
        <v>-</v>
      </c>
      <c r="D703" s="206">
        <f>SUMIFS(LANÇ_MOV[VALOR LÍQUIDO],LANÇ_MOV[RECEITA OU DESPESA],"Despesa",LANÇ_MOV[CONTAS],$C703,LANÇ_MOV[PLANO DE CONTAS],REL_DRE_FINANCEIRO!$B$651,LANÇ_MOV[ANO PAGAMENTO],$B$4,LANÇ_MOV[MÊS PAGAMENTO CORRESPONDENTE],D$6,LANÇ_MOV[EMPRESA],$C$4,LANÇ_MOV[CENTRO DE CUSTOS],$D$4)</f>
        <v>0</v>
      </c>
      <c r="E703" s="206">
        <f>SUMIFS(LANÇ_MOV[VALOR LÍQUIDO],LANÇ_MOV[RECEITA OU DESPESA],"Despesa",LANÇ_MOV[CONTAS],$C703,LANÇ_MOV[PLANO DE CONTAS],REL_DRE_FINANCEIRO!$B$651,LANÇ_MOV[ANO PAGAMENTO],$B$4,LANÇ_MOV[MÊS PAGAMENTO CORRESPONDENTE],E$6,LANÇ_MOV[EMPRESA],$C$4,LANÇ_MOV[CENTRO DE CUSTOS],$D$4)</f>
        <v>0</v>
      </c>
      <c r="F703" s="206">
        <f>SUMIFS(LANÇ_MOV[VALOR LÍQUIDO],LANÇ_MOV[RECEITA OU DESPESA],"Despesa",LANÇ_MOV[CONTAS],$C703,LANÇ_MOV[PLANO DE CONTAS],REL_DRE_FINANCEIRO!$B$651,LANÇ_MOV[ANO PAGAMENTO],$B$4,LANÇ_MOV[MÊS PAGAMENTO CORRESPONDENTE],F$6,LANÇ_MOV[EMPRESA],$C$4,LANÇ_MOV[CENTRO DE CUSTOS],$D$4)</f>
        <v>0</v>
      </c>
      <c r="G703" s="206">
        <f>SUMIFS(LANÇ_MOV[VALOR LÍQUIDO],LANÇ_MOV[RECEITA OU DESPESA],"Despesa",LANÇ_MOV[CONTAS],$C703,LANÇ_MOV[PLANO DE CONTAS],REL_DRE_FINANCEIRO!$B$651,LANÇ_MOV[ANO PAGAMENTO],$B$4,LANÇ_MOV[MÊS PAGAMENTO CORRESPONDENTE],G$6,LANÇ_MOV[EMPRESA],$C$4,LANÇ_MOV[CENTRO DE CUSTOS],$D$4)</f>
        <v>0</v>
      </c>
      <c r="H703" s="206">
        <f>SUMIFS(LANÇ_MOV[VALOR LÍQUIDO],LANÇ_MOV[RECEITA OU DESPESA],"Despesa",LANÇ_MOV[CONTAS],$C703,LANÇ_MOV[PLANO DE CONTAS],REL_DRE_FINANCEIRO!$B$651,LANÇ_MOV[ANO PAGAMENTO],$B$4,LANÇ_MOV[MÊS PAGAMENTO CORRESPONDENTE],H$6,LANÇ_MOV[EMPRESA],$C$4,LANÇ_MOV[CENTRO DE CUSTOS],$D$4)</f>
        <v>0</v>
      </c>
      <c r="I703" s="206">
        <f>SUMIFS(LANÇ_MOV[VALOR LÍQUIDO],LANÇ_MOV[RECEITA OU DESPESA],"Despesa",LANÇ_MOV[CONTAS],$C703,LANÇ_MOV[PLANO DE CONTAS],REL_DRE_FINANCEIRO!$B$651,LANÇ_MOV[ANO PAGAMENTO],$B$4,LANÇ_MOV[MÊS PAGAMENTO CORRESPONDENTE],I$6,LANÇ_MOV[EMPRESA],$C$4,LANÇ_MOV[CENTRO DE CUSTOS],$D$4)</f>
        <v>0</v>
      </c>
      <c r="J703" s="206">
        <f>SUMIFS(LANÇ_MOV[VALOR LÍQUIDO],LANÇ_MOV[RECEITA OU DESPESA],"Despesa",LANÇ_MOV[CONTAS],$C703,LANÇ_MOV[PLANO DE CONTAS],REL_DRE_FINANCEIRO!$B$651,LANÇ_MOV[ANO PAGAMENTO],$B$4,LANÇ_MOV[MÊS PAGAMENTO CORRESPONDENTE],J$6,LANÇ_MOV[EMPRESA],$C$4,LANÇ_MOV[CENTRO DE CUSTOS],$D$4)</f>
        <v>0</v>
      </c>
      <c r="K703" s="206">
        <f>SUMIFS(LANÇ_MOV[VALOR LÍQUIDO],LANÇ_MOV[RECEITA OU DESPESA],"Despesa",LANÇ_MOV[CONTAS],$C703,LANÇ_MOV[PLANO DE CONTAS],REL_DRE_FINANCEIRO!$B$651,LANÇ_MOV[ANO PAGAMENTO],$B$4,LANÇ_MOV[MÊS PAGAMENTO CORRESPONDENTE],K$6,LANÇ_MOV[EMPRESA],$C$4,LANÇ_MOV[CENTRO DE CUSTOS],$D$4)</f>
        <v>0</v>
      </c>
      <c r="L703" s="206">
        <f>SUMIFS(LANÇ_MOV[VALOR LÍQUIDO],LANÇ_MOV[RECEITA OU DESPESA],"Despesa",LANÇ_MOV[CONTAS],$C703,LANÇ_MOV[PLANO DE CONTAS],REL_DRE_FINANCEIRO!$B$651,LANÇ_MOV[ANO PAGAMENTO],$B$4,LANÇ_MOV[MÊS PAGAMENTO CORRESPONDENTE],L$6,LANÇ_MOV[EMPRESA],$C$4,LANÇ_MOV[CENTRO DE CUSTOS],$D$4)</f>
        <v>0</v>
      </c>
      <c r="M703" s="206">
        <f>SUMIFS(LANÇ_MOV[VALOR LÍQUIDO],LANÇ_MOV[RECEITA OU DESPESA],"Despesa",LANÇ_MOV[CONTAS],$C703,LANÇ_MOV[PLANO DE CONTAS],REL_DRE_FINANCEIRO!$B$651,LANÇ_MOV[ANO PAGAMENTO],$B$4,LANÇ_MOV[MÊS PAGAMENTO CORRESPONDENTE],M$6,LANÇ_MOV[EMPRESA],$C$4,LANÇ_MOV[CENTRO DE CUSTOS],$D$4)</f>
        <v>0</v>
      </c>
      <c r="N703" s="206">
        <f>SUMIFS(LANÇ_MOV[VALOR LÍQUIDO],LANÇ_MOV[RECEITA OU DESPESA],"Despesa",LANÇ_MOV[CONTAS],$C703,LANÇ_MOV[PLANO DE CONTAS],REL_DRE_FINANCEIRO!$B$651,LANÇ_MOV[ANO PAGAMENTO],$B$4,LANÇ_MOV[MÊS PAGAMENTO CORRESPONDENTE],N$6,LANÇ_MOV[EMPRESA],$C$4,LANÇ_MOV[CENTRO DE CUSTOS],$D$4)</f>
        <v>0</v>
      </c>
      <c r="O703" s="206">
        <f>SUMIFS(LANÇ_MOV[VALOR LÍQUIDO],LANÇ_MOV[RECEITA OU DESPESA],"Despesa",LANÇ_MOV[CONTAS],$C703,LANÇ_MOV[PLANO DE CONTAS],REL_DRE_FINANCEIRO!$B$651,LANÇ_MOV[ANO PAGAMENTO],$B$4,LANÇ_MOV[MÊS PAGAMENTO CORRESPONDENTE],O$6,LANÇ_MOV[EMPRESA],$C$4,LANÇ_MOV[CENTRO DE CUSTOS],$D$4)</f>
        <v>0</v>
      </c>
      <c r="P703" s="207">
        <f t="shared" si="88"/>
        <v>0</v>
      </c>
      <c r="Q703" s="329">
        <v>4.8999999999999997E-6</v>
      </c>
      <c r="R703" s="346">
        <f t="shared" si="89"/>
        <v>4.8999999999999997E-6</v>
      </c>
      <c r="S703" s="347" t="str">
        <f t="shared" si="90"/>
        <v>-</v>
      </c>
      <c r="T703" s="347">
        <f t="shared" si="91"/>
        <v>0</v>
      </c>
      <c r="U703" s="347">
        <f>HLOOKUP(Apoio!$P$12,$D$650:$P$751,X703,FALSE)+Q703</f>
        <v>4.8999999999999997E-6</v>
      </c>
      <c r="V703" s="447" t="str">
        <f t="shared" si="92"/>
        <v>-</v>
      </c>
      <c r="W703" s="448">
        <f>HLOOKUP(Apoio!$P$12,$D$650:$P$751,X703,FALSE)</f>
        <v>0</v>
      </c>
      <c r="X703" s="329">
        <v>54</v>
      </c>
    </row>
    <row r="704" spans="2:24" ht="30.05" customHeight="1" x14ac:dyDescent="0.35">
      <c r="B704" s="204" t="str">
        <f>'CAD_PL_REC-DESP'!W57</f>
        <v>2.5.53</v>
      </c>
      <c r="C704" s="205" t="str">
        <f>IF('CAD_PL_REC-DESP'!X57="","-",'CAD_PL_REC-DESP'!X57)</f>
        <v>-</v>
      </c>
      <c r="D704" s="206">
        <f>SUMIFS(LANÇ_MOV[VALOR LÍQUIDO],LANÇ_MOV[RECEITA OU DESPESA],"Despesa",LANÇ_MOV[CONTAS],$C704,LANÇ_MOV[PLANO DE CONTAS],REL_DRE_FINANCEIRO!$B$651,LANÇ_MOV[ANO PAGAMENTO],$B$4,LANÇ_MOV[MÊS PAGAMENTO CORRESPONDENTE],D$6,LANÇ_MOV[EMPRESA],$C$4,LANÇ_MOV[CENTRO DE CUSTOS],$D$4)</f>
        <v>0</v>
      </c>
      <c r="E704" s="206">
        <f>SUMIFS(LANÇ_MOV[VALOR LÍQUIDO],LANÇ_MOV[RECEITA OU DESPESA],"Despesa",LANÇ_MOV[CONTAS],$C704,LANÇ_MOV[PLANO DE CONTAS],REL_DRE_FINANCEIRO!$B$651,LANÇ_MOV[ANO PAGAMENTO],$B$4,LANÇ_MOV[MÊS PAGAMENTO CORRESPONDENTE],E$6,LANÇ_MOV[EMPRESA],$C$4,LANÇ_MOV[CENTRO DE CUSTOS],$D$4)</f>
        <v>0</v>
      </c>
      <c r="F704" s="206">
        <f>SUMIFS(LANÇ_MOV[VALOR LÍQUIDO],LANÇ_MOV[RECEITA OU DESPESA],"Despesa",LANÇ_MOV[CONTAS],$C704,LANÇ_MOV[PLANO DE CONTAS],REL_DRE_FINANCEIRO!$B$651,LANÇ_MOV[ANO PAGAMENTO],$B$4,LANÇ_MOV[MÊS PAGAMENTO CORRESPONDENTE],F$6,LANÇ_MOV[EMPRESA],$C$4,LANÇ_MOV[CENTRO DE CUSTOS],$D$4)</f>
        <v>0</v>
      </c>
      <c r="G704" s="206">
        <f>SUMIFS(LANÇ_MOV[VALOR LÍQUIDO],LANÇ_MOV[RECEITA OU DESPESA],"Despesa",LANÇ_MOV[CONTAS],$C704,LANÇ_MOV[PLANO DE CONTAS],REL_DRE_FINANCEIRO!$B$651,LANÇ_MOV[ANO PAGAMENTO],$B$4,LANÇ_MOV[MÊS PAGAMENTO CORRESPONDENTE],G$6,LANÇ_MOV[EMPRESA],$C$4,LANÇ_MOV[CENTRO DE CUSTOS],$D$4)</f>
        <v>0</v>
      </c>
      <c r="H704" s="206">
        <f>SUMIFS(LANÇ_MOV[VALOR LÍQUIDO],LANÇ_MOV[RECEITA OU DESPESA],"Despesa",LANÇ_MOV[CONTAS],$C704,LANÇ_MOV[PLANO DE CONTAS],REL_DRE_FINANCEIRO!$B$651,LANÇ_MOV[ANO PAGAMENTO],$B$4,LANÇ_MOV[MÊS PAGAMENTO CORRESPONDENTE],H$6,LANÇ_MOV[EMPRESA],$C$4,LANÇ_MOV[CENTRO DE CUSTOS],$D$4)</f>
        <v>0</v>
      </c>
      <c r="I704" s="206">
        <f>SUMIFS(LANÇ_MOV[VALOR LÍQUIDO],LANÇ_MOV[RECEITA OU DESPESA],"Despesa",LANÇ_MOV[CONTAS],$C704,LANÇ_MOV[PLANO DE CONTAS],REL_DRE_FINANCEIRO!$B$651,LANÇ_MOV[ANO PAGAMENTO],$B$4,LANÇ_MOV[MÊS PAGAMENTO CORRESPONDENTE],I$6,LANÇ_MOV[EMPRESA],$C$4,LANÇ_MOV[CENTRO DE CUSTOS],$D$4)</f>
        <v>0</v>
      </c>
      <c r="J704" s="206">
        <f>SUMIFS(LANÇ_MOV[VALOR LÍQUIDO],LANÇ_MOV[RECEITA OU DESPESA],"Despesa",LANÇ_MOV[CONTAS],$C704,LANÇ_MOV[PLANO DE CONTAS],REL_DRE_FINANCEIRO!$B$651,LANÇ_MOV[ANO PAGAMENTO],$B$4,LANÇ_MOV[MÊS PAGAMENTO CORRESPONDENTE],J$6,LANÇ_MOV[EMPRESA],$C$4,LANÇ_MOV[CENTRO DE CUSTOS],$D$4)</f>
        <v>0</v>
      </c>
      <c r="K704" s="206">
        <f>SUMIFS(LANÇ_MOV[VALOR LÍQUIDO],LANÇ_MOV[RECEITA OU DESPESA],"Despesa",LANÇ_MOV[CONTAS],$C704,LANÇ_MOV[PLANO DE CONTAS],REL_DRE_FINANCEIRO!$B$651,LANÇ_MOV[ANO PAGAMENTO],$B$4,LANÇ_MOV[MÊS PAGAMENTO CORRESPONDENTE],K$6,LANÇ_MOV[EMPRESA],$C$4,LANÇ_MOV[CENTRO DE CUSTOS],$D$4)</f>
        <v>0</v>
      </c>
      <c r="L704" s="206">
        <f>SUMIFS(LANÇ_MOV[VALOR LÍQUIDO],LANÇ_MOV[RECEITA OU DESPESA],"Despesa",LANÇ_MOV[CONTAS],$C704,LANÇ_MOV[PLANO DE CONTAS],REL_DRE_FINANCEIRO!$B$651,LANÇ_MOV[ANO PAGAMENTO],$B$4,LANÇ_MOV[MÊS PAGAMENTO CORRESPONDENTE],L$6,LANÇ_MOV[EMPRESA],$C$4,LANÇ_MOV[CENTRO DE CUSTOS],$D$4)</f>
        <v>0</v>
      </c>
      <c r="M704" s="206">
        <f>SUMIFS(LANÇ_MOV[VALOR LÍQUIDO],LANÇ_MOV[RECEITA OU DESPESA],"Despesa",LANÇ_MOV[CONTAS],$C704,LANÇ_MOV[PLANO DE CONTAS],REL_DRE_FINANCEIRO!$B$651,LANÇ_MOV[ANO PAGAMENTO],$B$4,LANÇ_MOV[MÊS PAGAMENTO CORRESPONDENTE],M$6,LANÇ_MOV[EMPRESA],$C$4,LANÇ_MOV[CENTRO DE CUSTOS],$D$4)</f>
        <v>0</v>
      </c>
      <c r="N704" s="206">
        <f>SUMIFS(LANÇ_MOV[VALOR LÍQUIDO],LANÇ_MOV[RECEITA OU DESPESA],"Despesa",LANÇ_MOV[CONTAS],$C704,LANÇ_MOV[PLANO DE CONTAS],REL_DRE_FINANCEIRO!$B$651,LANÇ_MOV[ANO PAGAMENTO],$B$4,LANÇ_MOV[MÊS PAGAMENTO CORRESPONDENTE],N$6,LANÇ_MOV[EMPRESA],$C$4,LANÇ_MOV[CENTRO DE CUSTOS],$D$4)</f>
        <v>0</v>
      </c>
      <c r="O704" s="206">
        <f>SUMIFS(LANÇ_MOV[VALOR LÍQUIDO],LANÇ_MOV[RECEITA OU DESPESA],"Despesa",LANÇ_MOV[CONTAS],$C704,LANÇ_MOV[PLANO DE CONTAS],REL_DRE_FINANCEIRO!$B$651,LANÇ_MOV[ANO PAGAMENTO],$B$4,LANÇ_MOV[MÊS PAGAMENTO CORRESPONDENTE],O$6,LANÇ_MOV[EMPRESA],$C$4,LANÇ_MOV[CENTRO DE CUSTOS],$D$4)</f>
        <v>0</v>
      </c>
      <c r="P704" s="207">
        <f t="shared" si="88"/>
        <v>0</v>
      </c>
      <c r="Q704" s="329">
        <v>4.7999999999999998E-6</v>
      </c>
      <c r="R704" s="346">
        <f t="shared" si="89"/>
        <v>4.7999999999999998E-6</v>
      </c>
      <c r="S704" s="347" t="str">
        <f t="shared" si="90"/>
        <v>-</v>
      </c>
      <c r="T704" s="347">
        <f t="shared" si="91"/>
        <v>0</v>
      </c>
      <c r="U704" s="347">
        <f>HLOOKUP(Apoio!$P$12,$D$650:$P$751,X704,FALSE)+Q704</f>
        <v>4.7999999999999998E-6</v>
      </c>
      <c r="V704" s="447" t="str">
        <f t="shared" si="92"/>
        <v>-</v>
      </c>
      <c r="W704" s="448">
        <f>HLOOKUP(Apoio!$P$12,$D$650:$P$751,X704,FALSE)</f>
        <v>0</v>
      </c>
      <c r="X704" s="329">
        <v>55</v>
      </c>
    </row>
    <row r="705" spans="2:24" ht="30.05" customHeight="1" x14ac:dyDescent="0.35">
      <c r="B705" s="204" t="str">
        <f>'CAD_PL_REC-DESP'!W58</f>
        <v>2.5.54</v>
      </c>
      <c r="C705" s="205" t="str">
        <f>IF('CAD_PL_REC-DESP'!X58="","-",'CAD_PL_REC-DESP'!X58)</f>
        <v>-</v>
      </c>
      <c r="D705" s="206">
        <f>SUMIFS(LANÇ_MOV[VALOR LÍQUIDO],LANÇ_MOV[RECEITA OU DESPESA],"Despesa",LANÇ_MOV[CONTAS],$C705,LANÇ_MOV[PLANO DE CONTAS],REL_DRE_FINANCEIRO!$B$651,LANÇ_MOV[ANO PAGAMENTO],$B$4,LANÇ_MOV[MÊS PAGAMENTO CORRESPONDENTE],D$6,LANÇ_MOV[EMPRESA],$C$4,LANÇ_MOV[CENTRO DE CUSTOS],$D$4)</f>
        <v>0</v>
      </c>
      <c r="E705" s="206">
        <f>SUMIFS(LANÇ_MOV[VALOR LÍQUIDO],LANÇ_MOV[RECEITA OU DESPESA],"Despesa",LANÇ_MOV[CONTAS],$C705,LANÇ_MOV[PLANO DE CONTAS],REL_DRE_FINANCEIRO!$B$651,LANÇ_MOV[ANO PAGAMENTO],$B$4,LANÇ_MOV[MÊS PAGAMENTO CORRESPONDENTE],E$6,LANÇ_MOV[EMPRESA],$C$4,LANÇ_MOV[CENTRO DE CUSTOS],$D$4)</f>
        <v>0</v>
      </c>
      <c r="F705" s="206">
        <f>SUMIFS(LANÇ_MOV[VALOR LÍQUIDO],LANÇ_MOV[RECEITA OU DESPESA],"Despesa",LANÇ_MOV[CONTAS],$C705,LANÇ_MOV[PLANO DE CONTAS],REL_DRE_FINANCEIRO!$B$651,LANÇ_MOV[ANO PAGAMENTO],$B$4,LANÇ_MOV[MÊS PAGAMENTO CORRESPONDENTE],F$6,LANÇ_MOV[EMPRESA],$C$4,LANÇ_MOV[CENTRO DE CUSTOS],$D$4)</f>
        <v>0</v>
      </c>
      <c r="G705" s="206">
        <f>SUMIFS(LANÇ_MOV[VALOR LÍQUIDO],LANÇ_MOV[RECEITA OU DESPESA],"Despesa",LANÇ_MOV[CONTAS],$C705,LANÇ_MOV[PLANO DE CONTAS],REL_DRE_FINANCEIRO!$B$651,LANÇ_MOV[ANO PAGAMENTO],$B$4,LANÇ_MOV[MÊS PAGAMENTO CORRESPONDENTE],G$6,LANÇ_MOV[EMPRESA],$C$4,LANÇ_MOV[CENTRO DE CUSTOS],$D$4)</f>
        <v>0</v>
      </c>
      <c r="H705" s="206">
        <f>SUMIFS(LANÇ_MOV[VALOR LÍQUIDO],LANÇ_MOV[RECEITA OU DESPESA],"Despesa",LANÇ_MOV[CONTAS],$C705,LANÇ_MOV[PLANO DE CONTAS],REL_DRE_FINANCEIRO!$B$651,LANÇ_MOV[ANO PAGAMENTO],$B$4,LANÇ_MOV[MÊS PAGAMENTO CORRESPONDENTE],H$6,LANÇ_MOV[EMPRESA],$C$4,LANÇ_MOV[CENTRO DE CUSTOS],$D$4)</f>
        <v>0</v>
      </c>
      <c r="I705" s="206">
        <f>SUMIFS(LANÇ_MOV[VALOR LÍQUIDO],LANÇ_MOV[RECEITA OU DESPESA],"Despesa",LANÇ_MOV[CONTAS],$C705,LANÇ_MOV[PLANO DE CONTAS],REL_DRE_FINANCEIRO!$B$651,LANÇ_MOV[ANO PAGAMENTO],$B$4,LANÇ_MOV[MÊS PAGAMENTO CORRESPONDENTE],I$6,LANÇ_MOV[EMPRESA],$C$4,LANÇ_MOV[CENTRO DE CUSTOS],$D$4)</f>
        <v>0</v>
      </c>
      <c r="J705" s="206">
        <f>SUMIFS(LANÇ_MOV[VALOR LÍQUIDO],LANÇ_MOV[RECEITA OU DESPESA],"Despesa",LANÇ_MOV[CONTAS],$C705,LANÇ_MOV[PLANO DE CONTAS],REL_DRE_FINANCEIRO!$B$651,LANÇ_MOV[ANO PAGAMENTO],$B$4,LANÇ_MOV[MÊS PAGAMENTO CORRESPONDENTE],J$6,LANÇ_MOV[EMPRESA],$C$4,LANÇ_MOV[CENTRO DE CUSTOS],$D$4)</f>
        <v>0</v>
      </c>
      <c r="K705" s="206">
        <f>SUMIFS(LANÇ_MOV[VALOR LÍQUIDO],LANÇ_MOV[RECEITA OU DESPESA],"Despesa",LANÇ_MOV[CONTAS],$C705,LANÇ_MOV[PLANO DE CONTAS],REL_DRE_FINANCEIRO!$B$651,LANÇ_MOV[ANO PAGAMENTO],$B$4,LANÇ_MOV[MÊS PAGAMENTO CORRESPONDENTE],K$6,LANÇ_MOV[EMPRESA],$C$4,LANÇ_MOV[CENTRO DE CUSTOS],$D$4)</f>
        <v>0</v>
      </c>
      <c r="L705" s="206">
        <f>SUMIFS(LANÇ_MOV[VALOR LÍQUIDO],LANÇ_MOV[RECEITA OU DESPESA],"Despesa",LANÇ_MOV[CONTAS],$C705,LANÇ_MOV[PLANO DE CONTAS],REL_DRE_FINANCEIRO!$B$651,LANÇ_MOV[ANO PAGAMENTO],$B$4,LANÇ_MOV[MÊS PAGAMENTO CORRESPONDENTE],L$6,LANÇ_MOV[EMPRESA],$C$4,LANÇ_MOV[CENTRO DE CUSTOS],$D$4)</f>
        <v>0</v>
      </c>
      <c r="M705" s="206">
        <f>SUMIFS(LANÇ_MOV[VALOR LÍQUIDO],LANÇ_MOV[RECEITA OU DESPESA],"Despesa",LANÇ_MOV[CONTAS],$C705,LANÇ_MOV[PLANO DE CONTAS],REL_DRE_FINANCEIRO!$B$651,LANÇ_MOV[ANO PAGAMENTO],$B$4,LANÇ_MOV[MÊS PAGAMENTO CORRESPONDENTE],M$6,LANÇ_MOV[EMPRESA],$C$4,LANÇ_MOV[CENTRO DE CUSTOS],$D$4)</f>
        <v>0</v>
      </c>
      <c r="N705" s="206">
        <f>SUMIFS(LANÇ_MOV[VALOR LÍQUIDO],LANÇ_MOV[RECEITA OU DESPESA],"Despesa",LANÇ_MOV[CONTAS],$C705,LANÇ_MOV[PLANO DE CONTAS],REL_DRE_FINANCEIRO!$B$651,LANÇ_MOV[ANO PAGAMENTO],$B$4,LANÇ_MOV[MÊS PAGAMENTO CORRESPONDENTE],N$6,LANÇ_MOV[EMPRESA],$C$4,LANÇ_MOV[CENTRO DE CUSTOS],$D$4)</f>
        <v>0</v>
      </c>
      <c r="O705" s="206">
        <f>SUMIFS(LANÇ_MOV[VALOR LÍQUIDO],LANÇ_MOV[RECEITA OU DESPESA],"Despesa",LANÇ_MOV[CONTAS],$C705,LANÇ_MOV[PLANO DE CONTAS],REL_DRE_FINANCEIRO!$B$651,LANÇ_MOV[ANO PAGAMENTO],$B$4,LANÇ_MOV[MÊS PAGAMENTO CORRESPONDENTE],O$6,LANÇ_MOV[EMPRESA],$C$4,LANÇ_MOV[CENTRO DE CUSTOS],$D$4)</f>
        <v>0</v>
      </c>
      <c r="P705" s="207">
        <f t="shared" si="88"/>
        <v>0</v>
      </c>
      <c r="Q705" s="329">
        <v>4.6999999999999999E-6</v>
      </c>
      <c r="R705" s="346">
        <f t="shared" si="89"/>
        <v>4.6999999999999999E-6</v>
      </c>
      <c r="S705" s="347" t="str">
        <f t="shared" si="90"/>
        <v>-</v>
      </c>
      <c r="T705" s="347">
        <f t="shared" si="91"/>
        <v>0</v>
      </c>
      <c r="U705" s="347">
        <f>HLOOKUP(Apoio!$P$12,$D$650:$P$751,X705,FALSE)+Q705</f>
        <v>4.6999999999999999E-6</v>
      </c>
      <c r="V705" s="447" t="str">
        <f t="shared" si="92"/>
        <v>-</v>
      </c>
      <c r="W705" s="448">
        <f>HLOOKUP(Apoio!$P$12,$D$650:$P$751,X705,FALSE)</f>
        <v>0</v>
      </c>
      <c r="X705" s="329">
        <v>56</v>
      </c>
    </row>
    <row r="706" spans="2:24" ht="30.05" customHeight="1" x14ac:dyDescent="0.35">
      <c r="B706" s="204" t="str">
        <f>'CAD_PL_REC-DESP'!W59</f>
        <v>2.5.55</v>
      </c>
      <c r="C706" s="205" t="str">
        <f>IF('CAD_PL_REC-DESP'!X59="","-",'CAD_PL_REC-DESP'!X59)</f>
        <v>-</v>
      </c>
      <c r="D706" s="206">
        <f>SUMIFS(LANÇ_MOV[VALOR LÍQUIDO],LANÇ_MOV[RECEITA OU DESPESA],"Despesa",LANÇ_MOV[CONTAS],$C706,LANÇ_MOV[PLANO DE CONTAS],REL_DRE_FINANCEIRO!$B$651,LANÇ_MOV[ANO PAGAMENTO],$B$4,LANÇ_MOV[MÊS PAGAMENTO CORRESPONDENTE],D$6,LANÇ_MOV[EMPRESA],$C$4,LANÇ_MOV[CENTRO DE CUSTOS],$D$4)</f>
        <v>0</v>
      </c>
      <c r="E706" s="206">
        <f>SUMIFS(LANÇ_MOV[VALOR LÍQUIDO],LANÇ_MOV[RECEITA OU DESPESA],"Despesa",LANÇ_MOV[CONTAS],$C706,LANÇ_MOV[PLANO DE CONTAS],REL_DRE_FINANCEIRO!$B$651,LANÇ_MOV[ANO PAGAMENTO],$B$4,LANÇ_MOV[MÊS PAGAMENTO CORRESPONDENTE],E$6,LANÇ_MOV[EMPRESA],$C$4,LANÇ_MOV[CENTRO DE CUSTOS],$D$4)</f>
        <v>0</v>
      </c>
      <c r="F706" s="206">
        <f>SUMIFS(LANÇ_MOV[VALOR LÍQUIDO],LANÇ_MOV[RECEITA OU DESPESA],"Despesa",LANÇ_MOV[CONTAS],$C706,LANÇ_MOV[PLANO DE CONTAS],REL_DRE_FINANCEIRO!$B$651,LANÇ_MOV[ANO PAGAMENTO],$B$4,LANÇ_MOV[MÊS PAGAMENTO CORRESPONDENTE],F$6,LANÇ_MOV[EMPRESA],$C$4,LANÇ_MOV[CENTRO DE CUSTOS],$D$4)</f>
        <v>0</v>
      </c>
      <c r="G706" s="206">
        <f>SUMIFS(LANÇ_MOV[VALOR LÍQUIDO],LANÇ_MOV[RECEITA OU DESPESA],"Despesa",LANÇ_MOV[CONTAS],$C706,LANÇ_MOV[PLANO DE CONTAS],REL_DRE_FINANCEIRO!$B$651,LANÇ_MOV[ANO PAGAMENTO],$B$4,LANÇ_MOV[MÊS PAGAMENTO CORRESPONDENTE],G$6,LANÇ_MOV[EMPRESA],$C$4,LANÇ_MOV[CENTRO DE CUSTOS],$D$4)</f>
        <v>0</v>
      </c>
      <c r="H706" s="206">
        <f>SUMIFS(LANÇ_MOV[VALOR LÍQUIDO],LANÇ_MOV[RECEITA OU DESPESA],"Despesa",LANÇ_MOV[CONTAS],$C706,LANÇ_MOV[PLANO DE CONTAS],REL_DRE_FINANCEIRO!$B$651,LANÇ_MOV[ANO PAGAMENTO],$B$4,LANÇ_MOV[MÊS PAGAMENTO CORRESPONDENTE],H$6,LANÇ_MOV[EMPRESA],$C$4,LANÇ_MOV[CENTRO DE CUSTOS],$D$4)</f>
        <v>0</v>
      </c>
      <c r="I706" s="206">
        <f>SUMIFS(LANÇ_MOV[VALOR LÍQUIDO],LANÇ_MOV[RECEITA OU DESPESA],"Despesa",LANÇ_MOV[CONTAS],$C706,LANÇ_MOV[PLANO DE CONTAS],REL_DRE_FINANCEIRO!$B$651,LANÇ_MOV[ANO PAGAMENTO],$B$4,LANÇ_MOV[MÊS PAGAMENTO CORRESPONDENTE],I$6,LANÇ_MOV[EMPRESA],$C$4,LANÇ_MOV[CENTRO DE CUSTOS],$D$4)</f>
        <v>0</v>
      </c>
      <c r="J706" s="206">
        <f>SUMIFS(LANÇ_MOV[VALOR LÍQUIDO],LANÇ_MOV[RECEITA OU DESPESA],"Despesa",LANÇ_MOV[CONTAS],$C706,LANÇ_MOV[PLANO DE CONTAS],REL_DRE_FINANCEIRO!$B$651,LANÇ_MOV[ANO PAGAMENTO],$B$4,LANÇ_MOV[MÊS PAGAMENTO CORRESPONDENTE],J$6,LANÇ_MOV[EMPRESA],$C$4,LANÇ_MOV[CENTRO DE CUSTOS],$D$4)</f>
        <v>0</v>
      </c>
      <c r="K706" s="206">
        <f>SUMIFS(LANÇ_MOV[VALOR LÍQUIDO],LANÇ_MOV[RECEITA OU DESPESA],"Despesa",LANÇ_MOV[CONTAS],$C706,LANÇ_MOV[PLANO DE CONTAS],REL_DRE_FINANCEIRO!$B$651,LANÇ_MOV[ANO PAGAMENTO],$B$4,LANÇ_MOV[MÊS PAGAMENTO CORRESPONDENTE],K$6,LANÇ_MOV[EMPRESA],$C$4,LANÇ_MOV[CENTRO DE CUSTOS],$D$4)</f>
        <v>0</v>
      </c>
      <c r="L706" s="206">
        <f>SUMIFS(LANÇ_MOV[VALOR LÍQUIDO],LANÇ_MOV[RECEITA OU DESPESA],"Despesa",LANÇ_MOV[CONTAS],$C706,LANÇ_MOV[PLANO DE CONTAS],REL_DRE_FINANCEIRO!$B$651,LANÇ_MOV[ANO PAGAMENTO],$B$4,LANÇ_MOV[MÊS PAGAMENTO CORRESPONDENTE],L$6,LANÇ_MOV[EMPRESA],$C$4,LANÇ_MOV[CENTRO DE CUSTOS],$D$4)</f>
        <v>0</v>
      </c>
      <c r="M706" s="206">
        <f>SUMIFS(LANÇ_MOV[VALOR LÍQUIDO],LANÇ_MOV[RECEITA OU DESPESA],"Despesa",LANÇ_MOV[CONTAS],$C706,LANÇ_MOV[PLANO DE CONTAS],REL_DRE_FINANCEIRO!$B$651,LANÇ_MOV[ANO PAGAMENTO],$B$4,LANÇ_MOV[MÊS PAGAMENTO CORRESPONDENTE],M$6,LANÇ_MOV[EMPRESA],$C$4,LANÇ_MOV[CENTRO DE CUSTOS],$D$4)</f>
        <v>0</v>
      </c>
      <c r="N706" s="206">
        <f>SUMIFS(LANÇ_MOV[VALOR LÍQUIDO],LANÇ_MOV[RECEITA OU DESPESA],"Despesa",LANÇ_MOV[CONTAS],$C706,LANÇ_MOV[PLANO DE CONTAS],REL_DRE_FINANCEIRO!$B$651,LANÇ_MOV[ANO PAGAMENTO],$B$4,LANÇ_MOV[MÊS PAGAMENTO CORRESPONDENTE],N$6,LANÇ_MOV[EMPRESA],$C$4,LANÇ_MOV[CENTRO DE CUSTOS],$D$4)</f>
        <v>0</v>
      </c>
      <c r="O706" s="206">
        <f>SUMIFS(LANÇ_MOV[VALOR LÍQUIDO],LANÇ_MOV[RECEITA OU DESPESA],"Despesa",LANÇ_MOV[CONTAS],$C706,LANÇ_MOV[PLANO DE CONTAS],REL_DRE_FINANCEIRO!$B$651,LANÇ_MOV[ANO PAGAMENTO],$B$4,LANÇ_MOV[MÊS PAGAMENTO CORRESPONDENTE],O$6,LANÇ_MOV[EMPRESA],$C$4,LANÇ_MOV[CENTRO DE CUSTOS],$D$4)</f>
        <v>0</v>
      </c>
      <c r="P706" s="207">
        <f t="shared" si="88"/>
        <v>0</v>
      </c>
      <c r="Q706" s="329">
        <v>4.6E-6</v>
      </c>
      <c r="R706" s="346">
        <f t="shared" si="89"/>
        <v>4.6E-6</v>
      </c>
      <c r="S706" s="347" t="str">
        <f t="shared" si="90"/>
        <v>-</v>
      </c>
      <c r="T706" s="347">
        <f t="shared" si="91"/>
        <v>0</v>
      </c>
      <c r="U706" s="347">
        <f>HLOOKUP(Apoio!$P$12,$D$650:$P$751,X706,FALSE)+Q706</f>
        <v>4.6E-6</v>
      </c>
      <c r="V706" s="447" t="str">
        <f t="shared" si="92"/>
        <v>-</v>
      </c>
      <c r="W706" s="448">
        <f>HLOOKUP(Apoio!$P$12,$D$650:$P$751,X706,FALSE)</f>
        <v>0</v>
      </c>
      <c r="X706" s="329">
        <v>57</v>
      </c>
    </row>
    <row r="707" spans="2:24" ht="30.05" customHeight="1" x14ac:dyDescent="0.35">
      <c r="B707" s="204" t="str">
        <f>'CAD_PL_REC-DESP'!W60</f>
        <v>2.5.56</v>
      </c>
      <c r="C707" s="205" t="str">
        <f>IF('CAD_PL_REC-DESP'!X60="","-",'CAD_PL_REC-DESP'!X60)</f>
        <v>-</v>
      </c>
      <c r="D707" s="206">
        <f>SUMIFS(LANÇ_MOV[VALOR LÍQUIDO],LANÇ_MOV[RECEITA OU DESPESA],"Despesa",LANÇ_MOV[CONTAS],$C707,LANÇ_MOV[PLANO DE CONTAS],REL_DRE_FINANCEIRO!$B$651,LANÇ_MOV[ANO PAGAMENTO],$B$4,LANÇ_MOV[MÊS PAGAMENTO CORRESPONDENTE],D$6,LANÇ_MOV[EMPRESA],$C$4,LANÇ_MOV[CENTRO DE CUSTOS],$D$4)</f>
        <v>0</v>
      </c>
      <c r="E707" s="206">
        <f>SUMIFS(LANÇ_MOV[VALOR LÍQUIDO],LANÇ_MOV[RECEITA OU DESPESA],"Despesa",LANÇ_MOV[CONTAS],$C707,LANÇ_MOV[PLANO DE CONTAS],REL_DRE_FINANCEIRO!$B$651,LANÇ_MOV[ANO PAGAMENTO],$B$4,LANÇ_MOV[MÊS PAGAMENTO CORRESPONDENTE],E$6,LANÇ_MOV[EMPRESA],$C$4,LANÇ_MOV[CENTRO DE CUSTOS],$D$4)</f>
        <v>0</v>
      </c>
      <c r="F707" s="206">
        <f>SUMIFS(LANÇ_MOV[VALOR LÍQUIDO],LANÇ_MOV[RECEITA OU DESPESA],"Despesa",LANÇ_MOV[CONTAS],$C707,LANÇ_MOV[PLANO DE CONTAS],REL_DRE_FINANCEIRO!$B$651,LANÇ_MOV[ANO PAGAMENTO],$B$4,LANÇ_MOV[MÊS PAGAMENTO CORRESPONDENTE],F$6,LANÇ_MOV[EMPRESA],$C$4,LANÇ_MOV[CENTRO DE CUSTOS],$D$4)</f>
        <v>0</v>
      </c>
      <c r="G707" s="206">
        <f>SUMIFS(LANÇ_MOV[VALOR LÍQUIDO],LANÇ_MOV[RECEITA OU DESPESA],"Despesa",LANÇ_MOV[CONTAS],$C707,LANÇ_MOV[PLANO DE CONTAS],REL_DRE_FINANCEIRO!$B$651,LANÇ_MOV[ANO PAGAMENTO],$B$4,LANÇ_MOV[MÊS PAGAMENTO CORRESPONDENTE],G$6,LANÇ_MOV[EMPRESA],$C$4,LANÇ_MOV[CENTRO DE CUSTOS],$D$4)</f>
        <v>0</v>
      </c>
      <c r="H707" s="206">
        <f>SUMIFS(LANÇ_MOV[VALOR LÍQUIDO],LANÇ_MOV[RECEITA OU DESPESA],"Despesa",LANÇ_MOV[CONTAS],$C707,LANÇ_MOV[PLANO DE CONTAS],REL_DRE_FINANCEIRO!$B$651,LANÇ_MOV[ANO PAGAMENTO],$B$4,LANÇ_MOV[MÊS PAGAMENTO CORRESPONDENTE],H$6,LANÇ_MOV[EMPRESA],$C$4,LANÇ_MOV[CENTRO DE CUSTOS],$D$4)</f>
        <v>0</v>
      </c>
      <c r="I707" s="206">
        <f>SUMIFS(LANÇ_MOV[VALOR LÍQUIDO],LANÇ_MOV[RECEITA OU DESPESA],"Despesa",LANÇ_MOV[CONTAS],$C707,LANÇ_MOV[PLANO DE CONTAS],REL_DRE_FINANCEIRO!$B$651,LANÇ_MOV[ANO PAGAMENTO],$B$4,LANÇ_MOV[MÊS PAGAMENTO CORRESPONDENTE],I$6,LANÇ_MOV[EMPRESA],$C$4,LANÇ_MOV[CENTRO DE CUSTOS],$D$4)</f>
        <v>0</v>
      </c>
      <c r="J707" s="206">
        <f>SUMIFS(LANÇ_MOV[VALOR LÍQUIDO],LANÇ_MOV[RECEITA OU DESPESA],"Despesa",LANÇ_MOV[CONTAS],$C707,LANÇ_MOV[PLANO DE CONTAS],REL_DRE_FINANCEIRO!$B$651,LANÇ_MOV[ANO PAGAMENTO],$B$4,LANÇ_MOV[MÊS PAGAMENTO CORRESPONDENTE],J$6,LANÇ_MOV[EMPRESA],$C$4,LANÇ_MOV[CENTRO DE CUSTOS],$D$4)</f>
        <v>0</v>
      </c>
      <c r="K707" s="206">
        <f>SUMIFS(LANÇ_MOV[VALOR LÍQUIDO],LANÇ_MOV[RECEITA OU DESPESA],"Despesa",LANÇ_MOV[CONTAS],$C707,LANÇ_MOV[PLANO DE CONTAS],REL_DRE_FINANCEIRO!$B$651,LANÇ_MOV[ANO PAGAMENTO],$B$4,LANÇ_MOV[MÊS PAGAMENTO CORRESPONDENTE],K$6,LANÇ_MOV[EMPRESA],$C$4,LANÇ_MOV[CENTRO DE CUSTOS],$D$4)</f>
        <v>0</v>
      </c>
      <c r="L707" s="206">
        <f>SUMIFS(LANÇ_MOV[VALOR LÍQUIDO],LANÇ_MOV[RECEITA OU DESPESA],"Despesa",LANÇ_MOV[CONTAS],$C707,LANÇ_MOV[PLANO DE CONTAS],REL_DRE_FINANCEIRO!$B$651,LANÇ_MOV[ANO PAGAMENTO],$B$4,LANÇ_MOV[MÊS PAGAMENTO CORRESPONDENTE],L$6,LANÇ_MOV[EMPRESA],$C$4,LANÇ_MOV[CENTRO DE CUSTOS],$D$4)</f>
        <v>0</v>
      </c>
      <c r="M707" s="206">
        <f>SUMIFS(LANÇ_MOV[VALOR LÍQUIDO],LANÇ_MOV[RECEITA OU DESPESA],"Despesa",LANÇ_MOV[CONTAS],$C707,LANÇ_MOV[PLANO DE CONTAS],REL_DRE_FINANCEIRO!$B$651,LANÇ_MOV[ANO PAGAMENTO],$B$4,LANÇ_MOV[MÊS PAGAMENTO CORRESPONDENTE],M$6,LANÇ_MOV[EMPRESA],$C$4,LANÇ_MOV[CENTRO DE CUSTOS],$D$4)</f>
        <v>0</v>
      </c>
      <c r="N707" s="206">
        <f>SUMIFS(LANÇ_MOV[VALOR LÍQUIDO],LANÇ_MOV[RECEITA OU DESPESA],"Despesa",LANÇ_MOV[CONTAS],$C707,LANÇ_MOV[PLANO DE CONTAS],REL_DRE_FINANCEIRO!$B$651,LANÇ_MOV[ANO PAGAMENTO],$B$4,LANÇ_MOV[MÊS PAGAMENTO CORRESPONDENTE],N$6,LANÇ_MOV[EMPRESA],$C$4,LANÇ_MOV[CENTRO DE CUSTOS],$D$4)</f>
        <v>0</v>
      </c>
      <c r="O707" s="206">
        <f>SUMIFS(LANÇ_MOV[VALOR LÍQUIDO],LANÇ_MOV[RECEITA OU DESPESA],"Despesa",LANÇ_MOV[CONTAS],$C707,LANÇ_MOV[PLANO DE CONTAS],REL_DRE_FINANCEIRO!$B$651,LANÇ_MOV[ANO PAGAMENTO],$B$4,LANÇ_MOV[MÊS PAGAMENTO CORRESPONDENTE],O$6,LANÇ_MOV[EMPRESA],$C$4,LANÇ_MOV[CENTRO DE CUSTOS],$D$4)</f>
        <v>0</v>
      </c>
      <c r="P707" s="207">
        <f t="shared" si="88"/>
        <v>0</v>
      </c>
      <c r="Q707" s="329">
        <v>4.5000000000000001E-6</v>
      </c>
      <c r="R707" s="346">
        <f t="shared" si="89"/>
        <v>4.5000000000000001E-6</v>
      </c>
      <c r="S707" s="347" t="str">
        <f t="shared" si="90"/>
        <v>-</v>
      </c>
      <c r="T707" s="347">
        <f t="shared" si="91"/>
        <v>0</v>
      </c>
      <c r="U707" s="347">
        <f>HLOOKUP(Apoio!$P$12,$D$650:$P$751,X707,FALSE)+Q707</f>
        <v>4.5000000000000001E-6</v>
      </c>
      <c r="V707" s="447" t="str">
        <f t="shared" si="92"/>
        <v>-</v>
      </c>
      <c r="W707" s="448">
        <f>HLOOKUP(Apoio!$P$12,$D$650:$P$751,X707,FALSE)</f>
        <v>0</v>
      </c>
      <c r="X707" s="329">
        <v>58</v>
      </c>
    </row>
    <row r="708" spans="2:24" ht="30.05" customHeight="1" x14ac:dyDescent="0.35">
      <c r="B708" s="204" t="str">
        <f>'CAD_PL_REC-DESP'!W61</f>
        <v>2.5.57</v>
      </c>
      <c r="C708" s="205" t="str">
        <f>IF('CAD_PL_REC-DESP'!X61="","-",'CAD_PL_REC-DESP'!X61)</f>
        <v>-</v>
      </c>
      <c r="D708" s="206">
        <f>SUMIFS(LANÇ_MOV[VALOR LÍQUIDO],LANÇ_MOV[RECEITA OU DESPESA],"Despesa",LANÇ_MOV[CONTAS],$C708,LANÇ_MOV[PLANO DE CONTAS],REL_DRE_FINANCEIRO!$B$651,LANÇ_MOV[ANO PAGAMENTO],$B$4,LANÇ_MOV[MÊS PAGAMENTO CORRESPONDENTE],D$6,LANÇ_MOV[EMPRESA],$C$4,LANÇ_MOV[CENTRO DE CUSTOS],$D$4)</f>
        <v>0</v>
      </c>
      <c r="E708" s="206">
        <f>SUMIFS(LANÇ_MOV[VALOR LÍQUIDO],LANÇ_MOV[RECEITA OU DESPESA],"Despesa",LANÇ_MOV[CONTAS],$C708,LANÇ_MOV[PLANO DE CONTAS],REL_DRE_FINANCEIRO!$B$651,LANÇ_MOV[ANO PAGAMENTO],$B$4,LANÇ_MOV[MÊS PAGAMENTO CORRESPONDENTE],E$6,LANÇ_MOV[EMPRESA],$C$4,LANÇ_MOV[CENTRO DE CUSTOS],$D$4)</f>
        <v>0</v>
      </c>
      <c r="F708" s="206">
        <f>SUMIFS(LANÇ_MOV[VALOR LÍQUIDO],LANÇ_MOV[RECEITA OU DESPESA],"Despesa",LANÇ_MOV[CONTAS],$C708,LANÇ_MOV[PLANO DE CONTAS],REL_DRE_FINANCEIRO!$B$651,LANÇ_MOV[ANO PAGAMENTO],$B$4,LANÇ_MOV[MÊS PAGAMENTO CORRESPONDENTE],F$6,LANÇ_MOV[EMPRESA],$C$4,LANÇ_MOV[CENTRO DE CUSTOS],$D$4)</f>
        <v>0</v>
      </c>
      <c r="G708" s="206">
        <f>SUMIFS(LANÇ_MOV[VALOR LÍQUIDO],LANÇ_MOV[RECEITA OU DESPESA],"Despesa",LANÇ_MOV[CONTAS],$C708,LANÇ_MOV[PLANO DE CONTAS],REL_DRE_FINANCEIRO!$B$651,LANÇ_MOV[ANO PAGAMENTO],$B$4,LANÇ_MOV[MÊS PAGAMENTO CORRESPONDENTE],G$6,LANÇ_MOV[EMPRESA],$C$4,LANÇ_MOV[CENTRO DE CUSTOS],$D$4)</f>
        <v>0</v>
      </c>
      <c r="H708" s="206">
        <f>SUMIFS(LANÇ_MOV[VALOR LÍQUIDO],LANÇ_MOV[RECEITA OU DESPESA],"Despesa",LANÇ_MOV[CONTAS],$C708,LANÇ_MOV[PLANO DE CONTAS],REL_DRE_FINANCEIRO!$B$651,LANÇ_MOV[ANO PAGAMENTO],$B$4,LANÇ_MOV[MÊS PAGAMENTO CORRESPONDENTE],H$6,LANÇ_MOV[EMPRESA],$C$4,LANÇ_MOV[CENTRO DE CUSTOS],$D$4)</f>
        <v>0</v>
      </c>
      <c r="I708" s="206">
        <f>SUMIFS(LANÇ_MOV[VALOR LÍQUIDO],LANÇ_MOV[RECEITA OU DESPESA],"Despesa",LANÇ_MOV[CONTAS],$C708,LANÇ_MOV[PLANO DE CONTAS],REL_DRE_FINANCEIRO!$B$651,LANÇ_MOV[ANO PAGAMENTO],$B$4,LANÇ_MOV[MÊS PAGAMENTO CORRESPONDENTE],I$6,LANÇ_MOV[EMPRESA],$C$4,LANÇ_MOV[CENTRO DE CUSTOS],$D$4)</f>
        <v>0</v>
      </c>
      <c r="J708" s="206">
        <f>SUMIFS(LANÇ_MOV[VALOR LÍQUIDO],LANÇ_MOV[RECEITA OU DESPESA],"Despesa",LANÇ_MOV[CONTAS],$C708,LANÇ_MOV[PLANO DE CONTAS],REL_DRE_FINANCEIRO!$B$651,LANÇ_MOV[ANO PAGAMENTO],$B$4,LANÇ_MOV[MÊS PAGAMENTO CORRESPONDENTE],J$6,LANÇ_MOV[EMPRESA],$C$4,LANÇ_MOV[CENTRO DE CUSTOS],$D$4)</f>
        <v>0</v>
      </c>
      <c r="K708" s="206">
        <f>SUMIFS(LANÇ_MOV[VALOR LÍQUIDO],LANÇ_MOV[RECEITA OU DESPESA],"Despesa",LANÇ_MOV[CONTAS],$C708,LANÇ_MOV[PLANO DE CONTAS],REL_DRE_FINANCEIRO!$B$651,LANÇ_MOV[ANO PAGAMENTO],$B$4,LANÇ_MOV[MÊS PAGAMENTO CORRESPONDENTE],K$6,LANÇ_MOV[EMPRESA],$C$4,LANÇ_MOV[CENTRO DE CUSTOS],$D$4)</f>
        <v>0</v>
      </c>
      <c r="L708" s="206">
        <f>SUMIFS(LANÇ_MOV[VALOR LÍQUIDO],LANÇ_MOV[RECEITA OU DESPESA],"Despesa",LANÇ_MOV[CONTAS],$C708,LANÇ_MOV[PLANO DE CONTAS],REL_DRE_FINANCEIRO!$B$651,LANÇ_MOV[ANO PAGAMENTO],$B$4,LANÇ_MOV[MÊS PAGAMENTO CORRESPONDENTE],L$6,LANÇ_MOV[EMPRESA],$C$4,LANÇ_MOV[CENTRO DE CUSTOS],$D$4)</f>
        <v>0</v>
      </c>
      <c r="M708" s="206">
        <f>SUMIFS(LANÇ_MOV[VALOR LÍQUIDO],LANÇ_MOV[RECEITA OU DESPESA],"Despesa",LANÇ_MOV[CONTAS],$C708,LANÇ_MOV[PLANO DE CONTAS],REL_DRE_FINANCEIRO!$B$651,LANÇ_MOV[ANO PAGAMENTO],$B$4,LANÇ_MOV[MÊS PAGAMENTO CORRESPONDENTE],M$6,LANÇ_MOV[EMPRESA],$C$4,LANÇ_MOV[CENTRO DE CUSTOS],$D$4)</f>
        <v>0</v>
      </c>
      <c r="N708" s="206">
        <f>SUMIFS(LANÇ_MOV[VALOR LÍQUIDO],LANÇ_MOV[RECEITA OU DESPESA],"Despesa",LANÇ_MOV[CONTAS],$C708,LANÇ_MOV[PLANO DE CONTAS],REL_DRE_FINANCEIRO!$B$651,LANÇ_MOV[ANO PAGAMENTO],$B$4,LANÇ_MOV[MÊS PAGAMENTO CORRESPONDENTE],N$6,LANÇ_MOV[EMPRESA],$C$4,LANÇ_MOV[CENTRO DE CUSTOS],$D$4)</f>
        <v>0</v>
      </c>
      <c r="O708" s="206">
        <f>SUMIFS(LANÇ_MOV[VALOR LÍQUIDO],LANÇ_MOV[RECEITA OU DESPESA],"Despesa",LANÇ_MOV[CONTAS],$C708,LANÇ_MOV[PLANO DE CONTAS],REL_DRE_FINANCEIRO!$B$651,LANÇ_MOV[ANO PAGAMENTO],$B$4,LANÇ_MOV[MÊS PAGAMENTO CORRESPONDENTE],O$6,LANÇ_MOV[EMPRESA],$C$4,LANÇ_MOV[CENTRO DE CUSTOS],$D$4)</f>
        <v>0</v>
      </c>
      <c r="P708" s="207">
        <f t="shared" si="88"/>
        <v>0</v>
      </c>
      <c r="Q708" s="329">
        <v>4.4000000000000002E-6</v>
      </c>
      <c r="R708" s="346">
        <f t="shared" si="89"/>
        <v>4.4000000000000002E-6</v>
      </c>
      <c r="S708" s="347" t="str">
        <f t="shared" si="90"/>
        <v>-</v>
      </c>
      <c r="T708" s="347">
        <f t="shared" si="91"/>
        <v>0</v>
      </c>
      <c r="U708" s="347">
        <f>HLOOKUP(Apoio!$P$12,$D$650:$P$751,X708,FALSE)+Q708</f>
        <v>4.4000000000000002E-6</v>
      </c>
      <c r="V708" s="447" t="str">
        <f t="shared" si="92"/>
        <v>-</v>
      </c>
      <c r="W708" s="448">
        <f>HLOOKUP(Apoio!$P$12,$D$650:$P$751,X708,FALSE)</f>
        <v>0</v>
      </c>
      <c r="X708" s="329">
        <v>59</v>
      </c>
    </row>
    <row r="709" spans="2:24" ht="30.05" customHeight="1" x14ac:dyDescent="0.35">
      <c r="B709" s="204" t="str">
        <f>'CAD_PL_REC-DESP'!W62</f>
        <v>2.5.58</v>
      </c>
      <c r="C709" s="205" t="str">
        <f>IF('CAD_PL_REC-DESP'!X62="","-",'CAD_PL_REC-DESP'!X62)</f>
        <v>-</v>
      </c>
      <c r="D709" s="206">
        <f>SUMIFS(LANÇ_MOV[VALOR LÍQUIDO],LANÇ_MOV[RECEITA OU DESPESA],"Despesa",LANÇ_MOV[CONTAS],$C709,LANÇ_MOV[PLANO DE CONTAS],REL_DRE_FINANCEIRO!$B$651,LANÇ_MOV[ANO PAGAMENTO],$B$4,LANÇ_MOV[MÊS PAGAMENTO CORRESPONDENTE],D$6,LANÇ_MOV[EMPRESA],$C$4,LANÇ_MOV[CENTRO DE CUSTOS],$D$4)</f>
        <v>0</v>
      </c>
      <c r="E709" s="206">
        <f>SUMIFS(LANÇ_MOV[VALOR LÍQUIDO],LANÇ_MOV[RECEITA OU DESPESA],"Despesa",LANÇ_MOV[CONTAS],$C709,LANÇ_MOV[PLANO DE CONTAS],REL_DRE_FINANCEIRO!$B$651,LANÇ_MOV[ANO PAGAMENTO],$B$4,LANÇ_MOV[MÊS PAGAMENTO CORRESPONDENTE],E$6,LANÇ_MOV[EMPRESA],$C$4,LANÇ_MOV[CENTRO DE CUSTOS],$D$4)</f>
        <v>0</v>
      </c>
      <c r="F709" s="206">
        <f>SUMIFS(LANÇ_MOV[VALOR LÍQUIDO],LANÇ_MOV[RECEITA OU DESPESA],"Despesa",LANÇ_MOV[CONTAS],$C709,LANÇ_MOV[PLANO DE CONTAS],REL_DRE_FINANCEIRO!$B$651,LANÇ_MOV[ANO PAGAMENTO],$B$4,LANÇ_MOV[MÊS PAGAMENTO CORRESPONDENTE],F$6,LANÇ_MOV[EMPRESA],$C$4,LANÇ_MOV[CENTRO DE CUSTOS],$D$4)</f>
        <v>0</v>
      </c>
      <c r="G709" s="206">
        <f>SUMIFS(LANÇ_MOV[VALOR LÍQUIDO],LANÇ_MOV[RECEITA OU DESPESA],"Despesa",LANÇ_MOV[CONTAS],$C709,LANÇ_MOV[PLANO DE CONTAS],REL_DRE_FINANCEIRO!$B$651,LANÇ_MOV[ANO PAGAMENTO],$B$4,LANÇ_MOV[MÊS PAGAMENTO CORRESPONDENTE],G$6,LANÇ_MOV[EMPRESA],$C$4,LANÇ_MOV[CENTRO DE CUSTOS],$D$4)</f>
        <v>0</v>
      </c>
      <c r="H709" s="206">
        <f>SUMIFS(LANÇ_MOV[VALOR LÍQUIDO],LANÇ_MOV[RECEITA OU DESPESA],"Despesa",LANÇ_MOV[CONTAS],$C709,LANÇ_MOV[PLANO DE CONTAS],REL_DRE_FINANCEIRO!$B$651,LANÇ_MOV[ANO PAGAMENTO],$B$4,LANÇ_MOV[MÊS PAGAMENTO CORRESPONDENTE],H$6,LANÇ_MOV[EMPRESA],$C$4,LANÇ_MOV[CENTRO DE CUSTOS],$D$4)</f>
        <v>0</v>
      </c>
      <c r="I709" s="206">
        <f>SUMIFS(LANÇ_MOV[VALOR LÍQUIDO],LANÇ_MOV[RECEITA OU DESPESA],"Despesa",LANÇ_MOV[CONTAS],$C709,LANÇ_MOV[PLANO DE CONTAS],REL_DRE_FINANCEIRO!$B$651,LANÇ_MOV[ANO PAGAMENTO],$B$4,LANÇ_MOV[MÊS PAGAMENTO CORRESPONDENTE],I$6,LANÇ_MOV[EMPRESA],$C$4,LANÇ_MOV[CENTRO DE CUSTOS],$D$4)</f>
        <v>0</v>
      </c>
      <c r="J709" s="206">
        <f>SUMIFS(LANÇ_MOV[VALOR LÍQUIDO],LANÇ_MOV[RECEITA OU DESPESA],"Despesa",LANÇ_MOV[CONTAS],$C709,LANÇ_MOV[PLANO DE CONTAS],REL_DRE_FINANCEIRO!$B$651,LANÇ_MOV[ANO PAGAMENTO],$B$4,LANÇ_MOV[MÊS PAGAMENTO CORRESPONDENTE],J$6,LANÇ_MOV[EMPRESA],$C$4,LANÇ_MOV[CENTRO DE CUSTOS],$D$4)</f>
        <v>0</v>
      </c>
      <c r="K709" s="206">
        <f>SUMIFS(LANÇ_MOV[VALOR LÍQUIDO],LANÇ_MOV[RECEITA OU DESPESA],"Despesa",LANÇ_MOV[CONTAS],$C709,LANÇ_MOV[PLANO DE CONTAS],REL_DRE_FINANCEIRO!$B$651,LANÇ_MOV[ANO PAGAMENTO],$B$4,LANÇ_MOV[MÊS PAGAMENTO CORRESPONDENTE],K$6,LANÇ_MOV[EMPRESA],$C$4,LANÇ_MOV[CENTRO DE CUSTOS],$D$4)</f>
        <v>0</v>
      </c>
      <c r="L709" s="206">
        <f>SUMIFS(LANÇ_MOV[VALOR LÍQUIDO],LANÇ_MOV[RECEITA OU DESPESA],"Despesa",LANÇ_MOV[CONTAS],$C709,LANÇ_MOV[PLANO DE CONTAS],REL_DRE_FINANCEIRO!$B$651,LANÇ_MOV[ANO PAGAMENTO],$B$4,LANÇ_MOV[MÊS PAGAMENTO CORRESPONDENTE],L$6,LANÇ_MOV[EMPRESA],$C$4,LANÇ_MOV[CENTRO DE CUSTOS],$D$4)</f>
        <v>0</v>
      </c>
      <c r="M709" s="206">
        <f>SUMIFS(LANÇ_MOV[VALOR LÍQUIDO],LANÇ_MOV[RECEITA OU DESPESA],"Despesa",LANÇ_MOV[CONTAS],$C709,LANÇ_MOV[PLANO DE CONTAS],REL_DRE_FINANCEIRO!$B$651,LANÇ_MOV[ANO PAGAMENTO],$B$4,LANÇ_MOV[MÊS PAGAMENTO CORRESPONDENTE],M$6,LANÇ_MOV[EMPRESA],$C$4,LANÇ_MOV[CENTRO DE CUSTOS],$D$4)</f>
        <v>0</v>
      </c>
      <c r="N709" s="206">
        <f>SUMIFS(LANÇ_MOV[VALOR LÍQUIDO],LANÇ_MOV[RECEITA OU DESPESA],"Despesa",LANÇ_MOV[CONTAS],$C709,LANÇ_MOV[PLANO DE CONTAS],REL_DRE_FINANCEIRO!$B$651,LANÇ_MOV[ANO PAGAMENTO],$B$4,LANÇ_MOV[MÊS PAGAMENTO CORRESPONDENTE],N$6,LANÇ_MOV[EMPRESA],$C$4,LANÇ_MOV[CENTRO DE CUSTOS],$D$4)</f>
        <v>0</v>
      </c>
      <c r="O709" s="206">
        <f>SUMIFS(LANÇ_MOV[VALOR LÍQUIDO],LANÇ_MOV[RECEITA OU DESPESA],"Despesa",LANÇ_MOV[CONTAS],$C709,LANÇ_MOV[PLANO DE CONTAS],REL_DRE_FINANCEIRO!$B$651,LANÇ_MOV[ANO PAGAMENTO],$B$4,LANÇ_MOV[MÊS PAGAMENTO CORRESPONDENTE],O$6,LANÇ_MOV[EMPRESA],$C$4,LANÇ_MOV[CENTRO DE CUSTOS],$D$4)</f>
        <v>0</v>
      </c>
      <c r="P709" s="207">
        <f t="shared" si="88"/>
        <v>0</v>
      </c>
      <c r="Q709" s="329">
        <v>4.3000000000000003E-6</v>
      </c>
      <c r="R709" s="346">
        <f t="shared" si="89"/>
        <v>4.3000000000000003E-6</v>
      </c>
      <c r="S709" s="347" t="str">
        <f t="shared" si="90"/>
        <v>-</v>
      </c>
      <c r="T709" s="347">
        <f t="shared" si="91"/>
        <v>0</v>
      </c>
      <c r="U709" s="347">
        <f>HLOOKUP(Apoio!$P$12,$D$650:$P$751,X709,FALSE)+Q709</f>
        <v>4.3000000000000003E-6</v>
      </c>
      <c r="V709" s="447" t="str">
        <f t="shared" si="92"/>
        <v>-</v>
      </c>
      <c r="W709" s="448">
        <f>HLOOKUP(Apoio!$P$12,$D$650:$P$751,X709,FALSE)</f>
        <v>0</v>
      </c>
      <c r="X709" s="329">
        <v>60</v>
      </c>
    </row>
    <row r="710" spans="2:24" ht="30.05" customHeight="1" x14ac:dyDescent="0.35">
      <c r="B710" s="204" t="str">
        <f>'CAD_PL_REC-DESP'!W63</f>
        <v>2.5.59</v>
      </c>
      <c r="C710" s="205" t="str">
        <f>IF('CAD_PL_REC-DESP'!X63="","-",'CAD_PL_REC-DESP'!X63)</f>
        <v>-</v>
      </c>
      <c r="D710" s="206">
        <f>SUMIFS(LANÇ_MOV[VALOR LÍQUIDO],LANÇ_MOV[RECEITA OU DESPESA],"Despesa",LANÇ_MOV[CONTAS],$C710,LANÇ_MOV[PLANO DE CONTAS],REL_DRE_FINANCEIRO!$B$651,LANÇ_MOV[ANO PAGAMENTO],$B$4,LANÇ_MOV[MÊS PAGAMENTO CORRESPONDENTE],D$6,LANÇ_MOV[EMPRESA],$C$4,LANÇ_MOV[CENTRO DE CUSTOS],$D$4)</f>
        <v>0</v>
      </c>
      <c r="E710" s="206">
        <f>SUMIFS(LANÇ_MOV[VALOR LÍQUIDO],LANÇ_MOV[RECEITA OU DESPESA],"Despesa",LANÇ_MOV[CONTAS],$C710,LANÇ_MOV[PLANO DE CONTAS],REL_DRE_FINANCEIRO!$B$651,LANÇ_MOV[ANO PAGAMENTO],$B$4,LANÇ_MOV[MÊS PAGAMENTO CORRESPONDENTE],E$6,LANÇ_MOV[EMPRESA],$C$4,LANÇ_MOV[CENTRO DE CUSTOS],$D$4)</f>
        <v>0</v>
      </c>
      <c r="F710" s="206">
        <f>SUMIFS(LANÇ_MOV[VALOR LÍQUIDO],LANÇ_MOV[RECEITA OU DESPESA],"Despesa",LANÇ_MOV[CONTAS],$C710,LANÇ_MOV[PLANO DE CONTAS],REL_DRE_FINANCEIRO!$B$651,LANÇ_MOV[ANO PAGAMENTO],$B$4,LANÇ_MOV[MÊS PAGAMENTO CORRESPONDENTE],F$6,LANÇ_MOV[EMPRESA],$C$4,LANÇ_MOV[CENTRO DE CUSTOS],$D$4)</f>
        <v>0</v>
      </c>
      <c r="G710" s="206">
        <f>SUMIFS(LANÇ_MOV[VALOR LÍQUIDO],LANÇ_MOV[RECEITA OU DESPESA],"Despesa",LANÇ_MOV[CONTAS],$C710,LANÇ_MOV[PLANO DE CONTAS],REL_DRE_FINANCEIRO!$B$651,LANÇ_MOV[ANO PAGAMENTO],$B$4,LANÇ_MOV[MÊS PAGAMENTO CORRESPONDENTE],G$6,LANÇ_MOV[EMPRESA],$C$4,LANÇ_MOV[CENTRO DE CUSTOS],$D$4)</f>
        <v>0</v>
      </c>
      <c r="H710" s="206">
        <f>SUMIFS(LANÇ_MOV[VALOR LÍQUIDO],LANÇ_MOV[RECEITA OU DESPESA],"Despesa",LANÇ_MOV[CONTAS],$C710,LANÇ_MOV[PLANO DE CONTAS],REL_DRE_FINANCEIRO!$B$651,LANÇ_MOV[ANO PAGAMENTO],$B$4,LANÇ_MOV[MÊS PAGAMENTO CORRESPONDENTE],H$6,LANÇ_MOV[EMPRESA],$C$4,LANÇ_MOV[CENTRO DE CUSTOS],$D$4)</f>
        <v>0</v>
      </c>
      <c r="I710" s="206">
        <f>SUMIFS(LANÇ_MOV[VALOR LÍQUIDO],LANÇ_MOV[RECEITA OU DESPESA],"Despesa",LANÇ_MOV[CONTAS],$C710,LANÇ_MOV[PLANO DE CONTAS],REL_DRE_FINANCEIRO!$B$651,LANÇ_MOV[ANO PAGAMENTO],$B$4,LANÇ_MOV[MÊS PAGAMENTO CORRESPONDENTE],I$6,LANÇ_MOV[EMPRESA],$C$4,LANÇ_MOV[CENTRO DE CUSTOS],$D$4)</f>
        <v>0</v>
      </c>
      <c r="J710" s="206">
        <f>SUMIFS(LANÇ_MOV[VALOR LÍQUIDO],LANÇ_MOV[RECEITA OU DESPESA],"Despesa",LANÇ_MOV[CONTAS],$C710,LANÇ_MOV[PLANO DE CONTAS],REL_DRE_FINANCEIRO!$B$651,LANÇ_MOV[ANO PAGAMENTO],$B$4,LANÇ_MOV[MÊS PAGAMENTO CORRESPONDENTE],J$6,LANÇ_MOV[EMPRESA],$C$4,LANÇ_MOV[CENTRO DE CUSTOS],$D$4)</f>
        <v>0</v>
      </c>
      <c r="K710" s="206">
        <f>SUMIFS(LANÇ_MOV[VALOR LÍQUIDO],LANÇ_MOV[RECEITA OU DESPESA],"Despesa",LANÇ_MOV[CONTAS],$C710,LANÇ_MOV[PLANO DE CONTAS],REL_DRE_FINANCEIRO!$B$651,LANÇ_MOV[ANO PAGAMENTO],$B$4,LANÇ_MOV[MÊS PAGAMENTO CORRESPONDENTE],K$6,LANÇ_MOV[EMPRESA],$C$4,LANÇ_MOV[CENTRO DE CUSTOS],$D$4)</f>
        <v>0</v>
      </c>
      <c r="L710" s="206">
        <f>SUMIFS(LANÇ_MOV[VALOR LÍQUIDO],LANÇ_MOV[RECEITA OU DESPESA],"Despesa",LANÇ_MOV[CONTAS],$C710,LANÇ_MOV[PLANO DE CONTAS],REL_DRE_FINANCEIRO!$B$651,LANÇ_MOV[ANO PAGAMENTO],$B$4,LANÇ_MOV[MÊS PAGAMENTO CORRESPONDENTE],L$6,LANÇ_MOV[EMPRESA],$C$4,LANÇ_MOV[CENTRO DE CUSTOS],$D$4)</f>
        <v>0</v>
      </c>
      <c r="M710" s="206">
        <f>SUMIFS(LANÇ_MOV[VALOR LÍQUIDO],LANÇ_MOV[RECEITA OU DESPESA],"Despesa",LANÇ_MOV[CONTAS],$C710,LANÇ_MOV[PLANO DE CONTAS],REL_DRE_FINANCEIRO!$B$651,LANÇ_MOV[ANO PAGAMENTO],$B$4,LANÇ_MOV[MÊS PAGAMENTO CORRESPONDENTE],M$6,LANÇ_MOV[EMPRESA],$C$4,LANÇ_MOV[CENTRO DE CUSTOS],$D$4)</f>
        <v>0</v>
      </c>
      <c r="N710" s="206">
        <f>SUMIFS(LANÇ_MOV[VALOR LÍQUIDO],LANÇ_MOV[RECEITA OU DESPESA],"Despesa",LANÇ_MOV[CONTAS],$C710,LANÇ_MOV[PLANO DE CONTAS],REL_DRE_FINANCEIRO!$B$651,LANÇ_MOV[ANO PAGAMENTO],$B$4,LANÇ_MOV[MÊS PAGAMENTO CORRESPONDENTE],N$6,LANÇ_MOV[EMPRESA],$C$4,LANÇ_MOV[CENTRO DE CUSTOS],$D$4)</f>
        <v>0</v>
      </c>
      <c r="O710" s="206">
        <f>SUMIFS(LANÇ_MOV[VALOR LÍQUIDO],LANÇ_MOV[RECEITA OU DESPESA],"Despesa",LANÇ_MOV[CONTAS],$C710,LANÇ_MOV[PLANO DE CONTAS],REL_DRE_FINANCEIRO!$B$651,LANÇ_MOV[ANO PAGAMENTO],$B$4,LANÇ_MOV[MÊS PAGAMENTO CORRESPONDENTE],O$6,LANÇ_MOV[EMPRESA],$C$4,LANÇ_MOV[CENTRO DE CUSTOS],$D$4)</f>
        <v>0</v>
      </c>
      <c r="P710" s="207">
        <f t="shared" si="88"/>
        <v>0</v>
      </c>
      <c r="Q710" s="329">
        <v>4.1999999999999996E-6</v>
      </c>
      <c r="R710" s="346">
        <f t="shared" si="89"/>
        <v>4.1999999999999996E-6</v>
      </c>
      <c r="S710" s="347" t="str">
        <f t="shared" si="90"/>
        <v>-</v>
      </c>
      <c r="T710" s="347">
        <f t="shared" si="91"/>
        <v>0</v>
      </c>
      <c r="U710" s="347">
        <f>HLOOKUP(Apoio!$P$12,$D$650:$P$751,X710,FALSE)+Q710</f>
        <v>4.1999999999999996E-6</v>
      </c>
      <c r="V710" s="447" t="str">
        <f t="shared" si="92"/>
        <v>-</v>
      </c>
      <c r="W710" s="448">
        <f>HLOOKUP(Apoio!$P$12,$D$650:$P$751,X710,FALSE)</f>
        <v>0</v>
      </c>
      <c r="X710" s="329">
        <v>61</v>
      </c>
    </row>
    <row r="711" spans="2:24" ht="30.05" customHeight="1" x14ac:dyDescent="0.35">
      <c r="B711" s="204" t="str">
        <f>'CAD_PL_REC-DESP'!W64</f>
        <v>2.5.60</v>
      </c>
      <c r="C711" s="205" t="str">
        <f>IF('CAD_PL_REC-DESP'!X64="","-",'CAD_PL_REC-DESP'!X64)</f>
        <v>-</v>
      </c>
      <c r="D711" s="206">
        <f>SUMIFS(LANÇ_MOV[VALOR LÍQUIDO],LANÇ_MOV[RECEITA OU DESPESA],"Despesa",LANÇ_MOV[CONTAS],$C711,LANÇ_MOV[PLANO DE CONTAS],REL_DRE_FINANCEIRO!$B$651,LANÇ_MOV[ANO PAGAMENTO],$B$4,LANÇ_MOV[MÊS PAGAMENTO CORRESPONDENTE],D$6,LANÇ_MOV[EMPRESA],$C$4,LANÇ_MOV[CENTRO DE CUSTOS],$D$4)</f>
        <v>0</v>
      </c>
      <c r="E711" s="206">
        <f>SUMIFS(LANÇ_MOV[VALOR LÍQUIDO],LANÇ_MOV[RECEITA OU DESPESA],"Despesa",LANÇ_MOV[CONTAS],$C711,LANÇ_MOV[PLANO DE CONTAS],REL_DRE_FINANCEIRO!$B$651,LANÇ_MOV[ANO PAGAMENTO],$B$4,LANÇ_MOV[MÊS PAGAMENTO CORRESPONDENTE],E$6,LANÇ_MOV[EMPRESA],$C$4,LANÇ_MOV[CENTRO DE CUSTOS],$D$4)</f>
        <v>0</v>
      </c>
      <c r="F711" s="206">
        <f>SUMIFS(LANÇ_MOV[VALOR LÍQUIDO],LANÇ_MOV[RECEITA OU DESPESA],"Despesa",LANÇ_MOV[CONTAS],$C711,LANÇ_MOV[PLANO DE CONTAS],REL_DRE_FINANCEIRO!$B$651,LANÇ_MOV[ANO PAGAMENTO],$B$4,LANÇ_MOV[MÊS PAGAMENTO CORRESPONDENTE],F$6,LANÇ_MOV[EMPRESA],$C$4,LANÇ_MOV[CENTRO DE CUSTOS],$D$4)</f>
        <v>0</v>
      </c>
      <c r="G711" s="206">
        <f>SUMIFS(LANÇ_MOV[VALOR LÍQUIDO],LANÇ_MOV[RECEITA OU DESPESA],"Despesa",LANÇ_MOV[CONTAS],$C711,LANÇ_MOV[PLANO DE CONTAS],REL_DRE_FINANCEIRO!$B$651,LANÇ_MOV[ANO PAGAMENTO],$B$4,LANÇ_MOV[MÊS PAGAMENTO CORRESPONDENTE],G$6,LANÇ_MOV[EMPRESA],$C$4,LANÇ_MOV[CENTRO DE CUSTOS],$D$4)</f>
        <v>0</v>
      </c>
      <c r="H711" s="206">
        <f>SUMIFS(LANÇ_MOV[VALOR LÍQUIDO],LANÇ_MOV[RECEITA OU DESPESA],"Despesa",LANÇ_MOV[CONTAS],$C711,LANÇ_MOV[PLANO DE CONTAS],REL_DRE_FINANCEIRO!$B$651,LANÇ_MOV[ANO PAGAMENTO],$B$4,LANÇ_MOV[MÊS PAGAMENTO CORRESPONDENTE],H$6,LANÇ_MOV[EMPRESA],$C$4,LANÇ_MOV[CENTRO DE CUSTOS],$D$4)</f>
        <v>0</v>
      </c>
      <c r="I711" s="206">
        <f>SUMIFS(LANÇ_MOV[VALOR LÍQUIDO],LANÇ_MOV[RECEITA OU DESPESA],"Despesa",LANÇ_MOV[CONTAS],$C711,LANÇ_MOV[PLANO DE CONTAS],REL_DRE_FINANCEIRO!$B$651,LANÇ_MOV[ANO PAGAMENTO],$B$4,LANÇ_MOV[MÊS PAGAMENTO CORRESPONDENTE],I$6,LANÇ_MOV[EMPRESA],$C$4,LANÇ_MOV[CENTRO DE CUSTOS],$D$4)</f>
        <v>0</v>
      </c>
      <c r="J711" s="206">
        <f>SUMIFS(LANÇ_MOV[VALOR LÍQUIDO],LANÇ_MOV[RECEITA OU DESPESA],"Despesa",LANÇ_MOV[CONTAS],$C711,LANÇ_MOV[PLANO DE CONTAS],REL_DRE_FINANCEIRO!$B$651,LANÇ_MOV[ANO PAGAMENTO],$B$4,LANÇ_MOV[MÊS PAGAMENTO CORRESPONDENTE],J$6,LANÇ_MOV[EMPRESA],$C$4,LANÇ_MOV[CENTRO DE CUSTOS],$D$4)</f>
        <v>0</v>
      </c>
      <c r="K711" s="206">
        <f>SUMIFS(LANÇ_MOV[VALOR LÍQUIDO],LANÇ_MOV[RECEITA OU DESPESA],"Despesa",LANÇ_MOV[CONTAS],$C711,LANÇ_MOV[PLANO DE CONTAS],REL_DRE_FINANCEIRO!$B$651,LANÇ_MOV[ANO PAGAMENTO],$B$4,LANÇ_MOV[MÊS PAGAMENTO CORRESPONDENTE],K$6,LANÇ_MOV[EMPRESA],$C$4,LANÇ_MOV[CENTRO DE CUSTOS],$D$4)</f>
        <v>0</v>
      </c>
      <c r="L711" s="206">
        <f>SUMIFS(LANÇ_MOV[VALOR LÍQUIDO],LANÇ_MOV[RECEITA OU DESPESA],"Despesa",LANÇ_MOV[CONTAS],$C711,LANÇ_MOV[PLANO DE CONTAS],REL_DRE_FINANCEIRO!$B$651,LANÇ_MOV[ANO PAGAMENTO],$B$4,LANÇ_MOV[MÊS PAGAMENTO CORRESPONDENTE],L$6,LANÇ_MOV[EMPRESA],$C$4,LANÇ_MOV[CENTRO DE CUSTOS],$D$4)</f>
        <v>0</v>
      </c>
      <c r="M711" s="206">
        <f>SUMIFS(LANÇ_MOV[VALOR LÍQUIDO],LANÇ_MOV[RECEITA OU DESPESA],"Despesa",LANÇ_MOV[CONTAS],$C711,LANÇ_MOV[PLANO DE CONTAS],REL_DRE_FINANCEIRO!$B$651,LANÇ_MOV[ANO PAGAMENTO],$B$4,LANÇ_MOV[MÊS PAGAMENTO CORRESPONDENTE],M$6,LANÇ_MOV[EMPRESA],$C$4,LANÇ_MOV[CENTRO DE CUSTOS],$D$4)</f>
        <v>0</v>
      </c>
      <c r="N711" s="206">
        <f>SUMIFS(LANÇ_MOV[VALOR LÍQUIDO],LANÇ_MOV[RECEITA OU DESPESA],"Despesa",LANÇ_MOV[CONTAS],$C711,LANÇ_MOV[PLANO DE CONTAS],REL_DRE_FINANCEIRO!$B$651,LANÇ_MOV[ANO PAGAMENTO],$B$4,LANÇ_MOV[MÊS PAGAMENTO CORRESPONDENTE],N$6,LANÇ_MOV[EMPRESA],$C$4,LANÇ_MOV[CENTRO DE CUSTOS],$D$4)</f>
        <v>0</v>
      </c>
      <c r="O711" s="206">
        <f>SUMIFS(LANÇ_MOV[VALOR LÍQUIDO],LANÇ_MOV[RECEITA OU DESPESA],"Despesa",LANÇ_MOV[CONTAS],$C711,LANÇ_MOV[PLANO DE CONTAS],REL_DRE_FINANCEIRO!$B$651,LANÇ_MOV[ANO PAGAMENTO],$B$4,LANÇ_MOV[MÊS PAGAMENTO CORRESPONDENTE],O$6,LANÇ_MOV[EMPRESA],$C$4,LANÇ_MOV[CENTRO DE CUSTOS],$D$4)</f>
        <v>0</v>
      </c>
      <c r="P711" s="207">
        <f t="shared" si="88"/>
        <v>0</v>
      </c>
      <c r="Q711" s="329">
        <v>4.0999999999999997E-6</v>
      </c>
      <c r="R711" s="346">
        <f t="shared" si="89"/>
        <v>4.0999999999999997E-6</v>
      </c>
      <c r="S711" s="347" t="str">
        <f t="shared" si="90"/>
        <v>-</v>
      </c>
      <c r="T711" s="347">
        <f t="shared" si="91"/>
        <v>0</v>
      </c>
      <c r="U711" s="347">
        <f>HLOOKUP(Apoio!$P$12,$D$650:$P$751,X711,FALSE)+Q711</f>
        <v>4.0999999999999997E-6</v>
      </c>
      <c r="V711" s="447" t="str">
        <f t="shared" si="92"/>
        <v>-</v>
      </c>
      <c r="W711" s="448">
        <f>HLOOKUP(Apoio!$P$12,$D$650:$P$751,X711,FALSE)</f>
        <v>0</v>
      </c>
      <c r="X711" s="329">
        <v>62</v>
      </c>
    </row>
    <row r="712" spans="2:24" ht="30.05" customHeight="1" x14ac:dyDescent="0.35">
      <c r="B712" s="204" t="str">
        <f>'CAD_PL_REC-DESP'!W65</f>
        <v>2.5.61</v>
      </c>
      <c r="C712" s="205" t="str">
        <f>IF('CAD_PL_REC-DESP'!X65="","-",'CAD_PL_REC-DESP'!X65)</f>
        <v>-</v>
      </c>
      <c r="D712" s="206">
        <f>SUMIFS(LANÇ_MOV[VALOR LÍQUIDO],LANÇ_MOV[RECEITA OU DESPESA],"Despesa",LANÇ_MOV[CONTAS],$C712,LANÇ_MOV[PLANO DE CONTAS],REL_DRE_FINANCEIRO!$B$651,LANÇ_MOV[ANO PAGAMENTO],$B$4,LANÇ_MOV[MÊS PAGAMENTO CORRESPONDENTE],D$6,LANÇ_MOV[EMPRESA],$C$4,LANÇ_MOV[CENTRO DE CUSTOS],$D$4)</f>
        <v>0</v>
      </c>
      <c r="E712" s="206">
        <f>SUMIFS(LANÇ_MOV[VALOR LÍQUIDO],LANÇ_MOV[RECEITA OU DESPESA],"Despesa",LANÇ_MOV[CONTAS],$C712,LANÇ_MOV[PLANO DE CONTAS],REL_DRE_FINANCEIRO!$B$651,LANÇ_MOV[ANO PAGAMENTO],$B$4,LANÇ_MOV[MÊS PAGAMENTO CORRESPONDENTE],E$6,LANÇ_MOV[EMPRESA],$C$4,LANÇ_MOV[CENTRO DE CUSTOS],$D$4)</f>
        <v>0</v>
      </c>
      <c r="F712" s="206">
        <f>SUMIFS(LANÇ_MOV[VALOR LÍQUIDO],LANÇ_MOV[RECEITA OU DESPESA],"Despesa",LANÇ_MOV[CONTAS],$C712,LANÇ_MOV[PLANO DE CONTAS],REL_DRE_FINANCEIRO!$B$651,LANÇ_MOV[ANO PAGAMENTO],$B$4,LANÇ_MOV[MÊS PAGAMENTO CORRESPONDENTE],F$6,LANÇ_MOV[EMPRESA],$C$4,LANÇ_MOV[CENTRO DE CUSTOS],$D$4)</f>
        <v>0</v>
      </c>
      <c r="G712" s="206">
        <f>SUMIFS(LANÇ_MOV[VALOR LÍQUIDO],LANÇ_MOV[RECEITA OU DESPESA],"Despesa",LANÇ_MOV[CONTAS],$C712,LANÇ_MOV[PLANO DE CONTAS],REL_DRE_FINANCEIRO!$B$651,LANÇ_MOV[ANO PAGAMENTO],$B$4,LANÇ_MOV[MÊS PAGAMENTO CORRESPONDENTE],G$6,LANÇ_MOV[EMPRESA],$C$4,LANÇ_MOV[CENTRO DE CUSTOS],$D$4)</f>
        <v>0</v>
      </c>
      <c r="H712" s="206">
        <f>SUMIFS(LANÇ_MOV[VALOR LÍQUIDO],LANÇ_MOV[RECEITA OU DESPESA],"Despesa",LANÇ_MOV[CONTAS],$C712,LANÇ_MOV[PLANO DE CONTAS],REL_DRE_FINANCEIRO!$B$651,LANÇ_MOV[ANO PAGAMENTO],$B$4,LANÇ_MOV[MÊS PAGAMENTO CORRESPONDENTE],H$6,LANÇ_MOV[EMPRESA],$C$4,LANÇ_MOV[CENTRO DE CUSTOS],$D$4)</f>
        <v>0</v>
      </c>
      <c r="I712" s="206">
        <f>SUMIFS(LANÇ_MOV[VALOR LÍQUIDO],LANÇ_MOV[RECEITA OU DESPESA],"Despesa",LANÇ_MOV[CONTAS],$C712,LANÇ_MOV[PLANO DE CONTAS],REL_DRE_FINANCEIRO!$B$651,LANÇ_MOV[ANO PAGAMENTO],$B$4,LANÇ_MOV[MÊS PAGAMENTO CORRESPONDENTE],I$6,LANÇ_MOV[EMPRESA],$C$4,LANÇ_MOV[CENTRO DE CUSTOS],$D$4)</f>
        <v>0</v>
      </c>
      <c r="J712" s="206">
        <f>SUMIFS(LANÇ_MOV[VALOR LÍQUIDO],LANÇ_MOV[RECEITA OU DESPESA],"Despesa",LANÇ_MOV[CONTAS],$C712,LANÇ_MOV[PLANO DE CONTAS],REL_DRE_FINANCEIRO!$B$651,LANÇ_MOV[ANO PAGAMENTO],$B$4,LANÇ_MOV[MÊS PAGAMENTO CORRESPONDENTE],J$6,LANÇ_MOV[EMPRESA],$C$4,LANÇ_MOV[CENTRO DE CUSTOS],$D$4)</f>
        <v>0</v>
      </c>
      <c r="K712" s="206">
        <f>SUMIFS(LANÇ_MOV[VALOR LÍQUIDO],LANÇ_MOV[RECEITA OU DESPESA],"Despesa",LANÇ_MOV[CONTAS],$C712,LANÇ_MOV[PLANO DE CONTAS],REL_DRE_FINANCEIRO!$B$651,LANÇ_MOV[ANO PAGAMENTO],$B$4,LANÇ_MOV[MÊS PAGAMENTO CORRESPONDENTE],K$6,LANÇ_MOV[EMPRESA],$C$4,LANÇ_MOV[CENTRO DE CUSTOS],$D$4)</f>
        <v>0</v>
      </c>
      <c r="L712" s="206">
        <f>SUMIFS(LANÇ_MOV[VALOR LÍQUIDO],LANÇ_MOV[RECEITA OU DESPESA],"Despesa",LANÇ_MOV[CONTAS],$C712,LANÇ_MOV[PLANO DE CONTAS],REL_DRE_FINANCEIRO!$B$651,LANÇ_MOV[ANO PAGAMENTO],$B$4,LANÇ_MOV[MÊS PAGAMENTO CORRESPONDENTE],L$6,LANÇ_MOV[EMPRESA],$C$4,LANÇ_MOV[CENTRO DE CUSTOS],$D$4)</f>
        <v>0</v>
      </c>
      <c r="M712" s="206">
        <f>SUMIFS(LANÇ_MOV[VALOR LÍQUIDO],LANÇ_MOV[RECEITA OU DESPESA],"Despesa",LANÇ_MOV[CONTAS],$C712,LANÇ_MOV[PLANO DE CONTAS],REL_DRE_FINANCEIRO!$B$651,LANÇ_MOV[ANO PAGAMENTO],$B$4,LANÇ_MOV[MÊS PAGAMENTO CORRESPONDENTE],M$6,LANÇ_MOV[EMPRESA],$C$4,LANÇ_MOV[CENTRO DE CUSTOS],$D$4)</f>
        <v>0</v>
      </c>
      <c r="N712" s="206">
        <f>SUMIFS(LANÇ_MOV[VALOR LÍQUIDO],LANÇ_MOV[RECEITA OU DESPESA],"Despesa",LANÇ_MOV[CONTAS],$C712,LANÇ_MOV[PLANO DE CONTAS],REL_DRE_FINANCEIRO!$B$651,LANÇ_MOV[ANO PAGAMENTO],$B$4,LANÇ_MOV[MÊS PAGAMENTO CORRESPONDENTE],N$6,LANÇ_MOV[EMPRESA],$C$4,LANÇ_MOV[CENTRO DE CUSTOS],$D$4)</f>
        <v>0</v>
      </c>
      <c r="O712" s="206">
        <f>SUMIFS(LANÇ_MOV[VALOR LÍQUIDO],LANÇ_MOV[RECEITA OU DESPESA],"Despesa",LANÇ_MOV[CONTAS],$C712,LANÇ_MOV[PLANO DE CONTAS],REL_DRE_FINANCEIRO!$B$651,LANÇ_MOV[ANO PAGAMENTO],$B$4,LANÇ_MOV[MÊS PAGAMENTO CORRESPONDENTE],O$6,LANÇ_MOV[EMPRESA],$C$4,LANÇ_MOV[CENTRO DE CUSTOS],$D$4)</f>
        <v>0</v>
      </c>
      <c r="P712" s="207">
        <f t="shared" si="88"/>
        <v>0</v>
      </c>
      <c r="Q712" s="329">
        <v>3.9999999999999998E-6</v>
      </c>
      <c r="R712" s="346">
        <f t="shared" si="89"/>
        <v>3.9999999999999998E-6</v>
      </c>
      <c r="S712" s="347" t="str">
        <f t="shared" si="90"/>
        <v>-</v>
      </c>
      <c r="T712" s="347">
        <f t="shared" si="91"/>
        <v>0</v>
      </c>
      <c r="U712" s="347">
        <f>HLOOKUP(Apoio!$P$12,$D$650:$P$751,X712,FALSE)+Q712</f>
        <v>3.9999999999999998E-6</v>
      </c>
      <c r="V712" s="447" t="str">
        <f t="shared" si="92"/>
        <v>-</v>
      </c>
      <c r="W712" s="448">
        <f>HLOOKUP(Apoio!$P$12,$D$650:$P$751,X712,FALSE)</f>
        <v>0</v>
      </c>
      <c r="X712" s="329">
        <v>63</v>
      </c>
    </row>
    <row r="713" spans="2:24" ht="30.05" customHeight="1" x14ac:dyDescent="0.35">
      <c r="B713" s="204" t="str">
        <f>'CAD_PL_REC-DESP'!W66</f>
        <v>2.5.62</v>
      </c>
      <c r="C713" s="205" t="str">
        <f>IF('CAD_PL_REC-DESP'!X66="","-",'CAD_PL_REC-DESP'!X66)</f>
        <v>-</v>
      </c>
      <c r="D713" s="206">
        <f>SUMIFS(LANÇ_MOV[VALOR LÍQUIDO],LANÇ_MOV[RECEITA OU DESPESA],"Despesa",LANÇ_MOV[CONTAS],$C713,LANÇ_MOV[PLANO DE CONTAS],REL_DRE_FINANCEIRO!$B$651,LANÇ_MOV[ANO PAGAMENTO],$B$4,LANÇ_MOV[MÊS PAGAMENTO CORRESPONDENTE],D$6,LANÇ_MOV[EMPRESA],$C$4,LANÇ_MOV[CENTRO DE CUSTOS],$D$4)</f>
        <v>0</v>
      </c>
      <c r="E713" s="206">
        <f>SUMIFS(LANÇ_MOV[VALOR LÍQUIDO],LANÇ_MOV[RECEITA OU DESPESA],"Despesa",LANÇ_MOV[CONTAS],$C713,LANÇ_MOV[PLANO DE CONTAS],REL_DRE_FINANCEIRO!$B$651,LANÇ_MOV[ANO PAGAMENTO],$B$4,LANÇ_MOV[MÊS PAGAMENTO CORRESPONDENTE],E$6,LANÇ_MOV[EMPRESA],$C$4,LANÇ_MOV[CENTRO DE CUSTOS],$D$4)</f>
        <v>0</v>
      </c>
      <c r="F713" s="206">
        <f>SUMIFS(LANÇ_MOV[VALOR LÍQUIDO],LANÇ_MOV[RECEITA OU DESPESA],"Despesa",LANÇ_MOV[CONTAS],$C713,LANÇ_MOV[PLANO DE CONTAS],REL_DRE_FINANCEIRO!$B$651,LANÇ_MOV[ANO PAGAMENTO],$B$4,LANÇ_MOV[MÊS PAGAMENTO CORRESPONDENTE],F$6,LANÇ_MOV[EMPRESA],$C$4,LANÇ_MOV[CENTRO DE CUSTOS],$D$4)</f>
        <v>0</v>
      </c>
      <c r="G713" s="206">
        <f>SUMIFS(LANÇ_MOV[VALOR LÍQUIDO],LANÇ_MOV[RECEITA OU DESPESA],"Despesa",LANÇ_MOV[CONTAS],$C713,LANÇ_MOV[PLANO DE CONTAS],REL_DRE_FINANCEIRO!$B$651,LANÇ_MOV[ANO PAGAMENTO],$B$4,LANÇ_MOV[MÊS PAGAMENTO CORRESPONDENTE],G$6,LANÇ_MOV[EMPRESA],$C$4,LANÇ_MOV[CENTRO DE CUSTOS],$D$4)</f>
        <v>0</v>
      </c>
      <c r="H713" s="206">
        <f>SUMIFS(LANÇ_MOV[VALOR LÍQUIDO],LANÇ_MOV[RECEITA OU DESPESA],"Despesa",LANÇ_MOV[CONTAS],$C713,LANÇ_MOV[PLANO DE CONTAS],REL_DRE_FINANCEIRO!$B$651,LANÇ_MOV[ANO PAGAMENTO],$B$4,LANÇ_MOV[MÊS PAGAMENTO CORRESPONDENTE],H$6,LANÇ_MOV[EMPRESA],$C$4,LANÇ_MOV[CENTRO DE CUSTOS],$D$4)</f>
        <v>0</v>
      </c>
      <c r="I713" s="206">
        <f>SUMIFS(LANÇ_MOV[VALOR LÍQUIDO],LANÇ_MOV[RECEITA OU DESPESA],"Despesa",LANÇ_MOV[CONTAS],$C713,LANÇ_MOV[PLANO DE CONTAS],REL_DRE_FINANCEIRO!$B$651,LANÇ_MOV[ANO PAGAMENTO],$B$4,LANÇ_MOV[MÊS PAGAMENTO CORRESPONDENTE],I$6,LANÇ_MOV[EMPRESA],$C$4,LANÇ_MOV[CENTRO DE CUSTOS],$D$4)</f>
        <v>0</v>
      </c>
      <c r="J713" s="206">
        <f>SUMIFS(LANÇ_MOV[VALOR LÍQUIDO],LANÇ_MOV[RECEITA OU DESPESA],"Despesa",LANÇ_MOV[CONTAS],$C713,LANÇ_MOV[PLANO DE CONTAS],REL_DRE_FINANCEIRO!$B$651,LANÇ_MOV[ANO PAGAMENTO],$B$4,LANÇ_MOV[MÊS PAGAMENTO CORRESPONDENTE],J$6,LANÇ_MOV[EMPRESA],$C$4,LANÇ_MOV[CENTRO DE CUSTOS],$D$4)</f>
        <v>0</v>
      </c>
      <c r="K713" s="206">
        <f>SUMIFS(LANÇ_MOV[VALOR LÍQUIDO],LANÇ_MOV[RECEITA OU DESPESA],"Despesa",LANÇ_MOV[CONTAS],$C713,LANÇ_MOV[PLANO DE CONTAS],REL_DRE_FINANCEIRO!$B$651,LANÇ_MOV[ANO PAGAMENTO],$B$4,LANÇ_MOV[MÊS PAGAMENTO CORRESPONDENTE],K$6,LANÇ_MOV[EMPRESA],$C$4,LANÇ_MOV[CENTRO DE CUSTOS],$D$4)</f>
        <v>0</v>
      </c>
      <c r="L713" s="206">
        <f>SUMIFS(LANÇ_MOV[VALOR LÍQUIDO],LANÇ_MOV[RECEITA OU DESPESA],"Despesa",LANÇ_MOV[CONTAS],$C713,LANÇ_MOV[PLANO DE CONTAS],REL_DRE_FINANCEIRO!$B$651,LANÇ_MOV[ANO PAGAMENTO],$B$4,LANÇ_MOV[MÊS PAGAMENTO CORRESPONDENTE],L$6,LANÇ_MOV[EMPRESA],$C$4,LANÇ_MOV[CENTRO DE CUSTOS],$D$4)</f>
        <v>0</v>
      </c>
      <c r="M713" s="206">
        <f>SUMIFS(LANÇ_MOV[VALOR LÍQUIDO],LANÇ_MOV[RECEITA OU DESPESA],"Despesa",LANÇ_MOV[CONTAS],$C713,LANÇ_MOV[PLANO DE CONTAS],REL_DRE_FINANCEIRO!$B$651,LANÇ_MOV[ANO PAGAMENTO],$B$4,LANÇ_MOV[MÊS PAGAMENTO CORRESPONDENTE],M$6,LANÇ_MOV[EMPRESA],$C$4,LANÇ_MOV[CENTRO DE CUSTOS],$D$4)</f>
        <v>0</v>
      </c>
      <c r="N713" s="206">
        <f>SUMIFS(LANÇ_MOV[VALOR LÍQUIDO],LANÇ_MOV[RECEITA OU DESPESA],"Despesa",LANÇ_MOV[CONTAS],$C713,LANÇ_MOV[PLANO DE CONTAS],REL_DRE_FINANCEIRO!$B$651,LANÇ_MOV[ANO PAGAMENTO],$B$4,LANÇ_MOV[MÊS PAGAMENTO CORRESPONDENTE],N$6,LANÇ_MOV[EMPRESA],$C$4,LANÇ_MOV[CENTRO DE CUSTOS],$D$4)</f>
        <v>0</v>
      </c>
      <c r="O713" s="206">
        <f>SUMIFS(LANÇ_MOV[VALOR LÍQUIDO],LANÇ_MOV[RECEITA OU DESPESA],"Despesa",LANÇ_MOV[CONTAS],$C713,LANÇ_MOV[PLANO DE CONTAS],REL_DRE_FINANCEIRO!$B$651,LANÇ_MOV[ANO PAGAMENTO],$B$4,LANÇ_MOV[MÊS PAGAMENTO CORRESPONDENTE],O$6,LANÇ_MOV[EMPRESA],$C$4,LANÇ_MOV[CENTRO DE CUSTOS],$D$4)</f>
        <v>0</v>
      </c>
      <c r="P713" s="207">
        <f t="shared" si="88"/>
        <v>0</v>
      </c>
      <c r="Q713" s="329">
        <v>3.8999999999999999E-6</v>
      </c>
      <c r="R713" s="346">
        <f t="shared" si="89"/>
        <v>3.8999999999999999E-6</v>
      </c>
      <c r="S713" s="347" t="str">
        <f t="shared" si="90"/>
        <v>-</v>
      </c>
      <c r="T713" s="347">
        <f t="shared" si="91"/>
        <v>0</v>
      </c>
      <c r="U713" s="347">
        <f>HLOOKUP(Apoio!$P$12,$D$650:$P$751,X713,FALSE)+Q713</f>
        <v>3.8999999999999999E-6</v>
      </c>
      <c r="V713" s="447" t="str">
        <f t="shared" si="92"/>
        <v>-</v>
      </c>
      <c r="W713" s="448">
        <f>HLOOKUP(Apoio!$P$12,$D$650:$P$751,X713,FALSE)</f>
        <v>0</v>
      </c>
      <c r="X713" s="329">
        <v>64</v>
      </c>
    </row>
    <row r="714" spans="2:24" ht="30.05" customHeight="1" x14ac:dyDescent="0.35">
      <c r="B714" s="204" t="str">
        <f>'CAD_PL_REC-DESP'!W67</f>
        <v>2.5.63</v>
      </c>
      <c r="C714" s="205" t="str">
        <f>IF('CAD_PL_REC-DESP'!X67="","-",'CAD_PL_REC-DESP'!X67)</f>
        <v>-</v>
      </c>
      <c r="D714" s="206">
        <f>SUMIFS(LANÇ_MOV[VALOR LÍQUIDO],LANÇ_MOV[RECEITA OU DESPESA],"Despesa",LANÇ_MOV[CONTAS],$C714,LANÇ_MOV[PLANO DE CONTAS],REL_DRE_FINANCEIRO!$B$651,LANÇ_MOV[ANO PAGAMENTO],$B$4,LANÇ_MOV[MÊS PAGAMENTO CORRESPONDENTE],D$6,LANÇ_MOV[EMPRESA],$C$4,LANÇ_MOV[CENTRO DE CUSTOS],$D$4)</f>
        <v>0</v>
      </c>
      <c r="E714" s="206">
        <f>SUMIFS(LANÇ_MOV[VALOR LÍQUIDO],LANÇ_MOV[RECEITA OU DESPESA],"Despesa",LANÇ_MOV[CONTAS],$C714,LANÇ_MOV[PLANO DE CONTAS],REL_DRE_FINANCEIRO!$B$651,LANÇ_MOV[ANO PAGAMENTO],$B$4,LANÇ_MOV[MÊS PAGAMENTO CORRESPONDENTE],E$6,LANÇ_MOV[EMPRESA],$C$4,LANÇ_MOV[CENTRO DE CUSTOS],$D$4)</f>
        <v>0</v>
      </c>
      <c r="F714" s="206">
        <f>SUMIFS(LANÇ_MOV[VALOR LÍQUIDO],LANÇ_MOV[RECEITA OU DESPESA],"Despesa",LANÇ_MOV[CONTAS],$C714,LANÇ_MOV[PLANO DE CONTAS],REL_DRE_FINANCEIRO!$B$651,LANÇ_MOV[ANO PAGAMENTO],$B$4,LANÇ_MOV[MÊS PAGAMENTO CORRESPONDENTE],F$6,LANÇ_MOV[EMPRESA],$C$4,LANÇ_MOV[CENTRO DE CUSTOS],$D$4)</f>
        <v>0</v>
      </c>
      <c r="G714" s="206">
        <f>SUMIFS(LANÇ_MOV[VALOR LÍQUIDO],LANÇ_MOV[RECEITA OU DESPESA],"Despesa",LANÇ_MOV[CONTAS],$C714,LANÇ_MOV[PLANO DE CONTAS],REL_DRE_FINANCEIRO!$B$651,LANÇ_MOV[ANO PAGAMENTO],$B$4,LANÇ_MOV[MÊS PAGAMENTO CORRESPONDENTE],G$6,LANÇ_MOV[EMPRESA],$C$4,LANÇ_MOV[CENTRO DE CUSTOS],$D$4)</f>
        <v>0</v>
      </c>
      <c r="H714" s="206">
        <f>SUMIFS(LANÇ_MOV[VALOR LÍQUIDO],LANÇ_MOV[RECEITA OU DESPESA],"Despesa",LANÇ_MOV[CONTAS],$C714,LANÇ_MOV[PLANO DE CONTAS],REL_DRE_FINANCEIRO!$B$651,LANÇ_MOV[ANO PAGAMENTO],$B$4,LANÇ_MOV[MÊS PAGAMENTO CORRESPONDENTE],H$6,LANÇ_MOV[EMPRESA],$C$4,LANÇ_MOV[CENTRO DE CUSTOS],$D$4)</f>
        <v>0</v>
      </c>
      <c r="I714" s="206">
        <f>SUMIFS(LANÇ_MOV[VALOR LÍQUIDO],LANÇ_MOV[RECEITA OU DESPESA],"Despesa",LANÇ_MOV[CONTAS],$C714,LANÇ_MOV[PLANO DE CONTAS],REL_DRE_FINANCEIRO!$B$651,LANÇ_MOV[ANO PAGAMENTO],$B$4,LANÇ_MOV[MÊS PAGAMENTO CORRESPONDENTE],I$6,LANÇ_MOV[EMPRESA],$C$4,LANÇ_MOV[CENTRO DE CUSTOS],$D$4)</f>
        <v>0</v>
      </c>
      <c r="J714" s="206">
        <f>SUMIFS(LANÇ_MOV[VALOR LÍQUIDO],LANÇ_MOV[RECEITA OU DESPESA],"Despesa",LANÇ_MOV[CONTAS],$C714,LANÇ_MOV[PLANO DE CONTAS],REL_DRE_FINANCEIRO!$B$651,LANÇ_MOV[ANO PAGAMENTO],$B$4,LANÇ_MOV[MÊS PAGAMENTO CORRESPONDENTE],J$6,LANÇ_MOV[EMPRESA],$C$4,LANÇ_MOV[CENTRO DE CUSTOS],$D$4)</f>
        <v>0</v>
      </c>
      <c r="K714" s="206">
        <f>SUMIFS(LANÇ_MOV[VALOR LÍQUIDO],LANÇ_MOV[RECEITA OU DESPESA],"Despesa",LANÇ_MOV[CONTAS],$C714,LANÇ_MOV[PLANO DE CONTAS],REL_DRE_FINANCEIRO!$B$651,LANÇ_MOV[ANO PAGAMENTO],$B$4,LANÇ_MOV[MÊS PAGAMENTO CORRESPONDENTE],K$6,LANÇ_MOV[EMPRESA],$C$4,LANÇ_MOV[CENTRO DE CUSTOS],$D$4)</f>
        <v>0</v>
      </c>
      <c r="L714" s="206">
        <f>SUMIFS(LANÇ_MOV[VALOR LÍQUIDO],LANÇ_MOV[RECEITA OU DESPESA],"Despesa",LANÇ_MOV[CONTAS],$C714,LANÇ_MOV[PLANO DE CONTAS],REL_DRE_FINANCEIRO!$B$651,LANÇ_MOV[ANO PAGAMENTO],$B$4,LANÇ_MOV[MÊS PAGAMENTO CORRESPONDENTE],L$6,LANÇ_MOV[EMPRESA],$C$4,LANÇ_MOV[CENTRO DE CUSTOS],$D$4)</f>
        <v>0</v>
      </c>
      <c r="M714" s="206">
        <f>SUMIFS(LANÇ_MOV[VALOR LÍQUIDO],LANÇ_MOV[RECEITA OU DESPESA],"Despesa",LANÇ_MOV[CONTAS],$C714,LANÇ_MOV[PLANO DE CONTAS],REL_DRE_FINANCEIRO!$B$651,LANÇ_MOV[ANO PAGAMENTO],$B$4,LANÇ_MOV[MÊS PAGAMENTO CORRESPONDENTE],M$6,LANÇ_MOV[EMPRESA],$C$4,LANÇ_MOV[CENTRO DE CUSTOS],$D$4)</f>
        <v>0</v>
      </c>
      <c r="N714" s="206">
        <f>SUMIFS(LANÇ_MOV[VALOR LÍQUIDO],LANÇ_MOV[RECEITA OU DESPESA],"Despesa",LANÇ_MOV[CONTAS],$C714,LANÇ_MOV[PLANO DE CONTAS],REL_DRE_FINANCEIRO!$B$651,LANÇ_MOV[ANO PAGAMENTO],$B$4,LANÇ_MOV[MÊS PAGAMENTO CORRESPONDENTE],N$6,LANÇ_MOV[EMPRESA],$C$4,LANÇ_MOV[CENTRO DE CUSTOS],$D$4)</f>
        <v>0</v>
      </c>
      <c r="O714" s="206">
        <f>SUMIFS(LANÇ_MOV[VALOR LÍQUIDO],LANÇ_MOV[RECEITA OU DESPESA],"Despesa",LANÇ_MOV[CONTAS],$C714,LANÇ_MOV[PLANO DE CONTAS],REL_DRE_FINANCEIRO!$B$651,LANÇ_MOV[ANO PAGAMENTO],$B$4,LANÇ_MOV[MÊS PAGAMENTO CORRESPONDENTE],O$6,LANÇ_MOV[EMPRESA],$C$4,LANÇ_MOV[CENTRO DE CUSTOS],$D$4)</f>
        <v>0</v>
      </c>
      <c r="P714" s="207">
        <f t="shared" si="88"/>
        <v>0</v>
      </c>
      <c r="Q714" s="329">
        <v>3.8E-6</v>
      </c>
      <c r="R714" s="346">
        <f t="shared" si="89"/>
        <v>3.8E-6</v>
      </c>
      <c r="S714" s="347" t="str">
        <f t="shared" si="90"/>
        <v>-</v>
      </c>
      <c r="T714" s="347">
        <f t="shared" si="91"/>
        <v>0</v>
      </c>
      <c r="U714" s="347">
        <f>HLOOKUP(Apoio!$P$12,$D$650:$P$751,X714,FALSE)+Q714</f>
        <v>3.8E-6</v>
      </c>
      <c r="V714" s="447" t="str">
        <f t="shared" si="92"/>
        <v>-</v>
      </c>
      <c r="W714" s="448">
        <f>HLOOKUP(Apoio!$P$12,$D$650:$P$751,X714,FALSE)</f>
        <v>0</v>
      </c>
      <c r="X714" s="329">
        <v>65</v>
      </c>
    </row>
    <row r="715" spans="2:24" ht="30.05" customHeight="1" x14ac:dyDescent="0.35">
      <c r="B715" s="204" t="str">
        <f>'CAD_PL_REC-DESP'!W68</f>
        <v>2.5.64</v>
      </c>
      <c r="C715" s="205" t="str">
        <f>IF('CAD_PL_REC-DESP'!X68="","-",'CAD_PL_REC-DESP'!X68)</f>
        <v>-</v>
      </c>
      <c r="D715" s="206">
        <f>SUMIFS(LANÇ_MOV[VALOR LÍQUIDO],LANÇ_MOV[RECEITA OU DESPESA],"Despesa",LANÇ_MOV[CONTAS],$C715,LANÇ_MOV[PLANO DE CONTAS],REL_DRE_FINANCEIRO!$B$651,LANÇ_MOV[ANO PAGAMENTO],$B$4,LANÇ_MOV[MÊS PAGAMENTO CORRESPONDENTE],D$6,LANÇ_MOV[EMPRESA],$C$4,LANÇ_MOV[CENTRO DE CUSTOS],$D$4)</f>
        <v>0</v>
      </c>
      <c r="E715" s="206">
        <f>SUMIFS(LANÇ_MOV[VALOR LÍQUIDO],LANÇ_MOV[RECEITA OU DESPESA],"Despesa",LANÇ_MOV[CONTAS],$C715,LANÇ_MOV[PLANO DE CONTAS],REL_DRE_FINANCEIRO!$B$651,LANÇ_MOV[ANO PAGAMENTO],$B$4,LANÇ_MOV[MÊS PAGAMENTO CORRESPONDENTE],E$6,LANÇ_MOV[EMPRESA],$C$4,LANÇ_MOV[CENTRO DE CUSTOS],$D$4)</f>
        <v>0</v>
      </c>
      <c r="F715" s="206">
        <f>SUMIFS(LANÇ_MOV[VALOR LÍQUIDO],LANÇ_MOV[RECEITA OU DESPESA],"Despesa",LANÇ_MOV[CONTAS],$C715,LANÇ_MOV[PLANO DE CONTAS],REL_DRE_FINANCEIRO!$B$651,LANÇ_MOV[ANO PAGAMENTO],$B$4,LANÇ_MOV[MÊS PAGAMENTO CORRESPONDENTE],F$6,LANÇ_MOV[EMPRESA],$C$4,LANÇ_MOV[CENTRO DE CUSTOS],$D$4)</f>
        <v>0</v>
      </c>
      <c r="G715" s="206">
        <f>SUMIFS(LANÇ_MOV[VALOR LÍQUIDO],LANÇ_MOV[RECEITA OU DESPESA],"Despesa",LANÇ_MOV[CONTAS],$C715,LANÇ_MOV[PLANO DE CONTAS],REL_DRE_FINANCEIRO!$B$651,LANÇ_MOV[ANO PAGAMENTO],$B$4,LANÇ_MOV[MÊS PAGAMENTO CORRESPONDENTE],G$6,LANÇ_MOV[EMPRESA],$C$4,LANÇ_MOV[CENTRO DE CUSTOS],$D$4)</f>
        <v>0</v>
      </c>
      <c r="H715" s="206">
        <f>SUMIFS(LANÇ_MOV[VALOR LÍQUIDO],LANÇ_MOV[RECEITA OU DESPESA],"Despesa",LANÇ_MOV[CONTAS],$C715,LANÇ_MOV[PLANO DE CONTAS],REL_DRE_FINANCEIRO!$B$651,LANÇ_MOV[ANO PAGAMENTO],$B$4,LANÇ_MOV[MÊS PAGAMENTO CORRESPONDENTE],H$6,LANÇ_MOV[EMPRESA],$C$4,LANÇ_MOV[CENTRO DE CUSTOS],$D$4)</f>
        <v>0</v>
      </c>
      <c r="I715" s="206">
        <f>SUMIFS(LANÇ_MOV[VALOR LÍQUIDO],LANÇ_MOV[RECEITA OU DESPESA],"Despesa",LANÇ_MOV[CONTAS],$C715,LANÇ_MOV[PLANO DE CONTAS],REL_DRE_FINANCEIRO!$B$651,LANÇ_MOV[ANO PAGAMENTO],$B$4,LANÇ_MOV[MÊS PAGAMENTO CORRESPONDENTE],I$6,LANÇ_MOV[EMPRESA],$C$4,LANÇ_MOV[CENTRO DE CUSTOS],$D$4)</f>
        <v>0</v>
      </c>
      <c r="J715" s="206">
        <f>SUMIFS(LANÇ_MOV[VALOR LÍQUIDO],LANÇ_MOV[RECEITA OU DESPESA],"Despesa",LANÇ_MOV[CONTAS],$C715,LANÇ_MOV[PLANO DE CONTAS],REL_DRE_FINANCEIRO!$B$651,LANÇ_MOV[ANO PAGAMENTO],$B$4,LANÇ_MOV[MÊS PAGAMENTO CORRESPONDENTE],J$6,LANÇ_MOV[EMPRESA],$C$4,LANÇ_MOV[CENTRO DE CUSTOS],$D$4)</f>
        <v>0</v>
      </c>
      <c r="K715" s="206">
        <f>SUMIFS(LANÇ_MOV[VALOR LÍQUIDO],LANÇ_MOV[RECEITA OU DESPESA],"Despesa",LANÇ_MOV[CONTAS],$C715,LANÇ_MOV[PLANO DE CONTAS],REL_DRE_FINANCEIRO!$B$651,LANÇ_MOV[ANO PAGAMENTO],$B$4,LANÇ_MOV[MÊS PAGAMENTO CORRESPONDENTE],K$6,LANÇ_MOV[EMPRESA],$C$4,LANÇ_MOV[CENTRO DE CUSTOS],$D$4)</f>
        <v>0</v>
      </c>
      <c r="L715" s="206">
        <f>SUMIFS(LANÇ_MOV[VALOR LÍQUIDO],LANÇ_MOV[RECEITA OU DESPESA],"Despesa",LANÇ_MOV[CONTAS],$C715,LANÇ_MOV[PLANO DE CONTAS],REL_DRE_FINANCEIRO!$B$651,LANÇ_MOV[ANO PAGAMENTO],$B$4,LANÇ_MOV[MÊS PAGAMENTO CORRESPONDENTE],L$6,LANÇ_MOV[EMPRESA],$C$4,LANÇ_MOV[CENTRO DE CUSTOS],$D$4)</f>
        <v>0</v>
      </c>
      <c r="M715" s="206">
        <f>SUMIFS(LANÇ_MOV[VALOR LÍQUIDO],LANÇ_MOV[RECEITA OU DESPESA],"Despesa",LANÇ_MOV[CONTAS],$C715,LANÇ_MOV[PLANO DE CONTAS],REL_DRE_FINANCEIRO!$B$651,LANÇ_MOV[ANO PAGAMENTO],$B$4,LANÇ_MOV[MÊS PAGAMENTO CORRESPONDENTE],M$6,LANÇ_MOV[EMPRESA],$C$4,LANÇ_MOV[CENTRO DE CUSTOS],$D$4)</f>
        <v>0</v>
      </c>
      <c r="N715" s="206">
        <f>SUMIFS(LANÇ_MOV[VALOR LÍQUIDO],LANÇ_MOV[RECEITA OU DESPESA],"Despesa",LANÇ_MOV[CONTAS],$C715,LANÇ_MOV[PLANO DE CONTAS],REL_DRE_FINANCEIRO!$B$651,LANÇ_MOV[ANO PAGAMENTO],$B$4,LANÇ_MOV[MÊS PAGAMENTO CORRESPONDENTE],N$6,LANÇ_MOV[EMPRESA],$C$4,LANÇ_MOV[CENTRO DE CUSTOS],$D$4)</f>
        <v>0</v>
      </c>
      <c r="O715" s="206">
        <f>SUMIFS(LANÇ_MOV[VALOR LÍQUIDO],LANÇ_MOV[RECEITA OU DESPESA],"Despesa",LANÇ_MOV[CONTAS],$C715,LANÇ_MOV[PLANO DE CONTAS],REL_DRE_FINANCEIRO!$B$651,LANÇ_MOV[ANO PAGAMENTO],$B$4,LANÇ_MOV[MÊS PAGAMENTO CORRESPONDENTE],O$6,LANÇ_MOV[EMPRESA],$C$4,LANÇ_MOV[CENTRO DE CUSTOS],$D$4)</f>
        <v>0</v>
      </c>
      <c r="P715" s="207">
        <f t="shared" si="88"/>
        <v>0</v>
      </c>
      <c r="Q715" s="329">
        <v>3.7000000000000002E-6</v>
      </c>
      <c r="R715" s="346">
        <f t="shared" si="89"/>
        <v>3.7000000000000002E-6</v>
      </c>
      <c r="S715" s="347" t="str">
        <f t="shared" si="90"/>
        <v>-</v>
      </c>
      <c r="T715" s="347">
        <f t="shared" si="91"/>
        <v>0</v>
      </c>
      <c r="U715" s="347">
        <f>HLOOKUP(Apoio!$P$12,$D$650:$P$751,X715,FALSE)+Q715</f>
        <v>3.7000000000000002E-6</v>
      </c>
      <c r="V715" s="447" t="str">
        <f t="shared" si="92"/>
        <v>-</v>
      </c>
      <c r="W715" s="448">
        <f>HLOOKUP(Apoio!$P$12,$D$650:$P$751,X715,FALSE)</f>
        <v>0</v>
      </c>
      <c r="X715" s="329">
        <v>66</v>
      </c>
    </row>
    <row r="716" spans="2:24" ht="30.05" customHeight="1" x14ac:dyDescent="0.35">
      <c r="B716" s="204" t="str">
        <f>'CAD_PL_REC-DESP'!W69</f>
        <v>2.5.65</v>
      </c>
      <c r="C716" s="205" t="str">
        <f>IF('CAD_PL_REC-DESP'!X69="","-",'CAD_PL_REC-DESP'!X69)</f>
        <v>-</v>
      </c>
      <c r="D716" s="206">
        <f>SUMIFS(LANÇ_MOV[VALOR LÍQUIDO],LANÇ_MOV[RECEITA OU DESPESA],"Despesa",LANÇ_MOV[CONTAS],$C716,LANÇ_MOV[PLANO DE CONTAS],REL_DRE_FINANCEIRO!$B$651,LANÇ_MOV[ANO PAGAMENTO],$B$4,LANÇ_MOV[MÊS PAGAMENTO CORRESPONDENTE],D$6,LANÇ_MOV[EMPRESA],$C$4,LANÇ_MOV[CENTRO DE CUSTOS],$D$4)</f>
        <v>0</v>
      </c>
      <c r="E716" s="206">
        <f>SUMIFS(LANÇ_MOV[VALOR LÍQUIDO],LANÇ_MOV[RECEITA OU DESPESA],"Despesa",LANÇ_MOV[CONTAS],$C716,LANÇ_MOV[PLANO DE CONTAS],REL_DRE_FINANCEIRO!$B$651,LANÇ_MOV[ANO PAGAMENTO],$B$4,LANÇ_MOV[MÊS PAGAMENTO CORRESPONDENTE],E$6,LANÇ_MOV[EMPRESA],$C$4,LANÇ_MOV[CENTRO DE CUSTOS],$D$4)</f>
        <v>0</v>
      </c>
      <c r="F716" s="206">
        <f>SUMIFS(LANÇ_MOV[VALOR LÍQUIDO],LANÇ_MOV[RECEITA OU DESPESA],"Despesa",LANÇ_MOV[CONTAS],$C716,LANÇ_MOV[PLANO DE CONTAS],REL_DRE_FINANCEIRO!$B$651,LANÇ_MOV[ANO PAGAMENTO],$B$4,LANÇ_MOV[MÊS PAGAMENTO CORRESPONDENTE],F$6,LANÇ_MOV[EMPRESA],$C$4,LANÇ_MOV[CENTRO DE CUSTOS],$D$4)</f>
        <v>0</v>
      </c>
      <c r="G716" s="206">
        <f>SUMIFS(LANÇ_MOV[VALOR LÍQUIDO],LANÇ_MOV[RECEITA OU DESPESA],"Despesa",LANÇ_MOV[CONTAS],$C716,LANÇ_MOV[PLANO DE CONTAS],REL_DRE_FINANCEIRO!$B$651,LANÇ_MOV[ANO PAGAMENTO],$B$4,LANÇ_MOV[MÊS PAGAMENTO CORRESPONDENTE],G$6,LANÇ_MOV[EMPRESA],$C$4,LANÇ_MOV[CENTRO DE CUSTOS],$D$4)</f>
        <v>0</v>
      </c>
      <c r="H716" s="206">
        <f>SUMIFS(LANÇ_MOV[VALOR LÍQUIDO],LANÇ_MOV[RECEITA OU DESPESA],"Despesa",LANÇ_MOV[CONTAS],$C716,LANÇ_MOV[PLANO DE CONTAS],REL_DRE_FINANCEIRO!$B$651,LANÇ_MOV[ANO PAGAMENTO],$B$4,LANÇ_MOV[MÊS PAGAMENTO CORRESPONDENTE],H$6,LANÇ_MOV[EMPRESA],$C$4,LANÇ_MOV[CENTRO DE CUSTOS],$D$4)</f>
        <v>0</v>
      </c>
      <c r="I716" s="206">
        <f>SUMIFS(LANÇ_MOV[VALOR LÍQUIDO],LANÇ_MOV[RECEITA OU DESPESA],"Despesa",LANÇ_MOV[CONTAS],$C716,LANÇ_MOV[PLANO DE CONTAS],REL_DRE_FINANCEIRO!$B$651,LANÇ_MOV[ANO PAGAMENTO],$B$4,LANÇ_MOV[MÊS PAGAMENTO CORRESPONDENTE],I$6,LANÇ_MOV[EMPRESA],$C$4,LANÇ_MOV[CENTRO DE CUSTOS],$D$4)</f>
        <v>0</v>
      </c>
      <c r="J716" s="206">
        <f>SUMIFS(LANÇ_MOV[VALOR LÍQUIDO],LANÇ_MOV[RECEITA OU DESPESA],"Despesa",LANÇ_MOV[CONTAS],$C716,LANÇ_MOV[PLANO DE CONTAS],REL_DRE_FINANCEIRO!$B$651,LANÇ_MOV[ANO PAGAMENTO],$B$4,LANÇ_MOV[MÊS PAGAMENTO CORRESPONDENTE],J$6,LANÇ_MOV[EMPRESA],$C$4,LANÇ_MOV[CENTRO DE CUSTOS],$D$4)</f>
        <v>0</v>
      </c>
      <c r="K716" s="206">
        <f>SUMIFS(LANÇ_MOV[VALOR LÍQUIDO],LANÇ_MOV[RECEITA OU DESPESA],"Despesa",LANÇ_MOV[CONTAS],$C716,LANÇ_MOV[PLANO DE CONTAS],REL_DRE_FINANCEIRO!$B$651,LANÇ_MOV[ANO PAGAMENTO],$B$4,LANÇ_MOV[MÊS PAGAMENTO CORRESPONDENTE],K$6,LANÇ_MOV[EMPRESA],$C$4,LANÇ_MOV[CENTRO DE CUSTOS],$D$4)</f>
        <v>0</v>
      </c>
      <c r="L716" s="206">
        <f>SUMIFS(LANÇ_MOV[VALOR LÍQUIDO],LANÇ_MOV[RECEITA OU DESPESA],"Despesa",LANÇ_MOV[CONTAS],$C716,LANÇ_MOV[PLANO DE CONTAS],REL_DRE_FINANCEIRO!$B$651,LANÇ_MOV[ANO PAGAMENTO],$B$4,LANÇ_MOV[MÊS PAGAMENTO CORRESPONDENTE],L$6,LANÇ_MOV[EMPRESA],$C$4,LANÇ_MOV[CENTRO DE CUSTOS],$D$4)</f>
        <v>0</v>
      </c>
      <c r="M716" s="206">
        <f>SUMIFS(LANÇ_MOV[VALOR LÍQUIDO],LANÇ_MOV[RECEITA OU DESPESA],"Despesa",LANÇ_MOV[CONTAS],$C716,LANÇ_MOV[PLANO DE CONTAS],REL_DRE_FINANCEIRO!$B$651,LANÇ_MOV[ANO PAGAMENTO],$B$4,LANÇ_MOV[MÊS PAGAMENTO CORRESPONDENTE],M$6,LANÇ_MOV[EMPRESA],$C$4,LANÇ_MOV[CENTRO DE CUSTOS],$D$4)</f>
        <v>0</v>
      </c>
      <c r="N716" s="206">
        <f>SUMIFS(LANÇ_MOV[VALOR LÍQUIDO],LANÇ_MOV[RECEITA OU DESPESA],"Despesa",LANÇ_MOV[CONTAS],$C716,LANÇ_MOV[PLANO DE CONTAS],REL_DRE_FINANCEIRO!$B$651,LANÇ_MOV[ANO PAGAMENTO],$B$4,LANÇ_MOV[MÊS PAGAMENTO CORRESPONDENTE],N$6,LANÇ_MOV[EMPRESA],$C$4,LANÇ_MOV[CENTRO DE CUSTOS],$D$4)</f>
        <v>0</v>
      </c>
      <c r="O716" s="206">
        <f>SUMIFS(LANÇ_MOV[VALOR LÍQUIDO],LANÇ_MOV[RECEITA OU DESPESA],"Despesa",LANÇ_MOV[CONTAS],$C716,LANÇ_MOV[PLANO DE CONTAS],REL_DRE_FINANCEIRO!$B$651,LANÇ_MOV[ANO PAGAMENTO],$B$4,LANÇ_MOV[MÊS PAGAMENTO CORRESPONDENTE],O$6,LANÇ_MOV[EMPRESA],$C$4,LANÇ_MOV[CENTRO DE CUSTOS],$D$4)</f>
        <v>0</v>
      </c>
      <c r="P716" s="207">
        <f t="shared" ref="P716:P751" si="94">SUM(D716:O716)</f>
        <v>0</v>
      </c>
      <c r="Q716" s="329">
        <v>3.5999999999999998E-6</v>
      </c>
      <c r="R716" s="346">
        <f t="shared" ref="R716:R751" si="95">P716+Q716</f>
        <v>3.5999999999999998E-6</v>
      </c>
      <c r="S716" s="347" t="str">
        <f t="shared" ref="S716:S751" si="96">C716</f>
        <v>-</v>
      </c>
      <c r="T716" s="347">
        <f t="shared" ref="T716:T751" si="97">P716</f>
        <v>0</v>
      </c>
      <c r="U716" s="347">
        <f>HLOOKUP(Apoio!$P$12,$D$650:$P$751,X716,FALSE)+Q716</f>
        <v>3.5999999999999998E-6</v>
      </c>
      <c r="V716" s="447" t="str">
        <f t="shared" si="92"/>
        <v>-</v>
      </c>
      <c r="W716" s="448">
        <f>HLOOKUP(Apoio!$P$12,$D$650:$P$751,X716,FALSE)</f>
        <v>0</v>
      </c>
      <c r="X716" s="329">
        <v>67</v>
      </c>
    </row>
    <row r="717" spans="2:24" ht="30.05" customHeight="1" x14ac:dyDescent="0.35">
      <c r="B717" s="204" t="str">
        <f>'CAD_PL_REC-DESP'!W70</f>
        <v>2.5.66</v>
      </c>
      <c r="C717" s="205" t="str">
        <f>IF('CAD_PL_REC-DESP'!X70="","-",'CAD_PL_REC-DESP'!X70)</f>
        <v>-</v>
      </c>
      <c r="D717" s="206">
        <f>SUMIFS(LANÇ_MOV[VALOR LÍQUIDO],LANÇ_MOV[RECEITA OU DESPESA],"Despesa",LANÇ_MOV[CONTAS],$C717,LANÇ_MOV[PLANO DE CONTAS],REL_DRE_FINANCEIRO!$B$651,LANÇ_MOV[ANO PAGAMENTO],$B$4,LANÇ_MOV[MÊS PAGAMENTO CORRESPONDENTE],D$6,LANÇ_MOV[EMPRESA],$C$4,LANÇ_MOV[CENTRO DE CUSTOS],$D$4)</f>
        <v>0</v>
      </c>
      <c r="E717" s="206">
        <f>SUMIFS(LANÇ_MOV[VALOR LÍQUIDO],LANÇ_MOV[RECEITA OU DESPESA],"Despesa",LANÇ_MOV[CONTAS],$C717,LANÇ_MOV[PLANO DE CONTAS],REL_DRE_FINANCEIRO!$B$651,LANÇ_MOV[ANO PAGAMENTO],$B$4,LANÇ_MOV[MÊS PAGAMENTO CORRESPONDENTE],E$6,LANÇ_MOV[EMPRESA],$C$4,LANÇ_MOV[CENTRO DE CUSTOS],$D$4)</f>
        <v>0</v>
      </c>
      <c r="F717" s="206">
        <f>SUMIFS(LANÇ_MOV[VALOR LÍQUIDO],LANÇ_MOV[RECEITA OU DESPESA],"Despesa",LANÇ_MOV[CONTAS],$C717,LANÇ_MOV[PLANO DE CONTAS],REL_DRE_FINANCEIRO!$B$651,LANÇ_MOV[ANO PAGAMENTO],$B$4,LANÇ_MOV[MÊS PAGAMENTO CORRESPONDENTE],F$6,LANÇ_MOV[EMPRESA],$C$4,LANÇ_MOV[CENTRO DE CUSTOS],$D$4)</f>
        <v>0</v>
      </c>
      <c r="G717" s="206">
        <f>SUMIFS(LANÇ_MOV[VALOR LÍQUIDO],LANÇ_MOV[RECEITA OU DESPESA],"Despesa",LANÇ_MOV[CONTAS],$C717,LANÇ_MOV[PLANO DE CONTAS],REL_DRE_FINANCEIRO!$B$651,LANÇ_MOV[ANO PAGAMENTO],$B$4,LANÇ_MOV[MÊS PAGAMENTO CORRESPONDENTE],G$6,LANÇ_MOV[EMPRESA],$C$4,LANÇ_MOV[CENTRO DE CUSTOS],$D$4)</f>
        <v>0</v>
      </c>
      <c r="H717" s="206">
        <f>SUMIFS(LANÇ_MOV[VALOR LÍQUIDO],LANÇ_MOV[RECEITA OU DESPESA],"Despesa",LANÇ_MOV[CONTAS],$C717,LANÇ_MOV[PLANO DE CONTAS],REL_DRE_FINANCEIRO!$B$651,LANÇ_MOV[ANO PAGAMENTO],$B$4,LANÇ_MOV[MÊS PAGAMENTO CORRESPONDENTE],H$6,LANÇ_MOV[EMPRESA],$C$4,LANÇ_MOV[CENTRO DE CUSTOS],$D$4)</f>
        <v>0</v>
      </c>
      <c r="I717" s="206">
        <f>SUMIFS(LANÇ_MOV[VALOR LÍQUIDO],LANÇ_MOV[RECEITA OU DESPESA],"Despesa",LANÇ_MOV[CONTAS],$C717,LANÇ_MOV[PLANO DE CONTAS],REL_DRE_FINANCEIRO!$B$651,LANÇ_MOV[ANO PAGAMENTO],$B$4,LANÇ_MOV[MÊS PAGAMENTO CORRESPONDENTE],I$6,LANÇ_MOV[EMPRESA],$C$4,LANÇ_MOV[CENTRO DE CUSTOS],$D$4)</f>
        <v>0</v>
      </c>
      <c r="J717" s="206">
        <f>SUMIFS(LANÇ_MOV[VALOR LÍQUIDO],LANÇ_MOV[RECEITA OU DESPESA],"Despesa",LANÇ_MOV[CONTAS],$C717,LANÇ_MOV[PLANO DE CONTAS],REL_DRE_FINANCEIRO!$B$651,LANÇ_MOV[ANO PAGAMENTO],$B$4,LANÇ_MOV[MÊS PAGAMENTO CORRESPONDENTE],J$6,LANÇ_MOV[EMPRESA],$C$4,LANÇ_MOV[CENTRO DE CUSTOS],$D$4)</f>
        <v>0</v>
      </c>
      <c r="K717" s="206">
        <f>SUMIFS(LANÇ_MOV[VALOR LÍQUIDO],LANÇ_MOV[RECEITA OU DESPESA],"Despesa",LANÇ_MOV[CONTAS],$C717,LANÇ_MOV[PLANO DE CONTAS],REL_DRE_FINANCEIRO!$B$651,LANÇ_MOV[ANO PAGAMENTO],$B$4,LANÇ_MOV[MÊS PAGAMENTO CORRESPONDENTE],K$6,LANÇ_MOV[EMPRESA],$C$4,LANÇ_MOV[CENTRO DE CUSTOS],$D$4)</f>
        <v>0</v>
      </c>
      <c r="L717" s="206">
        <f>SUMIFS(LANÇ_MOV[VALOR LÍQUIDO],LANÇ_MOV[RECEITA OU DESPESA],"Despesa",LANÇ_MOV[CONTAS],$C717,LANÇ_MOV[PLANO DE CONTAS],REL_DRE_FINANCEIRO!$B$651,LANÇ_MOV[ANO PAGAMENTO],$B$4,LANÇ_MOV[MÊS PAGAMENTO CORRESPONDENTE],L$6,LANÇ_MOV[EMPRESA],$C$4,LANÇ_MOV[CENTRO DE CUSTOS],$D$4)</f>
        <v>0</v>
      </c>
      <c r="M717" s="206">
        <f>SUMIFS(LANÇ_MOV[VALOR LÍQUIDO],LANÇ_MOV[RECEITA OU DESPESA],"Despesa",LANÇ_MOV[CONTAS],$C717,LANÇ_MOV[PLANO DE CONTAS],REL_DRE_FINANCEIRO!$B$651,LANÇ_MOV[ANO PAGAMENTO],$B$4,LANÇ_MOV[MÊS PAGAMENTO CORRESPONDENTE],M$6,LANÇ_MOV[EMPRESA],$C$4,LANÇ_MOV[CENTRO DE CUSTOS],$D$4)</f>
        <v>0</v>
      </c>
      <c r="N717" s="206">
        <f>SUMIFS(LANÇ_MOV[VALOR LÍQUIDO],LANÇ_MOV[RECEITA OU DESPESA],"Despesa",LANÇ_MOV[CONTAS],$C717,LANÇ_MOV[PLANO DE CONTAS],REL_DRE_FINANCEIRO!$B$651,LANÇ_MOV[ANO PAGAMENTO],$B$4,LANÇ_MOV[MÊS PAGAMENTO CORRESPONDENTE],N$6,LANÇ_MOV[EMPRESA],$C$4,LANÇ_MOV[CENTRO DE CUSTOS],$D$4)</f>
        <v>0</v>
      </c>
      <c r="O717" s="206">
        <f>SUMIFS(LANÇ_MOV[VALOR LÍQUIDO],LANÇ_MOV[RECEITA OU DESPESA],"Despesa",LANÇ_MOV[CONTAS],$C717,LANÇ_MOV[PLANO DE CONTAS],REL_DRE_FINANCEIRO!$B$651,LANÇ_MOV[ANO PAGAMENTO],$B$4,LANÇ_MOV[MÊS PAGAMENTO CORRESPONDENTE],O$6,LANÇ_MOV[EMPRESA],$C$4,LANÇ_MOV[CENTRO DE CUSTOS],$D$4)</f>
        <v>0</v>
      </c>
      <c r="P717" s="207">
        <f t="shared" si="94"/>
        <v>0</v>
      </c>
      <c r="Q717" s="329">
        <v>3.4999999999999999E-6</v>
      </c>
      <c r="R717" s="346">
        <f t="shared" si="95"/>
        <v>3.4999999999999999E-6</v>
      </c>
      <c r="S717" s="347" t="str">
        <f t="shared" si="96"/>
        <v>-</v>
      </c>
      <c r="T717" s="347">
        <f t="shared" si="97"/>
        <v>0</v>
      </c>
      <c r="U717" s="347">
        <f>HLOOKUP(Apoio!$P$12,$D$650:$P$751,X717,FALSE)+Q717</f>
        <v>3.4999999999999999E-6</v>
      </c>
      <c r="V717" s="447" t="str">
        <f t="shared" ref="V717:V751" si="98">S717</f>
        <v>-</v>
      </c>
      <c r="W717" s="448">
        <f>HLOOKUP(Apoio!$P$12,$D$650:$P$751,X717,FALSE)</f>
        <v>0</v>
      </c>
      <c r="X717" s="329">
        <v>68</v>
      </c>
    </row>
    <row r="718" spans="2:24" ht="30.05" customHeight="1" x14ac:dyDescent="0.35">
      <c r="B718" s="204" t="str">
        <f>'CAD_PL_REC-DESP'!W71</f>
        <v>2.5.67</v>
      </c>
      <c r="C718" s="205" t="str">
        <f>IF('CAD_PL_REC-DESP'!X71="","-",'CAD_PL_REC-DESP'!X71)</f>
        <v>-</v>
      </c>
      <c r="D718" s="206">
        <f>SUMIFS(LANÇ_MOV[VALOR LÍQUIDO],LANÇ_MOV[RECEITA OU DESPESA],"Despesa",LANÇ_MOV[CONTAS],$C718,LANÇ_MOV[PLANO DE CONTAS],REL_DRE_FINANCEIRO!$B$651,LANÇ_MOV[ANO PAGAMENTO],$B$4,LANÇ_MOV[MÊS PAGAMENTO CORRESPONDENTE],D$6,LANÇ_MOV[EMPRESA],$C$4,LANÇ_MOV[CENTRO DE CUSTOS],$D$4)</f>
        <v>0</v>
      </c>
      <c r="E718" s="206">
        <f>SUMIFS(LANÇ_MOV[VALOR LÍQUIDO],LANÇ_MOV[RECEITA OU DESPESA],"Despesa",LANÇ_MOV[CONTAS],$C718,LANÇ_MOV[PLANO DE CONTAS],REL_DRE_FINANCEIRO!$B$651,LANÇ_MOV[ANO PAGAMENTO],$B$4,LANÇ_MOV[MÊS PAGAMENTO CORRESPONDENTE],E$6,LANÇ_MOV[EMPRESA],$C$4,LANÇ_MOV[CENTRO DE CUSTOS],$D$4)</f>
        <v>0</v>
      </c>
      <c r="F718" s="206">
        <f>SUMIFS(LANÇ_MOV[VALOR LÍQUIDO],LANÇ_MOV[RECEITA OU DESPESA],"Despesa",LANÇ_MOV[CONTAS],$C718,LANÇ_MOV[PLANO DE CONTAS],REL_DRE_FINANCEIRO!$B$651,LANÇ_MOV[ANO PAGAMENTO],$B$4,LANÇ_MOV[MÊS PAGAMENTO CORRESPONDENTE],F$6,LANÇ_MOV[EMPRESA],$C$4,LANÇ_MOV[CENTRO DE CUSTOS],$D$4)</f>
        <v>0</v>
      </c>
      <c r="G718" s="206">
        <f>SUMIFS(LANÇ_MOV[VALOR LÍQUIDO],LANÇ_MOV[RECEITA OU DESPESA],"Despesa",LANÇ_MOV[CONTAS],$C718,LANÇ_MOV[PLANO DE CONTAS],REL_DRE_FINANCEIRO!$B$651,LANÇ_MOV[ANO PAGAMENTO],$B$4,LANÇ_MOV[MÊS PAGAMENTO CORRESPONDENTE],G$6,LANÇ_MOV[EMPRESA],$C$4,LANÇ_MOV[CENTRO DE CUSTOS],$D$4)</f>
        <v>0</v>
      </c>
      <c r="H718" s="206">
        <f>SUMIFS(LANÇ_MOV[VALOR LÍQUIDO],LANÇ_MOV[RECEITA OU DESPESA],"Despesa",LANÇ_MOV[CONTAS],$C718,LANÇ_MOV[PLANO DE CONTAS],REL_DRE_FINANCEIRO!$B$651,LANÇ_MOV[ANO PAGAMENTO],$B$4,LANÇ_MOV[MÊS PAGAMENTO CORRESPONDENTE],H$6,LANÇ_MOV[EMPRESA],$C$4,LANÇ_MOV[CENTRO DE CUSTOS],$D$4)</f>
        <v>0</v>
      </c>
      <c r="I718" s="206">
        <f>SUMIFS(LANÇ_MOV[VALOR LÍQUIDO],LANÇ_MOV[RECEITA OU DESPESA],"Despesa",LANÇ_MOV[CONTAS],$C718,LANÇ_MOV[PLANO DE CONTAS],REL_DRE_FINANCEIRO!$B$651,LANÇ_MOV[ANO PAGAMENTO],$B$4,LANÇ_MOV[MÊS PAGAMENTO CORRESPONDENTE],I$6,LANÇ_MOV[EMPRESA],$C$4,LANÇ_MOV[CENTRO DE CUSTOS],$D$4)</f>
        <v>0</v>
      </c>
      <c r="J718" s="206">
        <f>SUMIFS(LANÇ_MOV[VALOR LÍQUIDO],LANÇ_MOV[RECEITA OU DESPESA],"Despesa",LANÇ_MOV[CONTAS],$C718,LANÇ_MOV[PLANO DE CONTAS],REL_DRE_FINANCEIRO!$B$651,LANÇ_MOV[ANO PAGAMENTO],$B$4,LANÇ_MOV[MÊS PAGAMENTO CORRESPONDENTE],J$6,LANÇ_MOV[EMPRESA],$C$4,LANÇ_MOV[CENTRO DE CUSTOS],$D$4)</f>
        <v>0</v>
      </c>
      <c r="K718" s="206">
        <f>SUMIFS(LANÇ_MOV[VALOR LÍQUIDO],LANÇ_MOV[RECEITA OU DESPESA],"Despesa",LANÇ_MOV[CONTAS],$C718,LANÇ_MOV[PLANO DE CONTAS],REL_DRE_FINANCEIRO!$B$651,LANÇ_MOV[ANO PAGAMENTO],$B$4,LANÇ_MOV[MÊS PAGAMENTO CORRESPONDENTE],K$6,LANÇ_MOV[EMPRESA],$C$4,LANÇ_MOV[CENTRO DE CUSTOS],$D$4)</f>
        <v>0</v>
      </c>
      <c r="L718" s="206">
        <f>SUMIFS(LANÇ_MOV[VALOR LÍQUIDO],LANÇ_MOV[RECEITA OU DESPESA],"Despesa",LANÇ_MOV[CONTAS],$C718,LANÇ_MOV[PLANO DE CONTAS],REL_DRE_FINANCEIRO!$B$651,LANÇ_MOV[ANO PAGAMENTO],$B$4,LANÇ_MOV[MÊS PAGAMENTO CORRESPONDENTE],L$6,LANÇ_MOV[EMPRESA],$C$4,LANÇ_MOV[CENTRO DE CUSTOS],$D$4)</f>
        <v>0</v>
      </c>
      <c r="M718" s="206">
        <f>SUMIFS(LANÇ_MOV[VALOR LÍQUIDO],LANÇ_MOV[RECEITA OU DESPESA],"Despesa",LANÇ_MOV[CONTAS],$C718,LANÇ_MOV[PLANO DE CONTAS],REL_DRE_FINANCEIRO!$B$651,LANÇ_MOV[ANO PAGAMENTO],$B$4,LANÇ_MOV[MÊS PAGAMENTO CORRESPONDENTE],M$6,LANÇ_MOV[EMPRESA],$C$4,LANÇ_MOV[CENTRO DE CUSTOS],$D$4)</f>
        <v>0</v>
      </c>
      <c r="N718" s="206">
        <f>SUMIFS(LANÇ_MOV[VALOR LÍQUIDO],LANÇ_MOV[RECEITA OU DESPESA],"Despesa",LANÇ_MOV[CONTAS],$C718,LANÇ_MOV[PLANO DE CONTAS],REL_DRE_FINANCEIRO!$B$651,LANÇ_MOV[ANO PAGAMENTO],$B$4,LANÇ_MOV[MÊS PAGAMENTO CORRESPONDENTE],N$6,LANÇ_MOV[EMPRESA],$C$4,LANÇ_MOV[CENTRO DE CUSTOS],$D$4)</f>
        <v>0</v>
      </c>
      <c r="O718" s="206">
        <f>SUMIFS(LANÇ_MOV[VALOR LÍQUIDO],LANÇ_MOV[RECEITA OU DESPESA],"Despesa",LANÇ_MOV[CONTAS],$C718,LANÇ_MOV[PLANO DE CONTAS],REL_DRE_FINANCEIRO!$B$651,LANÇ_MOV[ANO PAGAMENTO],$B$4,LANÇ_MOV[MÊS PAGAMENTO CORRESPONDENTE],O$6,LANÇ_MOV[EMPRESA],$C$4,LANÇ_MOV[CENTRO DE CUSTOS],$D$4)</f>
        <v>0</v>
      </c>
      <c r="P718" s="207">
        <f t="shared" si="94"/>
        <v>0</v>
      </c>
      <c r="Q718" s="329">
        <v>3.4000000000000001E-6</v>
      </c>
      <c r="R718" s="346">
        <f t="shared" si="95"/>
        <v>3.4000000000000001E-6</v>
      </c>
      <c r="S718" s="347" t="str">
        <f t="shared" si="96"/>
        <v>-</v>
      </c>
      <c r="T718" s="347">
        <f t="shared" si="97"/>
        <v>0</v>
      </c>
      <c r="U718" s="347">
        <f>HLOOKUP(Apoio!$P$12,$D$650:$P$751,X718,FALSE)+Q718</f>
        <v>3.4000000000000001E-6</v>
      </c>
      <c r="V718" s="447" t="str">
        <f t="shared" si="98"/>
        <v>-</v>
      </c>
      <c r="W718" s="448">
        <f>HLOOKUP(Apoio!$P$12,$D$650:$P$751,X718,FALSE)</f>
        <v>0</v>
      </c>
      <c r="X718" s="329">
        <v>69</v>
      </c>
    </row>
    <row r="719" spans="2:24" ht="30.05" customHeight="1" x14ac:dyDescent="0.35">
      <c r="B719" s="204" t="str">
        <f>'CAD_PL_REC-DESP'!W72</f>
        <v>2.5.68</v>
      </c>
      <c r="C719" s="205" t="str">
        <f>IF('CAD_PL_REC-DESP'!X72="","-",'CAD_PL_REC-DESP'!X72)</f>
        <v>-</v>
      </c>
      <c r="D719" s="206">
        <f>SUMIFS(LANÇ_MOV[VALOR LÍQUIDO],LANÇ_MOV[RECEITA OU DESPESA],"Despesa",LANÇ_MOV[CONTAS],$C719,LANÇ_MOV[PLANO DE CONTAS],REL_DRE_FINANCEIRO!$B$651,LANÇ_MOV[ANO PAGAMENTO],$B$4,LANÇ_MOV[MÊS PAGAMENTO CORRESPONDENTE],D$6,LANÇ_MOV[EMPRESA],$C$4,LANÇ_MOV[CENTRO DE CUSTOS],$D$4)</f>
        <v>0</v>
      </c>
      <c r="E719" s="206">
        <f>SUMIFS(LANÇ_MOV[VALOR LÍQUIDO],LANÇ_MOV[RECEITA OU DESPESA],"Despesa",LANÇ_MOV[CONTAS],$C719,LANÇ_MOV[PLANO DE CONTAS],REL_DRE_FINANCEIRO!$B$651,LANÇ_MOV[ANO PAGAMENTO],$B$4,LANÇ_MOV[MÊS PAGAMENTO CORRESPONDENTE],E$6,LANÇ_MOV[EMPRESA],$C$4,LANÇ_MOV[CENTRO DE CUSTOS],$D$4)</f>
        <v>0</v>
      </c>
      <c r="F719" s="206">
        <f>SUMIFS(LANÇ_MOV[VALOR LÍQUIDO],LANÇ_MOV[RECEITA OU DESPESA],"Despesa",LANÇ_MOV[CONTAS],$C719,LANÇ_MOV[PLANO DE CONTAS],REL_DRE_FINANCEIRO!$B$651,LANÇ_MOV[ANO PAGAMENTO],$B$4,LANÇ_MOV[MÊS PAGAMENTO CORRESPONDENTE],F$6,LANÇ_MOV[EMPRESA],$C$4,LANÇ_MOV[CENTRO DE CUSTOS],$D$4)</f>
        <v>0</v>
      </c>
      <c r="G719" s="206">
        <f>SUMIFS(LANÇ_MOV[VALOR LÍQUIDO],LANÇ_MOV[RECEITA OU DESPESA],"Despesa",LANÇ_MOV[CONTAS],$C719,LANÇ_MOV[PLANO DE CONTAS],REL_DRE_FINANCEIRO!$B$651,LANÇ_MOV[ANO PAGAMENTO],$B$4,LANÇ_MOV[MÊS PAGAMENTO CORRESPONDENTE],G$6,LANÇ_MOV[EMPRESA],$C$4,LANÇ_MOV[CENTRO DE CUSTOS],$D$4)</f>
        <v>0</v>
      </c>
      <c r="H719" s="206">
        <f>SUMIFS(LANÇ_MOV[VALOR LÍQUIDO],LANÇ_MOV[RECEITA OU DESPESA],"Despesa",LANÇ_MOV[CONTAS],$C719,LANÇ_MOV[PLANO DE CONTAS],REL_DRE_FINANCEIRO!$B$651,LANÇ_MOV[ANO PAGAMENTO],$B$4,LANÇ_MOV[MÊS PAGAMENTO CORRESPONDENTE],H$6,LANÇ_MOV[EMPRESA],$C$4,LANÇ_MOV[CENTRO DE CUSTOS],$D$4)</f>
        <v>0</v>
      </c>
      <c r="I719" s="206">
        <f>SUMIFS(LANÇ_MOV[VALOR LÍQUIDO],LANÇ_MOV[RECEITA OU DESPESA],"Despesa",LANÇ_MOV[CONTAS],$C719,LANÇ_MOV[PLANO DE CONTAS],REL_DRE_FINANCEIRO!$B$651,LANÇ_MOV[ANO PAGAMENTO],$B$4,LANÇ_MOV[MÊS PAGAMENTO CORRESPONDENTE],I$6,LANÇ_MOV[EMPRESA],$C$4,LANÇ_MOV[CENTRO DE CUSTOS],$D$4)</f>
        <v>0</v>
      </c>
      <c r="J719" s="206">
        <f>SUMIFS(LANÇ_MOV[VALOR LÍQUIDO],LANÇ_MOV[RECEITA OU DESPESA],"Despesa",LANÇ_MOV[CONTAS],$C719,LANÇ_MOV[PLANO DE CONTAS],REL_DRE_FINANCEIRO!$B$651,LANÇ_MOV[ANO PAGAMENTO],$B$4,LANÇ_MOV[MÊS PAGAMENTO CORRESPONDENTE],J$6,LANÇ_MOV[EMPRESA],$C$4,LANÇ_MOV[CENTRO DE CUSTOS],$D$4)</f>
        <v>0</v>
      </c>
      <c r="K719" s="206">
        <f>SUMIFS(LANÇ_MOV[VALOR LÍQUIDO],LANÇ_MOV[RECEITA OU DESPESA],"Despesa",LANÇ_MOV[CONTAS],$C719,LANÇ_MOV[PLANO DE CONTAS],REL_DRE_FINANCEIRO!$B$651,LANÇ_MOV[ANO PAGAMENTO],$B$4,LANÇ_MOV[MÊS PAGAMENTO CORRESPONDENTE],K$6,LANÇ_MOV[EMPRESA],$C$4,LANÇ_MOV[CENTRO DE CUSTOS],$D$4)</f>
        <v>0</v>
      </c>
      <c r="L719" s="206">
        <f>SUMIFS(LANÇ_MOV[VALOR LÍQUIDO],LANÇ_MOV[RECEITA OU DESPESA],"Despesa",LANÇ_MOV[CONTAS],$C719,LANÇ_MOV[PLANO DE CONTAS],REL_DRE_FINANCEIRO!$B$651,LANÇ_MOV[ANO PAGAMENTO],$B$4,LANÇ_MOV[MÊS PAGAMENTO CORRESPONDENTE],L$6,LANÇ_MOV[EMPRESA],$C$4,LANÇ_MOV[CENTRO DE CUSTOS],$D$4)</f>
        <v>0</v>
      </c>
      <c r="M719" s="206">
        <f>SUMIFS(LANÇ_MOV[VALOR LÍQUIDO],LANÇ_MOV[RECEITA OU DESPESA],"Despesa",LANÇ_MOV[CONTAS],$C719,LANÇ_MOV[PLANO DE CONTAS],REL_DRE_FINANCEIRO!$B$651,LANÇ_MOV[ANO PAGAMENTO],$B$4,LANÇ_MOV[MÊS PAGAMENTO CORRESPONDENTE],M$6,LANÇ_MOV[EMPRESA],$C$4,LANÇ_MOV[CENTRO DE CUSTOS],$D$4)</f>
        <v>0</v>
      </c>
      <c r="N719" s="206">
        <f>SUMIFS(LANÇ_MOV[VALOR LÍQUIDO],LANÇ_MOV[RECEITA OU DESPESA],"Despesa",LANÇ_MOV[CONTAS],$C719,LANÇ_MOV[PLANO DE CONTAS],REL_DRE_FINANCEIRO!$B$651,LANÇ_MOV[ANO PAGAMENTO],$B$4,LANÇ_MOV[MÊS PAGAMENTO CORRESPONDENTE],N$6,LANÇ_MOV[EMPRESA],$C$4,LANÇ_MOV[CENTRO DE CUSTOS],$D$4)</f>
        <v>0</v>
      </c>
      <c r="O719" s="206">
        <f>SUMIFS(LANÇ_MOV[VALOR LÍQUIDO],LANÇ_MOV[RECEITA OU DESPESA],"Despesa",LANÇ_MOV[CONTAS],$C719,LANÇ_MOV[PLANO DE CONTAS],REL_DRE_FINANCEIRO!$B$651,LANÇ_MOV[ANO PAGAMENTO],$B$4,LANÇ_MOV[MÊS PAGAMENTO CORRESPONDENTE],O$6,LANÇ_MOV[EMPRESA],$C$4,LANÇ_MOV[CENTRO DE CUSTOS],$D$4)</f>
        <v>0</v>
      </c>
      <c r="P719" s="207">
        <f t="shared" si="94"/>
        <v>0</v>
      </c>
      <c r="Q719" s="329">
        <v>3.3000000000000002E-6</v>
      </c>
      <c r="R719" s="346">
        <f t="shared" si="95"/>
        <v>3.3000000000000002E-6</v>
      </c>
      <c r="S719" s="347" t="str">
        <f t="shared" si="96"/>
        <v>-</v>
      </c>
      <c r="T719" s="347">
        <f t="shared" si="97"/>
        <v>0</v>
      </c>
      <c r="U719" s="347">
        <f>HLOOKUP(Apoio!$P$12,$D$650:$P$751,X719,FALSE)+Q719</f>
        <v>3.3000000000000002E-6</v>
      </c>
      <c r="V719" s="447" t="str">
        <f t="shared" si="98"/>
        <v>-</v>
      </c>
      <c r="W719" s="448">
        <f>HLOOKUP(Apoio!$P$12,$D$650:$P$751,X719,FALSE)</f>
        <v>0</v>
      </c>
      <c r="X719" s="329">
        <v>70</v>
      </c>
    </row>
    <row r="720" spans="2:24" ht="30.05" customHeight="1" x14ac:dyDescent="0.35">
      <c r="B720" s="204" t="str">
        <f>'CAD_PL_REC-DESP'!W73</f>
        <v>2.5.69</v>
      </c>
      <c r="C720" s="205" t="str">
        <f>IF('CAD_PL_REC-DESP'!X73="","-",'CAD_PL_REC-DESP'!X73)</f>
        <v>-</v>
      </c>
      <c r="D720" s="206">
        <f>SUMIFS(LANÇ_MOV[VALOR LÍQUIDO],LANÇ_MOV[RECEITA OU DESPESA],"Despesa",LANÇ_MOV[CONTAS],$C720,LANÇ_MOV[PLANO DE CONTAS],REL_DRE_FINANCEIRO!$B$651,LANÇ_MOV[ANO PAGAMENTO],$B$4,LANÇ_MOV[MÊS PAGAMENTO CORRESPONDENTE],D$6,LANÇ_MOV[EMPRESA],$C$4,LANÇ_MOV[CENTRO DE CUSTOS],$D$4)</f>
        <v>0</v>
      </c>
      <c r="E720" s="206">
        <f>SUMIFS(LANÇ_MOV[VALOR LÍQUIDO],LANÇ_MOV[RECEITA OU DESPESA],"Despesa",LANÇ_MOV[CONTAS],$C720,LANÇ_MOV[PLANO DE CONTAS],REL_DRE_FINANCEIRO!$B$651,LANÇ_MOV[ANO PAGAMENTO],$B$4,LANÇ_MOV[MÊS PAGAMENTO CORRESPONDENTE],E$6,LANÇ_MOV[EMPRESA],$C$4,LANÇ_MOV[CENTRO DE CUSTOS],$D$4)</f>
        <v>0</v>
      </c>
      <c r="F720" s="206">
        <f>SUMIFS(LANÇ_MOV[VALOR LÍQUIDO],LANÇ_MOV[RECEITA OU DESPESA],"Despesa",LANÇ_MOV[CONTAS],$C720,LANÇ_MOV[PLANO DE CONTAS],REL_DRE_FINANCEIRO!$B$651,LANÇ_MOV[ANO PAGAMENTO],$B$4,LANÇ_MOV[MÊS PAGAMENTO CORRESPONDENTE],F$6,LANÇ_MOV[EMPRESA],$C$4,LANÇ_MOV[CENTRO DE CUSTOS],$D$4)</f>
        <v>0</v>
      </c>
      <c r="G720" s="206">
        <f>SUMIFS(LANÇ_MOV[VALOR LÍQUIDO],LANÇ_MOV[RECEITA OU DESPESA],"Despesa",LANÇ_MOV[CONTAS],$C720,LANÇ_MOV[PLANO DE CONTAS],REL_DRE_FINANCEIRO!$B$651,LANÇ_MOV[ANO PAGAMENTO],$B$4,LANÇ_MOV[MÊS PAGAMENTO CORRESPONDENTE],G$6,LANÇ_MOV[EMPRESA],$C$4,LANÇ_MOV[CENTRO DE CUSTOS],$D$4)</f>
        <v>0</v>
      </c>
      <c r="H720" s="206">
        <f>SUMIFS(LANÇ_MOV[VALOR LÍQUIDO],LANÇ_MOV[RECEITA OU DESPESA],"Despesa",LANÇ_MOV[CONTAS],$C720,LANÇ_MOV[PLANO DE CONTAS],REL_DRE_FINANCEIRO!$B$651,LANÇ_MOV[ANO PAGAMENTO],$B$4,LANÇ_MOV[MÊS PAGAMENTO CORRESPONDENTE],H$6,LANÇ_MOV[EMPRESA],$C$4,LANÇ_MOV[CENTRO DE CUSTOS],$D$4)</f>
        <v>0</v>
      </c>
      <c r="I720" s="206">
        <f>SUMIFS(LANÇ_MOV[VALOR LÍQUIDO],LANÇ_MOV[RECEITA OU DESPESA],"Despesa",LANÇ_MOV[CONTAS],$C720,LANÇ_MOV[PLANO DE CONTAS],REL_DRE_FINANCEIRO!$B$651,LANÇ_MOV[ANO PAGAMENTO],$B$4,LANÇ_MOV[MÊS PAGAMENTO CORRESPONDENTE],I$6,LANÇ_MOV[EMPRESA],$C$4,LANÇ_MOV[CENTRO DE CUSTOS],$D$4)</f>
        <v>0</v>
      </c>
      <c r="J720" s="206">
        <f>SUMIFS(LANÇ_MOV[VALOR LÍQUIDO],LANÇ_MOV[RECEITA OU DESPESA],"Despesa",LANÇ_MOV[CONTAS],$C720,LANÇ_MOV[PLANO DE CONTAS],REL_DRE_FINANCEIRO!$B$651,LANÇ_MOV[ANO PAGAMENTO],$B$4,LANÇ_MOV[MÊS PAGAMENTO CORRESPONDENTE],J$6,LANÇ_MOV[EMPRESA],$C$4,LANÇ_MOV[CENTRO DE CUSTOS],$D$4)</f>
        <v>0</v>
      </c>
      <c r="K720" s="206">
        <f>SUMIFS(LANÇ_MOV[VALOR LÍQUIDO],LANÇ_MOV[RECEITA OU DESPESA],"Despesa",LANÇ_MOV[CONTAS],$C720,LANÇ_MOV[PLANO DE CONTAS],REL_DRE_FINANCEIRO!$B$651,LANÇ_MOV[ANO PAGAMENTO],$B$4,LANÇ_MOV[MÊS PAGAMENTO CORRESPONDENTE],K$6,LANÇ_MOV[EMPRESA],$C$4,LANÇ_MOV[CENTRO DE CUSTOS],$D$4)</f>
        <v>0</v>
      </c>
      <c r="L720" s="206">
        <f>SUMIFS(LANÇ_MOV[VALOR LÍQUIDO],LANÇ_MOV[RECEITA OU DESPESA],"Despesa",LANÇ_MOV[CONTAS],$C720,LANÇ_MOV[PLANO DE CONTAS],REL_DRE_FINANCEIRO!$B$651,LANÇ_MOV[ANO PAGAMENTO],$B$4,LANÇ_MOV[MÊS PAGAMENTO CORRESPONDENTE],L$6,LANÇ_MOV[EMPRESA],$C$4,LANÇ_MOV[CENTRO DE CUSTOS],$D$4)</f>
        <v>0</v>
      </c>
      <c r="M720" s="206">
        <f>SUMIFS(LANÇ_MOV[VALOR LÍQUIDO],LANÇ_MOV[RECEITA OU DESPESA],"Despesa",LANÇ_MOV[CONTAS],$C720,LANÇ_MOV[PLANO DE CONTAS],REL_DRE_FINANCEIRO!$B$651,LANÇ_MOV[ANO PAGAMENTO],$B$4,LANÇ_MOV[MÊS PAGAMENTO CORRESPONDENTE],M$6,LANÇ_MOV[EMPRESA],$C$4,LANÇ_MOV[CENTRO DE CUSTOS],$D$4)</f>
        <v>0</v>
      </c>
      <c r="N720" s="206">
        <f>SUMIFS(LANÇ_MOV[VALOR LÍQUIDO],LANÇ_MOV[RECEITA OU DESPESA],"Despesa",LANÇ_MOV[CONTAS],$C720,LANÇ_MOV[PLANO DE CONTAS],REL_DRE_FINANCEIRO!$B$651,LANÇ_MOV[ANO PAGAMENTO],$B$4,LANÇ_MOV[MÊS PAGAMENTO CORRESPONDENTE],N$6,LANÇ_MOV[EMPRESA],$C$4,LANÇ_MOV[CENTRO DE CUSTOS],$D$4)</f>
        <v>0</v>
      </c>
      <c r="O720" s="206">
        <f>SUMIFS(LANÇ_MOV[VALOR LÍQUIDO],LANÇ_MOV[RECEITA OU DESPESA],"Despesa",LANÇ_MOV[CONTAS],$C720,LANÇ_MOV[PLANO DE CONTAS],REL_DRE_FINANCEIRO!$B$651,LANÇ_MOV[ANO PAGAMENTO],$B$4,LANÇ_MOV[MÊS PAGAMENTO CORRESPONDENTE],O$6,LANÇ_MOV[EMPRESA],$C$4,LANÇ_MOV[CENTRO DE CUSTOS],$D$4)</f>
        <v>0</v>
      </c>
      <c r="P720" s="207">
        <f t="shared" si="94"/>
        <v>0</v>
      </c>
      <c r="Q720" s="329">
        <v>3.1999999999999999E-6</v>
      </c>
      <c r="R720" s="346">
        <f t="shared" si="95"/>
        <v>3.1999999999999999E-6</v>
      </c>
      <c r="S720" s="347" t="str">
        <f t="shared" si="96"/>
        <v>-</v>
      </c>
      <c r="T720" s="347">
        <f t="shared" si="97"/>
        <v>0</v>
      </c>
      <c r="U720" s="347">
        <f>HLOOKUP(Apoio!$P$12,$D$650:$P$751,X720,FALSE)+Q720</f>
        <v>3.1999999999999999E-6</v>
      </c>
      <c r="V720" s="447" t="str">
        <f t="shared" si="98"/>
        <v>-</v>
      </c>
      <c r="W720" s="448">
        <f>HLOOKUP(Apoio!$P$12,$D$650:$P$751,X720,FALSE)</f>
        <v>0</v>
      </c>
      <c r="X720" s="329">
        <v>71</v>
      </c>
    </row>
    <row r="721" spans="2:24" ht="30.05" customHeight="1" x14ac:dyDescent="0.35">
      <c r="B721" s="204" t="str">
        <f>'CAD_PL_REC-DESP'!W74</f>
        <v>2.5.70</v>
      </c>
      <c r="C721" s="205" t="str">
        <f>IF('CAD_PL_REC-DESP'!X74="","-",'CAD_PL_REC-DESP'!X74)</f>
        <v>-</v>
      </c>
      <c r="D721" s="206">
        <f>SUMIFS(LANÇ_MOV[VALOR LÍQUIDO],LANÇ_MOV[RECEITA OU DESPESA],"Despesa",LANÇ_MOV[CONTAS],$C721,LANÇ_MOV[PLANO DE CONTAS],REL_DRE_FINANCEIRO!$B$651,LANÇ_MOV[ANO PAGAMENTO],$B$4,LANÇ_MOV[MÊS PAGAMENTO CORRESPONDENTE],D$6,LANÇ_MOV[EMPRESA],$C$4,LANÇ_MOV[CENTRO DE CUSTOS],$D$4)</f>
        <v>0</v>
      </c>
      <c r="E721" s="206">
        <f>SUMIFS(LANÇ_MOV[VALOR LÍQUIDO],LANÇ_MOV[RECEITA OU DESPESA],"Despesa",LANÇ_MOV[CONTAS],$C721,LANÇ_MOV[PLANO DE CONTAS],REL_DRE_FINANCEIRO!$B$651,LANÇ_MOV[ANO PAGAMENTO],$B$4,LANÇ_MOV[MÊS PAGAMENTO CORRESPONDENTE],E$6,LANÇ_MOV[EMPRESA],$C$4,LANÇ_MOV[CENTRO DE CUSTOS],$D$4)</f>
        <v>0</v>
      </c>
      <c r="F721" s="206">
        <f>SUMIFS(LANÇ_MOV[VALOR LÍQUIDO],LANÇ_MOV[RECEITA OU DESPESA],"Despesa",LANÇ_MOV[CONTAS],$C721,LANÇ_MOV[PLANO DE CONTAS],REL_DRE_FINANCEIRO!$B$651,LANÇ_MOV[ANO PAGAMENTO],$B$4,LANÇ_MOV[MÊS PAGAMENTO CORRESPONDENTE],F$6,LANÇ_MOV[EMPRESA],$C$4,LANÇ_MOV[CENTRO DE CUSTOS],$D$4)</f>
        <v>0</v>
      </c>
      <c r="G721" s="206">
        <f>SUMIFS(LANÇ_MOV[VALOR LÍQUIDO],LANÇ_MOV[RECEITA OU DESPESA],"Despesa",LANÇ_MOV[CONTAS],$C721,LANÇ_MOV[PLANO DE CONTAS],REL_DRE_FINANCEIRO!$B$651,LANÇ_MOV[ANO PAGAMENTO],$B$4,LANÇ_MOV[MÊS PAGAMENTO CORRESPONDENTE],G$6,LANÇ_MOV[EMPRESA],$C$4,LANÇ_MOV[CENTRO DE CUSTOS],$D$4)</f>
        <v>0</v>
      </c>
      <c r="H721" s="206">
        <f>SUMIFS(LANÇ_MOV[VALOR LÍQUIDO],LANÇ_MOV[RECEITA OU DESPESA],"Despesa",LANÇ_MOV[CONTAS],$C721,LANÇ_MOV[PLANO DE CONTAS],REL_DRE_FINANCEIRO!$B$651,LANÇ_MOV[ANO PAGAMENTO],$B$4,LANÇ_MOV[MÊS PAGAMENTO CORRESPONDENTE],H$6,LANÇ_MOV[EMPRESA],$C$4,LANÇ_MOV[CENTRO DE CUSTOS],$D$4)</f>
        <v>0</v>
      </c>
      <c r="I721" s="206">
        <f>SUMIFS(LANÇ_MOV[VALOR LÍQUIDO],LANÇ_MOV[RECEITA OU DESPESA],"Despesa",LANÇ_MOV[CONTAS],$C721,LANÇ_MOV[PLANO DE CONTAS],REL_DRE_FINANCEIRO!$B$651,LANÇ_MOV[ANO PAGAMENTO],$B$4,LANÇ_MOV[MÊS PAGAMENTO CORRESPONDENTE],I$6,LANÇ_MOV[EMPRESA],$C$4,LANÇ_MOV[CENTRO DE CUSTOS],$D$4)</f>
        <v>0</v>
      </c>
      <c r="J721" s="206">
        <f>SUMIFS(LANÇ_MOV[VALOR LÍQUIDO],LANÇ_MOV[RECEITA OU DESPESA],"Despesa",LANÇ_MOV[CONTAS],$C721,LANÇ_MOV[PLANO DE CONTAS],REL_DRE_FINANCEIRO!$B$651,LANÇ_MOV[ANO PAGAMENTO],$B$4,LANÇ_MOV[MÊS PAGAMENTO CORRESPONDENTE],J$6,LANÇ_MOV[EMPRESA],$C$4,LANÇ_MOV[CENTRO DE CUSTOS],$D$4)</f>
        <v>0</v>
      </c>
      <c r="K721" s="206">
        <f>SUMIFS(LANÇ_MOV[VALOR LÍQUIDO],LANÇ_MOV[RECEITA OU DESPESA],"Despesa",LANÇ_MOV[CONTAS],$C721,LANÇ_MOV[PLANO DE CONTAS],REL_DRE_FINANCEIRO!$B$651,LANÇ_MOV[ANO PAGAMENTO],$B$4,LANÇ_MOV[MÊS PAGAMENTO CORRESPONDENTE],K$6,LANÇ_MOV[EMPRESA],$C$4,LANÇ_MOV[CENTRO DE CUSTOS],$D$4)</f>
        <v>0</v>
      </c>
      <c r="L721" s="206">
        <f>SUMIFS(LANÇ_MOV[VALOR LÍQUIDO],LANÇ_MOV[RECEITA OU DESPESA],"Despesa",LANÇ_MOV[CONTAS],$C721,LANÇ_MOV[PLANO DE CONTAS],REL_DRE_FINANCEIRO!$B$651,LANÇ_MOV[ANO PAGAMENTO],$B$4,LANÇ_MOV[MÊS PAGAMENTO CORRESPONDENTE],L$6,LANÇ_MOV[EMPRESA],$C$4,LANÇ_MOV[CENTRO DE CUSTOS],$D$4)</f>
        <v>0</v>
      </c>
      <c r="M721" s="206">
        <f>SUMIFS(LANÇ_MOV[VALOR LÍQUIDO],LANÇ_MOV[RECEITA OU DESPESA],"Despesa",LANÇ_MOV[CONTAS],$C721,LANÇ_MOV[PLANO DE CONTAS],REL_DRE_FINANCEIRO!$B$651,LANÇ_MOV[ANO PAGAMENTO],$B$4,LANÇ_MOV[MÊS PAGAMENTO CORRESPONDENTE],M$6,LANÇ_MOV[EMPRESA],$C$4,LANÇ_MOV[CENTRO DE CUSTOS],$D$4)</f>
        <v>0</v>
      </c>
      <c r="N721" s="206">
        <f>SUMIFS(LANÇ_MOV[VALOR LÍQUIDO],LANÇ_MOV[RECEITA OU DESPESA],"Despesa",LANÇ_MOV[CONTAS],$C721,LANÇ_MOV[PLANO DE CONTAS],REL_DRE_FINANCEIRO!$B$651,LANÇ_MOV[ANO PAGAMENTO],$B$4,LANÇ_MOV[MÊS PAGAMENTO CORRESPONDENTE],N$6,LANÇ_MOV[EMPRESA],$C$4,LANÇ_MOV[CENTRO DE CUSTOS],$D$4)</f>
        <v>0</v>
      </c>
      <c r="O721" s="206">
        <f>SUMIFS(LANÇ_MOV[VALOR LÍQUIDO],LANÇ_MOV[RECEITA OU DESPESA],"Despesa",LANÇ_MOV[CONTAS],$C721,LANÇ_MOV[PLANO DE CONTAS],REL_DRE_FINANCEIRO!$B$651,LANÇ_MOV[ANO PAGAMENTO],$B$4,LANÇ_MOV[MÊS PAGAMENTO CORRESPONDENTE],O$6,LANÇ_MOV[EMPRESA],$C$4,LANÇ_MOV[CENTRO DE CUSTOS],$D$4)</f>
        <v>0</v>
      </c>
      <c r="P721" s="207">
        <f t="shared" si="94"/>
        <v>0</v>
      </c>
      <c r="Q721" s="329">
        <v>3.1E-6</v>
      </c>
      <c r="R721" s="346">
        <f t="shared" si="95"/>
        <v>3.1E-6</v>
      </c>
      <c r="S721" s="347" t="str">
        <f t="shared" si="96"/>
        <v>-</v>
      </c>
      <c r="T721" s="347">
        <f t="shared" si="97"/>
        <v>0</v>
      </c>
      <c r="U721" s="347">
        <f>HLOOKUP(Apoio!$P$12,$D$650:$P$751,X721,FALSE)+Q721</f>
        <v>3.1E-6</v>
      </c>
      <c r="V721" s="447" t="str">
        <f t="shared" si="98"/>
        <v>-</v>
      </c>
      <c r="W721" s="448">
        <f>HLOOKUP(Apoio!$P$12,$D$650:$P$751,X721,FALSE)</f>
        <v>0</v>
      </c>
      <c r="X721" s="329">
        <v>72</v>
      </c>
    </row>
    <row r="722" spans="2:24" ht="30.05" customHeight="1" x14ac:dyDescent="0.35">
      <c r="B722" s="204" t="str">
        <f>'CAD_PL_REC-DESP'!W75</f>
        <v>2.5.71</v>
      </c>
      <c r="C722" s="205" t="str">
        <f>IF('CAD_PL_REC-DESP'!X75="","-",'CAD_PL_REC-DESP'!X75)</f>
        <v>-</v>
      </c>
      <c r="D722" s="206">
        <f>SUMIFS(LANÇ_MOV[VALOR LÍQUIDO],LANÇ_MOV[RECEITA OU DESPESA],"Despesa",LANÇ_MOV[CONTAS],$C722,LANÇ_MOV[PLANO DE CONTAS],REL_DRE_FINANCEIRO!$B$651,LANÇ_MOV[ANO PAGAMENTO],$B$4,LANÇ_MOV[MÊS PAGAMENTO CORRESPONDENTE],D$6,LANÇ_MOV[EMPRESA],$C$4,LANÇ_MOV[CENTRO DE CUSTOS],$D$4)</f>
        <v>0</v>
      </c>
      <c r="E722" s="206">
        <f>SUMIFS(LANÇ_MOV[VALOR LÍQUIDO],LANÇ_MOV[RECEITA OU DESPESA],"Despesa",LANÇ_MOV[CONTAS],$C722,LANÇ_MOV[PLANO DE CONTAS],REL_DRE_FINANCEIRO!$B$651,LANÇ_MOV[ANO PAGAMENTO],$B$4,LANÇ_MOV[MÊS PAGAMENTO CORRESPONDENTE],E$6,LANÇ_MOV[EMPRESA],$C$4,LANÇ_MOV[CENTRO DE CUSTOS],$D$4)</f>
        <v>0</v>
      </c>
      <c r="F722" s="206">
        <f>SUMIFS(LANÇ_MOV[VALOR LÍQUIDO],LANÇ_MOV[RECEITA OU DESPESA],"Despesa",LANÇ_MOV[CONTAS],$C722,LANÇ_MOV[PLANO DE CONTAS],REL_DRE_FINANCEIRO!$B$651,LANÇ_MOV[ANO PAGAMENTO],$B$4,LANÇ_MOV[MÊS PAGAMENTO CORRESPONDENTE],F$6,LANÇ_MOV[EMPRESA],$C$4,LANÇ_MOV[CENTRO DE CUSTOS],$D$4)</f>
        <v>0</v>
      </c>
      <c r="G722" s="206">
        <f>SUMIFS(LANÇ_MOV[VALOR LÍQUIDO],LANÇ_MOV[RECEITA OU DESPESA],"Despesa",LANÇ_MOV[CONTAS],$C722,LANÇ_MOV[PLANO DE CONTAS],REL_DRE_FINANCEIRO!$B$651,LANÇ_MOV[ANO PAGAMENTO],$B$4,LANÇ_MOV[MÊS PAGAMENTO CORRESPONDENTE],G$6,LANÇ_MOV[EMPRESA],$C$4,LANÇ_MOV[CENTRO DE CUSTOS],$D$4)</f>
        <v>0</v>
      </c>
      <c r="H722" s="206">
        <f>SUMIFS(LANÇ_MOV[VALOR LÍQUIDO],LANÇ_MOV[RECEITA OU DESPESA],"Despesa",LANÇ_MOV[CONTAS],$C722,LANÇ_MOV[PLANO DE CONTAS],REL_DRE_FINANCEIRO!$B$651,LANÇ_MOV[ANO PAGAMENTO],$B$4,LANÇ_MOV[MÊS PAGAMENTO CORRESPONDENTE],H$6,LANÇ_MOV[EMPRESA],$C$4,LANÇ_MOV[CENTRO DE CUSTOS],$D$4)</f>
        <v>0</v>
      </c>
      <c r="I722" s="206">
        <f>SUMIFS(LANÇ_MOV[VALOR LÍQUIDO],LANÇ_MOV[RECEITA OU DESPESA],"Despesa",LANÇ_MOV[CONTAS],$C722,LANÇ_MOV[PLANO DE CONTAS],REL_DRE_FINANCEIRO!$B$651,LANÇ_MOV[ANO PAGAMENTO],$B$4,LANÇ_MOV[MÊS PAGAMENTO CORRESPONDENTE],I$6,LANÇ_MOV[EMPRESA],$C$4,LANÇ_MOV[CENTRO DE CUSTOS],$D$4)</f>
        <v>0</v>
      </c>
      <c r="J722" s="206">
        <f>SUMIFS(LANÇ_MOV[VALOR LÍQUIDO],LANÇ_MOV[RECEITA OU DESPESA],"Despesa",LANÇ_MOV[CONTAS],$C722,LANÇ_MOV[PLANO DE CONTAS],REL_DRE_FINANCEIRO!$B$651,LANÇ_MOV[ANO PAGAMENTO],$B$4,LANÇ_MOV[MÊS PAGAMENTO CORRESPONDENTE],J$6,LANÇ_MOV[EMPRESA],$C$4,LANÇ_MOV[CENTRO DE CUSTOS],$D$4)</f>
        <v>0</v>
      </c>
      <c r="K722" s="206">
        <f>SUMIFS(LANÇ_MOV[VALOR LÍQUIDO],LANÇ_MOV[RECEITA OU DESPESA],"Despesa",LANÇ_MOV[CONTAS],$C722,LANÇ_MOV[PLANO DE CONTAS],REL_DRE_FINANCEIRO!$B$651,LANÇ_MOV[ANO PAGAMENTO],$B$4,LANÇ_MOV[MÊS PAGAMENTO CORRESPONDENTE],K$6,LANÇ_MOV[EMPRESA],$C$4,LANÇ_MOV[CENTRO DE CUSTOS],$D$4)</f>
        <v>0</v>
      </c>
      <c r="L722" s="206">
        <f>SUMIFS(LANÇ_MOV[VALOR LÍQUIDO],LANÇ_MOV[RECEITA OU DESPESA],"Despesa",LANÇ_MOV[CONTAS],$C722,LANÇ_MOV[PLANO DE CONTAS],REL_DRE_FINANCEIRO!$B$651,LANÇ_MOV[ANO PAGAMENTO],$B$4,LANÇ_MOV[MÊS PAGAMENTO CORRESPONDENTE],L$6,LANÇ_MOV[EMPRESA],$C$4,LANÇ_MOV[CENTRO DE CUSTOS],$D$4)</f>
        <v>0</v>
      </c>
      <c r="M722" s="206">
        <f>SUMIFS(LANÇ_MOV[VALOR LÍQUIDO],LANÇ_MOV[RECEITA OU DESPESA],"Despesa",LANÇ_MOV[CONTAS],$C722,LANÇ_MOV[PLANO DE CONTAS],REL_DRE_FINANCEIRO!$B$651,LANÇ_MOV[ANO PAGAMENTO],$B$4,LANÇ_MOV[MÊS PAGAMENTO CORRESPONDENTE],M$6,LANÇ_MOV[EMPRESA],$C$4,LANÇ_MOV[CENTRO DE CUSTOS],$D$4)</f>
        <v>0</v>
      </c>
      <c r="N722" s="206">
        <f>SUMIFS(LANÇ_MOV[VALOR LÍQUIDO],LANÇ_MOV[RECEITA OU DESPESA],"Despesa",LANÇ_MOV[CONTAS],$C722,LANÇ_MOV[PLANO DE CONTAS],REL_DRE_FINANCEIRO!$B$651,LANÇ_MOV[ANO PAGAMENTO],$B$4,LANÇ_MOV[MÊS PAGAMENTO CORRESPONDENTE],N$6,LANÇ_MOV[EMPRESA],$C$4,LANÇ_MOV[CENTRO DE CUSTOS],$D$4)</f>
        <v>0</v>
      </c>
      <c r="O722" s="206">
        <f>SUMIFS(LANÇ_MOV[VALOR LÍQUIDO],LANÇ_MOV[RECEITA OU DESPESA],"Despesa",LANÇ_MOV[CONTAS],$C722,LANÇ_MOV[PLANO DE CONTAS],REL_DRE_FINANCEIRO!$B$651,LANÇ_MOV[ANO PAGAMENTO],$B$4,LANÇ_MOV[MÊS PAGAMENTO CORRESPONDENTE],O$6,LANÇ_MOV[EMPRESA],$C$4,LANÇ_MOV[CENTRO DE CUSTOS],$D$4)</f>
        <v>0</v>
      </c>
      <c r="P722" s="207">
        <f t="shared" si="94"/>
        <v>0</v>
      </c>
      <c r="Q722" s="329">
        <v>3.0000000000000001E-6</v>
      </c>
      <c r="R722" s="346">
        <f t="shared" si="95"/>
        <v>3.0000000000000001E-6</v>
      </c>
      <c r="S722" s="347" t="str">
        <f t="shared" si="96"/>
        <v>-</v>
      </c>
      <c r="T722" s="347">
        <f t="shared" si="97"/>
        <v>0</v>
      </c>
      <c r="U722" s="347">
        <f>HLOOKUP(Apoio!$P$12,$D$650:$P$751,X722,FALSE)+Q722</f>
        <v>3.0000000000000001E-6</v>
      </c>
      <c r="V722" s="447" t="str">
        <f t="shared" si="98"/>
        <v>-</v>
      </c>
      <c r="W722" s="448">
        <f>HLOOKUP(Apoio!$P$12,$D$650:$P$751,X722,FALSE)</f>
        <v>0</v>
      </c>
      <c r="X722" s="329">
        <v>73</v>
      </c>
    </row>
    <row r="723" spans="2:24" ht="30.05" customHeight="1" x14ac:dyDescent="0.35">
      <c r="B723" s="204" t="str">
        <f>'CAD_PL_REC-DESP'!W76</f>
        <v>2.5.72</v>
      </c>
      <c r="C723" s="205" t="str">
        <f>IF('CAD_PL_REC-DESP'!X76="","-",'CAD_PL_REC-DESP'!X76)</f>
        <v>-</v>
      </c>
      <c r="D723" s="206">
        <f>SUMIFS(LANÇ_MOV[VALOR LÍQUIDO],LANÇ_MOV[RECEITA OU DESPESA],"Despesa",LANÇ_MOV[CONTAS],$C723,LANÇ_MOV[PLANO DE CONTAS],REL_DRE_FINANCEIRO!$B$651,LANÇ_MOV[ANO PAGAMENTO],$B$4,LANÇ_MOV[MÊS PAGAMENTO CORRESPONDENTE],D$6,LANÇ_MOV[EMPRESA],$C$4,LANÇ_MOV[CENTRO DE CUSTOS],$D$4)</f>
        <v>0</v>
      </c>
      <c r="E723" s="206">
        <f>SUMIFS(LANÇ_MOV[VALOR LÍQUIDO],LANÇ_MOV[RECEITA OU DESPESA],"Despesa",LANÇ_MOV[CONTAS],$C723,LANÇ_MOV[PLANO DE CONTAS],REL_DRE_FINANCEIRO!$B$651,LANÇ_MOV[ANO PAGAMENTO],$B$4,LANÇ_MOV[MÊS PAGAMENTO CORRESPONDENTE],E$6,LANÇ_MOV[EMPRESA],$C$4,LANÇ_MOV[CENTRO DE CUSTOS],$D$4)</f>
        <v>0</v>
      </c>
      <c r="F723" s="206">
        <f>SUMIFS(LANÇ_MOV[VALOR LÍQUIDO],LANÇ_MOV[RECEITA OU DESPESA],"Despesa",LANÇ_MOV[CONTAS],$C723,LANÇ_MOV[PLANO DE CONTAS],REL_DRE_FINANCEIRO!$B$651,LANÇ_MOV[ANO PAGAMENTO],$B$4,LANÇ_MOV[MÊS PAGAMENTO CORRESPONDENTE],F$6,LANÇ_MOV[EMPRESA],$C$4,LANÇ_MOV[CENTRO DE CUSTOS],$D$4)</f>
        <v>0</v>
      </c>
      <c r="G723" s="206">
        <f>SUMIFS(LANÇ_MOV[VALOR LÍQUIDO],LANÇ_MOV[RECEITA OU DESPESA],"Despesa",LANÇ_MOV[CONTAS],$C723,LANÇ_MOV[PLANO DE CONTAS],REL_DRE_FINANCEIRO!$B$651,LANÇ_MOV[ANO PAGAMENTO],$B$4,LANÇ_MOV[MÊS PAGAMENTO CORRESPONDENTE],G$6,LANÇ_MOV[EMPRESA],$C$4,LANÇ_MOV[CENTRO DE CUSTOS],$D$4)</f>
        <v>0</v>
      </c>
      <c r="H723" s="206">
        <f>SUMIFS(LANÇ_MOV[VALOR LÍQUIDO],LANÇ_MOV[RECEITA OU DESPESA],"Despesa",LANÇ_MOV[CONTAS],$C723,LANÇ_MOV[PLANO DE CONTAS],REL_DRE_FINANCEIRO!$B$651,LANÇ_MOV[ANO PAGAMENTO],$B$4,LANÇ_MOV[MÊS PAGAMENTO CORRESPONDENTE],H$6,LANÇ_MOV[EMPRESA],$C$4,LANÇ_MOV[CENTRO DE CUSTOS],$D$4)</f>
        <v>0</v>
      </c>
      <c r="I723" s="206">
        <f>SUMIFS(LANÇ_MOV[VALOR LÍQUIDO],LANÇ_MOV[RECEITA OU DESPESA],"Despesa",LANÇ_MOV[CONTAS],$C723,LANÇ_MOV[PLANO DE CONTAS],REL_DRE_FINANCEIRO!$B$651,LANÇ_MOV[ANO PAGAMENTO],$B$4,LANÇ_MOV[MÊS PAGAMENTO CORRESPONDENTE],I$6,LANÇ_MOV[EMPRESA],$C$4,LANÇ_MOV[CENTRO DE CUSTOS],$D$4)</f>
        <v>0</v>
      </c>
      <c r="J723" s="206">
        <f>SUMIFS(LANÇ_MOV[VALOR LÍQUIDO],LANÇ_MOV[RECEITA OU DESPESA],"Despesa",LANÇ_MOV[CONTAS],$C723,LANÇ_MOV[PLANO DE CONTAS],REL_DRE_FINANCEIRO!$B$651,LANÇ_MOV[ANO PAGAMENTO],$B$4,LANÇ_MOV[MÊS PAGAMENTO CORRESPONDENTE],J$6,LANÇ_MOV[EMPRESA],$C$4,LANÇ_MOV[CENTRO DE CUSTOS],$D$4)</f>
        <v>0</v>
      </c>
      <c r="K723" s="206">
        <f>SUMIFS(LANÇ_MOV[VALOR LÍQUIDO],LANÇ_MOV[RECEITA OU DESPESA],"Despesa",LANÇ_MOV[CONTAS],$C723,LANÇ_MOV[PLANO DE CONTAS],REL_DRE_FINANCEIRO!$B$651,LANÇ_MOV[ANO PAGAMENTO],$B$4,LANÇ_MOV[MÊS PAGAMENTO CORRESPONDENTE],K$6,LANÇ_MOV[EMPRESA],$C$4,LANÇ_MOV[CENTRO DE CUSTOS],$D$4)</f>
        <v>0</v>
      </c>
      <c r="L723" s="206">
        <f>SUMIFS(LANÇ_MOV[VALOR LÍQUIDO],LANÇ_MOV[RECEITA OU DESPESA],"Despesa",LANÇ_MOV[CONTAS],$C723,LANÇ_MOV[PLANO DE CONTAS],REL_DRE_FINANCEIRO!$B$651,LANÇ_MOV[ANO PAGAMENTO],$B$4,LANÇ_MOV[MÊS PAGAMENTO CORRESPONDENTE],L$6,LANÇ_MOV[EMPRESA],$C$4,LANÇ_MOV[CENTRO DE CUSTOS],$D$4)</f>
        <v>0</v>
      </c>
      <c r="M723" s="206">
        <f>SUMIFS(LANÇ_MOV[VALOR LÍQUIDO],LANÇ_MOV[RECEITA OU DESPESA],"Despesa",LANÇ_MOV[CONTAS],$C723,LANÇ_MOV[PLANO DE CONTAS],REL_DRE_FINANCEIRO!$B$651,LANÇ_MOV[ANO PAGAMENTO],$B$4,LANÇ_MOV[MÊS PAGAMENTO CORRESPONDENTE],M$6,LANÇ_MOV[EMPRESA],$C$4,LANÇ_MOV[CENTRO DE CUSTOS],$D$4)</f>
        <v>0</v>
      </c>
      <c r="N723" s="206">
        <f>SUMIFS(LANÇ_MOV[VALOR LÍQUIDO],LANÇ_MOV[RECEITA OU DESPESA],"Despesa",LANÇ_MOV[CONTAS],$C723,LANÇ_MOV[PLANO DE CONTAS],REL_DRE_FINANCEIRO!$B$651,LANÇ_MOV[ANO PAGAMENTO],$B$4,LANÇ_MOV[MÊS PAGAMENTO CORRESPONDENTE],N$6,LANÇ_MOV[EMPRESA],$C$4,LANÇ_MOV[CENTRO DE CUSTOS],$D$4)</f>
        <v>0</v>
      </c>
      <c r="O723" s="206">
        <f>SUMIFS(LANÇ_MOV[VALOR LÍQUIDO],LANÇ_MOV[RECEITA OU DESPESA],"Despesa",LANÇ_MOV[CONTAS],$C723,LANÇ_MOV[PLANO DE CONTAS],REL_DRE_FINANCEIRO!$B$651,LANÇ_MOV[ANO PAGAMENTO],$B$4,LANÇ_MOV[MÊS PAGAMENTO CORRESPONDENTE],O$6,LANÇ_MOV[EMPRESA],$C$4,LANÇ_MOV[CENTRO DE CUSTOS],$D$4)</f>
        <v>0</v>
      </c>
      <c r="P723" s="207">
        <f t="shared" si="94"/>
        <v>0</v>
      </c>
      <c r="Q723" s="329">
        <v>2.9000000000000002E-6</v>
      </c>
      <c r="R723" s="346">
        <f t="shared" si="95"/>
        <v>2.9000000000000002E-6</v>
      </c>
      <c r="S723" s="347" t="str">
        <f t="shared" si="96"/>
        <v>-</v>
      </c>
      <c r="T723" s="347">
        <f t="shared" si="97"/>
        <v>0</v>
      </c>
      <c r="U723" s="347">
        <f>HLOOKUP(Apoio!$P$12,$D$650:$P$751,X723,FALSE)+Q723</f>
        <v>2.9000000000000002E-6</v>
      </c>
      <c r="V723" s="447" t="str">
        <f t="shared" si="98"/>
        <v>-</v>
      </c>
      <c r="W723" s="448">
        <f>HLOOKUP(Apoio!$P$12,$D$650:$P$751,X723,FALSE)</f>
        <v>0</v>
      </c>
      <c r="X723" s="329">
        <v>74</v>
      </c>
    </row>
    <row r="724" spans="2:24" ht="30.05" customHeight="1" x14ac:dyDescent="0.35">
      <c r="B724" s="204" t="str">
        <f>'CAD_PL_REC-DESP'!W77</f>
        <v>2.5.73</v>
      </c>
      <c r="C724" s="205" t="str">
        <f>IF('CAD_PL_REC-DESP'!X77="","-",'CAD_PL_REC-DESP'!X77)</f>
        <v>-</v>
      </c>
      <c r="D724" s="206">
        <f>SUMIFS(LANÇ_MOV[VALOR LÍQUIDO],LANÇ_MOV[RECEITA OU DESPESA],"Despesa",LANÇ_MOV[CONTAS],$C724,LANÇ_MOV[PLANO DE CONTAS],REL_DRE_FINANCEIRO!$B$651,LANÇ_MOV[ANO PAGAMENTO],$B$4,LANÇ_MOV[MÊS PAGAMENTO CORRESPONDENTE],D$6,LANÇ_MOV[EMPRESA],$C$4,LANÇ_MOV[CENTRO DE CUSTOS],$D$4)</f>
        <v>0</v>
      </c>
      <c r="E724" s="206">
        <f>SUMIFS(LANÇ_MOV[VALOR LÍQUIDO],LANÇ_MOV[RECEITA OU DESPESA],"Despesa",LANÇ_MOV[CONTAS],$C724,LANÇ_MOV[PLANO DE CONTAS],REL_DRE_FINANCEIRO!$B$651,LANÇ_MOV[ANO PAGAMENTO],$B$4,LANÇ_MOV[MÊS PAGAMENTO CORRESPONDENTE],E$6,LANÇ_MOV[EMPRESA],$C$4,LANÇ_MOV[CENTRO DE CUSTOS],$D$4)</f>
        <v>0</v>
      </c>
      <c r="F724" s="206">
        <f>SUMIFS(LANÇ_MOV[VALOR LÍQUIDO],LANÇ_MOV[RECEITA OU DESPESA],"Despesa",LANÇ_MOV[CONTAS],$C724,LANÇ_MOV[PLANO DE CONTAS],REL_DRE_FINANCEIRO!$B$651,LANÇ_MOV[ANO PAGAMENTO],$B$4,LANÇ_MOV[MÊS PAGAMENTO CORRESPONDENTE],F$6,LANÇ_MOV[EMPRESA],$C$4,LANÇ_MOV[CENTRO DE CUSTOS],$D$4)</f>
        <v>0</v>
      </c>
      <c r="G724" s="206">
        <f>SUMIFS(LANÇ_MOV[VALOR LÍQUIDO],LANÇ_MOV[RECEITA OU DESPESA],"Despesa",LANÇ_MOV[CONTAS],$C724,LANÇ_MOV[PLANO DE CONTAS],REL_DRE_FINANCEIRO!$B$651,LANÇ_MOV[ANO PAGAMENTO],$B$4,LANÇ_MOV[MÊS PAGAMENTO CORRESPONDENTE],G$6,LANÇ_MOV[EMPRESA],$C$4,LANÇ_MOV[CENTRO DE CUSTOS],$D$4)</f>
        <v>0</v>
      </c>
      <c r="H724" s="206">
        <f>SUMIFS(LANÇ_MOV[VALOR LÍQUIDO],LANÇ_MOV[RECEITA OU DESPESA],"Despesa",LANÇ_MOV[CONTAS],$C724,LANÇ_MOV[PLANO DE CONTAS],REL_DRE_FINANCEIRO!$B$651,LANÇ_MOV[ANO PAGAMENTO],$B$4,LANÇ_MOV[MÊS PAGAMENTO CORRESPONDENTE],H$6,LANÇ_MOV[EMPRESA],$C$4,LANÇ_MOV[CENTRO DE CUSTOS],$D$4)</f>
        <v>0</v>
      </c>
      <c r="I724" s="206">
        <f>SUMIFS(LANÇ_MOV[VALOR LÍQUIDO],LANÇ_MOV[RECEITA OU DESPESA],"Despesa",LANÇ_MOV[CONTAS],$C724,LANÇ_MOV[PLANO DE CONTAS],REL_DRE_FINANCEIRO!$B$651,LANÇ_MOV[ANO PAGAMENTO],$B$4,LANÇ_MOV[MÊS PAGAMENTO CORRESPONDENTE],I$6,LANÇ_MOV[EMPRESA],$C$4,LANÇ_MOV[CENTRO DE CUSTOS],$D$4)</f>
        <v>0</v>
      </c>
      <c r="J724" s="206">
        <f>SUMIFS(LANÇ_MOV[VALOR LÍQUIDO],LANÇ_MOV[RECEITA OU DESPESA],"Despesa",LANÇ_MOV[CONTAS],$C724,LANÇ_MOV[PLANO DE CONTAS],REL_DRE_FINANCEIRO!$B$651,LANÇ_MOV[ANO PAGAMENTO],$B$4,LANÇ_MOV[MÊS PAGAMENTO CORRESPONDENTE],J$6,LANÇ_MOV[EMPRESA],$C$4,LANÇ_MOV[CENTRO DE CUSTOS],$D$4)</f>
        <v>0</v>
      </c>
      <c r="K724" s="206">
        <f>SUMIFS(LANÇ_MOV[VALOR LÍQUIDO],LANÇ_MOV[RECEITA OU DESPESA],"Despesa",LANÇ_MOV[CONTAS],$C724,LANÇ_MOV[PLANO DE CONTAS],REL_DRE_FINANCEIRO!$B$651,LANÇ_MOV[ANO PAGAMENTO],$B$4,LANÇ_MOV[MÊS PAGAMENTO CORRESPONDENTE],K$6,LANÇ_MOV[EMPRESA],$C$4,LANÇ_MOV[CENTRO DE CUSTOS],$D$4)</f>
        <v>0</v>
      </c>
      <c r="L724" s="206">
        <f>SUMIFS(LANÇ_MOV[VALOR LÍQUIDO],LANÇ_MOV[RECEITA OU DESPESA],"Despesa",LANÇ_MOV[CONTAS],$C724,LANÇ_MOV[PLANO DE CONTAS],REL_DRE_FINANCEIRO!$B$651,LANÇ_MOV[ANO PAGAMENTO],$B$4,LANÇ_MOV[MÊS PAGAMENTO CORRESPONDENTE],L$6,LANÇ_MOV[EMPRESA],$C$4,LANÇ_MOV[CENTRO DE CUSTOS],$D$4)</f>
        <v>0</v>
      </c>
      <c r="M724" s="206">
        <f>SUMIFS(LANÇ_MOV[VALOR LÍQUIDO],LANÇ_MOV[RECEITA OU DESPESA],"Despesa",LANÇ_MOV[CONTAS],$C724,LANÇ_MOV[PLANO DE CONTAS],REL_DRE_FINANCEIRO!$B$651,LANÇ_MOV[ANO PAGAMENTO],$B$4,LANÇ_MOV[MÊS PAGAMENTO CORRESPONDENTE],M$6,LANÇ_MOV[EMPRESA],$C$4,LANÇ_MOV[CENTRO DE CUSTOS],$D$4)</f>
        <v>0</v>
      </c>
      <c r="N724" s="206">
        <f>SUMIFS(LANÇ_MOV[VALOR LÍQUIDO],LANÇ_MOV[RECEITA OU DESPESA],"Despesa",LANÇ_MOV[CONTAS],$C724,LANÇ_MOV[PLANO DE CONTAS],REL_DRE_FINANCEIRO!$B$651,LANÇ_MOV[ANO PAGAMENTO],$B$4,LANÇ_MOV[MÊS PAGAMENTO CORRESPONDENTE],N$6,LANÇ_MOV[EMPRESA],$C$4,LANÇ_MOV[CENTRO DE CUSTOS],$D$4)</f>
        <v>0</v>
      </c>
      <c r="O724" s="206">
        <f>SUMIFS(LANÇ_MOV[VALOR LÍQUIDO],LANÇ_MOV[RECEITA OU DESPESA],"Despesa",LANÇ_MOV[CONTAS],$C724,LANÇ_MOV[PLANO DE CONTAS],REL_DRE_FINANCEIRO!$B$651,LANÇ_MOV[ANO PAGAMENTO],$B$4,LANÇ_MOV[MÊS PAGAMENTO CORRESPONDENTE],O$6,LANÇ_MOV[EMPRESA],$C$4,LANÇ_MOV[CENTRO DE CUSTOS],$D$4)</f>
        <v>0</v>
      </c>
      <c r="P724" s="207">
        <f t="shared" si="94"/>
        <v>0</v>
      </c>
      <c r="Q724" s="329">
        <v>2.7999999999999999E-6</v>
      </c>
      <c r="R724" s="346">
        <f t="shared" si="95"/>
        <v>2.7999999999999999E-6</v>
      </c>
      <c r="S724" s="347" t="str">
        <f t="shared" si="96"/>
        <v>-</v>
      </c>
      <c r="T724" s="347">
        <f t="shared" si="97"/>
        <v>0</v>
      </c>
      <c r="U724" s="347">
        <f>HLOOKUP(Apoio!$P$12,$D$650:$P$751,X724,FALSE)+Q724</f>
        <v>2.7999999999999999E-6</v>
      </c>
      <c r="V724" s="447" t="str">
        <f t="shared" si="98"/>
        <v>-</v>
      </c>
      <c r="W724" s="448">
        <f>HLOOKUP(Apoio!$P$12,$D$650:$P$751,X724,FALSE)</f>
        <v>0</v>
      </c>
      <c r="X724" s="329">
        <v>75</v>
      </c>
    </row>
    <row r="725" spans="2:24" ht="30.05" customHeight="1" x14ac:dyDescent="0.35">
      <c r="B725" s="204" t="str">
        <f>'CAD_PL_REC-DESP'!W78</f>
        <v>2.5.74</v>
      </c>
      <c r="C725" s="205" t="str">
        <f>IF('CAD_PL_REC-DESP'!X78="","-",'CAD_PL_REC-DESP'!X78)</f>
        <v>-</v>
      </c>
      <c r="D725" s="206">
        <f>SUMIFS(LANÇ_MOV[VALOR LÍQUIDO],LANÇ_MOV[RECEITA OU DESPESA],"Despesa",LANÇ_MOV[CONTAS],$C725,LANÇ_MOV[PLANO DE CONTAS],REL_DRE_FINANCEIRO!$B$651,LANÇ_MOV[ANO PAGAMENTO],$B$4,LANÇ_MOV[MÊS PAGAMENTO CORRESPONDENTE],D$6,LANÇ_MOV[EMPRESA],$C$4,LANÇ_MOV[CENTRO DE CUSTOS],$D$4)</f>
        <v>0</v>
      </c>
      <c r="E725" s="206">
        <f>SUMIFS(LANÇ_MOV[VALOR LÍQUIDO],LANÇ_MOV[RECEITA OU DESPESA],"Despesa",LANÇ_MOV[CONTAS],$C725,LANÇ_MOV[PLANO DE CONTAS],REL_DRE_FINANCEIRO!$B$651,LANÇ_MOV[ANO PAGAMENTO],$B$4,LANÇ_MOV[MÊS PAGAMENTO CORRESPONDENTE],E$6,LANÇ_MOV[EMPRESA],$C$4,LANÇ_MOV[CENTRO DE CUSTOS],$D$4)</f>
        <v>0</v>
      </c>
      <c r="F725" s="206">
        <f>SUMIFS(LANÇ_MOV[VALOR LÍQUIDO],LANÇ_MOV[RECEITA OU DESPESA],"Despesa",LANÇ_MOV[CONTAS],$C725,LANÇ_MOV[PLANO DE CONTAS],REL_DRE_FINANCEIRO!$B$651,LANÇ_MOV[ANO PAGAMENTO],$B$4,LANÇ_MOV[MÊS PAGAMENTO CORRESPONDENTE],F$6,LANÇ_MOV[EMPRESA],$C$4,LANÇ_MOV[CENTRO DE CUSTOS],$D$4)</f>
        <v>0</v>
      </c>
      <c r="G725" s="206">
        <f>SUMIFS(LANÇ_MOV[VALOR LÍQUIDO],LANÇ_MOV[RECEITA OU DESPESA],"Despesa",LANÇ_MOV[CONTAS],$C725,LANÇ_MOV[PLANO DE CONTAS],REL_DRE_FINANCEIRO!$B$651,LANÇ_MOV[ANO PAGAMENTO],$B$4,LANÇ_MOV[MÊS PAGAMENTO CORRESPONDENTE],G$6,LANÇ_MOV[EMPRESA],$C$4,LANÇ_MOV[CENTRO DE CUSTOS],$D$4)</f>
        <v>0</v>
      </c>
      <c r="H725" s="206">
        <f>SUMIFS(LANÇ_MOV[VALOR LÍQUIDO],LANÇ_MOV[RECEITA OU DESPESA],"Despesa",LANÇ_MOV[CONTAS],$C725,LANÇ_MOV[PLANO DE CONTAS],REL_DRE_FINANCEIRO!$B$651,LANÇ_MOV[ANO PAGAMENTO],$B$4,LANÇ_MOV[MÊS PAGAMENTO CORRESPONDENTE],H$6,LANÇ_MOV[EMPRESA],$C$4,LANÇ_MOV[CENTRO DE CUSTOS],$D$4)</f>
        <v>0</v>
      </c>
      <c r="I725" s="206">
        <f>SUMIFS(LANÇ_MOV[VALOR LÍQUIDO],LANÇ_MOV[RECEITA OU DESPESA],"Despesa",LANÇ_MOV[CONTAS],$C725,LANÇ_MOV[PLANO DE CONTAS],REL_DRE_FINANCEIRO!$B$651,LANÇ_MOV[ANO PAGAMENTO],$B$4,LANÇ_MOV[MÊS PAGAMENTO CORRESPONDENTE],I$6,LANÇ_MOV[EMPRESA],$C$4,LANÇ_MOV[CENTRO DE CUSTOS],$D$4)</f>
        <v>0</v>
      </c>
      <c r="J725" s="206">
        <f>SUMIFS(LANÇ_MOV[VALOR LÍQUIDO],LANÇ_MOV[RECEITA OU DESPESA],"Despesa",LANÇ_MOV[CONTAS],$C725,LANÇ_MOV[PLANO DE CONTAS],REL_DRE_FINANCEIRO!$B$651,LANÇ_MOV[ANO PAGAMENTO],$B$4,LANÇ_MOV[MÊS PAGAMENTO CORRESPONDENTE],J$6,LANÇ_MOV[EMPRESA],$C$4,LANÇ_MOV[CENTRO DE CUSTOS],$D$4)</f>
        <v>0</v>
      </c>
      <c r="K725" s="206">
        <f>SUMIFS(LANÇ_MOV[VALOR LÍQUIDO],LANÇ_MOV[RECEITA OU DESPESA],"Despesa",LANÇ_MOV[CONTAS],$C725,LANÇ_MOV[PLANO DE CONTAS],REL_DRE_FINANCEIRO!$B$651,LANÇ_MOV[ANO PAGAMENTO],$B$4,LANÇ_MOV[MÊS PAGAMENTO CORRESPONDENTE],K$6,LANÇ_MOV[EMPRESA],$C$4,LANÇ_MOV[CENTRO DE CUSTOS],$D$4)</f>
        <v>0</v>
      </c>
      <c r="L725" s="206">
        <f>SUMIFS(LANÇ_MOV[VALOR LÍQUIDO],LANÇ_MOV[RECEITA OU DESPESA],"Despesa",LANÇ_MOV[CONTAS],$C725,LANÇ_MOV[PLANO DE CONTAS],REL_DRE_FINANCEIRO!$B$651,LANÇ_MOV[ANO PAGAMENTO],$B$4,LANÇ_MOV[MÊS PAGAMENTO CORRESPONDENTE],L$6,LANÇ_MOV[EMPRESA],$C$4,LANÇ_MOV[CENTRO DE CUSTOS],$D$4)</f>
        <v>0</v>
      </c>
      <c r="M725" s="206">
        <f>SUMIFS(LANÇ_MOV[VALOR LÍQUIDO],LANÇ_MOV[RECEITA OU DESPESA],"Despesa",LANÇ_MOV[CONTAS],$C725,LANÇ_MOV[PLANO DE CONTAS],REL_DRE_FINANCEIRO!$B$651,LANÇ_MOV[ANO PAGAMENTO],$B$4,LANÇ_MOV[MÊS PAGAMENTO CORRESPONDENTE],M$6,LANÇ_MOV[EMPRESA],$C$4,LANÇ_MOV[CENTRO DE CUSTOS],$D$4)</f>
        <v>0</v>
      </c>
      <c r="N725" s="206">
        <f>SUMIFS(LANÇ_MOV[VALOR LÍQUIDO],LANÇ_MOV[RECEITA OU DESPESA],"Despesa",LANÇ_MOV[CONTAS],$C725,LANÇ_MOV[PLANO DE CONTAS],REL_DRE_FINANCEIRO!$B$651,LANÇ_MOV[ANO PAGAMENTO],$B$4,LANÇ_MOV[MÊS PAGAMENTO CORRESPONDENTE],N$6,LANÇ_MOV[EMPRESA],$C$4,LANÇ_MOV[CENTRO DE CUSTOS],$D$4)</f>
        <v>0</v>
      </c>
      <c r="O725" s="206">
        <f>SUMIFS(LANÇ_MOV[VALOR LÍQUIDO],LANÇ_MOV[RECEITA OU DESPESA],"Despesa",LANÇ_MOV[CONTAS],$C725,LANÇ_MOV[PLANO DE CONTAS],REL_DRE_FINANCEIRO!$B$651,LANÇ_MOV[ANO PAGAMENTO],$B$4,LANÇ_MOV[MÊS PAGAMENTO CORRESPONDENTE],O$6,LANÇ_MOV[EMPRESA],$C$4,LANÇ_MOV[CENTRO DE CUSTOS],$D$4)</f>
        <v>0</v>
      </c>
      <c r="P725" s="207">
        <f t="shared" si="94"/>
        <v>0</v>
      </c>
      <c r="Q725" s="329">
        <v>2.7E-6</v>
      </c>
      <c r="R725" s="346">
        <f t="shared" si="95"/>
        <v>2.7E-6</v>
      </c>
      <c r="S725" s="347" t="str">
        <f t="shared" si="96"/>
        <v>-</v>
      </c>
      <c r="T725" s="347">
        <f t="shared" si="97"/>
        <v>0</v>
      </c>
      <c r="U725" s="347">
        <f>HLOOKUP(Apoio!$P$12,$D$650:$P$751,X725,FALSE)+Q725</f>
        <v>2.7E-6</v>
      </c>
      <c r="V725" s="447" t="str">
        <f t="shared" si="98"/>
        <v>-</v>
      </c>
      <c r="W725" s="448">
        <f>HLOOKUP(Apoio!$P$12,$D$650:$P$751,X725,FALSE)</f>
        <v>0</v>
      </c>
      <c r="X725" s="329">
        <v>76</v>
      </c>
    </row>
    <row r="726" spans="2:24" ht="30.05" customHeight="1" x14ac:dyDescent="0.35">
      <c r="B726" s="204" t="str">
        <f>'CAD_PL_REC-DESP'!W79</f>
        <v>2.5.75</v>
      </c>
      <c r="C726" s="205" t="str">
        <f>IF('CAD_PL_REC-DESP'!X79="","-",'CAD_PL_REC-DESP'!X79)</f>
        <v>-</v>
      </c>
      <c r="D726" s="206">
        <f>SUMIFS(LANÇ_MOV[VALOR LÍQUIDO],LANÇ_MOV[RECEITA OU DESPESA],"Despesa",LANÇ_MOV[CONTAS],$C726,LANÇ_MOV[PLANO DE CONTAS],REL_DRE_FINANCEIRO!$B$651,LANÇ_MOV[ANO PAGAMENTO],$B$4,LANÇ_MOV[MÊS PAGAMENTO CORRESPONDENTE],D$6,LANÇ_MOV[EMPRESA],$C$4,LANÇ_MOV[CENTRO DE CUSTOS],$D$4)</f>
        <v>0</v>
      </c>
      <c r="E726" s="206">
        <f>SUMIFS(LANÇ_MOV[VALOR LÍQUIDO],LANÇ_MOV[RECEITA OU DESPESA],"Despesa",LANÇ_MOV[CONTAS],$C726,LANÇ_MOV[PLANO DE CONTAS],REL_DRE_FINANCEIRO!$B$651,LANÇ_MOV[ANO PAGAMENTO],$B$4,LANÇ_MOV[MÊS PAGAMENTO CORRESPONDENTE],E$6,LANÇ_MOV[EMPRESA],$C$4,LANÇ_MOV[CENTRO DE CUSTOS],$D$4)</f>
        <v>0</v>
      </c>
      <c r="F726" s="206">
        <f>SUMIFS(LANÇ_MOV[VALOR LÍQUIDO],LANÇ_MOV[RECEITA OU DESPESA],"Despesa",LANÇ_MOV[CONTAS],$C726,LANÇ_MOV[PLANO DE CONTAS],REL_DRE_FINANCEIRO!$B$651,LANÇ_MOV[ANO PAGAMENTO],$B$4,LANÇ_MOV[MÊS PAGAMENTO CORRESPONDENTE],F$6,LANÇ_MOV[EMPRESA],$C$4,LANÇ_MOV[CENTRO DE CUSTOS],$D$4)</f>
        <v>0</v>
      </c>
      <c r="G726" s="206">
        <f>SUMIFS(LANÇ_MOV[VALOR LÍQUIDO],LANÇ_MOV[RECEITA OU DESPESA],"Despesa",LANÇ_MOV[CONTAS],$C726,LANÇ_MOV[PLANO DE CONTAS],REL_DRE_FINANCEIRO!$B$651,LANÇ_MOV[ANO PAGAMENTO],$B$4,LANÇ_MOV[MÊS PAGAMENTO CORRESPONDENTE],G$6,LANÇ_MOV[EMPRESA],$C$4,LANÇ_MOV[CENTRO DE CUSTOS],$D$4)</f>
        <v>0</v>
      </c>
      <c r="H726" s="206">
        <f>SUMIFS(LANÇ_MOV[VALOR LÍQUIDO],LANÇ_MOV[RECEITA OU DESPESA],"Despesa",LANÇ_MOV[CONTAS],$C726,LANÇ_MOV[PLANO DE CONTAS],REL_DRE_FINANCEIRO!$B$651,LANÇ_MOV[ANO PAGAMENTO],$B$4,LANÇ_MOV[MÊS PAGAMENTO CORRESPONDENTE],H$6,LANÇ_MOV[EMPRESA],$C$4,LANÇ_MOV[CENTRO DE CUSTOS],$D$4)</f>
        <v>0</v>
      </c>
      <c r="I726" s="206">
        <f>SUMIFS(LANÇ_MOV[VALOR LÍQUIDO],LANÇ_MOV[RECEITA OU DESPESA],"Despesa",LANÇ_MOV[CONTAS],$C726,LANÇ_MOV[PLANO DE CONTAS],REL_DRE_FINANCEIRO!$B$651,LANÇ_MOV[ANO PAGAMENTO],$B$4,LANÇ_MOV[MÊS PAGAMENTO CORRESPONDENTE],I$6,LANÇ_MOV[EMPRESA],$C$4,LANÇ_MOV[CENTRO DE CUSTOS],$D$4)</f>
        <v>0</v>
      </c>
      <c r="J726" s="206">
        <f>SUMIFS(LANÇ_MOV[VALOR LÍQUIDO],LANÇ_MOV[RECEITA OU DESPESA],"Despesa",LANÇ_MOV[CONTAS],$C726,LANÇ_MOV[PLANO DE CONTAS],REL_DRE_FINANCEIRO!$B$651,LANÇ_MOV[ANO PAGAMENTO],$B$4,LANÇ_MOV[MÊS PAGAMENTO CORRESPONDENTE],J$6,LANÇ_MOV[EMPRESA],$C$4,LANÇ_MOV[CENTRO DE CUSTOS],$D$4)</f>
        <v>0</v>
      </c>
      <c r="K726" s="206">
        <f>SUMIFS(LANÇ_MOV[VALOR LÍQUIDO],LANÇ_MOV[RECEITA OU DESPESA],"Despesa",LANÇ_MOV[CONTAS],$C726,LANÇ_MOV[PLANO DE CONTAS],REL_DRE_FINANCEIRO!$B$651,LANÇ_MOV[ANO PAGAMENTO],$B$4,LANÇ_MOV[MÊS PAGAMENTO CORRESPONDENTE],K$6,LANÇ_MOV[EMPRESA],$C$4,LANÇ_MOV[CENTRO DE CUSTOS],$D$4)</f>
        <v>0</v>
      </c>
      <c r="L726" s="206">
        <f>SUMIFS(LANÇ_MOV[VALOR LÍQUIDO],LANÇ_MOV[RECEITA OU DESPESA],"Despesa",LANÇ_MOV[CONTAS],$C726,LANÇ_MOV[PLANO DE CONTAS],REL_DRE_FINANCEIRO!$B$651,LANÇ_MOV[ANO PAGAMENTO],$B$4,LANÇ_MOV[MÊS PAGAMENTO CORRESPONDENTE],L$6,LANÇ_MOV[EMPRESA],$C$4,LANÇ_MOV[CENTRO DE CUSTOS],$D$4)</f>
        <v>0</v>
      </c>
      <c r="M726" s="206">
        <f>SUMIFS(LANÇ_MOV[VALOR LÍQUIDO],LANÇ_MOV[RECEITA OU DESPESA],"Despesa",LANÇ_MOV[CONTAS],$C726,LANÇ_MOV[PLANO DE CONTAS],REL_DRE_FINANCEIRO!$B$651,LANÇ_MOV[ANO PAGAMENTO],$B$4,LANÇ_MOV[MÊS PAGAMENTO CORRESPONDENTE],M$6,LANÇ_MOV[EMPRESA],$C$4,LANÇ_MOV[CENTRO DE CUSTOS],$D$4)</f>
        <v>0</v>
      </c>
      <c r="N726" s="206">
        <f>SUMIFS(LANÇ_MOV[VALOR LÍQUIDO],LANÇ_MOV[RECEITA OU DESPESA],"Despesa",LANÇ_MOV[CONTAS],$C726,LANÇ_MOV[PLANO DE CONTAS],REL_DRE_FINANCEIRO!$B$651,LANÇ_MOV[ANO PAGAMENTO],$B$4,LANÇ_MOV[MÊS PAGAMENTO CORRESPONDENTE],N$6,LANÇ_MOV[EMPRESA],$C$4,LANÇ_MOV[CENTRO DE CUSTOS],$D$4)</f>
        <v>0</v>
      </c>
      <c r="O726" s="206">
        <f>SUMIFS(LANÇ_MOV[VALOR LÍQUIDO],LANÇ_MOV[RECEITA OU DESPESA],"Despesa",LANÇ_MOV[CONTAS],$C726,LANÇ_MOV[PLANO DE CONTAS],REL_DRE_FINANCEIRO!$B$651,LANÇ_MOV[ANO PAGAMENTO],$B$4,LANÇ_MOV[MÊS PAGAMENTO CORRESPONDENTE],O$6,LANÇ_MOV[EMPRESA],$C$4,LANÇ_MOV[CENTRO DE CUSTOS],$D$4)</f>
        <v>0</v>
      </c>
      <c r="P726" s="207">
        <f t="shared" si="94"/>
        <v>0</v>
      </c>
      <c r="Q726" s="329">
        <v>2.6000000000000001E-6</v>
      </c>
      <c r="R726" s="346">
        <f t="shared" si="95"/>
        <v>2.6000000000000001E-6</v>
      </c>
      <c r="S726" s="347" t="str">
        <f t="shared" si="96"/>
        <v>-</v>
      </c>
      <c r="T726" s="347">
        <f t="shared" si="97"/>
        <v>0</v>
      </c>
      <c r="U726" s="347">
        <f>HLOOKUP(Apoio!$P$12,$D$650:$P$751,X726,FALSE)+Q726</f>
        <v>2.6000000000000001E-6</v>
      </c>
      <c r="V726" s="447" t="str">
        <f t="shared" si="98"/>
        <v>-</v>
      </c>
      <c r="W726" s="448">
        <f>HLOOKUP(Apoio!$P$12,$D$650:$P$751,X726,FALSE)</f>
        <v>0</v>
      </c>
      <c r="X726" s="329">
        <v>77</v>
      </c>
    </row>
    <row r="727" spans="2:24" ht="30.05" customHeight="1" x14ac:dyDescent="0.35">
      <c r="B727" s="204" t="str">
        <f>'CAD_PL_REC-DESP'!W80</f>
        <v>2.5.76</v>
      </c>
      <c r="C727" s="205" t="str">
        <f>IF('CAD_PL_REC-DESP'!X80="","-",'CAD_PL_REC-DESP'!X80)</f>
        <v>-</v>
      </c>
      <c r="D727" s="206">
        <f>SUMIFS(LANÇ_MOV[VALOR LÍQUIDO],LANÇ_MOV[RECEITA OU DESPESA],"Despesa",LANÇ_MOV[CONTAS],$C727,LANÇ_MOV[PLANO DE CONTAS],REL_DRE_FINANCEIRO!$B$651,LANÇ_MOV[ANO PAGAMENTO],$B$4,LANÇ_MOV[MÊS PAGAMENTO CORRESPONDENTE],D$6,LANÇ_MOV[EMPRESA],$C$4,LANÇ_MOV[CENTRO DE CUSTOS],$D$4)</f>
        <v>0</v>
      </c>
      <c r="E727" s="206">
        <f>SUMIFS(LANÇ_MOV[VALOR LÍQUIDO],LANÇ_MOV[RECEITA OU DESPESA],"Despesa",LANÇ_MOV[CONTAS],$C727,LANÇ_MOV[PLANO DE CONTAS],REL_DRE_FINANCEIRO!$B$651,LANÇ_MOV[ANO PAGAMENTO],$B$4,LANÇ_MOV[MÊS PAGAMENTO CORRESPONDENTE],E$6,LANÇ_MOV[EMPRESA],$C$4,LANÇ_MOV[CENTRO DE CUSTOS],$D$4)</f>
        <v>0</v>
      </c>
      <c r="F727" s="206">
        <f>SUMIFS(LANÇ_MOV[VALOR LÍQUIDO],LANÇ_MOV[RECEITA OU DESPESA],"Despesa",LANÇ_MOV[CONTAS],$C727,LANÇ_MOV[PLANO DE CONTAS],REL_DRE_FINANCEIRO!$B$651,LANÇ_MOV[ANO PAGAMENTO],$B$4,LANÇ_MOV[MÊS PAGAMENTO CORRESPONDENTE],F$6,LANÇ_MOV[EMPRESA],$C$4,LANÇ_MOV[CENTRO DE CUSTOS],$D$4)</f>
        <v>0</v>
      </c>
      <c r="G727" s="206">
        <f>SUMIFS(LANÇ_MOV[VALOR LÍQUIDO],LANÇ_MOV[RECEITA OU DESPESA],"Despesa",LANÇ_MOV[CONTAS],$C727,LANÇ_MOV[PLANO DE CONTAS],REL_DRE_FINANCEIRO!$B$651,LANÇ_MOV[ANO PAGAMENTO],$B$4,LANÇ_MOV[MÊS PAGAMENTO CORRESPONDENTE],G$6,LANÇ_MOV[EMPRESA],$C$4,LANÇ_MOV[CENTRO DE CUSTOS],$D$4)</f>
        <v>0</v>
      </c>
      <c r="H727" s="206">
        <f>SUMIFS(LANÇ_MOV[VALOR LÍQUIDO],LANÇ_MOV[RECEITA OU DESPESA],"Despesa",LANÇ_MOV[CONTAS],$C727,LANÇ_MOV[PLANO DE CONTAS],REL_DRE_FINANCEIRO!$B$651,LANÇ_MOV[ANO PAGAMENTO],$B$4,LANÇ_MOV[MÊS PAGAMENTO CORRESPONDENTE],H$6,LANÇ_MOV[EMPRESA],$C$4,LANÇ_MOV[CENTRO DE CUSTOS],$D$4)</f>
        <v>0</v>
      </c>
      <c r="I727" s="206">
        <f>SUMIFS(LANÇ_MOV[VALOR LÍQUIDO],LANÇ_MOV[RECEITA OU DESPESA],"Despesa",LANÇ_MOV[CONTAS],$C727,LANÇ_MOV[PLANO DE CONTAS],REL_DRE_FINANCEIRO!$B$651,LANÇ_MOV[ANO PAGAMENTO],$B$4,LANÇ_MOV[MÊS PAGAMENTO CORRESPONDENTE],I$6,LANÇ_MOV[EMPRESA],$C$4,LANÇ_MOV[CENTRO DE CUSTOS],$D$4)</f>
        <v>0</v>
      </c>
      <c r="J727" s="206">
        <f>SUMIFS(LANÇ_MOV[VALOR LÍQUIDO],LANÇ_MOV[RECEITA OU DESPESA],"Despesa",LANÇ_MOV[CONTAS],$C727,LANÇ_MOV[PLANO DE CONTAS],REL_DRE_FINANCEIRO!$B$651,LANÇ_MOV[ANO PAGAMENTO],$B$4,LANÇ_MOV[MÊS PAGAMENTO CORRESPONDENTE],J$6,LANÇ_MOV[EMPRESA],$C$4,LANÇ_MOV[CENTRO DE CUSTOS],$D$4)</f>
        <v>0</v>
      </c>
      <c r="K727" s="206">
        <f>SUMIFS(LANÇ_MOV[VALOR LÍQUIDO],LANÇ_MOV[RECEITA OU DESPESA],"Despesa",LANÇ_MOV[CONTAS],$C727,LANÇ_MOV[PLANO DE CONTAS],REL_DRE_FINANCEIRO!$B$651,LANÇ_MOV[ANO PAGAMENTO],$B$4,LANÇ_MOV[MÊS PAGAMENTO CORRESPONDENTE],K$6,LANÇ_MOV[EMPRESA],$C$4,LANÇ_MOV[CENTRO DE CUSTOS],$D$4)</f>
        <v>0</v>
      </c>
      <c r="L727" s="206">
        <f>SUMIFS(LANÇ_MOV[VALOR LÍQUIDO],LANÇ_MOV[RECEITA OU DESPESA],"Despesa",LANÇ_MOV[CONTAS],$C727,LANÇ_MOV[PLANO DE CONTAS],REL_DRE_FINANCEIRO!$B$651,LANÇ_MOV[ANO PAGAMENTO],$B$4,LANÇ_MOV[MÊS PAGAMENTO CORRESPONDENTE],L$6,LANÇ_MOV[EMPRESA],$C$4,LANÇ_MOV[CENTRO DE CUSTOS],$D$4)</f>
        <v>0</v>
      </c>
      <c r="M727" s="206">
        <f>SUMIFS(LANÇ_MOV[VALOR LÍQUIDO],LANÇ_MOV[RECEITA OU DESPESA],"Despesa",LANÇ_MOV[CONTAS],$C727,LANÇ_MOV[PLANO DE CONTAS],REL_DRE_FINANCEIRO!$B$651,LANÇ_MOV[ANO PAGAMENTO],$B$4,LANÇ_MOV[MÊS PAGAMENTO CORRESPONDENTE],M$6,LANÇ_MOV[EMPRESA],$C$4,LANÇ_MOV[CENTRO DE CUSTOS],$D$4)</f>
        <v>0</v>
      </c>
      <c r="N727" s="206">
        <f>SUMIFS(LANÇ_MOV[VALOR LÍQUIDO],LANÇ_MOV[RECEITA OU DESPESA],"Despesa",LANÇ_MOV[CONTAS],$C727,LANÇ_MOV[PLANO DE CONTAS],REL_DRE_FINANCEIRO!$B$651,LANÇ_MOV[ANO PAGAMENTO],$B$4,LANÇ_MOV[MÊS PAGAMENTO CORRESPONDENTE],N$6,LANÇ_MOV[EMPRESA],$C$4,LANÇ_MOV[CENTRO DE CUSTOS],$D$4)</f>
        <v>0</v>
      </c>
      <c r="O727" s="206">
        <f>SUMIFS(LANÇ_MOV[VALOR LÍQUIDO],LANÇ_MOV[RECEITA OU DESPESA],"Despesa",LANÇ_MOV[CONTAS],$C727,LANÇ_MOV[PLANO DE CONTAS],REL_DRE_FINANCEIRO!$B$651,LANÇ_MOV[ANO PAGAMENTO],$B$4,LANÇ_MOV[MÊS PAGAMENTO CORRESPONDENTE],O$6,LANÇ_MOV[EMPRESA],$C$4,LANÇ_MOV[CENTRO DE CUSTOS],$D$4)</f>
        <v>0</v>
      </c>
      <c r="P727" s="207">
        <f t="shared" si="94"/>
        <v>0</v>
      </c>
      <c r="Q727" s="329">
        <v>2.5000000000000002E-6</v>
      </c>
      <c r="R727" s="346">
        <f t="shared" si="95"/>
        <v>2.5000000000000002E-6</v>
      </c>
      <c r="S727" s="347" t="str">
        <f t="shared" si="96"/>
        <v>-</v>
      </c>
      <c r="T727" s="347">
        <f t="shared" si="97"/>
        <v>0</v>
      </c>
      <c r="U727" s="347">
        <f>HLOOKUP(Apoio!$P$12,$D$650:$P$751,X727,FALSE)+Q727</f>
        <v>2.5000000000000002E-6</v>
      </c>
      <c r="V727" s="447" t="str">
        <f t="shared" si="98"/>
        <v>-</v>
      </c>
      <c r="W727" s="448">
        <f>HLOOKUP(Apoio!$P$12,$D$650:$P$751,X727,FALSE)</f>
        <v>0</v>
      </c>
      <c r="X727" s="329">
        <v>78</v>
      </c>
    </row>
    <row r="728" spans="2:24" ht="30.05" customHeight="1" x14ac:dyDescent="0.35">
      <c r="B728" s="204" t="str">
        <f>'CAD_PL_REC-DESP'!W81</f>
        <v>2.5.77</v>
      </c>
      <c r="C728" s="205" t="str">
        <f>IF('CAD_PL_REC-DESP'!X81="","-",'CAD_PL_REC-DESP'!X81)</f>
        <v>-</v>
      </c>
      <c r="D728" s="206">
        <f>SUMIFS(LANÇ_MOV[VALOR LÍQUIDO],LANÇ_MOV[RECEITA OU DESPESA],"Despesa",LANÇ_MOV[CONTAS],$C728,LANÇ_MOV[PLANO DE CONTAS],REL_DRE_FINANCEIRO!$B$651,LANÇ_MOV[ANO PAGAMENTO],$B$4,LANÇ_MOV[MÊS PAGAMENTO CORRESPONDENTE],D$6,LANÇ_MOV[EMPRESA],$C$4,LANÇ_MOV[CENTRO DE CUSTOS],$D$4)</f>
        <v>0</v>
      </c>
      <c r="E728" s="206">
        <f>SUMIFS(LANÇ_MOV[VALOR LÍQUIDO],LANÇ_MOV[RECEITA OU DESPESA],"Despesa",LANÇ_MOV[CONTAS],$C728,LANÇ_MOV[PLANO DE CONTAS],REL_DRE_FINANCEIRO!$B$651,LANÇ_MOV[ANO PAGAMENTO],$B$4,LANÇ_MOV[MÊS PAGAMENTO CORRESPONDENTE],E$6,LANÇ_MOV[EMPRESA],$C$4,LANÇ_MOV[CENTRO DE CUSTOS],$D$4)</f>
        <v>0</v>
      </c>
      <c r="F728" s="206">
        <f>SUMIFS(LANÇ_MOV[VALOR LÍQUIDO],LANÇ_MOV[RECEITA OU DESPESA],"Despesa",LANÇ_MOV[CONTAS],$C728,LANÇ_MOV[PLANO DE CONTAS],REL_DRE_FINANCEIRO!$B$651,LANÇ_MOV[ANO PAGAMENTO],$B$4,LANÇ_MOV[MÊS PAGAMENTO CORRESPONDENTE],F$6,LANÇ_MOV[EMPRESA],$C$4,LANÇ_MOV[CENTRO DE CUSTOS],$D$4)</f>
        <v>0</v>
      </c>
      <c r="G728" s="206">
        <f>SUMIFS(LANÇ_MOV[VALOR LÍQUIDO],LANÇ_MOV[RECEITA OU DESPESA],"Despesa",LANÇ_MOV[CONTAS],$C728,LANÇ_MOV[PLANO DE CONTAS],REL_DRE_FINANCEIRO!$B$651,LANÇ_MOV[ANO PAGAMENTO],$B$4,LANÇ_MOV[MÊS PAGAMENTO CORRESPONDENTE],G$6,LANÇ_MOV[EMPRESA],$C$4,LANÇ_MOV[CENTRO DE CUSTOS],$D$4)</f>
        <v>0</v>
      </c>
      <c r="H728" s="206">
        <f>SUMIFS(LANÇ_MOV[VALOR LÍQUIDO],LANÇ_MOV[RECEITA OU DESPESA],"Despesa",LANÇ_MOV[CONTAS],$C728,LANÇ_MOV[PLANO DE CONTAS],REL_DRE_FINANCEIRO!$B$651,LANÇ_MOV[ANO PAGAMENTO],$B$4,LANÇ_MOV[MÊS PAGAMENTO CORRESPONDENTE],H$6,LANÇ_MOV[EMPRESA],$C$4,LANÇ_MOV[CENTRO DE CUSTOS],$D$4)</f>
        <v>0</v>
      </c>
      <c r="I728" s="206">
        <f>SUMIFS(LANÇ_MOV[VALOR LÍQUIDO],LANÇ_MOV[RECEITA OU DESPESA],"Despesa",LANÇ_MOV[CONTAS],$C728,LANÇ_MOV[PLANO DE CONTAS],REL_DRE_FINANCEIRO!$B$651,LANÇ_MOV[ANO PAGAMENTO],$B$4,LANÇ_MOV[MÊS PAGAMENTO CORRESPONDENTE],I$6,LANÇ_MOV[EMPRESA],$C$4,LANÇ_MOV[CENTRO DE CUSTOS],$D$4)</f>
        <v>0</v>
      </c>
      <c r="J728" s="206">
        <f>SUMIFS(LANÇ_MOV[VALOR LÍQUIDO],LANÇ_MOV[RECEITA OU DESPESA],"Despesa",LANÇ_MOV[CONTAS],$C728,LANÇ_MOV[PLANO DE CONTAS],REL_DRE_FINANCEIRO!$B$651,LANÇ_MOV[ANO PAGAMENTO],$B$4,LANÇ_MOV[MÊS PAGAMENTO CORRESPONDENTE],J$6,LANÇ_MOV[EMPRESA],$C$4,LANÇ_MOV[CENTRO DE CUSTOS],$D$4)</f>
        <v>0</v>
      </c>
      <c r="K728" s="206">
        <f>SUMIFS(LANÇ_MOV[VALOR LÍQUIDO],LANÇ_MOV[RECEITA OU DESPESA],"Despesa",LANÇ_MOV[CONTAS],$C728,LANÇ_MOV[PLANO DE CONTAS],REL_DRE_FINANCEIRO!$B$651,LANÇ_MOV[ANO PAGAMENTO],$B$4,LANÇ_MOV[MÊS PAGAMENTO CORRESPONDENTE],K$6,LANÇ_MOV[EMPRESA],$C$4,LANÇ_MOV[CENTRO DE CUSTOS],$D$4)</f>
        <v>0</v>
      </c>
      <c r="L728" s="206">
        <f>SUMIFS(LANÇ_MOV[VALOR LÍQUIDO],LANÇ_MOV[RECEITA OU DESPESA],"Despesa",LANÇ_MOV[CONTAS],$C728,LANÇ_MOV[PLANO DE CONTAS],REL_DRE_FINANCEIRO!$B$651,LANÇ_MOV[ANO PAGAMENTO],$B$4,LANÇ_MOV[MÊS PAGAMENTO CORRESPONDENTE],L$6,LANÇ_MOV[EMPRESA],$C$4,LANÇ_MOV[CENTRO DE CUSTOS],$D$4)</f>
        <v>0</v>
      </c>
      <c r="M728" s="206">
        <f>SUMIFS(LANÇ_MOV[VALOR LÍQUIDO],LANÇ_MOV[RECEITA OU DESPESA],"Despesa",LANÇ_MOV[CONTAS],$C728,LANÇ_MOV[PLANO DE CONTAS],REL_DRE_FINANCEIRO!$B$651,LANÇ_MOV[ANO PAGAMENTO],$B$4,LANÇ_MOV[MÊS PAGAMENTO CORRESPONDENTE],M$6,LANÇ_MOV[EMPRESA],$C$4,LANÇ_MOV[CENTRO DE CUSTOS],$D$4)</f>
        <v>0</v>
      </c>
      <c r="N728" s="206">
        <f>SUMIFS(LANÇ_MOV[VALOR LÍQUIDO],LANÇ_MOV[RECEITA OU DESPESA],"Despesa",LANÇ_MOV[CONTAS],$C728,LANÇ_MOV[PLANO DE CONTAS],REL_DRE_FINANCEIRO!$B$651,LANÇ_MOV[ANO PAGAMENTO],$B$4,LANÇ_MOV[MÊS PAGAMENTO CORRESPONDENTE],N$6,LANÇ_MOV[EMPRESA],$C$4,LANÇ_MOV[CENTRO DE CUSTOS],$D$4)</f>
        <v>0</v>
      </c>
      <c r="O728" s="206">
        <f>SUMIFS(LANÇ_MOV[VALOR LÍQUIDO],LANÇ_MOV[RECEITA OU DESPESA],"Despesa",LANÇ_MOV[CONTAS],$C728,LANÇ_MOV[PLANO DE CONTAS],REL_DRE_FINANCEIRO!$B$651,LANÇ_MOV[ANO PAGAMENTO],$B$4,LANÇ_MOV[MÊS PAGAMENTO CORRESPONDENTE],O$6,LANÇ_MOV[EMPRESA],$C$4,LANÇ_MOV[CENTRO DE CUSTOS],$D$4)</f>
        <v>0</v>
      </c>
      <c r="P728" s="207">
        <f t="shared" si="94"/>
        <v>0</v>
      </c>
      <c r="Q728" s="329">
        <v>2.3999999999999999E-6</v>
      </c>
      <c r="R728" s="346">
        <f t="shared" si="95"/>
        <v>2.3999999999999999E-6</v>
      </c>
      <c r="S728" s="347" t="str">
        <f t="shared" si="96"/>
        <v>-</v>
      </c>
      <c r="T728" s="347">
        <f t="shared" si="97"/>
        <v>0</v>
      </c>
      <c r="U728" s="347">
        <f>HLOOKUP(Apoio!$P$12,$D$650:$P$751,X728,FALSE)+Q728</f>
        <v>2.3999999999999999E-6</v>
      </c>
      <c r="V728" s="447" t="str">
        <f t="shared" si="98"/>
        <v>-</v>
      </c>
      <c r="W728" s="448">
        <f>HLOOKUP(Apoio!$P$12,$D$650:$P$751,X728,FALSE)</f>
        <v>0</v>
      </c>
      <c r="X728" s="329">
        <v>79</v>
      </c>
    </row>
    <row r="729" spans="2:24" ht="30.05" customHeight="1" x14ac:dyDescent="0.35">
      <c r="B729" s="204" t="str">
        <f>'CAD_PL_REC-DESP'!W82</f>
        <v>2.5.78</v>
      </c>
      <c r="C729" s="205" t="str">
        <f>IF('CAD_PL_REC-DESP'!X82="","-",'CAD_PL_REC-DESP'!X82)</f>
        <v>-</v>
      </c>
      <c r="D729" s="206">
        <f>SUMIFS(LANÇ_MOV[VALOR LÍQUIDO],LANÇ_MOV[RECEITA OU DESPESA],"Despesa",LANÇ_MOV[CONTAS],$C729,LANÇ_MOV[PLANO DE CONTAS],REL_DRE_FINANCEIRO!$B$651,LANÇ_MOV[ANO PAGAMENTO],$B$4,LANÇ_MOV[MÊS PAGAMENTO CORRESPONDENTE],D$6,LANÇ_MOV[EMPRESA],$C$4,LANÇ_MOV[CENTRO DE CUSTOS],$D$4)</f>
        <v>0</v>
      </c>
      <c r="E729" s="206">
        <f>SUMIFS(LANÇ_MOV[VALOR LÍQUIDO],LANÇ_MOV[RECEITA OU DESPESA],"Despesa",LANÇ_MOV[CONTAS],$C729,LANÇ_MOV[PLANO DE CONTAS],REL_DRE_FINANCEIRO!$B$651,LANÇ_MOV[ANO PAGAMENTO],$B$4,LANÇ_MOV[MÊS PAGAMENTO CORRESPONDENTE],E$6,LANÇ_MOV[EMPRESA],$C$4,LANÇ_MOV[CENTRO DE CUSTOS],$D$4)</f>
        <v>0</v>
      </c>
      <c r="F729" s="206">
        <f>SUMIFS(LANÇ_MOV[VALOR LÍQUIDO],LANÇ_MOV[RECEITA OU DESPESA],"Despesa",LANÇ_MOV[CONTAS],$C729,LANÇ_MOV[PLANO DE CONTAS],REL_DRE_FINANCEIRO!$B$651,LANÇ_MOV[ANO PAGAMENTO],$B$4,LANÇ_MOV[MÊS PAGAMENTO CORRESPONDENTE],F$6,LANÇ_MOV[EMPRESA],$C$4,LANÇ_MOV[CENTRO DE CUSTOS],$D$4)</f>
        <v>0</v>
      </c>
      <c r="G729" s="206">
        <f>SUMIFS(LANÇ_MOV[VALOR LÍQUIDO],LANÇ_MOV[RECEITA OU DESPESA],"Despesa",LANÇ_MOV[CONTAS],$C729,LANÇ_MOV[PLANO DE CONTAS],REL_DRE_FINANCEIRO!$B$651,LANÇ_MOV[ANO PAGAMENTO],$B$4,LANÇ_MOV[MÊS PAGAMENTO CORRESPONDENTE],G$6,LANÇ_MOV[EMPRESA],$C$4,LANÇ_MOV[CENTRO DE CUSTOS],$D$4)</f>
        <v>0</v>
      </c>
      <c r="H729" s="206">
        <f>SUMIFS(LANÇ_MOV[VALOR LÍQUIDO],LANÇ_MOV[RECEITA OU DESPESA],"Despesa",LANÇ_MOV[CONTAS],$C729,LANÇ_MOV[PLANO DE CONTAS],REL_DRE_FINANCEIRO!$B$651,LANÇ_MOV[ANO PAGAMENTO],$B$4,LANÇ_MOV[MÊS PAGAMENTO CORRESPONDENTE],H$6,LANÇ_MOV[EMPRESA],$C$4,LANÇ_MOV[CENTRO DE CUSTOS],$D$4)</f>
        <v>0</v>
      </c>
      <c r="I729" s="206">
        <f>SUMIFS(LANÇ_MOV[VALOR LÍQUIDO],LANÇ_MOV[RECEITA OU DESPESA],"Despesa",LANÇ_MOV[CONTAS],$C729,LANÇ_MOV[PLANO DE CONTAS],REL_DRE_FINANCEIRO!$B$651,LANÇ_MOV[ANO PAGAMENTO],$B$4,LANÇ_MOV[MÊS PAGAMENTO CORRESPONDENTE],I$6,LANÇ_MOV[EMPRESA],$C$4,LANÇ_MOV[CENTRO DE CUSTOS],$D$4)</f>
        <v>0</v>
      </c>
      <c r="J729" s="206">
        <f>SUMIFS(LANÇ_MOV[VALOR LÍQUIDO],LANÇ_MOV[RECEITA OU DESPESA],"Despesa",LANÇ_MOV[CONTAS],$C729,LANÇ_MOV[PLANO DE CONTAS],REL_DRE_FINANCEIRO!$B$651,LANÇ_MOV[ANO PAGAMENTO],$B$4,LANÇ_MOV[MÊS PAGAMENTO CORRESPONDENTE],J$6,LANÇ_MOV[EMPRESA],$C$4,LANÇ_MOV[CENTRO DE CUSTOS],$D$4)</f>
        <v>0</v>
      </c>
      <c r="K729" s="206">
        <f>SUMIFS(LANÇ_MOV[VALOR LÍQUIDO],LANÇ_MOV[RECEITA OU DESPESA],"Despesa",LANÇ_MOV[CONTAS],$C729,LANÇ_MOV[PLANO DE CONTAS],REL_DRE_FINANCEIRO!$B$651,LANÇ_MOV[ANO PAGAMENTO],$B$4,LANÇ_MOV[MÊS PAGAMENTO CORRESPONDENTE],K$6,LANÇ_MOV[EMPRESA],$C$4,LANÇ_MOV[CENTRO DE CUSTOS],$D$4)</f>
        <v>0</v>
      </c>
      <c r="L729" s="206">
        <f>SUMIFS(LANÇ_MOV[VALOR LÍQUIDO],LANÇ_MOV[RECEITA OU DESPESA],"Despesa",LANÇ_MOV[CONTAS],$C729,LANÇ_MOV[PLANO DE CONTAS],REL_DRE_FINANCEIRO!$B$651,LANÇ_MOV[ANO PAGAMENTO],$B$4,LANÇ_MOV[MÊS PAGAMENTO CORRESPONDENTE],L$6,LANÇ_MOV[EMPRESA],$C$4,LANÇ_MOV[CENTRO DE CUSTOS],$D$4)</f>
        <v>0</v>
      </c>
      <c r="M729" s="206">
        <f>SUMIFS(LANÇ_MOV[VALOR LÍQUIDO],LANÇ_MOV[RECEITA OU DESPESA],"Despesa",LANÇ_MOV[CONTAS],$C729,LANÇ_MOV[PLANO DE CONTAS],REL_DRE_FINANCEIRO!$B$651,LANÇ_MOV[ANO PAGAMENTO],$B$4,LANÇ_MOV[MÊS PAGAMENTO CORRESPONDENTE],M$6,LANÇ_MOV[EMPRESA],$C$4,LANÇ_MOV[CENTRO DE CUSTOS],$D$4)</f>
        <v>0</v>
      </c>
      <c r="N729" s="206">
        <f>SUMIFS(LANÇ_MOV[VALOR LÍQUIDO],LANÇ_MOV[RECEITA OU DESPESA],"Despesa",LANÇ_MOV[CONTAS],$C729,LANÇ_MOV[PLANO DE CONTAS],REL_DRE_FINANCEIRO!$B$651,LANÇ_MOV[ANO PAGAMENTO],$B$4,LANÇ_MOV[MÊS PAGAMENTO CORRESPONDENTE],N$6,LANÇ_MOV[EMPRESA],$C$4,LANÇ_MOV[CENTRO DE CUSTOS],$D$4)</f>
        <v>0</v>
      </c>
      <c r="O729" s="206">
        <f>SUMIFS(LANÇ_MOV[VALOR LÍQUIDO],LANÇ_MOV[RECEITA OU DESPESA],"Despesa",LANÇ_MOV[CONTAS],$C729,LANÇ_MOV[PLANO DE CONTAS],REL_DRE_FINANCEIRO!$B$651,LANÇ_MOV[ANO PAGAMENTO],$B$4,LANÇ_MOV[MÊS PAGAMENTO CORRESPONDENTE],O$6,LANÇ_MOV[EMPRESA],$C$4,LANÇ_MOV[CENTRO DE CUSTOS],$D$4)</f>
        <v>0</v>
      </c>
      <c r="P729" s="207">
        <f t="shared" si="94"/>
        <v>0</v>
      </c>
      <c r="Q729" s="329">
        <v>2.3E-6</v>
      </c>
      <c r="R729" s="346">
        <f t="shared" si="95"/>
        <v>2.3E-6</v>
      </c>
      <c r="S729" s="347" t="str">
        <f t="shared" si="96"/>
        <v>-</v>
      </c>
      <c r="T729" s="347">
        <f t="shared" si="97"/>
        <v>0</v>
      </c>
      <c r="U729" s="347">
        <f>HLOOKUP(Apoio!$P$12,$D$650:$P$751,X729,FALSE)+Q729</f>
        <v>2.3E-6</v>
      </c>
      <c r="V729" s="447" t="str">
        <f t="shared" si="98"/>
        <v>-</v>
      </c>
      <c r="W729" s="448">
        <f>HLOOKUP(Apoio!$P$12,$D$650:$P$751,X729,FALSE)</f>
        <v>0</v>
      </c>
      <c r="X729" s="329">
        <v>80</v>
      </c>
    </row>
    <row r="730" spans="2:24" ht="30.05" customHeight="1" x14ac:dyDescent="0.35">
      <c r="B730" s="204" t="str">
        <f>'CAD_PL_REC-DESP'!W83</f>
        <v>2.5.79</v>
      </c>
      <c r="C730" s="205" t="str">
        <f>IF('CAD_PL_REC-DESP'!X83="","-",'CAD_PL_REC-DESP'!X83)</f>
        <v>-</v>
      </c>
      <c r="D730" s="206">
        <f>SUMIFS(LANÇ_MOV[VALOR LÍQUIDO],LANÇ_MOV[RECEITA OU DESPESA],"Despesa",LANÇ_MOV[CONTAS],$C730,LANÇ_MOV[PLANO DE CONTAS],REL_DRE_FINANCEIRO!$B$651,LANÇ_MOV[ANO PAGAMENTO],$B$4,LANÇ_MOV[MÊS PAGAMENTO CORRESPONDENTE],D$6,LANÇ_MOV[EMPRESA],$C$4,LANÇ_MOV[CENTRO DE CUSTOS],$D$4)</f>
        <v>0</v>
      </c>
      <c r="E730" s="206">
        <f>SUMIFS(LANÇ_MOV[VALOR LÍQUIDO],LANÇ_MOV[RECEITA OU DESPESA],"Despesa",LANÇ_MOV[CONTAS],$C730,LANÇ_MOV[PLANO DE CONTAS],REL_DRE_FINANCEIRO!$B$651,LANÇ_MOV[ANO PAGAMENTO],$B$4,LANÇ_MOV[MÊS PAGAMENTO CORRESPONDENTE],E$6,LANÇ_MOV[EMPRESA],$C$4,LANÇ_MOV[CENTRO DE CUSTOS],$D$4)</f>
        <v>0</v>
      </c>
      <c r="F730" s="206">
        <f>SUMIFS(LANÇ_MOV[VALOR LÍQUIDO],LANÇ_MOV[RECEITA OU DESPESA],"Despesa",LANÇ_MOV[CONTAS],$C730,LANÇ_MOV[PLANO DE CONTAS],REL_DRE_FINANCEIRO!$B$651,LANÇ_MOV[ANO PAGAMENTO],$B$4,LANÇ_MOV[MÊS PAGAMENTO CORRESPONDENTE],F$6,LANÇ_MOV[EMPRESA],$C$4,LANÇ_MOV[CENTRO DE CUSTOS],$D$4)</f>
        <v>0</v>
      </c>
      <c r="G730" s="206">
        <f>SUMIFS(LANÇ_MOV[VALOR LÍQUIDO],LANÇ_MOV[RECEITA OU DESPESA],"Despesa",LANÇ_MOV[CONTAS],$C730,LANÇ_MOV[PLANO DE CONTAS],REL_DRE_FINANCEIRO!$B$651,LANÇ_MOV[ANO PAGAMENTO],$B$4,LANÇ_MOV[MÊS PAGAMENTO CORRESPONDENTE],G$6,LANÇ_MOV[EMPRESA],$C$4,LANÇ_MOV[CENTRO DE CUSTOS],$D$4)</f>
        <v>0</v>
      </c>
      <c r="H730" s="206">
        <f>SUMIFS(LANÇ_MOV[VALOR LÍQUIDO],LANÇ_MOV[RECEITA OU DESPESA],"Despesa",LANÇ_MOV[CONTAS],$C730,LANÇ_MOV[PLANO DE CONTAS],REL_DRE_FINANCEIRO!$B$651,LANÇ_MOV[ANO PAGAMENTO],$B$4,LANÇ_MOV[MÊS PAGAMENTO CORRESPONDENTE],H$6,LANÇ_MOV[EMPRESA],$C$4,LANÇ_MOV[CENTRO DE CUSTOS],$D$4)</f>
        <v>0</v>
      </c>
      <c r="I730" s="206">
        <f>SUMIFS(LANÇ_MOV[VALOR LÍQUIDO],LANÇ_MOV[RECEITA OU DESPESA],"Despesa",LANÇ_MOV[CONTAS],$C730,LANÇ_MOV[PLANO DE CONTAS],REL_DRE_FINANCEIRO!$B$651,LANÇ_MOV[ANO PAGAMENTO],$B$4,LANÇ_MOV[MÊS PAGAMENTO CORRESPONDENTE],I$6,LANÇ_MOV[EMPRESA],$C$4,LANÇ_MOV[CENTRO DE CUSTOS],$D$4)</f>
        <v>0</v>
      </c>
      <c r="J730" s="206">
        <f>SUMIFS(LANÇ_MOV[VALOR LÍQUIDO],LANÇ_MOV[RECEITA OU DESPESA],"Despesa",LANÇ_MOV[CONTAS],$C730,LANÇ_MOV[PLANO DE CONTAS],REL_DRE_FINANCEIRO!$B$651,LANÇ_MOV[ANO PAGAMENTO],$B$4,LANÇ_MOV[MÊS PAGAMENTO CORRESPONDENTE],J$6,LANÇ_MOV[EMPRESA],$C$4,LANÇ_MOV[CENTRO DE CUSTOS],$D$4)</f>
        <v>0</v>
      </c>
      <c r="K730" s="206">
        <f>SUMIFS(LANÇ_MOV[VALOR LÍQUIDO],LANÇ_MOV[RECEITA OU DESPESA],"Despesa",LANÇ_MOV[CONTAS],$C730,LANÇ_MOV[PLANO DE CONTAS],REL_DRE_FINANCEIRO!$B$651,LANÇ_MOV[ANO PAGAMENTO],$B$4,LANÇ_MOV[MÊS PAGAMENTO CORRESPONDENTE],K$6,LANÇ_MOV[EMPRESA],$C$4,LANÇ_MOV[CENTRO DE CUSTOS],$D$4)</f>
        <v>0</v>
      </c>
      <c r="L730" s="206">
        <f>SUMIFS(LANÇ_MOV[VALOR LÍQUIDO],LANÇ_MOV[RECEITA OU DESPESA],"Despesa",LANÇ_MOV[CONTAS],$C730,LANÇ_MOV[PLANO DE CONTAS],REL_DRE_FINANCEIRO!$B$651,LANÇ_MOV[ANO PAGAMENTO],$B$4,LANÇ_MOV[MÊS PAGAMENTO CORRESPONDENTE],L$6,LANÇ_MOV[EMPRESA],$C$4,LANÇ_MOV[CENTRO DE CUSTOS],$D$4)</f>
        <v>0</v>
      </c>
      <c r="M730" s="206">
        <f>SUMIFS(LANÇ_MOV[VALOR LÍQUIDO],LANÇ_MOV[RECEITA OU DESPESA],"Despesa",LANÇ_MOV[CONTAS],$C730,LANÇ_MOV[PLANO DE CONTAS],REL_DRE_FINANCEIRO!$B$651,LANÇ_MOV[ANO PAGAMENTO],$B$4,LANÇ_MOV[MÊS PAGAMENTO CORRESPONDENTE],M$6,LANÇ_MOV[EMPRESA],$C$4,LANÇ_MOV[CENTRO DE CUSTOS],$D$4)</f>
        <v>0</v>
      </c>
      <c r="N730" s="206">
        <f>SUMIFS(LANÇ_MOV[VALOR LÍQUIDO],LANÇ_MOV[RECEITA OU DESPESA],"Despesa",LANÇ_MOV[CONTAS],$C730,LANÇ_MOV[PLANO DE CONTAS],REL_DRE_FINANCEIRO!$B$651,LANÇ_MOV[ANO PAGAMENTO],$B$4,LANÇ_MOV[MÊS PAGAMENTO CORRESPONDENTE],N$6,LANÇ_MOV[EMPRESA],$C$4,LANÇ_MOV[CENTRO DE CUSTOS],$D$4)</f>
        <v>0</v>
      </c>
      <c r="O730" s="206">
        <f>SUMIFS(LANÇ_MOV[VALOR LÍQUIDO],LANÇ_MOV[RECEITA OU DESPESA],"Despesa",LANÇ_MOV[CONTAS],$C730,LANÇ_MOV[PLANO DE CONTAS],REL_DRE_FINANCEIRO!$B$651,LANÇ_MOV[ANO PAGAMENTO],$B$4,LANÇ_MOV[MÊS PAGAMENTO CORRESPONDENTE],O$6,LANÇ_MOV[EMPRESA],$C$4,LANÇ_MOV[CENTRO DE CUSTOS],$D$4)</f>
        <v>0</v>
      </c>
      <c r="P730" s="207">
        <f t="shared" si="94"/>
        <v>0</v>
      </c>
      <c r="Q730" s="329">
        <v>2.2000000000000001E-6</v>
      </c>
      <c r="R730" s="346">
        <f t="shared" si="95"/>
        <v>2.2000000000000001E-6</v>
      </c>
      <c r="S730" s="347" t="str">
        <f t="shared" si="96"/>
        <v>-</v>
      </c>
      <c r="T730" s="347">
        <f t="shared" si="97"/>
        <v>0</v>
      </c>
      <c r="U730" s="347">
        <f>HLOOKUP(Apoio!$P$12,$D$650:$P$751,X730,FALSE)+Q730</f>
        <v>2.2000000000000001E-6</v>
      </c>
      <c r="V730" s="447" t="str">
        <f t="shared" si="98"/>
        <v>-</v>
      </c>
      <c r="W730" s="448">
        <f>HLOOKUP(Apoio!$P$12,$D$650:$P$751,X730,FALSE)</f>
        <v>0</v>
      </c>
      <c r="X730" s="329">
        <v>81</v>
      </c>
    </row>
    <row r="731" spans="2:24" ht="30.05" customHeight="1" x14ac:dyDescent="0.35">
      <c r="B731" s="204" t="str">
        <f>'CAD_PL_REC-DESP'!W84</f>
        <v>2.5.80</v>
      </c>
      <c r="C731" s="205" t="str">
        <f>IF('CAD_PL_REC-DESP'!X84="","-",'CAD_PL_REC-DESP'!X84)</f>
        <v>-</v>
      </c>
      <c r="D731" s="206">
        <f>SUMIFS(LANÇ_MOV[VALOR LÍQUIDO],LANÇ_MOV[RECEITA OU DESPESA],"Despesa",LANÇ_MOV[CONTAS],$C731,LANÇ_MOV[PLANO DE CONTAS],REL_DRE_FINANCEIRO!$B$651,LANÇ_MOV[ANO PAGAMENTO],$B$4,LANÇ_MOV[MÊS PAGAMENTO CORRESPONDENTE],D$6,LANÇ_MOV[EMPRESA],$C$4,LANÇ_MOV[CENTRO DE CUSTOS],$D$4)</f>
        <v>0</v>
      </c>
      <c r="E731" s="206">
        <f>SUMIFS(LANÇ_MOV[VALOR LÍQUIDO],LANÇ_MOV[RECEITA OU DESPESA],"Despesa",LANÇ_MOV[CONTAS],$C731,LANÇ_MOV[PLANO DE CONTAS],REL_DRE_FINANCEIRO!$B$651,LANÇ_MOV[ANO PAGAMENTO],$B$4,LANÇ_MOV[MÊS PAGAMENTO CORRESPONDENTE],E$6,LANÇ_MOV[EMPRESA],$C$4,LANÇ_MOV[CENTRO DE CUSTOS],$D$4)</f>
        <v>0</v>
      </c>
      <c r="F731" s="206">
        <f>SUMIFS(LANÇ_MOV[VALOR LÍQUIDO],LANÇ_MOV[RECEITA OU DESPESA],"Despesa",LANÇ_MOV[CONTAS],$C731,LANÇ_MOV[PLANO DE CONTAS],REL_DRE_FINANCEIRO!$B$651,LANÇ_MOV[ANO PAGAMENTO],$B$4,LANÇ_MOV[MÊS PAGAMENTO CORRESPONDENTE],F$6,LANÇ_MOV[EMPRESA],$C$4,LANÇ_MOV[CENTRO DE CUSTOS],$D$4)</f>
        <v>0</v>
      </c>
      <c r="G731" s="206">
        <f>SUMIFS(LANÇ_MOV[VALOR LÍQUIDO],LANÇ_MOV[RECEITA OU DESPESA],"Despesa",LANÇ_MOV[CONTAS],$C731,LANÇ_MOV[PLANO DE CONTAS],REL_DRE_FINANCEIRO!$B$651,LANÇ_MOV[ANO PAGAMENTO],$B$4,LANÇ_MOV[MÊS PAGAMENTO CORRESPONDENTE],G$6,LANÇ_MOV[EMPRESA],$C$4,LANÇ_MOV[CENTRO DE CUSTOS],$D$4)</f>
        <v>0</v>
      </c>
      <c r="H731" s="206">
        <f>SUMIFS(LANÇ_MOV[VALOR LÍQUIDO],LANÇ_MOV[RECEITA OU DESPESA],"Despesa",LANÇ_MOV[CONTAS],$C731,LANÇ_MOV[PLANO DE CONTAS],REL_DRE_FINANCEIRO!$B$651,LANÇ_MOV[ANO PAGAMENTO],$B$4,LANÇ_MOV[MÊS PAGAMENTO CORRESPONDENTE],H$6,LANÇ_MOV[EMPRESA],$C$4,LANÇ_MOV[CENTRO DE CUSTOS],$D$4)</f>
        <v>0</v>
      </c>
      <c r="I731" s="206">
        <f>SUMIFS(LANÇ_MOV[VALOR LÍQUIDO],LANÇ_MOV[RECEITA OU DESPESA],"Despesa",LANÇ_MOV[CONTAS],$C731,LANÇ_MOV[PLANO DE CONTAS],REL_DRE_FINANCEIRO!$B$651,LANÇ_MOV[ANO PAGAMENTO],$B$4,LANÇ_MOV[MÊS PAGAMENTO CORRESPONDENTE],I$6,LANÇ_MOV[EMPRESA],$C$4,LANÇ_MOV[CENTRO DE CUSTOS],$D$4)</f>
        <v>0</v>
      </c>
      <c r="J731" s="206">
        <f>SUMIFS(LANÇ_MOV[VALOR LÍQUIDO],LANÇ_MOV[RECEITA OU DESPESA],"Despesa",LANÇ_MOV[CONTAS],$C731,LANÇ_MOV[PLANO DE CONTAS],REL_DRE_FINANCEIRO!$B$651,LANÇ_MOV[ANO PAGAMENTO],$B$4,LANÇ_MOV[MÊS PAGAMENTO CORRESPONDENTE],J$6,LANÇ_MOV[EMPRESA],$C$4,LANÇ_MOV[CENTRO DE CUSTOS],$D$4)</f>
        <v>0</v>
      </c>
      <c r="K731" s="206">
        <f>SUMIFS(LANÇ_MOV[VALOR LÍQUIDO],LANÇ_MOV[RECEITA OU DESPESA],"Despesa",LANÇ_MOV[CONTAS],$C731,LANÇ_MOV[PLANO DE CONTAS],REL_DRE_FINANCEIRO!$B$651,LANÇ_MOV[ANO PAGAMENTO],$B$4,LANÇ_MOV[MÊS PAGAMENTO CORRESPONDENTE],K$6,LANÇ_MOV[EMPRESA],$C$4,LANÇ_MOV[CENTRO DE CUSTOS],$D$4)</f>
        <v>0</v>
      </c>
      <c r="L731" s="206">
        <f>SUMIFS(LANÇ_MOV[VALOR LÍQUIDO],LANÇ_MOV[RECEITA OU DESPESA],"Despesa",LANÇ_MOV[CONTAS],$C731,LANÇ_MOV[PLANO DE CONTAS],REL_DRE_FINANCEIRO!$B$651,LANÇ_MOV[ANO PAGAMENTO],$B$4,LANÇ_MOV[MÊS PAGAMENTO CORRESPONDENTE],L$6,LANÇ_MOV[EMPRESA],$C$4,LANÇ_MOV[CENTRO DE CUSTOS],$D$4)</f>
        <v>0</v>
      </c>
      <c r="M731" s="206">
        <f>SUMIFS(LANÇ_MOV[VALOR LÍQUIDO],LANÇ_MOV[RECEITA OU DESPESA],"Despesa",LANÇ_MOV[CONTAS],$C731,LANÇ_MOV[PLANO DE CONTAS],REL_DRE_FINANCEIRO!$B$651,LANÇ_MOV[ANO PAGAMENTO],$B$4,LANÇ_MOV[MÊS PAGAMENTO CORRESPONDENTE],M$6,LANÇ_MOV[EMPRESA],$C$4,LANÇ_MOV[CENTRO DE CUSTOS],$D$4)</f>
        <v>0</v>
      </c>
      <c r="N731" s="206">
        <f>SUMIFS(LANÇ_MOV[VALOR LÍQUIDO],LANÇ_MOV[RECEITA OU DESPESA],"Despesa",LANÇ_MOV[CONTAS],$C731,LANÇ_MOV[PLANO DE CONTAS],REL_DRE_FINANCEIRO!$B$651,LANÇ_MOV[ANO PAGAMENTO],$B$4,LANÇ_MOV[MÊS PAGAMENTO CORRESPONDENTE],N$6,LANÇ_MOV[EMPRESA],$C$4,LANÇ_MOV[CENTRO DE CUSTOS],$D$4)</f>
        <v>0</v>
      </c>
      <c r="O731" s="206">
        <f>SUMIFS(LANÇ_MOV[VALOR LÍQUIDO],LANÇ_MOV[RECEITA OU DESPESA],"Despesa",LANÇ_MOV[CONTAS],$C731,LANÇ_MOV[PLANO DE CONTAS],REL_DRE_FINANCEIRO!$B$651,LANÇ_MOV[ANO PAGAMENTO],$B$4,LANÇ_MOV[MÊS PAGAMENTO CORRESPONDENTE],O$6,LANÇ_MOV[EMPRESA],$C$4,LANÇ_MOV[CENTRO DE CUSTOS],$D$4)</f>
        <v>0</v>
      </c>
      <c r="P731" s="207">
        <f t="shared" si="94"/>
        <v>0</v>
      </c>
      <c r="Q731" s="329">
        <v>2.0999999999999998E-6</v>
      </c>
      <c r="R731" s="346">
        <f t="shared" si="95"/>
        <v>2.0999999999999998E-6</v>
      </c>
      <c r="S731" s="347" t="str">
        <f t="shared" si="96"/>
        <v>-</v>
      </c>
      <c r="T731" s="347">
        <f t="shared" si="97"/>
        <v>0</v>
      </c>
      <c r="U731" s="347">
        <f>HLOOKUP(Apoio!$P$12,$D$650:$P$751,X731,FALSE)+Q731</f>
        <v>2.0999999999999998E-6</v>
      </c>
      <c r="V731" s="447" t="str">
        <f t="shared" si="98"/>
        <v>-</v>
      </c>
      <c r="W731" s="448">
        <f>HLOOKUP(Apoio!$P$12,$D$650:$P$751,X731,FALSE)</f>
        <v>0</v>
      </c>
      <c r="X731" s="329">
        <v>82</v>
      </c>
    </row>
    <row r="732" spans="2:24" ht="30.05" customHeight="1" x14ac:dyDescent="0.35">
      <c r="B732" s="204" t="str">
        <f>'CAD_PL_REC-DESP'!W85</f>
        <v>2.5.81</v>
      </c>
      <c r="C732" s="205" t="str">
        <f>IF('CAD_PL_REC-DESP'!X85="","-",'CAD_PL_REC-DESP'!X85)</f>
        <v>-</v>
      </c>
      <c r="D732" s="206">
        <f>SUMIFS(LANÇ_MOV[VALOR LÍQUIDO],LANÇ_MOV[RECEITA OU DESPESA],"Despesa",LANÇ_MOV[CONTAS],$C732,LANÇ_MOV[PLANO DE CONTAS],REL_DRE_FINANCEIRO!$B$651,LANÇ_MOV[ANO PAGAMENTO],$B$4,LANÇ_MOV[MÊS PAGAMENTO CORRESPONDENTE],D$6,LANÇ_MOV[EMPRESA],$C$4,LANÇ_MOV[CENTRO DE CUSTOS],$D$4)</f>
        <v>0</v>
      </c>
      <c r="E732" s="206">
        <f>SUMIFS(LANÇ_MOV[VALOR LÍQUIDO],LANÇ_MOV[RECEITA OU DESPESA],"Despesa",LANÇ_MOV[CONTAS],$C732,LANÇ_MOV[PLANO DE CONTAS],REL_DRE_FINANCEIRO!$B$651,LANÇ_MOV[ANO PAGAMENTO],$B$4,LANÇ_MOV[MÊS PAGAMENTO CORRESPONDENTE],E$6,LANÇ_MOV[EMPRESA],$C$4,LANÇ_MOV[CENTRO DE CUSTOS],$D$4)</f>
        <v>0</v>
      </c>
      <c r="F732" s="206">
        <f>SUMIFS(LANÇ_MOV[VALOR LÍQUIDO],LANÇ_MOV[RECEITA OU DESPESA],"Despesa",LANÇ_MOV[CONTAS],$C732,LANÇ_MOV[PLANO DE CONTAS],REL_DRE_FINANCEIRO!$B$651,LANÇ_MOV[ANO PAGAMENTO],$B$4,LANÇ_MOV[MÊS PAGAMENTO CORRESPONDENTE],F$6,LANÇ_MOV[EMPRESA],$C$4,LANÇ_MOV[CENTRO DE CUSTOS],$D$4)</f>
        <v>0</v>
      </c>
      <c r="G732" s="206">
        <f>SUMIFS(LANÇ_MOV[VALOR LÍQUIDO],LANÇ_MOV[RECEITA OU DESPESA],"Despesa",LANÇ_MOV[CONTAS],$C732,LANÇ_MOV[PLANO DE CONTAS],REL_DRE_FINANCEIRO!$B$651,LANÇ_MOV[ANO PAGAMENTO],$B$4,LANÇ_MOV[MÊS PAGAMENTO CORRESPONDENTE],G$6,LANÇ_MOV[EMPRESA],$C$4,LANÇ_MOV[CENTRO DE CUSTOS],$D$4)</f>
        <v>0</v>
      </c>
      <c r="H732" s="206">
        <f>SUMIFS(LANÇ_MOV[VALOR LÍQUIDO],LANÇ_MOV[RECEITA OU DESPESA],"Despesa",LANÇ_MOV[CONTAS],$C732,LANÇ_MOV[PLANO DE CONTAS],REL_DRE_FINANCEIRO!$B$651,LANÇ_MOV[ANO PAGAMENTO],$B$4,LANÇ_MOV[MÊS PAGAMENTO CORRESPONDENTE],H$6,LANÇ_MOV[EMPRESA],$C$4,LANÇ_MOV[CENTRO DE CUSTOS],$D$4)</f>
        <v>0</v>
      </c>
      <c r="I732" s="206">
        <f>SUMIFS(LANÇ_MOV[VALOR LÍQUIDO],LANÇ_MOV[RECEITA OU DESPESA],"Despesa",LANÇ_MOV[CONTAS],$C732,LANÇ_MOV[PLANO DE CONTAS],REL_DRE_FINANCEIRO!$B$651,LANÇ_MOV[ANO PAGAMENTO],$B$4,LANÇ_MOV[MÊS PAGAMENTO CORRESPONDENTE],I$6,LANÇ_MOV[EMPRESA],$C$4,LANÇ_MOV[CENTRO DE CUSTOS],$D$4)</f>
        <v>0</v>
      </c>
      <c r="J732" s="206">
        <f>SUMIFS(LANÇ_MOV[VALOR LÍQUIDO],LANÇ_MOV[RECEITA OU DESPESA],"Despesa",LANÇ_MOV[CONTAS],$C732,LANÇ_MOV[PLANO DE CONTAS],REL_DRE_FINANCEIRO!$B$651,LANÇ_MOV[ANO PAGAMENTO],$B$4,LANÇ_MOV[MÊS PAGAMENTO CORRESPONDENTE],J$6,LANÇ_MOV[EMPRESA],$C$4,LANÇ_MOV[CENTRO DE CUSTOS],$D$4)</f>
        <v>0</v>
      </c>
      <c r="K732" s="206">
        <f>SUMIFS(LANÇ_MOV[VALOR LÍQUIDO],LANÇ_MOV[RECEITA OU DESPESA],"Despesa",LANÇ_MOV[CONTAS],$C732,LANÇ_MOV[PLANO DE CONTAS],REL_DRE_FINANCEIRO!$B$651,LANÇ_MOV[ANO PAGAMENTO],$B$4,LANÇ_MOV[MÊS PAGAMENTO CORRESPONDENTE],K$6,LANÇ_MOV[EMPRESA],$C$4,LANÇ_MOV[CENTRO DE CUSTOS],$D$4)</f>
        <v>0</v>
      </c>
      <c r="L732" s="206">
        <f>SUMIFS(LANÇ_MOV[VALOR LÍQUIDO],LANÇ_MOV[RECEITA OU DESPESA],"Despesa",LANÇ_MOV[CONTAS],$C732,LANÇ_MOV[PLANO DE CONTAS],REL_DRE_FINANCEIRO!$B$651,LANÇ_MOV[ANO PAGAMENTO],$B$4,LANÇ_MOV[MÊS PAGAMENTO CORRESPONDENTE],L$6,LANÇ_MOV[EMPRESA],$C$4,LANÇ_MOV[CENTRO DE CUSTOS],$D$4)</f>
        <v>0</v>
      </c>
      <c r="M732" s="206">
        <f>SUMIFS(LANÇ_MOV[VALOR LÍQUIDO],LANÇ_MOV[RECEITA OU DESPESA],"Despesa",LANÇ_MOV[CONTAS],$C732,LANÇ_MOV[PLANO DE CONTAS],REL_DRE_FINANCEIRO!$B$651,LANÇ_MOV[ANO PAGAMENTO],$B$4,LANÇ_MOV[MÊS PAGAMENTO CORRESPONDENTE],M$6,LANÇ_MOV[EMPRESA],$C$4,LANÇ_MOV[CENTRO DE CUSTOS],$D$4)</f>
        <v>0</v>
      </c>
      <c r="N732" s="206">
        <f>SUMIFS(LANÇ_MOV[VALOR LÍQUIDO],LANÇ_MOV[RECEITA OU DESPESA],"Despesa",LANÇ_MOV[CONTAS],$C732,LANÇ_MOV[PLANO DE CONTAS],REL_DRE_FINANCEIRO!$B$651,LANÇ_MOV[ANO PAGAMENTO],$B$4,LANÇ_MOV[MÊS PAGAMENTO CORRESPONDENTE],N$6,LANÇ_MOV[EMPRESA],$C$4,LANÇ_MOV[CENTRO DE CUSTOS],$D$4)</f>
        <v>0</v>
      </c>
      <c r="O732" s="206">
        <f>SUMIFS(LANÇ_MOV[VALOR LÍQUIDO],LANÇ_MOV[RECEITA OU DESPESA],"Despesa",LANÇ_MOV[CONTAS],$C732,LANÇ_MOV[PLANO DE CONTAS],REL_DRE_FINANCEIRO!$B$651,LANÇ_MOV[ANO PAGAMENTO],$B$4,LANÇ_MOV[MÊS PAGAMENTO CORRESPONDENTE],O$6,LANÇ_MOV[EMPRESA],$C$4,LANÇ_MOV[CENTRO DE CUSTOS],$D$4)</f>
        <v>0</v>
      </c>
      <c r="P732" s="207">
        <f t="shared" si="94"/>
        <v>0</v>
      </c>
      <c r="Q732" s="329">
        <v>1.9999999999999999E-6</v>
      </c>
      <c r="R732" s="346">
        <f t="shared" si="95"/>
        <v>1.9999999999999999E-6</v>
      </c>
      <c r="S732" s="347" t="str">
        <f t="shared" si="96"/>
        <v>-</v>
      </c>
      <c r="T732" s="347">
        <f t="shared" si="97"/>
        <v>0</v>
      </c>
      <c r="U732" s="347">
        <f>HLOOKUP(Apoio!$P$12,$D$650:$P$751,X732,FALSE)+Q732</f>
        <v>1.9999999999999999E-6</v>
      </c>
      <c r="V732" s="447" t="str">
        <f t="shared" si="98"/>
        <v>-</v>
      </c>
      <c r="W732" s="448">
        <f>HLOOKUP(Apoio!$P$12,$D$650:$P$751,X732,FALSE)</f>
        <v>0</v>
      </c>
      <c r="X732" s="329">
        <v>83</v>
      </c>
    </row>
    <row r="733" spans="2:24" ht="30.05" customHeight="1" x14ac:dyDescent="0.35">
      <c r="B733" s="204" t="str">
        <f>'CAD_PL_REC-DESP'!W86</f>
        <v>2.5.82</v>
      </c>
      <c r="C733" s="205" t="str">
        <f>IF('CAD_PL_REC-DESP'!X86="","-",'CAD_PL_REC-DESP'!X86)</f>
        <v>-</v>
      </c>
      <c r="D733" s="206">
        <f>SUMIFS(LANÇ_MOV[VALOR LÍQUIDO],LANÇ_MOV[RECEITA OU DESPESA],"Despesa",LANÇ_MOV[CONTAS],$C733,LANÇ_MOV[PLANO DE CONTAS],REL_DRE_FINANCEIRO!$B$651,LANÇ_MOV[ANO PAGAMENTO],$B$4,LANÇ_MOV[MÊS PAGAMENTO CORRESPONDENTE],D$6,LANÇ_MOV[EMPRESA],$C$4,LANÇ_MOV[CENTRO DE CUSTOS],$D$4)</f>
        <v>0</v>
      </c>
      <c r="E733" s="206">
        <f>SUMIFS(LANÇ_MOV[VALOR LÍQUIDO],LANÇ_MOV[RECEITA OU DESPESA],"Despesa",LANÇ_MOV[CONTAS],$C733,LANÇ_MOV[PLANO DE CONTAS],REL_DRE_FINANCEIRO!$B$651,LANÇ_MOV[ANO PAGAMENTO],$B$4,LANÇ_MOV[MÊS PAGAMENTO CORRESPONDENTE],E$6,LANÇ_MOV[EMPRESA],$C$4,LANÇ_MOV[CENTRO DE CUSTOS],$D$4)</f>
        <v>0</v>
      </c>
      <c r="F733" s="206">
        <f>SUMIFS(LANÇ_MOV[VALOR LÍQUIDO],LANÇ_MOV[RECEITA OU DESPESA],"Despesa",LANÇ_MOV[CONTAS],$C733,LANÇ_MOV[PLANO DE CONTAS],REL_DRE_FINANCEIRO!$B$651,LANÇ_MOV[ANO PAGAMENTO],$B$4,LANÇ_MOV[MÊS PAGAMENTO CORRESPONDENTE],F$6,LANÇ_MOV[EMPRESA],$C$4,LANÇ_MOV[CENTRO DE CUSTOS],$D$4)</f>
        <v>0</v>
      </c>
      <c r="G733" s="206">
        <f>SUMIFS(LANÇ_MOV[VALOR LÍQUIDO],LANÇ_MOV[RECEITA OU DESPESA],"Despesa",LANÇ_MOV[CONTAS],$C733,LANÇ_MOV[PLANO DE CONTAS],REL_DRE_FINANCEIRO!$B$651,LANÇ_MOV[ANO PAGAMENTO],$B$4,LANÇ_MOV[MÊS PAGAMENTO CORRESPONDENTE],G$6,LANÇ_MOV[EMPRESA],$C$4,LANÇ_MOV[CENTRO DE CUSTOS],$D$4)</f>
        <v>0</v>
      </c>
      <c r="H733" s="206">
        <f>SUMIFS(LANÇ_MOV[VALOR LÍQUIDO],LANÇ_MOV[RECEITA OU DESPESA],"Despesa",LANÇ_MOV[CONTAS],$C733,LANÇ_MOV[PLANO DE CONTAS],REL_DRE_FINANCEIRO!$B$651,LANÇ_MOV[ANO PAGAMENTO],$B$4,LANÇ_MOV[MÊS PAGAMENTO CORRESPONDENTE],H$6,LANÇ_MOV[EMPRESA],$C$4,LANÇ_MOV[CENTRO DE CUSTOS],$D$4)</f>
        <v>0</v>
      </c>
      <c r="I733" s="206">
        <f>SUMIFS(LANÇ_MOV[VALOR LÍQUIDO],LANÇ_MOV[RECEITA OU DESPESA],"Despesa",LANÇ_MOV[CONTAS],$C733,LANÇ_MOV[PLANO DE CONTAS],REL_DRE_FINANCEIRO!$B$651,LANÇ_MOV[ANO PAGAMENTO],$B$4,LANÇ_MOV[MÊS PAGAMENTO CORRESPONDENTE],I$6,LANÇ_MOV[EMPRESA],$C$4,LANÇ_MOV[CENTRO DE CUSTOS],$D$4)</f>
        <v>0</v>
      </c>
      <c r="J733" s="206">
        <f>SUMIFS(LANÇ_MOV[VALOR LÍQUIDO],LANÇ_MOV[RECEITA OU DESPESA],"Despesa",LANÇ_MOV[CONTAS],$C733,LANÇ_MOV[PLANO DE CONTAS],REL_DRE_FINANCEIRO!$B$651,LANÇ_MOV[ANO PAGAMENTO],$B$4,LANÇ_MOV[MÊS PAGAMENTO CORRESPONDENTE],J$6,LANÇ_MOV[EMPRESA],$C$4,LANÇ_MOV[CENTRO DE CUSTOS],$D$4)</f>
        <v>0</v>
      </c>
      <c r="K733" s="206">
        <f>SUMIFS(LANÇ_MOV[VALOR LÍQUIDO],LANÇ_MOV[RECEITA OU DESPESA],"Despesa",LANÇ_MOV[CONTAS],$C733,LANÇ_MOV[PLANO DE CONTAS],REL_DRE_FINANCEIRO!$B$651,LANÇ_MOV[ANO PAGAMENTO],$B$4,LANÇ_MOV[MÊS PAGAMENTO CORRESPONDENTE],K$6,LANÇ_MOV[EMPRESA],$C$4,LANÇ_MOV[CENTRO DE CUSTOS],$D$4)</f>
        <v>0</v>
      </c>
      <c r="L733" s="206">
        <f>SUMIFS(LANÇ_MOV[VALOR LÍQUIDO],LANÇ_MOV[RECEITA OU DESPESA],"Despesa",LANÇ_MOV[CONTAS],$C733,LANÇ_MOV[PLANO DE CONTAS],REL_DRE_FINANCEIRO!$B$651,LANÇ_MOV[ANO PAGAMENTO],$B$4,LANÇ_MOV[MÊS PAGAMENTO CORRESPONDENTE],L$6,LANÇ_MOV[EMPRESA],$C$4,LANÇ_MOV[CENTRO DE CUSTOS],$D$4)</f>
        <v>0</v>
      </c>
      <c r="M733" s="206">
        <f>SUMIFS(LANÇ_MOV[VALOR LÍQUIDO],LANÇ_MOV[RECEITA OU DESPESA],"Despesa",LANÇ_MOV[CONTAS],$C733,LANÇ_MOV[PLANO DE CONTAS],REL_DRE_FINANCEIRO!$B$651,LANÇ_MOV[ANO PAGAMENTO],$B$4,LANÇ_MOV[MÊS PAGAMENTO CORRESPONDENTE],M$6,LANÇ_MOV[EMPRESA],$C$4,LANÇ_MOV[CENTRO DE CUSTOS],$D$4)</f>
        <v>0</v>
      </c>
      <c r="N733" s="206">
        <f>SUMIFS(LANÇ_MOV[VALOR LÍQUIDO],LANÇ_MOV[RECEITA OU DESPESA],"Despesa",LANÇ_MOV[CONTAS],$C733,LANÇ_MOV[PLANO DE CONTAS],REL_DRE_FINANCEIRO!$B$651,LANÇ_MOV[ANO PAGAMENTO],$B$4,LANÇ_MOV[MÊS PAGAMENTO CORRESPONDENTE],N$6,LANÇ_MOV[EMPRESA],$C$4,LANÇ_MOV[CENTRO DE CUSTOS],$D$4)</f>
        <v>0</v>
      </c>
      <c r="O733" s="206">
        <f>SUMIFS(LANÇ_MOV[VALOR LÍQUIDO],LANÇ_MOV[RECEITA OU DESPESA],"Despesa",LANÇ_MOV[CONTAS],$C733,LANÇ_MOV[PLANO DE CONTAS],REL_DRE_FINANCEIRO!$B$651,LANÇ_MOV[ANO PAGAMENTO],$B$4,LANÇ_MOV[MÊS PAGAMENTO CORRESPONDENTE],O$6,LANÇ_MOV[EMPRESA],$C$4,LANÇ_MOV[CENTRO DE CUSTOS],$D$4)</f>
        <v>0</v>
      </c>
      <c r="P733" s="207">
        <f t="shared" si="94"/>
        <v>0</v>
      </c>
      <c r="Q733" s="329">
        <v>1.9E-6</v>
      </c>
      <c r="R733" s="346">
        <f t="shared" si="95"/>
        <v>1.9E-6</v>
      </c>
      <c r="S733" s="347" t="str">
        <f t="shared" si="96"/>
        <v>-</v>
      </c>
      <c r="T733" s="347">
        <f t="shared" si="97"/>
        <v>0</v>
      </c>
      <c r="U733" s="347">
        <f>HLOOKUP(Apoio!$P$12,$D$650:$P$751,X733,FALSE)+Q733</f>
        <v>1.9E-6</v>
      </c>
      <c r="V733" s="447" t="str">
        <f t="shared" si="98"/>
        <v>-</v>
      </c>
      <c r="W733" s="448">
        <f>HLOOKUP(Apoio!$P$12,$D$650:$P$751,X733,FALSE)</f>
        <v>0</v>
      </c>
      <c r="X733" s="329">
        <v>84</v>
      </c>
    </row>
    <row r="734" spans="2:24" ht="30.05" customHeight="1" x14ac:dyDescent="0.35">
      <c r="B734" s="204" t="str">
        <f>'CAD_PL_REC-DESP'!W87</f>
        <v>2.5.83</v>
      </c>
      <c r="C734" s="205" t="str">
        <f>IF('CAD_PL_REC-DESP'!X87="","-",'CAD_PL_REC-DESP'!X87)</f>
        <v>-</v>
      </c>
      <c r="D734" s="206">
        <f>SUMIFS(LANÇ_MOV[VALOR LÍQUIDO],LANÇ_MOV[RECEITA OU DESPESA],"Despesa",LANÇ_MOV[CONTAS],$C734,LANÇ_MOV[PLANO DE CONTAS],REL_DRE_FINANCEIRO!$B$651,LANÇ_MOV[ANO PAGAMENTO],$B$4,LANÇ_MOV[MÊS PAGAMENTO CORRESPONDENTE],D$6,LANÇ_MOV[EMPRESA],$C$4,LANÇ_MOV[CENTRO DE CUSTOS],$D$4)</f>
        <v>0</v>
      </c>
      <c r="E734" s="206">
        <f>SUMIFS(LANÇ_MOV[VALOR LÍQUIDO],LANÇ_MOV[RECEITA OU DESPESA],"Despesa",LANÇ_MOV[CONTAS],$C734,LANÇ_MOV[PLANO DE CONTAS],REL_DRE_FINANCEIRO!$B$651,LANÇ_MOV[ANO PAGAMENTO],$B$4,LANÇ_MOV[MÊS PAGAMENTO CORRESPONDENTE],E$6,LANÇ_MOV[EMPRESA],$C$4,LANÇ_MOV[CENTRO DE CUSTOS],$D$4)</f>
        <v>0</v>
      </c>
      <c r="F734" s="206">
        <f>SUMIFS(LANÇ_MOV[VALOR LÍQUIDO],LANÇ_MOV[RECEITA OU DESPESA],"Despesa",LANÇ_MOV[CONTAS],$C734,LANÇ_MOV[PLANO DE CONTAS],REL_DRE_FINANCEIRO!$B$651,LANÇ_MOV[ANO PAGAMENTO],$B$4,LANÇ_MOV[MÊS PAGAMENTO CORRESPONDENTE],F$6,LANÇ_MOV[EMPRESA],$C$4,LANÇ_MOV[CENTRO DE CUSTOS],$D$4)</f>
        <v>0</v>
      </c>
      <c r="G734" s="206">
        <f>SUMIFS(LANÇ_MOV[VALOR LÍQUIDO],LANÇ_MOV[RECEITA OU DESPESA],"Despesa",LANÇ_MOV[CONTAS],$C734,LANÇ_MOV[PLANO DE CONTAS],REL_DRE_FINANCEIRO!$B$651,LANÇ_MOV[ANO PAGAMENTO],$B$4,LANÇ_MOV[MÊS PAGAMENTO CORRESPONDENTE],G$6,LANÇ_MOV[EMPRESA],$C$4,LANÇ_MOV[CENTRO DE CUSTOS],$D$4)</f>
        <v>0</v>
      </c>
      <c r="H734" s="206">
        <f>SUMIFS(LANÇ_MOV[VALOR LÍQUIDO],LANÇ_MOV[RECEITA OU DESPESA],"Despesa",LANÇ_MOV[CONTAS],$C734,LANÇ_MOV[PLANO DE CONTAS],REL_DRE_FINANCEIRO!$B$651,LANÇ_MOV[ANO PAGAMENTO],$B$4,LANÇ_MOV[MÊS PAGAMENTO CORRESPONDENTE],H$6,LANÇ_MOV[EMPRESA],$C$4,LANÇ_MOV[CENTRO DE CUSTOS],$D$4)</f>
        <v>0</v>
      </c>
      <c r="I734" s="206">
        <f>SUMIFS(LANÇ_MOV[VALOR LÍQUIDO],LANÇ_MOV[RECEITA OU DESPESA],"Despesa",LANÇ_MOV[CONTAS],$C734,LANÇ_MOV[PLANO DE CONTAS],REL_DRE_FINANCEIRO!$B$651,LANÇ_MOV[ANO PAGAMENTO],$B$4,LANÇ_MOV[MÊS PAGAMENTO CORRESPONDENTE],I$6,LANÇ_MOV[EMPRESA],$C$4,LANÇ_MOV[CENTRO DE CUSTOS],$D$4)</f>
        <v>0</v>
      </c>
      <c r="J734" s="206">
        <f>SUMIFS(LANÇ_MOV[VALOR LÍQUIDO],LANÇ_MOV[RECEITA OU DESPESA],"Despesa",LANÇ_MOV[CONTAS],$C734,LANÇ_MOV[PLANO DE CONTAS],REL_DRE_FINANCEIRO!$B$651,LANÇ_MOV[ANO PAGAMENTO],$B$4,LANÇ_MOV[MÊS PAGAMENTO CORRESPONDENTE],J$6,LANÇ_MOV[EMPRESA],$C$4,LANÇ_MOV[CENTRO DE CUSTOS],$D$4)</f>
        <v>0</v>
      </c>
      <c r="K734" s="206">
        <f>SUMIFS(LANÇ_MOV[VALOR LÍQUIDO],LANÇ_MOV[RECEITA OU DESPESA],"Despesa",LANÇ_MOV[CONTAS],$C734,LANÇ_MOV[PLANO DE CONTAS],REL_DRE_FINANCEIRO!$B$651,LANÇ_MOV[ANO PAGAMENTO],$B$4,LANÇ_MOV[MÊS PAGAMENTO CORRESPONDENTE],K$6,LANÇ_MOV[EMPRESA],$C$4,LANÇ_MOV[CENTRO DE CUSTOS],$D$4)</f>
        <v>0</v>
      </c>
      <c r="L734" s="206">
        <f>SUMIFS(LANÇ_MOV[VALOR LÍQUIDO],LANÇ_MOV[RECEITA OU DESPESA],"Despesa",LANÇ_MOV[CONTAS],$C734,LANÇ_MOV[PLANO DE CONTAS],REL_DRE_FINANCEIRO!$B$651,LANÇ_MOV[ANO PAGAMENTO],$B$4,LANÇ_MOV[MÊS PAGAMENTO CORRESPONDENTE],L$6,LANÇ_MOV[EMPRESA],$C$4,LANÇ_MOV[CENTRO DE CUSTOS],$D$4)</f>
        <v>0</v>
      </c>
      <c r="M734" s="206">
        <f>SUMIFS(LANÇ_MOV[VALOR LÍQUIDO],LANÇ_MOV[RECEITA OU DESPESA],"Despesa",LANÇ_MOV[CONTAS],$C734,LANÇ_MOV[PLANO DE CONTAS],REL_DRE_FINANCEIRO!$B$651,LANÇ_MOV[ANO PAGAMENTO],$B$4,LANÇ_MOV[MÊS PAGAMENTO CORRESPONDENTE],M$6,LANÇ_MOV[EMPRESA],$C$4,LANÇ_MOV[CENTRO DE CUSTOS],$D$4)</f>
        <v>0</v>
      </c>
      <c r="N734" s="206">
        <f>SUMIFS(LANÇ_MOV[VALOR LÍQUIDO],LANÇ_MOV[RECEITA OU DESPESA],"Despesa",LANÇ_MOV[CONTAS],$C734,LANÇ_MOV[PLANO DE CONTAS],REL_DRE_FINANCEIRO!$B$651,LANÇ_MOV[ANO PAGAMENTO],$B$4,LANÇ_MOV[MÊS PAGAMENTO CORRESPONDENTE],N$6,LANÇ_MOV[EMPRESA],$C$4,LANÇ_MOV[CENTRO DE CUSTOS],$D$4)</f>
        <v>0</v>
      </c>
      <c r="O734" s="206">
        <f>SUMIFS(LANÇ_MOV[VALOR LÍQUIDO],LANÇ_MOV[RECEITA OU DESPESA],"Despesa",LANÇ_MOV[CONTAS],$C734,LANÇ_MOV[PLANO DE CONTAS],REL_DRE_FINANCEIRO!$B$651,LANÇ_MOV[ANO PAGAMENTO],$B$4,LANÇ_MOV[MÊS PAGAMENTO CORRESPONDENTE],O$6,LANÇ_MOV[EMPRESA],$C$4,LANÇ_MOV[CENTRO DE CUSTOS],$D$4)</f>
        <v>0</v>
      </c>
      <c r="P734" s="207">
        <f t="shared" si="94"/>
        <v>0</v>
      </c>
      <c r="Q734" s="329">
        <v>1.7999999999999999E-6</v>
      </c>
      <c r="R734" s="346">
        <f t="shared" si="95"/>
        <v>1.7999999999999999E-6</v>
      </c>
      <c r="S734" s="347" t="str">
        <f t="shared" si="96"/>
        <v>-</v>
      </c>
      <c r="T734" s="347">
        <f t="shared" si="97"/>
        <v>0</v>
      </c>
      <c r="U734" s="347">
        <f>HLOOKUP(Apoio!$P$12,$D$650:$P$751,X734,FALSE)+Q734</f>
        <v>1.7999999999999999E-6</v>
      </c>
      <c r="V734" s="447" t="str">
        <f t="shared" si="98"/>
        <v>-</v>
      </c>
      <c r="W734" s="448">
        <f>HLOOKUP(Apoio!$P$12,$D$650:$P$751,X734,FALSE)</f>
        <v>0</v>
      </c>
      <c r="X734" s="329">
        <v>85</v>
      </c>
    </row>
    <row r="735" spans="2:24" ht="30.05" customHeight="1" x14ac:dyDescent="0.35">
      <c r="B735" s="204" t="str">
        <f>'CAD_PL_REC-DESP'!W88</f>
        <v>2.5.84</v>
      </c>
      <c r="C735" s="205" t="str">
        <f>IF('CAD_PL_REC-DESP'!X88="","-",'CAD_PL_REC-DESP'!X88)</f>
        <v>-</v>
      </c>
      <c r="D735" s="206">
        <f>SUMIFS(LANÇ_MOV[VALOR LÍQUIDO],LANÇ_MOV[RECEITA OU DESPESA],"Despesa",LANÇ_MOV[CONTAS],$C735,LANÇ_MOV[PLANO DE CONTAS],REL_DRE_FINANCEIRO!$B$651,LANÇ_MOV[ANO PAGAMENTO],$B$4,LANÇ_MOV[MÊS PAGAMENTO CORRESPONDENTE],D$6,LANÇ_MOV[EMPRESA],$C$4,LANÇ_MOV[CENTRO DE CUSTOS],$D$4)</f>
        <v>0</v>
      </c>
      <c r="E735" s="206">
        <f>SUMIFS(LANÇ_MOV[VALOR LÍQUIDO],LANÇ_MOV[RECEITA OU DESPESA],"Despesa",LANÇ_MOV[CONTAS],$C735,LANÇ_MOV[PLANO DE CONTAS],REL_DRE_FINANCEIRO!$B$651,LANÇ_MOV[ANO PAGAMENTO],$B$4,LANÇ_MOV[MÊS PAGAMENTO CORRESPONDENTE],E$6,LANÇ_MOV[EMPRESA],$C$4,LANÇ_MOV[CENTRO DE CUSTOS],$D$4)</f>
        <v>0</v>
      </c>
      <c r="F735" s="206">
        <f>SUMIFS(LANÇ_MOV[VALOR LÍQUIDO],LANÇ_MOV[RECEITA OU DESPESA],"Despesa",LANÇ_MOV[CONTAS],$C735,LANÇ_MOV[PLANO DE CONTAS],REL_DRE_FINANCEIRO!$B$651,LANÇ_MOV[ANO PAGAMENTO],$B$4,LANÇ_MOV[MÊS PAGAMENTO CORRESPONDENTE],F$6,LANÇ_MOV[EMPRESA],$C$4,LANÇ_MOV[CENTRO DE CUSTOS],$D$4)</f>
        <v>0</v>
      </c>
      <c r="G735" s="206">
        <f>SUMIFS(LANÇ_MOV[VALOR LÍQUIDO],LANÇ_MOV[RECEITA OU DESPESA],"Despesa",LANÇ_MOV[CONTAS],$C735,LANÇ_MOV[PLANO DE CONTAS],REL_DRE_FINANCEIRO!$B$651,LANÇ_MOV[ANO PAGAMENTO],$B$4,LANÇ_MOV[MÊS PAGAMENTO CORRESPONDENTE],G$6,LANÇ_MOV[EMPRESA],$C$4,LANÇ_MOV[CENTRO DE CUSTOS],$D$4)</f>
        <v>0</v>
      </c>
      <c r="H735" s="206">
        <f>SUMIFS(LANÇ_MOV[VALOR LÍQUIDO],LANÇ_MOV[RECEITA OU DESPESA],"Despesa",LANÇ_MOV[CONTAS],$C735,LANÇ_MOV[PLANO DE CONTAS],REL_DRE_FINANCEIRO!$B$651,LANÇ_MOV[ANO PAGAMENTO],$B$4,LANÇ_MOV[MÊS PAGAMENTO CORRESPONDENTE],H$6,LANÇ_MOV[EMPRESA],$C$4,LANÇ_MOV[CENTRO DE CUSTOS],$D$4)</f>
        <v>0</v>
      </c>
      <c r="I735" s="206">
        <f>SUMIFS(LANÇ_MOV[VALOR LÍQUIDO],LANÇ_MOV[RECEITA OU DESPESA],"Despesa",LANÇ_MOV[CONTAS],$C735,LANÇ_MOV[PLANO DE CONTAS],REL_DRE_FINANCEIRO!$B$651,LANÇ_MOV[ANO PAGAMENTO],$B$4,LANÇ_MOV[MÊS PAGAMENTO CORRESPONDENTE],I$6,LANÇ_MOV[EMPRESA],$C$4,LANÇ_MOV[CENTRO DE CUSTOS],$D$4)</f>
        <v>0</v>
      </c>
      <c r="J735" s="206">
        <f>SUMIFS(LANÇ_MOV[VALOR LÍQUIDO],LANÇ_MOV[RECEITA OU DESPESA],"Despesa",LANÇ_MOV[CONTAS],$C735,LANÇ_MOV[PLANO DE CONTAS],REL_DRE_FINANCEIRO!$B$651,LANÇ_MOV[ANO PAGAMENTO],$B$4,LANÇ_MOV[MÊS PAGAMENTO CORRESPONDENTE],J$6,LANÇ_MOV[EMPRESA],$C$4,LANÇ_MOV[CENTRO DE CUSTOS],$D$4)</f>
        <v>0</v>
      </c>
      <c r="K735" s="206">
        <f>SUMIFS(LANÇ_MOV[VALOR LÍQUIDO],LANÇ_MOV[RECEITA OU DESPESA],"Despesa",LANÇ_MOV[CONTAS],$C735,LANÇ_MOV[PLANO DE CONTAS],REL_DRE_FINANCEIRO!$B$651,LANÇ_MOV[ANO PAGAMENTO],$B$4,LANÇ_MOV[MÊS PAGAMENTO CORRESPONDENTE],K$6,LANÇ_MOV[EMPRESA],$C$4,LANÇ_MOV[CENTRO DE CUSTOS],$D$4)</f>
        <v>0</v>
      </c>
      <c r="L735" s="206">
        <f>SUMIFS(LANÇ_MOV[VALOR LÍQUIDO],LANÇ_MOV[RECEITA OU DESPESA],"Despesa",LANÇ_MOV[CONTAS],$C735,LANÇ_MOV[PLANO DE CONTAS],REL_DRE_FINANCEIRO!$B$651,LANÇ_MOV[ANO PAGAMENTO],$B$4,LANÇ_MOV[MÊS PAGAMENTO CORRESPONDENTE],L$6,LANÇ_MOV[EMPRESA],$C$4,LANÇ_MOV[CENTRO DE CUSTOS],$D$4)</f>
        <v>0</v>
      </c>
      <c r="M735" s="206">
        <f>SUMIFS(LANÇ_MOV[VALOR LÍQUIDO],LANÇ_MOV[RECEITA OU DESPESA],"Despesa",LANÇ_MOV[CONTAS],$C735,LANÇ_MOV[PLANO DE CONTAS],REL_DRE_FINANCEIRO!$B$651,LANÇ_MOV[ANO PAGAMENTO],$B$4,LANÇ_MOV[MÊS PAGAMENTO CORRESPONDENTE],M$6,LANÇ_MOV[EMPRESA],$C$4,LANÇ_MOV[CENTRO DE CUSTOS],$D$4)</f>
        <v>0</v>
      </c>
      <c r="N735" s="206">
        <f>SUMIFS(LANÇ_MOV[VALOR LÍQUIDO],LANÇ_MOV[RECEITA OU DESPESA],"Despesa",LANÇ_MOV[CONTAS],$C735,LANÇ_MOV[PLANO DE CONTAS],REL_DRE_FINANCEIRO!$B$651,LANÇ_MOV[ANO PAGAMENTO],$B$4,LANÇ_MOV[MÊS PAGAMENTO CORRESPONDENTE],N$6,LANÇ_MOV[EMPRESA],$C$4,LANÇ_MOV[CENTRO DE CUSTOS],$D$4)</f>
        <v>0</v>
      </c>
      <c r="O735" s="206">
        <f>SUMIFS(LANÇ_MOV[VALOR LÍQUIDO],LANÇ_MOV[RECEITA OU DESPESA],"Despesa",LANÇ_MOV[CONTAS],$C735,LANÇ_MOV[PLANO DE CONTAS],REL_DRE_FINANCEIRO!$B$651,LANÇ_MOV[ANO PAGAMENTO],$B$4,LANÇ_MOV[MÊS PAGAMENTO CORRESPONDENTE],O$6,LANÇ_MOV[EMPRESA],$C$4,LANÇ_MOV[CENTRO DE CUSTOS],$D$4)</f>
        <v>0</v>
      </c>
      <c r="P735" s="207">
        <f t="shared" si="94"/>
        <v>0</v>
      </c>
      <c r="Q735" s="329">
        <v>1.7E-6</v>
      </c>
      <c r="R735" s="346">
        <f t="shared" si="95"/>
        <v>1.7E-6</v>
      </c>
      <c r="S735" s="347" t="str">
        <f t="shared" si="96"/>
        <v>-</v>
      </c>
      <c r="T735" s="347">
        <f t="shared" si="97"/>
        <v>0</v>
      </c>
      <c r="U735" s="347">
        <f>HLOOKUP(Apoio!$P$12,$D$650:$P$751,X735,FALSE)+Q735</f>
        <v>1.7E-6</v>
      </c>
      <c r="V735" s="447" t="str">
        <f t="shared" si="98"/>
        <v>-</v>
      </c>
      <c r="W735" s="448">
        <f>HLOOKUP(Apoio!$P$12,$D$650:$P$751,X735,FALSE)</f>
        <v>0</v>
      </c>
      <c r="X735" s="329">
        <v>86</v>
      </c>
    </row>
    <row r="736" spans="2:24" ht="30.05" customHeight="1" x14ac:dyDescent="0.35">
      <c r="B736" s="204" t="str">
        <f>'CAD_PL_REC-DESP'!W89</f>
        <v>2.5.85</v>
      </c>
      <c r="C736" s="205" t="str">
        <f>IF('CAD_PL_REC-DESP'!X89="","-",'CAD_PL_REC-DESP'!X89)</f>
        <v>-</v>
      </c>
      <c r="D736" s="206">
        <f>SUMIFS(LANÇ_MOV[VALOR LÍQUIDO],LANÇ_MOV[RECEITA OU DESPESA],"Despesa",LANÇ_MOV[CONTAS],$C736,LANÇ_MOV[PLANO DE CONTAS],REL_DRE_FINANCEIRO!$B$651,LANÇ_MOV[ANO PAGAMENTO],$B$4,LANÇ_MOV[MÊS PAGAMENTO CORRESPONDENTE],D$6,LANÇ_MOV[EMPRESA],$C$4,LANÇ_MOV[CENTRO DE CUSTOS],$D$4)</f>
        <v>0</v>
      </c>
      <c r="E736" s="206">
        <f>SUMIFS(LANÇ_MOV[VALOR LÍQUIDO],LANÇ_MOV[RECEITA OU DESPESA],"Despesa",LANÇ_MOV[CONTAS],$C736,LANÇ_MOV[PLANO DE CONTAS],REL_DRE_FINANCEIRO!$B$651,LANÇ_MOV[ANO PAGAMENTO],$B$4,LANÇ_MOV[MÊS PAGAMENTO CORRESPONDENTE],E$6,LANÇ_MOV[EMPRESA],$C$4,LANÇ_MOV[CENTRO DE CUSTOS],$D$4)</f>
        <v>0</v>
      </c>
      <c r="F736" s="206">
        <f>SUMIFS(LANÇ_MOV[VALOR LÍQUIDO],LANÇ_MOV[RECEITA OU DESPESA],"Despesa",LANÇ_MOV[CONTAS],$C736,LANÇ_MOV[PLANO DE CONTAS],REL_DRE_FINANCEIRO!$B$651,LANÇ_MOV[ANO PAGAMENTO],$B$4,LANÇ_MOV[MÊS PAGAMENTO CORRESPONDENTE],F$6,LANÇ_MOV[EMPRESA],$C$4,LANÇ_MOV[CENTRO DE CUSTOS],$D$4)</f>
        <v>0</v>
      </c>
      <c r="G736" s="206">
        <f>SUMIFS(LANÇ_MOV[VALOR LÍQUIDO],LANÇ_MOV[RECEITA OU DESPESA],"Despesa",LANÇ_MOV[CONTAS],$C736,LANÇ_MOV[PLANO DE CONTAS],REL_DRE_FINANCEIRO!$B$651,LANÇ_MOV[ANO PAGAMENTO],$B$4,LANÇ_MOV[MÊS PAGAMENTO CORRESPONDENTE],G$6,LANÇ_MOV[EMPRESA],$C$4,LANÇ_MOV[CENTRO DE CUSTOS],$D$4)</f>
        <v>0</v>
      </c>
      <c r="H736" s="206">
        <f>SUMIFS(LANÇ_MOV[VALOR LÍQUIDO],LANÇ_MOV[RECEITA OU DESPESA],"Despesa",LANÇ_MOV[CONTAS],$C736,LANÇ_MOV[PLANO DE CONTAS],REL_DRE_FINANCEIRO!$B$651,LANÇ_MOV[ANO PAGAMENTO],$B$4,LANÇ_MOV[MÊS PAGAMENTO CORRESPONDENTE],H$6,LANÇ_MOV[EMPRESA],$C$4,LANÇ_MOV[CENTRO DE CUSTOS],$D$4)</f>
        <v>0</v>
      </c>
      <c r="I736" s="206">
        <f>SUMIFS(LANÇ_MOV[VALOR LÍQUIDO],LANÇ_MOV[RECEITA OU DESPESA],"Despesa",LANÇ_MOV[CONTAS],$C736,LANÇ_MOV[PLANO DE CONTAS],REL_DRE_FINANCEIRO!$B$651,LANÇ_MOV[ANO PAGAMENTO],$B$4,LANÇ_MOV[MÊS PAGAMENTO CORRESPONDENTE],I$6,LANÇ_MOV[EMPRESA],$C$4,LANÇ_MOV[CENTRO DE CUSTOS],$D$4)</f>
        <v>0</v>
      </c>
      <c r="J736" s="206">
        <f>SUMIFS(LANÇ_MOV[VALOR LÍQUIDO],LANÇ_MOV[RECEITA OU DESPESA],"Despesa",LANÇ_MOV[CONTAS],$C736,LANÇ_MOV[PLANO DE CONTAS],REL_DRE_FINANCEIRO!$B$651,LANÇ_MOV[ANO PAGAMENTO],$B$4,LANÇ_MOV[MÊS PAGAMENTO CORRESPONDENTE],J$6,LANÇ_MOV[EMPRESA],$C$4,LANÇ_MOV[CENTRO DE CUSTOS],$D$4)</f>
        <v>0</v>
      </c>
      <c r="K736" s="206">
        <f>SUMIFS(LANÇ_MOV[VALOR LÍQUIDO],LANÇ_MOV[RECEITA OU DESPESA],"Despesa",LANÇ_MOV[CONTAS],$C736,LANÇ_MOV[PLANO DE CONTAS],REL_DRE_FINANCEIRO!$B$651,LANÇ_MOV[ANO PAGAMENTO],$B$4,LANÇ_MOV[MÊS PAGAMENTO CORRESPONDENTE],K$6,LANÇ_MOV[EMPRESA],$C$4,LANÇ_MOV[CENTRO DE CUSTOS],$D$4)</f>
        <v>0</v>
      </c>
      <c r="L736" s="206">
        <f>SUMIFS(LANÇ_MOV[VALOR LÍQUIDO],LANÇ_MOV[RECEITA OU DESPESA],"Despesa",LANÇ_MOV[CONTAS],$C736,LANÇ_MOV[PLANO DE CONTAS],REL_DRE_FINANCEIRO!$B$651,LANÇ_MOV[ANO PAGAMENTO],$B$4,LANÇ_MOV[MÊS PAGAMENTO CORRESPONDENTE],L$6,LANÇ_MOV[EMPRESA],$C$4,LANÇ_MOV[CENTRO DE CUSTOS],$D$4)</f>
        <v>0</v>
      </c>
      <c r="M736" s="206">
        <f>SUMIFS(LANÇ_MOV[VALOR LÍQUIDO],LANÇ_MOV[RECEITA OU DESPESA],"Despesa",LANÇ_MOV[CONTAS],$C736,LANÇ_MOV[PLANO DE CONTAS],REL_DRE_FINANCEIRO!$B$651,LANÇ_MOV[ANO PAGAMENTO],$B$4,LANÇ_MOV[MÊS PAGAMENTO CORRESPONDENTE],M$6,LANÇ_MOV[EMPRESA],$C$4,LANÇ_MOV[CENTRO DE CUSTOS],$D$4)</f>
        <v>0</v>
      </c>
      <c r="N736" s="206">
        <f>SUMIFS(LANÇ_MOV[VALOR LÍQUIDO],LANÇ_MOV[RECEITA OU DESPESA],"Despesa",LANÇ_MOV[CONTAS],$C736,LANÇ_MOV[PLANO DE CONTAS],REL_DRE_FINANCEIRO!$B$651,LANÇ_MOV[ANO PAGAMENTO],$B$4,LANÇ_MOV[MÊS PAGAMENTO CORRESPONDENTE],N$6,LANÇ_MOV[EMPRESA],$C$4,LANÇ_MOV[CENTRO DE CUSTOS],$D$4)</f>
        <v>0</v>
      </c>
      <c r="O736" s="206">
        <f>SUMIFS(LANÇ_MOV[VALOR LÍQUIDO],LANÇ_MOV[RECEITA OU DESPESA],"Despesa",LANÇ_MOV[CONTAS],$C736,LANÇ_MOV[PLANO DE CONTAS],REL_DRE_FINANCEIRO!$B$651,LANÇ_MOV[ANO PAGAMENTO],$B$4,LANÇ_MOV[MÊS PAGAMENTO CORRESPONDENTE],O$6,LANÇ_MOV[EMPRESA],$C$4,LANÇ_MOV[CENTRO DE CUSTOS],$D$4)</f>
        <v>0</v>
      </c>
      <c r="P736" s="207">
        <f t="shared" si="94"/>
        <v>0</v>
      </c>
      <c r="Q736" s="329">
        <v>1.5999999999999999E-6</v>
      </c>
      <c r="R736" s="346">
        <f t="shared" si="95"/>
        <v>1.5999999999999999E-6</v>
      </c>
      <c r="S736" s="347" t="str">
        <f t="shared" si="96"/>
        <v>-</v>
      </c>
      <c r="T736" s="347">
        <f t="shared" si="97"/>
        <v>0</v>
      </c>
      <c r="U736" s="347">
        <f>HLOOKUP(Apoio!$P$12,$D$650:$P$751,X736,FALSE)+Q736</f>
        <v>1.5999999999999999E-6</v>
      </c>
      <c r="V736" s="447" t="str">
        <f t="shared" si="98"/>
        <v>-</v>
      </c>
      <c r="W736" s="448">
        <f>HLOOKUP(Apoio!$P$12,$D$650:$P$751,X736,FALSE)</f>
        <v>0</v>
      </c>
      <c r="X736" s="329">
        <v>87</v>
      </c>
    </row>
    <row r="737" spans="2:24" ht="30.05" customHeight="1" x14ac:dyDescent="0.35">
      <c r="B737" s="204" t="str">
        <f>'CAD_PL_REC-DESP'!W90</f>
        <v>2.5.86</v>
      </c>
      <c r="C737" s="205" t="str">
        <f>IF('CAD_PL_REC-DESP'!X90="","-",'CAD_PL_REC-DESP'!X90)</f>
        <v>-</v>
      </c>
      <c r="D737" s="206">
        <f>SUMIFS(LANÇ_MOV[VALOR LÍQUIDO],LANÇ_MOV[RECEITA OU DESPESA],"Despesa",LANÇ_MOV[CONTAS],$C737,LANÇ_MOV[PLANO DE CONTAS],REL_DRE_FINANCEIRO!$B$651,LANÇ_MOV[ANO PAGAMENTO],$B$4,LANÇ_MOV[MÊS PAGAMENTO CORRESPONDENTE],D$6,LANÇ_MOV[EMPRESA],$C$4,LANÇ_MOV[CENTRO DE CUSTOS],$D$4)</f>
        <v>0</v>
      </c>
      <c r="E737" s="206">
        <f>SUMIFS(LANÇ_MOV[VALOR LÍQUIDO],LANÇ_MOV[RECEITA OU DESPESA],"Despesa",LANÇ_MOV[CONTAS],$C737,LANÇ_MOV[PLANO DE CONTAS],REL_DRE_FINANCEIRO!$B$651,LANÇ_MOV[ANO PAGAMENTO],$B$4,LANÇ_MOV[MÊS PAGAMENTO CORRESPONDENTE],E$6,LANÇ_MOV[EMPRESA],$C$4,LANÇ_MOV[CENTRO DE CUSTOS],$D$4)</f>
        <v>0</v>
      </c>
      <c r="F737" s="206">
        <f>SUMIFS(LANÇ_MOV[VALOR LÍQUIDO],LANÇ_MOV[RECEITA OU DESPESA],"Despesa",LANÇ_MOV[CONTAS],$C737,LANÇ_MOV[PLANO DE CONTAS],REL_DRE_FINANCEIRO!$B$651,LANÇ_MOV[ANO PAGAMENTO],$B$4,LANÇ_MOV[MÊS PAGAMENTO CORRESPONDENTE],F$6,LANÇ_MOV[EMPRESA],$C$4,LANÇ_MOV[CENTRO DE CUSTOS],$D$4)</f>
        <v>0</v>
      </c>
      <c r="G737" s="206">
        <f>SUMIFS(LANÇ_MOV[VALOR LÍQUIDO],LANÇ_MOV[RECEITA OU DESPESA],"Despesa",LANÇ_MOV[CONTAS],$C737,LANÇ_MOV[PLANO DE CONTAS],REL_DRE_FINANCEIRO!$B$651,LANÇ_MOV[ANO PAGAMENTO],$B$4,LANÇ_MOV[MÊS PAGAMENTO CORRESPONDENTE],G$6,LANÇ_MOV[EMPRESA],$C$4,LANÇ_MOV[CENTRO DE CUSTOS],$D$4)</f>
        <v>0</v>
      </c>
      <c r="H737" s="206">
        <f>SUMIFS(LANÇ_MOV[VALOR LÍQUIDO],LANÇ_MOV[RECEITA OU DESPESA],"Despesa",LANÇ_MOV[CONTAS],$C737,LANÇ_MOV[PLANO DE CONTAS],REL_DRE_FINANCEIRO!$B$651,LANÇ_MOV[ANO PAGAMENTO],$B$4,LANÇ_MOV[MÊS PAGAMENTO CORRESPONDENTE],H$6,LANÇ_MOV[EMPRESA],$C$4,LANÇ_MOV[CENTRO DE CUSTOS],$D$4)</f>
        <v>0</v>
      </c>
      <c r="I737" s="206">
        <f>SUMIFS(LANÇ_MOV[VALOR LÍQUIDO],LANÇ_MOV[RECEITA OU DESPESA],"Despesa",LANÇ_MOV[CONTAS],$C737,LANÇ_MOV[PLANO DE CONTAS],REL_DRE_FINANCEIRO!$B$651,LANÇ_MOV[ANO PAGAMENTO],$B$4,LANÇ_MOV[MÊS PAGAMENTO CORRESPONDENTE],I$6,LANÇ_MOV[EMPRESA],$C$4,LANÇ_MOV[CENTRO DE CUSTOS],$D$4)</f>
        <v>0</v>
      </c>
      <c r="J737" s="206">
        <f>SUMIFS(LANÇ_MOV[VALOR LÍQUIDO],LANÇ_MOV[RECEITA OU DESPESA],"Despesa",LANÇ_MOV[CONTAS],$C737,LANÇ_MOV[PLANO DE CONTAS],REL_DRE_FINANCEIRO!$B$651,LANÇ_MOV[ANO PAGAMENTO],$B$4,LANÇ_MOV[MÊS PAGAMENTO CORRESPONDENTE],J$6,LANÇ_MOV[EMPRESA],$C$4,LANÇ_MOV[CENTRO DE CUSTOS],$D$4)</f>
        <v>0</v>
      </c>
      <c r="K737" s="206">
        <f>SUMIFS(LANÇ_MOV[VALOR LÍQUIDO],LANÇ_MOV[RECEITA OU DESPESA],"Despesa",LANÇ_MOV[CONTAS],$C737,LANÇ_MOV[PLANO DE CONTAS],REL_DRE_FINANCEIRO!$B$651,LANÇ_MOV[ANO PAGAMENTO],$B$4,LANÇ_MOV[MÊS PAGAMENTO CORRESPONDENTE],K$6,LANÇ_MOV[EMPRESA],$C$4,LANÇ_MOV[CENTRO DE CUSTOS],$D$4)</f>
        <v>0</v>
      </c>
      <c r="L737" s="206">
        <f>SUMIFS(LANÇ_MOV[VALOR LÍQUIDO],LANÇ_MOV[RECEITA OU DESPESA],"Despesa",LANÇ_MOV[CONTAS],$C737,LANÇ_MOV[PLANO DE CONTAS],REL_DRE_FINANCEIRO!$B$651,LANÇ_MOV[ANO PAGAMENTO],$B$4,LANÇ_MOV[MÊS PAGAMENTO CORRESPONDENTE],L$6,LANÇ_MOV[EMPRESA],$C$4,LANÇ_MOV[CENTRO DE CUSTOS],$D$4)</f>
        <v>0</v>
      </c>
      <c r="M737" s="206">
        <f>SUMIFS(LANÇ_MOV[VALOR LÍQUIDO],LANÇ_MOV[RECEITA OU DESPESA],"Despesa",LANÇ_MOV[CONTAS],$C737,LANÇ_MOV[PLANO DE CONTAS],REL_DRE_FINANCEIRO!$B$651,LANÇ_MOV[ANO PAGAMENTO],$B$4,LANÇ_MOV[MÊS PAGAMENTO CORRESPONDENTE],M$6,LANÇ_MOV[EMPRESA],$C$4,LANÇ_MOV[CENTRO DE CUSTOS],$D$4)</f>
        <v>0</v>
      </c>
      <c r="N737" s="206">
        <f>SUMIFS(LANÇ_MOV[VALOR LÍQUIDO],LANÇ_MOV[RECEITA OU DESPESA],"Despesa",LANÇ_MOV[CONTAS],$C737,LANÇ_MOV[PLANO DE CONTAS],REL_DRE_FINANCEIRO!$B$651,LANÇ_MOV[ANO PAGAMENTO],$B$4,LANÇ_MOV[MÊS PAGAMENTO CORRESPONDENTE],N$6,LANÇ_MOV[EMPRESA],$C$4,LANÇ_MOV[CENTRO DE CUSTOS],$D$4)</f>
        <v>0</v>
      </c>
      <c r="O737" s="206">
        <f>SUMIFS(LANÇ_MOV[VALOR LÍQUIDO],LANÇ_MOV[RECEITA OU DESPESA],"Despesa",LANÇ_MOV[CONTAS],$C737,LANÇ_MOV[PLANO DE CONTAS],REL_DRE_FINANCEIRO!$B$651,LANÇ_MOV[ANO PAGAMENTO],$B$4,LANÇ_MOV[MÊS PAGAMENTO CORRESPONDENTE],O$6,LANÇ_MOV[EMPRESA],$C$4,LANÇ_MOV[CENTRO DE CUSTOS],$D$4)</f>
        <v>0</v>
      </c>
      <c r="P737" s="207">
        <f t="shared" si="94"/>
        <v>0</v>
      </c>
      <c r="Q737" s="329">
        <v>1.5E-6</v>
      </c>
      <c r="R737" s="346">
        <f t="shared" si="95"/>
        <v>1.5E-6</v>
      </c>
      <c r="S737" s="347" t="str">
        <f t="shared" si="96"/>
        <v>-</v>
      </c>
      <c r="T737" s="347">
        <f t="shared" si="97"/>
        <v>0</v>
      </c>
      <c r="U737" s="347">
        <f>HLOOKUP(Apoio!$P$12,$D$650:$P$751,X737,FALSE)+Q737</f>
        <v>1.5E-6</v>
      </c>
      <c r="V737" s="447" t="str">
        <f t="shared" si="98"/>
        <v>-</v>
      </c>
      <c r="W737" s="448">
        <f>HLOOKUP(Apoio!$P$12,$D$650:$P$751,X737,FALSE)</f>
        <v>0</v>
      </c>
      <c r="X737" s="329">
        <v>88</v>
      </c>
    </row>
    <row r="738" spans="2:24" ht="30.05" customHeight="1" x14ac:dyDescent="0.35">
      <c r="B738" s="204" t="str">
        <f>'CAD_PL_REC-DESP'!W91</f>
        <v>2.5.87</v>
      </c>
      <c r="C738" s="205" t="str">
        <f>IF('CAD_PL_REC-DESP'!X91="","-",'CAD_PL_REC-DESP'!X91)</f>
        <v>-</v>
      </c>
      <c r="D738" s="206">
        <f>SUMIFS(LANÇ_MOV[VALOR LÍQUIDO],LANÇ_MOV[RECEITA OU DESPESA],"Despesa",LANÇ_MOV[CONTAS],$C738,LANÇ_MOV[PLANO DE CONTAS],REL_DRE_FINANCEIRO!$B$651,LANÇ_MOV[ANO PAGAMENTO],$B$4,LANÇ_MOV[MÊS PAGAMENTO CORRESPONDENTE],D$6,LANÇ_MOV[EMPRESA],$C$4,LANÇ_MOV[CENTRO DE CUSTOS],$D$4)</f>
        <v>0</v>
      </c>
      <c r="E738" s="206">
        <f>SUMIFS(LANÇ_MOV[VALOR LÍQUIDO],LANÇ_MOV[RECEITA OU DESPESA],"Despesa",LANÇ_MOV[CONTAS],$C738,LANÇ_MOV[PLANO DE CONTAS],REL_DRE_FINANCEIRO!$B$651,LANÇ_MOV[ANO PAGAMENTO],$B$4,LANÇ_MOV[MÊS PAGAMENTO CORRESPONDENTE],E$6,LANÇ_MOV[EMPRESA],$C$4,LANÇ_MOV[CENTRO DE CUSTOS],$D$4)</f>
        <v>0</v>
      </c>
      <c r="F738" s="206">
        <f>SUMIFS(LANÇ_MOV[VALOR LÍQUIDO],LANÇ_MOV[RECEITA OU DESPESA],"Despesa",LANÇ_MOV[CONTAS],$C738,LANÇ_MOV[PLANO DE CONTAS],REL_DRE_FINANCEIRO!$B$651,LANÇ_MOV[ANO PAGAMENTO],$B$4,LANÇ_MOV[MÊS PAGAMENTO CORRESPONDENTE],F$6,LANÇ_MOV[EMPRESA],$C$4,LANÇ_MOV[CENTRO DE CUSTOS],$D$4)</f>
        <v>0</v>
      </c>
      <c r="G738" s="206">
        <f>SUMIFS(LANÇ_MOV[VALOR LÍQUIDO],LANÇ_MOV[RECEITA OU DESPESA],"Despesa",LANÇ_MOV[CONTAS],$C738,LANÇ_MOV[PLANO DE CONTAS],REL_DRE_FINANCEIRO!$B$651,LANÇ_MOV[ANO PAGAMENTO],$B$4,LANÇ_MOV[MÊS PAGAMENTO CORRESPONDENTE],G$6,LANÇ_MOV[EMPRESA],$C$4,LANÇ_MOV[CENTRO DE CUSTOS],$D$4)</f>
        <v>0</v>
      </c>
      <c r="H738" s="206">
        <f>SUMIFS(LANÇ_MOV[VALOR LÍQUIDO],LANÇ_MOV[RECEITA OU DESPESA],"Despesa",LANÇ_MOV[CONTAS],$C738,LANÇ_MOV[PLANO DE CONTAS],REL_DRE_FINANCEIRO!$B$651,LANÇ_MOV[ANO PAGAMENTO],$B$4,LANÇ_MOV[MÊS PAGAMENTO CORRESPONDENTE],H$6,LANÇ_MOV[EMPRESA],$C$4,LANÇ_MOV[CENTRO DE CUSTOS],$D$4)</f>
        <v>0</v>
      </c>
      <c r="I738" s="206">
        <f>SUMIFS(LANÇ_MOV[VALOR LÍQUIDO],LANÇ_MOV[RECEITA OU DESPESA],"Despesa",LANÇ_MOV[CONTAS],$C738,LANÇ_MOV[PLANO DE CONTAS],REL_DRE_FINANCEIRO!$B$651,LANÇ_MOV[ANO PAGAMENTO],$B$4,LANÇ_MOV[MÊS PAGAMENTO CORRESPONDENTE],I$6,LANÇ_MOV[EMPRESA],$C$4,LANÇ_MOV[CENTRO DE CUSTOS],$D$4)</f>
        <v>0</v>
      </c>
      <c r="J738" s="206">
        <f>SUMIFS(LANÇ_MOV[VALOR LÍQUIDO],LANÇ_MOV[RECEITA OU DESPESA],"Despesa",LANÇ_MOV[CONTAS],$C738,LANÇ_MOV[PLANO DE CONTAS],REL_DRE_FINANCEIRO!$B$651,LANÇ_MOV[ANO PAGAMENTO],$B$4,LANÇ_MOV[MÊS PAGAMENTO CORRESPONDENTE],J$6,LANÇ_MOV[EMPRESA],$C$4,LANÇ_MOV[CENTRO DE CUSTOS],$D$4)</f>
        <v>0</v>
      </c>
      <c r="K738" s="206">
        <f>SUMIFS(LANÇ_MOV[VALOR LÍQUIDO],LANÇ_MOV[RECEITA OU DESPESA],"Despesa",LANÇ_MOV[CONTAS],$C738,LANÇ_MOV[PLANO DE CONTAS],REL_DRE_FINANCEIRO!$B$651,LANÇ_MOV[ANO PAGAMENTO],$B$4,LANÇ_MOV[MÊS PAGAMENTO CORRESPONDENTE],K$6,LANÇ_MOV[EMPRESA],$C$4,LANÇ_MOV[CENTRO DE CUSTOS],$D$4)</f>
        <v>0</v>
      </c>
      <c r="L738" s="206">
        <f>SUMIFS(LANÇ_MOV[VALOR LÍQUIDO],LANÇ_MOV[RECEITA OU DESPESA],"Despesa",LANÇ_MOV[CONTAS],$C738,LANÇ_MOV[PLANO DE CONTAS],REL_DRE_FINANCEIRO!$B$651,LANÇ_MOV[ANO PAGAMENTO],$B$4,LANÇ_MOV[MÊS PAGAMENTO CORRESPONDENTE],L$6,LANÇ_MOV[EMPRESA],$C$4,LANÇ_MOV[CENTRO DE CUSTOS],$D$4)</f>
        <v>0</v>
      </c>
      <c r="M738" s="206">
        <f>SUMIFS(LANÇ_MOV[VALOR LÍQUIDO],LANÇ_MOV[RECEITA OU DESPESA],"Despesa",LANÇ_MOV[CONTAS],$C738,LANÇ_MOV[PLANO DE CONTAS],REL_DRE_FINANCEIRO!$B$651,LANÇ_MOV[ANO PAGAMENTO],$B$4,LANÇ_MOV[MÊS PAGAMENTO CORRESPONDENTE],M$6,LANÇ_MOV[EMPRESA],$C$4,LANÇ_MOV[CENTRO DE CUSTOS],$D$4)</f>
        <v>0</v>
      </c>
      <c r="N738" s="206">
        <f>SUMIFS(LANÇ_MOV[VALOR LÍQUIDO],LANÇ_MOV[RECEITA OU DESPESA],"Despesa",LANÇ_MOV[CONTAS],$C738,LANÇ_MOV[PLANO DE CONTAS],REL_DRE_FINANCEIRO!$B$651,LANÇ_MOV[ANO PAGAMENTO],$B$4,LANÇ_MOV[MÊS PAGAMENTO CORRESPONDENTE],N$6,LANÇ_MOV[EMPRESA],$C$4,LANÇ_MOV[CENTRO DE CUSTOS],$D$4)</f>
        <v>0</v>
      </c>
      <c r="O738" s="206">
        <f>SUMIFS(LANÇ_MOV[VALOR LÍQUIDO],LANÇ_MOV[RECEITA OU DESPESA],"Despesa",LANÇ_MOV[CONTAS],$C738,LANÇ_MOV[PLANO DE CONTAS],REL_DRE_FINANCEIRO!$B$651,LANÇ_MOV[ANO PAGAMENTO],$B$4,LANÇ_MOV[MÊS PAGAMENTO CORRESPONDENTE],O$6,LANÇ_MOV[EMPRESA],$C$4,LANÇ_MOV[CENTRO DE CUSTOS],$D$4)</f>
        <v>0</v>
      </c>
      <c r="P738" s="207">
        <f t="shared" si="94"/>
        <v>0</v>
      </c>
      <c r="Q738" s="329">
        <v>1.3999999999999999E-6</v>
      </c>
      <c r="R738" s="346">
        <f t="shared" si="95"/>
        <v>1.3999999999999999E-6</v>
      </c>
      <c r="S738" s="347" t="str">
        <f t="shared" si="96"/>
        <v>-</v>
      </c>
      <c r="T738" s="347">
        <f t="shared" si="97"/>
        <v>0</v>
      </c>
      <c r="U738" s="347">
        <f>HLOOKUP(Apoio!$P$12,$D$650:$P$751,X738,FALSE)+Q738</f>
        <v>1.3999999999999999E-6</v>
      </c>
      <c r="V738" s="447" t="str">
        <f t="shared" si="98"/>
        <v>-</v>
      </c>
      <c r="W738" s="448">
        <f>HLOOKUP(Apoio!$P$12,$D$650:$P$751,X738,FALSE)</f>
        <v>0</v>
      </c>
      <c r="X738" s="329">
        <v>89</v>
      </c>
    </row>
    <row r="739" spans="2:24" ht="30.05" customHeight="1" x14ac:dyDescent="0.35">
      <c r="B739" s="204" t="str">
        <f>'CAD_PL_REC-DESP'!W92</f>
        <v>2.5.88</v>
      </c>
      <c r="C739" s="205" t="str">
        <f>IF('CAD_PL_REC-DESP'!X92="","-",'CAD_PL_REC-DESP'!X92)</f>
        <v>-</v>
      </c>
      <c r="D739" s="206">
        <f>SUMIFS(LANÇ_MOV[VALOR LÍQUIDO],LANÇ_MOV[RECEITA OU DESPESA],"Despesa",LANÇ_MOV[CONTAS],$C739,LANÇ_MOV[PLANO DE CONTAS],REL_DRE_FINANCEIRO!$B$651,LANÇ_MOV[ANO PAGAMENTO],$B$4,LANÇ_MOV[MÊS PAGAMENTO CORRESPONDENTE],D$6,LANÇ_MOV[EMPRESA],$C$4,LANÇ_MOV[CENTRO DE CUSTOS],$D$4)</f>
        <v>0</v>
      </c>
      <c r="E739" s="206">
        <f>SUMIFS(LANÇ_MOV[VALOR LÍQUIDO],LANÇ_MOV[RECEITA OU DESPESA],"Despesa",LANÇ_MOV[CONTAS],$C739,LANÇ_MOV[PLANO DE CONTAS],REL_DRE_FINANCEIRO!$B$651,LANÇ_MOV[ANO PAGAMENTO],$B$4,LANÇ_MOV[MÊS PAGAMENTO CORRESPONDENTE],E$6,LANÇ_MOV[EMPRESA],$C$4,LANÇ_MOV[CENTRO DE CUSTOS],$D$4)</f>
        <v>0</v>
      </c>
      <c r="F739" s="206">
        <f>SUMIFS(LANÇ_MOV[VALOR LÍQUIDO],LANÇ_MOV[RECEITA OU DESPESA],"Despesa",LANÇ_MOV[CONTAS],$C739,LANÇ_MOV[PLANO DE CONTAS],REL_DRE_FINANCEIRO!$B$651,LANÇ_MOV[ANO PAGAMENTO],$B$4,LANÇ_MOV[MÊS PAGAMENTO CORRESPONDENTE],F$6,LANÇ_MOV[EMPRESA],$C$4,LANÇ_MOV[CENTRO DE CUSTOS],$D$4)</f>
        <v>0</v>
      </c>
      <c r="G739" s="206">
        <f>SUMIFS(LANÇ_MOV[VALOR LÍQUIDO],LANÇ_MOV[RECEITA OU DESPESA],"Despesa",LANÇ_MOV[CONTAS],$C739,LANÇ_MOV[PLANO DE CONTAS],REL_DRE_FINANCEIRO!$B$651,LANÇ_MOV[ANO PAGAMENTO],$B$4,LANÇ_MOV[MÊS PAGAMENTO CORRESPONDENTE],G$6,LANÇ_MOV[EMPRESA],$C$4,LANÇ_MOV[CENTRO DE CUSTOS],$D$4)</f>
        <v>0</v>
      </c>
      <c r="H739" s="206">
        <f>SUMIFS(LANÇ_MOV[VALOR LÍQUIDO],LANÇ_MOV[RECEITA OU DESPESA],"Despesa",LANÇ_MOV[CONTAS],$C739,LANÇ_MOV[PLANO DE CONTAS],REL_DRE_FINANCEIRO!$B$651,LANÇ_MOV[ANO PAGAMENTO],$B$4,LANÇ_MOV[MÊS PAGAMENTO CORRESPONDENTE],H$6,LANÇ_MOV[EMPRESA],$C$4,LANÇ_MOV[CENTRO DE CUSTOS],$D$4)</f>
        <v>0</v>
      </c>
      <c r="I739" s="206">
        <f>SUMIFS(LANÇ_MOV[VALOR LÍQUIDO],LANÇ_MOV[RECEITA OU DESPESA],"Despesa",LANÇ_MOV[CONTAS],$C739,LANÇ_MOV[PLANO DE CONTAS],REL_DRE_FINANCEIRO!$B$651,LANÇ_MOV[ANO PAGAMENTO],$B$4,LANÇ_MOV[MÊS PAGAMENTO CORRESPONDENTE],I$6,LANÇ_MOV[EMPRESA],$C$4,LANÇ_MOV[CENTRO DE CUSTOS],$D$4)</f>
        <v>0</v>
      </c>
      <c r="J739" s="206">
        <f>SUMIFS(LANÇ_MOV[VALOR LÍQUIDO],LANÇ_MOV[RECEITA OU DESPESA],"Despesa",LANÇ_MOV[CONTAS],$C739,LANÇ_MOV[PLANO DE CONTAS],REL_DRE_FINANCEIRO!$B$651,LANÇ_MOV[ANO PAGAMENTO],$B$4,LANÇ_MOV[MÊS PAGAMENTO CORRESPONDENTE],J$6,LANÇ_MOV[EMPRESA],$C$4,LANÇ_MOV[CENTRO DE CUSTOS],$D$4)</f>
        <v>0</v>
      </c>
      <c r="K739" s="206">
        <f>SUMIFS(LANÇ_MOV[VALOR LÍQUIDO],LANÇ_MOV[RECEITA OU DESPESA],"Despesa",LANÇ_MOV[CONTAS],$C739,LANÇ_MOV[PLANO DE CONTAS],REL_DRE_FINANCEIRO!$B$651,LANÇ_MOV[ANO PAGAMENTO],$B$4,LANÇ_MOV[MÊS PAGAMENTO CORRESPONDENTE],K$6,LANÇ_MOV[EMPRESA],$C$4,LANÇ_MOV[CENTRO DE CUSTOS],$D$4)</f>
        <v>0</v>
      </c>
      <c r="L739" s="206">
        <f>SUMIFS(LANÇ_MOV[VALOR LÍQUIDO],LANÇ_MOV[RECEITA OU DESPESA],"Despesa",LANÇ_MOV[CONTAS],$C739,LANÇ_MOV[PLANO DE CONTAS],REL_DRE_FINANCEIRO!$B$651,LANÇ_MOV[ANO PAGAMENTO],$B$4,LANÇ_MOV[MÊS PAGAMENTO CORRESPONDENTE],L$6,LANÇ_MOV[EMPRESA],$C$4,LANÇ_MOV[CENTRO DE CUSTOS],$D$4)</f>
        <v>0</v>
      </c>
      <c r="M739" s="206">
        <f>SUMIFS(LANÇ_MOV[VALOR LÍQUIDO],LANÇ_MOV[RECEITA OU DESPESA],"Despesa",LANÇ_MOV[CONTAS],$C739,LANÇ_MOV[PLANO DE CONTAS],REL_DRE_FINANCEIRO!$B$651,LANÇ_MOV[ANO PAGAMENTO],$B$4,LANÇ_MOV[MÊS PAGAMENTO CORRESPONDENTE],M$6,LANÇ_MOV[EMPRESA],$C$4,LANÇ_MOV[CENTRO DE CUSTOS],$D$4)</f>
        <v>0</v>
      </c>
      <c r="N739" s="206">
        <f>SUMIFS(LANÇ_MOV[VALOR LÍQUIDO],LANÇ_MOV[RECEITA OU DESPESA],"Despesa",LANÇ_MOV[CONTAS],$C739,LANÇ_MOV[PLANO DE CONTAS],REL_DRE_FINANCEIRO!$B$651,LANÇ_MOV[ANO PAGAMENTO],$B$4,LANÇ_MOV[MÊS PAGAMENTO CORRESPONDENTE],N$6,LANÇ_MOV[EMPRESA],$C$4,LANÇ_MOV[CENTRO DE CUSTOS],$D$4)</f>
        <v>0</v>
      </c>
      <c r="O739" s="206">
        <f>SUMIFS(LANÇ_MOV[VALOR LÍQUIDO],LANÇ_MOV[RECEITA OU DESPESA],"Despesa",LANÇ_MOV[CONTAS],$C739,LANÇ_MOV[PLANO DE CONTAS],REL_DRE_FINANCEIRO!$B$651,LANÇ_MOV[ANO PAGAMENTO],$B$4,LANÇ_MOV[MÊS PAGAMENTO CORRESPONDENTE],O$6,LANÇ_MOV[EMPRESA],$C$4,LANÇ_MOV[CENTRO DE CUSTOS],$D$4)</f>
        <v>0</v>
      </c>
      <c r="P739" s="207">
        <f t="shared" si="94"/>
        <v>0</v>
      </c>
      <c r="Q739" s="329">
        <v>1.3E-6</v>
      </c>
      <c r="R739" s="346">
        <f t="shared" si="95"/>
        <v>1.3E-6</v>
      </c>
      <c r="S739" s="347" t="str">
        <f t="shared" si="96"/>
        <v>-</v>
      </c>
      <c r="T739" s="347">
        <f t="shared" si="97"/>
        <v>0</v>
      </c>
      <c r="U739" s="347">
        <f>HLOOKUP(Apoio!$P$12,$D$650:$P$751,X739,FALSE)+Q739</f>
        <v>1.3E-6</v>
      </c>
      <c r="V739" s="447" t="str">
        <f t="shared" si="98"/>
        <v>-</v>
      </c>
      <c r="W739" s="448">
        <f>HLOOKUP(Apoio!$P$12,$D$650:$P$751,X739,FALSE)</f>
        <v>0</v>
      </c>
      <c r="X739" s="329">
        <v>90</v>
      </c>
    </row>
    <row r="740" spans="2:24" ht="30.05" customHeight="1" x14ac:dyDescent="0.35">
      <c r="B740" s="204" t="str">
        <f>'CAD_PL_REC-DESP'!W93</f>
        <v>2.5.89</v>
      </c>
      <c r="C740" s="205" t="str">
        <f>IF('CAD_PL_REC-DESP'!X93="","-",'CAD_PL_REC-DESP'!X93)</f>
        <v>-</v>
      </c>
      <c r="D740" s="206">
        <f>SUMIFS(LANÇ_MOV[VALOR LÍQUIDO],LANÇ_MOV[RECEITA OU DESPESA],"Despesa",LANÇ_MOV[CONTAS],$C740,LANÇ_MOV[PLANO DE CONTAS],REL_DRE_FINANCEIRO!$B$651,LANÇ_MOV[ANO PAGAMENTO],$B$4,LANÇ_MOV[MÊS PAGAMENTO CORRESPONDENTE],D$6,LANÇ_MOV[EMPRESA],$C$4,LANÇ_MOV[CENTRO DE CUSTOS],$D$4)</f>
        <v>0</v>
      </c>
      <c r="E740" s="206">
        <f>SUMIFS(LANÇ_MOV[VALOR LÍQUIDO],LANÇ_MOV[RECEITA OU DESPESA],"Despesa",LANÇ_MOV[CONTAS],$C740,LANÇ_MOV[PLANO DE CONTAS],REL_DRE_FINANCEIRO!$B$651,LANÇ_MOV[ANO PAGAMENTO],$B$4,LANÇ_MOV[MÊS PAGAMENTO CORRESPONDENTE],E$6,LANÇ_MOV[EMPRESA],$C$4,LANÇ_MOV[CENTRO DE CUSTOS],$D$4)</f>
        <v>0</v>
      </c>
      <c r="F740" s="206">
        <f>SUMIFS(LANÇ_MOV[VALOR LÍQUIDO],LANÇ_MOV[RECEITA OU DESPESA],"Despesa",LANÇ_MOV[CONTAS],$C740,LANÇ_MOV[PLANO DE CONTAS],REL_DRE_FINANCEIRO!$B$651,LANÇ_MOV[ANO PAGAMENTO],$B$4,LANÇ_MOV[MÊS PAGAMENTO CORRESPONDENTE],F$6,LANÇ_MOV[EMPRESA],$C$4,LANÇ_MOV[CENTRO DE CUSTOS],$D$4)</f>
        <v>0</v>
      </c>
      <c r="G740" s="206">
        <f>SUMIFS(LANÇ_MOV[VALOR LÍQUIDO],LANÇ_MOV[RECEITA OU DESPESA],"Despesa",LANÇ_MOV[CONTAS],$C740,LANÇ_MOV[PLANO DE CONTAS],REL_DRE_FINANCEIRO!$B$651,LANÇ_MOV[ANO PAGAMENTO],$B$4,LANÇ_MOV[MÊS PAGAMENTO CORRESPONDENTE],G$6,LANÇ_MOV[EMPRESA],$C$4,LANÇ_MOV[CENTRO DE CUSTOS],$D$4)</f>
        <v>0</v>
      </c>
      <c r="H740" s="206">
        <f>SUMIFS(LANÇ_MOV[VALOR LÍQUIDO],LANÇ_MOV[RECEITA OU DESPESA],"Despesa",LANÇ_MOV[CONTAS],$C740,LANÇ_MOV[PLANO DE CONTAS],REL_DRE_FINANCEIRO!$B$651,LANÇ_MOV[ANO PAGAMENTO],$B$4,LANÇ_MOV[MÊS PAGAMENTO CORRESPONDENTE],H$6,LANÇ_MOV[EMPRESA],$C$4,LANÇ_MOV[CENTRO DE CUSTOS],$D$4)</f>
        <v>0</v>
      </c>
      <c r="I740" s="206">
        <f>SUMIFS(LANÇ_MOV[VALOR LÍQUIDO],LANÇ_MOV[RECEITA OU DESPESA],"Despesa",LANÇ_MOV[CONTAS],$C740,LANÇ_MOV[PLANO DE CONTAS],REL_DRE_FINANCEIRO!$B$651,LANÇ_MOV[ANO PAGAMENTO],$B$4,LANÇ_MOV[MÊS PAGAMENTO CORRESPONDENTE],I$6,LANÇ_MOV[EMPRESA],$C$4,LANÇ_MOV[CENTRO DE CUSTOS],$D$4)</f>
        <v>0</v>
      </c>
      <c r="J740" s="206">
        <f>SUMIFS(LANÇ_MOV[VALOR LÍQUIDO],LANÇ_MOV[RECEITA OU DESPESA],"Despesa",LANÇ_MOV[CONTAS],$C740,LANÇ_MOV[PLANO DE CONTAS],REL_DRE_FINANCEIRO!$B$651,LANÇ_MOV[ANO PAGAMENTO],$B$4,LANÇ_MOV[MÊS PAGAMENTO CORRESPONDENTE],J$6,LANÇ_MOV[EMPRESA],$C$4,LANÇ_MOV[CENTRO DE CUSTOS],$D$4)</f>
        <v>0</v>
      </c>
      <c r="K740" s="206">
        <f>SUMIFS(LANÇ_MOV[VALOR LÍQUIDO],LANÇ_MOV[RECEITA OU DESPESA],"Despesa",LANÇ_MOV[CONTAS],$C740,LANÇ_MOV[PLANO DE CONTAS],REL_DRE_FINANCEIRO!$B$651,LANÇ_MOV[ANO PAGAMENTO],$B$4,LANÇ_MOV[MÊS PAGAMENTO CORRESPONDENTE],K$6,LANÇ_MOV[EMPRESA],$C$4,LANÇ_MOV[CENTRO DE CUSTOS],$D$4)</f>
        <v>0</v>
      </c>
      <c r="L740" s="206">
        <f>SUMIFS(LANÇ_MOV[VALOR LÍQUIDO],LANÇ_MOV[RECEITA OU DESPESA],"Despesa",LANÇ_MOV[CONTAS],$C740,LANÇ_MOV[PLANO DE CONTAS],REL_DRE_FINANCEIRO!$B$651,LANÇ_MOV[ANO PAGAMENTO],$B$4,LANÇ_MOV[MÊS PAGAMENTO CORRESPONDENTE],L$6,LANÇ_MOV[EMPRESA],$C$4,LANÇ_MOV[CENTRO DE CUSTOS],$D$4)</f>
        <v>0</v>
      </c>
      <c r="M740" s="206">
        <f>SUMIFS(LANÇ_MOV[VALOR LÍQUIDO],LANÇ_MOV[RECEITA OU DESPESA],"Despesa",LANÇ_MOV[CONTAS],$C740,LANÇ_MOV[PLANO DE CONTAS],REL_DRE_FINANCEIRO!$B$651,LANÇ_MOV[ANO PAGAMENTO],$B$4,LANÇ_MOV[MÊS PAGAMENTO CORRESPONDENTE],M$6,LANÇ_MOV[EMPRESA],$C$4,LANÇ_MOV[CENTRO DE CUSTOS],$D$4)</f>
        <v>0</v>
      </c>
      <c r="N740" s="206">
        <f>SUMIFS(LANÇ_MOV[VALOR LÍQUIDO],LANÇ_MOV[RECEITA OU DESPESA],"Despesa",LANÇ_MOV[CONTAS],$C740,LANÇ_MOV[PLANO DE CONTAS],REL_DRE_FINANCEIRO!$B$651,LANÇ_MOV[ANO PAGAMENTO],$B$4,LANÇ_MOV[MÊS PAGAMENTO CORRESPONDENTE],N$6,LANÇ_MOV[EMPRESA],$C$4,LANÇ_MOV[CENTRO DE CUSTOS],$D$4)</f>
        <v>0</v>
      </c>
      <c r="O740" s="206">
        <f>SUMIFS(LANÇ_MOV[VALOR LÍQUIDO],LANÇ_MOV[RECEITA OU DESPESA],"Despesa",LANÇ_MOV[CONTAS],$C740,LANÇ_MOV[PLANO DE CONTAS],REL_DRE_FINANCEIRO!$B$651,LANÇ_MOV[ANO PAGAMENTO],$B$4,LANÇ_MOV[MÊS PAGAMENTO CORRESPONDENTE],O$6,LANÇ_MOV[EMPRESA],$C$4,LANÇ_MOV[CENTRO DE CUSTOS],$D$4)</f>
        <v>0</v>
      </c>
      <c r="P740" s="207">
        <f t="shared" si="94"/>
        <v>0</v>
      </c>
      <c r="Q740" s="329">
        <v>1.1999999999999999E-6</v>
      </c>
      <c r="R740" s="346">
        <f t="shared" si="95"/>
        <v>1.1999999999999999E-6</v>
      </c>
      <c r="S740" s="347" t="str">
        <f t="shared" si="96"/>
        <v>-</v>
      </c>
      <c r="T740" s="347">
        <f t="shared" si="97"/>
        <v>0</v>
      </c>
      <c r="U740" s="347">
        <f>HLOOKUP(Apoio!$P$12,$D$650:$P$751,X740,FALSE)+Q740</f>
        <v>1.1999999999999999E-6</v>
      </c>
      <c r="V740" s="447" t="str">
        <f t="shared" si="98"/>
        <v>-</v>
      </c>
      <c r="W740" s="448">
        <f>HLOOKUP(Apoio!$P$12,$D$650:$P$751,X740,FALSE)</f>
        <v>0</v>
      </c>
      <c r="X740" s="329">
        <v>91</v>
      </c>
    </row>
    <row r="741" spans="2:24" ht="30.05" customHeight="1" x14ac:dyDescent="0.35">
      <c r="B741" s="204" t="str">
        <f>'CAD_PL_REC-DESP'!W94</f>
        <v>2.5.90</v>
      </c>
      <c r="C741" s="205" t="str">
        <f>IF('CAD_PL_REC-DESP'!X94="","-",'CAD_PL_REC-DESP'!X94)</f>
        <v>-</v>
      </c>
      <c r="D741" s="206">
        <f>SUMIFS(LANÇ_MOV[VALOR LÍQUIDO],LANÇ_MOV[RECEITA OU DESPESA],"Despesa",LANÇ_MOV[CONTAS],$C741,LANÇ_MOV[PLANO DE CONTAS],REL_DRE_FINANCEIRO!$B$651,LANÇ_MOV[ANO PAGAMENTO],$B$4,LANÇ_MOV[MÊS PAGAMENTO CORRESPONDENTE],D$6,LANÇ_MOV[EMPRESA],$C$4,LANÇ_MOV[CENTRO DE CUSTOS],$D$4)</f>
        <v>0</v>
      </c>
      <c r="E741" s="206">
        <f>SUMIFS(LANÇ_MOV[VALOR LÍQUIDO],LANÇ_MOV[RECEITA OU DESPESA],"Despesa",LANÇ_MOV[CONTAS],$C741,LANÇ_MOV[PLANO DE CONTAS],REL_DRE_FINANCEIRO!$B$651,LANÇ_MOV[ANO PAGAMENTO],$B$4,LANÇ_MOV[MÊS PAGAMENTO CORRESPONDENTE],E$6,LANÇ_MOV[EMPRESA],$C$4,LANÇ_MOV[CENTRO DE CUSTOS],$D$4)</f>
        <v>0</v>
      </c>
      <c r="F741" s="206">
        <f>SUMIFS(LANÇ_MOV[VALOR LÍQUIDO],LANÇ_MOV[RECEITA OU DESPESA],"Despesa",LANÇ_MOV[CONTAS],$C741,LANÇ_MOV[PLANO DE CONTAS],REL_DRE_FINANCEIRO!$B$651,LANÇ_MOV[ANO PAGAMENTO],$B$4,LANÇ_MOV[MÊS PAGAMENTO CORRESPONDENTE],F$6,LANÇ_MOV[EMPRESA],$C$4,LANÇ_MOV[CENTRO DE CUSTOS],$D$4)</f>
        <v>0</v>
      </c>
      <c r="G741" s="206">
        <f>SUMIFS(LANÇ_MOV[VALOR LÍQUIDO],LANÇ_MOV[RECEITA OU DESPESA],"Despesa",LANÇ_MOV[CONTAS],$C741,LANÇ_MOV[PLANO DE CONTAS],REL_DRE_FINANCEIRO!$B$651,LANÇ_MOV[ANO PAGAMENTO],$B$4,LANÇ_MOV[MÊS PAGAMENTO CORRESPONDENTE],G$6,LANÇ_MOV[EMPRESA],$C$4,LANÇ_MOV[CENTRO DE CUSTOS],$D$4)</f>
        <v>0</v>
      </c>
      <c r="H741" s="206">
        <f>SUMIFS(LANÇ_MOV[VALOR LÍQUIDO],LANÇ_MOV[RECEITA OU DESPESA],"Despesa",LANÇ_MOV[CONTAS],$C741,LANÇ_MOV[PLANO DE CONTAS],REL_DRE_FINANCEIRO!$B$651,LANÇ_MOV[ANO PAGAMENTO],$B$4,LANÇ_MOV[MÊS PAGAMENTO CORRESPONDENTE],H$6,LANÇ_MOV[EMPRESA],$C$4,LANÇ_MOV[CENTRO DE CUSTOS],$D$4)</f>
        <v>0</v>
      </c>
      <c r="I741" s="206">
        <f>SUMIFS(LANÇ_MOV[VALOR LÍQUIDO],LANÇ_MOV[RECEITA OU DESPESA],"Despesa",LANÇ_MOV[CONTAS],$C741,LANÇ_MOV[PLANO DE CONTAS],REL_DRE_FINANCEIRO!$B$651,LANÇ_MOV[ANO PAGAMENTO],$B$4,LANÇ_MOV[MÊS PAGAMENTO CORRESPONDENTE],I$6,LANÇ_MOV[EMPRESA],$C$4,LANÇ_MOV[CENTRO DE CUSTOS],$D$4)</f>
        <v>0</v>
      </c>
      <c r="J741" s="206">
        <f>SUMIFS(LANÇ_MOV[VALOR LÍQUIDO],LANÇ_MOV[RECEITA OU DESPESA],"Despesa",LANÇ_MOV[CONTAS],$C741,LANÇ_MOV[PLANO DE CONTAS],REL_DRE_FINANCEIRO!$B$651,LANÇ_MOV[ANO PAGAMENTO],$B$4,LANÇ_MOV[MÊS PAGAMENTO CORRESPONDENTE],J$6,LANÇ_MOV[EMPRESA],$C$4,LANÇ_MOV[CENTRO DE CUSTOS],$D$4)</f>
        <v>0</v>
      </c>
      <c r="K741" s="206">
        <f>SUMIFS(LANÇ_MOV[VALOR LÍQUIDO],LANÇ_MOV[RECEITA OU DESPESA],"Despesa",LANÇ_MOV[CONTAS],$C741,LANÇ_MOV[PLANO DE CONTAS],REL_DRE_FINANCEIRO!$B$651,LANÇ_MOV[ANO PAGAMENTO],$B$4,LANÇ_MOV[MÊS PAGAMENTO CORRESPONDENTE],K$6,LANÇ_MOV[EMPRESA],$C$4,LANÇ_MOV[CENTRO DE CUSTOS],$D$4)</f>
        <v>0</v>
      </c>
      <c r="L741" s="206">
        <f>SUMIFS(LANÇ_MOV[VALOR LÍQUIDO],LANÇ_MOV[RECEITA OU DESPESA],"Despesa",LANÇ_MOV[CONTAS],$C741,LANÇ_MOV[PLANO DE CONTAS],REL_DRE_FINANCEIRO!$B$651,LANÇ_MOV[ANO PAGAMENTO],$B$4,LANÇ_MOV[MÊS PAGAMENTO CORRESPONDENTE],L$6,LANÇ_MOV[EMPRESA],$C$4,LANÇ_MOV[CENTRO DE CUSTOS],$D$4)</f>
        <v>0</v>
      </c>
      <c r="M741" s="206">
        <f>SUMIFS(LANÇ_MOV[VALOR LÍQUIDO],LANÇ_MOV[RECEITA OU DESPESA],"Despesa",LANÇ_MOV[CONTAS],$C741,LANÇ_MOV[PLANO DE CONTAS],REL_DRE_FINANCEIRO!$B$651,LANÇ_MOV[ANO PAGAMENTO],$B$4,LANÇ_MOV[MÊS PAGAMENTO CORRESPONDENTE],M$6,LANÇ_MOV[EMPRESA],$C$4,LANÇ_MOV[CENTRO DE CUSTOS],$D$4)</f>
        <v>0</v>
      </c>
      <c r="N741" s="206">
        <f>SUMIFS(LANÇ_MOV[VALOR LÍQUIDO],LANÇ_MOV[RECEITA OU DESPESA],"Despesa",LANÇ_MOV[CONTAS],$C741,LANÇ_MOV[PLANO DE CONTAS],REL_DRE_FINANCEIRO!$B$651,LANÇ_MOV[ANO PAGAMENTO],$B$4,LANÇ_MOV[MÊS PAGAMENTO CORRESPONDENTE],N$6,LANÇ_MOV[EMPRESA],$C$4,LANÇ_MOV[CENTRO DE CUSTOS],$D$4)</f>
        <v>0</v>
      </c>
      <c r="O741" s="206">
        <f>SUMIFS(LANÇ_MOV[VALOR LÍQUIDO],LANÇ_MOV[RECEITA OU DESPESA],"Despesa",LANÇ_MOV[CONTAS],$C741,LANÇ_MOV[PLANO DE CONTAS],REL_DRE_FINANCEIRO!$B$651,LANÇ_MOV[ANO PAGAMENTO],$B$4,LANÇ_MOV[MÊS PAGAMENTO CORRESPONDENTE],O$6,LANÇ_MOV[EMPRESA],$C$4,LANÇ_MOV[CENTRO DE CUSTOS],$D$4)</f>
        <v>0</v>
      </c>
      <c r="P741" s="207">
        <f t="shared" si="94"/>
        <v>0</v>
      </c>
      <c r="Q741" s="329">
        <v>1.1000000000000001E-6</v>
      </c>
      <c r="R741" s="346">
        <f t="shared" si="95"/>
        <v>1.1000000000000001E-6</v>
      </c>
      <c r="S741" s="347" t="str">
        <f t="shared" si="96"/>
        <v>-</v>
      </c>
      <c r="T741" s="347">
        <f t="shared" si="97"/>
        <v>0</v>
      </c>
      <c r="U741" s="347">
        <f>HLOOKUP(Apoio!$P$12,$D$650:$P$751,X741,FALSE)+Q741</f>
        <v>1.1000000000000001E-6</v>
      </c>
      <c r="V741" s="447" t="str">
        <f t="shared" si="98"/>
        <v>-</v>
      </c>
      <c r="W741" s="448">
        <f>HLOOKUP(Apoio!$P$12,$D$650:$P$751,X741,FALSE)</f>
        <v>0</v>
      </c>
      <c r="X741" s="329">
        <v>92</v>
      </c>
    </row>
    <row r="742" spans="2:24" ht="30.05" customHeight="1" x14ac:dyDescent="0.35">
      <c r="B742" s="204" t="str">
        <f>'CAD_PL_REC-DESP'!W95</f>
        <v>2.5.91</v>
      </c>
      <c r="C742" s="205" t="str">
        <f>IF('CAD_PL_REC-DESP'!X95="","-",'CAD_PL_REC-DESP'!X95)</f>
        <v>-</v>
      </c>
      <c r="D742" s="206">
        <f>SUMIFS(LANÇ_MOV[VALOR LÍQUIDO],LANÇ_MOV[RECEITA OU DESPESA],"Despesa",LANÇ_MOV[CONTAS],$C742,LANÇ_MOV[PLANO DE CONTAS],REL_DRE_FINANCEIRO!$B$651,LANÇ_MOV[ANO PAGAMENTO],$B$4,LANÇ_MOV[MÊS PAGAMENTO CORRESPONDENTE],D$6,LANÇ_MOV[EMPRESA],$C$4,LANÇ_MOV[CENTRO DE CUSTOS],$D$4)</f>
        <v>0</v>
      </c>
      <c r="E742" s="206">
        <f>SUMIFS(LANÇ_MOV[VALOR LÍQUIDO],LANÇ_MOV[RECEITA OU DESPESA],"Despesa",LANÇ_MOV[CONTAS],$C742,LANÇ_MOV[PLANO DE CONTAS],REL_DRE_FINANCEIRO!$B$651,LANÇ_MOV[ANO PAGAMENTO],$B$4,LANÇ_MOV[MÊS PAGAMENTO CORRESPONDENTE],E$6,LANÇ_MOV[EMPRESA],$C$4,LANÇ_MOV[CENTRO DE CUSTOS],$D$4)</f>
        <v>0</v>
      </c>
      <c r="F742" s="206">
        <f>SUMIFS(LANÇ_MOV[VALOR LÍQUIDO],LANÇ_MOV[RECEITA OU DESPESA],"Despesa",LANÇ_MOV[CONTAS],$C742,LANÇ_MOV[PLANO DE CONTAS],REL_DRE_FINANCEIRO!$B$651,LANÇ_MOV[ANO PAGAMENTO],$B$4,LANÇ_MOV[MÊS PAGAMENTO CORRESPONDENTE],F$6,LANÇ_MOV[EMPRESA],$C$4,LANÇ_MOV[CENTRO DE CUSTOS],$D$4)</f>
        <v>0</v>
      </c>
      <c r="G742" s="206">
        <f>SUMIFS(LANÇ_MOV[VALOR LÍQUIDO],LANÇ_MOV[RECEITA OU DESPESA],"Despesa",LANÇ_MOV[CONTAS],$C742,LANÇ_MOV[PLANO DE CONTAS],REL_DRE_FINANCEIRO!$B$651,LANÇ_MOV[ANO PAGAMENTO],$B$4,LANÇ_MOV[MÊS PAGAMENTO CORRESPONDENTE],G$6,LANÇ_MOV[EMPRESA],$C$4,LANÇ_MOV[CENTRO DE CUSTOS],$D$4)</f>
        <v>0</v>
      </c>
      <c r="H742" s="206">
        <f>SUMIFS(LANÇ_MOV[VALOR LÍQUIDO],LANÇ_MOV[RECEITA OU DESPESA],"Despesa",LANÇ_MOV[CONTAS],$C742,LANÇ_MOV[PLANO DE CONTAS],REL_DRE_FINANCEIRO!$B$651,LANÇ_MOV[ANO PAGAMENTO],$B$4,LANÇ_MOV[MÊS PAGAMENTO CORRESPONDENTE],H$6,LANÇ_MOV[EMPRESA],$C$4,LANÇ_MOV[CENTRO DE CUSTOS],$D$4)</f>
        <v>0</v>
      </c>
      <c r="I742" s="206">
        <f>SUMIFS(LANÇ_MOV[VALOR LÍQUIDO],LANÇ_MOV[RECEITA OU DESPESA],"Despesa",LANÇ_MOV[CONTAS],$C742,LANÇ_MOV[PLANO DE CONTAS],REL_DRE_FINANCEIRO!$B$651,LANÇ_MOV[ANO PAGAMENTO],$B$4,LANÇ_MOV[MÊS PAGAMENTO CORRESPONDENTE],I$6,LANÇ_MOV[EMPRESA],$C$4,LANÇ_MOV[CENTRO DE CUSTOS],$D$4)</f>
        <v>0</v>
      </c>
      <c r="J742" s="206">
        <f>SUMIFS(LANÇ_MOV[VALOR LÍQUIDO],LANÇ_MOV[RECEITA OU DESPESA],"Despesa",LANÇ_MOV[CONTAS],$C742,LANÇ_MOV[PLANO DE CONTAS],REL_DRE_FINANCEIRO!$B$651,LANÇ_MOV[ANO PAGAMENTO],$B$4,LANÇ_MOV[MÊS PAGAMENTO CORRESPONDENTE],J$6,LANÇ_MOV[EMPRESA],$C$4,LANÇ_MOV[CENTRO DE CUSTOS],$D$4)</f>
        <v>0</v>
      </c>
      <c r="K742" s="206">
        <f>SUMIFS(LANÇ_MOV[VALOR LÍQUIDO],LANÇ_MOV[RECEITA OU DESPESA],"Despesa",LANÇ_MOV[CONTAS],$C742,LANÇ_MOV[PLANO DE CONTAS],REL_DRE_FINANCEIRO!$B$651,LANÇ_MOV[ANO PAGAMENTO],$B$4,LANÇ_MOV[MÊS PAGAMENTO CORRESPONDENTE],K$6,LANÇ_MOV[EMPRESA],$C$4,LANÇ_MOV[CENTRO DE CUSTOS],$D$4)</f>
        <v>0</v>
      </c>
      <c r="L742" s="206">
        <f>SUMIFS(LANÇ_MOV[VALOR LÍQUIDO],LANÇ_MOV[RECEITA OU DESPESA],"Despesa",LANÇ_MOV[CONTAS],$C742,LANÇ_MOV[PLANO DE CONTAS],REL_DRE_FINANCEIRO!$B$651,LANÇ_MOV[ANO PAGAMENTO],$B$4,LANÇ_MOV[MÊS PAGAMENTO CORRESPONDENTE],L$6,LANÇ_MOV[EMPRESA],$C$4,LANÇ_MOV[CENTRO DE CUSTOS],$D$4)</f>
        <v>0</v>
      </c>
      <c r="M742" s="206">
        <f>SUMIFS(LANÇ_MOV[VALOR LÍQUIDO],LANÇ_MOV[RECEITA OU DESPESA],"Despesa",LANÇ_MOV[CONTAS],$C742,LANÇ_MOV[PLANO DE CONTAS],REL_DRE_FINANCEIRO!$B$651,LANÇ_MOV[ANO PAGAMENTO],$B$4,LANÇ_MOV[MÊS PAGAMENTO CORRESPONDENTE],M$6,LANÇ_MOV[EMPRESA],$C$4,LANÇ_MOV[CENTRO DE CUSTOS],$D$4)</f>
        <v>0</v>
      </c>
      <c r="N742" s="206">
        <f>SUMIFS(LANÇ_MOV[VALOR LÍQUIDO],LANÇ_MOV[RECEITA OU DESPESA],"Despesa",LANÇ_MOV[CONTAS],$C742,LANÇ_MOV[PLANO DE CONTAS],REL_DRE_FINANCEIRO!$B$651,LANÇ_MOV[ANO PAGAMENTO],$B$4,LANÇ_MOV[MÊS PAGAMENTO CORRESPONDENTE],N$6,LANÇ_MOV[EMPRESA],$C$4,LANÇ_MOV[CENTRO DE CUSTOS],$D$4)</f>
        <v>0</v>
      </c>
      <c r="O742" s="206">
        <f>SUMIFS(LANÇ_MOV[VALOR LÍQUIDO],LANÇ_MOV[RECEITA OU DESPESA],"Despesa",LANÇ_MOV[CONTAS],$C742,LANÇ_MOV[PLANO DE CONTAS],REL_DRE_FINANCEIRO!$B$651,LANÇ_MOV[ANO PAGAMENTO],$B$4,LANÇ_MOV[MÊS PAGAMENTO CORRESPONDENTE],O$6,LANÇ_MOV[EMPRESA],$C$4,LANÇ_MOV[CENTRO DE CUSTOS],$D$4)</f>
        <v>0</v>
      </c>
      <c r="P742" s="207">
        <f t="shared" si="94"/>
        <v>0</v>
      </c>
      <c r="Q742" s="329">
        <v>9.9999999999999995E-7</v>
      </c>
      <c r="R742" s="346">
        <f t="shared" si="95"/>
        <v>9.9999999999999995E-7</v>
      </c>
      <c r="S742" s="347" t="str">
        <f t="shared" si="96"/>
        <v>-</v>
      </c>
      <c r="T742" s="347">
        <f t="shared" si="97"/>
        <v>0</v>
      </c>
      <c r="U742" s="347">
        <f>HLOOKUP(Apoio!$P$12,$D$650:$P$751,X742,FALSE)+Q742</f>
        <v>9.9999999999999995E-7</v>
      </c>
      <c r="V742" s="447" t="str">
        <f t="shared" si="98"/>
        <v>-</v>
      </c>
      <c r="W742" s="448">
        <f>HLOOKUP(Apoio!$P$12,$D$650:$P$751,X742,FALSE)</f>
        <v>0</v>
      </c>
      <c r="X742" s="329">
        <v>93</v>
      </c>
    </row>
    <row r="743" spans="2:24" ht="30.05" customHeight="1" x14ac:dyDescent="0.35">
      <c r="B743" s="204" t="str">
        <f>'CAD_PL_REC-DESP'!W96</f>
        <v>2.5.92</v>
      </c>
      <c r="C743" s="205" t="str">
        <f>IF('CAD_PL_REC-DESP'!X96="","-",'CAD_PL_REC-DESP'!X96)</f>
        <v>-</v>
      </c>
      <c r="D743" s="206">
        <f>SUMIFS(LANÇ_MOV[VALOR LÍQUIDO],LANÇ_MOV[RECEITA OU DESPESA],"Despesa",LANÇ_MOV[CONTAS],$C743,LANÇ_MOV[PLANO DE CONTAS],REL_DRE_FINANCEIRO!$B$651,LANÇ_MOV[ANO PAGAMENTO],$B$4,LANÇ_MOV[MÊS PAGAMENTO CORRESPONDENTE],D$6,LANÇ_MOV[EMPRESA],$C$4,LANÇ_MOV[CENTRO DE CUSTOS],$D$4)</f>
        <v>0</v>
      </c>
      <c r="E743" s="206">
        <f>SUMIFS(LANÇ_MOV[VALOR LÍQUIDO],LANÇ_MOV[RECEITA OU DESPESA],"Despesa",LANÇ_MOV[CONTAS],$C743,LANÇ_MOV[PLANO DE CONTAS],REL_DRE_FINANCEIRO!$B$651,LANÇ_MOV[ANO PAGAMENTO],$B$4,LANÇ_MOV[MÊS PAGAMENTO CORRESPONDENTE],E$6,LANÇ_MOV[EMPRESA],$C$4,LANÇ_MOV[CENTRO DE CUSTOS],$D$4)</f>
        <v>0</v>
      </c>
      <c r="F743" s="206">
        <f>SUMIFS(LANÇ_MOV[VALOR LÍQUIDO],LANÇ_MOV[RECEITA OU DESPESA],"Despesa",LANÇ_MOV[CONTAS],$C743,LANÇ_MOV[PLANO DE CONTAS],REL_DRE_FINANCEIRO!$B$651,LANÇ_MOV[ANO PAGAMENTO],$B$4,LANÇ_MOV[MÊS PAGAMENTO CORRESPONDENTE],F$6,LANÇ_MOV[EMPRESA],$C$4,LANÇ_MOV[CENTRO DE CUSTOS],$D$4)</f>
        <v>0</v>
      </c>
      <c r="G743" s="206">
        <f>SUMIFS(LANÇ_MOV[VALOR LÍQUIDO],LANÇ_MOV[RECEITA OU DESPESA],"Despesa",LANÇ_MOV[CONTAS],$C743,LANÇ_MOV[PLANO DE CONTAS],REL_DRE_FINANCEIRO!$B$651,LANÇ_MOV[ANO PAGAMENTO],$B$4,LANÇ_MOV[MÊS PAGAMENTO CORRESPONDENTE],G$6,LANÇ_MOV[EMPRESA],$C$4,LANÇ_MOV[CENTRO DE CUSTOS],$D$4)</f>
        <v>0</v>
      </c>
      <c r="H743" s="206">
        <f>SUMIFS(LANÇ_MOV[VALOR LÍQUIDO],LANÇ_MOV[RECEITA OU DESPESA],"Despesa",LANÇ_MOV[CONTAS],$C743,LANÇ_MOV[PLANO DE CONTAS],REL_DRE_FINANCEIRO!$B$651,LANÇ_MOV[ANO PAGAMENTO],$B$4,LANÇ_MOV[MÊS PAGAMENTO CORRESPONDENTE],H$6,LANÇ_MOV[EMPRESA],$C$4,LANÇ_MOV[CENTRO DE CUSTOS],$D$4)</f>
        <v>0</v>
      </c>
      <c r="I743" s="206">
        <f>SUMIFS(LANÇ_MOV[VALOR LÍQUIDO],LANÇ_MOV[RECEITA OU DESPESA],"Despesa",LANÇ_MOV[CONTAS],$C743,LANÇ_MOV[PLANO DE CONTAS],REL_DRE_FINANCEIRO!$B$651,LANÇ_MOV[ANO PAGAMENTO],$B$4,LANÇ_MOV[MÊS PAGAMENTO CORRESPONDENTE],I$6,LANÇ_MOV[EMPRESA],$C$4,LANÇ_MOV[CENTRO DE CUSTOS],$D$4)</f>
        <v>0</v>
      </c>
      <c r="J743" s="206">
        <f>SUMIFS(LANÇ_MOV[VALOR LÍQUIDO],LANÇ_MOV[RECEITA OU DESPESA],"Despesa",LANÇ_MOV[CONTAS],$C743,LANÇ_MOV[PLANO DE CONTAS],REL_DRE_FINANCEIRO!$B$651,LANÇ_MOV[ANO PAGAMENTO],$B$4,LANÇ_MOV[MÊS PAGAMENTO CORRESPONDENTE],J$6,LANÇ_MOV[EMPRESA],$C$4,LANÇ_MOV[CENTRO DE CUSTOS],$D$4)</f>
        <v>0</v>
      </c>
      <c r="K743" s="206">
        <f>SUMIFS(LANÇ_MOV[VALOR LÍQUIDO],LANÇ_MOV[RECEITA OU DESPESA],"Despesa",LANÇ_MOV[CONTAS],$C743,LANÇ_MOV[PLANO DE CONTAS],REL_DRE_FINANCEIRO!$B$651,LANÇ_MOV[ANO PAGAMENTO],$B$4,LANÇ_MOV[MÊS PAGAMENTO CORRESPONDENTE],K$6,LANÇ_MOV[EMPRESA],$C$4,LANÇ_MOV[CENTRO DE CUSTOS],$D$4)</f>
        <v>0</v>
      </c>
      <c r="L743" s="206">
        <f>SUMIFS(LANÇ_MOV[VALOR LÍQUIDO],LANÇ_MOV[RECEITA OU DESPESA],"Despesa",LANÇ_MOV[CONTAS],$C743,LANÇ_MOV[PLANO DE CONTAS],REL_DRE_FINANCEIRO!$B$651,LANÇ_MOV[ANO PAGAMENTO],$B$4,LANÇ_MOV[MÊS PAGAMENTO CORRESPONDENTE],L$6,LANÇ_MOV[EMPRESA],$C$4,LANÇ_MOV[CENTRO DE CUSTOS],$D$4)</f>
        <v>0</v>
      </c>
      <c r="M743" s="206">
        <f>SUMIFS(LANÇ_MOV[VALOR LÍQUIDO],LANÇ_MOV[RECEITA OU DESPESA],"Despesa",LANÇ_MOV[CONTAS],$C743,LANÇ_MOV[PLANO DE CONTAS],REL_DRE_FINANCEIRO!$B$651,LANÇ_MOV[ANO PAGAMENTO],$B$4,LANÇ_MOV[MÊS PAGAMENTO CORRESPONDENTE],M$6,LANÇ_MOV[EMPRESA],$C$4,LANÇ_MOV[CENTRO DE CUSTOS],$D$4)</f>
        <v>0</v>
      </c>
      <c r="N743" s="206">
        <f>SUMIFS(LANÇ_MOV[VALOR LÍQUIDO],LANÇ_MOV[RECEITA OU DESPESA],"Despesa",LANÇ_MOV[CONTAS],$C743,LANÇ_MOV[PLANO DE CONTAS],REL_DRE_FINANCEIRO!$B$651,LANÇ_MOV[ANO PAGAMENTO],$B$4,LANÇ_MOV[MÊS PAGAMENTO CORRESPONDENTE],N$6,LANÇ_MOV[EMPRESA],$C$4,LANÇ_MOV[CENTRO DE CUSTOS],$D$4)</f>
        <v>0</v>
      </c>
      <c r="O743" s="206">
        <f>SUMIFS(LANÇ_MOV[VALOR LÍQUIDO],LANÇ_MOV[RECEITA OU DESPESA],"Despesa",LANÇ_MOV[CONTAS],$C743,LANÇ_MOV[PLANO DE CONTAS],REL_DRE_FINANCEIRO!$B$651,LANÇ_MOV[ANO PAGAMENTO],$B$4,LANÇ_MOV[MÊS PAGAMENTO CORRESPONDENTE],O$6,LANÇ_MOV[EMPRESA],$C$4,LANÇ_MOV[CENTRO DE CUSTOS],$D$4)</f>
        <v>0</v>
      </c>
      <c r="P743" s="207">
        <f t="shared" si="94"/>
        <v>0</v>
      </c>
      <c r="Q743" s="329">
        <v>8.9999999999999996E-7</v>
      </c>
      <c r="R743" s="346">
        <f t="shared" si="95"/>
        <v>8.9999999999999996E-7</v>
      </c>
      <c r="S743" s="347" t="str">
        <f t="shared" si="96"/>
        <v>-</v>
      </c>
      <c r="T743" s="347">
        <f t="shared" si="97"/>
        <v>0</v>
      </c>
      <c r="U743" s="347">
        <f>HLOOKUP(Apoio!$P$12,$D$650:$P$751,X743,FALSE)+Q743</f>
        <v>8.9999999999999996E-7</v>
      </c>
      <c r="V743" s="447" t="str">
        <f t="shared" si="98"/>
        <v>-</v>
      </c>
      <c r="W743" s="448">
        <f>HLOOKUP(Apoio!$P$12,$D$650:$P$751,X743,FALSE)</f>
        <v>0</v>
      </c>
      <c r="X743" s="329">
        <v>94</v>
      </c>
    </row>
    <row r="744" spans="2:24" ht="30.05" customHeight="1" x14ac:dyDescent="0.35">
      <c r="B744" s="204" t="str">
        <f>'CAD_PL_REC-DESP'!W97</f>
        <v>2.5.93</v>
      </c>
      <c r="C744" s="205" t="str">
        <f>IF('CAD_PL_REC-DESP'!X97="","-",'CAD_PL_REC-DESP'!X97)</f>
        <v>-</v>
      </c>
      <c r="D744" s="206">
        <f>SUMIFS(LANÇ_MOV[VALOR LÍQUIDO],LANÇ_MOV[RECEITA OU DESPESA],"Despesa",LANÇ_MOV[CONTAS],$C744,LANÇ_MOV[PLANO DE CONTAS],REL_DRE_FINANCEIRO!$B$651,LANÇ_MOV[ANO PAGAMENTO],$B$4,LANÇ_MOV[MÊS PAGAMENTO CORRESPONDENTE],D$6,LANÇ_MOV[EMPRESA],$C$4,LANÇ_MOV[CENTRO DE CUSTOS],$D$4)</f>
        <v>0</v>
      </c>
      <c r="E744" s="206">
        <f>SUMIFS(LANÇ_MOV[VALOR LÍQUIDO],LANÇ_MOV[RECEITA OU DESPESA],"Despesa",LANÇ_MOV[CONTAS],$C744,LANÇ_MOV[PLANO DE CONTAS],REL_DRE_FINANCEIRO!$B$651,LANÇ_MOV[ANO PAGAMENTO],$B$4,LANÇ_MOV[MÊS PAGAMENTO CORRESPONDENTE],E$6,LANÇ_MOV[EMPRESA],$C$4,LANÇ_MOV[CENTRO DE CUSTOS],$D$4)</f>
        <v>0</v>
      </c>
      <c r="F744" s="206">
        <f>SUMIFS(LANÇ_MOV[VALOR LÍQUIDO],LANÇ_MOV[RECEITA OU DESPESA],"Despesa",LANÇ_MOV[CONTAS],$C744,LANÇ_MOV[PLANO DE CONTAS],REL_DRE_FINANCEIRO!$B$651,LANÇ_MOV[ANO PAGAMENTO],$B$4,LANÇ_MOV[MÊS PAGAMENTO CORRESPONDENTE],F$6,LANÇ_MOV[EMPRESA],$C$4,LANÇ_MOV[CENTRO DE CUSTOS],$D$4)</f>
        <v>0</v>
      </c>
      <c r="G744" s="206">
        <f>SUMIFS(LANÇ_MOV[VALOR LÍQUIDO],LANÇ_MOV[RECEITA OU DESPESA],"Despesa",LANÇ_MOV[CONTAS],$C744,LANÇ_MOV[PLANO DE CONTAS],REL_DRE_FINANCEIRO!$B$651,LANÇ_MOV[ANO PAGAMENTO],$B$4,LANÇ_MOV[MÊS PAGAMENTO CORRESPONDENTE],G$6,LANÇ_MOV[EMPRESA],$C$4,LANÇ_MOV[CENTRO DE CUSTOS],$D$4)</f>
        <v>0</v>
      </c>
      <c r="H744" s="206">
        <f>SUMIFS(LANÇ_MOV[VALOR LÍQUIDO],LANÇ_MOV[RECEITA OU DESPESA],"Despesa",LANÇ_MOV[CONTAS],$C744,LANÇ_MOV[PLANO DE CONTAS],REL_DRE_FINANCEIRO!$B$651,LANÇ_MOV[ANO PAGAMENTO],$B$4,LANÇ_MOV[MÊS PAGAMENTO CORRESPONDENTE],H$6,LANÇ_MOV[EMPRESA],$C$4,LANÇ_MOV[CENTRO DE CUSTOS],$D$4)</f>
        <v>0</v>
      </c>
      <c r="I744" s="206">
        <f>SUMIFS(LANÇ_MOV[VALOR LÍQUIDO],LANÇ_MOV[RECEITA OU DESPESA],"Despesa",LANÇ_MOV[CONTAS],$C744,LANÇ_MOV[PLANO DE CONTAS],REL_DRE_FINANCEIRO!$B$651,LANÇ_MOV[ANO PAGAMENTO],$B$4,LANÇ_MOV[MÊS PAGAMENTO CORRESPONDENTE],I$6,LANÇ_MOV[EMPRESA],$C$4,LANÇ_MOV[CENTRO DE CUSTOS],$D$4)</f>
        <v>0</v>
      </c>
      <c r="J744" s="206">
        <f>SUMIFS(LANÇ_MOV[VALOR LÍQUIDO],LANÇ_MOV[RECEITA OU DESPESA],"Despesa",LANÇ_MOV[CONTAS],$C744,LANÇ_MOV[PLANO DE CONTAS],REL_DRE_FINANCEIRO!$B$651,LANÇ_MOV[ANO PAGAMENTO],$B$4,LANÇ_MOV[MÊS PAGAMENTO CORRESPONDENTE],J$6,LANÇ_MOV[EMPRESA],$C$4,LANÇ_MOV[CENTRO DE CUSTOS],$D$4)</f>
        <v>0</v>
      </c>
      <c r="K744" s="206">
        <f>SUMIFS(LANÇ_MOV[VALOR LÍQUIDO],LANÇ_MOV[RECEITA OU DESPESA],"Despesa",LANÇ_MOV[CONTAS],$C744,LANÇ_MOV[PLANO DE CONTAS],REL_DRE_FINANCEIRO!$B$651,LANÇ_MOV[ANO PAGAMENTO],$B$4,LANÇ_MOV[MÊS PAGAMENTO CORRESPONDENTE],K$6,LANÇ_MOV[EMPRESA],$C$4,LANÇ_MOV[CENTRO DE CUSTOS],$D$4)</f>
        <v>0</v>
      </c>
      <c r="L744" s="206">
        <f>SUMIFS(LANÇ_MOV[VALOR LÍQUIDO],LANÇ_MOV[RECEITA OU DESPESA],"Despesa",LANÇ_MOV[CONTAS],$C744,LANÇ_MOV[PLANO DE CONTAS],REL_DRE_FINANCEIRO!$B$651,LANÇ_MOV[ANO PAGAMENTO],$B$4,LANÇ_MOV[MÊS PAGAMENTO CORRESPONDENTE],L$6,LANÇ_MOV[EMPRESA],$C$4,LANÇ_MOV[CENTRO DE CUSTOS],$D$4)</f>
        <v>0</v>
      </c>
      <c r="M744" s="206">
        <f>SUMIFS(LANÇ_MOV[VALOR LÍQUIDO],LANÇ_MOV[RECEITA OU DESPESA],"Despesa",LANÇ_MOV[CONTAS],$C744,LANÇ_MOV[PLANO DE CONTAS],REL_DRE_FINANCEIRO!$B$651,LANÇ_MOV[ANO PAGAMENTO],$B$4,LANÇ_MOV[MÊS PAGAMENTO CORRESPONDENTE],M$6,LANÇ_MOV[EMPRESA],$C$4,LANÇ_MOV[CENTRO DE CUSTOS],$D$4)</f>
        <v>0</v>
      </c>
      <c r="N744" s="206">
        <f>SUMIFS(LANÇ_MOV[VALOR LÍQUIDO],LANÇ_MOV[RECEITA OU DESPESA],"Despesa",LANÇ_MOV[CONTAS],$C744,LANÇ_MOV[PLANO DE CONTAS],REL_DRE_FINANCEIRO!$B$651,LANÇ_MOV[ANO PAGAMENTO],$B$4,LANÇ_MOV[MÊS PAGAMENTO CORRESPONDENTE],N$6,LANÇ_MOV[EMPRESA],$C$4,LANÇ_MOV[CENTRO DE CUSTOS],$D$4)</f>
        <v>0</v>
      </c>
      <c r="O744" s="206">
        <f>SUMIFS(LANÇ_MOV[VALOR LÍQUIDO],LANÇ_MOV[RECEITA OU DESPESA],"Despesa",LANÇ_MOV[CONTAS],$C744,LANÇ_MOV[PLANO DE CONTAS],REL_DRE_FINANCEIRO!$B$651,LANÇ_MOV[ANO PAGAMENTO],$B$4,LANÇ_MOV[MÊS PAGAMENTO CORRESPONDENTE],O$6,LANÇ_MOV[EMPRESA],$C$4,LANÇ_MOV[CENTRO DE CUSTOS],$D$4)</f>
        <v>0</v>
      </c>
      <c r="P744" s="207">
        <f t="shared" si="94"/>
        <v>0</v>
      </c>
      <c r="Q744" s="329">
        <v>7.9999999999999996E-7</v>
      </c>
      <c r="R744" s="346">
        <f t="shared" si="95"/>
        <v>7.9999999999999996E-7</v>
      </c>
      <c r="S744" s="347" t="str">
        <f t="shared" si="96"/>
        <v>-</v>
      </c>
      <c r="T744" s="347">
        <f t="shared" si="97"/>
        <v>0</v>
      </c>
      <c r="U744" s="347">
        <f>HLOOKUP(Apoio!$P$12,$D$650:$P$751,X744,FALSE)+Q744</f>
        <v>7.9999999999999996E-7</v>
      </c>
      <c r="V744" s="447" t="str">
        <f t="shared" si="98"/>
        <v>-</v>
      </c>
      <c r="W744" s="448">
        <f>HLOOKUP(Apoio!$P$12,$D$650:$P$751,X744,FALSE)</f>
        <v>0</v>
      </c>
      <c r="X744" s="329">
        <v>95</v>
      </c>
    </row>
    <row r="745" spans="2:24" ht="30.05" customHeight="1" x14ac:dyDescent="0.35">
      <c r="B745" s="204" t="str">
        <f>'CAD_PL_REC-DESP'!W98</f>
        <v>2.5.94</v>
      </c>
      <c r="C745" s="205" t="str">
        <f>IF('CAD_PL_REC-DESP'!X98="","-",'CAD_PL_REC-DESP'!X98)</f>
        <v>-</v>
      </c>
      <c r="D745" s="206">
        <f>SUMIFS(LANÇ_MOV[VALOR LÍQUIDO],LANÇ_MOV[RECEITA OU DESPESA],"Despesa",LANÇ_MOV[CONTAS],$C745,LANÇ_MOV[PLANO DE CONTAS],REL_DRE_FINANCEIRO!$B$651,LANÇ_MOV[ANO PAGAMENTO],$B$4,LANÇ_MOV[MÊS PAGAMENTO CORRESPONDENTE],D$6,LANÇ_MOV[EMPRESA],$C$4,LANÇ_MOV[CENTRO DE CUSTOS],$D$4)</f>
        <v>0</v>
      </c>
      <c r="E745" s="206">
        <f>SUMIFS(LANÇ_MOV[VALOR LÍQUIDO],LANÇ_MOV[RECEITA OU DESPESA],"Despesa",LANÇ_MOV[CONTAS],$C745,LANÇ_MOV[PLANO DE CONTAS],REL_DRE_FINANCEIRO!$B$651,LANÇ_MOV[ANO PAGAMENTO],$B$4,LANÇ_MOV[MÊS PAGAMENTO CORRESPONDENTE],E$6,LANÇ_MOV[EMPRESA],$C$4,LANÇ_MOV[CENTRO DE CUSTOS],$D$4)</f>
        <v>0</v>
      </c>
      <c r="F745" s="206">
        <f>SUMIFS(LANÇ_MOV[VALOR LÍQUIDO],LANÇ_MOV[RECEITA OU DESPESA],"Despesa",LANÇ_MOV[CONTAS],$C745,LANÇ_MOV[PLANO DE CONTAS],REL_DRE_FINANCEIRO!$B$651,LANÇ_MOV[ANO PAGAMENTO],$B$4,LANÇ_MOV[MÊS PAGAMENTO CORRESPONDENTE],F$6,LANÇ_MOV[EMPRESA],$C$4,LANÇ_MOV[CENTRO DE CUSTOS],$D$4)</f>
        <v>0</v>
      </c>
      <c r="G745" s="206">
        <f>SUMIFS(LANÇ_MOV[VALOR LÍQUIDO],LANÇ_MOV[RECEITA OU DESPESA],"Despesa",LANÇ_MOV[CONTAS],$C745,LANÇ_MOV[PLANO DE CONTAS],REL_DRE_FINANCEIRO!$B$651,LANÇ_MOV[ANO PAGAMENTO],$B$4,LANÇ_MOV[MÊS PAGAMENTO CORRESPONDENTE],G$6,LANÇ_MOV[EMPRESA],$C$4,LANÇ_MOV[CENTRO DE CUSTOS],$D$4)</f>
        <v>0</v>
      </c>
      <c r="H745" s="206">
        <f>SUMIFS(LANÇ_MOV[VALOR LÍQUIDO],LANÇ_MOV[RECEITA OU DESPESA],"Despesa",LANÇ_MOV[CONTAS],$C745,LANÇ_MOV[PLANO DE CONTAS],REL_DRE_FINANCEIRO!$B$651,LANÇ_MOV[ANO PAGAMENTO],$B$4,LANÇ_MOV[MÊS PAGAMENTO CORRESPONDENTE],H$6,LANÇ_MOV[EMPRESA],$C$4,LANÇ_MOV[CENTRO DE CUSTOS],$D$4)</f>
        <v>0</v>
      </c>
      <c r="I745" s="206">
        <f>SUMIFS(LANÇ_MOV[VALOR LÍQUIDO],LANÇ_MOV[RECEITA OU DESPESA],"Despesa",LANÇ_MOV[CONTAS],$C745,LANÇ_MOV[PLANO DE CONTAS],REL_DRE_FINANCEIRO!$B$651,LANÇ_MOV[ANO PAGAMENTO],$B$4,LANÇ_MOV[MÊS PAGAMENTO CORRESPONDENTE],I$6,LANÇ_MOV[EMPRESA],$C$4,LANÇ_MOV[CENTRO DE CUSTOS],$D$4)</f>
        <v>0</v>
      </c>
      <c r="J745" s="206">
        <f>SUMIFS(LANÇ_MOV[VALOR LÍQUIDO],LANÇ_MOV[RECEITA OU DESPESA],"Despesa",LANÇ_MOV[CONTAS],$C745,LANÇ_MOV[PLANO DE CONTAS],REL_DRE_FINANCEIRO!$B$651,LANÇ_MOV[ANO PAGAMENTO],$B$4,LANÇ_MOV[MÊS PAGAMENTO CORRESPONDENTE],J$6,LANÇ_MOV[EMPRESA],$C$4,LANÇ_MOV[CENTRO DE CUSTOS],$D$4)</f>
        <v>0</v>
      </c>
      <c r="K745" s="206">
        <f>SUMIFS(LANÇ_MOV[VALOR LÍQUIDO],LANÇ_MOV[RECEITA OU DESPESA],"Despesa",LANÇ_MOV[CONTAS],$C745,LANÇ_MOV[PLANO DE CONTAS],REL_DRE_FINANCEIRO!$B$651,LANÇ_MOV[ANO PAGAMENTO],$B$4,LANÇ_MOV[MÊS PAGAMENTO CORRESPONDENTE],K$6,LANÇ_MOV[EMPRESA],$C$4,LANÇ_MOV[CENTRO DE CUSTOS],$D$4)</f>
        <v>0</v>
      </c>
      <c r="L745" s="206">
        <f>SUMIFS(LANÇ_MOV[VALOR LÍQUIDO],LANÇ_MOV[RECEITA OU DESPESA],"Despesa",LANÇ_MOV[CONTAS],$C745,LANÇ_MOV[PLANO DE CONTAS],REL_DRE_FINANCEIRO!$B$651,LANÇ_MOV[ANO PAGAMENTO],$B$4,LANÇ_MOV[MÊS PAGAMENTO CORRESPONDENTE],L$6,LANÇ_MOV[EMPRESA],$C$4,LANÇ_MOV[CENTRO DE CUSTOS],$D$4)</f>
        <v>0</v>
      </c>
      <c r="M745" s="206">
        <f>SUMIFS(LANÇ_MOV[VALOR LÍQUIDO],LANÇ_MOV[RECEITA OU DESPESA],"Despesa",LANÇ_MOV[CONTAS],$C745,LANÇ_MOV[PLANO DE CONTAS],REL_DRE_FINANCEIRO!$B$651,LANÇ_MOV[ANO PAGAMENTO],$B$4,LANÇ_MOV[MÊS PAGAMENTO CORRESPONDENTE],M$6,LANÇ_MOV[EMPRESA],$C$4,LANÇ_MOV[CENTRO DE CUSTOS],$D$4)</f>
        <v>0</v>
      </c>
      <c r="N745" s="206">
        <f>SUMIFS(LANÇ_MOV[VALOR LÍQUIDO],LANÇ_MOV[RECEITA OU DESPESA],"Despesa",LANÇ_MOV[CONTAS],$C745,LANÇ_MOV[PLANO DE CONTAS],REL_DRE_FINANCEIRO!$B$651,LANÇ_MOV[ANO PAGAMENTO],$B$4,LANÇ_MOV[MÊS PAGAMENTO CORRESPONDENTE],N$6,LANÇ_MOV[EMPRESA],$C$4,LANÇ_MOV[CENTRO DE CUSTOS],$D$4)</f>
        <v>0</v>
      </c>
      <c r="O745" s="206">
        <f>SUMIFS(LANÇ_MOV[VALOR LÍQUIDO],LANÇ_MOV[RECEITA OU DESPESA],"Despesa",LANÇ_MOV[CONTAS],$C745,LANÇ_MOV[PLANO DE CONTAS],REL_DRE_FINANCEIRO!$B$651,LANÇ_MOV[ANO PAGAMENTO],$B$4,LANÇ_MOV[MÊS PAGAMENTO CORRESPONDENTE],O$6,LANÇ_MOV[EMPRESA],$C$4,LANÇ_MOV[CENTRO DE CUSTOS],$D$4)</f>
        <v>0</v>
      </c>
      <c r="P745" s="207">
        <f t="shared" si="94"/>
        <v>0</v>
      </c>
      <c r="Q745" s="329">
        <v>6.9999999999999997E-7</v>
      </c>
      <c r="R745" s="346">
        <f t="shared" si="95"/>
        <v>6.9999999999999997E-7</v>
      </c>
      <c r="S745" s="347" t="str">
        <f t="shared" si="96"/>
        <v>-</v>
      </c>
      <c r="T745" s="347">
        <f t="shared" si="97"/>
        <v>0</v>
      </c>
      <c r="U745" s="347">
        <f>HLOOKUP(Apoio!$P$12,$D$650:$P$751,X745,FALSE)+Q745</f>
        <v>6.9999999999999997E-7</v>
      </c>
      <c r="V745" s="447" t="str">
        <f t="shared" si="98"/>
        <v>-</v>
      </c>
      <c r="W745" s="448">
        <f>HLOOKUP(Apoio!$P$12,$D$650:$P$751,X745,FALSE)</f>
        <v>0</v>
      </c>
      <c r="X745" s="329">
        <v>96</v>
      </c>
    </row>
    <row r="746" spans="2:24" ht="30.05" customHeight="1" x14ac:dyDescent="0.35">
      <c r="B746" s="204" t="str">
        <f>'CAD_PL_REC-DESP'!W99</f>
        <v>2.5.95</v>
      </c>
      <c r="C746" s="205" t="str">
        <f>IF('CAD_PL_REC-DESP'!X99="","-",'CAD_PL_REC-DESP'!X99)</f>
        <v>-</v>
      </c>
      <c r="D746" s="206">
        <f>SUMIFS(LANÇ_MOV[VALOR LÍQUIDO],LANÇ_MOV[RECEITA OU DESPESA],"Despesa",LANÇ_MOV[CONTAS],$C746,LANÇ_MOV[PLANO DE CONTAS],REL_DRE_FINANCEIRO!$B$651,LANÇ_MOV[ANO PAGAMENTO],$B$4,LANÇ_MOV[MÊS PAGAMENTO CORRESPONDENTE],D$6,LANÇ_MOV[EMPRESA],$C$4,LANÇ_MOV[CENTRO DE CUSTOS],$D$4)</f>
        <v>0</v>
      </c>
      <c r="E746" s="206">
        <f>SUMIFS(LANÇ_MOV[VALOR LÍQUIDO],LANÇ_MOV[RECEITA OU DESPESA],"Despesa",LANÇ_MOV[CONTAS],$C746,LANÇ_MOV[PLANO DE CONTAS],REL_DRE_FINANCEIRO!$B$651,LANÇ_MOV[ANO PAGAMENTO],$B$4,LANÇ_MOV[MÊS PAGAMENTO CORRESPONDENTE],E$6,LANÇ_MOV[EMPRESA],$C$4,LANÇ_MOV[CENTRO DE CUSTOS],$D$4)</f>
        <v>0</v>
      </c>
      <c r="F746" s="206">
        <f>SUMIFS(LANÇ_MOV[VALOR LÍQUIDO],LANÇ_MOV[RECEITA OU DESPESA],"Despesa",LANÇ_MOV[CONTAS],$C746,LANÇ_MOV[PLANO DE CONTAS],REL_DRE_FINANCEIRO!$B$651,LANÇ_MOV[ANO PAGAMENTO],$B$4,LANÇ_MOV[MÊS PAGAMENTO CORRESPONDENTE],F$6,LANÇ_MOV[EMPRESA],$C$4,LANÇ_MOV[CENTRO DE CUSTOS],$D$4)</f>
        <v>0</v>
      </c>
      <c r="G746" s="206">
        <f>SUMIFS(LANÇ_MOV[VALOR LÍQUIDO],LANÇ_MOV[RECEITA OU DESPESA],"Despesa",LANÇ_MOV[CONTAS],$C746,LANÇ_MOV[PLANO DE CONTAS],REL_DRE_FINANCEIRO!$B$651,LANÇ_MOV[ANO PAGAMENTO],$B$4,LANÇ_MOV[MÊS PAGAMENTO CORRESPONDENTE],G$6,LANÇ_MOV[EMPRESA],$C$4,LANÇ_MOV[CENTRO DE CUSTOS],$D$4)</f>
        <v>0</v>
      </c>
      <c r="H746" s="206">
        <f>SUMIFS(LANÇ_MOV[VALOR LÍQUIDO],LANÇ_MOV[RECEITA OU DESPESA],"Despesa",LANÇ_MOV[CONTAS],$C746,LANÇ_MOV[PLANO DE CONTAS],REL_DRE_FINANCEIRO!$B$651,LANÇ_MOV[ANO PAGAMENTO],$B$4,LANÇ_MOV[MÊS PAGAMENTO CORRESPONDENTE],H$6,LANÇ_MOV[EMPRESA],$C$4,LANÇ_MOV[CENTRO DE CUSTOS],$D$4)</f>
        <v>0</v>
      </c>
      <c r="I746" s="206">
        <f>SUMIFS(LANÇ_MOV[VALOR LÍQUIDO],LANÇ_MOV[RECEITA OU DESPESA],"Despesa",LANÇ_MOV[CONTAS],$C746,LANÇ_MOV[PLANO DE CONTAS],REL_DRE_FINANCEIRO!$B$651,LANÇ_MOV[ANO PAGAMENTO],$B$4,LANÇ_MOV[MÊS PAGAMENTO CORRESPONDENTE],I$6,LANÇ_MOV[EMPRESA],$C$4,LANÇ_MOV[CENTRO DE CUSTOS],$D$4)</f>
        <v>0</v>
      </c>
      <c r="J746" s="206">
        <f>SUMIFS(LANÇ_MOV[VALOR LÍQUIDO],LANÇ_MOV[RECEITA OU DESPESA],"Despesa",LANÇ_MOV[CONTAS],$C746,LANÇ_MOV[PLANO DE CONTAS],REL_DRE_FINANCEIRO!$B$651,LANÇ_MOV[ANO PAGAMENTO],$B$4,LANÇ_MOV[MÊS PAGAMENTO CORRESPONDENTE],J$6,LANÇ_MOV[EMPRESA],$C$4,LANÇ_MOV[CENTRO DE CUSTOS],$D$4)</f>
        <v>0</v>
      </c>
      <c r="K746" s="206">
        <f>SUMIFS(LANÇ_MOV[VALOR LÍQUIDO],LANÇ_MOV[RECEITA OU DESPESA],"Despesa",LANÇ_MOV[CONTAS],$C746,LANÇ_MOV[PLANO DE CONTAS],REL_DRE_FINANCEIRO!$B$651,LANÇ_MOV[ANO PAGAMENTO],$B$4,LANÇ_MOV[MÊS PAGAMENTO CORRESPONDENTE],K$6,LANÇ_MOV[EMPRESA],$C$4,LANÇ_MOV[CENTRO DE CUSTOS],$D$4)</f>
        <v>0</v>
      </c>
      <c r="L746" s="206">
        <f>SUMIFS(LANÇ_MOV[VALOR LÍQUIDO],LANÇ_MOV[RECEITA OU DESPESA],"Despesa",LANÇ_MOV[CONTAS],$C746,LANÇ_MOV[PLANO DE CONTAS],REL_DRE_FINANCEIRO!$B$651,LANÇ_MOV[ANO PAGAMENTO],$B$4,LANÇ_MOV[MÊS PAGAMENTO CORRESPONDENTE],L$6,LANÇ_MOV[EMPRESA],$C$4,LANÇ_MOV[CENTRO DE CUSTOS],$D$4)</f>
        <v>0</v>
      </c>
      <c r="M746" s="206">
        <f>SUMIFS(LANÇ_MOV[VALOR LÍQUIDO],LANÇ_MOV[RECEITA OU DESPESA],"Despesa",LANÇ_MOV[CONTAS],$C746,LANÇ_MOV[PLANO DE CONTAS],REL_DRE_FINANCEIRO!$B$651,LANÇ_MOV[ANO PAGAMENTO],$B$4,LANÇ_MOV[MÊS PAGAMENTO CORRESPONDENTE],M$6,LANÇ_MOV[EMPRESA],$C$4,LANÇ_MOV[CENTRO DE CUSTOS],$D$4)</f>
        <v>0</v>
      </c>
      <c r="N746" s="206">
        <f>SUMIFS(LANÇ_MOV[VALOR LÍQUIDO],LANÇ_MOV[RECEITA OU DESPESA],"Despesa",LANÇ_MOV[CONTAS],$C746,LANÇ_MOV[PLANO DE CONTAS],REL_DRE_FINANCEIRO!$B$651,LANÇ_MOV[ANO PAGAMENTO],$B$4,LANÇ_MOV[MÊS PAGAMENTO CORRESPONDENTE],N$6,LANÇ_MOV[EMPRESA],$C$4,LANÇ_MOV[CENTRO DE CUSTOS],$D$4)</f>
        <v>0</v>
      </c>
      <c r="O746" s="206">
        <f>SUMIFS(LANÇ_MOV[VALOR LÍQUIDO],LANÇ_MOV[RECEITA OU DESPESA],"Despesa",LANÇ_MOV[CONTAS],$C746,LANÇ_MOV[PLANO DE CONTAS],REL_DRE_FINANCEIRO!$B$651,LANÇ_MOV[ANO PAGAMENTO],$B$4,LANÇ_MOV[MÊS PAGAMENTO CORRESPONDENTE],O$6,LANÇ_MOV[EMPRESA],$C$4,LANÇ_MOV[CENTRO DE CUSTOS],$D$4)</f>
        <v>0</v>
      </c>
      <c r="P746" s="207">
        <f t="shared" si="94"/>
        <v>0</v>
      </c>
      <c r="Q746" s="329">
        <v>5.9999999999999997E-7</v>
      </c>
      <c r="R746" s="346">
        <f t="shared" si="95"/>
        <v>5.9999999999999997E-7</v>
      </c>
      <c r="S746" s="347" t="str">
        <f t="shared" si="96"/>
        <v>-</v>
      </c>
      <c r="T746" s="347">
        <f t="shared" si="97"/>
        <v>0</v>
      </c>
      <c r="U746" s="347">
        <f>HLOOKUP(Apoio!$P$12,$D$650:$P$751,X746,FALSE)+Q746</f>
        <v>5.9999999999999997E-7</v>
      </c>
      <c r="V746" s="447" t="str">
        <f t="shared" si="98"/>
        <v>-</v>
      </c>
      <c r="W746" s="448">
        <f>HLOOKUP(Apoio!$P$12,$D$650:$P$751,X746,FALSE)</f>
        <v>0</v>
      </c>
      <c r="X746" s="329">
        <v>97</v>
      </c>
    </row>
    <row r="747" spans="2:24" ht="30.05" customHeight="1" x14ac:dyDescent="0.35">
      <c r="B747" s="204" t="str">
        <f>'CAD_PL_REC-DESP'!W100</f>
        <v>2.5.96</v>
      </c>
      <c r="C747" s="205" t="str">
        <f>IF('CAD_PL_REC-DESP'!X100="","-",'CAD_PL_REC-DESP'!X100)</f>
        <v>-</v>
      </c>
      <c r="D747" s="206">
        <f>SUMIFS(LANÇ_MOV[VALOR LÍQUIDO],LANÇ_MOV[RECEITA OU DESPESA],"Despesa",LANÇ_MOV[CONTAS],$C747,LANÇ_MOV[PLANO DE CONTAS],REL_DRE_FINANCEIRO!$B$651,LANÇ_MOV[ANO PAGAMENTO],$B$4,LANÇ_MOV[MÊS PAGAMENTO CORRESPONDENTE],D$6,LANÇ_MOV[EMPRESA],$C$4,LANÇ_MOV[CENTRO DE CUSTOS],$D$4)</f>
        <v>0</v>
      </c>
      <c r="E747" s="206">
        <f>SUMIFS(LANÇ_MOV[VALOR LÍQUIDO],LANÇ_MOV[RECEITA OU DESPESA],"Despesa",LANÇ_MOV[CONTAS],$C747,LANÇ_MOV[PLANO DE CONTAS],REL_DRE_FINANCEIRO!$B$651,LANÇ_MOV[ANO PAGAMENTO],$B$4,LANÇ_MOV[MÊS PAGAMENTO CORRESPONDENTE],E$6,LANÇ_MOV[EMPRESA],$C$4,LANÇ_MOV[CENTRO DE CUSTOS],$D$4)</f>
        <v>0</v>
      </c>
      <c r="F747" s="206">
        <f>SUMIFS(LANÇ_MOV[VALOR LÍQUIDO],LANÇ_MOV[RECEITA OU DESPESA],"Despesa",LANÇ_MOV[CONTAS],$C747,LANÇ_MOV[PLANO DE CONTAS],REL_DRE_FINANCEIRO!$B$651,LANÇ_MOV[ANO PAGAMENTO],$B$4,LANÇ_MOV[MÊS PAGAMENTO CORRESPONDENTE],F$6,LANÇ_MOV[EMPRESA],$C$4,LANÇ_MOV[CENTRO DE CUSTOS],$D$4)</f>
        <v>0</v>
      </c>
      <c r="G747" s="206">
        <f>SUMIFS(LANÇ_MOV[VALOR LÍQUIDO],LANÇ_MOV[RECEITA OU DESPESA],"Despesa",LANÇ_MOV[CONTAS],$C747,LANÇ_MOV[PLANO DE CONTAS],REL_DRE_FINANCEIRO!$B$651,LANÇ_MOV[ANO PAGAMENTO],$B$4,LANÇ_MOV[MÊS PAGAMENTO CORRESPONDENTE],G$6,LANÇ_MOV[EMPRESA],$C$4,LANÇ_MOV[CENTRO DE CUSTOS],$D$4)</f>
        <v>0</v>
      </c>
      <c r="H747" s="206">
        <f>SUMIFS(LANÇ_MOV[VALOR LÍQUIDO],LANÇ_MOV[RECEITA OU DESPESA],"Despesa",LANÇ_MOV[CONTAS],$C747,LANÇ_MOV[PLANO DE CONTAS],REL_DRE_FINANCEIRO!$B$651,LANÇ_MOV[ANO PAGAMENTO],$B$4,LANÇ_MOV[MÊS PAGAMENTO CORRESPONDENTE],H$6,LANÇ_MOV[EMPRESA],$C$4,LANÇ_MOV[CENTRO DE CUSTOS],$D$4)</f>
        <v>0</v>
      </c>
      <c r="I747" s="206">
        <f>SUMIFS(LANÇ_MOV[VALOR LÍQUIDO],LANÇ_MOV[RECEITA OU DESPESA],"Despesa",LANÇ_MOV[CONTAS],$C747,LANÇ_MOV[PLANO DE CONTAS],REL_DRE_FINANCEIRO!$B$651,LANÇ_MOV[ANO PAGAMENTO],$B$4,LANÇ_MOV[MÊS PAGAMENTO CORRESPONDENTE],I$6,LANÇ_MOV[EMPRESA],$C$4,LANÇ_MOV[CENTRO DE CUSTOS],$D$4)</f>
        <v>0</v>
      </c>
      <c r="J747" s="206">
        <f>SUMIFS(LANÇ_MOV[VALOR LÍQUIDO],LANÇ_MOV[RECEITA OU DESPESA],"Despesa",LANÇ_MOV[CONTAS],$C747,LANÇ_MOV[PLANO DE CONTAS],REL_DRE_FINANCEIRO!$B$651,LANÇ_MOV[ANO PAGAMENTO],$B$4,LANÇ_MOV[MÊS PAGAMENTO CORRESPONDENTE],J$6,LANÇ_MOV[EMPRESA],$C$4,LANÇ_MOV[CENTRO DE CUSTOS],$D$4)</f>
        <v>0</v>
      </c>
      <c r="K747" s="206">
        <f>SUMIFS(LANÇ_MOV[VALOR LÍQUIDO],LANÇ_MOV[RECEITA OU DESPESA],"Despesa",LANÇ_MOV[CONTAS],$C747,LANÇ_MOV[PLANO DE CONTAS],REL_DRE_FINANCEIRO!$B$651,LANÇ_MOV[ANO PAGAMENTO],$B$4,LANÇ_MOV[MÊS PAGAMENTO CORRESPONDENTE],K$6,LANÇ_MOV[EMPRESA],$C$4,LANÇ_MOV[CENTRO DE CUSTOS],$D$4)</f>
        <v>0</v>
      </c>
      <c r="L747" s="206">
        <f>SUMIFS(LANÇ_MOV[VALOR LÍQUIDO],LANÇ_MOV[RECEITA OU DESPESA],"Despesa",LANÇ_MOV[CONTAS],$C747,LANÇ_MOV[PLANO DE CONTAS],REL_DRE_FINANCEIRO!$B$651,LANÇ_MOV[ANO PAGAMENTO],$B$4,LANÇ_MOV[MÊS PAGAMENTO CORRESPONDENTE],L$6,LANÇ_MOV[EMPRESA],$C$4,LANÇ_MOV[CENTRO DE CUSTOS],$D$4)</f>
        <v>0</v>
      </c>
      <c r="M747" s="206">
        <f>SUMIFS(LANÇ_MOV[VALOR LÍQUIDO],LANÇ_MOV[RECEITA OU DESPESA],"Despesa",LANÇ_MOV[CONTAS],$C747,LANÇ_MOV[PLANO DE CONTAS],REL_DRE_FINANCEIRO!$B$651,LANÇ_MOV[ANO PAGAMENTO],$B$4,LANÇ_MOV[MÊS PAGAMENTO CORRESPONDENTE],M$6,LANÇ_MOV[EMPRESA],$C$4,LANÇ_MOV[CENTRO DE CUSTOS],$D$4)</f>
        <v>0</v>
      </c>
      <c r="N747" s="206">
        <f>SUMIFS(LANÇ_MOV[VALOR LÍQUIDO],LANÇ_MOV[RECEITA OU DESPESA],"Despesa",LANÇ_MOV[CONTAS],$C747,LANÇ_MOV[PLANO DE CONTAS],REL_DRE_FINANCEIRO!$B$651,LANÇ_MOV[ANO PAGAMENTO],$B$4,LANÇ_MOV[MÊS PAGAMENTO CORRESPONDENTE],N$6,LANÇ_MOV[EMPRESA],$C$4,LANÇ_MOV[CENTRO DE CUSTOS],$D$4)</f>
        <v>0</v>
      </c>
      <c r="O747" s="206">
        <f>SUMIFS(LANÇ_MOV[VALOR LÍQUIDO],LANÇ_MOV[RECEITA OU DESPESA],"Despesa",LANÇ_MOV[CONTAS],$C747,LANÇ_MOV[PLANO DE CONTAS],REL_DRE_FINANCEIRO!$B$651,LANÇ_MOV[ANO PAGAMENTO],$B$4,LANÇ_MOV[MÊS PAGAMENTO CORRESPONDENTE],O$6,LANÇ_MOV[EMPRESA],$C$4,LANÇ_MOV[CENTRO DE CUSTOS],$D$4)</f>
        <v>0</v>
      </c>
      <c r="P747" s="207">
        <f t="shared" si="94"/>
        <v>0</v>
      </c>
      <c r="Q747" s="329">
        <v>4.9999999999999998E-7</v>
      </c>
      <c r="R747" s="346">
        <f t="shared" si="95"/>
        <v>4.9999999999999998E-7</v>
      </c>
      <c r="S747" s="347" t="str">
        <f t="shared" si="96"/>
        <v>-</v>
      </c>
      <c r="T747" s="347">
        <f t="shared" si="97"/>
        <v>0</v>
      </c>
      <c r="U747" s="347">
        <f>HLOOKUP(Apoio!$P$12,$D$650:$P$751,X747,FALSE)+Q747</f>
        <v>4.9999999999999998E-7</v>
      </c>
      <c r="V747" s="447" t="str">
        <f t="shared" si="98"/>
        <v>-</v>
      </c>
      <c r="W747" s="448">
        <f>HLOOKUP(Apoio!$P$12,$D$650:$P$751,X747,FALSE)</f>
        <v>0</v>
      </c>
      <c r="X747" s="329">
        <v>98</v>
      </c>
    </row>
    <row r="748" spans="2:24" ht="30.05" customHeight="1" x14ac:dyDescent="0.35">
      <c r="B748" s="204" t="str">
        <f>'CAD_PL_REC-DESP'!W101</f>
        <v>2.5.97</v>
      </c>
      <c r="C748" s="205" t="str">
        <f>IF('CAD_PL_REC-DESP'!X101="","-",'CAD_PL_REC-DESP'!X101)</f>
        <v>-</v>
      </c>
      <c r="D748" s="206">
        <f>SUMIFS(LANÇ_MOV[VALOR LÍQUIDO],LANÇ_MOV[RECEITA OU DESPESA],"Despesa",LANÇ_MOV[CONTAS],$C748,LANÇ_MOV[PLANO DE CONTAS],REL_DRE_FINANCEIRO!$B$651,LANÇ_MOV[ANO PAGAMENTO],$B$4,LANÇ_MOV[MÊS PAGAMENTO CORRESPONDENTE],D$6,LANÇ_MOV[EMPRESA],$C$4,LANÇ_MOV[CENTRO DE CUSTOS],$D$4)</f>
        <v>0</v>
      </c>
      <c r="E748" s="206">
        <f>SUMIFS(LANÇ_MOV[VALOR LÍQUIDO],LANÇ_MOV[RECEITA OU DESPESA],"Despesa",LANÇ_MOV[CONTAS],$C748,LANÇ_MOV[PLANO DE CONTAS],REL_DRE_FINANCEIRO!$B$651,LANÇ_MOV[ANO PAGAMENTO],$B$4,LANÇ_MOV[MÊS PAGAMENTO CORRESPONDENTE],E$6,LANÇ_MOV[EMPRESA],$C$4,LANÇ_MOV[CENTRO DE CUSTOS],$D$4)</f>
        <v>0</v>
      </c>
      <c r="F748" s="206">
        <f>SUMIFS(LANÇ_MOV[VALOR LÍQUIDO],LANÇ_MOV[RECEITA OU DESPESA],"Despesa",LANÇ_MOV[CONTAS],$C748,LANÇ_MOV[PLANO DE CONTAS],REL_DRE_FINANCEIRO!$B$651,LANÇ_MOV[ANO PAGAMENTO],$B$4,LANÇ_MOV[MÊS PAGAMENTO CORRESPONDENTE],F$6,LANÇ_MOV[EMPRESA],$C$4,LANÇ_MOV[CENTRO DE CUSTOS],$D$4)</f>
        <v>0</v>
      </c>
      <c r="G748" s="206">
        <f>SUMIFS(LANÇ_MOV[VALOR LÍQUIDO],LANÇ_MOV[RECEITA OU DESPESA],"Despesa",LANÇ_MOV[CONTAS],$C748,LANÇ_MOV[PLANO DE CONTAS],REL_DRE_FINANCEIRO!$B$651,LANÇ_MOV[ANO PAGAMENTO],$B$4,LANÇ_MOV[MÊS PAGAMENTO CORRESPONDENTE],G$6,LANÇ_MOV[EMPRESA],$C$4,LANÇ_MOV[CENTRO DE CUSTOS],$D$4)</f>
        <v>0</v>
      </c>
      <c r="H748" s="206">
        <f>SUMIFS(LANÇ_MOV[VALOR LÍQUIDO],LANÇ_MOV[RECEITA OU DESPESA],"Despesa",LANÇ_MOV[CONTAS],$C748,LANÇ_MOV[PLANO DE CONTAS],REL_DRE_FINANCEIRO!$B$651,LANÇ_MOV[ANO PAGAMENTO],$B$4,LANÇ_MOV[MÊS PAGAMENTO CORRESPONDENTE],H$6,LANÇ_MOV[EMPRESA],$C$4,LANÇ_MOV[CENTRO DE CUSTOS],$D$4)</f>
        <v>0</v>
      </c>
      <c r="I748" s="206">
        <f>SUMIFS(LANÇ_MOV[VALOR LÍQUIDO],LANÇ_MOV[RECEITA OU DESPESA],"Despesa",LANÇ_MOV[CONTAS],$C748,LANÇ_MOV[PLANO DE CONTAS],REL_DRE_FINANCEIRO!$B$651,LANÇ_MOV[ANO PAGAMENTO],$B$4,LANÇ_MOV[MÊS PAGAMENTO CORRESPONDENTE],I$6,LANÇ_MOV[EMPRESA],$C$4,LANÇ_MOV[CENTRO DE CUSTOS],$D$4)</f>
        <v>0</v>
      </c>
      <c r="J748" s="206">
        <f>SUMIFS(LANÇ_MOV[VALOR LÍQUIDO],LANÇ_MOV[RECEITA OU DESPESA],"Despesa",LANÇ_MOV[CONTAS],$C748,LANÇ_MOV[PLANO DE CONTAS],REL_DRE_FINANCEIRO!$B$651,LANÇ_MOV[ANO PAGAMENTO],$B$4,LANÇ_MOV[MÊS PAGAMENTO CORRESPONDENTE],J$6,LANÇ_MOV[EMPRESA],$C$4,LANÇ_MOV[CENTRO DE CUSTOS],$D$4)</f>
        <v>0</v>
      </c>
      <c r="K748" s="206">
        <f>SUMIFS(LANÇ_MOV[VALOR LÍQUIDO],LANÇ_MOV[RECEITA OU DESPESA],"Despesa",LANÇ_MOV[CONTAS],$C748,LANÇ_MOV[PLANO DE CONTAS],REL_DRE_FINANCEIRO!$B$651,LANÇ_MOV[ANO PAGAMENTO],$B$4,LANÇ_MOV[MÊS PAGAMENTO CORRESPONDENTE],K$6,LANÇ_MOV[EMPRESA],$C$4,LANÇ_MOV[CENTRO DE CUSTOS],$D$4)</f>
        <v>0</v>
      </c>
      <c r="L748" s="206">
        <f>SUMIFS(LANÇ_MOV[VALOR LÍQUIDO],LANÇ_MOV[RECEITA OU DESPESA],"Despesa",LANÇ_MOV[CONTAS],$C748,LANÇ_MOV[PLANO DE CONTAS],REL_DRE_FINANCEIRO!$B$651,LANÇ_MOV[ANO PAGAMENTO],$B$4,LANÇ_MOV[MÊS PAGAMENTO CORRESPONDENTE],L$6,LANÇ_MOV[EMPRESA],$C$4,LANÇ_MOV[CENTRO DE CUSTOS],$D$4)</f>
        <v>0</v>
      </c>
      <c r="M748" s="206">
        <f>SUMIFS(LANÇ_MOV[VALOR LÍQUIDO],LANÇ_MOV[RECEITA OU DESPESA],"Despesa",LANÇ_MOV[CONTAS],$C748,LANÇ_MOV[PLANO DE CONTAS],REL_DRE_FINANCEIRO!$B$651,LANÇ_MOV[ANO PAGAMENTO],$B$4,LANÇ_MOV[MÊS PAGAMENTO CORRESPONDENTE],M$6,LANÇ_MOV[EMPRESA],$C$4,LANÇ_MOV[CENTRO DE CUSTOS],$D$4)</f>
        <v>0</v>
      </c>
      <c r="N748" s="206">
        <f>SUMIFS(LANÇ_MOV[VALOR LÍQUIDO],LANÇ_MOV[RECEITA OU DESPESA],"Despesa",LANÇ_MOV[CONTAS],$C748,LANÇ_MOV[PLANO DE CONTAS],REL_DRE_FINANCEIRO!$B$651,LANÇ_MOV[ANO PAGAMENTO],$B$4,LANÇ_MOV[MÊS PAGAMENTO CORRESPONDENTE],N$6,LANÇ_MOV[EMPRESA],$C$4,LANÇ_MOV[CENTRO DE CUSTOS],$D$4)</f>
        <v>0</v>
      </c>
      <c r="O748" s="206">
        <f>SUMIFS(LANÇ_MOV[VALOR LÍQUIDO],LANÇ_MOV[RECEITA OU DESPESA],"Despesa",LANÇ_MOV[CONTAS],$C748,LANÇ_MOV[PLANO DE CONTAS],REL_DRE_FINANCEIRO!$B$651,LANÇ_MOV[ANO PAGAMENTO],$B$4,LANÇ_MOV[MÊS PAGAMENTO CORRESPONDENTE],O$6,LANÇ_MOV[EMPRESA],$C$4,LANÇ_MOV[CENTRO DE CUSTOS],$D$4)</f>
        <v>0</v>
      </c>
      <c r="P748" s="207">
        <f t="shared" si="94"/>
        <v>0</v>
      </c>
      <c r="Q748" s="329">
        <v>3.9999999999999998E-7</v>
      </c>
      <c r="R748" s="346">
        <f t="shared" si="95"/>
        <v>3.9999999999999998E-7</v>
      </c>
      <c r="S748" s="347" t="str">
        <f t="shared" si="96"/>
        <v>-</v>
      </c>
      <c r="T748" s="347">
        <f t="shared" si="97"/>
        <v>0</v>
      </c>
      <c r="U748" s="347">
        <f>HLOOKUP(Apoio!$P$12,$D$650:$P$751,X748,FALSE)+Q748</f>
        <v>3.9999999999999998E-7</v>
      </c>
      <c r="V748" s="447" t="str">
        <f t="shared" si="98"/>
        <v>-</v>
      </c>
      <c r="W748" s="448">
        <f>HLOOKUP(Apoio!$P$12,$D$650:$P$751,X748,FALSE)</f>
        <v>0</v>
      </c>
      <c r="X748" s="329">
        <v>99</v>
      </c>
    </row>
    <row r="749" spans="2:24" ht="30.05" customHeight="1" x14ac:dyDescent="0.35">
      <c r="B749" s="204" t="str">
        <f>'CAD_PL_REC-DESP'!W102</f>
        <v>2.5.98</v>
      </c>
      <c r="C749" s="205" t="str">
        <f>IF('CAD_PL_REC-DESP'!X102="","-",'CAD_PL_REC-DESP'!X102)</f>
        <v>-</v>
      </c>
      <c r="D749" s="206">
        <f>SUMIFS(LANÇ_MOV[VALOR LÍQUIDO],LANÇ_MOV[RECEITA OU DESPESA],"Despesa",LANÇ_MOV[CONTAS],$C749,LANÇ_MOV[PLANO DE CONTAS],REL_DRE_FINANCEIRO!$B$651,LANÇ_MOV[ANO PAGAMENTO],$B$4,LANÇ_MOV[MÊS PAGAMENTO CORRESPONDENTE],D$6,LANÇ_MOV[EMPRESA],$C$4,LANÇ_MOV[CENTRO DE CUSTOS],$D$4)</f>
        <v>0</v>
      </c>
      <c r="E749" s="206">
        <f>SUMIFS(LANÇ_MOV[VALOR LÍQUIDO],LANÇ_MOV[RECEITA OU DESPESA],"Despesa",LANÇ_MOV[CONTAS],$C749,LANÇ_MOV[PLANO DE CONTAS],REL_DRE_FINANCEIRO!$B$651,LANÇ_MOV[ANO PAGAMENTO],$B$4,LANÇ_MOV[MÊS PAGAMENTO CORRESPONDENTE],E$6,LANÇ_MOV[EMPRESA],$C$4,LANÇ_MOV[CENTRO DE CUSTOS],$D$4)</f>
        <v>0</v>
      </c>
      <c r="F749" s="206">
        <f>SUMIFS(LANÇ_MOV[VALOR LÍQUIDO],LANÇ_MOV[RECEITA OU DESPESA],"Despesa",LANÇ_MOV[CONTAS],$C749,LANÇ_MOV[PLANO DE CONTAS],REL_DRE_FINANCEIRO!$B$651,LANÇ_MOV[ANO PAGAMENTO],$B$4,LANÇ_MOV[MÊS PAGAMENTO CORRESPONDENTE],F$6,LANÇ_MOV[EMPRESA],$C$4,LANÇ_MOV[CENTRO DE CUSTOS],$D$4)</f>
        <v>0</v>
      </c>
      <c r="G749" s="206">
        <f>SUMIFS(LANÇ_MOV[VALOR LÍQUIDO],LANÇ_MOV[RECEITA OU DESPESA],"Despesa",LANÇ_MOV[CONTAS],$C749,LANÇ_MOV[PLANO DE CONTAS],REL_DRE_FINANCEIRO!$B$651,LANÇ_MOV[ANO PAGAMENTO],$B$4,LANÇ_MOV[MÊS PAGAMENTO CORRESPONDENTE],G$6,LANÇ_MOV[EMPRESA],$C$4,LANÇ_MOV[CENTRO DE CUSTOS],$D$4)</f>
        <v>0</v>
      </c>
      <c r="H749" s="206">
        <f>SUMIFS(LANÇ_MOV[VALOR LÍQUIDO],LANÇ_MOV[RECEITA OU DESPESA],"Despesa",LANÇ_MOV[CONTAS],$C749,LANÇ_MOV[PLANO DE CONTAS],REL_DRE_FINANCEIRO!$B$651,LANÇ_MOV[ANO PAGAMENTO],$B$4,LANÇ_MOV[MÊS PAGAMENTO CORRESPONDENTE],H$6,LANÇ_MOV[EMPRESA],$C$4,LANÇ_MOV[CENTRO DE CUSTOS],$D$4)</f>
        <v>0</v>
      </c>
      <c r="I749" s="206">
        <f>SUMIFS(LANÇ_MOV[VALOR LÍQUIDO],LANÇ_MOV[RECEITA OU DESPESA],"Despesa",LANÇ_MOV[CONTAS],$C749,LANÇ_MOV[PLANO DE CONTAS],REL_DRE_FINANCEIRO!$B$651,LANÇ_MOV[ANO PAGAMENTO],$B$4,LANÇ_MOV[MÊS PAGAMENTO CORRESPONDENTE],I$6,LANÇ_MOV[EMPRESA],$C$4,LANÇ_MOV[CENTRO DE CUSTOS],$D$4)</f>
        <v>0</v>
      </c>
      <c r="J749" s="206">
        <f>SUMIFS(LANÇ_MOV[VALOR LÍQUIDO],LANÇ_MOV[RECEITA OU DESPESA],"Despesa",LANÇ_MOV[CONTAS],$C749,LANÇ_MOV[PLANO DE CONTAS],REL_DRE_FINANCEIRO!$B$651,LANÇ_MOV[ANO PAGAMENTO],$B$4,LANÇ_MOV[MÊS PAGAMENTO CORRESPONDENTE],J$6,LANÇ_MOV[EMPRESA],$C$4,LANÇ_MOV[CENTRO DE CUSTOS],$D$4)</f>
        <v>0</v>
      </c>
      <c r="K749" s="206">
        <f>SUMIFS(LANÇ_MOV[VALOR LÍQUIDO],LANÇ_MOV[RECEITA OU DESPESA],"Despesa",LANÇ_MOV[CONTAS],$C749,LANÇ_MOV[PLANO DE CONTAS],REL_DRE_FINANCEIRO!$B$651,LANÇ_MOV[ANO PAGAMENTO],$B$4,LANÇ_MOV[MÊS PAGAMENTO CORRESPONDENTE],K$6,LANÇ_MOV[EMPRESA],$C$4,LANÇ_MOV[CENTRO DE CUSTOS],$D$4)</f>
        <v>0</v>
      </c>
      <c r="L749" s="206">
        <f>SUMIFS(LANÇ_MOV[VALOR LÍQUIDO],LANÇ_MOV[RECEITA OU DESPESA],"Despesa",LANÇ_MOV[CONTAS],$C749,LANÇ_MOV[PLANO DE CONTAS],REL_DRE_FINANCEIRO!$B$651,LANÇ_MOV[ANO PAGAMENTO],$B$4,LANÇ_MOV[MÊS PAGAMENTO CORRESPONDENTE],L$6,LANÇ_MOV[EMPRESA],$C$4,LANÇ_MOV[CENTRO DE CUSTOS],$D$4)</f>
        <v>0</v>
      </c>
      <c r="M749" s="206">
        <f>SUMIFS(LANÇ_MOV[VALOR LÍQUIDO],LANÇ_MOV[RECEITA OU DESPESA],"Despesa",LANÇ_MOV[CONTAS],$C749,LANÇ_MOV[PLANO DE CONTAS],REL_DRE_FINANCEIRO!$B$651,LANÇ_MOV[ANO PAGAMENTO],$B$4,LANÇ_MOV[MÊS PAGAMENTO CORRESPONDENTE],M$6,LANÇ_MOV[EMPRESA],$C$4,LANÇ_MOV[CENTRO DE CUSTOS],$D$4)</f>
        <v>0</v>
      </c>
      <c r="N749" s="206">
        <f>SUMIFS(LANÇ_MOV[VALOR LÍQUIDO],LANÇ_MOV[RECEITA OU DESPESA],"Despesa",LANÇ_MOV[CONTAS],$C749,LANÇ_MOV[PLANO DE CONTAS],REL_DRE_FINANCEIRO!$B$651,LANÇ_MOV[ANO PAGAMENTO],$B$4,LANÇ_MOV[MÊS PAGAMENTO CORRESPONDENTE],N$6,LANÇ_MOV[EMPRESA],$C$4,LANÇ_MOV[CENTRO DE CUSTOS],$D$4)</f>
        <v>0</v>
      </c>
      <c r="O749" s="206">
        <f>SUMIFS(LANÇ_MOV[VALOR LÍQUIDO],LANÇ_MOV[RECEITA OU DESPESA],"Despesa",LANÇ_MOV[CONTAS],$C749,LANÇ_MOV[PLANO DE CONTAS],REL_DRE_FINANCEIRO!$B$651,LANÇ_MOV[ANO PAGAMENTO],$B$4,LANÇ_MOV[MÊS PAGAMENTO CORRESPONDENTE],O$6,LANÇ_MOV[EMPRESA],$C$4,LANÇ_MOV[CENTRO DE CUSTOS],$D$4)</f>
        <v>0</v>
      </c>
      <c r="P749" s="207">
        <f t="shared" si="94"/>
        <v>0</v>
      </c>
      <c r="Q749" s="329">
        <v>2.9999999999999999E-7</v>
      </c>
      <c r="R749" s="346">
        <f t="shared" si="95"/>
        <v>2.9999999999999999E-7</v>
      </c>
      <c r="S749" s="347" t="str">
        <f t="shared" si="96"/>
        <v>-</v>
      </c>
      <c r="T749" s="347">
        <f t="shared" si="97"/>
        <v>0</v>
      </c>
      <c r="U749" s="347">
        <f>HLOOKUP(Apoio!$P$12,$D$650:$P$751,X749,FALSE)+Q749</f>
        <v>2.9999999999999999E-7</v>
      </c>
      <c r="V749" s="447" t="str">
        <f t="shared" si="98"/>
        <v>-</v>
      </c>
      <c r="W749" s="448">
        <f>HLOOKUP(Apoio!$P$12,$D$650:$P$751,X749,FALSE)</f>
        <v>0</v>
      </c>
      <c r="X749" s="329">
        <v>100</v>
      </c>
    </row>
    <row r="750" spans="2:24" ht="30.05" customHeight="1" x14ac:dyDescent="0.35">
      <c r="B750" s="204" t="str">
        <f>'CAD_PL_REC-DESP'!W103</f>
        <v>2.5.99</v>
      </c>
      <c r="C750" s="205" t="str">
        <f>IF('CAD_PL_REC-DESP'!X103="","-",'CAD_PL_REC-DESP'!X103)</f>
        <v>-</v>
      </c>
      <c r="D750" s="206">
        <f>SUMIFS(LANÇ_MOV[VALOR LÍQUIDO],LANÇ_MOV[RECEITA OU DESPESA],"Despesa",LANÇ_MOV[CONTAS],$C750,LANÇ_MOV[PLANO DE CONTAS],REL_DRE_FINANCEIRO!$B$651,LANÇ_MOV[ANO PAGAMENTO],$B$4,LANÇ_MOV[MÊS PAGAMENTO CORRESPONDENTE],D$6,LANÇ_MOV[EMPRESA],$C$4,LANÇ_MOV[CENTRO DE CUSTOS],$D$4)</f>
        <v>0</v>
      </c>
      <c r="E750" s="206">
        <f>SUMIFS(LANÇ_MOV[VALOR LÍQUIDO],LANÇ_MOV[RECEITA OU DESPESA],"Despesa",LANÇ_MOV[CONTAS],$C750,LANÇ_MOV[PLANO DE CONTAS],REL_DRE_FINANCEIRO!$B$651,LANÇ_MOV[ANO PAGAMENTO],$B$4,LANÇ_MOV[MÊS PAGAMENTO CORRESPONDENTE],E$6,LANÇ_MOV[EMPRESA],$C$4,LANÇ_MOV[CENTRO DE CUSTOS],$D$4)</f>
        <v>0</v>
      </c>
      <c r="F750" s="206">
        <f>SUMIFS(LANÇ_MOV[VALOR LÍQUIDO],LANÇ_MOV[RECEITA OU DESPESA],"Despesa",LANÇ_MOV[CONTAS],$C750,LANÇ_MOV[PLANO DE CONTAS],REL_DRE_FINANCEIRO!$B$651,LANÇ_MOV[ANO PAGAMENTO],$B$4,LANÇ_MOV[MÊS PAGAMENTO CORRESPONDENTE],F$6,LANÇ_MOV[EMPRESA],$C$4,LANÇ_MOV[CENTRO DE CUSTOS],$D$4)</f>
        <v>0</v>
      </c>
      <c r="G750" s="206">
        <f>SUMIFS(LANÇ_MOV[VALOR LÍQUIDO],LANÇ_MOV[RECEITA OU DESPESA],"Despesa",LANÇ_MOV[CONTAS],$C750,LANÇ_MOV[PLANO DE CONTAS],REL_DRE_FINANCEIRO!$B$651,LANÇ_MOV[ANO PAGAMENTO],$B$4,LANÇ_MOV[MÊS PAGAMENTO CORRESPONDENTE],G$6,LANÇ_MOV[EMPRESA],$C$4,LANÇ_MOV[CENTRO DE CUSTOS],$D$4)</f>
        <v>0</v>
      </c>
      <c r="H750" s="206">
        <f>SUMIFS(LANÇ_MOV[VALOR LÍQUIDO],LANÇ_MOV[RECEITA OU DESPESA],"Despesa",LANÇ_MOV[CONTAS],$C750,LANÇ_MOV[PLANO DE CONTAS],REL_DRE_FINANCEIRO!$B$651,LANÇ_MOV[ANO PAGAMENTO],$B$4,LANÇ_MOV[MÊS PAGAMENTO CORRESPONDENTE],H$6,LANÇ_MOV[EMPRESA],$C$4,LANÇ_MOV[CENTRO DE CUSTOS],$D$4)</f>
        <v>0</v>
      </c>
      <c r="I750" s="206">
        <f>SUMIFS(LANÇ_MOV[VALOR LÍQUIDO],LANÇ_MOV[RECEITA OU DESPESA],"Despesa",LANÇ_MOV[CONTAS],$C750,LANÇ_MOV[PLANO DE CONTAS],REL_DRE_FINANCEIRO!$B$651,LANÇ_MOV[ANO PAGAMENTO],$B$4,LANÇ_MOV[MÊS PAGAMENTO CORRESPONDENTE],I$6,LANÇ_MOV[EMPRESA],$C$4,LANÇ_MOV[CENTRO DE CUSTOS],$D$4)</f>
        <v>0</v>
      </c>
      <c r="J750" s="206">
        <f>SUMIFS(LANÇ_MOV[VALOR LÍQUIDO],LANÇ_MOV[RECEITA OU DESPESA],"Despesa",LANÇ_MOV[CONTAS],$C750,LANÇ_MOV[PLANO DE CONTAS],REL_DRE_FINANCEIRO!$B$651,LANÇ_MOV[ANO PAGAMENTO],$B$4,LANÇ_MOV[MÊS PAGAMENTO CORRESPONDENTE],J$6,LANÇ_MOV[EMPRESA],$C$4,LANÇ_MOV[CENTRO DE CUSTOS],$D$4)</f>
        <v>0</v>
      </c>
      <c r="K750" s="206">
        <f>SUMIFS(LANÇ_MOV[VALOR LÍQUIDO],LANÇ_MOV[RECEITA OU DESPESA],"Despesa",LANÇ_MOV[CONTAS],$C750,LANÇ_MOV[PLANO DE CONTAS],REL_DRE_FINANCEIRO!$B$651,LANÇ_MOV[ANO PAGAMENTO],$B$4,LANÇ_MOV[MÊS PAGAMENTO CORRESPONDENTE],K$6,LANÇ_MOV[EMPRESA],$C$4,LANÇ_MOV[CENTRO DE CUSTOS],$D$4)</f>
        <v>0</v>
      </c>
      <c r="L750" s="206">
        <f>SUMIFS(LANÇ_MOV[VALOR LÍQUIDO],LANÇ_MOV[RECEITA OU DESPESA],"Despesa",LANÇ_MOV[CONTAS],$C750,LANÇ_MOV[PLANO DE CONTAS],REL_DRE_FINANCEIRO!$B$651,LANÇ_MOV[ANO PAGAMENTO],$B$4,LANÇ_MOV[MÊS PAGAMENTO CORRESPONDENTE],L$6,LANÇ_MOV[EMPRESA],$C$4,LANÇ_MOV[CENTRO DE CUSTOS],$D$4)</f>
        <v>0</v>
      </c>
      <c r="M750" s="206">
        <f>SUMIFS(LANÇ_MOV[VALOR LÍQUIDO],LANÇ_MOV[RECEITA OU DESPESA],"Despesa",LANÇ_MOV[CONTAS],$C750,LANÇ_MOV[PLANO DE CONTAS],REL_DRE_FINANCEIRO!$B$651,LANÇ_MOV[ANO PAGAMENTO],$B$4,LANÇ_MOV[MÊS PAGAMENTO CORRESPONDENTE],M$6,LANÇ_MOV[EMPRESA],$C$4,LANÇ_MOV[CENTRO DE CUSTOS],$D$4)</f>
        <v>0</v>
      </c>
      <c r="N750" s="206">
        <f>SUMIFS(LANÇ_MOV[VALOR LÍQUIDO],LANÇ_MOV[RECEITA OU DESPESA],"Despesa",LANÇ_MOV[CONTAS],$C750,LANÇ_MOV[PLANO DE CONTAS],REL_DRE_FINANCEIRO!$B$651,LANÇ_MOV[ANO PAGAMENTO],$B$4,LANÇ_MOV[MÊS PAGAMENTO CORRESPONDENTE],N$6,LANÇ_MOV[EMPRESA],$C$4,LANÇ_MOV[CENTRO DE CUSTOS],$D$4)</f>
        <v>0</v>
      </c>
      <c r="O750" s="206">
        <f>SUMIFS(LANÇ_MOV[VALOR LÍQUIDO],LANÇ_MOV[RECEITA OU DESPESA],"Despesa",LANÇ_MOV[CONTAS],$C750,LANÇ_MOV[PLANO DE CONTAS],REL_DRE_FINANCEIRO!$B$651,LANÇ_MOV[ANO PAGAMENTO],$B$4,LANÇ_MOV[MÊS PAGAMENTO CORRESPONDENTE],O$6,LANÇ_MOV[EMPRESA],$C$4,LANÇ_MOV[CENTRO DE CUSTOS],$D$4)</f>
        <v>0</v>
      </c>
      <c r="P750" s="207">
        <f t="shared" si="94"/>
        <v>0</v>
      </c>
      <c r="Q750" s="329">
        <v>1.9999999999999999E-7</v>
      </c>
      <c r="R750" s="346">
        <f t="shared" si="95"/>
        <v>1.9999999999999999E-7</v>
      </c>
      <c r="S750" s="347" t="str">
        <f t="shared" si="96"/>
        <v>-</v>
      </c>
      <c r="T750" s="347">
        <f t="shared" si="97"/>
        <v>0</v>
      </c>
      <c r="U750" s="347">
        <f>HLOOKUP(Apoio!$P$12,$D$650:$P$751,X750,FALSE)+Q750</f>
        <v>1.9999999999999999E-7</v>
      </c>
      <c r="V750" s="447" t="str">
        <f t="shared" si="98"/>
        <v>-</v>
      </c>
      <c r="W750" s="448">
        <f>HLOOKUP(Apoio!$P$12,$D$650:$P$751,X750,FALSE)</f>
        <v>0</v>
      </c>
      <c r="X750" s="329">
        <v>101</v>
      </c>
    </row>
    <row r="751" spans="2:24" ht="30.05" customHeight="1" x14ac:dyDescent="0.35">
      <c r="B751" s="204" t="str">
        <f>'CAD_PL_REC-DESP'!W104</f>
        <v>2.5.100</v>
      </c>
      <c r="C751" s="205" t="str">
        <f>IF('CAD_PL_REC-DESP'!X104="","-",'CAD_PL_REC-DESP'!X104)</f>
        <v>-</v>
      </c>
      <c r="D751" s="206">
        <f>SUMIFS(LANÇ_MOV[VALOR LÍQUIDO],LANÇ_MOV[RECEITA OU DESPESA],"Despesa",LANÇ_MOV[CONTAS],$C751,LANÇ_MOV[PLANO DE CONTAS],REL_DRE_FINANCEIRO!$B$651,LANÇ_MOV[ANO PAGAMENTO],$B$4,LANÇ_MOV[MÊS PAGAMENTO CORRESPONDENTE],D$6,LANÇ_MOV[EMPRESA],$C$4,LANÇ_MOV[CENTRO DE CUSTOS],$D$4)</f>
        <v>0</v>
      </c>
      <c r="E751" s="206">
        <f>SUMIFS(LANÇ_MOV[VALOR LÍQUIDO],LANÇ_MOV[RECEITA OU DESPESA],"Despesa",LANÇ_MOV[CONTAS],$C751,LANÇ_MOV[PLANO DE CONTAS],REL_DRE_FINANCEIRO!$B$651,LANÇ_MOV[ANO PAGAMENTO],$B$4,LANÇ_MOV[MÊS PAGAMENTO CORRESPONDENTE],E$6,LANÇ_MOV[EMPRESA],$C$4,LANÇ_MOV[CENTRO DE CUSTOS],$D$4)</f>
        <v>0</v>
      </c>
      <c r="F751" s="206">
        <f>SUMIFS(LANÇ_MOV[VALOR LÍQUIDO],LANÇ_MOV[RECEITA OU DESPESA],"Despesa",LANÇ_MOV[CONTAS],$C751,LANÇ_MOV[PLANO DE CONTAS],REL_DRE_FINANCEIRO!$B$651,LANÇ_MOV[ANO PAGAMENTO],$B$4,LANÇ_MOV[MÊS PAGAMENTO CORRESPONDENTE],F$6,LANÇ_MOV[EMPRESA],$C$4,LANÇ_MOV[CENTRO DE CUSTOS],$D$4)</f>
        <v>0</v>
      </c>
      <c r="G751" s="206">
        <f>SUMIFS(LANÇ_MOV[VALOR LÍQUIDO],LANÇ_MOV[RECEITA OU DESPESA],"Despesa",LANÇ_MOV[CONTAS],$C751,LANÇ_MOV[PLANO DE CONTAS],REL_DRE_FINANCEIRO!$B$651,LANÇ_MOV[ANO PAGAMENTO],$B$4,LANÇ_MOV[MÊS PAGAMENTO CORRESPONDENTE],G$6,LANÇ_MOV[EMPRESA],$C$4,LANÇ_MOV[CENTRO DE CUSTOS],$D$4)</f>
        <v>0</v>
      </c>
      <c r="H751" s="206">
        <f>SUMIFS(LANÇ_MOV[VALOR LÍQUIDO],LANÇ_MOV[RECEITA OU DESPESA],"Despesa",LANÇ_MOV[CONTAS],$C751,LANÇ_MOV[PLANO DE CONTAS],REL_DRE_FINANCEIRO!$B$651,LANÇ_MOV[ANO PAGAMENTO],$B$4,LANÇ_MOV[MÊS PAGAMENTO CORRESPONDENTE],H$6,LANÇ_MOV[EMPRESA],$C$4,LANÇ_MOV[CENTRO DE CUSTOS],$D$4)</f>
        <v>0</v>
      </c>
      <c r="I751" s="206">
        <f>SUMIFS(LANÇ_MOV[VALOR LÍQUIDO],LANÇ_MOV[RECEITA OU DESPESA],"Despesa",LANÇ_MOV[CONTAS],$C751,LANÇ_MOV[PLANO DE CONTAS],REL_DRE_FINANCEIRO!$B$651,LANÇ_MOV[ANO PAGAMENTO],$B$4,LANÇ_MOV[MÊS PAGAMENTO CORRESPONDENTE],I$6,LANÇ_MOV[EMPRESA],$C$4,LANÇ_MOV[CENTRO DE CUSTOS],$D$4)</f>
        <v>0</v>
      </c>
      <c r="J751" s="206">
        <f>SUMIFS(LANÇ_MOV[VALOR LÍQUIDO],LANÇ_MOV[RECEITA OU DESPESA],"Despesa",LANÇ_MOV[CONTAS],$C751,LANÇ_MOV[PLANO DE CONTAS],REL_DRE_FINANCEIRO!$B$651,LANÇ_MOV[ANO PAGAMENTO],$B$4,LANÇ_MOV[MÊS PAGAMENTO CORRESPONDENTE],J$6,LANÇ_MOV[EMPRESA],$C$4,LANÇ_MOV[CENTRO DE CUSTOS],$D$4)</f>
        <v>0</v>
      </c>
      <c r="K751" s="206">
        <f>SUMIFS(LANÇ_MOV[VALOR LÍQUIDO],LANÇ_MOV[RECEITA OU DESPESA],"Despesa",LANÇ_MOV[CONTAS],$C751,LANÇ_MOV[PLANO DE CONTAS],REL_DRE_FINANCEIRO!$B$651,LANÇ_MOV[ANO PAGAMENTO],$B$4,LANÇ_MOV[MÊS PAGAMENTO CORRESPONDENTE],K$6,LANÇ_MOV[EMPRESA],$C$4,LANÇ_MOV[CENTRO DE CUSTOS],$D$4)</f>
        <v>0</v>
      </c>
      <c r="L751" s="206">
        <f>SUMIFS(LANÇ_MOV[VALOR LÍQUIDO],LANÇ_MOV[RECEITA OU DESPESA],"Despesa",LANÇ_MOV[CONTAS],$C751,LANÇ_MOV[PLANO DE CONTAS],REL_DRE_FINANCEIRO!$B$651,LANÇ_MOV[ANO PAGAMENTO],$B$4,LANÇ_MOV[MÊS PAGAMENTO CORRESPONDENTE],L$6,LANÇ_MOV[EMPRESA],$C$4,LANÇ_MOV[CENTRO DE CUSTOS],$D$4)</f>
        <v>0</v>
      </c>
      <c r="M751" s="206">
        <f>SUMIFS(LANÇ_MOV[VALOR LÍQUIDO],LANÇ_MOV[RECEITA OU DESPESA],"Despesa",LANÇ_MOV[CONTAS],$C751,LANÇ_MOV[PLANO DE CONTAS],REL_DRE_FINANCEIRO!$B$651,LANÇ_MOV[ANO PAGAMENTO],$B$4,LANÇ_MOV[MÊS PAGAMENTO CORRESPONDENTE],M$6,LANÇ_MOV[EMPRESA],$C$4,LANÇ_MOV[CENTRO DE CUSTOS],$D$4)</f>
        <v>0</v>
      </c>
      <c r="N751" s="206">
        <f>SUMIFS(LANÇ_MOV[VALOR LÍQUIDO],LANÇ_MOV[RECEITA OU DESPESA],"Despesa",LANÇ_MOV[CONTAS],$C751,LANÇ_MOV[PLANO DE CONTAS],REL_DRE_FINANCEIRO!$B$651,LANÇ_MOV[ANO PAGAMENTO],$B$4,LANÇ_MOV[MÊS PAGAMENTO CORRESPONDENTE],N$6,LANÇ_MOV[EMPRESA],$C$4,LANÇ_MOV[CENTRO DE CUSTOS],$D$4)</f>
        <v>0</v>
      </c>
      <c r="O751" s="206">
        <f>SUMIFS(LANÇ_MOV[VALOR LÍQUIDO],LANÇ_MOV[RECEITA OU DESPESA],"Despesa",LANÇ_MOV[CONTAS],$C751,LANÇ_MOV[PLANO DE CONTAS],REL_DRE_FINANCEIRO!$B$651,LANÇ_MOV[ANO PAGAMENTO],$B$4,LANÇ_MOV[MÊS PAGAMENTO CORRESPONDENTE],O$6,LANÇ_MOV[EMPRESA],$C$4,LANÇ_MOV[CENTRO DE CUSTOS],$D$4)</f>
        <v>0</v>
      </c>
      <c r="P751" s="207">
        <f t="shared" si="94"/>
        <v>0</v>
      </c>
      <c r="Q751" s="329">
        <v>9.9999999999999995E-8</v>
      </c>
      <c r="R751" s="346">
        <f t="shared" si="95"/>
        <v>9.9999999999999995E-8</v>
      </c>
      <c r="S751" s="347" t="str">
        <f t="shared" si="96"/>
        <v>-</v>
      </c>
      <c r="T751" s="347">
        <f t="shared" si="97"/>
        <v>0</v>
      </c>
      <c r="U751" s="347">
        <f>HLOOKUP(Apoio!$P$12,$D$650:$P$751,X751,FALSE)+Q751</f>
        <v>9.9999999999999995E-8</v>
      </c>
      <c r="V751" s="447" t="str">
        <f t="shared" si="98"/>
        <v>-</v>
      </c>
      <c r="W751" s="448">
        <f>HLOOKUP(Apoio!$P$12,$D$650:$P$751,X751,FALSE)</f>
        <v>0</v>
      </c>
      <c r="X751" s="329">
        <v>102</v>
      </c>
    </row>
    <row r="752" spans="2:24" ht="6.75" customHeight="1" thickBot="1" x14ac:dyDescent="0.4">
      <c r="D752" s="25" t="s">
        <v>1044</v>
      </c>
      <c r="E752" s="25" t="s">
        <v>1045</v>
      </c>
      <c r="F752" s="25" t="s">
        <v>1046</v>
      </c>
      <c r="G752" s="25" t="s">
        <v>1047</v>
      </c>
      <c r="H752" s="25" t="s">
        <v>1048</v>
      </c>
      <c r="I752" s="25" t="s">
        <v>1049</v>
      </c>
      <c r="J752" s="25" t="s">
        <v>1050</v>
      </c>
      <c r="K752" s="25" t="s">
        <v>1051</v>
      </c>
      <c r="L752" s="25" t="s">
        <v>1052</v>
      </c>
      <c r="M752" s="25" t="s">
        <v>1053</v>
      </c>
      <c r="N752" s="25" t="s">
        <v>1054</v>
      </c>
      <c r="O752" s="25" t="s">
        <v>1055</v>
      </c>
      <c r="P752" s="135" t="s">
        <v>1198</v>
      </c>
      <c r="R752" s="346"/>
      <c r="S752" s="347"/>
      <c r="T752" s="347"/>
      <c r="U752" s="347"/>
      <c r="V752" s="447"/>
      <c r="W752" s="448"/>
      <c r="X752" s="346"/>
    </row>
    <row r="753" spans="2:27" ht="30.05" customHeight="1" thickTop="1" x14ac:dyDescent="0.35">
      <c r="B753" s="601" t="str">
        <f>'CAD_PL_REC-DESP'!AA4</f>
        <v>IMPOSTOS</v>
      </c>
      <c r="C753" s="602"/>
      <c r="D753" s="203">
        <f>SUM(D754:D853)</f>
        <v>0</v>
      </c>
      <c r="E753" s="203">
        <f t="shared" ref="E753:O753" si="99">SUM(E754:E853)</f>
        <v>0</v>
      </c>
      <c r="F753" s="203">
        <f t="shared" si="99"/>
        <v>0</v>
      </c>
      <c r="G753" s="203">
        <f t="shared" si="99"/>
        <v>0</v>
      </c>
      <c r="H753" s="203">
        <f t="shared" si="99"/>
        <v>0</v>
      </c>
      <c r="I753" s="203">
        <f t="shared" si="99"/>
        <v>0</v>
      </c>
      <c r="J753" s="203">
        <f t="shared" si="99"/>
        <v>0</v>
      </c>
      <c r="K753" s="203">
        <f t="shared" si="99"/>
        <v>0</v>
      </c>
      <c r="L753" s="203">
        <f t="shared" si="99"/>
        <v>0</v>
      </c>
      <c r="M753" s="203">
        <f t="shared" si="99"/>
        <v>0</v>
      </c>
      <c r="N753" s="203">
        <f t="shared" si="99"/>
        <v>0</v>
      </c>
      <c r="O753" s="203">
        <f t="shared" si="99"/>
        <v>0</v>
      </c>
      <c r="P753" s="203">
        <f>SUM(D753:O753)</f>
        <v>0</v>
      </c>
      <c r="R753" s="346"/>
      <c r="S753" s="347"/>
      <c r="T753" s="347"/>
      <c r="U753" s="347"/>
      <c r="V753" s="447"/>
      <c r="W753" s="448"/>
      <c r="X753" s="346"/>
    </row>
    <row r="754" spans="2:27" ht="30.05" customHeight="1" x14ac:dyDescent="0.35">
      <c r="B754" s="204" t="str">
        <f>'CAD_PL_REC-DESP'!Z5</f>
        <v>2.6.1</v>
      </c>
      <c r="C754" s="205" t="str">
        <f>IF('CAD_PL_REC-DESP'!AA5="","-",'CAD_PL_REC-DESP'!AA5)</f>
        <v>ALVARÁ DE INSPENÇÃO SANITÁRIA</v>
      </c>
      <c r="D754" s="206">
        <f>SUMIFS(LANÇ_MOV[VALOR LÍQUIDO],LANÇ_MOV[RECEITA OU DESPESA],"Despesa",LANÇ_MOV[CONTAS],$C754,LANÇ_MOV[PLANO DE CONTAS],REL_DRE_FINANCEIRO!$B$753,LANÇ_MOV[ANO PAGAMENTO],$B$4,LANÇ_MOV[MÊS PAGAMENTO CORRESPONDENTE],D$6,LANÇ_MOV[EMPRESA],$C$4,LANÇ_MOV[CENTRO DE CUSTOS],$D$4)</f>
        <v>0</v>
      </c>
      <c r="E754" s="206">
        <f>SUMIFS(LANÇ_MOV[VALOR LÍQUIDO],LANÇ_MOV[RECEITA OU DESPESA],"Despesa",LANÇ_MOV[CONTAS],$C754,LANÇ_MOV[PLANO DE CONTAS],REL_DRE_FINANCEIRO!$B$753,LANÇ_MOV[ANO PAGAMENTO],$B$4,LANÇ_MOV[MÊS PAGAMENTO CORRESPONDENTE],E$6,LANÇ_MOV[EMPRESA],$C$4,LANÇ_MOV[CENTRO DE CUSTOS],$D$4)</f>
        <v>0</v>
      </c>
      <c r="F754" s="206">
        <f>SUMIFS(LANÇ_MOV[VALOR LÍQUIDO],LANÇ_MOV[RECEITA OU DESPESA],"Despesa",LANÇ_MOV[CONTAS],$C754,LANÇ_MOV[PLANO DE CONTAS],REL_DRE_FINANCEIRO!$B$753,LANÇ_MOV[ANO PAGAMENTO],$B$4,LANÇ_MOV[MÊS PAGAMENTO CORRESPONDENTE],F$6,LANÇ_MOV[EMPRESA],$C$4,LANÇ_MOV[CENTRO DE CUSTOS],$D$4)</f>
        <v>0</v>
      </c>
      <c r="G754" s="206">
        <f>SUMIFS(LANÇ_MOV[VALOR LÍQUIDO],LANÇ_MOV[RECEITA OU DESPESA],"Despesa",LANÇ_MOV[CONTAS],$C754,LANÇ_MOV[PLANO DE CONTAS],REL_DRE_FINANCEIRO!$B$753,LANÇ_MOV[ANO PAGAMENTO],$B$4,LANÇ_MOV[MÊS PAGAMENTO CORRESPONDENTE],G$6,LANÇ_MOV[EMPRESA],$C$4,LANÇ_MOV[CENTRO DE CUSTOS],$D$4)</f>
        <v>0</v>
      </c>
      <c r="H754" s="206">
        <f>SUMIFS(LANÇ_MOV[VALOR LÍQUIDO],LANÇ_MOV[RECEITA OU DESPESA],"Despesa",LANÇ_MOV[CONTAS],$C754,LANÇ_MOV[PLANO DE CONTAS],REL_DRE_FINANCEIRO!$B$753,LANÇ_MOV[ANO PAGAMENTO],$B$4,LANÇ_MOV[MÊS PAGAMENTO CORRESPONDENTE],H$6,LANÇ_MOV[EMPRESA],$C$4,LANÇ_MOV[CENTRO DE CUSTOS],$D$4)</f>
        <v>0</v>
      </c>
      <c r="I754" s="206">
        <f>SUMIFS(LANÇ_MOV[VALOR LÍQUIDO],LANÇ_MOV[RECEITA OU DESPESA],"Despesa",LANÇ_MOV[CONTAS],$C754,LANÇ_MOV[PLANO DE CONTAS],REL_DRE_FINANCEIRO!$B$753,LANÇ_MOV[ANO PAGAMENTO],$B$4,LANÇ_MOV[MÊS PAGAMENTO CORRESPONDENTE],I$6,LANÇ_MOV[EMPRESA],$C$4,LANÇ_MOV[CENTRO DE CUSTOS],$D$4)</f>
        <v>0</v>
      </c>
      <c r="J754" s="206">
        <f>SUMIFS(LANÇ_MOV[VALOR LÍQUIDO],LANÇ_MOV[RECEITA OU DESPESA],"Despesa",LANÇ_MOV[CONTAS],$C754,LANÇ_MOV[PLANO DE CONTAS],REL_DRE_FINANCEIRO!$B$753,LANÇ_MOV[ANO PAGAMENTO],$B$4,LANÇ_MOV[MÊS PAGAMENTO CORRESPONDENTE],J$6,LANÇ_MOV[EMPRESA],$C$4,LANÇ_MOV[CENTRO DE CUSTOS],$D$4)</f>
        <v>0</v>
      </c>
      <c r="K754" s="206">
        <f>SUMIFS(LANÇ_MOV[VALOR LÍQUIDO],LANÇ_MOV[RECEITA OU DESPESA],"Despesa",LANÇ_MOV[CONTAS],$C754,LANÇ_MOV[PLANO DE CONTAS],REL_DRE_FINANCEIRO!$B$753,LANÇ_MOV[ANO PAGAMENTO],$B$4,LANÇ_MOV[MÊS PAGAMENTO CORRESPONDENTE],K$6,LANÇ_MOV[EMPRESA],$C$4,LANÇ_MOV[CENTRO DE CUSTOS],$D$4)</f>
        <v>0</v>
      </c>
      <c r="L754" s="206">
        <f>SUMIFS(LANÇ_MOV[VALOR LÍQUIDO],LANÇ_MOV[RECEITA OU DESPESA],"Despesa",LANÇ_MOV[CONTAS],$C754,LANÇ_MOV[PLANO DE CONTAS],REL_DRE_FINANCEIRO!$B$753,LANÇ_MOV[ANO PAGAMENTO],$B$4,LANÇ_MOV[MÊS PAGAMENTO CORRESPONDENTE],L$6,LANÇ_MOV[EMPRESA],$C$4,LANÇ_MOV[CENTRO DE CUSTOS],$D$4)</f>
        <v>0</v>
      </c>
      <c r="M754" s="206">
        <f>SUMIFS(LANÇ_MOV[VALOR LÍQUIDO],LANÇ_MOV[RECEITA OU DESPESA],"Despesa",LANÇ_MOV[CONTAS],$C754,LANÇ_MOV[PLANO DE CONTAS],REL_DRE_FINANCEIRO!$B$753,LANÇ_MOV[ANO PAGAMENTO],$B$4,LANÇ_MOV[MÊS PAGAMENTO CORRESPONDENTE],M$6,LANÇ_MOV[EMPRESA],$C$4,LANÇ_MOV[CENTRO DE CUSTOS],$D$4)</f>
        <v>0</v>
      </c>
      <c r="N754" s="206">
        <f>SUMIFS(LANÇ_MOV[VALOR LÍQUIDO],LANÇ_MOV[RECEITA OU DESPESA],"Despesa",LANÇ_MOV[CONTAS],$C754,LANÇ_MOV[PLANO DE CONTAS],REL_DRE_FINANCEIRO!$B$753,LANÇ_MOV[ANO PAGAMENTO],$B$4,LANÇ_MOV[MÊS PAGAMENTO CORRESPONDENTE],N$6,LANÇ_MOV[EMPRESA],$C$4,LANÇ_MOV[CENTRO DE CUSTOS],$D$4)</f>
        <v>0</v>
      </c>
      <c r="O754" s="206">
        <f>SUMIFS(LANÇ_MOV[VALOR LÍQUIDO],LANÇ_MOV[RECEITA OU DESPESA],"Despesa",LANÇ_MOV[CONTAS],$C754,LANÇ_MOV[PLANO DE CONTAS],REL_DRE_FINANCEIRO!$B$753,LANÇ_MOV[ANO PAGAMENTO],$B$4,LANÇ_MOV[MÊS PAGAMENTO CORRESPONDENTE],O$6,LANÇ_MOV[EMPRESA],$C$4,LANÇ_MOV[CENTRO DE CUSTOS],$D$4)</f>
        <v>0</v>
      </c>
      <c r="P754" s="207">
        <f t="shared" ref="P754:P817" si="100">SUM(D754:O754)</f>
        <v>0</v>
      </c>
      <c r="Q754" s="329">
        <v>1.0000000000000001E-5</v>
      </c>
      <c r="R754" s="346">
        <f t="shared" ref="R754:R817" si="101">P754+Q754</f>
        <v>1.0000000000000001E-5</v>
      </c>
      <c r="S754" s="347" t="str">
        <f t="shared" ref="S754:S817" si="102">C754</f>
        <v>ALVARÁ DE INSPENÇÃO SANITÁRIA</v>
      </c>
      <c r="T754" s="347">
        <f t="shared" ref="T754:T817" si="103">P754</f>
        <v>0</v>
      </c>
      <c r="U754" s="347">
        <f>HLOOKUP(Apoio!$P$12,$D$752:$P$853,X754,FALSE)+Q754</f>
        <v>1.0000000000000001E-5</v>
      </c>
      <c r="V754" s="447" t="str">
        <f t="shared" ref="V754:V817" si="104">S754</f>
        <v>ALVARÁ DE INSPENÇÃO SANITÁRIA</v>
      </c>
      <c r="W754" s="448">
        <f>HLOOKUP(Apoio!$P$12,$D$752:$P$853,X754,FALSE)</f>
        <v>0</v>
      </c>
      <c r="X754" s="329">
        <v>3</v>
      </c>
      <c r="Y754" s="329">
        <v>1</v>
      </c>
      <c r="Z754" s="340" t="str">
        <f>VLOOKUP(LARGE($R$754:$R$853,Y754),$R$754:$S$853,2,FALSE)</f>
        <v>ALVARÁ DE INSPENÇÃO SANITÁRIA</v>
      </c>
      <c r="AA754" s="340">
        <f>VLOOKUP(Z754,$S$754:$T$853,2,FALSE)</f>
        <v>0</v>
      </c>
    </row>
    <row r="755" spans="2:27" ht="30.05" customHeight="1" x14ac:dyDescent="0.35">
      <c r="B755" s="204" t="str">
        <f>'CAD_PL_REC-DESP'!Z6</f>
        <v>2.6.2</v>
      </c>
      <c r="C755" s="205" t="str">
        <f>IF('CAD_PL_REC-DESP'!AA6="","-",'CAD_PL_REC-DESP'!AA6)</f>
        <v>FGTS</v>
      </c>
      <c r="D755" s="206">
        <f>SUMIFS(LANÇ_MOV[VALOR LÍQUIDO],LANÇ_MOV[RECEITA OU DESPESA],"Despesa",LANÇ_MOV[CONTAS],$C755,LANÇ_MOV[PLANO DE CONTAS],REL_DRE_FINANCEIRO!$B$753,LANÇ_MOV[ANO PAGAMENTO],$B$4,LANÇ_MOV[MÊS PAGAMENTO CORRESPONDENTE],D$6,LANÇ_MOV[EMPRESA],$C$4,LANÇ_MOV[CENTRO DE CUSTOS],$D$4)</f>
        <v>0</v>
      </c>
      <c r="E755" s="206">
        <f>SUMIFS(LANÇ_MOV[VALOR LÍQUIDO],LANÇ_MOV[RECEITA OU DESPESA],"Despesa",LANÇ_MOV[CONTAS],$C755,LANÇ_MOV[PLANO DE CONTAS],REL_DRE_FINANCEIRO!$B$753,LANÇ_MOV[ANO PAGAMENTO],$B$4,LANÇ_MOV[MÊS PAGAMENTO CORRESPONDENTE],E$6,LANÇ_MOV[EMPRESA],$C$4,LANÇ_MOV[CENTRO DE CUSTOS],$D$4)</f>
        <v>0</v>
      </c>
      <c r="F755" s="206">
        <f>SUMIFS(LANÇ_MOV[VALOR LÍQUIDO],LANÇ_MOV[RECEITA OU DESPESA],"Despesa",LANÇ_MOV[CONTAS],$C755,LANÇ_MOV[PLANO DE CONTAS],REL_DRE_FINANCEIRO!$B$753,LANÇ_MOV[ANO PAGAMENTO],$B$4,LANÇ_MOV[MÊS PAGAMENTO CORRESPONDENTE],F$6,LANÇ_MOV[EMPRESA],$C$4,LANÇ_MOV[CENTRO DE CUSTOS],$D$4)</f>
        <v>0</v>
      </c>
      <c r="G755" s="206">
        <f>SUMIFS(LANÇ_MOV[VALOR LÍQUIDO],LANÇ_MOV[RECEITA OU DESPESA],"Despesa",LANÇ_MOV[CONTAS],$C755,LANÇ_MOV[PLANO DE CONTAS],REL_DRE_FINANCEIRO!$B$753,LANÇ_MOV[ANO PAGAMENTO],$B$4,LANÇ_MOV[MÊS PAGAMENTO CORRESPONDENTE],G$6,LANÇ_MOV[EMPRESA],$C$4,LANÇ_MOV[CENTRO DE CUSTOS],$D$4)</f>
        <v>0</v>
      </c>
      <c r="H755" s="206">
        <f>SUMIFS(LANÇ_MOV[VALOR LÍQUIDO],LANÇ_MOV[RECEITA OU DESPESA],"Despesa",LANÇ_MOV[CONTAS],$C755,LANÇ_MOV[PLANO DE CONTAS],REL_DRE_FINANCEIRO!$B$753,LANÇ_MOV[ANO PAGAMENTO],$B$4,LANÇ_MOV[MÊS PAGAMENTO CORRESPONDENTE],H$6,LANÇ_MOV[EMPRESA],$C$4,LANÇ_MOV[CENTRO DE CUSTOS],$D$4)</f>
        <v>0</v>
      </c>
      <c r="I755" s="206">
        <f>SUMIFS(LANÇ_MOV[VALOR LÍQUIDO],LANÇ_MOV[RECEITA OU DESPESA],"Despesa",LANÇ_MOV[CONTAS],$C755,LANÇ_MOV[PLANO DE CONTAS],REL_DRE_FINANCEIRO!$B$753,LANÇ_MOV[ANO PAGAMENTO],$B$4,LANÇ_MOV[MÊS PAGAMENTO CORRESPONDENTE],I$6,LANÇ_MOV[EMPRESA],$C$4,LANÇ_MOV[CENTRO DE CUSTOS],$D$4)</f>
        <v>0</v>
      </c>
      <c r="J755" s="206">
        <f>SUMIFS(LANÇ_MOV[VALOR LÍQUIDO],LANÇ_MOV[RECEITA OU DESPESA],"Despesa",LANÇ_MOV[CONTAS],$C755,LANÇ_MOV[PLANO DE CONTAS],REL_DRE_FINANCEIRO!$B$753,LANÇ_MOV[ANO PAGAMENTO],$B$4,LANÇ_MOV[MÊS PAGAMENTO CORRESPONDENTE],J$6,LANÇ_MOV[EMPRESA],$C$4,LANÇ_MOV[CENTRO DE CUSTOS],$D$4)</f>
        <v>0</v>
      </c>
      <c r="K755" s="206">
        <f>SUMIFS(LANÇ_MOV[VALOR LÍQUIDO],LANÇ_MOV[RECEITA OU DESPESA],"Despesa",LANÇ_MOV[CONTAS],$C755,LANÇ_MOV[PLANO DE CONTAS],REL_DRE_FINANCEIRO!$B$753,LANÇ_MOV[ANO PAGAMENTO],$B$4,LANÇ_MOV[MÊS PAGAMENTO CORRESPONDENTE],K$6,LANÇ_MOV[EMPRESA],$C$4,LANÇ_MOV[CENTRO DE CUSTOS],$D$4)</f>
        <v>0</v>
      </c>
      <c r="L755" s="206">
        <f>SUMIFS(LANÇ_MOV[VALOR LÍQUIDO],LANÇ_MOV[RECEITA OU DESPESA],"Despesa",LANÇ_MOV[CONTAS],$C755,LANÇ_MOV[PLANO DE CONTAS],REL_DRE_FINANCEIRO!$B$753,LANÇ_MOV[ANO PAGAMENTO],$B$4,LANÇ_MOV[MÊS PAGAMENTO CORRESPONDENTE],L$6,LANÇ_MOV[EMPRESA],$C$4,LANÇ_MOV[CENTRO DE CUSTOS],$D$4)</f>
        <v>0</v>
      </c>
      <c r="M755" s="206">
        <f>SUMIFS(LANÇ_MOV[VALOR LÍQUIDO],LANÇ_MOV[RECEITA OU DESPESA],"Despesa",LANÇ_MOV[CONTAS],$C755,LANÇ_MOV[PLANO DE CONTAS],REL_DRE_FINANCEIRO!$B$753,LANÇ_MOV[ANO PAGAMENTO],$B$4,LANÇ_MOV[MÊS PAGAMENTO CORRESPONDENTE],M$6,LANÇ_MOV[EMPRESA],$C$4,LANÇ_MOV[CENTRO DE CUSTOS],$D$4)</f>
        <v>0</v>
      </c>
      <c r="N755" s="206">
        <f>SUMIFS(LANÇ_MOV[VALOR LÍQUIDO],LANÇ_MOV[RECEITA OU DESPESA],"Despesa",LANÇ_MOV[CONTAS],$C755,LANÇ_MOV[PLANO DE CONTAS],REL_DRE_FINANCEIRO!$B$753,LANÇ_MOV[ANO PAGAMENTO],$B$4,LANÇ_MOV[MÊS PAGAMENTO CORRESPONDENTE],N$6,LANÇ_MOV[EMPRESA],$C$4,LANÇ_MOV[CENTRO DE CUSTOS],$D$4)</f>
        <v>0</v>
      </c>
      <c r="O755" s="206">
        <f>SUMIFS(LANÇ_MOV[VALOR LÍQUIDO],LANÇ_MOV[RECEITA OU DESPESA],"Despesa",LANÇ_MOV[CONTAS],$C755,LANÇ_MOV[PLANO DE CONTAS],REL_DRE_FINANCEIRO!$B$753,LANÇ_MOV[ANO PAGAMENTO],$B$4,LANÇ_MOV[MÊS PAGAMENTO CORRESPONDENTE],O$6,LANÇ_MOV[EMPRESA],$C$4,LANÇ_MOV[CENTRO DE CUSTOS],$D$4)</f>
        <v>0</v>
      </c>
      <c r="P755" s="207">
        <f t="shared" si="100"/>
        <v>0</v>
      </c>
      <c r="Q755" s="329">
        <v>9.9000000000000001E-6</v>
      </c>
      <c r="R755" s="346">
        <f t="shared" si="101"/>
        <v>9.9000000000000001E-6</v>
      </c>
      <c r="S755" s="347" t="str">
        <f t="shared" si="102"/>
        <v>FGTS</v>
      </c>
      <c r="T755" s="347">
        <f t="shared" si="103"/>
        <v>0</v>
      </c>
      <c r="U755" s="347">
        <f>HLOOKUP(Apoio!$P$12,$D$752:$P$853,X755,FALSE)+Q755</f>
        <v>9.9000000000000001E-6</v>
      </c>
      <c r="V755" s="447" t="str">
        <f t="shared" si="104"/>
        <v>FGTS</v>
      </c>
      <c r="W755" s="448">
        <f>HLOOKUP(Apoio!$P$12,$D$752:$P$853,X755,FALSE)</f>
        <v>0</v>
      </c>
      <c r="X755" s="329">
        <v>4</v>
      </c>
      <c r="Y755" s="329">
        <v>2</v>
      </c>
      <c r="Z755" s="340" t="str">
        <f>VLOOKUP(LARGE($R$754:$R$853,Y755),$R$754:$S$853,2,FALSE)</f>
        <v>FGTS</v>
      </c>
      <c r="AA755" s="340">
        <f>VLOOKUP(Z755,$S$754:$T$853,2,FALSE)</f>
        <v>0</v>
      </c>
    </row>
    <row r="756" spans="2:27" ht="30.05" customHeight="1" x14ac:dyDescent="0.35">
      <c r="B756" s="204" t="str">
        <f>'CAD_PL_REC-DESP'!Z7</f>
        <v>2.6.3</v>
      </c>
      <c r="C756" s="205" t="str">
        <f>IF('CAD_PL_REC-DESP'!AA7="","-",'CAD_PL_REC-DESP'!AA7)</f>
        <v>ICMS</v>
      </c>
      <c r="D756" s="206">
        <f>SUMIFS(LANÇ_MOV[VALOR LÍQUIDO],LANÇ_MOV[RECEITA OU DESPESA],"Despesa",LANÇ_MOV[CONTAS],$C756,LANÇ_MOV[PLANO DE CONTAS],REL_DRE_FINANCEIRO!$B$753,LANÇ_MOV[ANO PAGAMENTO],$B$4,LANÇ_MOV[MÊS PAGAMENTO CORRESPONDENTE],D$6,LANÇ_MOV[EMPRESA],$C$4,LANÇ_MOV[CENTRO DE CUSTOS],$D$4)</f>
        <v>0</v>
      </c>
      <c r="E756" s="206">
        <f>SUMIFS(LANÇ_MOV[VALOR LÍQUIDO],LANÇ_MOV[RECEITA OU DESPESA],"Despesa",LANÇ_MOV[CONTAS],$C756,LANÇ_MOV[PLANO DE CONTAS],REL_DRE_FINANCEIRO!$B$753,LANÇ_MOV[ANO PAGAMENTO],$B$4,LANÇ_MOV[MÊS PAGAMENTO CORRESPONDENTE],E$6,LANÇ_MOV[EMPRESA],$C$4,LANÇ_MOV[CENTRO DE CUSTOS],$D$4)</f>
        <v>0</v>
      </c>
      <c r="F756" s="206">
        <f>SUMIFS(LANÇ_MOV[VALOR LÍQUIDO],LANÇ_MOV[RECEITA OU DESPESA],"Despesa",LANÇ_MOV[CONTAS],$C756,LANÇ_MOV[PLANO DE CONTAS],REL_DRE_FINANCEIRO!$B$753,LANÇ_MOV[ANO PAGAMENTO],$B$4,LANÇ_MOV[MÊS PAGAMENTO CORRESPONDENTE],F$6,LANÇ_MOV[EMPRESA],$C$4,LANÇ_MOV[CENTRO DE CUSTOS],$D$4)</f>
        <v>0</v>
      </c>
      <c r="G756" s="206">
        <f>SUMIFS(LANÇ_MOV[VALOR LÍQUIDO],LANÇ_MOV[RECEITA OU DESPESA],"Despesa",LANÇ_MOV[CONTAS],$C756,LANÇ_MOV[PLANO DE CONTAS],REL_DRE_FINANCEIRO!$B$753,LANÇ_MOV[ANO PAGAMENTO],$B$4,LANÇ_MOV[MÊS PAGAMENTO CORRESPONDENTE],G$6,LANÇ_MOV[EMPRESA],$C$4,LANÇ_MOV[CENTRO DE CUSTOS],$D$4)</f>
        <v>0</v>
      </c>
      <c r="H756" s="206">
        <f>SUMIFS(LANÇ_MOV[VALOR LÍQUIDO],LANÇ_MOV[RECEITA OU DESPESA],"Despesa",LANÇ_MOV[CONTAS],$C756,LANÇ_MOV[PLANO DE CONTAS],REL_DRE_FINANCEIRO!$B$753,LANÇ_MOV[ANO PAGAMENTO],$B$4,LANÇ_MOV[MÊS PAGAMENTO CORRESPONDENTE],H$6,LANÇ_MOV[EMPRESA],$C$4,LANÇ_MOV[CENTRO DE CUSTOS],$D$4)</f>
        <v>0</v>
      </c>
      <c r="I756" s="206">
        <f>SUMIFS(LANÇ_MOV[VALOR LÍQUIDO],LANÇ_MOV[RECEITA OU DESPESA],"Despesa",LANÇ_MOV[CONTAS],$C756,LANÇ_MOV[PLANO DE CONTAS],REL_DRE_FINANCEIRO!$B$753,LANÇ_MOV[ANO PAGAMENTO],$B$4,LANÇ_MOV[MÊS PAGAMENTO CORRESPONDENTE],I$6,LANÇ_MOV[EMPRESA],$C$4,LANÇ_MOV[CENTRO DE CUSTOS],$D$4)</f>
        <v>0</v>
      </c>
      <c r="J756" s="206">
        <f>SUMIFS(LANÇ_MOV[VALOR LÍQUIDO],LANÇ_MOV[RECEITA OU DESPESA],"Despesa",LANÇ_MOV[CONTAS],$C756,LANÇ_MOV[PLANO DE CONTAS],REL_DRE_FINANCEIRO!$B$753,LANÇ_MOV[ANO PAGAMENTO],$B$4,LANÇ_MOV[MÊS PAGAMENTO CORRESPONDENTE],J$6,LANÇ_MOV[EMPRESA],$C$4,LANÇ_MOV[CENTRO DE CUSTOS],$D$4)</f>
        <v>0</v>
      </c>
      <c r="K756" s="206">
        <f>SUMIFS(LANÇ_MOV[VALOR LÍQUIDO],LANÇ_MOV[RECEITA OU DESPESA],"Despesa",LANÇ_MOV[CONTAS],$C756,LANÇ_MOV[PLANO DE CONTAS],REL_DRE_FINANCEIRO!$B$753,LANÇ_MOV[ANO PAGAMENTO],$B$4,LANÇ_MOV[MÊS PAGAMENTO CORRESPONDENTE],K$6,LANÇ_MOV[EMPRESA],$C$4,LANÇ_MOV[CENTRO DE CUSTOS],$D$4)</f>
        <v>0</v>
      </c>
      <c r="L756" s="206">
        <f>SUMIFS(LANÇ_MOV[VALOR LÍQUIDO],LANÇ_MOV[RECEITA OU DESPESA],"Despesa",LANÇ_MOV[CONTAS],$C756,LANÇ_MOV[PLANO DE CONTAS],REL_DRE_FINANCEIRO!$B$753,LANÇ_MOV[ANO PAGAMENTO],$B$4,LANÇ_MOV[MÊS PAGAMENTO CORRESPONDENTE],L$6,LANÇ_MOV[EMPRESA],$C$4,LANÇ_MOV[CENTRO DE CUSTOS],$D$4)</f>
        <v>0</v>
      </c>
      <c r="M756" s="206">
        <f>SUMIFS(LANÇ_MOV[VALOR LÍQUIDO],LANÇ_MOV[RECEITA OU DESPESA],"Despesa",LANÇ_MOV[CONTAS],$C756,LANÇ_MOV[PLANO DE CONTAS],REL_DRE_FINANCEIRO!$B$753,LANÇ_MOV[ANO PAGAMENTO],$B$4,LANÇ_MOV[MÊS PAGAMENTO CORRESPONDENTE],M$6,LANÇ_MOV[EMPRESA],$C$4,LANÇ_MOV[CENTRO DE CUSTOS],$D$4)</f>
        <v>0</v>
      </c>
      <c r="N756" s="206">
        <f>SUMIFS(LANÇ_MOV[VALOR LÍQUIDO],LANÇ_MOV[RECEITA OU DESPESA],"Despesa",LANÇ_MOV[CONTAS],$C756,LANÇ_MOV[PLANO DE CONTAS],REL_DRE_FINANCEIRO!$B$753,LANÇ_MOV[ANO PAGAMENTO],$B$4,LANÇ_MOV[MÊS PAGAMENTO CORRESPONDENTE],N$6,LANÇ_MOV[EMPRESA],$C$4,LANÇ_MOV[CENTRO DE CUSTOS],$D$4)</f>
        <v>0</v>
      </c>
      <c r="O756" s="206">
        <f>SUMIFS(LANÇ_MOV[VALOR LÍQUIDO],LANÇ_MOV[RECEITA OU DESPESA],"Despesa",LANÇ_MOV[CONTAS],$C756,LANÇ_MOV[PLANO DE CONTAS],REL_DRE_FINANCEIRO!$B$753,LANÇ_MOV[ANO PAGAMENTO],$B$4,LANÇ_MOV[MÊS PAGAMENTO CORRESPONDENTE],O$6,LANÇ_MOV[EMPRESA],$C$4,LANÇ_MOV[CENTRO DE CUSTOS],$D$4)</f>
        <v>0</v>
      </c>
      <c r="P756" s="207">
        <f t="shared" si="100"/>
        <v>0</v>
      </c>
      <c r="Q756" s="329">
        <v>9.7999999999999993E-6</v>
      </c>
      <c r="R756" s="346">
        <f t="shared" si="101"/>
        <v>9.7999999999999993E-6</v>
      </c>
      <c r="S756" s="347" t="str">
        <f t="shared" si="102"/>
        <v>ICMS</v>
      </c>
      <c r="T756" s="347">
        <f t="shared" si="103"/>
        <v>0</v>
      </c>
      <c r="U756" s="347">
        <f>HLOOKUP(Apoio!$P$12,$D$752:$P$853,X756,FALSE)+Q756</f>
        <v>9.7999999999999993E-6</v>
      </c>
      <c r="V756" s="447" t="str">
        <f t="shared" si="104"/>
        <v>ICMS</v>
      </c>
      <c r="W756" s="448">
        <f>HLOOKUP(Apoio!$P$12,$D$752:$P$853,X756,FALSE)</f>
        <v>0</v>
      </c>
      <c r="X756" s="329">
        <v>5</v>
      </c>
      <c r="Y756" s="329">
        <v>3</v>
      </c>
      <c r="Z756" s="340" t="str">
        <f>VLOOKUP(LARGE($R$754:$R$853,Y756),$R$754:$S$853,2,FALSE)</f>
        <v>ICMS</v>
      </c>
      <c r="AA756" s="340">
        <f>VLOOKUP(Z756,$S$754:$T$853,2,FALSE)</f>
        <v>0</v>
      </c>
    </row>
    <row r="757" spans="2:27" ht="30.05" customHeight="1" x14ac:dyDescent="0.35">
      <c r="B757" s="204" t="str">
        <f>'CAD_PL_REC-DESP'!Z8</f>
        <v>2.6.4</v>
      </c>
      <c r="C757" s="205" t="str">
        <f>IF('CAD_PL_REC-DESP'!AA8="","-",'CAD_PL_REC-DESP'!AA8)</f>
        <v>INSS- GPS</v>
      </c>
      <c r="D757" s="206">
        <f>SUMIFS(LANÇ_MOV[VALOR LÍQUIDO],LANÇ_MOV[RECEITA OU DESPESA],"Despesa",LANÇ_MOV[CONTAS],$C757,LANÇ_MOV[PLANO DE CONTAS],REL_DRE_FINANCEIRO!$B$753,LANÇ_MOV[ANO PAGAMENTO],$B$4,LANÇ_MOV[MÊS PAGAMENTO CORRESPONDENTE],D$6,LANÇ_MOV[EMPRESA],$C$4,LANÇ_MOV[CENTRO DE CUSTOS],$D$4)</f>
        <v>0</v>
      </c>
      <c r="E757" s="206">
        <f>SUMIFS(LANÇ_MOV[VALOR LÍQUIDO],LANÇ_MOV[RECEITA OU DESPESA],"Despesa",LANÇ_MOV[CONTAS],$C757,LANÇ_MOV[PLANO DE CONTAS],REL_DRE_FINANCEIRO!$B$753,LANÇ_MOV[ANO PAGAMENTO],$B$4,LANÇ_MOV[MÊS PAGAMENTO CORRESPONDENTE],E$6,LANÇ_MOV[EMPRESA],$C$4,LANÇ_MOV[CENTRO DE CUSTOS],$D$4)</f>
        <v>0</v>
      </c>
      <c r="F757" s="206">
        <f>SUMIFS(LANÇ_MOV[VALOR LÍQUIDO],LANÇ_MOV[RECEITA OU DESPESA],"Despesa",LANÇ_MOV[CONTAS],$C757,LANÇ_MOV[PLANO DE CONTAS],REL_DRE_FINANCEIRO!$B$753,LANÇ_MOV[ANO PAGAMENTO],$B$4,LANÇ_MOV[MÊS PAGAMENTO CORRESPONDENTE],F$6,LANÇ_MOV[EMPRESA],$C$4,LANÇ_MOV[CENTRO DE CUSTOS],$D$4)</f>
        <v>0</v>
      </c>
      <c r="G757" s="206">
        <f>SUMIFS(LANÇ_MOV[VALOR LÍQUIDO],LANÇ_MOV[RECEITA OU DESPESA],"Despesa",LANÇ_MOV[CONTAS],$C757,LANÇ_MOV[PLANO DE CONTAS],REL_DRE_FINANCEIRO!$B$753,LANÇ_MOV[ANO PAGAMENTO],$B$4,LANÇ_MOV[MÊS PAGAMENTO CORRESPONDENTE],G$6,LANÇ_MOV[EMPRESA],$C$4,LANÇ_MOV[CENTRO DE CUSTOS],$D$4)</f>
        <v>0</v>
      </c>
      <c r="H757" s="206">
        <f>SUMIFS(LANÇ_MOV[VALOR LÍQUIDO],LANÇ_MOV[RECEITA OU DESPESA],"Despesa",LANÇ_MOV[CONTAS],$C757,LANÇ_MOV[PLANO DE CONTAS],REL_DRE_FINANCEIRO!$B$753,LANÇ_MOV[ANO PAGAMENTO],$B$4,LANÇ_MOV[MÊS PAGAMENTO CORRESPONDENTE],H$6,LANÇ_MOV[EMPRESA],$C$4,LANÇ_MOV[CENTRO DE CUSTOS],$D$4)</f>
        <v>0</v>
      </c>
      <c r="I757" s="206">
        <f>SUMIFS(LANÇ_MOV[VALOR LÍQUIDO],LANÇ_MOV[RECEITA OU DESPESA],"Despesa",LANÇ_MOV[CONTAS],$C757,LANÇ_MOV[PLANO DE CONTAS],REL_DRE_FINANCEIRO!$B$753,LANÇ_MOV[ANO PAGAMENTO],$B$4,LANÇ_MOV[MÊS PAGAMENTO CORRESPONDENTE],I$6,LANÇ_MOV[EMPRESA],$C$4,LANÇ_MOV[CENTRO DE CUSTOS],$D$4)</f>
        <v>0</v>
      </c>
      <c r="J757" s="206">
        <f>SUMIFS(LANÇ_MOV[VALOR LÍQUIDO],LANÇ_MOV[RECEITA OU DESPESA],"Despesa",LANÇ_MOV[CONTAS],$C757,LANÇ_MOV[PLANO DE CONTAS],REL_DRE_FINANCEIRO!$B$753,LANÇ_MOV[ANO PAGAMENTO],$B$4,LANÇ_MOV[MÊS PAGAMENTO CORRESPONDENTE],J$6,LANÇ_MOV[EMPRESA],$C$4,LANÇ_MOV[CENTRO DE CUSTOS],$D$4)</f>
        <v>0</v>
      </c>
      <c r="K757" s="206">
        <f>SUMIFS(LANÇ_MOV[VALOR LÍQUIDO],LANÇ_MOV[RECEITA OU DESPESA],"Despesa",LANÇ_MOV[CONTAS],$C757,LANÇ_MOV[PLANO DE CONTAS],REL_DRE_FINANCEIRO!$B$753,LANÇ_MOV[ANO PAGAMENTO],$B$4,LANÇ_MOV[MÊS PAGAMENTO CORRESPONDENTE],K$6,LANÇ_MOV[EMPRESA],$C$4,LANÇ_MOV[CENTRO DE CUSTOS],$D$4)</f>
        <v>0</v>
      </c>
      <c r="L757" s="206">
        <f>SUMIFS(LANÇ_MOV[VALOR LÍQUIDO],LANÇ_MOV[RECEITA OU DESPESA],"Despesa",LANÇ_MOV[CONTAS],$C757,LANÇ_MOV[PLANO DE CONTAS],REL_DRE_FINANCEIRO!$B$753,LANÇ_MOV[ANO PAGAMENTO],$B$4,LANÇ_MOV[MÊS PAGAMENTO CORRESPONDENTE],L$6,LANÇ_MOV[EMPRESA],$C$4,LANÇ_MOV[CENTRO DE CUSTOS],$D$4)</f>
        <v>0</v>
      </c>
      <c r="M757" s="206">
        <f>SUMIFS(LANÇ_MOV[VALOR LÍQUIDO],LANÇ_MOV[RECEITA OU DESPESA],"Despesa",LANÇ_MOV[CONTAS],$C757,LANÇ_MOV[PLANO DE CONTAS],REL_DRE_FINANCEIRO!$B$753,LANÇ_MOV[ANO PAGAMENTO],$B$4,LANÇ_MOV[MÊS PAGAMENTO CORRESPONDENTE],M$6,LANÇ_MOV[EMPRESA],$C$4,LANÇ_MOV[CENTRO DE CUSTOS],$D$4)</f>
        <v>0</v>
      </c>
      <c r="N757" s="206">
        <f>SUMIFS(LANÇ_MOV[VALOR LÍQUIDO],LANÇ_MOV[RECEITA OU DESPESA],"Despesa",LANÇ_MOV[CONTAS],$C757,LANÇ_MOV[PLANO DE CONTAS],REL_DRE_FINANCEIRO!$B$753,LANÇ_MOV[ANO PAGAMENTO],$B$4,LANÇ_MOV[MÊS PAGAMENTO CORRESPONDENTE],N$6,LANÇ_MOV[EMPRESA],$C$4,LANÇ_MOV[CENTRO DE CUSTOS],$D$4)</f>
        <v>0</v>
      </c>
      <c r="O757" s="206">
        <f>SUMIFS(LANÇ_MOV[VALOR LÍQUIDO],LANÇ_MOV[RECEITA OU DESPESA],"Despesa",LANÇ_MOV[CONTAS],$C757,LANÇ_MOV[PLANO DE CONTAS],REL_DRE_FINANCEIRO!$B$753,LANÇ_MOV[ANO PAGAMENTO],$B$4,LANÇ_MOV[MÊS PAGAMENTO CORRESPONDENTE],O$6,LANÇ_MOV[EMPRESA],$C$4,LANÇ_MOV[CENTRO DE CUSTOS],$D$4)</f>
        <v>0</v>
      </c>
      <c r="P757" s="207">
        <f t="shared" si="100"/>
        <v>0</v>
      </c>
      <c r="Q757" s="329">
        <v>9.7000000000000003E-6</v>
      </c>
      <c r="R757" s="346">
        <f t="shared" si="101"/>
        <v>9.7000000000000003E-6</v>
      </c>
      <c r="S757" s="347" t="str">
        <f t="shared" si="102"/>
        <v>INSS- GPS</v>
      </c>
      <c r="T757" s="347">
        <f t="shared" si="103"/>
        <v>0</v>
      </c>
      <c r="U757" s="347">
        <f>HLOOKUP(Apoio!$P$12,$D$752:$P$853,X757,FALSE)+Q757</f>
        <v>9.7000000000000003E-6</v>
      </c>
      <c r="V757" s="447" t="str">
        <f t="shared" si="104"/>
        <v>INSS- GPS</v>
      </c>
      <c r="W757" s="448">
        <f>HLOOKUP(Apoio!$P$12,$D$752:$P$853,X757,FALSE)</f>
        <v>0</v>
      </c>
      <c r="X757" s="329">
        <v>6</v>
      </c>
      <c r="Y757" s="329">
        <v>4</v>
      </c>
      <c r="Z757" s="340" t="str">
        <f>VLOOKUP(LARGE($R$754:$R$853,Y757),$R$754:$S$853,2,FALSE)</f>
        <v>INSS- GPS</v>
      </c>
      <c r="AA757" s="340">
        <f>VLOOKUP(Z757,$S$754:$T$853,2,FALSE)</f>
        <v>0</v>
      </c>
    </row>
    <row r="758" spans="2:27" ht="30.05" customHeight="1" x14ac:dyDescent="0.35">
      <c r="B758" s="204" t="str">
        <f>'CAD_PL_REC-DESP'!Z9</f>
        <v>2.6.5</v>
      </c>
      <c r="C758" s="205" t="str">
        <f>IF('CAD_PL_REC-DESP'!AA9="","-",'CAD_PL_REC-DESP'!AA9)</f>
        <v>IPTU</v>
      </c>
      <c r="D758" s="206">
        <f>SUMIFS(LANÇ_MOV[VALOR LÍQUIDO],LANÇ_MOV[RECEITA OU DESPESA],"Despesa",LANÇ_MOV[CONTAS],$C758,LANÇ_MOV[PLANO DE CONTAS],REL_DRE_FINANCEIRO!$B$753,LANÇ_MOV[ANO PAGAMENTO],$B$4,LANÇ_MOV[MÊS PAGAMENTO CORRESPONDENTE],D$6,LANÇ_MOV[EMPRESA],$C$4,LANÇ_MOV[CENTRO DE CUSTOS],$D$4)</f>
        <v>0</v>
      </c>
      <c r="E758" s="206">
        <f>SUMIFS(LANÇ_MOV[VALOR LÍQUIDO],LANÇ_MOV[RECEITA OU DESPESA],"Despesa",LANÇ_MOV[CONTAS],$C758,LANÇ_MOV[PLANO DE CONTAS],REL_DRE_FINANCEIRO!$B$753,LANÇ_MOV[ANO PAGAMENTO],$B$4,LANÇ_MOV[MÊS PAGAMENTO CORRESPONDENTE],E$6,LANÇ_MOV[EMPRESA],$C$4,LANÇ_MOV[CENTRO DE CUSTOS],$D$4)</f>
        <v>0</v>
      </c>
      <c r="F758" s="206">
        <f>SUMIFS(LANÇ_MOV[VALOR LÍQUIDO],LANÇ_MOV[RECEITA OU DESPESA],"Despesa",LANÇ_MOV[CONTAS],$C758,LANÇ_MOV[PLANO DE CONTAS],REL_DRE_FINANCEIRO!$B$753,LANÇ_MOV[ANO PAGAMENTO],$B$4,LANÇ_MOV[MÊS PAGAMENTO CORRESPONDENTE],F$6,LANÇ_MOV[EMPRESA],$C$4,LANÇ_MOV[CENTRO DE CUSTOS],$D$4)</f>
        <v>0</v>
      </c>
      <c r="G758" s="206">
        <f>SUMIFS(LANÇ_MOV[VALOR LÍQUIDO],LANÇ_MOV[RECEITA OU DESPESA],"Despesa",LANÇ_MOV[CONTAS],$C758,LANÇ_MOV[PLANO DE CONTAS],REL_DRE_FINANCEIRO!$B$753,LANÇ_MOV[ANO PAGAMENTO],$B$4,LANÇ_MOV[MÊS PAGAMENTO CORRESPONDENTE],G$6,LANÇ_MOV[EMPRESA],$C$4,LANÇ_MOV[CENTRO DE CUSTOS],$D$4)</f>
        <v>0</v>
      </c>
      <c r="H758" s="206">
        <f>SUMIFS(LANÇ_MOV[VALOR LÍQUIDO],LANÇ_MOV[RECEITA OU DESPESA],"Despesa",LANÇ_MOV[CONTAS],$C758,LANÇ_MOV[PLANO DE CONTAS],REL_DRE_FINANCEIRO!$B$753,LANÇ_MOV[ANO PAGAMENTO],$B$4,LANÇ_MOV[MÊS PAGAMENTO CORRESPONDENTE],H$6,LANÇ_MOV[EMPRESA],$C$4,LANÇ_MOV[CENTRO DE CUSTOS],$D$4)</f>
        <v>0</v>
      </c>
      <c r="I758" s="206">
        <f>SUMIFS(LANÇ_MOV[VALOR LÍQUIDO],LANÇ_MOV[RECEITA OU DESPESA],"Despesa",LANÇ_MOV[CONTAS],$C758,LANÇ_MOV[PLANO DE CONTAS],REL_DRE_FINANCEIRO!$B$753,LANÇ_MOV[ANO PAGAMENTO],$B$4,LANÇ_MOV[MÊS PAGAMENTO CORRESPONDENTE],I$6,LANÇ_MOV[EMPRESA],$C$4,LANÇ_MOV[CENTRO DE CUSTOS],$D$4)</f>
        <v>0</v>
      </c>
      <c r="J758" s="206">
        <f>SUMIFS(LANÇ_MOV[VALOR LÍQUIDO],LANÇ_MOV[RECEITA OU DESPESA],"Despesa",LANÇ_MOV[CONTAS],$C758,LANÇ_MOV[PLANO DE CONTAS],REL_DRE_FINANCEIRO!$B$753,LANÇ_MOV[ANO PAGAMENTO],$B$4,LANÇ_MOV[MÊS PAGAMENTO CORRESPONDENTE],J$6,LANÇ_MOV[EMPRESA],$C$4,LANÇ_MOV[CENTRO DE CUSTOS],$D$4)</f>
        <v>0</v>
      </c>
      <c r="K758" s="206">
        <f>SUMIFS(LANÇ_MOV[VALOR LÍQUIDO],LANÇ_MOV[RECEITA OU DESPESA],"Despesa",LANÇ_MOV[CONTAS],$C758,LANÇ_MOV[PLANO DE CONTAS],REL_DRE_FINANCEIRO!$B$753,LANÇ_MOV[ANO PAGAMENTO],$B$4,LANÇ_MOV[MÊS PAGAMENTO CORRESPONDENTE],K$6,LANÇ_MOV[EMPRESA],$C$4,LANÇ_MOV[CENTRO DE CUSTOS],$D$4)</f>
        <v>0</v>
      </c>
      <c r="L758" s="206">
        <f>SUMIFS(LANÇ_MOV[VALOR LÍQUIDO],LANÇ_MOV[RECEITA OU DESPESA],"Despesa",LANÇ_MOV[CONTAS],$C758,LANÇ_MOV[PLANO DE CONTAS],REL_DRE_FINANCEIRO!$B$753,LANÇ_MOV[ANO PAGAMENTO],$B$4,LANÇ_MOV[MÊS PAGAMENTO CORRESPONDENTE],L$6,LANÇ_MOV[EMPRESA],$C$4,LANÇ_MOV[CENTRO DE CUSTOS],$D$4)</f>
        <v>0</v>
      </c>
      <c r="M758" s="206">
        <f>SUMIFS(LANÇ_MOV[VALOR LÍQUIDO],LANÇ_MOV[RECEITA OU DESPESA],"Despesa",LANÇ_MOV[CONTAS],$C758,LANÇ_MOV[PLANO DE CONTAS],REL_DRE_FINANCEIRO!$B$753,LANÇ_MOV[ANO PAGAMENTO],$B$4,LANÇ_MOV[MÊS PAGAMENTO CORRESPONDENTE],M$6,LANÇ_MOV[EMPRESA],$C$4,LANÇ_MOV[CENTRO DE CUSTOS],$D$4)</f>
        <v>0</v>
      </c>
      <c r="N758" s="206">
        <f>SUMIFS(LANÇ_MOV[VALOR LÍQUIDO],LANÇ_MOV[RECEITA OU DESPESA],"Despesa",LANÇ_MOV[CONTAS],$C758,LANÇ_MOV[PLANO DE CONTAS],REL_DRE_FINANCEIRO!$B$753,LANÇ_MOV[ANO PAGAMENTO],$B$4,LANÇ_MOV[MÊS PAGAMENTO CORRESPONDENTE],N$6,LANÇ_MOV[EMPRESA],$C$4,LANÇ_MOV[CENTRO DE CUSTOS],$D$4)</f>
        <v>0</v>
      </c>
      <c r="O758" s="206">
        <f>SUMIFS(LANÇ_MOV[VALOR LÍQUIDO],LANÇ_MOV[RECEITA OU DESPESA],"Despesa",LANÇ_MOV[CONTAS],$C758,LANÇ_MOV[PLANO DE CONTAS],REL_DRE_FINANCEIRO!$B$753,LANÇ_MOV[ANO PAGAMENTO],$B$4,LANÇ_MOV[MÊS PAGAMENTO CORRESPONDENTE],O$6,LANÇ_MOV[EMPRESA],$C$4,LANÇ_MOV[CENTRO DE CUSTOS],$D$4)</f>
        <v>0</v>
      </c>
      <c r="P758" s="207">
        <f t="shared" si="100"/>
        <v>0</v>
      </c>
      <c r="Q758" s="329">
        <v>9.5999999999999996E-6</v>
      </c>
      <c r="R758" s="346">
        <f t="shared" si="101"/>
        <v>9.5999999999999996E-6</v>
      </c>
      <c r="S758" s="347" t="str">
        <f t="shared" si="102"/>
        <v>IPTU</v>
      </c>
      <c r="T758" s="347">
        <f t="shared" si="103"/>
        <v>0</v>
      </c>
      <c r="U758" s="347">
        <f>HLOOKUP(Apoio!$P$12,$D$752:$P$853,X758,FALSE)+Q758</f>
        <v>9.5999999999999996E-6</v>
      </c>
      <c r="V758" s="447" t="str">
        <f t="shared" si="104"/>
        <v>IPTU</v>
      </c>
      <c r="W758" s="448">
        <f>HLOOKUP(Apoio!$P$12,$D$752:$P$853,X758,FALSE)</f>
        <v>0</v>
      </c>
      <c r="X758" s="329">
        <v>7</v>
      </c>
      <c r="Y758" s="329">
        <v>5</v>
      </c>
      <c r="Z758" s="340" t="str">
        <f>VLOOKUP(LARGE($R$754:$R$853,Y758),$R$754:$S$853,2,FALSE)</f>
        <v>IPTU</v>
      </c>
      <c r="AA758" s="340">
        <f>VLOOKUP(Z758,$S$754:$T$853,2,FALSE)</f>
        <v>0</v>
      </c>
    </row>
    <row r="759" spans="2:27" ht="30.05" customHeight="1" x14ac:dyDescent="0.35">
      <c r="B759" s="204" t="str">
        <f>'CAD_PL_REC-DESP'!Z10</f>
        <v>2.6.6</v>
      </c>
      <c r="C759" s="205" t="str">
        <f>IF('CAD_PL_REC-DESP'!AA10="","-",'CAD_PL_REC-DESP'!AA10)</f>
        <v>IPVA</v>
      </c>
      <c r="D759" s="206">
        <f>SUMIFS(LANÇ_MOV[VALOR LÍQUIDO],LANÇ_MOV[RECEITA OU DESPESA],"Despesa",LANÇ_MOV[CONTAS],$C759,LANÇ_MOV[PLANO DE CONTAS],REL_DRE_FINANCEIRO!$B$753,LANÇ_MOV[ANO PAGAMENTO],$B$4,LANÇ_MOV[MÊS PAGAMENTO CORRESPONDENTE],D$6,LANÇ_MOV[EMPRESA],$C$4,LANÇ_MOV[CENTRO DE CUSTOS],$D$4)</f>
        <v>0</v>
      </c>
      <c r="E759" s="206">
        <f>SUMIFS(LANÇ_MOV[VALOR LÍQUIDO],LANÇ_MOV[RECEITA OU DESPESA],"Despesa",LANÇ_MOV[CONTAS],$C759,LANÇ_MOV[PLANO DE CONTAS],REL_DRE_FINANCEIRO!$B$753,LANÇ_MOV[ANO PAGAMENTO],$B$4,LANÇ_MOV[MÊS PAGAMENTO CORRESPONDENTE],E$6,LANÇ_MOV[EMPRESA],$C$4,LANÇ_MOV[CENTRO DE CUSTOS],$D$4)</f>
        <v>0</v>
      </c>
      <c r="F759" s="206">
        <f>SUMIFS(LANÇ_MOV[VALOR LÍQUIDO],LANÇ_MOV[RECEITA OU DESPESA],"Despesa",LANÇ_MOV[CONTAS],$C759,LANÇ_MOV[PLANO DE CONTAS],REL_DRE_FINANCEIRO!$B$753,LANÇ_MOV[ANO PAGAMENTO],$B$4,LANÇ_MOV[MÊS PAGAMENTO CORRESPONDENTE],F$6,LANÇ_MOV[EMPRESA],$C$4,LANÇ_MOV[CENTRO DE CUSTOS],$D$4)</f>
        <v>0</v>
      </c>
      <c r="G759" s="206">
        <f>SUMIFS(LANÇ_MOV[VALOR LÍQUIDO],LANÇ_MOV[RECEITA OU DESPESA],"Despesa",LANÇ_MOV[CONTAS],$C759,LANÇ_MOV[PLANO DE CONTAS],REL_DRE_FINANCEIRO!$B$753,LANÇ_MOV[ANO PAGAMENTO],$B$4,LANÇ_MOV[MÊS PAGAMENTO CORRESPONDENTE],G$6,LANÇ_MOV[EMPRESA],$C$4,LANÇ_MOV[CENTRO DE CUSTOS],$D$4)</f>
        <v>0</v>
      </c>
      <c r="H759" s="206">
        <f>SUMIFS(LANÇ_MOV[VALOR LÍQUIDO],LANÇ_MOV[RECEITA OU DESPESA],"Despesa",LANÇ_MOV[CONTAS],$C759,LANÇ_MOV[PLANO DE CONTAS],REL_DRE_FINANCEIRO!$B$753,LANÇ_MOV[ANO PAGAMENTO],$B$4,LANÇ_MOV[MÊS PAGAMENTO CORRESPONDENTE],H$6,LANÇ_MOV[EMPRESA],$C$4,LANÇ_MOV[CENTRO DE CUSTOS],$D$4)</f>
        <v>0</v>
      </c>
      <c r="I759" s="206">
        <f>SUMIFS(LANÇ_MOV[VALOR LÍQUIDO],LANÇ_MOV[RECEITA OU DESPESA],"Despesa",LANÇ_MOV[CONTAS],$C759,LANÇ_MOV[PLANO DE CONTAS],REL_DRE_FINANCEIRO!$B$753,LANÇ_MOV[ANO PAGAMENTO],$B$4,LANÇ_MOV[MÊS PAGAMENTO CORRESPONDENTE],I$6,LANÇ_MOV[EMPRESA],$C$4,LANÇ_MOV[CENTRO DE CUSTOS],$D$4)</f>
        <v>0</v>
      </c>
      <c r="J759" s="206">
        <f>SUMIFS(LANÇ_MOV[VALOR LÍQUIDO],LANÇ_MOV[RECEITA OU DESPESA],"Despesa",LANÇ_MOV[CONTAS],$C759,LANÇ_MOV[PLANO DE CONTAS],REL_DRE_FINANCEIRO!$B$753,LANÇ_MOV[ANO PAGAMENTO],$B$4,LANÇ_MOV[MÊS PAGAMENTO CORRESPONDENTE],J$6,LANÇ_MOV[EMPRESA],$C$4,LANÇ_MOV[CENTRO DE CUSTOS],$D$4)</f>
        <v>0</v>
      </c>
      <c r="K759" s="206">
        <f>SUMIFS(LANÇ_MOV[VALOR LÍQUIDO],LANÇ_MOV[RECEITA OU DESPESA],"Despesa",LANÇ_MOV[CONTAS],$C759,LANÇ_MOV[PLANO DE CONTAS],REL_DRE_FINANCEIRO!$B$753,LANÇ_MOV[ANO PAGAMENTO],$B$4,LANÇ_MOV[MÊS PAGAMENTO CORRESPONDENTE],K$6,LANÇ_MOV[EMPRESA],$C$4,LANÇ_MOV[CENTRO DE CUSTOS],$D$4)</f>
        <v>0</v>
      </c>
      <c r="L759" s="206">
        <f>SUMIFS(LANÇ_MOV[VALOR LÍQUIDO],LANÇ_MOV[RECEITA OU DESPESA],"Despesa",LANÇ_MOV[CONTAS],$C759,LANÇ_MOV[PLANO DE CONTAS],REL_DRE_FINANCEIRO!$B$753,LANÇ_MOV[ANO PAGAMENTO],$B$4,LANÇ_MOV[MÊS PAGAMENTO CORRESPONDENTE],L$6,LANÇ_MOV[EMPRESA],$C$4,LANÇ_MOV[CENTRO DE CUSTOS],$D$4)</f>
        <v>0</v>
      </c>
      <c r="M759" s="206">
        <f>SUMIFS(LANÇ_MOV[VALOR LÍQUIDO],LANÇ_MOV[RECEITA OU DESPESA],"Despesa",LANÇ_MOV[CONTAS],$C759,LANÇ_MOV[PLANO DE CONTAS],REL_DRE_FINANCEIRO!$B$753,LANÇ_MOV[ANO PAGAMENTO],$B$4,LANÇ_MOV[MÊS PAGAMENTO CORRESPONDENTE],M$6,LANÇ_MOV[EMPRESA],$C$4,LANÇ_MOV[CENTRO DE CUSTOS],$D$4)</f>
        <v>0</v>
      </c>
      <c r="N759" s="206">
        <f>SUMIFS(LANÇ_MOV[VALOR LÍQUIDO],LANÇ_MOV[RECEITA OU DESPESA],"Despesa",LANÇ_MOV[CONTAS],$C759,LANÇ_MOV[PLANO DE CONTAS],REL_DRE_FINANCEIRO!$B$753,LANÇ_MOV[ANO PAGAMENTO],$B$4,LANÇ_MOV[MÊS PAGAMENTO CORRESPONDENTE],N$6,LANÇ_MOV[EMPRESA],$C$4,LANÇ_MOV[CENTRO DE CUSTOS],$D$4)</f>
        <v>0</v>
      </c>
      <c r="O759" s="206">
        <f>SUMIFS(LANÇ_MOV[VALOR LÍQUIDO],LANÇ_MOV[RECEITA OU DESPESA],"Despesa",LANÇ_MOV[CONTAS],$C759,LANÇ_MOV[PLANO DE CONTAS],REL_DRE_FINANCEIRO!$B$753,LANÇ_MOV[ANO PAGAMENTO],$B$4,LANÇ_MOV[MÊS PAGAMENTO CORRESPONDENTE],O$6,LANÇ_MOV[EMPRESA],$C$4,LANÇ_MOV[CENTRO DE CUSTOS],$D$4)</f>
        <v>0</v>
      </c>
      <c r="P759" s="207">
        <f t="shared" si="100"/>
        <v>0</v>
      </c>
      <c r="Q759" s="329">
        <v>9.5000000000000005E-6</v>
      </c>
      <c r="R759" s="346">
        <f t="shared" si="101"/>
        <v>9.5000000000000005E-6</v>
      </c>
      <c r="S759" s="347" t="str">
        <f t="shared" si="102"/>
        <v>IPVA</v>
      </c>
      <c r="T759" s="347">
        <f t="shared" si="103"/>
        <v>0</v>
      </c>
      <c r="U759" s="347">
        <f>HLOOKUP(Apoio!$P$12,$D$752:$P$853,X759,FALSE)+Q759</f>
        <v>9.5000000000000005E-6</v>
      </c>
      <c r="V759" s="447" t="str">
        <f t="shared" si="104"/>
        <v>IPVA</v>
      </c>
      <c r="W759" s="448">
        <f>HLOOKUP(Apoio!$P$12,$D$752:$P$853,X759,FALSE)</f>
        <v>0</v>
      </c>
      <c r="X759" s="329">
        <v>8</v>
      </c>
      <c r="Z759" s="340" t="s">
        <v>1121</v>
      </c>
      <c r="AA759" s="340" t="s">
        <v>1123</v>
      </c>
    </row>
    <row r="760" spans="2:27" ht="30.05" customHeight="1" x14ac:dyDescent="0.35">
      <c r="B760" s="204" t="str">
        <f>'CAD_PL_REC-DESP'!Z11</f>
        <v>2.6.7</v>
      </c>
      <c r="C760" s="205" t="str">
        <f>IF('CAD_PL_REC-DESP'!AA11="","-",'CAD_PL_REC-DESP'!AA11)</f>
        <v>OUTROS IMPOSTOS</v>
      </c>
      <c r="D760" s="206">
        <f>SUMIFS(LANÇ_MOV[VALOR LÍQUIDO],LANÇ_MOV[RECEITA OU DESPESA],"Despesa",LANÇ_MOV[CONTAS],$C760,LANÇ_MOV[PLANO DE CONTAS],REL_DRE_FINANCEIRO!$B$753,LANÇ_MOV[ANO PAGAMENTO],$B$4,LANÇ_MOV[MÊS PAGAMENTO CORRESPONDENTE],D$6,LANÇ_MOV[EMPRESA],$C$4,LANÇ_MOV[CENTRO DE CUSTOS],$D$4)</f>
        <v>0</v>
      </c>
      <c r="E760" s="206">
        <f>SUMIFS(LANÇ_MOV[VALOR LÍQUIDO],LANÇ_MOV[RECEITA OU DESPESA],"Despesa",LANÇ_MOV[CONTAS],$C760,LANÇ_MOV[PLANO DE CONTAS],REL_DRE_FINANCEIRO!$B$753,LANÇ_MOV[ANO PAGAMENTO],$B$4,LANÇ_MOV[MÊS PAGAMENTO CORRESPONDENTE],E$6,LANÇ_MOV[EMPRESA],$C$4,LANÇ_MOV[CENTRO DE CUSTOS],$D$4)</f>
        <v>0</v>
      </c>
      <c r="F760" s="206">
        <f>SUMIFS(LANÇ_MOV[VALOR LÍQUIDO],LANÇ_MOV[RECEITA OU DESPESA],"Despesa",LANÇ_MOV[CONTAS],$C760,LANÇ_MOV[PLANO DE CONTAS],REL_DRE_FINANCEIRO!$B$753,LANÇ_MOV[ANO PAGAMENTO],$B$4,LANÇ_MOV[MÊS PAGAMENTO CORRESPONDENTE],F$6,LANÇ_MOV[EMPRESA],$C$4,LANÇ_MOV[CENTRO DE CUSTOS],$D$4)</f>
        <v>0</v>
      </c>
      <c r="G760" s="206">
        <f>SUMIFS(LANÇ_MOV[VALOR LÍQUIDO],LANÇ_MOV[RECEITA OU DESPESA],"Despesa",LANÇ_MOV[CONTAS],$C760,LANÇ_MOV[PLANO DE CONTAS],REL_DRE_FINANCEIRO!$B$753,LANÇ_MOV[ANO PAGAMENTO],$B$4,LANÇ_MOV[MÊS PAGAMENTO CORRESPONDENTE],G$6,LANÇ_MOV[EMPRESA],$C$4,LANÇ_MOV[CENTRO DE CUSTOS],$D$4)</f>
        <v>0</v>
      </c>
      <c r="H760" s="206">
        <f>SUMIFS(LANÇ_MOV[VALOR LÍQUIDO],LANÇ_MOV[RECEITA OU DESPESA],"Despesa",LANÇ_MOV[CONTAS],$C760,LANÇ_MOV[PLANO DE CONTAS],REL_DRE_FINANCEIRO!$B$753,LANÇ_MOV[ANO PAGAMENTO],$B$4,LANÇ_MOV[MÊS PAGAMENTO CORRESPONDENTE],H$6,LANÇ_MOV[EMPRESA],$C$4,LANÇ_MOV[CENTRO DE CUSTOS],$D$4)</f>
        <v>0</v>
      </c>
      <c r="I760" s="206">
        <f>SUMIFS(LANÇ_MOV[VALOR LÍQUIDO],LANÇ_MOV[RECEITA OU DESPESA],"Despesa",LANÇ_MOV[CONTAS],$C760,LANÇ_MOV[PLANO DE CONTAS],REL_DRE_FINANCEIRO!$B$753,LANÇ_MOV[ANO PAGAMENTO],$B$4,LANÇ_MOV[MÊS PAGAMENTO CORRESPONDENTE],I$6,LANÇ_MOV[EMPRESA],$C$4,LANÇ_MOV[CENTRO DE CUSTOS],$D$4)</f>
        <v>0</v>
      </c>
      <c r="J760" s="206">
        <f>SUMIFS(LANÇ_MOV[VALOR LÍQUIDO],LANÇ_MOV[RECEITA OU DESPESA],"Despesa",LANÇ_MOV[CONTAS],$C760,LANÇ_MOV[PLANO DE CONTAS],REL_DRE_FINANCEIRO!$B$753,LANÇ_MOV[ANO PAGAMENTO],$B$4,LANÇ_MOV[MÊS PAGAMENTO CORRESPONDENTE],J$6,LANÇ_MOV[EMPRESA],$C$4,LANÇ_MOV[CENTRO DE CUSTOS],$D$4)</f>
        <v>0</v>
      </c>
      <c r="K760" s="206">
        <f>SUMIFS(LANÇ_MOV[VALOR LÍQUIDO],LANÇ_MOV[RECEITA OU DESPESA],"Despesa",LANÇ_MOV[CONTAS],$C760,LANÇ_MOV[PLANO DE CONTAS],REL_DRE_FINANCEIRO!$B$753,LANÇ_MOV[ANO PAGAMENTO],$B$4,LANÇ_MOV[MÊS PAGAMENTO CORRESPONDENTE],K$6,LANÇ_MOV[EMPRESA],$C$4,LANÇ_MOV[CENTRO DE CUSTOS],$D$4)</f>
        <v>0</v>
      </c>
      <c r="L760" s="206">
        <f>SUMIFS(LANÇ_MOV[VALOR LÍQUIDO],LANÇ_MOV[RECEITA OU DESPESA],"Despesa",LANÇ_MOV[CONTAS],$C760,LANÇ_MOV[PLANO DE CONTAS],REL_DRE_FINANCEIRO!$B$753,LANÇ_MOV[ANO PAGAMENTO],$B$4,LANÇ_MOV[MÊS PAGAMENTO CORRESPONDENTE],L$6,LANÇ_MOV[EMPRESA],$C$4,LANÇ_MOV[CENTRO DE CUSTOS],$D$4)</f>
        <v>0</v>
      </c>
      <c r="M760" s="206">
        <f>SUMIFS(LANÇ_MOV[VALOR LÍQUIDO],LANÇ_MOV[RECEITA OU DESPESA],"Despesa",LANÇ_MOV[CONTAS],$C760,LANÇ_MOV[PLANO DE CONTAS],REL_DRE_FINANCEIRO!$B$753,LANÇ_MOV[ANO PAGAMENTO],$B$4,LANÇ_MOV[MÊS PAGAMENTO CORRESPONDENTE],M$6,LANÇ_MOV[EMPRESA],$C$4,LANÇ_MOV[CENTRO DE CUSTOS],$D$4)</f>
        <v>0</v>
      </c>
      <c r="N760" s="206">
        <f>SUMIFS(LANÇ_MOV[VALOR LÍQUIDO],LANÇ_MOV[RECEITA OU DESPESA],"Despesa",LANÇ_MOV[CONTAS],$C760,LANÇ_MOV[PLANO DE CONTAS],REL_DRE_FINANCEIRO!$B$753,LANÇ_MOV[ANO PAGAMENTO],$B$4,LANÇ_MOV[MÊS PAGAMENTO CORRESPONDENTE],N$6,LANÇ_MOV[EMPRESA],$C$4,LANÇ_MOV[CENTRO DE CUSTOS],$D$4)</f>
        <v>0</v>
      </c>
      <c r="O760" s="206">
        <f>SUMIFS(LANÇ_MOV[VALOR LÍQUIDO],LANÇ_MOV[RECEITA OU DESPESA],"Despesa",LANÇ_MOV[CONTAS],$C760,LANÇ_MOV[PLANO DE CONTAS],REL_DRE_FINANCEIRO!$B$753,LANÇ_MOV[ANO PAGAMENTO],$B$4,LANÇ_MOV[MÊS PAGAMENTO CORRESPONDENTE],O$6,LANÇ_MOV[EMPRESA],$C$4,LANÇ_MOV[CENTRO DE CUSTOS],$D$4)</f>
        <v>0</v>
      </c>
      <c r="P760" s="207">
        <f t="shared" si="100"/>
        <v>0</v>
      </c>
      <c r="Q760" s="329">
        <v>9.3999999999999998E-6</v>
      </c>
      <c r="R760" s="346">
        <f t="shared" si="101"/>
        <v>9.3999999999999998E-6</v>
      </c>
      <c r="S760" s="347" t="str">
        <f t="shared" si="102"/>
        <v>OUTROS IMPOSTOS</v>
      </c>
      <c r="T760" s="347">
        <f t="shared" si="103"/>
        <v>0</v>
      </c>
      <c r="U760" s="347">
        <f>HLOOKUP(Apoio!$P$12,$D$752:$P$853,X760,FALSE)+Q760</f>
        <v>9.3999999999999998E-6</v>
      </c>
      <c r="V760" s="447" t="str">
        <f t="shared" si="104"/>
        <v>OUTROS IMPOSTOS</v>
      </c>
      <c r="W760" s="448">
        <f>HLOOKUP(Apoio!$P$12,$D$752:$P$853,X760,FALSE)</f>
        <v>0</v>
      </c>
      <c r="X760" s="329">
        <v>9</v>
      </c>
      <c r="Y760" s="329">
        <v>1</v>
      </c>
      <c r="Z760" s="340" t="str">
        <f>VLOOKUP(LARGE($U$754:$U$853,Y760),$U$754:$V$853,2,FALSE)</f>
        <v>ALVARÁ DE INSPENÇÃO SANITÁRIA</v>
      </c>
      <c r="AA760" s="340">
        <f>VLOOKUP(Z760,$V$754:$W$853,2,FALSE)</f>
        <v>0</v>
      </c>
    </row>
    <row r="761" spans="2:27" ht="30.05" customHeight="1" x14ac:dyDescent="0.35">
      <c r="B761" s="204" t="str">
        <f>'CAD_PL_REC-DESP'!Z12</f>
        <v>2.6.8</v>
      </c>
      <c r="C761" s="205" t="str">
        <f>IF('CAD_PL_REC-DESP'!AA12="","-",'CAD_PL_REC-DESP'!AA12)</f>
        <v>SIMPLES NACIONAL</v>
      </c>
      <c r="D761" s="206">
        <f>SUMIFS(LANÇ_MOV[VALOR LÍQUIDO],LANÇ_MOV[RECEITA OU DESPESA],"Despesa",LANÇ_MOV[CONTAS],$C761,LANÇ_MOV[PLANO DE CONTAS],REL_DRE_FINANCEIRO!$B$753,LANÇ_MOV[ANO PAGAMENTO],$B$4,LANÇ_MOV[MÊS PAGAMENTO CORRESPONDENTE],D$6,LANÇ_MOV[EMPRESA],$C$4,LANÇ_MOV[CENTRO DE CUSTOS],$D$4)</f>
        <v>0</v>
      </c>
      <c r="E761" s="206">
        <f>SUMIFS(LANÇ_MOV[VALOR LÍQUIDO],LANÇ_MOV[RECEITA OU DESPESA],"Despesa",LANÇ_MOV[CONTAS],$C761,LANÇ_MOV[PLANO DE CONTAS],REL_DRE_FINANCEIRO!$B$753,LANÇ_MOV[ANO PAGAMENTO],$B$4,LANÇ_MOV[MÊS PAGAMENTO CORRESPONDENTE],E$6,LANÇ_MOV[EMPRESA],$C$4,LANÇ_MOV[CENTRO DE CUSTOS],$D$4)</f>
        <v>0</v>
      </c>
      <c r="F761" s="206">
        <f>SUMIFS(LANÇ_MOV[VALOR LÍQUIDO],LANÇ_MOV[RECEITA OU DESPESA],"Despesa",LANÇ_MOV[CONTAS],$C761,LANÇ_MOV[PLANO DE CONTAS],REL_DRE_FINANCEIRO!$B$753,LANÇ_MOV[ANO PAGAMENTO],$B$4,LANÇ_MOV[MÊS PAGAMENTO CORRESPONDENTE],F$6,LANÇ_MOV[EMPRESA],$C$4,LANÇ_MOV[CENTRO DE CUSTOS],$D$4)</f>
        <v>0</v>
      </c>
      <c r="G761" s="206">
        <f>SUMIFS(LANÇ_MOV[VALOR LÍQUIDO],LANÇ_MOV[RECEITA OU DESPESA],"Despesa",LANÇ_MOV[CONTAS],$C761,LANÇ_MOV[PLANO DE CONTAS],REL_DRE_FINANCEIRO!$B$753,LANÇ_MOV[ANO PAGAMENTO],$B$4,LANÇ_MOV[MÊS PAGAMENTO CORRESPONDENTE],G$6,LANÇ_MOV[EMPRESA],$C$4,LANÇ_MOV[CENTRO DE CUSTOS],$D$4)</f>
        <v>0</v>
      </c>
      <c r="H761" s="206">
        <f>SUMIFS(LANÇ_MOV[VALOR LÍQUIDO],LANÇ_MOV[RECEITA OU DESPESA],"Despesa",LANÇ_MOV[CONTAS],$C761,LANÇ_MOV[PLANO DE CONTAS],REL_DRE_FINANCEIRO!$B$753,LANÇ_MOV[ANO PAGAMENTO],$B$4,LANÇ_MOV[MÊS PAGAMENTO CORRESPONDENTE],H$6,LANÇ_MOV[EMPRESA],$C$4,LANÇ_MOV[CENTRO DE CUSTOS],$D$4)</f>
        <v>0</v>
      </c>
      <c r="I761" s="206">
        <f>SUMIFS(LANÇ_MOV[VALOR LÍQUIDO],LANÇ_MOV[RECEITA OU DESPESA],"Despesa",LANÇ_MOV[CONTAS],$C761,LANÇ_MOV[PLANO DE CONTAS],REL_DRE_FINANCEIRO!$B$753,LANÇ_MOV[ANO PAGAMENTO],$B$4,LANÇ_MOV[MÊS PAGAMENTO CORRESPONDENTE],I$6,LANÇ_MOV[EMPRESA],$C$4,LANÇ_MOV[CENTRO DE CUSTOS],$D$4)</f>
        <v>0</v>
      </c>
      <c r="J761" s="206">
        <f>SUMIFS(LANÇ_MOV[VALOR LÍQUIDO],LANÇ_MOV[RECEITA OU DESPESA],"Despesa",LANÇ_MOV[CONTAS],$C761,LANÇ_MOV[PLANO DE CONTAS],REL_DRE_FINANCEIRO!$B$753,LANÇ_MOV[ANO PAGAMENTO],$B$4,LANÇ_MOV[MÊS PAGAMENTO CORRESPONDENTE],J$6,LANÇ_MOV[EMPRESA],$C$4,LANÇ_MOV[CENTRO DE CUSTOS],$D$4)</f>
        <v>0</v>
      </c>
      <c r="K761" s="206">
        <f>SUMIFS(LANÇ_MOV[VALOR LÍQUIDO],LANÇ_MOV[RECEITA OU DESPESA],"Despesa",LANÇ_MOV[CONTAS],$C761,LANÇ_MOV[PLANO DE CONTAS],REL_DRE_FINANCEIRO!$B$753,LANÇ_MOV[ANO PAGAMENTO],$B$4,LANÇ_MOV[MÊS PAGAMENTO CORRESPONDENTE],K$6,LANÇ_MOV[EMPRESA],$C$4,LANÇ_MOV[CENTRO DE CUSTOS],$D$4)</f>
        <v>0</v>
      </c>
      <c r="L761" s="206">
        <f>SUMIFS(LANÇ_MOV[VALOR LÍQUIDO],LANÇ_MOV[RECEITA OU DESPESA],"Despesa",LANÇ_MOV[CONTAS],$C761,LANÇ_MOV[PLANO DE CONTAS],REL_DRE_FINANCEIRO!$B$753,LANÇ_MOV[ANO PAGAMENTO],$B$4,LANÇ_MOV[MÊS PAGAMENTO CORRESPONDENTE],L$6,LANÇ_MOV[EMPRESA],$C$4,LANÇ_MOV[CENTRO DE CUSTOS],$D$4)</f>
        <v>0</v>
      </c>
      <c r="M761" s="206">
        <f>SUMIFS(LANÇ_MOV[VALOR LÍQUIDO],LANÇ_MOV[RECEITA OU DESPESA],"Despesa",LANÇ_MOV[CONTAS],$C761,LANÇ_MOV[PLANO DE CONTAS],REL_DRE_FINANCEIRO!$B$753,LANÇ_MOV[ANO PAGAMENTO],$B$4,LANÇ_MOV[MÊS PAGAMENTO CORRESPONDENTE],M$6,LANÇ_MOV[EMPRESA],$C$4,LANÇ_MOV[CENTRO DE CUSTOS],$D$4)</f>
        <v>0</v>
      </c>
      <c r="N761" s="206">
        <f>SUMIFS(LANÇ_MOV[VALOR LÍQUIDO],LANÇ_MOV[RECEITA OU DESPESA],"Despesa",LANÇ_MOV[CONTAS],$C761,LANÇ_MOV[PLANO DE CONTAS],REL_DRE_FINANCEIRO!$B$753,LANÇ_MOV[ANO PAGAMENTO],$B$4,LANÇ_MOV[MÊS PAGAMENTO CORRESPONDENTE],N$6,LANÇ_MOV[EMPRESA],$C$4,LANÇ_MOV[CENTRO DE CUSTOS],$D$4)</f>
        <v>0</v>
      </c>
      <c r="O761" s="206">
        <f>SUMIFS(LANÇ_MOV[VALOR LÍQUIDO],LANÇ_MOV[RECEITA OU DESPESA],"Despesa",LANÇ_MOV[CONTAS],$C761,LANÇ_MOV[PLANO DE CONTAS],REL_DRE_FINANCEIRO!$B$753,LANÇ_MOV[ANO PAGAMENTO],$B$4,LANÇ_MOV[MÊS PAGAMENTO CORRESPONDENTE],O$6,LANÇ_MOV[EMPRESA],$C$4,LANÇ_MOV[CENTRO DE CUSTOS],$D$4)</f>
        <v>0</v>
      </c>
      <c r="P761" s="207">
        <f t="shared" si="100"/>
        <v>0</v>
      </c>
      <c r="Q761" s="329">
        <v>9.3000000000000007E-6</v>
      </c>
      <c r="R761" s="346">
        <f t="shared" si="101"/>
        <v>9.3000000000000007E-6</v>
      </c>
      <c r="S761" s="347" t="str">
        <f t="shared" si="102"/>
        <v>SIMPLES NACIONAL</v>
      </c>
      <c r="T761" s="347">
        <f t="shared" si="103"/>
        <v>0</v>
      </c>
      <c r="U761" s="347">
        <f>HLOOKUP(Apoio!$P$12,$D$752:$P$853,X761,FALSE)+Q761</f>
        <v>9.3000000000000007E-6</v>
      </c>
      <c r="V761" s="447" t="str">
        <f t="shared" si="104"/>
        <v>SIMPLES NACIONAL</v>
      </c>
      <c r="W761" s="448">
        <f>HLOOKUP(Apoio!$P$12,$D$752:$P$853,X761,FALSE)</f>
        <v>0</v>
      </c>
      <c r="X761" s="329">
        <v>10</v>
      </c>
      <c r="Y761" s="329">
        <v>2</v>
      </c>
      <c r="Z761" s="340" t="str">
        <f>VLOOKUP(LARGE($U$754:$U$853,Y761),$U$754:$V$853,2,FALSE)</f>
        <v>FGTS</v>
      </c>
      <c r="AA761" s="340">
        <f>VLOOKUP(Z761,$V$754:$W$853,2,FALSE)</f>
        <v>0</v>
      </c>
    </row>
    <row r="762" spans="2:27" ht="30.05" customHeight="1" x14ac:dyDescent="0.35">
      <c r="B762" s="204" t="str">
        <f>'CAD_PL_REC-DESP'!Z13</f>
        <v>2.6.9</v>
      </c>
      <c r="C762" s="205" t="str">
        <f>IF('CAD_PL_REC-DESP'!AA13="","-",'CAD_PL_REC-DESP'!AA13)</f>
        <v>TAXA BOMBEIROS</v>
      </c>
      <c r="D762" s="206">
        <f>SUMIFS(LANÇ_MOV[VALOR LÍQUIDO],LANÇ_MOV[RECEITA OU DESPESA],"Despesa",LANÇ_MOV[CONTAS],$C762,LANÇ_MOV[PLANO DE CONTAS],REL_DRE_FINANCEIRO!$B$753,LANÇ_MOV[ANO PAGAMENTO],$B$4,LANÇ_MOV[MÊS PAGAMENTO CORRESPONDENTE],D$6,LANÇ_MOV[EMPRESA],$C$4,LANÇ_MOV[CENTRO DE CUSTOS],$D$4)</f>
        <v>0</v>
      </c>
      <c r="E762" s="206">
        <f>SUMIFS(LANÇ_MOV[VALOR LÍQUIDO],LANÇ_MOV[RECEITA OU DESPESA],"Despesa",LANÇ_MOV[CONTAS],$C762,LANÇ_MOV[PLANO DE CONTAS],REL_DRE_FINANCEIRO!$B$753,LANÇ_MOV[ANO PAGAMENTO],$B$4,LANÇ_MOV[MÊS PAGAMENTO CORRESPONDENTE],E$6,LANÇ_MOV[EMPRESA],$C$4,LANÇ_MOV[CENTRO DE CUSTOS],$D$4)</f>
        <v>0</v>
      </c>
      <c r="F762" s="206">
        <f>SUMIFS(LANÇ_MOV[VALOR LÍQUIDO],LANÇ_MOV[RECEITA OU DESPESA],"Despesa",LANÇ_MOV[CONTAS],$C762,LANÇ_MOV[PLANO DE CONTAS],REL_DRE_FINANCEIRO!$B$753,LANÇ_MOV[ANO PAGAMENTO],$B$4,LANÇ_MOV[MÊS PAGAMENTO CORRESPONDENTE],F$6,LANÇ_MOV[EMPRESA],$C$4,LANÇ_MOV[CENTRO DE CUSTOS],$D$4)</f>
        <v>0</v>
      </c>
      <c r="G762" s="206">
        <f>SUMIFS(LANÇ_MOV[VALOR LÍQUIDO],LANÇ_MOV[RECEITA OU DESPESA],"Despesa",LANÇ_MOV[CONTAS],$C762,LANÇ_MOV[PLANO DE CONTAS],REL_DRE_FINANCEIRO!$B$753,LANÇ_MOV[ANO PAGAMENTO],$B$4,LANÇ_MOV[MÊS PAGAMENTO CORRESPONDENTE],G$6,LANÇ_MOV[EMPRESA],$C$4,LANÇ_MOV[CENTRO DE CUSTOS],$D$4)</f>
        <v>0</v>
      </c>
      <c r="H762" s="206">
        <f>SUMIFS(LANÇ_MOV[VALOR LÍQUIDO],LANÇ_MOV[RECEITA OU DESPESA],"Despesa",LANÇ_MOV[CONTAS],$C762,LANÇ_MOV[PLANO DE CONTAS],REL_DRE_FINANCEIRO!$B$753,LANÇ_MOV[ANO PAGAMENTO],$B$4,LANÇ_MOV[MÊS PAGAMENTO CORRESPONDENTE],H$6,LANÇ_MOV[EMPRESA],$C$4,LANÇ_MOV[CENTRO DE CUSTOS],$D$4)</f>
        <v>0</v>
      </c>
      <c r="I762" s="206">
        <f>SUMIFS(LANÇ_MOV[VALOR LÍQUIDO],LANÇ_MOV[RECEITA OU DESPESA],"Despesa",LANÇ_MOV[CONTAS],$C762,LANÇ_MOV[PLANO DE CONTAS],REL_DRE_FINANCEIRO!$B$753,LANÇ_MOV[ANO PAGAMENTO],$B$4,LANÇ_MOV[MÊS PAGAMENTO CORRESPONDENTE],I$6,LANÇ_MOV[EMPRESA],$C$4,LANÇ_MOV[CENTRO DE CUSTOS],$D$4)</f>
        <v>0</v>
      </c>
      <c r="J762" s="206">
        <f>SUMIFS(LANÇ_MOV[VALOR LÍQUIDO],LANÇ_MOV[RECEITA OU DESPESA],"Despesa",LANÇ_MOV[CONTAS],$C762,LANÇ_MOV[PLANO DE CONTAS],REL_DRE_FINANCEIRO!$B$753,LANÇ_MOV[ANO PAGAMENTO],$B$4,LANÇ_MOV[MÊS PAGAMENTO CORRESPONDENTE],J$6,LANÇ_MOV[EMPRESA],$C$4,LANÇ_MOV[CENTRO DE CUSTOS],$D$4)</f>
        <v>0</v>
      </c>
      <c r="K762" s="206">
        <f>SUMIFS(LANÇ_MOV[VALOR LÍQUIDO],LANÇ_MOV[RECEITA OU DESPESA],"Despesa",LANÇ_MOV[CONTAS],$C762,LANÇ_MOV[PLANO DE CONTAS],REL_DRE_FINANCEIRO!$B$753,LANÇ_MOV[ANO PAGAMENTO],$B$4,LANÇ_MOV[MÊS PAGAMENTO CORRESPONDENTE],K$6,LANÇ_MOV[EMPRESA],$C$4,LANÇ_MOV[CENTRO DE CUSTOS],$D$4)</f>
        <v>0</v>
      </c>
      <c r="L762" s="206">
        <f>SUMIFS(LANÇ_MOV[VALOR LÍQUIDO],LANÇ_MOV[RECEITA OU DESPESA],"Despesa",LANÇ_MOV[CONTAS],$C762,LANÇ_MOV[PLANO DE CONTAS],REL_DRE_FINANCEIRO!$B$753,LANÇ_MOV[ANO PAGAMENTO],$B$4,LANÇ_MOV[MÊS PAGAMENTO CORRESPONDENTE],L$6,LANÇ_MOV[EMPRESA],$C$4,LANÇ_MOV[CENTRO DE CUSTOS],$D$4)</f>
        <v>0</v>
      </c>
      <c r="M762" s="206">
        <f>SUMIFS(LANÇ_MOV[VALOR LÍQUIDO],LANÇ_MOV[RECEITA OU DESPESA],"Despesa",LANÇ_MOV[CONTAS],$C762,LANÇ_MOV[PLANO DE CONTAS],REL_DRE_FINANCEIRO!$B$753,LANÇ_MOV[ANO PAGAMENTO],$B$4,LANÇ_MOV[MÊS PAGAMENTO CORRESPONDENTE],M$6,LANÇ_MOV[EMPRESA],$C$4,LANÇ_MOV[CENTRO DE CUSTOS],$D$4)</f>
        <v>0</v>
      </c>
      <c r="N762" s="206">
        <f>SUMIFS(LANÇ_MOV[VALOR LÍQUIDO],LANÇ_MOV[RECEITA OU DESPESA],"Despesa",LANÇ_MOV[CONTAS],$C762,LANÇ_MOV[PLANO DE CONTAS],REL_DRE_FINANCEIRO!$B$753,LANÇ_MOV[ANO PAGAMENTO],$B$4,LANÇ_MOV[MÊS PAGAMENTO CORRESPONDENTE],N$6,LANÇ_MOV[EMPRESA],$C$4,LANÇ_MOV[CENTRO DE CUSTOS],$D$4)</f>
        <v>0</v>
      </c>
      <c r="O762" s="206">
        <f>SUMIFS(LANÇ_MOV[VALOR LÍQUIDO],LANÇ_MOV[RECEITA OU DESPESA],"Despesa",LANÇ_MOV[CONTAS],$C762,LANÇ_MOV[PLANO DE CONTAS],REL_DRE_FINANCEIRO!$B$753,LANÇ_MOV[ANO PAGAMENTO],$B$4,LANÇ_MOV[MÊS PAGAMENTO CORRESPONDENTE],O$6,LANÇ_MOV[EMPRESA],$C$4,LANÇ_MOV[CENTRO DE CUSTOS],$D$4)</f>
        <v>0</v>
      </c>
      <c r="P762" s="207">
        <f t="shared" si="100"/>
        <v>0</v>
      </c>
      <c r="Q762" s="329">
        <v>9.2E-6</v>
      </c>
      <c r="R762" s="346">
        <f t="shared" si="101"/>
        <v>9.2E-6</v>
      </c>
      <c r="S762" s="347" t="str">
        <f t="shared" si="102"/>
        <v>TAXA BOMBEIROS</v>
      </c>
      <c r="T762" s="347">
        <f t="shared" si="103"/>
        <v>0</v>
      </c>
      <c r="U762" s="347">
        <f>HLOOKUP(Apoio!$P$12,$D$752:$P$853,X762,FALSE)+Q762</f>
        <v>9.2E-6</v>
      </c>
      <c r="V762" s="447" t="str">
        <f t="shared" si="104"/>
        <v>TAXA BOMBEIROS</v>
      </c>
      <c r="W762" s="448">
        <f>HLOOKUP(Apoio!$P$12,$D$752:$P$853,X762,FALSE)</f>
        <v>0</v>
      </c>
      <c r="X762" s="329">
        <v>11</v>
      </c>
      <c r="Y762" s="329">
        <v>3</v>
      </c>
      <c r="Z762" s="340" t="str">
        <f>VLOOKUP(LARGE($U$754:$U$853,Y762),$U$754:$V$853,2,FALSE)</f>
        <v>ICMS</v>
      </c>
      <c r="AA762" s="340">
        <f>VLOOKUP(Z762,$V$754:$W$853,2,FALSE)</f>
        <v>0</v>
      </c>
    </row>
    <row r="763" spans="2:27" ht="30.05" customHeight="1" x14ac:dyDescent="0.35">
      <c r="B763" s="204" t="str">
        <f>'CAD_PL_REC-DESP'!Z14</f>
        <v>2.6.10</v>
      </c>
      <c r="C763" s="205" t="str">
        <f>IF('CAD_PL_REC-DESP'!AA14="","-",'CAD_PL_REC-DESP'!AA14)</f>
        <v>TAXA DE LICENÇA PARA FUNCIONAMENTO</v>
      </c>
      <c r="D763" s="206">
        <f>SUMIFS(LANÇ_MOV[VALOR LÍQUIDO],LANÇ_MOV[RECEITA OU DESPESA],"Despesa",LANÇ_MOV[CONTAS],$C763,LANÇ_MOV[PLANO DE CONTAS],REL_DRE_FINANCEIRO!$B$753,LANÇ_MOV[ANO PAGAMENTO],$B$4,LANÇ_MOV[MÊS PAGAMENTO CORRESPONDENTE],D$6,LANÇ_MOV[EMPRESA],$C$4,LANÇ_MOV[CENTRO DE CUSTOS],$D$4)</f>
        <v>0</v>
      </c>
      <c r="E763" s="206">
        <f>SUMIFS(LANÇ_MOV[VALOR LÍQUIDO],LANÇ_MOV[RECEITA OU DESPESA],"Despesa",LANÇ_MOV[CONTAS],$C763,LANÇ_MOV[PLANO DE CONTAS],REL_DRE_FINANCEIRO!$B$753,LANÇ_MOV[ANO PAGAMENTO],$B$4,LANÇ_MOV[MÊS PAGAMENTO CORRESPONDENTE],E$6,LANÇ_MOV[EMPRESA],$C$4,LANÇ_MOV[CENTRO DE CUSTOS],$D$4)</f>
        <v>0</v>
      </c>
      <c r="F763" s="206">
        <f>SUMIFS(LANÇ_MOV[VALOR LÍQUIDO],LANÇ_MOV[RECEITA OU DESPESA],"Despesa",LANÇ_MOV[CONTAS],$C763,LANÇ_MOV[PLANO DE CONTAS],REL_DRE_FINANCEIRO!$B$753,LANÇ_MOV[ANO PAGAMENTO],$B$4,LANÇ_MOV[MÊS PAGAMENTO CORRESPONDENTE],F$6,LANÇ_MOV[EMPRESA],$C$4,LANÇ_MOV[CENTRO DE CUSTOS],$D$4)</f>
        <v>0</v>
      </c>
      <c r="G763" s="206">
        <f>SUMIFS(LANÇ_MOV[VALOR LÍQUIDO],LANÇ_MOV[RECEITA OU DESPESA],"Despesa",LANÇ_MOV[CONTAS],$C763,LANÇ_MOV[PLANO DE CONTAS],REL_DRE_FINANCEIRO!$B$753,LANÇ_MOV[ANO PAGAMENTO],$B$4,LANÇ_MOV[MÊS PAGAMENTO CORRESPONDENTE],G$6,LANÇ_MOV[EMPRESA],$C$4,LANÇ_MOV[CENTRO DE CUSTOS],$D$4)</f>
        <v>0</v>
      </c>
      <c r="H763" s="206">
        <f>SUMIFS(LANÇ_MOV[VALOR LÍQUIDO],LANÇ_MOV[RECEITA OU DESPESA],"Despesa",LANÇ_MOV[CONTAS],$C763,LANÇ_MOV[PLANO DE CONTAS],REL_DRE_FINANCEIRO!$B$753,LANÇ_MOV[ANO PAGAMENTO],$B$4,LANÇ_MOV[MÊS PAGAMENTO CORRESPONDENTE],H$6,LANÇ_MOV[EMPRESA],$C$4,LANÇ_MOV[CENTRO DE CUSTOS],$D$4)</f>
        <v>0</v>
      </c>
      <c r="I763" s="206">
        <f>SUMIFS(LANÇ_MOV[VALOR LÍQUIDO],LANÇ_MOV[RECEITA OU DESPESA],"Despesa",LANÇ_MOV[CONTAS],$C763,LANÇ_MOV[PLANO DE CONTAS],REL_DRE_FINANCEIRO!$B$753,LANÇ_MOV[ANO PAGAMENTO],$B$4,LANÇ_MOV[MÊS PAGAMENTO CORRESPONDENTE],I$6,LANÇ_MOV[EMPRESA],$C$4,LANÇ_MOV[CENTRO DE CUSTOS],$D$4)</f>
        <v>0</v>
      </c>
      <c r="J763" s="206">
        <f>SUMIFS(LANÇ_MOV[VALOR LÍQUIDO],LANÇ_MOV[RECEITA OU DESPESA],"Despesa",LANÇ_MOV[CONTAS],$C763,LANÇ_MOV[PLANO DE CONTAS],REL_DRE_FINANCEIRO!$B$753,LANÇ_MOV[ANO PAGAMENTO],$B$4,LANÇ_MOV[MÊS PAGAMENTO CORRESPONDENTE],J$6,LANÇ_MOV[EMPRESA],$C$4,LANÇ_MOV[CENTRO DE CUSTOS],$D$4)</f>
        <v>0</v>
      </c>
      <c r="K763" s="206">
        <f>SUMIFS(LANÇ_MOV[VALOR LÍQUIDO],LANÇ_MOV[RECEITA OU DESPESA],"Despesa",LANÇ_MOV[CONTAS],$C763,LANÇ_MOV[PLANO DE CONTAS],REL_DRE_FINANCEIRO!$B$753,LANÇ_MOV[ANO PAGAMENTO],$B$4,LANÇ_MOV[MÊS PAGAMENTO CORRESPONDENTE],K$6,LANÇ_MOV[EMPRESA],$C$4,LANÇ_MOV[CENTRO DE CUSTOS],$D$4)</f>
        <v>0</v>
      </c>
      <c r="L763" s="206">
        <f>SUMIFS(LANÇ_MOV[VALOR LÍQUIDO],LANÇ_MOV[RECEITA OU DESPESA],"Despesa",LANÇ_MOV[CONTAS],$C763,LANÇ_MOV[PLANO DE CONTAS],REL_DRE_FINANCEIRO!$B$753,LANÇ_MOV[ANO PAGAMENTO],$B$4,LANÇ_MOV[MÊS PAGAMENTO CORRESPONDENTE],L$6,LANÇ_MOV[EMPRESA],$C$4,LANÇ_MOV[CENTRO DE CUSTOS],$D$4)</f>
        <v>0</v>
      </c>
      <c r="M763" s="206">
        <f>SUMIFS(LANÇ_MOV[VALOR LÍQUIDO],LANÇ_MOV[RECEITA OU DESPESA],"Despesa",LANÇ_MOV[CONTAS],$C763,LANÇ_MOV[PLANO DE CONTAS],REL_DRE_FINANCEIRO!$B$753,LANÇ_MOV[ANO PAGAMENTO],$B$4,LANÇ_MOV[MÊS PAGAMENTO CORRESPONDENTE],M$6,LANÇ_MOV[EMPRESA],$C$4,LANÇ_MOV[CENTRO DE CUSTOS],$D$4)</f>
        <v>0</v>
      </c>
      <c r="N763" s="206">
        <f>SUMIFS(LANÇ_MOV[VALOR LÍQUIDO],LANÇ_MOV[RECEITA OU DESPESA],"Despesa",LANÇ_MOV[CONTAS],$C763,LANÇ_MOV[PLANO DE CONTAS],REL_DRE_FINANCEIRO!$B$753,LANÇ_MOV[ANO PAGAMENTO],$B$4,LANÇ_MOV[MÊS PAGAMENTO CORRESPONDENTE],N$6,LANÇ_MOV[EMPRESA],$C$4,LANÇ_MOV[CENTRO DE CUSTOS],$D$4)</f>
        <v>0</v>
      </c>
      <c r="O763" s="206">
        <f>SUMIFS(LANÇ_MOV[VALOR LÍQUIDO],LANÇ_MOV[RECEITA OU DESPESA],"Despesa",LANÇ_MOV[CONTAS],$C763,LANÇ_MOV[PLANO DE CONTAS],REL_DRE_FINANCEIRO!$B$753,LANÇ_MOV[ANO PAGAMENTO],$B$4,LANÇ_MOV[MÊS PAGAMENTO CORRESPONDENTE],O$6,LANÇ_MOV[EMPRESA],$C$4,LANÇ_MOV[CENTRO DE CUSTOS],$D$4)</f>
        <v>0</v>
      </c>
      <c r="P763" s="207">
        <f t="shared" si="100"/>
        <v>0</v>
      </c>
      <c r="Q763" s="329">
        <v>9.0999999999999993E-6</v>
      </c>
      <c r="R763" s="346">
        <f t="shared" si="101"/>
        <v>9.0999999999999993E-6</v>
      </c>
      <c r="S763" s="347" t="str">
        <f t="shared" si="102"/>
        <v>TAXA DE LICENÇA PARA FUNCIONAMENTO</v>
      </c>
      <c r="T763" s="347">
        <f t="shared" si="103"/>
        <v>0</v>
      </c>
      <c r="U763" s="347">
        <f>HLOOKUP(Apoio!$P$12,$D$752:$P$853,X763,FALSE)+Q763</f>
        <v>9.0999999999999993E-6</v>
      </c>
      <c r="V763" s="447" t="str">
        <f t="shared" si="104"/>
        <v>TAXA DE LICENÇA PARA FUNCIONAMENTO</v>
      </c>
      <c r="W763" s="448">
        <f>HLOOKUP(Apoio!$P$12,$D$752:$P$853,X763,FALSE)</f>
        <v>0</v>
      </c>
      <c r="X763" s="329">
        <v>12</v>
      </c>
      <c r="Y763" s="329">
        <v>4</v>
      </c>
      <c r="Z763" s="340" t="str">
        <f>VLOOKUP(LARGE($U$754:$U$853,Y763),$U$754:$V$853,2,FALSE)</f>
        <v>INSS- GPS</v>
      </c>
      <c r="AA763" s="340">
        <f>VLOOKUP(Z763,$V$754:$W$853,2,FALSE)</f>
        <v>0</v>
      </c>
    </row>
    <row r="764" spans="2:27" ht="30.05" customHeight="1" x14ac:dyDescent="0.35">
      <c r="B764" s="204" t="str">
        <f>'CAD_PL_REC-DESP'!Z15</f>
        <v>2.6.11</v>
      </c>
      <c r="C764" s="205" t="str">
        <f>IF('CAD_PL_REC-DESP'!AA15="","-",'CAD_PL_REC-DESP'!AA15)</f>
        <v>-</v>
      </c>
      <c r="D764" s="206">
        <f>SUMIFS(LANÇ_MOV[VALOR LÍQUIDO],LANÇ_MOV[RECEITA OU DESPESA],"Despesa",LANÇ_MOV[CONTAS],$C764,LANÇ_MOV[PLANO DE CONTAS],REL_DRE_FINANCEIRO!$B$753,LANÇ_MOV[ANO PAGAMENTO],$B$4,LANÇ_MOV[MÊS PAGAMENTO CORRESPONDENTE],D$6,LANÇ_MOV[EMPRESA],$C$4,LANÇ_MOV[CENTRO DE CUSTOS],$D$4)</f>
        <v>0</v>
      </c>
      <c r="E764" s="206">
        <f>SUMIFS(LANÇ_MOV[VALOR LÍQUIDO],LANÇ_MOV[RECEITA OU DESPESA],"Despesa",LANÇ_MOV[CONTAS],$C764,LANÇ_MOV[PLANO DE CONTAS],REL_DRE_FINANCEIRO!$B$753,LANÇ_MOV[ANO PAGAMENTO],$B$4,LANÇ_MOV[MÊS PAGAMENTO CORRESPONDENTE],E$6,LANÇ_MOV[EMPRESA],$C$4,LANÇ_MOV[CENTRO DE CUSTOS],$D$4)</f>
        <v>0</v>
      </c>
      <c r="F764" s="206">
        <f>SUMIFS(LANÇ_MOV[VALOR LÍQUIDO],LANÇ_MOV[RECEITA OU DESPESA],"Despesa",LANÇ_MOV[CONTAS],$C764,LANÇ_MOV[PLANO DE CONTAS],REL_DRE_FINANCEIRO!$B$753,LANÇ_MOV[ANO PAGAMENTO],$B$4,LANÇ_MOV[MÊS PAGAMENTO CORRESPONDENTE],F$6,LANÇ_MOV[EMPRESA],$C$4,LANÇ_MOV[CENTRO DE CUSTOS],$D$4)</f>
        <v>0</v>
      </c>
      <c r="G764" s="206">
        <f>SUMIFS(LANÇ_MOV[VALOR LÍQUIDO],LANÇ_MOV[RECEITA OU DESPESA],"Despesa",LANÇ_MOV[CONTAS],$C764,LANÇ_MOV[PLANO DE CONTAS],REL_DRE_FINANCEIRO!$B$753,LANÇ_MOV[ANO PAGAMENTO],$B$4,LANÇ_MOV[MÊS PAGAMENTO CORRESPONDENTE],G$6,LANÇ_MOV[EMPRESA],$C$4,LANÇ_MOV[CENTRO DE CUSTOS],$D$4)</f>
        <v>0</v>
      </c>
      <c r="H764" s="206">
        <f>SUMIFS(LANÇ_MOV[VALOR LÍQUIDO],LANÇ_MOV[RECEITA OU DESPESA],"Despesa",LANÇ_MOV[CONTAS],$C764,LANÇ_MOV[PLANO DE CONTAS],REL_DRE_FINANCEIRO!$B$753,LANÇ_MOV[ANO PAGAMENTO],$B$4,LANÇ_MOV[MÊS PAGAMENTO CORRESPONDENTE],H$6,LANÇ_MOV[EMPRESA],$C$4,LANÇ_MOV[CENTRO DE CUSTOS],$D$4)</f>
        <v>0</v>
      </c>
      <c r="I764" s="206">
        <f>SUMIFS(LANÇ_MOV[VALOR LÍQUIDO],LANÇ_MOV[RECEITA OU DESPESA],"Despesa",LANÇ_MOV[CONTAS],$C764,LANÇ_MOV[PLANO DE CONTAS],REL_DRE_FINANCEIRO!$B$753,LANÇ_MOV[ANO PAGAMENTO],$B$4,LANÇ_MOV[MÊS PAGAMENTO CORRESPONDENTE],I$6,LANÇ_MOV[EMPRESA],$C$4,LANÇ_MOV[CENTRO DE CUSTOS],$D$4)</f>
        <v>0</v>
      </c>
      <c r="J764" s="206">
        <f>SUMIFS(LANÇ_MOV[VALOR LÍQUIDO],LANÇ_MOV[RECEITA OU DESPESA],"Despesa",LANÇ_MOV[CONTAS],$C764,LANÇ_MOV[PLANO DE CONTAS],REL_DRE_FINANCEIRO!$B$753,LANÇ_MOV[ANO PAGAMENTO],$B$4,LANÇ_MOV[MÊS PAGAMENTO CORRESPONDENTE],J$6,LANÇ_MOV[EMPRESA],$C$4,LANÇ_MOV[CENTRO DE CUSTOS],$D$4)</f>
        <v>0</v>
      </c>
      <c r="K764" s="206">
        <f>SUMIFS(LANÇ_MOV[VALOR LÍQUIDO],LANÇ_MOV[RECEITA OU DESPESA],"Despesa",LANÇ_MOV[CONTAS],$C764,LANÇ_MOV[PLANO DE CONTAS],REL_DRE_FINANCEIRO!$B$753,LANÇ_MOV[ANO PAGAMENTO],$B$4,LANÇ_MOV[MÊS PAGAMENTO CORRESPONDENTE],K$6,LANÇ_MOV[EMPRESA],$C$4,LANÇ_MOV[CENTRO DE CUSTOS],$D$4)</f>
        <v>0</v>
      </c>
      <c r="L764" s="206">
        <f>SUMIFS(LANÇ_MOV[VALOR LÍQUIDO],LANÇ_MOV[RECEITA OU DESPESA],"Despesa",LANÇ_MOV[CONTAS],$C764,LANÇ_MOV[PLANO DE CONTAS],REL_DRE_FINANCEIRO!$B$753,LANÇ_MOV[ANO PAGAMENTO],$B$4,LANÇ_MOV[MÊS PAGAMENTO CORRESPONDENTE],L$6,LANÇ_MOV[EMPRESA],$C$4,LANÇ_MOV[CENTRO DE CUSTOS],$D$4)</f>
        <v>0</v>
      </c>
      <c r="M764" s="206">
        <f>SUMIFS(LANÇ_MOV[VALOR LÍQUIDO],LANÇ_MOV[RECEITA OU DESPESA],"Despesa",LANÇ_MOV[CONTAS],$C764,LANÇ_MOV[PLANO DE CONTAS],REL_DRE_FINANCEIRO!$B$753,LANÇ_MOV[ANO PAGAMENTO],$B$4,LANÇ_MOV[MÊS PAGAMENTO CORRESPONDENTE],M$6,LANÇ_MOV[EMPRESA],$C$4,LANÇ_MOV[CENTRO DE CUSTOS],$D$4)</f>
        <v>0</v>
      </c>
      <c r="N764" s="206">
        <f>SUMIFS(LANÇ_MOV[VALOR LÍQUIDO],LANÇ_MOV[RECEITA OU DESPESA],"Despesa",LANÇ_MOV[CONTAS],$C764,LANÇ_MOV[PLANO DE CONTAS],REL_DRE_FINANCEIRO!$B$753,LANÇ_MOV[ANO PAGAMENTO],$B$4,LANÇ_MOV[MÊS PAGAMENTO CORRESPONDENTE],N$6,LANÇ_MOV[EMPRESA],$C$4,LANÇ_MOV[CENTRO DE CUSTOS],$D$4)</f>
        <v>0</v>
      </c>
      <c r="O764" s="206">
        <f>SUMIFS(LANÇ_MOV[VALOR LÍQUIDO],LANÇ_MOV[RECEITA OU DESPESA],"Despesa",LANÇ_MOV[CONTAS],$C764,LANÇ_MOV[PLANO DE CONTAS],REL_DRE_FINANCEIRO!$B$753,LANÇ_MOV[ANO PAGAMENTO],$B$4,LANÇ_MOV[MÊS PAGAMENTO CORRESPONDENTE],O$6,LANÇ_MOV[EMPRESA],$C$4,LANÇ_MOV[CENTRO DE CUSTOS],$D$4)</f>
        <v>0</v>
      </c>
      <c r="P764" s="207">
        <f t="shared" si="100"/>
        <v>0</v>
      </c>
      <c r="Q764" s="329">
        <v>9.0000000000000002E-6</v>
      </c>
      <c r="R764" s="346">
        <f t="shared" si="101"/>
        <v>9.0000000000000002E-6</v>
      </c>
      <c r="S764" s="347" t="str">
        <f t="shared" si="102"/>
        <v>-</v>
      </c>
      <c r="T764" s="347">
        <f t="shared" si="103"/>
        <v>0</v>
      </c>
      <c r="U764" s="347">
        <f>HLOOKUP(Apoio!$P$12,$D$752:$P$853,X764,FALSE)+Q764</f>
        <v>9.0000000000000002E-6</v>
      </c>
      <c r="V764" s="447" t="str">
        <f t="shared" si="104"/>
        <v>-</v>
      </c>
      <c r="W764" s="448">
        <f>HLOOKUP(Apoio!$P$12,$D$752:$P$853,X764,FALSE)</f>
        <v>0</v>
      </c>
      <c r="X764" s="329">
        <v>13</v>
      </c>
      <c r="Y764" s="329">
        <v>5</v>
      </c>
      <c r="Z764" s="340" t="str">
        <f>VLOOKUP(LARGE($U$754:$U$853,Y764),$U$754:$V$853,2,FALSE)</f>
        <v>IPTU</v>
      </c>
      <c r="AA764" s="340">
        <f>VLOOKUP(Z764,$V$754:$W$853,2,FALSE)</f>
        <v>0</v>
      </c>
    </row>
    <row r="765" spans="2:27" ht="30.05" customHeight="1" x14ac:dyDescent="0.35">
      <c r="B765" s="204" t="str">
        <f>'CAD_PL_REC-DESP'!Z16</f>
        <v>2.6.12</v>
      </c>
      <c r="C765" s="205" t="str">
        <f>IF('CAD_PL_REC-DESP'!AA16="","-",'CAD_PL_REC-DESP'!AA16)</f>
        <v>-</v>
      </c>
      <c r="D765" s="206">
        <f>SUMIFS(LANÇ_MOV[VALOR LÍQUIDO],LANÇ_MOV[RECEITA OU DESPESA],"Despesa",LANÇ_MOV[CONTAS],$C765,LANÇ_MOV[PLANO DE CONTAS],REL_DRE_FINANCEIRO!$B$753,LANÇ_MOV[ANO PAGAMENTO],$B$4,LANÇ_MOV[MÊS PAGAMENTO CORRESPONDENTE],D$6,LANÇ_MOV[EMPRESA],$C$4,LANÇ_MOV[CENTRO DE CUSTOS],$D$4)</f>
        <v>0</v>
      </c>
      <c r="E765" s="206">
        <f>SUMIFS(LANÇ_MOV[VALOR LÍQUIDO],LANÇ_MOV[RECEITA OU DESPESA],"Despesa",LANÇ_MOV[CONTAS],$C765,LANÇ_MOV[PLANO DE CONTAS],REL_DRE_FINANCEIRO!$B$753,LANÇ_MOV[ANO PAGAMENTO],$B$4,LANÇ_MOV[MÊS PAGAMENTO CORRESPONDENTE],E$6,LANÇ_MOV[EMPRESA],$C$4,LANÇ_MOV[CENTRO DE CUSTOS],$D$4)</f>
        <v>0</v>
      </c>
      <c r="F765" s="206">
        <f>SUMIFS(LANÇ_MOV[VALOR LÍQUIDO],LANÇ_MOV[RECEITA OU DESPESA],"Despesa",LANÇ_MOV[CONTAS],$C765,LANÇ_MOV[PLANO DE CONTAS],REL_DRE_FINANCEIRO!$B$753,LANÇ_MOV[ANO PAGAMENTO],$B$4,LANÇ_MOV[MÊS PAGAMENTO CORRESPONDENTE],F$6,LANÇ_MOV[EMPRESA],$C$4,LANÇ_MOV[CENTRO DE CUSTOS],$D$4)</f>
        <v>0</v>
      </c>
      <c r="G765" s="206">
        <f>SUMIFS(LANÇ_MOV[VALOR LÍQUIDO],LANÇ_MOV[RECEITA OU DESPESA],"Despesa",LANÇ_MOV[CONTAS],$C765,LANÇ_MOV[PLANO DE CONTAS],REL_DRE_FINANCEIRO!$B$753,LANÇ_MOV[ANO PAGAMENTO],$B$4,LANÇ_MOV[MÊS PAGAMENTO CORRESPONDENTE],G$6,LANÇ_MOV[EMPRESA],$C$4,LANÇ_MOV[CENTRO DE CUSTOS],$D$4)</f>
        <v>0</v>
      </c>
      <c r="H765" s="206">
        <f>SUMIFS(LANÇ_MOV[VALOR LÍQUIDO],LANÇ_MOV[RECEITA OU DESPESA],"Despesa",LANÇ_MOV[CONTAS],$C765,LANÇ_MOV[PLANO DE CONTAS],REL_DRE_FINANCEIRO!$B$753,LANÇ_MOV[ANO PAGAMENTO],$B$4,LANÇ_MOV[MÊS PAGAMENTO CORRESPONDENTE],H$6,LANÇ_MOV[EMPRESA],$C$4,LANÇ_MOV[CENTRO DE CUSTOS],$D$4)</f>
        <v>0</v>
      </c>
      <c r="I765" s="206">
        <f>SUMIFS(LANÇ_MOV[VALOR LÍQUIDO],LANÇ_MOV[RECEITA OU DESPESA],"Despesa",LANÇ_MOV[CONTAS],$C765,LANÇ_MOV[PLANO DE CONTAS],REL_DRE_FINANCEIRO!$B$753,LANÇ_MOV[ANO PAGAMENTO],$B$4,LANÇ_MOV[MÊS PAGAMENTO CORRESPONDENTE],I$6,LANÇ_MOV[EMPRESA],$C$4,LANÇ_MOV[CENTRO DE CUSTOS],$D$4)</f>
        <v>0</v>
      </c>
      <c r="J765" s="206">
        <f>SUMIFS(LANÇ_MOV[VALOR LÍQUIDO],LANÇ_MOV[RECEITA OU DESPESA],"Despesa",LANÇ_MOV[CONTAS],$C765,LANÇ_MOV[PLANO DE CONTAS],REL_DRE_FINANCEIRO!$B$753,LANÇ_MOV[ANO PAGAMENTO],$B$4,LANÇ_MOV[MÊS PAGAMENTO CORRESPONDENTE],J$6,LANÇ_MOV[EMPRESA],$C$4,LANÇ_MOV[CENTRO DE CUSTOS],$D$4)</f>
        <v>0</v>
      </c>
      <c r="K765" s="206">
        <f>SUMIFS(LANÇ_MOV[VALOR LÍQUIDO],LANÇ_MOV[RECEITA OU DESPESA],"Despesa",LANÇ_MOV[CONTAS],$C765,LANÇ_MOV[PLANO DE CONTAS],REL_DRE_FINANCEIRO!$B$753,LANÇ_MOV[ANO PAGAMENTO],$B$4,LANÇ_MOV[MÊS PAGAMENTO CORRESPONDENTE],K$6,LANÇ_MOV[EMPRESA],$C$4,LANÇ_MOV[CENTRO DE CUSTOS],$D$4)</f>
        <v>0</v>
      </c>
      <c r="L765" s="206">
        <f>SUMIFS(LANÇ_MOV[VALOR LÍQUIDO],LANÇ_MOV[RECEITA OU DESPESA],"Despesa",LANÇ_MOV[CONTAS],$C765,LANÇ_MOV[PLANO DE CONTAS],REL_DRE_FINANCEIRO!$B$753,LANÇ_MOV[ANO PAGAMENTO],$B$4,LANÇ_MOV[MÊS PAGAMENTO CORRESPONDENTE],L$6,LANÇ_MOV[EMPRESA],$C$4,LANÇ_MOV[CENTRO DE CUSTOS],$D$4)</f>
        <v>0</v>
      </c>
      <c r="M765" s="206">
        <f>SUMIFS(LANÇ_MOV[VALOR LÍQUIDO],LANÇ_MOV[RECEITA OU DESPESA],"Despesa",LANÇ_MOV[CONTAS],$C765,LANÇ_MOV[PLANO DE CONTAS],REL_DRE_FINANCEIRO!$B$753,LANÇ_MOV[ANO PAGAMENTO],$B$4,LANÇ_MOV[MÊS PAGAMENTO CORRESPONDENTE],M$6,LANÇ_MOV[EMPRESA],$C$4,LANÇ_MOV[CENTRO DE CUSTOS],$D$4)</f>
        <v>0</v>
      </c>
      <c r="N765" s="206">
        <f>SUMIFS(LANÇ_MOV[VALOR LÍQUIDO],LANÇ_MOV[RECEITA OU DESPESA],"Despesa",LANÇ_MOV[CONTAS],$C765,LANÇ_MOV[PLANO DE CONTAS],REL_DRE_FINANCEIRO!$B$753,LANÇ_MOV[ANO PAGAMENTO],$B$4,LANÇ_MOV[MÊS PAGAMENTO CORRESPONDENTE],N$6,LANÇ_MOV[EMPRESA],$C$4,LANÇ_MOV[CENTRO DE CUSTOS],$D$4)</f>
        <v>0</v>
      </c>
      <c r="O765" s="206">
        <f>SUMIFS(LANÇ_MOV[VALOR LÍQUIDO],LANÇ_MOV[RECEITA OU DESPESA],"Despesa",LANÇ_MOV[CONTAS],$C765,LANÇ_MOV[PLANO DE CONTAS],REL_DRE_FINANCEIRO!$B$753,LANÇ_MOV[ANO PAGAMENTO],$B$4,LANÇ_MOV[MÊS PAGAMENTO CORRESPONDENTE],O$6,LANÇ_MOV[EMPRESA],$C$4,LANÇ_MOV[CENTRO DE CUSTOS],$D$4)</f>
        <v>0</v>
      </c>
      <c r="P765" s="207">
        <f t="shared" si="100"/>
        <v>0</v>
      </c>
      <c r="Q765" s="329">
        <v>8.8999999999999995E-6</v>
      </c>
      <c r="R765" s="346">
        <f t="shared" si="101"/>
        <v>8.8999999999999995E-6</v>
      </c>
      <c r="S765" s="347" t="str">
        <f t="shared" si="102"/>
        <v>-</v>
      </c>
      <c r="T765" s="347">
        <f t="shared" si="103"/>
        <v>0</v>
      </c>
      <c r="U765" s="347">
        <f>HLOOKUP(Apoio!$P$12,$D$752:$P$853,X765,FALSE)+Q765</f>
        <v>8.8999999999999995E-6</v>
      </c>
      <c r="V765" s="447" t="str">
        <f t="shared" si="104"/>
        <v>-</v>
      </c>
      <c r="W765" s="448">
        <f>HLOOKUP(Apoio!$P$12,$D$752:$P$853,X765,FALSE)</f>
        <v>0</v>
      </c>
      <c r="X765" s="329">
        <v>14</v>
      </c>
      <c r="AA765" s="340">
        <f>SUM(AA760:AA764)</f>
        <v>0</v>
      </c>
    </row>
    <row r="766" spans="2:27" ht="30.05" customHeight="1" x14ac:dyDescent="0.35">
      <c r="B766" s="204" t="str">
        <f>'CAD_PL_REC-DESP'!Z17</f>
        <v>2.6.13</v>
      </c>
      <c r="C766" s="205" t="str">
        <f>IF('CAD_PL_REC-DESP'!AA17="","-",'CAD_PL_REC-DESP'!AA17)</f>
        <v>-</v>
      </c>
      <c r="D766" s="206">
        <f>SUMIFS(LANÇ_MOV[VALOR LÍQUIDO],LANÇ_MOV[RECEITA OU DESPESA],"Despesa",LANÇ_MOV[CONTAS],$C766,LANÇ_MOV[PLANO DE CONTAS],REL_DRE_FINANCEIRO!$B$753,LANÇ_MOV[ANO PAGAMENTO],$B$4,LANÇ_MOV[MÊS PAGAMENTO CORRESPONDENTE],D$6,LANÇ_MOV[EMPRESA],$C$4,LANÇ_MOV[CENTRO DE CUSTOS],$D$4)</f>
        <v>0</v>
      </c>
      <c r="E766" s="206">
        <f>SUMIFS(LANÇ_MOV[VALOR LÍQUIDO],LANÇ_MOV[RECEITA OU DESPESA],"Despesa",LANÇ_MOV[CONTAS],$C766,LANÇ_MOV[PLANO DE CONTAS],REL_DRE_FINANCEIRO!$B$753,LANÇ_MOV[ANO PAGAMENTO],$B$4,LANÇ_MOV[MÊS PAGAMENTO CORRESPONDENTE],E$6,LANÇ_MOV[EMPRESA],$C$4,LANÇ_MOV[CENTRO DE CUSTOS],$D$4)</f>
        <v>0</v>
      </c>
      <c r="F766" s="206">
        <f>SUMIFS(LANÇ_MOV[VALOR LÍQUIDO],LANÇ_MOV[RECEITA OU DESPESA],"Despesa",LANÇ_MOV[CONTAS],$C766,LANÇ_MOV[PLANO DE CONTAS],REL_DRE_FINANCEIRO!$B$753,LANÇ_MOV[ANO PAGAMENTO],$B$4,LANÇ_MOV[MÊS PAGAMENTO CORRESPONDENTE],F$6,LANÇ_MOV[EMPRESA],$C$4,LANÇ_MOV[CENTRO DE CUSTOS],$D$4)</f>
        <v>0</v>
      </c>
      <c r="G766" s="206">
        <f>SUMIFS(LANÇ_MOV[VALOR LÍQUIDO],LANÇ_MOV[RECEITA OU DESPESA],"Despesa",LANÇ_MOV[CONTAS],$C766,LANÇ_MOV[PLANO DE CONTAS],REL_DRE_FINANCEIRO!$B$753,LANÇ_MOV[ANO PAGAMENTO],$B$4,LANÇ_MOV[MÊS PAGAMENTO CORRESPONDENTE],G$6,LANÇ_MOV[EMPRESA],$C$4,LANÇ_MOV[CENTRO DE CUSTOS],$D$4)</f>
        <v>0</v>
      </c>
      <c r="H766" s="206">
        <f>SUMIFS(LANÇ_MOV[VALOR LÍQUIDO],LANÇ_MOV[RECEITA OU DESPESA],"Despesa",LANÇ_MOV[CONTAS],$C766,LANÇ_MOV[PLANO DE CONTAS],REL_DRE_FINANCEIRO!$B$753,LANÇ_MOV[ANO PAGAMENTO],$B$4,LANÇ_MOV[MÊS PAGAMENTO CORRESPONDENTE],H$6,LANÇ_MOV[EMPRESA],$C$4,LANÇ_MOV[CENTRO DE CUSTOS],$D$4)</f>
        <v>0</v>
      </c>
      <c r="I766" s="206">
        <f>SUMIFS(LANÇ_MOV[VALOR LÍQUIDO],LANÇ_MOV[RECEITA OU DESPESA],"Despesa",LANÇ_MOV[CONTAS],$C766,LANÇ_MOV[PLANO DE CONTAS],REL_DRE_FINANCEIRO!$B$753,LANÇ_MOV[ANO PAGAMENTO],$B$4,LANÇ_MOV[MÊS PAGAMENTO CORRESPONDENTE],I$6,LANÇ_MOV[EMPRESA],$C$4,LANÇ_MOV[CENTRO DE CUSTOS],$D$4)</f>
        <v>0</v>
      </c>
      <c r="J766" s="206">
        <f>SUMIFS(LANÇ_MOV[VALOR LÍQUIDO],LANÇ_MOV[RECEITA OU DESPESA],"Despesa",LANÇ_MOV[CONTAS],$C766,LANÇ_MOV[PLANO DE CONTAS],REL_DRE_FINANCEIRO!$B$753,LANÇ_MOV[ANO PAGAMENTO],$B$4,LANÇ_MOV[MÊS PAGAMENTO CORRESPONDENTE],J$6,LANÇ_MOV[EMPRESA],$C$4,LANÇ_MOV[CENTRO DE CUSTOS],$D$4)</f>
        <v>0</v>
      </c>
      <c r="K766" s="206">
        <f>SUMIFS(LANÇ_MOV[VALOR LÍQUIDO],LANÇ_MOV[RECEITA OU DESPESA],"Despesa",LANÇ_MOV[CONTAS],$C766,LANÇ_MOV[PLANO DE CONTAS],REL_DRE_FINANCEIRO!$B$753,LANÇ_MOV[ANO PAGAMENTO],$B$4,LANÇ_MOV[MÊS PAGAMENTO CORRESPONDENTE],K$6,LANÇ_MOV[EMPRESA],$C$4,LANÇ_MOV[CENTRO DE CUSTOS],$D$4)</f>
        <v>0</v>
      </c>
      <c r="L766" s="206">
        <f>SUMIFS(LANÇ_MOV[VALOR LÍQUIDO],LANÇ_MOV[RECEITA OU DESPESA],"Despesa",LANÇ_MOV[CONTAS],$C766,LANÇ_MOV[PLANO DE CONTAS],REL_DRE_FINANCEIRO!$B$753,LANÇ_MOV[ANO PAGAMENTO],$B$4,LANÇ_MOV[MÊS PAGAMENTO CORRESPONDENTE],L$6,LANÇ_MOV[EMPRESA],$C$4,LANÇ_MOV[CENTRO DE CUSTOS],$D$4)</f>
        <v>0</v>
      </c>
      <c r="M766" s="206">
        <f>SUMIFS(LANÇ_MOV[VALOR LÍQUIDO],LANÇ_MOV[RECEITA OU DESPESA],"Despesa",LANÇ_MOV[CONTAS],$C766,LANÇ_MOV[PLANO DE CONTAS],REL_DRE_FINANCEIRO!$B$753,LANÇ_MOV[ANO PAGAMENTO],$B$4,LANÇ_MOV[MÊS PAGAMENTO CORRESPONDENTE],M$6,LANÇ_MOV[EMPRESA],$C$4,LANÇ_MOV[CENTRO DE CUSTOS],$D$4)</f>
        <v>0</v>
      </c>
      <c r="N766" s="206">
        <f>SUMIFS(LANÇ_MOV[VALOR LÍQUIDO],LANÇ_MOV[RECEITA OU DESPESA],"Despesa",LANÇ_MOV[CONTAS],$C766,LANÇ_MOV[PLANO DE CONTAS],REL_DRE_FINANCEIRO!$B$753,LANÇ_MOV[ANO PAGAMENTO],$B$4,LANÇ_MOV[MÊS PAGAMENTO CORRESPONDENTE],N$6,LANÇ_MOV[EMPRESA],$C$4,LANÇ_MOV[CENTRO DE CUSTOS],$D$4)</f>
        <v>0</v>
      </c>
      <c r="O766" s="206">
        <f>SUMIFS(LANÇ_MOV[VALOR LÍQUIDO],LANÇ_MOV[RECEITA OU DESPESA],"Despesa",LANÇ_MOV[CONTAS],$C766,LANÇ_MOV[PLANO DE CONTAS],REL_DRE_FINANCEIRO!$B$753,LANÇ_MOV[ANO PAGAMENTO],$B$4,LANÇ_MOV[MÊS PAGAMENTO CORRESPONDENTE],O$6,LANÇ_MOV[EMPRESA],$C$4,LANÇ_MOV[CENTRO DE CUSTOS],$D$4)</f>
        <v>0</v>
      </c>
      <c r="P766" s="207">
        <f t="shared" si="100"/>
        <v>0</v>
      </c>
      <c r="Q766" s="329">
        <v>8.8000000000000004E-6</v>
      </c>
      <c r="R766" s="346">
        <f t="shared" si="101"/>
        <v>8.8000000000000004E-6</v>
      </c>
      <c r="S766" s="347" t="str">
        <f t="shared" si="102"/>
        <v>-</v>
      </c>
      <c r="T766" s="347">
        <f t="shared" si="103"/>
        <v>0</v>
      </c>
      <c r="U766" s="347">
        <f>HLOOKUP(Apoio!$P$12,$D$752:$P$853,X766,FALSE)+Q766</f>
        <v>8.8000000000000004E-6</v>
      </c>
      <c r="V766" s="447" t="str">
        <f t="shared" si="104"/>
        <v>-</v>
      </c>
      <c r="W766" s="448">
        <f>HLOOKUP(Apoio!$P$12,$D$752:$P$853,X766,FALSE)</f>
        <v>0</v>
      </c>
      <c r="X766" s="329">
        <v>15</v>
      </c>
    </row>
    <row r="767" spans="2:27" ht="30.05" customHeight="1" x14ac:dyDescent="0.35">
      <c r="B767" s="204" t="str">
        <f>'CAD_PL_REC-DESP'!Z18</f>
        <v>2.6.14</v>
      </c>
      <c r="C767" s="205" t="str">
        <f>IF('CAD_PL_REC-DESP'!AA18="","-",'CAD_PL_REC-DESP'!AA18)</f>
        <v>-</v>
      </c>
      <c r="D767" s="206">
        <f>SUMIFS(LANÇ_MOV[VALOR LÍQUIDO],LANÇ_MOV[RECEITA OU DESPESA],"Despesa",LANÇ_MOV[CONTAS],$C767,LANÇ_MOV[PLANO DE CONTAS],REL_DRE_FINANCEIRO!$B$753,LANÇ_MOV[ANO PAGAMENTO],$B$4,LANÇ_MOV[MÊS PAGAMENTO CORRESPONDENTE],D$6,LANÇ_MOV[EMPRESA],$C$4,LANÇ_MOV[CENTRO DE CUSTOS],$D$4)</f>
        <v>0</v>
      </c>
      <c r="E767" s="206">
        <f>SUMIFS(LANÇ_MOV[VALOR LÍQUIDO],LANÇ_MOV[RECEITA OU DESPESA],"Despesa",LANÇ_MOV[CONTAS],$C767,LANÇ_MOV[PLANO DE CONTAS],REL_DRE_FINANCEIRO!$B$753,LANÇ_MOV[ANO PAGAMENTO],$B$4,LANÇ_MOV[MÊS PAGAMENTO CORRESPONDENTE],E$6,LANÇ_MOV[EMPRESA],$C$4,LANÇ_MOV[CENTRO DE CUSTOS],$D$4)</f>
        <v>0</v>
      </c>
      <c r="F767" s="206">
        <f>SUMIFS(LANÇ_MOV[VALOR LÍQUIDO],LANÇ_MOV[RECEITA OU DESPESA],"Despesa",LANÇ_MOV[CONTAS],$C767,LANÇ_MOV[PLANO DE CONTAS],REL_DRE_FINANCEIRO!$B$753,LANÇ_MOV[ANO PAGAMENTO],$B$4,LANÇ_MOV[MÊS PAGAMENTO CORRESPONDENTE],F$6,LANÇ_MOV[EMPRESA],$C$4,LANÇ_MOV[CENTRO DE CUSTOS],$D$4)</f>
        <v>0</v>
      </c>
      <c r="G767" s="206">
        <f>SUMIFS(LANÇ_MOV[VALOR LÍQUIDO],LANÇ_MOV[RECEITA OU DESPESA],"Despesa",LANÇ_MOV[CONTAS],$C767,LANÇ_MOV[PLANO DE CONTAS],REL_DRE_FINANCEIRO!$B$753,LANÇ_MOV[ANO PAGAMENTO],$B$4,LANÇ_MOV[MÊS PAGAMENTO CORRESPONDENTE],G$6,LANÇ_MOV[EMPRESA],$C$4,LANÇ_MOV[CENTRO DE CUSTOS],$D$4)</f>
        <v>0</v>
      </c>
      <c r="H767" s="206">
        <f>SUMIFS(LANÇ_MOV[VALOR LÍQUIDO],LANÇ_MOV[RECEITA OU DESPESA],"Despesa",LANÇ_MOV[CONTAS],$C767,LANÇ_MOV[PLANO DE CONTAS],REL_DRE_FINANCEIRO!$B$753,LANÇ_MOV[ANO PAGAMENTO],$B$4,LANÇ_MOV[MÊS PAGAMENTO CORRESPONDENTE],H$6,LANÇ_MOV[EMPRESA],$C$4,LANÇ_MOV[CENTRO DE CUSTOS],$D$4)</f>
        <v>0</v>
      </c>
      <c r="I767" s="206">
        <f>SUMIFS(LANÇ_MOV[VALOR LÍQUIDO],LANÇ_MOV[RECEITA OU DESPESA],"Despesa",LANÇ_MOV[CONTAS],$C767,LANÇ_MOV[PLANO DE CONTAS],REL_DRE_FINANCEIRO!$B$753,LANÇ_MOV[ANO PAGAMENTO],$B$4,LANÇ_MOV[MÊS PAGAMENTO CORRESPONDENTE],I$6,LANÇ_MOV[EMPRESA],$C$4,LANÇ_MOV[CENTRO DE CUSTOS],$D$4)</f>
        <v>0</v>
      </c>
      <c r="J767" s="206">
        <f>SUMIFS(LANÇ_MOV[VALOR LÍQUIDO],LANÇ_MOV[RECEITA OU DESPESA],"Despesa",LANÇ_MOV[CONTAS],$C767,LANÇ_MOV[PLANO DE CONTAS],REL_DRE_FINANCEIRO!$B$753,LANÇ_MOV[ANO PAGAMENTO],$B$4,LANÇ_MOV[MÊS PAGAMENTO CORRESPONDENTE],J$6,LANÇ_MOV[EMPRESA],$C$4,LANÇ_MOV[CENTRO DE CUSTOS],$D$4)</f>
        <v>0</v>
      </c>
      <c r="K767" s="206">
        <f>SUMIFS(LANÇ_MOV[VALOR LÍQUIDO],LANÇ_MOV[RECEITA OU DESPESA],"Despesa",LANÇ_MOV[CONTAS],$C767,LANÇ_MOV[PLANO DE CONTAS],REL_DRE_FINANCEIRO!$B$753,LANÇ_MOV[ANO PAGAMENTO],$B$4,LANÇ_MOV[MÊS PAGAMENTO CORRESPONDENTE],K$6,LANÇ_MOV[EMPRESA],$C$4,LANÇ_MOV[CENTRO DE CUSTOS],$D$4)</f>
        <v>0</v>
      </c>
      <c r="L767" s="206">
        <f>SUMIFS(LANÇ_MOV[VALOR LÍQUIDO],LANÇ_MOV[RECEITA OU DESPESA],"Despesa",LANÇ_MOV[CONTAS],$C767,LANÇ_MOV[PLANO DE CONTAS],REL_DRE_FINANCEIRO!$B$753,LANÇ_MOV[ANO PAGAMENTO],$B$4,LANÇ_MOV[MÊS PAGAMENTO CORRESPONDENTE],L$6,LANÇ_MOV[EMPRESA],$C$4,LANÇ_MOV[CENTRO DE CUSTOS],$D$4)</f>
        <v>0</v>
      </c>
      <c r="M767" s="206">
        <f>SUMIFS(LANÇ_MOV[VALOR LÍQUIDO],LANÇ_MOV[RECEITA OU DESPESA],"Despesa",LANÇ_MOV[CONTAS],$C767,LANÇ_MOV[PLANO DE CONTAS],REL_DRE_FINANCEIRO!$B$753,LANÇ_MOV[ANO PAGAMENTO],$B$4,LANÇ_MOV[MÊS PAGAMENTO CORRESPONDENTE],M$6,LANÇ_MOV[EMPRESA],$C$4,LANÇ_MOV[CENTRO DE CUSTOS],$D$4)</f>
        <v>0</v>
      </c>
      <c r="N767" s="206">
        <f>SUMIFS(LANÇ_MOV[VALOR LÍQUIDO],LANÇ_MOV[RECEITA OU DESPESA],"Despesa",LANÇ_MOV[CONTAS],$C767,LANÇ_MOV[PLANO DE CONTAS],REL_DRE_FINANCEIRO!$B$753,LANÇ_MOV[ANO PAGAMENTO],$B$4,LANÇ_MOV[MÊS PAGAMENTO CORRESPONDENTE],N$6,LANÇ_MOV[EMPRESA],$C$4,LANÇ_MOV[CENTRO DE CUSTOS],$D$4)</f>
        <v>0</v>
      </c>
      <c r="O767" s="206">
        <f>SUMIFS(LANÇ_MOV[VALOR LÍQUIDO],LANÇ_MOV[RECEITA OU DESPESA],"Despesa",LANÇ_MOV[CONTAS],$C767,LANÇ_MOV[PLANO DE CONTAS],REL_DRE_FINANCEIRO!$B$753,LANÇ_MOV[ANO PAGAMENTO],$B$4,LANÇ_MOV[MÊS PAGAMENTO CORRESPONDENTE],O$6,LANÇ_MOV[EMPRESA],$C$4,LANÇ_MOV[CENTRO DE CUSTOS],$D$4)</f>
        <v>0</v>
      </c>
      <c r="P767" s="207">
        <f t="shared" si="100"/>
        <v>0</v>
      </c>
      <c r="Q767" s="329">
        <v>8.6999999999999997E-6</v>
      </c>
      <c r="R767" s="346">
        <f t="shared" si="101"/>
        <v>8.6999999999999997E-6</v>
      </c>
      <c r="S767" s="347" t="str">
        <f t="shared" si="102"/>
        <v>-</v>
      </c>
      <c r="T767" s="347">
        <f t="shared" si="103"/>
        <v>0</v>
      </c>
      <c r="U767" s="347">
        <f>HLOOKUP(Apoio!$P$12,$D$752:$P$853,X767,FALSE)+Q767</f>
        <v>8.6999999999999997E-6</v>
      </c>
      <c r="V767" s="447" t="str">
        <f t="shared" si="104"/>
        <v>-</v>
      </c>
      <c r="W767" s="448">
        <f>HLOOKUP(Apoio!$P$12,$D$752:$P$853,X767,FALSE)</f>
        <v>0</v>
      </c>
      <c r="X767" s="329">
        <v>16</v>
      </c>
    </row>
    <row r="768" spans="2:27" ht="30.05" customHeight="1" x14ac:dyDescent="0.35">
      <c r="B768" s="204" t="str">
        <f>'CAD_PL_REC-DESP'!Z19</f>
        <v>2.6.15</v>
      </c>
      <c r="C768" s="205" t="str">
        <f>IF('CAD_PL_REC-DESP'!AA19="","-",'CAD_PL_REC-DESP'!AA19)</f>
        <v>-</v>
      </c>
      <c r="D768" s="206">
        <f>SUMIFS(LANÇ_MOV[VALOR LÍQUIDO],LANÇ_MOV[RECEITA OU DESPESA],"Despesa",LANÇ_MOV[CONTAS],$C768,LANÇ_MOV[PLANO DE CONTAS],REL_DRE_FINANCEIRO!$B$753,LANÇ_MOV[ANO PAGAMENTO],$B$4,LANÇ_MOV[MÊS PAGAMENTO CORRESPONDENTE],D$6,LANÇ_MOV[EMPRESA],$C$4,LANÇ_MOV[CENTRO DE CUSTOS],$D$4)</f>
        <v>0</v>
      </c>
      <c r="E768" s="206">
        <f>SUMIFS(LANÇ_MOV[VALOR LÍQUIDO],LANÇ_MOV[RECEITA OU DESPESA],"Despesa",LANÇ_MOV[CONTAS],$C768,LANÇ_MOV[PLANO DE CONTAS],REL_DRE_FINANCEIRO!$B$753,LANÇ_MOV[ANO PAGAMENTO],$B$4,LANÇ_MOV[MÊS PAGAMENTO CORRESPONDENTE],E$6,LANÇ_MOV[EMPRESA],$C$4,LANÇ_MOV[CENTRO DE CUSTOS],$D$4)</f>
        <v>0</v>
      </c>
      <c r="F768" s="206">
        <f>SUMIFS(LANÇ_MOV[VALOR LÍQUIDO],LANÇ_MOV[RECEITA OU DESPESA],"Despesa",LANÇ_MOV[CONTAS],$C768,LANÇ_MOV[PLANO DE CONTAS],REL_DRE_FINANCEIRO!$B$753,LANÇ_MOV[ANO PAGAMENTO],$B$4,LANÇ_MOV[MÊS PAGAMENTO CORRESPONDENTE],F$6,LANÇ_MOV[EMPRESA],$C$4,LANÇ_MOV[CENTRO DE CUSTOS],$D$4)</f>
        <v>0</v>
      </c>
      <c r="G768" s="206">
        <f>SUMIFS(LANÇ_MOV[VALOR LÍQUIDO],LANÇ_MOV[RECEITA OU DESPESA],"Despesa",LANÇ_MOV[CONTAS],$C768,LANÇ_MOV[PLANO DE CONTAS],REL_DRE_FINANCEIRO!$B$753,LANÇ_MOV[ANO PAGAMENTO],$B$4,LANÇ_MOV[MÊS PAGAMENTO CORRESPONDENTE],G$6,LANÇ_MOV[EMPRESA],$C$4,LANÇ_MOV[CENTRO DE CUSTOS],$D$4)</f>
        <v>0</v>
      </c>
      <c r="H768" s="206">
        <f>SUMIFS(LANÇ_MOV[VALOR LÍQUIDO],LANÇ_MOV[RECEITA OU DESPESA],"Despesa",LANÇ_MOV[CONTAS],$C768,LANÇ_MOV[PLANO DE CONTAS],REL_DRE_FINANCEIRO!$B$753,LANÇ_MOV[ANO PAGAMENTO],$B$4,LANÇ_MOV[MÊS PAGAMENTO CORRESPONDENTE],H$6,LANÇ_MOV[EMPRESA],$C$4,LANÇ_MOV[CENTRO DE CUSTOS],$D$4)</f>
        <v>0</v>
      </c>
      <c r="I768" s="206">
        <f>SUMIFS(LANÇ_MOV[VALOR LÍQUIDO],LANÇ_MOV[RECEITA OU DESPESA],"Despesa",LANÇ_MOV[CONTAS],$C768,LANÇ_MOV[PLANO DE CONTAS],REL_DRE_FINANCEIRO!$B$753,LANÇ_MOV[ANO PAGAMENTO],$B$4,LANÇ_MOV[MÊS PAGAMENTO CORRESPONDENTE],I$6,LANÇ_MOV[EMPRESA],$C$4,LANÇ_MOV[CENTRO DE CUSTOS],$D$4)</f>
        <v>0</v>
      </c>
      <c r="J768" s="206">
        <f>SUMIFS(LANÇ_MOV[VALOR LÍQUIDO],LANÇ_MOV[RECEITA OU DESPESA],"Despesa",LANÇ_MOV[CONTAS],$C768,LANÇ_MOV[PLANO DE CONTAS],REL_DRE_FINANCEIRO!$B$753,LANÇ_MOV[ANO PAGAMENTO],$B$4,LANÇ_MOV[MÊS PAGAMENTO CORRESPONDENTE],J$6,LANÇ_MOV[EMPRESA],$C$4,LANÇ_MOV[CENTRO DE CUSTOS],$D$4)</f>
        <v>0</v>
      </c>
      <c r="K768" s="206">
        <f>SUMIFS(LANÇ_MOV[VALOR LÍQUIDO],LANÇ_MOV[RECEITA OU DESPESA],"Despesa",LANÇ_MOV[CONTAS],$C768,LANÇ_MOV[PLANO DE CONTAS],REL_DRE_FINANCEIRO!$B$753,LANÇ_MOV[ANO PAGAMENTO],$B$4,LANÇ_MOV[MÊS PAGAMENTO CORRESPONDENTE],K$6,LANÇ_MOV[EMPRESA],$C$4,LANÇ_MOV[CENTRO DE CUSTOS],$D$4)</f>
        <v>0</v>
      </c>
      <c r="L768" s="206">
        <f>SUMIFS(LANÇ_MOV[VALOR LÍQUIDO],LANÇ_MOV[RECEITA OU DESPESA],"Despesa",LANÇ_MOV[CONTAS],$C768,LANÇ_MOV[PLANO DE CONTAS],REL_DRE_FINANCEIRO!$B$753,LANÇ_MOV[ANO PAGAMENTO],$B$4,LANÇ_MOV[MÊS PAGAMENTO CORRESPONDENTE],L$6,LANÇ_MOV[EMPRESA],$C$4,LANÇ_MOV[CENTRO DE CUSTOS],$D$4)</f>
        <v>0</v>
      </c>
      <c r="M768" s="206">
        <f>SUMIFS(LANÇ_MOV[VALOR LÍQUIDO],LANÇ_MOV[RECEITA OU DESPESA],"Despesa",LANÇ_MOV[CONTAS],$C768,LANÇ_MOV[PLANO DE CONTAS],REL_DRE_FINANCEIRO!$B$753,LANÇ_MOV[ANO PAGAMENTO],$B$4,LANÇ_MOV[MÊS PAGAMENTO CORRESPONDENTE],M$6,LANÇ_MOV[EMPRESA],$C$4,LANÇ_MOV[CENTRO DE CUSTOS],$D$4)</f>
        <v>0</v>
      </c>
      <c r="N768" s="206">
        <f>SUMIFS(LANÇ_MOV[VALOR LÍQUIDO],LANÇ_MOV[RECEITA OU DESPESA],"Despesa",LANÇ_MOV[CONTAS],$C768,LANÇ_MOV[PLANO DE CONTAS],REL_DRE_FINANCEIRO!$B$753,LANÇ_MOV[ANO PAGAMENTO],$B$4,LANÇ_MOV[MÊS PAGAMENTO CORRESPONDENTE],N$6,LANÇ_MOV[EMPRESA],$C$4,LANÇ_MOV[CENTRO DE CUSTOS],$D$4)</f>
        <v>0</v>
      </c>
      <c r="O768" s="206">
        <f>SUMIFS(LANÇ_MOV[VALOR LÍQUIDO],LANÇ_MOV[RECEITA OU DESPESA],"Despesa",LANÇ_MOV[CONTAS],$C768,LANÇ_MOV[PLANO DE CONTAS],REL_DRE_FINANCEIRO!$B$753,LANÇ_MOV[ANO PAGAMENTO],$B$4,LANÇ_MOV[MÊS PAGAMENTO CORRESPONDENTE],O$6,LANÇ_MOV[EMPRESA],$C$4,LANÇ_MOV[CENTRO DE CUSTOS],$D$4)</f>
        <v>0</v>
      </c>
      <c r="P768" s="207">
        <f t="shared" si="100"/>
        <v>0</v>
      </c>
      <c r="Q768" s="329">
        <v>8.6000000000000007E-6</v>
      </c>
      <c r="R768" s="346">
        <f t="shared" si="101"/>
        <v>8.6000000000000007E-6</v>
      </c>
      <c r="S768" s="347" t="str">
        <f t="shared" si="102"/>
        <v>-</v>
      </c>
      <c r="T768" s="347">
        <f t="shared" si="103"/>
        <v>0</v>
      </c>
      <c r="U768" s="347">
        <f>HLOOKUP(Apoio!$P$12,$D$752:$P$853,X768,FALSE)+Q768</f>
        <v>8.6000000000000007E-6</v>
      </c>
      <c r="V768" s="447" t="str">
        <f t="shared" si="104"/>
        <v>-</v>
      </c>
      <c r="W768" s="448">
        <f>HLOOKUP(Apoio!$P$12,$D$752:$P$853,X768,FALSE)</f>
        <v>0</v>
      </c>
      <c r="X768" s="329">
        <v>17</v>
      </c>
    </row>
    <row r="769" spans="2:24" ht="30.05" customHeight="1" x14ac:dyDescent="0.35">
      <c r="B769" s="204" t="str">
        <f>'CAD_PL_REC-DESP'!Z20</f>
        <v>2.6.16</v>
      </c>
      <c r="C769" s="205" t="str">
        <f>IF('CAD_PL_REC-DESP'!AA20="","-",'CAD_PL_REC-DESP'!AA20)</f>
        <v>-</v>
      </c>
      <c r="D769" s="206">
        <f>SUMIFS(LANÇ_MOV[VALOR LÍQUIDO],LANÇ_MOV[RECEITA OU DESPESA],"Despesa",LANÇ_MOV[CONTAS],$C769,LANÇ_MOV[PLANO DE CONTAS],REL_DRE_FINANCEIRO!$B$753,LANÇ_MOV[ANO PAGAMENTO],$B$4,LANÇ_MOV[MÊS PAGAMENTO CORRESPONDENTE],D$6,LANÇ_MOV[EMPRESA],$C$4,LANÇ_MOV[CENTRO DE CUSTOS],$D$4)</f>
        <v>0</v>
      </c>
      <c r="E769" s="206">
        <f>SUMIFS(LANÇ_MOV[VALOR LÍQUIDO],LANÇ_MOV[RECEITA OU DESPESA],"Despesa",LANÇ_MOV[CONTAS],$C769,LANÇ_MOV[PLANO DE CONTAS],REL_DRE_FINANCEIRO!$B$753,LANÇ_MOV[ANO PAGAMENTO],$B$4,LANÇ_MOV[MÊS PAGAMENTO CORRESPONDENTE],E$6,LANÇ_MOV[EMPRESA],$C$4,LANÇ_MOV[CENTRO DE CUSTOS],$D$4)</f>
        <v>0</v>
      </c>
      <c r="F769" s="206">
        <f>SUMIFS(LANÇ_MOV[VALOR LÍQUIDO],LANÇ_MOV[RECEITA OU DESPESA],"Despesa",LANÇ_MOV[CONTAS],$C769,LANÇ_MOV[PLANO DE CONTAS],REL_DRE_FINANCEIRO!$B$753,LANÇ_MOV[ANO PAGAMENTO],$B$4,LANÇ_MOV[MÊS PAGAMENTO CORRESPONDENTE],F$6,LANÇ_MOV[EMPRESA],$C$4,LANÇ_MOV[CENTRO DE CUSTOS],$D$4)</f>
        <v>0</v>
      </c>
      <c r="G769" s="206">
        <f>SUMIFS(LANÇ_MOV[VALOR LÍQUIDO],LANÇ_MOV[RECEITA OU DESPESA],"Despesa",LANÇ_MOV[CONTAS],$C769,LANÇ_MOV[PLANO DE CONTAS],REL_DRE_FINANCEIRO!$B$753,LANÇ_MOV[ANO PAGAMENTO],$B$4,LANÇ_MOV[MÊS PAGAMENTO CORRESPONDENTE],G$6,LANÇ_MOV[EMPRESA],$C$4,LANÇ_MOV[CENTRO DE CUSTOS],$D$4)</f>
        <v>0</v>
      </c>
      <c r="H769" s="206">
        <f>SUMIFS(LANÇ_MOV[VALOR LÍQUIDO],LANÇ_MOV[RECEITA OU DESPESA],"Despesa",LANÇ_MOV[CONTAS],$C769,LANÇ_MOV[PLANO DE CONTAS],REL_DRE_FINANCEIRO!$B$753,LANÇ_MOV[ANO PAGAMENTO],$B$4,LANÇ_MOV[MÊS PAGAMENTO CORRESPONDENTE],H$6,LANÇ_MOV[EMPRESA],$C$4,LANÇ_MOV[CENTRO DE CUSTOS],$D$4)</f>
        <v>0</v>
      </c>
      <c r="I769" s="206">
        <f>SUMIFS(LANÇ_MOV[VALOR LÍQUIDO],LANÇ_MOV[RECEITA OU DESPESA],"Despesa",LANÇ_MOV[CONTAS],$C769,LANÇ_MOV[PLANO DE CONTAS],REL_DRE_FINANCEIRO!$B$753,LANÇ_MOV[ANO PAGAMENTO],$B$4,LANÇ_MOV[MÊS PAGAMENTO CORRESPONDENTE],I$6,LANÇ_MOV[EMPRESA],$C$4,LANÇ_MOV[CENTRO DE CUSTOS],$D$4)</f>
        <v>0</v>
      </c>
      <c r="J769" s="206">
        <f>SUMIFS(LANÇ_MOV[VALOR LÍQUIDO],LANÇ_MOV[RECEITA OU DESPESA],"Despesa",LANÇ_MOV[CONTAS],$C769,LANÇ_MOV[PLANO DE CONTAS],REL_DRE_FINANCEIRO!$B$753,LANÇ_MOV[ANO PAGAMENTO],$B$4,LANÇ_MOV[MÊS PAGAMENTO CORRESPONDENTE],J$6,LANÇ_MOV[EMPRESA],$C$4,LANÇ_MOV[CENTRO DE CUSTOS],$D$4)</f>
        <v>0</v>
      </c>
      <c r="K769" s="206">
        <f>SUMIFS(LANÇ_MOV[VALOR LÍQUIDO],LANÇ_MOV[RECEITA OU DESPESA],"Despesa",LANÇ_MOV[CONTAS],$C769,LANÇ_MOV[PLANO DE CONTAS],REL_DRE_FINANCEIRO!$B$753,LANÇ_MOV[ANO PAGAMENTO],$B$4,LANÇ_MOV[MÊS PAGAMENTO CORRESPONDENTE],K$6,LANÇ_MOV[EMPRESA],$C$4,LANÇ_MOV[CENTRO DE CUSTOS],$D$4)</f>
        <v>0</v>
      </c>
      <c r="L769" s="206">
        <f>SUMIFS(LANÇ_MOV[VALOR LÍQUIDO],LANÇ_MOV[RECEITA OU DESPESA],"Despesa",LANÇ_MOV[CONTAS],$C769,LANÇ_MOV[PLANO DE CONTAS],REL_DRE_FINANCEIRO!$B$753,LANÇ_MOV[ANO PAGAMENTO],$B$4,LANÇ_MOV[MÊS PAGAMENTO CORRESPONDENTE],L$6,LANÇ_MOV[EMPRESA],$C$4,LANÇ_MOV[CENTRO DE CUSTOS],$D$4)</f>
        <v>0</v>
      </c>
      <c r="M769" s="206">
        <f>SUMIFS(LANÇ_MOV[VALOR LÍQUIDO],LANÇ_MOV[RECEITA OU DESPESA],"Despesa",LANÇ_MOV[CONTAS],$C769,LANÇ_MOV[PLANO DE CONTAS],REL_DRE_FINANCEIRO!$B$753,LANÇ_MOV[ANO PAGAMENTO],$B$4,LANÇ_MOV[MÊS PAGAMENTO CORRESPONDENTE],M$6,LANÇ_MOV[EMPRESA],$C$4,LANÇ_MOV[CENTRO DE CUSTOS],$D$4)</f>
        <v>0</v>
      </c>
      <c r="N769" s="206">
        <f>SUMIFS(LANÇ_MOV[VALOR LÍQUIDO],LANÇ_MOV[RECEITA OU DESPESA],"Despesa",LANÇ_MOV[CONTAS],$C769,LANÇ_MOV[PLANO DE CONTAS],REL_DRE_FINANCEIRO!$B$753,LANÇ_MOV[ANO PAGAMENTO],$B$4,LANÇ_MOV[MÊS PAGAMENTO CORRESPONDENTE],N$6,LANÇ_MOV[EMPRESA],$C$4,LANÇ_MOV[CENTRO DE CUSTOS],$D$4)</f>
        <v>0</v>
      </c>
      <c r="O769" s="206">
        <f>SUMIFS(LANÇ_MOV[VALOR LÍQUIDO],LANÇ_MOV[RECEITA OU DESPESA],"Despesa",LANÇ_MOV[CONTAS],$C769,LANÇ_MOV[PLANO DE CONTAS],REL_DRE_FINANCEIRO!$B$753,LANÇ_MOV[ANO PAGAMENTO],$B$4,LANÇ_MOV[MÊS PAGAMENTO CORRESPONDENTE],O$6,LANÇ_MOV[EMPRESA],$C$4,LANÇ_MOV[CENTRO DE CUSTOS],$D$4)</f>
        <v>0</v>
      </c>
      <c r="P769" s="207">
        <f t="shared" si="100"/>
        <v>0</v>
      </c>
      <c r="Q769" s="329">
        <v>8.4999999999999999E-6</v>
      </c>
      <c r="R769" s="346">
        <f t="shared" si="101"/>
        <v>8.4999999999999999E-6</v>
      </c>
      <c r="S769" s="347" t="str">
        <f t="shared" si="102"/>
        <v>-</v>
      </c>
      <c r="T769" s="347">
        <f t="shared" si="103"/>
        <v>0</v>
      </c>
      <c r="U769" s="347">
        <f>HLOOKUP(Apoio!$P$12,$D$752:$P$853,X769,FALSE)+Q769</f>
        <v>8.4999999999999999E-6</v>
      </c>
      <c r="V769" s="447" t="str">
        <f t="shared" si="104"/>
        <v>-</v>
      </c>
      <c r="W769" s="448">
        <f>HLOOKUP(Apoio!$P$12,$D$752:$P$853,X769,FALSE)</f>
        <v>0</v>
      </c>
      <c r="X769" s="329">
        <v>18</v>
      </c>
    </row>
    <row r="770" spans="2:24" ht="30.05" customHeight="1" x14ac:dyDescent="0.35">
      <c r="B770" s="204" t="str">
        <f>'CAD_PL_REC-DESP'!Z21</f>
        <v>2.6.17</v>
      </c>
      <c r="C770" s="205" t="str">
        <f>IF('CAD_PL_REC-DESP'!AA21="","-",'CAD_PL_REC-DESP'!AA21)</f>
        <v>-</v>
      </c>
      <c r="D770" s="206">
        <f>SUMIFS(LANÇ_MOV[VALOR LÍQUIDO],LANÇ_MOV[RECEITA OU DESPESA],"Despesa",LANÇ_MOV[CONTAS],$C770,LANÇ_MOV[PLANO DE CONTAS],REL_DRE_FINANCEIRO!$B$753,LANÇ_MOV[ANO PAGAMENTO],$B$4,LANÇ_MOV[MÊS PAGAMENTO CORRESPONDENTE],D$6,LANÇ_MOV[EMPRESA],$C$4,LANÇ_MOV[CENTRO DE CUSTOS],$D$4)</f>
        <v>0</v>
      </c>
      <c r="E770" s="206">
        <f>SUMIFS(LANÇ_MOV[VALOR LÍQUIDO],LANÇ_MOV[RECEITA OU DESPESA],"Despesa",LANÇ_MOV[CONTAS],$C770,LANÇ_MOV[PLANO DE CONTAS],REL_DRE_FINANCEIRO!$B$753,LANÇ_MOV[ANO PAGAMENTO],$B$4,LANÇ_MOV[MÊS PAGAMENTO CORRESPONDENTE],E$6,LANÇ_MOV[EMPRESA],$C$4,LANÇ_MOV[CENTRO DE CUSTOS],$D$4)</f>
        <v>0</v>
      </c>
      <c r="F770" s="206">
        <f>SUMIFS(LANÇ_MOV[VALOR LÍQUIDO],LANÇ_MOV[RECEITA OU DESPESA],"Despesa",LANÇ_MOV[CONTAS],$C770,LANÇ_MOV[PLANO DE CONTAS],REL_DRE_FINANCEIRO!$B$753,LANÇ_MOV[ANO PAGAMENTO],$B$4,LANÇ_MOV[MÊS PAGAMENTO CORRESPONDENTE],F$6,LANÇ_MOV[EMPRESA],$C$4,LANÇ_MOV[CENTRO DE CUSTOS],$D$4)</f>
        <v>0</v>
      </c>
      <c r="G770" s="206">
        <f>SUMIFS(LANÇ_MOV[VALOR LÍQUIDO],LANÇ_MOV[RECEITA OU DESPESA],"Despesa",LANÇ_MOV[CONTAS],$C770,LANÇ_MOV[PLANO DE CONTAS],REL_DRE_FINANCEIRO!$B$753,LANÇ_MOV[ANO PAGAMENTO],$B$4,LANÇ_MOV[MÊS PAGAMENTO CORRESPONDENTE],G$6,LANÇ_MOV[EMPRESA],$C$4,LANÇ_MOV[CENTRO DE CUSTOS],$D$4)</f>
        <v>0</v>
      </c>
      <c r="H770" s="206">
        <f>SUMIFS(LANÇ_MOV[VALOR LÍQUIDO],LANÇ_MOV[RECEITA OU DESPESA],"Despesa",LANÇ_MOV[CONTAS],$C770,LANÇ_MOV[PLANO DE CONTAS],REL_DRE_FINANCEIRO!$B$753,LANÇ_MOV[ANO PAGAMENTO],$B$4,LANÇ_MOV[MÊS PAGAMENTO CORRESPONDENTE],H$6,LANÇ_MOV[EMPRESA],$C$4,LANÇ_MOV[CENTRO DE CUSTOS],$D$4)</f>
        <v>0</v>
      </c>
      <c r="I770" s="206">
        <f>SUMIFS(LANÇ_MOV[VALOR LÍQUIDO],LANÇ_MOV[RECEITA OU DESPESA],"Despesa",LANÇ_MOV[CONTAS],$C770,LANÇ_MOV[PLANO DE CONTAS],REL_DRE_FINANCEIRO!$B$753,LANÇ_MOV[ANO PAGAMENTO],$B$4,LANÇ_MOV[MÊS PAGAMENTO CORRESPONDENTE],I$6,LANÇ_MOV[EMPRESA],$C$4,LANÇ_MOV[CENTRO DE CUSTOS],$D$4)</f>
        <v>0</v>
      </c>
      <c r="J770" s="206">
        <f>SUMIFS(LANÇ_MOV[VALOR LÍQUIDO],LANÇ_MOV[RECEITA OU DESPESA],"Despesa",LANÇ_MOV[CONTAS],$C770,LANÇ_MOV[PLANO DE CONTAS],REL_DRE_FINANCEIRO!$B$753,LANÇ_MOV[ANO PAGAMENTO],$B$4,LANÇ_MOV[MÊS PAGAMENTO CORRESPONDENTE],J$6,LANÇ_MOV[EMPRESA],$C$4,LANÇ_MOV[CENTRO DE CUSTOS],$D$4)</f>
        <v>0</v>
      </c>
      <c r="K770" s="206">
        <f>SUMIFS(LANÇ_MOV[VALOR LÍQUIDO],LANÇ_MOV[RECEITA OU DESPESA],"Despesa",LANÇ_MOV[CONTAS],$C770,LANÇ_MOV[PLANO DE CONTAS],REL_DRE_FINANCEIRO!$B$753,LANÇ_MOV[ANO PAGAMENTO],$B$4,LANÇ_MOV[MÊS PAGAMENTO CORRESPONDENTE],K$6,LANÇ_MOV[EMPRESA],$C$4,LANÇ_MOV[CENTRO DE CUSTOS],$D$4)</f>
        <v>0</v>
      </c>
      <c r="L770" s="206">
        <f>SUMIFS(LANÇ_MOV[VALOR LÍQUIDO],LANÇ_MOV[RECEITA OU DESPESA],"Despesa",LANÇ_MOV[CONTAS],$C770,LANÇ_MOV[PLANO DE CONTAS],REL_DRE_FINANCEIRO!$B$753,LANÇ_MOV[ANO PAGAMENTO],$B$4,LANÇ_MOV[MÊS PAGAMENTO CORRESPONDENTE],L$6,LANÇ_MOV[EMPRESA],$C$4,LANÇ_MOV[CENTRO DE CUSTOS],$D$4)</f>
        <v>0</v>
      </c>
      <c r="M770" s="206">
        <f>SUMIFS(LANÇ_MOV[VALOR LÍQUIDO],LANÇ_MOV[RECEITA OU DESPESA],"Despesa",LANÇ_MOV[CONTAS],$C770,LANÇ_MOV[PLANO DE CONTAS],REL_DRE_FINANCEIRO!$B$753,LANÇ_MOV[ANO PAGAMENTO],$B$4,LANÇ_MOV[MÊS PAGAMENTO CORRESPONDENTE],M$6,LANÇ_MOV[EMPRESA],$C$4,LANÇ_MOV[CENTRO DE CUSTOS],$D$4)</f>
        <v>0</v>
      </c>
      <c r="N770" s="206">
        <f>SUMIFS(LANÇ_MOV[VALOR LÍQUIDO],LANÇ_MOV[RECEITA OU DESPESA],"Despesa",LANÇ_MOV[CONTAS],$C770,LANÇ_MOV[PLANO DE CONTAS],REL_DRE_FINANCEIRO!$B$753,LANÇ_MOV[ANO PAGAMENTO],$B$4,LANÇ_MOV[MÊS PAGAMENTO CORRESPONDENTE],N$6,LANÇ_MOV[EMPRESA],$C$4,LANÇ_MOV[CENTRO DE CUSTOS],$D$4)</f>
        <v>0</v>
      </c>
      <c r="O770" s="206">
        <f>SUMIFS(LANÇ_MOV[VALOR LÍQUIDO],LANÇ_MOV[RECEITA OU DESPESA],"Despesa",LANÇ_MOV[CONTAS],$C770,LANÇ_MOV[PLANO DE CONTAS],REL_DRE_FINANCEIRO!$B$753,LANÇ_MOV[ANO PAGAMENTO],$B$4,LANÇ_MOV[MÊS PAGAMENTO CORRESPONDENTE],O$6,LANÇ_MOV[EMPRESA],$C$4,LANÇ_MOV[CENTRO DE CUSTOS],$D$4)</f>
        <v>0</v>
      </c>
      <c r="P770" s="207">
        <f t="shared" si="100"/>
        <v>0</v>
      </c>
      <c r="Q770" s="329">
        <v>8.3999999999999992E-6</v>
      </c>
      <c r="R770" s="346">
        <f t="shared" si="101"/>
        <v>8.3999999999999992E-6</v>
      </c>
      <c r="S770" s="347" t="str">
        <f t="shared" si="102"/>
        <v>-</v>
      </c>
      <c r="T770" s="347">
        <f t="shared" si="103"/>
        <v>0</v>
      </c>
      <c r="U770" s="347">
        <f>HLOOKUP(Apoio!$P$12,$D$752:$P$853,X770,FALSE)+Q770</f>
        <v>8.3999999999999992E-6</v>
      </c>
      <c r="V770" s="447" t="str">
        <f t="shared" si="104"/>
        <v>-</v>
      </c>
      <c r="W770" s="448">
        <f>HLOOKUP(Apoio!$P$12,$D$752:$P$853,X770,FALSE)</f>
        <v>0</v>
      </c>
      <c r="X770" s="329">
        <v>19</v>
      </c>
    </row>
    <row r="771" spans="2:24" ht="30.05" customHeight="1" x14ac:dyDescent="0.35">
      <c r="B771" s="204" t="str">
        <f>'CAD_PL_REC-DESP'!Z22</f>
        <v>2.6.18</v>
      </c>
      <c r="C771" s="205" t="str">
        <f>IF('CAD_PL_REC-DESP'!AA22="","-",'CAD_PL_REC-DESP'!AA22)</f>
        <v>-</v>
      </c>
      <c r="D771" s="206">
        <f>SUMIFS(LANÇ_MOV[VALOR LÍQUIDO],LANÇ_MOV[RECEITA OU DESPESA],"Despesa",LANÇ_MOV[CONTAS],$C771,LANÇ_MOV[PLANO DE CONTAS],REL_DRE_FINANCEIRO!$B$753,LANÇ_MOV[ANO PAGAMENTO],$B$4,LANÇ_MOV[MÊS PAGAMENTO CORRESPONDENTE],D$6,LANÇ_MOV[EMPRESA],$C$4,LANÇ_MOV[CENTRO DE CUSTOS],$D$4)</f>
        <v>0</v>
      </c>
      <c r="E771" s="206">
        <f>SUMIFS(LANÇ_MOV[VALOR LÍQUIDO],LANÇ_MOV[RECEITA OU DESPESA],"Despesa",LANÇ_MOV[CONTAS],$C771,LANÇ_MOV[PLANO DE CONTAS],REL_DRE_FINANCEIRO!$B$753,LANÇ_MOV[ANO PAGAMENTO],$B$4,LANÇ_MOV[MÊS PAGAMENTO CORRESPONDENTE],E$6,LANÇ_MOV[EMPRESA],$C$4,LANÇ_MOV[CENTRO DE CUSTOS],$D$4)</f>
        <v>0</v>
      </c>
      <c r="F771" s="206">
        <f>SUMIFS(LANÇ_MOV[VALOR LÍQUIDO],LANÇ_MOV[RECEITA OU DESPESA],"Despesa",LANÇ_MOV[CONTAS],$C771,LANÇ_MOV[PLANO DE CONTAS],REL_DRE_FINANCEIRO!$B$753,LANÇ_MOV[ANO PAGAMENTO],$B$4,LANÇ_MOV[MÊS PAGAMENTO CORRESPONDENTE],F$6,LANÇ_MOV[EMPRESA],$C$4,LANÇ_MOV[CENTRO DE CUSTOS],$D$4)</f>
        <v>0</v>
      </c>
      <c r="G771" s="206">
        <f>SUMIFS(LANÇ_MOV[VALOR LÍQUIDO],LANÇ_MOV[RECEITA OU DESPESA],"Despesa",LANÇ_MOV[CONTAS],$C771,LANÇ_MOV[PLANO DE CONTAS],REL_DRE_FINANCEIRO!$B$753,LANÇ_MOV[ANO PAGAMENTO],$B$4,LANÇ_MOV[MÊS PAGAMENTO CORRESPONDENTE],G$6,LANÇ_MOV[EMPRESA],$C$4,LANÇ_MOV[CENTRO DE CUSTOS],$D$4)</f>
        <v>0</v>
      </c>
      <c r="H771" s="206">
        <f>SUMIFS(LANÇ_MOV[VALOR LÍQUIDO],LANÇ_MOV[RECEITA OU DESPESA],"Despesa",LANÇ_MOV[CONTAS],$C771,LANÇ_MOV[PLANO DE CONTAS],REL_DRE_FINANCEIRO!$B$753,LANÇ_MOV[ANO PAGAMENTO],$B$4,LANÇ_MOV[MÊS PAGAMENTO CORRESPONDENTE],H$6,LANÇ_MOV[EMPRESA],$C$4,LANÇ_MOV[CENTRO DE CUSTOS],$D$4)</f>
        <v>0</v>
      </c>
      <c r="I771" s="206">
        <f>SUMIFS(LANÇ_MOV[VALOR LÍQUIDO],LANÇ_MOV[RECEITA OU DESPESA],"Despesa",LANÇ_MOV[CONTAS],$C771,LANÇ_MOV[PLANO DE CONTAS],REL_DRE_FINANCEIRO!$B$753,LANÇ_MOV[ANO PAGAMENTO],$B$4,LANÇ_MOV[MÊS PAGAMENTO CORRESPONDENTE],I$6,LANÇ_MOV[EMPRESA],$C$4,LANÇ_MOV[CENTRO DE CUSTOS],$D$4)</f>
        <v>0</v>
      </c>
      <c r="J771" s="206">
        <f>SUMIFS(LANÇ_MOV[VALOR LÍQUIDO],LANÇ_MOV[RECEITA OU DESPESA],"Despesa",LANÇ_MOV[CONTAS],$C771,LANÇ_MOV[PLANO DE CONTAS],REL_DRE_FINANCEIRO!$B$753,LANÇ_MOV[ANO PAGAMENTO],$B$4,LANÇ_MOV[MÊS PAGAMENTO CORRESPONDENTE],J$6,LANÇ_MOV[EMPRESA],$C$4,LANÇ_MOV[CENTRO DE CUSTOS],$D$4)</f>
        <v>0</v>
      </c>
      <c r="K771" s="206">
        <f>SUMIFS(LANÇ_MOV[VALOR LÍQUIDO],LANÇ_MOV[RECEITA OU DESPESA],"Despesa",LANÇ_MOV[CONTAS],$C771,LANÇ_MOV[PLANO DE CONTAS],REL_DRE_FINANCEIRO!$B$753,LANÇ_MOV[ANO PAGAMENTO],$B$4,LANÇ_MOV[MÊS PAGAMENTO CORRESPONDENTE],K$6,LANÇ_MOV[EMPRESA],$C$4,LANÇ_MOV[CENTRO DE CUSTOS],$D$4)</f>
        <v>0</v>
      </c>
      <c r="L771" s="206">
        <f>SUMIFS(LANÇ_MOV[VALOR LÍQUIDO],LANÇ_MOV[RECEITA OU DESPESA],"Despesa",LANÇ_MOV[CONTAS],$C771,LANÇ_MOV[PLANO DE CONTAS],REL_DRE_FINANCEIRO!$B$753,LANÇ_MOV[ANO PAGAMENTO],$B$4,LANÇ_MOV[MÊS PAGAMENTO CORRESPONDENTE],L$6,LANÇ_MOV[EMPRESA],$C$4,LANÇ_MOV[CENTRO DE CUSTOS],$D$4)</f>
        <v>0</v>
      </c>
      <c r="M771" s="206">
        <f>SUMIFS(LANÇ_MOV[VALOR LÍQUIDO],LANÇ_MOV[RECEITA OU DESPESA],"Despesa",LANÇ_MOV[CONTAS],$C771,LANÇ_MOV[PLANO DE CONTAS],REL_DRE_FINANCEIRO!$B$753,LANÇ_MOV[ANO PAGAMENTO],$B$4,LANÇ_MOV[MÊS PAGAMENTO CORRESPONDENTE],M$6,LANÇ_MOV[EMPRESA],$C$4,LANÇ_MOV[CENTRO DE CUSTOS],$D$4)</f>
        <v>0</v>
      </c>
      <c r="N771" s="206">
        <f>SUMIFS(LANÇ_MOV[VALOR LÍQUIDO],LANÇ_MOV[RECEITA OU DESPESA],"Despesa",LANÇ_MOV[CONTAS],$C771,LANÇ_MOV[PLANO DE CONTAS],REL_DRE_FINANCEIRO!$B$753,LANÇ_MOV[ANO PAGAMENTO],$B$4,LANÇ_MOV[MÊS PAGAMENTO CORRESPONDENTE],N$6,LANÇ_MOV[EMPRESA],$C$4,LANÇ_MOV[CENTRO DE CUSTOS],$D$4)</f>
        <v>0</v>
      </c>
      <c r="O771" s="206">
        <f>SUMIFS(LANÇ_MOV[VALOR LÍQUIDO],LANÇ_MOV[RECEITA OU DESPESA],"Despesa",LANÇ_MOV[CONTAS],$C771,LANÇ_MOV[PLANO DE CONTAS],REL_DRE_FINANCEIRO!$B$753,LANÇ_MOV[ANO PAGAMENTO],$B$4,LANÇ_MOV[MÊS PAGAMENTO CORRESPONDENTE],O$6,LANÇ_MOV[EMPRESA],$C$4,LANÇ_MOV[CENTRO DE CUSTOS],$D$4)</f>
        <v>0</v>
      </c>
      <c r="P771" s="207">
        <f t="shared" si="100"/>
        <v>0</v>
      </c>
      <c r="Q771" s="329">
        <v>8.3000000000000002E-6</v>
      </c>
      <c r="R771" s="346">
        <f t="shared" si="101"/>
        <v>8.3000000000000002E-6</v>
      </c>
      <c r="S771" s="347" t="str">
        <f t="shared" si="102"/>
        <v>-</v>
      </c>
      <c r="T771" s="347">
        <f t="shared" si="103"/>
        <v>0</v>
      </c>
      <c r="U771" s="347">
        <f>HLOOKUP(Apoio!$P$12,$D$752:$P$853,X771,FALSE)+Q771</f>
        <v>8.3000000000000002E-6</v>
      </c>
      <c r="V771" s="447" t="str">
        <f t="shared" si="104"/>
        <v>-</v>
      </c>
      <c r="W771" s="448">
        <f>HLOOKUP(Apoio!$P$12,$D$752:$P$853,X771,FALSE)</f>
        <v>0</v>
      </c>
      <c r="X771" s="329">
        <v>20</v>
      </c>
    </row>
    <row r="772" spans="2:24" ht="30.05" customHeight="1" x14ac:dyDescent="0.35">
      <c r="B772" s="204" t="str">
        <f>'CAD_PL_REC-DESP'!Z23</f>
        <v>2.6.19</v>
      </c>
      <c r="C772" s="205" t="str">
        <f>IF('CAD_PL_REC-DESP'!AA23="","-",'CAD_PL_REC-DESP'!AA23)</f>
        <v>-</v>
      </c>
      <c r="D772" s="206">
        <f>SUMIFS(LANÇ_MOV[VALOR LÍQUIDO],LANÇ_MOV[RECEITA OU DESPESA],"Despesa",LANÇ_MOV[CONTAS],$C772,LANÇ_MOV[PLANO DE CONTAS],REL_DRE_FINANCEIRO!$B$753,LANÇ_MOV[ANO PAGAMENTO],$B$4,LANÇ_MOV[MÊS PAGAMENTO CORRESPONDENTE],D$6,LANÇ_MOV[EMPRESA],$C$4,LANÇ_MOV[CENTRO DE CUSTOS],$D$4)</f>
        <v>0</v>
      </c>
      <c r="E772" s="206">
        <f>SUMIFS(LANÇ_MOV[VALOR LÍQUIDO],LANÇ_MOV[RECEITA OU DESPESA],"Despesa",LANÇ_MOV[CONTAS],$C772,LANÇ_MOV[PLANO DE CONTAS],REL_DRE_FINANCEIRO!$B$753,LANÇ_MOV[ANO PAGAMENTO],$B$4,LANÇ_MOV[MÊS PAGAMENTO CORRESPONDENTE],E$6,LANÇ_MOV[EMPRESA],$C$4,LANÇ_MOV[CENTRO DE CUSTOS],$D$4)</f>
        <v>0</v>
      </c>
      <c r="F772" s="206">
        <f>SUMIFS(LANÇ_MOV[VALOR LÍQUIDO],LANÇ_MOV[RECEITA OU DESPESA],"Despesa",LANÇ_MOV[CONTAS],$C772,LANÇ_MOV[PLANO DE CONTAS],REL_DRE_FINANCEIRO!$B$753,LANÇ_MOV[ANO PAGAMENTO],$B$4,LANÇ_MOV[MÊS PAGAMENTO CORRESPONDENTE],F$6,LANÇ_MOV[EMPRESA],$C$4,LANÇ_MOV[CENTRO DE CUSTOS],$D$4)</f>
        <v>0</v>
      </c>
      <c r="G772" s="206">
        <f>SUMIFS(LANÇ_MOV[VALOR LÍQUIDO],LANÇ_MOV[RECEITA OU DESPESA],"Despesa",LANÇ_MOV[CONTAS],$C772,LANÇ_MOV[PLANO DE CONTAS],REL_DRE_FINANCEIRO!$B$753,LANÇ_MOV[ANO PAGAMENTO],$B$4,LANÇ_MOV[MÊS PAGAMENTO CORRESPONDENTE],G$6,LANÇ_MOV[EMPRESA],$C$4,LANÇ_MOV[CENTRO DE CUSTOS],$D$4)</f>
        <v>0</v>
      </c>
      <c r="H772" s="206">
        <f>SUMIFS(LANÇ_MOV[VALOR LÍQUIDO],LANÇ_MOV[RECEITA OU DESPESA],"Despesa",LANÇ_MOV[CONTAS],$C772,LANÇ_MOV[PLANO DE CONTAS],REL_DRE_FINANCEIRO!$B$753,LANÇ_MOV[ANO PAGAMENTO],$B$4,LANÇ_MOV[MÊS PAGAMENTO CORRESPONDENTE],H$6,LANÇ_MOV[EMPRESA],$C$4,LANÇ_MOV[CENTRO DE CUSTOS],$D$4)</f>
        <v>0</v>
      </c>
      <c r="I772" s="206">
        <f>SUMIFS(LANÇ_MOV[VALOR LÍQUIDO],LANÇ_MOV[RECEITA OU DESPESA],"Despesa",LANÇ_MOV[CONTAS],$C772,LANÇ_MOV[PLANO DE CONTAS],REL_DRE_FINANCEIRO!$B$753,LANÇ_MOV[ANO PAGAMENTO],$B$4,LANÇ_MOV[MÊS PAGAMENTO CORRESPONDENTE],I$6,LANÇ_MOV[EMPRESA],$C$4,LANÇ_MOV[CENTRO DE CUSTOS],$D$4)</f>
        <v>0</v>
      </c>
      <c r="J772" s="206">
        <f>SUMIFS(LANÇ_MOV[VALOR LÍQUIDO],LANÇ_MOV[RECEITA OU DESPESA],"Despesa",LANÇ_MOV[CONTAS],$C772,LANÇ_MOV[PLANO DE CONTAS],REL_DRE_FINANCEIRO!$B$753,LANÇ_MOV[ANO PAGAMENTO],$B$4,LANÇ_MOV[MÊS PAGAMENTO CORRESPONDENTE],J$6,LANÇ_MOV[EMPRESA],$C$4,LANÇ_MOV[CENTRO DE CUSTOS],$D$4)</f>
        <v>0</v>
      </c>
      <c r="K772" s="206">
        <f>SUMIFS(LANÇ_MOV[VALOR LÍQUIDO],LANÇ_MOV[RECEITA OU DESPESA],"Despesa",LANÇ_MOV[CONTAS],$C772,LANÇ_MOV[PLANO DE CONTAS],REL_DRE_FINANCEIRO!$B$753,LANÇ_MOV[ANO PAGAMENTO],$B$4,LANÇ_MOV[MÊS PAGAMENTO CORRESPONDENTE],K$6,LANÇ_MOV[EMPRESA],$C$4,LANÇ_MOV[CENTRO DE CUSTOS],$D$4)</f>
        <v>0</v>
      </c>
      <c r="L772" s="206">
        <f>SUMIFS(LANÇ_MOV[VALOR LÍQUIDO],LANÇ_MOV[RECEITA OU DESPESA],"Despesa",LANÇ_MOV[CONTAS],$C772,LANÇ_MOV[PLANO DE CONTAS],REL_DRE_FINANCEIRO!$B$753,LANÇ_MOV[ANO PAGAMENTO],$B$4,LANÇ_MOV[MÊS PAGAMENTO CORRESPONDENTE],L$6,LANÇ_MOV[EMPRESA],$C$4,LANÇ_MOV[CENTRO DE CUSTOS],$D$4)</f>
        <v>0</v>
      </c>
      <c r="M772" s="206">
        <f>SUMIFS(LANÇ_MOV[VALOR LÍQUIDO],LANÇ_MOV[RECEITA OU DESPESA],"Despesa",LANÇ_MOV[CONTAS],$C772,LANÇ_MOV[PLANO DE CONTAS],REL_DRE_FINANCEIRO!$B$753,LANÇ_MOV[ANO PAGAMENTO],$B$4,LANÇ_MOV[MÊS PAGAMENTO CORRESPONDENTE],M$6,LANÇ_MOV[EMPRESA],$C$4,LANÇ_MOV[CENTRO DE CUSTOS],$D$4)</f>
        <v>0</v>
      </c>
      <c r="N772" s="206">
        <f>SUMIFS(LANÇ_MOV[VALOR LÍQUIDO],LANÇ_MOV[RECEITA OU DESPESA],"Despesa",LANÇ_MOV[CONTAS],$C772,LANÇ_MOV[PLANO DE CONTAS],REL_DRE_FINANCEIRO!$B$753,LANÇ_MOV[ANO PAGAMENTO],$B$4,LANÇ_MOV[MÊS PAGAMENTO CORRESPONDENTE],N$6,LANÇ_MOV[EMPRESA],$C$4,LANÇ_MOV[CENTRO DE CUSTOS],$D$4)</f>
        <v>0</v>
      </c>
      <c r="O772" s="206">
        <f>SUMIFS(LANÇ_MOV[VALOR LÍQUIDO],LANÇ_MOV[RECEITA OU DESPESA],"Despesa",LANÇ_MOV[CONTAS],$C772,LANÇ_MOV[PLANO DE CONTAS],REL_DRE_FINANCEIRO!$B$753,LANÇ_MOV[ANO PAGAMENTO],$B$4,LANÇ_MOV[MÊS PAGAMENTO CORRESPONDENTE],O$6,LANÇ_MOV[EMPRESA],$C$4,LANÇ_MOV[CENTRO DE CUSTOS],$D$4)</f>
        <v>0</v>
      </c>
      <c r="P772" s="207">
        <f t="shared" si="100"/>
        <v>0</v>
      </c>
      <c r="Q772" s="329">
        <v>8.1999999999999994E-6</v>
      </c>
      <c r="R772" s="346">
        <f t="shared" si="101"/>
        <v>8.1999999999999994E-6</v>
      </c>
      <c r="S772" s="347" t="str">
        <f t="shared" si="102"/>
        <v>-</v>
      </c>
      <c r="T772" s="347">
        <f t="shared" si="103"/>
        <v>0</v>
      </c>
      <c r="U772" s="347">
        <f>HLOOKUP(Apoio!$P$12,$D$752:$P$853,X772,FALSE)+Q772</f>
        <v>8.1999999999999994E-6</v>
      </c>
      <c r="V772" s="447" t="str">
        <f t="shared" si="104"/>
        <v>-</v>
      </c>
      <c r="W772" s="448">
        <f>HLOOKUP(Apoio!$P$12,$D$752:$P$853,X772,FALSE)</f>
        <v>0</v>
      </c>
      <c r="X772" s="329">
        <v>21</v>
      </c>
    </row>
    <row r="773" spans="2:24" ht="30.05" customHeight="1" x14ac:dyDescent="0.35">
      <c r="B773" s="204" t="str">
        <f>'CAD_PL_REC-DESP'!Z24</f>
        <v>2.6.20</v>
      </c>
      <c r="C773" s="205" t="str">
        <f>IF('CAD_PL_REC-DESP'!AA24="","-",'CAD_PL_REC-DESP'!AA24)</f>
        <v>-</v>
      </c>
      <c r="D773" s="206">
        <f>SUMIFS(LANÇ_MOV[VALOR LÍQUIDO],LANÇ_MOV[RECEITA OU DESPESA],"Despesa",LANÇ_MOV[CONTAS],$C773,LANÇ_MOV[PLANO DE CONTAS],REL_DRE_FINANCEIRO!$B$753,LANÇ_MOV[ANO PAGAMENTO],$B$4,LANÇ_MOV[MÊS PAGAMENTO CORRESPONDENTE],D$6,LANÇ_MOV[EMPRESA],$C$4,LANÇ_MOV[CENTRO DE CUSTOS],$D$4)</f>
        <v>0</v>
      </c>
      <c r="E773" s="206">
        <f>SUMIFS(LANÇ_MOV[VALOR LÍQUIDO],LANÇ_MOV[RECEITA OU DESPESA],"Despesa",LANÇ_MOV[CONTAS],$C773,LANÇ_MOV[PLANO DE CONTAS],REL_DRE_FINANCEIRO!$B$753,LANÇ_MOV[ANO PAGAMENTO],$B$4,LANÇ_MOV[MÊS PAGAMENTO CORRESPONDENTE],E$6,LANÇ_MOV[EMPRESA],$C$4,LANÇ_MOV[CENTRO DE CUSTOS],$D$4)</f>
        <v>0</v>
      </c>
      <c r="F773" s="206">
        <f>SUMIFS(LANÇ_MOV[VALOR LÍQUIDO],LANÇ_MOV[RECEITA OU DESPESA],"Despesa",LANÇ_MOV[CONTAS],$C773,LANÇ_MOV[PLANO DE CONTAS],REL_DRE_FINANCEIRO!$B$753,LANÇ_MOV[ANO PAGAMENTO],$B$4,LANÇ_MOV[MÊS PAGAMENTO CORRESPONDENTE],F$6,LANÇ_MOV[EMPRESA],$C$4,LANÇ_MOV[CENTRO DE CUSTOS],$D$4)</f>
        <v>0</v>
      </c>
      <c r="G773" s="206">
        <f>SUMIFS(LANÇ_MOV[VALOR LÍQUIDO],LANÇ_MOV[RECEITA OU DESPESA],"Despesa",LANÇ_MOV[CONTAS],$C773,LANÇ_MOV[PLANO DE CONTAS],REL_DRE_FINANCEIRO!$B$753,LANÇ_MOV[ANO PAGAMENTO],$B$4,LANÇ_MOV[MÊS PAGAMENTO CORRESPONDENTE],G$6,LANÇ_MOV[EMPRESA],$C$4,LANÇ_MOV[CENTRO DE CUSTOS],$D$4)</f>
        <v>0</v>
      </c>
      <c r="H773" s="206">
        <f>SUMIFS(LANÇ_MOV[VALOR LÍQUIDO],LANÇ_MOV[RECEITA OU DESPESA],"Despesa",LANÇ_MOV[CONTAS],$C773,LANÇ_MOV[PLANO DE CONTAS],REL_DRE_FINANCEIRO!$B$753,LANÇ_MOV[ANO PAGAMENTO],$B$4,LANÇ_MOV[MÊS PAGAMENTO CORRESPONDENTE],H$6,LANÇ_MOV[EMPRESA],$C$4,LANÇ_MOV[CENTRO DE CUSTOS],$D$4)</f>
        <v>0</v>
      </c>
      <c r="I773" s="206">
        <f>SUMIFS(LANÇ_MOV[VALOR LÍQUIDO],LANÇ_MOV[RECEITA OU DESPESA],"Despesa",LANÇ_MOV[CONTAS],$C773,LANÇ_MOV[PLANO DE CONTAS],REL_DRE_FINANCEIRO!$B$753,LANÇ_MOV[ANO PAGAMENTO],$B$4,LANÇ_MOV[MÊS PAGAMENTO CORRESPONDENTE],I$6,LANÇ_MOV[EMPRESA],$C$4,LANÇ_MOV[CENTRO DE CUSTOS],$D$4)</f>
        <v>0</v>
      </c>
      <c r="J773" s="206">
        <f>SUMIFS(LANÇ_MOV[VALOR LÍQUIDO],LANÇ_MOV[RECEITA OU DESPESA],"Despesa",LANÇ_MOV[CONTAS],$C773,LANÇ_MOV[PLANO DE CONTAS],REL_DRE_FINANCEIRO!$B$753,LANÇ_MOV[ANO PAGAMENTO],$B$4,LANÇ_MOV[MÊS PAGAMENTO CORRESPONDENTE],J$6,LANÇ_MOV[EMPRESA],$C$4,LANÇ_MOV[CENTRO DE CUSTOS],$D$4)</f>
        <v>0</v>
      </c>
      <c r="K773" s="206">
        <f>SUMIFS(LANÇ_MOV[VALOR LÍQUIDO],LANÇ_MOV[RECEITA OU DESPESA],"Despesa",LANÇ_MOV[CONTAS],$C773,LANÇ_MOV[PLANO DE CONTAS],REL_DRE_FINANCEIRO!$B$753,LANÇ_MOV[ANO PAGAMENTO],$B$4,LANÇ_MOV[MÊS PAGAMENTO CORRESPONDENTE],K$6,LANÇ_MOV[EMPRESA],$C$4,LANÇ_MOV[CENTRO DE CUSTOS],$D$4)</f>
        <v>0</v>
      </c>
      <c r="L773" s="206">
        <f>SUMIFS(LANÇ_MOV[VALOR LÍQUIDO],LANÇ_MOV[RECEITA OU DESPESA],"Despesa",LANÇ_MOV[CONTAS],$C773,LANÇ_MOV[PLANO DE CONTAS],REL_DRE_FINANCEIRO!$B$753,LANÇ_MOV[ANO PAGAMENTO],$B$4,LANÇ_MOV[MÊS PAGAMENTO CORRESPONDENTE],L$6,LANÇ_MOV[EMPRESA],$C$4,LANÇ_MOV[CENTRO DE CUSTOS],$D$4)</f>
        <v>0</v>
      </c>
      <c r="M773" s="206">
        <f>SUMIFS(LANÇ_MOV[VALOR LÍQUIDO],LANÇ_MOV[RECEITA OU DESPESA],"Despesa",LANÇ_MOV[CONTAS],$C773,LANÇ_MOV[PLANO DE CONTAS],REL_DRE_FINANCEIRO!$B$753,LANÇ_MOV[ANO PAGAMENTO],$B$4,LANÇ_MOV[MÊS PAGAMENTO CORRESPONDENTE],M$6,LANÇ_MOV[EMPRESA],$C$4,LANÇ_MOV[CENTRO DE CUSTOS],$D$4)</f>
        <v>0</v>
      </c>
      <c r="N773" s="206">
        <f>SUMIFS(LANÇ_MOV[VALOR LÍQUIDO],LANÇ_MOV[RECEITA OU DESPESA],"Despesa",LANÇ_MOV[CONTAS],$C773,LANÇ_MOV[PLANO DE CONTAS],REL_DRE_FINANCEIRO!$B$753,LANÇ_MOV[ANO PAGAMENTO],$B$4,LANÇ_MOV[MÊS PAGAMENTO CORRESPONDENTE],N$6,LANÇ_MOV[EMPRESA],$C$4,LANÇ_MOV[CENTRO DE CUSTOS],$D$4)</f>
        <v>0</v>
      </c>
      <c r="O773" s="206">
        <f>SUMIFS(LANÇ_MOV[VALOR LÍQUIDO],LANÇ_MOV[RECEITA OU DESPESA],"Despesa",LANÇ_MOV[CONTAS],$C773,LANÇ_MOV[PLANO DE CONTAS],REL_DRE_FINANCEIRO!$B$753,LANÇ_MOV[ANO PAGAMENTO],$B$4,LANÇ_MOV[MÊS PAGAMENTO CORRESPONDENTE],O$6,LANÇ_MOV[EMPRESA],$C$4,LANÇ_MOV[CENTRO DE CUSTOS],$D$4)</f>
        <v>0</v>
      </c>
      <c r="P773" s="207">
        <f t="shared" si="100"/>
        <v>0</v>
      </c>
      <c r="Q773" s="329">
        <v>8.1000000000000004E-6</v>
      </c>
      <c r="R773" s="346">
        <f t="shared" si="101"/>
        <v>8.1000000000000004E-6</v>
      </c>
      <c r="S773" s="347" t="str">
        <f t="shared" si="102"/>
        <v>-</v>
      </c>
      <c r="T773" s="347">
        <f t="shared" si="103"/>
        <v>0</v>
      </c>
      <c r="U773" s="347">
        <f>HLOOKUP(Apoio!$P$12,$D$752:$P$853,X773,FALSE)+Q773</f>
        <v>8.1000000000000004E-6</v>
      </c>
      <c r="V773" s="447" t="str">
        <f t="shared" si="104"/>
        <v>-</v>
      </c>
      <c r="W773" s="448">
        <f>HLOOKUP(Apoio!$P$12,$D$752:$P$853,X773,FALSE)</f>
        <v>0</v>
      </c>
      <c r="X773" s="329">
        <v>22</v>
      </c>
    </row>
    <row r="774" spans="2:24" ht="30.05" customHeight="1" x14ac:dyDescent="0.35">
      <c r="B774" s="204" t="str">
        <f>'CAD_PL_REC-DESP'!Z25</f>
        <v>2.6.21</v>
      </c>
      <c r="C774" s="205" t="str">
        <f>IF('CAD_PL_REC-DESP'!AA25="","-",'CAD_PL_REC-DESP'!AA25)</f>
        <v>-</v>
      </c>
      <c r="D774" s="206">
        <f>SUMIFS(LANÇ_MOV[VALOR LÍQUIDO],LANÇ_MOV[RECEITA OU DESPESA],"Despesa",LANÇ_MOV[CONTAS],$C774,LANÇ_MOV[PLANO DE CONTAS],REL_DRE_FINANCEIRO!$B$753,LANÇ_MOV[ANO PAGAMENTO],$B$4,LANÇ_MOV[MÊS PAGAMENTO CORRESPONDENTE],D$6,LANÇ_MOV[EMPRESA],$C$4,LANÇ_MOV[CENTRO DE CUSTOS],$D$4)</f>
        <v>0</v>
      </c>
      <c r="E774" s="206">
        <f>SUMIFS(LANÇ_MOV[VALOR LÍQUIDO],LANÇ_MOV[RECEITA OU DESPESA],"Despesa",LANÇ_MOV[CONTAS],$C774,LANÇ_MOV[PLANO DE CONTAS],REL_DRE_FINANCEIRO!$B$753,LANÇ_MOV[ANO PAGAMENTO],$B$4,LANÇ_MOV[MÊS PAGAMENTO CORRESPONDENTE],E$6,LANÇ_MOV[EMPRESA],$C$4,LANÇ_MOV[CENTRO DE CUSTOS],$D$4)</f>
        <v>0</v>
      </c>
      <c r="F774" s="206">
        <f>SUMIFS(LANÇ_MOV[VALOR LÍQUIDO],LANÇ_MOV[RECEITA OU DESPESA],"Despesa",LANÇ_MOV[CONTAS],$C774,LANÇ_MOV[PLANO DE CONTAS],REL_DRE_FINANCEIRO!$B$753,LANÇ_MOV[ANO PAGAMENTO],$B$4,LANÇ_MOV[MÊS PAGAMENTO CORRESPONDENTE],F$6,LANÇ_MOV[EMPRESA],$C$4,LANÇ_MOV[CENTRO DE CUSTOS],$D$4)</f>
        <v>0</v>
      </c>
      <c r="G774" s="206">
        <f>SUMIFS(LANÇ_MOV[VALOR LÍQUIDO],LANÇ_MOV[RECEITA OU DESPESA],"Despesa",LANÇ_MOV[CONTAS],$C774,LANÇ_MOV[PLANO DE CONTAS],REL_DRE_FINANCEIRO!$B$753,LANÇ_MOV[ANO PAGAMENTO],$B$4,LANÇ_MOV[MÊS PAGAMENTO CORRESPONDENTE],G$6,LANÇ_MOV[EMPRESA],$C$4,LANÇ_MOV[CENTRO DE CUSTOS],$D$4)</f>
        <v>0</v>
      </c>
      <c r="H774" s="206">
        <f>SUMIFS(LANÇ_MOV[VALOR LÍQUIDO],LANÇ_MOV[RECEITA OU DESPESA],"Despesa",LANÇ_MOV[CONTAS],$C774,LANÇ_MOV[PLANO DE CONTAS],REL_DRE_FINANCEIRO!$B$753,LANÇ_MOV[ANO PAGAMENTO],$B$4,LANÇ_MOV[MÊS PAGAMENTO CORRESPONDENTE],H$6,LANÇ_MOV[EMPRESA],$C$4,LANÇ_MOV[CENTRO DE CUSTOS],$D$4)</f>
        <v>0</v>
      </c>
      <c r="I774" s="206">
        <f>SUMIFS(LANÇ_MOV[VALOR LÍQUIDO],LANÇ_MOV[RECEITA OU DESPESA],"Despesa",LANÇ_MOV[CONTAS],$C774,LANÇ_MOV[PLANO DE CONTAS],REL_DRE_FINANCEIRO!$B$753,LANÇ_MOV[ANO PAGAMENTO],$B$4,LANÇ_MOV[MÊS PAGAMENTO CORRESPONDENTE],I$6,LANÇ_MOV[EMPRESA],$C$4,LANÇ_MOV[CENTRO DE CUSTOS],$D$4)</f>
        <v>0</v>
      </c>
      <c r="J774" s="206">
        <f>SUMIFS(LANÇ_MOV[VALOR LÍQUIDO],LANÇ_MOV[RECEITA OU DESPESA],"Despesa",LANÇ_MOV[CONTAS],$C774,LANÇ_MOV[PLANO DE CONTAS],REL_DRE_FINANCEIRO!$B$753,LANÇ_MOV[ANO PAGAMENTO],$B$4,LANÇ_MOV[MÊS PAGAMENTO CORRESPONDENTE],J$6,LANÇ_MOV[EMPRESA],$C$4,LANÇ_MOV[CENTRO DE CUSTOS],$D$4)</f>
        <v>0</v>
      </c>
      <c r="K774" s="206">
        <f>SUMIFS(LANÇ_MOV[VALOR LÍQUIDO],LANÇ_MOV[RECEITA OU DESPESA],"Despesa",LANÇ_MOV[CONTAS],$C774,LANÇ_MOV[PLANO DE CONTAS],REL_DRE_FINANCEIRO!$B$753,LANÇ_MOV[ANO PAGAMENTO],$B$4,LANÇ_MOV[MÊS PAGAMENTO CORRESPONDENTE],K$6,LANÇ_MOV[EMPRESA],$C$4,LANÇ_MOV[CENTRO DE CUSTOS],$D$4)</f>
        <v>0</v>
      </c>
      <c r="L774" s="206">
        <f>SUMIFS(LANÇ_MOV[VALOR LÍQUIDO],LANÇ_MOV[RECEITA OU DESPESA],"Despesa",LANÇ_MOV[CONTAS],$C774,LANÇ_MOV[PLANO DE CONTAS],REL_DRE_FINANCEIRO!$B$753,LANÇ_MOV[ANO PAGAMENTO],$B$4,LANÇ_MOV[MÊS PAGAMENTO CORRESPONDENTE],L$6,LANÇ_MOV[EMPRESA],$C$4,LANÇ_MOV[CENTRO DE CUSTOS],$D$4)</f>
        <v>0</v>
      </c>
      <c r="M774" s="206">
        <f>SUMIFS(LANÇ_MOV[VALOR LÍQUIDO],LANÇ_MOV[RECEITA OU DESPESA],"Despesa",LANÇ_MOV[CONTAS],$C774,LANÇ_MOV[PLANO DE CONTAS],REL_DRE_FINANCEIRO!$B$753,LANÇ_MOV[ANO PAGAMENTO],$B$4,LANÇ_MOV[MÊS PAGAMENTO CORRESPONDENTE],M$6,LANÇ_MOV[EMPRESA],$C$4,LANÇ_MOV[CENTRO DE CUSTOS],$D$4)</f>
        <v>0</v>
      </c>
      <c r="N774" s="206">
        <f>SUMIFS(LANÇ_MOV[VALOR LÍQUIDO],LANÇ_MOV[RECEITA OU DESPESA],"Despesa",LANÇ_MOV[CONTAS],$C774,LANÇ_MOV[PLANO DE CONTAS],REL_DRE_FINANCEIRO!$B$753,LANÇ_MOV[ANO PAGAMENTO],$B$4,LANÇ_MOV[MÊS PAGAMENTO CORRESPONDENTE],N$6,LANÇ_MOV[EMPRESA],$C$4,LANÇ_MOV[CENTRO DE CUSTOS],$D$4)</f>
        <v>0</v>
      </c>
      <c r="O774" s="206">
        <f>SUMIFS(LANÇ_MOV[VALOR LÍQUIDO],LANÇ_MOV[RECEITA OU DESPESA],"Despesa",LANÇ_MOV[CONTAS],$C774,LANÇ_MOV[PLANO DE CONTAS],REL_DRE_FINANCEIRO!$B$753,LANÇ_MOV[ANO PAGAMENTO],$B$4,LANÇ_MOV[MÊS PAGAMENTO CORRESPONDENTE],O$6,LANÇ_MOV[EMPRESA],$C$4,LANÇ_MOV[CENTRO DE CUSTOS],$D$4)</f>
        <v>0</v>
      </c>
      <c r="P774" s="207">
        <f t="shared" si="100"/>
        <v>0</v>
      </c>
      <c r="Q774" s="329">
        <v>7.9999999999999996E-6</v>
      </c>
      <c r="R774" s="346">
        <f t="shared" si="101"/>
        <v>7.9999999999999996E-6</v>
      </c>
      <c r="S774" s="347" t="str">
        <f t="shared" si="102"/>
        <v>-</v>
      </c>
      <c r="T774" s="347">
        <f t="shared" si="103"/>
        <v>0</v>
      </c>
      <c r="U774" s="347">
        <f>HLOOKUP(Apoio!$P$12,$D$752:$P$853,X774,FALSE)+Q774</f>
        <v>7.9999999999999996E-6</v>
      </c>
      <c r="V774" s="447" t="str">
        <f t="shared" si="104"/>
        <v>-</v>
      </c>
      <c r="W774" s="448">
        <f>HLOOKUP(Apoio!$P$12,$D$752:$P$853,X774,FALSE)</f>
        <v>0</v>
      </c>
      <c r="X774" s="329">
        <v>23</v>
      </c>
    </row>
    <row r="775" spans="2:24" ht="30.05" customHeight="1" x14ac:dyDescent="0.35">
      <c r="B775" s="204" t="str">
        <f>'CAD_PL_REC-DESP'!Z26</f>
        <v>2.6.22</v>
      </c>
      <c r="C775" s="205" t="str">
        <f>IF('CAD_PL_REC-DESP'!AA26="","-",'CAD_PL_REC-DESP'!AA26)</f>
        <v>-</v>
      </c>
      <c r="D775" s="206">
        <f>SUMIFS(LANÇ_MOV[VALOR LÍQUIDO],LANÇ_MOV[RECEITA OU DESPESA],"Despesa",LANÇ_MOV[CONTAS],$C775,LANÇ_MOV[PLANO DE CONTAS],REL_DRE_FINANCEIRO!$B$753,LANÇ_MOV[ANO PAGAMENTO],$B$4,LANÇ_MOV[MÊS PAGAMENTO CORRESPONDENTE],D$6,LANÇ_MOV[EMPRESA],$C$4,LANÇ_MOV[CENTRO DE CUSTOS],$D$4)</f>
        <v>0</v>
      </c>
      <c r="E775" s="206">
        <f>SUMIFS(LANÇ_MOV[VALOR LÍQUIDO],LANÇ_MOV[RECEITA OU DESPESA],"Despesa",LANÇ_MOV[CONTAS],$C775,LANÇ_MOV[PLANO DE CONTAS],REL_DRE_FINANCEIRO!$B$753,LANÇ_MOV[ANO PAGAMENTO],$B$4,LANÇ_MOV[MÊS PAGAMENTO CORRESPONDENTE],E$6,LANÇ_MOV[EMPRESA],$C$4,LANÇ_MOV[CENTRO DE CUSTOS],$D$4)</f>
        <v>0</v>
      </c>
      <c r="F775" s="206">
        <f>SUMIFS(LANÇ_MOV[VALOR LÍQUIDO],LANÇ_MOV[RECEITA OU DESPESA],"Despesa",LANÇ_MOV[CONTAS],$C775,LANÇ_MOV[PLANO DE CONTAS],REL_DRE_FINANCEIRO!$B$753,LANÇ_MOV[ANO PAGAMENTO],$B$4,LANÇ_MOV[MÊS PAGAMENTO CORRESPONDENTE],F$6,LANÇ_MOV[EMPRESA],$C$4,LANÇ_MOV[CENTRO DE CUSTOS],$D$4)</f>
        <v>0</v>
      </c>
      <c r="G775" s="206">
        <f>SUMIFS(LANÇ_MOV[VALOR LÍQUIDO],LANÇ_MOV[RECEITA OU DESPESA],"Despesa",LANÇ_MOV[CONTAS],$C775,LANÇ_MOV[PLANO DE CONTAS],REL_DRE_FINANCEIRO!$B$753,LANÇ_MOV[ANO PAGAMENTO],$B$4,LANÇ_MOV[MÊS PAGAMENTO CORRESPONDENTE],G$6,LANÇ_MOV[EMPRESA],$C$4,LANÇ_MOV[CENTRO DE CUSTOS],$D$4)</f>
        <v>0</v>
      </c>
      <c r="H775" s="206">
        <f>SUMIFS(LANÇ_MOV[VALOR LÍQUIDO],LANÇ_MOV[RECEITA OU DESPESA],"Despesa",LANÇ_MOV[CONTAS],$C775,LANÇ_MOV[PLANO DE CONTAS],REL_DRE_FINANCEIRO!$B$753,LANÇ_MOV[ANO PAGAMENTO],$B$4,LANÇ_MOV[MÊS PAGAMENTO CORRESPONDENTE],H$6,LANÇ_MOV[EMPRESA],$C$4,LANÇ_MOV[CENTRO DE CUSTOS],$D$4)</f>
        <v>0</v>
      </c>
      <c r="I775" s="206">
        <f>SUMIFS(LANÇ_MOV[VALOR LÍQUIDO],LANÇ_MOV[RECEITA OU DESPESA],"Despesa",LANÇ_MOV[CONTAS],$C775,LANÇ_MOV[PLANO DE CONTAS],REL_DRE_FINANCEIRO!$B$753,LANÇ_MOV[ANO PAGAMENTO],$B$4,LANÇ_MOV[MÊS PAGAMENTO CORRESPONDENTE],I$6,LANÇ_MOV[EMPRESA],$C$4,LANÇ_MOV[CENTRO DE CUSTOS],$D$4)</f>
        <v>0</v>
      </c>
      <c r="J775" s="206">
        <f>SUMIFS(LANÇ_MOV[VALOR LÍQUIDO],LANÇ_MOV[RECEITA OU DESPESA],"Despesa",LANÇ_MOV[CONTAS],$C775,LANÇ_MOV[PLANO DE CONTAS],REL_DRE_FINANCEIRO!$B$753,LANÇ_MOV[ANO PAGAMENTO],$B$4,LANÇ_MOV[MÊS PAGAMENTO CORRESPONDENTE],J$6,LANÇ_MOV[EMPRESA],$C$4,LANÇ_MOV[CENTRO DE CUSTOS],$D$4)</f>
        <v>0</v>
      </c>
      <c r="K775" s="206">
        <f>SUMIFS(LANÇ_MOV[VALOR LÍQUIDO],LANÇ_MOV[RECEITA OU DESPESA],"Despesa",LANÇ_MOV[CONTAS],$C775,LANÇ_MOV[PLANO DE CONTAS],REL_DRE_FINANCEIRO!$B$753,LANÇ_MOV[ANO PAGAMENTO],$B$4,LANÇ_MOV[MÊS PAGAMENTO CORRESPONDENTE],K$6,LANÇ_MOV[EMPRESA],$C$4,LANÇ_MOV[CENTRO DE CUSTOS],$D$4)</f>
        <v>0</v>
      </c>
      <c r="L775" s="206">
        <f>SUMIFS(LANÇ_MOV[VALOR LÍQUIDO],LANÇ_MOV[RECEITA OU DESPESA],"Despesa",LANÇ_MOV[CONTAS],$C775,LANÇ_MOV[PLANO DE CONTAS],REL_DRE_FINANCEIRO!$B$753,LANÇ_MOV[ANO PAGAMENTO],$B$4,LANÇ_MOV[MÊS PAGAMENTO CORRESPONDENTE],L$6,LANÇ_MOV[EMPRESA],$C$4,LANÇ_MOV[CENTRO DE CUSTOS],$D$4)</f>
        <v>0</v>
      </c>
      <c r="M775" s="206">
        <f>SUMIFS(LANÇ_MOV[VALOR LÍQUIDO],LANÇ_MOV[RECEITA OU DESPESA],"Despesa",LANÇ_MOV[CONTAS],$C775,LANÇ_MOV[PLANO DE CONTAS],REL_DRE_FINANCEIRO!$B$753,LANÇ_MOV[ANO PAGAMENTO],$B$4,LANÇ_MOV[MÊS PAGAMENTO CORRESPONDENTE],M$6,LANÇ_MOV[EMPRESA],$C$4,LANÇ_MOV[CENTRO DE CUSTOS],$D$4)</f>
        <v>0</v>
      </c>
      <c r="N775" s="206">
        <f>SUMIFS(LANÇ_MOV[VALOR LÍQUIDO],LANÇ_MOV[RECEITA OU DESPESA],"Despesa",LANÇ_MOV[CONTAS],$C775,LANÇ_MOV[PLANO DE CONTAS],REL_DRE_FINANCEIRO!$B$753,LANÇ_MOV[ANO PAGAMENTO],$B$4,LANÇ_MOV[MÊS PAGAMENTO CORRESPONDENTE],N$6,LANÇ_MOV[EMPRESA],$C$4,LANÇ_MOV[CENTRO DE CUSTOS],$D$4)</f>
        <v>0</v>
      </c>
      <c r="O775" s="206">
        <f>SUMIFS(LANÇ_MOV[VALOR LÍQUIDO],LANÇ_MOV[RECEITA OU DESPESA],"Despesa",LANÇ_MOV[CONTAS],$C775,LANÇ_MOV[PLANO DE CONTAS],REL_DRE_FINANCEIRO!$B$753,LANÇ_MOV[ANO PAGAMENTO],$B$4,LANÇ_MOV[MÊS PAGAMENTO CORRESPONDENTE],O$6,LANÇ_MOV[EMPRESA],$C$4,LANÇ_MOV[CENTRO DE CUSTOS],$D$4)</f>
        <v>0</v>
      </c>
      <c r="P775" s="207">
        <f t="shared" si="100"/>
        <v>0</v>
      </c>
      <c r="Q775" s="329">
        <v>7.9000000000000006E-6</v>
      </c>
      <c r="R775" s="346">
        <f t="shared" si="101"/>
        <v>7.9000000000000006E-6</v>
      </c>
      <c r="S775" s="347" t="str">
        <f t="shared" si="102"/>
        <v>-</v>
      </c>
      <c r="T775" s="347">
        <f t="shared" si="103"/>
        <v>0</v>
      </c>
      <c r="U775" s="347">
        <f>HLOOKUP(Apoio!$P$12,$D$752:$P$853,X775,FALSE)+Q775</f>
        <v>7.9000000000000006E-6</v>
      </c>
      <c r="V775" s="447" t="str">
        <f t="shared" si="104"/>
        <v>-</v>
      </c>
      <c r="W775" s="448">
        <f>HLOOKUP(Apoio!$P$12,$D$752:$P$853,X775,FALSE)</f>
        <v>0</v>
      </c>
      <c r="X775" s="329">
        <v>24</v>
      </c>
    </row>
    <row r="776" spans="2:24" ht="30.05" customHeight="1" x14ac:dyDescent="0.35">
      <c r="B776" s="204" t="str">
        <f>'CAD_PL_REC-DESP'!Z27</f>
        <v>2.6.23</v>
      </c>
      <c r="C776" s="205" t="str">
        <f>IF('CAD_PL_REC-DESP'!AA27="","-",'CAD_PL_REC-DESP'!AA27)</f>
        <v>-</v>
      </c>
      <c r="D776" s="206">
        <f>SUMIFS(LANÇ_MOV[VALOR LÍQUIDO],LANÇ_MOV[RECEITA OU DESPESA],"Despesa",LANÇ_MOV[CONTAS],$C776,LANÇ_MOV[PLANO DE CONTAS],REL_DRE_FINANCEIRO!$B$753,LANÇ_MOV[ANO PAGAMENTO],$B$4,LANÇ_MOV[MÊS PAGAMENTO CORRESPONDENTE],D$6,LANÇ_MOV[EMPRESA],$C$4,LANÇ_MOV[CENTRO DE CUSTOS],$D$4)</f>
        <v>0</v>
      </c>
      <c r="E776" s="206">
        <f>SUMIFS(LANÇ_MOV[VALOR LÍQUIDO],LANÇ_MOV[RECEITA OU DESPESA],"Despesa",LANÇ_MOV[CONTAS],$C776,LANÇ_MOV[PLANO DE CONTAS],REL_DRE_FINANCEIRO!$B$753,LANÇ_MOV[ANO PAGAMENTO],$B$4,LANÇ_MOV[MÊS PAGAMENTO CORRESPONDENTE],E$6,LANÇ_MOV[EMPRESA],$C$4,LANÇ_MOV[CENTRO DE CUSTOS],$D$4)</f>
        <v>0</v>
      </c>
      <c r="F776" s="206">
        <f>SUMIFS(LANÇ_MOV[VALOR LÍQUIDO],LANÇ_MOV[RECEITA OU DESPESA],"Despesa",LANÇ_MOV[CONTAS],$C776,LANÇ_MOV[PLANO DE CONTAS],REL_DRE_FINANCEIRO!$B$753,LANÇ_MOV[ANO PAGAMENTO],$B$4,LANÇ_MOV[MÊS PAGAMENTO CORRESPONDENTE],F$6,LANÇ_MOV[EMPRESA],$C$4,LANÇ_MOV[CENTRO DE CUSTOS],$D$4)</f>
        <v>0</v>
      </c>
      <c r="G776" s="206">
        <f>SUMIFS(LANÇ_MOV[VALOR LÍQUIDO],LANÇ_MOV[RECEITA OU DESPESA],"Despesa",LANÇ_MOV[CONTAS],$C776,LANÇ_MOV[PLANO DE CONTAS],REL_DRE_FINANCEIRO!$B$753,LANÇ_MOV[ANO PAGAMENTO],$B$4,LANÇ_MOV[MÊS PAGAMENTO CORRESPONDENTE],G$6,LANÇ_MOV[EMPRESA],$C$4,LANÇ_MOV[CENTRO DE CUSTOS],$D$4)</f>
        <v>0</v>
      </c>
      <c r="H776" s="206">
        <f>SUMIFS(LANÇ_MOV[VALOR LÍQUIDO],LANÇ_MOV[RECEITA OU DESPESA],"Despesa",LANÇ_MOV[CONTAS],$C776,LANÇ_MOV[PLANO DE CONTAS],REL_DRE_FINANCEIRO!$B$753,LANÇ_MOV[ANO PAGAMENTO],$B$4,LANÇ_MOV[MÊS PAGAMENTO CORRESPONDENTE],H$6,LANÇ_MOV[EMPRESA],$C$4,LANÇ_MOV[CENTRO DE CUSTOS],$D$4)</f>
        <v>0</v>
      </c>
      <c r="I776" s="206">
        <f>SUMIFS(LANÇ_MOV[VALOR LÍQUIDO],LANÇ_MOV[RECEITA OU DESPESA],"Despesa",LANÇ_MOV[CONTAS],$C776,LANÇ_MOV[PLANO DE CONTAS],REL_DRE_FINANCEIRO!$B$753,LANÇ_MOV[ANO PAGAMENTO],$B$4,LANÇ_MOV[MÊS PAGAMENTO CORRESPONDENTE],I$6,LANÇ_MOV[EMPRESA],$C$4,LANÇ_MOV[CENTRO DE CUSTOS],$D$4)</f>
        <v>0</v>
      </c>
      <c r="J776" s="206">
        <f>SUMIFS(LANÇ_MOV[VALOR LÍQUIDO],LANÇ_MOV[RECEITA OU DESPESA],"Despesa",LANÇ_MOV[CONTAS],$C776,LANÇ_MOV[PLANO DE CONTAS],REL_DRE_FINANCEIRO!$B$753,LANÇ_MOV[ANO PAGAMENTO],$B$4,LANÇ_MOV[MÊS PAGAMENTO CORRESPONDENTE],J$6,LANÇ_MOV[EMPRESA],$C$4,LANÇ_MOV[CENTRO DE CUSTOS],$D$4)</f>
        <v>0</v>
      </c>
      <c r="K776" s="206">
        <f>SUMIFS(LANÇ_MOV[VALOR LÍQUIDO],LANÇ_MOV[RECEITA OU DESPESA],"Despesa",LANÇ_MOV[CONTAS],$C776,LANÇ_MOV[PLANO DE CONTAS],REL_DRE_FINANCEIRO!$B$753,LANÇ_MOV[ANO PAGAMENTO],$B$4,LANÇ_MOV[MÊS PAGAMENTO CORRESPONDENTE],K$6,LANÇ_MOV[EMPRESA],$C$4,LANÇ_MOV[CENTRO DE CUSTOS],$D$4)</f>
        <v>0</v>
      </c>
      <c r="L776" s="206">
        <f>SUMIFS(LANÇ_MOV[VALOR LÍQUIDO],LANÇ_MOV[RECEITA OU DESPESA],"Despesa",LANÇ_MOV[CONTAS],$C776,LANÇ_MOV[PLANO DE CONTAS],REL_DRE_FINANCEIRO!$B$753,LANÇ_MOV[ANO PAGAMENTO],$B$4,LANÇ_MOV[MÊS PAGAMENTO CORRESPONDENTE],L$6,LANÇ_MOV[EMPRESA],$C$4,LANÇ_MOV[CENTRO DE CUSTOS],$D$4)</f>
        <v>0</v>
      </c>
      <c r="M776" s="206">
        <f>SUMIFS(LANÇ_MOV[VALOR LÍQUIDO],LANÇ_MOV[RECEITA OU DESPESA],"Despesa",LANÇ_MOV[CONTAS],$C776,LANÇ_MOV[PLANO DE CONTAS],REL_DRE_FINANCEIRO!$B$753,LANÇ_MOV[ANO PAGAMENTO],$B$4,LANÇ_MOV[MÊS PAGAMENTO CORRESPONDENTE],M$6,LANÇ_MOV[EMPRESA],$C$4,LANÇ_MOV[CENTRO DE CUSTOS],$D$4)</f>
        <v>0</v>
      </c>
      <c r="N776" s="206">
        <f>SUMIFS(LANÇ_MOV[VALOR LÍQUIDO],LANÇ_MOV[RECEITA OU DESPESA],"Despesa",LANÇ_MOV[CONTAS],$C776,LANÇ_MOV[PLANO DE CONTAS],REL_DRE_FINANCEIRO!$B$753,LANÇ_MOV[ANO PAGAMENTO],$B$4,LANÇ_MOV[MÊS PAGAMENTO CORRESPONDENTE],N$6,LANÇ_MOV[EMPRESA],$C$4,LANÇ_MOV[CENTRO DE CUSTOS],$D$4)</f>
        <v>0</v>
      </c>
      <c r="O776" s="206">
        <f>SUMIFS(LANÇ_MOV[VALOR LÍQUIDO],LANÇ_MOV[RECEITA OU DESPESA],"Despesa",LANÇ_MOV[CONTAS],$C776,LANÇ_MOV[PLANO DE CONTAS],REL_DRE_FINANCEIRO!$B$753,LANÇ_MOV[ANO PAGAMENTO],$B$4,LANÇ_MOV[MÊS PAGAMENTO CORRESPONDENTE],O$6,LANÇ_MOV[EMPRESA],$C$4,LANÇ_MOV[CENTRO DE CUSTOS],$D$4)</f>
        <v>0</v>
      </c>
      <c r="P776" s="207">
        <f t="shared" si="100"/>
        <v>0</v>
      </c>
      <c r="Q776" s="329">
        <v>7.7999999999999999E-6</v>
      </c>
      <c r="R776" s="346">
        <f t="shared" si="101"/>
        <v>7.7999999999999999E-6</v>
      </c>
      <c r="S776" s="347" t="str">
        <f t="shared" si="102"/>
        <v>-</v>
      </c>
      <c r="T776" s="347">
        <f t="shared" si="103"/>
        <v>0</v>
      </c>
      <c r="U776" s="347">
        <f>HLOOKUP(Apoio!$P$12,$D$752:$P$853,X776,FALSE)+Q776</f>
        <v>7.7999999999999999E-6</v>
      </c>
      <c r="V776" s="447" t="str">
        <f t="shared" si="104"/>
        <v>-</v>
      </c>
      <c r="W776" s="448">
        <f>HLOOKUP(Apoio!$P$12,$D$752:$P$853,X776,FALSE)</f>
        <v>0</v>
      </c>
      <c r="X776" s="329">
        <v>25</v>
      </c>
    </row>
    <row r="777" spans="2:24" ht="30.05" customHeight="1" x14ac:dyDescent="0.35">
      <c r="B777" s="204" t="str">
        <f>'CAD_PL_REC-DESP'!Z28</f>
        <v>2.6.24</v>
      </c>
      <c r="C777" s="205" t="str">
        <f>IF('CAD_PL_REC-DESP'!AA28="","-",'CAD_PL_REC-DESP'!AA28)</f>
        <v>-</v>
      </c>
      <c r="D777" s="206">
        <f>SUMIFS(LANÇ_MOV[VALOR LÍQUIDO],LANÇ_MOV[RECEITA OU DESPESA],"Despesa",LANÇ_MOV[CONTAS],$C777,LANÇ_MOV[PLANO DE CONTAS],REL_DRE_FINANCEIRO!$B$753,LANÇ_MOV[ANO PAGAMENTO],$B$4,LANÇ_MOV[MÊS PAGAMENTO CORRESPONDENTE],D$6,LANÇ_MOV[EMPRESA],$C$4,LANÇ_MOV[CENTRO DE CUSTOS],$D$4)</f>
        <v>0</v>
      </c>
      <c r="E777" s="206">
        <f>SUMIFS(LANÇ_MOV[VALOR LÍQUIDO],LANÇ_MOV[RECEITA OU DESPESA],"Despesa",LANÇ_MOV[CONTAS],$C777,LANÇ_MOV[PLANO DE CONTAS],REL_DRE_FINANCEIRO!$B$753,LANÇ_MOV[ANO PAGAMENTO],$B$4,LANÇ_MOV[MÊS PAGAMENTO CORRESPONDENTE],E$6,LANÇ_MOV[EMPRESA],$C$4,LANÇ_MOV[CENTRO DE CUSTOS],$D$4)</f>
        <v>0</v>
      </c>
      <c r="F777" s="206">
        <f>SUMIFS(LANÇ_MOV[VALOR LÍQUIDO],LANÇ_MOV[RECEITA OU DESPESA],"Despesa",LANÇ_MOV[CONTAS],$C777,LANÇ_MOV[PLANO DE CONTAS],REL_DRE_FINANCEIRO!$B$753,LANÇ_MOV[ANO PAGAMENTO],$B$4,LANÇ_MOV[MÊS PAGAMENTO CORRESPONDENTE],F$6,LANÇ_MOV[EMPRESA],$C$4,LANÇ_MOV[CENTRO DE CUSTOS],$D$4)</f>
        <v>0</v>
      </c>
      <c r="G777" s="206">
        <f>SUMIFS(LANÇ_MOV[VALOR LÍQUIDO],LANÇ_MOV[RECEITA OU DESPESA],"Despesa",LANÇ_MOV[CONTAS],$C777,LANÇ_MOV[PLANO DE CONTAS],REL_DRE_FINANCEIRO!$B$753,LANÇ_MOV[ANO PAGAMENTO],$B$4,LANÇ_MOV[MÊS PAGAMENTO CORRESPONDENTE],G$6,LANÇ_MOV[EMPRESA],$C$4,LANÇ_MOV[CENTRO DE CUSTOS],$D$4)</f>
        <v>0</v>
      </c>
      <c r="H777" s="206">
        <f>SUMIFS(LANÇ_MOV[VALOR LÍQUIDO],LANÇ_MOV[RECEITA OU DESPESA],"Despesa",LANÇ_MOV[CONTAS],$C777,LANÇ_MOV[PLANO DE CONTAS],REL_DRE_FINANCEIRO!$B$753,LANÇ_MOV[ANO PAGAMENTO],$B$4,LANÇ_MOV[MÊS PAGAMENTO CORRESPONDENTE],H$6,LANÇ_MOV[EMPRESA],$C$4,LANÇ_MOV[CENTRO DE CUSTOS],$D$4)</f>
        <v>0</v>
      </c>
      <c r="I777" s="206">
        <f>SUMIFS(LANÇ_MOV[VALOR LÍQUIDO],LANÇ_MOV[RECEITA OU DESPESA],"Despesa",LANÇ_MOV[CONTAS],$C777,LANÇ_MOV[PLANO DE CONTAS],REL_DRE_FINANCEIRO!$B$753,LANÇ_MOV[ANO PAGAMENTO],$B$4,LANÇ_MOV[MÊS PAGAMENTO CORRESPONDENTE],I$6,LANÇ_MOV[EMPRESA],$C$4,LANÇ_MOV[CENTRO DE CUSTOS],$D$4)</f>
        <v>0</v>
      </c>
      <c r="J777" s="206">
        <f>SUMIFS(LANÇ_MOV[VALOR LÍQUIDO],LANÇ_MOV[RECEITA OU DESPESA],"Despesa",LANÇ_MOV[CONTAS],$C777,LANÇ_MOV[PLANO DE CONTAS],REL_DRE_FINANCEIRO!$B$753,LANÇ_MOV[ANO PAGAMENTO],$B$4,LANÇ_MOV[MÊS PAGAMENTO CORRESPONDENTE],J$6,LANÇ_MOV[EMPRESA],$C$4,LANÇ_MOV[CENTRO DE CUSTOS],$D$4)</f>
        <v>0</v>
      </c>
      <c r="K777" s="206">
        <f>SUMIFS(LANÇ_MOV[VALOR LÍQUIDO],LANÇ_MOV[RECEITA OU DESPESA],"Despesa",LANÇ_MOV[CONTAS],$C777,LANÇ_MOV[PLANO DE CONTAS],REL_DRE_FINANCEIRO!$B$753,LANÇ_MOV[ANO PAGAMENTO],$B$4,LANÇ_MOV[MÊS PAGAMENTO CORRESPONDENTE],K$6,LANÇ_MOV[EMPRESA],$C$4,LANÇ_MOV[CENTRO DE CUSTOS],$D$4)</f>
        <v>0</v>
      </c>
      <c r="L777" s="206">
        <f>SUMIFS(LANÇ_MOV[VALOR LÍQUIDO],LANÇ_MOV[RECEITA OU DESPESA],"Despesa",LANÇ_MOV[CONTAS],$C777,LANÇ_MOV[PLANO DE CONTAS],REL_DRE_FINANCEIRO!$B$753,LANÇ_MOV[ANO PAGAMENTO],$B$4,LANÇ_MOV[MÊS PAGAMENTO CORRESPONDENTE],L$6,LANÇ_MOV[EMPRESA],$C$4,LANÇ_MOV[CENTRO DE CUSTOS],$D$4)</f>
        <v>0</v>
      </c>
      <c r="M777" s="206">
        <f>SUMIFS(LANÇ_MOV[VALOR LÍQUIDO],LANÇ_MOV[RECEITA OU DESPESA],"Despesa",LANÇ_MOV[CONTAS],$C777,LANÇ_MOV[PLANO DE CONTAS],REL_DRE_FINANCEIRO!$B$753,LANÇ_MOV[ANO PAGAMENTO],$B$4,LANÇ_MOV[MÊS PAGAMENTO CORRESPONDENTE],M$6,LANÇ_MOV[EMPRESA],$C$4,LANÇ_MOV[CENTRO DE CUSTOS],$D$4)</f>
        <v>0</v>
      </c>
      <c r="N777" s="206">
        <f>SUMIFS(LANÇ_MOV[VALOR LÍQUIDO],LANÇ_MOV[RECEITA OU DESPESA],"Despesa",LANÇ_MOV[CONTAS],$C777,LANÇ_MOV[PLANO DE CONTAS],REL_DRE_FINANCEIRO!$B$753,LANÇ_MOV[ANO PAGAMENTO],$B$4,LANÇ_MOV[MÊS PAGAMENTO CORRESPONDENTE],N$6,LANÇ_MOV[EMPRESA],$C$4,LANÇ_MOV[CENTRO DE CUSTOS],$D$4)</f>
        <v>0</v>
      </c>
      <c r="O777" s="206">
        <f>SUMIFS(LANÇ_MOV[VALOR LÍQUIDO],LANÇ_MOV[RECEITA OU DESPESA],"Despesa",LANÇ_MOV[CONTAS],$C777,LANÇ_MOV[PLANO DE CONTAS],REL_DRE_FINANCEIRO!$B$753,LANÇ_MOV[ANO PAGAMENTO],$B$4,LANÇ_MOV[MÊS PAGAMENTO CORRESPONDENTE],O$6,LANÇ_MOV[EMPRESA],$C$4,LANÇ_MOV[CENTRO DE CUSTOS],$D$4)</f>
        <v>0</v>
      </c>
      <c r="P777" s="207">
        <f t="shared" si="100"/>
        <v>0</v>
      </c>
      <c r="Q777" s="329">
        <v>7.7000000000000008E-6</v>
      </c>
      <c r="R777" s="346">
        <f t="shared" si="101"/>
        <v>7.7000000000000008E-6</v>
      </c>
      <c r="S777" s="347" t="str">
        <f t="shared" si="102"/>
        <v>-</v>
      </c>
      <c r="T777" s="347">
        <f t="shared" si="103"/>
        <v>0</v>
      </c>
      <c r="U777" s="347">
        <f>HLOOKUP(Apoio!$P$12,$D$752:$P$853,X777,FALSE)+Q777</f>
        <v>7.7000000000000008E-6</v>
      </c>
      <c r="V777" s="447" t="str">
        <f t="shared" si="104"/>
        <v>-</v>
      </c>
      <c r="W777" s="448">
        <f>HLOOKUP(Apoio!$P$12,$D$752:$P$853,X777,FALSE)</f>
        <v>0</v>
      </c>
      <c r="X777" s="329">
        <v>26</v>
      </c>
    </row>
    <row r="778" spans="2:24" ht="30.05" customHeight="1" x14ac:dyDescent="0.35">
      <c r="B778" s="204" t="str">
        <f>'CAD_PL_REC-DESP'!Z29</f>
        <v>2.6.25</v>
      </c>
      <c r="C778" s="205" t="str">
        <f>IF('CAD_PL_REC-DESP'!AA29="","-",'CAD_PL_REC-DESP'!AA29)</f>
        <v>-</v>
      </c>
      <c r="D778" s="206">
        <f>SUMIFS(LANÇ_MOV[VALOR LÍQUIDO],LANÇ_MOV[RECEITA OU DESPESA],"Despesa",LANÇ_MOV[CONTAS],$C778,LANÇ_MOV[PLANO DE CONTAS],REL_DRE_FINANCEIRO!$B$753,LANÇ_MOV[ANO PAGAMENTO],$B$4,LANÇ_MOV[MÊS PAGAMENTO CORRESPONDENTE],D$6,LANÇ_MOV[EMPRESA],$C$4,LANÇ_MOV[CENTRO DE CUSTOS],$D$4)</f>
        <v>0</v>
      </c>
      <c r="E778" s="206">
        <f>SUMIFS(LANÇ_MOV[VALOR LÍQUIDO],LANÇ_MOV[RECEITA OU DESPESA],"Despesa",LANÇ_MOV[CONTAS],$C778,LANÇ_MOV[PLANO DE CONTAS],REL_DRE_FINANCEIRO!$B$753,LANÇ_MOV[ANO PAGAMENTO],$B$4,LANÇ_MOV[MÊS PAGAMENTO CORRESPONDENTE],E$6,LANÇ_MOV[EMPRESA],$C$4,LANÇ_MOV[CENTRO DE CUSTOS],$D$4)</f>
        <v>0</v>
      </c>
      <c r="F778" s="206">
        <f>SUMIFS(LANÇ_MOV[VALOR LÍQUIDO],LANÇ_MOV[RECEITA OU DESPESA],"Despesa",LANÇ_MOV[CONTAS],$C778,LANÇ_MOV[PLANO DE CONTAS],REL_DRE_FINANCEIRO!$B$753,LANÇ_MOV[ANO PAGAMENTO],$B$4,LANÇ_MOV[MÊS PAGAMENTO CORRESPONDENTE],F$6,LANÇ_MOV[EMPRESA],$C$4,LANÇ_MOV[CENTRO DE CUSTOS],$D$4)</f>
        <v>0</v>
      </c>
      <c r="G778" s="206">
        <f>SUMIFS(LANÇ_MOV[VALOR LÍQUIDO],LANÇ_MOV[RECEITA OU DESPESA],"Despesa",LANÇ_MOV[CONTAS],$C778,LANÇ_MOV[PLANO DE CONTAS],REL_DRE_FINANCEIRO!$B$753,LANÇ_MOV[ANO PAGAMENTO],$B$4,LANÇ_MOV[MÊS PAGAMENTO CORRESPONDENTE],G$6,LANÇ_MOV[EMPRESA],$C$4,LANÇ_MOV[CENTRO DE CUSTOS],$D$4)</f>
        <v>0</v>
      </c>
      <c r="H778" s="206">
        <f>SUMIFS(LANÇ_MOV[VALOR LÍQUIDO],LANÇ_MOV[RECEITA OU DESPESA],"Despesa",LANÇ_MOV[CONTAS],$C778,LANÇ_MOV[PLANO DE CONTAS],REL_DRE_FINANCEIRO!$B$753,LANÇ_MOV[ANO PAGAMENTO],$B$4,LANÇ_MOV[MÊS PAGAMENTO CORRESPONDENTE],H$6,LANÇ_MOV[EMPRESA],$C$4,LANÇ_MOV[CENTRO DE CUSTOS],$D$4)</f>
        <v>0</v>
      </c>
      <c r="I778" s="206">
        <f>SUMIFS(LANÇ_MOV[VALOR LÍQUIDO],LANÇ_MOV[RECEITA OU DESPESA],"Despesa",LANÇ_MOV[CONTAS],$C778,LANÇ_MOV[PLANO DE CONTAS],REL_DRE_FINANCEIRO!$B$753,LANÇ_MOV[ANO PAGAMENTO],$B$4,LANÇ_MOV[MÊS PAGAMENTO CORRESPONDENTE],I$6,LANÇ_MOV[EMPRESA],$C$4,LANÇ_MOV[CENTRO DE CUSTOS],$D$4)</f>
        <v>0</v>
      </c>
      <c r="J778" s="206">
        <f>SUMIFS(LANÇ_MOV[VALOR LÍQUIDO],LANÇ_MOV[RECEITA OU DESPESA],"Despesa",LANÇ_MOV[CONTAS],$C778,LANÇ_MOV[PLANO DE CONTAS],REL_DRE_FINANCEIRO!$B$753,LANÇ_MOV[ANO PAGAMENTO],$B$4,LANÇ_MOV[MÊS PAGAMENTO CORRESPONDENTE],J$6,LANÇ_MOV[EMPRESA],$C$4,LANÇ_MOV[CENTRO DE CUSTOS],$D$4)</f>
        <v>0</v>
      </c>
      <c r="K778" s="206">
        <f>SUMIFS(LANÇ_MOV[VALOR LÍQUIDO],LANÇ_MOV[RECEITA OU DESPESA],"Despesa",LANÇ_MOV[CONTAS],$C778,LANÇ_MOV[PLANO DE CONTAS],REL_DRE_FINANCEIRO!$B$753,LANÇ_MOV[ANO PAGAMENTO],$B$4,LANÇ_MOV[MÊS PAGAMENTO CORRESPONDENTE],K$6,LANÇ_MOV[EMPRESA],$C$4,LANÇ_MOV[CENTRO DE CUSTOS],$D$4)</f>
        <v>0</v>
      </c>
      <c r="L778" s="206">
        <f>SUMIFS(LANÇ_MOV[VALOR LÍQUIDO],LANÇ_MOV[RECEITA OU DESPESA],"Despesa",LANÇ_MOV[CONTAS],$C778,LANÇ_MOV[PLANO DE CONTAS],REL_DRE_FINANCEIRO!$B$753,LANÇ_MOV[ANO PAGAMENTO],$B$4,LANÇ_MOV[MÊS PAGAMENTO CORRESPONDENTE],L$6,LANÇ_MOV[EMPRESA],$C$4,LANÇ_MOV[CENTRO DE CUSTOS],$D$4)</f>
        <v>0</v>
      </c>
      <c r="M778" s="206">
        <f>SUMIFS(LANÇ_MOV[VALOR LÍQUIDO],LANÇ_MOV[RECEITA OU DESPESA],"Despesa",LANÇ_MOV[CONTAS],$C778,LANÇ_MOV[PLANO DE CONTAS],REL_DRE_FINANCEIRO!$B$753,LANÇ_MOV[ANO PAGAMENTO],$B$4,LANÇ_MOV[MÊS PAGAMENTO CORRESPONDENTE],M$6,LANÇ_MOV[EMPRESA],$C$4,LANÇ_MOV[CENTRO DE CUSTOS],$D$4)</f>
        <v>0</v>
      </c>
      <c r="N778" s="206">
        <f>SUMIFS(LANÇ_MOV[VALOR LÍQUIDO],LANÇ_MOV[RECEITA OU DESPESA],"Despesa",LANÇ_MOV[CONTAS],$C778,LANÇ_MOV[PLANO DE CONTAS],REL_DRE_FINANCEIRO!$B$753,LANÇ_MOV[ANO PAGAMENTO],$B$4,LANÇ_MOV[MÊS PAGAMENTO CORRESPONDENTE],N$6,LANÇ_MOV[EMPRESA],$C$4,LANÇ_MOV[CENTRO DE CUSTOS],$D$4)</f>
        <v>0</v>
      </c>
      <c r="O778" s="206">
        <f>SUMIFS(LANÇ_MOV[VALOR LÍQUIDO],LANÇ_MOV[RECEITA OU DESPESA],"Despesa",LANÇ_MOV[CONTAS],$C778,LANÇ_MOV[PLANO DE CONTAS],REL_DRE_FINANCEIRO!$B$753,LANÇ_MOV[ANO PAGAMENTO],$B$4,LANÇ_MOV[MÊS PAGAMENTO CORRESPONDENTE],O$6,LANÇ_MOV[EMPRESA],$C$4,LANÇ_MOV[CENTRO DE CUSTOS],$D$4)</f>
        <v>0</v>
      </c>
      <c r="P778" s="207">
        <f t="shared" si="100"/>
        <v>0</v>
      </c>
      <c r="Q778" s="329">
        <v>7.6000000000000001E-6</v>
      </c>
      <c r="R778" s="346">
        <f t="shared" si="101"/>
        <v>7.6000000000000001E-6</v>
      </c>
      <c r="S778" s="347" t="str">
        <f t="shared" si="102"/>
        <v>-</v>
      </c>
      <c r="T778" s="347">
        <f t="shared" si="103"/>
        <v>0</v>
      </c>
      <c r="U778" s="347">
        <f>HLOOKUP(Apoio!$P$12,$D$752:$P$853,X778,FALSE)+Q778</f>
        <v>7.6000000000000001E-6</v>
      </c>
      <c r="V778" s="447" t="str">
        <f t="shared" si="104"/>
        <v>-</v>
      </c>
      <c r="W778" s="448">
        <f>HLOOKUP(Apoio!$P$12,$D$752:$P$853,X778,FALSE)</f>
        <v>0</v>
      </c>
      <c r="X778" s="329">
        <v>27</v>
      </c>
    </row>
    <row r="779" spans="2:24" ht="30.05" customHeight="1" x14ac:dyDescent="0.35">
      <c r="B779" s="204" t="str">
        <f>'CAD_PL_REC-DESP'!Z30</f>
        <v>2.6.26</v>
      </c>
      <c r="C779" s="205" t="str">
        <f>IF('CAD_PL_REC-DESP'!AA30="","-",'CAD_PL_REC-DESP'!AA30)</f>
        <v>-</v>
      </c>
      <c r="D779" s="206">
        <f>SUMIFS(LANÇ_MOV[VALOR LÍQUIDO],LANÇ_MOV[RECEITA OU DESPESA],"Despesa",LANÇ_MOV[CONTAS],$C779,LANÇ_MOV[PLANO DE CONTAS],REL_DRE_FINANCEIRO!$B$753,LANÇ_MOV[ANO PAGAMENTO],$B$4,LANÇ_MOV[MÊS PAGAMENTO CORRESPONDENTE],D$6,LANÇ_MOV[EMPRESA],$C$4,LANÇ_MOV[CENTRO DE CUSTOS],$D$4)</f>
        <v>0</v>
      </c>
      <c r="E779" s="206">
        <f>SUMIFS(LANÇ_MOV[VALOR LÍQUIDO],LANÇ_MOV[RECEITA OU DESPESA],"Despesa",LANÇ_MOV[CONTAS],$C779,LANÇ_MOV[PLANO DE CONTAS],REL_DRE_FINANCEIRO!$B$753,LANÇ_MOV[ANO PAGAMENTO],$B$4,LANÇ_MOV[MÊS PAGAMENTO CORRESPONDENTE],E$6,LANÇ_MOV[EMPRESA],$C$4,LANÇ_MOV[CENTRO DE CUSTOS],$D$4)</f>
        <v>0</v>
      </c>
      <c r="F779" s="206">
        <f>SUMIFS(LANÇ_MOV[VALOR LÍQUIDO],LANÇ_MOV[RECEITA OU DESPESA],"Despesa",LANÇ_MOV[CONTAS],$C779,LANÇ_MOV[PLANO DE CONTAS],REL_DRE_FINANCEIRO!$B$753,LANÇ_MOV[ANO PAGAMENTO],$B$4,LANÇ_MOV[MÊS PAGAMENTO CORRESPONDENTE],F$6,LANÇ_MOV[EMPRESA],$C$4,LANÇ_MOV[CENTRO DE CUSTOS],$D$4)</f>
        <v>0</v>
      </c>
      <c r="G779" s="206">
        <f>SUMIFS(LANÇ_MOV[VALOR LÍQUIDO],LANÇ_MOV[RECEITA OU DESPESA],"Despesa",LANÇ_MOV[CONTAS],$C779,LANÇ_MOV[PLANO DE CONTAS],REL_DRE_FINANCEIRO!$B$753,LANÇ_MOV[ANO PAGAMENTO],$B$4,LANÇ_MOV[MÊS PAGAMENTO CORRESPONDENTE],G$6,LANÇ_MOV[EMPRESA],$C$4,LANÇ_MOV[CENTRO DE CUSTOS],$D$4)</f>
        <v>0</v>
      </c>
      <c r="H779" s="206">
        <f>SUMIFS(LANÇ_MOV[VALOR LÍQUIDO],LANÇ_MOV[RECEITA OU DESPESA],"Despesa",LANÇ_MOV[CONTAS],$C779,LANÇ_MOV[PLANO DE CONTAS],REL_DRE_FINANCEIRO!$B$753,LANÇ_MOV[ANO PAGAMENTO],$B$4,LANÇ_MOV[MÊS PAGAMENTO CORRESPONDENTE],H$6,LANÇ_MOV[EMPRESA],$C$4,LANÇ_MOV[CENTRO DE CUSTOS],$D$4)</f>
        <v>0</v>
      </c>
      <c r="I779" s="206">
        <f>SUMIFS(LANÇ_MOV[VALOR LÍQUIDO],LANÇ_MOV[RECEITA OU DESPESA],"Despesa",LANÇ_MOV[CONTAS],$C779,LANÇ_MOV[PLANO DE CONTAS],REL_DRE_FINANCEIRO!$B$753,LANÇ_MOV[ANO PAGAMENTO],$B$4,LANÇ_MOV[MÊS PAGAMENTO CORRESPONDENTE],I$6,LANÇ_MOV[EMPRESA],$C$4,LANÇ_MOV[CENTRO DE CUSTOS],$D$4)</f>
        <v>0</v>
      </c>
      <c r="J779" s="206">
        <f>SUMIFS(LANÇ_MOV[VALOR LÍQUIDO],LANÇ_MOV[RECEITA OU DESPESA],"Despesa",LANÇ_MOV[CONTAS],$C779,LANÇ_MOV[PLANO DE CONTAS],REL_DRE_FINANCEIRO!$B$753,LANÇ_MOV[ANO PAGAMENTO],$B$4,LANÇ_MOV[MÊS PAGAMENTO CORRESPONDENTE],J$6,LANÇ_MOV[EMPRESA],$C$4,LANÇ_MOV[CENTRO DE CUSTOS],$D$4)</f>
        <v>0</v>
      </c>
      <c r="K779" s="206">
        <f>SUMIFS(LANÇ_MOV[VALOR LÍQUIDO],LANÇ_MOV[RECEITA OU DESPESA],"Despesa",LANÇ_MOV[CONTAS],$C779,LANÇ_MOV[PLANO DE CONTAS],REL_DRE_FINANCEIRO!$B$753,LANÇ_MOV[ANO PAGAMENTO],$B$4,LANÇ_MOV[MÊS PAGAMENTO CORRESPONDENTE],K$6,LANÇ_MOV[EMPRESA],$C$4,LANÇ_MOV[CENTRO DE CUSTOS],$D$4)</f>
        <v>0</v>
      </c>
      <c r="L779" s="206">
        <f>SUMIFS(LANÇ_MOV[VALOR LÍQUIDO],LANÇ_MOV[RECEITA OU DESPESA],"Despesa",LANÇ_MOV[CONTAS],$C779,LANÇ_MOV[PLANO DE CONTAS],REL_DRE_FINANCEIRO!$B$753,LANÇ_MOV[ANO PAGAMENTO],$B$4,LANÇ_MOV[MÊS PAGAMENTO CORRESPONDENTE],L$6,LANÇ_MOV[EMPRESA],$C$4,LANÇ_MOV[CENTRO DE CUSTOS],$D$4)</f>
        <v>0</v>
      </c>
      <c r="M779" s="206">
        <f>SUMIFS(LANÇ_MOV[VALOR LÍQUIDO],LANÇ_MOV[RECEITA OU DESPESA],"Despesa",LANÇ_MOV[CONTAS],$C779,LANÇ_MOV[PLANO DE CONTAS],REL_DRE_FINANCEIRO!$B$753,LANÇ_MOV[ANO PAGAMENTO],$B$4,LANÇ_MOV[MÊS PAGAMENTO CORRESPONDENTE],M$6,LANÇ_MOV[EMPRESA],$C$4,LANÇ_MOV[CENTRO DE CUSTOS],$D$4)</f>
        <v>0</v>
      </c>
      <c r="N779" s="206">
        <f>SUMIFS(LANÇ_MOV[VALOR LÍQUIDO],LANÇ_MOV[RECEITA OU DESPESA],"Despesa",LANÇ_MOV[CONTAS],$C779,LANÇ_MOV[PLANO DE CONTAS],REL_DRE_FINANCEIRO!$B$753,LANÇ_MOV[ANO PAGAMENTO],$B$4,LANÇ_MOV[MÊS PAGAMENTO CORRESPONDENTE],N$6,LANÇ_MOV[EMPRESA],$C$4,LANÇ_MOV[CENTRO DE CUSTOS],$D$4)</f>
        <v>0</v>
      </c>
      <c r="O779" s="206">
        <f>SUMIFS(LANÇ_MOV[VALOR LÍQUIDO],LANÇ_MOV[RECEITA OU DESPESA],"Despesa",LANÇ_MOV[CONTAS],$C779,LANÇ_MOV[PLANO DE CONTAS],REL_DRE_FINANCEIRO!$B$753,LANÇ_MOV[ANO PAGAMENTO],$B$4,LANÇ_MOV[MÊS PAGAMENTO CORRESPONDENTE],O$6,LANÇ_MOV[EMPRESA],$C$4,LANÇ_MOV[CENTRO DE CUSTOS],$D$4)</f>
        <v>0</v>
      </c>
      <c r="P779" s="207">
        <f t="shared" si="100"/>
        <v>0</v>
      </c>
      <c r="Q779" s="329">
        <v>7.5000000000000002E-6</v>
      </c>
      <c r="R779" s="346">
        <f t="shared" si="101"/>
        <v>7.5000000000000002E-6</v>
      </c>
      <c r="S779" s="347" t="str">
        <f t="shared" si="102"/>
        <v>-</v>
      </c>
      <c r="T779" s="347">
        <f t="shared" si="103"/>
        <v>0</v>
      </c>
      <c r="U779" s="347">
        <f>HLOOKUP(Apoio!$P$12,$D$752:$P$853,X779,FALSE)+Q779</f>
        <v>7.5000000000000002E-6</v>
      </c>
      <c r="V779" s="447" t="str">
        <f t="shared" si="104"/>
        <v>-</v>
      </c>
      <c r="W779" s="448">
        <f>HLOOKUP(Apoio!$P$12,$D$752:$P$853,X779,FALSE)</f>
        <v>0</v>
      </c>
      <c r="X779" s="329">
        <v>28</v>
      </c>
    </row>
    <row r="780" spans="2:24" ht="30.05" customHeight="1" x14ac:dyDescent="0.35">
      <c r="B780" s="204" t="str">
        <f>'CAD_PL_REC-DESP'!Z31</f>
        <v>2.6.27</v>
      </c>
      <c r="C780" s="205" t="str">
        <f>IF('CAD_PL_REC-DESP'!AA31="","-",'CAD_PL_REC-DESP'!AA31)</f>
        <v>-</v>
      </c>
      <c r="D780" s="206">
        <f>SUMIFS(LANÇ_MOV[VALOR LÍQUIDO],LANÇ_MOV[RECEITA OU DESPESA],"Despesa",LANÇ_MOV[CONTAS],$C780,LANÇ_MOV[PLANO DE CONTAS],REL_DRE_FINANCEIRO!$B$753,LANÇ_MOV[ANO PAGAMENTO],$B$4,LANÇ_MOV[MÊS PAGAMENTO CORRESPONDENTE],D$6,LANÇ_MOV[EMPRESA],$C$4,LANÇ_MOV[CENTRO DE CUSTOS],$D$4)</f>
        <v>0</v>
      </c>
      <c r="E780" s="206">
        <f>SUMIFS(LANÇ_MOV[VALOR LÍQUIDO],LANÇ_MOV[RECEITA OU DESPESA],"Despesa",LANÇ_MOV[CONTAS],$C780,LANÇ_MOV[PLANO DE CONTAS],REL_DRE_FINANCEIRO!$B$753,LANÇ_MOV[ANO PAGAMENTO],$B$4,LANÇ_MOV[MÊS PAGAMENTO CORRESPONDENTE],E$6,LANÇ_MOV[EMPRESA],$C$4,LANÇ_MOV[CENTRO DE CUSTOS],$D$4)</f>
        <v>0</v>
      </c>
      <c r="F780" s="206">
        <f>SUMIFS(LANÇ_MOV[VALOR LÍQUIDO],LANÇ_MOV[RECEITA OU DESPESA],"Despesa",LANÇ_MOV[CONTAS],$C780,LANÇ_MOV[PLANO DE CONTAS],REL_DRE_FINANCEIRO!$B$753,LANÇ_MOV[ANO PAGAMENTO],$B$4,LANÇ_MOV[MÊS PAGAMENTO CORRESPONDENTE],F$6,LANÇ_MOV[EMPRESA],$C$4,LANÇ_MOV[CENTRO DE CUSTOS],$D$4)</f>
        <v>0</v>
      </c>
      <c r="G780" s="206">
        <f>SUMIFS(LANÇ_MOV[VALOR LÍQUIDO],LANÇ_MOV[RECEITA OU DESPESA],"Despesa",LANÇ_MOV[CONTAS],$C780,LANÇ_MOV[PLANO DE CONTAS],REL_DRE_FINANCEIRO!$B$753,LANÇ_MOV[ANO PAGAMENTO],$B$4,LANÇ_MOV[MÊS PAGAMENTO CORRESPONDENTE],G$6,LANÇ_MOV[EMPRESA],$C$4,LANÇ_MOV[CENTRO DE CUSTOS],$D$4)</f>
        <v>0</v>
      </c>
      <c r="H780" s="206">
        <f>SUMIFS(LANÇ_MOV[VALOR LÍQUIDO],LANÇ_MOV[RECEITA OU DESPESA],"Despesa",LANÇ_MOV[CONTAS],$C780,LANÇ_MOV[PLANO DE CONTAS],REL_DRE_FINANCEIRO!$B$753,LANÇ_MOV[ANO PAGAMENTO],$B$4,LANÇ_MOV[MÊS PAGAMENTO CORRESPONDENTE],H$6,LANÇ_MOV[EMPRESA],$C$4,LANÇ_MOV[CENTRO DE CUSTOS],$D$4)</f>
        <v>0</v>
      </c>
      <c r="I780" s="206">
        <f>SUMIFS(LANÇ_MOV[VALOR LÍQUIDO],LANÇ_MOV[RECEITA OU DESPESA],"Despesa",LANÇ_MOV[CONTAS],$C780,LANÇ_MOV[PLANO DE CONTAS],REL_DRE_FINANCEIRO!$B$753,LANÇ_MOV[ANO PAGAMENTO],$B$4,LANÇ_MOV[MÊS PAGAMENTO CORRESPONDENTE],I$6,LANÇ_MOV[EMPRESA],$C$4,LANÇ_MOV[CENTRO DE CUSTOS],$D$4)</f>
        <v>0</v>
      </c>
      <c r="J780" s="206">
        <f>SUMIFS(LANÇ_MOV[VALOR LÍQUIDO],LANÇ_MOV[RECEITA OU DESPESA],"Despesa",LANÇ_MOV[CONTAS],$C780,LANÇ_MOV[PLANO DE CONTAS],REL_DRE_FINANCEIRO!$B$753,LANÇ_MOV[ANO PAGAMENTO],$B$4,LANÇ_MOV[MÊS PAGAMENTO CORRESPONDENTE],J$6,LANÇ_MOV[EMPRESA],$C$4,LANÇ_MOV[CENTRO DE CUSTOS],$D$4)</f>
        <v>0</v>
      </c>
      <c r="K780" s="206">
        <f>SUMIFS(LANÇ_MOV[VALOR LÍQUIDO],LANÇ_MOV[RECEITA OU DESPESA],"Despesa",LANÇ_MOV[CONTAS],$C780,LANÇ_MOV[PLANO DE CONTAS],REL_DRE_FINANCEIRO!$B$753,LANÇ_MOV[ANO PAGAMENTO],$B$4,LANÇ_MOV[MÊS PAGAMENTO CORRESPONDENTE],K$6,LANÇ_MOV[EMPRESA],$C$4,LANÇ_MOV[CENTRO DE CUSTOS],$D$4)</f>
        <v>0</v>
      </c>
      <c r="L780" s="206">
        <f>SUMIFS(LANÇ_MOV[VALOR LÍQUIDO],LANÇ_MOV[RECEITA OU DESPESA],"Despesa",LANÇ_MOV[CONTAS],$C780,LANÇ_MOV[PLANO DE CONTAS],REL_DRE_FINANCEIRO!$B$753,LANÇ_MOV[ANO PAGAMENTO],$B$4,LANÇ_MOV[MÊS PAGAMENTO CORRESPONDENTE],L$6,LANÇ_MOV[EMPRESA],$C$4,LANÇ_MOV[CENTRO DE CUSTOS],$D$4)</f>
        <v>0</v>
      </c>
      <c r="M780" s="206">
        <f>SUMIFS(LANÇ_MOV[VALOR LÍQUIDO],LANÇ_MOV[RECEITA OU DESPESA],"Despesa",LANÇ_MOV[CONTAS],$C780,LANÇ_MOV[PLANO DE CONTAS],REL_DRE_FINANCEIRO!$B$753,LANÇ_MOV[ANO PAGAMENTO],$B$4,LANÇ_MOV[MÊS PAGAMENTO CORRESPONDENTE],M$6,LANÇ_MOV[EMPRESA],$C$4,LANÇ_MOV[CENTRO DE CUSTOS],$D$4)</f>
        <v>0</v>
      </c>
      <c r="N780" s="206">
        <f>SUMIFS(LANÇ_MOV[VALOR LÍQUIDO],LANÇ_MOV[RECEITA OU DESPESA],"Despesa",LANÇ_MOV[CONTAS],$C780,LANÇ_MOV[PLANO DE CONTAS],REL_DRE_FINANCEIRO!$B$753,LANÇ_MOV[ANO PAGAMENTO],$B$4,LANÇ_MOV[MÊS PAGAMENTO CORRESPONDENTE],N$6,LANÇ_MOV[EMPRESA],$C$4,LANÇ_MOV[CENTRO DE CUSTOS],$D$4)</f>
        <v>0</v>
      </c>
      <c r="O780" s="206">
        <f>SUMIFS(LANÇ_MOV[VALOR LÍQUIDO],LANÇ_MOV[RECEITA OU DESPESA],"Despesa",LANÇ_MOV[CONTAS],$C780,LANÇ_MOV[PLANO DE CONTAS],REL_DRE_FINANCEIRO!$B$753,LANÇ_MOV[ANO PAGAMENTO],$B$4,LANÇ_MOV[MÊS PAGAMENTO CORRESPONDENTE],O$6,LANÇ_MOV[EMPRESA],$C$4,LANÇ_MOV[CENTRO DE CUSTOS],$D$4)</f>
        <v>0</v>
      </c>
      <c r="P780" s="207">
        <f t="shared" si="100"/>
        <v>0</v>
      </c>
      <c r="Q780" s="329">
        <v>7.4000000000000003E-6</v>
      </c>
      <c r="R780" s="346">
        <f t="shared" si="101"/>
        <v>7.4000000000000003E-6</v>
      </c>
      <c r="S780" s="347" t="str">
        <f t="shared" si="102"/>
        <v>-</v>
      </c>
      <c r="T780" s="347">
        <f t="shared" si="103"/>
        <v>0</v>
      </c>
      <c r="U780" s="347">
        <f>HLOOKUP(Apoio!$P$12,$D$752:$P$853,X780,FALSE)+Q780</f>
        <v>7.4000000000000003E-6</v>
      </c>
      <c r="V780" s="447" t="str">
        <f t="shared" si="104"/>
        <v>-</v>
      </c>
      <c r="W780" s="448">
        <f>HLOOKUP(Apoio!$P$12,$D$752:$P$853,X780,FALSE)</f>
        <v>0</v>
      </c>
      <c r="X780" s="329">
        <v>29</v>
      </c>
    </row>
    <row r="781" spans="2:24" ht="30.05" customHeight="1" x14ac:dyDescent="0.35">
      <c r="B781" s="204" t="str">
        <f>'CAD_PL_REC-DESP'!Z32</f>
        <v>2.6.28</v>
      </c>
      <c r="C781" s="205" t="str">
        <f>IF('CAD_PL_REC-DESP'!AA32="","-",'CAD_PL_REC-DESP'!AA32)</f>
        <v>-</v>
      </c>
      <c r="D781" s="206">
        <f>SUMIFS(LANÇ_MOV[VALOR LÍQUIDO],LANÇ_MOV[RECEITA OU DESPESA],"Despesa",LANÇ_MOV[CONTAS],$C781,LANÇ_MOV[PLANO DE CONTAS],REL_DRE_FINANCEIRO!$B$753,LANÇ_MOV[ANO PAGAMENTO],$B$4,LANÇ_MOV[MÊS PAGAMENTO CORRESPONDENTE],D$6,LANÇ_MOV[EMPRESA],$C$4,LANÇ_MOV[CENTRO DE CUSTOS],$D$4)</f>
        <v>0</v>
      </c>
      <c r="E781" s="206">
        <f>SUMIFS(LANÇ_MOV[VALOR LÍQUIDO],LANÇ_MOV[RECEITA OU DESPESA],"Despesa",LANÇ_MOV[CONTAS],$C781,LANÇ_MOV[PLANO DE CONTAS],REL_DRE_FINANCEIRO!$B$753,LANÇ_MOV[ANO PAGAMENTO],$B$4,LANÇ_MOV[MÊS PAGAMENTO CORRESPONDENTE],E$6,LANÇ_MOV[EMPRESA],$C$4,LANÇ_MOV[CENTRO DE CUSTOS],$D$4)</f>
        <v>0</v>
      </c>
      <c r="F781" s="206">
        <f>SUMIFS(LANÇ_MOV[VALOR LÍQUIDO],LANÇ_MOV[RECEITA OU DESPESA],"Despesa",LANÇ_MOV[CONTAS],$C781,LANÇ_MOV[PLANO DE CONTAS],REL_DRE_FINANCEIRO!$B$753,LANÇ_MOV[ANO PAGAMENTO],$B$4,LANÇ_MOV[MÊS PAGAMENTO CORRESPONDENTE],F$6,LANÇ_MOV[EMPRESA],$C$4,LANÇ_MOV[CENTRO DE CUSTOS],$D$4)</f>
        <v>0</v>
      </c>
      <c r="G781" s="206">
        <f>SUMIFS(LANÇ_MOV[VALOR LÍQUIDO],LANÇ_MOV[RECEITA OU DESPESA],"Despesa",LANÇ_MOV[CONTAS],$C781,LANÇ_MOV[PLANO DE CONTAS],REL_DRE_FINANCEIRO!$B$753,LANÇ_MOV[ANO PAGAMENTO],$B$4,LANÇ_MOV[MÊS PAGAMENTO CORRESPONDENTE],G$6,LANÇ_MOV[EMPRESA],$C$4,LANÇ_MOV[CENTRO DE CUSTOS],$D$4)</f>
        <v>0</v>
      </c>
      <c r="H781" s="206">
        <f>SUMIFS(LANÇ_MOV[VALOR LÍQUIDO],LANÇ_MOV[RECEITA OU DESPESA],"Despesa",LANÇ_MOV[CONTAS],$C781,LANÇ_MOV[PLANO DE CONTAS],REL_DRE_FINANCEIRO!$B$753,LANÇ_MOV[ANO PAGAMENTO],$B$4,LANÇ_MOV[MÊS PAGAMENTO CORRESPONDENTE],H$6,LANÇ_MOV[EMPRESA],$C$4,LANÇ_MOV[CENTRO DE CUSTOS],$D$4)</f>
        <v>0</v>
      </c>
      <c r="I781" s="206">
        <f>SUMIFS(LANÇ_MOV[VALOR LÍQUIDO],LANÇ_MOV[RECEITA OU DESPESA],"Despesa",LANÇ_MOV[CONTAS],$C781,LANÇ_MOV[PLANO DE CONTAS],REL_DRE_FINANCEIRO!$B$753,LANÇ_MOV[ANO PAGAMENTO],$B$4,LANÇ_MOV[MÊS PAGAMENTO CORRESPONDENTE],I$6,LANÇ_MOV[EMPRESA],$C$4,LANÇ_MOV[CENTRO DE CUSTOS],$D$4)</f>
        <v>0</v>
      </c>
      <c r="J781" s="206">
        <f>SUMIFS(LANÇ_MOV[VALOR LÍQUIDO],LANÇ_MOV[RECEITA OU DESPESA],"Despesa",LANÇ_MOV[CONTAS],$C781,LANÇ_MOV[PLANO DE CONTAS],REL_DRE_FINANCEIRO!$B$753,LANÇ_MOV[ANO PAGAMENTO],$B$4,LANÇ_MOV[MÊS PAGAMENTO CORRESPONDENTE],J$6,LANÇ_MOV[EMPRESA],$C$4,LANÇ_MOV[CENTRO DE CUSTOS],$D$4)</f>
        <v>0</v>
      </c>
      <c r="K781" s="206">
        <f>SUMIFS(LANÇ_MOV[VALOR LÍQUIDO],LANÇ_MOV[RECEITA OU DESPESA],"Despesa",LANÇ_MOV[CONTAS],$C781,LANÇ_MOV[PLANO DE CONTAS],REL_DRE_FINANCEIRO!$B$753,LANÇ_MOV[ANO PAGAMENTO],$B$4,LANÇ_MOV[MÊS PAGAMENTO CORRESPONDENTE],K$6,LANÇ_MOV[EMPRESA],$C$4,LANÇ_MOV[CENTRO DE CUSTOS],$D$4)</f>
        <v>0</v>
      </c>
      <c r="L781" s="206">
        <f>SUMIFS(LANÇ_MOV[VALOR LÍQUIDO],LANÇ_MOV[RECEITA OU DESPESA],"Despesa",LANÇ_MOV[CONTAS],$C781,LANÇ_MOV[PLANO DE CONTAS],REL_DRE_FINANCEIRO!$B$753,LANÇ_MOV[ANO PAGAMENTO],$B$4,LANÇ_MOV[MÊS PAGAMENTO CORRESPONDENTE],L$6,LANÇ_MOV[EMPRESA],$C$4,LANÇ_MOV[CENTRO DE CUSTOS],$D$4)</f>
        <v>0</v>
      </c>
      <c r="M781" s="206">
        <f>SUMIFS(LANÇ_MOV[VALOR LÍQUIDO],LANÇ_MOV[RECEITA OU DESPESA],"Despesa",LANÇ_MOV[CONTAS],$C781,LANÇ_MOV[PLANO DE CONTAS],REL_DRE_FINANCEIRO!$B$753,LANÇ_MOV[ANO PAGAMENTO],$B$4,LANÇ_MOV[MÊS PAGAMENTO CORRESPONDENTE],M$6,LANÇ_MOV[EMPRESA],$C$4,LANÇ_MOV[CENTRO DE CUSTOS],$D$4)</f>
        <v>0</v>
      </c>
      <c r="N781" s="206">
        <f>SUMIFS(LANÇ_MOV[VALOR LÍQUIDO],LANÇ_MOV[RECEITA OU DESPESA],"Despesa",LANÇ_MOV[CONTAS],$C781,LANÇ_MOV[PLANO DE CONTAS],REL_DRE_FINANCEIRO!$B$753,LANÇ_MOV[ANO PAGAMENTO],$B$4,LANÇ_MOV[MÊS PAGAMENTO CORRESPONDENTE],N$6,LANÇ_MOV[EMPRESA],$C$4,LANÇ_MOV[CENTRO DE CUSTOS],$D$4)</f>
        <v>0</v>
      </c>
      <c r="O781" s="206">
        <f>SUMIFS(LANÇ_MOV[VALOR LÍQUIDO],LANÇ_MOV[RECEITA OU DESPESA],"Despesa",LANÇ_MOV[CONTAS],$C781,LANÇ_MOV[PLANO DE CONTAS],REL_DRE_FINANCEIRO!$B$753,LANÇ_MOV[ANO PAGAMENTO],$B$4,LANÇ_MOV[MÊS PAGAMENTO CORRESPONDENTE],O$6,LANÇ_MOV[EMPRESA],$C$4,LANÇ_MOV[CENTRO DE CUSTOS],$D$4)</f>
        <v>0</v>
      </c>
      <c r="P781" s="207">
        <f t="shared" si="100"/>
        <v>0</v>
      </c>
      <c r="Q781" s="329">
        <v>7.3000000000000004E-6</v>
      </c>
      <c r="R781" s="346">
        <f t="shared" si="101"/>
        <v>7.3000000000000004E-6</v>
      </c>
      <c r="S781" s="347" t="str">
        <f t="shared" si="102"/>
        <v>-</v>
      </c>
      <c r="T781" s="347">
        <f t="shared" si="103"/>
        <v>0</v>
      </c>
      <c r="U781" s="347">
        <f>HLOOKUP(Apoio!$P$12,$D$752:$P$853,X781,FALSE)+Q781</f>
        <v>7.3000000000000004E-6</v>
      </c>
      <c r="V781" s="447" t="str">
        <f t="shared" si="104"/>
        <v>-</v>
      </c>
      <c r="W781" s="448">
        <f>HLOOKUP(Apoio!$P$12,$D$752:$P$853,X781,FALSE)</f>
        <v>0</v>
      </c>
      <c r="X781" s="329">
        <v>30</v>
      </c>
    </row>
    <row r="782" spans="2:24" ht="30.05" customHeight="1" x14ac:dyDescent="0.35">
      <c r="B782" s="204" t="str">
        <f>'CAD_PL_REC-DESP'!Z33</f>
        <v>2.6.29</v>
      </c>
      <c r="C782" s="205" t="str">
        <f>IF('CAD_PL_REC-DESP'!AA33="","-",'CAD_PL_REC-DESP'!AA33)</f>
        <v>-</v>
      </c>
      <c r="D782" s="206">
        <f>SUMIFS(LANÇ_MOV[VALOR LÍQUIDO],LANÇ_MOV[RECEITA OU DESPESA],"Despesa",LANÇ_MOV[CONTAS],$C782,LANÇ_MOV[PLANO DE CONTAS],REL_DRE_FINANCEIRO!$B$753,LANÇ_MOV[ANO PAGAMENTO],$B$4,LANÇ_MOV[MÊS PAGAMENTO CORRESPONDENTE],D$6,LANÇ_MOV[EMPRESA],$C$4,LANÇ_MOV[CENTRO DE CUSTOS],$D$4)</f>
        <v>0</v>
      </c>
      <c r="E782" s="206">
        <f>SUMIFS(LANÇ_MOV[VALOR LÍQUIDO],LANÇ_MOV[RECEITA OU DESPESA],"Despesa",LANÇ_MOV[CONTAS],$C782,LANÇ_MOV[PLANO DE CONTAS],REL_DRE_FINANCEIRO!$B$753,LANÇ_MOV[ANO PAGAMENTO],$B$4,LANÇ_MOV[MÊS PAGAMENTO CORRESPONDENTE],E$6,LANÇ_MOV[EMPRESA],$C$4,LANÇ_MOV[CENTRO DE CUSTOS],$D$4)</f>
        <v>0</v>
      </c>
      <c r="F782" s="206">
        <f>SUMIFS(LANÇ_MOV[VALOR LÍQUIDO],LANÇ_MOV[RECEITA OU DESPESA],"Despesa",LANÇ_MOV[CONTAS],$C782,LANÇ_MOV[PLANO DE CONTAS],REL_DRE_FINANCEIRO!$B$753,LANÇ_MOV[ANO PAGAMENTO],$B$4,LANÇ_MOV[MÊS PAGAMENTO CORRESPONDENTE],F$6,LANÇ_MOV[EMPRESA],$C$4,LANÇ_MOV[CENTRO DE CUSTOS],$D$4)</f>
        <v>0</v>
      </c>
      <c r="G782" s="206">
        <f>SUMIFS(LANÇ_MOV[VALOR LÍQUIDO],LANÇ_MOV[RECEITA OU DESPESA],"Despesa",LANÇ_MOV[CONTAS],$C782,LANÇ_MOV[PLANO DE CONTAS],REL_DRE_FINANCEIRO!$B$753,LANÇ_MOV[ANO PAGAMENTO],$B$4,LANÇ_MOV[MÊS PAGAMENTO CORRESPONDENTE],G$6,LANÇ_MOV[EMPRESA],$C$4,LANÇ_MOV[CENTRO DE CUSTOS],$D$4)</f>
        <v>0</v>
      </c>
      <c r="H782" s="206">
        <f>SUMIFS(LANÇ_MOV[VALOR LÍQUIDO],LANÇ_MOV[RECEITA OU DESPESA],"Despesa",LANÇ_MOV[CONTAS],$C782,LANÇ_MOV[PLANO DE CONTAS],REL_DRE_FINANCEIRO!$B$753,LANÇ_MOV[ANO PAGAMENTO],$B$4,LANÇ_MOV[MÊS PAGAMENTO CORRESPONDENTE],H$6,LANÇ_MOV[EMPRESA],$C$4,LANÇ_MOV[CENTRO DE CUSTOS],$D$4)</f>
        <v>0</v>
      </c>
      <c r="I782" s="206">
        <f>SUMIFS(LANÇ_MOV[VALOR LÍQUIDO],LANÇ_MOV[RECEITA OU DESPESA],"Despesa",LANÇ_MOV[CONTAS],$C782,LANÇ_MOV[PLANO DE CONTAS],REL_DRE_FINANCEIRO!$B$753,LANÇ_MOV[ANO PAGAMENTO],$B$4,LANÇ_MOV[MÊS PAGAMENTO CORRESPONDENTE],I$6,LANÇ_MOV[EMPRESA],$C$4,LANÇ_MOV[CENTRO DE CUSTOS],$D$4)</f>
        <v>0</v>
      </c>
      <c r="J782" s="206">
        <f>SUMIFS(LANÇ_MOV[VALOR LÍQUIDO],LANÇ_MOV[RECEITA OU DESPESA],"Despesa",LANÇ_MOV[CONTAS],$C782,LANÇ_MOV[PLANO DE CONTAS],REL_DRE_FINANCEIRO!$B$753,LANÇ_MOV[ANO PAGAMENTO],$B$4,LANÇ_MOV[MÊS PAGAMENTO CORRESPONDENTE],J$6,LANÇ_MOV[EMPRESA],$C$4,LANÇ_MOV[CENTRO DE CUSTOS],$D$4)</f>
        <v>0</v>
      </c>
      <c r="K782" s="206">
        <f>SUMIFS(LANÇ_MOV[VALOR LÍQUIDO],LANÇ_MOV[RECEITA OU DESPESA],"Despesa",LANÇ_MOV[CONTAS],$C782,LANÇ_MOV[PLANO DE CONTAS],REL_DRE_FINANCEIRO!$B$753,LANÇ_MOV[ANO PAGAMENTO],$B$4,LANÇ_MOV[MÊS PAGAMENTO CORRESPONDENTE],K$6,LANÇ_MOV[EMPRESA],$C$4,LANÇ_MOV[CENTRO DE CUSTOS],$D$4)</f>
        <v>0</v>
      </c>
      <c r="L782" s="206">
        <f>SUMIFS(LANÇ_MOV[VALOR LÍQUIDO],LANÇ_MOV[RECEITA OU DESPESA],"Despesa",LANÇ_MOV[CONTAS],$C782,LANÇ_MOV[PLANO DE CONTAS],REL_DRE_FINANCEIRO!$B$753,LANÇ_MOV[ANO PAGAMENTO],$B$4,LANÇ_MOV[MÊS PAGAMENTO CORRESPONDENTE],L$6,LANÇ_MOV[EMPRESA],$C$4,LANÇ_MOV[CENTRO DE CUSTOS],$D$4)</f>
        <v>0</v>
      </c>
      <c r="M782" s="206">
        <f>SUMIFS(LANÇ_MOV[VALOR LÍQUIDO],LANÇ_MOV[RECEITA OU DESPESA],"Despesa",LANÇ_MOV[CONTAS],$C782,LANÇ_MOV[PLANO DE CONTAS],REL_DRE_FINANCEIRO!$B$753,LANÇ_MOV[ANO PAGAMENTO],$B$4,LANÇ_MOV[MÊS PAGAMENTO CORRESPONDENTE],M$6,LANÇ_MOV[EMPRESA],$C$4,LANÇ_MOV[CENTRO DE CUSTOS],$D$4)</f>
        <v>0</v>
      </c>
      <c r="N782" s="206">
        <f>SUMIFS(LANÇ_MOV[VALOR LÍQUIDO],LANÇ_MOV[RECEITA OU DESPESA],"Despesa",LANÇ_MOV[CONTAS],$C782,LANÇ_MOV[PLANO DE CONTAS],REL_DRE_FINANCEIRO!$B$753,LANÇ_MOV[ANO PAGAMENTO],$B$4,LANÇ_MOV[MÊS PAGAMENTO CORRESPONDENTE],N$6,LANÇ_MOV[EMPRESA],$C$4,LANÇ_MOV[CENTRO DE CUSTOS],$D$4)</f>
        <v>0</v>
      </c>
      <c r="O782" s="206">
        <f>SUMIFS(LANÇ_MOV[VALOR LÍQUIDO],LANÇ_MOV[RECEITA OU DESPESA],"Despesa",LANÇ_MOV[CONTAS],$C782,LANÇ_MOV[PLANO DE CONTAS],REL_DRE_FINANCEIRO!$B$753,LANÇ_MOV[ANO PAGAMENTO],$B$4,LANÇ_MOV[MÊS PAGAMENTO CORRESPONDENTE],O$6,LANÇ_MOV[EMPRESA],$C$4,LANÇ_MOV[CENTRO DE CUSTOS],$D$4)</f>
        <v>0</v>
      </c>
      <c r="P782" s="207">
        <f t="shared" si="100"/>
        <v>0</v>
      </c>
      <c r="Q782" s="329">
        <v>7.1999999999999997E-6</v>
      </c>
      <c r="R782" s="346">
        <f t="shared" si="101"/>
        <v>7.1999999999999997E-6</v>
      </c>
      <c r="S782" s="347" t="str">
        <f t="shared" si="102"/>
        <v>-</v>
      </c>
      <c r="T782" s="347">
        <f t="shared" si="103"/>
        <v>0</v>
      </c>
      <c r="U782" s="347">
        <f>HLOOKUP(Apoio!$P$12,$D$752:$P$853,X782,FALSE)+Q782</f>
        <v>7.1999999999999997E-6</v>
      </c>
      <c r="V782" s="447" t="str">
        <f t="shared" si="104"/>
        <v>-</v>
      </c>
      <c r="W782" s="448">
        <f>HLOOKUP(Apoio!$P$12,$D$752:$P$853,X782,FALSE)</f>
        <v>0</v>
      </c>
      <c r="X782" s="329">
        <v>31</v>
      </c>
    </row>
    <row r="783" spans="2:24" ht="30.05" customHeight="1" x14ac:dyDescent="0.35">
      <c r="B783" s="204" t="str">
        <f>'CAD_PL_REC-DESP'!Z34</f>
        <v>2.6.30</v>
      </c>
      <c r="C783" s="205" t="str">
        <f>IF('CAD_PL_REC-DESP'!AA34="","-",'CAD_PL_REC-DESP'!AA34)</f>
        <v>-</v>
      </c>
      <c r="D783" s="206">
        <f>SUMIFS(LANÇ_MOV[VALOR LÍQUIDO],LANÇ_MOV[RECEITA OU DESPESA],"Despesa",LANÇ_MOV[CONTAS],$C783,LANÇ_MOV[PLANO DE CONTAS],REL_DRE_FINANCEIRO!$B$753,LANÇ_MOV[ANO PAGAMENTO],$B$4,LANÇ_MOV[MÊS PAGAMENTO CORRESPONDENTE],D$6,LANÇ_MOV[EMPRESA],$C$4,LANÇ_MOV[CENTRO DE CUSTOS],$D$4)</f>
        <v>0</v>
      </c>
      <c r="E783" s="206">
        <f>SUMIFS(LANÇ_MOV[VALOR LÍQUIDO],LANÇ_MOV[RECEITA OU DESPESA],"Despesa",LANÇ_MOV[CONTAS],$C783,LANÇ_MOV[PLANO DE CONTAS],REL_DRE_FINANCEIRO!$B$753,LANÇ_MOV[ANO PAGAMENTO],$B$4,LANÇ_MOV[MÊS PAGAMENTO CORRESPONDENTE],E$6,LANÇ_MOV[EMPRESA],$C$4,LANÇ_MOV[CENTRO DE CUSTOS],$D$4)</f>
        <v>0</v>
      </c>
      <c r="F783" s="206">
        <f>SUMIFS(LANÇ_MOV[VALOR LÍQUIDO],LANÇ_MOV[RECEITA OU DESPESA],"Despesa",LANÇ_MOV[CONTAS],$C783,LANÇ_MOV[PLANO DE CONTAS],REL_DRE_FINANCEIRO!$B$753,LANÇ_MOV[ANO PAGAMENTO],$B$4,LANÇ_MOV[MÊS PAGAMENTO CORRESPONDENTE],F$6,LANÇ_MOV[EMPRESA],$C$4,LANÇ_MOV[CENTRO DE CUSTOS],$D$4)</f>
        <v>0</v>
      </c>
      <c r="G783" s="206">
        <f>SUMIFS(LANÇ_MOV[VALOR LÍQUIDO],LANÇ_MOV[RECEITA OU DESPESA],"Despesa",LANÇ_MOV[CONTAS],$C783,LANÇ_MOV[PLANO DE CONTAS],REL_DRE_FINANCEIRO!$B$753,LANÇ_MOV[ANO PAGAMENTO],$B$4,LANÇ_MOV[MÊS PAGAMENTO CORRESPONDENTE],G$6,LANÇ_MOV[EMPRESA],$C$4,LANÇ_MOV[CENTRO DE CUSTOS],$D$4)</f>
        <v>0</v>
      </c>
      <c r="H783" s="206">
        <f>SUMIFS(LANÇ_MOV[VALOR LÍQUIDO],LANÇ_MOV[RECEITA OU DESPESA],"Despesa",LANÇ_MOV[CONTAS],$C783,LANÇ_MOV[PLANO DE CONTAS],REL_DRE_FINANCEIRO!$B$753,LANÇ_MOV[ANO PAGAMENTO],$B$4,LANÇ_MOV[MÊS PAGAMENTO CORRESPONDENTE],H$6,LANÇ_MOV[EMPRESA],$C$4,LANÇ_MOV[CENTRO DE CUSTOS],$D$4)</f>
        <v>0</v>
      </c>
      <c r="I783" s="206">
        <f>SUMIFS(LANÇ_MOV[VALOR LÍQUIDO],LANÇ_MOV[RECEITA OU DESPESA],"Despesa",LANÇ_MOV[CONTAS],$C783,LANÇ_MOV[PLANO DE CONTAS],REL_DRE_FINANCEIRO!$B$753,LANÇ_MOV[ANO PAGAMENTO],$B$4,LANÇ_MOV[MÊS PAGAMENTO CORRESPONDENTE],I$6,LANÇ_MOV[EMPRESA],$C$4,LANÇ_MOV[CENTRO DE CUSTOS],$D$4)</f>
        <v>0</v>
      </c>
      <c r="J783" s="206">
        <f>SUMIFS(LANÇ_MOV[VALOR LÍQUIDO],LANÇ_MOV[RECEITA OU DESPESA],"Despesa",LANÇ_MOV[CONTAS],$C783,LANÇ_MOV[PLANO DE CONTAS],REL_DRE_FINANCEIRO!$B$753,LANÇ_MOV[ANO PAGAMENTO],$B$4,LANÇ_MOV[MÊS PAGAMENTO CORRESPONDENTE],J$6,LANÇ_MOV[EMPRESA],$C$4,LANÇ_MOV[CENTRO DE CUSTOS],$D$4)</f>
        <v>0</v>
      </c>
      <c r="K783" s="206">
        <f>SUMIFS(LANÇ_MOV[VALOR LÍQUIDO],LANÇ_MOV[RECEITA OU DESPESA],"Despesa",LANÇ_MOV[CONTAS],$C783,LANÇ_MOV[PLANO DE CONTAS],REL_DRE_FINANCEIRO!$B$753,LANÇ_MOV[ANO PAGAMENTO],$B$4,LANÇ_MOV[MÊS PAGAMENTO CORRESPONDENTE],K$6,LANÇ_MOV[EMPRESA],$C$4,LANÇ_MOV[CENTRO DE CUSTOS],$D$4)</f>
        <v>0</v>
      </c>
      <c r="L783" s="206">
        <f>SUMIFS(LANÇ_MOV[VALOR LÍQUIDO],LANÇ_MOV[RECEITA OU DESPESA],"Despesa",LANÇ_MOV[CONTAS],$C783,LANÇ_MOV[PLANO DE CONTAS],REL_DRE_FINANCEIRO!$B$753,LANÇ_MOV[ANO PAGAMENTO],$B$4,LANÇ_MOV[MÊS PAGAMENTO CORRESPONDENTE],L$6,LANÇ_MOV[EMPRESA],$C$4,LANÇ_MOV[CENTRO DE CUSTOS],$D$4)</f>
        <v>0</v>
      </c>
      <c r="M783" s="206">
        <f>SUMIFS(LANÇ_MOV[VALOR LÍQUIDO],LANÇ_MOV[RECEITA OU DESPESA],"Despesa",LANÇ_MOV[CONTAS],$C783,LANÇ_MOV[PLANO DE CONTAS],REL_DRE_FINANCEIRO!$B$753,LANÇ_MOV[ANO PAGAMENTO],$B$4,LANÇ_MOV[MÊS PAGAMENTO CORRESPONDENTE],M$6,LANÇ_MOV[EMPRESA],$C$4,LANÇ_MOV[CENTRO DE CUSTOS],$D$4)</f>
        <v>0</v>
      </c>
      <c r="N783" s="206">
        <f>SUMIFS(LANÇ_MOV[VALOR LÍQUIDO],LANÇ_MOV[RECEITA OU DESPESA],"Despesa",LANÇ_MOV[CONTAS],$C783,LANÇ_MOV[PLANO DE CONTAS],REL_DRE_FINANCEIRO!$B$753,LANÇ_MOV[ANO PAGAMENTO],$B$4,LANÇ_MOV[MÊS PAGAMENTO CORRESPONDENTE],N$6,LANÇ_MOV[EMPRESA],$C$4,LANÇ_MOV[CENTRO DE CUSTOS],$D$4)</f>
        <v>0</v>
      </c>
      <c r="O783" s="206">
        <f>SUMIFS(LANÇ_MOV[VALOR LÍQUIDO],LANÇ_MOV[RECEITA OU DESPESA],"Despesa",LANÇ_MOV[CONTAS],$C783,LANÇ_MOV[PLANO DE CONTAS],REL_DRE_FINANCEIRO!$B$753,LANÇ_MOV[ANO PAGAMENTO],$B$4,LANÇ_MOV[MÊS PAGAMENTO CORRESPONDENTE],O$6,LANÇ_MOV[EMPRESA],$C$4,LANÇ_MOV[CENTRO DE CUSTOS],$D$4)</f>
        <v>0</v>
      </c>
      <c r="P783" s="207">
        <f t="shared" si="100"/>
        <v>0</v>
      </c>
      <c r="Q783" s="329">
        <v>7.0999999999999998E-6</v>
      </c>
      <c r="R783" s="346">
        <f t="shared" si="101"/>
        <v>7.0999999999999998E-6</v>
      </c>
      <c r="S783" s="347" t="str">
        <f t="shared" si="102"/>
        <v>-</v>
      </c>
      <c r="T783" s="347">
        <f t="shared" si="103"/>
        <v>0</v>
      </c>
      <c r="U783" s="347">
        <f>HLOOKUP(Apoio!$P$12,$D$752:$P$853,X783,FALSE)+Q783</f>
        <v>7.0999999999999998E-6</v>
      </c>
      <c r="V783" s="447" t="str">
        <f t="shared" si="104"/>
        <v>-</v>
      </c>
      <c r="W783" s="448">
        <f>HLOOKUP(Apoio!$P$12,$D$752:$P$853,X783,FALSE)</f>
        <v>0</v>
      </c>
      <c r="X783" s="329">
        <v>32</v>
      </c>
    </row>
    <row r="784" spans="2:24" ht="30.05" customHeight="1" x14ac:dyDescent="0.35">
      <c r="B784" s="204" t="str">
        <f>'CAD_PL_REC-DESP'!Z35</f>
        <v>2.6.31</v>
      </c>
      <c r="C784" s="205" t="str">
        <f>IF('CAD_PL_REC-DESP'!AA35="","-",'CAD_PL_REC-DESP'!AA35)</f>
        <v>-</v>
      </c>
      <c r="D784" s="206">
        <f>SUMIFS(LANÇ_MOV[VALOR LÍQUIDO],LANÇ_MOV[RECEITA OU DESPESA],"Despesa",LANÇ_MOV[CONTAS],$C784,LANÇ_MOV[PLANO DE CONTAS],REL_DRE_FINANCEIRO!$B$753,LANÇ_MOV[ANO PAGAMENTO],$B$4,LANÇ_MOV[MÊS PAGAMENTO CORRESPONDENTE],D$6,LANÇ_MOV[EMPRESA],$C$4,LANÇ_MOV[CENTRO DE CUSTOS],$D$4)</f>
        <v>0</v>
      </c>
      <c r="E784" s="206">
        <f>SUMIFS(LANÇ_MOV[VALOR LÍQUIDO],LANÇ_MOV[RECEITA OU DESPESA],"Despesa",LANÇ_MOV[CONTAS],$C784,LANÇ_MOV[PLANO DE CONTAS],REL_DRE_FINANCEIRO!$B$753,LANÇ_MOV[ANO PAGAMENTO],$B$4,LANÇ_MOV[MÊS PAGAMENTO CORRESPONDENTE],E$6,LANÇ_MOV[EMPRESA],$C$4,LANÇ_MOV[CENTRO DE CUSTOS],$D$4)</f>
        <v>0</v>
      </c>
      <c r="F784" s="206">
        <f>SUMIFS(LANÇ_MOV[VALOR LÍQUIDO],LANÇ_MOV[RECEITA OU DESPESA],"Despesa",LANÇ_MOV[CONTAS],$C784,LANÇ_MOV[PLANO DE CONTAS],REL_DRE_FINANCEIRO!$B$753,LANÇ_MOV[ANO PAGAMENTO],$B$4,LANÇ_MOV[MÊS PAGAMENTO CORRESPONDENTE],F$6,LANÇ_MOV[EMPRESA],$C$4,LANÇ_MOV[CENTRO DE CUSTOS],$D$4)</f>
        <v>0</v>
      </c>
      <c r="G784" s="206">
        <f>SUMIFS(LANÇ_MOV[VALOR LÍQUIDO],LANÇ_MOV[RECEITA OU DESPESA],"Despesa",LANÇ_MOV[CONTAS],$C784,LANÇ_MOV[PLANO DE CONTAS],REL_DRE_FINANCEIRO!$B$753,LANÇ_MOV[ANO PAGAMENTO],$B$4,LANÇ_MOV[MÊS PAGAMENTO CORRESPONDENTE],G$6,LANÇ_MOV[EMPRESA],$C$4,LANÇ_MOV[CENTRO DE CUSTOS],$D$4)</f>
        <v>0</v>
      </c>
      <c r="H784" s="206">
        <f>SUMIFS(LANÇ_MOV[VALOR LÍQUIDO],LANÇ_MOV[RECEITA OU DESPESA],"Despesa",LANÇ_MOV[CONTAS],$C784,LANÇ_MOV[PLANO DE CONTAS],REL_DRE_FINANCEIRO!$B$753,LANÇ_MOV[ANO PAGAMENTO],$B$4,LANÇ_MOV[MÊS PAGAMENTO CORRESPONDENTE],H$6,LANÇ_MOV[EMPRESA],$C$4,LANÇ_MOV[CENTRO DE CUSTOS],$D$4)</f>
        <v>0</v>
      </c>
      <c r="I784" s="206">
        <f>SUMIFS(LANÇ_MOV[VALOR LÍQUIDO],LANÇ_MOV[RECEITA OU DESPESA],"Despesa",LANÇ_MOV[CONTAS],$C784,LANÇ_MOV[PLANO DE CONTAS],REL_DRE_FINANCEIRO!$B$753,LANÇ_MOV[ANO PAGAMENTO],$B$4,LANÇ_MOV[MÊS PAGAMENTO CORRESPONDENTE],I$6,LANÇ_MOV[EMPRESA],$C$4,LANÇ_MOV[CENTRO DE CUSTOS],$D$4)</f>
        <v>0</v>
      </c>
      <c r="J784" s="206">
        <f>SUMIFS(LANÇ_MOV[VALOR LÍQUIDO],LANÇ_MOV[RECEITA OU DESPESA],"Despesa",LANÇ_MOV[CONTAS],$C784,LANÇ_MOV[PLANO DE CONTAS],REL_DRE_FINANCEIRO!$B$753,LANÇ_MOV[ANO PAGAMENTO],$B$4,LANÇ_MOV[MÊS PAGAMENTO CORRESPONDENTE],J$6,LANÇ_MOV[EMPRESA],$C$4,LANÇ_MOV[CENTRO DE CUSTOS],$D$4)</f>
        <v>0</v>
      </c>
      <c r="K784" s="206">
        <f>SUMIFS(LANÇ_MOV[VALOR LÍQUIDO],LANÇ_MOV[RECEITA OU DESPESA],"Despesa",LANÇ_MOV[CONTAS],$C784,LANÇ_MOV[PLANO DE CONTAS],REL_DRE_FINANCEIRO!$B$753,LANÇ_MOV[ANO PAGAMENTO],$B$4,LANÇ_MOV[MÊS PAGAMENTO CORRESPONDENTE],K$6,LANÇ_MOV[EMPRESA],$C$4,LANÇ_MOV[CENTRO DE CUSTOS],$D$4)</f>
        <v>0</v>
      </c>
      <c r="L784" s="206">
        <f>SUMIFS(LANÇ_MOV[VALOR LÍQUIDO],LANÇ_MOV[RECEITA OU DESPESA],"Despesa",LANÇ_MOV[CONTAS],$C784,LANÇ_MOV[PLANO DE CONTAS],REL_DRE_FINANCEIRO!$B$753,LANÇ_MOV[ANO PAGAMENTO],$B$4,LANÇ_MOV[MÊS PAGAMENTO CORRESPONDENTE],L$6,LANÇ_MOV[EMPRESA],$C$4,LANÇ_MOV[CENTRO DE CUSTOS],$D$4)</f>
        <v>0</v>
      </c>
      <c r="M784" s="206">
        <f>SUMIFS(LANÇ_MOV[VALOR LÍQUIDO],LANÇ_MOV[RECEITA OU DESPESA],"Despesa",LANÇ_MOV[CONTAS],$C784,LANÇ_MOV[PLANO DE CONTAS],REL_DRE_FINANCEIRO!$B$753,LANÇ_MOV[ANO PAGAMENTO],$B$4,LANÇ_MOV[MÊS PAGAMENTO CORRESPONDENTE],M$6,LANÇ_MOV[EMPRESA],$C$4,LANÇ_MOV[CENTRO DE CUSTOS],$D$4)</f>
        <v>0</v>
      </c>
      <c r="N784" s="206">
        <f>SUMIFS(LANÇ_MOV[VALOR LÍQUIDO],LANÇ_MOV[RECEITA OU DESPESA],"Despesa",LANÇ_MOV[CONTAS],$C784,LANÇ_MOV[PLANO DE CONTAS],REL_DRE_FINANCEIRO!$B$753,LANÇ_MOV[ANO PAGAMENTO],$B$4,LANÇ_MOV[MÊS PAGAMENTO CORRESPONDENTE],N$6,LANÇ_MOV[EMPRESA],$C$4,LANÇ_MOV[CENTRO DE CUSTOS],$D$4)</f>
        <v>0</v>
      </c>
      <c r="O784" s="206">
        <f>SUMIFS(LANÇ_MOV[VALOR LÍQUIDO],LANÇ_MOV[RECEITA OU DESPESA],"Despesa",LANÇ_MOV[CONTAS],$C784,LANÇ_MOV[PLANO DE CONTAS],REL_DRE_FINANCEIRO!$B$753,LANÇ_MOV[ANO PAGAMENTO],$B$4,LANÇ_MOV[MÊS PAGAMENTO CORRESPONDENTE],O$6,LANÇ_MOV[EMPRESA],$C$4,LANÇ_MOV[CENTRO DE CUSTOS],$D$4)</f>
        <v>0</v>
      </c>
      <c r="P784" s="207">
        <f t="shared" si="100"/>
        <v>0</v>
      </c>
      <c r="Q784" s="329">
        <v>6.9999999999999999E-6</v>
      </c>
      <c r="R784" s="346">
        <f t="shared" si="101"/>
        <v>6.9999999999999999E-6</v>
      </c>
      <c r="S784" s="347" t="str">
        <f t="shared" si="102"/>
        <v>-</v>
      </c>
      <c r="T784" s="347">
        <f t="shared" si="103"/>
        <v>0</v>
      </c>
      <c r="U784" s="347">
        <f>HLOOKUP(Apoio!$P$12,$D$752:$P$853,X784,FALSE)+Q784</f>
        <v>6.9999999999999999E-6</v>
      </c>
      <c r="V784" s="447" t="str">
        <f t="shared" si="104"/>
        <v>-</v>
      </c>
      <c r="W784" s="448">
        <f>HLOOKUP(Apoio!$P$12,$D$752:$P$853,X784,FALSE)</f>
        <v>0</v>
      </c>
      <c r="X784" s="329">
        <v>33</v>
      </c>
    </row>
    <row r="785" spans="2:24" ht="30.05" customHeight="1" x14ac:dyDescent="0.35">
      <c r="B785" s="204" t="str">
        <f>'CAD_PL_REC-DESP'!Z36</f>
        <v>2.6.32</v>
      </c>
      <c r="C785" s="205" t="str">
        <f>IF('CAD_PL_REC-DESP'!AA36="","-",'CAD_PL_REC-DESP'!AA36)</f>
        <v>-</v>
      </c>
      <c r="D785" s="206">
        <f>SUMIFS(LANÇ_MOV[VALOR LÍQUIDO],LANÇ_MOV[RECEITA OU DESPESA],"Despesa",LANÇ_MOV[CONTAS],$C785,LANÇ_MOV[PLANO DE CONTAS],REL_DRE_FINANCEIRO!$B$753,LANÇ_MOV[ANO PAGAMENTO],$B$4,LANÇ_MOV[MÊS PAGAMENTO CORRESPONDENTE],D$6,LANÇ_MOV[EMPRESA],$C$4,LANÇ_MOV[CENTRO DE CUSTOS],$D$4)</f>
        <v>0</v>
      </c>
      <c r="E785" s="206">
        <f>SUMIFS(LANÇ_MOV[VALOR LÍQUIDO],LANÇ_MOV[RECEITA OU DESPESA],"Despesa",LANÇ_MOV[CONTAS],$C785,LANÇ_MOV[PLANO DE CONTAS],REL_DRE_FINANCEIRO!$B$753,LANÇ_MOV[ANO PAGAMENTO],$B$4,LANÇ_MOV[MÊS PAGAMENTO CORRESPONDENTE],E$6,LANÇ_MOV[EMPRESA],$C$4,LANÇ_MOV[CENTRO DE CUSTOS],$D$4)</f>
        <v>0</v>
      </c>
      <c r="F785" s="206">
        <f>SUMIFS(LANÇ_MOV[VALOR LÍQUIDO],LANÇ_MOV[RECEITA OU DESPESA],"Despesa",LANÇ_MOV[CONTAS],$C785,LANÇ_MOV[PLANO DE CONTAS],REL_DRE_FINANCEIRO!$B$753,LANÇ_MOV[ANO PAGAMENTO],$B$4,LANÇ_MOV[MÊS PAGAMENTO CORRESPONDENTE],F$6,LANÇ_MOV[EMPRESA],$C$4,LANÇ_MOV[CENTRO DE CUSTOS],$D$4)</f>
        <v>0</v>
      </c>
      <c r="G785" s="206">
        <f>SUMIFS(LANÇ_MOV[VALOR LÍQUIDO],LANÇ_MOV[RECEITA OU DESPESA],"Despesa",LANÇ_MOV[CONTAS],$C785,LANÇ_MOV[PLANO DE CONTAS],REL_DRE_FINANCEIRO!$B$753,LANÇ_MOV[ANO PAGAMENTO],$B$4,LANÇ_MOV[MÊS PAGAMENTO CORRESPONDENTE],G$6,LANÇ_MOV[EMPRESA],$C$4,LANÇ_MOV[CENTRO DE CUSTOS],$D$4)</f>
        <v>0</v>
      </c>
      <c r="H785" s="206">
        <f>SUMIFS(LANÇ_MOV[VALOR LÍQUIDO],LANÇ_MOV[RECEITA OU DESPESA],"Despesa",LANÇ_MOV[CONTAS],$C785,LANÇ_MOV[PLANO DE CONTAS],REL_DRE_FINANCEIRO!$B$753,LANÇ_MOV[ANO PAGAMENTO],$B$4,LANÇ_MOV[MÊS PAGAMENTO CORRESPONDENTE],H$6,LANÇ_MOV[EMPRESA],$C$4,LANÇ_MOV[CENTRO DE CUSTOS],$D$4)</f>
        <v>0</v>
      </c>
      <c r="I785" s="206">
        <f>SUMIFS(LANÇ_MOV[VALOR LÍQUIDO],LANÇ_MOV[RECEITA OU DESPESA],"Despesa",LANÇ_MOV[CONTAS],$C785,LANÇ_MOV[PLANO DE CONTAS],REL_DRE_FINANCEIRO!$B$753,LANÇ_MOV[ANO PAGAMENTO],$B$4,LANÇ_MOV[MÊS PAGAMENTO CORRESPONDENTE],I$6,LANÇ_MOV[EMPRESA],$C$4,LANÇ_MOV[CENTRO DE CUSTOS],$D$4)</f>
        <v>0</v>
      </c>
      <c r="J785" s="206">
        <f>SUMIFS(LANÇ_MOV[VALOR LÍQUIDO],LANÇ_MOV[RECEITA OU DESPESA],"Despesa",LANÇ_MOV[CONTAS],$C785,LANÇ_MOV[PLANO DE CONTAS],REL_DRE_FINANCEIRO!$B$753,LANÇ_MOV[ANO PAGAMENTO],$B$4,LANÇ_MOV[MÊS PAGAMENTO CORRESPONDENTE],J$6,LANÇ_MOV[EMPRESA],$C$4,LANÇ_MOV[CENTRO DE CUSTOS],$D$4)</f>
        <v>0</v>
      </c>
      <c r="K785" s="206">
        <f>SUMIFS(LANÇ_MOV[VALOR LÍQUIDO],LANÇ_MOV[RECEITA OU DESPESA],"Despesa",LANÇ_MOV[CONTAS],$C785,LANÇ_MOV[PLANO DE CONTAS],REL_DRE_FINANCEIRO!$B$753,LANÇ_MOV[ANO PAGAMENTO],$B$4,LANÇ_MOV[MÊS PAGAMENTO CORRESPONDENTE],K$6,LANÇ_MOV[EMPRESA],$C$4,LANÇ_MOV[CENTRO DE CUSTOS],$D$4)</f>
        <v>0</v>
      </c>
      <c r="L785" s="206">
        <f>SUMIFS(LANÇ_MOV[VALOR LÍQUIDO],LANÇ_MOV[RECEITA OU DESPESA],"Despesa",LANÇ_MOV[CONTAS],$C785,LANÇ_MOV[PLANO DE CONTAS],REL_DRE_FINANCEIRO!$B$753,LANÇ_MOV[ANO PAGAMENTO],$B$4,LANÇ_MOV[MÊS PAGAMENTO CORRESPONDENTE],L$6,LANÇ_MOV[EMPRESA],$C$4,LANÇ_MOV[CENTRO DE CUSTOS],$D$4)</f>
        <v>0</v>
      </c>
      <c r="M785" s="206">
        <f>SUMIFS(LANÇ_MOV[VALOR LÍQUIDO],LANÇ_MOV[RECEITA OU DESPESA],"Despesa",LANÇ_MOV[CONTAS],$C785,LANÇ_MOV[PLANO DE CONTAS],REL_DRE_FINANCEIRO!$B$753,LANÇ_MOV[ANO PAGAMENTO],$B$4,LANÇ_MOV[MÊS PAGAMENTO CORRESPONDENTE],M$6,LANÇ_MOV[EMPRESA],$C$4,LANÇ_MOV[CENTRO DE CUSTOS],$D$4)</f>
        <v>0</v>
      </c>
      <c r="N785" s="206">
        <f>SUMIFS(LANÇ_MOV[VALOR LÍQUIDO],LANÇ_MOV[RECEITA OU DESPESA],"Despesa",LANÇ_MOV[CONTAS],$C785,LANÇ_MOV[PLANO DE CONTAS],REL_DRE_FINANCEIRO!$B$753,LANÇ_MOV[ANO PAGAMENTO],$B$4,LANÇ_MOV[MÊS PAGAMENTO CORRESPONDENTE],N$6,LANÇ_MOV[EMPRESA],$C$4,LANÇ_MOV[CENTRO DE CUSTOS],$D$4)</f>
        <v>0</v>
      </c>
      <c r="O785" s="206">
        <f>SUMIFS(LANÇ_MOV[VALOR LÍQUIDO],LANÇ_MOV[RECEITA OU DESPESA],"Despesa",LANÇ_MOV[CONTAS],$C785,LANÇ_MOV[PLANO DE CONTAS],REL_DRE_FINANCEIRO!$B$753,LANÇ_MOV[ANO PAGAMENTO],$B$4,LANÇ_MOV[MÊS PAGAMENTO CORRESPONDENTE],O$6,LANÇ_MOV[EMPRESA],$C$4,LANÇ_MOV[CENTRO DE CUSTOS],$D$4)</f>
        <v>0</v>
      </c>
      <c r="P785" s="207">
        <f t="shared" si="100"/>
        <v>0</v>
      </c>
      <c r="Q785" s="329">
        <v>6.9E-6</v>
      </c>
      <c r="R785" s="346">
        <f t="shared" si="101"/>
        <v>6.9E-6</v>
      </c>
      <c r="S785" s="347" t="str">
        <f t="shared" si="102"/>
        <v>-</v>
      </c>
      <c r="T785" s="347">
        <f t="shared" si="103"/>
        <v>0</v>
      </c>
      <c r="U785" s="347">
        <f>HLOOKUP(Apoio!$P$12,$D$752:$P$853,X785,FALSE)+Q785</f>
        <v>6.9E-6</v>
      </c>
      <c r="V785" s="447" t="str">
        <f t="shared" si="104"/>
        <v>-</v>
      </c>
      <c r="W785" s="448">
        <f>HLOOKUP(Apoio!$P$12,$D$752:$P$853,X785,FALSE)</f>
        <v>0</v>
      </c>
      <c r="X785" s="329">
        <v>34</v>
      </c>
    </row>
    <row r="786" spans="2:24" ht="30.05" customHeight="1" x14ac:dyDescent="0.35">
      <c r="B786" s="204" t="str">
        <f>'CAD_PL_REC-DESP'!Z37</f>
        <v>2.6.33</v>
      </c>
      <c r="C786" s="205" t="str">
        <f>IF('CAD_PL_REC-DESP'!AA37="","-",'CAD_PL_REC-DESP'!AA37)</f>
        <v>-</v>
      </c>
      <c r="D786" s="206">
        <f>SUMIFS(LANÇ_MOV[VALOR LÍQUIDO],LANÇ_MOV[RECEITA OU DESPESA],"Despesa",LANÇ_MOV[CONTAS],$C786,LANÇ_MOV[PLANO DE CONTAS],REL_DRE_FINANCEIRO!$B$753,LANÇ_MOV[ANO PAGAMENTO],$B$4,LANÇ_MOV[MÊS PAGAMENTO CORRESPONDENTE],D$6,LANÇ_MOV[EMPRESA],$C$4,LANÇ_MOV[CENTRO DE CUSTOS],$D$4)</f>
        <v>0</v>
      </c>
      <c r="E786" s="206">
        <f>SUMIFS(LANÇ_MOV[VALOR LÍQUIDO],LANÇ_MOV[RECEITA OU DESPESA],"Despesa",LANÇ_MOV[CONTAS],$C786,LANÇ_MOV[PLANO DE CONTAS],REL_DRE_FINANCEIRO!$B$753,LANÇ_MOV[ANO PAGAMENTO],$B$4,LANÇ_MOV[MÊS PAGAMENTO CORRESPONDENTE],E$6,LANÇ_MOV[EMPRESA],$C$4,LANÇ_MOV[CENTRO DE CUSTOS],$D$4)</f>
        <v>0</v>
      </c>
      <c r="F786" s="206">
        <f>SUMIFS(LANÇ_MOV[VALOR LÍQUIDO],LANÇ_MOV[RECEITA OU DESPESA],"Despesa",LANÇ_MOV[CONTAS],$C786,LANÇ_MOV[PLANO DE CONTAS],REL_DRE_FINANCEIRO!$B$753,LANÇ_MOV[ANO PAGAMENTO],$B$4,LANÇ_MOV[MÊS PAGAMENTO CORRESPONDENTE],F$6,LANÇ_MOV[EMPRESA],$C$4,LANÇ_MOV[CENTRO DE CUSTOS],$D$4)</f>
        <v>0</v>
      </c>
      <c r="G786" s="206">
        <f>SUMIFS(LANÇ_MOV[VALOR LÍQUIDO],LANÇ_MOV[RECEITA OU DESPESA],"Despesa",LANÇ_MOV[CONTAS],$C786,LANÇ_MOV[PLANO DE CONTAS],REL_DRE_FINANCEIRO!$B$753,LANÇ_MOV[ANO PAGAMENTO],$B$4,LANÇ_MOV[MÊS PAGAMENTO CORRESPONDENTE],G$6,LANÇ_MOV[EMPRESA],$C$4,LANÇ_MOV[CENTRO DE CUSTOS],$D$4)</f>
        <v>0</v>
      </c>
      <c r="H786" s="206">
        <f>SUMIFS(LANÇ_MOV[VALOR LÍQUIDO],LANÇ_MOV[RECEITA OU DESPESA],"Despesa",LANÇ_MOV[CONTAS],$C786,LANÇ_MOV[PLANO DE CONTAS],REL_DRE_FINANCEIRO!$B$753,LANÇ_MOV[ANO PAGAMENTO],$B$4,LANÇ_MOV[MÊS PAGAMENTO CORRESPONDENTE],H$6,LANÇ_MOV[EMPRESA],$C$4,LANÇ_MOV[CENTRO DE CUSTOS],$D$4)</f>
        <v>0</v>
      </c>
      <c r="I786" s="206">
        <f>SUMIFS(LANÇ_MOV[VALOR LÍQUIDO],LANÇ_MOV[RECEITA OU DESPESA],"Despesa",LANÇ_MOV[CONTAS],$C786,LANÇ_MOV[PLANO DE CONTAS],REL_DRE_FINANCEIRO!$B$753,LANÇ_MOV[ANO PAGAMENTO],$B$4,LANÇ_MOV[MÊS PAGAMENTO CORRESPONDENTE],I$6,LANÇ_MOV[EMPRESA],$C$4,LANÇ_MOV[CENTRO DE CUSTOS],$D$4)</f>
        <v>0</v>
      </c>
      <c r="J786" s="206">
        <f>SUMIFS(LANÇ_MOV[VALOR LÍQUIDO],LANÇ_MOV[RECEITA OU DESPESA],"Despesa",LANÇ_MOV[CONTAS],$C786,LANÇ_MOV[PLANO DE CONTAS],REL_DRE_FINANCEIRO!$B$753,LANÇ_MOV[ANO PAGAMENTO],$B$4,LANÇ_MOV[MÊS PAGAMENTO CORRESPONDENTE],J$6,LANÇ_MOV[EMPRESA],$C$4,LANÇ_MOV[CENTRO DE CUSTOS],$D$4)</f>
        <v>0</v>
      </c>
      <c r="K786" s="206">
        <f>SUMIFS(LANÇ_MOV[VALOR LÍQUIDO],LANÇ_MOV[RECEITA OU DESPESA],"Despesa",LANÇ_MOV[CONTAS],$C786,LANÇ_MOV[PLANO DE CONTAS],REL_DRE_FINANCEIRO!$B$753,LANÇ_MOV[ANO PAGAMENTO],$B$4,LANÇ_MOV[MÊS PAGAMENTO CORRESPONDENTE],K$6,LANÇ_MOV[EMPRESA],$C$4,LANÇ_MOV[CENTRO DE CUSTOS],$D$4)</f>
        <v>0</v>
      </c>
      <c r="L786" s="206">
        <f>SUMIFS(LANÇ_MOV[VALOR LÍQUIDO],LANÇ_MOV[RECEITA OU DESPESA],"Despesa",LANÇ_MOV[CONTAS],$C786,LANÇ_MOV[PLANO DE CONTAS],REL_DRE_FINANCEIRO!$B$753,LANÇ_MOV[ANO PAGAMENTO],$B$4,LANÇ_MOV[MÊS PAGAMENTO CORRESPONDENTE],L$6,LANÇ_MOV[EMPRESA],$C$4,LANÇ_MOV[CENTRO DE CUSTOS],$D$4)</f>
        <v>0</v>
      </c>
      <c r="M786" s="206">
        <f>SUMIFS(LANÇ_MOV[VALOR LÍQUIDO],LANÇ_MOV[RECEITA OU DESPESA],"Despesa",LANÇ_MOV[CONTAS],$C786,LANÇ_MOV[PLANO DE CONTAS],REL_DRE_FINANCEIRO!$B$753,LANÇ_MOV[ANO PAGAMENTO],$B$4,LANÇ_MOV[MÊS PAGAMENTO CORRESPONDENTE],M$6,LANÇ_MOV[EMPRESA],$C$4,LANÇ_MOV[CENTRO DE CUSTOS],$D$4)</f>
        <v>0</v>
      </c>
      <c r="N786" s="206">
        <f>SUMIFS(LANÇ_MOV[VALOR LÍQUIDO],LANÇ_MOV[RECEITA OU DESPESA],"Despesa",LANÇ_MOV[CONTAS],$C786,LANÇ_MOV[PLANO DE CONTAS],REL_DRE_FINANCEIRO!$B$753,LANÇ_MOV[ANO PAGAMENTO],$B$4,LANÇ_MOV[MÊS PAGAMENTO CORRESPONDENTE],N$6,LANÇ_MOV[EMPRESA],$C$4,LANÇ_MOV[CENTRO DE CUSTOS],$D$4)</f>
        <v>0</v>
      </c>
      <c r="O786" s="206">
        <f>SUMIFS(LANÇ_MOV[VALOR LÍQUIDO],LANÇ_MOV[RECEITA OU DESPESA],"Despesa",LANÇ_MOV[CONTAS],$C786,LANÇ_MOV[PLANO DE CONTAS],REL_DRE_FINANCEIRO!$B$753,LANÇ_MOV[ANO PAGAMENTO],$B$4,LANÇ_MOV[MÊS PAGAMENTO CORRESPONDENTE],O$6,LANÇ_MOV[EMPRESA],$C$4,LANÇ_MOV[CENTRO DE CUSTOS],$D$4)</f>
        <v>0</v>
      </c>
      <c r="P786" s="207">
        <f t="shared" si="100"/>
        <v>0</v>
      </c>
      <c r="Q786" s="329">
        <v>6.8000000000000001E-6</v>
      </c>
      <c r="R786" s="346">
        <f t="shared" si="101"/>
        <v>6.8000000000000001E-6</v>
      </c>
      <c r="S786" s="347" t="str">
        <f t="shared" si="102"/>
        <v>-</v>
      </c>
      <c r="T786" s="347">
        <f t="shared" si="103"/>
        <v>0</v>
      </c>
      <c r="U786" s="347">
        <f>HLOOKUP(Apoio!$P$12,$D$752:$P$853,X786,FALSE)+Q786</f>
        <v>6.8000000000000001E-6</v>
      </c>
      <c r="V786" s="447" t="str">
        <f t="shared" si="104"/>
        <v>-</v>
      </c>
      <c r="W786" s="448">
        <f>HLOOKUP(Apoio!$P$12,$D$752:$P$853,X786,FALSE)</f>
        <v>0</v>
      </c>
      <c r="X786" s="329">
        <v>35</v>
      </c>
    </row>
    <row r="787" spans="2:24" ht="30.05" customHeight="1" x14ac:dyDescent="0.35">
      <c r="B787" s="204" t="str">
        <f>'CAD_PL_REC-DESP'!Z38</f>
        <v>2.6.34</v>
      </c>
      <c r="C787" s="205" t="str">
        <f>IF('CAD_PL_REC-DESP'!AA38="","-",'CAD_PL_REC-DESP'!AA38)</f>
        <v>-</v>
      </c>
      <c r="D787" s="206">
        <f>SUMIFS(LANÇ_MOV[VALOR LÍQUIDO],LANÇ_MOV[RECEITA OU DESPESA],"Despesa",LANÇ_MOV[CONTAS],$C787,LANÇ_MOV[PLANO DE CONTAS],REL_DRE_FINANCEIRO!$B$753,LANÇ_MOV[ANO PAGAMENTO],$B$4,LANÇ_MOV[MÊS PAGAMENTO CORRESPONDENTE],D$6,LANÇ_MOV[EMPRESA],$C$4,LANÇ_MOV[CENTRO DE CUSTOS],$D$4)</f>
        <v>0</v>
      </c>
      <c r="E787" s="206">
        <f>SUMIFS(LANÇ_MOV[VALOR LÍQUIDO],LANÇ_MOV[RECEITA OU DESPESA],"Despesa",LANÇ_MOV[CONTAS],$C787,LANÇ_MOV[PLANO DE CONTAS],REL_DRE_FINANCEIRO!$B$753,LANÇ_MOV[ANO PAGAMENTO],$B$4,LANÇ_MOV[MÊS PAGAMENTO CORRESPONDENTE],E$6,LANÇ_MOV[EMPRESA],$C$4,LANÇ_MOV[CENTRO DE CUSTOS],$D$4)</f>
        <v>0</v>
      </c>
      <c r="F787" s="206">
        <f>SUMIFS(LANÇ_MOV[VALOR LÍQUIDO],LANÇ_MOV[RECEITA OU DESPESA],"Despesa",LANÇ_MOV[CONTAS],$C787,LANÇ_MOV[PLANO DE CONTAS],REL_DRE_FINANCEIRO!$B$753,LANÇ_MOV[ANO PAGAMENTO],$B$4,LANÇ_MOV[MÊS PAGAMENTO CORRESPONDENTE],F$6,LANÇ_MOV[EMPRESA],$C$4,LANÇ_MOV[CENTRO DE CUSTOS],$D$4)</f>
        <v>0</v>
      </c>
      <c r="G787" s="206">
        <f>SUMIFS(LANÇ_MOV[VALOR LÍQUIDO],LANÇ_MOV[RECEITA OU DESPESA],"Despesa",LANÇ_MOV[CONTAS],$C787,LANÇ_MOV[PLANO DE CONTAS],REL_DRE_FINANCEIRO!$B$753,LANÇ_MOV[ANO PAGAMENTO],$B$4,LANÇ_MOV[MÊS PAGAMENTO CORRESPONDENTE],G$6,LANÇ_MOV[EMPRESA],$C$4,LANÇ_MOV[CENTRO DE CUSTOS],$D$4)</f>
        <v>0</v>
      </c>
      <c r="H787" s="206">
        <f>SUMIFS(LANÇ_MOV[VALOR LÍQUIDO],LANÇ_MOV[RECEITA OU DESPESA],"Despesa",LANÇ_MOV[CONTAS],$C787,LANÇ_MOV[PLANO DE CONTAS],REL_DRE_FINANCEIRO!$B$753,LANÇ_MOV[ANO PAGAMENTO],$B$4,LANÇ_MOV[MÊS PAGAMENTO CORRESPONDENTE],H$6,LANÇ_MOV[EMPRESA],$C$4,LANÇ_MOV[CENTRO DE CUSTOS],$D$4)</f>
        <v>0</v>
      </c>
      <c r="I787" s="206">
        <f>SUMIFS(LANÇ_MOV[VALOR LÍQUIDO],LANÇ_MOV[RECEITA OU DESPESA],"Despesa",LANÇ_MOV[CONTAS],$C787,LANÇ_MOV[PLANO DE CONTAS],REL_DRE_FINANCEIRO!$B$753,LANÇ_MOV[ANO PAGAMENTO],$B$4,LANÇ_MOV[MÊS PAGAMENTO CORRESPONDENTE],I$6,LANÇ_MOV[EMPRESA],$C$4,LANÇ_MOV[CENTRO DE CUSTOS],$D$4)</f>
        <v>0</v>
      </c>
      <c r="J787" s="206">
        <f>SUMIFS(LANÇ_MOV[VALOR LÍQUIDO],LANÇ_MOV[RECEITA OU DESPESA],"Despesa",LANÇ_MOV[CONTAS],$C787,LANÇ_MOV[PLANO DE CONTAS],REL_DRE_FINANCEIRO!$B$753,LANÇ_MOV[ANO PAGAMENTO],$B$4,LANÇ_MOV[MÊS PAGAMENTO CORRESPONDENTE],J$6,LANÇ_MOV[EMPRESA],$C$4,LANÇ_MOV[CENTRO DE CUSTOS],$D$4)</f>
        <v>0</v>
      </c>
      <c r="K787" s="206">
        <f>SUMIFS(LANÇ_MOV[VALOR LÍQUIDO],LANÇ_MOV[RECEITA OU DESPESA],"Despesa",LANÇ_MOV[CONTAS],$C787,LANÇ_MOV[PLANO DE CONTAS],REL_DRE_FINANCEIRO!$B$753,LANÇ_MOV[ANO PAGAMENTO],$B$4,LANÇ_MOV[MÊS PAGAMENTO CORRESPONDENTE],K$6,LANÇ_MOV[EMPRESA],$C$4,LANÇ_MOV[CENTRO DE CUSTOS],$D$4)</f>
        <v>0</v>
      </c>
      <c r="L787" s="206">
        <f>SUMIFS(LANÇ_MOV[VALOR LÍQUIDO],LANÇ_MOV[RECEITA OU DESPESA],"Despesa",LANÇ_MOV[CONTAS],$C787,LANÇ_MOV[PLANO DE CONTAS],REL_DRE_FINANCEIRO!$B$753,LANÇ_MOV[ANO PAGAMENTO],$B$4,LANÇ_MOV[MÊS PAGAMENTO CORRESPONDENTE],L$6,LANÇ_MOV[EMPRESA],$C$4,LANÇ_MOV[CENTRO DE CUSTOS],$D$4)</f>
        <v>0</v>
      </c>
      <c r="M787" s="206">
        <f>SUMIFS(LANÇ_MOV[VALOR LÍQUIDO],LANÇ_MOV[RECEITA OU DESPESA],"Despesa",LANÇ_MOV[CONTAS],$C787,LANÇ_MOV[PLANO DE CONTAS],REL_DRE_FINANCEIRO!$B$753,LANÇ_MOV[ANO PAGAMENTO],$B$4,LANÇ_MOV[MÊS PAGAMENTO CORRESPONDENTE],M$6,LANÇ_MOV[EMPRESA],$C$4,LANÇ_MOV[CENTRO DE CUSTOS],$D$4)</f>
        <v>0</v>
      </c>
      <c r="N787" s="206">
        <f>SUMIFS(LANÇ_MOV[VALOR LÍQUIDO],LANÇ_MOV[RECEITA OU DESPESA],"Despesa",LANÇ_MOV[CONTAS],$C787,LANÇ_MOV[PLANO DE CONTAS],REL_DRE_FINANCEIRO!$B$753,LANÇ_MOV[ANO PAGAMENTO],$B$4,LANÇ_MOV[MÊS PAGAMENTO CORRESPONDENTE],N$6,LANÇ_MOV[EMPRESA],$C$4,LANÇ_MOV[CENTRO DE CUSTOS],$D$4)</f>
        <v>0</v>
      </c>
      <c r="O787" s="206">
        <f>SUMIFS(LANÇ_MOV[VALOR LÍQUIDO],LANÇ_MOV[RECEITA OU DESPESA],"Despesa",LANÇ_MOV[CONTAS],$C787,LANÇ_MOV[PLANO DE CONTAS],REL_DRE_FINANCEIRO!$B$753,LANÇ_MOV[ANO PAGAMENTO],$B$4,LANÇ_MOV[MÊS PAGAMENTO CORRESPONDENTE],O$6,LANÇ_MOV[EMPRESA],$C$4,LANÇ_MOV[CENTRO DE CUSTOS],$D$4)</f>
        <v>0</v>
      </c>
      <c r="P787" s="207">
        <f t="shared" si="100"/>
        <v>0</v>
      </c>
      <c r="Q787" s="329">
        <v>6.7000000000000002E-6</v>
      </c>
      <c r="R787" s="346">
        <f t="shared" si="101"/>
        <v>6.7000000000000002E-6</v>
      </c>
      <c r="S787" s="347" t="str">
        <f t="shared" si="102"/>
        <v>-</v>
      </c>
      <c r="T787" s="347">
        <f t="shared" si="103"/>
        <v>0</v>
      </c>
      <c r="U787" s="347">
        <f>HLOOKUP(Apoio!$P$12,$D$752:$P$853,X787,FALSE)+Q787</f>
        <v>6.7000000000000002E-6</v>
      </c>
      <c r="V787" s="447" t="str">
        <f t="shared" si="104"/>
        <v>-</v>
      </c>
      <c r="W787" s="448">
        <f>HLOOKUP(Apoio!$P$12,$D$752:$P$853,X787,FALSE)</f>
        <v>0</v>
      </c>
      <c r="X787" s="329">
        <v>36</v>
      </c>
    </row>
    <row r="788" spans="2:24" ht="30.05" customHeight="1" x14ac:dyDescent="0.35">
      <c r="B788" s="204" t="str">
        <f>'CAD_PL_REC-DESP'!Z39</f>
        <v>2.6.35</v>
      </c>
      <c r="C788" s="205" t="str">
        <f>IF('CAD_PL_REC-DESP'!AA39="","-",'CAD_PL_REC-DESP'!AA39)</f>
        <v>-</v>
      </c>
      <c r="D788" s="206">
        <f>SUMIFS(LANÇ_MOV[VALOR LÍQUIDO],LANÇ_MOV[RECEITA OU DESPESA],"Despesa",LANÇ_MOV[CONTAS],$C788,LANÇ_MOV[PLANO DE CONTAS],REL_DRE_FINANCEIRO!$B$753,LANÇ_MOV[ANO PAGAMENTO],$B$4,LANÇ_MOV[MÊS PAGAMENTO CORRESPONDENTE],D$6,LANÇ_MOV[EMPRESA],$C$4,LANÇ_MOV[CENTRO DE CUSTOS],$D$4)</f>
        <v>0</v>
      </c>
      <c r="E788" s="206">
        <f>SUMIFS(LANÇ_MOV[VALOR LÍQUIDO],LANÇ_MOV[RECEITA OU DESPESA],"Despesa",LANÇ_MOV[CONTAS],$C788,LANÇ_MOV[PLANO DE CONTAS],REL_DRE_FINANCEIRO!$B$753,LANÇ_MOV[ANO PAGAMENTO],$B$4,LANÇ_MOV[MÊS PAGAMENTO CORRESPONDENTE],E$6,LANÇ_MOV[EMPRESA],$C$4,LANÇ_MOV[CENTRO DE CUSTOS],$D$4)</f>
        <v>0</v>
      </c>
      <c r="F788" s="206">
        <f>SUMIFS(LANÇ_MOV[VALOR LÍQUIDO],LANÇ_MOV[RECEITA OU DESPESA],"Despesa",LANÇ_MOV[CONTAS],$C788,LANÇ_MOV[PLANO DE CONTAS],REL_DRE_FINANCEIRO!$B$753,LANÇ_MOV[ANO PAGAMENTO],$B$4,LANÇ_MOV[MÊS PAGAMENTO CORRESPONDENTE],F$6,LANÇ_MOV[EMPRESA],$C$4,LANÇ_MOV[CENTRO DE CUSTOS],$D$4)</f>
        <v>0</v>
      </c>
      <c r="G788" s="206">
        <f>SUMIFS(LANÇ_MOV[VALOR LÍQUIDO],LANÇ_MOV[RECEITA OU DESPESA],"Despesa",LANÇ_MOV[CONTAS],$C788,LANÇ_MOV[PLANO DE CONTAS],REL_DRE_FINANCEIRO!$B$753,LANÇ_MOV[ANO PAGAMENTO],$B$4,LANÇ_MOV[MÊS PAGAMENTO CORRESPONDENTE],G$6,LANÇ_MOV[EMPRESA],$C$4,LANÇ_MOV[CENTRO DE CUSTOS],$D$4)</f>
        <v>0</v>
      </c>
      <c r="H788" s="206">
        <f>SUMIFS(LANÇ_MOV[VALOR LÍQUIDO],LANÇ_MOV[RECEITA OU DESPESA],"Despesa",LANÇ_MOV[CONTAS],$C788,LANÇ_MOV[PLANO DE CONTAS],REL_DRE_FINANCEIRO!$B$753,LANÇ_MOV[ANO PAGAMENTO],$B$4,LANÇ_MOV[MÊS PAGAMENTO CORRESPONDENTE],H$6,LANÇ_MOV[EMPRESA],$C$4,LANÇ_MOV[CENTRO DE CUSTOS],$D$4)</f>
        <v>0</v>
      </c>
      <c r="I788" s="206">
        <f>SUMIFS(LANÇ_MOV[VALOR LÍQUIDO],LANÇ_MOV[RECEITA OU DESPESA],"Despesa",LANÇ_MOV[CONTAS],$C788,LANÇ_MOV[PLANO DE CONTAS],REL_DRE_FINANCEIRO!$B$753,LANÇ_MOV[ANO PAGAMENTO],$B$4,LANÇ_MOV[MÊS PAGAMENTO CORRESPONDENTE],I$6,LANÇ_MOV[EMPRESA],$C$4,LANÇ_MOV[CENTRO DE CUSTOS],$D$4)</f>
        <v>0</v>
      </c>
      <c r="J788" s="206">
        <f>SUMIFS(LANÇ_MOV[VALOR LÍQUIDO],LANÇ_MOV[RECEITA OU DESPESA],"Despesa",LANÇ_MOV[CONTAS],$C788,LANÇ_MOV[PLANO DE CONTAS],REL_DRE_FINANCEIRO!$B$753,LANÇ_MOV[ANO PAGAMENTO],$B$4,LANÇ_MOV[MÊS PAGAMENTO CORRESPONDENTE],J$6,LANÇ_MOV[EMPRESA],$C$4,LANÇ_MOV[CENTRO DE CUSTOS],$D$4)</f>
        <v>0</v>
      </c>
      <c r="K788" s="206">
        <f>SUMIFS(LANÇ_MOV[VALOR LÍQUIDO],LANÇ_MOV[RECEITA OU DESPESA],"Despesa",LANÇ_MOV[CONTAS],$C788,LANÇ_MOV[PLANO DE CONTAS],REL_DRE_FINANCEIRO!$B$753,LANÇ_MOV[ANO PAGAMENTO],$B$4,LANÇ_MOV[MÊS PAGAMENTO CORRESPONDENTE],K$6,LANÇ_MOV[EMPRESA],$C$4,LANÇ_MOV[CENTRO DE CUSTOS],$D$4)</f>
        <v>0</v>
      </c>
      <c r="L788" s="206">
        <f>SUMIFS(LANÇ_MOV[VALOR LÍQUIDO],LANÇ_MOV[RECEITA OU DESPESA],"Despesa",LANÇ_MOV[CONTAS],$C788,LANÇ_MOV[PLANO DE CONTAS],REL_DRE_FINANCEIRO!$B$753,LANÇ_MOV[ANO PAGAMENTO],$B$4,LANÇ_MOV[MÊS PAGAMENTO CORRESPONDENTE],L$6,LANÇ_MOV[EMPRESA],$C$4,LANÇ_MOV[CENTRO DE CUSTOS],$D$4)</f>
        <v>0</v>
      </c>
      <c r="M788" s="206">
        <f>SUMIFS(LANÇ_MOV[VALOR LÍQUIDO],LANÇ_MOV[RECEITA OU DESPESA],"Despesa",LANÇ_MOV[CONTAS],$C788,LANÇ_MOV[PLANO DE CONTAS],REL_DRE_FINANCEIRO!$B$753,LANÇ_MOV[ANO PAGAMENTO],$B$4,LANÇ_MOV[MÊS PAGAMENTO CORRESPONDENTE],M$6,LANÇ_MOV[EMPRESA],$C$4,LANÇ_MOV[CENTRO DE CUSTOS],$D$4)</f>
        <v>0</v>
      </c>
      <c r="N788" s="206">
        <f>SUMIFS(LANÇ_MOV[VALOR LÍQUIDO],LANÇ_MOV[RECEITA OU DESPESA],"Despesa",LANÇ_MOV[CONTAS],$C788,LANÇ_MOV[PLANO DE CONTAS],REL_DRE_FINANCEIRO!$B$753,LANÇ_MOV[ANO PAGAMENTO],$B$4,LANÇ_MOV[MÊS PAGAMENTO CORRESPONDENTE],N$6,LANÇ_MOV[EMPRESA],$C$4,LANÇ_MOV[CENTRO DE CUSTOS],$D$4)</f>
        <v>0</v>
      </c>
      <c r="O788" s="206">
        <f>SUMIFS(LANÇ_MOV[VALOR LÍQUIDO],LANÇ_MOV[RECEITA OU DESPESA],"Despesa",LANÇ_MOV[CONTAS],$C788,LANÇ_MOV[PLANO DE CONTAS],REL_DRE_FINANCEIRO!$B$753,LANÇ_MOV[ANO PAGAMENTO],$B$4,LANÇ_MOV[MÊS PAGAMENTO CORRESPONDENTE],O$6,LANÇ_MOV[EMPRESA],$C$4,LANÇ_MOV[CENTRO DE CUSTOS],$D$4)</f>
        <v>0</v>
      </c>
      <c r="P788" s="207">
        <f t="shared" si="100"/>
        <v>0</v>
      </c>
      <c r="Q788" s="329">
        <v>6.6000000000000003E-6</v>
      </c>
      <c r="R788" s="346">
        <f t="shared" si="101"/>
        <v>6.6000000000000003E-6</v>
      </c>
      <c r="S788" s="347" t="str">
        <f t="shared" si="102"/>
        <v>-</v>
      </c>
      <c r="T788" s="347">
        <f t="shared" si="103"/>
        <v>0</v>
      </c>
      <c r="U788" s="347">
        <f>HLOOKUP(Apoio!$P$12,$D$752:$P$853,X788,FALSE)+Q788</f>
        <v>6.6000000000000003E-6</v>
      </c>
      <c r="V788" s="447" t="str">
        <f t="shared" si="104"/>
        <v>-</v>
      </c>
      <c r="W788" s="448">
        <f>HLOOKUP(Apoio!$P$12,$D$752:$P$853,X788,FALSE)</f>
        <v>0</v>
      </c>
      <c r="X788" s="329">
        <v>37</v>
      </c>
    </row>
    <row r="789" spans="2:24" ht="30.05" customHeight="1" x14ac:dyDescent="0.35">
      <c r="B789" s="204" t="str">
        <f>'CAD_PL_REC-DESP'!Z40</f>
        <v>2.6.36</v>
      </c>
      <c r="C789" s="205" t="str">
        <f>IF('CAD_PL_REC-DESP'!AA40="","-",'CAD_PL_REC-DESP'!AA40)</f>
        <v>-</v>
      </c>
      <c r="D789" s="206">
        <f>SUMIFS(LANÇ_MOV[VALOR LÍQUIDO],LANÇ_MOV[RECEITA OU DESPESA],"Despesa",LANÇ_MOV[CONTAS],$C789,LANÇ_MOV[PLANO DE CONTAS],REL_DRE_FINANCEIRO!$B$753,LANÇ_MOV[ANO PAGAMENTO],$B$4,LANÇ_MOV[MÊS PAGAMENTO CORRESPONDENTE],D$6,LANÇ_MOV[EMPRESA],$C$4,LANÇ_MOV[CENTRO DE CUSTOS],$D$4)</f>
        <v>0</v>
      </c>
      <c r="E789" s="206">
        <f>SUMIFS(LANÇ_MOV[VALOR LÍQUIDO],LANÇ_MOV[RECEITA OU DESPESA],"Despesa",LANÇ_MOV[CONTAS],$C789,LANÇ_MOV[PLANO DE CONTAS],REL_DRE_FINANCEIRO!$B$753,LANÇ_MOV[ANO PAGAMENTO],$B$4,LANÇ_MOV[MÊS PAGAMENTO CORRESPONDENTE],E$6,LANÇ_MOV[EMPRESA],$C$4,LANÇ_MOV[CENTRO DE CUSTOS],$D$4)</f>
        <v>0</v>
      </c>
      <c r="F789" s="206">
        <f>SUMIFS(LANÇ_MOV[VALOR LÍQUIDO],LANÇ_MOV[RECEITA OU DESPESA],"Despesa",LANÇ_MOV[CONTAS],$C789,LANÇ_MOV[PLANO DE CONTAS],REL_DRE_FINANCEIRO!$B$753,LANÇ_MOV[ANO PAGAMENTO],$B$4,LANÇ_MOV[MÊS PAGAMENTO CORRESPONDENTE],F$6,LANÇ_MOV[EMPRESA],$C$4,LANÇ_MOV[CENTRO DE CUSTOS],$D$4)</f>
        <v>0</v>
      </c>
      <c r="G789" s="206">
        <f>SUMIFS(LANÇ_MOV[VALOR LÍQUIDO],LANÇ_MOV[RECEITA OU DESPESA],"Despesa",LANÇ_MOV[CONTAS],$C789,LANÇ_MOV[PLANO DE CONTAS],REL_DRE_FINANCEIRO!$B$753,LANÇ_MOV[ANO PAGAMENTO],$B$4,LANÇ_MOV[MÊS PAGAMENTO CORRESPONDENTE],G$6,LANÇ_MOV[EMPRESA],$C$4,LANÇ_MOV[CENTRO DE CUSTOS],$D$4)</f>
        <v>0</v>
      </c>
      <c r="H789" s="206">
        <f>SUMIFS(LANÇ_MOV[VALOR LÍQUIDO],LANÇ_MOV[RECEITA OU DESPESA],"Despesa",LANÇ_MOV[CONTAS],$C789,LANÇ_MOV[PLANO DE CONTAS],REL_DRE_FINANCEIRO!$B$753,LANÇ_MOV[ANO PAGAMENTO],$B$4,LANÇ_MOV[MÊS PAGAMENTO CORRESPONDENTE],H$6,LANÇ_MOV[EMPRESA],$C$4,LANÇ_MOV[CENTRO DE CUSTOS],$D$4)</f>
        <v>0</v>
      </c>
      <c r="I789" s="206">
        <f>SUMIFS(LANÇ_MOV[VALOR LÍQUIDO],LANÇ_MOV[RECEITA OU DESPESA],"Despesa",LANÇ_MOV[CONTAS],$C789,LANÇ_MOV[PLANO DE CONTAS],REL_DRE_FINANCEIRO!$B$753,LANÇ_MOV[ANO PAGAMENTO],$B$4,LANÇ_MOV[MÊS PAGAMENTO CORRESPONDENTE],I$6,LANÇ_MOV[EMPRESA],$C$4,LANÇ_MOV[CENTRO DE CUSTOS],$D$4)</f>
        <v>0</v>
      </c>
      <c r="J789" s="206">
        <f>SUMIFS(LANÇ_MOV[VALOR LÍQUIDO],LANÇ_MOV[RECEITA OU DESPESA],"Despesa",LANÇ_MOV[CONTAS],$C789,LANÇ_MOV[PLANO DE CONTAS],REL_DRE_FINANCEIRO!$B$753,LANÇ_MOV[ANO PAGAMENTO],$B$4,LANÇ_MOV[MÊS PAGAMENTO CORRESPONDENTE],J$6,LANÇ_MOV[EMPRESA],$C$4,LANÇ_MOV[CENTRO DE CUSTOS],$D$4)</f>
        <v>0</v>
      </c>
      <c r="K789" s="206">
        <f>SUMIFS(LANÇ_MOV[VALOR LÍQUIDO],LANÇ_MOV[RECEITA OU DESPESA],"Despesa",LANÇ_MOV[CONTAS],$C789,LANÇ_MOV[PLANO DE CONTAS],REL_DRE_FINANCEIRO!$B$753,LANÇ_MOV[ANO PAGAMENTO],$B$4,LANÇ_MOV[MÊS PAGAMENTO CORRESPONDENTE],K$6,LANÇ_MOV[EMPRESA],$C$4,LANÇ_MOV[CENTRO DE CUSTOS],$D$4)</f>
        <v>0</v>
      </c>
      <c r="L789" s="206">
        <f>SUMIFS(LANÇ_MOV[VALOR LÍQUIDO],LANÇ_MOV[RECEITA OU DESPESA],"Despesa",LANÇ_MOV[CONTAS],$C789,LANÇ_MOV[PLANO DE CONTAS],REL_DRE_FINANCEIRO!$B$753,LANÇ_MOV[ANO PAGAMENTO],$B$4,LANÇ_MOV[MÊS PAGAMENTO CORRESPONDENTE],L$6,LANÇ_MOV[EMPRESA],$C$4,LANÇ_MOV[CENTRO DE CUSTOS],$D$4)</f>
        <v>0</v>
      </c>
      <c r="M789" s="206">
        <f>SUMIFS(LANÇ_MOV[VALOR LÍQUIDO],LANÇ_MOV[RECEITA OU DESPESA],"Despesa",LANÇ_MOV[CONTAS],$C789,LANÇ_MOV[PLANO DE CONTAS],REL_DRE_FINANCEIRO!$B$753,LANÇ_MOV[ANO PAGAMENTO],$B$4,LANÇ_MOV[MÊS PAGAMENTO CORRESPONDENTE],M$6,LANÇ_MOV[EMPRESA],$C$4,LANÇ_MOV[CENTRO DE CUSTOS],$D$4)</f>
        <v>0</v>
      </c>
      <c r="N789" s="206">
        <f>SUMIFS(LANÇ_MOV[VALOR LÍQUIDO],LANÇ_MOV[RECEITA OU DESPESA],"Despesa",LANÇ_MOV[CONTAS],$C789,LANÇ_MOV[PLANO DE CONTAS],REL_DRE_FINANCEIRO!$B$753,LANÇ_MOV[ANO PAGAMENTO],$B$4,LANÇ_MOV[MÊS PAGAMENTO CORRESPONDENTE],N$6,LANÇ_MOV[EMPRESA],$C$4,LANÇ_MOV[CENTRO DE CUSTOS],$D$4)</f>
        <v>0</v>
      </c>
      <c r="O789" s="206">
        <f>SUMIFS(LANÇ_MOV[VALOR LÍQUIDO],LANÇ_MOV[RECEITA OU DESPESA],"Despesa",LANÇ_MOV[CONTAS],$C789,LANÇ_MOV[PLANO DE CONTAS],REL_DRE_FINANCEIRO!$B$753,LANÇ_MOV[ANO PAGAMENTO],$B$4,LANÇ_MOV[MÊS PAGAMENTO CORRESPONDENTE],O$6,LANÇ_MOV[EMPRESA],$C$4,LANÇ_MOV[CENTRO DE CUSTOS],$D$4)</f>
        <v>0</v>
      </c>
      <c r="P789" s="207">
        <f t="shared" si="100"/>
        <v>0</v>
      </c>
      <c r="Q789" s="329">
        <v>6.4999999999999996E-6</v>
      </c>
      <c r="R789" s="346">
        <f t="shared" si="101"/>
        <v>6.4999999999999996E-6</v>
      </c>
      <c r="S789" s="347" t="str">
        <f t="shared" si="102"/>
        <v>-</v>
      </c>
      <c r="T789" s="347">
        <f t="shared" si="103"/>
        <v>0</v>
      </c>
      <c r="U789" s="347">
        <f>HLOOKUP(Apoio!$P$12,$D$752:$P$853,X789,FALSE)+Q789</f>
        <v>6.4999999999999996E-6</v>
      </c>
      <c r="V789" s="447" t="str">
        <f t="shared" si="104"/>
        <v>-</v>
      </c>
      <c r="W789" s="448">
        <f>HLOOKUP(Apoio!$P$12,$D$752:$P$853,X789,FALSE)</f>
        <v>0</v>
      </c>
      <c r="X789" s="329">
        <v>38</v>
      </c>
    </row>
    <row r="790" spans="2:24" ht="30.05" customHeight="1" x14ac:dyDescent="0.35">
      <c r="B790" s="204" t="str">
        <f>'CAD_PL_REC-DESP'!Z41</f>
        <v>2.6.37</v>
      </c>
      <c r="C790" s="205" t="str">
        <f>IF('CAD_PL_REC-DESP'!AA41="","-",'CAD_PL_REC-DESP'!AA41)</f>
        <v>-</v>
      </c>
      <c r="D790" s="206">
        <f>SUMIFS(LANÇ_MOV[VALOR LÍQUIDO],LANÇ_MOV[RECEITA OU DESPESA],"Despesa",LANÇ_MOV[CONTAS],$C790,LANÇ_MOV[PLANO DE CONTAS],REL_DRE_FINANCEIRO!$B$753,LANÇ_MOV[ANO PAGAMENTO],$B$4,LANÇ_MOV[MÊS PAGAMENTO CORRESPONDENTE],D$6,LANÇ_MOV[EMPRESA],$C$4,LANÇ_MOV[CENTRO DE CUSTOS],$D$4)</f>
        <v>0</v>
      </c>
      <c r="E790" s="206">
        <f>SUMIFS(LANÇ_MOV[VALOR LÍQUIDO],LANÇ_MOV[RECEITA OU DESPESA],"Despesa",LANÇ_MOV[CONTAS],$C790,LANÇ_MOV[PLANO DE CONTAS],REL_DRE_FINANCEIRO!$B$753,LANÇ_MOV[ANO PAGAMENTO],$B$4,LANÇ_MOV[MÊS PAGAMENTO CORRESPONDENTE],E$6,LANÇ_MOV[EMPRESA],$C$4,LANÇ_MOV[CENTRO DE CUSTOS],$D$4)</f>
        <v>0</v>
      </c>
      <c r="F790" s="206">
        <f>SUMIFS(LANÇ_MOV[VALOR LÍQUIDO],LANÇ_MOV[RECEITA OU DESPESA],"Despesa",LANÇ_MOV[CONTAS],$C790,LANÇ_MOV[PLANO DE CONTAS],REL_DRE_FINANCEIRO!$B$753,LANÇ_MOV[ANO PAGAMENTO],$B$4,LANÇ_MOV[MÊS PAGAMENTO CORRESPONDENTE],F$6,LANÇ_MOV[EMPRESA],$C$4,LANÇ_MOV[CENTRO DE CUSTOS],$D$4)</f>
        <v>0</v>
      </c>
      <c r="G790" s="206">
        <f>SUMIFS(LANÇ_MOV[VALOR LÍQUIDO],LANÇ_MOV[RECEITA OU DESPESA],"Despesa",LANÇ_MOV[CONTAS],$C790,LANÇ_MOV[PLANO DE CONTAS],REL_DRE_FINANCEIRO!$B$753,LANÇ_MOV[ANO PAGAMENTO],$B$4,LANÇ_MOV[MÊS PAGAMENTO CORRESPONDENTE],G$6,LANÇ_MOV[EMPRESA],$C$4,LANÇ_MOV[CENTRO DE CUSTOS],$D$4)</f>
        <v>0</v>
      </c>
      <c r="H790" s="206">
        <f>SUMIFS(LANÇ_MOV[VALOR LÍQUIDO],LANÇ_MOV[RECEITA OU DESPESA],"Despesa",LANÇ_MOV[CONTAS],$C790,LANÇ_MOV[PLANO DE CONTAS],REL_DRE_FINANCEIRO!$B$753,LANÇ_MOV[ANO PAGAMENTO],$B$4,LANÇ_MOV[MÊS PAGAMENTO CORRESPONDENTE],H$6,LANÇ_MOV[EMPRESA],$C$4,LANÇ_MOV[CENTRO DE CUSTOS],$D$4)</f>
        <v>0</v>
      </c>
      <c r="I790" s="206">
        <f>SUMIFS(LANÇ_MOV[VALOR LÍQUIDO],LANÇ_MOV[RECEITA OU DESPESA],"Despesa",LANÇ_MOV[CONTAS],$C790,LANÇ_MOV[PLANO DE CONTAS],REL_DRE_FINANCEIRO!$B$753,LANÇ_MOV[ANO PAGAMENTO],$B$4,LANÇ_MOV[MÊS PAGAMENTO CORRESPONDENTE],I$6,LANÇ_MOV[EMPRESA],$C$4,LANÇ_MOV[CENTRO DE CUSTOS],$D$4)</f>
        <v>0</v>
      </c>
      <c r="J790" s="206">
        <f>SUMIFS(LANÇ_MOV[VALOR LÍQUIDO],LANÇ_MOV[RECEITA OU DESPESA],"Despesa",LANÇ_MOV[CONTAS],$C790,LANÇ_MOV[PLANO DE CONTAS],REL_DRE_FINANCEIRO!$B$753,LANÇ_MOV[ANO PAGAMENTO],$B$4,LANÇ_MOV[MÊS PAGAMENTO CORRESPONDENTE],J$6,LANÇ_MOV[EMPRESA],$C$4,LANÇ_MOV[CENTRO DE CUSTOS],$D$4)</f>
        <v>0</v>
      </c>
      <c r="K790" s="206">
        <f>SUMIFS(LANÇ_MOV[VALOR LÍQUIDO],LANÇ_MOV[RECEITA OU DESPESA],"Despesa",LANÇ_MOV[CONTAS],$C790,LANÇ_MOV[PLANO DE CONTAS],REL_DRE_FINANCEIRO!$B$753,LANÇ_MOV[ANO PAGAMENTO],$B$4,LANÇ_MOV[MÊS PAGAMENTO CORRESPONDENTE],K$6,LANÇ_MOV[EMPRESA],$C$4,LANÇ_MOV[CENTRO DE CUSTOS],$D$4)</f>
        <v>0</v>
      </c>
      <c r="L790" s="206">
        <f>SUMIFS(LANÇ_MOV[VALOR LÍQUIDO],LANÇ_MOV[RECEITA OU DESPESA],"Despesa",LANÇ_MOV[CONTAS],$C790,LANÇ_MOV[PLANO DE CONTAS],REL_DRE_FINANCEIRO!$B$753,LANÇ_MOV[ANO PAGAMENTO],$B$4,LANÇ_MOV[MÊS PAGAMENTO CORRESPONDENTE],L$6,LANÇ_MOV[EMPRESA],$C$4,LANÇ_MOV[CENTRO DE CUSTOS],$D$4)</f>
        <v>0</v>
      </c>
      <c r="M790" s="206">
        <f>SUMIFS(LANÇ_MOV[VALOR LÍQUIDO],LANÇ_MOV[RECEITA OU DESPESA],"Despesa",LANÇ_MOV[CONTAS],$C790,LANÇ_MOV[PLANO DE CONTAS],REL_DRE_FINANCEIRO!$B$753,LANÇ_MOV[ANO PAGAMENTO],$B$4,LANÇ_MOV[MÊS PAGAMENTO CORRESPONDENTE],M$6,LANÇ_MOV[EMPRESA],$C$4,LANÇ_MOV[CENTRO DE CUSTOS],$D$4)</f>
        <v>0</v>
      </c>
      <c r="N790" s="206">
        <f>SUMIFS(LANÇ_MOV[VALOR LÍQUIDO],LANÇ_MOV[RECEITA OU DESPESA],"Despesa",LANÇ_MOV[CONTAS],$C790,LANÇ_MOV[PLANO DE CONTAS],REL_DRE_FINANCEIRO!$B$753,LANÇ_MOV[ANO PAGAMENTO],$B$4,LANÇ_MOV[MÊS PAGAMENTO CORRESPONDENTE],N$6,LANÇ_MOV[EMPRESA],$C$4,LANÇ_MOV[CENTRO DE CUSTOS],$D$4)</f>
        <v>0</v>
      </c>
      <c r="O790" s="206">
        <f>SUMIFS(LANÇ_MOV[VALOR LÍQUIDO],LANÇ_MOV[RECEITA OU DESPESA],"Despesa",LANÇ_MOV[CONTAS],$C790,LANÇ_MOV[PLANO DE CONTAS],REL_DRE_FINANCEIRO!$B$753,LANÇ_MOV[ANO PAGAMENTO],$B$4,LANÇ_MOV[MÊS PAGAMENTO CORRESPONDENTE],O$6,LANÇ_MOV[EMPRESA],$C$4,LANÇ_MOV[CENTRO DE CUSTOS],$D$4)</f>
        <v>0</v>
      </c>
      <c r="P790" s="207">
        <f t="shared" si="100"/>
        <v>0</v>
      </c>
      <c r="Q790" s="329">
        <v>6.3999999999999997E-6</v>
      </c>
      <c r="R790" s="346">
        <f t="shared" si="101"/>
        <v>6.3999999999999997E-6</v>
      </c>
      <c r="S790" s="347" t="str">
        <f t="shared" si="102"/>
        <v>-</v>
      </c>
      <c r="T790" s="347">
        <f t="shared" si="103"/>
        <v>0</v>
      </c>
      <c r="U790" s="347">
        <f>HLOOKUP(Apoio!$P$12,$D$752:$P$853,X790,FALSE)+Q790</f>
        <v>6.3999999999999997E-6</v>
      </c>
      <c r="V790" s="447" t="str">
        <f t="shared" si="104"/>
        <v>-</v>
      </c>
      <c r="W790" s="448">
        <f>HLOOKUP(Apoio!$P$12,$D$752:$P$853,X790,FALSE)</f>
        <v>0</v>
      </c>
      <c r="X790" s="329">
        <v>39</v>
      </c>
    </row>
    <row r="791" spans="2:24" ht="30.05" customHeight="1" x14ac:dyDescent="0.35">
      <c r="B791" s="204" t="str">
        <f>'CAD_PL_REC-DESP'!Z42</f>
        <v>2.6.38</v>
      </c>
      <c r="C791" s="205" t="str">
        <f>IF('CAD_PL_REC-DESP'!AA42="","-",'CAD_PL_REC-DESP'!AA42)</f>
        <v>-</v>
      </c>
      <c r="D791" s="206">
        <f>SUMIFS(LANÇ_MOV[VALOR LÍQUIDO],LANÇ_MOV[RECEITA OU DESPESA],"Despesa",LANÇ_MOV[CONTAS],$C791,LANÇ_MOV[PLANO DE CONTAS],REL_DRE_FINANCEIRO!$B$753,LANÇ_MOV[ANO PAGAMENTO],$B$4,LANÇ_MOV[MÊS PAGAMENTO CORRESPONDENTE],D$6,LANÇ_MOV[EMPRESA],$C$4,LANÇ_MOV[CENTRO DE CUSTOS],$D$4)</f>
        <v>0</v>
      </c>
      <c r="E791" s="206">
        <f>SUMIFS(LANÇ_MOV[VALOR LÍQUIDO],LANÇ_MOV[RECEITA OU DESPESA],"Despesa",LANÇ_MOV[CONTAS],$C791,LANÇ_MOV[PLANO DE CONTAS],REL_DRE_FINANCEIRO!$B$753,LANÇ_MOV[ANO PAGAMENTO],$B$4,LANÇ_MOV[MÊS PAGAMENTO CORRESPONDENTE],E$6,LANÇ_MOV[EMPRESA],$C$4,LANÇ_MOV[CENTRO DE CUSTOS],$D$4)</f>
        <v>0</v>
      </c>
      <c r="F791" s="206">
        <f>SUMIFS(LANÇ_MOV[VALOR LÍQUIDO],LANÇ_MOV[RECEITA OU DESPESA],"Despesa",LANÇ_MOV[CONTAS],$C791,LANÇ_MOV[PLANO DE CONTAS],REL_DRE_FINANCEIRO!$B$753,LANÇ_MOV[ANO PAGAMENTO],$B$4,LANÇ_MOV[MÊS PAGAMENTO CORRESPONDENTE],F$6,LANÇ_MOV[EMPRESA],$C$4,LANÇ_MOV[CENTRO DE CUSTOS],$D$4)</f>
        <v>0</v>
      </c>
      <c r="G791" s="206">
        <f>SUMIFS(LANÇ_MOV[VALOR LÍQUIDO],LANÇ_MOV[RECEITA OU DESPESA],"Despesa",LANÇ_MOV[CONTAS],$C791,LANÇ_MOV[PLANO DE CONTAS],REL_DRE_FINANCEIRO!$B$753,LANÇ_MOV[ANO PAGAMENTO],$B$4,LANÇ_MOV[MÊS PAGAMENTO CORRESPONDENTE],G$6,LANÇ_MOV[EMPRESA],$C$4,LANÇ_MOV[CENTRO DE CUSTOS],$D$4)</f>
        <v>0</v>
      </c>
      <c r="H791" s="206">
        <f>SUMIFS(LANÇ_MOV[VALOR LÍQUIDO],LANÇ_MOV[RECEITA OU DESPESA],"Despesa",LANÇ_MOV[CONTAS],$C791,LANÇ_MOV[PLANO DE CONTAS],REL_DRE_FINANCEIRO!$B$753,LANÇ_MOV[ANO PAGAMENTO],$B$4,LANÇ_MOV[MÊS PAGAMENTO CORRESPONDENTE],H$6,LANÇ_MOV[EMPRESA],$C$4,LANÇ_MOV[CENTRO DE CUSTOS],$D$4)</f>
        <v>0</v>
      </c>
      <c r="I791" s="206">
        <f>SUMIFS(LANÇ_MOV[VALOR LÍQUIDO],LANÇ_MOV[RECEITA OU DESPESA],"Despesa",LANÇ_MOV[CONTAS],$C791,LANÇ_MOV[PLANO DE CONTAS],REL_DRE_FINANCEIRO!$B$753,LANÇ_MOV[ANO PAGAMENTO],$B$4,LANÇ_MOV[MÊS PAGAMENTO CORRESPONDENTE],I$6,LANÇ_MOV[EMPRESA],$C$4,LANÇ_MOV[CENTRO DE CUSTOS],$D$4)</f>
        <v>0</v>
      </c>
      <c r="J791" s="206">
        <f>SUMIFS(LANÇ_MOV[VALOR LÍQUIDO],LANÇ_MOV[RECEITA OU DESPESA],"Despesa",LANÇ_MOV[CONTAS],$C791,LANÇ_MOV[PLANO DE CONTAS],REL_DRE_FINANCEIRO!$B$753,LANÇ_MOV[ANO PAGAMENTO],$B$4,LANÇ_MOV[MÊS PAGAMENTO CORRESPONDENTE],J$6,LANÇ_MOV[EMPRESA],$C$4,LANÇ_MOV[CENTRO DE CUSTOS],$D$4)</f>
        <v>0</v>
      </c>
      <c r="K791" s="206">
        <f>SUMIFS(LANÇ_MOV[VALOR LÍQUIDO],LANÇ_MOV[RECEITA OU DESPESA],"Despesa",LANÇ_MOV[CONTAS],$C791,LANÇ_MOV[PLANO DE CONTAS],REL_DRE_FINANCEIRO!$B$753,LANÇ_MOV[ANO PAGAMENTO],$B$4,LANÇ_MOV[MÊS PAGAMENTO CORRESPONDENTE],K$6,LANÇ_MOV[EMPRESA],$C$4,LANÇ_MOV[CENTRO DE CUSTOS],$D$4)</f>
        <v>0</v>
      </c>
      <c r="L791" s="206">
        <f>SUMIFS(LANÇ_MOV[VALOR LÍQUIDO],LANÇ_MOV[RECEITA OU DESPESA],"Despesa",LANÇ_MOV[CONTAS],$C791,LANÇ_MOV[PLANO DE CONTAS],REL_DRE_FINANCEIRO!$B$753,LANÇ_MOV[ANO PAGAMENTO],$B$4,LANÇ_MOV[MÊS PAGAMENTO CORRESPONDENTE],L$6,LANÇ_MOV[EMPRESA],$C$4,LANÇ_MOV[CENTRO DE CUSTOS],$D$4)</f>
        <v>0</v>
      </c>
      <c r="M791" s="206">
        <f>SUMIFS(LANÇ_MOV[VALOR LÍQUIDO],LANÇ_MOV[RECEITA OU DESPESA],"Despesa",LANÇ_MOV[CONTAS],$C791,LANÇ_MOV[PLANO DE CONTAS],REL_DRE_FINANCEIRO!$B$753,LANÇ_MOV[ANO PAGAMENTO],$B$4,LANÇ_MOV[MÊS PAGAMENTO CORRESPONDENTE],M$6,LANÇ_MOV[EMPRESA],$C$4,LANÇ_MOV[CENTRO DE CUSTOS],$D$4)</f>
        <v>0</v>
      </c>
      <c r="N791" s="206">
        <f>SUMIFS(LANÇ_MOV[VALOR LÍQUIDO],LANÇ_MOV[RECEITA OU DESPESA],"Despesa",LANÇ_MOV[CONTAS],$C791,LANÇ_MOV[PLANO DE CONTAS],REL_DRE_FINANCEIRO!$B$753,LANÇ_MOV[ANO PAGAMENTO],$B$4,LANÇ_MOV[MÊS PAGAMENTO CORRESPONDENTE],N$6,LANÇ_MOV[EMPRESA],$C$4,LANÇ_MOV[CENTRO DE CUSTOS],$D$4)</f>
        <v>0</v>
      </c>
      <c r="O791" s="206">
        <f>SUMIFS(LANÇ_MOV[VALOR LÍQUIDO],LANÇ_MOV[RECEITA OU DESPESA],"Despesa",LANÇ_MOV[CONTAS],$C791,LANÇ_MOV[PLANO DE CONTAS],REL_DRE_FINANCEIRO!$B$753,LANÇ_MOV[ANO PAGAMENTO],$B$4,LANÇ_MOV[MÊS PAGAMENTO CORRESPONDENTE],O$6,LANÇ_MOV[EMPRESA],$C$4,LANÇ_MOV[CENTRO DE CUSTOS],$D$4)</f>
        <v>0</v>
      </c>
      <c r="P791" s="207">
        <f t="shared" si="100"/>
        <v>0</v>
      </c>
      <c r="Q791" s="329">
        <v>6.2999999999999998E-6</v>
      </c>
      <c r="R791" s="346">
        <f t="shared" si="101"/>
        <v>6.2999999999999998E-6</v>
      </c>
      <c r="S791" s="347" t="str">
        <f t="shared" si="102"/>
        <v>-</v>
      </c>
      <c r="T791" s="347">
        <f t="shared" si="103"/>
        <v>0</v>
      </c>
      <c r="U791" s="347">
        <f>HLOOKUP(Apoio!$P$12,$D$752:$P$853,X791,FALSE)+Q791</f>
        <v>6.2999999999999998E-6</v>
      </c>
      <c r="V791" s="447" t="str">
        <f t="shared" si="104"/>
        <v>-</v>
      </c>
      <c r="W791" s="448">
        <f>HLOOKUP(Apoio!$P$12,$D$752:$P$853,X791,FALSE)</f>
        <v>0</v>
      </c>
      <c r="X791" s="329">
        <v>40</v>
      </c>
    </row>
    <row r="792" spans="2:24" ht="30.05" customHeight="1" x14ac:dyDescent="0.35">
      <c r="B792" s="204" t="str">
        <f>'CAD_PL_REC-DESP'!Z43</f>
        <v>2.6.39</v>
      </c>
      <c r="C792" s="205" t="str">
        <f>IF('CAD_PL_REC-DESP'!AA43="","-",'CAD_PL_REC-DESP'!AA43)</f>
        <v>-</v>
      </c>
      <c r="D792" s="206">
        <f>SUMIFS(LANÇ_MOV[VALOR LÍQUIDO],LANÇ_MOV[RECEITA OU DESPESA],"Despesa",LANÇ_MOV[CONTAS],$C792,LANÇ_MOV[PLANO DE CONTAS],REL_DRE_FINANCEIRO!$B$753,LANÇ_MOV[ANO PAGAMENTO],$B$4,LANÇ_MOV[MÊS PAGAMENTO CORRESPONDENTE],D$6,LANÇ_MOV[EMPRESA],$C$4,LANÇ_MOV[CENTRO DE CUSTOS],$D$4)</f>
        <v>0</v>
      </c>
      <c r="E792" s="206">
        <f>SUMIFS(LANÇ_MOV[VALOR LÍQUIDO],LANÇ_MOV[RECEITA OU DESPESA],"Despesa",LANÇ_MOV[CONTAS],$C792,LANÇ_MOV[PLANO DE CONTAS],REL_DRE_FINANCEIRO!$B$753,LANÇ_MOV[ANO PAGAMENTO],$B$4,LANÇ_MOV[MÊS PAGAMENTO CORRESPONDENTE],E$6,LANÇ_MOV[EMPRESA],$C$4,LANÇ_MOV[CENTRO DE CUSTOS],$D$4)</f>
        <v>0</v>
      </c>
      <c r="F792" s="206">
        <f>SUMIFS(LANÇ_MOV[VALOR LÍQUIDO],LANÇ_MOV[RECEITA OU DESPESA],"Despesa",LANÇ_MOV[CONTAS],$C792,LANÇ_MOV[PLANO DE CONTAS],REL_DRE_FINANCEIRO!$B$753,LANÇ_MOV[ANO PAGAMENTO],$B$4,LANÇ_MOV[MÊS PAGAMENTO CORRESPONDENTE],F$6,LANÇ_MOV[EMPRESA],$C$4,LANÇ_MOV[CENTRO DE CUSTOS],$D$4)</f>
        <v>0</v>
      </c>
      <c r="G792" s="206">
        <f>SUMIFS(LANÇ_MOV[VALOR LÍQUIDO],LANÇ_MOV[RECEITA OU DESPESA],"Despesa",LANÇ_MOV[CONTAS],$C792,LANÇ_MOV[PLANO DE CONTAS],REL_DRE_FINANCEIRO!$B$753,LANÇ_MOV[ANO PAGAMENTO],$B$4,LANÇ_MOV[MÊS PAGAMENTO CORRESPONDENTE],G$6,LANÇ_MOV[EMPRESA],$C$4,LANÇ_MOV[CENTRO DE CUSTOS],$D$4)</f>
        <v>0</v>
      </c>
      <c r="H792" s="206">
        <f>SUMIFS(LANÇ_MOV[VALOR LÍQUIDO],LANÇ_MOV[RECEITA OU DESPESA],"Despesa",LANÇ_MOV[CONTAS],$C792,LANÇ_MOV[PLANO DE CONTAS],REL_DRE_FINANCEIRO!$B$753,LANÇ_MOV[ANO PAGAMENTO],$B$4,LANÇ_MOV[MÊS PAGAMENTO CORRESPONDENTE],H$6,LANÇ_MOV[EMPRESA],$C$4,LANÇ_MOV[CENTRO DE CUSTOS],$D$4)</f>
        <v>0</v>
      </c>
      <c r="I792" s="206">
        <f>SUMIFS(LANÇ_MOV[VALOR LÍQUIDO],LANÇ_MOV[RECEITA OU DESPESA],"Despesa",LANÇ_MOV[CONTAS],$C792,LANÇ_MOV[PLANO DE CONTAS],REL_DRE_FINANCEIRO!$B$753,LANÇ_MOV[ANO PAGAMENTO],$B$4,LANÇ_MOV[MÊS PAGAMENTO CORRESPONDENTE],I$6,LANÇ_MOV[EMPRESA],$C$4,LANÇ_MOV[CENTRO DE CUSTOS],$D$4)</f>
        <v>0</v>
      </c>
      <c r="J792" s="206">
        <f>SUMIFS(LANÇ_MOV[VALOR LÍQUIDO],LANÇ_MOV[RECEITA OU DESPESA],"Despesa",LANÇ_MOV[CONTAS],$C792,LANÇ_MOV[PLANO DE CONTAS],REL_DRE_FINANCEIRO!$B$753,LANÇ_MOV[ANO PAGAMENTO],$B$4,LANÇ_MOV[MÊS PAGAMENTO CORRESPONDENTE],J$6,LANÇ_MOV[EMPRESA],$C$4,LANÇ_MOV[CENTRO DE CUSTOS],$D$4)</f>
        <v>0</v>
      </c>
      <c r="K792" s="206">
        <f>SUMIFS(LANÇ_MOV[VALOR LÍQUIDO],LANÇ_MOV[RECEITA OU DESPESA],"Despesa",LANÇ_MOV[CONTAS],$C792,LANÇ_MOV[PLANO DE CONTAS],REL_DRE_FINANCEIRO!$B$753,LANÇ_MOV[ANO PAGAMENTO],$B$4,LANÇ_MOV[MÊS PAGAMENTO CORRESPONDENTE],K$6,LANÇ_MOV[EMPRESA],$C$4,LANÇ_MOV[CENTRO DE CUSTOS],$D$4)</f>
        <v>0</v>
      </c>
      <c r="L792" s="206">
        <f>SUMIFS(LANÇ_MOV[VALOR LÍQUIDO],LANÇ_MOV[RECEITA OU DESPESA],"Despesa",LANÇ_MOV[CONTAS],$C792,LANÇ_MOV[PLANO DE CONTAS],REL_DRE_FINANCEIRO!$B$753,LANÇ_MOV[ANO PAGAMENTO],$B$4,LANÇ_MOV[MÊS PAGAMENTO CORRESPONDENTE],L$6,LANÇ_MOV[EMPRESA],$C$4,LANÇ_MOV[CENTRO DE CUSTOS],$D$4)</f>
        <v>0</v>
      </c>
      <c r="M792" s="206">
        <f>SUMIFS(LANÇ_MOV[VALOR LÍQUIDO],LANÇ_MOV[RECEITA OU DESPESA],"Despesa",LANÇ_MOV[CONTAS],$C792,LANÇ_MOV[PLANO DE CONTAS],REL_DRE_FINANCEIRO!$B$753,LANÇ_MOV[ANO PAGAMENTO],$B$4,LANÇ_MOV[MÊS PAGAMENTO CORRESPONDENTE],M$6,LANÇ_MOV[EMPRESA],$C$4,LANÇ_MOV[CENTRO DE CUSTOS],$D$4)</f>
        <v>0</v>
      </c>
      <c r="N792" s="206">
        <f>SUMIFS(LANÇ_MOV[VALOR LÍQUIDO],LANÇ_MOV[RECEITA OU DESPESA],"Despesa",LANÇ_MOV[CONTAS],$C792,LANÇ_MOV[PLANO DE CONTAS],REL_DRE_FINANCEIRO!$B$753,LANÇ_MOV[ANO PAGAMENTO],$B$4,LANÇ_MOV[MÊS PAGAMENTO CORRESPONDENTE],N$6,LANÇ_MOV[EMPRESA],$C$4,LANÇ_MOV[CENTRO DE CUSTOS],$D$4)</f>
        <v>0</v>
      </c>
      <c r="O792" s="206">
        <f>SUMIFS(LANÇ_MOV[VALOR LÍQUIDO],LANÇ_MOV[RECEITA OU DESPESA],"Despesa",LANÇ_MOV[CONTAS],$C792,LANÇ_MOV[PLANO DE CONTAS],REL_DRE_FINANCEIRO!$B$753,LANÇ_MOV[ANO PAGAMENTO],$B$4,LANÇ_MOV[MÊS PAGAMENTO CORRESPONDENTE],O$6,LANÇ_MOV[EMPRESA],$C$4,LANÇ_MOV[CENTRO DE CUSTOS],$D$4)</f>
        <v>0</v>
      </c>
      <c r="P792" s="207">
        <f t="shared" si="100"/>
        <v>0</v>
      </c>
      <c r="Q792" s="329">
        <v>6.1999999999999999E-6</v>
      </c>
      <c r="R792" s="346">
        <f t="shared" si="101"/>
        <v>6.1999999999999999E-6</v>
      </c>
      <c r="S792" s="347" t="str">
        <f t="shared" si="102"/>
        <v>-</v>
      </c>
      <c r="T792" s="347">
        <f t="shared" si="103"/>
        <v>0</v>
      </c>
      <c r="U792" s="347">
        <f>HLOOKUP(Apoio!$P$12,$D$752:$P$853,X792,FALSE)+Q792</f>
        <v>6.1999999999999999E-6</v>
      </c>
      <c r="V792" s="447" t="str">
        <f t="shared" si="104"/>
        <v>-</v>
      </c>
      <c r="W792" s="448">
        <f>HLOOKUP(Apoio!$P$12,$D$752:$P$853,X792,FALSE)</f>
        <v>0</v>
      </c>
      <c r="X792" s="329">
        <v>41</v>
      </c>
    </row>
    <row r="793" spans="2:24" ht="30.05" customHeight="1" x14ac:dyDescent="0.35">
      <c r="B793" s="204" t="str">
        <f>'CAD_PL_REC-DESP'!Z44</f>
        <v>2.6.40</v>
      </c>
      <c r="C793" s="205" t="str">
        <f>IF('CAD_PL_REC-DESP'!AA44="","-",'CAD_PL_REC-DESP'!AA44)</f>
        <v>-</v>
      </c>
      <c r="D793" s="206">
        <f>SUMIFS(LANÇ_MOV[VALOR LÍQUIDO],LANÇ_MOV[RECEITA OU DESPESA],"Despesa",LANÇ_MOV[CONTAS],$C793,LANÇ_MOV[PLANO DE CONTAS],REL_DRE_FINANCEIRO!$B$753,LANÇ_MOV[ANO PAGAMENTO],$B$4,LANÇ_MOV[MÊS PAGAMENTO CORRESPONDENTE],D$6,LANÇ_MOV[EMPRESA],$C$4,LANÇ_MOV[CENTRO DE CUSTOS],$D$4)</f>
        <v>0</v>
      </c>
      <c r="E793" s="206">
        <f>SUMIFS(LANÇ_MOV[VALOR LÍQUIDO],LANÇ_MOV[RECEITA OU DESPESA],"Despesa",LANÇ_MOV[CONTAS],$C793,LANÇ_MOV[PLANO DE CONTAS],REL_DRE_FINANCEIRO!$B$753,LANÇ_MOV[ANO PAGAMENTO],$B$4,LANÇ_MOV[MÊS PAGAMENTO CORRESPONDENTE],E$6,LANÇ_MOV[EMPRESA],$C$4,LANÇ_MOV[CENTRO DE CUSTOS],$D$4)</f>
        <v>0</v>
      </c>
      <c r="F793" s="206">
        <f>SUMIFS(LANÇ_MOV[VALOR LÍQUIDO],LANÇ_MOV[RECEITA OU DESPESA],"Despesa",LANÇ_MOV[CONTAS],$C793,LANÇ_MOV[PLANO DE CONTAS],REL_DRE_FINANCEIRO!$B$753,LANÇ_MOV[ANO PAGAMENTO],$B$4,LANÇ_MOV[MÊS PAGAMENTO CORRESPONDENTE],F$6,LANÇ_MOV[EMPRESA],$C$4,LANÇ_MOV[CENTRO DE CUSTOS],$D$4)</f>
        <v>0</v>
      </c>
      <c r="G793" s="206">
        <f>SUMIFS(LANÇ_MOV[VALOR LÍQUIDO],LANÇ_MOV[RECEITA OU DESPESA],"Despesa",LANÇ_MOV[CONTAS],$C793,LANÇ_MOV[PLANO DE CONTAS],REL_DRE_FINANCEIRO!$B$753,LANÇ_MOV[ANO PAGAMENTO],$B$4,LANÇ_MOV[MÊS PAGAMENTO CORRESPONDENTE],G$6,LANÇ_MOV[EMPRESA],$C$4,LANÇ_MOV[CENTRO DE CUSTOS],$D$4)</f>
        <v>0</v>
      </c>
      <c r="H793" s="206">
        <f>SUMIFS(LANÇ_MOV[VALOR LÍQUIDO],LANÇ_MOV[RECEITA OU DESPESA],"Despesa",LANÇ_MOV[CONTAS],$C793,LANÇ_MOV[PLANO DE CONTAS],REL_DRE_FINANCEIRO!$B$753,LANÇ_MOV[ANO PAGAMENTO],$B$4,LANÇ_MOV[MÊS PAGAMENTO CORRESPONDENTE],H$6,LANÇ_MOV[EMPRESA],$C$4,LANÇ_MOV[CENTRO DE CUSTOS],$D$4)</f>
        <v>0</v>
      </c>
      <c r="I793" s="206">
        <f>SUMIFS(LANÇ_MOV[VALOR LÍQUIDO],LANÇ_MOV[RECEITA OU DESPESA],"Despesa",LANÇ_MOV[CONTAS],$C793,LANÇ_MOV[PLANO DE CONTAS],REL_DRE_FINANCEIRO!$B$753,LANÇ_MOV[ANO PAGAMENTO],$B$4,LANÇ_MOV[MÊS PAGAMENTO CORRESPONDENTE],I$6,LANÇ_MOV[EMPRESA],$C$4,LANÇ_MOV[CENTRO DE CUSTOS],$D$4)</f>
        <v>0</v>
      </c>
      <c r="J793" s="206">
        <f>SUMIFS(LANÇ_MOV[VALOR LÍQUIDO],LANÇ_MOV[RECEITA OU DESPESA],"Despesa",LANÇ_MOV[CONTAS],$C793,LANÇ_MOV[PLANO DE CONTAS],REL_DRE_FINANCEIRO!$B$753,LANÇ_MOV[ANO PAGAMENTO],$B$4,LANÇ_MOV[MÊS PAGAMENTO CORRESPONDENTE],J$6,LANÇ_MOV[EMPRESA],$C$4,LANÇ_MOV[CENTRO DE CUSTOS],$D$4)</f>
        <v>0</v>
      </c>
      <c r="K793" s="206">
        <f>SUMIFS(LANÇ_MOV[VALOR LÍQUIDO],LANÇ_MOV[RECEITA OU DESPESA],"Despesa",LANÇ_MOV[CONTAS],$C793,LANÇ_MOV[PLANO DE CONTAS],REL_DRE_FINANCEIRO!$B$753,LANÇ_MOV[ANO PAGAMENTO],$B$4,LANÇ_MOV[MÊS PAGAMENTO CORRESPONDENTE],K$6,LANÇ_MOV[EMPRESA],$C$4,LANÇ_MOV[CENTRO DE CUSTOS],$D$4)</f>
        <v>0</v>
      </c>
      <c r="L793" s="206">
        <f>SUMIFS(LANÇ_MOV[VALOR LÍQUIDO],LANÇ_MOV[RECEITA OU DESPESA],"Despesa",LANÇ_MOV[CONTAS],$C793,LANÇ_MOV[PLANO DE CONTAS],REL_DRE_FINANCEIRO!$B$753,LANÇ_MOV[ANO PAGAMENTO],$B$4,LANÇ_MOV[MÊS PAGAMENTO CORRESPONDENTE],L$6,LANÇ_MOV[EMPRESA],$C$4,LANÇ_MOV[CENTRO DE CUSTOS],$D$4)</f>
        <v>0</v>
      </c>
      <c r="M793" s="206">
        <f>SUMIFS(LANÇ_MOV[VALOR LÍQUIDO],LANÇ_MOV[RECEITA OU DESPESA],"Despesa",LANÇ_MOV[CONTAS],$C793,LANÇ_MOV[PLANO DE CONTAS],REL_DRE_FINANCEIRO!$B$753,LANÇ_MOV[ANO PAGAMENTO],$B$4,LANÇ_MOV[MÊS PAGAMENTO CORRESPONDENTE],M$6,LANÇ_MOV[EMPRESA],$C$4,LANÇ_MOV[CENTRO DE CUSTOS],$D$4)</f>
        <v>0</v>
      </c>
      <c r="N793" s="206">
        <f>SUMIFS(LANÇ_MOV[VALOR LÍQUIDO],LANÇ_MOV[RECEITA OU DESPESA],"Despesa",LANÇ_MOV[CONTAS],$C793,LANÇ_MOV[PLANO DE CONTAS],REL_DRE_FINANCEIRO!$B$753,LANÇ_MOV[ANO PAGAMENTO],$B$4,LANÇ_MOV[MÊS PAGAMENTO CORRESPONDENTE],N$6,LANÇ_MOV[EMPRESA],$C$4,LANÇ_MOV[CENTRO DE CUSTOS],$D$4)</f>
        <v>0</v>
      </c>
      <c r="O793" s="206">
        <f>SUMIFS(LANÇ_MOV[VALOR LÍQUIDO],LANÇ_MOV[RECEITA OU DESPESA],"Despesa",LANÇ_MOV[CONTAS],$C793,LANÇ_MOV[PLANO DE CONTAS],REL_DRE_FINANCEIRO!$B$753,LANÇ_MOV[ANO PAGAMENTO],$B$4,LANÇ_MOV[MÊS PAGAMENTO CORRESPONDENTE],O$6,LANÇ_MOV[EMPRESA],$C$4,LANÇ_MOV[CENTRO DE CUSTOS],$D$4)</f>
        <v>0</v>
      </c>
      <c r="P793" s="207">
        <f t="shared" si="100"/>
        <v>0</v>
      </c>
      <c r="Q793" s="329">
        <v>6.1E-6</v>
      </c>
      <c r="R793" s="346">
        <f t="shared" si="101"/>
        <v>6.1E-6</v>
      </c>
      <c r="S793" s="347" t="str">
        <f t="shared" si="102"/>
        <v>-</v>
      </c>
      <c r="T793" s="347">
        <f t="shared" si="103"/>
        <v>0</v>
      </c>
      <c r="U793" s="347">
        <f>HLOOKUP(Apoio!$P$12,$D$752:$P$853,X793,FALSE)+Q793</f>
        <v>6.1E-6</v>
      </c>
      <c r="V793" s="447" t="str">
        <f t="shared" si="104"/>
        <v>-</v>
      </c>
      <c r="W793" s="448">
        <f>HLOOKUP(Apoio!$P$12,$D$752:$P$853,X793,FALSE)</f>
        <v>0</v>
      </c>
      <c r="X793" s="329">
        <v>42</v>
      </c>
    </row>
    <row r="794" spans="2:24" ht="30.05" customHeight="1" x14ac:dyDescent="0.35">
      <c r="B794" s="204" t="str">
        <f>'CAD_PL_REC-DESP'!Z45</f>
        <v>2.6.41</v>
      </c>
      <c r="C794" s="205" t="str">
        <f>IF('CAD_PL_REC-DESP'!AA45="","-",'CAD_PL_REC-DESP'!AA45)</f>
        <v>-</v>
      </c>
      <c r="D794" s="206">
        <f>SUMIFS(LANÇ_MOV[VALOR LÍQUIDO],LANÇ_MOV[RECEITA OU DESPESA],"Despesa",LANÇ_MOV[CONTAS],$C794,LANÇ_MOV[PLANO DE CONTAS],REL_DRE_FINANCEIRO!$B$753,LANÇ_MOV[ANO PAGAMENTO],$B$4,LANÇ_MOV[MÊS PAGAMENTO CORRESPONDENTE],D$6,LANÇ_MOV[EMPRESA],$C$4,LANÇ_MOV[CENTRO DE CUSTOS],$D$4)</f>
        <v>0</v>
      </c>
      <c r="E794" s="206">
        <f>SUMIFS(LANÇ_MOV[VALOR LÍQUIDO],LANÇ_MOV[RECEITA OU DESPESA],"Despesa",LANÇ_MOV[CONTAS],$C794,LANÇ_MOV[PLANO DE CONTAS],REL_DRE_FINANCEIRO!$B$753,LANÇ_MOV[ANO PAGAMENTO],$B$4,LANÇ_MOV[MÊS PAGAMENTO CORRESPONDENTE],E$6,LANÇ_MOV[EMPRESA],$C$4,LANÇ_MOV[CENTRO DE CUSTOS],$D$4)</f>
        <v>0</v>
      </c>
      <c r="F794" s="206">
        <f>SUMIFS(LANÇ_MOV[VALOR LÍQUIDO],LANÇ_MOV[RECEITA OU DESPESA],"Despesa",LANÇ_MOV[CONTAS],$C794,LANÇ_MOV[PLANO DE CONTAS],REL_DRE_FINANCEIRO!$B$753,LANÇ_MOV[ANO PAGAMENTO],$B$4,LANÇ_MOV[MÊS PAGAMENTO CORRESPONDENTE],F$6,LANÇ_MOV[EMPRESA],$C$4,LANÇ_MOV[CENTRO DE CUSTOS],$D$4)</f>
        <v>0</v>
      </c>
      <c r="G794" s="206">
        <f>SUMIFS(LANÇ_MOV[VALOR LÍQUIDO],LANÇ_MOV[RECEITA OU DESPESA],"Despesa",LANÇ_MOV[CONTAS],$C794,LANÇ_MOV[PLANO DE CONTAS],REL_DRE_FINANCEIRO!$B$753,LANÇ_MOV[ANO PAGAMENTO],$B$4,LANÇ_MOV[MÊS PAGAMENTO CORRESPONDENTE],G$6,LANÇ_MOV[EMPRESA],$C$4,LANÇ_MOV[CENTRO DE CUSTOS],$D$4)</f>
        <v>0</v>
      </c>
      <c r="H794" s="206">
        <f>SUMIFS(LANÇ_MOV[VALOR LÍQUIDO],LANÇ_MOV[RECEITA OU DESPESA],"Despesa",LANÇ_MOV[CONTAS],$C794,LANÇ_MOV[PLANO DE CONTAS],REL_DRE_FINANCEIRO!$B$753,LANÇ_MOV[ANO PAGAMENTO],$B$4,LANÇ_MOV[MÊS PAGAMENTO CORRESPONDENTE],H$6,LANÇ_MOV[EMPRESA],$C$4,LANÇ_MOV[CENTRO DE CUSTOS],$D$4)</f>
        <v>0</v>
      </c>
      <c r="I794" s="206">
        <f>SUMIFS(LANÇ_MOV[VALOR LÍQUIDO],LANÇ_MOV[RECEITA OU DESPESA],"Despesa",LANÇ_MOV[CONTAS],$C794,LANÇ_MOV[PLANO DE CONTAS],REL_DRE_FINANCEIRO!$B$753,LANÇ_MOV[ANO PAGAMENTO],$B$4,LANÇ_MOV[MÊS PAGAMENTO CORRESPONDENTE],I$6,LANÇ_MOV[EMPRESA],$C$4,LANÇ_MOV[CENTRO DE CUSTOS],$D$4)</f>
        <v>0</v>
      </c>
      <c r="J794" s="206">
        <f>SUMIFS(LANÇ_MOV[VALOR LÍQUIDO],LANÇ_MOV[RECEITA OU DESPESA],"Despesa",LANÇ_MOV[CONTAS],$C794,LANÇ_MOV[PLANO DE CONTAS],REL_DRE_FINANCEIRO!$B$753,LANÇ_MOV[ANO PAGAMENTO],$B$4,LANÇ_MOV[MÊS PAGAMENTO CORRESPONDENTE],J$6,LANÇ_MOV[EMPRESA],$C$4,LANÇ_MOV[CENTRO DE CUSTOS],$D$4)</f>
        <v>0</v>
      </c>
      <c r="K794" s="206">
        <f>SUMIFS(LANÇ_MOV[VALOR LÍQUIDO],LANÇ_MOV[RECEITA OU DESPESA],"Despesa",LANÇ_MOV[CONTAS],$C794,LANÇ_MOV[PLANO DE CONTAS],REL_DRE_FINANCEIRO!$B$753,LANÇ_MOV[ANO PAGAMENTO],$B$4,LANÇ_MOV[MÊS PAGAMENTO CORRESPONDENTE],K$6,LANÇ_MOV[EMPRESA],$C$4,LANÇ_MOV[CENTRO DE CUSTOS],$D$4)</f>
        <v>0</v>
      </c>
      <c r="L794" s="206">
        <f>SUMIFS(LANÇ_MOV[VALOR LÍQUIDO],LANÇ_MOV[RECEITA OU DESPESA],"Despesa",LANÇ_MOV[CONTAS],$C794,LANÇ_MOV[PLANO DE CONTAS],REL_DRE_FINANCEIRO!$B$753,LANÇ_MOV[ANO PAGAMENTO],$B$4,LANÇ_MOV[MÊS PAGAMENTO CORRESPONDENTE],L$6,LANÇ_MOV[EMPRESA],$C$4,LANÇ_MOV[CENTRO DE CUSTOS],$D$4)</f>
        <v>0</v>
      </c>
      <c r="M794" s="206">
        <f>SUMIFS(LANÇ_MOV[VALOR LÍQUIDO],LANÇ_MOV[RECEITA OU DESPESA],"Despesa",LANÇ_MOV[CONTAS],$C794,LANÇ_MOV[PLANO DE CONTAS],REL_DRE_FINANCEIRO!$B$753,LANÇ_MOV[ANO PAGAMENTO],$B$4,LANÇ_MOV[MÊS PAGAMENTO CORRESPONDENTE],M$6,LANÇ_MOV[EMPRESA],$C$4,LANÇ_MOV[CENTRO DE CUSTOS],$D$4)</f>
        <v>0</v>
      </c>
      <c r="N794" s="206">
        <f>SUMIFS(LANÇ_MOV[VALOR LÍQUIDO],LANÇ_MOV[RECEITA OU DESPESA],"Despesa",LANÇ_MOV[CONTAS],$C794,LANÇ_MOV[PLANO DE CONTAS],REL_DRE_FINANCEIRO!$B$753,LANÇ_MOV[ANO PAGAMENTO],$B$4,LANÇ_MOV[MÊS PAGAMENTO CORRESPONDENTE],N$6,LANÇ_MOV[EMPRESA],$C$4,LANÇ_MOV[CENTRO DE CUSTOS],$D$4)</f>
        <v>0</v>
      </c>
      <c r="O794" s="206">
        <f>SUMIFS(LANÇ_MOV[VALOR LÍQUIDO],LANÇ_MOV[RECEITA OU DESPESA],"Despesa",LANÇ_MOV[CONTAS],$C794,LANÇ_MOV[PLANO DE CONTAS],REL_DRE_FINANCEIRO!$B$753,LANÇ_MOV[ANO PAGAMENTO],$B$4,LANÇ_MOV[MÊS PAGAMENTO CORRESPONDENTE],O$6,LANÇ_MOV[EMPRESA],$C$4,LANÇ_MOV[CENTRO DE CUSTOS],$D$4)</f>
        <v>0</v>
      </c>
      <c r="P794" s="207">
        <f t="shared" si="100"/>
        <v>0</v>
      </c>
      <c r="Q794" s="329">
        <v>6.0000000000000002E-6</v>
      </c>
      <c r="R794" s="346">
        <f t="shared" si="101"/>
        <v>6.0000000000000002E-6</v>
      </c>
      <c r="S794" s="347" t="str">
        <f t="shared" si="102"/>
        <v>-</v>
      </c>
      <c r="T794" s="347">
        <f t="shared" si="103"/>
        <v>0</v>
      </c>
      <c r="U794" s="347">
        <f>HLOOKUP(Apoio!$P$12,$D$752:$P$853,X794,FALSE)+Q794</f>
        <v>6.0000000000000002E-6</v>
      </c>
      <c r="V794" s="447" t="str">
        <f t="shared" si="104"/>
        <v>-</v>
      </c>
      <c r="W794" s="448">
        <f>HLOOKUP(Apoio!$P$12,$D$752:$P$853,X794,FALSE)</f>
        <v>0</v>
      </c>
      <c r="X794" s="329">
        <v>43</v>
      </c>
    </row>
    <row r="795" spans="2:24" ht="30.05" customHeight="1" x14ac:dyDescent="0.35">
      <c r="B795" s="204" t="str">
        <f>'CAD_PL_REC-DESP'!Z46</f>
        <v>2.6.42</v>
      </c>
      <c r="C795" s="205" t="str">
        <f>IF('CAD_PL_REC-DESP'!AA46="","-",'CAD_PL_REC-DESP'!AA46)</f>
        <v>-</v>
      </c>
      <c r="D795" s="206">
        <f>SUMIFS(LANÇ_MOV[VALOR LÍQUIDO],LANÇ_MOV[RECEITA OU DESPESA],"Despesa",LANÇ_MOV[CONTAS],$C795,LANÇ_MOV[PLANO DE CONTAS],REL_DRE_FINANCEIRO!$B$753,LANÇ_MOV[ANO PAGAMENTO],$B$4,LANÇ_MOV[MÊS PAGAMENTO CORRESPONDENTE],D$6,LANÇ_MOV[EMPRESA],$C$4,LANÇ_MOV[CENTRO DE CUSTOS],$D$4)</f>
        <v>0</v>
      </c>
      <c r="E795" s="206">
        <f>SUMIFS(LANÇ_MOV[VALOR LÍQUIDO],LANÇ_MOV[RECEITA OU DESPESA],"Despesa",LANÇ_MOV[CONTAS],$C795,LANÇ_MOV[PLANO DE CONTAS],REL_DRE_FINANCEIRO!$B$753,LANÇ_MOV[ANO PAGAMENTO],$B$4,LANÇ_MOV[MÊS PAGAMENTO CORRESPONDENTE],E$6,LANÇ_MOV[EMPRESA],$C$4,LANÇ_MOV[CENTRO DE CUSTOS],$D$4)</f>
        <v>0</v>
      </c>
      <c r="F795" s="206">
        <f>SUMIFS(LANÇ_MOV[VALOR LÍQUIDO],LANÇ_MOV[RECEITA OU DESPESA],"Despesa",LANÇ_MOV[CONTAS],$C795,LANÇ_MOV[PLANO DE CONTAS],REL_DRE_FINANCEIRO!$B$753,LANÇ_MOV[ANO PAGAMENTO],$B$4,LANÇ_MOV[MÊS PAGAMENTO CORRESPONDENTE],F$6,LANÇ_MOV[EMPRESA],$C$4,LANÇ_MOV[CENTRO DE CUSTOS],$D$4)</f>
        <v>0</v>
      </c>
      <c r="G795" s="206">
        <f>SUMIFS(LANÇ_MOV[VALOR LÍQUIDO],LANÇ_MOV[RECEITA OU DESPESA],"Despesa",LANÇ_MOV[CONTAS],$C795,LANÇ_MOV[PLANO DE CONTAS],REL_DRE_FINANCEIRO!$B$753,LANÇ_MOV[ANO PAGAMENTO],$B$4,LANÇ_MOV[MÊS PAGAMENTO CORRESPONDENTE],G$6,LANÇ_MOV[EMPRESA],$C$4,LANÇ_MOV[CENTRO DE CUSTOS],$D$4)</f>
        <v>0</v>
      </c>
      <c r="H795" s="206">
        <f>SUMIFS(LANÇ_MOV[VALOR LÍQUIDO],LANÇ_MOV[RECEITA OU DESPESA],"Despesa",LANÇ_MOV[CONTAS],$C795,LANÇ_MOV[PLANO DE CONTAS],REL_DRE_FINANCEIRO!$B$753,LANÇ_MOV[ANO PAGAMENTO],$B$4,LANÇ_MOV[MÊS PAGAMENTO CORRESPONDENTE],H$6,LANÇ_MOV[EMPRESA],$C$4,LANÇ_MOV[CENTRO DE CUSTOS],$D$4)</f>
        <v>0</v>
      </c>
      <c r="I795" s="206">
        <f>SUMIFS(LANÇ_MOV[VALOR LÍQUIDO],LANÇ_MOV[RECEITA OU DESPESA],"Despesa",LANÇ_MOV[CONTAS],$C795,LANÇ_MOV[PLANO DE CONTAS],REL_DRE_FINANCEIRO!$B$753,LANÇ_MOV[ANO PAGAMENTO],$B$4,LANÇ_MOV[MÊS PAGAMENTO CORRESPONDENTE],I$6,LANÇ_MOV[EMPRESA],$C$4,LANÇ_MOV[CENTRO DE CUSTOS],$D$4)</f>
        <v>0</v>
      </c>
      <c r="J795" s="206">
        <f>SUMIFS(LANÇ_MOV[VALOR LÍQUIDO],LANÇ_MOV[RECEITA OU DESPESA],"Despesa",LANÇ_MOV[CONTAS],$C795,LANÇ_MOV[PLANO DE CONTAS],REL_DRE_FINANCEIRO!$B$753,LANÇ_MOV[ANO PAGAMENTO],$B$4,LANÇ_MOV[MÊS PAGAMENTO CORRESPONDENTE],J$6,LANÇ_MOV[EMPRESA],$C$4,LANÇ_MOV[CENTRO DE CUSTOS],$D$4)</f>
        <v>0</v>
      </c>
      <c r="K795" s="206">
        <f>SUMIFS(LANÇ_MOV[VALOR LÍQUIDO],LANÇ_MOV[RECEITA OU DESPESA],"Despesa",LANÇ_MOV[CONTAS],$C795,LANÇ_MOV[PLANO DE CONTAS],REL_DRE_FINANCEIRO!$B$753,LANÇ_MOV[ANO PAGAMENTO],$B$4,LANÇ_MOV[MÊS PAGAMENTO CORRESPONDENTE],K$6,LANÇ_MOV[EMPRESA],$C$4,LANÇ_MOV[CENTRO DE CUSTOS],$D$4)</f>
        <v>0</v>
      </c>
      <c r="L795" s="206">
        <f>SUMIFS(LANÇ_MOV[VALOR LÍQUIDO],LANÇ_MOV[RECEITA OU DESPESA],"Despesa",LANÇ_MOV[CONTAS],$C795,LANÇ_MOV[PLANO DE CONTAS],REL_DRE_FINANCEIRO!$B$753,LANÇ_MOV[ANO PAGAMENTO],$B$4,LANÇ_MOV[MÊS PAGAMENTO CORRESPONDENTE],L$6,LANÇ_MOV[EMPRESA],$C$4,LANÇ_MOV[CENTRO DE CUSTOS],$D$4)</f>
        <v>0</v>
      </c>
      <c r="M795" s="206">
        <f>SUMIFS(LANÇ_MOV[VALOR LÍQUIDO],LANÇ_MOV[RECEITA OU DESPESA],"Despesa",LANÇ_MOV[CONTAS],$C795,LANÇ_MOV[PLANO DE CONTAS],REL_DRE_FINANCEIRO!$B$753,LANÇ_MOV[ANO PAGAMENTO],$B$4,LANÇ_MOV[MÊS PAGAMENTO CORRESPONDENTE],M$6,LANÇ_MOV[EMPRESA],$C$4,LANÇ_MOV[CENTRO DE CUSTOS],$D$4)</f>
        <v>0</v>
      </c>
      <c r="N795" s="206">
        <f>SUMIFS(LANÇ_MOV[VALOR LÍQUIDO],LANÇ_MOV[RECEITA OU DESPESA],"Despesa",LANÇ_MOV[CONTAS],$C795,LANÇ_MOV[PLANO DE CONTAS],REL_DRE_FINANCEIRO!$B$753,LANÇ_MOV[ANO PAGAMENTO],$B$4,LANÇ_MOV[MÊS PAGAMENTO CORRESPONDENTE],N$6,LANÇ_MOV[EMPRESA],$C$4,LANÇ_MOV[CENTRO DE CUSTOS],$D$4)</f>
        <v>0</v>
      </c>
      <c r="O795" s="206">
        <f>SUMIFS(LANÇ_MOV[VALOR LÍQUIDO],LANÇ_MOV[RECEITA OU DESPESA],"Despesa",LANÇ_MOV[CONTAS],$C795,LANÇ_MOV[PLANO DE CONTAS],REL_DRE_FINANCEIRO!$B$753,LANÇ_MOV[ANO PAGAMENTO],$B$4,LANÇ_MOV[MÊS PAGAMENTO CORRESPONDENTE],O$6,LANÇ_MOV[EMPRESA],$C$4,LANÇ_MOV[CENTRO DE CUSTOS],$D$4)</f>
        <v>0</v>
      </c>
      <c r="P795" s="207">
        <f t="shared" si="100"/>
        <v>0</v>
      </c>
      <c r="Q795" s="329">
        <v>5.9000000000000003E-6</v>
      </c>
      <c r="R795" s="346">
        <f t="shared" si="101"/>
        <v>5.9000000000000003E-6</v>
      </c>
      <c r="S795" s="347" t="str">
        <f t="shared" si="102"/>
        <v>-</v>
      </c>
      <c r="T795" s="347">
        <f t="shared" si="103"/>
        <v>0</v>
      </c>
      <c r="U795" s="347">
        <f>HLOOKUP(Apoio!$P$12,$D$752:$P$853,X795,FALSE)+Q795</f>
        <v>5.9000000000000003E-6</v>
      </c>
      <c r="V795" s="447" t="str">
        <f t="shared" si="104"/>
        <v>-</v>
      </c>
      <c r="W795" s="448">
        <f>HLOOKUP(Apoio!$P$12,$D$752:$P$853,X795,FALSE)</f>
        <v>0</v>
      </c>
      <c r="X795" s="329">
        <v>44</v>
      </c>
    </row>
    <row r="796" spans="2:24" ht="30.05" customHeight="1" x14ac:dyDescent="0.35">
      <c r="B796" s="204" t="str">
        <f>'CAD_PL_REC-DESP'!Z47</f>
        <v>2.6.43</v>
      </c>
      <c r="C796" s="205" t="str">
        <f>IF('CAD_PL_REC-DESP'!AA47="","-",'CAD_PL_REC-DESP'!AA47)</f>
        <v>-</v>
      </c>
      <c r="D796" s="206">
        <f>SUMIFS(LANÇ_MOV[VALOR LÍQUIDO],LANÇ_MOV[RECEITA OU DESPESA],"Despesa",LANÇ_MOV[CONTAS],$C796,LANÇ_MOV[PLANO DE CONTAS],REL_DRE_FINANCEIRO!$B$753,LANÇ_MOV[ANO PAGAMENTO],$B$4,LANÇ_MOV[MÊS PAGAMENTO CORRESPONDENTE],D$6,LANÇ_MOV[EMPRESA],$C$4,LANÇ_MOV[CENTRO DE CUSTOS],$D$4)</f>
        <v>0</v>
      </c>
      <c r="E796" s="206">
        <f>SUMIFS(LANÇ_MOV[VALOR LÍQUIDO],LANÇ_MOV[RECEITA OU DESPESA],"Despesa",LANÇ_MOV[CONTAS],$C796,LANÇ_MOV[PLANO DE CONTAS],REL_DRE_FINANCEIRO!$B$753,LANÇ_MOV[ANO PAGAMENTO],$B$4,LANÇ_MOV[MÊS PAGAMENTO CORRESPONDENTE],E$6,LANÇ_MOV[EMPRESA],$C$4,LANÇ_MOV[CENTRO DE CUSTOS],$D$4)</f>
        <v>0</v>
      </c>
      <c r="F796" s="206">
        <f>SUMIFS(LANÇ_MOV[VALOR LÍQUIDO],LANÇ_MOV[RECEITA OU DESPESA],"Despesa",LANÇ_MOV[CONTAS],$C796,LANÇ_MOV[PLANO DE CONTAS],REL_DRE_FINANCEIRO!$B$753,LANÇ_MOV[ANO PAGAMENTO],$B$4,LANÇ_MOV[MÊS PAGAMENTO CORRESPONDENTE],F$6,LANÇ_MOV[EMPRESA],$C$4,LANÇ_MOV[CENTRO DE CUSTOS],$D$4)</f>
        <v>0</v>
      </c>
      <c r="G796" s="206">
        <f>SUMIFS(LANÇ_MOV[VALOR LÍQUIDO],LANÇ_MOV[RECEITA OU DESPESA],"Despesa",LANÇ_MOV[CONTAS],$C796,LANÇ_MOV[PLANO DE CONTAS],REL_DRE_FINANCEIRO!$B$753,LANÇ_MOV[ANO PAGAMENTO],$B$4,LANÇ_MOV[MÊS PAGAMENTO CORRESPONDENTE],G$6,LANÇ_MOV[EMPRESA],$C$4,LANÇ_MOV[CENTRO DE CUSTOS],$D$4)</f>
        <v>0</v>
      </c>
      <c r="H796" s="206">
        <f>SUMIFS(LANÇ_MOV[VALOR LÍQUIDO],LANÇ_MOV[RECEITA OU DESPESA],"Despesa",LANÇ_MOV[CONTAS],$C796,LANÇ_MOV[PLANO DE CONTAS],REL_DRE_FINANCEIRO!$B$753,LANÇ_MOV[ANO PAGAMENTO],$B$4,LANÇ_MOV[MÊS PAGAMENTO CORRESPONDENTE],H$6,LANÇ_MOV[EMPRESA],$C$4,LANÇ_MOV[CENTRO DE CUSTOS],$D$4)</f>
        <v>0</v>
      </c>
      <c r="I796" s="206">
        <f>SUMIFS(LANÇ_MOV[VALOR LÍQUIDO],LANÇ_MOV[RECEITA OU DESPESA],"Despesa",LANÇ_MOV[CONTAS],$C796,LANÇ_MOV[PLANO DE CONTAS],REL_DRE_FINANCEIRO!$B$753,LANÇ_MOV[ANO PAGAMENTO],$B$4,LANÇ_MOV[MÊS PAGAMENTO CORRESPONDENTE],I$6,LANÇ_MOV[EMPRESA],$C$4,LANÇ_MOV[CENTRO DE CUSTOS],$D$4)</f>
        <v>0</v>
      </c>
      <c r="J796" s="206">
        <f>SUMIFS(LANÇ_MOV[VALOR LÍQUIDO],LANÇ_MOV[RECEITA OU DESPESA],"Despesa",LANÇ_MOV[CONTAS],$C796,LANÇ_MOV[PLANO DE CONTAS],REL_DRE_FINANCEIRO!$B$753,LANÇ_MOV[ANO PAGAMENTO],$B$4,LANÇ_MOV[MÊS PAGAMENTO CORRESPONDENTE],J$6,LANÇ_MOV[EMPRESA],$C$4,LANÇ_MOV[CENTRO DE CUSTOS],$D$4)</f>
        <v>0</v>
      </c>
      <c r="K796" s="206">
        <f>SUMIFS(LANÇ_MOV[VALOR LÍQUIDO],LANÇ_MOV[RECEITA OU DESPESA],"Despesa",LANÇ_MOV[CONTAS],$C796,LANÇ_MOV[PLANO DE CONTAS],REL_DRE_FINANCEIRO!$B$753,LANÇ_MOV[ANO PAGAMENTO],$B$4,LANÇ_MOV[MÊS PAGAMENTO CORRESPONDENTE],K$6,LANÇ_MOV[EMPRESA],$C$4,LANÇ_MOV[CENTRO DE CUSTOS],$D$4)</f>
        <v>0</v>
      </c>
      <c r="L796" s="206">
        <f>SUMIFS(LANÇ_MOV[VALOR LÍQUIDO],LANÇ_MOV[RECEITA OU DESPESA],"Despesa",LANÇ_MOV[CONTAS],$C796,LANÇ_MOV[PLANO DE CONTAS],REL_DRE_FINANCEIRO!$B$753,LANÇ_MOV[ANO PAGAMENTO],$B$4,LANÇ_MOV[MÊS PAGAMENTO CORRESPONDENTE],L$6,LANÇ_MOV[EMPRESA],$C$4,LANÇ_MOV[CENTRO DE CUSTOS],$D$4)</f>
        <v>0</v>
      </c>
      <c r="M796" s="206">
        <f>SUMIFS(LANÇ_MOV[VALOR LÍQUIDO],LANÇ_MOV[RECEITA OU DESPESA],"Despesa",LANÇ_MOV[CONTAS],$C796,LANÇ_MOV[PLANO DE CONTAS],REL_DRE_FINANCEIRO!$B$753,LANÇ_MOV[ANO PAGAMENTO],$B$4,LANÇ_MOV[MÊS PAGAMENTO CORRESPONDENTE],M$6,LANÇ_MOV[EMPRESA],$C$4,LANÇ_MOV[CENTRO DE CUSTOS],$D$4)</f>
        <v>0</v>
      </c>
      <c r="N796" s="206">
        <f>SUMIFS(LANÇ_MOV[VALOR LÍQUIDO],LANÇ_MOV[RECEITA OU DESPESA],"Despesa",LANÇ_MOV[CONTAS],$C796,LANÇ_MOV[PLANO DE CONTAS],REL_DRE_FINANCEIRO!$B$753,LANÇ_MOV[ANO PAGAMENTO],$B$4,LANÇ_MOV[MÊS PAGAMENTO CORRESPONDENTE],N$6,LANÇ_MOV[EMPRESA],$C$4,LANÇ_MOV[CENTRO DE CUSTOS],$D$4)</f>
        <v>0</v>
      </c>
      <c r="O796" s="206">
        <f>SUMIFS(LANÇ_MOV[VALOR LÍQUIDO],LANÇ_MOV[RECEITA OU DESPESA],"Despesa",LANÇ_MOV[CONTAS],$C796,LANÇ_MOV[PLANO DE CONTAS],REL_DRE_FINANCEIRO!$B$753,LANÇ_MOV[ANO PAGAMENTO],$B$4,LANÇ_MOV[MÊS PAGAMENTO CORRESPONDENTE],O$6,LANÇ_MOV[EMPRESA],$C$4,LANÇ_MOV[CENTRO DE CUSTOS],$D$4)</f>
        <v>0</v>
      </c>
      <c r="P796" s="207">
        <f t="shared" si="100"/>
        <v>0</v>
      </c>
      <c r="Q796" s="329">
        <v>5.8000000000000004E-6</v>
      </c>
      <c r="R796" s="346">
        <f t="shared" si="101"/>
        <v>5.8000000000000004E-6</v>
      </c>
      <c r="S796" s="347" t="str">
        <f t="shared" si="102"/>
        <v>-</v>
      </c>
      <c r="T796" s="347">
        <f t="shared" si="103"/>
        <v>0</v>
      </c>
      <c r="U796" s="347">
        <f>HLOOKUP(Apoio!$P$12,$D$752:$P$853,X796,FALSE)+Q796</f>
        <v>5.8000000000000004E-6</v>
      </c>
      <c r="V796" s="447" t="str">
        <f t="shared" si="104"/>
        <v>-</v>
      </c>
      <c r="W796" s="448">
        <f>HLOOKUP(Apoio!$P$12,$D$752:$P$853,X796,FALSE)</f>
        <v>0</v>
      </c>
      <c r="X796" s="329">
        <v>45</v>
      </c>
    </row>
    <row r="797" spans="2:24" ht="30.05" customHeight="1" x14ac:dyDescent="0.35">
      <c r="B797" s="204" t="str">
        <f>'CAD_PL_REC-DESP'!Z48</f>
        <v>2.6.44</v>
      </c>
      <c r="C797" s="205" t="str">
        <f>IF('CAD_PL_REC-DESP'!AA48="","-",'CAD_PL_REC-DESP'!AA48)</f>
        <v>-</v>
      </c>
      <c r="D797" s="206">
        <f>SUMIFS(LANÇ_MOV[VALOR LÍQUIDO],LANÇ_MOV[RECEITA OU DESPESA],"Despesa",LANÇ_MOV[CONTAS],$C797,LANÇ_MOV[PLANO DE CONTAS],REL_DRE_FINANCEIRO!$B$753,LANÇ_MOV[ANO PAGAMENTO],$B$4,LANÇ_MOV[MÊS PAGAMENTO CORRESPONDENTE],D$6,LANÇ_MOV[EMPRESA],$C$4,LANÇ_MOV[CENTRO DE CUSTOS],$D$4)</f>
        <v>0</v>
      </c>
      <c r="E797" s="206">
        <f>SUMIFS(LANÇ_MOV[VALOR LÍQUIDO],LANÇ_MOV[RECEITA OU DESPESA],"Despesa",LANÇ_MOV[CONTAS],$C797,LANÇ_MOV[PLANO DE CONTAS],REL_DRE_FINANCEIRO!$B$753,LANÇ_MOV[ANO PAGAMENTO],$B$4,LANÇ_MOV[MÊS PAGAMENTO CORRESPONDENTE],E$6,LANÇ_MOV[EMPRESA],$C$4,LANÇ_MOV[CENTRO DE CUSTOS],$D$4)</f>
        <v>0</v>
      </c>
      <c r="F797" s="206">
        <f>SUMIFS(LANÇ_MOV[VALOR LÍQUIDO],LANÇ_MOV[RECEITA OU DESPESA],"Despesa",LANÇ_MOV[CONTAS],$C797,LANÇ_MOV[PLANO DE CONTAS],REL_DRE_FINANCEIRO!$B$753,LANÇ_MOV[ANO PAGAMENTO],$B$4,LANÇ_MOV[MÊS PAGAMENTO CORRESPONDENTE],F$6,LANÇ_MOV[EMPRESA],$C$4,LANÇ_MOV[CENTRO DE CUSTOS],$D$4)</f>
        <v>0</v>
      </c>
      <c r="G797" s="206">
        <f>SUMIFS(LANÇ_MOV[VALOR LÍQUIDO],LANÇ_MOV[RECEITA OU DESPESA],"Despesa",LANÇ_MOV[CONTAS],$C797,LANÇ_MOV[PLANO DE CONTAS],REL_DRE_FINANCEIRO!$B$753,LANÇ_MOV[ANO PAGAMENTO],$B$4,LANÇ_MOV[MÊS PAGAMENTO CORRESPONDENTE],G$6,LANÇ_MOV[EMPRESA],$C$4,LANÇ_MOV[CENTRO DE CUSTOS],$D$4)</f>
        <v>0</v>
      </c>
      <c r="H797" s="206">
        <f>SUMIFS(LANÇ_MOV[VALOR LÍQUIDO],LANÇ_MOV[RECEITA OU DESPESA],"Despesa",LANÇ_MOV[CONTAS],$C797,LANÇ_MOV[PLANO DE CONTAS],REL_DRE_FINANCEIRO!$B$753,LANÇ_MOV[ANO PAGAMENTO],$B$4,LANÇ_MOV[MÊS PAGAMENTO CORRESPONDENTE],H$6,LANÇ_MOV[EMPRESA],$C$4,LANÇ_MOV[CENTRO DE CUSTOS],$D$4)</f>
        <v>0</v>
      </c>
      <c r="I797" s="206">
        <f>SUMIFS(LANÇ_MOV[VALOR LÍQUIDO],LANÇ_MOV[RECEITA OU DESPESA],"Despesa",LANÇ_MOV[CONTAS],$C797,LANÇ_MOV[PLANO DE CONTAS],REL_DRE_FINANCEIRO!$B$753,LANÇ_MOV[ANO PAGAMENTO],$B$4,LANÇ_MOV[MÊS PAGAMENTO CORRESPONDENTE],I$6,LANÇ_MOV[EMPRESA],$C$4,LANÇ_MOV[CENTRO DE CUSTOS],$D$4)</f>
        <v>0</v>
      </c>
      <c r="J797" s="206">
        <f>SUMIFS(LANÇ_MOV[VALOR LÍQUIDO],LANÇ_MOV[RECEITA OU DESPESA],"Despesa",LANÇ_MOV[CONTAS],$C797,LANÇ_MOV[PLANO DE CONTAS],REL_DRE_FINANCEIRO!$B$753,LANÇ_MOV[ANO PAGAMENTO],$B$4,LANÇ_MOV[MÊS PAGAMENTO CORRESPONDENTE],J$6,LANÇ_MOV[EMPRESA],$C$4,LANÇ_MOV[CENTRO DE CUSTOS],$D$4)</f>
        <v>0</v>
      </c>
      <c r="K797" s="206">
        <f>SUMIFS(LANÇ_MOV[VALOR LÍQUIDO],LANÇ_MOV[RECEITA OU DESPESA],"Despesa",LANÇ_MOV[CONTAS],$C797,LANÇ_MOV[PLANO DE CONTAS],REL_DRE_FINANCEIRO!$B$753,LANÇ_MOV[ANO PAGAMENTO],$B$4,LANÇ_MOV[MÊS PAGAMENTO CORRESPONDENTE],K$6,LANÇ_MOV[EMPRESA],$C$4,LANÇ_MOV[CENTRO DE CUSTOS],$D$4)</f>
        <v>0</v>
      </c>
      <c r="L797" s="206">
        <f>SUMIFS(LANÇ_MOV[VALOR LÍQUIDO],LANÇ_MOV[RECEITA OU DESPESA],"Despesa",LANÇ_MOV[CONTAS],$C797,LANÇ_MOV[PLANO DE CONTAS],REL_DRE_FINANCEIRO!$B$753,LANÇ_MOV[ANO PAGAMENTO],$B$4,LANÇ_MOV[MÊS PAGAMENTO CORRESPONDENTE],L$6,LANÇ_MOV[EMPRESA],$C$4,LANÇ_MOV[CENTRO DE CUSTOS],$D$4)</f>
        <v>0</v>
      </c>
      <c r="M797" s="206">
        <f>SUMIFS(LANÇ_MOV[VALOR LÍQUIDO],LANÇ_MOV[RECEITA OU DESPESA],"Despesa",LANÇ_MOV[CONTAS],$C797,LANÇ_MOV[PLANO DE CONTAS],REL_DRE_FINANCEIRO!$B$753,LANÇ_MOV[ANO PAGAMENTO],$B$4,LANÇ_MOV[MÊS PAGAMENTO CORRESPONDENTE],M$6,LANÇ_MOV[EMPRESA],$C$4,LANÇ_MOV[CENTRO DE CUSTOS],$D$4)</f>
        <v>0</v>
      </c>
      <c r="N797" s="206">
        <f>SUMIFS(LANÇ_MOV[VALOR LÍQUIDO],LANÇ_MOV[RECEITA OU DESPESA],"Despesa",LANÇ_MOV[CONTAS],$C797,LANÇ_MOV[PLANO DE CONTAS],REL_DRE_FINANCEIRO!$B$753,LANÇ_MOV[ANO PAGAMENTO],$B$4,LANÇ_MOV[MÊS PAGAMENTO CORRESPONDENTE],N$6,LANÇ_MOV[EMPRESA],$C$4,LANÇ_MOV[CENTRO DE CUSTOS],$D$4)</f>
        <v>0</v>
      </c>
      <c r="O797" s="206">
        <f>SUMIFS(LANÇ_MOV[VALOR LÍQUIDO],LANÇ_MOV[RECEITA OU DESPESA],"Despesa",LANÇ_MOV[CONTAS],$C797,LANÇ_MOV[PLANO DE CONTAS],REL_DRE_FINANCEIRO!$B$753,LANÇ_MOV[ANO PAGAMENTO],$B$4,LANÇ_MOV[MÊS PAGAMENTO CORRESPONDENTE],O$6,LANÇ_MOV[EMPRESA],$C$4,LANÇ_MOV[CENTRO DE CUSTOS],$D$4)</f>
        <v>0</v>
      </c>
      <c r="P797" s="207">
        <f t="shared" si="100"/>
        <v>0</v>
      </c>
      <c r="Q797" s="329">
        <v>5.6999999999999996E-6</v>
      </c>
      <c r="R797" s="346">
        <f t="shared" si="101"/>
        <v>5.6999999999999996E-6</v>
      </c>
      <c r="S797" s="347" t="str">
        <f t="shared" si="102"/>
        <v>-</v>
      </c>
      <c r="T797" s="347">
        <f t="shared" si="103"/>
        <v>0</v>
      </c>
      <c r="U797" s="347">
        <f>HLOOKUP(Apoio!$P$12,$D$752:$P$853,X797,FALSE)+Q797</f>
        <v>5.6999999999999996E-6</v>
      </c>
      <c r="V797" s="447" t="str">
        <f t="shared" si="104"/>
        <v>-</v>
      </c>
      <c r="W797" s="448">
        <f>HLOOKUP(Apoio!$P$12,$D$752:$P$853,X797,FALSE)</f>
        <v>0</v>
      </c>
      <c r="X797" s="329">
        <v>46</v>
      </c>
    </row>
    <row r="798" spans="2:24" ht="30.05" customHeight="1" x14ac:dyDescent="0.35">
      <c r="B798" s="204" t="str">
        <f>'CAD_PL_REC-DESP'!Z49</f>
        <v>2.6.45</v>
      </c>
      <c r="C798" s="205" t="str">
        <f>IF('CAD_PL_REC-DESP'!AA49="","-",'CAD_PL_REC-DESP'!AA49)</f>
        <v>-</v>
      </c>
      <c r="D798" s="206">
        <f>SUMIFS(LANÇ_MOV[VALOR LÍQUIDO],LANÇ_MOV[RECEITA OU DESPESA],"Despesa",LANÇ_MOV[CONTAS],$C798,LANÇ_MOV[PLANO DE CONTAS],REL_DRE_FINANCEIRO!$B$753,LANÇ_MOV[ANO PAGAMENTO],$B$4,LANÇ_MOV[MÊS PAGAMENTO CORRESPONDENTE],D$6,LANÇ_MOV[EMPRESA],$C$4,LANÇ_MOV[CENTRO DE CUSTOS],$D$4)</f>
        <v>0</v>
      </c>
      <c r="E798" s="206">
        <f>SUMIFS(LANÇ_MOV[VALOR LÍQUIDO],LANÇ_MOV[RECEITA OU DESPESA],"Despesa",LANÇ_MOV[CONTAS],$C798,LANÇ_MOV[PLANO DE CONTAS],REL_DRE_FINANCEIRO!$B$753,LANÇ_MOV[ANO PAGAMENTO],$B$4,LANÇ_MOV[MÊS PAGAMENTO CORRESPONDENTE],E$6,LANÇ_MOV[EMPRESA],$C$4,LANÇ_MOV[CENTRO DE CUSTOS],$D$4)</f>
        <v>0</v>
      </c>
      <c r="F798" s="206">
        <f>SUMIFS(LANÇ_MOV[VALOR LÍQUIDO],LANÇ_MOV[RECEITA OU DESPESA],"Despesa",LANÇ_MOV[CONTAS],$C798,LANÇ_MOV[PLANO DE CONTAS],REL_DRE_FINANCEIRO!$B$753,LANÇ_MOV[ANO PAGAMENTO],$B$4,LANÇ_MOV[MÊS PAGAMENTO CORRESPONDENTE],F$6,LANÇ_MOV[EMPRESA],$C$4,LANÇ_MOV[CENTRO DE CUSTOS],$D$4)</f>
        <v>0</v>
      </c>
      <c r="G798" s="206">
        <f>SUMIFS(LANÇ_MOV[VALOR LÍQUIDO],LANÇ_MOV[RECEITA OU DESPESA],"Despesa",LANÇ_MOV[CONTAS],$C798,LANÇ_MOV[PLANO DE CONTAS],REL_DRE_FINANCEIRO!$B$753,LANÇ_MOV[ANO PAGAMENTO],$B$4,LANÇ_MOV[MÊS PAGAMENTO CORRESPONDENTE],G$6,LANÇ_MOV[EMPRESA],$C$4,LANÇ_MOV[CENTRO DE CUSTOS],$D$4)</f>
        <v>0</v>
      </c>
      <c r="H798" s="206">
        <f>SUMIFS(LANÇ_MOV[VALOR LÍQUIDO],LANÇ_MOV[RECEITA OU DESPESA],"Despesa",LANÇ_MOV[CONTAS],$C798,LANÇ_MOV[PLANO DE CONTAS],REL_DRE_FINANCEIRO!$B$753,LANÇ_MOV[ANO PAGAMENTO],$B$4,LANÇ_MOV[MÊS PAGAMENTO CORRESPONDENTE],H$6,LANÇ_MOV[EMPRESA],$C$4,LANÇ_MOV[CENTRO DE CUSTOS],$D$4)</f>
        <v>0</v>
      </c>
      <c r="I798" s="206">
        <f>SUMIFS(LANÇ_MOV[VALOR LÍQUIDO],LANÇ_MOV[RECEITA OU DESPESA],"Despesa",LANÇ_MOV[CONTAS],$C798,LANÇ_MOV[PLANO DE CONTAS],REL_DRE_FINANCEIRO!$B$753,LANÇ_MOV[ANO PAGAMENTO],$B$4,LANÇ_MOV[MÊS PAGAMENTO CORRESPONDENTE],I$6,LANÇ_MOV[EMPRESA],$C$4,LANÇ_MOV[CENTRO DE CUSTOS],$D$4)</f>
        <v>0</v>
      </c>
      <c r="J798" s="206">
        <f>SUMIFS(LANÇ_MOV[VALOR LÍQUIDO],LANÇ_MOV[RECEITA OU DESPESA],"Despesa",LANÇ_MOV[CONTAS],$C798,LANÇ_MOV[PLANO DE CONTAS],REL_DRE_FINANCEIRO!$B$753,LANÇ_MOV[ANO PAGAMENTO],$B$4,LANÇ_MOV[MÊS PAGAMENTO CORRESPONDENTE],J$6,LANÇ_MOV[EMPRESA],$C$4,LANÇ_MOV[CENTRO DE CUSTOS],$D$4)</f>
        <v>0</v>
      </c>
      <c r="K798" s="206">
        <f>SUMIFS(LANÇ_MOV[VALOR LÍQUIDO],LANÇ_MOV[RECEITA OU DESPESA],"Despesa",LANÇ_MOV[CONTAS],$C798,LANÇ_MOV[PLANO DE CONTAS],REL_DRE_FINANCEIRO!$B$753,LANÇ_MOV[ANO PAGAMENTO],$B$4,LANÇ_MOV[MÊS PAGAMENTO CORRESPONDENTE],K$6,LANÇ_MOV[EMPRESA],$C$4,LANÇ_MOV[CENTRO DE CUSTOS],$D$4)</f>
        <v>0</v>
      </c>
      <c r="L798" s="206">
        <f>SUMIFS(LANÇ_MOV[VALOR LÍQUIDO],LANÇ_MOV[RECEITA OU DESPESA],"Despesa",LANÇ_MOV[CONTAS],$C798,LANÇ_MOV[PLANO DE CONTAS],REL_DRE_FINANCEIRO!$B$753,LANÇ_MOV[ANO PAGAMENTO],$B$4,LANÇ_MOV[MÊS PAGAMENTO CORRESPONDENTE],L$6,LANÇ_MOV[EMPRESA],$C$4,LANÇ_MOV[CENTRO DE CUSTOS],$D$4)</f>
        <v>0</v>
      </c>
      <c r="M798" s="206">
        <f>SUMIFS(LANÇ_MOV[VALOR LÍQUIDO],LANÇ_MOV[RECEITA OU DESPESA],"Despesa",LANÇ_MOV[CONTAS],$C798,LANÇ_MOV[PLANO DE CONTAS],REL_DRE_FINANCEIRO!$B$753,LANÇ_MOV[ANO PAGAMENTO],$B$4,LANÇ_MOV[MÊS PAGAMENTO CORRESPONDENTE],M$6,LANÇ_MOV[EMPRESA],$C$4,LANÇ_MOV[CENTRO DE CUSTOS],$D$4)</f>
        <v>0</v>
      </c>
      <c r="N798" s="206">
        <f>SUMIFS(LANÇ_MOV[VALOR LÍQUIDO],LANÇ_MOV[RECEITA OU DESPESA],"Despesa",LANÇ_MOV[CONTAS],$C798,LANÇ_MOV[PLANO DE CONTAS],REL_DRE_FINANCEIRO!$B$753,LANÇ_MOV[ANO PAGAMENTO],$B$4,LANÇ_MOV[MÊS PAGAMENTO CORRESPONDENTE],N$6,LANÇ_MOV[EMPRESA],$C$4,LANÇ_MOV[CENTRO DE CUSTOS],$D$4)</f>
        <v>0</v>
      </c>
      <c r="O798" s="206">
        <f>SUMIFS(LANÇ_MOV[VALOR LÍQUIDO],LANÇ_MOV[RECEITA OU DESPESA],"Despesa",LANÇ_MOV[CONTAS],$C798,LANÇ_MOV[PLANO DE CONTAS],REL_DRE_FINANCEIRO!$B$753,LANÇ_MOV[ANO PAGAMENTO],$B$4,LANÇ_MOV[MÊS PAGAMENTO CORRESPONDENTE],O$6,LANÇ_MOV[EMPRESA],$C$4,LANÇ_MOV[CENTRO DE CUSTOS],$D$4)</f>
        <v>0</v>
      </c>
      <c r="P798" s="207">
        <f t="shared" si="100"/>
        <v>0</v>
      </c>
      <c r="Q798" s="329">
        <v>5.5999999999999997E-6</v>
      </c>
      <c r="R798" s="346">
        <f t="shared" si="101"/>
        <v>5.5999999999999997E-6</v>
      </c>
      <c r="S798" s="347" t="str">
        <f t="shared" si="102"/>
        <v>-</v>
      </c>
      <c r="T798" s="347">
        <f t="shared" si="103"/>
        <v>0</v>
      </c>
      <c r="U798" s="347">
        <f>HLOOKUP(Apoio!$P$12,$D$752:$P$853,X798,FALSE)+Q798</f>
        <v>5.5999999999999997E-6</v>
      </c>
      <c r="V798" s="447" t="str">
        <f t="shared" si="104"/>
        <v>-</v>
      </c>
      <c r="W798" s="448">
        <f>HLOOKUP(Apoio!$P$12,$D$752:$P$853,X798,FALSE)</f>
        <v>0</v>
      </c>
      <c r="X798" s="329">
        <v>47</v>
      </c>
    </row>
    <row r="799" spans="2:24" ht="30.05" customHeight="1" x14ac:dyDescent="0.35">
      <c r="B799" s="204" t="str">
        <f>'CAD_PL_REC-DESP'!Z50</f>
        <v>2.6.46</v>
      </c>
      <c r="C799" s="205" t="str">
        <f>IF('CAD_PL_REC-DESP'!AA50="","-",'CAD_PL_REC-DESP'!AA50)</f>
        <v>-</v>
      </c>
      <c r="D799" s="206">
        <f>SUMIFS(LANÇ_MOV[VALOR LÍQUIDO],LANÇ_MOV[RECEITA OU DESPESA],"Despesa",LANÇ_MOV[CONTAS],$C799,LANÇ_MOV[PLANO DE CONTAS],REL_DRE_FINANCEIRO!$B$753,LANÇ_MOV[ANO PAGAMENTO],$B$4,LANÇ_MOV[MÊS PAGAMENTO CORRESPONDENTE],D$6,LANÇ_MOV[EMPRESA],$C$4,LANÇ_MOV[CENTRO DE CUSTOS],$D$4)</f>
        <v>0</v>
      </c>
      <c r="E799" s="206">
        <f>SUMIFS(LANÇ_MOV[VALOR LÍQUIDO],LANÇ_MOV[RECEITA OU DESPESA],"Despesa",LANÇ_MOV[CONTAS],$C799,LANÇ_MOV[PLANO DE CONTAS],REL_DRE_FINANCEIRO!$B$753,LANÇ_MOV[ANO PAGAMENTO],$B$4,LANÇ_MOV[MÊS PAGAMENTO CORRESPONDENTE],E$6,LANÇ_MOV[EMPRESA],$C$4,LANÇ_MOV[CENTRO DE CUSTOS],$D$4)</f>
        <v>0</v>
      </c>
      <c r="F799" s="206">
        <f>SUMIFS(LANÇ_MOV[VALOR LÍQUIDO],LANÇ_MOV[RECEITA OU DESPESA],"Despesa",LANÇ_MOV[CONTAS],$C799,LANÇ_MOV[PLANO DE CONTAS],REL_DRE_FINANCEIRO!$B$753,LANÇ_MOV[ANO PAGAMENTO],$B$4,LANÇ_MOV[MÊS PAGAMENTO CORRESPONDENTE],F$6,LANÇ_MOV[EMPRESA],$C$4,LANÇ_MOV[CENTRO DE CUSTOS],$D$4)</f>
        <v>0</v>
      </c>
      <c r="G799" s="206">
        <f>SUMIFS(LANÇ_MOV[VALOR LÍQUIDO],LANÇ_MOV[RECEITA OU DESPESA],"Despesa",LANÇ_MOV[CONTAS],$C799,LANÇ_MOV[PLANO DE CONTAS],REL_DRE_FINANCEIRO!$B$753,LANÇ_MOV[ANO PAGAMENTO],$B$4,LANÇ_MOV[MÊS PAGAMENTO CORRESPONDENTE],G$6,LANÇ_MOV[EMPRESA],$C$4,LANÇ_MOV[CENTRO DE CUSTOS],$D$4)</f>
        <v>0</v>
      </c>
      <c r="H799" s="206">
        <f>SUMIFS(LANÇ_MOV[VALOR LÍQUIDO],LANÇ_MOV[RECEITA OU DESPESA],"Despesa",LANÇ_MOV[CONTAS],$C799,LANÇ_MOV[PLANO DE CONTAS],REL_DRE_FINANCEIRO!$B$753,LANÇ_MOV[ANO PAGAMENTO],$B$4,LANÇ_MOV[MÊS PAGAMENTO CORRESPONDENTE],H$6,LANÇ_MOV[EMPRESA],$C$4,LANÇ_MOV[CENTRO DE CUSTOS],$D$4)</f>
        <v>0</v>
      </c>
      <c r="I799" s="206">
        <f>SUMIFS(LANÇ_MOV[VALOR LÍQUIDO],LANÇ_MOV[RECEITA OU DESPESA],"Despesa",LANÇ_MOV[CONTAS],$C799,LANÇ_MOV[PLANO DE CONTAS],REL_DRE_FINANCEIRO!$B$753,LANÇ_MOV[ANO PAGAMENTO],$B$4,LANÇ_MOV[MÊS PAGAMENTO CORRESPONDENTE],I$6,LANÇ_MOV[EMPRESA],$C$4,LANÇ_MOV[CENTRO DE CUSTOS],$D$4)</f>
        <v>0</v>
      </c>
      <c r="J799" s="206">
        <f>SUMIFS(LANÇ_MOV[VALOR LÍQUIDO],LANÇ_MOV[RECEITA OU DESPESA],"Despesa",LANÇ_MOV[CONTAS],$C799,LANÇ_MOV[PLANO DE CONTAS],REL_DRE_FINANCEIRO!$B$753,LANÇ_MOV[ANO PAGAMENTO],$B$4,LANÇ_MOV[MÊS PAGAMENTO CORRESPONDENTE],J$6,LANÇ_MOV[EMPRESA],$C$4,LANÇ_MOV[CENTRO DE CUSTOS],$D$4)</f>
        <v>0</v>
      </c>
      <c r="K799" s="206">
        <f>SUMIFS(LANÇ_MOV[VALOR LÍQUIDO],LANÇ_MOV[RECEITA OU DESPESA],"Despesa",LANÇ_MOV[CONTAS],$C799,LANÇ_MOV[PLANO DE CONTAS],REL_DRE_FINANCEIRO!$B$753,LANÇ_MOV[ANO PAGAMENTO],$B$4,LANÇ_MOV[MÊS PAGAMENTO CORRESPONDENTE],K$6,LANÇ_MOV[EMPRESA],$C$4,LANÇ_MOV[CENTRO DE CUSTOS],$D$4)</f>
        <v>0</v>
      </c>
      <c r="L799" s="206">
        <f>SUMIFS(LANÇ_MOV[VALOR LÍQUIDO],LANÇ_MOV[RECEITA OU DESPESA],"Despesa",LANÇ_MOV[CONTAS],$C799,LANÇ_MOV[PLANO DE CONTAS],REL_DRE_FINANCEIRO!$B$753,LANÇ_MOV[ANO PAGAMENTO],$B$4,LANÇ_MOV[MÊS PAGAMENTO CORRESPONDENTE],L$6,LANÇ_MOV[EMPRESA],$C$4,LANÇ_MOV[CENTRO DE CUSTOS],$D$4)</f>
        <v>0</v>
      </c>
      <c r="M799" s="206">
        <f>SUMIFS(LANÇ_MOV[VALOR LÍQUIDO],LANÇ_MOV[RECEITA OU DESPESA],"Despesa",LANÇ_MOV[CONTAS],$C799,LANÇ_MOV[PLANO DE CONTAS],REL_DRE_FINANCEIRO!$B$753,LANÇ_MOV[ANO PAGAMENTO],$B$4,LANÇ_MOV[MÊS PAGAMENTO CORRESPONDENTE],M$6,LANÇ_MOV[EMPRESA],$C$4,LANÇ_MOV[CENTRO DE CUSTOS],$D$4)</f>
        <v>0</v>
      </c>
      <c r="N799" s="206">
        <f>SUMIFS(LANÇ_MOV[VALOR LÍQUIDO],LANÇ_MOV[RECEITA OU DESPESA],"Despesa",LANÇ_MOV[CONTAS],$C799,LANÇ_MOV[PLANO DE CONTAS],REL_DRE_FINANCEIRO!$B$753,LANÇ_MOV[ANO PAGAMENTO],$B$4,LANÇ_MOV[MÊS PAGAMENTO CORRESPONDENTE],N$6,LANÇ_MOV[EMPRESA],$C$4,LANÇ_MOV[CENTRO DE CUSTOS],$D$4)</f>
        <v>0</v>
      </c>
      <c r="O799" s="206">
        <f>SUMIFS(LANÇ_MOV[VALOR LÍQUIDO],LANÇ_MOV[RECEITA OU DESPESA],"Despesa",LANÇ_MOV[CONTAS],$C799,LANÇ_MOV[PLANO DE CONTAS],REL_DRE_FINANCEIRO!$B$753,LANÇ_MOV[ANO PAGAMENTO],$B$4,LANÇ_MOV[MÊS PAGAMENTO CORRESPONDENTE],O$6,LANÇ_MOV[EMPRESA],$C$4,LANÇ_MOV[CENTRO DE CUSTOS],$D$4)</f>
        <v>0</v>
      </c>
      <c r="P799" s="207">
        <f t="shared" si="100"/>
        <v>0</v>
      </c>
      <c r="Q799" s="329">
        <v>5.4999999999999999E-6</v>
      </c>
      <c r="R799" s="346">
        <f t="shared" si="101"/>
        <v>5.4999999999999999E-6</v>
      </c>
      <c r="S799" s="347" t="str">
        <f t="shared" si="102"/>
        <v>-</v>
      </c>
      <c r="T799" s="347">
        <f t="shared" si="103"/>
        <v>0</v>
      </c>
      <c r="U799" s="347">
        <f>HLOOKUP(Apoio!$P$12,$D$752:$P$853,X799,FALSE)+Q799</f>
        <v>5.4999999999999999E-6</v>
      </c>
      <c r="V799" s="447" t="str">
        <f t="shared" si="104"/>
        <v>-</v>
      </c>
      <c r="W799" s="448">
        <f>HLOOKUP(Apoio!$P$12,$D$752:$P$853,X799,FALSE)</f>
        <v>0</v>
      </c>
      <c r="X799" s="329">
        <v>48</v>
      </c>
    </row>
    <row r="800" spans="2:24" ht="30.05" customHeight="1" x14ac:dyDescent="0.35">
      <c r="B800" s="204" t="str">
        <f>'CAD_PL_REC-DESP'!Z51</f>
        <v>2.6.47</v>
      </c>
      <c r="C800" s="205" t="str">
        <f>IF('CAD_PL_REC-DESP'!AA51="","-",'CAD_PL_REC-DESP'!AA51)</f>
        <v>-</v>
      </c>
      <c r="D800" s="206">
        <f>SUMIFS(LANÇ_MOV[VALOR LÍQUIDO],LANÇ_MOV[RECEITA OU DESPESA],"Despesa",LANÇ_MOV[CONTAS],$C800,LANÇ_MOV[PLANO DE CONTAS],REL_DRE_FINANCEIRO!$B$753,LANÇ_MOV[ANO PAGAMENTO],$B$4,LANÇ_MOV[MÊS PAGAMENTO CORRESPONDENTE],D$6,LANÇ_MOV[EMPRESA],$C$4,LANÇ_MOV[CENTRO DE CUSTOS],$D$4)</f>
        <v>0</v>
      </c>
      <c r="E800" s="206">
        <f>SUMIFS(LANÇ_MOV[VALOR LÍQUIDO],LANÇ_MOV[RECEITA OU DESPESA],"Despesa",LANÇ_MOV[CONTAS],$C800,LANÇ_MOV[PLANO DE CONTAS],REL_DRE_FINANCEIRO!$B$753,LANÇ_MOV[ANO PAGAMENTO],$B$4,LANÇ_MOV[MÊS PAGAMENTO CORRESPONDENTE],E$6,LANÇ_MOV[EMPRESA],$C$4,LANÇ_MOV[CENTRO DE CUSTOS],$D$4)</f>
        <v>0</v>
      </c>
      <c r="F800" s="206">
        <f>SUMIFS(LANÇ_MOV[VALOR LÍQUIDO],LANÇ_MOV[RECEITA OU DESPESA],"Despesa",LANÇ_MOV[CONTAS],$C800,LANÇ_MOV[PLANO DE CONTAS],REL_DRE_FINANCEIRO!$B$753,LANÇ_MOV[ANO PAGAMENTO],$B$4,LANÇ_MOV[MÊS PAGAMENTO CORRESPONDENTE],F$6,LANÇ_MOV[EMPRESA],$C$4,LANÇ_MOV[CENTRO DE CUSTOS],$D$4)</f>
        <v>0</v>
      </c>
      <c r="G800" s="206">
        <f>SUMIFS(LANÇ_MOV[VALOR LÍQUIDO],LANÇ_MOV[RECEITA OU DESPESA],"Despesa",LANÇ_MOV[CONTAS],$C800,LANÇ_MOV[PLANO DE CONTAS],REL_DRE_FINANCEIRO!$B$753,LANÇ_MOV[ANO PAGAMENTO],$B$4,LANÇ_MOV[MÊS PAGAMENTO CORRESPONDENTE],G$6,LANÇ_MOV[EMPRESA],$C$4,LANÇ_MOV[CENTRO DE CUSTOS],$D$4)</f>
        <v>0</v>
      </c>
      <c r="H800" s="206">
        <f>SUMIFS(LANÇ_MOV[VALOR LÍQUIDO],LANÇ_MOV[RECEITA OU DESPESA],"Despesa",LANÇ_MOV[CONTAS],$C800,LANÇ_MOV[PLANO DE CONTAS],REL_DRE_FINANCEIRO!$B$753,LANÇ_MOV[ANO PAGAMENTO],$B$4,LANÇ_MOV[MÊS PAGAMENTO CORRESPONDENTE],H$6,LANÇ_MOV[EMPRESA],$C$4,LANÇ_MOV[CENTRO DE CUSTOS],$D$4)</f>
        <v>0</v>
      </c>
      <c r="I800" s="206">
        <f>SUMIFS(LANÇ_MOV[VALOR LÍQUIDO],LANÇ_MOV[RECEITA OU DESPESA],"Despesa",LANÇ_MOV[CONTAS],$C800,LANÇ_MOV[PLANO DE CONTAS],REL_DRE_FINANCEIRO!$B$753,LANÇ_MOV[ANO PAGAMENTO],$B$4,LANÇ_MOV[MÊS PAGAMENTO CORRESPONDENTE],I$6,LANÇ_MOV[EMPRESA],$C$4,LANÇ_MOV[CENTRO DE CUSTOS],$D$4)</f>
        <v>0</v>
      </c>
      <c r="J800" s="206">
        <f>SUMIFS(LANÇ_MOV[VALOR LÍQUIDO],LANÇ_MOV[RECEITA OU DESPESA],"Despesa",LANÇ_MOV[CONTAS],$C800,LANÇ_MOV[PLANO DE CONTAS],REL_DRE_FINANCEIRO!$B$753,LANÇ_MOV[ANO PAGAMENTO],$B$4,LANÇ_MOV[MÊS PAGAMENTO CORRESPONDENTE],J$6,LANÇ_MOV[EMPRESA],$C$4,LANÇ_MOV[CENTRO DE CUSTOS],$D$4)</f>
        <v>0</v>
      </c>
      <c r="K800" s="206">
        <f>SUMIFS(LANÇ_MOV[VALOR LÍQUIDO],LANÇ_MOV[RECEITA OU DESPESA],"Despesa",LANÇ_MOV[CONTAS],$C800,LANÇ_MOV[PLANO DE CONTAS],REL_DRE_FINANCEIRO!$B$753,LANÇ_MOV[ANO PAGAMENTO],$B$4,LANÇ_MOV[MÊS PAGAMENTO CORRESPONDENTE],K$6,LANÇ_MOV[EMPRESA],$C$4,LANÇ_MOV[CENTRO DE CUSTOS],$D$4)</f>
        <v>0</v>
      </c>
      <c r="L800" s="206">
        <f>SUMIFS(LANÇ_MOV[VALOR LÍQUIDO],LANÇ_MOV[RECEITA OU DESPESA],"Despesa",LANÇ_MOV[CONTAS],$C800,LANÇ_MOV[PLANO DE CONTAS],REL_DRE_FINANCEIRO!$B$753,LANÇ_MOV[ANO PAGAMENTO],$B$4,LANÇ_MOV[MÊS PAGAMENTO CORRESPONDENTE],L$6,LANÇ_MOV[EMPRESA],$C$4,LANÇ_MOV[CENTRO DE CUSTOS],$D$4)</f>
        <v>0</v>
      </c>
      <c r="M800" s="206">
        <f>SUMIFS(LANÇ_MOV[VALOR LÍQUIDO],LANÇ_MOV[RECEITA OU DESPESA],"Despesa",LANÇ_MOV[CONTAS],$C800,LANÇ_MOV[PLANO DE CONTAS],REL_DRE_FINANCEIRO!$B$753,LANÇ_MOV[ANO PAGAMENTO],$B$4,LANÇ_MOV[MÊS PAGAMENTO CORRESPONDENTE],M$6,LANÇ_MOV[EMPRESA],$C$4,LANÇ_MOV[CENTRO DE CUSTOS],$D$4)</f>
        <v>0</v>
      </c>
      <c r="N800" s="206">
        <f>SUMIFS(LANÇ_MOV[VALOR LÍQUIDO],LANÇ_MOV[RECEITA OU DESPESA],"Despesa",LANÇ_MOV[CONTAS],$C800,LANÇ_MOV[PLANO DE CONTAS],REL_DRE_FINANCEIRO!$B$753,LANÇ_MOV[ANO PAGAMENTO],$B$4,LANÇ_MOV[MÊS PAGAMENTO CORRESPONDENTE],N$6,LANÇ_MOV[EMPRESA],$C$4,LANÇ_MOV[CENTRO DE CUSTOS],$D$4)</f>
        <v>0</v>
      </c>
      <c r="O800" s="206">
        <f>SUMIFS(LANÇ_MOV[VALOR LÍQUIDO],LANÇ_MOV[RECEITA OU DESPESA],"Despesa",LANÇ_MOV[CONTAS],$C800,LANÇ_MOV[PLANO DE CONTAS],REL_DRE_FINANCEIRO!$B$753,LANÇ_MOV[ANO PAGAMENTO],$B$4,LANÇ_MOV[MÊS PAGAMENTO CORRESPONDENTE],O$6,LANÇ_MOV[EMPRESA],$C$4,LANÇ_MOV[CENTRO DE CUSTOS],$D$4)</f>
        <v>0</v>
      </c>
      <c r="P800" s="207">
        <f t="shared" si="100"/>
        <v>0</v>
      </c>
      <c r="Q800" s="329">
        <v>5.4E-6</v>
      </c>
      <c r="R800" s="346">
        <f t="shared" si="101"/>
        <v>5.4E-6</v>
      </c>
      <c r="S800" s="347" t="str">
        <f t="shared" si="102"/>
        <v>-</v>
      </c>
      <c r="T800" s="347">
        <f t="shared" si="103"/>
        <v>0</v>
      </c>
      <c r="U800" s="347">
        <f>HLOOKUP(Apoio!$P$12,$D$752:$P$853,X800,FALSE)+Q800</f>
        <v>5.4E-6</v>
      </c>
      <c r="V800" s="447" t="str">
        <f t="shared" si="104"/>
        <v>-</v>
      </c>
      <c r="W800" s="448">
        <f>HLOOKUP(Apoio!$P$12,$D$752:$P$853,X800,FALSE)</f>
        <v>0</v>
      </c>
      <c r="X800" s="329">
        <v>49</v>
      </c>
    </row>
    <row r="801" spans="2:24" ht="30.05" customHeight="1" x14ac:dyDescent="0.35">
      <c r="B801" s="204" t="str">
        <f>'CAD_PL_REC-DESP'!Z52</f>
        <v>2.6.48</v>
      </c>
      <c r="C801" s="205" t="str">
        <f>IF('CAD_PL_REC-DESP'!AA52="","-",'CAD_PL_REC-DESP'!AA52)</f>
        <v>-</v>
      </c>
      <c r="D801" s="206">
        <f>SUMIFS(LANÇ_MOV[VALOR LÍQUIDO],LANÇ_MOV[RECEITA OU DESPESA],"Despesa",LANÇ_MOV[CONTAS],$C801,LANÇ_MOV[PLANO DE CONTAS],REL_DRE_FINANCEIRO!$B$753,LANÇ_MOV[ANO PAGAMENTO],$B$4,LANÇ_MOV[MÊS PAGAMENTO CORRESPONDENTE],D$6,LANÇ_MOV[EMPRESA],$C$4,LANÇ_MOV[CENTRO DE CUSTOS],$D$4)</f>
        <v>0</v>
      </c>
      <c r="E801" s="206">
        <f>SUMIFS(LANÇ_MOV[VALOR LÍQUIDO],LANÇ_MOV[RECEITA OU DESPESA],"Despesa",LANÇ_MOV[CONTAS],$C801,LANÇ_MOV[PLANO DE CONTAS],REL_DRE_FINANCEIRO!$B$753,LANÇ_MOV[ANO PAGAMENTO],$B$4,LANÇ_MOV[MÊS PAGAMENTO CORRESPONDENTE],E$6,LANÇ_MOV[EMPRESA],$C$4,LANÇ_MOV[CENTRO DE CUSTOS],$D$4)</f>
        <v>0</v>
      </c>
      <c r="F801" s="206">
        <f>SUMIFS(LANÇ_MOV[VALOR LÍQUIDO],LANÇ_MOV[RECEITA OU DESPESA],"Despesa",LANÇ_MOV[CONTAS],$C801,LANÇ_MOV[PLANO DE CONTAS],REL_DRE_FINANCEIRO!$B$753,LANÇ_MOV[ANO PAGAMENTO],$B$4,LANÇ_MOV[MÊS PAGAMENTO CORRESPONDENTE],F$6,LANÇ_MOV[EMPRESA],$C$4,LANÇ_MOV[CENTRO DE CUSTOS],$D$4)</f>
        <v>0</v>
      </c>
      <c r="G801" s="206">
        <f>SUMIFS(LANÇ_MOV[VALOR LÍQUIDO],LANÇ_MOV[RECEITA OU DESPESA],"Despesa",LANÇ_MOV[CONTAS],$C801,LANÇ_MOV[PLANO DE CONTAS],REL_DRE_FINANCEIRO!$B$753,LANÇ_MOV[ANO PAGAMENTO],$B$4,LANÇ_MOV[MÊS PAGAMENTO CORRESPONDENTE],G$6,LANÇ_MOV[EMPRESA],$C$4,LANÇ_MOV[CENTRO DE CUSTOS],$D$4)</f>
        <v>0</v>
      </c>
      <c r="H801" s="206">
        <f>SUMIFS(LANÇ_MOV[VALOR LÍQUIDO],LANÇ_MOV[RECEITA OU DESPESA],"Despesa",LANÇ_MOV[CONTAS],$C801,LANÇ_MOV[PLANO DE CONTAS],REL_DRE_FINANCEIRO!$B$753,LANÇ_MOV[ANO PAGAMENTO],$B$4,LANÇ_MOV[MÊS PAGAMENTO CORRESPONDENTE],H$6,LANÇ_MOV[EMPRESA],$C$4,LANÇ_MOV[CENTRO DE CUSTOS],$D$4)</f>
        <v>0</v>
      </c>
      <c r="I801" s="206">
        <f>SUMIFS(LANÇ_MOV[VALOR LÍQUIDO],LANÇ_MOV[RECEITA OU DESPESA],"Despesa",LANÇ_MOV[CONTAS],$C801,LANÇ_MOV[PLANO DE CONTAS],REL_DRE_FINANCEIRO!$B$753,LANÇ_MOV[ANO PAGAMENTO],$B$4,LANÇ_MOV[MÊS PAGAMENTO CORRESPONDENTE],I$6,LANÇ_MOV[EMPRESA],$C$4,LANÇ_MOV[CENTRO DE CUSTOS],$D$4)</f>
        <v>0</v>
      </c>
      <c r="J801" s="206">
        <f>SUMIFS(LANÇ_MOV[VALOR LÍQUIDO],LANÇ_MOV[RECEITA OU DESPESA],"Despesa",LANÇ_MOV[CONTAS],$C801,LANÇ_MOV[PLANO DE CONTAS],REL_DRE_FINANCEIRO!$B$753,LANÇ_MOV[ANO PAGAMENTO],$B$4,LANÇ_MOV[MÊS PAGAMENTO CORRESPONDENTE],J$6,LANÇ_MOV[EMPRESA],$C$4,LANÇ_MOV[CENTRO DE CUSTOS],$D$4)</f>
        <v>0</v>
      </c>
      <c r="K801" s="206">
        <f>SUMIFS(LANÇ_MOV[VALOR LÍQUIDO],LANÇ_MOV[RECEITA OU DESPESA],"Despesa",LANÇ_MOV[CONTAS],$C801,LANÇ_MOV[PLANO DE CONTAS],REL_DRE_FINANCEIRO!$B$753,LANÇ_MOV[ANO PAGAMENTO],$B$4,LANÇ_MOV[MÊS PAGAMENTO CORRESPONDENTE],K$6,LANÇ_MOV[EMPRESA],$C$4,LANÇ_MOV[CENTRO DE CUSTOS],$D$4)</f>
        <v>0</v>
      </c>
      <c r="L801" s="206">
        <f>SUMIFS(LANÇ_MOV[VALOR LÍQUIDO],LANÇ_MOV[RECEITA OU DESPESA],"Despesa",LANÇ_MOV[CONTAS],$C801,LANÇ_MOV[PLANO DE CONTAS],REL_DRE_FINANCEIRO!$B$753,LANÇ_MOV[ANO PAGAMENTO],$B$4,LANÇ_MOV[MÊS PAGAMENTO CORRESPONDENTE],L$6,LANÇ_MOV[EMPRESA],$C$4,LANÇ_MOV[CENTRO DE CUSTOS],$D$4)</f>
        <v>0</v>
      </c>
      <c r="M801" s="206">
        <f>SUMIFS(LANÇ_MOV[VALOR LÍQUIDO],LANÇ_MOV[RECEITA OU DESPESA],"Despesa",LANÇ_MOV[CONTAS],$C801,LANÇ_MOV[PLANO DE CONTAS],REL_DRE_FINANCEIRO!$B$753,LANÇ_MOV[ANO PAGAMENTO],$B$4,LANÇ_MOV[MÊS PAGAMENTO CORRESPONDENTE],M$6,LANÇ_MOV[EMPRESA],$C$4,LANÇ_MOV[CENTRO DE CUSTOS],$D$4)</f>
        <v>0</v>
      </c>
      <c r="N801" s="206">
        <f>SUMIFS(LANÇ_MOV[VALOR LÍQUIDO],LANÇ_MOV[RECEITA OU DESPESA],"Despesa",LANÇ_MOV[CONTAS],$C801,LANÇ_MOV[PLANO DE CONTAS],REL_DRE_FINANCEIRO!$B$753,LANÇ_MOV[ANO PAGAMENTO],$B$4,LANÇ_MOV[MÊS PAGAMENTO CORRESPONDENTE],N$6,LANÇ_MOV[EMPRESA],$C$4,LANÇ_MOV[CENTRO DE CUSTOS],$D$4)</f>
        <v>0</v>
      </c>
      <c r="O801" s="206">
        <f>SUMIFS(LANÇ_MOV[VALOR LÍQUIDO],LANÇ_MOV[RECEITA OU DESPESA],"Despesa",LANÇ_MOV[CONTAS],$C801,LANÇ_MOV[PLANO DE CONTAS],REL_DRE_FINANCEIRO!$B$753,LANÇ_MOV[ANO PAGAMENTO],$B$4,LANÇ_MOV[MÊS PAGAMENTO CORRESPONDENTE],O$6,LANÇ_MOV[EMPRESA],$C$4,LANÇ_MOV[CENTRO DE CUSTOS],$D$4)</f>
        <v>0</v>
      </c>
      <c r="P801" s="207">
        <f t="shared" si="100"/>
        <v>0</v>
      </c>
      <c r="Q801" s="329">
        <v>5.3000000000000001E-6</v>
      </c>
      <c r="R801" s="346">
        <f t="shared" si="101"/>
        <v>5.3000000000000001E-6</v>
      </c>
      <c r="S801" s="347" t="str">
        <f t="shared" si="102"/>
        <v>-</v>
      </c>
      <c r="T801" s="347">
        <f t="shared" si="103"/>
        <v>0</v>
      </c>
      <c r="U801" s="347">
        <f>HLOOKUP(Apoio!$P$12,$D$752:$P$853,X801,FALSE)+Q801</f>
        <v>5.3000000000000001E-6</v>
      </c>
      <c r="V801" s="447" t="str">
        <f t="shared" si="104"/>
        <v>-</v>
      </c>
      <c r="W801" s="448">
        <f>HLOOKUP(Apoio!$P$12,$D$752:$P$853,X801,FALSE)</f>
        <v>0</v>
      </c>
      <c r="X801" s="329">
        <v>50</v>
      </c>
    </row>
    <row r="802" spans="2:24" ht="30.05" customHeight="1" x14ac:dyDescent="0.35">
      <c r="B802" s="204" t="str">
        <f>'CAD_PL_REC-DESP'!Z53</f>
        <v>2.6.49</v>
      </c>
      <c r="C802" s="205" t="str">
        <f>IF('CAD_PL_REC-DESP'!AA53="","-",'CAD_PL_REC-DESP'!AA53)</f>
        <v>-</v>
      </c>
      <c r="D802" s="206">
        <f>SUMIFS(LANÇ_MOV[VALOR LÍQUIDO],LANÇ_MOV[RECEITA OU DESPESA],"Despesa",LANÇ_MOV[CONTAS],$C802,LANÇ_MOV[PLANO DE CONTAS],REL_DRE_FINANCEIRO!$B$753,LANÇ_MOV[ANO PAGAMENTO],$B$4,LANÇ_MOV[MÊS PAGAMENTO CORRESPONDENTE],D$6,LANÇ_MOV[EMPRESA],$C$4,LANÇ_MOV[CENTRO DE CUSTOS],$D$4)</f>
        <v>0</v>
      </c>
      <c r="E802" s="206">
        <f>SUMIFS(LANÇ_MOV[VALOR LÍQUIDO],LANÇ_MOV[RECEITA OU DESPESA],"Despesa",LANÇ_MOV[CONTAS],$C802,LANÇ_MOV[PLANO DE CONTAS],REL_DRE_FINANCEIRO!$B$753,LANÇ_MOV[ANO PAGAMENTO],$B$4,LANÇ_MOV[MÊS PAGAMENTO CORRESPONDENTE],E$6,LANÇ_MOV[EMPRESA],$C$4,LANÇ_MOV[CENTRO DE CUSTOS],$D$4)</f>
        <v>0</v>
      </c>
      <c r="F802" s="206">
        <f>SUMIFS(LANÇ_MOV[VALOR LÍQUIDO],LANÇ_MOV[RECEITA OU DESPESA],"Despesa",LANÇ_MOV[CONTAS],$C802,LANÇ_MOV[PLANO DE CONTAS],REL_DRE_FINANCEIRO!$B$753,LANÇ_MOV[ANO PAGAMENTO],$B$4,LANÇ_MOV[MÊS PAGAMENTO CORRESPONDENTE],F$6,LANÇ_MOV[EMPRESA],$C$4,LANÇ_MOV[CENTRO DE CUSTOS],$D$4)</f>
        <v>0</v>
      </c>
      <c r="G802" s="206">
        <f>SUMIFS(LANÇ_MOV[VALOR LÍQUIDO],LANÇ_MOV[RECEITA OU DESPESA],"Despesa",LANÇ_MOV[CONTAS],$C802,LANÇ_MOV[PLANO DE CONTAS],REL_DRE_FINANCEIRO!$B$753,LANÇ_MOV[ANO PAGAMENTO],$B$4,LANÇ_MOV[MÊS PAGAMENTO CORRESPONDENTE],G$6,LANÇ_MOV[EMPRESA],$C$4,LANÇ_MOV[CENTRO DE CUSTOS],$D$4)</f>
        <v>0</v>
      </c>
      <c r="H802" s="206">
        <f>SUMIFS(LANÇ_MOV[VALOR LÍQUIDO],LANÇ_MOV[RECEITA OU DESPESA],"Despesa",LANÇ_MOV[CONTAS],$C802,LANÇ_MOV[PLANO DE CONTAS],REL_DRE_FINANCEIRO!$B$753,LANÇ_MOV[ANO PAGAMENTO],$B$4,LANÇ_MOV[MÊS PAGAMENTO CORRESPONDENTE],H$6,LANÇ_MOV[EMPRESA],$C$4,LANÇ_MOV[CENTRO DE CUSTOS],$D$4)</f>
        <v>0</v>
      </c>
      <c r="I802" s="206">
        <f>SUMIFS(LANÇ_MOV[VALOR LÍQUIDO],LANÇ_MOV[RECEITA OU DESPESA],"Despesa",LANÇ_MOV[CONTAS],$C802,LANÇ_MOV[PLANO DE CONTAS],REL_DRE_FINANCEIRO!$B$753,LANÇ_MOV[ANO PAGAMENTO],$B$4,LANÇ_MOV[MÊS PAGAMENTO CORRESPONDENTE],I$6,LANÇ_MOV[EMPRESA],$C$4,LANÇ_MOV[CENTRO DE CUSTOS],$D$4)</f>
        <v>0</v>
      </c>
      <c r="J802" s="206">
        <f>SUMIFS(LANÇ_MOV[VALOR LÍQUIDO],LANÇ_MOV[RECEITA OU DESPESA],"Despesa",LANÇ_MOV[CONTAS],$C802,LANÇ_MOV[PLANO DE CONTAS],REL_DRE_FINANCEIRO!$B$753,LANÇ_MOV[ANO PAGAMENTO],$B$4,LANÇ_MOV[MÊS PAGAMENTO CORRESPONDENTE],J$6,LANÇ_MOV[EMPRESA],$C$4,LANÇ_MOV[CENTRO DE CUSTOS],$D$4)</f>
        <v>0</v>
      </c>
      <c r="K802" s="206">
        <f>SUMIFS(LANÇ_MOV[VALOR LÍQUIDO],LANÇ_MOV[RECEITA OU DESPESA],"Despesa",LANÇ_MOV[CONTAS],$C802,LANÇ_MOV[PLANO DE CONTAS],REL_DRE_FINANCEIRO!$B$753,LANÇ_MOV[ANO PAGAMENTO],$B$4,LANÇ_MOV[MÊS PAGAMENTO CORRESPONDENTE],K$6,LANÇ_MOV[EMPRESA],$C$4,LANÇ_MOV[CENTRO DE CUSTOS],$D$4)</f>
        <v>0</v>
      </c>
      <c r="L802" s="206">
        <f>SUMIFS(LANÇ_MOV[VALOR LÍQUIDO],LANÇ_MOV[RECEITA OU DESPESA],"Despesa",LANÇ_MOV[CONTAS],$C802,LANÇ_MOV[PLANO DE CONTAS],REL_DRE_FINANCEIRO!$B$753,LANÇ_MOV[ANO PAGAMENTO],$B$4,LANÇ_MOV[MÊS PAGAMENTO CORRESPONDENTE],L$6,LANÇ_MOV[EMPRESA],$C$4,LANÇ_MOV[CENTRO DE CUSTOS],$D$4)</f>
        <v>0</v>
      </c>
      <c r="M802" s="206">
        <f>SUMIFS(LANÇ_MOV[VALOR LÍQUIDO],LANÇ_MOV[RECEITA OU DESPESA],"Despesa",LANÇ_MOV[CONTAS],$C802,LANÇ_MOV[PLANO DE CONTAS],REL_DRE_FINANCEIRO!$B$753,LANÇ_MOV[ANO PAGAMENTO],$B$4,LANÇ_MOV[MÊS PAGAMENTO CORRESPONDENTE],M$6,LANÇ_MOV[EMPRESA],$C$4,LANÇ_MOV[CENTRO DE CUSTOS],$D$4)</f>
        <v>0</v>
      </c>
      <c r="N802" s="206">
        <f>SUMIFS(LANÇ_MOV[VALOR LÍQUIDO],LANÇ_MOV[RECEITA OU DESPESA],"Despesa",LANÇ_MOV[CONTAS],$C802,LANÇ_MOV[PLANO DE CONTAS],REL_DRE_FINANCEIRO!$B$753,LANÇ_MOV[ANO PAGAMENTO],$B$4,LANÇ_MOV[MÊS PAGAMENTO CORRESPONDENTE],N$6,LANÇ_MOV[EMPRESA],$C$4,LANÇ_MOV[CENTRO DE CUSTOS],$D$4)</f>
        <v>0</v>
      </c>
      <c r="O802" s="206">
        <f>SUMIFS(LANÇ_MOV[VALOR LÍQUIDO],LANÇ_MOV[RECEITA OU DESPESA],"Despesa",LANÇ_MOV[CONTAS],$C802,LANÇ_MOV[PLANO DE CONTAS],REL_DRE_FINANCEIRO!$B$753,LANÇ_MOV[ANO PAGAMENTO],$B$4,LANÇ_MOV[MÊS PAGAMENTO CORRESPONDENTE],O$6,LANÇ_MOV[EMPRESA],$C$4,LANÇ_MOV[CENTRO DE CUSTOS],$D$4)</f>
        <v>0</v>
      </c>
      <c r="P802" s="207">
        <f t="shared" si="100"/>
        <v>0</v>
      </c>
      <c r="Q802" s="329">
        <v>5.2000000000000002E-6</v>
      </c>
      <c r="R802" s="346">
        <f t="shared" si="101"/>
        <v>5.2000000000000002E-6</v>
      </c>
      <c r="S802" s="347" t="str">
        <f t="shared" si="102"/>
        <v>-</v>
      </c>
      <c r="T802" s="347">
        <f t="shared" si="103"/>
        <v>0</v>
      </c>
      <c r="U802" s="347">
        <f>HLOOKUP(Apoio!$P$12,$D$752:$P$853,X802,FALSE)+Q802</f>
        <v>5.2000000000000002E-6</v>
      </c>
      <c r="V802" s="447" t="str">
        <f t="shared" si="104"/>
        <v>-</v>
      </c>
      <c r="W802" s="448">
        <f>HLOOKUP(Apoio!$P$12,$D$752:$P$853,X802,FALSE)</f>
        <v>0</v>
      </c>
      <c r="X802" s="329">
        <v>51</v>
      </c>
    </row>
    <row r="803" spans="2:24" ht="30.05" customHeight="1" x14ac:dyDescent="0.35">
      <c r="B803" s="204" t="str">
        <f>'CAD_PL_REC-DESP'!Z54</f>
        <v>2.6.50</v>
      </c>
      <c r="C803" s="205" t="str">
        <f>IF('CAD_PL_REC-DESP'!AA54="","-",'CAD_PL_REC-DESP'!AA54)</f>
        <v>-</v>
      </c>
      <c r="D803" s="206">
        <f>SUMIFS(LANÇ_MOV[VALOR LÍQUIDO],LANÇ_MOV[RECEITA OU DESPESA],"Despesa",LANÇ_MOV[CONTAS],$C803,LANÇ_MOV[PLANO DE CONTAS],REL_DRE_FINANCEIRO!$B$753,LANÇ_MOV[ANO PAGAMENTO],$B$4,LANÇ_MOV[MÊS PAGAMENTO CORRESPONDENTE],D$6,LANÇ_MOV[EMPRESA],$C$4,LANÇ_MOV[CENTRO DE CUSTOS],$D$4)</f>
        <v>0</v>
      </c>
      <c r="E803" s="206">
        <f>SUMIFS(LANÇ_MOV[VALOR LÍQUIDO],LANÇ_MOV[RECEITA OU DESPESA],"Despesa",LANÇ_MOV[CONTAS],$C803,LANÇ_MOV[PLANO DE CONTAS],REL_DRE_FINANCEIRO!$B$753,LANÇ_MOV[ANO PAGAMENTO],$B$4,LANÇ_MOV[MÊS PAGAMENTO CORRESPONDENTE],E$6,LANÇ_MOV[EMPRESA],$C$4,LANÇ_MOV[CENTRO DE CUSTOS],$D$4)</f>
        <v>0</v>
      </c>
      <c r="F803" s="206">
        <f>SUMIFS(LANÇ_MOV[VALOR LÍQUIDO],LANÇ_MOV[RECEITA OU DESPESA],"Despesa",LANÇ_MOV[CONTAS],$C803,LANÇ_MOV[PLANO DE CONTAS],REL_DRE_FINANCEIRO!$B$753,LANÇ_MOV[ANO PAGAMENTO],$B$4,LANÇ_MOV[MÊS PAGAMENTO CORRESPONDENTE],F$6,LANÇ_MOV[EMPRESA],$C$4,LANÇ_MOV[CENTRO DE CUSTOS],$D$4)</f>
        <v>0</v>
      </c>
      <c r="G803" s="206">
        <f>SUMIFS(LANÇ_MOV[VALOR LÍQUIDO],LANÇ_MOV[RECEITA OU DESPESA],"Despesa",LANÇ_MOV[CONTAS],$C803,LANÇ_MOV[PLANO DE CONTAS],REL_DRE_FINANCEIRO!$B$753,LANÇ_MOV[ANO PAGAMENTO],$B$4,LANÇ_MOV[MÊS PAGAMENTO CORRESPONDENTE],G$6,LANÇ_MOV[EMPRESA],$C$4,LANÇ_MOV[CENTRO DE CUSTOS],$D$4)</f>
        <v>0</v>
      </c>
      <c r="H803" s="206">
        <f>SUMIFS(LANÇ_MOV[VALOR LÍQUIDO],LANÇ_MOV[RECEITA OU DESPESA],"Despesa",LANÇ_MOV[CONTAS],$C803,LANÇ_MOV[PLANO DE CONTAS],REL_DRE_FINANCEIRO!$B$753,LANÇ_MOV[ANO PAGAMENTO],$B$4,LANÇ_MOV[MÊS PAGAMENTO CORRESPONDENTE],H$6,LANÇ_MOV[EMPRESA],$C$4,LANÇ_MOV[CENTRO DE CUSTOS],$D$4)</f>
        <v>0</v>
      </c>
      <c r="I803" s="206">
        <f>SUMIFS(LANÇ_MOV[VALOR LÍQUIDO],LANÇ_MOV[RECEITA OU DESPESA],"Despesa",LANÇ_MOV[CONTAS],$C803,LANÇ_MOV[PLANO DE CONTAS],REL_DRE_FINANCEIRO!$B$753,LANÇ_MOV[ANO PAGAMENTO],$B$4,LANÇ_MOV[MÊS PAGAMENTO CORRESPONDENTE],I$6,LANÇ_MOV[EMPRESA],$C$4,LANÇ_MOV[CENTRO DE CUSTOS],$D$4)</f>
        <v>0</v>
      </c>
      <c r="J803" s="206">
        <f>SUMIFS(LANÇ_MOV[VALOR LÍQUIDO],LANÇ_MOV[RECEITA OU DESPESA],"Despesa",LANÇ_MOV[CONTAS],$C803,LANÇ_MOV[PLANO DE CONTAS],REL_DRE_FINANCEIRO!$B$753,LANÇ_MOV[ANO PAGAMENTO],$B$4,LANÇ_MOV[MÊS PAGAMENTO CORRESPONDENTE],J$6,LANÇ_MOV[EMPRESA],$C$4,LANÇ_MOV[CENTRO DE CUSTOS],$D$4)</f>
        <v>0</v>
      </c>
      <c r="K803" s="206">
        <f>SUMIFS(LANÇ_MOV[VALOR LÍQUIDO],LANÇ_MOV[RECEITA OU DESPESA],"Despesa",LANÇ_MOV[CONTAS],$C803,LANÇ_MOV[PLANO DE CONTAS],REL_DRE_FINANCEIRO!$B$753,LANÇ_MOV[ANO PAGAMENTO],$B$4,LANÇ_MOV[MÊS PAGAMENTO CORRESPONDENTE],K$6,LANÇ_MOV[EMPRESA],$C$4,LANÇ_MOV[CENTRO DE CUSTOS],$D$4)</f>
        <v>0</v>
      </c>
      <c r="L803" s="206">
        <f>SUMIFS(LANÇ_MOV[VALOR LÍQUIDO],LANÇ_MOV[RECEITA OU DESPESA],"Despesa",LANÇ_MOV[CONTAS],$C803,LANÇ_MOV[PLANO DE CONTAS],REL_DRE_FINANCEIRO!$B$753,LANÇ_MOV[ANO PAGAMENTO],$B$4,LANÇ_MOV[MÊS PAGAMENTO CORRESPONDENTE],L$6,LANÇ_MOV[EMPRESA],$C$4,LANÇ_MOV[CENTRO DE CUSTOS],$D$4)</f>
        <v>0</v>
      </c>
      <c r="M803" s="206">
        <f>SUMIFS(LANÇ_MOV[VALOR LÍQUIDO],LANÇ_MOV[RECEITA OU DESPESA],"Despesa",LANÇ_MOV[CONTAS],$C803,LANÇ_MOV[PLANO DE CONTAS],REL_DRE_FINANCEIRO!$B$753,LANÇ_MOV[ANO PAGAMENTO],$B$4,LANÇ_MOV[MÊS PAGAMENTO CORRESPONDENTE],M$6,LANÇ_MOV[EMPRESA],$C$4,LANÇ_MOV[CENTRO DE CUSTOS],$D$4)</f>
        <v>0</v>
      </c>
      <c r="N803" s="206">
        <f>SUMIFS(LANÇ_MOV[VALOR LÍQUIDO],LANÇ_MOV[RECEITA OU DESPESA],"Despesa",LANÇ_MOV[CONTAS],$C803,LANÇ_MOV[PLANO DE CONTAS],REL_DRE_FINANCEIRO!$B$753,LANÇ_MOV[ANO PAGAMENTO],$B$4,LANÇ_MOV[MÊS PAGAMENTO CORRESPONDENTE],N$6,LANÇ_MOV[EMPRESA],$C$4,LANÇ_MOV[CENTRO DE CUSTOS],$D$4)</f>
        <v>0</v>
      </c>
      <c r="O803" s="206">
        <f>SUMIFS(LANÇ_MOV[VALOR LÍQUIDO],LANÇ_MOV[RECEITA OU DESPESA],"Despesa",LANÇ_MOV[CONTAS],$C803,LANÇ_MOV[PLANO DE CONTAS],REL_DRE_FINANCEIRO!$B$753,LANÇ_MOV[ANO PAGAMENTO],$B$4,LANÇ_MOV[MÊS PAGAMENTO CORRESPONDENTE],O$6,LANÇ_MOV[EMPRESA],$C$4,LANÇ_MOV[CENTRO DE CUSTOS],$D$4)</f>
        <v>0</v>
      </c>
      <c r="P803" s="207">
        <f t="shared" si="100"/>
        <v>0</v>
      </c>
      <c r="Q803" s="329">
        <v>5.1000000000000003E-6</v>
      </c>
      <c r="R803" s="346">
        <f t="shared" si="101"/>
        <v>5.1000000000000003E-6</v>
      </c>
      <c r="S803" s="347" t="str">
        <f t="shared" si="102"/>
        <v>-</v>
      </c>
      <c r="T803" s="347">
        <f t="shared" si="103"/>
        <v>0</v>
      </c>
      <c r="U803" s="347">
        <f>HLOOKUP(Apoio!$P$12,$D$752:$P$853,X803,FALSE)+Q803</f>
        <v>5.1000000000000003E-6</v>
      </c>
      <c r="V803" s="447" t="str">
        <f t="shared" si="104"/>
        <v>-</v>
      </c>
      <c r="W803" s="448">
        <f>HLOOKUP(Apoio!$P$12,$D$752:$P$853,X803,FALSE)</f>
        <v>0</v>
      </c>
      <c r="X803" s="329">
        <v>52</v>
      </c>
    </row>
    <row r="804" spans="2:24" ht="30.05" customHeight="1" x14ac:dyDescent="0.35">
      <c r="B804" s="204" t="str">
        <f>'CAD_PL_REC-DESP'!Z55</f>
        <v>2.6.51</v>
      </c>
      <c r="C804" s="205" t="str">
        <f>IF('CAD_PL_REC-DESP'!AA55="","-",'CAD_PL_REC-DESP'!AA55)</f>
        <v>-</v>
      </c>
      <c r="D804" s="206">
        <f>SUMIFS(LANÇ_MOV[VALOR LÍQUIDO],LANÇ_MOV[RECEITA OU DESPESA],"Despesa",LANÇ_MOV[CONTAS],$C804,LANÇ_MOV[PLANO DE CONTAS],REL_DRE_FINANCEIRO!$B$753,LANÇ_MOV[ANO PAGAMENTO],$B$4,LANÇ_MOV[MÊS PAGAMENTO CORRESPONDENTE],D$6,LANÇ_MOV[EMPRESA],$C$4,LANÇ_MOV[CENTRO DE CUSTOS],$D$4)</f>
        <v>0</v>
      </c>
      <c r="E804" s="206">
        <f>SUMIFS(LANÇ_MOV[VALOR LÍQUIDO],LANÇ_MOV[RECEITA OU DESPESA],"Despesa",LANÇ_MOV[CONTAS],$C804,LANÇ_MOV[PLANO DE CONTAS],REL_DRE_FINANCEIRO!$B$753,LANÇ_MOV[ANO PAGAMENTO],$B$4,LANÇ_MOV[MÊS PAGAMENTO CORRESPONDENTE],E$6,LANÇ_MOV[EMPRESA],$C$4,LANÇ_MOV[CENTRO DE CUSTOS],$D$4)</f>
        <v>0</v>
      </c>
      <c r="F804" s="206">
        <f>SUMIFS(LANÇ_MOV[VALOR LÍQUIDO],LANÇ_MOV[RECEITA OU DESPESA],"Despesa",LANÇ_MOV[CONTAS],$C804,LANÇ_MOV[PLANO DE CONTAS],REL_DRE_FINANCEIRO!$B$753,LANÇ_MOV[ANO PAGAMENTO],$B$4,LANÇ_MOV[MÊS PAGAMENTO CORRESPONDENTE],F$6,LANÇ_MOV[EMPRESA],$C$4,LANÇ_MOV[CENTRO DE CUSTOS],$D$4)</f>
        <v>0</v>
      </c>
      <c r="G804" s="206">
        <f>SUMIFS(LANÇ_MOV[VALOR LÍQUIDO],LANÇ_MOV[RECEITA OU DESPESA],"Despesa",LANÇ_MOV[CONTAS],$C804,LANÇ_MOV[PLANO DE CONTAS],REL_DRE_FINANCEIRO!$B$753,LANÇ_MOV[ANO PAGAMENTO],$B$4,LANÇ_MOV[MÊS PAGAMENTO CORRESPONDENTE],G$6,LANÇ_MOV[EMPRESA],$C$4,LANÇ_MOV[CENTRO DE CUSTOS],$D$4)</f>
        <v>0</v>
      </c>
      <c r="H804" s="206">
        <f>SUMIFS(LANÇ_MOV[VALOR LÍQUIDO],LANÇ_MOV[RECEITA OU DESPESA],"Despesa",LANÇ_MOV[CONTAS],$C804,LANÇ_MOV[PLANO DE CONTAS],REL_DRE_FINANCEIRO!$B$753,LANÇ_MOV[ANO PAGAMENTO],$B$4,LANÇ_MOV[MÊS PAGAMENTO CORRESPONDENTE],H$6,LANÇ_MOV[EMPRESA],$C$4,LANÇ_MOV[CENTRO DE CUSTOS],$D$4)</f>
        <v>0</v>
      </c>
      <c r="I804" s="206">
        <f>SUMIFS(LANÇ_MOV[VALOR LÍQUIDO],LANÇ_MOV[RECEITA OU DESPESA],"Despesa",LANÇ_MOV[CONTAS],$C804,LANÇ_MOV[PLANO DE CONTAS],REL_DRE_FINANCEIRO!$B$753,LANÇ_MOV[ANO PAGAMENTO],$B$4,LANÇ_MOV[MÊS PAGAMENTO CORRESPONDENTE],I$6,LANÇ_MOV[EMPRESA],$C$4,LANÇ_MOV[CENTRO DE CUSTOS],$D$4)</f>
        <v>0</v>
      </c>
      <c r="J804" s="206">
        <f>SUMIFS(LANÇ_MOV[VALOR LÍQUIDO],LANÇ_MOV[RECEITA OU DESPESA],"Despesa",LANÇ_MOV[CONTAS],$C804,LANÇ_MOV[PLANO DE CONTAS],REL_DRE_FINANCEIRO!$B$753,LANÇ_MOV[ANO PAGAMENTO],$B$4,LANÇ_MOV[MÊS PAGAMENTO CORRESPONDENTE],J$6,LANÇ_MOV[EMPRESA],$C$4,LANÇ_MOV[CENTRO DE CUSTOS],$D$4)</f>
        <v>0</v>
      </c>
      <c r="K804" s="206">
        <f>SUMIFS(LANÇ_MOV[VALOR LÍQUIDO],LANÇ_MOV[RECEITA OU DESPESA],"Despesa",LANÇ_MOV[CONTAS],$C804,LANÇ_MOV[PLANO DE CONTAS],REL_DRE_FINANCEIRO!$B$753,LANÇ_MOV[ANO PAGAMENTO],$B$4,LANÇ_MOV[MÊS PAGAMENTO CORRESPONDENTE],K$6,LANÇ_MOV[EMPRESA],$C$4,LANÇ_MOV[CENTRO DE CUSTOS],$D$4)</f>
        <v>0</v>
      </c>
      <c r="L804" s="206">
        <f>SUMIFS(LANÇ_MOV[VALOR LÍQUIDO],LANÇ_MOV[RECEITA OU DESPESA],"Despesa",LANÇ_MOV[CONTAS],$C804,LANÇ_MOV[PLANO DE CONTAS],REL_DRE_FINANCEIRO!$B$753,LANÇ_MOV[ANO PAGAMENTO],$B$4,LANÇ_MOV[MÊS PAGAMENTO CORRESPONDENTE],L$6,LANÇ_MOV[EMPRESA],$C$4,LANÇ_MOV[CENTRO DE CUSTOS],$D$4)</f>
        <v>0</v>
      </c>
      <c r="M804" s="206">
        <f>SUMIFS(LANÇ_MOV[VALOR LÍQUIDO],LANÇ_MOV[RECEITA OU DESPESA],"Despesa",LANÇ_MOV[CONTAS],$C804,LANÇ_MOV[PLANO DE CONTAS],REL_DRE_FINANCEIRO!$B$753,LANÇ_MOV[ANO PAGAMENTO],$B$4,LANÇ_MOV[MÊS PAGAMENTO CORRESPONDENTE],M$6,LANÇ_MOV[EMPRESA],$C$4,LANÇ_MOV[CENTRO DE CUSTOS],$D$4)</f>
        <v>0</v>
      </c>
      <c r="N804" s="206">
        <f>SUMIFS(LANÇ_MOV[VALOR LÍQUIDO],LANÇ_MOV[RECEITA OU DESPESA],"Despesa",LANÇ_MOV[CONTAS],$C804,LANÇ_MOV[PLANO DE CONTAS],REL_DRE_FINANCEIRO!$B$753,LANÇ_MOV[ANO PAGAMENTO],$B$4,LANÇ_MOV[MÊS PAGAMENTO CORRESPONDENTE],N$6,LANÇ_MOV[EMPRESA],$C$4,LANÇ_MOV[CENTRO DE CUSTOS],$D$4)</f>
        <v>0</v>
      </c>
      <c r="O804" s="206">
        <f>SUMIFS(LANÇ_MOV[VALOR LÍQUIDO],LANÇ_MOV[RECEITA OU DESPESA],"Despesa",LANÇ_MOV[CONTAS],$C804,LANÇ_MOV[PLANO DE CONTAS],REL_DRE_FINANCEIRO!$B$753,LANÇ_MOV[ANO PAGAMENTO],$B$4,LANÇ_MOV[MÊS PAGAMENTO CORRESPONDENTE],O$6,LANÇ_MOV[EMPRESA],$C$4,LANÇ_MOV[CENTRO DE CUSTOS],$D$4)</f>
        <v>0</v>
      </c>
      <c r="P804" s="207">
        <f t="shared" si="100"/>
        <v>0</v>
      </c>
      <c r="Q804" s="329">
        <v>5.0000000000000004E-6</v>
      </c>
      <c r="R804" s="346">
        <f t="shared" si="101"/>
        <v>5.0000000000000004E-6</v>
      </c>
      <c r="S804" s="347" t="str">
        <f t="shared" si="102"/>
        <v>-</v>
      </c>
      <c r="T804" s="347">
        <f t="shared" si="103"/>
        <v>0</v>
      </c>
      <c r="U804" s="347">
        <f>HLOOKUP(Apoio!$P$12,$D$752:$P$853,X804,FALSE)+Q804</f>
        <v>5.0000000000000004E-6</v>
      </c>
      <c r="V804" s="447" t="str">
        <f t="shared" si="104"/>
        <v>-</v>
      </c>
      <c r="W804" s="448">
        <f>HLOOKUP(Apoio!$P$12,$D$752:$P$853,X804,FALSE)</f>
        <v>0</v>
      </c>
      <c r="X804" s="329">
        <v>53</v>
      </c>
    </row>
    <row r="805" spans="2:24" ht="30.05" customHeight="1" x14ac:dyDescent="0.35">
      <c r="B805" s="204" t="str">
        <f>'CAD_PL_REC-DESP'!Z56</f>
        <v>2.6.52</v>
      </c>
      <c r="C805" s="205" t="str">
        <f>IF('CAD_PL_REC-DESP'!AA56="","-",'CAD_PL_REC-DESP'!AA56)</f>
        <v>-</v>
      </c>
      <c r="D805" s="206">
        <f>SUMIFS(LANÇ_MOV[VALOR LÍQUIDO],LANÇ_MOV[RECEITA OU DESPESA],"Despesa",LANÇ_MOV[CONTAS],$C805,LANÇ_MOV[PLANO DE CONTAS],REL_DRE_FINANCEIRO!$B$753,LANÇ_MOV[ANO PAGAMENTO],$B$4,LANÇ_MOV[MÊS PAGAMENTO CORRESPONDENTE],D$6,LANÇ_MOV[EMPRESA],$C$4,LANÇ_MOV[CENTRO DE CUSTOS],$D$4)</f>
        <v>0</v>
      </c>
      <c r="E805" s="206">
        <f>SUMIFS(LANÇ_MOV[VALOR LÍQUIDO],LANÇ_MOV[RECEITA OU DESPESA],"Despesa",LANÇ_MOV[CONTAS],$C805,LANÇ_MOV[PLANO DE CONTAS],REL_DRE_FINANCEIRO!$B$753,LANÇ_MOV[ANO PAGAMENTO],$B$4,LANÇ_MOV[MÊS PAGAMENTO CORRESPONDENTE],E$6,LANÇ_MOV[EMPRESA],$C$4,LANÇ_MOV[CENTRO DE CUSTOS],$D$4)</f>
        <v>0</v>
      </c>
      <c r="F805" s="206">
        <f>SUMIFS(LANÇ_MOV[VALOR LÍQUIDO],LANÇ_MOV[RECEITA OU DESPESA],"Despesa",LANÇ_MOV[CONTAS],$C805,LANÇ_MOV[PLANO DE CONTAS],REL_DRE_FINANCEIRO!$B$753,LANÇ_MOV[ANO PAGAMENTO],$B$4,LANÇ_MOV[MÊS PAGAMENTO CORRESPONDENTE],F$6,LANÇ_MOV[EMPRESA],$C$4,LANÇ_MOV[CENTRO DE CUSTOS],$D$4)</f>
        <v>0</v>
      </c>
      <c r="G805" s="206">
        <f>SUMIFS(LANÇ_MOV[VALOR LÍQUIDO],LANÇ_MOV[RECEITA OU DESPESA],"Despesa",LANÇ_MOV[CONTAS],$C805,LANÇ_MOV[PLANO DE CONTAS],REL_DRE_FINANCEIRO!$B$753,LANÇ_MOV[ANO PAGAMENTO],$B$4,LANÇ_MOV[MÊS PAGAMENTO CORRESPONDENTE],G$6,LANÇ_MOV[EMPRESA],$C$4,LANÇ_MOV[CENTRO DE CUSTOS],$D$4)</f>
        <v>0</v>
      </c>
      <c r="H805" s="206">
        <f>SUMIFS(LANÇ_MOV[VALOR LÍQUIDO],LANÇ_MOV[RECEITA OU DESPESA],"Despesa",LANÇ_MOV[CONTAS],$C805,LANÇ_MOV[PLANO DE CONTAS],REL_DRE_FINANCEIRO!$B$753,LANÇ_MOV[ANO PAGAMENTO],$B$4,LANÇ_MOV[MÊS PAGAMENTO CORRESPONDENTE],H$6,LANÇ_MOV[EMPRESA],$C$4,LANÇ_MOV[CENTRO DE CUSTOS],$D$4)</f>
        <v>0</v>
      </c>
      <c r="I805" s="206">
        <f>SUMIFS(LANÇ_MOV[VALOR LÍQUIDO],LANÇ_MOV[RECEITA OU DESPESA],"Despesa",LANÇ_MOV[CONTAS],$C805,LANÇ_MOV[PLANO DE CONTAS],REL_DRE_FINANCEIRO!$B$753,LANÇ_MOV[ANO PAGAMENTO],$B$4,LANÇ_MOV[MÊS PAGAMENTO CORRESPONDENTE],I$6,LANÇ_MOV[EMPRESA],$C$4,LANÇ_MOV[CENTRO DE CUSTOS],$D$4)</f>
        <v>0</v>
      </c>
      <c r="J805" s="206">
        <f>SUMIFS(LANÇ_MOV[VALOR LÍQUIDO],LANÇ_MOV[RECEITA OU DESPESA],"Despesa",LANÇ_MOV[CONTAS],$C805,LANÇ_MOV[PLANO DE CONTAS],REL_DRE_FINANCEIRO!$B$753,LANÇ_MOV[ANO PAGAMENTO],$B$4,LANÇ_MOV[MÊS PAGAMENTO CORRESPONDENTE],J$6,LANÇ_MOV[EMPRESA],$C$4,LANÇ_MOV[CENTRO DE CUSTOS],$D$4)</f>
        <v>0</v>
      </c>
      <c r="K805" s="206">
        <f>SUMIFS(LANÇ_MOV[VALOR LÍQUIDO],LANÇ_MOV[RECEITA OU DESPESA],"Despesa",LANÇ_MOV[CONTAS],$C805,LANÇ_MOV[PLANO DE CONTAS],REL_DRE_FINANCEIRO!$B$753,LANÇ_MOV[ANO PAGAMENTO],$B$4,LANÇ_MOV[MÊS PAGAMENTO CORRESPONDENTE],K$6,LANÇ_MOV[EMPRESA],$C$4,LANÇ_MOV[CENTRO DE CUSTOS],$D$4)</f>
        <v>0</v>
      </c>
      <c r="L805" s="206">
        <f>SUMIFS(LANÇ_MOV[VALOR LÍQUIDO],LANÇ_MOV[RECEITA OU DESPESA],"Despesa",LANÇ_MOV[CONTAS],$C805,LANÇ_MOV[PLANO DE CONTAS],REL_DRE_FINANCEIRO!$B$753,LANÇ_MOV[ANO PAGAMENTO],$B$4,LANÇ_MOV[MÊS PAGAMENTO CORRESPONDENTE],L$6,LANÇ_MOV[EMPRESA],$C$4,LANÇ_MOV[CENTRO DE CUSTOS],$D$4)</f>
        <v>0</v>
      </c>
      <c r="M805" s="206">
        <f>SUMIFS(LANÇ_MOV[VALOR LÍQUIDO],LANÇ_MOV[RECEITA OU DESPESA],"Despesa",LANÇ_MOV[CONTAS],$C805,LANÇ_MOV[PLANO DE CONTAS],REL_DRE_FINANCEIRO!$B$753,LANÇ_MOV[ANO PAGAMENTO],$B$4,LANÇ_MOV[MÊS PAGAMENTO CORRESPONDENTE],M$6,LANÇ_MOV[EMPRESA],$C$4,LANÇ_MOV[CENTRO DE CUSTOS],$D$4)</f>
        <v>0</v>
      </c>
      <c r="N805" s="206">
        <f>SUMIFS(LANÇ_MOV[VALOR LÍQUIDO],LANÇ_MOV[RECEITA OU DESPESA],"Despesa",LANÇ_MOV[CONTAS],$C805,LANÇ_MOV[PLANO DE CONTAS],REL_DRE_FINANCEIRO!$B$753,LANÇ_MOV[ANO PAGAMENTO],$B$4,LANÇ_MOV[MÊS PAGAMENTO CORRESPONDENTE],N$6,LANÇ_MOV[EMPRESA],$C$4,LANÇ_MOV[CENTRO DE CUSTOS],$D$4)</f>
        <v>0</v>
      </c>
      <c r="O805" s="206">
        <f>SUMIFS(LANÇ_MOV[VALOR LÍQUIDO],LANÇ_MOV[RECEITA OU DESPESA],"Despesa",LANÇ_MOV[CONTAS],$C805,LANÇ_MOV[PLANO DE CONTAS],REL_DRE_FINANCEIRO!$B$753,LANÇ_MOV[ANO PAGAMENTO],$B$4,LANÇ_MOV[MÊS PAGAMENTO CORRESPONDENTE],O$6,LANÇ_MOV[EMPRESA],$C$4,LANÇ_MOV[CENTRO DE CUSTOS],$D$4)</f>
        <v>0</v>
      </c>
      <c r="P805" s="207">
        <f t="shared" si="100"/>
        <v>0</v>
      </c>
      <c r="Q805" s="329">
        <v>4.8999999999999997E-6</v>
      </c>
      <c r="R805" s="346">
        <f t="shared" si="101"/>
        <v>4.8999999999999997E-6</v>
      </c>
      <c r="S805" s="347" t="str">
        <f t="shared" si="102"/>
        <v>-</v>
      </c>
      <c r="T805" s="347">
        <f t="shared" si="103"/>
        <v>0</v>
      </c>
      <c r="U805" s="347">
        <f>HLOOKUP(Apoio!$P$12,$D$752:$P$853,X805,FALSE)+Q805</f>
        <v>4.8999999999999997E-6</v>
      </c>
      <c r="V805" s="447" t="str">
        <f t="shared" si="104"/>
        <v>-</v>
      </c>
      <c r="W805" s="448">
        <f>HLOOKUP(Apoio!$P$12,$D$752:$P$853,X805,FALSE)</f>
        <v>0</v>
      </c>
      <c r="X805" s="329">
        <v>54</v>
      </c>
    </row>
    <row r="806" spans="2:24" ht="30.05" customHeight="1" x14ac:dyDescent="0.35">
      <c r="B806" s="204" t="str">
        <f>'CAD_PL_REC-DESP'!Z57</f>
        <v>2.6.53</v>
      </c>
      <c r="C806" s="205" t="str">
        <f>IF('CAD_PL_REC-DESP'!AA57="","-",'CAD_PL_REC-DESP'!AA57)</f>
        <v>-</v>
      </c>
      <c r="D806" s="206">
        <f>SUMIFS(LANÇ_MOV[VALOR LÍQUIDO],LANÇ_MOV[RECEITA OU DESPESA],"Despesa",LANÇ_MOV[CONTAS],$C806,LANÇ_MOV[PLANO DE CONTAS],REL_DRE_FINANCEIRO!$B$753,LANÇ_MOV[ANO PAGAMENTO],$B$4,LANÇ_MOV[MÊS PAGAMENTO CORRESPONDENTE],D$6,LANÇ_MOV[EMPRESA],$C$4,LANÇ_MOV[CENTRO DE CUSTOS],$D$4)</f>
        <v>0</v>
      </c>
      <c r="E806" s="206">
        <f>SUMIFS(LANÇ_MOV[VALOR LÍQUIDO],LANÇ_MOV[RECEITA OU DESPESA],"Despesa",LANÇ_MOV[CONTAS],$C806,LANÇ_MOV[PLANO DE CONTAS],REL_DRE_FINANCEIRO!$B$753,LANÇ_MOV[ANO PAGAMENTO],$B$4,LANÇ_MOV[MÊS PAGAMENTO CORRESPONDENTE],E$6,LANÇ_MOV[EMPRESA],$C$4,LANÇ_MOV[CENTRO DE CUSTOS],$D$4)</f>
        <v>0</v>
      </c>
      <c r="F806" s="206">
        <f>SUMIFS(LANÇ_MOV[VALOR LÍQUIDO],LANÇ_MOV[RECEITA OU DESPESA],"Despesa",LANÇ_MOV[CONTAS],$C806,LANÇ_MOV[PLANO DE CONTAS],REL_DRE_FINANCEIRO!$B$753,LANÇ_MOV[ANO PAGAMENTO],$B$4,LANÇ_MOV[MÊS PAGAMENTO CORRESPONDENTE],F$6,LANÇ_MOV[EMPRESA],$C$4,LANÇ_MOV[CENTRO DE CUSTOS],$D$4)</f>
        <v>0</v>
      </c>
      <c r="G806" s="206">
        <f>SUMIFS(LANÇ_MOV[VALOR LÍQUIDO],LANÇ_MOV[RECEITA OU DESPESA],"Despesa",LANÇ_MOV[CONTAS],$C806,LANÇ_MOV[PLANO DE CONTAS],REL_DRE_FINANCEIRO!$B$753,LANÇ_MOV[ANO PAGAMENTO],$B$4,LANÇ_MOV[MÊS PAGAMENTO CORRESPONDENTE],G$6,LANÇ_MOV[EMPRESA],$C$4,LANÇ_MOV[CENTRO DE CUSTOS],$D$4)</f>
        <v>0</v>
      </c>
      <c r="H806" s="206">
        <f>SUMIFS(LANÇ_MOV[VALOR LÍQUIDO],LANÇ_MOV[RECEITA OU DESPESA],"Despesa",LANÇ_MOV[CONTAS],$C806,LANÇ_MOV[PLANO DE CONTAS],REL_DRE_FINANCEIRO!$B$753,LANÇ_MOV[ANO PAGAMENTO],$B$4,LANÇ_MOV[MÊS PAGAMENTO CORRESPONDENTE],H$6,LANÇ_MOV[EMPRESA],$C$4,LANÇ_MOV[CENTRO DE CUSTOS],$D$4)</f>
        <v>0</v>
      </c>
      <c r="I806" s="206">
        <f>SUMIFS(LANÇ_MOV[VALOR LÍQUIDO],LANÇ_MOV[RECEITA OU DESPESA],"Despesa",LANÇ_MOV[CONTAS],$C806,LANÇ_MOV[PLANO DE CONTAS],REL_DRE_FINANCEIRO!$B$753,LANÇ_MOV[ANO PAGAMENTO],$B$4,LANÇ_MOV[MÊS PAGAMENTO CORRESPONDENTE],I$6,LANÇ_MOV[EMPRESA],$C$4,LANÇ_MOV[CENTRO DE CUSTOS],$D$4)</f>
        <v>0</v>
      </c>
      <c r="J806" s="206">
        <f>SUMIFS(LANÇ_MOV[VALOR LÍQUIDO],LANÇ_MOV[RECEITA OU DESPESA],"Despesa",LANÇ_MOV[CONTAS],$C806,LANÇ_MOV[PLANO DE CONTAS],REL_DRE_FINANCEIRO!$B$753,LANÇ_MOV[ANO PAGAMENTO],$B$4,LANÇ_MOV[MÊS PAGAMENTO CORRESPONDENTE],J$6,LANÇ_MOV[EMPRESA],$C$4,LANÇ_MOV[CENTRO DE CUSTOS],$D$4)</f>
        <v>0</v>
      </c>
      <c r="K806" s="206">
        <f>SUMIFS(LANÇ_MOV[VALOR LÍQUIDO],LANÇ_MOV[RECEITA OU DESPESA],"Despesa",LANÇ_MOV[CONTAS],$C806,LANÇ_MOV[PLANO DE CONTAS],REL_DRE_FINANCEIRO!$B$753,LANÇ_MOV[ANO PAGAMENTO],$B$4,LANÇ_MOV[MÊS PAGAMENTO CORRESPONDENTE],K$6,LANÇ_MOV[EMPRESA],$C$4,LANÇ_MOV[CENTRO DE CUSTOS],$D$4)</f>
        <v>0</v>
      </c>
      <c r="L806" s="206">
        <f>SUMIFS(LANÇ_MOV[VALOR LÍQUIDO],LANÇ_MOV[RECEITA OU DESPESA],"Despesa",LANÇ_MOV[CONTAS],$C806,LANÇ_MOV[PLANO DE CONTAS],REL_DRE_FINANCEIRO!$B$753,LANÇ_MOV[ANO PAGAMENTO],$B$4,LANÇ_MOV[MÊS PAGAMENTO CORRESPONDENTE],L$6,LANÇ_MOV[EMPRESA],$C$4,LANÇ_MOV[CENTRO DE CUSTOS],$D$4)</f>
        <v>0</v>
      </c>
      <c r="M806" s="206">
        <f>SUMIFS(LANÇ_MOV[VALOR LÍQUIDO],LANÇ_MOV[RECEITA OU DESPESA],"Despesa",LANÇ_MOV[CONTAS],$C806,LANÇ_MOV[PLANO DE CONTAS],REL_DRE_FINANCEIRO!$B$753,LANÇ_MOV[ANO PAGAMENTO],$B$4,LANÇ_MOV[MÊS PAGAMENTO CORRESPONDENTE],M$6,LANÇ_MOV[EMPRESA],$C$4,LANÇ_MOV[CENTRO DE CUSTOS],$D$4)</f>
        <v>0</v>
      </c>
      <c r="N806" s="206">
        <f>SUMIFS(LANÇ_MOV[VALOR LÍQUIDO],LANÇ_MOV[RECEITA OU DESPESA],"Despesa",LANÇ_MOV[CONTAS],$C806,LANÇ_MOV[PLANO DE CONTAS],REL_DRE_FINANCEIRO!$B$753,LANÇ_MOV[ANO PAGAMENTO],$B$4,LANÇ_MOV[MÊS PAGAMENTO CORRESPONDENTE],N$6,LANÇ_MOV[EMPRESA],$C$4,LANÇ_MOV[CENTRO DE CUSTOS],$D$4)</f>
        <v>0</v>
      </c>
      <c r="O806" s="206">
        <f>SUMIFS(LANÇ_MOV[VALOR LÍQUIDO],LANÇ_MOV[RECEITA OU DESPESA],"Despesa",LANÇ_MOV[CONTAS],$C806,LANÇ_MOV[PLANO DE CONTAS],REL_DRE_FINANCEIRO!$B$753,LANÇ_MOV[ANO PAGAMENTO],$B$4,LANÇ_MOV[MÊS PAGAMENTO CORRESPONDENTE],O$6,LANÇ_MOV[EMPRESA],$C$4,LANÇ_MOV[CENTRO DE CUSTOS],$D$4)</f>
        <v>0</v>
      </c>
      <c r="P806" s="207">
        <f t="shared" si="100"/>
        <v>0</v>
      </c>
      <c r="Q806" s="329">
        <v>4.7999999999999998E-6</v>
      </c>
      <c r="R806" s="346">
        <f t="shared" si="101"/>
        <v>4.7999999999999998E-6</v>
      </c>
      <c r="S806" s="347" t="str">
        <f t="shared" si="102"/>
        <v>-</v>
      </c>
      <c r="T806" s="347">
        <f t="shared" si="103"/>
        <v>0</v>
      </c>
      <c r="U806" s="347">
        <f>HLOOKUP(Apoio!$P$12,$D$752:$P$853,X806,FALSE)+Q806</f>
        <v>4.7999999999999998E-6</v>
      </c>
      <c r="V806" s="447" t="str">
        <f t="shared" si="104"/>
        <v>-</v>
      </c>
      <c r="W806" s="448">
        <f>HLOOKUP(Apoio!$P$12,$D$752:$P$853,X806,FALSE)</f>
        <v>0</v>
      </c>
      <c r="X806" s="329">
        <v>55</v>
      </c>
    </row>
    <row r="807" spans="2:24" ht="30.05" customHeight="1" x14ac:dyDescent="0.35">
      <c r="B807" s="204" t="str">
        <f>'CAD_PL_REC-DESP'!Z58</f>
        <v>2.6.54</v>
      </c>
      <c r="C807" s="205" t="str">
        <f>IF('CAD_PL_REC-DESP'!AA58="","-",'CAD_PL_REC-DESP'!AA58)</f>
        <v>-</v>
      </c>
      <c r="D807" s="206">
        <f>SUMIFS(LANÇ_MOV[VALOR LÍQUIDO],LANÇ_MOV[RECEITA OU DESPESA],"Despesa",LANÇ_MOV[CONTAS],$C807,LANÇ_MOV[PLANO DE CONTAS],REL_DRE_FINANCEIRO!$B$753,LANÇ_MOV[ANO PAGAMENTO],$B$4,LANÇ_MOV[MÊS PAGAMENTO CORRESPONDENTE],D$6,LANÇ_MOV[EMPRESA],$C$4,LANÇ_MOV[CENTRO DE CUSTOS],$D$4)</f>
        <v>0</v>
      </c>
      <c r="E807" s="206">
        <f>SUMIFS(LANÇ_MOV[VALOR LÍQUIDO],LANÇ_MOV[RECEITA OU DESPESA],"Despesa",LANÇ_MOV[CONTAS],$C807,LANÇ_MOV[PLANO DE CONTAS],REL_DRE_FINANCEIRO!$B$753,LANÇ_MOV[ANO PAGAMENTO],$B$4,LANÇ_MOV[MÊS PAGAMENTO CORRESPONDENTE],E$6,LANÇ_MOV[EMPRESA],$C$4,LANÇ_MOV[CENTRO DE CUSTOS],$D$4)</f>
        <v>0</v>
      </c>
      <c r="F807" s="206">
        <f>SUMIFS(LANÇ_MOV[VALOR LÍQUIDO],LANÇ_MOV[RECEITA OU DESPESA],"Despesa",LANÇ_MOV[CONTAS],$C807,LANÇ_MOV[PLANO DE CONTAS],REL_DRE_FINANCEIRO!$B$753,LANÇ_MOV[ANO PAGAMENTO],$B$4,LANÇ_MOV[MÊS PAGAMENTO CORRESPONDENTE],F$6,LANÇ_MOV[EMPRESA],$C$4,LANÇ_MOV[CENTRO DE CUSTOS],$D$4)</f>
        <v>0</v>
      </c>
      <c r="G807" s="206">
        <f>SUMIFS(LANÇ_MOV[VALOR LÍQUIDO],LANÇ_MOV[RECEITA OU DESPESA],"Despesa",LANÇ_MOV[CONTAS],$C807,LANÇ_MOV[PLANO DE CONTAS],REL_DRE_FINANCEIRO!$B$753,LANÇ_MOV[ANO PAGAMENTO],$B$4,LANÇ_MOV[MÊS PAGAMENTO CORRESPONDENTE],G$6,LANÇ_MOV[EMPRESA],$C$4,LANÇ_MOV[CENTRO DE CUSTOS],$D$4)</f>
        <v>0</v>
      </c>
      <c r="H807" s="206">
        <f>SUMIFS(LANÇ_MOV[VALOR LÍQUIDO],LANÇ_MOV[RECEITA OU DESPESA],"Despesa",LANÇ_MOV[CONTAS],$C807,LANÇ_MOV[PLANO DE CONTAS],REL_DRE_FINANCEIRO!$B$753,LANÇ_MOV[ANO PAGAMENTO],$B$4,LANÇ_MOV[MÊS PAGAMENTO CORRESPONDENTE],H$6,LANÇ_MOV[EMPRESA],$C$4,LANÇ_MOV[CENTRO DE CUSTOS],$D$4)</f>
        <v>0</v>
      </c>
      <c r="I807" s="206">
        <f>SUMIFS(LANÇ_MOV[VALOR LÍQUIDO],LANÇ_MOV[RECEITA OU DESPESA],"Despesa",LANÇ_MOV[CONTAS],$C807,LANÇ_MOV[PLANO DE CONTAS],REL_DRE_FINANCEIRO!$B$753,LANÇ_MOV[ANO PAGAMENTO],$B$4,LANÇ_MOV[MÊS PAGAMENTO CORRESPONDENTE],I$6,LANÇ_MOV[EMPRESA],$C$4,LANÇ_MOV[CENTRO DE CUSTOS],$D$4)</f>
        <v>0</v>
      </c>
      <c r="J807" s="206">
        <f>SUMIFS(LANÇ_MOV[VALOR LÍQUIDO],LANÇ_MOV[RECEITA OU DESPESA],"Despesa",LANÇ_MOV[CONTAS],$C807,LANÇ_MOV[PLANO DE CONTAS],REL_DRE_FINANCEIRO!$B$753,LANÇ_MOV[ANO PAGAMENTO],$B$4,LANÇ_MOV[MÊS PAGAMENTO CORRESPONDENTE],J$6,LANÇ_MOV[EMPRESA],$C$4,LANÇ_MOV[CENTRO DE CUSTOS],$D$4)</f>
        <v>0</v>
      </c>
      <c r="K807" s="206">
        <f>SUMIFS(LANÇ_MOV[VALOR LÍQUIDO],LANÇ_MOV[RECEITA OU DESPESA],"Despesa",LANÇ_MOV[CONTAS],$C807,LANÇ_MOV[PLANO DE CONTAS],REL_DRE_FINANCEIRO!$B$753,LANÇ_MOV[ANO PAGAMENTO],$B$4,LANÇ_MOV[MÊS PAGAMENTO CORRESPONDENTE],K$6,LANÇ_MOV[EMPRESA],$C$4,LANÇ_MOV[CENTRO DE CUSTOS],$D$4)</f>
        <v>0</v>
      </c>
      <c r="L807" s="206">
        <f>SUMIFS(LANÇ_MOV[VALOR LÍQUIDO],LANÇ_MOV[RECEITA OU DESPESA],"Despesa",LANÇ_MOV[CONTAS],$C807,LANÇ_MOV[PLANO DE CONTAS],REL_DRE_FINANCEIRO!$B$753,LANÇ_MOV[ANO PAGAMENTO],$B$4,LANÇ_MOV[MÊS PAGAMENTO CORRESPONDENTE],L$6,LANÇ_MOV[EMPRESA],$C$4,LANÇ_MOV[CENTRO DE CUSTOS],$D$4)</f>
        <v>0</v>
      </c>
      <c r="M807" s="206">
        <f>SUMIFS(LANÇ_MOV[VALOR LÍQUIDO],LANÇ_MOV[RECEITA OU DESPESA],"Despesa",LANÇ_MOV[CONTAS],$C807,LANÇ_MOV[PLANO DE CONTAS],REL_DRE_FINANCEIRO!$B$753,LANÇ_MOV[ANO PAGAMENTO],$B$4,LANÇ_MOV[MÊS PAGAMENTO CORRESPONDENTE],M$6,LANÇ_MOV[EMPRESA],$C$4,LANÇ_MOV[CENTRO DE CUSTOS],$D$4)</f>
        <v>0</v>
      </c>
      <c r="N807" s="206">
        <f>SUMIFS(LANÇ_MOV[VALOR LÍQUIDO],LANÇ_MOV[RECEITA OU DESPESA],"Despesa",LANÇ_MOV[CONTAS],$C807,LANÇ_MOV[PLANO DE CONTAS],REL_DRE_FINANCEIRO!$B$753,LANÇ_MOV[ANO PAGAMENTO],$B$4,LANÇ_MOV[MÊS PAGAMENTO CORRESPONDENTE],N$6,LANÇ_MOV[EMPRESA],$C$4,LANÇ_MOV[CENTRO DE CUSTOS],$D$4)</f>
        <v>0</v>
      </c>
      <c r="O807" s="206">
        <f>SUMIFS(LANÇ_MOV[VALOR LÍQUIDO],LANÇ_MOV[RECEITA OU DESPESA],"Despesa",LANÇ_MOV[CONTAS],$C807,LANÇ_MOV[PLANO DE CONTAS],REL_DRE_FINANCEIRO!$B$753,LANÇ_MOV[ANO PAGAMENTO],$B$4,LANÇ_MOV[MÊS PAGAMENTO CORRESPONDENTE],O$6,LANÇ_MOV[EMPRESA],$C$4,LANÇ_MOV[CENTRO DE CUSTOS],$D$4)</f>
        <v>0</v>
      </c>
      <c r="P807" s="207">
        <f t="shared" si="100"/>
        <v>0</v>
      </c>
      <c r="Q807" s="329">
        <v>4.6999999999999999E-6</v>
      </c>
      <c r="R807" s="346">
        <f t="shared" si="101"/>
        <v>4.6999999999999999E-6</v>
      </c>
      <c r="S807" s="347" t="str">
        <f t="shared" si="102"/>
        <v>-</v>
      </c>
      <c r="T807" s="347">
        <f t="shared" si="103"/>
        <v>0</v>
      </c>
      <c r="U807" s="347">
        <f>HLOOKUP(Apoio!$P$12,$D$752:$P$853,X807,FALSE)+Q807</f>
        <v>4.6999999999999999E-6</v>
      </c>
      <c r="V807" s="447" t="str">
        <f t="shared" si="104"/>
        <v>-</v>
      </c>
      <c r="W807" s="448">
        <f>HLOOKUP(Apoio!$P$12,$D$752:$P$853,X807,FALSE)</f>
        <v>0</v>
      </c>
      <c r="X807" s="329">
        <v>56</v>
      </c>
    </row>
    <row r="808" spans="2:24" ht="30.05" customHeight="1" x14ac:dyDescent="0.35">
      <c r="B808" s="204" t="str">
        <f>'CAD_PL_REC-DESP'!Z59</f>
        <v>2.6.55</v>
      </c>
      <c r="C808" s="205" t="str">
        <f>IF('CAD_PL_REC-DESP'!AA59="","-",'CAD_PL_REC-DESP'!AA59)</f>
        <v>-</v>
      </c>
      <c r="D808" s="206">
        <f>SUMIFS(LANÇ_MOV[VALOR LÍQUIDO],LANÇ_MOV[RECEITA OU DESPESA],"Despesa",LANÇ_MOV[CONTAS],$C808,LANÇ_MOV[PLANO DE CONTAS],REL_DRE_FINANCEIRO!$B$753,LANÇ_MOV[ANO PAGAMENTO],$B$4,LANÇ_MOV[MÊS PAGAMENTO CORRESPONDENTE],D$6,LANÇ_MOV[EMPRESA],$C$4,LANÇ_MOV[CENTRO DE CUSTOS],$D$4)</f>
        <v>0</v>
      </c>
      <c r="E808" s="206">
        <f>SUMIFS(LANÇ_MOV[VALOR LÍQUIDO],LANÇ_MOV[RECEITA OU DESPESA],"Despesa",LANÇ_MOV[CONTAS],$C808,LANÇ_MOV[PLANO DE CONTAS],REL_DRE_FINANCEIRO!$B$753,LANÇ_MOV[ANO PAGAMENTO],$B$4,LANÇ_MOV[MÊS PAGAMENTO CORRESPONDENTE],E$6,LANÇ_MOV[EMPRESA],$C$4,LANÇ_MOV[CENTRO DE CUSTOS],$D$4)</f>
        <v>0</v>
      </c>
      <c r="F808" s="206">
        <f>SUMIFS(LANÇ_MOV[VALOR LÍQUIDO],LANÇ_MOV[RECEITA OU DESPESA],"Despesa",LANÇ_MOV[CONTAS],$C808,LANÇ_MOV[PLANO DE CONTAS],REL_DRE_FINANCEIRO!$B$753,LANÇ_MOV[ANO PAGAMENTO],$B$4,LANÇ_MOV[MÊS PAGAMENTO CORRESPONDENTE],F$6,LANÇ_MOV[EMPRESA],$C$4,LANÇ_MOV[CENTRO DE CUSTOS],$D$4)</f>
        <v>0</v>
      </c>
      <c r="G808" s="206">
        <f>SUMIFS(LANÇ_MOV[VALOR LÍQUIDO],LANÇ_MOV[RECEITA OU DESPESA],"Despesa",LANÇ_MOV[CONTAS],$C808,LANÇ_MOV[PLANO DE CONTAS],REL_DRE_FINANCEIRO!$B$753,LANÇ_MOV[ANO PAGAMENTO],$B$4,LANÇ_MOV[MÊS PAGAMENTO CORRESPONDENTE],G$6,LANÇ_MOV[EMPRESA],$C$4,LANÇ_MOV[CENTRO DE CUSTOS],$D$4)</f>
        <v>0</v>
      </c>
      <c r="H808" s="206">
        <f>SUMIFS(LANÇ_MOV[VALOR LÍQUIDO],LANÇ_MOV[RECEITA OU DESPESA],"Despesa",LANÇ_MOV[CONTAS],$C808,LANÇ_MOV[PLANO DE CONTAS],REL_DRE_FINANCEIRO!$B$753,LANÇ_MOV[ANO PAGAMENTO],$B$4,LANÇ_MOV[MÊS PAGAMENTO CORRESPONDENTE],H$6,LANÇ_MOV[EMPRESA],$C$4,LANÇ_MOV[CENTRO DE CUSTOS],$D$4)</f>
        <v>0</v>
      </c>
      <c r="I808" s="206">
        <f>SUMIFS(LANÇ_MOV[VALOR LÍQUIDO],LANÇ_MOV[RECEITA OU DESPESA],"Despesa",LANÇ_MOV[CONTAS],$C808,LANÇ_MOV[PLANO DE CONTAS],REL_DRE_FINANCEIRO!$B$753,LANÇ_MOV[ANO PAGAMENTO],$B$4,LANÇ_MOV[MÊS PAGAMENTO CORRESPONDENTE],I$6,LANÇ_MOV[EMPRESA],$C$4,LANÇ_MOV[CENTRO DE CUSTOS],$D$4)</f>
        <v>0</v>
      </c>
      <c r="J808" s="206">
        <f>SUMIFS(LANÇ_MOV[VALOR LÍQUIDO],LANÇ_MOV[RECEITA OU DESPESA],"Despesa",LANÇ_MOV[CONTAS],$C808,LANÇ_MOV[PLANO DE CONTAS],REL_DRE_FINANCEIRO!$B$753,LANÇ_MOV[ANO PAGAMENTO],$B$4,LANÇ_MOV[MÊS PAGAMENTO CORRESPONDENTE],J$6,LANÇ_MOV[EMPRESA],$C$4,LANÇ_MOV[CENTRO DE CUSTOS],$D$4)</f>
        <v>0</v>
      </c>
      <c r="K808" s="206">
        <f>SUMIFS(LANÇ_MOV[VALOR LÍQUIDO],LANÇ_MOV[RECEITA OU DESPESA],"Despesa",LANÇ_MOV[CONTAS],$C808,LANÇ_MOV[PLANO DE CONTAS],REL_DRE_FINANCEIRO!$B$753,LANÇ_MOV[ANO PAGAMENTO],$B$4,LANÇ_MOV[MÊS PAGAMENTO CORRESPONDENTE],K$6,LANÇ_MOV[EMPRESA],$C$4,LANÇ_MOV[CENTRO DE CUSTOS],$D$4)</f>
        <v>0</v>
      </c>
      <c r="L808" s="206">
        <f>SUMIFS(LANÇ_MOV[VALOR LÍQUIDO],LANÇ_MOV[RECEITA OU DESPESA],"Despesa",LANÇ_MOV[CONTAS],$C808,LANÇ_MOV[PLANO DE CONTAS],REL_DRE_FINANCEIRO!$B$753,LANÇ_MOV[ANO PAGAMENTO],$B$4,LANÇ_MOV[MÊS PAGAMENTO CORRESPONDENTE],L$6,LANÇ_MOV[EMPRESA],$C$4,LANÇ_MOV[CENTRO DE CUSTOS],$D$4)</f>
        <v>0</v>
      </c>
      <c r="M808" s="206">
        <f>SUMIFS(LANÇ_MOV[VALOR LÍQUIDO],LANÇ_MOV[RECEITA OU DESPESA],"Despesa",LANÇ_MOV[CONTAS],$C808,LANÇ_MOV[PLANO DE CONTAS],REL_DRE_FINANCEIRO!$B$753,LANÇ_MOV[ANO PAGAMENTO],$B$4,LANÇ_MOV[MÊS PAGAMENTO CORRESPONDENTE],M$6,LANÇ_MOV[EMPRESA],$C$4,LANÇ_MOV[CENTRO DE CUSTOS],$D$4)</f>
        <v>0</v>
      </c>
      <c r="N808" s="206">
        <f>SUMIFS(LANÇ_MOV[VALOR LÍQUIDO],LANÇ_MOV[RECEITA OU DESPESA],"Despesa",LANÇ_MOV[CONTAS],$C808,LANÇ_MOV[PLANO DE CONTAS],REL_DRE_FINANCEIRO!$B$753,LANÇ_MOV[ANO PAGAMENTO],$B$4,LANÇ_MOV[MÊS PAGAMENTO CORRESPONDENTE],N$6,LANÇ_MOV[EMPRESA],$C$4,LANÇ_MOV[CENTRO DE CUSTOS],$D$4)</f>
        <v>0</v>
      </c>
      <c r="O808" s="206">
        <f>SUMIFS(LANÇ_MOV[VALOR LÍQUIDO],LANÇ_MOV[RECEITA OU DESPESA],"Despesa",LANÇ_MOV[CONTAS],$C808,LANÇ_MOV[PLANO DE CONTAS],REL_DRE_FINANCEIRO!$B$753,LANÇ_MOV[ANO PAGAMENTO],$B$4,LANÇ_MOV[MÊS PAGAMENTO CORRESPONDENTE],O$6,LANÇ_MOV[EMPRESA],$C$4,LANÇ_MOV[CENTRO DE CUSTOS],$D$4)</f>
        <v>0</v>
      </c>
      <c r="P808" s="207">
        <f t="shared" si="100"/>
        <v>0</v>
      </c>
      <c r="Q808" s="329">
        <v>4.6E-6</v>
      </c>
      <c r="R808" s="346">
        <f t="shared" si="101"/>
        <v>4.6E-6</v>
      </c>
      <c r="S808" s="347" t="str">
        <f t="shared" si="102"/>
        <v>-</v>
      </c>
      <c r="T808" s="347">
        <f t="shared" si="103"/>
        <v>0</v>
      </c>
      <c r="U808" s="347">
        <f>HLOOKUP(Apoio!$P$12,$D$752:$P$853,X808,FALSE)+Q808</f>
        <v>4.6E-6</v>
      </c>
      <c r="V808" s="447" t="str">
        <f t="shared" si="104"/>
        <v>-</v>
      </c>
      <c r="W808" s="448">
        <f>HLOOKUP(Apoio!$P$12,$D$752:$P$853,X808,FALSE)</f>
        <v>0</v>
      </c>
      <c r="X808" s="329">
        <v>57</v>
      </c>
    </row>
    <row r="809" spans="2:24" ht="30.05" customHeight="1" x14ac:dyDescent="0.35">
      <c r="B809" s="204" t="str">
        <f>'CAD_PL_REC-DESP'!Z60</f>
        <v>2.6.56</v>
      </c>
      <c r="C809" s="205" t="str">
        <f>IF('CAD_PL_REC-DESP'!AA60="","-",'CAD_PL_REC-DESP'!AA60)</f>
        <v>-</v>
      </c>
      <c r="D809" s="206">
        <f>SUMIFS(LANÇ_MOV[VALOR LÍQUIDO],LANÇ_MOV[RECEITA OU DESPESA],"Despesa",LANÇ_MOV[CONTAS],$C809,LANÇ_MOV[PLANO DE CONTAS],REL_DRE_FINANCEIRO!$B$753,LANÇ_MOV[ANO PAGAMENTO],$B$4,LANÇ_MOV[MÊS PAGAMENTO CORRESPONDENTE],D$6,LANÇ_MOV[EMPRESA],$C$4,LANÇ_MOV[CENTRO DE CUSTOS],$D$4)</f>
        <v>0</v>
      </c>
      <c r="E809" s="206">
        <f>SUMIFS(LANÇ_MOV[VALOR LÍQUIDO],LANÇ_MOV[RECEITA OU DESPESA],"Despesa",LANÇ_MOV[CONTAS],$C809,LANÇ_MOV[PLANO DE CONTAS],REL_DRE_FINANCEIRO!$B$753,LANÇ_MOV[ANO PAGAMENTO],$B$4,LANÇ_MOV[MÊS PAGAMENTO CORRESPONDENTE],E$6,LANÇ_MOV[EMPRESA],$C$4,LANÇ_MOV[CENTRO DE CUSTOS],$D$4)</f>
        <v>0</v>
      </c>
      <c r="F809" s="206">
        <f>SUMIFS(LANÇ_MOV[VALOR LÍQUIDO],LANÇ_MOV[RECEITA OU DESPESA],"Despesa",LANÇ_MOV[CONTAS],$C809,LANÇ_MOV[PLANO DE CONTAS],REL_DRE_FINANCEIRO!$B$753,LANÇ_MOV[ANO PAGAMENTO],$B$4,LANÇ_MOV[MÊS PAGAMENTO CORRESPONDENTE],F$6,LANÇ_MOV[EMPRESA],$C$4,LANÇ_MOV[CENTRO DE CUSTOS],$D$4)</f>
        <v>0</v>
      </c>
      <c r="G809" s="206">
        <f>SUMIFS(LANÇ_MOV[VALOR LÍQUIDO],LANÇ_MOV[RECEITA OU DESPESA],"Despesa",LANÇ_MOV[CONTAS],$C809,LANÇ_MOV[PLANO DE CONTAS],REL_DRE_FINANCEIRO!$B$753,LANÇ_MOV[ANO PAGAMENTO],$B$4,LANÇ_MOV[MÊS PAGAMENTO CORRESPONDENTE],G$6,LANÇ_MOV[EMPRESA],$C$4,LANÇ_MOV[CENTRO DE CUSTOS],$D$4)</f>
        <v>0</v>
      </c>
      <c r="H809" s="206">
        <f>SUMIFS(LANÇ_MOV[VALOR LÍQUIDO],LANÇ_MOV[RECEITA OU DESPESA],"Despesa",LANÇ_MOV[CONTAS],$C809,LANÇ_MOV[PLANO DE CONTAS],REL_DRE_FINANCEIRO!$B$753,LANÇ_MOV[ANO PAGAMENTO],$B$4,LANÇ_MOV[MÊS PAGAMENTO CORRESPONDENTE],H$6,LANÇ_MOV[EMPRESA],$C$4,LANÇ_MOV[CENTRO DE CUSTOS],$D$4)</f>
        <v>0</v>
      </c>
      <c r="I809" s="206">
        <f>SUMIFS(LANÇ_MOV[VALOR LÍQUIDO],LANÇ_MOV[RECEITA OU DESPESA],"Despesa",LANÇ_MOV[CONTAS],$C809,LANÇ_MOV[PLANO DE CONTAS],REL_DRE_FINANCEIRO!$B$753,LANÇ_MOV[ANO PAGAMENTO],$B$4,LANÇ_MOV[MÊS PAGAMENTO CORRESPONDENTE],I$6,LANÇ_MOV[EMPRESA],$C$4,LANÇ_MOV[CENTRO DE CUSTOS],$D$4)</f>
        <v>0</v>
      </c>
      <c r="J809" s="206">
        <f>SUMIFS(LANÇ_MOV[VALOR LÍQUIDO],LANÇ_MOV[RECEITA OU DESPESA],"Despesa",LANÇ_MOV[CONTAS],$C809,LANÇ_MOV[PLANO DE CONTAS],REL_DRE_FINANCEIRO!$B$753,LANÇ_MOV[ANO PAGAMENTO],$B$4,LANÇ_MOV[MÊS PAGAMENTO CORRESPONDENTE],J$6,LANÇ_MOV[EMPRESA],$C$4,LANÇ_MOV[CENTRO DE CUSTOS],$D$4)</f>
        <v>0</v>
      </c>
      <c r="K809" s="206">
        <f>SUMIFS(LANÇ_MOV[VALOR LÍQUIDO],LANÇ_MOV[RECEITA OU DESPESA],"Despesa",LANÇ_MOV[CONTAS],$C809,LANÇ_MOV[PLANO DE CONTAS],REL_DRE_FINANCEIRO!$B$753,LANÇ_MOV[ANO PAGAMENTO],$B$4,LANÇ_MOV[MÊS PAGAMENTO CORRESPONDENTE],K$6,LANÇ_MOV[EMPRESA],$C$4,LANÇ_MOV[CENTRO DE CUSTOS],$D$4)</f>
        <v>0</v>
      </c>
      <c r="L809" s="206">
        <f>SUMIFS(LANÇ_MOV[VALOR LÍQUIDO],LANÇ_MOV[RECEITA OU DESPESA],"Despesa",LANÇ_MOV[CONTAS],$C809,LANÇ_MOV[PLANO DE CONTAS],REL_DRE_FINANCEIRO!$B$753,LANÇ_MOV[ANO PAGAMENTO],$B$4,LANÇ_MOV[MÊS PAGAMENTO CORRESPONDENTE],L$6,LANÇ_MOV[EMPRESA],$C$4,LANÇ_MOV[CENTRO DE CUSTOS],$D$4)</f>
        <v>0</v>
      </c>
      <c r="M809" s="206">
        <f>SUMIFS(LANÇ_MOV[VALOR LÍQUIDO],LANÇ_MOV[RECEITA OU DESPESA],"Despesa",LANÇ_MOV[CONTAS],$C809,LANÇ_MOV[PLANO DE CONTAS],REL_DRE_FINANCEIRO!$B$753,LANÇ_MOV[ANO PAGAMENTO],$B$4,LANÇ_MOV[MÊS PAGAMENTO CORRESPONDENTE],M$6,LANÇ_MOV[EMPRESA],$C$4,LANÇ_MOV[CENTRO DE CUSTOS],$D$4)</f>
        <v>0</v>
      </c>
      <c r="N809" s="206">
        <f>SUMIFS(LANÇ_MOV[VALOR LÍQUIDO],LANÇ_MOV[RECEITA OU DESPESA],"Despesa",LANÇ_MOV[CONTAS],$C809,LANÇ_MOV[PLANO DE CONTAS],REL_DRE_FINANCEIRO!$B$753,LANÇ_MOV[ANO PAGAMENTO],$B$4,LANÇ_MOV[MÊS PAGAMENTO CORRESPONDENTE],N$6,LANÇ_MOV[EMPRESA],$C$4,LANÇ_MOV[CENTRO DE CUSTOS],$D$4)</f>
        <v>0</v>
      </c>
      <c r="O809" s="206">
        <f>SUMIFS(LANÇ_MOV[VALOR LÍQUIDO],LANÇ_MOV[RECEITA OU DESPESA],"Despesa",LANÇ_MOV[CONTAS],$C809,LANÇ_MOV[PLANO DE CONTAS],REL_DRE_FINANCEIRO!$B$753,LANÇ_MOV[ANO PAGAMENTO],$B$4,LANÇ_MOV[MÊS PAGAMENTO CORRESPONDENTE],O$6,LANÇ_MOV[EMPRESA],$C$4,LANÇ_MOV[CENTRO DE CUSTOS],$D$4)</f>
        <v>0</v>
      </c>
      <c r="P809" s="207">
        <f t="shared" si="100"/>
        <v>0</v>
      </c>
      <c r="Q809" s="329">
        <v>4.5000000000000001E-6</v>
      </c>
      <c r="R809" s="346">
        <f t="shared" si="101"/>
        <v>4.5000000000000001E-6</v>
      </c>
      <c r="S809" s="347" t="str">
        <f t="shared" si="102"/>
        <v>-</v>
      </c>
      <c r="T809" s="347">
        <f t="shared" si="103"/>
        <v>0</v>
      </c>
      <c r="U809" s="347">
        <f>HLOOKUP(Apoio!$P$12,$D$752:$P$853,X809,FALSE)+Q809</f>
        <v>4.5000000000000001E-6</v>
      </c>
      <c r="V809" s="447" t="str">
        <f t="shared" si="104"/>
        <v>-</v>
      </c>
      <c r="W809" s="448">
        <f>HLOOKUP(Apoio!$P$12,$D$752:$P$853,X809,FALSE)</f>
        <v>0</v>
      </c>
      <c r="X809" s="329">
        <v>58</v>
      </c>
    </row>
    <row r="810" spans="2:24" ht="30.05" customHeight="1" x14ac:dyDescent="0.35">
      <c r="B810" s="204" t="str">
        <f>'CAD_PL_REC-DESP'!Z61</f>
        <v>2.6.57</v>
      </c>
      <c r="C810" s="205" t="str">
        <f>IF('CAD_PL_REC-DESP'!AA61="","-",'CAD_PL_REC-DESP'!AA61)</f>
        <v>-</v>
      </c>
      <c r="D810" s="206">
        <f>SUMIFS(LANÇ_MOV[VALOR LÍQUIDO],LANÇ_MOV[RECEITA OU DESPESA],"Despesa",LANÇ_MOV[CONTAS],$C810,LANÇ_MOV[PLANO DE CONTAS],REL_DRE_FINANCEIRO!$B$753,LANÇ_MOV[ANO PAGAMENTO],$B$4,LANÇ_MOV[MÊS PAGAMENTO CORRESPONDENTE],D$6,LANÇ_MOV[EMPRESA],$C$4,LANÇ_MOV[CENTRO DE CUSTOS],$D$4)</f>
        <v>0</v>
      </c>
      <c r="E810" s="206">
        <f>SUMIFS(LANÇ_MOV[VALOR LÍQUIDO],LANÇ_MOV[RECEITA OU DESPESA],"Despesa",LANÇ_MOV[CONTAS],$C810,LANÇ_MOV[PLANO DE CONTAS],REL_DRE_FINANCEIRO!$B$753,LANÇ_MOV[ANO PAGAMENTO],$B$4,LANÇ_MOV[MÊS PAGAMENTO CORRESPONDENTE],E$6,LANÇ_MOV[EMPRESA],$C$4,LANÇ_MOV[CENTRO DE CUSTOS],$D$4)</f>
        <v>0</v>
      </c>
      <c r="F810" s="206">
        <f>SUMIFS(LANÇ_MOV[VALOR LÍQUIDO],LANÇ_MOV[RECEITA OU DESPESA],"Despesa",LANÇ_MOV[CONTAS],$C810,LANÇ_MOV[PLANO DE CONTAS],REL_DRE_FINANCEIRO!$B$753,LANÇ_MOV[ANO PAGAMENTO],$B$4,LANÇ_MOV[MÊS PAGAMENTO CORRESPONDENTE],F$6,LANÇ_MOV[EMPRESA],$C$4,LANÇ_MOV[CENTRO DE CUSTOS],$D$4)</f>
        <v>0</v>
      </c>
      <c r="G810" s="206">
        <f>SUMIFS(LANÇ_MOV[VALOR LÍQUIDO],LANÇ_MOV[RECEITA OU DESPESA],"Despesa",LANÇ_MOV[CONTAS],$C810,LANÇ_MOV[PLANO DE CONTAS],REL_DRE_FINANCEIRO!$B$753,LANÇ_MOV[ANO PAGAMENTO],$B$4,LANÇ_MOV[MÊS PAGAMENTO CORRESPONDENTE],G$6,LANÇ_MOV[EMPRESA],$C$4,LANÇ_MOV[CENTRO DE CUSTOS],$D$4)</f>
        <v>0</v>
      </c>
      <c r="H810" s="206">
        <f>SUMIFS(LANÇ_MOV[VALOR LÍQUIDO],LANÇ_MOV[RECEITA OU DESPESA],"Despesa",LANÇ_MOV[CONTAS],$C810,LANÇ_MOV[PLANO DE CONTAS],REL_DRE_FINANCEIRO!$B$753,LANÇ_MOV[ANO PAGAMENTO],$B$4,LANÇ_MOV[MÊS PAGAMENTO CORRESPONDENTE],H$6,LANÇ_MOV[EMPRESA],$C$4,LANÇ_MOV[CENTRO DE CUSTOS],$D$4)</f>
        <v>0</v>
      </c>
      <c r="I810" s="206">
        <f>SUMIFS(LANÇ_MOV[VALOR LÍQUIDO],LANÇ_MOV[RECEITA OU DESPESA],"Despesa",LANÇ_MOV[CONTAS],$C810,LANÇ_MOV[PLANO DE CONTAS],REL_DRE_FINANCEIRO!$B$753,LANÇ_MOV[ANO PAGAMENTO],$B$4,LANÇ_MOV[MÊS PAGAMENTO CORRESPONDENTE],I$6,LANÇ_MOV[EMPRESA],$C$4,LANÇ_MOV[CENTRO DE CUSTOS],$D$4)</f>
        <v>0</v>
      </c>
      <c r="J810" s="206">
        <f>SUMIFS(LANÇ_MOV[VALOR LÍQUIDO],LANÇ_MOV[RECEITA OU DESPESA],"Despesa",LANÇ_MOV[CONTAS],$C810,LANÇ_MOV[PLANO DE CONTAS],REL_DRE_FINANCEIRO!$B$753,LANÇ_MOV[ANO PAGAMENTO],$B$4,LANÇ_MOV[MÊS PAGAMENTO CORRESPONDENTE],J$6,LANÇ_MOV[EMPRESA],$C$4,LANÇ_MOV[CENTRO DE CUSTOS],$D$4)</f>
        <v>0</v>
      </c>
      <c r="K810" s="206">
        <f>SUMIFS(LANÇ_MOV[VALOR LÍQUIDO],LANÇ_MOV[RECEITA OU DESPESA],"Despesa",LANÇ_MOV[CONTAS],$C810,LANÇ_MOV[PLANO DE CONTAS],REL_DRE_FINANCEIRO!$B$753,LANÇ_MOV[ANO PAGAMENTO],$B$4,LANÇ_MOV[MÊS PAGAMENTO CORRESPONDENTE],K$6,LANÇ_MOV[EMPRESA],$C$4,LANÇ_MOV[CENTRO DE CUSTOS],$D$4)</f>
        <v>0</v>
      </c>
      <c r="L810" s="206">
        <f>SUMIFS(LANÇ_MOV[VALOR LÍQUIDO],LANÇ_MOV[RECEITA OU DESPESA],"Despesa",LANÇ_MOV[CONTAS],$C810,LANÇ_MOV[PLANO DE CONTAS],REL_DRE_FINANCEIRO!$B$753,LANÇ_MOV[ANO PAGAMENTO],$B$4,LANÇ_MOV[MÊS PAGAMENTO CORRESPONDENTE],L$6,LANÇ_MOV[EMPRESA],$C$4,LANÇ_MOV[CENTRO DE CUSTOS],$D$4)</f>
        <v>0</v>
      </c>
      <c r="M810" s="206">
        <f>SUMIFS(LANÇ_MOV[VALOR LÍQUIDO],LANÇ_MOV[RECEITA OU DESPESA],"Despesa",LANÇ_MOV[CONTAS],$C810,LANÇ_MOV[PLANO DE CONTAS],REL_DRE_FINANCEIRO!$B$753,LANÇ_MOV[ANO PAGAMENTO],$B$4,LANÇ_MOV[MÊS PAGAMENTO CORRESPONDENTE],M$6,LANÇ_MOV[EMPRESA],$C$4,LANÇ_MOV[CENTRO DE CUSTOS],$D$4)</f>
        <v>0</v>
      </c>
      <c r="N810" s="206">
        <f>SUMIFS(LANÇ_MOV[VALOR LÍQUIDO],LANÇ_MOV[RECEITA OU DESPESA],"Despesa",LANÇ_MOV[CONTAS],$C810,LANÇ_MOV[PLANO DE CONTAS],REL_DRE_FINANCEIRO!$B$753,LANÇ_MOV[ANO PAGAMENTO],$B$4,LANÇ_MOV[MÊS PAGAMENTO CORRESPONDENTE],N$6,LANÇ_MOV[EMPRESA],$C$4,LANÇ_MOV[CENTRO DE CUSTOS],$D$4)</f>
        <v>0</v>
      </c>
      <c r="O810" s="206">
        <f>SUMIFS(LANÇ_MOV[VALOR LÍQUIDO],LANÇ_MOV[RECEITA OU DESPESA],"Despesa",LANÇ_MOV[CONTAS],$C810,LANÇ_MOV[PLANO DE CONTAS],REL_DRE_FINANCEIRO!$B$753,LANÇ_MOV[ANO PAGAMENTO],$B$4,LANÇ_MOV[MÊS PAGAMENTO CORRESPONDENTE],O$6,LANÇ_MOV[EMPRESA],$C$4,LANÇ_MOV[CENTRO DE CUSTOS],$D$4)</f>
        <v>0</v>
      </c>
      <c r="P810" s="207">
        <f t="shared" si="100"/>
        <v>0</v>
      </c>
      <c r="Q810" s="329">
        <v>4.4000000000000002E-6</v>
      </c>
      <c r="R810" s="346">
        <f t="shared" si="101"/>
        <v>4.4000000000000002E-6</v>
      </c>
      <c r="S810" s="347" t="str">
        <f t="shared" si="102"/>
        <v>-</v>
      </c>
      <c r="T810" s="347">
        <f t="shared" si="103"/>
        <v>0</v>
      </c>
      <c r="U810" s="347">
        <f>HLOOKUP(Apoio!$P$12,$D$752:$P$853,X810,FALSE)+Q810</f>
        <v>4.4000000000000002E-6</v>
      </c>
      <c r="V810" s="447" t="str">
        <f t="shared" si="104"/>
        <v>-</v>
      </c>
      <c r="W810" s="448">
        <f>HLOOKUP(Apoio!$P$12,$D$752:$P$853,X810,FALSE)</f>
        <v>0</v>
      </c>
      <c r="X810" s="329">
        <v>59</v>
      </c>
    </row>
    <row r="811" spans="2:24" ht="30.05" customHeight="1" x14ac:dyDescent="0.35">
      <c r="B811" s="204" t="str">
        <f>'CAD_PL_REC-DESP'!Z62</f>
        <v>2.6.58</v>
      </c>
      <c r="C811" s="205" t="str">
        <f>IF('CAD_PL_REC-DESP'!AA62="","-",'CAD_PL_REC-DESP'!AA62)</f>
        <v>-</v>
      </c>
      <c r="D811" s="206">
        <f>SUMIFS(LANÇ_MOV[VALOR LÍQUIDO],LANÇ_MOV[RECEITA OU DESPESA],"Despesa",LANÇ_MOV[CONTAS],$C811,LANÇ_MOV[PLANO DE CONTAS],REL_DRE_FINANCEIRO!$B$753,LANÇ_MOV[ANO PAGAMENTO],$B$4,LANÇ_MOV[MÊS PAGAMENTO CORRESPONDENTE],D$6,LANÇ_MOV[EMPRESA],$C$4,LANÇ_MOV[CENTRO DE CUSTOS],$D$4)</f>
        <v>0</v>
      </c>
      <c r="E811" s="206">
        <f>SUMIFS(LANÇ_MOV[VALOR LÍQUIDO],LANÇ_MOV[RECEITA OU DESPESA],"Despesa",LANÇ_MOV[CONTAS],$C811,LANÇ_MOV[PLANO DE CONTAS],REL_DRE_FINANCEIRO!$B$753,LANÇ_MOV[ANO PAGAMENTO],$B$4,LANÇ_MOV[MÊS PAGAMENTO CORRESPONDENTE],E$6,LANÇ_MOV[EMPRESA],$C$4,LANÇ_MOV[CENTRO DE CUSTOS],$D$4)</f>
        <v>0</v>
      </c>
      <c r="F811" s="206">
        <f>SUMIFS(LANÇ_MOV[VALOR LÍQUIDO],LANÇ_MOV[RECEITA OU DESPESA],"Despesa",LANÇ_MOV[CONTAS],$C811,LANÇ_MOV[PLANO DE CONTAS],REL_DRE_FINANCEIRO!$B$753,LANÇ_MOV[ANO PAGAMENTO],$B$4,LANÇ_MOV[MÊS PAGAMENTO CORRESPONDENTE],F$6,LANÇ_MOV[EMPRESA],$C$4,LANÇ_MOV[CENTRO DE CUSTOS],$D$4)</f>
        <v>0</v>
      </c>
      <c r="G811" s="206">
        <f>SUMIFS(LANÇ_MOV[VALOR LÍQUIDO],LANÇ_MOV[RECEITA OU DESPESA],"Despesa",LANÇ_MOV[CONTAS],$C811,LANÇ_MOV[PLANO DE CONTAS],REL_DRE_FINANCEIRO!$B$753,LANÇ_MOV[ANO PAGAMENTO],$B$4,LANÇ_MOV[MÊS PAGAMENTO CORRESPONDENTE],G$6,LANÇ_MOV[EMPRESA],$C$4,LANÇ_MOV[CENTRO DE CUSTOS],$D$4)</f>
        <v>0</v>
      </c>
      <c r="H811" s="206">
        <f>SUMIFS(LANÇ_MOV[VALOR LÍQUIDO],LANÇ_MOV[RECEITA OU DESPESA],"Despesa",LANÇ_MOV[CONTAS],$C811,LANÇ_MOV[PLANO DE CONTAS],REL_DRE_FINANCEIRO!$B$753,LANÇ_MOV[ANO PAGAMENTO],$B$4,LANÇ_MOV[MÊS PAGAMENTO CORRESPONDENTE],H$6,LANÇ_MOV[EMPRESA],$C$4,LANÇ_MOV[CENTRO DE CUSTOS],$D$4)</f>
        <v>0</v>
      </c>
      <c r="I811" s="206">
        <f>SUMIFS(LANÇ_MOV[VALOR LÍQUIDO],LANÇ_MOV[RECEITA OU DESPESA],"Despesa",LANÇ_MOV[CONTAS],$C811,LANÇ_MOV[PLANO DE CONTAS],REL_DRE_FINANCEIRO!$B$753,LANÇ_MOV[ANO PAGAMENTO],$B$4,LANÇ_MOV[MÊS PAGAMENTO CORRESPONDENTE],I$6,LANÇ_MOV[EMPRESA],$C$4,LANÇ_MOV[CENTRO DE CUSTOS],$D$4)</f>
        <v>0</v>
      </c>
      <c r="J811" s="206">
        <f>SUMIFS(LANÇ_MOV[VALOR LÍQUIDO],LANÇ_MOV[RECEITA OU DESPESA],"Despesa",LANÇ_MOV[CONTAS],$C811,LANÇ_MOV[PLANO DE CONTAS],REL_DRE_FINANCEIRO!$B$753,LANÇ_MOV[ANO PAGAMENTO],$B$4,LANÇ_MOV[MÊS PAGAMENTO CORRESPONDENTE],J$6,LANÇ_MOV[EMPRESA],$C$4,LANÇ_MOV[CENTRO DE CUSTOS],$D$4)</f>
        <v>0</v>
      </c>
      <c r="K811" s="206">
        <f>SUMIFS(LANÇ_MOV[VALOR LÍQUIDO],LANÇ_MOV[RECEITA OU DESPESA],"Despesa",LANÇ_MOV[CONTAS],$C811,LANÇ_MOV[PLANO DE CONTAS],REL_DRE_FINANCEIRO!$B$753,LANÇ_MOV[ANO PAGAMENTO],$B$4,LANÇ_MOV[MÊS PAGAMENTO CORRESPONDENTE],K$6,LANÇ_MOV[EMPRESA],$C$4,LANÇ_MOV[CENTRO DE CUSTOS],$D$4)</f>
        <v>0</v>
      </c>
      <c r="L811" s="206">
        <f>SUMIFS(LANÇ_MOV[VALOR LÍQUIDO],LANÇ_MOV[RECEITA OU DESPESA],"Despesa",LANÇ_MOV[CONTAS],$C811,LANÇ_MOV[PLANO DE CONTAS],REL_DRE_FINANCEIRO!$B$753,LANÇ_MOV[ANO PAGAMENTO],$B$4,LANÇ_MOV[MÊS PAGAMENTO CORRESPONDENTE],L$6,LANÇ_MOV[EMPRESA],$C$4,LANÇ_MOV[CENTRO DE CUSTOS],$D$4)</f>
        <v>0</v>
      </c>
      <c r="M811" s="206">
        <f>SUMIFS(LANÇ_MOV[VALOR LÍQUIDO],LANÇ_MOV[RECEITA OU DESPESA],"Despesa",LANÇ_MOV[CONTAS],$C811,LANÇ_MOV[PLANO DE CONTAS],REL_DRE_FINANCEIRO!$B$753,LANÇ_MOV[ANO PAGAMENTO],$B$4,LANÇ_MOV[MÊS PAGAMENTO CORRESPONDENTE],M$6,LANÇ_MOV[EMPRESA],$C$4,LANÇ_MOV[CENTRO DE CUSTOS],$D$4)</f>
        <v>0</v>
      </c>
      <c r="N811" s="206">
        <f>SUMIFS(LANÇ_MOV[VALOR LÍQUIDO],LANÇ_MOV[RECEITA OU DESPESA],"Despesa",LANÇ_MOV[CONTAS],$C811,LANÇ_MOV[PLANO DE CONTAS],REL_DRE_FINANCEIRO!$B$753,LANÇ_MOV[ANO PAGAMENTO],$B$4,LANÇ_MOV[MÊS PAGAMENTO CORRESPONDENTE],N$6,LANÇ_MOV[EMPRESA],$C$4,LANÇ_MOV[CENTRO DE CUSTOS],$D$4)</f>
        <v>0</v>
      </c>
      <c r="O811" s="206">
        <f>SUMIFS(LANÇ_MOV[VALOR LÍQUIDO],LANÇ_MOV[RECEITA OU DESPESA],"Despesa",LANÇ_MOV[CONTAS],$C811,LANÇ_MOV[PLANO DE CONTAS],REL_DRE_FINANCEIRO!$B$753,LANÇ_MOV[ANO PAGAMENTO],$B$4,LANÇ_MOV[MÊS PAGAMENTO CORRESPONDENTE],O$6,LANÇ_MOV[EMPRESA],$C$4,LANÇ_MOV[CENTRO DE CUSTOS],$D$4)</f>
        <v>0</v>
      </c>
      <c r="P811" s="207">
        <f t="shared" si="100"/>
        <v>0</v>
      </c>
      <c r="Q811" s="329">
        <v>4.3000000000000003E-6</v>
      </c>
      <c r="R811" s="346">
        <f t="shared" si="101"/>
        <v>4.3000000000000003E-6</v>
      </c>
      <c r="S811" s="347" t="str">
        <f t="shared" si="102"/>
        <v>-</v>
      </c>
      <c r="T811" s="347">
        <f t="shared" si="103"/>
        <v>0</v>
      </c>
      <c r="U811" s="347">
        <f>HLOOKUP(Apoio!$P$12,$D$752:$P$853,X811,FALSE)+Q811</f>
        <v>4.3000000000000003E-6</v>
      </c>
      <c r="V811" s="447" t="str">
        <f t="shared" si="104"/>
        <v>-</v>
      </c>
      <c r="W811" s="448">
        <f>HLOOKUP(Apoio!$P$12,$D$752:$P$853,X811,FALSE)</f>
        <v>0</v>
      </c>
      <c r="X811" s="329">
        <v>60</v>
      </c>
    </row>
    <row r="812" spans="2:24" ht="30.05" customHeight="1" x14ac:dyDescent="0.35">
      <c r="B812" s="204" t="str">
        <f>'CAD_PL_REC-DESP'!Z63</f>
        <v>2.6.59</v>
      </c>
      <c r="C812" s="205" t="str">
        <f>IF('CAD_PL_REC-DESP'!AA63="","-",'CAD_PL_REC-DESP'!AA63)</f>
        <v>-</v>
      </c>
      <c r="D812" s="206">
        <f>SUMIFS(LANÇ_MOV[VALOR LÍQUIDO],LANÇ_MOV[RECEITA OU DESPESA],"Despesa",LANÇ_MOV[CONTAS],$C812,LANÇ_MOV[PLANO DE CONTAS],REL_DRE_FINANCEIRO!$B$753,LANÇ_MOV[ANO PAGAMENTO],$B$4,LANÇ_MOV[MÊS PAGAMENTO CORRESPONDENTE],D$6,LANÇ_MOV[EMPRESA],$C$4,LANÇ_MOV[CENTRO DE CUSTOS],$D$4)</f>
        <v>0</v>
      </c>
      <c r="E812" s="206">
        <f>SUMIFS(LANÇ_MOV[VALOR LÍQUIDO],LANÇ_MOV[RECEITA OU DESPESA],"Despesa",LANÇ_MOV[CONTAS],$C812,LANÇ_MOV[PLANO DE CONTAS],REL_DRE_FINANCEIRO!$B$753,LANÇ_MOV[ANO PAGAMENTO],$B$4,LANÇ_MOV[MÊS PAGAMENTO CORRESPONDENTE],E$6,LANÇ_MOV[EMPRESA],$C$4,LANÇ_MOV[CENTRO DE CUSTOS],$D$4)</f>
        <v>0</v>
      </c>
      <c r="F812" s="206">
        <f>SUMIFS(LANÇ_MOV[VALOR LÍQUIDO],LANÇ_MOV[RECEITA OU DESPESA],"Despesa",LANÇ_MOV[CONTAS],$C812,LANÇ_MOV[PLANO DE CONTAS],REL_DRE_FINANCEIRO!$B$753,LANÇ_MOV[ANO PAGAMENTO],$B$4,LANÇ_MOV[MÊS PAGAMENTO CORRESPONDENTE],F$6,LANÇ_MOV[EMPRESA],$C$4,LANÇ_MOV[CENTRO DE CUSTOS],$D$4)</f>
        <v>0</v>
      </c>
      <c r="G812" s="206">
        <f>SUMIFS(LANÇ_MOV[VALOR LÍQUIDO],LANÇ_MOV[RECEITA OU DESPESA],"Despesa",LANÇ_MOV[CONTAS],$C812,LANÇ_MOV[PLANO DE CONTAS],REL_DRE_FINANCEIRO!$B$753,LANÇ_MOV[ANO PAGAMENTO],$B$4,LANÇ_MOV[MÊS PAGAMENTO CORRESPONDENTE],G$6,LANÇ_MOV[EMPRESA],$C$4,LANÇ_MOV[CENTRO DE CUSTOS],$D$4)</f>
        <v>0</v>
      </c>
      <c r="H812" s="206">
        <f>SUMIFS(LANÇ_MOV[VALOR LÍQUIDO],LANÇ_MOV[RECEITA OU DESPESA],"Despesa",LANÇ_MOV[CONTAS],$C812,LANÇ_MOV[PLANO DE CONTAS],REL_DRE_FINANCEIRO!$B$753,LANÇ_MOV[ANO PAGAMENTO],$B$4,LANÇ_MOV[MÊS PAGAMENTO CORRESPONDENTE],H$6,LANÇ_MOV[EMPRESA],$C$4,LANÇ_MOV[CENTRO DE CUSTOS],$D$4)</f>
        <v>0</v>
      </c>
      <c r="I812" s="206">
        <f>SUMIFS(LANÇ_MOV[VALOR LÍQUIDO],LANÇ_MOV[RECEITA OU DESPESA],"Despesa",LANÇ_MOV[CONTAS],$C812,LANÇ_MOV[PLANO DE CONTAS],REL_DRE_FINANCEIRO!$B$753,LANÇ_MOV[ANO PAGAMENTO],$B$4,LANÇ_MOV[MÊS PAGAMENTO CORRESPONDENTE],I$6,LANÇ_MOV[EMPRESA],$C$4,LANÇ_MOV[CENTRO DE CUSTOS],$D$4)</f>
        <v>0</v>
      </c>
      <c r="J812" s="206">
        <f>SUMIFS(LANÇ_MOV[VALOR LÍQUIDO],LANÇ_MOV[RECEITA OU DESPESA],"Despesa",LANÇ_MOV[CONTAS],$C812,LANÇ_MOV[PLANO DE CONTAS],REL_DRE_FINANCEIRO!$B$753,LANÇ_MOV[ANO PAGAMENTO],$B$4,LANÇ_MOV[MÊS PAGAMENTO CORRESPONDENTE],J$6,LANÇ_MOV[EMPRESA],$C$4,LANÇ_MOV[CENTRO DE CUSTOS],$D$4)</f>
        <v>0</v>
      </c>
      <c r="K812" s="206">
        <f>SUMIFS(LANÇ_MOV[VALOR LÍQUIDO],LANÇ_MOV[RECEITA OU DESPESA],"Despesa",LANÇ_MOV[CONTAS],$C812,LANÇ_MOV[PLANO DE CONTAS],REL_DRE_FINANCEIRO!$B$753,LANÇ_MOV[ANO PAGAMENTO],$B$4,LANÇ_MOV[MÊS PAGAMENTO CORRESPONDENTE],K$6,LANÇ_MOV[EMPRESA],$C$4,LANÇ_MOV[CENTRO DE CUSTOS],$D$4)</f>
        <v>0</v>
      </c>
      <c r="L812" s="206">
        <f>SUMIFS(LANÇ_MOV[VALOR LÍQUIDO],LANÇ_MOV[RECEITA OU DESPESA],"Despesa",LANÇ_MOV[CONTAS],$C812,LANÇ_MOV[PLANO DE CONTAS],REL_DRE_FINANCEIRO!$B$753,LANÇ_MOV[ANO PAGAMENTO],$B$4,LANÇ_MOV[MÊS PAGAMENTO CORRESPONDENTE],L$6,LANÇ_MOV[EMPRESA],$C$4,LANÇ_MOV[CENTRO DE CUSTOS],$D$4)</f>
        <v>0</v>
      </c>
      <c r="M812" s="206">
        <f>SUMIFS(LANÇ_MOV[VALOR LÍQUIDO],LANÇ_MOV[RECEITA OU DESPESA],"Despesa",LANÇ_MOV[CONTAS],$C812,LANÇ_MOV[PLANO DE CONTAS],REL_DRE_FINANCEIRO!$B$753,LANÇ_MOV[ANO PAGAMENTO],$B$4,LANÇ_MOV[MÊS PAGAMENTO CORRESPONDENTE],M$6,LANÇ_MOV[EMPRESA],$C$4,LANÇ_MOV[CENTRO DE CUSTOS],$D$4)</f>
        <v>0</v>
      </c>
      <c r="N812" s="206">
        <f>SUMIFS(LANÇ_MOV[VALOR LÍQUIDO],LANÇ_MOV[RECEITA OU DESPESA],"Despesa",LANÇ_MOV[CONTAS],$C812,LANÇ_MOV[PLANO DE CONTAS],REL_DRE_FINANCEIRO!$B$753,LANÇ_MOV[ANO PAGAMENTO],$B$4,LANÇ_MOV[MÊS PAGAMENTO CORRESPONDENTE],N$6,LANÇ_MOV[EMPRESA],$C$4,LANÇ_MOV[CENTRO DE CUSTOS],$D$4)</f>
        <v>0</v>
      </c>
      <c r="O812" s="206">
        <f>SUMIFS(LANÇ_MOV[VALOR LÍQUIDO],LANÇ_MOV[RECEITA OU DESPESA],"Despesa",LANÇ_MOV[CONTAS],$C812,LANÇ_MOV[PLANO DE CONTAS],REL_DRE_FINANCEIRO!$B$753,LANÇ_MOV[ANO PAGAMENTO],$B$4,LANÇ_MOV[MÊS PAGAMENTO CORRESPONDENTE],O$6,LANÇ_MOV[EMPRESA],$C$4,LANÇ_MOV[CENTRO DE CUSTOS],$D$4)</f>
        <v>0</v>
      </c>
      <c r="P812" s="207">
        <f t="shared" si="100"/>
        <v>0</v>
      </c>
      <c r="Q812" s="329">
        <v>4.1999999999999996E-6</v>
      </c>
      <c r="R812" s="346">
        <f t="shared" si="101"/>
        <v>4.1999999999999996E-6</v>
      </c>
      <c r="S812" s="347" t="str">
        <f t="shared" si="102"/>
        <v>-</v>
      </c>
      <c r="T812" s="347">
        <f t="shared" si="103"/>
        <v>0</v>
      </c>
      <c r="U812" s="347">
        <f>HLOOKUP(Apoio!$P$12,$D$752:$P$853,X812,FALSE)+Q812</f>
        <v>4.1999999999999996E-6</v>
      </c>
      <c r="V812" s="447" t="str">
        <f t="shared" si="104"/>
        <v>-</v>
      </c>
      <c r="W812" s="448">
        <f>HLOOKUP(Apoio!$P$12,$D$752:$P$853,X812,FALSE)</f>
        <v>0</v>
      </c>
      <c r="X812" s="329">
        <v>61</v>
      </c>
    </row>
    <row r="813" spans="2:24" ht="30.05" customHeight="1" x14ac:dyDescent="0.35">
      <c r="B813" s="204" t="str">
        <f>'CAD_PL_REC-DESP'!Z64</f>
        <v>2.6.60</v>
      </c>
      <c r="C813" s="205" t="str">
        <f>IF('CAD_PL_REC-DESP'!AA64="","-",'CAD_PL_REC-DESP'!AA64)</f>
        <v>-</v>
      </c>
      <c r="D813" s="206">
        <f>SUMIFS(LANÇ_MOV[VALOR LÍQUIDO],LANÇ_MOV[RECEITA OU DESPESA],"Despesa",LANÇ_MOV[CONTAS],$C813,LANÇ_MOV[PLANO DE CONTAS],REL_DRE_FINANCEIRO!$B$753,LANÇ_MOV[ANO PAGAMENTO],$B$4,LANÇ_MOV[MÊS PAGAMENTO CORRESPONDENTE],D$6,LANÇ_MOV[EMPRESA],$C$4,LANÇ_MOV[CENTRO DE CUSTOS],$D$4)</f>
        <v>0</v>
      </c>
      <c r="E813" s="206">
        <f>SUMIFS(LANÇ_MOV[VALOR LÍQUIDO],LANÇ_MOV[RECEITA OU DESPESA],"Despesa",LANÇ_MOV[CONTAS],$C813,LANÇ_MOV[PLANO DE CONTAS],REL_DRE_FINANCEIRO!$B$753,LANÇ_MOV[ANO PAGAMENTO],$B$4,LANÇ_MOV[MÊS PAGAMENTO CORRESPONDENTE],E$6,LANÇ_MOV[EMPRESA],$C$4,LANÇ_MOV[CENTRO DE CUSTOS],$D$4)</f>
        <v>0</v>
      </c>
      <c r="F813" s="206">
        <f>SUMIFS(LANÇ_MOV[VALOR LÍQUIDO],LANÇ_MOV[RECEITA OU DESPESA],"Despesa",LANÇ_MOV[CONTAS],$C813,LANÇ_MOV[PLANO DE CONTAS],REL_DRE_FINANCEIRO!$B$753,LANÇ_MOV[ANO PAGAMENTO],$B$4,LANÇ_MOV[MÊS PAGAMENTO CORRESPONDENTE],F$6,LANÇ_MOV[EMPRESA],$C$4,LANÇ_MOV[CENTRO DE CUSTOS],$D$4)</f>
        <v>0</v>
      </c>
      <c r="G813" s="206">
        <f>SUMIFS(LANÇ_MOV[VALOR LÍQUIDO],LANÇ_MOV[RECEITA OU DESPESA],"Despesa",LANÇ_MOV[CONTAS],$C813,LANÇ_MOV[PLANO DE CONTAS],REL_DRE_FINANCEIRO!$B$753,LANÇ_MOV[ANO PAGAMENTO],$B$4,LANÇ_MOV[MÊS PAGAMENTO CORRESPONDENTE],G$6,LANÇ_MOV[EMPRESA],$C$4,LANÇ_MOV[CENTRO DE CUSTOS],$D$4)</f>
        <v>0</v>
      </c>
      <c r="H813" s="206">
        <f>SUMIFS(LANÇ_MOV[VALOR LÍQUIDO],LANÇ_MOV[RECEITA OU DESPESA],"Despesa",LANÇ_MOV[CONTAS],$C813,LANÇ_MOV[PLANO DE CONTAS],REL_DRE_FINANCEIRO!$B$753,LANÇ_MOV[ANO PAGAMENTO],$B$4,LANÇ_MOV[MÊS PAGAMENTO CORRESPONDENTE],H$6,LANÇ_MOV[EMPRESA],$C$4,LANÇ_MOV[CENTRO DE CUSTOS],$D$4)</f>
        <v>0</v>
      </c>
      <c r="I813" s="206">
        <f>SUMIFS(LANÇ_MOV[VALOR LÍQUIDO],LANÇ_MOV[RECEITA OU DESPESA],"Despesa",LANÇ_MOV[CONTAS],$C813,LANÇ_MOV[PLANO DE CONTAS],REL_DRE_FINANCEIRO!$B$753,LANÇ_MOV[ANO PAGAMENTO],$B$4,LANÇ_MOV[MÊS PAGAMENTO CORRESPONDENTE],I$6,LANÇ_MOV[EMPRESA],$C$4,LANÇ_MOV[CENTRO DE CUSTOS],$D$4)</f>
        <v>0</v>
      </c>
      <c r="J813" s="206">
        <f>SUMIFS(LANÇ_MOV[VALOR LÍQUIDO],LANÇ_MOV[RECEITA OU DESPESA],"Despesa",LANÇ_MOV[CONTAS],$C813,LANÇ_MOV[PLANO DE CONTAS],REL_DRE_FINANCEIRO!$B$753,LANÇ_MOV[ANO PAGAMENTO],$B$4,LANÇ_MOV[MÊS PAGAMENTO CORRESPONDENTE],J$6,LANÇ_MOV[EMPRESA],$C$4,LANÇ_MOV[CENTRO DE CUSTOS],$D$4)</f>
        <v>0</v>
      </c>
      <c r="K813" s="206">
        <f>SUMIFS(LANÇ_MOV[VALOR LÍQUIDO],LANÇ_MOV[RECEITA OU DESPESA],"Despesa",LANÇ_MOV[CONTAS],$C813,LANÇ_MOV[PLANO DE CONTAS],REL_DRE_FINANCEIRO!$B$753,LANÇ_MOV[ANO PAGAMENTO],$B$4,LANÇ_MOV[MÊS PAGAMENTO CORRESPONDENTE],K$6,LANÇ_MOV[EMPRESA],$C$4,LANÇ_MOV[CENTRO DE CUSTOS],$D$4)</f>
        <v>0</v>
      </c>
      <c r="L813" s="206">
        <f>SUMIFS(LANÇ_MOV[VALOR LÍQUIDO],LANÇ_MOV[RECEITA OU DESPESA],"Despesa",LANÇ_MOV[CONTAS],$C813,LANÇ_MOV[PLANO DE CONTAS],REL_DRE_FINANCEIRO!$B$753,LANÇ_MOV[ANO PAGAMENTO],$B$4,LANÇ_MOV[MÊS PAGAMENTO CORRESPONDENTE],L$6,LANÇ_MOV[EMPRESA],$C$4,LANÇ_MOV[CENTRO DE CUSTOS],$D$4)</f>
        <v>0</v>
      </c>
      <c r="M813" s="206">
        <f>SUMIFS(LANÇ_MOV[VALOR LÍQUIDO],LANÇ_MOV[RECEITA OU DESPESA],"Despesa",LANÇ_MOV[CONTAS],$C813,LANÇ_MOV[PLANO DE CONTAS],REL_DRE_FINANCEIRO!$B$753,LANÇ_MOV[ANO PAGAMENTO],$B$4,LANÇ_MOV[MÊS PAGAMENTO CORRESPONDENTE],M$6,LANÇ_MOV[EMPRESA],$C$4,LANÇ_MOV[CENTRO DE CUSTOS],$D$4)</f>
        <v>0</v>
      </c>
      <c r="N813" s="206">
        <f>SUMIFS(LANÇ_MOV[VALOR LÍQUIDO],LANÇ_MOV[RECEITA OU DESPESA],"Despesa",LANÇ_MOV[CONTAS],$C813,LANÇ_MOV[PLANO DE CONTAS],REL_DRE_FINANCEIRO!$B$753,LANÇ_MOV[ANO PAGAMENTO],$B$4,LANÇ_MOV[MÊS PAGAMENTO CORRESPONDENTE],N$6,LANÇ_MOV[EMPRESA],$C$4,LANÇ_MOV[CENTRO DE CUSTOS],$D$4)</f>
        <v>0</v>
      </c>
      <c r="O813" s="206">
        <f>SUMIFS(LANÇ_MOV[VALOR LÍQUIDO],LANÇ_MOV[RECEITA OU DESPESA],"Despesa",LANÇ_MOV[CONTAS],$C813,LANÇ_MOV[PLANO DE CONTAS],REL_DRE_FINANCEIRO!$B$753,LANÇ_MOV[ANO PAGAMENTO],$B$4,LANÇ_MOV[MÊS PAGAMENTO CORRESPONDENTE],O$6,LANÇ_MOV[EMPRESA],$C$4,LANÇ_MOV[CENTRO DE CUSTOS],$D$4)</f>
        <v>0</v>
      </c>
      <c r="P813" s="207">
        <f t="shared" si="100"/>
        <v>0</v>
      </c>
      <c r="Q813" s="329">
        <v>4.0999999999999997E-6</v>
      </c>
      <c r="R813" s="346">
        <f t="shared" si="101"/>
        <v>4.0999999999999997E-6</v>
      </c>
      <c r="S813" s="347" t="str">
        <f t="shared" si="102"/>
        <v>-</v>
      </c>
      <c r="T813" s="347">
        <f t="shared" si="103"/>
        <v>0</v>
      </c>
      <c r="U813" s="347">
        <f>HLOOKUP(Apoio!$P$12,$D$752:$P$853,X813,FALSE)+Q813</f>
        <v>4.0999999999999997E-6</v>
      </c>
      <c r="V813" s="447" t="str">
        <f t="shared" si="104"/>
        <v>-</v>
      </c>
      <c r="W813" s="448">
        <f>HLOOKUP(Apoio!$P$12,$D$752:$P$853,X813,FALSE)</f>
        <v>0</v>
      </c>
      <c r="X813" s="329">
        <v>62</v>
      </c>
    </row>
    <row r="814" spans="2:24" ht="30.05" customHeight="1" x14ac:dyDescent="0.35">
      <c r="B814" s="204" t="str">
        <f>'CAD_PL_REC-DESP'!Z65</f>
        <v>2.6.61</v>
      </c>
      <c r="C814" s="205" t="str">
        <f>IF('CAD_PL_REC-DESP'!AA65="","-",'CAD_PL_REC-DESP'!AA65)</f>
        <v>-</v>
      </c>
      <c r="D814" s="206">
        <f>SUMIFS(LANÇ_MOV[VALOR LÍQUIDO],LANÇ_MOV[RECEITA OU DESPESA],"Despesa",LANÇ_MOV[CONTAS],$C814,LANÇ_MOV[PLANO DE CONTAS],REL_DRE_FINANCEIRO!$B$753,LANÇ_MOV[ANO PAGAMENTO],$B$4,LANÇ_MOV[MÊS PAGAMENTO CORRESPONDENTE],D$6,LANÇ_MOV[EMPRESA],$C$4,LANÇ_MOV[CENTRO DE CUSTOS],$D$4)</f>
        <v>0</v>
      </c>
      <c r="E814" s="206">
        <f>SUMIFS(LANÇ_MOV[VALOR LÍQUIDO],LANÇ_MOV[RECEITA OU DESPESA],"Despesa",LANÇ_MOV[CONTAS],$C814,LANÇ_MOV[PLANO DE CONTAS],REL_DRE_FINANCEIRO!$B$753,LANÇ_MOV[ANO PAGAMENTO],$B$4,LANÇ_MOV[MÊS PAGAMENTO CORRESPONDENTE],E$6,LANÇ_MOV[EMPRESA],$C$4,LANÇ_MOV[CENTRO DE CUSTOS],$D$4)</f>
        <v>0</v>
      </c>
      <c r="F814" s="206">
        <f>SUMIFS(LANÇ_MOV[VALOR LÍQUIDO],LANÇ_MOV[RECEITA OU DESPESA],"Despesa",LANÇ_MOV[CONTAS],$C814,LANÇ_MOV[PLANO DE CONTAS],REL_DRE_FINANCEIRO!$B$753,LANÇ_MOV[ANO PAGAMENTO],$B$4,LANÇ_MOV[MÊS PAGAMENTO CORRESPONDENTE],F$6,LANÇ_MOV[EMPRESA],$C$4,LANÇ_MOV[CENTRO DE CUSTOS],$D$4)</f>
        <v>0</v>
      </c>
      <c r="G814" s="206">
        <f>SUMIFS(LANÇ_MOV[VALOR LÍQUIDO],LANÇ_MOV[RECEITA OU DESPESA],"Despesa",LANÇ_MOV[CONTAS],$C814,LANÇ_MOV[PLANO DE CONTAS],REL_DRE_FINANCEIRO!$B$753,LANÇ_MOV[ANO PAGAMENTO],$B$4,LANÇ_MOV[MÊS PAGAMENTO CORRESPONDENTE],G$6,LANÇ_MOV[EMPRESA],$C$4,LANÇ_MOV[CENTRO DE CUSTOS],$D$4)</f>
        <v>0</v>
      </c>
      <c r="H814" s="206">
        <f>SUMIFS(LANÇ_MOV[VALOR LÍQUIDO],LANÇ_MOV[RECEITA OU DESPESA],"Despesa",LANÇ_MOV[CONTAS],$C814,LANÇ_MOV[PLANO DE CONTAS],REL_DRE_FINANCEIRO!$B$753,LANÇ_MOV[ANO PAGAMENTO],$B$4,LANÇ_MOV[MÊS PAGAMENTO CORRESPONDENTE],H$6,LANÇ_MOV[EMPRESA],$C$4,LANÇ_MOV[CENTRO DE CUSTOS],$D$4)</f>
        <v>0</v>
      </c>
      <c r="I814" s="206">
        <f>SUMIFS(LANÇ_MOV[VALOR LÍQUIDO],LANÇ_MOV[RECEITA OU DESPESA],"Despesa",LANÇ_MOV[CONTAS],$C814,LANÇ_MOV[PLANO DE CONTAS],REL_DRE_FINANCEIRO!$B$753,LANÇ_MOV[ANO PAGAMENTO],$B$4,LANÇ_MOV[MÊS PAGAMENTO CORRESPONDENTE],I$6,LANÇ_MOV[EMPRESA],$C$4,LANÇ_MOV[CENTRO DE CUSTOS],$D$4)</f>
        <v>0</v>
      </c>
      <c r="J814" s="206">
        <f>SUMIFS(LANÇ_MOV[VALOR LÍQUIDO],LANÇ_MOV[RECEITA OU DESPESA],"Despesa",LANÇ_MOV[CONTAS],$C814,LANÇ_MOV[PLANO DE CONTAS],REL_DRE_FINANCEIRO!$B$753,LANÇ_MOV[ANO PAGAMENTO],$B$4,LANÇ_MOV[MÊS PAGAMENTO CORRESPONDENTE],J$6,LANÇ_MOV[EMPRESA],$C$4,LANÇ_MOV[CENTRO DE CUSTOS],$D$4)</f>
        <v>0</v>
      </c>
      <c r="K814" s="206">
        <f>SUMIFS(LANÇ_MOV[VALOR LÍQUIDO],LANÇ_MOV[RECEITA OU DESPESA],"Despesa",LANÇ_MOV[CONTAS],$C814,LANÇ_MOV[PLANO DE CONTAS],REL_DRE_FINANCEIRO!$B$753,LANÇ_MOV[ANO PAGAMENTO],$B$4,LANÇ_MOV[MÊS PAGAMENTO CORRESPONDENTE],K$6,LANÇ_MOV[EMPRESA],$C$4,LANÇ_MOV[CENTRO DE CUSTOS],$D$4)</f>
        <v>0</v>
      </c>
      <c r="L814" s="206">
        <f>SUMIFS(LANÇ_MOV[VALOR LÍQUIDO],LANÇ_MOV[RECEITA OU DESPESA],"Despesa",LANÇ_MOV[CONTAS],$C814,LANÇ_MOV[PLANO DE CONTAS],REL_DRE_FINANCEIRO!$B$753,LANÇ_MOV[ANO PAGAMENTO],$B$4,LANÇ_MOV[MÊS PAGAMENTO CORRESPONDENTE],L$6,LANÇ_MOV[EMPRESA],$C$4,LANÇ_MOV[CENTRO DE CUSTOS],$D$4)</f>
        <v>0</v>
      </c>
      <c r="M814" s="206">
        <f>SUMIFS(LANÇ_MOV[VALOR LÍQUIDO],LANÇ_MOV[RECEITA OU DESPESA],"Despesa",LANÇ_MOV[CONTAS],$C814,LANÇ_MOV[PLANO DE CONTAS],REL_DRE_FINANCEIRO!$B$753,LANÇ_MOV[ANO PAGAMENTO],$B$4,LANÇ_MOV[MÊS PAGAMENTO CORRESPONDENTE],M$6,LANÇ_MOV[EMPRESA],$C$4,LANÇ_MOV[CENTRO DE CUSTOS],$D$4)</f>
        <v>0</v>
      </c>
      <c r="N814" s="206">
        <f>SUMIFS(LANÇ_MOV[VALOR LÍQUIDO],LANÇ_MOV[RECEITA OU DESPESA],"Despesa",LANÇ_MOV[CONTAS],$C814,LANÇ_MOV[PLANO DE CONTAS],REL_DRE_FINANCEIRO!$B$753,LANÇ_MOV[ANO PAGAMENTO],$B$4,LANÇ_MOV[MÊS PAGAMENTO CORRESPONDENTE],N$6,LANÇ_MOV[EMPRESA],$C$4,LANÇ_MOV[CENTRO DE CUSTOS],$D$4)</f>
        <v>0</v>
      </c>
      <c r="O814" s="206">
        <f>SUMIFS(LANÇ_MOV[VALOR LÍQUIDO],LANÇ_MOV[RECEITA OU DESPESA],"Despesa",LANÇ_MOV[CONTAS],$C814,LANÇ_MOV[PLANO DE CONTAS],REL_DRE_FINANCEIRO!$B$753,LANÇ_MOV[ANO PAGAMENTO],$B$4,LANÇ_MOV[MÊS PAGAMENTO CORRESPONDENTE],O$6,LANÇ_MOV[EMPRESA],$C$4,LANÇ_MOV[CENTRO DE CUSTOS],$D$4)</f>
        <v>0</v>
      </c>
      <c r="P814" s="207">
        <f t="shared" si="100"/>
        <v>0</v>
      </c>
      <c r="Q814" s="329">
        <v>3.9999999999999998E-6</v>
      </c>
      <c r="R814" s="346">
        <f t="shared" si="101"/>
        <v>3.9999999999999998E-6</v>
      </c>
      <c r="S814" s="347" t="str">
        <f t="shared" si="102"/>
        <v>-</v>
      </c>
      <c r="T814" s="347">
        <f t="shared" si="103"/>
        <v>0</v>
      </c>
      <c r="U814" s="347">
        <f>HLOOKUP(Apoio!$P$12,$D$752:$P$853,X814,FALSE)+Q814</f>
        <v>3.9999999999999998E-6</v>
      </c>
      <c r="V814" s="447" t="str">
        <f t="shared" si="104"/>
        <v>-</v>
      </c>
      <c r="W814" s="448">
        <f>HLOOKUP(Apoio!$P$12,$D$752:$P$853,X814,FALSE)</f>
        <v>0</v>
      </c>
      <c r="X814" s="329">
        <v>63</v>
      </c>
    </row>
    <row r="815" spans="2:24" ht="30.05" customHeight="1" x14ac:dyDescent="0.35">
      <c r="B815" s="204" t="str">
        <f>'CAD_PL_REC-DESP'!Z66</f>
        <v>2.6.62</v>
      </c>
      <c r="C815" s="205" t="str">
        <f>IF('CAD_PL_REC-DESP'!AA66="","-",'CAD_PL_REC-DESP'!AA66)</f>
        <v>-</v>
      </c>
      <c r="D815" s="206">
        <f>SUMIFS(LANÇ_MOV[VALOR LÍQUIDO],LANÇ_MOV[RECEITA OU DESPESA],"Despesa",LANÇ_MOV[CONTAS],$C815,LANÇ_MOV[PLANO DE CONTAS],REL_DRE_FINANCEIRO!$B$753,LANÇ_MOV[ANO PAGAMENTO],$B$4,LANÇ_MOV[MÊS PAGAMENTO CORRESPONDENTE],D$6,LANÇ_MOV[EMPRESA],$C$4,LANÇ_MOV[CENTRO DE CUSTOS],$D$4)</f>
        <v>0</v>
      </c>
      <c r="E815" s="206">
        <f>SUMIFS(LANÇ_MOV[VALOR LÍQUIDO],LANÇ_MOV[RECEITA OU DESPESA],"Despesa",LANÇ_MOV[CONTAS],$C815,LANÇ_MOV[PLANO DE CONTAS],REL_DRE_FINANCEIRO!$B$753,LANÇ_MOV[ANO PAGAMENTO],$B$4,LANÇ_MOV[MÊS PAGAMENTO CORRESPONDENTE],E$6,LANÇ_MOV[EMPRESA],$C$4,LANÇ_MOV[CENTRO DE CUSTOS],$D$4)</f>
        <v>0</v>
      </c>
      <c r="F815" s="206">
        <f>SUMIFS(LANÇ_MOV[VALOR LÍQUIDO],LANÇ_MOV[RECEITA OU DESPESA],"Despesa",LANÇ_MOV[CONTAS],$C815,LANÇ_MOV[PLANO DE CONTAS],REL_DRE_FINANCEIRO!$B$753,LANÇ_MOV[ANO PAGAMENTO],$B$4,LANÇ_MOV[MÊS PAGAMENTO CORRESPONDENTE],F$6,LANÇ_MOV[EMPRESA],$C$4,LANÇ_MOV[CENTRO DE CUSTOS],$D$4)</f>
        <v>0</v>
      </c>
      <c r="G815" s="206">
        <f>SUMIFS(LANÇ_MOV[VALOR LÍQUIDO],LANÇ_MOV[RECEITA OU DESPESA],"Despesa",LANÇ_MOV[CONTAS],$C815,LANÇ_MOV[PLANO DE CONTAS],REL_DRE_FINANCEIRO!$B$753,LANÇ_MOV[ANO PAGAMENTO],$B$4,LANÇ_MOV[MÊS PAGAMENTO CORRESPONDENTE],G$6,LANÇ_MOV[EMPRESA],$C$4,LANÇ_MOV[CENTRO DE CUSTOS],$D$4)</f>
        <v>0</v>
      </c>
      <c r="H815" s="206">
        <f>SUMIFS(LANÇ_MOV[VALOR LÍQUIDO],LANÇ_MOV[RECEITA OU DESPESA],"Despesa",LANÇ_MOV[CONTAS],$C815,LANÇ_MOV[PLANO DE CONTAS],REL_DRE_FINANCEIRO!$B$753,LANÇ_MOV[ANO PAGAMENTO],$B$4,LANÇ_MOV[MÊS PAGAMENTO CORRESPONDENTE],H$6,LANÇ_MOV[EMPRESA],$C$4,LANÇ_MOV[CENTRO DE CUSTOS],$D$4)</f>
        <v>0</v>
      </c>
      <c r="I815" s="206">
        <f>SUMIFS(LANÇ_MOV[VALOR LÍQUIDO],LANÇ_MOV[RECEITA OU DESPESA],"Despesa",LANÇ_MOV[CONTAS],$C815,LANÇ_MOV[PLANO DE CONTAS],REL_DRE_FINANCEIRO!$B$753,LANÇ_MOV[ANO PAGAMENTO],$B$4,LANÇ_MOV[MÊS PAGAMENTO CORRESPONDENTE],I$6,LANÇ_MOV[EMPRESA],$C$4,LANÇ_MOV[CENTRO DE CUSTOS],$D$4)</f>
        <v>0</v>
      </c>
      <c r="J815" s="206">
        <f>SUMIFS(LANÇ_MOV[VALOR LÍQUIDO],LANÇ_MOV[RECEITA OU DESPESA],"Despesa",LANÇ_MOV[CONTAS],$C815,LANÇ_MOV[PLANO DE CONTAS],REL_DRE_FINANCEIRO!$B$753,LANÇ_MOV[ANO PAGAMENTO],$B$4,LANÇ_MOV[MÊS PAGAMENTO CORRESPONDENTE],J$6,LANÇ_MOV[EMPRESA],$C$4,LANÇ_MOV[CENTRO DE CUSTOS],$D$4)</f>
        <v>0</v>
      </c>
      <c r="K815" s="206">
        <f>SUMIFS(LANÇ_MOV[VALOR LÍQUIDO],LANÇ_MOV[RECEITA OU DESPESA],"Despesa",LANÇ_MOV[CONTAS],$C815,LANÇ_MOV[PLANO DE CONTAS],REL_DRE_FINANCEIRO!$B$753,LANÇ_MOV[ANO PAGAMENTO],$B$4,LANÇ_MOV[MÊS PAGAMENTO CORRESPONDENTE],K$6,LANÇ_MOV[EMPRESA],$C$4,LANÇ_MOV[CENTRO DE CUSTOS],$D$4)</f>
        <v>0</v>
      </c>
      <c r="L815" s="206">
        <f>SUMIFS(LANÇ_MOV[VALOR LÍQUIDO],LANÇ_MOV[RECEITA OU DESPESA],"Despesa",LANÇ_MOV[CONTAS],$C815,LANÇ_MOV[PLANO DE CONTAS],REL_DRE_FINANCEIRO!$B$753,LANÇ_MOV[ANO PAGAMENTO],$B$4,LANÇ_MOV[MÊS PAGAMENTO CORRESPONDENTE],L$6,LANÇ_MOV[EMPRESA],$C$4,LANÇ_MOV[CENTRO DE CUSTOS],$D$4)</f>
        <v>0</v>
      </c>
      <c r="M815" s="206">
        <f>SUMIFS(LANÇ_MOV[VALOR LÍQUIDO],LANÇ_MOV[RECEITA OU DESPESA],"Despesa",LANÇ_MOV[CONTAS],$C815,LANÇ_MOV[PLANO DE CONTAS],REL_DRE_FINANCEIRO!$B$753,LANÇ_MOV[ANO PAGAMENTO],$B$4,LANÇ_MOV[MÊS PAGAMENTO CORRESPONDENTE],M$6,LANÇ_MOV[EMPRESA],$C$4,LANÇ_MOV[CENTRO DE CUSTOS],$D$4)</f>
        <v>0</v>
      </c>
      <c r="N815" s="206">
        <f>SUMIFS(LANÇ_MOV[VALOR LÍQUIDO],LANÇ_MOV[RECEITA OU DESPESA],"Despesa",LANÇ_MOV[CONTAS],$C815,LANÇ_MOV[PLANO DE CONTAS],REL_DRE_FINANCEIRO!$B$753,LANÇ_MOV[ANO PAGAMENTO],$B$4,LANÇ_MOV[MÊS PAGAMENTO CORRESPONDENTE],N$6,LANÇ_MOV[EMPRESA],$C$4,LANÇ_MOV[CENTRO DE CUSTOS],$D$4)</f>
        <v>0</v>
      </c>
      <c r="O815" s="206">
        <f>SUMIFS(LANÇ_MOV[VALOR LÍQUIDO],LANÇ_MOV[RECEITA OU DESPESA],"Despesa",LANÇ_MOV[CONTAS],$C815,LANÇ_MOV[PLANO DE CONTAS],REL_DRE_FINANCEIRO!$B$753,LANÇ_MOV[ANO PAGAMENTO],$B$4,LANÇ_MOV[MÊS PAGAMENTO CORRESPONDENTE],O$6,LANÇ_MOV[EMPRESA],$C$4,LANÇ_MOV[CENTRO DE CUSTOS],$D$4)</f>
        <v>0</v>
      </c>
      <c r="P815" s="207">
        <f t="shared" si="100"/>
        <v>0</v>
      </c>
      <c r="Q815" s="329">
        <v>3.8999999999999999E-6</v>
      </c>
      <c r="R815" s="346">
        <f t="shared" si="101"/>
        <v>3.8999999999999999E-6</v>
      </c>
      <c r="S815" s="347" t="str">
        <f t="shared" si="102"/>
        <v>-</v>
      </c>
      <c r="T815" s="347">
        <f t="shared" si="103"/>
        <v>0</v>
      </c>
      <c r="U815" s="347">
        <f>HLOOKUP(Apoio!$P$12,$D$752:$P$853,X815,FALSE)+Q815</f>
        <v>3.8999999999999999E-6</v>
      </c>
      <c r="V815" s="447" t="str">
        <f t="shared" si="104"/>
        <v>-</v>
      </c>
      <c r="W815" s="448">
        <f>HLOOKUP(Apoio!$P$12,$D$752:$P$853,X815,FALSE)</f>
        <v>0</v>
      </c>
      <c r="X815" s="329">
        <v>64</v>
      </c>
    </row>
    <row r="816" spans="2:24" ht="30.05" customHeight="1" x14ac:dyDescent="0.35">
      <c r="B816" s="204" t="str">
        <f>'CAD_PL_REC-DESP'!Z67</f>
        <v>2.6.63</v>
      </c>
      <c r="C816" s="205" t="str">
        <f>IF('CAD_PL_REC-DESP'!AA67="","-",'CAD_PL_REC-DESP'!AA67)</f>
        <v>-</v>
      </c>
      <c r="D816" s="206">
        <f>SUMIFS(LANÇ_MOV[VALOR LÍQUIDO],LANÇ_MOV[RECEITA OU DESPESA],"Despesa",LANÇ_MOV[CONTAS],$C816,LANÇ_MOV[PLANO DE CONTAS],REL_DRE_FINANCEIRO!$B$753,LANÇ_MOV[ANO PAGAMENTO],$B$4,LANÇ_MOV[MÊS PAGAMENTO CORRESPONDENTE],D$6,LANÇ_MOV[EMPRESA],$C$4,LANÇ_MOV[CENTRO DE CUSTOS],$D$4)</f>
        <v>0</v>
      </c>
      <c r="E816" s="206">
        <f>SUMIFS(LANÇ_MOV[VALOR LÍQUIDO],LANÇ_MOV[RECEITA OU DESPESA],"Despesa",LANÇ_MOV[CONTAS],$C816,LANÇ_MOV[PLANO DE CONTAS],REL_DRE_FINANCEIRO!$B$753,LANÇ_MOV[ANO PAGAMENTO],$B$4,LANÇ_MOV[MÊS PAGAMENTO CORRESPONDENTE],E$6,LANÇ_MOV[EMPRESA],$C$4,LANÇ_MOV[CENTRO DE CUSTOS],$D$4)</f>
        <v>0</v>
      </c>
      <c r="F816" s="206">
        <f>SUMIFS(LANÇ_MOV[VALOR LÍQUIDO],LANÇ_MOV[RECEITA OU DESPESA],"Despesa",LANÇ_MOV[CONTAS],$C816,LANÇ_MOV[PLANO DE CONTAS],REL_DRE_FINANCEIRO!$B$753,LANÇ_MOV[ANO PAGAMENTO],$B$4,LANÇ_MOV[MÊS PAGAMENTO CORRESPONDENTE],F$6,LANÇ_MOV[EMPRESA],$C$4,LANÇ_MOV[CENTRO DE CUSTOS],$D$4)</f>
        <v>0</v>
      </c>
      <c r="G816" s="206">
        <f>SUMIFS(LANÇ_MOV[VALOR LÍQUIDO],LANÇ_MOV[RECEITA OU DESPESA],"Despesa",LANÇ_MOV[CONTAS],$C816,LANÇ_MOV[PLANO DE CONTAS],REL_DRE_FINANCEIRO!$B$753,LANÇ_MOV[ANO PAGAMENTO],$B$4,LANÇ_MOV[MÊS PAGAMENTO CORRESPONDENTE],G$6,LANÇ_MOV[EMPRESA],$C$4,LANÇ_MOV[CENTRO DE CUSTOS],$D$4)</f>
        <v>0</v>
      </c>
      <c r="H816" s="206">
        <f>SUMIFS(LANÇ_MOV[VALOR LÍQUIDO],LANÇ_MOV[RECEITA OU DESPESA],"Despesa",LANÇ_MOV[CONTAS],$C816,LANÇ_MOV[PLANO DE CONTAS],REL_DRE_FINANCEIRO!$B$753,LANÇ_MOV[ANO PAGAMENTO],$B$4,LANÇ_MOV[MÊS PAGAMENTO CORRESPONDENTE],H$6,LANÇ_MOV[EMPRESA],$C$4,LANÇ_MOV[CENTRO DE CUSTOS],$D$4)</f>
        <v>0</v>
      </c>
      <c r="I816" s="206">
        <f>SUMIFS(LANÇ_MOV[VALOR LÍQUIDO],LANÇ_MOV[RECEITA OU DESPESA],"Despesa",LANÇ_MOV[CONTAS],$C816,LANÇ_MOV[PLANO DE CONTAS],REL_DRE_FINANCEIRO!$B$753,LANÇ_MOV[ANO PAGAMENTO],$B$4,LANÇ_MOV[MÊS PAGAMENTO CORRESPONDENTE],I$6,LANÇ_MOV[EMPRESA],$C$4,LANÇ_MOV[CENTRO DE CUSTOS],$D$4)</f>
        <v>0</v>
      </c>
      <c r="J816" s="206">
        <f>SUMIFS(LANÇ_MOV[VALOR LÍQUIDO],LANÇ_MOV[RECEITA OU DESPESA],"Despesa",LANÇ_MOV[CONTAS],$C816,LANÇ_MOV[PLANO DE CONTAS],REL_DRE_FINANCEIRO!$B$753,LANÇ_MOV[ANO PAGAMENTO],$B$4,LANÇ_MOV[MÊS PAGAMENTO CORRESPONDENTE],J$6,LANÇ_MOV[EMPRESA],$C$4,LANÇ_MOV[CENTRO DE CUSTOS],$D$4)</f>
        <v>0</v>
      </c>
      <c r="K816" s="206">
        <f>SUMIFS(LANÇ_MOV[VALOR LÍQUIDO],LANÇ_MOV[RECEITA OU DESPESA],"Despesa",LANÇ_MOV[CONTAS],$C816,LANÇ_MOV[PLANO DE CONTAS],REL_DRE_FINANCEIRO!$B$753,LANÇ_MOV[ANO PAGAMENTO],$B$4,LANÇ_MOV[MÊS PAGAMENTO CORRESPONDENTE],K$6,LANÇ_MOV[EMPRESA],$C$4,LANÇ_MOV[CENTRO DE CUSTOS],$D$4)</f>
        <v>0</v>
      </c>
      <c r="L816" s="206">
        <f>SUMIFS(LANÇ_MOV[VALOR LÍQUIDO],LANÇ_MOV[RECEITA OU DESPESA],"Despesa",LANÇ_MOV[CONTAS],$C816,LANÇ_MOV[PLANO DE CONTAS],REL_DRE_FINANCEIRO!$B$753,LANÇ_MOV[ANO PAGAMENTO],$B$4,LANÇ_MOV[MÊS PAGAMENTO CORRESPONDENTE],L$6,LANÇ_MOV[EMPRESA],$C$4,LANÇ_MOV[CENTRO DE CUSTOS],$D$4)</f>
        <v>0</v>
      </c>
      <c r="M816" s="206">
        <f>SUMIFS(LANÇ_MOV[VALOR LÍQUIDO],LANÇ_MOV[RECEITA OU DESPESA],"Despesa",LANÇ_MOV[CONTAS],$C816,LANÇ_MOV[PLANO DE CONTAS],REL_DRE_FINANCEIRO!$B$753,LANÇ_MOV[ANO PAGAMENTO],$B$4,LANÇ_MOV[MÊS PAGAMENTO CORRESPONDENTE],M$6,LANÇ_MOV[EMPRESA],$C$4,LANÇ_MOV[CENTRO DE CUSTOS],$D$4)</f>
        <v>0</v>
      </c>
      <c r="N816" s="206">
        <f>SUMIFS(LANÇ_MOV[VALOR LÍQUIDO],LANÇ_MOV[RECEITA OU DESPESA],"Despesa",LANÇ_MOV[CONTAS],$C816,LANÇ_MOV[PLANO DE CONTAS],REL_DRE_FINANCEIRO!$B$753,LANÇ_MOV[ANO PAGAMENTO],$B$4,LANÇ_MOV[MÊS PAGAMENTO CORRESPONDENTE],N$6,LANÇ_MOV[EMPRESA],$C$4,LANÇ_MOV[CENTRO DE CUSTOS],$D$4)</f>
        <v>0</v>
      </c>
      <c r="O816" s="206">
        <f>SUMIFS(LANÇ_MOV[VALOR LÍQUIDO],LANÇ_MOV[RECEITA OU DESPESA],"Despesa",LANÇ_MOV[CONTAS],$C816,LANÇ_MOV[PLANO DE CONTAS],REL_DRE_FINANCEIRO!$B$753,LANÇ_MOV[ANO PAGAMENTO],$B$4,LANÇ_MOV[MÊS PAGAMENTO CORRESPONDENTE],O$6,LANÇ_MOV[EMPRESA],$C$4,LANÇ_MOV[CENTRO DE CUSTOS],$D$4)</f>
        <v>0</v>
      </c>
      <c r="P816" s="207">
        <f t="shared" si="100"/>
        <v>0</v>
      </c>
      <c r="Q816" s="329">
        <v>3.8E-6</v>
      </c>
      <c r="R816" s="346">
        <f t="shared" si="101"/>
        <v>3.8E-6</v>
      </c>
      <c r="S816" s="347" t="str">
        <f t="shared" si="102"/>
        <v>-</v>
      </c>
      <c r="T816" s="347">
        <f t="shared" si="103"/>
        <v>0</v>
      </c>
      <c r="U816" s="347">
        <f>HLOOKUP(Apoio!$P$12,$D$752:$P$853,X816,FALSE)+Q816</f>
        <v>3.8E-6</v>
      </c>
      <c r="V816" s="447" t="str">
        <f t="shared" si="104"/>
        <v>-</v>
      </c>
      <c r="W816" s="448">
        <f>HLOOKUP(Apoio!$P$12,$D$752:$P$853,X816,FALSE)</f>
        <v>0</v>
      </c>
      <c r="X816" s="329">
        <v>65</v>
      </c>
    </row>
    <row r="817" spans="2:24" ht="30.05" customHeight="1" x14ac:dyDescent="0.35">
      <c r="B817" s="204" t="str">
        <f>'CAD_PL_REC-DESP'!Z68</f>
        <v>2.6.64</v>
      </c>
      <c r="C817" s="205" t="str">
        <f>IF('CAD_PL_REC-DESP'!AA68="","-",'CAD_PL_REC-DESP'!AA68)</f>
        <v>-</v>
      </c>
      <c r="D817" s="206">
        <f>SUMIFS(LANÇ_MOV[VALOR LÍQUIDO],LANÇ_MOV[RECEITA OU DESPESA],"Despesa",LANÇ_MOV[CONTAS],$C817,LANÇ_MOV[PLANO DE CONTAS],REL_DRE_FINANCEIRO!$B$753,LANÇ_MOV[ANO PAGAMENTO],$B$4,LANÇ_MOV[MÊS PAGAMENTO CORRESPONDENTE],D$6,LANÇ_MOV[EMPRESA],$C$4,LANÇ_MOV[CENTRO DE CUSTOS],$D$4)</f>
        <v>0</v>
      </c>
      <c r="E817" s="206">
        <f>SUMIFS(LANÇ_MOV[VALOR LÍQUIDO],LANÇ_MOV[RECEITA OU DESPESA],"Despesa",LANÇ_MOV[CONTAS],$C817,LANÇ_MOV[PLANO DE CONTAS],REL_DRE_FINANCEIRO!$B$753,LANÇ_MOV[ANO PAGAMENTO],$B$4,LANÇ_MOV[MÊS PAGAMENTO CORRESPONDENTE],E$6,LANÇ_MOV[EMPRESA],$C$4,LANÇ_MOV[CENTRO DE CUSTOS],$D$4)</f>
        <v>0</v>
      </c>
      <c r="F817" s="206">
        <f>SUMIFS(LANÇ_MOV[VALOR LÍQUIDO],LANÇ_MOV[RECEITA OU DESPESA],"Despesa",LANÇ_MOV[CONTAS],$C817,LANÇ_MOV[PLANO DE CONTAS],REL_DRE_FINANCEIRO!$B$753,LANÇ_MOV[ANO PAGAMENTO],$B$4,LANÇ_MOV[MÊS PAGAMENTO CORRESPONDENTE],F$6,LANÇ_MOV[EMPRESA],$C$4,LANÇ_MOV[CENTRO DE CUSTOS],$D$4)</f>
        <v>0</v>
      </c>
      <c r="G817" s="206">
        <f>SUMIFS(LANÇ_MOV[VALOR LÍQUIDO],LANÇ_MOV[RECEITA OU DESPESA],"Despesa",LANÇ_MOV[CONTAS],$C817,LANÇ_MOV[PLANO DE CONTAS],REL_DRE_FINANCEIRO!$B$753,LANÇ_MOV[ANO PAGAMENTO],$B$4,LANÇ_MOV[MÊS PAGAMENTO CORRESPONDENTE],G$6,LANÇ_MOV[EMPRESA],$C$4,LANÇ_MOV[CENTRO DE CUSTOS],$D$4)</f>
        <v>0</v>
      </c>
      <c r="H817" s="206">
        <f>SUMIFS(LANÇ_MOV[VALOR LÍQUIDO],LANÇ_MOV[RECEITA OU DESPESA],"Despesa",LANÇ_MOV[CONTAS],$C817,LANÇ_MOV[PLANO DE CONTAS],REL_DRE_FINANCEIRO!$B$753,LANÇ_MOV[ANO PAGAMENTO],$B$4,LANÇ_MOV[MÊS PAGAMENTO CORRESPONDENTE],H$6,LANÇ_MOV[EMPRESA],$C$4,LANÇ_MOV[CENTRO DE CUSTOS],$D$4)</f>
        <v>0</v>
      </c>
      <c r="I817" s="206">
        <f>SUMIFS(LANÇ_MOV[VALOR LÍQUIDO],LANÇ_MOV[RECEITA OU DESPESA],"Despesa",LANÇ_MOV[CONTAS],$C817,LANÇ_MOV[PLANO DE CONTAS],REL_DRE_FINANCEIRO!$B$753,LANÇ_MOV[ANO PAGAMENTO],$B$4,LANÇ_MOV[MÊS PAGAMENTO CORRESPONDENTE],I$6,LANÇ_MOV[EMPRESA],$C$4,LANÇ_MOV[CENTRO DE CUSTOS],$D$4)</f>
        <v>0</v>
      </c>
      <c r="J817" s="206">
        <f>SUMIFS(LANÇ_MOV[VALOR LÍQUIDO],LANÇ_MOV[RECEITA OU DESPESA],"Despesa",LANÇ_MOV[CONTAS],$C817,LANÇ_MOV[PLANO DE CONTAS],REL_DRE_FINANCEIRO!$B$753,LANÇ_MOV[ANO PAGAMENTO],$B$4,LANÇ_MOV[MÊS PAGAMENTO CORRESPONDENTE],J$6,LANÇ_MOV[EMPRESA],$C$4,LANÇ_MOV[CENTRO DE CUSTOS],$D$4)</f>
        <v>0</v>
      </c>
      <c r="K817" s="206">
        <f>SUMIFS(LANÇ_MOV[VALOR LÍQUIDO],LANÇ_MOV[RECEITA OU DESPESA],"Despesa",LANÇ_MOV[CONTAS],$C817,LANÇ_MOV[PLANO DE CONTAS],REL_DRE_FINANCEIRO!$B$753,LANÇ_MOV[ANO PAGAMENTO],$B$4,LANÇ_MOV[MÊS PAGAMENTO CORRESPONDENTE],K$6,LANÇ_MOV[EMPRESA],$C$4,LANÇ_MOV[CENTRO DE CUSTOS],$D$4)</f>
        <v>0</v>
      </c>
      <c r="L817" s="206">
        <f>SUMIFS(LANÇ_MOV[VALOR LÍQUIDO],LANÇ_MOV[RECEITA OU DESPESA],"Despesa",LANÇ_MOV[CONTAS],$C817,LANÇ_MOV[PLANO DE CONTAS],REL_DRE_FINANCEIRO!$B$753,LANÇ_MOV[ANO PAGAMENTO],$B$4,LANÇ_MOV[MÊS PAGAMENTO CORRESPONDENTE],L$6,LANÇ_MOV[EMPRESA],$C$4,LANÇ_MOV[CENTRO DE CUSTOS],$D$4)</f>
        <v>0</v>
      </c>
      <c r="M817" s="206">
        <f>SUMIFS(LANÇ_MOV[VALOR LÍQUIDO],LANÇ_MOV[RECEITA OU DESPESA],"Despesa",LANÇ_MOV[CONTAS],$C817,LANÇ_MOV[PLANO DE CONTAS],REL_DRE_FINANCEIRO!$B$753,LANÇ_MOV[ANO PAGAMENTO],$B$4,LANÇ_MOV[MÊS PAGAMENTO CORRESPONDENTE],M$6,LANÇ_MOV[EMPRESA],$C$4,LANÇ_MOV[CENTRO DE CUSTOS],$D$4)</f>
        <v>0</v>
      </c>
      <c r="N817" s="206">
        <f>SUMIFS(LANÇ_MOV[VALOR LÍQUIDO],LANÇ_MOV[RECEITA OU DESPESA],"Despesa",LANÇ_MOV[CONTAS],$C817,LANÇ_MOV[PLANO DE CONTAS],REL_DRE_FINANCEIRO!$B$753,LANÇ_MOV[ANO PAGAMENTO],$B$4,LANÇ_MOV[MÊS PAGAMENTO CORRESPONDENTE],N$6,LANÇ_MOV[EMPRESA],$C$4,LANÇ_MOV[CENTRO DE CUSTOS],$D$4)</f>
        <v>0</v>
      </c>
      <c r="O817" s="206">
        <f>SUMIFS(LANÇ_MOV[VALOR LÍQUIDO],LANÇ_MOV[RECEITA OU DESPESA],"Despesa",LANÇ_MOV[CONTAS],$C817,LANÇ_MOV[PLANO DE CONTAS],REL_DRE_FINANCEIRO!$B$753,LANÇ_MOV[ANO PAGAMENTO],$B$4,LANÇ_MOV[MÊS PAGAMENTO CORRESPONDENTE],O$6,LANÇ_MOV[EMPRESA],$C$4,LANÇ_MOV[CENTRO DE CUSTOS],$D$4)</f>
        <v>0</v>
      </c>
      <c r="P817" s="207">
        <f t="shared" si="100"/>
        <v>0</v>
      </c>
      <c r="Q817" s="329">
        <v>3.7000000000000002E-6</v>
      </c>
      <c r="R817" s="346">
        <f t="shared" si="101"/>
        <v>3.7000000000000002E-6</v>
      </c>
      <c r="S817" s="347" t="str">
        <f t="shared" si="102"/>
        <v>-</v>
      </c>
      <c r="T817" s="347">
        <f t="shared" si="103"/>
        <v>0</v>
      </c>
      <c r="U817" s="347">
        <f>HLOOKUP(Apoio!$P$12,$D$752:$P$853,X817,FALSE)+Q817</f>
        <v>3.7000000000000002E-6</v>
      </c>
      <c r="V817" s="447" t="str">
        <f t="shared" si="104"/>
        <v>-</v>
      </c>
      <c r="W817" s="448">
        <f>HLOOKUP(Apoio!$P$12,$D$752:$P$853,X817,FALSE)</f>
        <v>0</v>
      </c>
      <c r="X817" s="329">
        <v>66</v>
      </c>
    </row>
    <row r="818" spans="2:24" ht="30.05" customHeight="1" x14ac:dyDescent="0.35">
      <c r="B818" s="204" t="str">
        <f>'CAD_PL_REC-DESP'!Z69</f>
        <v>2.6.65</v>
      </c>
      <c r="C818" s="205" t="str">
        <f>IF('CAD_PL_REC-DESP'!AA69="","-",'CAD_PL_REC-DESP'!AA69)</f>
        <v>-</v>
      </c>
      <c r="D818" s="206">
        <f>SUMIFS(LANÇ_MOV[VALOR LÍQUIDO],LANÇ_MOV[RECEITA OU DESPESA],"Despesa",LANÇ_MOV[CONTAS],$C818,LANÇ_MOV[PLANO DE CONTAS],REL_DRE_FINANCEIRO!$B$753,LANÇ_MOV[ANO PAGAMENTO],$B$4,LANÇ_MOV[MÊS PAGAMENTO CORRESPONDENTE],D$6,LANÇ_MOV[EMPRESA],$C$4,LANÇ_MOV[CENTRO DE CUSTOS],$D$4)</f>
        <v>0</v>
      </c>
      <c r="E818" s="206">
        <f>SUMIFS(LANÇ_MOV[VALOR LÍQUIDO],LANÇ_MOV[RECEITA OU DESPESA],"Despesa",LANÇ_MOV[CONTAS],$C818,LANÇ_MOV[PLANO DE CONTAS],REL_DRE_FINANCEIRO!$B$753,LANÇ_MOV[ANO PAGAMENTO],$B$4,LANÇ_MOV[MÊS PAGAMENTO CORRESPONDENTE],E$6,LANÇ_MOV[EMPRESA],$C$4,LANÇ_MOV[CENTRO DE CUSTOS],$D$4)</f>
        <v>0</v>
      </c>
      <c r="F818" s="206">
        <f>SUMIFS(LANÇ_MOV[VALOR LÍQUIDO],LANÇ_MOV[RECEITA OU DESPESA],"Despesa",LANÇ_MOV[CONTAS],$C818,LANÇ_MOV[PLANO DE CONTAS],REL_DRE_FINANCEIRO!$B$753,LANÇ_MOV[ANO PAGAMENTO],$B$4,LANÇ_MOV[MÊS PAGAMENTO CORRESPONDENTE],F$6,LANÇ_MOV[EMPRESA],$C$4,LANÇ_MOV[CENTRO DE CUSTOS],$D$4)</f>
        <v>0</v>
      </c>
      <c r="G818" s="206">
        <f>SUMIFS(LANÇ_MOV[VALOR LÍQUIDO],LANÇ_MOV[RECEITA OU DESPESA],"Despesa",LANÇ_MOV[CONTAS],$C818,LANÇ_MOV[PLANO DE CONTAS],REL_DRE_FINANCEIRO!$B$753,LANÇ_MOV[ANO PAGAMENTO],$B$4,LANÇ_MOV[MÊS PAGAMENTO CORRESPONDENTE],G$6,LANÇ_MOV[EMPRESA],$C$4,LANÇ_MOV[CENTRO DE CUSTOS],$D$4)</f>
        <v>0</v>
      </c>
      <c r="H818" s="206">
        <f>SUMIFS(LANÇ_MOV[VALOR LÍQUIDO],LANÇ_MOV[RECEITA OU DESPESA],"Despesa",LANÇ_MOV[CONTAS],$C818,LANÇ_MOV[PLANO DE CONTAS],REL_DRE_FINANCEIRO!$B$753,LANÇ_MOV[ANO PAGAMENTO],$B$4,LANÇ_MOV[MÊS PAGAMENTO CORRESPONDENTE],H$6,LANÇ_MOV[EMPRESA],$C$4,LANÇ_MOV[CENTRO DE CUSTOS],$D$4)</f>
        <v>0</v>
      </c>
      <c r="I818" s="206">
        <f>SUMIFS(LANÇ_MOV[VALOR LÍQUIDO],LANÇ_MOV[RECEITA OU DESPESA],"Despesa",LANÇ_MOV[CONTAS],$C818,LANÇ_MOV[PLANO DE CONTAS],REL_DRE_FINANCEIRO!$B$753,LANÇ_MOV[ANO PAGAMENTO],$B$4,LANÇ_MOV[MÊS PAGAMENTO CORRESPONDENTE],I$6,LANÇ_MOV[EMPRESA],$C$4,LANÇ_MOV[CENTRO DE CUSTOS],$D$4)</f>
        <v>0</v>
      </c>
      <c r="J818" s="206">
        <f>SUMIFS(LANÇ_MOV[VALOR LÍQUIDO],LANÇ_MOV[RECEITA OU DESPESA],"Despesa",LANÇ_MOV[CONTAS],$C818,LANÇ_MOV[PLANO DE CONTAS],REL_DRE_FINANCEIRO!$B$753,LANÇ_MOV[ANO PAGAMENTO],$B$4,LANÇ_MOV[MÊS PAGAMENTO CORRESPONDENTE],J$6,LANÇ_MOV[EMPRESA],$C$4,LANÇ_MOV[CENTRO DE CUSTOS],$D$4)</f>
        <v>0</v>
      </c>
      <c r="K818" s="206">
        <f>SUMIFS(LANÇ_MOV[VALOR LÍQUIDO],LANÇ_MOV[RECEITA OU DESPESA],"Despesa",LANÇ_MOV[CONTAS],$C818,LANÇ_MOV[PLANO DE CONTAS],REL_DRE_FINANCEIRO!$B$753,LANÇ_MOV[ANO PAGAMENTO],$B$4,LANÇ_MOV[MÊS PAGAMENTO CORRESPONDENTE],K$6,LANÇ_MOV[EMPRESA],$C$4,LANÇ_MOV[CENTRO DE CUSTOS],$D$4)</f>
        <v>0</v>
      </c>
      <c r="L818" s="206">
        <f>SUMIFS(LANÇ_MOV[VALOR LÍQUIDO],LANÇ_MOV[RECEITA OU DESPESA],"Despesa",LANÇ_MOV[CONTAS],$C818,LANÇ_MOV[PLANO DE CONTAS],REL_DRE_FINANCEIRO!$B$753,LANÇ_MOV[ANO PAGAMENTO],$B$4,LANÇ_MOV[MÊS PAGAMENTO CORRESPONDENTE],L$6,LANÇ_MOV[EMPRESA],$C$4,LANÇ_MOV[CENTRO DE CUSTOS],$D$4)</f>
        <v>0</v>
      </c>
      <c r="M818" s="206">
        <f>SUMIFS(LANÇ_MOV[VALOR LÍQUIDO],LANÇ_MOV[RECEITA OU DESPESA],"Despesa",LANÇ_MOV[CONTAS],$C818,LANÇ_MOV[PLANO DE CONTAS],REL_DRE_FINANCEIRO!$B$753,LANÇ_MOV[ANO PAGAMENTO],$B$4,LANÇ_MOV[MÊS PAGAMENTO CORRESPONDENTE],M$6,LANÇ_MOV[EMPRESA],$C$4,LANÇ_MOV[CENTRO DE CUSTOS],$D$4)</f>
        <v>0</v>
      </c>
      <c r="N818" s="206">
        <f>SUMIFS(LANÇ_MOV[VALOR LÍQUIDO],LANÇ_MOV[RECEITA OU DESPESA],"Despesa",LANÇ_MOV[CONTAS],$C818,LANÇ_MOV[PLANO DE CONTAS],REL_DRE_FINANCEIRO!$B$753,LANÇ_MOV[ANO PAGAMENTO],$B$4,LANÇ_MOV[MÊS PAGAMENTO CORRESPONDENTE],N$6,LANÇ_MOV[EMPRESA],$C$4,LANÇ_MOV[CENTRO DE CUSTOS],$D$4)</f>
        <v>0</v>
      </c>
      <c r="O818" s="206">
        <f>SUMIFS(LANÇ_MOV[VALOR LÍQUIDO],LANÇ_MOV[RECEITA OU DESPESA],"Despesa",LANÇ_MOV[CONTAS],$C818,LANÇ_MOV[PLANO DE CONTAS],REL_DRE_FINANCEIRO!$B$753,LANÇ_MOV[ANO PAGAMENTO],$B$4,LANÇ_MOV[MÊS PAGAMENTO CORRESPONDENTE],O$6,LANÇ_MOV[EMPRESA],$C$4,LANÇ_MOV[CENTRO DE CUSTOS],$D$4)</f>
        <v>0</v>
      </c>
      <c r="P818" s="207">
        <f t="shared" ref="P818:P853" si="105">SUM(D818:O818)</f>
        <v>0</v>
      </c>
      <c r="Q818" s="329">
        <v>3.5999999999999998E-6</v>
      </c>
      <c r="R818" s="346">
        <f t="shared" ref="R818:R853" si="106">P818+Q818</f>
        <v>3.5999999999999998E-6</v>
      </c>
      <c r="S818" s="347" t="str">
        <f t="shared" ref="S818:S853" si="107">C818</f>
        <v>-</v>
      </c>
      <c r="T818" s="347">
        <f t="shared" ref="T818:T853" si="108">P818</f>
        <v>0</v>
      </c>
      <c r="U818" s="347">
        <f>HLOOKUP(Apoio!$P$12,$D$752:$P$853,X818,FALSE)+Q818</f>
        <v>3.5999999999999998E-6</v>
      </c>
      <c r="V818" s="447" t="str">
        <f t="shared" ref="V818:V853" si="109">S818</f>
        <v>-</v>
      </c>
      <c r="W818" s="448">
        <f>HLOOKUP(Apoio!$P$12,$D$752:$P$853,X818,FALSE)</f>
        <v>0</v>
      </c>
      <c r="X818" s="329">
        <v>67</v>
      </c>
    </row>
    <row r="819" spans="2:24" ht="30.05" customHeight="1" x14ac:dyDescent="0.35">
      <c r="B819" s="204" t="str">
        <f>'CAD_PL_REC-DESP'!Z70</f>
        <v>2.6.66</v>
      </c>
      <c r="C819" s="205" t="str">
        <f>IF('CAD_PL_REC-DESP'!AA70="","-",'CAD_PL_REC-DESP'!AA70)</f>
        <v>-</v>
      </c>
      <c r="D819" s="206">
        <f>SUMIFS(LANÇ_MOV[VALOR LÍQUIDO],LANÇ_MOV[RECEITA OU DESPESA],"Despesa",LANÇ_MOV[CONTAS],$C819,LANÇ_MOV[PLANO DE CONTAS],REL_DRE_FINANCEIRO!$B$753,LANÇ_MOV[ANO PAGAMENTO],$B$4,LANÇ_MOV[MÊS PAGAMENTO CORRESPONDENTE],D$6,LANÇ_MOV[EMPRESA],$C$4,LANÇ_MOV[CENTRO DE CUSTOS],$D$4)</f>
        <v>0</v>
      </c>
      <c r="E819" s="206">
        <f>SUMIFS(LANÇ_MOV[VALOR LÍQUIDO],LANÇ_MOV[RECEITA OU DESPESA],"Despesa",LANÇ_MOV[CONTAS],$C819,LANÇ_MOV[PLANO DE CONTAS],REL_DRE_FINANCEIRO!$B$753,LANÇ_MOV[ANO PAGAMENTO],$B$4,LANÇ_MOV[MÊS PAGAMENTO CORRESPONDENTE],E$6,LANÇ_MOV[EMPRESA],$C$4,LANÇ_MOV[CENTRO DE CUSTOS],$D$4)</f>
        <v>0</v>
      </c>
      <c r="F819" s="206">
        <f>SUMIFS(LANÇ_MOV[VALOR LÍQUIDO],LANÇ_MOV[RECEITA OU DESPESA],"Despesa",LANÇ_MOV[CONTAS],$C819,LANÇ_MOV[PLANO DE CONTAS],REL_DRE_FINANCEIRO!$B$753,LANÇ_MOV[ANO PAGAMENTO],$B$4,LANÇ_MOV[MÊS PAGAMENTO CORRESPONDENTE],F$6,LANÇ_MOV[EMPRESA],$C$4,LANÇ_MOV[CENTRO DE CUSTOS],$D$4)</f>
        <v>0</v>
      </c>
      <c r="G819" s="206">
        <f>SUMIFS(LANÇ_MOV[VALOR LÍQUIDO],LANÇ_MOV[RECEITA OU DESPESA],"Despesa",LANÇ_MOV[CONTAS],$C819,LANÇ_MOV[PLANO DE CONTAS],REL_DRE_FINANCEIRO!$B$753,LANÇ_MOV[ANO PAGAMENTO],$B$4,LANÇ_MOV[MÊS PAGAMENTO CORRESPONDENTE],G$6,LANÇ_MOV[EMPRESA],$C$4,LANÇ_MOV[CENTRO DE CUSTOS],$D$4)</f>
        <v>0</v>
      </c>
      <c r="H819" s="206">
        <f>SUMIFS(LANÇ_MOV[VALOR LÍQUIDO],LANÇ_MOV[RECEITA OU DESPESA],"Despesa",LANÇ_MOV[CONTAS],$C819,LANÇ_MOV[PLANO DE CONTAS],REL_DRE_FINANCEIRO!$B$753,LANÇ_MOV[ANO PAGAMENTO],$B$4,LANÇ_MOV[MÊS PAGAMENTO CORRESPONDENTE],H$6,LANÇ_MOV[EMPRESA],$C$4,LANÇ_MOV[CENTRO DE CUSTOS],$D$4)</f>
        <v>0</v>
      </c>
      <c r="I819" s="206">
        <f>SUMIFS(LANÇ_MOV[VALOR LÍQUIDO],LANÇ_MOV[RECEITA OU DESPESA],"Despesa",LANÇ_MOV[CONTAS],$C819,LANÇ_MOV[PLANO DE CONTAS],REL_DRE_FINANCEIRO!$B$753,LANÇ_MOV[ANO PAGAMENTO],$B$4,LANÇ_MOV[MÊS PAGAMENTO CORRESPONDENTE],I$6,LANÇ_MOV[EMPRESA],$C$4,LANÇ_MOV[CENTRO DE CUSTOS],$D$4)</f>
        <v>0</v>
      </c>
      <c r="J819" s="206">
        <f>SUMIFS(LANÇ_MOV[VALOR LÍQUIDO],LANÇ_MOV[RECEITA OU DESPESA],"Despesa",LANÇ_MOV[CONTAS],$C819,LANÇ_MOV[PLANO DE CONTAS],REL_DRE_FINANCEIRO!$B$753,LANÇ_MOV[ANO PAGAMENTO],$B$4,LANÇ_MOV[MÊS PAGAMENTO CORRESPONDENTE],J$6,LANÇ_MOV[EMPRESA],$C$4,LANÇ_MOV[CENTRO DE CUSTOS],$D$4)</f>
        <v>0</v>
      </c>
      <c r="K819" s="206">
        <f>SUMIFS(LANÇ_MOV[VALOR LÍQUIDO],LANÇ_MOV[RECEITA OU DESPESA],"Despesa",LANÇ_MOV[CONTAS],$C819,LANÇ_MOV[PLANO DE CONTAS],REL_DRE_FINANCEIRO!$B$753,LANÇ_MOV[ANO PAGAMENTO],$B$4,LANÇ_MOV[MÊS PAGAMENTO CORRESPONDENTE],K$6,LANÇ_MOV[EMPRESA],$C$4,LANÇ_MOV[CENTRO DE CUSTOS],$D$4)</f>
        <v>0</v>
      </c>
      <c r="L819" s="206">
        <f>SUMIFS(LANÇ_MOV[VALOR LÍQUIDO],LANÇ_MOV[RECEITA OU DESPESA],"Despesa",LANÇ_MOV[CONTAS],$C819,LANÇ_MOV[PLANO DE CONTAS],REL_DRE_FINANCEIRO!$B$753,LANÇ_MOV[ANO PAGAMENTO],$B$4,LANÇ_MOV[MÊS PAGAMENTO CORRESPONDENTE],L$6,LANÇ_MOV[EMPRESA],$C$4,LANÇ_MOV[CENTRO DE CUSTOS],$D$4)</f>
        <v>0</v>
      </c>
      <c r="M819" s="206">
        <f>SUMIFS(LANÇ_MOV[VALOR LÍQUIDO],LANÇ_MOV[RECEITA OU DESPESA],"Despesa",LANÇ_MOV[CONTAS],$C819,LANÇ_MOV[PLANO DE CONTAS],REL_DRE_FINANCEIRO!$B$753,LANÇ_MOV[ANO PAGAMENTO],$B$4,LANÇ_MOV[MÊS PAGAMENTO CORRESPONDENTE],M$6,LANÇ_MOV[EMPRESA],$C$4,LANÇ_MOV[CENTRO DE CUSTOS],$D$4)</f>
        <v>0</v>
      </c>
      <c r="N819" s="206">
        <f>SUMIFS(LANÇ_MOV[VALOR LÍQUIDO],LANÇ_MOV[RECEITA OU DESPESA],"Despesa",LANÇ_MOV[CONTAS],$C819,LANÇ_MOV[PLANO DE CONTAS],REL_DRE_FINANCEIRO!$B$753,LANÇ_MOV[ANO PAGAMENTO],$B$4,LANÇ_MOV[MÊS PAGAMENTO CORRESPONDENTE],N$6,LANÇ_MOV[EMPRESA],$C$4,LANÇ_MOV[CENTRO DE CUSTOS],$D$4)</f>
        <v>0</v>
      </c>
      <c r="O819" s="206">
        <f>SUMIFS(LANÇ_MOV[VALOR LÍQUIDO],LANÇ_MOV[RECEITA OU DESPESA],"Despesa",LANÇ_MOV[CONTAS],$C819,LANÇ_MOV[PLANO DE CONTAS],REL_DRE_FINANCEIRO!$B$753,LANÇ_MOV[ANO PAGAMENTO],$B$4,LANÇ_MOV[MÊS PAGAMENTO CORRESPONDENTE],O$6,LANÇ_MOV[EMPRESA],$C$4,LANÇ_MOV[CENTRO DE CUSTOS],$D$4)</f>
        <v>0</v>
      </c>
      <c r="P819" s="207">
        <f t="shared" si="105"/>
        <v>0</v>
      </c>
      <c r="Q819" s="329">
        <v>3.4999999999999999E-6</v>
      </c>
      <c r="R819" s="346">
        <f t="shared" si="106"/>
        <v>3.4999999999999999E-6</v>
      </c>
      <c r="S819" s="347" t="str">
        <f t="shared" si="107"/>
        <v>-</v>
      </c>
      <c r="T819" s="347">
        <f t="shared" si="108"/>
        <v>0</v>
      </c>
      <c r="U819" s="347">
        <f>HLOOKUP(Apoio!$P$12,$D$752:$P$853,X819,FALSE)+Q819</f>
        <v>3.4999999999999999E-6</v>
      </c>
      <c r="V819" s="447" t="str">
        <f t="shared" si="109"/>
        <v>-</v>
      </c>
      <c r="W819" s="448">
        <f>HLOOKUP(Apoio!$P$12,$D$752:$P$853,X819,FALSE)</f>
        <v>0</v>
      </c>
      <c r="X819" s="329">
        <v>68</v>
      </c>
    </row>
    <row r="820" spans="2:24" ht="30.05" customHeight="1" x14ac:dyDescent="0.35">
      <c r="B820" s="204" t="str">
        <f>'CAD_PL_REC-DESP'!Z71</f>
        <v>2.6.67</v>
      </c>
      <c r="C820" s="205" t="str">
        <f>IF('CAD_PL_REC-DESP'!AA71="","-",'CAD_PL_REC-DESP'!AA71)</f>
        <v>-</v>
      </c>
      <c r="D820" s="206">
        <f>SUMIFS(LANÇ_MOV[VALOR LÍQUIDO],LANÇ_MOV[RECEITA OU DESPESA],"Despesa",LANÇ_MOV[CONTAS],$C820,LANÇ_MOV[PLANO DE CONTAS],REL_DRE_FINANCEIRO!$B$753,LANÇ_MOV[ANO PAGAMENTO],$B$4,LANÇ_MOV[MÊS PAGAMENTO CORRESPONDENTE],D$6,LANÇ_MOV[EMPRESA],$C$4,LANÇ_MOV[CENTRO DE CUSTOS],$D$4)</f>
        <v>0</v>
      </c>
      <c r="E820" s="206">
        <f>SUMIFS(LANÇ_MOV[VALOR LÍQUIDO],LANÇ_MOV[RECEITA OU DESPESA],"Despesa",LANÇ_MOV[CONTAS],$C820,LANÇ_MOV[PLANO DE CONTAS],REL_DRE_FINANCEIRO!$B$753,LANÇ_MOV[ANO PAGAMENTO],$B$4,LANÇ_MOV[MÊS PAGAMENTO CORRESPONDENTE],E$6,LANÇ_MOV[EMPRESA],$C$4,LANÇ_MOV[CENTRO DE CUSTOS],$D$4)</f>
        <v>0</v>
      </c>
      <c r="F820" s="206">
        <f>SUMIFS(LANÇ_MOV[VALOR LÍQUIDO],LANÇ_MOV[RECEITA OU DESPESA],"Despesa",LANÇ_MOV[CONTAS],$C820,LANÇ_MOV[PLANO DE CONTAS],REL_DRE_FINANCEIRO!$B$753,LANÇ_MOV[ANO PAGAMENTO],$B$4,LANÇ_MOV[MÊS PAGAMENTO CORRESPONDENTE],F$6,LANÇ_MOV[EMPRESA],$C$4,LANÇ_MOV[CENTRO DE CUSTOS],$D$4)</f>
        <v>0</v>
      </c>
      <c r="G820" s="206">
        <f>SUMIFS(LANÇ_MOV[VALOR LÍQUIDO],LANÇ_MOV[RECEITA OU DESPESA],"Despesa",LANÇ_MOV[CONTAS],$C820,LANÇ_MOV[PLANO DE CONTAS],REL_DRE_FINANCEIRO!$B$753,LANÇ_MOV[ANO PAGAMENTO],$B$4,LANÇ_MOV[MÊS PAGAMENTO CORRESPONDENTE],G$6,LANÇ_MOV[EMPRESA],$C$4,LANÇ_MOV[CENTRO DE CUSTOS],$D$4)</f>
        <v>0</v>
      </c>
      <c r="H820" s="206">
        <f>SUMIFS(LANÇ_MOV[VALOR LÍQUIDO],LANÇ_MOV[RECEITA OU DESPESA],"Despesa",LANÇ_MOV[CONTAS],$C820,LANÇ_MOV[PLANO DE CONTAS],REL_DRE_FINANCEIRO!$B$753,LANÇ_MOV[ANO PAGAMENTO],$B$4,LANÇ_MOV[MÊS PAGAMENTO CORRESPONDENTE],H$6,LANÇ_MOV[EMPRESA],$C$4,LANÇ_MOV[CENTRO DE CUSTOS],$D$4)</f>
        <v>0</v>
      </c>
      <c r="I820" s="206">
        <f>SUMIFS(LANÇ_MOV[VALOR LÍQUIDO],LANÇ_MOV[RECEITA OU DESPESA],"Despesa",LANÇ_MOV[CONTAS],$C820,LANÇ_MOV[PLANO DE CONTAS],REL_DRE_FINANCEIRO!$B$753,LANÇ_MOV[ANO PAGAMENTO],$B$4,LANÇ_MOV[MÊS PAGAMENTO CORRESPONDENTE],I$6,LANÇ_MOV[EMPRESA],$C$4,LANÇ_MOV[CENTRO DE CUSTOS],$D$4)</f>
        <v>0</v>
      </c>
      <c r="J820" s="206">
        <f>SUMIFS(LANÇ_MOV[VALOR LÍQUIDO],LANÇ_MOV[RECEITA OU DESPESA],"Despesa",LANÇ_MOV[CONTAS],$C820,LANÇ_MOV[PLANO DE CONTAS],REL_DRE_FINANCEIRO!$B$753,LANÇ_MOV[ANO PAGAMENTO],$B$4,LANÇ_MOV[MÊS PAGAMENTO CORRESPONDENTE],J$6,LANÇ_MOV[EMPRESA],$C$4,LANÇ_MOV[CENTRO DE CUSTOS],$D$4)</f>
        <v>0</v>
      </c>
      <c r="K820" s="206">
        <f>SUMIFS(LANÇ_MOV[VALOR LÍQUIDO],LANÇ_MOV[RECEITA OU DESPESA],"Despesa",LANÇ_MOV[CONTAS],$C820,LANÇ_MOV[PLANO DE CONTAS],REL_DRE_FINANCEIRO!$B$753,LANÇ_MOV[ANO PAGAMENTO],$B$4,LANÇ_MOV[MÊS PAGAMENTO CORRESPONDENTE],K$6,LANÇ_MOV[EMPRESA],$C$4,LANÇ_MOV[CENTRO DE CUSTOS],$D$4)</f>
        <v>0</v>
      </c>
      <c r="L820" s="206">
        <f>SUMIFS(LANÇ_MOV[VALOR LÍQUIDO],LANÇ_MOV[RECEITA OU DESPESA],"Despesa",LANÇ_MOV[CONTAS],$C820,LANÇ_MOV[PLANO DE CONTAS],REL_DRE_FINANCEIRO!$B$753,LANÇ_MOV[ANO PAGAMENTO],$B$4,LANÇ_MOV[MÊS PAGAMENTO CORRESPONDENTE],L$6,LANÇ_MOV[EMPRESA],$C$4,LANÇ_MOV[CENTRO DE CUSTOS],$D$4)</f>
        <v>0</v>
      </c>
      <c r="M820" s="206">
        <f>SUMIFS(LANÇ_MOV[VALOR LÍQUIDO],LANÇ_MOV[RECEITA OU DESPESA],"Despesa",LANÇ_MOV[CONTAS],$C820,LANÇ_MOV[PLANO DE CONTAS],REL_DRE_FINANCEIRO!$B$753,LANÇ_MOV[ANO PAGAMENTO],$B$4,LANÇ_MOV[MÊS PAGAMENTO CORRESPONDENTE],M$6,LANÇ_MOV[EMPRESA],$C$4,LANÇ_MOV[CENTRO DE CUSTOS],$D$4)</f>
        <v>0</v>
      </c>
      <c r="N820" s="206">
        <f>SUMIFS(LANÇ_MOV[VALOR LÍQUIDO],LANÇ_MOV[RECEITA OU DESPESA],"Despesa",LANÇ_MOV[CONTAS],$C820,LANÇ_MOV[PLANO DE CONTAS],REL_DRE_FINANCEIRO!$B$753,LANÇ_MOV[ANO PAGAMENTO],$B$4,LANÇ_MOV[MÊS PAGAMENTO CORRESPONDENTE],N$6,LANÇ_MOV[EMPRESA],$C$4,LANÇ_MOV[CENTRO DE CUSTOS],$D$4)</f>
        <v>0</v>
      </c>
      <c r="O820" s="206">
        <f>SUMIFS(LANÇ_MOV[VALOR LÍQUIDO],LANÇ_MOV[RECEITA OU DESPESA],"Despesa",LANÇ_MOV[CONTAS],$C820,LANÇ_MOV[PLANO DE CONTAS],REL_DRE_FINANCEIRO!$B$753,LANÇ_MOV[ANO PAGAMENTO],$B$4,LANÇ_MOV[MÊS PAGAMENTO CORRESPONDENTE],O$6,LANÇ_MOV[EMPRESA],$C$4,LANÇ_MOV[CENTRO DE CUSTOS],$D$4)</f>
        <v>0</v>
      </c>
      <c r="P820" s="207">
        <f t="shared" si="105"/>
        <v>0</v>
      </c>
      <c r="Q820" s="329">
        <v>3.4000000000000001E-6</v>
      </c>
      <c r="R820" s="346">
        <f t="shared" si="106"/>
        <v>3.4000000000000001E-6</v>
      </c>
      <c r="S820" s="347" t="str">
        <f t="shared" si="107"/>
        <v>-</v>
      </c>
      <c r="T820" s="347">
        <f t="shared" si="108"/>
        <v>0</v>
      </c>
      <c r="U820" s="347">
        <f>HLOOKUP(Apoio!$P$12,$D$752:$P$853,X820,FALSE)+Q820</f>
        <v>3.4000000000000001E-6</v>
      </c>
      <c r="V820" s="447" t="str">
        <f t="shared" si="109"/>
        <v>-</v>
      </c>
      <c r="W820" s="448">
        <f>HLOOKUP(Apoio!$P$12,$D$752:$P$853,X820,FALSE)</f>
        <v>0</v>
      </c>
      <c r="X820" s="329">
        <v>69</v>
      </c>
    </row>
    <row r="821" spans="2:24" ht="30.05" customHeight="1" x14ac:dyDescent="0.35">
      <c r="B821" s="204" t="str">
        <f>'CAD_PL_REC-DESP'!Z72</f>
        <v>2.6.68</v>
      </c>
      <c r="C821" s="205" t="str">
        <f>IF('CAD_PL_REC-DESP'!AA72="","-",'CAD_PL_REC-DESP'!AA72)</f>
        <v>-</v>
      </c>
      <c r="D821" s="206">
        <f>SUMIFS(LANÇ_MOV[VALOR LÍQUIDO],LANÇ_MOV[RECEITA OU DESPESA],"Despesa",LANÇ_MOV[CONTAS],$C821,LANÇ_MOV[PLANO DE CONTAS],REL_DRE_FINANCEIRO!$B$753,LANÇ_MOV[ANO PAGAMENTO],$B$4,LANÇ_MOV[MÊS PAGAMENTO CORRESPONDENTE],D$6,LANÇ_MOV[EMPRESA],$C$4,LANÇ_MOV[CENTRO DE CUSTOS],$D$4)</f>
        <v>0</v>
      </c>
      <c r="E821" s="206">
        <f>SUMIFS(LANÇ_MOV[VALOR LÍQUIDO],LANÇ_MOV[RECEITA OU DESPESA],"Despesa",LANÇ_MOV[CONTAS],$C821,LANÇ_MOV[PLANO DE CONTAS],REL_DRE_FINANCEIRO!$B$753,LANÇ_MOV[ANO PAGAMENTO],$B$4,LANÇ_MOV[MÊS PAGAMENTO CORRESPONDENTE],E$6,LANÇ_MOV[EMPRESA],$C$4,LANÇ_MOV[CENTRO DE CUSTOS],$D$4)</f>
        <v>0</v>
      </c>
      <c r="F821" s="206">
        <f>SUMIFS(LANÇ_MOV[VALOR LÍQUIDO],LANÇ_MOV[RECEITA OU DESPESA],"Despesa",LANÇ_MOV[CONTAS],$C821,LANÇ_MOV[PLANO DE CONTAS],REL_DRE_FINANCEIRO!$B$753,LANÇ_MOV[ANO PAGAMENTO],$B$4,LANÇ_MOV[MÊS PAGAMENTO CORRESPONDENTE],F$6,LANÇ_MOV[EMPRESA],$C$4,LANÇ_MOV[CENTRO DE CUSTOS],$D$4)</f>
        <v>0</v>
      </c>
      <c r="G821" s="206">
        <f>SUMIFS(LANÇ_MOV[VALOR LÍQUIDO],LANÇ_MOV[RECEITA OU DESPESA],"Despesa",LANÇ_MOV[CONTAS],$C821,LANÇ_MOV[PLANO DE CONTAS],REL_DRE_FINANCEIRO!$B$753,LANÇ_MOV[ANO PAGAMENTO],$B$4,LANÇ_MOV[MÊS PAGAMENTO CORRESPONDENTE],G$6,LANÇ_MOV[EMPRESA],$C$4,LANÇ_MOV[CENTRO DE CUSTOS],$D$4)</f>
        <v>0</v>
      </c>
      <c r="H821" s="206">
        <f>SUMIFS(LANÇ_MOV[VALOR LÍQUIDO],LANÇ_MOV[RECEITA OU DESPESA],"Despesa",LANÇ_MOV[CONTAS],$C821,LANÇ_MOV[PLANO DE CONTAS],REL_DRE_FINANCEIRO!$B$753,LANÇ_MOV[ANO PAGAMENTO],$B$4,LANÇ_MOV[MÊS PAGAMENTO CORRESPONDENTE],H$6,LANÇ_MOV[EMPRESA],$C$4,LANÇ_MOV[CENTRO DE CUSTOS],$D$4)</f>
        <v>0</v>
      </c>
      <c r="I821" s="206">
        <f>SUMIFS(LANÇ_MOV[VALOR LÍQUIDO],LANÇ_MOV[RECEITA OU DESPESA],"Despesa",LANÇ_MOV[CONTAS],$C821,LANÇ_MOV[PLANO DE CONTAS],REL_DRE_FINANCEIRO!$B$753,LANÇ_MOV[ANO PAGAMENTO],$B$4,LANÇ_MOV[MÊS PAGAMENTO CORRESPONDENTE],I$6,LANÇ_MOV[EMPRESA],$C$4,LANÇ_MOV[CENTRO DE CUSTOS],$D$4)</f>
        <v>0</v>
      </c>
      <c r="J821" s="206">
        <f>SUMIFS(LANÇ_MOV[VALOR LÍQUIDO],LANÇ_MOV[RECEITA OU DESPESA],"Despesa",LANÇ_MOV[CONTAS],$C821,LANÇ_MOV[PLANO DE CONTAS],REL_DRE_FINANCEIRO!$B$753,LANÇ_MOV[ANO PAGAMENTO],$B$4,LANÇ_MOV[MÊS PAGAMENTO CORRESPONDENTE],J$6,LANÇ_MOV[EMPRESA],$C$4,LANÇ_MOV[CENTRO DE CUSTOS],$D$4)</f>
        <v>0</v>
      </c>
      <c r="K821" s="206">
        <f>SUMIFS(LANÇ_MOV[VALOR LÍQUIDO],LANÇ_MOV[RECEITA OU DESPESA],"Despesa",LANÇ_MOV[CONTAS],$C821,LANÇ_MOV[PLANO DE CONTAS],REL_DRE_FINANCEIRO!$B$753,LANÇ_MOV[ANO PAGAMENTO],$B$4,LANÇ_MOV[MÊS PAGAMENTO CORRESPONDENTE],K$6,LANÇ_MOV[EMPRESA],$C$4,LANÇ_MOV[CENTRO DE CUSTOS],$D$4)</f>
        <v>0</v>
      </c>
      <c r="L821" s="206">
        <f>SUMIFS(LANÇ_MOV[VALOR LÍQUIDO],LANÇ_MOV[RECEITA OU DESPESA],"Despesa",LANÇ_MOV[CONTAS],$C821,LANÇ_MOV[PLANO DE CONTAS],REL_DRE_FINANCEIRO!$B$753,LANÇ_MOV[ANO PAGAMENTO],$B$4,LANÇ_MOV[MÊS PAGAMENTO CORRESPONDENTE],L$6,LANÇ_MOV[EMPRESA],$C$4,LANÇ_MOV[CENTRO DE CUSTOS],$D$4)</f>
        <v>0</v>
      </c>
      <c r="M821" s="206">
        <f>SUMIFS(LANÇ_MOV[VALOR LÍQUIDO],LANÇ_MOV[RECEITA OU DESPESA],"Despesa",LANÇ_MOV[CONTAS],$C821,LANÇ_MOV[PLANO DE CONTAS],REL_DRE_FINANCEIRO!$B$753,LANÇ_MOV[ANO PAGAMENTO],$B$4,LANÇ_MOV[MÊS PAGAMENTO CORRESPONDENTE],M$6,LANÇ_MOV[EMPRESA],$C$4,LANÇ_MOV[CENTRO DE CUSTOS],$D$4)</f>
        <v>0</v>
      </c>
      <c r="N821" s="206">
        <f>SUMIFS(LANÇ_MOV[VALOR LÍQUIDO],LANÇ_MOV[RECEITA OU DESPESA],"Despesa",LANÇ_MOV[CONTAS],$C821,LANÇ_MOV[PLANO DE CONTAS],REL_DRE_FINANCEIRO!$B$753,LANÇ_MOV[ANO PAGAMENTO],$B$4,LANÇ_MOV[MÊS PAGAMENTO CORRESPONDENTE],N$6,LANÇ_MOV[EMPRESA],$C$4,LANÇ_MOV[CENTRO DE CUSTOS],$D$4)</f>
        <v>0</v>
      </c>
      <c r="O821" s="206">
        <f>SUMIFS(LANÇ_MOV[VALOR LÍQUIDO],LANÇ_MOV[RECEITA OU DESPESA],"Despesa",LANÇ_MOV[CONTAS],$C821,LANÇ_MOV[PLANO DE CONTAS],REL_DRE_FINANCEIRO!$B$753,LANÇ_MOV[ANO PAGAMENTO],$B$4,LANÇ_MOV[MÊS PAGAMENTO CORRESPONDENTE],O$6,LANÇ_MOV[EMPRESA],$C$4,LANÇ_MOV[CENTRO DE CUSTOS],$D$4)</f>
        <v>0</v>
      </c>
      <c r="P821" s="207">
        <f t="shared" si="105"/>
        <v>0</v>
      </c>
      <c r="Q821" s="329">
        <v>3.3000000000000002E-6</v>
      </c>
      <c r="R821" s="346">
        <f t="shared" si="106"/>
        <v>3.3000000000000002E-6</v>
      </c>
      <c r="S821" s="347" t="str">
        <f t="shared" si="107"/>
        <v>-</v>
      </c>
      <c r="T821" s="347">
        <f t="shared" si="108"/>
        <v>0</v>
      </c>
      <c r="U821" s="347">
        <f>HLOOKUP(Apoio!$P$12,$D$752:$P$853,X821,FALSE)+Q821</f>
        <v>3.3000000000000002E-6</v>
      </c>
      <c r="V821" s="447" t="str">
        <f t="shared" si="109"/>
        <v>-</v>
      </c>
      <c r="W821" s="448">
        <f>HLOOKUP(Apoio!$P$12,$D$752:$P$853,X821,FALSE)</f>
        <v>0</v>
      </c>
      <c r="X821" s="329">
        <v>70</v>
      </c>
    </row>
    <row r="822" spans="2:24" ht="30.05" customHeight="1" x14ac:dyDescent="0.35">
      <c r="B822" s="204" t="str">
        <f>'CAD_PL_REC-DESP'!Z73</f>
        <v>2.6.69</v>
      </c>
      <c r="C822" s="205" t="str">
        <f>IF('CAD_PL_REC-DESP'!AA73="","-",'CAD_PL_REC-DESP'!AA73)</f>
        <v>-</v>
      </c>
      <c r="D822" s="206">
        <f>SUMIFS(LANÇ_MOV[VALOR LÍQUIDO],LANÇ_MOV[RECEITA OU DESPESA],"Despesa",LANÇ_MOV[CONTAS],$C822,LANÇ_MOV[PLANO DE CONTAS],REL_DRE_FINANCEIRO!$B$753,LANÇ_MOV[ANO PAGAMENTO],$B$4,LANÇ_MOV[MÊS PAGAMENTO CORRESPONDENTE],D$6,LANÇ_MOV[EMPRESA],$C$4,LANÇ_MOV[CENTRO DE CUSTOS],$D$4)</f>
        <v>0</v>
      </c>
      <c r="E822" s="206">
        <f>SUMIFS(LANÇ_MOV[VALOR LÍQUIDO],LANÇ_MOV[RECEITA OU DESPESA],"Despesa",LANÇ_MOV[CONTAS],$C822,LANÇ_MOV[PLANO DE CONTAS],REL_DRE_FINANCEIRO!$B$753,LANÇ_MOV[ANO PAGAMENTO],$B$4,LANÇ_MOV[MÊS PAGAMENTO CORRESPONDENTE],E$6,LANÇ_MOV[EMPRESA],$C$4,LANÇ_MOV[CENTRO DE CUSTOS],$D$4)</f>
        <v>0</v>
      </c>
      <c r="F822" s="206">
        <f>SUMIFS(LANÇ_MOV[VALOR LÍQUIDO],LANÇ_MOV[RECEITA OU DESPESA],"Despesa",LANÇ_MOV[CONTAS],$C822,LANÇ_MOV[PLANO DE CONTAS],REL_DRE_FINANCEIRO!$B$753,LANÇ_MOV[ANO PAGAMENTO],$B$4,LANÇ_MOV[MÊS PAGAMENTO CORRESPONDENTE],F$6,LANÇ_MOV[EMPRESA],$C$4,LANÇ_MOV[CENTRO DE CUSTOS],$D$4)</f>
        <v>0</v>
      </c>
      <c r="G822" s="206">
        <f>SUMIFS(LANÇ_MOV[VALOR LÍQUIDO],LANÇ_MOV[RECEITA OU DESPESA],"Despesa",LANÇ_MOV[CONTAS],$C822,LANÇ_MOV[PLANO DE CONTAS],REL_DRE_FINANCEIRO!$B$753,LANÇ_MOV[ANO PAGAMENTO],$B$4,LANÇ_MOV[MÊS PAGAMENTO CORRESPONDENTE],G$6,LANÇ_MOV[EMPRESA],$C$4,LANÇ_MOV[CENTRO DE CUSTOS],$D$4)</f>
        <v>0</v>
      </c>
      <c r="H822" s="206">
        <f>SUMIFS(LANÇ_MOV[VALOR LÍQUIDO],LANÇ_MOV[RECEITA OU DESPESA],"Despesa",LANÇ_MOV[CONTAS],$C822,LANÇ_MOV[PLANO DE CONTAS],REL_DRE_FINANCEIRO!$B$753,LANÇ_MOV[ANO PAGAMENTO],$B$4,LANÇ_MOV[MÊS PAGAMENTO CORRESPONDENTE],H$6,LANÇ_MOV[EMPRESA],$C$4,LANÇ_MOV[CENTRO DE CUSTOS],$D$4)</f>
        <v>0</v>
      </c>
      <c r="I822" s="206">
        <f>SUMIFS(LANÇ_MOV[VALOR LÍQUIDO],LANÇ_MOV[RECEITA OU DESPESA],"Despesa",LANÇ_MOV[CONTAS],$C822,LANÇ_MOV[PLANO DE CONTAS],REL_DRE_FINANCEIRO!$B$753,LANÇ_MOV[ANO PAGAMENTO],$B$4,LANÇ_MOV[MÊS PAGAMENTO CORRESPONDENTE],I$6,LANÇ_MOV[EMPRESA],$C$4,LANÇ_MOV[CENTRO DE CUSTOS],$D$4)</f>
        <v>0</v>
      </c>
      <c r="J822" s="206">
        <f>SUMIFS(LANÇ_MOV[VALOR LÍQUIDO],LANÇ_MOV[RECEITA OU DESPESA],"Despesa",LANÇ_MOV[CONTAS],$C822,LANÇ_MOV[PLANO DE CONTAS],REL_DRE_FINANCEIRO!$B$753,LANÇ_MOV[ANO PAGAMENTO],$B$4,LANÇ_MOV[MÊS PAGAMENTO CORRESPONDENTE],J$6,LANÇ_MOV[EMPRESA],$C$4,LANÇ_MOV[CENTRO DE CUSTOS],$D$4)</f>
        <v>0</v>
      </c>
      <c r="K822" s="206">
        <f>SUMIFS(LANÇ_MOV[VALOR LÍQUIDO],LANÇ_MOV[RECEITA OU DESPESA],"Despesa",LANÇ_MOV[CONTAS],$C822,LANÇ_MOV[PLANO DE CONTAS],REL_DRE_FINANCEIRO!$B$753,LANÇ_MOV[ANO PAGAMENTO],$B$4,LANÇ_MOV[MÊS PAGAMENTO CORRESPONDENTE],K$6,LANÇ_MOV[EMPRESA],$C$4,LANÇ_MOV[CENTRO DE CUSTOS],$D$4)</f>
        <v>0</v>
      </c>
      <c r="L822" s="206">
        <f>SUMIFS(LANÇ_MOV[VALOR LÍQUIDO],LANÇ_MOV[RECEITA OU DESPESA],"Despesa",LANÇ_MOV[CONTAS],$C822,LANÇ_MOV[PLANO DE CONTAS],REL_DRE_FINANCEIRO!$B$753,LANÇ_MOV[ANO PAGAMENTO],$B$4,LANÇ_MOV[MÊS PAGAMENTO CORRESPONDENTE],L$6,LANÇ_MOV[EMPRESA],$C$4,LANÇ_MOV[CENTRO DE CUSTOS],$D$4)</f>
        <v>0</v>
      </c>
      <c r="M822" s="206">
        <f>SUMIFS(LANÇ_MOV[VALOR LÍQUIDO],LANÇ_MOV[RECEITA OU DESPESA],"Despesa",LANÇ_MOV[CONTAS],$C822,LANÇ_MOV[PLANO DE CONTAS],REL_DRE_FINANCEIRO!$B$753,LANÇ_MOV[ANO PAGAMENTO],$B$4,LANÇ_MOV[MÊS PAGAMENTO CORRESPONDENTE],M$6,LANÇ_MOV[EMPRESA],$C$4,LANÇ_MOV[CENTRO DE CUSTOS],$D$4)</f>
        <v>0</v>
      </c>
      <c r="N822" s="206">
        <f>SUMIFS(LANÇ_MOV[VALOR LÍQUIDO],LANÇ_MOV[RECEITA OU DESPESA],"Despesa",LANÇ_MOV[CONTAS],$C822,LANÇ_MOV[PLANO DE CONTAS],REL_DRE_FINANCEIRO!$B$753,LANÇ_MOV[ANO PAGAMENTO],$B$4,LANÇ_MOV[MÊS PAGAMENTO CORRESPONDENTE],N$6,LANÇ_MOV[EMPRESA],$C$4,LANÇ_MOV[CENTRO DE CUSTOS],$D$4)</f>
        <v>0</v>
      </c>
      <c r="O822" s="206">
        <f>SUMIFS(LANÇ_MOV[VALOR LÍQUIDO],LANÇ_MOV[RECEITA OU DESPESA],"Despesa",LANÇ_MOV[CONTAS],$C822,LANÇ_MOV[PLANO DE CONTAS],REL_DRE_FINANCEIRO!$B$753,LANÇ_MOV[ANO PAGAMENTO],$B$4,LANÇ_MOV[MÊS PAGAMENTO CORRESPONDENTE],O$6,LANÇ_MOV[EMPRESA],$C$4,LANÇ_MOV[CENTRO DE CUSTOS],$D$4)</f>
        <v>0</v>
      </c>
      <c r="P822" s="207">
        <f t="shared" si="105"/>
        <v>0</v>
      </c>
      <c r="Q822" s="329">
        <v>3.1999999999999999E-6</v>
      </c>
      <c r="R822" s="346">
        <f t="shared" si="106"/>
        <v>3.1999999999999999E-6</v>
      </c>
      <c r="S822" s="347" t="str">
        <f t="shared" si="107"/>
        <v>-</v>
      </c>
      <c r="T822" s="347">
        <f t="shared" si="108"/>
        <v>0</v>
      </c>
      <c r="U822" s="347">
        <f>HLOOKUP(Apoio!$P$12,$D$752:$P$853,X822,FALSE)+Q822</f>
        <v>3.1999999999999999E-6</v>
      </c>
      <c r="V822" s="447" t="str">
        <f t="shared" si="109"/>
        <v>-</v>
      </c>
      <c r="W822" s="448">
        <f>HLOOKUP(Apoio!$P$12,$D$752:$P$853,X822,FALSE)</f>
        <v>0</v>
      </c>
      <c r="X822" s="329">
        <v>71</v>
      </c>
    </row>
    <row r="823" spans="2:24" ht="30.05" customHeight="1" x14ac:dyDescent="0.35">
      <c r="B823" s="204" t="str">
        <f>'CAD_PL_REC-DESP'!Z74</f>
        <v>2.6.70</v>
      </c>
      <c r="C823" s="205" t="str">
        <f>IF('CAD_PL_REC-DESP'!AA74="","-",'CAD_PL_REC-DESP'!AA74)</f>
        <v>-</v>
      </c>
      <c r="D823" s="206">
        <f>SUMIFS(LANÇ_MOV[VALOR LÍQUIDO],LANÇ_MOV[RECEITA OU DESPESA],"Despesa",LANÇ_MOV[CONTAS],$C823,LANÇ_MOV[PLANO DE CONTAS],REL_DRE_FINANCEIRO!$B$753,LANÇ_MOV[ANO PAGAMENTO],$B$4,LANÇ_MOV[MÊS PAGAMENTO CORRESPONDENTE],D$6,LANÇ_MOV[EMPRESA],$C$4,LANÇ_MOV[CENTRO DE CUSTOS],$D$4)</f>
        <v>0</v>
      </c>
      <c r="E823" s="206">
        <f>SUMIFS(LANÇ_MOV[VALOR LÍQUIDO],LANÇ_MOV[RECEITA OU DESPESA],"Despesa",LANÇ_MOV[CONTAS],$C823,LANÇ_MOV[PLANO DE CONTAS],REL_DRE_FINANCEIRO!$B$753,LANÇ_MOV[ANO PAGAMENTO],$B$4,LANÇ_MOV[MÊS PAGAMENTO CORRESPONDENTE],E$6,LANÇ_MOV[EMPRESA],$C$4,LANÇ_MOV[CENTRO DE CUSTOS],$D$4)</f>
        <v>0</v>
      </c>
      <c r="F823" s="206">
        <f>SUMIFS(LANÇ_MOV[VALOR LÍQUIDO],LANÇ_MOV[RECEITA OU DESPESA],"Despesa",LANÇ_MOV[CONTAS],$C823,LANÇ_MOV[PLANO DE CONTAS],REL_DRE_FINANCEIRO!$B$753,LANÇ_MOV[ANO PAGAMENTO],$B$4,LANÇ_MOV[MÊS PAGAMENTO CORRESPONDENTE],F$6,LANÇ_MOV[EMPRESA],$C$4,LANÇ_MOV[CENTRO DE CUSTOS],$D$4)</f>
        <v>0</v>
      </c>
      <c r="G823" s="206">
        <f>SUMIFS(LANÇ_MOV[VALOR LÍQUIDO],LANÇ_MOV[RECEITA OU DESPESA],"Despesa",LANÇ_MOV[CONTAS],$C823,LANÇ_MOV[PLANO DE CONTAS],REL_DRE_FINANCEIRO!$B$753,LANÇ_MOV[ANO PAGAMENTO],$B$4,LANÇ_MOV[MÊS PAGAMENTO CORRESPONDENTE],G$6,LANÇ_MOV[EMPRESA],$C$4,LANÇ_MOV[CENTRO DE CUSTOS],$D$4)</f>
        <v>0</v>
      </c>
      <c r="H823" s="206">
        <f>SUMIFS(LANÇ_MOV[VALOR LÍQUIDO],LANÇ_MOV[RECEITA OU DESPESA],"Despesa",LANÇ_MOV[CONTAS],$C823,LANÇ_MOV[PLANO DE CONTAS],REL_DRE_FINANCEIRO!$B$753,LANÇ_MOV[ANO PAGAMENTO],$B$4,LANÇ_MOV[MÊS PAGAMENTO CORRESPONDENTE],H$6,LANÇ_MOV[EMPRESA],$C$4,LANÇ_MOV[CENTRO DE CUSTOS],$D$4)</f>
        <v>0</v>
      </c>
      <c r="I823" s="206">
        <f>SUMIFS(LANÇ_MOV[VALOR LÍQUIDO],LANÇ_MOV[RECEITA OU DESPESA],"Despesa",LANÇ_MOV[CONTAS],$C823,LANÇ_MOV[PLANO DE CONTAS],REL_DRE_FINANCEIRO!$B$753,LANÇ_MOV[ANO PAGAMENTO],$B$4,LANÇ_MOV[MÊS PAGAMENTO CORRESPONDENTE],I$6,LANÇ_MOV[EMPRESA],$C$4,LANÇ_MOV[CENTRO DE CUSTOS],$D$4)</f>
        <v>0</v>
      </c>
      <c r="J823" s="206">
        <f>SUMIFS(LANÇ_MOV[VALOR LÍQUIDO],LANÇ_MOV[RECEITA OU DESPESA],"Despesa",LANÇ_MOV[CONTAS],$C823,LANÇ_MOV[PLANO DE CONTAS],REL_DRE_FINANCEIRO!$B$753,LANÇ_MOV[ANO PAGAMENTO],$B$4,LANÇ_MOV[MÊS PAGAMENTO CORRESPONDENTE],J$6,LANÇ_MOV[EMPRESA],$C$4,LANÇ_MOV[CENTRO DE CUSTOS],$D$4)</f>
        <v>0</v>
      </c>
      <c r="K823" s="206">
        <f>SUMIFS(LANÇ_MOV[VALOR LÍQUIDO],LANÇ_MOV[RECEITA OU DESPESA],"Despesa",LANÇ_MOV[CONTAS],$C823,LANÇ_MOV[PLANO DE CONTAS],REL_DRE_FINANCEIRO!$B$753,LANÇ_MOV[ANO PAGAMENTO],$B$4,LANÇ_MOV[MÊS PAGAMENTO CORRESPONDENTE],K$6,LANÇ_MOV[EMPRESA],$C$4,LANÇ_MOV[CENTRO DE CUSTOS],$D$4)</f>
        <v>0</v>
      </c>
      <c r="L823" s="206">
        <f>SUMIFS(LANÇ_MOV[VALOR LÍQUIDO],LANÇ_MOV[RECEITA OU DESPESA],"Despesa",LANÇ_MOV[CONTAS],$C823,LANÇ_MOV[PLANO DE CONTAS],REL_DRE_FINANCEIRO!$B$753,LANÇ_MOV[ANO PAGAMENTO],$B$4,LANÇ_MOV[MÊS PAGAMENTO CORRESPONDENTE],L$6,LANÇ_MOV[EMPRESA],$C$4,LANÇ_MOV[CENTRO DE CUSTOS],$D$4)</f>
        <v>0</v>
      </c>
      <c r="M823" s="206">
        <f>SUMIFS(LANÇ_MOV[VALOR LÍQUIDO],LANÇ_MOV[RECEITA OU DESPESA],"Despesa",LANÇ_MOV[CONTAS],$C823,LANÇ_MOV[PLANO DE CONTAS],REL_DRE_FINANCEIRO!$B$753,LANÇ_MOV[ANO PAGAMENTO],$B$4,LANÇ_MOV[MÊS PAGAMENTO CORRESPONDENTE],M$6,LANÇ_MOV[EMPRESA],$C$4,LANÇ_MOV[CENTRO DE CUSTOS],$D$4)</f>
        <v>0</v>
      </c>
      <c r="N823" s="206">
        <f>SUMIFS(LANÇ_MOV[VALOR LÍQUIDO],LANÇ_MOV[RECEITA OU DESPESA],"Despesa",LANÇ_MOV[CONTAS],$C823,LANÇ_MOV[PLANO DE CONTAS],REL_DRE_FINANCEIRO!$B$753,LANÇ_MOV[ANO PAGAMENTO],$B$4,LANÇ_MOV[MÊS PAGAMENTO CORRESPONDENTE],N$6,LANÇ_MOV[EMPRESA],$C$4,LANÇ_MOV[CENTRO DE CUSTOS],$D$4)</f>
        <v>0</v>
      </c>
      <c r="O823" s="206">
        <f>SUMIFS(LANÇ_MOV[VALOR LÍQUIDO],LANÇ_MOV[RECEITA OU DESPESA],"Despesa",LANÇ_MOV[CONTAS],$C823,LANÇ_MOV[PLANO DE CONTAS],REL_DRE_FINANCEIRO!$B$753,LANÇ_MOV[ANO PAGAMENTO],$B$4,LANÇ_MOV[MÊS PAGAMENTO CORRESPONDENTE],O$6,LANÇ_MOV[EMPRESA],$C$4,LANÇ_MOV[CENTRO DE CUSTOS],$D$4)</f>
        <v>0</v>
      </c>
      <c r="P823" s="207">
        <f t="shared" si="105"/>
        <v>0</v>
      </c>
      <c r="Q823" s="329">
        <v>3.1E-6</v>
      </c>
      <c r="R823" s="346">
        <f t="shared" si="106"/>
        <v>3.1E-6</v>
      </c>
      <c r="S823" s="347" t="str">
        <f t="shared" si="107"/>
        <v>-</v>
      </c>
      <c r="T823" s="347">
        <f t="shared" si="108"/>
        <v>0</v>
      </c>
      <c r="U823" s="347">
        <f>HLOOKUP(Apoio!$P$12,$D$752:$P$853,X823,FALSE)+Q823</f>
        <v>3.1E-6</v>
      </c>
      <c r="V823" s="447" t="str">
        <f t="shared" si="109"/>
        <v>-</v>
      </c>
      <c r="W823" s="448">
        <f>HLOOKUP(Apoio!$P$12,$D$752:$P$853,X823,FALSE)</f>
        <v>0</v>
      </c>
      <c r="X823" s="329">
        <v>72</v>
      </c>
    </row>
    <row r="824" spans="2:24" ht="30.05" customHeight="1" x14ac:dyDescent="0.35">
      <c r="B824" s="204" t="str">
        <f>'CAD_PL_REC-DESP'!Z75</f>
        <v>2.6.71</v>
      </c>
      <c r="C824" s="205" t="str">
        <f>IF('CAD_PL_REC-DESP'!AA75="","-",'CAD_PL_REC-DESP'!AA75)</f>
        <v>-</v>
      </c>
      <c r="D824" s="206">
        <f>SUMIFS(LANÇ_MOV[VALOR LÍQUIDO],LANÇ_MOV[RECEITA OU DESPESA],"Despesa",LANÇ_MOV[CONTAS],$C824,LANÇ_MOV[PLANO DE CONTAS],REL_DRE_FINANCEIRO!$B$753,LANÇ_MOV[ANO PAGAMENTO],$B$4,LANÇ_MOV[MÊS PAGAMENTO CORRESPONDENTE],D$6,LANÇ_MOV[EMPRESA],$C$4,LANÇ_MOV[CENTRO DE CUSTOS],$D$4)</f>
        <v>0</v>
      </c>
      <c r="E824" s="206">
        <f>SUMIFS(LANÇ_MOV[VALOR LÍQUIDO],LANÇ_MOV[RECEITA OU DESPESA],"Despesa",LANÇ_MOV[CONTAS],$C824,LANÇ_MOV[PLANO DE CONTAS],REL_DRE_FINANCEIRO!$B$753,LANÇ_MOV[ANO PAGAMENTO],$B$4,LANÇ_MOV[MÊS PAGAMENTO CORRESPONDENTE],E$6,LANÇ_MOV[EMPRESA],$C$4,LANÇ_MOV[CENTRO DE CUSTOS],$D$4)</f>
        <v>0</v>
      </c>
      <c r="F824" s="206">
        <f>SUMIFS(LANÇ_MOV[VALOR LÍQUIDO],LANÇ_MOV[RECEITA OU DESPESA],"Despesa",LANÇ_MOV[CONTAS],$C824,LANÇ_MOV[PLANO DE CONTAS],REL_DRE_FINANCEIRO!$B$753,LANÇ_MOV[ANO PAGAMENTO],$B$4,LANÇ_MOV[MÊS PAGAMENTO CORRESPONDENTE],F$6,LANÇ_MOV[EMPRESA],$C$4,LANÇ_MOV[CENTRO DE CUSTOS],$D$4)</f>
        <v>0</v>
      </c>
      <c r="G824" s="206">
        <f>SUMIFS(LANÇ_MOV[VALOR LÍQUIDO],LANÇ_MOV[RECEITA OU DESPESA],"Despesa",LANÇ_MOV[CONTAS],$C824,LANÇ_MOV[PLANO DE CONTAS],REL_DRE_FINANCEIRO!$B$753,LANÇ_MOV[ANO PAGAMENTO],$B$4,LANÇ_MOV[MÊS PAGAMENTO CORRESPONDENTE],G$6,LANÇ_MOV[EMPRESA],$C$4,LANÇ_MOV[CENTRO DE CUSTOS],$D$4)</f>
        <v>0</v>
      </c>
      <c r="H824" s="206">
        <f>SUMIFS(LANÇ_MOV[VALOR LÍQUIDO],LANÇ_MOV[RECEITA OU DESPESA],"Despesa",LANÇ_MOV[CONTAS],$C824,LANÇ_MOV[PLANO DE CONTAS],REL_DRE_FINANCEIRO!$B$753,LANÇ_MOV[ANO PAGAMENTO],$B$4,LANÇ_MOV[MÊS PAGAMENTO CORRESPONDENTE],H$6,LANÇ_MOV[EMPRESA],$C$4,LANÇ_MOV[CENTRO DE CUSTOS],$D$4)</f>
        <v>0</v>
      </c>
      <c r="I824" s="206">
        <f>SUMIFS(LANÇ_MOV[VALOR LÍQUIDO],LANÇ_MOV[RECEITA OU DESPESA],"Despesa",LANÇ_MOV[CONTAS],$C824,LANÇ_MOV[PLANO DE CONTAS],REL_DRE_FINANCEIRO!$B$753,LANÇ_MOV[ANO PAGAMENTO],$B$4,LANÇ_MOV[MÊS PAGAMENTO CORRESPONDENTE],I$6,LANÇ_MOV[EMPRESA],$C$4,LANÇ_MOV[CENTRO DE CUSTOS],$D$4)</f>
        <v>0</v>
      </c>
      <c r="J824" s="206">
        <f>SUMIFS(LANÇ_MOV[VALOR LÍQUIDO],LANÇ_MOV[RECEITA OU DESPESA],"Despesa",LANÇ_MOV[CONTAS],$C824,LANÇ_MOV[PLANO DE CONTAS],REL_DRE_FINANCEIRO!$B$753,LANÇ_MOV[ANO PAGAMENTO],$B$4,LANÇ_MOV[MÊS PAGAMENTO CORRESPONDENTE],J$6,LANÇ_MOV[EMPRESA],$C$4,LANÇ_MOV[CENTRO DE CUSTOS],$D$4)</f>
        <v>0</v>
      </c>
      <c r="K824" s="206">
        <f>SUMIFS(LANÇ_MOV[VALOR LÍQUIDO],LANÇ_MOV[RECEITA OU DESPESA],"Despesa",LANÇ_MOV[CONTAS],$C824,LANÇ_MOV[PLANO DE CONTAS],REL_DRE_FINANCEIRO!$B$753,LANÇ_MOV[ANO PAGAMENTO],$B$4,LANÇ_MOV[MÊS PAGAMENTO CORRESPONDENTE],K$6,LANÇ_MOV[EMPRESA],$C$4,LANÇ_MOV[CENTRO DE CUSTOS],$D$4)</f>
        <v>0</v>
      </c>
      <c r="L824" s="206">
        <f>SUMIFS(LANÇ_MOV[VALOR LÍQUIDO],LANÇ_MOV[RECEITA OU DESPESA],"Despesa",LANÇ_MOV[CONTAS],$C824,LANÇ_MOV[PLANO DE CONTAS],REL_DRE_FINANCEIRO!$B$753,LANÇ_MOV[ANO PAGAMENTO],$B$4,LANÇ_MOV[MÊS PAGAMENTO CORRESPONDENTE],L$6,LANÇ_MOV[EMPRESA],$C$4,LANÇ_MOV[CENTRO DE CUSTOS],$D$4)</f>
        <v>0</v>
      </c>
      <c r="M824" s="206">
        <f>SUMIFS(LANÇ_MOV[VALOR LÍQUIDO],LANÇ_MOV[RECEITA OU DESPESA],"Despesa",LANÇ_MOV[CONTAS],$C824,LANÇ_MOV[PLANO DE CONTAS],REL_DRE_FINANCEIRO!$B$753,LANÇ_MOV[ANO PAGAMENTO],$B$4,LANÇ_MOV[MÊS PAGAMENTO CORRESPONDENTE],M$6,LANÇ_MOV[EMPRESA],$C$4,LANÇ_MOV[CENTRO DE CUSTOS],$D$4)</f>
        <v>0</v>
      </c>
      <c r="N824" s="206">
        <f>SUMIFS(LANÇ_MOV[VALOR LÍQUIDO],LANÇ_MOV[RECEITA OU DESPESA],"Despesa",LANÇ_MOV[CONTAS],$C824,LANÇ_MOV[PLANO DE CONTAS],REL_DRE_FINANCEIRO!$B$753,LANÇ_MOV[ANO PAGAMENTO],$B$4,LANÇ_MOV[MÊS PAGAMENTO CORRESPONDENTE],N$6,LANÇ_MOV[EMPRESA],$C$4,LANÇ_MOV[CENTRO DE CUSTOS],$D$4)</f>
        <v>0</v>
      </c>
      <c r="O824" s="206">
        <f>SUMIFS(LANÇ_MOV[VALOR LÍQUIDO],LANÇ_MOV[RECEITA OU DESPESA],"Despesa",LANÇ_MOV[CONTAS],$C824,LANÇ_MOV[PLANO DE CONTAS],REL_DRE_FINANCEIRO!$B$753,LANÇ_MOV[ANO PAGAMENTO],$B$4,LANÇ_MOV[MÊS PAGAMENTO CORRESPONDENTE],O$6,LANÇ_MOV[EMPRESA],$C$4,LANÇ_MOV[CENTRO DE CUSTOS],$D$4)</f>
        <v>0</v>
      </c>
      <c r="P824" s="207">
        <f t="shared" si="105"/>
        <v>0</v>
      </c>
      <c r="Q824" s="329">
        <v>3.0000000000000001E-6</v>
      </c>
      <c r="R824" s="346">
        <f t="shared" si="106"/>
        <v>3.0000000000000001E-6</v>
      </c>
      <c r="S824" s="347" t="str">
        <f t="shared" si="107"/>
        <v>-</v>
      </c>
      <c r="T824" s="347">
        <f t="shared" si="108"/>
        <v>0</v>
      </c>
      <c r="U824" s="347">
        <f>HLOOKUP(Apoio!$P$12,$D$752:$P$853,X824,FALSE)+Q824</f>
        <v>3.0000000000000001E-6</v>
      </c>
      <c r="V824" s="447" t="str">
        <f t="shared" si="109"/>
        <v>-</v>
      </c>
      <c r="W824" s="448">
        <f>HLOOKUP(Apoio!$P$12,$D$752:$P$853,X824,FALSE)</f>
        <v>0</v>
      </c>
      <c r="X824" s="329">
        <v>73</v>
      </c>
    </row>
    <row r="825" spans="2:24" ht="30.05" customHeight="1" x14ac:dyDescent="0.35">
      <c r="B825" s="204" t="str">
        <f>'CAD_PL_REC-DESP'!Z76</f>
        <v>2.6.72</v>
      </c>
      <c r="C825" s="205" t="str">
        <f>IF('CAD_PL_REC-DESP'!AA76="","-",'CAD_PL_REC-DESP'!AA76)</f>
        <v>-</v>
      </c>
      <c r="D825" s="206">
        <f>SUMIFS(LANÇ_MOV[VALOR LÍQUIDO],LANÇ_MOV[RECEITA OU DESPESA],"Despesa",LANÇ_MOV[CONTAS],$C825,LANÇ_MOV[PLANO DE CONTAS],REL_DRE_FINANCEIRO!$B$753,LANÇ_MOV[ANO PAGAMENTO],$B$4,LANÇ_MOV[MÊS PAGAMENTO CORRESPONDENTE],D$6,LANÇ_MOV[EMPRESA],$C$4,LANÇ_MOV[CENTRO DE CUSTOS],$D$4)</f>
        <v>0</v>
      </c>
      <c r="E825" s="206">
        <f>SUMIFS(LANÇ_MOV[VALOR LÍQUIDO],LANÇ_MOV[RECEITA OU DESPESA],"Despesa",LANÇ_MOV[CONTAS],$C825,LANÇ_MOV[PLANO DE CONTAS],REL_DRE_FINANCEIRO!$B$753,LANÇ_MOV[ANO PAGAMENTO],$B$4,LANÇ_MOV[MÊS PAGAMENTO CORRESPONDENTE],E$6,LANÇ_MOV[EMPRESA],$C$4,LANÇ_MOV[CENTRO DE CUSTOS],$D$4)</f>
        <v>0</v>
      </c>
      <c r="F825" s="206">
        <f>SUMIFS(LANÇ_MOV[VALOR LÍQUIDO],LANÇ_MOV[RECEITA OU DESPESA],"Despesa",LANÇ_MOV[CONTAS],$C825,LANÇ_MOV[PLANO DE CONTAS],REL_DRE_FINANCEIRO!$B$753,LANÇ_MOV[ANO PAGAMENTO],$B$4,LANÇ_MOV[MÊS PAGAMENTO CORRESPONDENTE],F$6,LANÇ_MOV[EMPRESA],$C$4,LANÇ_MOV[CENTRO DE CUSTOS],$D$4)</f>
        <v>0</v>
      </c>
      <c r="G825" s="206">
        <f>SUMIFS(LANÇ_MOV[VALOR LÍQUIDO],LANÇ_MOV[RECEITA OU DESPESA],"Despesa",LANÇ_MOV[CONTAS],$C825,LANÇ_MOV[PLANO DE CONTAS],REL_DRE_FINANCEIRO!$B$753,LANÇ_MOV[ANO PAGAMENTO],$B$4,LANÇ_MOV[MÊS PAGAMENTO CORRESPONDENTE],G$6,LANÇ_MOV[EMPRESA],$C$4,LANÇ_MOV[CENTRO DE CUSTOS],$D$4)</f>
        <v>0</v>
      </c>
      <c r="H825" s="206">
        <f>SUMIFS(LANÇ_MOV[VALOR LÍQUIDO],LANÇ_MOV[RECEITA OU DESPESA],"Despesa",LANÇ_MOV[CONTAS],$C825,LANÇ_MOV[PLANO DE CONTAS],REL_DRE_FINANCEIRO!$B$753,LANÇ_MOV[ANO PAGAMENTO],$B$4,LANÇ_MOV[MÊS PAGAMENTO CORRESPONDENTE],H$6,LANÇ_MOV[EMPRESA],$C$4,LANÇ_MOV[CENTRO DE CUSTOS],$D$4)</f>
        <v>0</v>
      </c>
      <c r="I825" s="206">
        <f>SUMIFS(LANÇ_MOV[VALOR LÍQUIDO],LANÇ_MOV[RECEITA OU DESPESA],"Despesa",LANÇ_MOV[CONTAS],$C825,LANÇ_MOV[PLANO DE CONTAS],REL_DRE_FINANCEIRO!$B$753,LANÇ_MOV[ANO PAGAMENTO],$B$4,LANÇ_MOV[MÊS PAGAMENTO CORRESPONDENTE],I$6,LANÇ_MOV[EMPRESA],$C$4,LANÇ_MOV[CENTRO DE CUSTOS],$D$4)</f>
        <v>0</v>
      </c>
      <c r="J825" s="206">
        <f>SUMIFS(LANÇ_MOV[VALOR LÍQUIDO],LANÇ_MOV[RECEITA OU DESPESA],"Despesa",LANÇ_MOV[CONTAS],$C825,LANÇ_MOV[PLANO DE CONTAS],REL_DRE_FINANCEIRO!$B$753,LANÇ_MOV[ANO PAGAMENTO],$B$4,LANÇ_MOV[MÊS PAGAMENTO CORRESPONDENTE],J$6,LANÇ_MOV[EMPRESA],$C$4,LANÇ_MOV[CENTRO DE CUSTOS],$D$4)</f>
        <v>0</v>
      </c>
      <c r="K825" s="206">
        <f>SUMIFS(LANÇ_MOV[VALOR LÍQUIDO],LANÇ_MOV[RECEITA OU DESPESA],"Despesa",LANÇ_MOV[CONTAS],$C825,LANÇ_MOV[PLANO DE CONTAS],REL_DRE_FINANCEIRO!$B$753,LANÇ_MOV[ANO PAGAMENTO],$B$4,LANÇ_MOV[MÊS PAGAMENTO CORRESPONDENTE],K$6,LANÇ_MOV[EMPRESA],$C$4,LANÇ_MOV[CENTRO DE CUSTOS],$D$4)</f>
        <v>0</v>
      </c>
      <c r="L825" s="206">
        <f>SUMIFS(LANÇ_MOV[VALOR LÍQUIDO],LANÇ_MOV[RECEITA OU DESPESA],"Despesa",LANÇ_MOV[CONTAS],$C825,LANÇ_MOV[PLANO DE CONTAS],REL_DRE_FINANCEIRO!$B$753,LANÇ_MOV[ANO PAGAMENTO],$B$4,LANÇ_MOV[MÊS PAGAMENTO CORRESPONDENTE],L$6,LANÇ_MOV[EMPRESA],$C$4,LANÇ_MOV[CENTRO DE CUSTOS],$D$4)</f>
        <v>0</v>
      </c>
      <c r="M825" s="206">
        <f>SUMIFS(LANÇ_MOV[VALOR LÍQUIDO],LANÇ_MOV[RECEITA OU DESPESA],"Despesa",LANÇ_MOV[CONTAS],$C825,LANÇ_MOV[PLANO DE CONTAS],REL_DRE_FINANCEIRO!$B$753,LANÇ_MOV[ANO PAGAMENTO],$B$4,LANÇ_MOV[MÊS PAGAMENTO CORRESPONDENTE],M$6,LANÇ_MOV[EMPRESA],$C$4,LANÇ_MOV[CENTRO DE CUSTOS],$D$4)</f>
        <v>0</v>
      </c>
      <c r="N825" s="206">
        <f>SUMIFS(LANÇ_MOV[VALOR LÍQUIDO],LANÇ_MOV[RECEITA OU DESPESA],"Despesa",LANÇ_MOV[CONTAS],$C825,LANÇ_MOV[PLANO DE CONTAS],REL_DRE_FINANCEIRO!$B$753,LANÇ_MOV[ANO PAGAMENTO],$B$4,LANÇ_MOV[MÊS PAGAMENTO CORRESPONDENTE],N$6,LANÇ_MOV[EMPRESA],$C$4,LANÇ_MOV[CENTRO DE CUSTOS],$D$4)</f>
        <v>0</v>
      </c>
      <c r="O825" s="206">
        <f>SUMIFS(LANÇ_MOV[VALOR LÍQUIDO],LANÇ_MOV[RECEITA OU DESPESA],"Despesa",LANÇ_MOV[CONTAS],$C825,LANÇ_MOV[PLANO DE CONTAS],REL_DRE_FINANCEIRO!$B$753,LANÇ_MOV[ANO PAGAMENTO],$B$4,LANÇ_MOV[MÊS PAGAMENTO CORRESPONDENTE],O$6,LANÇ_MOV[EMPRESA],$C$4,LANÇ_MOV[CENTRO DE CUSTOS],$D$4)</f>
        <v>0</v>
      </c>
      <c r="P825" s="207">
        <f t="shared" si="105"/>
        <v>0</v>
      </c>
      <c r="Q825" s="329">
        <v>2.9000000000000002E-6</v>
      </c>
      <c r="R825" s="346">
        <f t="shared" si="106"/>
        <v>2.9000000000000002E-6</v>
      </c>
      <c r="S825" s="347" t="str">
        <f t="shared" si="107"/>
        <v>-</v>
      </c>
      <c r="T825" s="347">
        <f t="shared" si="108"/>
        <v>0</v>
      </c>
      <c r="U825" s="347">
        <f>HLOOKUP(Apoio!$P$12,$D$752:$P$853,X825,FALSE)+Q825</f>
        <v>2.9000000000000002E-6</v>
      </c>
      <c r="V825" s="447" t="str">
        <f t="shared" si="109"/>
        <v>-</v>
      </c>
      <c r="W825" s="448">
        <f>HLOOKUP(Apoio!$P$12,$D$752:$P$853,X825,FALSE)</f>
        <v>0</v>
      </c>
      <c r="X825" s="329">
        <v>74</v>
      </c>
    </row>
    <row r="826" spans="2:24" ht="30.05" customHeight="1" x14ac:dyDescent="0.35">
      <c r="B826" s="204" t="str">
        <f>'CAD_PL_REC-DESP'!Z77</f>
        <v>2.6.73</v>
      </c>
      <c r="C826" s="205" t="str">
        <f>IF('CAD_PL_REC-DESP'!AA77="","-",'CAD_PL_REC-DESP'!AA77)</f>
        <v>-</v>
      </c>
      <c r="D826" s="206">
        <f>SUMIFS(LANÇ_MOV[VALOR LÍQUIDO],LANÇ_MOV[RECEITA OU DESPESA],"Despesa",LANÇ_MOV[CONTAS],$C826,LANÇ_MOV[PLANO DE CONTAS],REL_DRE_FINANCEIRO!$B$753,LANÇ_MOV[ANO PAGAMENTO],$B$4,LANÇ_MOV[MÊS PAGAMENTO CORRESPONDENTE],D$6,LANÇ_MOV[EMPRESA],$C$4,LANÇ_MOV[CENTRO DE CUSTOS],$D$4)</f>
        <v>0</v>
      </c>
      <c r="E826" s="206">
        <f>SUMIFS(LANÇ_MOV[VALOR LÍQUIDO],LANÇ_MOV[RECEITA OU DESPESA],"Despesa",LANÇ_MOV[CONTAS],$C826,LANÇ_MOV[PLANO DE CONTAS],REL_DRE_FINANCEIRO!$B$753,LANÇ_MOV[ANO PAGAMENTO],$B$4,LANÇ_MOV[MÊS PAGAMENTO CORRESPONDENTE],E$6,LANÇ_MOV[EMPRESA],$C$4,LANÇ_MOV[CENTRO DE CUSTOS],$D$4)</f>
        <v>0</v>
      </c>
      <c r="F826" s="206">
        <f>SUMIFS(LANÇ_MOV[VALOR LÍQUIDO],LANÇ_MOV[RECEITA OU DESPESA],"Despesa",LANÇ_MOV[CONTAS],$C826,LANÇ_MOV[PLANO DE CONTAS],REL_DRE_FINANCEIRO!$B$753,LANÇ_MOV[ANO PAGAMENTO],$B$4,LANÇ_MOV[MÊS PAGAMENTO CORRESPONDENTE],F$6,LANÇ_MOV[EMPRESA],$C$4,LANÇ_MOV[CENTRO DE CUSTOS],$D$4)</f>
        <v>0</v>
      </c>
      <c r="G826" s="206">
        <f>SUMIFS(LANÇ_MOV[VALOR LÍQUIDO],LANÇ_MOV[RECEITA OU DESPESA],"Despesa",LANÇ_MOV[CONTAS],$C826,LANÇ_MOV[PLANO DE CONTAS],REL_DRE_FINANCEIRO!$B$753,LANÇ_MOV[ANO PAGAMENTO],$B$4,LANÇ_MOV[MÊS PAGAMENTO CORRESPONDENTE],G$6,LANÇ_MOV[EMPRESA],$C$4,LANÇ_MOV[CENTRO DE CUSTOS],$D$4)</f>
        <v>0</v>
      </c>
      <c r="H826" s="206">
        <f>SUMIFS(LANÇ_MOV[VALOR LÍQUIDO],LANÇ_MOV[RECEITA OU DESPESA],"Despesa",LANÇ_MOV[CONTAS],$C826,LANÇ_MOV[PLANO DE CONTAS],REL_DRE_FINANCEIRO!$B$753,LANÇ_MOV[ANO PAGAMENTO],$B$4,LANÇ_MOV[MÊS PAGAMENTO CORRESPONDENTE],H$6,LANÇ_MOV[EMPRESA],$C$4,LANÇ_MOV[CENTRO DE CUSTOS],$D$4)</f>
        <v>0</v>
      </c>
      <c r="I826" s="206">
        <f>SUMIFS(LANÇ_MOV[VALOR LÍQUIDO],LANÇ_MOV[RECEITA OU DESPESA],"Despesa",LANÇ_MOV[CONTAS],$C826,LANÇ_MOV[PLANO DE CONTAS],REL_DRE_FINANCEIRO!$B$753,LANÇ_MOV[ANO PAGAMENTO],$B$4,LANÇ_MOV[MÊS PAGAMENTO CORRESPONDENTE],I$6,LANÇ_MOV[EMPRESA],$C$4,LANÇ_MOV[CENTRO DE CUSTOS],$D$4)</f>
        <v>0</v>
      </c>
      <c r="J826" s="206">
        <f>SUMIFS(LANÇ_MOV[VALOR LÍQUIDO],LANÇ_MOV[RECEITA OU DESPESA],"Despesa",LANÇ_MOV[CONTAS],$C826,LANÇ_MOV[PLANO DE CONTAS],REL_DRE_FINANCEIRO!$B$753,LANÇ_MOV[ANO PAGAMENTO],$B$4,LANÇ_MOV[MÊS PAGAMENTO CORRESPONDENTE],J$6,LANÇ_MOV[EMPRESA],$C$4,LANÇ_MOV[CENTRO DE CUSTOS],$D$4)</f>
        <v>0</v>
      </c>
      <c r="K826" s="206">
        <f>SUMIFS(LANÇ_MOV[VALOR LÍQUIDO],LANÇ_MOV[RECEITA OU DESPESA],"Despesa",LANÇ_MOV[CONTAS],$C826,LANÇ_MOV[PLANO DE CONTAS],REL_DRE_FINANCEIRO!$B$753,LANÇ_MOV[ANO PAGAMENTO],$B$4,LANÇ_MOV[MÊS PAGAMENTO CORRESPONDENTE],K$6,LANÇ_MOV[EMPRESA],$C$4,LANÇ_MOV[CENTRO DE CUSTOS],$D$4)</f>
        <v>0</v>
      </c>
      <c r="L826" s="206">
        <f>SUMIFS(LANÇ_MOV[VALOR LÍQUIDO],LANÇ_MOV[RECEITA OU DESPESA],"Despesa",LANÇ_MOV[CONTAS],$C826,LANÇ_MOV[PLANO DE CONTAS],REL_DRE_FINANCEIRO!$B$753,LANÇ_MOV[ANO PAGAMENTO],$B$4,LANÇ_MOV[MÊS PAGAMENTO CORRESPONDENTE],L$6,LANÇ_MOV[EMPRESA],$C$4,LANÇ_MOV[CENTRO DE CUSTOS],$D$4)</f>
        <v>0</v>
      </c>
      <c r="M826" s="206">
        <f>SUMIFS(LANÇ_MOV[VALOR LÍQUIDO],LANÇ_MOV[RECEITA OU DESPESA],"Despesa",LANÇ_MOV[CONTAS],$C826,LANÇ_MOV[PLANO DE CONTAS],REL_DRE_FINANCEIRO!$B$753,LANÇ_MOV[ANO PAGAMENTO],$B$4,LANÇ_MOV[MÊS PAGAMENTO CORRESPONDENTE],M$6,LANÇ_MOV[EMPRESA],$C$4,LANÇ_MOV[CENTRO DE CUSTOS],$D$4)</f>
        <v>0</v>
      </c>
      <c r="N826" s="206">
        <f>SUMIFS(LANÇ_MOV[VALOR LÍQUIDO],LANÇ_MOV[RECEITA OU DESPESA],"Despesa",LANÇ_MOV[CONTAS],$C826,LANÇ_MOV[PLANO DE CONTAS],REL_DRE_FINANCEIRO!$B$753,LANÇ_MOV[ANO PAGAMENTO],$B$4,LANÇ_MOV[MÊS PAGAMENTO CORRESPONDENTE],N$6,LANÇ_MOV[EMPRESA],$C$4,LANÇ_MOV[CENTRO DE CUSTOS],$D$4)</f>
        <v>0</v>
      </c>
      <c r="O826" s="206">
        <f>SUMIFS(LANÇ_MOV[VALOR LÍQUIDO],LANÇ_MOV[RECEITA OU DESPESA],"Despesa",LANÇ_MOV[CONTAS],$C826,LANÇ_MOV[PLANO DE CONTAS],REL_DRE_FINANCEIRO!$B$753,LANÇ_MOV[ANO PAGAMENTO],$B$4,LANÇ_MOV[MÊS PAGAMENTO CORRESPONDENTE],O$6,LANÇ_MOV[EMPRESA],$C$4,LANÇ_MOV[CENTRO DE CUSTOS],$D$4)</f>
        <v>0</v>
      </c>
      <c r="P826" s="207">
        <f t="shared" si="105"/>
        <v>0</v>
      </c>
      <c r="Q826" s="329">
        <v>2.7999999999999999E-6</v>
      </c>
      <c r="R826" s="346">
        <f t="shared" si="106"/>
        <v>2.7999999999999999E-6</v>
      </c>
      <c r="S826" s="347" t="str">
        <f t="shared" si="107"/>
        <v>-</v>
      </c>
      <c r="T826" s="347">
        <f t="shared" si="108"/>
        <v>0</v>
      </c>
      <c r="U826" s="347">
        <f>HLOOKUP(Apoio!$P$12,$D$752:$P$853,X826,FALSE)+Q826</f>
        <v>2.7999999999999999E-6</v>
      </c>
      <c r="V826" s="447" t="str">
        <f t="shared" si="109"/>
        <v>-</v>
      </c>
      <c r="W826" s="448">
        <f>HLOOKUP(Apoio!$P$12,$D$752:$P$853,X826,FALSE)</f>
        <v>0</v>
      </c>
      <c r="X826" s="329">
        <v>75</v>
      </c>
    </row>
    <row r="827" spans="2:24" ht="30.05" customHeight="1" x14ac:dyDescent="0.35">
      <c r="B827" s="204" t="str">
        <f>'CAD_PL_REC-DESP'!Z78</f>
        <v>2.6.74</v>
      </c>
      <c r="C827" s="205" t="str">
        <f>IF('CAD_PL_REC-DESP'!AA78="","-",'CAD_PL_REC-DESP'!AA78)</f>
        <v>-</v>
      </c>
      <c r="D827" s="206">
        <f>SUMIFS(LANÇ_MOV[VALOR LÍQUIDO],LANÇ_MOV[RECEITA OU DESPESA],"Despesa",LANÇ_MOV[CONTAS],$C827,LANÇ_MOV[PLANO DE CONTAS],REL_DRE_FINANCEIRO!$B$753,LANÇ_MOV[ANO PAGAMENTO],$B$4,LANÇ_MOV[MÊS PAGAMENTO CORRESPONDENTE],D$6,LANÇ_MOV[EMPRESA],$C$4,LANÇ_MOV[CENTRO DE CUSTOS],$D$4)</f>
        <v>0</v>
      </c>
      <c r="E827" s="206">
        <f>SUMIFS(LANÇ_MOV[VALOR LÍQUIDO],LANÇ_MOV[RECEITA OU DESPESA],"Despesa",LANÇ_MOV[CONTAS],$C827,LANÇ_MOV[PLANO DE CONTAS],REL_DRE_FINANCEIRO!$B$753,LANÇ_MOV[ANO PAGAMENTO],$B$4,LANÇ_MOV[MÊS PAGAMENTO CORRESPONDENTE],E$6,LANÇ_MOV[EMPRESA],$C$4,LANÇ_MOV[CENTRO DE CUSTOS],$D$4)</f>
        <v>0</v>
      </c>
      <c r="F827" s="206">
        <f>SUMIFS(LANÇ_MOV[VALOR LÍQUIDO],LANÇ_MOV[RECEITA OU DESPESA],"Despesa",LANÇ_MOV[CONTAS],$C827,LANÇ_MOV[PLANO DE CONTAS],REL_DRE_FINANCEIRO!$B$753,LANÇ_MOV[ANO PAGAMENTO],$B$4,LANÇ_MOV[MÊS PAGAMENTO CORRESPONDENTE],F$6,LANÇ_MOV[EMPRESA],$C$4,LANÇ_MOV[CENTRO DE CUSTOS],$D$4)</f>
        <v>0</v>
      </c>
      <c r="G827" s="206">
        <f>SUMIFS(LANÇ_MOV[VALOR LÍQUIDO],LANÇ_MOV[RECEITA OU DESPESA],"Despesa",LANÇ_MOV[CONTAS],$C827,LANÇ_MOV[PLANO DE CONTAS],REL_DRE_FINANCEIRO!$B$753,LANÇ_MOV[ANO PAGAMENTO],$B$4,LANÇ_MOV[MÊS PAGAMENTO CORRESPONDENTE],G$6,LANÇ_MOV[EMPRESA],$C$4,LANÇ_MOV[CENTRO DE CUSTOS],$D$4)</f>
        <v>0</v>
      </c>
      <c r="H827" s="206">
        <f>SUMIFS(LANÇ_MOV[VALOR LÍQUIDO],LANÇ_MOV[RECEITA OU DESPESA],"Despesa",LANÇ_MOV[CONTAS],$C827,LANÇ_MOV[PLANO DE CONTAS],REL_DRE_FINANCEIRO!$B$753,LANÇ_MOV[ANO PAGAMENTO],$B$4,LANÇ_MOV[MÊS PAGAMENTO CORRESPONDENTE],H$6,LANÇ_MOV[EMPRESA],$C$4,LANÇ_MOV[CENTRO DE CUSTOS],$D$4)</f>
        <v>0</v>
      </c>
      <c r="I827" s="206">
        <f>SUMIFS(LANÇ_MOV[VALOR LÍQUIDO],LANÇ_MOV[RECEITA OU DESPESA],"Despesa",LANÇ_MOV[CONTAS],$C827,LANÇ_MOV[PLANO DE CONTAS],REL_DRE_FINANCEIRO!$B$753,LANÇ_MOV[ANO PAGAMENTO],$B$4,LANÇ_MOV[MÊS PAGAMENTO CORRESPONDENTE],I$6,LANÇ_MOV[EMPRESA],$C$4,LANÇ_MOV[CENTRO DE CUSTOS],$D$4)</f>
        <v>0</v>
      </c>
      <c r="J827" s="206">
        <f>SUMIFS(LANÇ_MOV[VALOR LÍQUIDO],LANÇ_MOV[RECEITA OU DESPESA],"Despesa",LANÇ_MOV[CONTAS],$C827,LANÇ_MOV[PLANO DE CONTAS],REL_DRE_FINANCEIRO!$B$753,LANÇ_MOV[ANO PAGAMENTO],$B$4,LANÇ_MOV[MÊS PAGAMENTO CORRESPONDENTE],J$6,LANÇ_MOV[EMPRESA],$C$4,LANÇ_MOV[CENTRO DE CUSTOS],$D$4)</f>
        <v>0</v>
      </c>
      <c r="K827" s="206">
        <f>SUMIFS(LANÇ_MOV[VALOR LÍQUIDO],LANÇ_MOV[RECEITA OU DESPESA],"Despesa",LANÇ_MOV[CONTAS],$C827,LANÇ_MOV[PLANO DE CONTAS],REL_DRE_FINANCEIRO!$B$753,LANÇ_MOV[ANO PAGAMENTO],$B$4,LANÇ_MOV[MÊS PAGAMENTO CORRESPONDENTE],K$6,LANÇ_MOV[EMPRESA],$C$4,LANÇ_MOV[CENTRO DE CUSTOS],$D$4)</f>
        <v>0</v>
      </c>
      <c r="L827" s="206">
        <f>SUMIFS(LANÇ_MOV[VALOR LÍQUIDO],LANÇ_MOV[RECEITA OU DESPESA],"Despesa",LANÇ_MOV[CONTAS],$C827,LANÇ_MOV[PLANO DE CONTAS],REL_DRE_FINANCEIRO!$B$753,LANÇ_MOV[ANO PAGAMENTO],$B$4,LANÇ_MOV[MÊS PAGAMENTO CORRESPONDENTE],L$6,LANÇ_MOV[EMPRESA],$C$4,LANÇ_MOV[CENTRO DE CUSTOS],$D$4)</f>
        <v>0</v>
      </c>
      <c r="M827" s="206">
        <f>SUMIFS(LANÇ_MOV[VALOR LÍQUIDO],LANÇ_MOV[RECEITA OU DESPESA],"Despesa",LANÇ_MOV[CONTAS],$C827,LANÇ_MOV[PLANO DE CONTAS],REL_DRE_FINANCEIRO!$B$753,LANÇ_MOV[ANO PAGAMENTO],$B$4,LANÇ_MOV[MÊS PAGAMENTO CORRESPONDENTE],M$6,LANÇ_MOV[EMPRESA],$C$4,LANÇ_MOV[CENTRO DE CUSTOS],$D$4)</f>
        <v>0</v>
      </c>
      <c r="N827" s="206">
        <f>SUMIFS(LANÇ_MOV[VALOR LÍQUIDO],LANÇ_MOV[RECEITA OU DESPESA],"Despesa",LANÇ_MOV[CONTAS],$C827,LANÇ_MOV[PLANO DE CONTAS],REL_DRE_FINANCEIRO!$B$753,LANÇ_MOV[ANO PAGAMENTO],$B$4,LANÇ_MOV[MÊS PAGAMENTO CORRESPONDENTE],N$6,LANÇ_MOV[EMPRESA],$C$4,LANÇ_MOV[CENTRO DE CUSTOS],$D$4)</f>
        <v>0</v>
      </c>
      <c r="O827" s="206">
        <f>SUMIFS(LANÇ_MOV[VALOR LÍQUIDO],LANÇ_MOV[RECEITA OU DESPESA],"Despesa",LANÇ_MOV[CONTAS],$C827,LANÇ_MOV[PLANO DE CONTAS],REL_DRE_FINANCEIRO!$B$753,LANÇ_MOV[ANO PAGAMENTO],$B$4,LANÇ_MOV[MÊS PAGAMENTO CORRESPONDENTE],O$6,LANÇ_MOV[EMPRESA],$C$4,LANÇ_MOV[CENTRO DE CUSTOS],$D$4)</f>
        <v>0</v>
      </c>
      <c r="P827" s="207">
        <f t="shared" si="105"/>
        <v>0</v>
      </c>
      <c r="Q827" s="329">
        <v>2.7E-6</v>
      </c>
      <c r="R827" s="346">
        <f t="shared" si="106"/>
        <v>2.7E-6</v>
      </c>
      <c r="S827" s="347" t="str">
        <f t="shared" si="107"/>
        <v>-</v>
      </c>
      <c r="T827" s="347">
        <f t="shared" si="108"/>
        <v>0</v>
      </c>
      <c r="U827" s="347">
        <f>HLOOKUP(Apoio!$P$12,$D$752:$P$853,X827,FALSE)+Q827</f>
        <v>2.7E-6</v>
      </c>
      <c r="V827" s="447" t="str">
        <f t="shared" si="109"/>
        <v>-</v>
      </c>
      <c r="W827" s="448">
        <f>HLOOKUP(Apoio!$P$12,$D$752:$P$853,X827,FALSE)</f>
        <v>0</v>
      </c>
      <c r="X827" s="329">
        <v>76</v>
      </c>
    </row>
    <row r="828" spans="2:24" ht="30.05" customHeight="1" x14ac:dyDescent="0.35">
      <c r="B828" s="204" t="str">
        <f>'CAD_PL_REC-DESP'!Z79</f>
        <v>2.6.75</v>
      </c>
      <c r="C828" s="205" t="str">
        <f>IF('CAD_PL_REC-DESP'!AA79="","-",'CAD_PL_REC-DESP'!AA79)</f>
        <v>-</v>
      </c>
      <c r="D828" s="206">
        <f>SUMIFS(LANÇ_MOV[VALOR LÍQUIDO],LANÇ_MOV[RECEITA OU DESPESA],"Despesa",LANÇ_MOV[CONTAS],$C828,LANÇ_MOV[PLANO DE CONTAS],REL_DRE_FINANCEIRO!$B$753,LANÇ_MOV[ANO PAGAMENTO],$B$4,LANÇ_MOV[MÊS PAGAMENTO CORRESPONDENTE],D$6,LANÇ_MOV[EMPRESA],$C$4,LANÇ_MOV[CENTRO DE CUSTOS],$D$4)</f>
        <v>0</v>
      </c>
      <c r="E828" s="206">
        <f>SUMIFS(LANÇ_MOV[VALOR LÍQUIDO],LANÇ_MOV[RECEITA OU DESPESA],"Despesa",LANÇ_MOV[CONTAS],$C828,LANÇ_MOV[PLANO DE CONTAS],REL_DRE_FINANCEIRO!$B$753,LANÇ_MOV[ANO PAGAMENTO],$B$4,LANÇ_MOV[MÊS PAGAMENTO CORRESPONDENTE],E$6,LANÇ_MOV[EMPRESA],$C$4,LANÇ_MOV[CENTRO DE CUSTOS],$D$4)</f>
        <v>0</v>
      </c>
      <c r="F828" s="206">
        <f>SUMIFS(LANÇ_MOV[VALOR LÍQUIDO],LANÇ_MOV[RECEITA OU DESPESA],"Despesa",LANÇ_MOV[CONTAS],$C828,LANÇ_MOV[PLANO DE CONTAS],REL_DRE_FINANCEIRO!$B$753,LANÇ_MOV[ANO PAGAMENTO],$B$4,LANÇ_MOV[MÊS PAGAMENTO CORRESPONDENTE],F$6,LANÇ_MOV[EMPRESA],$C$4,LANÇ_MOV[CENTRO DE CUSTOS],$D$4)</f>
        <v>0</v>
      </c>
      <c r="G828" s="206">
        <f>SUMIFS(LANÇ_MOV[VALOR LÍQUIDO],LANÇ_MOV[RECEITA OU DESPESA],"Despesa",LANÇ_MOV[CONTAS],$C828,LANÇ_MOV[PLANO DE CONTAS],REL_DRE_FINANCEIRO!$B$753,LANÇ_MOV[ANO PAGAMENTO],$B$4,LANÇ_MOV[MÊS PAGAMENTO CORRESPONDENTE],G$6,LANÇ_MOV[EMPRESA],$C$4,LANÇ_MOV[CENTRO DE CUSTOS],$D$4)</f>
        <v>0</v>
      </c>
      <c r="H828" s="206">
        <f>SUMIFS(LANÇ_MOV[VALOR LÍQUIDO],LANÇ_MOV[RECEITA OU DESPESA],"Despesa",LANÇ_MOV[CONTAS],$C828,LANÇ_MOV[PLANO DE CONTAS],REL_DRE_FINANCEIRO!$B$753,LANÇ_MOV[ANO PAGAMENTO],$B$4,LANÇ_MOV[MÊS PAGAMENTO CORRESPONDENTE],H$6,LANÇ_MOV[EMPRESA],$C$4,LANÇ_MOV[CENTRO DE CUSTOS],$D$4)</f>
        <v>0</v>
      </c>
      <c r="I828" s="206">
        <f>SUMIFS(LANÇ_MOV[VALOR LÍQUIDO],LANÇ_MOV[RECEITA OU DESPESA],"Despesa",LANÇ_MOV[CONTAS],$C828,LANÇ_MOV[PLANO DE CONTAS],REL_DRE_FINANCEIRO!$B$753,LANÇ_MOV[ANO PAGAMENTO],$B$4,LANÇ_MOV[MÊS PAGAMENTO CORRESPONDENTE],I$6,LANÇ_MOV[EMPRESA],$C$4,LANÇ_MOV[CENTRO DE CUSTOS],$D$4)</f>
        <v>0</v>
      </c>
      <c r="J828" s="206">
        <f>SUMIFS(LANÇ_MOV[VALOR LÍQUIDO],LANÇ_MOV[RECEITA OU DESPESA],"Despesa",LANÇ_MOV[CONTAS],$C828,LANÇ_MOV[PLANO DE CONTAS],REL_DRE_FINANCEIRO!$B$753,LANÇ_MOV[ANO PAGAMENTO],$B$4,LANÇ_MOV[MÊS PAGAMENTO CORRESPONDENTE],J$6,LANÇ_MOV[EMPRESA],$C$4,LANÇ_MOV[CENTRO DE CUSTOS],$D$4)</f>
        <v>0</v>
      </c>
      <c r="K828" s="206">
        <f>SUMIFS(LANÇ_MOV[VALOR LÍQUIDO],LANÇ_MOV[RECEITA OU DESPESA],"Despesa",LANÇ_MOV[CONTAS],$C828,LANÇ_MOV[PLANO DE CONTAS],REL_DRE_FINANCEIRO!$B$753,LANÇ_MOV[ANO PAGAMENTO],$B$4,LANÇ_MOV[MÊS PAGAMENTO CORRESPONDENTE],K$6,LANÇ_MOV[EMPRESA],$C$4,LANÇ_MOV[CENTRO DE CUSTOS],$D$4)</f>
        <v>0</v>
      </c>
      <c r="L828" s="206">
        <f>SUMIFS(LANÇ_MOV[VALOR LÍQUIDO],LANÇ_MOV[RECEITA OU DESPESA],"Despesa",LANÇ_MOV[CONTAS],$C828,LANÇ_MOV[PLANO DE CONTAS],REL_DRE_FINANCEIRO!$B$753,LANÇ_MOV[ANO PAGAMENTO],$B$4,LANÇ_MOV[MÊS PAGAMENTO CORRESPONDENTE],L$6,LANÇ_MOV[EMPRESA],$C$4,LANÇ_MOV[CENTRO DE CUSTOS],$D$4)</f>
        <v>0</v>
      </c>
      <c r="M828" s="206">
        <f>SUMIFS(LANÇ_MOV[VALOR LÍQUIDO],LANÇ_MOV[RECEITA OU DESPESA],"Despesa",LANÇ_MOV[CONTAS],$C828,LANÇ_MOV[PLANO DE CONTAS],REL_DRE_FINANCEIRO!$B$753,LANÇ_MOV[ANO PAGAMENTO],$B$4,LANÇ_MOV[MÊS PAGAMENTO CORRESPONDENTE],M$6,LANÇ_MOV[EMPRESA],$C$4,LANÇ_MOV[CENTRO DE CUSTOS],$D$4)</f>
        <v>0</v>
      </c>
      <c r="N828" s="206">
        <f>SUMIFS(LANÇ_MOV[VALOR LÍQUIDO],LANÇ_MOV[RECEITA OU DESPESA],"Despesa",LANÇ_MOV[CONTAS],$C828,LANÇ_MOV[PLANO DE CONTAS],REL_DRE_FINANCEIRO!$B$753,LANÇ_MOV[ANO PAGAMENTO],$B$4,LANÇ_MOV[MÊS PAGAMENTO CORRESPONDENTE],N$6,LANÇ_MOV[EMPRESA],$C$4,LANÇ_MOV[CENTRO DE CUSTOS],$D$4)</f>
        <v>0</v>
      </c>
      <c r="O828" s="206">
        <f>SUMIFS(LANÇ_MOV[VALOR LÍQUIDO],LANÇ_MOV[RECEITA OU DESPESA],"Despesa",LANÇ_MOV[CONTAS],$C828,LANÇ_MOV[PLANO DE CONTAS],REL_DRE_FINANCEIRO!$B$753,LANÇ_MOV[ANO PAGAMENTO],$B$4,LANÇ_MOV[MÊS PAGAMENTO CORRESPONDENTE],O$6,LANÇ_MOV[EMPRESA],$C$4,LANÇ_MOV[CENTRO DE CUSTOS],$D$4)</f>
        <v>0</v>
      </c>
      <c r="P828" s="207">
        <f t="shared" si="105"/>
        <v>0</v>
      </c>
      <c r="Q828" s="329">
        <v>2.6000000000000001E-6</v>
      </c>
      <c r="R828" s="346">
        <f t="shared" si="106"/>
        <v>2.6000000000000001E-6</v>
      </c>
      <c r="S828" s="347" t="str">
        <f t="shared" si="107"/>
        <v>-</v>
      </c>
      <c r="T828" s="347">
        <f t="shared" si="108"/>
        <v>0</v>
      </c>
      <c r="U828" s="347">
        <f>HLOOKUP(Apoio!$P$12,$D$752:$P$853,X828,FALSE)+Q828</f>
        <v>2.6000000000000001E-6</v>
      </c>
      <c r="V828" s="447" t="str">
        <f t="shared" si="109"/>
        <v>-</v>
      </c>
      <c r="W828" s="448">
        <f>HLOOKUP(Apoio!$P$12,$D$752:$P$853,X828,FALSE)</f>
        <v>0</v>
      </c>
      <c r="X828" s="329">
        <v>77</v>
      </c>
    </row>
    <row r="829" spans="2:24" ht="30.05" customHeight="1" x14ac:dyDescent="0.35">
      <c r="B829" s="204" t="str">
        <f>'CAD_PL_REC-DESP'!Z80</f>
        <v>2.6.76</v>
      </c>
      <c r="C829" s="205" t="str">
        <f>IF('CAD_PL_REC-DESP'!AA80="","-",'CAD_PL_REC-DESP'!AA80)</f>
        <v>-</v>
      </c>
      <c r="D829" s="206">
        <f>SUMIFS(LANÇ_MOV[VALOR LÍQUIDO],LANÇ_MOV[RECEITA OU DESPESA],"Despesa",LANÇ_MOV[CONTAS],$C829,LANÇ_MOV[PLANO DE CONTAS],REL_DRE_FINANCEIRO!$B$753,LANÇ_MOV[ANO PAGAMENTO],$B$4,LANÇ_MOV[MÊS PAGAMENTO CORRESPONDENTE],D$6,LANÇ_MOV[EMPRESA],$C$4,LANÇ_MOV[CENTRO DE CUSTOS],$D$4)</f>
        <v>0</v>
      </c>
      <c r="E829" s="206">
        <f>SUMIFS(LANÇ_MOV[VALOR LÍQUIDO],LANÇ_MOV[RECEITA OU DESPESA],"Despesa",LANÇ_MOV[CONTAS],$C829,LANÇ_MOV[PLANO DE CONTAS],REL_DRE_FINANCEIRO!$B$753,LANÇ_MOV[ANO PAGAMENTO],$B$4,LANÇ_MOV[MÊS PAGAMENTO CORRESPONDENTE],E$6,LANÇ_MOV[EMPRESA],$C$4,LANÇ_MOV[CENTRO DE CUSTOS],$D$4)</f>
        <v>0</v>
      </c>
      <c r="F829" s="206">
        <f>SUMIFS(LANÇ_MOV[VALOR LÍQUIDO],LANÇ_MOV[RECEITA OU DESPESA],"Despesa",LANÇ_MOV[CONTAS],$C829,LANÇ_MOV[PLANO DE CONTAS],REL_DRE_FINANCEIRO!$B$753,LANÇ_MOV[ANO PAGAMENTO],$B$4,LANÇ_MOV[MÊS PAGAMENTO CORRESPONDENTE],F$6,LANÇ_MOV[EMPRESA],$C$4,LANÇ_MOV[CENTRO DE CUSTOS],$D$4)</f>
        <v>0</v>
      </c>
      <c r="G829" s="206">
        <f>SUMIFS(LANÇ_MOV[VALOR LÍQUIDO],LANÇ_MOV[RECEITA OU DESPESA],"Despesa",LANÇ_MOV[CONTAS],$C829,LANÇ_MOV[PLANO DE CONTAS],REL_DRE_FINANCEIRO!$B$753,LANÇ_MOV[ANO PAGAMENTO],$B$4,LANÇ_MOV[MÊS PAGAMENTO CORRESPONDENTE],G$6,LANÇ_MOV[EMPRESA],$C$4,LANÇ_MOV[CENTRO DE CUSTOS],$D$4)</f>
        <v>0</v>
      </c>
      <c r="H829" s="206">
        <f>SUMIFS(LANÇ_MOV[VALOR LÍQUIDO],LANÇ_MOV[RECEITA OU DESPESA],"Despesa",LANÇ_MOV[CONTAS],$C829,LANÇ_MOV[PLANO DE CONTAS],REL_DRE_FINANCEIRO!$B$753,LANÇ_MOV[ANO PAGAMENTO],$B$4,LANÇ_MOV[MÊS PAGAMENTO CORRESPONDENTE],H$6,LANÇ_MOV[EMPRESA],$C$4,LANÇ_MOV[CENTRO DE CUSTOS],$D$4)</f>
        <v>0</v>
      </c>
      <c r="I829" s="206">
        <f>SUMIFS(LANÇ_MOV[VALOR LÍQUIDO],LANÇ_MOV[RECEITA OU DESPESA],"Despesa",LANÇ_MOV[CONTAS],$C829,LANÇ_MOV[PLANO DE CONTAS],REL_DRE_FINANCEIRO!$B$753,LANÇ_MOV[ANO PAGAMENTO],$B$4,LANÇ_MOV[MÊS PAGAMENTO CORRESPONDENTE],I$6,LANÇ_MOV[EMPRESA],$C$4,LANÇ_MOV[CENTRO DE CUSTOS],$D$4)</f>
        <v>0</v>
      </c>
      <c r="J829" s="206">
        <f>SUMIFS(LANÇ_MOV[VALOR LÍQUIDO],LANÇ_MOV[RECEITA OU DESPESA],"Despesa",LANÇ_MOV[CONTAS],$C829,LANÇ_MOV[PLANO DE CONTAS],REL_DRE_FINANCEIRO!$B$753,LANÇ_MOV[ANO PAGAMENTO],$B$4,LANÇ_MOV[MÊS PAGAMENTO CORRESPONDENTE],J$6,LANÇ_MOV[EMPRESA],$C$4,LANÇ_MOV[CENTRO DE CUSTOS],$D$4)</f>
        <v>0</v>
      </c>
      <c r="K829" s="206">
        <f>SUMIFS(LANÇ_MOV[VALOR LÍQUIDO],LANÇ_MOV[RECEITA OU DESPESA],"Despesa",LANÇ_MOV[CONTAS],$C829,LANÇ_MOV[PLANO DE CONTAS],REL_DRE_FINANCEIRO!$B$753,LANÇ_MOV[ANO PAGAMENTO],$B$4,LANÇ_MOV[MÊS PAGAMENTO CORRESPONDENTE],K$6,LANÇ_MOV[EMPRESA],$C$4,LANÇ_MOV[CENTRO DE CUSTOS],$D$4)</f>
        <v>0</v>
      </c>
      <c r="L829" s="206">
        <f>SUMIFS(LANÇ_MOV[VALOR LÍQUIDO],LANÇ_MOV[RECEITA OU DESPESA],"Despesa",LANÇ_MOV[CONTAS],$C829,LANÇ_MOV[PLANO DE CONTAS],REL_DRE_FINANCEIRO!$B$753,LANÇ_MOV[ANO PAGAMENTO],$B$4,LANÇ_MOV[MÊS PAGAMENTO CORRESPONDENTE],L$6,LANÇ_MOV[EMPRESA],$C$4,LANÇ_MOV[CENTRO DE CUSTOS],$D$4)</f>
        <v>0</v>
      </c>
      <c r="M829" s="206">
        <f>SUMIFS(LANÇ_MOV[VALOR LÍQUIDO],LANÇ_MOV[RECEITA OU DESPESA],"Despesa",LANÇ_MOV[CONTAS],$C829,LANÇ_MOV[PLANO DE CONTAS],REL_DRE_FINANCEIRO!$B$753,LANÇ_MOV[ANO PAGAMENTO],$B$4,LANÇ_MOV[MÊS PAGAMENTO CORRESPONDENTE],M$6,LANÇ_MOV[EMPRESA],$C$4,LANÇ_MOV[CENTRO DE CUSTOS],$D$4)</f>
        <v>0</v>
      </c>
      <c r="N829" s="206">
        <f>SUMIFS(LANÇ_MOV[VALOR LÍQUIDO],LANÇ_MOV[RECEITA OU DESPESA],"Despesa",LANÇ_MOV[CONTAS],$C829,LANÇ_MOV[PLANO DE CONTAS],REL_DRE_FINANCEIRO!$B$753,LANÇ_MOV[ANO PAGAMENTO],$B$4,LANÇ_MOV[MÊS PAGAMENTO CORRESPONDENTE],N$6,LANÇ_MOV[EMPRESA],$C$4,LANÇ_MOV[CENTRO DE CUSTOS],$D$4)</f>
        <v>0</v>
      </c>
      <c r="O829" s="206">
        <f>SUMIFS(LANÇ_MOV[VALOR LÍQUIDO],LANÇ_MOV[RECEITA OU DESPESA],"Despesa",LANÇ_MOV[CONTAS],$C829,LANÇ_MOV[PLANO DE CONTAS],REL_DRE_FINANCEIRO!$B$753,LANÇ_MOV[ANO PAGAMENTO],$B$4,LANÇ_MOV[MÊS PAGAMENTO CORRESPONDENTE],O$6,LANÇ_MOV[EMPRESA],$C$4,LANÇ_MOV[CENTRO DE CUSTOS],$D$4)</f>
        <v>0</v>
      </c>
      <c r="P829" s="207">
        <f t="shared" si="105"/>
        <v>0</v>
      </c>
      <c r="Q829" s="329">
        <v>2.5000000000000002E-6</v>
      </c>
      <c r="R829" s="346">
        <f t="shared" si="106"/>
        <v>2.5000000000000002E-6</v>
      </c>
      <c r="S829" s="347" t="str">
        <f t="shared" si="107"/>
        <v>-</v>
      </c>
      <c r="T829" s="347">
        <f t="shared" si="108"/>
        <v>0</v>
      </c>
      <c r="U829" s="347">
        <f>HLOOKUP(Apoio!$P$12,$D$752:$P$853,X829,FALSE)+Q829</f>
        <v>2.5000000000000002E-6</v>
      </c>
      <c r="V829" s="447" t="str">
        <f t="shared" si="109"/>
        <v>-</v>
      </c>
      <c r="W829" s="448">
        <f>HLOOKUP(Apoio!$P$12,$D$752:$P$853,X829,FALSE)</f>
        <v>0</v>
      </c>
      <c r="X829" s="329">
        <v>78</v>
      </c>
    </row>
    <row r="830" spans="2:24" ht="30.05" customHeight="1" x14ac:dyDescent="0.35">
      <c r="B830" s="204" t="str">
        <f>'CAD_PL_REC-DESP'!Z81</f>
        <v>2.6.77</v>
      </c>
      <c r="C830" s="205" t="str">
        <f>IF('CAD_PL_REC-DESP'!AA81="","-",'CAD_PL_REC-DESP'!AA81)</f>
        <v>-</v>
      </c>
      <c r="D830" s="206">
        <f>SUMIFS(LANÇ_MOV[VALOR LÍQUIDO],LANÇ_MOV[RECEITA OU DESPESA],"Despesa",LANÇ_MOV[CONTAS],$C830,LANÇ_MOV[PLANO DE CONTAS],REL_DRE_FINANCEIRO!$B$753,LANÇ_MOV[ANO PAGAMENTO],$B$4,LANÇ_MOV[MÊS PAGAMENTO CORRESPONDENTE],D$6,LANÇ_MOV[EMPRESA],$C$4,LANÇ_MOV[CENTRO DE CUSTOS],$D$4)</f>
        <v>0</v>
      </c>
      <c r="E830" s="206">
        <f>SUMIFS(LANÇ_MOV[VALOR LÍQUIDO],LANÇ_MOV[RECEITA OU DESPESA],"Despesa",LANÇ_MOV[CONTAS],$C830,LANÇ_MOV[PLANO DE CONTAS],REL_DRE_FINANCEIRO!$B$753,LANÇ_MOV[ANO PAGAMENTO],$B$4,LANÇ_MOV[MÊS PAGAMENTO CORRESPONDENTE],E$6,LANÇ_MOV[EMPRESA],$C$4,LANÇ_MOV[CENTRO DE CUSTOS],$D$4)</f>
        <v>0</v>
      </c>
      <c r="F830" s="206">
        <f>SUMIFS(LANÇ_MOV[VALOR LÍQUIDO],LANÇ_MOV[RECEITA OU DESPESA],"Despesa",LANÇ_MOV[CONTAS],$C830,LANÇ_MOV[PLANO DE CONTAS],REL_DRE_FINANCEIRO!$B$753,LANÇ_MOV[ANO PAGAMENTO],$B$4,LANÇ_MOV[MÊS PAGAMENTO CORRESPONDENTE],F$6,LANÇ_MOV[EMPRESA],$C$4,LANÇ_MOV[CENTRO DE CUSTOS],$D$4)</f>
        <v>0</v>
      </c>
      <c r="G830" s="206">
        <f>SUMIFS(LANÇ_MOV[VALOR LÍQUIDO],LANÇ_MOV[RECEITA OU DESPESA],"Despesa",LANÇ_MOV[CONTAS],$C830,LANÇ_MOV[PLANO DE CONTAS],REL_DRE_FINANCEIRO!$B$753,LANÇ_MOV[ANO PAGAMENTO],$B$4,LANÇ_MOV[MÊS PAGAMENTO CORRESPONDENTE],G$6,LANÇ_MOV[EMPRESA],$C$4,LANÇ_MOV[CENTRO DE CUSTOS],$D$4)</f>
        <v>0</v>
      </c>
      <c r="H830" s="206">
        <f>SUMIFS(LANÇ_MOV[VALOR LÍQUIDO],LANÇ_MOV[RECEITA OU DESPESA],"Despesa",LANÇ_MOV[CONTAS],$C830,LANÇ_MOV[PLANO DE CONTAS],REL_DRE_FINANCEIRO!$B$753,LANÇ_MOV[ANO PAGAMENTO],$B$4,LANÇ_MOV[MÊS PAGAMENTO CORRESPONDENTE],H$6,LANÇ_MOV[EMPRESA],$C$4,LANÇ_MOV[CENTRO DE CUSTOS],$D$4)</f>
        <v>0</v>
      </c>
      <c r="I830" s="206">
        <f>SUMIFS(LANÇ_MOV[VALOR LÍQUIDO],LANÇ_MOV[RECEITA OU DESPESA],"Despesa",LANÇ_MOV[CONTAS],$C830,LANÇ_MOV[PLANO DE CONTAS],REL_DRE_FINANCEIRO!$B$753,LANÇ_MOV[ANO PAGAMENTO],$B$4,LANÇ_MOV[MÊS PAGAMENTO CORRESPONDENTE],I$6,LANÇ_MOV[EMPRESA],$C$4,LANÇ_MOV[CENTRO DE CUSTOS],$D$4)</f>
        <v>0</v>
      </c>
      <c r="J830" s="206">
        <f>SUMIFS(LANÇ_MOV[VALOR LÍQUIDO],LANÇ_MOV[RECEITA OU DESPESA],"Despesa",LANÇ_MOV[CONTAS],$C830,LANÇ_MOV[PLANO DE CONTAS],REL_DRE_FINANCEIRO!$B$753,LANÇ_MOV[ANO PAGAMENTO],$B$4,LANÇ_MOV[MÊS PAGAMENTO CORRESPONDENTE],J$6,LANÇ_MOV[EMPRESA],$C$4,LANÇ_MOV[CENTRO DE CUSTOS],$D$4)</f>
        <v>0</v>
      </c>
      <c r="K830" s="206">
        <f>SUMIFS(LANÇ_MOV[VALOR LÍQUIDO],LANÇ_MOV[RECEITA OU DESPESA],"Despesa",LANÇ_MOV[CONTAS],$C830,LANÇ_MOV[PLANO DE CONTAS],REL_DRE_FINANCEIRO!$B$753,LANÇ_MOV[ANO PAGAMENTO],$B$4,LANÇ_MOV[MÊS PAGAMENTO CORRESPONDENTE],K$6,LANÇ_MOV[EMPRESA],$C$4,LANÇ_MOV[CENTRO DE CUSTOS],$D$4)</f>
        <v>0</v>
      </c>
      <c r="L830" s="206">
        <f>SUMIFS(LANÇ_MOV[VALOR LÍQUIDO],LANÇ_MOV[RECEITA OU DESPESA],"Despesa",LANÇ_MOV[CONTAS],$C830,LANÇ_MOV[PLANO DE CONTAS],REL_DRE_FINANCEIRO!$B$753,LANÇ_MOV[ANO PAGAMENTO],$B$4,LANÇ_MOV[MÊS PAGAMENTO CORRESPONDENTE],L$6,LANÇ_MOV[EMPRESA],$C$4,LANÇ_MOV[CENTRO DE CUSTOS],$D$4)</f>
        <v>0</v>
      </c>
      <c r="M830" s="206">
        <f>SUMIFS(LANÇ_MOV[VALOR LÍQUIDO],LANÇ_MOV[RECEITA OU DESPESA],"Despesa",LANÇ_MOV[CONTAS],$C830,LANÇ_MOV[PLANO DE CONTAS],REL_DRE_FINANCEIRO!$B$753,LANÇ_MOV[ANO PAGAMENTO],$B$4,LANÇ_MOV[MÊS PAGAMENTO CORRESPONDENTE],M$6,LANÇ_MOV[EMPRESA],$C$4,LANÇ_MOV[CENTRO DE CUSTOS],$D$4)</f>
        <v>0</v>
      </c>
      <c r="N830" s="206">
        <f>SUMIFS(LANÇ_MOV[VALOR LÍQUIDO],LANÇ_MOV[RECEITA OU DESPESA],"Despesa",LANÇ_MOV[CONTAS],$C830,LANÇ_MOV[PLANO DE CONTAS],REL_DRE_FINANCEIRO!$B$753,LANÇ_MOV[ANO PAGAMENTO],$B$4,LANÇ_MOV[MÊS PAGAMENTO CORRESPONDENTE],N$6,LANÇ_MOV[EMPRESA],$C$4,LANÇ_MOV[CENTRO DE CUSTOS],$D$4)</f>
        <v>0</v>
      </c>
      <c r="O830" s="206">
        <f>SUMIFS(LANÇ_MOV[VALOR LÍQUIDO],LANÇ_MOV[RECEITA OU DESPESA],"Despesa",LANÇ_MOV[CONTAS],$C830,LANÇ_MOV[PLANO DE CONTAS],REL_DRE_FINANCEIRO!$B$753,LANÇ_MOV[ANO PAGAMENTO],$B$4,LANÇ_MOV[MÊS PAGAMENTO CORRESPONDENTE],O$6,LANÇ_MOV[EMPRESA],$C$4,LANÇ_MOV[CENTRO DE CUSTOS],$D$4)</f>
        <v>0</v>
      </c>
      <c r="P830" s="207">
        <f t="shared" si="105"/>
        <v>0</v>
      </c>
      <c r="Q830" s="329">
        <v>2.3999999999999999E-6</v>
      </c>
      <c r="R830" s="346">
        <f t="shared" si="106"/>
        <v>2.3999999999999999E-6</v>
      </c>
      <c r="S830" s="347" t="str">
        <f t="shared" si="107"/>
        <v>-</v>
      </c>
      <c r="T830" s="347">
        <f t="shared" si="108"/>
        <v>0</v>
      </c>
      <c r="U830" s="347">
        <f>HLOOKUP(Apoio!$P$12,$D$752:$P$853,X830,FALSE)+Q830</f>
        <v>2.3999999999999999E-6</v>
      </c>
      <c r="V830" s="447" t="str">
        <f t="shared" si="109"/>
        <v>-</v>
      </c>
      <c r="W830" s="448">
        <f>HLOOKUP(Apoio!$P$12,$D$752:$P$853,X830,FALSE)</f>
        <v>0</v>
      </c>
      <c r="X830" s="329">
        <v>79</v>
      </c>
    </row>
    <row r="831" spans="2:24" ht="30.05" customHeight="1" x14ac:dyDescent="0.35">
      <c r="B831" s="204" t="str">
        <f>'CAD_PL_REC-DESP'!Z82</f>
        <v>2.6.78</v>
      </c>
      <c r="C831" s="205" t="str">
        <f>IF('CAD_PL_REC-DESP'!AA82="","-",'CAD_PL_REC-DESP'!AA82)</f>
        <v>-</v>
      </c>
      <c r="D831" s="206">
        <f>SUMIFS(LANÇ_MOV[VALOR LÍQUIDO],LANÇ_MOV[RECEITA OU DESPESA],"Despesa",LANÇ_MOV[CONTAS],$C831,LANÇ_MOV[PLANO DE CONTAS],REL_DRE_FINANCEIRO!$B$753,LANÇ_MOV[ANO PAGAMENTO],$B$4,LANÇ_MOV[MÊS PAGAMENTO CORRESPONDENTE],D$6,LANÇ_MOV[EMPRESA],$C$4,LANÇ_MOV[CENTRO DE CUSTOS],$D$4)</f>
        <v>0</v>
      </c>
      <c r="E831" s="206">
        <f>SUMIFS(LANÇ_MOV[VALOR LÍQUIDO],LANÇ_MOV[RECEITA OU DESPESA],"Despesa",LANÇ_MOV[CONTAS],$C831,LANÇ_MOV[PLANO DE CONTAS],REL_DRE_FINANCEIRO!$B$753,LANÇ_MOV[ANO PAGAMENTO],$B$4,LANÇ_MOV[MÊS PAGAMENTO CORRESPONDENTE],E$6,LANÇ_MOV[EMPRESA],$C$4,LANÇ_MOV[CENTRO DE CUSTOS],$D$4)</f>
        <v>0</v>
      </c>
      <c r="F831" s="206">
        <f>SUMIFS(LANÇ_MOV[VALOR LÍQUIDO],LANÇ_MOV[RECEITA OU DESPESA],"Despesa",LANÇ_MOV[CONTAS],$C831,LANÇ_MOV[PLANO DE CONTAS],REL_DRE_FINANCEIRO!$B$753,LANÇ_MOV[ANO PAGAMENTO],$B$4,LANÇ_MOV[MÊS PAGAMENTO CORRESPONDENTE],F$6,LANÇ_MOV[EMPRESA],$C$4,LANÇ_MOV[CENTRO DE CUSTOS],$D$4)</f>
        <v>0</v>
      </c>
      <c r="G831" s="206">
        <f>SUMIFS(LANÇ_MOV[VALOR LÍQUIDO],LANÇ_MOV[RECEITA OU DESPESA],"Despesa",LANÇ_MOV[CONTAS],$C831,LANÇ_MOV[PLANO DE CONTAS],REL_DRE_FINANCEIRO!$B$753,LANÇ_MOV[ANO PAGAMENTO],$B$4,LANÇ_MOV[MÊS PAGAMENTO CORRESPONDENTE],G$6,LANÇ_MOV[EMPRESA],$C$4,LANÇ_MOV[CENTRO DE CUSTOS],$D$4)</f>
        <v>0</v>
      </c>
      <c r="H831" s="206">
        <f>SUMIFS(LANÇ_MOV[VALOR LÍQUIDO],LANÇ_MOV[RECEITA OU DESPESA],"Despesa",LANÇ_MOV[CONTAS],$C831,LANÇ_MOV[PLANO DE CONTAS],REL_DRE_FINANCEIRO!$B$753,LANÇ_MOV[ANO PAGAMENTO],$B$4,LANÇ_MOV[MÊS PAGAMENTO CORRESPONDENTE],H$6,LANÇ_MOV[EMPRESA],$C$4,LANÇ_MOV[CENTRO DE CUSTOS],$D$4)</f>
        <v>0</v>
      </c>
      <c r="I831" s="206">
        <f>SUMIFS(LANÇ_MOV[VALOR LÍQUIDO],LANÇ_MOV[RECEITA OU DESPESA],"Despesa",LANÇ_MOV[CONTAS],$C831,LANÇ_MOV[PLANO DE CONTAS],REL_DRE_FINANCEIRO!$B$753,LANÇ_MOV[ANO PAGAMENTO],$B$4,LANÇ_MOV[MÊS PAGAMENTO CORRESPONDENTE],I$6,LANÇ_MOV[EMPRESA],$C$4,LANÇ_MOV[CENTRO DE CUSTOS],$D$4)</f>
        <v>0</v>
      </c>
      <c r="J831" s="206">
        <f>SUMIFS(LANÇ_MOV[VALOR LÍQUIDO],LANÇ_MOV[RECEITA OU DESPESA],"Despesa",LANÇ_MOV[CONTAS],$C831,LANÇ_MOV[PLANO DE CONTAS],REL_DRE_FINANCEIRO!$B$753,LANÇ_MOV[ANO PAGAMENTO],$B$4,LANÇ_MOV[MÊS PAGAMENTO CORRESPONDENTE],J$6,LANÇ_MOV[EMPRESA],$C$4,LANÇ_MOV[CENTRO DE CUSTOS],$D$4)</f>
        <v>0</v>
      </c>
      <c r="K831" s="206">
        <f>SUMIFS(LANÇ_MOV[VALOR LÍQUIDO],LANÇ_MOV[RECEITA OU DESPESA],"Despesa",LANÇ_MOV[CONTAS],$C831,LANÇ_MOV[PLANO DE CONTAS],REL_DRE_FINANCEIRO!$B$753,LANÇ_MOV[ANO PAGAMENTO],$B$4,LANÇ_MOV[MÊS PAGAMENTO CORRESPONDENTE],K$6,LANÇ_MOV[EMPRESA],$C$4,LANÇ_MOV[CENTRO DE CUSTOS],$D$4)</f>
        <v>0</v>
      </c>
      <c r="L831" s="206">
        <f>SUMIFS(LANÇ_MOV[VALOR LÍQUIDO],LANÇ_MOV[RECEITA OU DESPESA],"Despesa",LANÇ_MOV[CONTAS],$C831,LANÇ_MOV[PLANO DE CONTAS],REL_DRE_FINANCEIRO!$B$753,LANÇ_MOV[ANO PAGAMENTO],$B$4,LANÇ_MOV[MÊS PAGAMENTO CORRESPONDENTE],L$6,LANÇ_MOV[EMPRESA],$C$4,LANÇ_MOV[CENTRO DE CUSTOS],$D$4)</f>
        <v>0</v>
      </c>
      <c r="M831" s="206">
        <f>SUMIFS(LANÇ_MOV[VALOR LÍQUIDO],LANÇ_MOV[RECEITA OU DESPESA],"Despesa",LANÇ_MOV[CONTAS],$C831,LANÇ_MOV[PLANO DE CONTAS],REL_DRE_FINANCEIRO!$B$753,LANÇ_MOV[ANO PAGAMENTO],$B$4,LANÇ_MOV[MÊS PAGAMENTO CORRESPONDENTE],M$6,LANÇ_MOV[EMPRESA],$C$4,LANÇ_MOV[CENTRO DE CUSTOS],$D$4)</f>
        <v>0</v>
      </c>
      <c r="N831" s="206">
        <f>SUMIFS(LANÇ_MOV[VALOR LÍQUIDO],LANÇ_MOV[RECEITA OU DESPESA],"Despesa",LANÇ_MOV[CONTAS],$C831,LANÇ_MOV[PLANO DE CONTAS],REL_DRE_FINANCEIRO!$B$753,LANÇ_MOV[ANO PAGAMENTO],$B$4,LANÇ_MOV[MÊS PAGAMENTO CORRESPONDENTE],N$6,LANÇ_MOV[EMPRESA],$C$4,LANÇ_MOV[CENTRO DE CUSTOS],$D$4)</f>
        <v>0</v>
      </c>
      <c r="O831" s="206">
        <f>SUMIFS(LANÇ_MOV[VALOR LÍQUIDO],LANÇ_MOV[RECEITA OU DESPESA],"Despesa",LANÇ_MOV[CONTAS],$C831,LANÇ_MOV[PLANO DE CONTAS],REL_DRE_FINANCEIRO!$B$753,LANÇ_MOV[ANO PAGAMENTO],$B$4,LANÇ_MOV[MÊS PAGAMENTO CORRESPONDENTE],O$6,LANÇ_MOV[EMPRESA],$C$4,LANÇ_MOV[CENTRO DE CUSTOS],$D$4)</f>
        <v>0</v>
      </c>
      <c r="P831" s="207">
        <f t="shared" si="105"/>
        <v>0</v>
      </c>
      <c r="Q831" s="329">
        <v>2.3E-6</v>
      </c>
      <c r="R831" s="346">
        <f t="shared" si="106"/>
        <v>2.3E-6</v>
      </c>
      <c r="S831" s="347" t="str">
        <f t="shared" si="107"/>
        <v>-</v>
      </c>
      <c r="T831" s="347">
        <f t="shared" si="108"/>
        <v>0</v>
      </c>
      <c r="U831" s="347">
        <f>HLOOKUP(Apoio!$P$12,$D$752:$P$853,X831,FALSE)+Q831</f>
        <v>2.3E-6</v>
      </c>
      <c r="V831" s="447" t="str">
        <f t="shared" si="109"/>
        <v>-</v>
      </c>
      <c r="W831" s="448">
        <f>HLOOKUP(Apoio!$P$12,$D$752:$P$853,X831,FALSE)</f>
        <v>0</v>
      </c>
      <c r="X831" s="329">
        <v>80</v>
      </c>
    </row>
    <row r="832" spans="2:24" ht="30.05" customHeight="1" x14ac:dyDescent="0.35">
      <c r="B832" s="204" t="str">
        <f>'CAD_PL_REC-DESP'!Z83</f>
        <v>2.6.79</v>
      </c>
      <c r="C832" s="205" t="str">
        <f>IF('CAD_PL_REC-DESP'!AA83="","-",'CAD_PL_REC-DESP'!AA83)</f>
        <v>-</v>
      </c>
      <c r="D832" s="206">
        <f>SUMIFS(LANÇ_MOV[VALOR LÍQUIDO],LANÇ_MOV[RECEITA OU DESPESA],"Despesa",LANÇ_MOV[CONTAS],$C832,LANÇ_MOV[PLANO DE CONTAS],REL_DRE_FINANCEIRO!$B$753,LANÇ_MOV[ANO PAGAMENTO],$B$4,LANÇ_MOV[MÊS PAGAMENTO CORRESPONDENTE],D$6,LANÇ_MOV[EMPRESA],$C$4,LANÇ_MOV[CENTRO DE CUSTOS],$D$4)</f>
        <v>0</v>
      </c>
      <c r="E832" s="206">
        <f>SUMIFS(LANÇ_MOV[VALOR LÍQUIDO],LANÇ_MOV[RECEITA OU DESPESA],"Despesa",LANÇ_MOV[CONTAS],$C832,LANÇ_MOV[PLANO DE CONTAS],REL_DRE_FINANCEIRO!$B$753,LANÇ_MOV[ANO PAGAMENTO],$B$4,LANÇ_MOV[MÊS PAGAMENTO CORRESPONDENTE],E$6,LANÇ_MOV[EMPRESA],$C$4,LANÇ_MOV[CENTRO DE CUSTOS],$D$4)</f>
        <v>0</v>
      </c>
      <c r="F832" s="206">
        <f>SUMIFS(LANÇ_MOV[VALOR LÍQUIDO],LANÇ_MOV[RECEITA OU DESPESA],"Despesa",LANÇ_MOV[CONTAS],$C832,LANÇ_MOV[PLANO DE CONTAS],REL_DRE_FINANCEIRO!$B$753,LANÇ_MOV[ANO PAGAMENTO],$B$4,LANÇ_MOV[MÊS PAGAMENTO CORRESPONDENTE],F$6,LANÇ_MOV[EMPRESA],$C$4,LANÇ_MOV[CENTRO DE CUSTOS],$D$4)</f>
        <v>0</v>
      </c>
      <c r="G832" s="206">
        <f>SUMIFS(LANÇ_MOV[VALOR LÍQUIDO],LANÇ_MOV[RECEITA OU DESPESA],"Despesa",LANÇ_MOV[CONTAS],$C832,LANÇ_MOV[PLANO DE CONTAS],REL_DRE_FINANCEIRO!$B$753,LANÇ_MOV[ANO PAGAMENTO],$B$4,LANÇ_MOV[MÊS PAGAMENTO CORRESPONDENTE],G$6,LANÇ_MOV[EMPRESA],$C$4,LANÇ_MOV[CENTRO DE CUSTOS],$D$4)</f>
        <v>0</v>
      </c>
      <c r="H832" s="206">
        <f>SUMIFS(LANÇ_MOV[VALOR LÍQUIDO],LANÇ_MOV[RECEITA OU DESPESA],"Despesa",LANÇ_MOV[CONTAS],$C832,LANÇ_MOV[PLANO DE CONTAS],REL_DRE_FINANCEIRO!$B$753,LANÇ_MOV[ANO PAGAMENTO],$B$4,LANÇ_MOV[MÊS PAGAMENTO CORRESPONDENTE],H$6,LANÇ_MOV[EMPRESA],$C$4,LANÇ_MOV[CENTRO DE CUSTOS],$D$4)</f>
        <v>0</v>
      </c>
      <c r="I832" s="206">
        <f>SUMIFS(LANÇ_MOV[VALOR LÍQUIDO],LANÇ_MOV[RECEITA OU DESPESA],"Despesa",LANÇ_MOV[CONTAS],$C832,LANÇ_MOV[PLANO DE CONTAS],REL_DRE_FINANCEIRO!$B$753,LANÇ_MOV[ANO PAGAMENTO],$B$4,LANÇ_MOV[MÊS PAGAMENTO CORRESPONDENTE],I$6,LANÇ_MOV[EMPRESA],$C$4,LANÇ_MOV[CENTRO DE CUSTOS],$D$4)</f>
        <v>0</v>
      </c>
      <c r="J832" s="206">
        <f>SUMIFS(LANÇ_MOV[VALOR LÍQUIDO],LANÇ_MOV[RECEITA OU DESPESA],"Despesa",LANÇ_MOV[CONTAS],$C832,LANÇ_MOV[PLANO DE CONTAS],REL_DRE_FINANCEIRO!$B$753,LANÇ_MOV[ANO PAGAMENTO],$B$4,LANÇ_MOV[MÊS PAGAMENTO CORRESPONDENTE],J$6,LANÇ_MOV[EMPRESA],$C$4,LANÇ_MOV[CENTRO DE CUSTOS],$D$4)</f>
        <v>0</v>
      </c>
      <c r="K832" s="206">
        <f>SUMIFS(LANÇ_MOV[VALOR LÍQUIDO],LANÇ_MOV[RECEITA OU DESPESA],"Despesa",LANÇ_MOV[CONTAS],$C832,LANÇ_MOV[PLANO DE CONTAS],REL_DRE_FINANCEIRO!$B$753,LANÇ_MOV[ANO PAGAMENTO],$B$4,LANÇ_MOV[MÊS PAGAMENTO CORRESPONDENTE],K$6,LANÇ_MOV[EMPRESA],$C$4,LANÇ_MOV[CENTRO DE CUSTOS],$D$4)</f>
        <v>0</v>
      </c>
      <c r="L832" s="206">
        <f>SUMIFS(LANÇ_MOV[VALOR LÍQUIDO],LANÇ_MOV[RECEITA OU DESPESA],"Despesa",LANÇ_MOV[CONTAS],$C832,LANÇ_MOV[PLANO DE CONTAS],REL_DRE_FINANCEIRO!$B$753,LANÇ_MOV[ANO PAGAMENTO],$B$4,LANÇ_MOV[MÊS PAGAMENTO CORRESPONDENTE],L$6,LANÇ_MOV[EMPRESA],$C$4,LANÇ_MOV[CENTRO DE CUSTOS],$D$4)</f>
        <v>0</v>
      </c>
      <c r="M832" s="206">
        <f>SUMIFS(LANÇ_MOV[VALOR LÍQUIDO],LANÇ_MOV[RECEITA OU DESPESA],"Despesa",LANÇ_MOV[CONTAS],$C832,LANÇ_MOV[PLANO DE CONTAS],REL_DRE_FINANCEIRO!$B$753,LANÇ_MOV[ANO PAGAMENTO],$B$4,LANÇ_MOV[MÊS PAGAMENTO CORRESPONDENTE],M$6,LANÇ_MOV[EMPRESA],$C$4,LANÇ_MOV[CENTRO DE CUSTOS],$D$4)</f>
        <v>0</v>
      </c>
      <c r="N832" s="206">
        <f>SUMIFS(LANÇ_MOV[VALOR LÍQUIDO],LANÇ_MOV[RECEITA OU DESPESA],"Despesa",LANÇ_MOV[CONTAS],$C832,LANÇ_MOV[PLANO DE CONTAS],REL_DRE_FINANCEIRO!$B$753,LANÇ_MOV[ANO PAGAMENTO],$B$4,LANÇ_MOV[MÊS PAGAMENTO CORRESPONDENTE],N$6,LANÇ_MOV[EMPRESA],$C$4,LANÇ_MOV[CENTRO DE CUSTOS],$D$4)</f>
        <v>0</v>
      </c>
      <c r="O832" s="206">
        <f>SUMIFS(LANÇ_MOV[VALOR LÍQUIDO],LANÇ_MOV[RECEITA OU DESPESA],"Despesa",LANÇ_MOV[CONTAS],$C832,LANÇ_MOV[PLANO DE CONTAS],REL_DRE_FINANCEIRO!$B$753,LANÇ_MOV[ANO PAGAMENTO],$B$4,LANÇ_MOV[MÊS PAGAMENTO CORRESPONDENTE],O$6,LANÇ_MOV[EMPRESA],$C$4,LANÇ_MOV[CENTRO DE CUSTOS],$D$4)</f>
        <v>0</v>
      </c>
      <c r="P832" s="207">
        <f t="shared" si="105"/>
        <v>0</v>
      </c>
      <c r="Q832" s="329">
        <v>2.2000000000000001E-6</v>
      </c>
      <c r="R832" s="346">
        <f t="shared" si="106"/>
        <v>2.2000000000000001E-6</v>
      </c>
      <c r="S832" s="347" t="str">
        <f t="shared" si="107"/>
        <v>-</v>
      </c>
      <c r="T832" s="347">
        <f t="shared" si="108"/>
        <v>0</v>
      </c>
      <c r="U832" s="347">
        <f>HLOOKUP(Apoio!$P$12,$D$752:$P$853,X832,FALSE)+Q832</f>
        <v>2.2000000000000001E-6</v>
      </c>
      <c r="V832" s="447" t="str">
        <f t="shared" si="109"/>
        <v>-</v>
      </c>
      <c r="W832" s="448">
        <f>HLOOKUP(Apoio!$P$12,$D$752:$P$853,X832,FALSE)</f>
        <v>0</v>
      </c>
      <c r="X832" s="329">
        <v>81</v>
      </c>
    </row>
    <row r="833" spans="2:24" ht="30.05" customHeight="1" x14ac:dyDescent="0.35">
      <c r="B833" s="204" t="str">
        <f>'CAD_PL_REC-DESP'!Z84</f>
        <v>2.6.80</v>
      </c>
      <c r="C833" s="205" t="str">
        <f>IF('CAD_PL_REC-DESP'!AA84="","-",'CAD_PL_REC-DESP'!AA84)</f>
        <v>-</v>
      </c>
      <c r="D833" s="206">
        <f>SUMIFS(LANÇ_MOV[VALOR LÍQUIDO],LANÇ_MOV[RECEITA OU DESPESA],"Despesa",LANÇ_MOV[CONTAS],$C833,LANÇ_MOV[PLANO DE CONTAS],REL_DRE_FINANCEIRO!$B$753,LANÇ_MOV[ANO PAGAMENTO],$B$4,LANÇ_MOV[MÊS PAGAMENTO CORRESPONDENTE],D$6,LANÇ_MOV[EMPRESA],$C$4,LANÇ_MOV[CENTRO DE CUSTOS],$D$4)</f>
        <v>0</v>
      </c>
      <c r="E833" s="206">
        <f>SUMIFS(LANÇ_MOV[VALOR LÍQUIDO],LANÇ_MOV[RECEITA OU DESPESA],"Despesa",LANÇ_MOV[CONTAS],$C833,LANÇ_MOV[PLANO DE CONTAS],REL_DRE_FINANCEIRO!$B$753,LANÇ_MOV[ANO PAGAMENTO],$B$4,LANÇ_MOV[MÊS PAGAMENTO CORRESPONDENTE],E$6,LANÇ_MOV[EMPRESA],$C$4,LANÇ_MOV[CENTRO DE CUSTOS],$D$4)</f>
        <v>0</v>
      </c>
      <c r="F833" s="206">
        <f>SUMIFS(LANÇ_MOV[VALOR LÍQUIDO],LANÇ_MOV[RECEITA OU DESPESA],"Despesa",LANÇ_MOV[CONTAS],$C833,LANÇ_MOV[PLANO DE CONTAS],REL_DRE_FINANCEIRO!$B$753,LANÇ_MOV[ANO PAGAMENTO],$B$4,LANÇ_MOV[MÊS PAGAMENTO CORRESPONDENTE],F$6,LANÇ_MOV[EMPRESA],$C$4,LANÇ_MOV[CENTRO DE CUSTOS],$D$4)</f>
        <v>0</v>
      </c>
      <c r="G833" s="206">
        <f>SUMIFS(LANÇ_MOV[VALOR LÍQUIDO],LANÇ_MOV[RECEITA OU DESPESA],"Despesa",LANÇ_MOV[CONTAS],$C833,LANÇ_MOV[PLANO DE CONTAS],REL_DRE_FINANCEIRO!$B$753,LANÇ_MOV[ANO PAGAMENTO],$B$4,LANÇ_MOV[MÊS PAGAMENTO CORRESPONDENTE],G$6,LANÇ_MOV[EMPRESA],$C$4,LANÇ_MOV[CENTRO DE CUSTOS],$D$4)</f>
        <v>0</v>
      </c>
      <c r="H833" s="206">
        <f>SUMIFS(LANÇ_MOV[VALOR LÍQUIDO],LANÇ_MOV[RECEITA OU DESPESA],"Despesa",LANÇ_MOV[CONTAS],$C833,LANÇ_MOV[PLANO DE CONTAS],REL_DRE_FINANCEIRO!$B$753,LANÇ_MOV[ANO PAGAMENTO],$B$4,LANÇ_MOV[MÊS PAGAMENTO CORRESPONDENTE],H$6,LANÇ_MOV[EMPRESA],$C$4,LANÇ_MOV[CENTRO DE CUSTOS],$D$4)</f>
        <v>0</v>
      </c>
      <c r="I833" s="206">
        <f>SUMIFS(LANÇ_MOV[VALOR LÍQUIDO],LANÇ_MOV[RECEITA OU DESPESA],"Despesa",LANÇ_MOV[CONTAS],$C833,LANÇ_MOV[PLANO DE CONTAS],REL_DRE_FINANCEIRO!$B$753,LANÇ_MOV[ANO PAGAMENTO],$B$4,LANÇ_MOV[MÊS PAGAMENTO CORRESPONDENTE],I$6,LANÇ_MOV[EMPRESA],$C$4,LANÇ_MOV[CENTRO DE CUSTOS],$D$4)</f>
        <v>0</v>
      </c>
      <c r="J833" s="206">
        <f>SUMIFS(LANÇ_MOV[VALOR LÍQUIDO],LANÇ_MOV[RECEITA OU DESPESA],"Despesa",LANÇ_MOV[CONTAS],$C833,LANÇ_MOV[PLANO DE CONTAS],REL_DRE_FINANCEIRO!$B$753,LANÇ_MOV[ANO PAGAMENTO],$B$4,LANÇ_MOV[MÊS PAGAMENTO CORRESPONDENTE],J$6,LANÇ_MOV[EMPRESA],$C$4,LANÇ_MOV[CENTRO DE CUSTOS],$D$4)</f>
        <v>0</v>
      </c>
      <c r="K833" s="206">
        <f>SUMIFS(LANÇ_MOV[VALOR LÍQUIDO],LANÇ_MOV[RECEITA OU DESPESA],"Despesa",LANÇ_MOV[CONTAS],$C833,LANÇ_MOV[PLANO DE CONTAS],REL_DRE_FINANCEIRO!$B$753,LANÇ_MOV[ANO PAGAMENTO],$B$4,LANÇ_MOV[MÊS PAGAMENTO CORRESPONDENTE],K$6,LANÇ_MOV[EMPRESA],$C$4,LANÇ_MOV[CENTRO DE CUSTOS],$D$4)</f>
        <v>0</v>
      </c>
      <c r="L833" s="206">
        <f>SUMIFS(LANÇ_MOV[VALOR LÍQUIDO],LANÇ_MOV[RECEITA OU DESPESA],"Despesa",LANÇ_MOV[CONTAS],$C833,LANÇ_MOV[PLANO DE CONTAS],REL_DRE_FINANCEIRO!$B$753,LANÇ_MOV[ANO PAGAMENTO],$B$4,LANÇ_MOV[MÊS PAGAMENTO CORRESPONDENTE],L$6,LANÇ_MOV[EMPRESA],$C$4,LANÇ_MOV[CENTRO DE CUSTOS],$D$4)</f>
        <v>0</v>
      </c>
      <c r="M833" s="206">
        <f>SUMIFS(LANÇ_MOV[VALOR LÍQUIDO],LANÇ_MOV[RECEITA OU DESPESA],"Despesa",LANÇ_MOV[CONTAS],$C833,LANÇ_MOV[PLANO DE CONTAS],REL_DRE_FINANCEIRO!$B$753,LANÇ_MOV[ANO PAGAMENTO],$B$4,LANÇ_MOV[MÊS PAGAMENTO CORRESPONDENTE],M$6,LANÇ_MOV[EMPRESA],$C$4,LANÇ_MOV[CENTRO DE CUSTOS],$D$4)</f>
        <v>0</v>
      </c>
      <c r="N833" s="206">
        <f>SUMIFS(LANÇ_MOV[VALOR LÍQUIDO],LANÇ_MOV[RECEITA OU DESPESA],"Despesa",LANÇ_MOV[CONTAS],$C833,LANÇ_MOV[PLANO DE CONTAS],REL_DRE_FINANCEIRO!$B$753,LANÇ_MOV[ANO PAGAMENTO],$B$4,LANÇ_MOV[MÊS PAGAMENTO CORRESPONDENTE],N$6,LANÇ_MOV[EMPRESA],$C$4,LANÇ_MOV[CENTRO DE CUSTOS],$D$4)</f>
        <v>0</v>
      </c>
      <c r="O833" s="206">
        <f>SUMIFS(LANÇ_MOV[VALOR LÍQUIDO],LANÇ_MOV[RECEITA OU DESPESA],"Despesa",LANÇ_MOV[CONTAS],$C833,LANÇ_MOV[PLANO DE CONTAS],REL_DRE_FINANCEIRO!$B$753,LANÇ_MOV[ANO PAGAMENTO],$B$4,LANÇ_MOV[MÊS PAGAMENTO CORRESPONDENTE],O$6,LANÇ_MOV[EMPRESA],$C$4,LANÇ_MOV[CENTRO DE CUSTOS],$D$4)</f>
        <v>0</v>
      </c>
      <c r="P833" s="207">
        <f t="shared" si="105"/>
        <v>0</v>
      </c>
      <c r="Q833" s="329">
        <v>2.0999999999999998E-6</v>
      </c>
      <c r="R833" s="346">
        <f t="shared" si="106"/>
        <v>2.0999999999999998E-6</v>
      </c>
      <c r="S833" s="347" t="str">
        <f t="shared" si="107"/>
        <v>-</v>
      </c>
      <c r="T833" s="347">
        <f t="shared" si="108"/>
        <v>0</v>
      </c>
      <c r="U833" s="347">
        <f>HLOOKUP(Apoio!$P$12,$D$752:$P$853,X833,FALSE)+Q833</f>
        <v>2.0999999999999998E-6</v>
      </c>
      <c r="V833" s="447" t="str">
        <f t="shared" si="109"/>
        <v>-</v>
      </c>
      <c r="W833" s="448">
        <f>HLOOKUP(Apoio!$P$12,$D$752:$P$853,X833,FALSE)</f>
        <v>0</v>
      </c>
      <c r="X833" s="329">
        <v>82</v>
      </c>
    </row>
    <row r="834" spans="2:24" ht="30.05" customHeight="1" x14ac:dyDescent="0.35">
      <c r="B834" s="204" t="str">
        <f>'CAD_PL_REC-DESP'!Z85</f>
        <v>2.6.81</v>
      </c>
      <c r="C834" s="205" t="str">
        <f>IF('CAD_PL_REC-DESP'!AA85="","-",'CAD_PL_REC-DESP'!AA85)</f>
        <v>-</v>
      </c>
      <c r="D834" s="206">
        <f>SUMIFS(LANÇ_MOV[VALOR LÍQUIDO],LANÇ_MOV[RECEITA OU DESPESA],"Despesa",LANÇ_MOV[CONTAS],$C834,LANÇ_MOV[PLANO DE CONTAS],REL_DRE_FINANCEIRO!$B$753,LANÇ_MOV[ANO PAGAMENTO],$B$4,LANÇ_MOV[MÊS PAGAMENTO CORRESPONDENTE],D$6,LANÇ_MOV[EMPRESA],$C$4,LANÇ_MOV[CENTRO DE CUSTOS],$D$4)</f>
        <v>0</v>
      </c>
      <c r="E834" s="206">
        <f>SUMIFS(LANÇ_MOV[VALOR LÍQUIDO],LANÇ_MOV[RECEITA OU DESPESA],"Despesa",LANÇ_MOV[CONTAS],$C834,LANÇ_MOV[PLANO DE CONTAS],REL_DRE_FINANCEIRO!$B$753,LANÇ_MOV[ANO PAGAMENTO],$B$4,LANÇ_MOV[MÊS PAGAMENTO CORRESPONDENTE],E$6,LANÇ_MOV[EMPRESA],$C$4,LANÇ_MOV[CENTRO DE CUSTOS],$D$4)</f>
        <v>0</v>
      </c>
      <c r="F834" s="206">
        <f>SUMIFS(LANÇ_MOV[VALOR LÍQUIDO],LANÇ_MOV[RECEITA OU DESPESA],"Despesa",LANÇ_MOV[CONTAS],$C834,LANÇ_MOV[PLANO DE CONTAS],REL_DRE_FINANCEIRO!$B$753,LANÇ_MOV[ANO PAGAMENTO],$B$4,LANÇ_MOV[MÊS PAGAMENTO CORRESPONDENTE],F$6,LANÇ_MOV[EMPRESA],$C$4,LANÇ_MOV[CENTRO DE CUSTOS],$D$4)</f>
        <v>0</v>
      </c>
      <c r="G834" s="206">
        <f>SUMIFS(LANÇ_MOV[VALOR LÍQUIDO],LANÇ_MOV[RECEITA OU DESPESA],"Despesa",LANÇ_MOV[CONTAS],$C834,LANÇ_MOV[PLANO DE CONTAS],REL_DRE_FINANCEIRO!$B$753,LANÇ_MOV[ANO PAGAMENTO],$B$4,LANÇ_MOV[MÊS PAGAMENTO CORRESPONDENTE],G$6,LANÇ_MOV[EMPRESA],$C$4,LANÇ_MOV[CENTRO DE CUSTOS],$D$4)</f>
        <v>0</v>
      </c>
      <c r="H834" s="206">
        <f>SUMIFS(LANÇ_MOV[VALOR LÍQUIDO],LANÇ_MOV[RECEITA OU DESPESA],"Despesa",LANÇ_MOV[CONTAS],$C834,LANÇ_MOV[PLANO DE CONTAS],REL_DRE_FINANCEIRO!$B$753,LANÇ_MOV[ANO PAGAMENTO],$B$4,LANÇ_MOV[MÊS PAGAMENTO CORRESPONDENTE],H$6,LANÇ_MOV[EMPRESA],$C$4,LANÇ_MOV[CENTRO DE CUSTOS],$D$4)</f>
        <v>0</v>
      </c>
      <c r="I834" s="206">
        <f>SUMIFS(LANÇ_MOV[VALOR LÍQUIDO],LANÇ_MOV[RECEITA OU DESPESA],"Despesa",LANÇ_MOV[CONTAS],$C834,LANÇ_MOV[PLANO DE CONTAS],REL_DRE_FINANCEIRO!$B$753,LANÇ_MOV[ANO PAGAMENTO],$B$4,LANÇ_MOV[MÊS PAGAMENTO CORRESPONDENTE],I$6,LANÇ_MOV[EMPRESA],$C$4,LANÇ_MOV[CENTRO DE CUSTOS],$D$4)</f>
        <v>0</v>
      </c>
      <c r="J834" s="206">
        <f>SUMIFS(LANÇ_MOV[VALOR LÍQUIDO],LANÇ_MOV[RECEITA OU DESPESA],"Despesa",LANÇ_MOV[CONTAS],$C834,LANÇ_MOV[PLANO DE CONTAS],REL_DRE_FINANCEIRO!$B$753,LANÇ_MOV[ANO PAGAMENTO],$B$4,LANÇ_MOV[MÊS PAGAMENTO CORRESPONDENTE],J$6,LANÇ_MOV[EMPRESA],$C$4,LANÇ_MOV[CENTRO DE CUSTOS],$D$4)</f>
        <v>0</v>
      </c>
      <c r="K834" s="206">
        <f>SUMIFS(LANÇ_MOV[VALOR LÍQUIDO],LANÇ_MOV[RECEITA OU DESPESA],"Despesa",LANÇ_MOV[CONTAS],$C834,LANÇ_MOV[PLANO DE CONTAS],REL_DRE_FINANCEIRO!$B$753,LANÇ_MOV[ANO PAGAMENTO],$B$4,LANÇ_MOV[MÊS PAGAMENTO CORRESPONDENTE],K$6,LANÇ_MOV[EMPRESA],$C$4,LANÇ_MOV[CENTRO DE CUSTOS],$D$4)</f>
        <v>0</v>
      </c>
      <c r="L834" s="206">
        <f>SUMIFS(LANÇ_MOV[VALOR LÍQUIDO],LANÇ_MOV[RECEITA OU DESPESA],"Despesa",LANÇ_MOV[CONTAS],$C834,LANÇ_MOV[PLANO DE CONTAS],REL_DRE_FINANCEIRO!$B$753,LANÇ_MOV[ANO PAGAMENTO],$B$4,LANÇ_MOV[MÊS PAGAMENTO CORRESPONDENTE],L$6,LANÇ_MOV[EMPRESA],$C$4,LANÇ_MOV[CENTRO DE CUSTOS],$D$4)</f>
        <v>0</v>
      </c>
      <c r="M834" s="206">
        <f>SUMIFS(LANÇ_MOV[VALOR LÍQUIDO],LANÇ_MOV[RECEITA OU DESPESA],"Despesa",LANÇ_MOV[CONTAS],$C834,LANÇ_MOV[PLANO DE CONTAS],REL_DRE_FINANCEIRO!$B$753,LANÇ_MOV[ANO PAGAMENTO],$B$4,LANÇ_MOV[MÊS PAGAMENTO CORRESPONDENTE],M$6,LANÇ_MOV[EMPRESA],$C$4,LANÇ_MOV[CENTRO DE CUSTOS],$D$4)</f>
        <v>0</v>
      </c>
      <c r="N834" s="206">
        <f>SUMIFS(LANÇ_MOV[VALOR LÍQUIDO],LANÇ_MOV[RECEITA OU DESPESA],"Despesa",LANÇ_MOV[CONTAS],$C834,LANÇ_MOV[PLANO DE CONTAS],REL_DRE_FINANCEIRO!$B$753,LANÇ_MOV[ANO PAGAMENTO],$B$4,LANÇ_MOV[MÊS PAGAMENTO CORRESPONDENTE],N$6,LANÇ_MOV[EMPRESA],$C$4,LANÇ_MOV[CENTRO DE CUSTOS],$D$4)</f>
        <v>0</v>
      </c>
      <c r="O834" s="206">
        <f>SUMIFS(LANÇ_MOV[VALOR LÍQUIDO],LANÇ_MOV[RECEITA OU DESPESA],"Despesa",LANÇ_MOV[CONTAS],$C834,LANÇ_MOV[PLANO DE CONTAS],REL_DRE_FINANCEIRO!$B$753,LANÇ_MOV[ANO PAGAMENTO],$B$4,LANÇ_MOV[MÊS PAGAMENTO CORRESPONDENTE],O$6,LANÇ_MOV[EMPRESA],$C$4,LANÇ_MOV[CENTRO DE CUSTOS],$D$4)</f>
        <v>0</v>
      </c>
      <c r="P834" s="207">
        <f t="shared" si="105"/>
        <v>0</v>
      </c>
      <c r="Q834" s="329">
        <v>1.9999999999999999E-6</v>
      </c>
      <c r="R834" s="346">
        <f t="shared" si="106"/>
        <v>1.9999999999999999E-6</v>
      </c>
      <c r="S834" s="347" t="str">
        <f t="shared" si="107"/>
        <v>-</v>
      </c>
      <c r="T834" s="347">
        <f t="shared" si="108"/>
        <v>0</v>
      </c>
      <c r="U834" s="347">
        <f>HLOOKUP(Apoio!$P$12,$D$752:$P$853,X834,FALSE)+Q834</f>
        <v>1.9999999999999999E-6</v>
      </c>
      <c r="V834" s="447" t="str">
        <f t="shared" si="109"/>
        <v>-</v>
      </c>
      <c r="W834" s="448">
        <f>HLOOKUP(Apoio!$P$12,$D$752:$P$853,X834,FALSE)</f>
        <v>0</v>
      </c>
      <c r="X834" s="329">
        <v>83</v>
      </c>
    </row>
    <row r="835" spans="2:24" ht="30.05" customHeight="1" x14ac:dyDescent="0.35">
      <c r="B835" s="204" t="str">
        <f>'CAD_PL_REC-DESP'!Z86</f>
        <v>2.6.82</v>
      </c>
      <c r="C835" s="205" t="str">
        <f>IF('CAD_PL_REC-DESP'!AA86="","-",'CAD_PL_REC-DESP'!AA86)</f>
        <v>-</v>
      </c>
      <c r="D835" s="206">
        <f>SUMIFS(LANÇ_MOV[VALOR LÍQUIDO],LANÇ_MOV[RECEITA OU DESPESA],"Despesa",LANÇ_MOV[CONTAS],$C835,LANÇ_MOV[PLANO DE CONTAS],REL_DRE_FINANCEIRO!$B$753,LANÇ_MOV[ANO PAGAMENTO],$B$4,LANÇ_MOV[MÊS PAGAMENTO CORRESPONDENTE],D$6,LANÇ_MOV[EMPRESA],$C$4,LANÇ_MOV[CENTRO DE CUSTOS],$D$4)</f>
        <v>0</v>
      </c>
      <c r="E835" s="206">
        <f>SUMIFS(LANÇ_MOV[VALOR LÍQUIDO],LANÇ_MOV[RECEITA OU DESPESA],"Despesa",LANÇ_MOV[CONTAS],$C835,LANÇ_MOV[PLANO DE CONTAS],REL_DRE_FINANCEIRO!$B$753,LANÇ_MOV[ANO PAGAMENTO],$B$4,LANÇ_MOV[MÊS PAGAMENTO CORRESPONDENTE],E$6,LANÇ_MOV[EMPRESA],$C$4,LANÇ_MOV[CENTRO DE CUSTOS],$D$4)</f>
        <v>0</v>
      </c>
      <c r="F835" s="206">
        <f>SUMIFS(LANÇ_MOV[VALOR LÍQUIDO],LANÇ_MOV[RECEITA OU DESPESA],"Despesa",LANÇ_MOV[CONTAS],$C835,LANÇ_MOV[PLANO DE CONTAS],REL_DRE_FINANCEIRO!$B$753,LANÇ_MOV[ANO PAGAMENTO],$B$4,LANÇ_MOV[MÊS PAGAMENTO CORRESPONDENTE],F$6,LANÇ_MOV[EMPRESA],$C$4,LANÇ_MOV[CENTRO DE CUSTOS],$D$4)</f>
        <v>0</v>
      </c>
      <c r="G835" s="206">
        <f>SUMIFS(LANÇ_MOV[VALOR LÍQUIDO],LANÇ_MOV[RECEITA OU DESPESA],"Despesa",LANÇ_MOV[CONTAS],$C835,LANÇ_MOV[PLANO DE CONTAS],REL_DRE_FINANCEIRO!$B$753,LANÇ_MOV[ANO PAGAMENTO],$B$4,LANÇ_MOV[MÊS PAGAMENTO CORRESPONDENTE],G$6,LANÇ_MOV[EMPRESA],$C$4,LANÇ_MOV[CENTRO DE CUSTOS],$D$4)</f>
        <v>0</v>
      </c>
      <c r="H835" s="206">
        <f>SUMIFS(LANÇ_MOV[VALOR LÍQUIDO],LANÇ_MOV[RECEITA OU DESPESA],"Despesa",LANÇ_MOV[CONTAS],$C835,LANÇ_MOV[PLANO DE CONTAS],REL_DRE_FINANCEIRO!$B$753,LANÇ_MOV[ANO PAGAMENTO],$B$4,LANÇ_MOV[MÊS PAGAMENTO CORRESPONDENTE],H$6,LANÇ_MOV[EMPRESA],$C$4,LANÇ_MOV[CENTRO DE CUSTOS],$D$4)</f>
        <v>0</v>
      </c>
      <c r="I835" s="206">
        <f>SUMIFS(LANÇ_MOV[VALOR LÍQUIDO],LANÇ_MOV[RECEITA OU DESPESA],"Despesa",LANÇ_MOV[CONTAS],$C835,LANÇ_MOV[PLANO DE CONTAS],REL_DRE_FINANCEIRO!$B$753,LANÇ_MOV[ANO PAGAMENTO],$B$4,LANÇ_MOV[MÊS PAGAMENTO CORRESPONDENTE],I$6,LANÇ_MOV[EMPRESA],$C$4,LANÇ_MOV[CENTRO DE CUSTOS],$D$4)</f>
        <v>0</v>
      </c>
      <c r="J835" s="206">
        <f>SUMIFS(LANÇ_MOV[VALOR LÍQUIDO],LANÇ_MOV[RECEITA OU DESPESA],"Despesa",LANÇ_MOV[CONTAS],$C835,LANÇ_MOV[PLANO DE CONTAS],REL_DRE_FINANCEIRO!$B$753,LANÇ_MOV[ANO PAGAMENTO],$B$4,LANÇ_MOV[MÊS PAGAMENTO CORRESPONDENTE],J$6,LANÇ_MOV[EMPRESA],$C$4,LANÇ_MOV[CENTRO DE CUSTOS],$D$4)</f>
        <v>0</v>
      </c>
      <c r="K835" s="206">
        <f>SUMIFS(LANÇ_MOV[VALOR LÍQUIDO],LANÇ_MOV[RECEITA OU DESPESA],"Despesa",LANÇ_MOV[CONTAS],$C835,LANÇ_MOV[PLANO DE CONTAS],REL_DRE_FINANCEIRO!$B$753,LANÇ_MOV[ANO PAGAMENTO],$B$4,LANÇ_MOV[MÊS PAGAMENTO CORRESPONDENTE],K$6,LANÇ_MOV[EMPRESA],$C$4,LANÇ_MOV[CENTRO DE CUSTOS],$D$4)</f>
        <v>0</v>
      </c>
      <c r="L835" s="206">
        <f>SUMIFS(LANÇ_MOV[VALOR LÍQUIDO],LANÇ_MOV[RECEITA OU DESPESA],"Despesa",LANÇ_MOV[CONTAS],$C835,LANÇ_MOV[PLANO DE CONTAS],REL_DRE_FINANCEIRO!$B$753,LANÇ_MOV[ANO PAGAMENTO],$B$4,LANÇ_MOV[MÊS PAGAMENTO CORRESPONDENTE],L$6,LANÇ_MOV[EMPRESA],$C$4,LANÇ_MOV[CENTRO DE CUSTOS],$D$4)</f>
        <v>0</v>
      </c>
      <c r="M835" s="206">
        <f>SUMIFS(LANÇ_MOV[VALOR LÍQUIDO],LANÇ_MOV[RECEITA OU DESPESA],"Despesa",LANÇ_MOV[CONTAS],$C835,LANÇ_MOV[PLANO DE CONTAS],REL_DRE_FINANCEIRO!$B$753,LANÇ_MOV[ANO PAGAMENTO],$B$4,LANÇ_MOV[MÊS PAGAMENTO CORRESPONDENTE],M$6,LANÇ_MOV[EMPRESA],$C$4,LANÇ_MOV[CENTRO DE CUSTOS],$D$4)</f>
        <v>0</v>
      </c>
      <c r="N835" s="206">
        <f>SUMIFS(LANÇ_MOV[VALOR LÍQUIDO],LANÇ_MOV[RECEITA OU DESPESA],"Despesa",LANÇ_MOV[CONTAS],$C835,LANÇ_MOV[PLANO DE CONTAS],REL_DRE_FINANCEIRO!$B$753,LANÇ_MOV[ANO PAGAMENTO],$B$4,LANÇ_MOV[MÊS PAGAMENTO CORRESPONDENTE],N$6,LANÇ_MOV[EMPRESA],$C$4,LANÇ_MOV[CENTRO DE CUSTOS],$D$4)</f>
        <v>0</v>
      </c>
      <c r="O835" s="206">
        <f>SUMIFS(LANÇ_MOV[VALOR LÍQUIDO],LANÇ_MOV[RECEITA OU DESPESA],"Despesa",LANÇ_MOV[CONTAS],$C835,LANÇ_MOV[PLANO DE CONTAS],REL_DRE_FINANCEIRO!$B$753,LANÇ_MOV[ANO PAGAMENTO],$B$4,LANÇ_MOV[MÊS PAGAMENTO CORRESPONDENTE],O$6,LANÇ_MOV[EMPRESA],$C$4,LANÇ_MOV[CENTRO DE CUSTOS],$D$4)</f>
        <v>0</v>
      </c>
      <c r="P835" s="207">
        <f t="shared" si="105"/>
        <v>0</v>
      </c>
      <c r="Q835" s="329">
        <v>1.9E-6</v>
      </c>
      <c r="R835" s="346">
        <f t="shared" si="106"/>
        <v>1.9E-6</v>
      </c>
      <c r="S835" s="347" t="str">
        <f t="shared" si="107"/>
        <v>-</v>
      </c>
      <c r="T835" s="347">
        <f t="shared" si="108"/>
        <v>0</v>
      </c>
      <c r="U835" s="347">
        <f>HLOOKUP(Apoio!$P$12,$D$752:$P$853,X835,FALSE)+Q835</f>
        <v>1.9E-6</v>
      </c>
      <c r="V835" s="447" t="str">
        <f t="shared" si="109"/>
        <v>-</v>
      </c>
      <c r="W835" s="448">
        <f>HLOOKUP(Apoio!$P$12,$D$752:$P$853,X835,FALSE)</f>
        <v>0</v>
      </c>
      <c r="X835" s="329">
        <v>84</v>
      </c>
    </row>
    <row r="836" spans="2:24" ht="30.05" customHeight="1" x14ac:dyDescent="0.35">
      <c r="B836" s="204" t="str">
        <f>'CAD_PL_REC-DESP'!Z87</f>
        <v>2.6.83</v>
      </c>
      <c r="C836" s="205" t="str">
        <f>IF('CAD_PL_REC-DESP'!AA87="","-",'CAD_PL_REC-DESP'!AA87)</f>
        <v>-</v>
      </c>
      <c r="D836" s="206">
        <f>SUMIFS(LANÇ_MOV[VALOR LÍQUIDO],LANÇ_MOV[RECEITA OU DESPESA],"Despesa",LANÇ_MOV[CONTAS],$C836,LANÇ_MOV[PLANO DE CONTAS],REL_DRE_FINANCEIRO!$B$753,LANÇ_MOV[ANO PAGAMENTO],$B$4,LANÇ_MOV[MÊS PAGAMENTO CORRESPONDENTE],D$6,LANÇ_MOV[EMPRESA],$C$4,LANÇ_MOV[CENTRO DE CUSTOS],$D$4)</f>
        <v>0</v>
      </c>
      <c r="E836" s="206">
        <f>SUMIFS(LANÇ_MOV[VALOR LÍQUIDO],LANÇ_MOV[RECEITA OU DESPESA],"Despesa",LANÇ_MOV[CONTAS],$C836,LANÇ_MOV[PLANO DE CONTAS],REL_DRE_FINANCEIRO!$B$753,LANÇ_MOV[ANO PAGAMENTO],$B$4,LANÇ_MOV[MÊS PAGAMENTO CORRESPONDENTE],E$6,LANÇ_MOV[EMPRESA],$C$4,LANÇ_MOV[CENTRO DE CUSTOS],$D$4)</f>
        <v>0</v>
      </c>
      <c r="F836" s="206">
        <f>SUMIFS(LANÇ_MOV[VALOR LÍQUIDO],LANÇ_MOV[RECEITA OU DESPESA],"Despesa",LANÇ_MOV[CONTAS],$C836,LANÇ_MOV[PLANO DE CONTAS],REL_DRE_FINANCEIRO!$B$753,LANÇ_MOV[ANO PAGAMENTO],$B$4,LANÇ_MOV[MÊS PAGAMENTO CORRESPONDENTE],F$6,LANÇ_MOV[EMPRESA],$C$4,LANÇ_MOV[CENTRO DE CUSTOS],$D$4)</f>
        <v>0</v>
      </c>
      <c r="G836" s="206">
        <f>SUMIFS(LANÇ_MOV[VALOR LÍQUIDO],LANÇ_MOV[RECEITA OU DESPESA],"Despesa",LANÇ_MOV[CONTAS],$C836,LANÇ_MOV[PLANO DE CONTAS],REL_DRE_FINANCEIRO!$B$753,LANÇ_MOV[ANO PAGAMENTO],$B$4,LANÇ_MOV[MÊS PAGAMENTO CORRESPONDENTE],G$6,LANÇ_MOV[EMPRESA],$C$4,LANÇ_MOV[CENTRO DE CUSTOS],$D$4)</f>
        <v>0</v>
      </c>
      <c r="H836" s="206">
        <f>SUMIFS(LANÇ_MOV[VALOR LÍQUIDO],LANÇ_MOV[RECEITA OU DESPESA],"Despesa",LANÇ_MOV[CONTAS],$C836,LANÇ_MOV[PLANO DE CONTAS],REL_DRE_FINANCEIRO!$B$753,LANÇ_MOV[ANO PAGAMENTO],$B$4,LANÇ_MOV[MÊS PAGAMENTO CORRESPONDENTE],H$6,LANÇ_MOV[EMPRESA],$C$4,LANÇ_MOV[CENTRO DE CUSTOS],$D$4)</f>
        <v>0</v>
      </c>
      <c r="I836" s="206">
        <f>SUMIFS(LANÇ_MOV[VALOR LÍQUIDO],LANÇ_MOV[RECEITA OU DESPESA],"Despesa",LANÇ_MOV[CONTAS],$C836,LANÇ_MOV[PLANO DE CONTAS],REL_DRE_FINANCEIRO!$B$753,LANÇ_MOV[ANO PAGAMENTO],$B$4,LANÇ_MOV[MÊS PAGAMENTO CORRESPONDENTE],I$6,LANÇ_MOV[EMPRESA],$C$4,LANÇ_MOV[CENTRO DE CUSTOS],$D$4)</f>
        <v>0</v>
      </c>
      <c r="J836" s="206">
        <f>SUMIFS(LANÇ_MOV[VALOR LÍQUIDO],LANÇ_MOV[RECEITA OU DESPESA],"Despesa",LANÇ_MOV[CONTAS],$C836,LANÇ_MOV[PLANO DE CONTAS],REL_DRE_FINANCEIRO!$B$753,LANÇ_MOV[ANO PAGAMENTO],$B$4,LANÇ_MOV[MÊS PAGAMENTO CORRESPONDENTE],J$6,LANÇ_MOV[EMPRESA],$C$4,LANÇ_MOV[CENTRO DE CUSTOS],$D$4)</f>
        <v>0</v>
      </c>
      <c r="K836" s="206">
        <f>SUMIFS(LANÇ_MOV[VALOR LÍQUIDO],LANÇ_MOV[RECEITA OU DESPESA],"Despesa",LANÇ_MOV[CONTAS],$C836,LANÇ_MOV[PLANO DE CONTAS],REL_DRE_FINANCEIRO!$B$753,LANÇ_MOV[ANO PAGAMENTO],$B$4,LANÇ_MOV[MÊS PAGAMENTO CORRESPONDENTE],K$6,LANÇ_MOV[EMPRESA],$C$4,LANÇ_MOV[CENTRO DE CUSTOS],$D$4)</f>
        <v>0</v>
      </c>
      <c r="L836" s="206">
        <f>SUMIFS(LANÇ_MOV[VALOR LÍQUIDO],LANÇ_MOV[RECEITA OU DESPESA],"Despesa",LANÇ_MOV[CONTAS],$C836,LANÇ_MOV[PLANO DE CONTAS],REL_DRE_FINANCEIRO!$B$753,LANÇ_MOV[ANO PAGAMENTO],$B$4,LANÇ_MOV[MÊS PAGAMENTO CORRESPONDENTE],L$6,LANÇ_MOV[EMPRESA],$C$4,LANÇ_MOV[CENTRO DE CUSTOS],$D$4)</f>
        <v>0</v>
      </c>
      <c r="M836" s="206">
        <f>SUMIFS(LANÇ_MOV[VALOR LÍQUIDO],LANÇ_MOV[RECEITA OU DESPESA],"Despesa",LANÇ_MOV[CONTAS],$C836,LANÇ_MOV[PLANO DE CONTAS],REL_DRE_FINANCEIRO!$B$753,LANÇ_MOV[ANO PAGAMENTO],$B$4,LANÇ_MOV[MÊS PAGAMENTO CORRESPONDENTE],M$6,LANÇ_MOV[EMPRESA],$C$4,LANÇ_MOV[CENTRO DE CUSTOS],$D$4)</f>
        <v>0</v>
      </c>
      <c r="N836" s="206">
        <f>SUMIFS(LANÇ_MOV[VALOR LÍQUIDO],LANÇ_MOV[RECEITA OU DESPESA],"Despesa",LANÇ_MOV[CONTAS],$C836,LANÇ_MOV[PLANO DE CONTAS],REL_DRE_FINANCEIRO!$B$753,LANÇ_MOV[ANO PAGAMENTO],$B$4,LANÇ_MOV[MÊS PAGAMENTO CORRESPONDENTE],N$6,LANÇ_MOV[EMPRESA],$C$4,LANÇ_MOV[CENTRO DE CUSTOS],$D$4)</f>
        <v>0</v>
      </c>
      <c r="O836" s="206">
        <f>SUMIFS(LANÇ_MOV[VALOR LÍQUIDO],LANÇ_MOV[RECEITA OU DESPESA],"Despesa",LANÇ_MOV[CONTAS],$C836,LANÇ_MOV[PLANO DE CONTAS],REL_DRE_FINANCEIRO!$B$753,LANÇ_MOV[ANO PAGAMENTO],$B$4,LANÇ_MOV[MÊS PAGAMENTO CORRESPONDENTE],O$6,LANÇ_MOV[EMPRESA],$C$4,LANÇ_MOV[CENTRO DE CUSTOS],$D$4)</f>
        <v>0</v>
      </c>
      <c r="P836" s="207">
        <f t="shared" si="105"/>
        <v>0</v>
      </c>
      <c r="Q836" s="329">
        <v>1.7999999999999999E-6</v>
      </c>
      <c r="R836" s="346">
        <f t="shared" si="106"/>
        <v>1.7999999999999999E-6</v>
      </c>
      <c r="S836" s="347" t="str">
        <f t="shared" si="107"/>
        <v>-</v>
      </c>
      <c r="T836" s="347">
        <f t="shared" si="108"/>
        <v>0</v>
      </c>
      <c r="U836" s="347">
        <f>HLOOKUP(Apoio!$P$12,$D$752:$P$853,X836,FALSE)+Q836</f>
        <v>1.7999999999999999E-6</v>
      </c>
      <c r="V836" s="447" t="str">
        <f t="shared" si="109"/>
        <v>-</v>
      </c>
      <c r="W836" s="448">
        <f>HLOOKUP(Apoio!$P$12,$D$752:$P$853,X836,FALSE)</f>
        <v>0</v>
      </c>
      <c r="X836" s="329">
        <v>85</v>
      </c>
    </row>
    <row r="837" spans="2:24" ht="30.05" customHeight="1" x14ac:dyDescent="0.35">
      <c r="B837" s="204" t="str">
        <f>'CAD_PL_REC-DESP'!Z88</f>
        <v>2.6.84</v>
      </c>
      <c r="C837" s="205" t="str">
        <f>IF('CAD_PL_REC-DESP'!AA88="","-",'CAD_PL_REC-DESP'!AA88)</f>
        <v>-</v>
      </c>
      <c r="D837" s="206">
        <f>SUMIFS(LANÇ_MOV[VALOR LÍQUIDO],LANÇ_MOV[RECEITA OU DESPESA],"Despesa",LANÇ_MOV[CONTAS],$C837,LANÇ_MOV[PLANO DE CONTAS],REL_DRE_FINANCEIRO!$B$753,LANÇ_MOV[ANO PAGAMENTO],$B$4,LANÇ_MOV[MÊS PAGAMENTO CORRESPONDENTE],D$6,LANÇ_MOV[EMPRESA],$C$4,LANÇ_MOV[CENTRO DE CUSTOS],$D$4)</f>
        <v>0</v>
      </c>
      <c r="E837" s="206">
        <f>SUMIFS(LANÇ_MOV[VALOR LÍQUIDO],LANÇ_MOV[RECEITA OU DESPESA],"Despesa",LANÇ_MOV[CONTAS],$C837,LANÇ_MOV[PLANO DE CONTAS],REL_DRE_FINANCEIRO!$B$753,LANÇ_MOV[ANO PAGAMENTO],$B$4,LANÇ_MOV[MÊS PAGAMENTO CORRESPONDENTE],E$6,LANÇ_MOV[EMPRESA],$C$4,LANÇ_MOV[CENTRO DE CUSTOS],$D$4)</f>
        <v>0</v>
      </c>
      <c r="F837" s="206">
        <f>SUMIFS(LANÇ_MOV[VALOR LÍQUIDO],LANÇ_MOV[RECEITA OU DESPESA],"Despesa",LANÇ_MOV[CONTAS],$C837,LANÇ_MOV[PLANO DE CONTAS],REL_DRE_FINANCEIRO!$B$753,LANÇ_MOV[ANO PAGAMENTO],$B$4,LANÇ_MOV[MÊS PAGAMENTO CORRESPONDENTE],F$6,LANÇ_MOV[EMPRESA],$C$4,LANÇ_MOV[CENTRO DE CUSTOS],$D$4)</f>
        <v>0</v>
      </c>
      <c r="G837" s="206">
        <f>SUMIFS(LANÇ_MOV[VALOR LÍQUIDO],LANÇ_MOV[RECEITA OU DESPESA],"Despesa",LANÇ_MOV[CONTAS],$C837,LANÇ_MOV[PLANO DE CONTAS],REL_DRE_FINANCEIRO!$B$753,LANÇ_MOV[ANO PAGAMENTO],$B$4,LANÇ_MOV[MÊS PAGAMENTO CORRESPONDENTE],G$6,LANÇ_MOV[EMPRESA],$C$4,LANÇ_MOV[CENTRO DE CUSTOS],$D$4)</f>
        <v>0</v>
      </c>
      <c r="H837" s="206">
        <f>SUMIFS(LANÇ_MOV[VALOR LÍQUIDO],LANÇ_MOV[RECEITA OU DESPESA],"Despesa",LANÇ_MOV[CONTAS],$C837,LANÇ_MOV[PLANO DE CONTAS],REL_DRE_FINANCEIRO!$B$753,LANÇ_MOV[ANO PAGAMENTO],$B$4,LANÇ_MOV[MÊS PAGAMENTO CORRESPONDENTE],H$6,LANÇ_MOV[EMPRESA],$C$4,LANÇ_MOV[CENTRO DE CUSTOS],$D$4)</f>
        <v>0</v>
      </c>
      <c r="I837" s="206">
        <f>SUMIFS(LANÇ_MOV[VALOR LÍQUIDO],LANÇ_MOV[RECEITA OU DESPESA],"Despesa",LANÇ_MOV[CONTAS],$C837,LANÇ_MOV[PLANO DE CONTAS],REL_DRE_FINANCEIRO!$B$753,LANÇ_MOV[ANO PAGAMENTO],$B$4,LANÇ_MOV[MÊS PAGAMENTO CORRESPONDENTE],I$6,LANÇ_MOV[EMPRESA],$C$4,LANÇ_MOV[CENTRO DE CUSTOS],$D$4)</f>
        <v>0</v>
      </c>
      <c r="J837" s="206">
        <f>SUMIFS(LANÇ_MOV[VALOR LÍQUIDO],LANÇ_MOV[RECEITA OU DESPESA],"Despesa",LANÇ_MOV[CONTAS],$C837,LANÇ_MOV[PLANO DE CONTAS],REL_DRE_FINANCEIRO!$B$753,LANÇ_MOV[ANO PAGAMENTO],$B$4,LANÇ_MOV[MÊS PAGAMENTO CORRESPONDENTE],J$6,LANÇ_MOV[EMPRESA],$C$4,LANÇ_MOV[CENTRO DE CUSTOS],$D$4)</f>
        <v>0</v>
      </c>
      <c r="K837" s="206">
        <f>SUMIFS(LANÇ_MOV[VALOR LÍQUIDO],LANÇ_MOV[RECEITA OU DESPESA],"Despesa",LANÇ_MOV[CONTAS],$C837,LANÇ_MOV[PLANO DE CONTAS],REL_DRE_FINANCEIRO!$B$753,LANÇ_MOV[ANO PAGAMENTO],$B$4,LANÇ_MOV[MÊS PAGAMENTO CORRESPONDENTE],K$6,LANÇ_MOV[EMPRESA],$C$4,LANÇ_MOV[CENTRO DE CUSTOS],$D$4)</f>
        <v>0</v>
      </c>
      <c r="L837" s="206">
        <f>SUMIFS(LANÇ_MOV[VALOR LÍQUIDO],LANÇ_MOV[RECEITA OU DESPESA],"Despesa",LANÇ_MOV[CONTAS],$C837,LANÇ_MOV[PLANO DE CONTAS],REL_DRE_FINANCEIRO!$B$753,LANÇ_MOV[ANO PAGAMENTO],$B$4,LANÇ_MOV[MÊS PAGAMENTO CORRESPONDENTE],L$6,LANÇ_MOV[EMPRESA],$C$4,LANÇ_MOV[CENTRO DE CUSTOS],$D$4)</f>
        <v>0</v>
      </c>
      <c r="M837" s="206">
        <f>SUMIFS(LANÇ_MOV[VALOR LÍQUIDO],LANÇ_MOV[RECEITA OU DESPESA],"Despesa",LANÇ_MOV[CONTAS],$C837,LANÇ_MOV[PLANO DE CONTAS],REL_DRE_FINANCEIRO!$B$753,LANÇ_MOV[ANO PAGAMENTO],$B$4,LANÇ_MOV[MÊS PAGAMENTO CORRESPONDENTE],M$6,LANÇ_MOV[EMPRESA],$C$4,LANÇ_MOV[CENTRO DE CUSTOS],$D$4)</f>
        <v>0</v>
      </c>
      <c r="N837" s="206">
        <f>SUMIFS(LANÇ_MOV[VALOR LÍQUIDO],LANÇ_MOV[RECEITA OU DESPESA],"Despesa",LANÇ_MOV[CONTAS],$C837,LANÇ_MOV[PLANO DE CONTAS],REL_DRE_FINANCEIRO!$B$753,LANÇ_MOV[ANO PAGAMENTO],$B$4,LANÇ_MOV[MÊS PAGAMENTO CORRESPONDENTE],N$6,LANÇ_MOV[EMPRESA],$C$4,LANÇ_MOV[CENTRO DE CUSTOS],$D$4)</f>
        <v>0</v>
      </c>
      <c r="O837" s="206">
        <f>SUMIFS(LANÇ_MOV[VALOR LÍQUIDO],LANÇ_MOV[RECEITA OU DESPESA],"Despesa",LANÇ_MOV[CONTAS],$C837,LANÇ_MOV[PLANO DE CONTAS],REL_DRE_FINANCEIRO!$B$753,LANÇ_MOV[ANO PAGAMENTO],$B$4,LANÇ_MOV[MÊS PAGAMENTO CORRESPONDENTE],O$6,LANÇ_MOV[EMPRESA],$C$4,LANÇ_MOV[CENTRO DE CUSTOS],$D$4)</f>
        <v>0</v>
      </c>
      <c r="P837" s="207">
        <f t="shared" si="105"/>
        <v>0</v>
      </c>
      <c r="Q837" s="329">
        <v>1.7E-6</v>
      </c>
      <c r="R837" s="346">
        <f t="shared" si="106"/>
        <v>1.7E-6</v>
      </c>
      <c r="S837" s="347" t="str">
        <f t="shared" si="107"/>
        <v>-</v>
      </c>
      <c r="T837" s="347">
        <f t="shared" si="108"/>
        <v>0</v>
      </c>
      <c r="U837" s="347">
        <f>HLOOKUP(Apoio!$P$12,$D$752:$P$853,X837,FALSE)+Q837</f>
        <v>1.7E-6</v>
      </c>
      <c r="V837" s="447" t="str">
        <f t="shared" si="109"/>
        <v>-</v>
      </c>
      <c r="W837" s="448">
        <f>HLOOKUP(Apoio!$P$12,$D$752:$P$853,X837,FALSE)</f>
        <v>0</v>
      </c>
      <c r="X837" s="329">
        <v>86</v>
      </c>
    </row>
    <row r="838" spans="2:24" ht="30.05" customHeight="1" x14ac:dyDescent="0.35">
      <c r="B838" s="204" t="str">
        <f>'CAD_PL_REC-DESP'!Z89</f>
        <v>2.6.85</v>
      </c>
      <c r="C838" s="205" t="str">
        <f>IF('CAD_PL_REC-DESP'!AA89="","-",'CAD_PL_REC-DESP'!AA89)</f>
        <v>-</v>
      </c>
      <c r="D838" s="206">
        <f>SUMIFS(LANÇ_MOV[VALOR LÍQUIDO],LANÇ_MOV[RECEITA OU DESPESA],"Despesa",LANÇ_MOV[CONTAS],$C838,LANÇ_MOV[PLANO DE CONTAS],REL_DRE_FINANCEIRO!$B$753,LANÇ_MOV[ANO PAGAMENTO],$B$4,LANÇ_MOV[MÊS PAGAMENTO CORRESPONDENTE],D$6,LANÇ_MOV[EMPRESA],$C$4,LANÇ_MOV[CENTRO DE CUSTOS],$D$4)</f>
        <v>0</v>
      </c>
      <c r="E838" s="206">
        <f>SUMIFS(LANÇ_MOV[VALOR LÍQUIDO],LANÇ_MOV[RECEITA OU DESPESA],"Despesa",LANÇ_MOV[CONTAS],$C838,LANÇ_MOV[PLANO DE CONTAS],REL_DRE_FINANCEIRO!$B$753,LANÇ_MOV[ANO PAGAMENTO],$B$4,LANÇ_MOV[MÊS PAGAMENTO CORRESPONDENTE],E$6,LANÇ_MOV[EMPRESA],$C$4,LANÇ_MOV[CENTRO DE CUSTOS],$D$4)</f>
        <v>0</v>
      </c>
      <c r="F838" s="206">
        <f>SUMIFS(LANÇ_MOV[VALOR LÍQUIDO],LANÇ_MOV[RECEITA OU DESPESA],"Despesa",LANÇ_MOV[CONTAS],$C838,LANÇ_MOV[PLANO DE CONTAS],REL_DRE_FINANCEIRO!$B$753,LANÇ_MOV[ANO PAGAMENTO],$B$4,LANÇ_MOV[MÊS PAGAMENTO CORRESPONDENTE],F$6,LANÇ_MOV[EMPRESA],$C$4,LANÇ_MOV[CENTRO DE CUSTOS],$D$4)</f>
        <v>0</v>
      </c>
      <c r="G838" s="206">
        <f>SUMIFS(LANÇ_MOV[VALOR LÍQUIDO],LANÇ_MOV[RECEITA OU DESPESA],"Despesa",LANÇ_MOV[CONTAS],$C838,LANÇ_MOV[PLANO DE CONTAS],REL_DRE_FINANCEIRO!$B$753,LANÇ_MOV[ANO PAGAMENTO],$B$4,LANÇ_MOV[MÊS PAGAMENTO CORRESPONDENTE],G$6,LANÇ_MOV[EMPRESA],$C$4,LANÇ_MOV[CENTRO DE CUSTOS],$D$4)</f>
        <v>0</v>
      </c>
      <c r="H838" s="206">
        <f>SUMIFS(LANÇ_MOV[VALOR LÍQUIDO],LANÇ_MOV[RECEITA OU DESPESA],"Despesa",LANÇ_MOV[CONTAS],$C838,LANÇ_MOV[PLANO DE CONTAS],REL_DRE_FINANCEIRO!$B$753,LANÇ_MOV[ANO PAGAMENTO],$B$4,LANÇ_MOV[MÊS PAGAMENTO CORRESPONDENTE],H$6,LANÇ_MOV[EMPRESA],$C$4,LANÇ_MOV[CENTRO DE CUSTOS],$D$4)</f>
        <v>0</v>
      </c>
      <c r="I838" s="206">
        <f>SUMIFS(LANÇ_MOV[VALOR LÍQUIDO],LANÇ_MOV[RECEITA OU DESPESA],"Despesa",LANÇ_MOV[CONTAS],$C838,LANÇ_MOV[PLANO DE CONTAS],REL_DRE_FINANCEIRO!$B$753,LANÇ_MOV[ANO PAGAMENTO],$B$4,LANÇ_MOV[MÊS PAGAMENTO CORRESPONDENTE],I$6,LANÇ_MOV[EMPRESA],$C$4,LANÇ_MOV[CENTRO DE CUSTOS],$D$4)</f>
        <v>0</v>
      </c>
      <c r="J838" s="206">
        <f>SUMIFS(LANÇ_MOV[VALOR LÍQUIDO],LANÇ_MOV[RECEITA OU DESPESA],"Despesa",LANÇ_MOV[CONTAS],$C838,LANÇ_MOV[PLANO DE CONTAS],REL_DRE_FINANCEIRO!$B$753,LANÇ_MOV[ANO PAGAMENTO],$B$4,LANÇ_MOV[MÊS PAGAMENTO CORRESPONDENTE],J$6,LANÇ_MOV[EMPRESA],$C$4,LANÇ_MOV[CENTRO DE CUSTOS],$D$4)</f>
        <v>0</v>
      </c>
      <c r="K838" s="206">
        <f>SUMIFS(LANÇ_MOV[VALOR LÍQUIDO],LANÇ_MOV[RECEITA OU DESPESA],"Despesa",LANÇ_MOV[CONTAS],$C838,LANÇ_MOV[PLANO DE CONTAS],REL_DRE_FINANCEIRO!$B$753,LANÇ_MOV[ANO PAGAMENTO],$B$4,LANÇ_MOV[MÊS PAGAMENTO CORRESPONDENTE],K$6,LANÇ_MOV[EMPRESA],$C$4,LANÇ_MOV[CENTRO DE CUSTOS],$D$4)</f>
        <v>0</v>
      </c>
      <c r="L838" s="206">
        <f>SUMIFS(LANÇ_MOV[VALOR LÍQUIDO],LANÇ_MOV[RECEITA OU DESPESA],"Despesa",LANÇ_MOV[CONTAS],$C838,LANÇ_MOV[PLANO DE CONTAS],REL_DRE_FINANCEIRO!$B$753,LANÇ_MOV[ANO PAGAMENTO],$B$4,LANÇ_MOV[MÊS PAGAMENTO CORRESPONDENTE],L$6,LANÇ_MOV[EMPRESA],$C$4,LANÇ_MOV[CENTRO DE CUSTOS],$D$4)</f>
        <v>0</v>
      </c>
      <c r="M838" s="206">
        <f>SUMIFS(LANÇ_MOV[VALOR LÍQUIDO],LANÇ_MOV[RECEITA OU DESPESA],"Despesa",LANÇ_MOV[CONTAS],$C838,LANÇ_MOV[PLANO DE CONTAS],REL_DRE_FINANCEIRO!$B$753,LANÇ_MOV[ANO PAGAMENTO],$B$4,LANÇ_MOV[MÊS PAGAMENTO CORRESPONDENTE],M$6,LANÇ_MOV[EMPRESA],$C$4,LANÇ_MOV[CENTRO DE CUSTOS],$D$4)</f>
        <v>0</v>
      </c>
      <c r="N838" s="206">
        <f>SUMIFS(LANÇ_MOV[VALOR LÍQUIDO],LANÇ_MOV[RECEITA OU DESPESA],"Despesa",LANÇ_MOV[CONTAS],$C838,LANÇ_MOV[PLANO DE CONTAS],REL_DRE_FINANCEIRO!$B$753,LANÇ_MOV[ANO PAGAMENTO],$B$4,LANÇ_MOV[MÊS PAGAMENTO CORRESPONDENTE],N$6,LANÇ_MOV[EMPRESA],$C$4,LANÇ_MOV[CENTRO DE CUSTOS],$D$4)</f>
        <v>0</v>
      </c>
      <c r="O838" s="206">
        <f>SUMIFS(LANÇ_MOV[VALOR LÍQUIDO],LANÇ_MOV[RECEITA OU DESPESA],"Despesa",LANÇ_MOV[CONTAS],$C838,LANÇ_MOV[PLANO DE CONTAS],REL_DRE_FINANCEIRO!$B$753,LANÇ_MOV[ANO PAGAMENTO],$B$4,LANÇ_MOV[MÊS PAGAMENTO CORRESPONDENTE],O$6,LANÇ_MOV[EMPRESA],$C$4,LANÇ_MOV[CENTRO DE CUSTOS],$D$4)</f>
        <v>0</v>
      </c>
      <c r="P838" s="207">
        <f t="shared" si="105"/>
        <v>0</v>
      </c>
      <c r="Q838" s="329">
        <v>1.5999999999999999E-6</v>
      </c>
      <c r="R838" s="346">
        <f t="shared" si="106"/>
        <v>1.5999999999999999E-6</v>
      </c>
      <c r="S838" s="347" t="str">
        <f t="shared" si="107"/>
        <v>-</v>
      </c>
      <c r="T838" s="347">
        <f t="shared" si="108"/>
        <v>0</v>
      </c>
      <c r="U838" s="347">
        <f>HLOOKUP(Apoio!$P$12,$D$752:$P$853,X838,FALSE)+Q838</f>
        <v>1.5999999999999999E-6</v>
      </c>
      <c r="V838" s="447" t="str">
        <f t="shared" si="109"/>
        <v>-</v>
      </c>
      <c r="W838" s="448">
        <f>HLOOKUP(Apoio!$P$12,$D$752:$P$853,X838,FALSE)</f>
        <v>0</v>
      </c>
      <c r="X838" s="329">
        <v>87</v>
      </c>
    </row>
    <row r="839" spans="2:24" ht="30.05" customHeight="1" x14ac:dyDescent="0.35">
      <c r="B839" s="204" t="str">
        <f>'CAD_PL_REC-DESP'!Z90</f>
        <v>2.6.86</v>
      </c>
      <c r="C839" s="205" t="str">
        <f>IF('CAD_PL_REC-DESP'!AA90="","-",'CAD_PL_REC-DESP'!AA90)</f>
        <v>-</v>
      </c>
      <c r="D839" s="206">
        <f>SUMIFS(LANÇ_MOV[VALOR LÍQUIDO],LANÇ_MOV[RECEITA OU DESPESA],"Despesa",LANÇ_MOV[CONTAS],$C839,LANÇ_MOV[PLANO DE CONTAS],REL_DRE_FINANCEIRO!$B$753,LANÇ_MOV[ANO PAGAMENTO],$B$4,LANÇ_MOV[MÊS PAGAMENTO CORRESPONDENTE],D$6,LANÇ_MOV[EMPRESA],$C$4,LANÇ_MOV[CENTRO DE CUSTOS],$D$4)</f>
        <v>0</v>
      </c>
      <c r="E839" s="206">
        <f>SUMIFS(LANÇ_MOV[VALOR LÍQUIDO],LANÇ_MOV[RECEITA OU DESPESA],"Despesa",LANÇ_MOV[CONTAS],$C839,LANÇ_MOV[PLANO DE CONTAS],REL_DRE_FINANCEIRO!$B$753,LANÇ_MOV[ANO PAGAMENTO],$B$4,LANÇ_MOV[MÊS PAGAMENTO CORRESPONDENTE],E$6,LANÇ_MOV[EMPRESA],$C$4,LANÇ_MOV[CENTRO DE CUSTOS],$D$4)</f>
        <v>0</v>
      </c>
      <c r="F839" s="206">
        <f>SUMIFS(LANÇ_MOV[VALOR LÍQUIDO],LANÇ_MOV[RECEITA OU DESPESA],"Despesa",LANÇ_MOV[CONTAS],$C839,LANÇ_MOV[PLANO DE CONTAS],REL_DRE_FINANCEIRO!$B$753,LANÇ_MOV[ANO PAGAMENTO],$B$4,LANÇ_MOV[MÊS PAGAMENTO CORRESPONDENTE],F$6,LANÇ_MOV[EMPRESA],$C$4,LANÇ_MOV[CENTRO DE CUSTOS],$D$4)</f>
        <v>0</v>
      </c>
      <c r="G839" s="206">
        <f>SUMIFS(LANÇ_MOV[VALOR LÍQUIDO],LANÇ_MOV[RECEITA OU DESPESA],"Despesa",LANÇ_MOV[CONTAS],$C839,LANÇ_MOV[PLANO DE CONTAS],REL_DRE_FINANCEIRO!$B$753,LANÇ_MOV[ANO PAGAMENTO],$B$4,LANÇ_MOV[MÊS PAGAMENTO CORRESPONDENTE],G$6,LANÇ_MOV[EMPRESA],$C$4,LANÇ_MOV[CENTRO DE CUSTOS],$D$4)</f>
        <v>0</v>
      </c>
      <c r="H839" s="206">
        <f>SUMIFS(LANÇ_MOV[VALOR LÍQUIDO],LANÇ_MOV[RECEITA OU DESPESA],"Despesa",LANÇ_MOV[CONTAS],$C839,LANÇ_MOV[PLANO DE CONTAS],REL_DRE_FINANCEIRO!$B$753,LANÇ_MOV[ANO PAGAMENTO],$B$4,LANÇ_MOV[MÊS PAGAMENTO CORRESPONDENTE],H$6,LANÇ_MOV[EMPRESA],$C$4,LANÇ_MOV[CENTRO DE CUSTOS],$D$4)</f>
        <v>0</v>
      </c>
      <c r="I839" s="206">
        <f>SUMIFS(LANÇ_MOV[VALOR LÍQUIDO],LANÇ_MOV[RECEITA OU DESPESA],"Despesa",LANÇ_MOV[CONTAS],$C839,LANÇ_MOV[PLANO DE CONTAS],REL_DRE_FINANCEIRO!$B$753,LANÇ_MOV[ANO PAGAMENTO],$B$4,LANÇ_MOV[MÊS PAGAMENTO CORRESPONDENTE],I$6,LANÇ_MOV[EMPRESA],$C$4,LANÇ_MOV[CENTRO DE CUSTOS],$D$4)</f>
        <v>0</v>
      </c>
      <c r="J839" s="206">
        <f>SUMIFS(LANÇ_MOV[VALOR LÍQUIDO],LANÇ_MOV[RECEITA OU DESPESA],"Despesa",LANÇ_MOV[CONTAS],$C839,LANÇ_MOV[PLANO DE CONTAS],REL_DRE_FINANCEIRO!$B$753,LANÇ_MOV[ANO PAGAMENTO],$B$4,LANÇ_MOV[MÊS PAGAMENTO CORRESPONDENTE],J$6,LANÇ_MOV[EMPRESA],$C$4,LANÇ_MOV[CENTRO DE CUSTOS],$D$4)</f>
        <v>0</v>
      </c>
      <c r="K839" s="206">
        <f>SUMIFS(LANÇ_MOV[VALOR LÍQUIDO],LANÇ_MOV[RECEITA OU DESPESA],"Despesa",LANÇ_MOV[CONTAS],$C839,LANÇ_MOV[PLANO DE CONTAS],REL_DRE_FINANCEIRO!$B$753,LANÇ_MOV[ANO PAGAMENTO],$B$4,LANÇ_MOV[MÊS PAGAMENTO CORRESPONDENTE],K$6,LANÇ_MOV[EMPRESA],$C$4,LANÇ_MOV[CENTRO DE CUSTOS],$D$4)</f>
        <v>0</v>
      </c>
      <c r="L839" s="206">
        <f>SUMIFS(LANÇ_MOV[VALOR LÍQUIDO],LANÇ_MOV[RECEITA OU DESPESA],"Despesa",LANÇ_MOV[CONTAS],$C839,LANÇ_MOV[PLANO DE CONTAS],REL_DRE_FINANCEIRO!$B$753,LANÇ_MOV[ANO PAGAMENTO],$B$4,LANÇ_MOV[MÊS PAGAMENTO CORRESPONDENTE],L$6,LANÇ_MOV[EMPRESA],$C$4,LANÇ_MOV[CENTRO DE CUSTOS],$D$4)</f>
        <v>0</v>
      </c>
      <c r="M839" s="206">
        <f>SUMIFS(LANÇ_MOV[VALOR LÍQUIDO],LANÇ_MOV[RECEITA OU DESPESA],"Despesa",LANÇ_MOV[CONTAS],$C839,LANÇ_MOV[PLANO DE CONTAS],REL_DRE_FINANCEIRO!$B$753,LANÇ_MOV[ANO PAGAMENTO],$B$4,LANÇ_MOV[MÊS PAGAMENTO CORRESPONDENTE],M$6,LANÇ_MOV[EMPRESA],$C$4,LANÇ_MOV[CENTRO DE CUSTOS],$D$4)</f>
        <v>0</v>
      </c>
      <c r="N839" s="206">
        <f>SUMIFS(LANÇ_MOV[VALOR LÍQUIDO],LANÇ_MOV[RECEITA OU DESPESA],"Despesa",LANÇ_MOV[CONTAS],$C839,LANÇ_MOV[PLANO DE CONTAS],REL_DRE_FINANCEIRO!$B$753,LANÇ_MOV[ANO PAGAMENTO],$B$4,LANÇ_MOV[MÊS PAGAMENTO CORRESPONDENTE],N$6,LANÇ_MOV[EMPRESA],$C$4,LANÇ_MOV[CENTRO DE CUSTOS],$D$4)</f>
        <v>0</v>
      </c>
      <c r="O839" s="206">
        <f>SUMIFS(LANÇ_MOV[VALOR LÍQUIDO],LANÇ_MOV[RECEITA OU DESPESA],"Despesa",LANÇ_MOV[CONTAS],$C839,LANÇ_MOV[PLANO DE CONTAS],REL_DRE_FINANCEIRO!$B$753,LANÇ_MOV[ANO PAGAMENTO],$B$4,LANÇ_MOV[MÊS PAGAMENTO CORRESPONDENTE],O$6,LANÇ_MOV[EMPRESA],$C$4,LANÇ_MOV[CENTRO DE CUSTOS],$D$4)</f>
        <v>0</v>
      </c>
      <c r="P839" s="207">
        <f t="shared" si="105"/>
        <v>0</v>
      </c>
      <c r="Q839" s="329">
        <v>1.5E-6</v>
      </c>
      <c r="R839" s="346">
        <f t="shared" si="106"/>
        <v>1.5E-6</v>
      </c>
      <c r="S839" s="347" t="str">
        <f t="shared" si="107"/>
        <v>-</v>
      </c>
      <c r="T839" s="347">
        <f t="shared" si="108"/>
        <v>0</v>
      </c>
      <c r="U839" s="347">
        <f>HLOOKUP(Apoio!$P$12,$D$752:$P$853,X839,FALSE)+Q839</f>
        <v>1.5E-6</v>
      </c>
      <c r="V839" s="447" t="str">
        <f t="shared" si="109"/>
        <v>-</v>
      </c>
      <c r="W839" s="448">
        <f>HLOOKUP(Apoio!$P$12,$D$752:$P$853,X839,FALSE)</f>
        <v>0</v>
      </c>
      <c r="X839" s="329">
        <v>88</v>
      </c>
    </row>
    <row r="840" spans="2:24" ht="30.05" customHeight="1" x14ac:dyDescent="0.35">
      <c r="B840" s="204" t="str">
        <f>'CAD_PL_REC-DESP'!Z91</f>
        <v>2.6.87</v>
      </c>
      <c r="C840" s="205" t="str">
        <f>IF('CAD_PL_REC-DESP'!AA91="","-",'CAD_PL_REC-DESP'!AA91)</f>
        <v>-</v>
      </c>
      <c r="D840" s="206">
        <f>SUMIFS(LANÇ_MOV[VALOR LÍQUIDO],LANÇ_MOV[RECEITA OU DESPESA],"Despesa",LANÇ_MOV[CONTAS],$C840,LANÇ_MOV[PLANO DE CONTAS],REL_DRE_FINANCEIRO!$B$753,LANÇ_MOV[ANO PAGAMENTO],$B$4,LANÇ_MOV[MÊS PAGAMENTO CORRESPONDENTE],D$6,LANÇ_MOV[EMPRESA],$C$4,LANÇ_MOV[CENTRO DE CUSTOS],$D$4)</f>
        <v>0</v>
      </c>
      <c r="E840" s="206">
        <f>SUMIFS(LANÇ_MOV[VALOR LÍQUIDO],LANÇ_MOV[RECEITA OU DESPESA],"Despesa",LANÇ_MOV[CONTAS],$C840,LANÇ_MOV[PLANO DE CONTAS],REL_DRE_FINANCEIRO!$B$753,LANÇ_MOV[ANO PAGAMENTO],$B$4,LANÇ_MOV[MÊS PAGAMENTO CORRESPONDENTE],E$6,LANÇ_MOV[EMPRESA],$C$4,LANÇ_MOV[CENTRO DE CUSTOS],$D$4)</f>
        <v>0</v>
      </c>
      <c r="F840" s="206">
        <f>SUMIFS(LANÇ_MOV[VALOR LÍQUIDO],LANÇ_MOV[RECEITA OU DESPESA],"Despesa",LANÇ_MOV[CONTAS],$C840,LANÇ_MOV[PLANO DE CONTAS],REL_DRE_FINANCEIRO!$B$753,LANÇ_MOV[ANO PAGAMENTO],$B$4,LANÇ_MOV[MÊS PAGAMENTO CORRESPONDENTE],F$6,LANÇ_MOV[EMPRESA],$C$4,LANÇ_MOV[CENTRO DE CUSTOS],$D$4)</f>
        <v>0</v>
      </c>
      <c r="G840" s="206">
        <f>SUMIFS(LANÇ_MOV[VALOR LÍQUIDO],LANÇ_MOV[RECEITA OU DESPESA],"Despesa",LANÇ_MOV[CONTAS],$C840,LANÇ_MOV[PLANO DE CONTAS],REL_DRE_FINANCEIRO!$B$753,LANÇ_MOV[ANO PAGAMENTO],$B$4,LANÇ_MOV[MÊS PAGAMENTO CORRESPONDENTE],G$6,LANÇ_MOV[EMPRESA],$C$4,LANÇ_MOV[CENTRO DE CUSTOS],$D$4)</f>
        <v>0</v>
      </c>
      <c r="H840" s="206">
        <f>SUMIFS(LANÇ_MOV[VALOR LÍQUIDO],LANÇ_MOV[RECEITA OU DESPESA],"Despesa",LANÇ_MOV[CONTAS],$C840,LANÇ_MOV[PLANO DE CONTAS],REL_DRE_FINANCEIRO!$B$753,LANÇ_MOV[ANO PAGAMENTO],$B$4,LANÇ_MOV[MÊS PAGAMENTO CORRESPONDENTE],H$6,LANÇ_MOV[EMPRESA],$C$4,LANÇ_MOV[CENTRO DE CUSTOS],$D$4)</f>
        <v>0</v>
      </c>
      <c r="I840" s="206">
        <f>SUMIFS(LANÇ_MOV[VALOR LÍQUIDO],LANÇ_MOV[RECEITA OU DESPESA],"Despesa",LANÇ_MOV[CONTAS],$C840,LANÇ_MOV[PLANO DE CONTAS],REL_DRE_FINANCEIRO!$B$753,LANÇ_MOV[ANO PAGAMENTO],$B$4,LANÇ_MOV[MÊS PAGAMENTO CORRESPONDENTE],I$6,LANÇ_MOV[EMPRESA],$C$4,LANÇ_MOV[CENTRO DE CUSTOS],$D$4)</f>
        <v>0</v>
      </c>
      <c r="J840" s="206">
        <f>SUMIFS(LANÇ_MOV[VALOR LÍQUIDO],LANÇ_MOV[RECEITA OU DESPESA],"Despesa",LANÇ_MOV[CONTAS],$C840,LANÇ_MOV[PLANO DE CONTAS],REL_DRE_FINANCEIRO!$B$753,LANÇ_MOV[ANO PAGAMENTO],$B$4,LANÇ_MOV[MÊS PAGAMENTO CORRESPONDENTE],J$6,LANÇ_MOV[EMPRESA],$C$4,LANÇ_MOV[CENTRO DE CUSTOS],$D$4)</f>
        <v>0</v>
      </c>
      <c r="K840" s="206">
        <f>SUMIFS(LANÇ_MOV[VALOR LÍQUIDO],LANÇ_MOV[RECEITA OU DESPESA],"Despesa",LANÇ_MOV[CONTAS],$C840,LANÇ_MOV[PLANO DE CONTAS],REL_DRE_FINANCEIRO!$B$753,LANÇ_MOV[ANO PAGAMENTO],$B$4,LANÇ_MOV[MÊS PAGAMENTO CORRESPONDENTE],K$6,LANÇ_MOV[EMPRESA],$C$4,LANÇ_MOV[CENTRO DE CUSTOS],$D$4)</f>
        <v>0</v>
      </c>
      <c r="L840" s="206">
        <f>SUMIFS(LANÇ_MOV[VALOR LÍQUIDO],LANÇ_MOV[RECEITA OU DESPESA],"Despesa",LANÇ_MOV[CONTAS],$C840,LANÇ_MOV[PLANO DE CONTAS],REL_DRE_FINANCEIRO!$B$753,LANÇ_MOV[ANO PAGAMENTO],$B$4,LANÇ_MOV[MÊS PAGAMENTO CORRESPONDENTE],L$6,LANÇ_MOV[EMPRESA],$C$4,LANÇ_MOV[CENTRO DE CUSTOS],$D$4)</f>
        <v>0</v>
      </c>
      <c r="M840" s="206">
        <f>SUMIFS(LANÇ_MOV[VALOR LÍQUIDO],LANÇ_MOV[RECEITA OU DESPESA],"Despesa",LANÇ_MOV[CONTAS],$C840,LANÇ_MOV[PLANO DE CONTAS],REL_DRE_FINANCEIRO!$B$753,LANÇ_MOV[ANO PAGAMENTO],$B$4,LANÇ_MOV[MÊS PAGAMENTO CORRESPONDENTE],M$6,LANÇ_MOV[EMPRESA],$C$4,LANÇ_MOV[CENTRO DE CUSTOS],$D$4)</f>
        <v>0</v>
      </c>
      <c r="N840" s="206">
        <f>SUMIFS(LANÇ_MOV[VALOR LÍQUIDO],LANÇ_MOV[RECEITA OU DESPESA],"Despesa",LANÇ_MOV[CONTAS],$C840,LANÇ_MOV[PLANO DE CONTAS],REL_DRE_FINANCEIRO!$B$753,LANÇ_MOV[ANO PAGAMENTO],$B$4,LANÇ_MOV[MÊS PAGAMENTO CORRESPONDENTE],N$6,LANÇ_MOV[EMPRESA],$C$4,LANÇ_MOV[CENTRO DE CUSTOS],$D$4)</f>
        <v>0</v>
      </c>
      <c r="O840" s="206">
        <f>SUMIFS(LANÇ_MOV[VALOR LÍQUIDO],LANÇ_MOV[RECEITA OU DESPESA],"Despesa",LANÇ_MOV[CONTAS],$C840,LANÇ_MOV[PLANO DE CONTAS],REL_DRE_FINANCEIRO!$B$753,LANÇ_MOV[ANO PAGAMENTO],$B$4,LANÇ_MOV[MÊS PAGAMENTO CORRESPONDENTE],O$6,LANÇ_MOV[EMPRESA],$C$4,LANÇ_MOV[CENTRO DE CUSTOS],$D$4)</f>
        <v>0</v>
      </c>
      <c r="P840" s="207">
        <f t="shared" si="105"/>
        <v>0</v>
      </c>
      <c r="Q840" s="329">
        <v>1.3999999999999999E-6</v>
      </c>
      <c r="R840" s="346">
        <f t="shared" si="106"/>
        <v>1.3999999999999999E-6</v>
      </c>
      <c r="S840" s="347" t="str">
        <f t="shared" si="107"/>
        <v>-</v>
      </c>
      <c r="T840" s="347">
        <f t="shared" si="108"/>
        <v>0</v>
      </c>
      <c r="U840" s="347">
        <f>HLOOKUP(Apoio!$P$12,$D$752:$P$853,X840,FALSE)+Q840</f>
        <v>1.3999999999999999E-6</v>
      </c>
      <c r="V840" s="447" t="str">
        <f t="shared" si="109"/>
        <v>-</v>
      </c>
      <c r="W840" s="448">
        <f>HLOOKUP(Apoio!$P$12,$D$752:$P$853,X840,FALSE)</f>
        <v>0</v>
      </c>
      <c r="X840" s="329">
        <v>89</v>
      </c>
    </row>
    <row r="841" spans="2:24" ht="30.05" customHeight="1" x14ac:dyDescent="0.35">
      <c r="B841" s="204" t="str">
        <f>'CAD_PL_REC-DESP'!Z92</f>
        <v>2.6.88</v>
      </c>
      <c r="C841" s="205" t="str">
        <f>IF('CAD_PL_REC-DESP'!AA92="","-",'CAD_PL_REC-DESP'!AA92)</f>
        <v>-</v>
      </c>
      <c r="D841" s="206">
        <f>SUMIFS(LANÇ_MOV[VALOR LÍQUIDO],LANÇ_MOV[RECEITA OU DESPESA],"Despesa",LANÇ_MOV[CONTAS],$C841,LANÇ_MOV[PLANO DE CONTAS],REL_DRE_FINANCEIRO!$B$753,LANÇ_MOV[ANO PAGAMENTO],$B$4,LANÇ_MOV[MÊS PAGAMENTO CORRESPONDENTE],D$6,LANÇ_MOV[EMPRESA],$C$4,LANÇ_MOV[CENTRO DE CUSTOS],$D$4)</f>
        <v>0</v>
      </c>
      <c r="E841" s="206">
        <f>SUMIFS(LANÇ_MOV[VALOR LÍQUIDO],LANÇ_MOV[RECEITA OU DESPESA],"Despesa",LANÇ_MOV[CONTAS],$C841,LANÇ_MOV[PLANO DE CONTAS],REL_DRE_FINANCEIRO!$B$753,LANÇ_MOV[ANO PAGAMENTO],$B$4,LANÇ_MOV[MÊS PAGAMENTO CORRESPONDENTE],E$6,LANÇ_MOV[EMPRESA],$C$4,LANÇ_MOV[CENTRO DE CUSTOS],$D$4)</f>
        <v>0</v>
      </c>
      <c r="F841" s="206">
        <f>SUMIFS(LANÇ_MOV[VALOR LÍQUIDO],LANÇ_MOV[RECEITA OU DESPESA],"Despesa",LANÇ_MOV[CONTAS],$C841,LANÇ_MOV[PLANO DE CONTAS],REL_DRE_FINANCEIRO!$B$753,LANÇ_MOV[ANO PAGAMENTO],$B$4,LANÇ_MOV[MÊS PAGAMENTO CORRESPONDENTE],F$6,LANÇ_MOV[EMPRESA],$C$4,LANÇ_MOV[CENTRO DE CUSTOS],$D$4)</f>
        <v>0</v>
      </c>
      <c r="G841" s="206">
        <f>SUMIFS(LANÇ_MOV[VALOR LÍQUIDO],LANÇ_MOV[RECEITA OU DESPESA],"Despesa",LANÇ_MOV[CONTAS],$C841,LANÇ_MOV[PLANO DE CONTAS],REL_DRE_FINANCEIRO!$B$753,LANÇ_MOV[ANO PAGAMENTO],$B$4,LANÇ_MOV[MÊS PAGAMENTO CORRESPONDENTE],G$6,LANÇ_MOV[EMPRESA],$C$4,LANÇ_MOV[CENTRO DE CUSTOS],$D$4)</f>
        <v>0</v>
      </c>
      <c r="H841" s="206">
        <f>SUMIFS(LANÇ_MOV[VALOR LÍQUIDO],LANÇ_MOV[RECEITA OU DESPESA],"Despesa",LANÇ_MOV[CONTAS],$C841,LANÇ_MOV[PLANO DE CONTAS],REL_DRE_FINANCEIRO!$B$753,LANÇ_MOV[ANO PAGAMENTO],$B$4,LANÇ_MOV[MÊS PAGAMENTO CORRESPONDENTE],H$6,LANÇ_MOV[EMPRESA],$C$4,LANÇ_MOV[CENTRO DE CUSTOS],$D$4)</f>
        <v>0</v>
      </c>
      <c r="I841" s="206">
        <f>SUMIFS(LANÇ_MOV[VALOR LÍQUIDO],LANÇ_MOV[RECEITA OU DESPESA],"Despesa",LANÇ_MOV[CONTAS],$C841,LANÇ_MOV[PLANO DE CONTAS],REL_DRE_FINANCEIRO!$B$753,LANÇ_MOV[ANO PAGAMENTO],$B$4,LANÇ_MOV[MÊS PAGAMENTO CORRESPONDENTE],I$6,LANÇ_MOV[EMPRESA],$C$4,LANÇ_MOV[CENTRO DE CUSTOS],$D$4)</f>
        <v>0</v>
      </c>
      <c r="J841" s="206">
        <f>SUMIFS(LANÇ_MOV[VALOR LÍQUIDO],LANÇ_MOV[RECEITA OU DESPESA],"Despesa",LANÇ_MOV[CONTAS],$C841,LANÇ_MOV[PLANO DE CONTAS],REL_DRE_FINANCEIRO!$B$753,LANÇ_MOV[ANO PAGAMENTO],$B$4,LANÇ_MOV[MÊS PAGAMENTO CORRESPONDENTE],J$6,LANÇ_MOV[EMPRESA],$C$4,LANÇ_MOV[CENTRO DE CUSTOS],$D$4)</f>
        <v>0</v>
      </c>
      <c r="K841" s="206">
        <f>SUMIFS(LANÇ_MOV[VALOR LÍQUIDO],LANÇ_MOV[RECEITA OU DESPESA],"Despesa",LANÇ_MOV[CONTAS],$C841,LANÇ_MOV[PLANO DE CONTAS],REL_DRE_FINANCEIRO!$B$753,LANÇ_MOV[ANO PAGAMENTO],$B$4,LANÇ_MOV[MÊS PAGAMENTO CORRESPONDENTE],K$6,LANÇ_MOV[EMPRESA],$C$4,LANÇ_MOV[CENTRO DE CUSTOS],$D$4)</f>
        <v>0</v>
      </c>
      <c r="L841" s="206">
        <f>SUMIFS(LANÇ_MOV[VALOR LÍQUIDO],LANÇ_MOV[RECEITA OU DESPESA],"Despesa",LANÇ_MOV[CONTAS],$C841,LANÇ_MOV[PLANO DE CONTAS],REL_DRE_FINANCEIRO!$B$753,LANÇ_MOV[ANO PAGAMENTO],$B$4,LANÇ_MOV[MÊS PAGAMENTO CORRESPONDENTE],L$6,LANÇ_MOV[EMPRESA],$C$4,LANÇ_MOV[CENTRO DE CUSTOS],$D$4)</f>
        <v>0</v>
      </c>
      <c r="M841" s="206">
        <f>SUMIFS(LANÇ_MOV[VALOR LÍQUIDO],LANÇ_MOV[RECEITA OU DESPESA],"Despesa",LANÇ_MOV[CONTAS],$C841,LANÇ_MOV[PLANO DE CONTAS],REL_DRE_FINANCEIRO!$B$753,LANÇ_MOV[ANO PAGAMENTO],$B$4,LANÇ_MOV[MÊS PAGAMENTO CORRESPONDENTE],M$6,LANÇ_MOV[EMPRESA],$C$4,LANÇ_MOV[CENTRO DE CUSTOS],$D$4)</f>
        <v>0</v>
      </c>
      <c r="N841" s="206">
        <f>SUMIFS(LANÇ_MOV[VALOR LÍQUIDO],LANÇ_MOV[RECEITA OU DESPESA],"Despesa",LANÇ_MOV[CONTAS],$C841,LANÇ_MOV[PLANO DE CONTAS],REL_DRE_FINANCEIRO!$B$753,LANÇ_MOV[ANO PAGAMENTO],$B$4,LANÇ_MOV[MÊS PAGAMENTO CORRESPONDENTE],N$6,LANÇ_MOV[EMPRESA],$C$4,LANÇ_MOV[CENTRO DE CUSTOS],$D$4)</f>
        <v>0</v>
      </c>
      <c r="O841" s="206">
        <f>SUMIFS(LANÇ_MOV[VALOR LÍQUIDO],LANÇ_MOV[RECEITA OU DESPESA],"Despesa",LANÇ_MOV[CONTAS],$C841,LANÇ_MOV[PLANO DE CONTAS],REL_DRE_FINANCEIRO!$B$753,LANÇ_MOV[ANO PAGAMENTO],$B$4,LANÇ_MOV[MÊS PAGAMENTO CORRESPONDENTE],O$6,LANÇ_MOV[EMPRESA],$C$4,LANÇ_MOV[CENTRO DE CUSTOS],$D$4)</f>
        <v>0</v>
      </c>
      <c r="P841" s="207">
        <f t="shared" si="105"/>
        <v>0</v>
      </c>
      <c r="Q841" s="329">
        <v>1.3E-6</v>
      </c>
      <c r="R841" s="346">
        <f t="shared" si="106"/>
        <v>1.3E-6</v>
      </c>
      <c r="S841" s="347" t="str">
        <f t="shared" si="107"/>
        <v>-</v>
      </c>
      <c r="T841" s="347">
        <f t="shared" si="108"/>
        <v>0</v>
      </c>
      <c r="U841" s="347">
        <f>HLOOKUP(Apoio!$P$12,$D$752:$P$853,X841,FALSE)+Q841</f>
        <v>1.3E-6</v>
      </c>
      <c r="V841" s="447" t="str">
        <f t="shared" si="109"/>
        <v>-</v>
      </c>
      <c r="W841" s="448">
        <f>HLOOKUP(Apoio!$P$12,$D$752:$P$853,X841,FALSE)</f>
        <v>0</v>
      </c>
      <c r="X841" s="329">
        <v>90</v>
      </c>
    </row>
    <row r="842" spans="2:24" ht="30.05" customHeight="1" x14ac:dyDescent="0.35">
      <c r="B842" s="204" t="str">
        <f>'CAD_PL_REC-DESP'!Z93</f>
        <v>2.6.89</v>
      </c>
      <c r="C842" s="205" t="str">
        <f>IF('CAD_PL_REC-DESP'!AA93="","-",'CAD_PL_REC-DESP'!AA93)</f>
        <v>-</v>
      </c>
      <c r="D842" s="206">
        <f>SUMIFS(LANÇ_MOV[VALOR LÍQUIDO],LANÇ_MOV[RECEITA OU DESPESA],"Despesa",LANÇ_MOV[CONTAS],$C842,LANÇ_MOV[PLANO DE CONTAS],REL_DRE_FINANCEIRO!$B$753,LANÇ_MOV[ANO PAGAMENTO],$B$4,LANÇ_MOV[MÊS PAGAMENTO CORRESPONDENTE],D$6,LANÇ_MOV[EMPRESA],$C$4,LANÇ_MOV[CENTRO DE CUSTOS],$D$4)</f>
        <v>0</v>
      </c>
      <c r="E842" s="206">
        <f>SUMIFS(LANÇ_MOV[VALOR LÍQUIDO],LANÇ_MOV[RECEITA OU DESPESA],"Despesa",LANÇ_MOV[CONTAS],$C842,LANÇ_MOV[PLANO DE CONTAS],REL_DRE_FINANCEIRO!$B$753,LANÇ_MOV[ANO PAGAMENTO],$B$4,LANÇ_MOV[MÊS PAGAMENTO CORRESPONDENTE],E$6,LANÇ_MOV[EMPRESA],$C$4,LANÇ_MOV[CENTRO DE CUSTOS],$D$4)</f>
        <v>0</v>
      </c>
      <c r="F842" s="206">
        <f>SUMIFS(LANÇ_MOV[VALOR LÍQUIDO],LANÇ_MOV[RECEITA OU DESPESA],"Despesa",LANÇ_MOV[CONTAS],$C842,LANÇ_MOV[PLANO DE CONTAS],REL_DRE_FINANCEIRO!$B$753,LANÇ_MOV[ANO PAGAMENTO],$B$4,LANÇ_MOV[MÊS PAGAMENTO CORRESPONDENTE],F$6,LANÇ_MOV[EMPRESA],$C$4,LANÇ_MOV[CENTRO DE CUSTOS],$D$4)</f>
        <v>0</v>
      </c>
      <c r="G842" s="206">
        <f>SUMIFS(LANÇ_MOV[VALOR LÍQUIDO],LANÇ_MOV[RECEITA OU DESPESA],"Despesa",LANÇ_MOV[CONTAS],$C842,LANÇ_MOV[PLANO DE CONTAS],REL_DRE_FINANCEIRO!$B$753,LANÇ_MOV[ANO PAGAMENTO],$B$4,LANÇ_MOV[MÊS PAGAMENTO CORRESPONDENTE],G$6,LANÇ_MOV[EMPRESA],$C$4,LANÇ_MOV[CENTRO DE CUSTOS],$D$4)</f>
        <v>0</v>
      </c>
      <c r="H842" s="206">
        <f>SUMIFS(LANÇ_MOV[VALOR LÍQUIDO],LANÇ_MOV[RECEITA OU DESPESA],"Despesa",LANÇ_MOV[CONTAS],$C842,LANÇ_MOV[PLANO DE CONTAS],REL_DRE_FINANCEIRO!$B$753,LANÇ_MOV[ANO PAGAMENTO],$B$4,LANÇ_MOV[MÊS PAGAMENTO CORRESPONDENTE],H$6,LANÇ_MOV[EMPRESA],$C$4,LANÇ_MOV[CENTRO DE CUSTOS],$D$4)</f>
        <v>0</v>
      </c>
      <c r="I842" s="206">
        <f>SUMIFS(LANÇ_MOV[VALOR LÍQUIDO],LANÇ_MOV[RECEITA OU DESPESA],"Despesa",LANÇ_MOV[CONTAS],$C842,LANÇ_MOV[PLANO DE CONTAS],REL_DRE_FINANCEIRO!$B$753,LANÇ_MOV[ANO PAGAMENTO],$B$4,LANÇ_MOV[MÊS PAGAMENTO CORRESPONDENTE],I$6,LANÇ_MOV[EMPRESA],$C$4,LANÇ_MOV[CENTRO DE CUSTOS],$D$4)</f>
        <v>0</v>
      </c>
      <c r="J842" s="206">
        <f>SUMIFS(LANÇ_MOV[VALOR LÍQUIDO],LANÇ_MOV[RECEITA OU DESPESA],"Despesa",LANÇ_MOV[CONTAS],$C842,LANÇ_MOV[PLANO DE CONTAS],REL_DRE_FINANCEIRO!$B$753,LANÇ_MOV[ANO PAGAMENTO],$B$4,LANÇ_MOV[MÊS PAGAMENTO CORRESPONDENTE],J$6,LANÇ_MOV[EMPRESA],$C$4,LANÇ_MOV[CENTRO DE CUSTOS],$D$4)</f>
        <v>0</v>
      </c>
      <c r="K842" s="206">
        <f>SUMIFS(LANÇ_MOV[VALOR LÍQUIDO],LANÇ_MOV[RECEITA OU DESPESA],"Despesa",LANÇ_MOV[CONTAS],$C842,LANÇ_MOV[PLANO DE CONTAS],REL_DRE_FINANCEIRO!$B$753,LANÇ_MOV[ANO PAGAMENTO],$B$4,LANÇ_MOV[MÊS PAGAMENTO CORRESPONDENTE],K$6,LANÇ_MOV[EMPRESA],$C$4,LANÇ_MOV[CENTRO DE CUSTOS],$D$4)</f>
        <v>0</v>
      </c>
      <c r="L842" s="206">
        <f>SUMIFS(LANÇ_MOV[VALOR LÍQUIDO],LANÇ_MOV[RECEITA OU DESPESA],"Despesa",LANÇ_MOV[CONTAS],$C842,LANÇ_MOV[PLANO DE CONTAS],REL_DRE_FINANCEIRO!$B$753,LANÇ_MOV[ANO PAGAMENTO],$B$4,LANÇ_MOV[MÊS PAGAMENTO CORRESPONDENTE],L$6,LANÇ_MOV[EMPRESA],$C$4,LANÇ_MOV[CENTRO DE CUSTOS],$D$4)</f>
        <v>0</v>
      </c>
      <c r="M842" s="206">
        <f>SUMIFS(LANÇ_MOV[VALOR LÍQUIDO],LANÇ_MOV[RECEITA OU DESPESA],"Despesa",LANÇ_MOV[CONTAS],$C842,LANÇ_MOV[PLANO DE CONTAS],REL_DRE_FINANCEIRO!$B$753,LANÇ_MOV[ANO PAGAMENTO],$B$4,LANÇ_MOV[MÊS PAGAMENTO CORRESPONDENTE],M$6,LANÇ_MOV[EMPRESA],$C$4,LANÇ_MOV[CENTRO DE CUSTOS],$D$4)</f>
        <v>0</v>
      </c>
      <c r="N842" s="206">
        <f>SUMIFS(LANÇ_MOV[VALOR LÍQUIDO],LANÇ_MOV[RECEITA OU DESPESA],"Despesa",LANÇ_MOV[CONTAS],$C842,LANÇ_MOV[PLANO DE CONTAS],REL_DRE_FINANCEIRO!$B$753,LANÇ_MOV[ANO PAGAMENTO],$B$4,LANÇ_MOV[MÊS PAGAMENTO CORRESPONDENTE],N$6,LANÇ_MOV[EMPRESA],$C$4,LANÇ_MOV[CENTRO DE CUSTOS],$D$4)</f>
        <v>0</v>
      </c>
      <c r="O842" s="206">
        <f>SUMIFS(LANÇ_MOV[VALOR LÍQUIDO],LANÇ_MOV[RECEITA OU DESPESA],"Despesa",LANÇ_MOV[CONTAS],$C842,LANÇ_MOV[PLANO DE CONTAS],REL_DRE_FINANCEIRO!$B$753,LANÇ_MOV[ANO PAGAMENTO],$B$4,LANÇ_MOV[MÊS PAGAMENTO CORRESPONDENTE],O$6,LANÇ_MOV[EMPRESA],$C$4,LANÇ_MOV[CENTRO DE CUSTOS],$D$4)</f>
        <v>0</v>
      </c>
      <c r="P842" s="207">
        <f t="shared" si="105"/>
        <v>0</v>
      </c>
      <c r="Q842" s="329">
        <v>1.1999999999999999E-6</v>
      </c>
      <c r="R842" s="346">
        <f t="shared" si="106"/>
        <v>1.1999999999999999E-6</v>
      </c>
      <c r="S842" s="347" t="str">
        <f t="shared" si="107"/>
        <v>-</v>
      </c>
      <c r="T842" s="347">
        <f t="shared" si="108"/>
        <v>0</v>
      </c>
      <c r="U842" s="347">
        <f>HLOOKUP(Apoio!$P$12,$D$752:$P$853,X842,FALSE)+Q842</f>
        <v>1.1999999999999999E-6</v>
      </c>
      <c r="V842" s="447" t="str">
        <f t="shared" si="109"/>
        <v>-</v>
      </c>
      <c r="W842" s="448">
        <f>HLOOKUP(Apoio!$P$12,$D$752:$P$853,X842,FALSE)</f>
        <v>0</v>
      </c>
      <c r="X842" s="329">
        <v>91</v>
      </c>
    </row>
    <row r="843" spans="2:24" ht="30.05" customHeight="1" x14ac:dyDescent="0.35">
      <c r="B843" s="204" t="str">
        <f>'CAD_PL_REC-DESP'!Z94</f>
        <v>2.6.90</v>
      </c>
      <c r="C843" s="205" t="str">
        <f>IF('CAD_PL_REC-DESP'!AA94="","-",'CAD_PL_REC-DESP'!AA94)</f>
        <v>-</v>
      </c>
      <c r="D843" s="206">
        <f>SUMIFS(LANÇ_MOV[VALOR LÍQUIDO],LANÇ_MOV[RECEITA OU DESPESA],"Despesa",LANÇ_MOV[CONTAS],$C843,LANÇ_MOV[PLANO DE CONTAS],REL_DRE_FINANCEIRO!$B$753,LANÇ_MOV[ANO PAGAMENTO],$B$4,LANÇ_MOV[MÊS PAGAMENTO CORRESPONDENTE],D$6,LANÇ_MOV[EMPRESA],$C$4,LANÇ_MOV[CENTRO DE CUSTOS],$D$4)</f>
        <v>0</v>
      </c>
      <c r="E843" s="206">
        <f>SUMIFS(LANÇ_MOV[VALOR LÍQUIDO],LANÇ_MOV[RECEITA OU DESPESA],"Despesa",LANÇ_MOV[CONTAS],$C843,LANÇ_MOV[PLANO DE CONTAS],REL_DRE_FINANCEIRO!$B$753,LANÇ_MOV[ANO PAGAMENTO],$B$4,LANÇ_MOV[MÊS PAGAMENTO CORRESPONDENTE],E$6,LANÇ_MOV[EMPRESA],$C$4,LANÇ_MOV[CENTRO DE CUSTOS],$D$4)</f>
        <v>0</v>
      </c>
      <c r="F843" s="206">
        <f>SUMIFS(LANÇ_MOV[VALOR LÍQUIDO],LANÇ_MOV[RECEITA OU DESPESA],"Despesa",LANÇ_MOV[CONTAS],$C843,LANÇ_MOV[PLANO DE CONTAS],REL_DRE_FINANCEIRO!$B$753,LANÇ_MOV[ANO PAGAMENTO],$B$4,LANÇ_MOV[MÊS PAGAMENTO CORRESPONDENTE],F$6,LANÇ_MOV[EMPRESA],$C$4,LANÇ_MOV[CENTRO DE CUSTOS],$D$4)</f>
        <v>0</v>
      </c>
      <c r="G843" s="206">
        <f>SUMIFS(LANÇ_MOV[VALOR LÍQUIDO],LANÇ_MOV[RECEITA OU DESPESA],"Despesa",LANÇ_MOV[CONTAS],$C843,LANÇ_MOV[PLANO DE CONTAS],REL_DRE_FINANCEIRO!$B$753,LANÇ_MOV[ANO PAGAMENTO],$B$4,LANÇ_MOV[MÊS PAGAMENTO CORRESPONDENTE],G$6,LANÇ_MOV[EMPRESA],$C$4,LANÇ_MOV[CENTRO DE CUSTOS],$D$4)</f>
        <v>0</v>
      </c>
      <c r="H843" s="206">
        <f>SUMIFS(LANÇ_MOV[VALOR LÍQUIDO],LANÇ_MOV[RECEITA OU DESPESA],"Despesa",LANÇ_MOV[CONTAS],$C843,LANÇ_MOV[PLANO DE CONTAS],REL_DRE_FINANCEIRO!$B$753,LANÇ_MOV[ANO PAGAMENTO],$B$4,LANÇ_MOV[MÊS PAGAMENTO CORRESPONDENTE],H$6,LANÇ_MOV[EMPRESA],$C$4,LANÇ_MOV[CENTRO DE CUSTOS],$D$4)</f>
        <v>0</v>
      </c>
      <c r="I843" s="206">
        <f>SUMIFS(LANÇ_MOV[VALOR LÍQUIDO],LANÇ_MOV[RECEITA OU DESPESA],"Despesa",LANÇ_MOV[CONTAS],$C843,LANÇ_MOV[PLANO DE CONTAS],REL_DRE_FINANCEIRO!$B$753,LANÇ_MOV[ANO PAGAMENTO],$B$4,LANÇ_MOV[MÊS PAGAMENTO CORRESPONDENTE],I$6,LANÇ_MOV[EMPRESA],$C$4,LANÇ_MOV[CENTRO DE CUSTOS],$D$4)</f>
        <v>0</v>
      </c>
      <c r="J843" s="206">
        <f>SUMIFS(LANÇ_MOV[VALOR LÍQUIDO],LANÇ_MOV[RECEITA OU DESPESA],"Despesa",LANÇ_MOV[CONTAS],$C843,LANÇ_MOV[PLANO DE CONTAS],REL_DRE_FINANCEIRO!$B$753,LANÇ_MOV[ANO PAGAMENTO],$B$4,LANÇ_MOV[MÊS PAGAMENTO CORRESPONDENTE],J$6,LANÇ_MOV[EMPRESA],$C$4,LANÇ_MOV[CENTRO DE CUSTOS],$D$4)</f>
        <v>0</v>
      </c>
      <c r="K843" s="206">
        <f>SUMIFS(LANÇ_MOV[VALOR LÍQUIDO],LANÇ_MOV[RECEITA OU DESPESA],"Despesa",LANÇ_MOV[CONTAS],$C843,LANÇ_MOV[PLANO DE CONTAS],REL_DRE_FINANCEIRO!$B$753,LANÇ_MOV[ANO PAGAMENTO],$B$4,LANÇ_MOV[MÊS PAGAMENTO CORRESPONDENTE],K$6,LANÇ_MOV[EMPRESA],$C$4,LANÇ_MOV[CENTRO DE CUSTOS],$D$4)</f>
        <v>0</v>
      </c>
      <c r="L843" s="206">
        <f>SUMIFS(LANÇ_MOV[VALOR LÍQUIDO],LANÇ_MOV[RECEITA OU DESPESA],"Despesa",LANÇ_MOV[CONTAS],$C843,LANÇ_MOV[PLANO DE CONTAS],REL_DRE_FINANCEIRO!$B$753,LANÇ_MOV[ANO PAGAMENTO],$B$4,LANÇ_MOV[MÊS PAGAMENTO CORRESPONDENTE],L$6,LANÇ_MOV[EMPRESA],$C$4,LANÇ_MOV[CENTRO DE CUSTOS],$D$4)</f>
        <v>0</v>
      </c>
      <c r="M843" s="206">
        <f>SUMIFS(LANÇ_MOV[VALOR LÍQUIDO],LANÇ_MOV[RECEITA OU DESPESA],"Despesa",LANÇ_MOV[CONTAS],$C843,LANÇ_MOV[PLANO DE CONTAS],REL_DRE_FINANCEIRO!$B$753,LANÇ_MOV[ANO PAGAMENTO],$B$4,LANÇ_MOV[MÊS PAGAMENTO CORRESPONDENTE],M$6,LANÇ_MOV[EMPRESA],$C$4,LANÇ_MOV[CENTRO DE CUSTOS],$D$4)</f>
        <v>0</v>
      </c>
      <c r="N843" s="206">
        <f>SUMIFS(LANÇ_MOV[VALOR LÍQUIDO],LANÇ_MOV[RECEITA OU DESPESA],"Despesa",LANÇ_MOV[CONTAS],$C843,LANÇ_MOV[PLANO DE CONTAS],REL_DRE_FINANCEIRO!$B$753,LANÇ_MOV[ANO PAGAMENTO],$B$4,LANÇ_MOV[MÊS PAGAMENTO CORRESPONDENTE],N$6,LANÇ_MOV[EMPRESA],$C$4,LANÇ_MOV[CENTRO DE CUSTOS],$D$4)</f>
        <v>0</v>
      </c>
      <c r="O843" s="206">
        <f>SUMIFS(LANÇ_MOV[VALOR LÍQUIDO],LANÇ_MOV[RECEITA OU DESPESA],"Despesa",LANÇ_MOV[CONTAS],$C843,LANÇ_MOV[PLANO DE CONTAS],REL_DRE_FINANCEIRO!$B$753,LANÇ_MOV[ANO PAGAMENTO],$B$4,LANÇ_MOV[MÊS PAGAMENTO CORRESPONDENTE],O$6,LANÇ_MOV[EMPRESA],$C$4,LANÇ_MOV[CENTRO DE CUSTOS],$D$4)</f>
        <v>0</v>
      </c>
      <c r="P843" s="207">
        <f t="shared" si="105"/>
        <v>0</v>
      </c>
      <c r="Q843" s="329">
        <v>1.1000000000000001E-6</v>
      </c>
      <c r="R843" s="346">
        <f t="shared" si="106"/>
        <v>1.1000000000000001E-6</v>
      </c>
      <c r="S843" s="347" t="str">
        <f t="shared" si="107"/>
        <v>-</v>
      </c>
      <c r="T843" s="347">
        <f t="shared" si="108"/>
        <v>0</v>
      </c>
      <c r="U843" s="347">
        <f>HLOOKUP(Apoio!$P$12,$D$752:$P$853,X843,FALSE)+Q843</f>
        <v>1.1000000000000001E-6</v>
      </c>
      <c r="V843" s="447" t="str">
        <f t="shared" si="109"/>
        <v>-</v>
      </c>
      <c r="W843" s="448">
        <f>HLOOKUP(Apoio!$P$12,$D$752:$P$853,X843,FALSE)</f>
        <v>0</v>
      </c>
      <c r="X843" s="329">
        <v>92</v>
      </c>
    </row>
    <row r="844" spans="2:24" ht="30.05" customHeight="1" x14ac:dyDescent="0.35">
      <c r="B844" s="204" t="str">
        <f>'CAD_PL_REC-DESP'!Z95</f>
        <v>2.6.91</v>
      </c>
      <c r="C844" s="205" t="str">
        <f>IF('CAD_PL_REC-DESP'!AA95="","-",'CAD_PL_REC-DESP'!AA95)</f>
        <v>-</v>
      </c>
      <c r="D844" s="206">
        <f>SUMIFS(LANÇ_MOV[VALOR LÍQUIDO],LANÇ_MOV[RECEITA OU DESPESA],"Despesa",LANÇ_MOV[CONTAS],$C844,LANÇ_MOV[PLANO DE CONTAS],REL_DRE_FINANCEIRO!$B$753,LANÇ_MOV[ANO PAGAMENTO],$B$4,LANÇ_MOV[MÊS PAGAMENTO CORRESPONDENTE],D$6,LANÇ_MOV[EMPRESA],$C$4,LANÇ_MOV[CENTRO DE CUSTOS],$D$4)</f>
        <v>0</v>
      </c>
      <c r="E844" s="206">
        <f>SUMIFS(LANÇ_MOV[VALOR LÍQUIDO],LANÇ_MOV[RECEITA OU DESPESA],"Despesa",LANÇ_MOV[CONTAS],$C844,LANÇ_MOV[PLANO DE CONTAS],REL_DRE_FINANCEIRO!$B$753,LANÇ_MOV[ANO PAGAMENTO],$B$4,LANÇ_MOV[MÊS PAGAMENTO CORRESPONDENTE],E$6,LANÇ_MOV[EMPRESA],$C$4,LANÇ_MOV[CENTRO DE CUSTOS],$D$4)</f>
        <v>0</v>
      </c>
      <c r="F844" s="206">
        <f>SUMIFS(LANÇ_MOV[VALOR LÍQUIDO],LANÇ_MOV[RECEITA OU DESPESA],"Despesa",LANÇ_MOV[CONTAS],$C844,LANÇ_MOV[PLANO DE CONTAS],REL_DRE_FINANCEIRO!$B$753,LANÇ_MOV[ANO PAGAMENTO],$B$4,LANÇ_MOV[MÊS PAGAMENTO CORRESPONDENTE],F$6,LANÇ_MOV[EMPRESA],$C$4,LANÇ_MOV[CENTRO DE CUSTOS],$D$4)</f>
        <v>0</v>
      </c>
      <c r="G844" s="206">
        <f>SUMIFS(LANÇ_MOV[VALOR LÍQUIDO],LANÇ_MOV[RECEITA OU DESPESA],"Despesa",LANÇ_MOV[CONTAS],$C844,LANÇ_MOV[PLANO DE CONTAS],REL_DRE_FINANCEIRO!$B$753,LANÇ_MOV[ANO PAGAMENTO],$B$4,LANÇ_MOV[MÊS PAGAMENTO CORRESPONDENTE],G$6,LANÇ_MOV[EMPRESA],$C$4,LANÇ_MOV[CENTRO DE CUSTOS],$D$4)</f>
        <v>0</v>
      </c>
      <c r="H844" s="206">
        <f>SUMIFS(LANÇ_MOV[VALOR LÍQUIDO],LANÇ_MOV[RECEITA OU DESPESA],"Despesa",LANÇ_MOV[CONTAS],$C844,LANÇ_MOV[PLANO DE CONTAS],REL_DRE_FINANCEIRO!$B$753,LANÇ_MOV[ANO PAGAMENTO],$B$4,LANÇ_MOV[MÊS PAGAMENTO CORRESPONDENTE],H$6,LANÇ_MOV[EMPRESA],$C$4,LANÇ_MOV[CENTRO DE CUSTOS],$D$4)</f>
        <v>0</v>
      </c>
      <c r="I844" s="206">
        <f>SUMIFS(LANÇ_MOV[VALOR LÍQUIDO],LANÇ_MOV[RECEITA OU DESPESA],"Despesa",LANÇ_MOV[CONTAS],$C844,LANÇ_MOV[PLANO DE CONTAS],REL_DRE_FINANCEIRO!$B$753,LANÇ_MOV[ANO PAGAMENTO],$B$4,LANÇ_MOV[MÊS PAGAMENTO CORRESPONDENTE],I$6,LANÇ_MOV[EMPRESA],$C$4,LANÇ_MOV[CENTRO DE CUSTOS],$D$4)</f>
        <v>0</v>
      </c>
      <c r="J844" s="206">
        <f>SUMIFS(LANÇ_MOV[VALOR LÍQUIDO],LANÇ_MOV[RECEITA OU DESPESA],"Despesa",LANÇ_MOV[CONTAS],$C844,LANÇ_MOV[PLANO DE CONTAS],REL_DRE_FINANCEIRO!$B$753,LANÇ_MOV[ANO PAGAMENTO],$B$4,LANÇ_MOV[MÊS PAGAMENTO CORRESPONDENTE],J$6,LANÇ_MOV[EMPRESA],$C$4,LANÇ_MOV[CENTRO DE CUSTOS],$D$4)</f>
        <v>0</v>
      </c>
      <c r="K844" s="206">
        <f>SUMIFS(LANÇ_MOV[VALOR LÍQUIDO],LANÇ_MOV[RECEITA OU DESPESA],"Despesa",LANÇ_MOV[CONTAS],$C844,LANÇ_MOV[PLANO DE CONTAS],REL_DRE_FINANCEIRO!$B$753,LANÇ_MOV[ANO PAGAMENTO],$B$4,LANÇ_MOV[MÊS PAGAMENTO CORRESPONDENTE],K$6,LANÇ_MOV[EMPRESA],$C$4,LANÇ_MOV[CENTRO DE CUSTOS],$D$4)</f>
        <v>0</v>
      </c>
      <c r="L844" s="206">
        <f>SUMIFS(LANÇ_MOV[VALOR LÍQUIDO],LANÇ_MOV[RECEITA OU DESPESA],"Despesa",LANÇ_MOV[CONTAS],$C844,LANÇ_MOV[PLANO DE CONTAS],REL_DRE_FINANCEIRO!$B$753,LANÇ_MOV[ANO PAGAMENTO],$B$4,LANÇ_MOV[MÊS PAGAMENTO CORRESPONDENTE],L$6,LANÇ_MOV[EMPRESA],$C$4,LANÇ_MOV[CENTRO DE CUSTOS],$D$4)</f>
        <v>0</v>
      </c>
      <c r="M844" s="206">
        <f>SUMIFS(LANÇ_MOV[VALOR LÍQUIDO],LANÇ_MOV[RECEITA OU DESPESA],"Despesa",LANÇ_MOV[CONTAS],$C844,LANÇ_MOV[PLANO DE CONTAS],REL_DRE_FINANCEIRO!$B$753,LANÇ_MOV[ANO PAGAMENTO],$B$4,LANÇ_MOV[MÊS PAGAMENTO CORRESPONDENTE],M$6,LANÇ_MOV[EMPRESA],$C$4,LANÇ_MOV[CENTRO DE CUSTOS],$D$4)</f>
        <v>0</v>
      </c>
      <c r="N844" s="206">
        <f>SUMIFS(LANÇ_MOV[VALOR LÍQUIDO],LANÇ_MOV[RECEITA OU DESPESA],"Despesa",LANÇ_MOV[CONTAS],$C844,LANÇ_MOV[PLANO DE CONTAS],REL_DRE_FINANCEIRO!$B$753,LANÇ_MOV[ANO PAGAMENTO],$B$4,LANÇ_MOV[MÊS PAGAMENTO CORRESPONDENTE],N$6,LANÇ_MOV[EMPRESA],$C$4,LANÇ_MOV[CENTRO DE CUSTOS],$D$4)</f>
        <v>0</v>
      </c>
      <c r="O844" s="206">
        <f>SUMIFS(LANÇ_MOV[VALOR LÍQUIDO],LANÇ_MOV[RECEITA OU DESPESA],"Despesa",LANÇ_MOV[CONTAS],$C844,LANÇ_MOV[PLANO DE CONTAS],REL_DRE_FINANCEIRO!$B$753,LANÇ_MOV[ANO PAGAMENTO],$B$4,LANÇ_MOV[MÊS PAGAMENTO CORRESPONDENTE],O$6,LANÇ_MOV[EMPRESA],$C$4,LANÇ_MOV[CENTRO DE CUSTOS],$D$4)</f>
        <v>0</v>
      </c>
      <c r="P844" s="207">
        <f t="shared" si="105"/>
        <v>0</v>
      </c>
      <c r="Q844" s="329">
        <v>9.9999999999999995E-7</v>
      </c>
      <c r="R844" s="346">
        <f t="shared" si="106"/>
        <v>9.9999999999999995E-7</v>
      </c>
      <c r="S844" s="347" t="str">
        <f t="shared" si="107"/>
        <v>-</v>
      </c>
      <c r="T844" s="347">
        <f t="shared" si="108"/>
        <v>0</v>
      </c>
      <c r="U844" s="347">
        <f>HLOOKUP(Apoio!$P$12,$D$752:$P$853,X844,FALSE)+Q844</f>
        <v>9.9999999999999995E-7</v>
      </c>
      <c r="V844" s="447" t="str">
        <f t="shared" si="109"/>
        <v>-</v>
      </c>
      <c r="W844" s="448">
        <f>HLOOKUP(Apoio!$P$12,$D$752:$P$853,X844,FALSE)</f>
        <v>0</v>
      </c>
      <c r="X844" s="329">
        <v>93</v>
      </c>
    </row>
    <row r="845" spans="2:24" ht="30.05" customHeight="1" x14ac:dyDescent="0.35">
      <c r="B845" s="204" t="str">
        <f>'CAD_PL_REC-DESP'!Z96</f>
        <v>2.6.92</v>
      </c>
      <c r="C845" s="205" t="str">
        <f>IF('CAD_PL_REC-DESP'!AA96="","-",'CAD_PL_REC-DESP'!AA96)</f>
        <v>-</v>
      </c>
      <c r="D845" s="206">
        <f>SUMIFS(LANÇ_MOV[VALOR LÍQUIDO],LANÇ_MOV[RECEITA OU DESPESA],"Despesa",LANÇ_MOV[CONTAS],$C845,LANÇ_MOV[PLANO DE CONTAS],REL_DRE_FINANCEIRO!$B$753,LANÇ_MOV[ANO PAGAMENTO],$B$4,LANÇ_MOV[MÊS PAGAMENTO CORRESPONDENTE],D$6,LANÇ_MOV[EMPRESA],$C$4,LANÇ_MOV[CENTRO DE CUSTOS],$D$4)</f>
        <v>0</v>
      </c>
      <c r="E845" s="206">
        <f>SUMIFS(LANÇ_MOV[VALOR LÍQUIDO],LANÇ_MOV[RECEITA OU DESPESA],"Despesa",LANÇ_MOV[CONTAS],$C845,LANÇ_MOV[PLANO DE CONTAS],REL_DRE_FINANCEIRO!$B$753,LANÇ_MOV[ANO PAGAMENTO],$B$4,LANÇ_MOV[MÊS PAGAMENTO CORRESPONDENTE],E$6,LANÇ_MOV[EMPRESA],$C$4,LANÇ_MOV[CENTRO DE CUSTOS],$D$4)</f>
        <v>0</v>
      </c>
      <c r="F845" s="206">
        <f>SUMIFS(LANÇ_MOV[VALOR LÍQUIDO],LANÇ_MOV[RECEITA OU DESPESA],"Despesa",LANÇ_MOV[CONTAS],$C845,LANÇ_MOV[PLANO DE CONTAS],REL_DRE_FINANCEIRO!$B$753,LANÇ_MOV[ANO PAGAMENTO],$B$4,LANÇ_MOV[MÊS PAGAMENTO CORRESPONDENTE],F$6,LANÇ_MOV[EMPRESA],$C$4,LANÇ_MOV[CENTRO DE CUSTOS],$D$4)</f>
        <v>0</v>
      </c>
      <c r="G845" s="206">
        <f>SUMIFS(LANÇ_MOV[VALOR LÍQUIDO],LANÇ_MOV[RECEITA OU DESPESA],"Despesa",LANÇ_MOV[CONTAS],$C845,LANÇ_MOV[PLANO DE CONTAS],REL_DRE_FINANCEIRO!$B$753,LANÇ_MOV[ANO PAGAMENTO],$B$4,LANÇ_MOV[MÊS PAGAMENTO CORRESPONDENTE],G$6,LANÇ_MOV[EMPRESA],$C$4,LANÇ_MOV[CENTRO DE CUSTOS],$D$4)</f>
        <v>0</v>
      </c>
      <c r="H845" s="206">
        <f>SUMIFS(LANÇ_MOV[VALOR LÍQUIDO],LANÇ_MOV[RECEITA OU DESPESA],"Despesa",LANÇ_MOV[CONTAS],$C845,LANÇ_MOV[PLANO DE CONTAS],REL_DRE_FINANCEIRO!$B$753,LANÇ_MOV[ANO PAGAMENTO],$B$4,LANÇ_MOV[MÊS PAGAMENTO CORRESPONDENTE],H$6,LANÇ_MOV[EMPRESA],$C$4,LANÇ_MOV[CENTRO DE CUSTOS],$D$4)</f>
        <v>0</v>
      </c>
      <c r="I845" s="206">
        <f>SUMIFS(LANÇ_MOV[VALOR LÍQUIDO],LANÇ_MOV[RECEITA OU DESPESA],"Despesa",LANÇ_MOV[CONTAS],$C845,LANÇ_MOV[PLANO DE CONTAS],REL_DRE_FINANCEIRO!$B$753,LANÇ_MOV[ANO PAGAMENTO],$B$4,LANÇ_MOV[MÊS PAGAMENTO CORRESPONDENTE],I$6,LANÇ_MOV[EMPRESA],$C$4,LANÇ_MOV[CENTRO DE CUSTOS],$D$4)</f>
        <v>0</v>
      </c>
      <c r="J845" s="206">
        <f>SUMIFS(LANÇ_MOV[VALOR LÍQUIDO],LANÇ_MOV[RECEITA OU DESPESA],"Despesa",LANÇ_MOV[CONTAS],$C845,LANÇ_MOV[PLANO DE CONTAS],REL_DRE_FINANCEIRO!$B$753,LANÇ_MOV[ANO PAGAMENTO],$B$4,LANÇ_MOV[MÊS PAGAMENTO CORRESPONDENTE],J$6,LANÇ_MOV[EMPRESA],$C$4,LANÇ_MOV[CENTRO DE CUSTOS],$D$4)</f>
        <v>0</v>
      </c>
      <c r="K845" s="206">
        <f>SUMIFS(LANÇ_MOV[VALOR LÍQUIDO],LANÇ_MOV[RECEITA OU DESPESA],"Despesa",LANÇ_MOV[CONTAS],$C845,LANÇ_MOV[PLANO DE CONTAS],REL_DRE_FINANCEIRO!$B$753,LANÇ_MOV[ANO PAGAMENTO],$B$4,LANÇ_MOV[MÊS PAGAMENTO CORRESPONDENTE],K$6,LANÇ_MOV[EMPRESA],$C$4,LANÇ_MOV[CENTRO DE CUSTOS],$D$4)</f>
        <v>0</v>
      </c>
      <c r="L845" s="206">
        <f>SUMIFS(LANÇ_MOV[VALOR LÍQUIDO],LANÇ_MOV[RECEITA OU DESPESA],"Despesa",LANÇ_MOV[CONTAS],$C845,LANÇ_MOV[PLANO DE CONTAS],REL_DRE_FINANCEIRO!$B$753,LANÇ_MOV[ANO PAGAMENTO],$B$4,LANÇ_MOV[MÊS PAGAMENTO CORRESPONDENTE],L$6,LANÇ_MOV[EMPRESA],$C$4,LANÇ_MOV[CENTRO DE CUSTOS],$D$4)</f>
        <v>0</v>
      </c>
      <c r="M845" s="206">
        <f>SUMIFS(LANÇ_MOV[VALOR LÍQUIDO],LANÇ_MOV[RECEITA OU DESPESA],"Despesa",LANÇ_MOV[CONTAS],$C845,LANÇ_MOV[PLANO DE CONTAS],REL_DRE_FINANCEIRO!$B$753,LANÇ_MOV[ANO PAGAMENTO],$B$4,LANÇ_MOV[MÊS PAGAMENTO CORRESPONDENTE],M$6,LANÇ_MOV[EMPRESA],$C$4,LANÇ_MOV[CENTRO DE CUSTOS],$D$4)</f>
        <v>0</v>
      </c>
      <c r="N845" s="206">
        <f>SUMIFS(LANÇ_MOV[VALOR LÍQUIDO],LANÇ_MOV[RECEITA OU DESPESA],"Despesa",LANÇ_MOV[CONTAS],$C845,LANÇ_MOV[PLANO DE CONTAS],REL_DRE_FINANCEIRO!$B$753,LANÇ_MOV[ANO PAGAMENTO],$B$4,LANÇ_MOV[MÊS PAGAMENTO CORRESPONDENTE],N$6,LANÇ_MOV[EMPRESA],$C$4,LANÇ_MOV[CENTRO DE CUSTOS],$D$4)</f>
        <v>0</v>
      </c>
      <c r="O845" s="206">
        <f>SUMIFS(LANÇ_MOV[VALOR LÍQUIDO],LANÇ_MOV[RECEITA OU DESPESA],"Despesa",LANÇ_MOV[CONTAS],$C845,LANÇ_MOV[PLANO DE CONTAS],REL_DRE_FINANCEIRO!$B$753,LANÇ_MOV[ANO PAGAMENTO],$B$4,LANÇ_MOV[MÊS PAGAMENTO CORRESPONDENTE],O$6,LANÇ_MOV[EMPRESA],$C$4,LANÇ_MOV[CENTRO DE CUSTOS],$D$4)</f>
        <v>0</v>
      </c>
      <c r="P845" s="207">
        <f t="shared" si="105"/>
        <v>0</v>
      </c>
      <c r="Q845" s="329">
        <v>8.9999999999999996E-7</v>
      </c>
      <c r="R845" s="346">
        <f t="shared" si="106"/>
        <v>8.9999999999999996E-7</v>
      </c>
      <c r="S845" s="347" t="str">
        <f t="shared" si="107"/>
        <v>-</v>
      </c>
      <c r="T845" s="347">
        <f t="shared" si="108"/>
        <v>0</v>
      </c>
      <c r="U845" s="347">
        <f>HLOOKUP(Apoio!$P$12,$D$752:$P$853,X845,FALSE)+Q845</f>
        <v>8.9999999999999996E-7</v>
      </c>
      <c r="V845" s="447" t="str">
        <f t="shared" si="109"/>
        <v>-</v>
      </c>
      <c r="W845" s="448">
        <f>HLOOKUP(Apoio!$P$12,$D$752:$P$853,X845,FALSE)</f>
        <v>0</v>
      </c>
      <c r="X845" s="329">
        <v>94</v>
      </c>
    </row>
    <row r="846" spans="2:24" ht="30.05" customHeight="1" x14ac:dyDescent="0.35">
      <c r="B846" s="204" t="str">
        <f>'CAD_PL_REC-DESP'!Z97</f>
        <v>2.6.93</v>
      </c>
      <c r="C846" s="205" t="str">
        <f>IF('CAD_PL_REC-DESP'!AA97="","-",'CAD_PL_REC-DESP'!AA97)</f>
        <v>-</v>
      </c>
      <c r="D846" s="206">
        <f>SUMIFS(LANÇ_MOV[VALOR LÍQUIDO],LANÇ_MOV[RECEITA OU DESPESA],"Despesa",LANÇ_MOV[CONTAS],$C846,LANÇ_MOV[PLANO DE CONTAS],REL_DRE_FINANCEIRO!$B$753,LANÇ_MOV[ANO PAGAMENTO],$B$4,LANÇ_MOV[MÊS PAGAMENTO CORRESPONDENTE],D$6,LANÇ_MOV[EMPRESA],$C$4,LANÇ_MOV[CENTRO DE CUSTOS],$D$4)</f>
        <v>0</v>
      </c>
      <c r="E846" s="206">
        <f>SUMIFS(LANÇ_MOV[VALOR LÍQUIDO],LANÇ_MOV[RECEITA OU DESPESA],"Despesa",LANÇ_MOV[CONTAS],$C846,LANÇ_MOV[PLANO DE CONTAS],REL_DRE_FINANCEIRO!$B$753,LANÇ_MOV[ANO PAGAMENTO],$B$4,LANÇ_MOV[MÊS PAGAMENTO CORRESPONDENTE],E$6,LANÇ_MOV[EMPRESA],$C$4,LANÇ_MOV[CENTRO DE CUSTOS],$D$4)</f>
        <v>0</v>
      </c>
      <c r="F846" s="206">
        <f>SUMIFS(LANÇ_MOV[VALOR LÍQUIDO],LANÇ_MOV[RECEITA OU DESPESA],"Despesa",LANÇ_MOV[CONTAS],$C846,LANÇ_MOV[PLANO DE CONTAS],REL_DRE_FINANCEIRO!$B$753,LANÇ_MOV[ANO PAGAMENTO],$B$4,LANÇ_MOV[MÊS PAGAMENTO CORRESPONDENTE],F$6,LANÇ_MOV[EMPRESA],$C$4,LANÇ_MOV[CENTRO DE CUSTOS],$D$4)</f>
        <v>0</v>
      </c>
      <c r="G846" s="206">
        <f>SUMIFS(LANÇ_MOV[VALOR LÍQUIDO],LANÇ_MOV[RECEITA OU DESPESA],"Despesa",LANÇ_MOV[CONTAS],$C846,LANÇ_MOV[PLANO DE CONTAS],REL_DRE_FINANCEIRO!$B$753,LANÇ_MOV[ANO PAGAMENTO],$B$4,LANÇ_MOV[MÊS PAGAMENTO CORRESPONDENTE],G$6,LANÇ_MOV[EMPRESA],$C$4,LANÇ_MOV[CENTRO DE CUSTOS],$D$4)</f>
        <v>0</v>
      </c>
      <c r="H846" s="206">
        <f>SUMIFS(LANÇ_MOV[VALOR LÍQUIDO],LANÇ_MOV[RECEITA OU DESPESA],"Despesa",LANÇ_MOV[CONTAS],$C846,LANÇ_MOV[PLANO DE CONTAS],REL_DRE_FINANCEIRO!$B$753,LANÇ_MOV[ANO PAGAMENTO],$B$4,LANÇ_MOV[MÊS PAGAMENTO CORRESPONDENTE],H$6,LANÇ_MOV[EMPRESA],$C$4,LANÇ_MOV[CENTRO DE CUSTOS],$D$4)</f>
        <v>0</v>
      </c>
      <c r="I846" s="206">
        <f>SUMIFS(LANÇ_MOV[VALOR LÍQUIDO],LANÇ_MOV[RECEITA OU DESPESA],"Despesa",LANÇ_MOV[CONTAS],$C846,LANÇ_MOV[PLANO DE CONTAS],REL_DRE_FINANCEIRO!$B$753,LANÇ_MOV[ANO PAGAMENTO],$B$4,LANÇ_MOV[MÊS PAGAMENTO CORRESPONDENTE],I$6,LANÇ_MOV[EMPRESA],$C$4,LANÇ_MOV[CENTRO DE CUSTOS],$D$4)</f>
        <v>0</v>
      </c>
      <c r="J846" s="206">
        <f>SUMIFS(LANÇ_MOV[VALOR LÍQUIDO],LANÇ_MOV[RECEITA OU DESPESA],"Despesa",LANÇ_MOV[CONTAS],$C846,LANÇ_MOV[PLANO DE CONTAS],REL_DRE_FINANCEIRO!$B$753,LANÇ_MOV[ANO PAGAMENTO],$B$4,LANÇ_MOV[MÊS PAGAMENTO CORRESPONDENTE],J$6,LANÇ_MOV[EMPRESA],$C$4,LANÇ_MOV[CENTRO DE CUSTOS],$D$4)</f>
        <v>0</v>
      </c>
      <c r="K846" s="206">
        <f>SUMIFS(LANÇ_MOV[VALOR LÍQUIDO],LANÇ_MOV[RECEITA OU DESPESA],"Despesa",LANÇ_MOV[CONTAS],$C846,LANÇ_MOV[PLANO DE CONTAS],REL_DRE_FINANCEIRO!$B$753,LANÇ_MOV[ANO PAGAMENTO],$B$4,LANÇ_MOV[MÊS PAGAMENTO CORRESPONDENTE],K$6,LANÇ_MOV[EMPRESA],$C$4,LANÇ_MOV[CENTRO DE CUSTOS],$D$4)</f>
        <v>0</v>
      </c>
      <c r="L846" s="206">
        <f>SUMIFS(LANÇ_MOV[VALOR LÍQUIDO],LANÇ_MOV[RECEITA OU DESPESA],"Despesa",LANÇ_MOV[CONTAS],$C846,LANÇ_MOV[PLANO DE CONTAS],REL_DRE_FINANCEIRO!$B$753,LANÇ_MOV[ANO PAGAMENTO],$B$4,LANÇ_MOV[MÊS PAGAMENTO CORRESPONDENTE],L$6,LANÇ_MOV[EMPRESA],$C$4,LANÇ_MOV[CENTRO DE CUSTOS],$D$4)</f>
        <v>0</v>
      </c>
      <c r="M846" s="206">
        <f>SUMIFS(LANÇ_MOV[VALOR LÍQUIDO],LANÇ_MOV[RECEITA OU DESPESA],"Despesa",LANÇ_MOV[CONTAS],$C846,LANÇ_MOV[PLANO DE CONTAS],REL_DRE_FINANCEIRO!$B$753,LANÇ_MOV[ANO PAGAMENTO],$B$4,LANÇ_MOV[MÊS PAGAMENTO CORRESPONDENTE],M$6,LANÇ_MOV[EMPRESA],$C$4,LANÇ_MOV[CENTRO DE CUSTOS],$D$4)</f>
        <v>0</v>
      </c>
      <c r="N846" s="206">
        <f>SUMIFS(LANÇ_MOV[VALOR LÍQUIDO],LANÇ_MOV[RECEITA OU DESPESA],"Despesa",LANÇ_MOV[CONTAS],$C846,LANÇ_MOV[PLANO DE CONTAS],REL_DRE_FINANCEIRO!$B$753,LANÇ_MOV[ANO PAGAMENTO],$B$4,LANÇ_MOV[MÊS PAGAMENTO CORRESPONDENTE],N$6,LANÇ_MOV[EMPRESA],$C$4,LANÇ_MOV[CENTRO DE CUSTOS],$D$4)</f>
        <v>0</v>
      </c>
      <c r="O846" s="206">
        <f>SUMIFS(LANÇ_MOV[VALOR LÍQUIDO],LANÇ_MOV[RECEITA OU DESPESA],"Despesa",LANÇ_MOV[CONTAS],$C846,LANÇ_MOV[PLANO DE CONTAS],REL_DRE_FINANCEIRO!$B$753,LANÇ_MOV[ANO PAGAMENTO],$B$4,LANÇ_MOV[MÊS PAGAMENTO CORRESPONDENTE],O$6,LANÇ_MOV[EMPRESA],$C$4,LANÇ_MOV[CENTRO DE CUSTOS],$D$4)</f>
        <v>0</v>
      </c>
      <c r="P846" s="207">
        <f t="shared" si="105"/>
        <v>0</v>
      </c>
      <c r="Q846" s="329">
        <v>7.9999999999999996E-7</v>
      </c>
      <c r="R846" s="346">
        <f t="shared" si="106"/>
        <v>7.9999999999999996E-7</v>
      </c>
      <c r="S846" s="347" t="str">
        <f t="shared" si="107"/>
        <v>-</v>
      </c>
      <c r="T846" s="347">
        <f t="shared" si="108"/>
        <v>0</v>
      </c>
      <c r="U846" s="347">
        <f>HLOOKUP(Apoio!$P$12,$D$752:$P$853,X846,FALSE)+Q846</f>
        <v>7.9999999999999996E-7</v>
      </c>
      <c r="V846" s="447" t="str">
        <f t="shared" si="109"/>
        <v>-</v>
      </c>
      <c r="W846" s="448">
        <f>HLOOKUP(Apoio!$P$12,$D$752:$P$853,X846,FALSE)</f>
        <v>0</v>
      </c>
      <c r="X846" s="329">
        <v>95</v>
      </c>
    </row>
    <row r="847" spans="2:24" ht="30.05" customHeight="1" x14ac:dyDescent="0.35">
      <c r="B847" s="204" t="str">
        <f>'CAD_PL_REC-DESP'!Z98</f>
        <v>2.6.94</v>
      </c>
      <c r="C847" s="205" t="str">
        <f>IF('CAD_PL_REC-DESP'!AA98="","-",'CAD_PL_REC-DESP'!AA98)</f>
        <v>-</v>
      </c>
      <c r="D847" s="206">
        <f>SUMIFS(LANÇ_MOV[VALOR LÍQUIDO],LANÇ_MOV[RECEITA OU DESPESA],"Despesa",LANÇ_MOV[CONTAS],$C847,LANÇ_MOV[PLANO DE CONTAS],REL_DRE_FINANCEIRO!$B$753,LANÇ_MOV[ANO PAGAMENTO],$B$4,LANÇ_MOV[MÊS PAGAMENTO CORRESPONDENTE],D$6,LANÇ_MOV[EMPRESA],$C$4,LANÇ_MOV[CENTRO DE CUSTOS],$D$4)</f>
        <v>0</v>
      </c>
      <c r="E847" s="206">
        <f>SUMIFS(LANÇ_MOV[VALOR LÍQUIDO],LANÇ_MOV[RECEITA OU DESPESA],"Despesa",LANÇ_MOV[CONTAS],$C847,LANÇ_MOV[PLANO DE CONTAS],REL_DRE_FINANCEIRO!$B$753,LANÇ_MOV[ANO PAGAMENTO],$B$4,LANÇ_MOV[MÊS PAGAMENTO CORRESPONDENTE],E$6,LANÇ_MOV[EMPRESA],$C$4,LANÇ_MOV[CENTRO DE CUSTOS],$D$4)</f>
        <v>0</v>
      </c>
      <c r="F847" s="206">
        <f>SUMIFS(LANÇ_MOV[VALOR LÍQUIDO],LANÇ_MOV[RECEITA OU DESPESA],"Despesa",LANÇ_MOV[CONTAS],$C847,LANÇ_MOV[PLANO DE CONTAS],REL_DRE_FINANCEIRO!$B$753,LANÇ_MOV[ANO PAGAMENTO],$B$4,LANÇ_MOV[MÊS PAGAMENTO CORRESPONDENTE],F$6,LANÇ_MOV[EMPRESA],$C$4,LANÇ_MOV[CENTRO DE CUSTOS],$D$4)</f>
        <v>0</v>
      </c>
      <c r="G847" s="206">
        <f>SUMIFS(LANÇ_MOV[VALOR LÍQUIDO],LANÇ_MOV[RECEITA OU DESPESA],"Despesa",LANÇ_MOV[CONTAS],$C847,LANÇ_MOV[PLANO DE CONTAS],REL_DRE_FINANCEIRO!$B$753,LANÇ_MOV[ANO PAGAMENTO],$B$4,LANÇ_MOV[MÊS PAGAMENTO CORRESPONDENTE],G$6,LANÇ_MOV[EMPRESA],$C$4,LANÇ_MOV[CENTRO DE CUSTOS],$D$4)</f>
        <v>0</v>
      </c>
      <c r="H847" s="206">
        <f>SUMIFS(LANÇ_MOV[VALOR LÍQUIDO],LANÇ_MOV[RECEITA OU DESPESA],"Despesa",LANÇ_MOV[CONTAS],$C847,LANÇ_MOV[PLANO DE CONTAS],REL_DRE_FINANCEIRO!$B$753,LANÇ_MOV[ANO PAGAMENTO],$B$4,LANÇ_MOV[MÊS PAGAMENTO CORRESPONDENTE],H$6,LANÇ_MOV[EMPRESA],$C$4,LANÇ_MOV[CENTRO DE CUSTOS],$D$4)</f>
        <v>0</v>
      </c>
      <c r="I847" s="206">
        <f>SUMIFS(LANÇ_MOV[VALOR LÍQUIDO],LANÇ_MOV[RECEITA OU DESPESA],"Despesa",LANÇ_MOV[CONTAS],$C847,LANÇ_MOV[PLANO DE CONTAS],REL_DRE_FINANCEIRO!$B$753,LANÇ_MOV[ANO PAGAMENTO],$B$4,LANÇ_MOV[MÊS PAGAMENTO CORRESPONDENTE],I$6,LANÇ_MOV[EMPRESA],$C$4,LANÇ_MOV[CENTRO DE CUSTOS],$D$4)</f>
        <v>0</v>
      </c>
      <c r="J847" s="206">
        <f>SUMIFS(LANÇ_MOV[VALOR LÍQUIDO],LANÇ_MOV[RECEITA OU DESPESA],"Despesa",LANÇ_MOV[CONTAS],$C847,LANÇ_MOV[PLANO DE CONTAS],REL_DRE_FINANCEIRO!$B$753,LANÇ_MOV[ANO PAGAMENTO],$B$4,LANÇ_MOV[MÊS PAGAMENTO CORRESPONDENTE],J$6,LANÇ_MOV[EMPRESA],$C$4,LANÇ_MOV[CENTRO DE CUSTOS],$D$4)</f>
        <v>0</v>
      </c>
      <c r="K847" s="206">
        <f>SUMIFS(LANÇ_MOV[VALOR LÍQUIDO],LANÇ_MOV[RECEITA OU DESPESA],"Despesa",LANÇ_MOV[CONTAS],$C847,LANÇ_MOV[PLANO DE CONTAS],REL_DRE_FINANCEIRO!$B$753,LANÇ_MOV[ANO PAGAMENTO],$B$4,LANÇ_MOV[MÊS PAGAMENTO CORRESPONDENTE],K$6,LANÇ_MOV[EMPRESA],$C$4,LANÇ_MOV[CENTRO DE CUSTOS],$D$4)</f>
        <v>0</v>
      </c>
      <c r="L847" s="206">
        <f>SUMIFS(LANÇ_MOV[VALOR LÍQUIDO],LANÇ_MOV[RECEITA OU DESPESA],"Despesa",LANÇ_MOV[CONTAS],$C847,LANÇ_MOV[PLANO DE CONTAS],REL_DRE_FINANCEIRO!$B$753,LANÇ_MOV[ANO PAGAMENTO],$B$4,LANÇ_MOV[MÊS PAGAMENTO CORRESPONDENTE],L$6,LANÇ_MOV[EMPRESA],$C$4,LANÇ_MOV[CENTRO DE CUSTOS],$D$4)</f>
        <v>0</v>
      </c>
      <c r="M847" s="206">
        <f>SUMIFS(LANÇ_MOV[VALOR LÍQUIDO],LANÇ_MOV[RECEITA OU DESPESA],"Despesa",LANÇ_MOV[CONTAS],$C847,LANÇ_MOV[PLANO DE CONTAS],REL_DRE_FINANCEIRO!$B$753,LANÇ_MOV[ANO PAGAMENTO],$B$4,LANÇ_MOV[MÊS PAGAMENTO CORRESPONDENTE],M$6,LANÇ_MOV[EMPRESA],$C$4,LANÇ_MOV[CENTRO DE CUSTOS],$D$4)</f>
        <v>0</v>
      </c>
      <c r="N847" s="206">
        <f>SUMIFS(LANÇ_MOV[VALOR LÍQUIDO],LANÇ_MOV[RECEITA OU DESPESA],"Despesa",LANÇ_MOV[CONTAS],$C847,LANÇ_MOV[PLANO DE CONTAS],REL_DRE_FINANCEIRO!$B$753,LANÇ_MOV[ANO PAGAMENTO],$B$4,LANÇ_MOV[MÊS PAGAMENTO CORRESPONDENTE],N$6,LANÇ_MOV[EMPRESA],$C$4,LANÇ_MOV[CENTRO DE CUSTOS],$D$4)</f>
        <v>0</v>
      </c>
      <c r="O847" s="206">
        <f>SUMIFS(LANÇ_MOV[VALOR LÍQUIDO],LANÇ_MOV[RECEITA OU DESPESA],"Despesa",LANÇ_MOV[CONTAS],$C847,LANÇ_MOV[PLANO DE CONTAS],REL_DRE_FINANCEIRO!$B$753,LANÇ_MOV[ANO PAGAMENTO],$B$4,LANÇ_MOV[MÊS PAGAMENTO CORRESPONDENTE],O$6,LANÇ_MOV[EMPRESA],$C$4,LANÇ_MOV[CENTRO DE CUSTOS],$D$4)</f>
        <v>0</v>
      </c>
      <c r="P847" s="207">
        <f t="shared" si="105"/>
        <v>0</v>
      </c>
      <c r="Q847" s="329">
        <v>6.9999999999999997E-7</v>
      </c>
      <c r="R847" s="346">
        <f t="shared" si="106"/>
        <v>6.9999999999999997E-7</v>
      </c>
      <c r="S847" s="347" t="str">
        <f t="shared" si="107"/>
        <v>-</v>
      </c>
      <c r="T847" s="347">
        <f t="shared" si="108"/>
        <v>0</v>
      </c>
      <c r="U847" s="347">
        <f>HLOOKUP(Apoio!$P$12,$D$752:$P$853,X847,FALSE)+Q847</f>
        <v>6.9999999999999997E-7</v>
      </c>
      <c r="V847" s="447" t="str">
        <f t="shared" si="109"/>
        <v>-</v>
      </c>
      <c r="W847" s="448">
        <f>HLOOKUP(Apoio!$P$12,$D$752:$P$853,X847,FALSE)</f>
        <v>0</v>
      </c>
      <c r="X847" s="329">
        <v>96</v>
      </c>
    </row>
    <row r="848" spans="2:24" ht="30.05" customHeight="1" x14ac:dyDescent="0.35">
      <c r="B848" s="204" t="str">
        <f>'CAD_PL_REC-DESP'!Z99</f>
        <v>2.6.95</v>
      </c>
      <c r="C848" s="205" t="str">
        <f>IF('CAD_PL_REC-DESP'!AA99="","-",'CAD_PL_REC-DESP'!AA99)</f>
        <v>-</v>
      </c>
      <c r="D848" s="206">
        <f>SUMIFS(LANÇ_MOV[VALOR LÍQUIDO],LANÇ_MOV[RECEITA OU DESPESA],"Despesa",LANÇ_MOV[CONTAS],$C848,LANÇ_MOV[PLANO DE CONTAS],REL_DRE_FINANCEIRO!$B$753,LANÇ_MOV[ANO PAGAMENTO],$B$4,LANÇ_MOV[MÊS PAGAMENTO CORRESPONDENTE],D$6,LANÇ_MOV[EMPRESA],$C$4,LANÇ_MOV[CENTRO DE CUSTOS],$D$4)</f>
        <v>0</v>
      </c>
      <c r="E848" s="206">
        <f>SUMIFS(LANÇ_MOV[VALOR LÍQUIDO],LANÇ_MOV[RECEITA OU DESPESA],"Despesa",LANÇ_MOV[CONTAS],$C848,LANÇ_MOV[PLANO DE CONTAS],REL_DRE_FINANCEIRO!$B$753,LANÇ_MOV[ANO PAGAMENTO],$B$4,LANÇ_MOV[MÊS PAGAMENTO CORRESPONDENTE],E$6,LANÇ_MOV[EMPRESA],$C$4,LANÇ_MOV[CENTRO DE CUSTOS],$D$4)</f>
        <v>0</v>
      </c>
      <c r="F848" s="206">
        <f>SUMIFS(LANÇ_MOV[VALOR LÍQUIDO],LANÇ_MOV[RECEITA OU DESPESA],"Despesa",LANÇ_MOV[CONTAS],$C848,LANÇ_MOV[PLANO DE CONTAS],REL_DRE_FINANCEIRO!$B$753,LANÇ_MOV[ANO PAGAMENTO],$B$4,LANÇ_MOV[MÊS PAGAMENTO CORRESPONDENTE],F$6,LANÇ_MOV[EMPRESA],$C$4,LANÇ_MOV[CENTRO DE CUSTOS],$D$4)</f>
        <v>0</v>
      </c>
      <c r="G848" s="206">
        <f>SUMIFS(LANÇ_MOV[VALOR LÍQUIDO],LANÇ_MOV[RECEITA OU DESPESA],"Despesa",LANÇ_MOV[CONTAS],$C848,LANÇ_MOV[PLANO DE CONTAS],REL_DRE_FINANCEIRO!$B$753,LANÇ_MOV[ANO PAGAMENTO],$B$4,LANÇ_MOV[MÊS PAGAMENTO CORRESPONDENTE],G$6,LANÇ_MOV[EMPRESA],$C$4,LANÇ_MOV[CENTRO DE CUSTOS],$D$4)</f>
        <v>0</v>
      </c>
      <c r="H848" s="206">
        <f>SUMIFS(LANÇ_MOV[VALOR LÍQUIDO],LANÇ_MOV[RECEITA OU DESPESA],"Despesa",LANÇ_MOV[CONTAS],$C848,LANÇ_MOV[PLANO DE CONTAS],REL_DRE_FINANCEIRO!$B$753,LANÇ_MOV[ANO PAGAMENTO],$B$4,LANÇ_MOV[MÊS PAGAMENTO CORRESPONDENTE],H$6,LANÇ_MOV[EMPRESA],$C$4,LANÇ_MOV[CENTRO DE CUSTOS],$D$4)</f>
        <v>0</v>
      </c>
      <c r="I848" s="206">
        <f>SUMIFS(LANÇ_MOV[VALOR LÍQUIDO],LANÇ_MOV[RECEITA OU DESPESA],"Despesa",LANÇ_MOV[CONTAS],$C848,LANÇ_MOV[PLANO DE CONTAS],REL_DRE_FINANCEIRO!$B$753,LANÇ_MOV[ANO PAGAMENTO],$B$4,LANÇ_MOV[MÊS PAGAMENTO CORRESPONDENTE],I$6,LANÇ_MOV[EMPRESA],$C$4,LANÇ_MOV[CENTRO DE CUSTOS],$D$4)</f>
        <v>0</v>
      </c>
      <c r="J848" s="206">
        <f>SUMIFS(LANÇ_MOV[VALOR LÍQUIDO],LANÇ_MOV[RECEITA OU DESPESA],"Despesa",LANÇ_MOV[CONTAS],$C848,LANÇ_MOV[PLANO DE CONTAS],REL_DRE_FINANCEIRO!$B$753,LANÇ_MOV[ANO PAGAMENTO],$B$4,LANÇ_MOV[MÊS PAGAMENTO CORRESPONDENTE],J$6,LANÇ_MOV[EMPRESA],$C$4,LANÇ_MOV[CENTRO DE CUSTOS],$D$4)</f>
        <v>0</v>
      </c>
      <c r="K848" s="206">
        <f>SUMIFS(LANÇ_MOV[VALOR LÍQUIDO],LANÇ_MOV[RECEITA OU DESPESA],"Despesa",LANÇ_MOV[CONTAS],$C848,LANÇ_MOV[PLANO DE CONTAS],REL_DRE_FINANCEIRO!$B$753,LANÇ_MOV[ANO PAGAMENTO],$B$4,LANÇ_MOV[MÊS PAGAMENTO CORRESPONDENTE],K$6,LANÇ_MOV[EMPRESA],$C$4,LANÇ_MOV[CENTRO DE CUSTOS],$D$4)</f>
        <v>0</v>
      </c>
      <c r="L848" s="206">
        <f>SUMIFS(LANÇ_MOV[VALOR LÍQUIDO],LANÇ_MOV[RECEITA OU DESPESA],"Despesa",LANÇ_MOV[CONTAS],$C848,LANÇ_MOV[PLANO DE CONTAS],REL_DRE_FINANCEIRO!$B$753,LANÇ_MOV[ANO PAGAMENTO],$B$4,LANÇ_MOV[MÊS PAGAMENTO CORRESPONDENTE],L$6,LANÇ_MOV[EMPRESA],$C$4,LANÇ_MOV[CENTRO DE CUSTOS],$D$4)</f>
        <v>0</v>
      </c>
      <c r="M848" s="206">
        <f>SUMIFS(LANÇ_MOV[VALOR LÍQUIDO],LANÇ_MOV[RECEITA OU DESPESA],"Despesa",LANÇ_MOV[CONTAS],$C848,LANÇ_MOV[PLANO DE CONTAS],REL_DRE_FINANCEIRO!$B$753,LANÇ_MOV[ANO PAGAMENTO],$B$4,LANÇ_MOV[MÊS PAGAMENTO CORRESPONDENTE],M$6,LANÇ_MOV[EMPRESA],$C$4,LANÇ_MOV[CENTRO DE CUSTOS],$D$4)</f>
        <v>0</v>
      </c>
      <c r="N848" s="206">
        <f>SUMIFS(LANÇ_MOV[VALOR LÍQUIDO],LANÇ_MOV[RECEITA OU DESPESA],"Despesa",LANÇ_MOV[CONTAS],$C848,LANÇ_MOV[PLANO DE CONTAS],REL_DRE_FINANCEIRO!$B$753,LANÇ_MOV[ANO PAGAMENTO],$B$4,LANÇ_MOV[MÊS PAGAMENTO CORRESPONDENTE],N$6,LANÇ_MOV[EMPRESA],$C$4,LANÇ_MOV[CENTRO DE CUSTOS],$D$4)</f>
        <v>0</v>
      </c>
      <c r="O848" s="206">
        <f>SUMIFS(LANÇ_MOV[VALOR LÍQUIDO],LANÇ_MOV[RECEITA OU DESPESA],"Despesa",LANÇ_MOV[CONTAS],$C848,LANÇ_MOV[PLANO DE CONTAS],REL_DRE_FINANCEIRO!$B$753,LANÇ_MOV[ANO PAGAMENTO],$B$4,LANÇ_MOV[MÊS PAGAMENTO CORRESPONDENTE],O$6,LANÇ_MOV[EMPRESA],$C$4,LANÇ_MOV[CENTRO DE CUSTOS],$D$4)</f>
        <v>0</v>
      </c>
      <c r="P848" s="207">
        <f t="shared" si="105"/>
        <v>0</v>
      </c>
      <c r="Q848" s="329">
        <v>5.9999999999999997E-7</v>
      </c>
      <c r="R848" s="346">
        <f t="shared" si="106"/>
        <v>5.9999999999999997E-7</v>
      </c>
      <c r="S848" s="347" t="str">
        <f t="shared" si="107"/>
        <v>-</v>
      </c>
      <c r="T848" s="347">
        <f t="shared" si="108"/>
        <v>0</v>
      </c>
      <c r="U848" s="347">
        <f>HLOOKUP(Apoio!$P$12,$D$752:$P$853,X848,FALSE)+Q848</f>
        <v>5.9999999999999997E-7</v>
      </c>
      <c r="V848" s="447" t="str">
        <f t="shared" si="109"/>
        <v>-</v>
      </c>
      <c r="W848" s="448">
        <f>HLOOKUP(Apoio!$P$12,$D$752:$P$853,X848,FALSE)</f>
        <v>0</v>
      </c>
      <c r="X848" s="329">
        <v>97</v>
      </c>
    </row>
    <row r="849" spans="2:50" ht="30.05" customHeight="1" x14ac:dyDescent="0.35">
      <c r="B849" s="204" t="str">
        <f>'CAD_PL_REC-DESP'!Z100</f>
        <v>2.6.96</v>
      </c>
      <c r="C849" s="205" t="str">
        <f>IF('CAD_PL_REC-DESP'!AA100="","-",'CAD_PL_REC-DESP'!AA100)</f>
        <v>-</v>
      </c>
      <c r="D849" s="206">
        <f>SUMIFS(LANÇ_MOV[VALOR LÍQUIDO],LANÇ_MOV[RECEITA OU DESPESA],"Despesa",LANÇ_MOV[CONTAS],$C849,LANÇ_MOV[PLANO DE CONTAS],REL_DRE_FINANCEIRO!$B$753,LANÇ_MOV[ANO PAGAMENTO],$B$4,LANÇ_MOV[MÊS PAGAMENTO CORRESPONDENTE],D$6,LANÇ_MOV[EMPRESA],$C$4,LANÇ_MOV[CENTRO DE CUSTOS],$D$4)</f>
        <v>0</v>
      </c>
      <c r="E849" s="206">
        <f>SUMIFS(LANÇ_MOV[VALOR LÍQUIDO],LANÇ_MOV[RECEITA OU DESPESA],"Despesa",LANÇ_MOV[CONTAS],$C849,LANÇ_MOV[PLANO DE CONTAS],REL_DRE_FINANCEIRO!$B$753,LANÇ_MOV[ANO PAGAMENTO],$B$4,LANÇ_MOV[MÊS PAGAMENTO CORRESPONDENTE],E$6,LANÇ_MOV[EMPRESA],$C$4,LANÇ_MOV[CENTRO DE CUSTOS],$D$4)</f>
        <v>0</v>
      </c>
      <c r="F849" s="206">
        <f>SUMIFS(LANÇ_MOV[VALOR LÍQUIDO],LANÇ_MOV[RECEITA OU DESPESA],"Despesa",LANÇ_MOV[CONTAS],$C849,LANÇ_MOV[PLANO DE CONTAS],REL_DRE_FINANCEIRO!$B$753,LANÇ_MOV[ANO PAGAMENTO],$B$4,LANÇ_MOV[MÊS PAGAMENTO CORRESPONDENTE],F$6,LANÇ_MOV[EMPRESA],$C$4,LANÇ_MOV[CENTRO DE CUSTOS],$D$4)</f>
        <v>0</v>
      </c>
      <c r="G849" s="206">
        <f>SUMIFS(LANÇ_MOV[VALOR LÍQUIDO],LANÇ_MOV[RECEITA OU DESPESA],"Despesa",LANÇ_MOV[CONTAS],$C849,LANÇ_MOV[PLANO DE CONTAS],REL_DRE_FINANCEIRO!$B$753,LANÇ_MOV[ANO PAGAMENTO],$B$4,LANÇ_MOV[MÊS PAGAMENTO CORRESPONDENTE],G$6,LANÇ_MOV[EMPRESA],$C$4,LANÇ_MOV[CENTRO DE CUSTOS],$D$4)</f>
        <v>0</v>
      </c>
      <c r="H849" s="206">
        <f>SUMIFS(LANÇ_MOV[VALOR LÍQUIDO],LANÇ_MOV[RECEITA OU DESPESA],"Despesa",LANÇ_MOV[CONTAS],$C849,LANÇ_MOV[PLANO DE CONTAS],REL_DRE_FINANCEIRO!$B$753,LANÇ_MOV[ANO PAGAMENTO],$B$4,LANÇ_MOV[MÊS PAGAMENTO CORRESPONDENTE],H$6,LANÇ_MOV[EMPRESA],$C$4,LANÇ_MOV[CENTRO DE CUSTOS],$D$4)</f>
        <v>0</v>
      </c>
      <c r="I849" s="206">
        <f>SUMIFS(LANÇ_MOV[VALOR LÍQUIDO],LANÇ_MOV[RECEITA OU DESPESA],"Despesa",LANÇ_MOV[CONTAS],$C849,LANÇ_MOV[PLANO DE CONTAS],REL_DRE_FINANCEIRO!$B$753,LANÇ_MOV[ANO PAGAMENTO],$B$4,LANÇ_MOV[MÊS PAGAMENTO CORRESPONDENTE],I$6,LANÇ_MOV[EMPRESA],$C$4,LANÇ_MOV[CENTRO DE CUSTOS],$D$4)</f>
        <v>0</v>
      </c>
      <c r="J849" s="206">
        <f>SUMIFS(LANÇ_MOV[VALOR LÍQUIDO],LANÇ_MOV[RECEITA OU DESPESA],"Despesa",LANÇ_MOV[CONTAS],$C849,LANÇ_MOV[PLANO DE CONTAS],REL_DRE_FINANCEIRO!$B$753,LANÇ_MOV[ANO PAGAMENTO],$B$4,LANÇ_MOV[MÊS PAGAMENTO CORRESPONDENTE],J$6,LANÇ_MOV[EMPRESA],$C$4,LANÇ_MOV[CENTRO DE CUSTOS],$D$4)</f>
        <v>0</v>
      </c>
      <c r="K849" s="206">
        <f>SUMIFS(LANÇ_MOV[VALOR LÍQUIDO],LANÇ_MOV[RECEITA OU DESPESA],"Despesa",LANÇ_MOV[CONTAS],$C849,LANÇ_MOV[PLANO DE CONTAS],REL_DRE_FINANCEIRO!$B$753,LANÇ_MOV[ANO PAGAMENTO],$B$4,LANÇ_MOV[MÊS PAGAMENTO CORRESPONDENTE],K$6,LANÇ_MOV[EMPRESA],$C$4,LANÇ_MOV[CENTRO DE CUSTOS],$D$4)</f>
        <v>0</v>
      </c>
      <c r="L849" s="206">
        <f>SUMIFS(LANÇ_MOV[VALOR LÍQUIDO],LANÇ_MOV[RECEITA OU DESPESA],"Despesa",LANÇ_MOV[CONTAS],$C849,LANÇ_MOV[PLANO DE CONTAS],REL_DRE_FINANCEIRO!$B$753,LANÇ_MOV[ANO PAGAMENTO],$B$4,LANÇ_MOV[MÊS PAGAMENTO CORRESPONDENTE],L$6,LANÇ_MOV[EMPRESA],$C$4,LANÇ_MOV[CENTRO DE CUSTOS],$D$4)</f>
        <v>0</v>
      </c>
      <c r="M849" s="206">
        <f>SUMIFS(LANÇ_MOV[VALOR LÍQUIDO],LANÇ_MOV[RECEITA OU DESPESA],"Despesa",LANÇ_MOV[CONTAS],$C849,LANÇ_MOV[PLANO DE CONTAS],REL_DRE_FINANCEIRO!$B$753,LANÇ_MOV[ANO PAGAMENTO],$B$4,LANÇ_MOV[MÊS PAGAMENTO CORRESPONDENTE],M$6,LANÇ_MOV[EMPRESA],$C$4,LANÇ_MOV[CENTRO DE CUSTOS],$D$4)</f>
        <v>0</v>
      </c>
      <c r="N849" s="206">
        <f>SUMIFS(LANÇ_MOV[VALOR LÍQUIDO],LANÇ_MOV[RECEITA OU DESPESA],"Despesa",LANÇ_MOV[CONTAS],$C849,LANÇ_MOV[PLANO DE CONTAS],REL_DRE_FINANCEIRO!$B$753,LANÇ_MOV[ANO PAGAMENTO],$B$4,LANÇ_MOV[MÊS PAGAMENTO CORRESPONDENTE],N$6,LANÇ_MOV[EMPRESA],$C$4,LANÇ_MOV[CENTRO DE CUSTOS],$D$4)</f>
        <v>0</v>
      </c>
      <c r="O849" s="206">
        <f>SUMIFS(LANÇ_MOV[VALOR LÍQUIDO],LANÇ_MOV[RECEITA OU DESPESA],"Despesa",LANÇ_MOV[CONTAS],$C849,LANÇ_MOV[PLANO DE CONTAS],REL_DRE_FINANCEIRO!$B$753,LANÇ_MOV[ANO PAGAMENTO],$B$4,LANÇ_MOV[MÊS PAGAMENTO CORRESPONDENTE],O$6,LANÇ_MOV[EMPRESA],$C$4,LANÇ_MOV[CENTRO DE CUSTOS],$D$4)</f>
        <v>0</v>
      </c>
      <c r="P849" s="207">
        <f t="shared" si="105"/>
        <v>0</v>
      </c>
      <c r="Q849" s="329">
        <v>4.9999999999999998E-7</v>
      </c>
      <c r="R849" s="346">
        <f t="shared" si="106"/>
        <v>4.9999999999999998E-7</v>
      </c>
      <c r="S849" s="347" t="str">
        <f t="shared" si="107"/>
        <v>-</v>
      </c>
      <c r="T849" s="347">
        <f t="shared" si="108"/>
        <v>0</v>
      </c>
      <c r="U849" s="347">
        <f>HLOOKUP(Apoio!$P$12,$D$752:$P$853,X849,FALSE)+Q849</f>
        <v>4.9999999999999998E-7</v>
      </c>
      <c r="V849" s="447" t="str">
        <f t="shared" si="109"/>
        <v>-</v>
      </c>
      <c r="W849" s="448">
        <f>HLOOKUP(Apoio!$P$12,$D$752:$P$853,X849,FALSE)</f>
        <v>0</v>
      </c>
      <c r="X849" s="329">
        <v>98</v>
      </c>
    </row>
    <row r="850" spans="2:50" ht="30.05" customHeight="1" x14ac:dyDescent="0.35">
      <c r="B850" s="204" t="str">
        <f>'CAD_PL_REC-DESP'!Z101</f>
        <v>2.6.97</v>
      </c>
      <c r="C850" s="205" t="str">
        <f>IF('CAD_PL_REC-DESP'!AA101="","-",'CAD_PL_REC-DESP'!AA101)</f>
        <v>-</v>
      </c>
      <c r="D850" s="206">
        <f>SUMIFS(LANÇ_MOV[VALOR LÍQUIDO],LANÇ_MOV[RECEITA OU DESPESA],"Despesa",LANÇ_MOV[CONTAS],$C850,LANÇ_MOV[PLANO DE CONTAS],REL_DRE_FINANCEIRO!$B$753,LANÇ_MOV[ANO PAGAMENTO],$B$4,LANÇ_MOV[MÊS PAGAMENTO CORRESPONDENTE],D$6,LANÇ_MOV[EMPRESA],$C$4,LANÇ_MOV[CENTRO DE CUSTOS],$D$4)</f>
        <v>0</v>
      </c>
      <c r="E850" s="206">
        <f>SUMIFS(LANÇ_MOV[VALOR LÍQUIDO],LANÇ_MOV[RECEITA OU DESPESA],"Despesa",LANÇ_MOV[CONTAS],$C850,LANÇ_MOV[PLANO DE CONTAS],REL_DRE_FINANCEIRO!$B$753,LANÇ_MOV[ANO PAGAMENTO],$B$4,LANÇ_MOV[MÊS PAGAMENTO CORRESPONDENTE],E$6,LANÇ_MOV[EMPRESA],$C$4,LANÇ_MOV[CENTRO DE CUSTOS],$D$4)</f>
        <v>0</v>
      </c>
      <c r="F850" s="206">
        <f>SUMIFS(LANÇ_MOV[VALOR LÍQUIDO],LANÇ_MOV[RECEITA OU DESPESA],"Despesa",LANÇ_MOV[CONTAS],$C850,LANÇ_MOV[PLANO DE CONTAS],REL_DRE_FINANCEIRO!$B$753,LANÇ_MOV[ANO PAGAMENTO],$B$4,LANÇ_MOV[MÊS PAGAMENTO CORRESPONDENTE],F$6,LANÇ_MOV[EMPRESA],$C$4,LANÇ_MOV[CENTRO DE CUSTOS],$D$4)</f>
        <v>0</v>
      </c>
      <c r="G850" s="206">
        <f>SUMIFS(LANÇ_MOV[VALOR LÍQUIDO],LANÇ_MOV[RECEITA OU DESPESA],"Despesa",LANÇ_MOV[CONTAS],$C850,LANÇ_MOV[PLANO DE CONTAS],REL_DRE_FINANCEIRO!$B$753,LANÇ_MOV[ANO PAGAMENTO],$B$4,LANÇ_MOV[MÊS PAGAMENTO CORRESPONDENTE],G$6,LANÇ_MOV[EMPRESA],$C$4,LANÇ_MOV[CENTRO DE CUSTOS],$D$4)</f>
        <v>0</v>
      </c>
      <c r="H850" s="206">
        <f>SUMIFS(LANÇ_MOV[VALOR LÍQUIDO],LANÇ_MOV[RECEITA OU DESPESA],"Despesa",LANÇ_MOV[CONTAS],$C850,LANÇ_MOV[PLANO DE CONTAS],REL_DRE_FINANCEIRO!$B$753,LANÇ_MOV[ANO PAGAMENTO],$B$4,LANÇ_MOV[MÊS PAGAMENTO CORRESPONDENTE],H$6,LANÇ_MOV[EMPRESA],$C$4,LANÇ_MOV[CENTRO DE CUSTOS],$D$4)</f>
        <v>0</v>
      </c>
      <c r="I850" s="206">
        <f>SUMIFS(LANÇ_MOV[VALOR LÍQUIDO],LANÇ_MOV[RECEITA OU DESPESA],"Despesa",LANÇ_MOV[CONTAS],$C850,LANÇ_MOV[PLANO DE CONTAS],REL_DRE_FINANCEIRO!$B$753,LANÇ_MOV[ANO PAGAMENTO],$B$4,LANÇ_MOV[MÊS PAGAMENTO CORRESPONDENTE],I$6,LANÇ_MOV[EMPRESA],$C$4,LANÇ_MOV[CENTRO DE CUSTOS],$D$4)</f>
        <v>0</v>
      </c>
      <c r="J850" s="206">
        <f>SUMIFS(LANÇ_MOV[VALOR LÍQUIDO],LANÇ_MOV[RECEITA OU DESPESA],"Despesa",LANÇ_MOV[CONTAS],$C850,LANÇ_MOV[PLANO DE CONTAS],REL_DRE_FINANCEIRO!$B$753,LANÇ_MOV[ANO PAGAMENTO],$B$4,LANÇ_MOV[MÊS PAGAMENTO CORRESPONDENTE],J$6,LANÇ_MOV[EMPRESA],$C$4,LANÇ_MOV[CENTRO DE CUSTOS],$D$4)</f>
        <v>0</v>
      </c>
      <c r="K850" s="206">
        <f>SUMIFS(LANÇ_MOV[VALOR LÍQUIDO],LANÇ_MOV[RECEITA OU DESPESA],"Despesa",LANÇ_MOV[CONTAS],$C850,LANÇ_MOV[PLANO DE CONTAS],REL_DRE_FINANCEIRO!$B$753,LANÇ_MOV[ANO PAGAMENTO],$B$4,LANÇ_MOV[MÊS PAGAMENTO CORRESPONDENTE],K$6,LANÇ_MOV[EMPRESA],$C$4,LANÇ_MOV[CENTRO DE CUSTOS],$D$4)</f>
        <v>0</v>
      </c>
      <c r="L850" s="206">
        <f>SUMIFS(LANÇ_MOV[VALOR LÍQUIDO],LANÇ_MOV[RECEITA OU DESPESA],"Despesa",LANÇ_MOV[CONTAS],$C850,LANÇ_MOV[PLANO DE CONTAS],REL_DRE_FINANCEIRO!$B$753,LANÇ_MOV[ANO PAGAMENTO],$B$4,LANÇ_MOV[MÊS PAGAMENTO CORRESPONDENTE],L$6,LANÇ_MOV[EMPRESA],$C$4,LANÇ_MOV[CENTRO DE CUSTOS],$D$4)</f>
        <v>0</v>
      </c>
      <c r="M850" s="206">
        <f>SUMIFS(LANÇ_MOV[VALOR LÍQUIDO],LANÇ_MOV[RECEITA OU DESPESA],"Despesa",LANÇ_MOV[CONTAS],$C850,LANÇ_MOV[PLANO DE CONTAS],REL_DRE_FINANCEIRO!$B$753,LANÇ_MOV[ANO PAGAMENTO],$B$4,LANÇ_MOV[MÊS PAGAMENTO CORRESPONDENTE],M$6,LANÇ_MOV[EMPRESA],$C$4,LANÇ_MOV[CENTRO DE CUSTOS],$D$4)</f>
        <v>0</v>
      </c>
      <c r="N850" s="206">
        <f>SUMIFS(LANÇ_MOV[VALOR LÍQUIDO],LANÇ_MOV[RECEITA OU DESPESA],"Despesa",LANÇ_MOV[CONTAS],$C850,LANÇ_MOV[PLANO DE CONTAS],REL_DRE_FINANCEIRO!$B$753,LANÇ_MOV[ANO PAGAMENTO],$B$4,LANÇ_MOV[MÊS PAGAMENTO CORRESPONDENTE],N$6,LANÇ_MOV[EMPRESA],$C$4,LANÇ_MOV[CENTRO DE CUSTOS],$D$4)</f>
        <v>0</v>
      </c>
      <c r="O850" s="206">
        <f>SUMIFS(LANÇ_MOV[VALOR LÍQUIDO],LANÇ_MOV[RECEITA OU DESPESA],"Despesa",LANÇ_MOV[CONTAS],$C850,LANÇ_MOV[PLANO DE CONTAS],REL_DRE_FINANCEIRO!$B$753,LANÇ_MOV[ANO PAGAMENTO],$B$4,LANÇ_MOV[MÊS PAGAMENTO CORRESPONDENTE],O$6,LANÇ_MOV[EMPRESA],$C$4,LANÇ_MOV[CENTRO DE CUSTOS],$D$4)</f>
        <v>0</v>
      </c>
      <c r="P850" s="207">
        <f t="shared" si="105"/>
        <v>0</v>
      </c>
      <c r="Q850" s="329">
        <v>3.9999999999999998E-7</v>
      </c>
      <c r="R850" s="346">
        <f t="shared" si="106"/>
        <v>3.9999999999999998E-7</v>
      </c>
      <c r="S850" s="347" t="str">
        <f t="shared" si="107"/>
        <v>-</v>
      </c>
      <c r="T850" s="347">
        <f t="shared" si="108"/>
        <v>0</v>
      </c>
      <c r="U850" s="347">
        <f>HLOOKUP(Apoio!$P$12,$D$752:$P$853,X850,FALSE)+Q850</f>
        <v>3.9999999999999998E-7</v>
      </c>
      <c r="V850" s="447" t="str">
        <f t="shared" si="109"/>
        <v>-</v>
      </c>
      <c r="W850" s="448">
        <f>HLOOKUP(Apoio!$P$12,$D$752:$P$853,X850,FALSE)</f>
        <v>0</v>
      </c>
      <c r="X850" s="329">
        <v>99</v>
      </c>
    </row>
    <row r="851" spans="2:50" ht="30.05" customHeight="1" x14ac:dyDescent="0.35">
      <c r="B851" s="204" t="str">
        <f>'CAD_PL_REC-DESP'!Z102</f>
        <v>2.6.98</v>
      </c>
      <c r="C851" s="205" t="str">
        <f>IF('CAD_PL_REC-DESP'!AA102="","-",'CAD_PL_REC-DESP'!AA102)</f>
        <v>-</v>
      </c>
      <c r="D851" s="206">
        <f>SUMIFS(LANÇ_MOV[VALOR LÍQUIDO],LANÇ_MOV[RECEITA OU DESPESA],"Despesa",LANÇ_MOV[CONTAS],$C851,LANÇ_MOV[PLANO DE CONTAS],REL_DRE_FINANCEIRO!$B$753,LANÇ_MOV[ANO PAGAMENTO],$B$4,LANÇ_MOV[MÊS PAGAMENTO CORRESPONDENTE],D$6,LANÇ_MOV[EMPRESA],$C$4,LANÇ_MOV[CENTRO DE CUSTOS],$D$4)</f>
        <v>0</v>
      </c>
      <c r="E851" s="206">
        <f>SUMIFS(LANÇ_MOV[VALOR LÍQUIDO],LANÇ_MOV[RECEITA OU DESPESA],"Despesa",LANÇ_MOV[CONTAS],$C851,LANÇ_MOV[PLANO DE CONTAS],REL_DRE_FINANCEIRO!$B$753,LANÇ_MOV[ANO PAGAMENTO],$B$4,LANÇ_MOV[MÊS PAGAMENTO CORRESPONDENTE],E$6,LANÇ_MOV[EMPRESA],$C$4,LANÇ_MOV[CENTRO DE CUSTOS],$D$4)</f>
        <v>0</v>
      </c>
      <c r="F851" s="206">
        <f>SUMIFS(LANÇ_MOV[VALOR LÍQUIDO],LANÇ_MOV[RECEITA OU DESPESA],"Despesa",LANÇ_MOV[CONTAS],$C851,LANÇ_MOV[PLANO DE CONTAS],REL_DRE_FINANCEIRO!$B$753,LANÇ_MOV[ANO PAGAMENTO],$B$4,LANÇ_MOV[MÊS PAGAMENTO CORRESPONDENTE],F$6,LANÇ_MOV[EMPRESA],$C$4,LANÇ_MOV[CENTRO DE CUSTOS],$D$4)</f>
        <v>0</v>
      </c>
      <c r="G851" s="206">
        <f>SUMIFS(LANÇ_MOV[VALOR LÍQUIDO],LANÇ_MOV[RECEITA OU DESPESA],"Despesa",LANÇ_MOV[CONTAS],$C851,LANÇ_MOV[PLANO DE CONTAS],REL_DRE_FINANCEIRO!$B$753,LANÇ_MOV[ANO PAGAMENTO],$B$4,LANÇ_MOV[MÊS PAGAMENTO CORRESPONDENTE],G$6,LANÇ_MOV[EMPRESA],$C$4,LANÇ_MOV[CENTRO DE CUSTOS],$D$4)</f>
        <v>0</v>
      </c>
      <c r="H851" s="206">
        <f>SUMIFS(LANÇ_MOV[VALOR LÍQUIDO],LANÇ_MOV[RECEITA OU DESPESA],"Despesa",LANÇ_MOV[CONTAS],$C851,LANÇ_MOV[PLANO DE CONTAS],REL_DRE_FINANCEIRO!$B$753,LANÇ_MOV[ANO PAGAMENTO],$B$4,LANÇ_MOV[MÊS PAGAMENTO CORRESPONDENTE],H$6,LANÇ_MOV[EMPRESA],$C$4,LANÇ_MOV[CENTRO DE CUSTOS],$D$4)</f>
        <v>0</v>
      </c>
      <c r="I851" s="206">
        <f>SUMIFS(LANÇ_MOV[VALOR LÍQUIDO],LANÇ_MOV[RECEITA OU DESPESA],"Despesa",LANÇ_MOV[CONTAS],$C851,LANÇ_MOV[PLANO DE CONTAS],REL_DRE_FINANCEIRO!$B$753,LANÇ_MOV[ANO PAGAMENTO],$B$4,LANÇ_MOV[MÊS PAGAMENTO CORRESPONDENTE],I$6,LANÇ_MOV[EMPRESA],$C$4,LANÇ_MOV[CENTRO DE CUSTOS],$D$4)</f>
        <v>0</v>
      </c>
      <c r="J851" s="206">
        <f>SUMIFS(LANÇ_MOV[VALOR LÍQUIDO],LANÇ_MOV[RECEITA OU DESPESA],"Despesa",LANÇ_MOV[CONTAS],$C851,LANÇ_MOV[PLANO DE CONTAS],REL_DRE_FINANCEIRO!$B$753,LANÇ_MOV[ANO PAGAMENTO],$B$4,LANÇ_MOV[MÊS PAGAMENTO CORRESPONDENTE],J$6,LANÇ_MOV[EMPRESA],$C$4,LANÇ_MOV[CENTRO DE CUSTOS],$D$4)</f>
        <v>0</v>
      </c>
      <c r="K851" s="206">
        <f>SUMIFS(LANÇ_MOV[VALOR LÍQUIDO],LANÇ_MOV[RECEITA OU DESPESA],"Despesa",LANÇ_MOV[CONTAS],$C851,LANÇ_MOV[PLANO DE CONTAS],REL_DRE_FINANCEIRO!$B$753,LANÇ_MOV[ANO PAGAMENTO],$B$4,LANÇ_MOV[MÊS PAGAMENTO CORRESPONDENTE],K$6,LANÇ_MOV[EMPRESA],$C$4,LANÇ_MOV[CENTRO DE CUSTOS],$D$4)</f>
        <v>0</v>
      </c>
      <c r="L851" s="206">
        <f>SUMIFS(LANÇ_MOV[VALOR LÍQUIDO],LANÇ_MOV[RECEITA OU DESPESA],"Despesa",LANÇ_MOV[CONTAS],$C851,LANÇ_MOV[PLANO DE CONTAS],REL_DRE_FINANCEIRO!$B$753,LANÇ_MOV[ANO PAGAMENTO],$B$4,LANÇ_MOV[MÊS PAGAMENTO CORRESPONDENTE],L$6,LANÇ_MOV[EMPRESA],$C$4,LANÇ_MOV[CENTRO DE CUSTOS],$D$4)</f>
        <v>0</v>
      </c>
      <c r="M851" s="206">
        <f>SUMIFS(LANÇ_MOV[VALOR LÍQUIDO],LANÇ_MOV[RECEITA OU DESPESA],"Despesa",LANÇ_MOV[CONTAS],$C851,LANÇ_MOV[PLANO DE CONTAS],REL_DRE_FINANCEIRO!$B$753,LANÇ_MOV[ANO PAGAMENTO],$B$4,LANÇ_MOV[MÊS PAGAMENTO CORRESPONDENTE],M$6,LANÇ_MOV[EMPRESA],$C$4,LANÇ_MOV[CENTRO DE CUSTOS],$D$4)</f>
        <v>0</v>
      </c>
      <c r="N851" s="206">
        <f>SUMIFS(LANÇ_MOV[VALOR LÍQUIDO],LANÇ_MOV[RECEITA OU DESPESA],"Despesa",LANÇ_MOV[CONTAS],$C851,LANÇ_MOV[PLANO DE CONTAS],REL_DRE_FINANCEIRO!$B$753,LANÇ_MOV[ANO PAGAMENTO],$B$4,LANÇ_MOV[MÊS PAGAMENTO CORRESPONDENTE],N$6,LANÇ_MOV[EMPRESA],$C$4,LANÇ_MOV[CENTRO DE CUSTOS],$D$4)</f>
        <v>0</v>
      </c>
      <c r="O851" s="206">
        <f>SUMIFS(LANÇ_MOV[VALOR LÍQUIDO],LANÇ_MOV[RECEITA OU DESPESA],"Despesa",LANÇ_MOV[CONTAS],$C851,LANÇ_MOV[PLANO DE CONTAS],REL_DRE_FINANCEIRO!$B$753,LANÇ_MOV[ANO PAGAMENTO],$B$4,LANÇ_MOV[MÊS PAGAMENTO CORRESPONDENTE],O$6,LANÇ_MOV[EMPRESA],$C$4,LANÇ_MOV[CENTRO DE CUSTOS],$D$4)</f>
        <v>0</v>
      </c>
      <c r="P851" s="207">
        <f t="shared" si="105"/>
        <v>0</v>
      </c>
      <c r="Q851" s="329">
        <v>2.9999999999999999E-7</v>
      </c>
      <c r="R851" s="346">
        <f t="shared" si="106"/>
        <v>2.9999999999999999E-7</v>
      </c>
      <c r="S851" s="347" t="str">
        <f t="shared" si="107"/>
        <v>-</v>
      </c>
      <c r="T851" s="347">
        <f t="shared" si="108"/>
        <v>0</v>
      </c>
      <c r="U851" s="347">
        <f>HLOOKUP(Apoio!$P$12,$D$752:$P$853,X851,FALSE)+Q851</f>
        <v>2.9999999999999999E-7</v>
      </c>
      <c r="V851" s="447" t="str">
        <f t="shared" si="109"/>
        <v>-</v>
      </c>
      <c r="W851" s="448">
        <f>HLOOKUP(Apoio!$P$12,$D$752:$P$853,X851,FALSE)</f>
        <v>0</v>
      </c>
      <c r="X851" s="329">
        <v>100</v>
      </c>
    </row>
    <row r="852" spans="2:50" ht="30.05" customHeight="1" x14ac:dyDescent="0.35">
      <c r="B852" s="204" t="str">
        <f>'CAD_PL_REC-DESP'!Z103</f>
        <v>2.6.99</v>
      </c>
      <c r="C852" s="205" t="str">
        <f>IF('CAD_PL_REC-DESP'!AA103="","-",'CAD_PL_REC-DESP'!AA103)</f>
        <v>-</v>
      </c>
      <c r="D852" s="206">
        <f>SUMIFS(LANÇ_MOV[VALOR LÍQUIDO],LANÇ_MOV[RECEITA OU DESPESA],"Despesa",LANÇ_MOV[CONTAS],$C852,LANÇ_MOV[PLANO DE CONTAS],REL_DRE_FINANCEIRO!$B$753,LANÇ_MOV[ANO PAGAMENTO],$B$4,LANÇ_MOV[MÊS PAGAMENTO CORRESPONDENTE],D$6,LANÇ_MOV[EMPRESA],$C$4,LANÇ_MOV[CENTRO DE CUSTOS],$D$4)</f>
        <v>0</v>
      </c>
      <c r="E852" s="206">
        <f>SUMIFS(LANÇ_MOV[VALOR LÍQUIDO],LANÇ_MOV[RECEITA OU DESPESA],"Despesa",LANÇ_MOV[CONTAS],$C852,LANÇ_MOV[PLANO DE CONTAS],REL_DRE_FINANCEIRO!$B$753,LANÇ_MOV[ANO PAGAMENTO],$B$4,LANÇ_MOV[MÊS PAGAMENTO CORRESPONDENTE],E$6,LANÇ_MOV[EMPRESA],$C$4,LANÇ_MOV[CENTRO DE CUSTOS],$D$4)</f>
        <v>0</v>
      </c>
      <c r="F852" s="206">
        <f>SUMIFS(LANÇ_MOV[VALOR LÍQUIDO],LANÇ_MOV[RECEITA OU DESPESA],"Despesa",LANÇ_MOV[CONTAS],$C852,LANÇ_MOV[PLANO DE CONTAS],REL_DRE_FINANCEIRO!$B$753,LANÇ_MOV[ANO PAGAMENTO],$B$4,LANÇ_MOV[MÊS PAGAMENTO CORRESPONDENTE],F$6,LANÇ_MOV[EMPRESA],$C$4,LANÇ_MOV[CENTRO DE CUSTOS],$D$4)</f>
        <v>0</v>
      </c>
      <c r="G852" s="206">
        <f>SUMIFS(LANÇ_MOV[VALOR LÍQUIDO],LANÇ_MOV[RECEITA OU DESPESA],"Despesa",LANÇ_MOV[CONTAS],$C852,LANÇ_MOV[PLANO DE CONTAS],REL_DRE_FINANCEIRO!$B$753,LANÇ_MOV[ANO PAGAMENTO],$B$4,LANÇ_MOV[MÊS PAGAMENTO CORRESPONDENTE],G$6,LANÇ_MOV[EMPRESA],$C$4,LANÇ_MOV[CENTRO DE CUSTOS],$D$4)</f>
        <v>0</v>
      </c>
      <c r="H852" s="206">
        <f>SUMIFS(LANÇ_MOV[VALOR LÍQUIDO],LANÇ_MOV[RECEITA OU DESPESA],"Despesa",LANÇ_MOV[CONTAS],$C852,LANÇ_MOV[PLANO DE CONTAS],REL_DRE_FINANCEIRO!$B$753,LANÇ_MOV[ANO PAGAMENTO],$B$4,LANÇ_MOV[MÊS PAGAMENTO CORRESPONDENTE],H$6,LANÇ_MOV[EMPRESA],$C$4,LANÇ_MOV[CENTRO DE CUSTOS],$D$4)</f>
        <v>0</v>
      </c>
      <c r="I852" s="206">
        <f>SUMIFS(LANÇ_MOV[VALOR LÍQUIDO],LANÇ_MOV[RECEITA OU DESPESA],"Despesa",LANÇ_MOV[CONTAS],$C852,LANÇ_MOV[PLANO DE CONTAS],REL_DRE_FINANCEIRO!$B$753,LANÇ_MOV[ANO PAGAMENTO],$B$4,LANÇ_MOV[MÊS PAGAMENTO CORRESPONDENTE],I$6,LANÇ_MOV[EMPRESA],$C$4,LANÇ_MOV[CENTRO DE CUSTOS],$D$4)</f>
        <v>0</v>
      </c>
      <c r="J852" s="206">
        <f>SUMIFS(LANÇ_MOV[VALOR LÍQUIDO],LANÇ_MOV[RECEITA OU DESPESA],"Despesa",LANÇ_MOV[CONTAS],$C852,LANÇ_MOV[PLANO DE CONTAS],REL_DRE_FINANCEIRO!$B$753,LANÇ_MOV[ANO PAGAMENTO],$B$4,LANÇ_MOV[MÊS PAGAMENTO CORRESPONDENTE],J$6,LANÇ_MOV[EMPRESA],$C$4,LANÇ_MOV[CENTRO DE CUSTOS],$D$4)</f>
        <v>0</v>
      </c>
      <c r="K852" s="206">
        <f>SUMIFS(LANÇ_MOV[VALOR LÍQUIDO],LANÇ_MOV[RECEITA OU DESPESA],"Despesa",LANÇ_MOV[CONTAS],$C852,LANÇ_MOV[PLANO DE CONTAS],REL_DRE_FINANCEIRO!$B$753,LANÇ_MOV[ANO PAGAMENTO],$B$4,LANÇ_MOV[MÊS PAGAMENTO CORRESPONDENTE],K$6,LANÇ_MOV[EMPRESA],$C$4,LANÇ_MOV[CENTRO DE CUSTOS],$D$4)</f>
        <v>0</v>
      </c>
      <c r="L852" s="206">
        <f>SUMIFS(LANÇ_MOV[VALOR LÍQUIDO],LANÇ_MOV[RECEITA OU DESPESA],"Despesa",LANÇ_MOV[CONTAS],$C852,LANÇ_MOV[PLANO DE CONTAS],REL_DRE_FINANCEIRO!$B$753,LANÇ_MOV[ANO PAGAMENTO],$B$4,LANÇ_MOV[MÊS PAGAMENTO CORRESPONDENTE],L$6,LANÇ_MOV[EMPRESA],$C$4,LANÇ_MOV[CENTRO DE CUSTOS],$D$4)</f>
        <v>0</v>
      </c>
      <c r="M852" s="206">
        <f>SUMIFS(LANÇ_MOV[VALOR LÍQUIDO],LANÇ_MOV[RECEITA OU DESPESA],"Despesa",LANÇ_MOV[CONTAS],$C852,LANÇ_MOV[PLANO DE CONTAS],REL_DRE_FINANCEIRO!$B$753,LANÇ_MOV[ANO PAGAMENTO],$B$4,LANÇ_MOV[MÊS PAGAMENTO CORRESPONDENTE],M$6,LANÇ_MOV[EMPRESA],$C$4,LANÇ_MOV[CENTRO DE CUSTOS],$D$4)</f>
        <v>0</v>
      </c>
      <c r="N852" s="206">
        <f>SUMIFS(LANÇ_MOV[VALOR LÍQUIDO],LANÇ_MOV[RECEITA OU DESPESA],"Despesa",LANÇ_MOV[CONTAS],$C852,LANÇ_MOV[PLANO DE CONTAS],REL_DRE_FINANCEIRO!$B$753,LANÇ_MOV[ANO PAGAMENTO],$B$4,LANÇ_MOV[MÊS PAGAMENTO CORRESPONDENTE],N$6,LANÇ_MOV[EMPRESA],$C$4,LANÇ_MOV[CENTRO DE CUSTOS],$D$4)</f>
        <v>0</v>
      </c>
      <c r="O852" s="206">
        <f>SUMIFS(LANÇ_MOV[VALOR LÍQUIDO],LANÇ_MOV[RECEITA OU DESPESA],"Despesa",LANÇ_MOV[CONTAS],$C852,LANÇ_MOV[PLANO DE CONTAS],REL_DRE_FINANCEIRO!$B$753,LANÇ_MOV[ANO PAGAMENTO],$B$4,LANÇ_MOV[MÊS PAGAMENTO CORRESPONDENTE],O$6,LANÇ_MOV[EMPRESA],$C$4,LANÇ_MOV[CENTRO DE CUSTOS],$D$4)</f>
        <v>0</v>
      </c>
      <c r="P852" s="207">
        <f t="shared" si="105"/>
        <v>0</v>
      </c>
      <c r="Q852" s="329">
        <v>1.9999999999999999E-7</v>
      </c>
      <c r="R852" s="346">
        <f t="shared" si="106"/>
        <v>1.9999999999999999E-7</v>
      </c>
      <c r="S852" s="347" t="str">
        <f t="shared" si="107"/>
        <v>-</v>
      </c>
      <c r="T852" s="347">
        <f t="shared" si="108"/>
        <v>0</v>
      </c>
      <c r="U852" s="347">
        <f>HLOOKUP(Apoio!$P$12,$D$752:$P$853,X852,FALSE)+Q852</f>
        <v>1.9999999999999999E-7</v>
      </c>
      <c r="V852" s="447" t="str">
        <f t="shared" si="109"/>
        <v>-</v>
      </c>
      <c r="W852" s="448">
        <f>HLOOKUP(Apoio!$P$12,$D$752:$P$853,X852,FALSE)</f>
        <v>0</v>
      </c>
      <c r="X852" s="329">
        <v>101</v>
      </c>
    </row>
    <row r="853" spans="2:50" ht="30.05" customHeight="1" x14ac:dyDescent="0.35">
      <c r="B853" s="204" t="str">
        <f>'CAD_PL_REC-DESP'!Z104</f>
        <v>2.6.100</v>
      </c>
      <c r="C853" s="205" t="str">
        <f>IF('CAD_PL_REC-DESP'!AA104="","-",'CAD_PL_REC-DESP'!AA104)</f>
        <v>-</v>
      </c>
      <c r="D853" s="206">
        <f>SUMIFS(LANÇ_MOV[VALOR LÍQUIDO],LANÇ_MOV[RECEITA OU DESPESA],"Despesa",LANÇ_MOV[CONTAS],$C853,LANÇ_MOV[PLANO DE CONTAS],REL_DRE_FINANCEIRO!$B$753,LANÇ_MOV[ANO PAGAMENTO],$B$4,LANÇ_MOV[MÊS PAGAMENTO CORRESPONDENTE],D$6,LANÇ_MOV[EMPRESA],$C$4,LANÇ_MOV[CENTRO DE CUSTOS],$D$4)</f>
        <v>0</v>
      </c>
      <c r="E853" s="206">
        <f>SUMIFS(LANÇ_MOV[VALOR LÍQUIDO],LANÇ_MOV[RECEITA OU DESPESA],"Despesa",LANÇ_MOV[CONTAS],$C853,LANÇ_MOV[PLANO DE CONTAS],REL_DRE_FINANCEIRO!$B$753,LANÇ_MOV[ANO PAGAMENTO],$B$4,LANÇ_MOV[MÊS PAGAMENTO CORRESPONDENTE],E$6,LANÇ_MOV[EMPRESA],$C$4,LANÇ_MOV[CENTRO DE CUSTOS],$D$4)</f>
        <v>0</v>
      </c>
      <c r="F853" s="206">
        <f>SUMIFS(LANÇ_MOV[VALOR LÍQUIDO],LANÇ_MOV[RECEITA OU DESPESA],"Despesa",LANÇ_MOV[CONTAS],$C853,LANÇ_MOV[PLANO DE CONTAS],REL_DRE_FINANCEIRO!$B$753,LANÇ_MOV[ANO PAGAMENTO],$B$4,LANÇ_MOV[MÊS PAGAMENTO CORRESPONDENTE],F$6,LANÇ_MOV[EMPRESA],$C$4,LANÇ_MOV[CENTRO DE CUSTOS],$D$4)</f>
        <v>0</v>
      </c>
      <c r="G853" s="206">
        <f>SUMIFS(LANÇ_MOV[VALOR LÍQUIDO],LANÇ_MOV[RECEITA OU DESPESA],"Despesa",LANÇ_MOV[CONTAS],$C853,LANÇ_MOV[PLANO DE CONTAS],REL_DRE_FINANCEIRO!$B$753,LANÇ_MOV[ANO PAGAMENTO],$B$4,LANÇ_MOV[MÊS PAGAMENTO CORRESPONDENTE],G$6,LANÇ_MOV[EMPRESA],$C$4,LANÇ_MOV[CENTRO DE CUSTOS],$D$4)</f>
        <v>0</v>
      </c>
      <c r="H853" s="206">
        <f>SUMIFS(LANÇ_MOV[VALOR LÍQUIDO],LANÇ_MOV[RECEITA OU DESPESA],"Despesa",LANÇ_MOV[CONTAS],$C853,LANÇ_MOV[PLANO DE CONTAS],REL_DRE_FINANCEIRO!$B$753,LANÇ_MOV[ANO PAGAMENTO],$B$4,LANÇ_MOV[MÊS PAGAMENTO CORRESPONDENTE],H$6,LANÇ_MOV[EMPRESA],$C$4,LANÇ_MOV[CENTRO DE CUSTOS],$D$4)</f>
        <v>0</v>
      </c>
      <c r="I853" s="206">
        <f>SUMIFS(LANÇ_MOV[VALOR LÍQUIDO],LANÇ_MOV[RECEITA OU DESPESA],"Despesa",LANÇ_MOV[CONTAS],$C853,LANÇ_MOV[PLANO DE CONTAS],REL_DRE_FINANCEIRO!$B$753,LANÇ_MOV[ANO PAGAMENTO],$B$4,LANÇ_MOV[MÊS PAGAMENTO CORRESPONDENTE],I$6,LANÇ_MOV[EMPRESA],$C$4,LANÇ_MOV[CENTRO DE CUSTOS],$D$4)</f>
        <v>0</v>
      </c>
      <c r="J853" s="206">
        <f>SUMIFS(LANÇ_MOV[VALOR LÍQUIDO],LANÇ_MOV[RECEITA OU DESPESA],"Despesa",LANÇ_MOV[CONTAS],$C853,LANÇ_MOV[PLANO DE CONTAS],REL_DRE_FINANCEIRO!$B$753,LANÇ_MOV[ANO PAGAMENTO],$B$4,LANÇ_MOV[MÊS PAGAMENTO CORRESPONDENTE],J$6,LANÇ_MOV[EMPRESA],$C$4,LANÇ_MOV[CENTRO DE CUSTOS],$D$4)</f>
        <v>0</v>
      </c>
      <c r="K853" s="206">
        <f>SUMIFS(LANÇ_MOV[VALOR LÍQUIDO],LANÇ_MOV[RECEITA OU DESPESA],"Despesa",LANÇ_MOV[CONTAS],$C853,LANÇ_MOV[PLANO DE CONTAS],REL_DRE_FINANCEIRO!$B$753,LANÇ_MOV[ANO PAGAMENTO],$B$4,LANÇ_MOV[MÊS PAGAMENTO CORRESPONDENTE],K$6,LANÇ_MOV[EMPRESA],$C$4,LANÇ_MOV[CENTRO DE CUSTOS],$D$4)</f>
        <v>0</v>
      </c>
      <c r="L853" s="206">
        <f>SUMIFS(LANÇ_MOV[VALOR LÍQUIDO],LANÇ_MOV[RECEITA OU DESPESA],"Despesa",LANÇ_MOV[CONTAS],$C853,LANÇ_MOV[PLANO DE CONTAS],REL_DRE_FINANCEIRO!$B$753,LANÇ_MOV[ANO PAGAMENTO],$B$4,LANÇ_MOV[MÊS PAGAMENTO CORRESPONDENTE],L$6,LANÇ_MOV[EMPRESA],$C$4,LANÇ_MOV[CENTRO DE CUSTOS],$D$4)</f>
        <v>0</v>
      </c>
      <c r="M853" s="206">
        <f>SUMIFS(LANÇ_MOV[VALOR LÍQUIDO],LANÇ_MOV[RECEITA OU DESPESA],"Despesa",LANÇ_MOV[CONTAS],$C853,LANÇ_MOV[PLANO DE CONTAS],REL_DRE_FINANCEIRO!$B$753,LANÇ_MOV[ANO PAGAMENTO],$B$4,LANÇ_MOV[MÊS PAGAMENTO CORRESPONDENTE],M$6,LANÇ_MOV[EMPRESA],$C$4,LANÇ_MOV[CENTRO DE CUSTOS],$D$4)</f>
        <v>0</v>
      </c>
      <c r="N853" s="206">
        <f>SUMIFS(LANÇ_MOV[VALOR LÍQUIDO],LANÇ_MOV[RECEITA OU DESPESA],"Despesa",LANÇ_MOV[CONTAS],$C853,LANÇ_MOV[PLANO DE CONTAS],REL_DRE_FINANCEIRO!$B$753,LANÇ_MOV[ANO PAGAMENTO],$B$4,LANÇ_MOV[MÊS PAGAMENTO CORRESPONDENTE],N$6,LANÇ_MOV[EMPRESA],$C$4,LANÇ_MOV[CENTRO DE CUSTOS],$D$4)</f>
        <v>0</v>
      </c>
      <c r="O853" s="206">
        <f>SUMIFS(LANÇ_MOV[VALOR LÍQUIDO],LANÇ_MOV[RECEITA OU DESPESA],"Despesa",LANÇ_MOV[CONTAS],$C853,LANÇ_MOV[PLANO DE CONTAS],REL_DRE_FINANCEIRO!$B$753,LANÇ_MOV[ANO PAGAMENTO],$B$4,LANÇ_MOV[MÊS PAGAMENTO CORRESPONDENTE],O$6,LANÇ_MOV[EMPRESA],$C$4,LANÇ_MOV[CENTRO DE CUSTOS],$D$4)</f>
        <v>0</v>
      </c>
      <c r="P853" s="207">
        <f t="shared" si="105"/>
        <v>0</v>
      </c>
      <c r="Q853" s="329">
        <v>9.9999999999999995E-8</v>
      </c>
      <c r="R853" s="346">
        <f t="shared" si="106"/>
        <v>9.9999999999999995E-8</v>
      </c>
      <c r="S853" s="347" t="str">
        <f t="shared" si="107"/>
        <v>-</v>
      </c>
      <c r="T853" s="347">
        <f t="shared" si="108"/>
        <v>0</v>
      </c>
      <c r="U853" s="347">
        <f>HLOOKUP(Apoio!$P$12,$D$752:$P$853,X853,FALSE)+Q853</f>
        <v>9.9999999999999995E-8</v>
      </c>
      <c r="V853" s="447" t="str">
        <f t="shared" si="109"/>
        <v>-</v>
      </c>
      <c r="W853" s="448">
        <f>HLOOKUP(Apoio!$P$12,$D$752:$P$853,X853,FALSE)</f>
        <v>0</v>
      </c>
      <c r="X853" s="329">
        <v>102</v>
      </c>
    </row>
    <row r="854" spans="2:50" s="110" customFormat="1" ht="6.75" customHeight="1" thickBot="1" x14ac:dyDescent="0.4">
      <c r="B854" s="111"/>
      <c r="C854" s="111"/>
      <c r="D854" s="25" t="s">
        <v>1044</v>
      </c>
      <c r="E854" s="25" t="s">
        <v>1045</v>
      </c>
      <c r="F854" s="25" t="s">
        <v>1046</v>
      </c>
      <c r="G854" s="25" t="s">
        <v>1047</v>
      </c>
      <c r="H854" s="25" t="s">
        <v>1048</v>
      </c>
      <c r="I854" s="25" t="s">
        <v>1049</v>
      </c>
      <c r="J854" s="25" t="s">
        <v>1050</v>
      </c>
      <c r="K854" s="25" t="s">
        <v>1051</v>
      </c>
      <c r="L854" s="25" t="s">
        <v>1052</v>
      </c>
      <c r="M854" s="25" t="s">
        <v>1053</v>
      </c>
      <c r="N854" s="25" t="s">
        <v>1054</v>
      </c>
      <c r="O854" s="25" t="s">
        <v>1055</v>
      </c>
      <c r="P854" s="135" t="s">
        <v>1198</v>
      </c>
      <c r="Q854" s="329"/>
      <c r="R854" s="346"/>
      <c r="S854" s="347"/>
      <c r="T854" s="347"/>
      <c r="U854" s="347"/>
      <c r="V854" s="447"/>
      <c r="W854" s="448"/>
      <c r="X854" s="346"/>
      <c r="Y854" s="329"/>
      <c r="Z854" s="340"/>
      <c r="AA854" s="340"/>
      <c r="AB854" s="340"/>
      <c r="AC854" s="437"/>
      <c r="AD854" s="340"/>
      <c r="AE854" s="340"/>
      <c r="AF854" s="25"/>
      <c r="AG854" s="25"/>
      <c r="AH854" s="25"/>
      <c r="AI854" s="25"/>
      <c r="AJ854" s="25"/>
      <c r="AK854" s="25"/>
      <c r="AL854" s="25"/>
      <c r="AM854" s="25"/>
      <c r="AN854" s="25"/>
      <c r="AO854" s="25"/>
      <c r="AP854" s="25"/>
      <c r="AQ854" s="25"/>
      <c r="AR854" s="25"/>
      <c r="AS854" s="25"/>
      <c r="AT854" s="25"/>
      <c r="AU854" s="25"/>
      <c r="AV854" s="25"/>
      <c r="AW854" s="25"/>
      <c r="AX854" s="25"/>
    </row>
    <row r="855" spans="2:50" ht="30.05" customHeight="1" thickTop="1" x14ac:dyDescent="0.35">
      <c r="B855" s="601" t="str">
        <f>'CAD_PL_REC-DESP'!AD4</f>
        <v>INVESTIMENTOS</v>
      </c>
      <c r="C855" s="602"/>
      <c r="D855" s="203">
        <f>SUM(D856:D955)</f>
        <v>0</v>
      </c>
      <c r="E855" s="203">
        <f t="shared" ref="E855:O855" si="110">SUM(E856:E955)</f>
        <v>0</v>
      </c>
      <c r="F855" s="203">
        <f t="shared" si="110"/>
        <v>0</v>
      </c>
      <c r="G855" s="203">
        <f t="shared" si="110"/>
        <v>0</v>
      </c>
      <c r="H855" s="203">
        <f t="shared" si="110"/>
        <v>0</v>
      </c>
      <c r="I855" s="203">
        <f t="shared" si="110"/>
        <v>0</v>
      </c>
      <c r="J855" s="203">
        <f t="shared" si="110"/>
        <v>0</v>
      </c>
      <c r="K855" s="203">
        <f t="shared" si="110"/>
        <v>0</v>
      </c>
      <c r="L855" s="203">
        <f t="shared" si="110"/>
        <v>0</v>
      </c>
      <c r="M855" s="203">
        <f t="shared" si="110"/>
        <v>0</v>
      </c>
      <c r="N855" s="203">
        <f t="shared" si="110"/>
        <v>0</v>
      </c>
      <c r="O855" s="203">
        <f t="shared" si="110"/>
        <v>0</v>
      </c>
      <c r="P855" s="203">
        <f>SUM(D855:O855)</f>
        <v>0</v>
      </c>
      <c r="R855" s="346"/>
      <c r="S855" s="347"/>
      <c r="T855" s="347"/>
      <c r="U855" s="347"/>
      <c r="V855" s="447"/>
      <c r="W855" s="448"/>
      <c r="X855" s="346"/>
    </row>
    <row r="856" spans="2:50" ht="30.05" customHeight="1" x14ac:dyDescent="0.35">
      <c r="B856" s="204" t="str">
        <f>'CAD_PL_REC-DESP'!AC5</f>
        <v>2.7.1</v>
      </c>
      <c r="C856" s="205" t="str">
        <f>IF('CAD_PL_REC-DESP'!AD5="","-",'CAD_PL_REC-DESP'!AD5)</f>
        <v>IMOBILIZADO - AQUISIÇÃO DE IMÓVEIS</v>
      </c>
      <c r="D856" s="206">
        <f>SUMIFS(LANÇ_MOV[VALOR LÍQUIDO],LANÇ_MOV[RECEITA OU DESPESA],"Despesa",LANÇ_MOV[CONTAS],$C856,LANÇ_MOV[PLANO DE CONTAS],REL_DRE_FINANCEIRO!$B$855,LANÇ_MOV[ANO PAGAMENTO],$B$4,LANÇ_MOV[MÊS PAGAMENTO CORRESPONDENTE],D$6,LANÇ_MOV[EMPRESA],$C$4,LANÇ_MOV[CENTRO DE CUSTOS],$D$4)</f>
        <v>0</v>
      </c>
      <c r="E856" s="206">
        <f>SUMIFS(LANÇ_MOV[VALOR LÍQUIDO],LANÇ_MOV[RECEITA OU DESPESA],"Despesa",LANÇ_MOV[CONTAS],$C856,LANÇ_MOV[PLANO DE CONTAS],REL_DRE_FINANCEIRO!$B$855,LANÇ_MOV[ANO PAGAMENTO],$B$4,LANÇ_MOV[MÊS PAGAMENTO CORRESPONDENTE],E$6,LANÇ_MOV[EMPRESA],$C$4,LANÇ_MOV[CENTRO DE CUSTOS],$D$4)</f>
        <v>0</v>
      </c>
      <c r="F856" s="206">
        <f>SUMIFS(LANÇ_MOV[VALOR LÍQUIDO],LANÇ_MOV[RECEITA OU DESPESA],"Despesa",LANÇ_MOV[CONTAS],$C856,LANÇ_MOV[PLANO DE CONTAS],REL_DRE_FINANCEIRO!$B$855,LANÇ_MOV[ANO PAGAMENTO],$B$4,LANÇ_MOV[MÊS PAGAMENTO CORRESPONDENTE],F$6,LANÇ_MOV[EMPRESA],$C$4,LANÇ_MOV[CENTRO DE CUSTOS],$D$4)</f>
        <v>0</v>
      </c>
      <c r="G856" s="206">
        <f>SUMIFS(LANÇ_MOV[VALOR LÍQUIDO],LANÇ_MOV[RECEITA OU DESPESA],"Despesa",LANÇ_MOV[CONTAS],$C856,LANÇ_MOV[PLANO DE CONTAS],REL_DRE_FINANCEIRO!$B$855,LANÇ_MOV[ANO PAGAMENTO],$B$4,LANÇ_MOV[MÊS PAGAMENTO CORRESPONDENTE],G$6,LANÇ_MOV[EMPRESA],$C$4,LANÇ_MOV[CENTRO DE CUSTOS],$D$4)</f>
        <v>0</v>
      </c>
      <c r="H856" s="206">
        <f>SUMIFS(LANÇ_MOV[VALOR LÍQUIDO],LANÇ_MOV[RECEITA OU DESPESA],"Despesa",LANÇ_MOV[CONTAS],$C856,LANÇ_MOV[PLANO DE CONTAS],REL_DRE_FINANCEIRO!$B$855,LANÇ_MOV[ANO PAGAMENTO],$B$4,LANÇ_MOV[MÊS PAGAMENTO CORRESPONDENTE],H$6,LANÇ_MOV[EMPRESA],$C$4,LANÇ_MOV[CENTRO DE CUSTOS],$D$4)</f>
        <v>0</v>
      </c>
      <c r="I856" s="206">
        <f>SUMIFS(LANÇ_MOV[VALOR LÍQUIDO],LANÇ_MOV[RECEITA OU DESPESA],"Despesa",LANÇ_MOV[CONTAS],$C856,LANÇ_MOV[PLANO DE CONTAS],REL_DRE_FINANCEIRO!$B$855,LANÇ_MOV[ANO PAGAMENTO],$B$4,LANÇ_MOV[MÊS PAGAMENTO CORRESPONDENTE],I$6,LANÇ_MOV[EMPRESA],$C$4,LANÇ_MOV[CENTRO DE CUSTOS],$D$4)</f>
        <v>0</v>
      </c>
      <c r="J856" s="206">
        <f>SUMIFS(LANÇ_MOV[VALOR LÍQUIDO],LANÇ_MOV[RECEITA OU DESPESA],"Despesa",LANÇ_MOV[CONTAS],$C856,LANÇ_MOV[PLANO DE CONTAS],REL_DRE_FINANCEIRO!$B$855,LANÇ_MOV[ANO PAGAMENTO],$B$4,LANÇ_MOV[MÊS PAGAMENTO CORRESPONDENTE],J$6,LANÇ_MOV[EMPRESA],$C$4,LANÇ_MOV[CENTRO DE CUSTOS],$D$4)</f>
        <v>0</v>
      </c>
      <c r="K856" s="206">
        <f>SUMIFS(LANÇ_MOV[VALOR LÍQUIDO],LANÇ_MOV[RECEITA OU DESPESA],"Despesa",LANÇ_MOV[CONTAS],$C856,LANÇ_MOV[PLANO DE CONTAS],REL_DRE_FINANCEIRO!$B$855,LANÇ_MOV[ANO PAGAMENTO],$B$4,LANÇ_MOV[MÊS PAGAMENTO CORRESPONDENTE],K$6,LANÇ_MOV[EMPRESA],$C$4,LANÇ_MOV[CENTRO DE CUSTOS],$D$4)</f>
        <v>0</v>
      </c>
      <c r="L856" s="206">
        <f>SUMIFS(LANÇ_MOV[VALOR LÍQUIDO],LANÇ_MOV[RECEITA OU DESPESA],"Despesa",LANÇ_MOV[CONTAS],$C856,LANÇ_MOV[PLANO DE CONTAS],REL_DRE_FINANCEIRO!$B$855,LANÇ_MOV[ANO PAGAMENTO],$B$4,LANÇ_MOV[MÊS PAGAMENTO CORRESPONDENTE],L$6,LANÇ_MOV[EMPRESA],$C$4,LANÇ_MOV[CENTRO DE CUSTOS],$D$4)</f>
        <v>0</v>
      </c>
      <c r="M856" s="206">
        <f>SUMIFS(LANÇ_MOV[VALOR LÍQUIDO],LANÇ_MOV[RECEITA OU DESPESA],"Despesa",LANÇ_MOV[CONTAS],$C856,LANÇ_MOV[PLANO DE CONTAS],REL_DRE_FINANCEIRO!$B$855,LANÇ_MOV[ANO PAGAMENTO],$B$4,LANÇ_MOV[MÊS PAGAMENTO CORRESPONDENTE],M$6,LANÇ_MOV[EMPRESA],$C$4,LANÇ_MOV[CENTRO DE CUSTOS],$D$4)</f>
        <v>0</v>
      </c>
      <c r="N856" s="206">
        <f>SUMIFS(LANÇ_MOV[VALOR LÍQUIDO],LANÇ_MOV[RECEITA OU DESPESA],"Despesa",LANÇ_MOV[CONTAS],$C856,LANÇ_MOV[PLANO DE CONTAS],REL_DRE_FINANCEIRO!$B$855,LANÇ_MOV[ANO PAGAMENTO],$B$4,LANÇ_MOV[MÊS PAGAMENTO CORRESPONDENTE],N$6,LANÇ_MOV[EMPRESA],$C$4,LANÇ_MOV[CENTRO DE CUSTOS],$D$4)</f>
        <v>0</v>
      </c>
      <c r="O856" s="206">
        <f>SUMIFS(LANÇ_MOV[VALOR LÍQUIDO],LANÇ_MOV[RECEITA OU DESPESA],"Despesa",LANÇ_MOV[CONTAS],$C856,LANÇ_MOV[PLANO DE CONTAS],REL_DRE_FINANCEIRO!$B$855,LANÇ_MOV[ANO PAGAMENTO],$B$4,LANÇ_MOV[MÊS PAGAMENTO CORRESPONDENTE],O$6,LANÇ_MOV[EMPRESA],$C$4,LANÇ_MOV[CENTRO DE CUSTOS],$D$4)</f>
        <v>0</v>
      </c>
      <c r="P856" s="207">
        <f t="shared" ref="P856:P919" si="111">SUM(D856:O856)</f>
        <v>0</v>
      </c>
      <c r="Q856" s="329">
        <v>1.0000000000000001E-5</v>
      </c>
      <c r="R856" s="346">
        <f t="shared" ref="R856:R919" si="112">P856+Q856</f>
        <v>1.0000000000000001E-5</v>
      </c>
      <c r="S856" s="347" t="str">
        <f t="shared" ref="S856:S919" si="113">C856</f>
        <v>IMOBILIZADO - AQUISIÇÃO DE IMÓVEIS</v>
      </c>
      <c r="T856" s="347">
        <f t="shared" ref="T856:T919" si="114">P856</f>
        <v>0</v>
      </c>
      <c r="U856" s="347">
        <f>HLOOKUP(Apoio!$P$12,$D$854:$P$955,X856,FALSE)+Q856</f>
        <v>1.0000000000000001E-5</v>
      </c>
      <c r="V856" s="447" t="str">
        <f t="shared" ref="V856:V919" si="115">S856</f>
        <v>IMOBILIZADO - AQUISIÇÃO DE IMÓVEIS</v>
      </c>
      <c r="W856" s="448">
        <f>HLOOKUP(Apoio!$P$12,$D$854:$P$955,X856,FALSE)</f>
        <v>0</v>
      </c>
      <c r="X856" s="329">
        <v>3</v>
      </c>
      <c r="Y856" s="329">
        <v>1</v>
      </c>
      <c r="Z856" s="340" t="str">
        <f>VLOOKUP(LARGE($R$856:$R$955,Y856),$R$856:$S$955,2,FALSE)</f>
        <v>IMOBILIZADO - AQUISIÇÃO DE IMÓVEIS</v>
      </c>
      <c r="AA856" s="340">
        <f>VLOOKUP(Z856,$S$856:$T$955,2,FALSE)</f>
        <v>0</v>
      </c>
    </row>
    <row r="857" spans="2:50" ht="30.05" customHeight="1" x14ac:dyDescent="0.35">
      <c r="B857" s="204" t="str">
        <f>'CAD_PL_REC-DESP'!AC6</f>
        <v>2.7.2</v>
      </c>
      <c r="C857" s="205" t="str">
        <f>IF('CAD_PL_REC-DESP'!AD6="","-",'CAD_PL_REC-DESP'!AD6)</f>
        <v>IMOBILIZADO - AQUISIÇÃO DE SOFTWARE</v>
      </c>
      <c r="D857" s="206">
        <f>SUMIFS(LANÇ_MOV[VALOR LÍQUIDO],LANÇ_MOV[RECEITA OU DESPESA],"Despesa",LANÇ_MOV[CONTAS],$C857,LANÇ_MOV[PLANO DE CONTAS],REL_DRE_FINANCEIRO!$B$855,LANÇ_MOV[ANO PAGAMENTO],$B$4,LANÇ_MOV[MÊS PAGAMENTO CORRESPONDENTE],D$6,LANÇ_MOV[EMPRESA],$C$4,LANÇ_MOV[CENTRO DE CUSTOS],$D$4)</f>
        <v>0</v>
      </c>
      <c r="E857" s="206">
        <f>SUMIFS(LANÇ_MOV[VALOR LÍQUIDO],LANÇ_MOV[RECEITA OU DESPESA],"Despesa",LANÇ_MOV[CONTAS],$C857,LANÇ_MOV[PLANO DE CONTAS],REL_DRE_FINANCEIRO!$B$855,LANÇ_MOV[ANO PAGAMENTO],$B$4,LANÇ_MOV[MÊS PAGAMENTO CORRESPONDENTE],E$6,LANÇ_MOV[EMPRESA],$C$4,LANÇ_MOV[CENTRO DE CUSTOS],$D$4)</f>
        <v>0</v>
      </c>
      <c r="F857" s="206">
        <f>SUMIFS(LANÇ_MOV[VALOR LÍQUIDO],LANÇ_MOV[RECEITA OU DESPESA],"Despesa",LANÇ_MOV[CONTAS],$C857,LANÇ_MOV[PLANO DE CONTAS],REL_DRE_FINANCEIRO!$B$855,LANÇ_MOV[ANO PAGAMENTO],$B$4,LANÇ_MOV[MÊS PAGAMENTO CORRESPONDENTE],F$6,LANÇ_MOV[EMPRESA],$C$4,LANÇ_MOV[CENTRO DE CUSTOS],$D$4)</f>
        <v>0</v>
      </c>
      <c r="G857" s="206">
        <f>SUMIFS(LANÇ_MOV[VALOR LÍQUIDO],LANÇ_MOV[RECEITA OU DESPESA],"Despesa",LANÇ_MOV[CONTAS],$C857,LANÇ_MOV[PLANO DE CONTAS],REL_DRE_FINANCEIRO!$B$855,LANÇ_MOV[ANO PAGAMENTO],$B$4,LANÇ_MOV[MÊS PAGAMENTO CORRESPONDENTE],G$6,LANÇ_MOV[EMPRESA],$C$4,LANÇ_MOV[CENTRO DE CUSTOS],$D$4)</f>
        <v>0</v>
      </c>
      <c r="H857" s="206">
        <f>SUMIFS(LANÇ_MOV[VALOR LÍQUIDO],LANÇ_MOV[RECEITA OU DESPESA],"Despesa",LANÇ_MOV[CONTAS],$C857,LANÇ_MOV[PLANO DE CONTAS],REL_DRE_FINANCEIRO!$B$855,LANÇ_MOV[ANO PAGAMENTO],$B$4,LANÇ_MOV[MÊS PAGAMENTO CORRESPONDENTE],H$6,LANÇ_MOV[EMPRESA],$C$4,LANÇ_MOV[CENTRO DE CUSTOS],$D$4)</f>
        <v>0</v>
      </c>
      <c r="I857" s="206">
        <f>SUMIFS(LANÇ_MOV[VALOR LÍQUIDO],LANÇ_MOV[RECEITA OU DESPESA],"Despesa",LANÇ_MOV[CONTAS],$C857,LANÇ_MOV[PLANO DE CONTAS],REL_DRE_FINANCEIRO!$B$855,LANÇ_MOV[ANO PAGAMENTO],$B$4,LANÇ_MOV[MÊS PAGAMENTO CORRESPONDENTE],I$6,LANÇ_MOV[EMPRESA],$C$4,LANÇ_MOV[CENTRO DE CUSTOS],$D$4)</f>
        <v>0</v>
      </c>
      <c r="J857" s="206">
        <f>SUMIFS(LANÇ_MOV[VALOR LÍQUIDO],LANÇ_MOV[RECEITA OU DESPESA],"Despesa",LANÇ_MOV[CONTAS],$C857,LANÇ_MOV[PLANO DE CONTAS],REL_DRE_FINANCEIRO!$B$855,LANÇ_MOV[ANO PAGAMENTO],$B$4,LANÇ_MOV[MÊS PAGAMENTO CORRESPONDENTE],J$6,LANÇ_MOV[EMPRESA],$C$4,LANÇ_MOV[CENTRO DE CUSTOS],$D$4)</f>
        <v>0</v>
      </c>
      <c r="K857" s="206">
        <f>SUMIFS(LANÇ_MOV[VALOR LÍQUIDO],LANÇ_MOV[RECEITA OU DESPESA],"Despesa",LANÇ_MOV[CONTAS],$C857,LANÇ_MOV[PLANO DE CONTAS],REL_DRE_FINANCEIRO!$B$855,LANÇ_MOV[ANO PAGAMENTO],$B$4,LANÇ_MOV[MÊS PAGAMENTO CORRESPONDENTE],K$6,LANÇ_MOV[EMPRESA],$C$4,LANÇ_MOV[CENTRO DE CUSTOS],$D$4)</f>
        <v>0</v>
      </c>
      <c r="L857" s="206">
        <f>SUMIFS(LANÇ_MOV[VALOR LÍQUIDO],LANÇ_MOV[RECEITA OU DESPESA],"Despesa",LANÇ_MOV[CONTAS],$C857,LANÇ_MOV[PLANO DE CONTAS],REL_DRE_FINANCEIRO!$B$855,LANÇ_MOV[ANO PAGAMENTO],$B$4,LANÇ_MOV[MÊS PAGAMENTO CORRESPONDENTE],L$6,LANÇ_MOV[EMPRESA],$C$4,LANÇ_MOV[CENTRO DE CUSTOS],$D$4)</f>
        <v>0</v>
      </c>
      <c r="M857" s="206">
        <f>SUMIFS(LANÇ_MOV[VALOR LÍQUIDO],LANÇ_MOV[RECEITA OU DESPESA],"Despesa",LANÇ_MOV[CONTAS],$C857,LANÇ_MOV[PLANO DE CONTAS],REL_DRE_FINANCEIRO!$B$855,LANÇ_MOV[ANO PAGAMENTO],$B$4,LANÇ_MOV[MÊS PAGAMENTO CORRESPONDENTE],M$6,LANÇ_MOV[EMPRESA],$C$4,LANÇ_MOV[CENTRO DE CUSTOS],$D$4)</f>
        <v>0</v>
      </c>
      <c r="N857" s="206">
        <f>SUMIFS(LANÇ_MOV[VALOR LÍQUIDO],LANÇ_MOV[RECEITA OU DESPESA],"Despesa",LANÇ_MOV[CONTAS],$C857,LANÇ_MOV[PLANO DE CONTAS],REL_DRE_FINANCEIRO!$B$855,LANÇ_MOV[ANO PAGAMENTO],$B$4,LANÇ_MOV[MÊS PAGAMENTO CORRESPONDENTE],N$6,LANÇ_MOV[EMPRESA],$C$4,LANÇ_MOV[CENTRO DE CUSTOS],$D$4)</f>
        <v>0</v>
      </c>
      <c r="O857" s="206">
        <f>SUMIFS(LANÇ_MOV[VALOR LÍQUIDO],LANÇ_MOV[RECEITA OU DESPESA],"Despesa",LANÇ_MOV[CONTAS],$C857,LANÇ_MOV[PLANO DE CONTAS],REL_DRE_FINANCEIRO!$B$855,LANÇ_MOV[ANO PAGAMENTO],$B$4,LANÇ_MOV[MÊS PAGAMENTO CORRESPONDENTE],O$6,LANÇ_MOV[EMPRESA],$C$4,LANÇ_MOV[CENTRO DE CUSTOS],$D$4)</f>
        <v>0</v>
      </c>
      <c r="P857" s="207">
        <f t="shared" si="111"/>
        <v>0</v>
      </c>
      <c r="Q857" s="329">
        <v>9.9000000000000001E-6</v>
      </c>
      <c r="R857" s="346">
        <f t="shared" si="112"/>
        <v>9.9000000000000001E-6</v>
      </c>
      <c r="S857" s="347" t="str">
        <f t="shared" si="113"/>
        <v>IMOBILIZADO - AQUISIÇÃO DE SOFTWARE</v>
      </c>
      <c r="T857" s="347">
        <f t="shared" si="114"/>
        <v>0</v>
      </c>
      <c r="U857" s="347">
        <f>HLOOKUP(Apoio!$P$12,$D$854:$P$955,X857,FALSE)+Q857</f>
        <v>9.9000000000000001E-6</v>
      </c>
      <c r="V857" s="447" t="str">
        <f t="shared" si="115"/>
        <v>IMOBILIZADO - AQUISIÇÃO DE SOFTWARE</v>
      </c>
      <c r="W857" s="448">
        <f>HLOOKUP(Apoio!$P$12,$D$854:$P$955,X857,FALSE)</f>
        <v>0</v>
      </c>
      <c r="X857" s="329">
        <v>4</v>
      </c>
      <c r="Y857" s="329">
        <v>2</v>
      </c>
      <c r="Z857" s="340" t="str">
        <f>VLOOKUP(LARGE($R$856:$R$955,Y857),$R$856:$S$955,2,FALSE)</f>
        <v>IMOBILIZADO - AQUISIÇÃO DE SOFTWARE</v>
      </c>
      <c r="AA857" s="340">
        <f>VLOOKUP(Z857,$S$856:$T$955,2,FALSE)</f>
        <v>0</v>
      </c>
    </row>
    <row r="858" spans="2:50" ht="30.05" customHeight="1" x14ac:dyDescent="0.35">
      <c r="B858" s="204" t="str">
        <f>'CAD_PL_REC-DESP'!AC7</f>
        <v>2.7.3</v>
      </c>
      <c r="C858" s="205" t="str">
        <f>IF('CAD_PL_REC-DESP'!AD7="","-",'CAD_PL_REC-DESP'!AD7)</f>
        <v>IMOBILIZADO - BENFEITORIAS</v>
      </c>
      <c r="D858" s="206">
        <f>SUMIFS(LANÇ_MOV[VALOR LÍQUIDO],LANÇ_MOV[RECEITA OU DESPESA],"Despesa",LANÇ_MOV[CONTAS],$C858,LANÇ_MOV[PLANO DE CONTAS],REL_DRE_FINANCEIRO!$B$855,LANÇ_MOV[ANO PAGAMENTO],$B$4,LANÇ_MOV[MÊS PAGAMENTO CORRESPONDENTE],D$6,LANÇ_MOV[EMPRESA],$C$4,LANÇ_MOV[CENTRO DE CUSTOS],$D$4)</f>
        <v>0</v>
      </c>
      <c r="E858" s="206">
        <f>SUMIFS(LANÇ_MOV[VALOR LÍQUIDO],LANÇ_MOV[RECEITA OU DESPESA],"Despesa",LANÇ_MOV[CONTAS],$C858,LANÇ_MOV[PLANO DE CONTAS],REL_DRE_FINANCEIRO!$B$855,LANÇ_MOV[ANO PAGAMENTO],$B$4,LANÇ_MOV[MÊS PAGAMENTO CORRESPONDENTE],E$6,LANÇ_MOV[EMPRESA],$C$4,LANÇ_MOV[CENTRO DE CUSTOS],$D$4)</f>
        <v>0</v>
      </c>
      <c r="F858" s="206">
        <f>SUMIFS(LANÇ_MOV[VALOR LÍQUIDO],LANÇ_MOV[RECEITA OU DESPESA],"Despesa",LANÇ_MOV[CONTAS],$C858,LANÇ_MOV[PLANO DE CONTAS],REL_DRE_FINANCEIRO!$B$855,LANÇ_MOV[ANO PAGAMENTO],$B$4,LANÇ_MOV[MÊS PAGAMENTO CORRESPONDENTE],F$6,LANÇ_MOV[EMPRESA],$C$4,LANÇ_MOV[CENTRO DE CUSTOS],$D$4)</f>
        <v>0</v>
      </c>
      <c r="G858" s="206">
        <f>SUMIFS(LANÇ_MOV[VALOR LÍQUIDO],LANÇ_MOV[RECEITA OU DESPESA],"Despesa",LANÇ_MOV[CONTAS],$C858,LANÇ_MOV[PLANO DE CONTAS],REL_DRE_FINANCEIRO!$B$855,LANÇ_MOV[ANO PAGAMENTO],$B$4,LANÇ_MOV[MÊS PAGAMENTO CORRESPONDENTE],G$6,LANÇ_MOV[EMPRESA],$C$4,LANÇ_MOV[CENTRO DE CUSTOS],$D$4)</f>
        <v>0</v>
      </c>
      <c r="H858" s="206">
        <f>SUMIFS(LANÇ_MOV[VALOR LÍQUIDO],LANÇ_MOV[RECEITA OU DESPESA],"Despesa",LANÇ_MOV[CONTAS],$C858,LANÇ_MOV[PLANO DE CONTAS],REL_DRE_FINANCEIRO!$B$855,LANÇ_MOV[ANO PAGAMENTO],$B$4,LANÇ_MOV[MÊS PAGAMENTO CORRESPONDENTE],H$6,LANÇ_MOV[EMPRESA],$C$4,LANÇ_MOV[CENTRO DE CUSTOS],$D$4)</f>
        <v>0</v>
      </c>
      <c r="I858" s="206">
        <f>SUMIFS(LANÇ_MOV[VALOR LÍQUIDO],LANÇ_MOV[RECEITA OU DESPESA],"Despesa",LANÇ_MOV[CONTAS],$C858,LANÇ_MOV[PLANO DE CONTAS],REL_DRE_FINANCEIRO!$B$855,LANÇ_MOV[ANO PAGAMENTO],$B$4,LANÇ_MOV[MÊS PAGAMENTO CORRESPONDENTE],I$6,LANÇ_MOV[EMPRESA],$C$4,LANÇ_MOV[CENTRO DE CUSTOS],$D$4)</f>
        <v>0</v>
      </c>
      <c r="J858" s="206">
        <f>SUMIFS(LANÇ_MOV[VALOR LÍQUIDO],LANÇ_MOV[RECEITA OU DESPESA],"Despesa",LANÇ_MOV[CONTAS],$C858,LANÇ_MOV[PLANO DE CONTAS],REL_DRE_FINANCEIRO!$B$855,LANÇ_MOV[ANO PAGAMENTO],$B$4,LANÇ_MOV[MÊS PAGAMENTO CORRESPONDENTE],J$6,LANÇ_MOV[EMPRESA],$C$4,LANÇ_MOV[CENTRO DE CUSTOS],$D$4)</f>
        <v>0</v>
      </c>
      <c r="K858" s="206">
        <f>SUMIFS(LANÇ_MOV[VALOR LÍQUIDO],LANÇ_MOV[RECEITA OU DESPESA],"Despesa",LANÇ_MOV[CONTAS],$C858,LANÇ_MOV[PLANO DE CONTAS],REL_DRE_FINANCEIRO!$B$855,LANÇ_MOV[ANO PAGAMENTO],$B$4,LANÇ_MOV[MÊS PAGAMENTO CORRESPONDENTE],K$6,LANÇ_MOV[EMPRESA],$C$4,LANÇ_MOV[CENTRO DE CUSTOS],$D$4)</f>
        <v>0</v>
      </c>
      <c r="L858" s="206">
        <f>SUMIFS(LANÇ_MOV[VALOR LÍQUIDO],LANÇ_MOV[RECEITA OU DESPESA],"Despesa",LANÇ_MOV[CONTAS],$C858,LANÇ_MOV[PLANO DE CONTAS],REL_DRE_FINANCEIRO!$B$855,LANÇ_MOV[ANO PAGAMENTO],$B$4,LANÇ_MOV[MÊS PAGAMENTO CORRESPONDENTE],L$6,LANÇ_MOV[EMPRESA],$C$4,LANÇ_MOV[CENTRO DE CUSTOS],$D$4)</f>
        <v>0</v>
      </c>
      <c r="M858" s="206">
        <f>SUMIFS(LANÇ_MOV[VALOR LÍQUIDO],LANÇ_MOV[RECEITA OU DESPESA],"Despesa",LANÇ_MOV[CONTAS],$C858,LANÇ_MOV[PLANO DE CONTAS],REL_DRE_FINANCEIRO!$B$855,LANÇ_MOV[ANO PAGAMENTO],$B$4,LANÇ_MOV[MÊS PAGAMENTO CORRESPONDENTE],M$6,LANÇ_MOV[EMPRESA],$C$4,LANÇ_MOV[CENTRO DE CUSTOS],$D$4)</f>
        <v>0</v>
      </c>
      <c r="N858" s="206">
        <f>SUMIFS(LANÇ_MOV[VALOR LÍQUIDO],LANÇ_MOV[RECEITA OU DESPESA],"Despesa",LANÇ_MOV[CONTAS],$C858,LANÇ_MOV[PLANO DE CONTAS],REL_DRE_FINANCEIRO!$B$855,LANÇ_MOV[ANO PAGAMENTO],$B$4,LANÇ_MOV[MÊS PAGAMENTO CORRESPONDENTE],N$6,LANÇ_MOV[EMPRESA],$C$4,LANÇ_MOV[CENTRO DE CUSTOS],$D$4)</f>
        <v>0</v>
      </c>
      <c r="O858" s="206">
        <f>SUMIFS(LANÇ_MOV[VALOR LÍQUIDO],LANÇ_MOV[RECEITA OU DESPESA],"Despesa",LANÇ_MOV[CONTAS],$C858,LANÇ_MOV[PLANO DE CONTAS],REL_DRE_FINANCEIRO!$B$855,LANÇ_MOV[ANO PAGAMENTO],$B$4,LANÇ_MOV[MÊS PAGAMENTO CORRESPONDENTE],O$6,LANÇ_MOV[EMPRESA],$C$4,LANÇ_MOV[CENTRO DE CUSTOS],$D$4)</f>
        <v>0</v>
      </c>
      <c r="P858" s="207">
        <f t="shared" si="111"/>
        <v>0</v>
      </c>
      <c r="Q858" s="329">
        <v>9.7999999999999993E-6</v>
      </c>
      <c r="R858" s="346">
        <f t="shared" si="112"/>
        <v>9.7999999999999993E-6</v>
      </c>
      <c r="S858" s="347" t="str">
        <f t="shared" si="113"/>
        <v>IMOBILIZADO - BENFEITORIAS</v>
      </c>
      <c r="T858" s="347">
        <f t="shared" si="114"/>
        <v>0</v>
      </c>
      <c r="U858" s="347">
        <f>HLOOKUP(Apoio!$P$12,$D$854:$P$955,X858,FALSE)+Q858</f>
        <v>9.7999999999999993E-6</v>
      </c>
      <c r="V858" s="447" t="str">
        <f t="shared" si="115"/>
        <v>IMOBILIZADO - BENFEITORIAS</v>
      </c>
      <c r="W858" s="448">
        <f>HLOOKUP(Apoio!$P$12,$D$854:$P$955,X858,FALSE)</f>
        <v>0</v>
      </c>
      <c r="X858" s="329">
        <v>5</v>
      </c>
      <c r="Y858" s="329">
        <v>3</v>
      </c>
      <c r="Z858" s="340" t="str">
        <f>VLOOKUP(LARGE($R$856:$R$955,Y858),$R$856:$S$955,2,FALSE)</f>
        <v>IMOBILIZADO - BENFEITORIAS</v>
      </c>
      <c r="AA858" s="340">
        <f>VLOOKUP(Z858,$S$856:$T$955,2,FALSE)</f>
        <v>0</v>
      </c>
    </row>
    <row r="859" spans="2:50" ht="30.05" customHeight="1" x14ac:dyDescent="0.35">
      <c r="B859" s="204" t="str">
        <f>'CAD_PL_REC-DESP'!AC8</f>
        <v>2.7.4</v>
      </c>
      <c r="C859" s="205" t="str">
        <f>IF('CAD_PL_REC-DESP'!AD8="","-",'CAD_PL_REC-DESP'!AD8)</f>
        <v>IMOBILIZADO - COMPUTADORES E PERIFERICOS</v>
      </c>
      <c r="D859" s="206">
        <f>SUMIFS(LANÇ_MOV[VALOR LÍQUIDO],LANÇ_MOV[RECEITA OU DESPESA],"Despesa",LANÇ_MOV[CONTAS],$C859,LANÇ_MOV[PLANO DE CONTAS],REL_DRE_FINANCEIRO!$B$855,LANÇ_MOV[ANO PAGAMENTO],$B$4,LANÇ_MOV[MÊS PAGAMENTO CORRESPONDENTE],D$6,LANÇ_MOV[EMPRESA],$C$4,LANÇ_MOV[CENTRO DE CUSTOS],$D$4)</f>
        <v>0</v>
      </c>
      <c r="E859" s="206">
        <f>SUMIFS(LANÇ_MOV[VALOR LÍQUIDO],LANÇ_MOV[RECEITA OU DESPESA],"Despesa",LANÇ_MOV[CONTAS],$C859,LANÇ_MOV[PLANO DE CONTAS],REL_DRE_FINANCEIRO!$B$855,LANÇ_MOV[ANO PAGAMENTO],$B$4,LANÇ_MOV[MÊS PAGAMENTO CORRESPONDENTE],E$6,LANÇ_MOV[EMPRESA],$C$4,LANÇ_MOV[CENTRO DE CUSTOS],$D$4)</f>
        <v>0</v>
      </c>
      <c r="F859" s="206">
        <f>SUMIFS(LANÇ_MOV[VALOR LÍQUIDO],LANÇ_MOV[RECEITA OU DESPESA],"Despesa",LANÇ_MOV[CONTAS],$C859,LANÇ_MOV[PLANO DE CONTAS],REL_DRE_FINANCEIRO!$B$855,LANÇ_MOV[ANO PAGAMENTO],$B$4,LANÇ_MOV[MÊS PAGAMENTO CORRESPONDENTE],F$6,LANÇ_MOV[EMPRESA],$C$4,LANÇ_MOV[CENTRO DE CUSTOS],$D$4)</f>
        <v>0</v>
      </c>
      <c r="G859" s="206">
        <f>SUMIFS(LANÇ_MOV[VALOR LÍQUIDO],LANÇ_MOV[RECEITA OU DESPESA],"Despesa",LANÇ_MOV[CONTAS],$C859,LANÇ_MOV[PLANO DE CONTAS],REL_DRE_FINANCEIRO!$B$855,LANÇ_MOV[ANO PAGAMENTO],$B$4,LANÇ_MOV[MÊS PAGAMENTO CORRESPONDENTE],G$6,LANÇ_MOV[EMPRESA],$C$4,LANÇ_MOV[CENTRO DE CUSTOS],$D$4)</f>
        <v>0</v>
      </c>
      <c r="H859" s="206">
        <f>SUMIFS(LANÇ_MOV[VALOR LÍQUIDO],LANÇ_MOV[RECEITA OU DESPESA],"Despesa",LANÇ_MOV[CONTAS],$C859,LANÇ_MOV[PLANO DE CONTAS],REL_DRE_FINANCEIRO!$B$855,LANÇ_MOV[ANO PAGAMENTO],$B$4,LANÇ_MOV[MÊS PAGAMENTO CORRESPONDENTE],H$6,LANÇ_MOV[EMPRESA],$C$4,LANÇ_MOV[CENTRO DE CUSTOS],$D$4)</f>
        <v>0</v>
      </c>
      <c r="I859" s="206">
        <f>SUMIFS(LANÇ_MOV[VALOR LÍQUIDO],LANÇ_MOV[RECEITA OU DESPESA],"Despesa",LANÇ_MOV[CONTAS],$C859,LANÇ_MOV[PLANO DE CONTAS],REL_DRE_FINANCEIRO!$B$855,LANÇ_MOV[ANO PAGAMENTO],$B$4,LANÇ_MOV[MÊS PAGAMENTO CORRESPONDENTE],I$6,LANÇ_MOV[EMPRESA],$C$4,LANÇ_MOV[CENTRO DE CUSTOS],$D$4)</f>
        <v>0</v>
      </c>
      <c r="J859" s="206">
        <f>SUMIFS(LANÇ_MOV[VALOR LÍQUIDO],LANÇ_MOV[RECEITA OU DESPESA],"Despesa",LANÇ_MOV[CONTAS],$C859,LANÇ_MOV[PLANO DE CONTAS],REL_DRE_FINANCEIRO!$B$855,LANÇ_MOV[ANO PAGAMENTO],$B$4,LANÇ_MOV[MÊS PAGAMENTO CORRESPONDENTE],J$6,LANÇ_MOV[EMPRESA],$C$4,LANÇ_MOV[CENTRO DE CUSTOS],$D$4)</f>
        <v>0</v>
      </c>
      <c r="K859" s="206">
        <f>SUMIFS(LANÇ_MOV[VALOR LÍQUIDO],LANÇ_MOV[RECEITA OU DESPESA],"Despesa",LANÇ_MOV[CONTAS],$C859,LANÇ_MOV[PLANO DE CONTAS],REL_DRE_FINANCEIRO!$B$855,LANÇ_MOV[ANO PAGAMENTO],$B$4,LANÇ_MOV[MÊS PAGAMENTO CORRESPONDENTE],K$6,LANÇ_MOV[EMPRESA],$C$4,LANÇ_MOV[CENTRO DE CUSTOS],$D$4)</f>
        <v>0</v>
      </c>
      <c r="L859" s="206">
        <f>SUMIFS(LANÇ_MOV[VALOR LÍQUIDO],LANÇ_MOV[RECEITA OU DESPESA],"Despesa",LANÇ_MOV[CONTAS],$C859,LANÇ_MOV[PLANO DE CONTAS],REL_DRE_FINANCEIRO!$B$855,LANÇ_MOV[ANO PAGAMENTO],$B$4,LANÇ_MOV[MÊS PAGAMENTO CORRESPONDENTE],L$6,LANÇ_MOV[EMPRESA],$C$4,LANÇ_MOV[CENTRO DE CUSTOS],$D$4)</f>
        <v>0</v>
      </c>
      <c r="M859" s="206">
        <f>SUMIFS(LANÇ_MOV[VALOR LÍQUIDO],LANÇ_MOV[RECEITA OU DESPESA],"Despesa",LANÇ_MOV[CONTAS],$C859,LANÇ_MOV[PLANO DE CONTAS],REL_DRE_FINANCEIRO!$B$855,LANÇ_MOV[ANO PAGAMENTO],$B$4,LANÇ_MOV[MÊS PAGAMENTO CORRESPONDENTE],M$6,LANÇ_MOV[EMPRESA],$C$4,LANÇ_MOV[CENTRO DE CUSTOS],$D$4)</f>
        <v>0</v>
      </c>
      <c r="N859" s="206">
        <f>SUMIFS(LANÇ_MOV[VALOR LÍQUIDO],LANÇ_MOV[RECEITA OU DESPESA],"Despesa",LANÇ_MOV[CONTAS],$C859,LANÇ_MOV[PLANO DE CONTAS],REL_DRE_FINANCEIRO!$B$855,LANÇ_MOV[ANO PAGAMENTO],$B$4,LANÇ_MOV[MÊS PAGAMENTO CORRESPONDENTE],N$6,LANÇ_MOV[EMPRESA],$C$4,LANÇ_MOV[CENTRO DE CUSTOS],$D$4)</f>
        <v>0</v>
      </c>
      <c r="O859" s="206">
        <f>SUMIFS(LANÇ_MOV[VALOR LÍQUIDO],LANÇ_MOV[RECEITA OU DESPESA],"Despesa",LANÇ_MOV[CONTAS],$C859,LANÇ_MOV[PLANO DE CONTAS],REL_DRE_FINANCEIRO!$B$855,LANÇ_MOV[ANO PAGAMENTO],$B$4,LANÇ_MOV[MÊS PAGAMENTO CORRESPONDENTE],O$6,LANÇ_MOV[EMPRESA],$C$4,LANÇ_MOV[CENTRO DE CUSTOS],$D$4)</f>
        <v>0</v>
      </c>
      <c r="P859" s="207">
        <f t="shared" si="111"/>
        <v>0</v>
      </c>
      <c r="Q859" s="329">
        <v>9.7000000000000003E-6</v>
      </c>
      <c r="R859" s="346">
        <f t="shared" si="112"/>
        <v>9.7000000000000003E-6</v>
      </c>
      <c r="S859" s="347" t="str">
        <f t="shared" si="113"/>
        <v>IMOBILIZADO - COMPUTADORES E PERIFERICOS</v>
      </c>
      <c r="T859" s="347">
        <f t="shared" si="114"/>
        <v>0</v>
      </c>
      <c r="U859" s="347">
        <f>HLOOKUP(Apoio!$P$12,$D$854:$P$955,X859,FALSE)+Q859</f>
        <v>9.7000000000000003E-6</v>
      </c>
      <c r="V859" s="447" t="str">
        <f t="shared" si="115"/>
        <v>IMOBILIZADO - COMPUTADORES E PERIFERICOS</v>
      </c>
      <c r="W859" s="448">
        <f>HLOOKUP(Apoio!$P$12,$D$854:$P$955,X859,FALSE)</f>
        <v>0</v>
      </c>
      <c r="X859" s="329">
        <v>6</v>
      </c>
      <c r="Y859" s="329">
        <v>4</v>
      </c>
      <c r="Z859" s="340" t="str">
        <f>VLOOKUP(LARGE($R$856:$R$955,Y859),$R$856:$S$955,2,FALSE)</f>
        <v>IMOBILIZADO - COMPUTADORES E PERIFERICOS</v>
      </c>
      <c r="AA859" s="340">
        <f>VLOOKUP(Z859,$S$856:$T$955,2,FALSE)</f>
        <v>0</v>
      </c>
    </row>
    <row r="860" spans="2:50" ht="30.05" customHeight="1" x14ac:dyDescent="0.35">
      <c r="B860" s="204" t="str">
        <f>'CAD_PL_REC-DESP'!AC9</f>
        <v>2.7.5</v>
      </c>
      <c r="C860" s="205" t="str">
        <f>IF('CAD_PL_REC-DESP'!AD9="","-",'CAD_PL_REC-DESP'!AD9)</f>
        <v>IMOBILIZADO - MÁQUINAS, EQUIPAMENTOS E FERRAMENTAS</v>
      </c>
      <c r="D860" s="206">
        <f>SUMIFS(LANÇ_MOV[VALOR LÍQUIDO],LANÇ_MOV[RECEITA OU DESPESA],"Despesa",LANÇ_MOV[CONTAS],$C860,LANÇ_MOV[PLANO DE CONTAS],REL_DRE_FINANCEIRO!$B$855,LANÇ_MOV[ANO PAGAMENTO],$B$4,LANÇ_MOV[MÊS PAGAMENTO CORRESPONDENTE],D$6,LANÇ_MOV[EMPRESA],$C$4,LANÇ_MOV[CENTRO DE CUSTOS],$D$4)</f>
        <v>0</v>
      </c>
      <c r="E860" s="206">
        <f>SUMIFS(LANÇ_MOV[VALOR LÍQUIDO],LANÇ_MOV[RECEITA OU DESPESA],"Despesa",LANÇ_MOV[CONTAS],$C860,LANÇ_MOV[PLANO DE CONTAS],REL_DRE_FINANCEIRO!$B$855,LANÇ_MOV[ANO PAGAMENTO],$B$4,LANÇ_MOV[MÊS PAGAMENTO CORRESPONDENTE],E$6,LANÇ_MOV[EMPRESA],$C$4,LANÇ_MOV[CENTRO DE CUSTOS],$D$4)</f>
        <v>0</v>
      </c>
      <c r="F860" s="206">
        <f>SUMIFS(LANÇ_MOV[VALOR LÍQUIDO],LANÇ_MOV[RECEITA OU DESPESA],"Despesa",LANÇ_MOV[CONTAS],$C860,LANÇ_MOV[PLANO DE CONTAS],REL_DRE_FINANCEIRO!$B$855,LANÇ_MOV[ANO PAGAMENTO],$B$4,LANÇ_MOV[MÊS PAGAMENTO CORRESPONDENTE],F$6,LANÇ_MOV[EMPRESA],$C$4,LANÇ_MOV[CENTRO DE CUSTOS],$D$4)</f>
        <v>0</v>
      </c>
      <c r="G860" s="206">
        <f>SUMIFS(LANÇ_MOV[VALOR LÍQUIDO],LANÇ_MOV[RECEITA OU DESPESA],"Despesa",LANÇ_MOV[CONTAS],$C860,LANÇ_MOV[PLANO DE CONTAS],REL_DRE_FINANCEIRO!$B$855,LANÇ_MOV[ANO PAGAMENTO],$B$4,LANÇ_MOV[MÊS PAGAMENTO CORRESPONDENTE],G$6,LANÇ_MOV[EMPRESA],$C$4,LANÇ_MOV[CENTRO DE CUSTOS],$D$4)</f>
        <v>0</v>
      </c>
      <c r="H860" s="206">
        <f>SUMIFS(LANÇ_MOV[VALOR LÍQUIDO],LANÇ_MOV[RECEITA OU DESPESA],"Despesa",LANÇ_MOV[CONTAS],$C860,LANÇ_MOV[PLANO DE CONTAS],REL_DRE_FINANCEIRO!$B$855,LANÇ_MOV[ANO PAGAMENTO],$B$4,LANÇ_MOV[MÊS PAGAMENTO CORRESPONDENTE],H$6,LANÇ_MOV[EMPRESA],$C$4,LANÇ_MOV[CENTRO DE CUSTOS],$D$4)</f>
        <v>0</v>
      </c>
      <c r="I860" s="206">
        <f>SUMIFS(LANÇ_MOV[VALOR LÍQUIDO],LANÇ_MOV[RECEITA OU DESPESA],"Despesa",LANÇ_MOV[CONTAS],$C860,LANÇ_MOV[PLANO DE CONTAS],REL_DRE_FINANCEIRO!$B$855,LANÇ_MOV[ANO PAGAMENTO],$B$4,LANÇ_MOV[MÊS PAGAMENTO CORRESPONDENTE],I$6,LANÇ_MOV[EMPRESA],$C$4,LANÇ_MOV[CENTRO DE CUSTOS],$D$4)</f>
        <v>0</v>
      </c>
      <c r="J860" s="206">
        <f>SUMIFS(LANÇ_MOV[VALOR LÍQUIDO],LANÇ_MOV[RECEITA OU DESPESA],"Despesa",LANÇ_MOV[CONTAS],$C860,LANÇ_MOV[PLANO DE CONTAS],REL_DRE_FINANCEIRO!$B$855,LANÇ_MOV[ANO PAGAMENTO],$B$4,LANÇ_MOV[MÊS PAGAMENTO CORRESPONDENTE],J$6,LANÇ_MOV[EMPRESA],$C$4,LANÇ_MOV[CENTRO DE CUSTOS],$D$4)</f>
        <v>0</v>
      </c>
      <c r="K860" s="206">
        <f>SUMIFS(LANÇ_MOV[VALOR LÍQUIDO],LANÇ_MOV[RECEITA OU DESPESA],"Despesa",LANÇ_MOV[CONTAS],$C860,LANÇ_MOV[PLANO DE CONTAS],REL_DRE_FINANCEIRO!$B$855,LANÇ_MOV[ANO PAGAMENTO],$B$4,LANÇ_MOV[MÊS PAGAMENTO CORRESPONDENTE],K$6,LANÇ_MOV[EMPRESA],$C$4,LANÇ_MOV[CENTRO DE CUSTOS],$D$4)</f>
        <v>0</v>
      </c>
      <c r="L860" s="206">
        <f>SUMIFS(LANÇ_MOV[VALOR LÍQUIDO],LANÇ_MOV[RECEITA OU DESPESA],"Despesa",LANÇ_MOV[CONTAS],$C860,LANÇ_MOV[PLANO DE CONTAS],REL_DRE_FINANCEIRO!$B$855,LANÇ_MOV[ANO PAGAMENTO],$B$4,LANÇ_MOV[MÊS PAGAMENTO CORRESPONDENTE],L$6,LANÇ_MOV[EMPRESA],$C$4,LANÇ_MOV[CENTRO DE CUSTOS],$D$4)</f>
        <v>0</v>
      </c>
      <c r="M860" s="206">
        <f>SUMIFS(LANÇ_MOV[VALOR LÍQUIDO],LANÇ_MOV[RECEITA OU DESPESA],"Despesa",LANÇ_MOV[CONTAS],$C860,LANÇ_MOV[PLANO DE CONTAS],REL_DRE_FINANCEIRO!$B$855,LANÇ_MOV[ANO PAGAMENTO],$B$4,LANÇ_MOV[MÊS PAGAMENTO CORRESPONDENTE],M$6,LANÇ_MOV[EMPRESA],$C$4,LANÇ_MOV[CENTRO DE CUSTOS],$D$4)</f>
        <v>0</v>
      </c>
      <c r="N860" s="206">
        <f>SUMIFS(LANÇ_MOV[VALOR LÍQUIDO],LANÇ_MOV[RECEITA OU DESPESA],"Despesa",LANÇ_MOV[CONTAS],$C860,LANÇ_MOV[PLANO DE CONTAS],REL_DRE_FINANCEIRO!$B$855,LANÇ_MOV[ANO PAGAMENTO],$B$4,LANÇ_MOV[MÊS PAGAMENTO CORRESPONDENTE],N$6,LANÇ_MOV[EMPRESA],$C$4,LANÇ_MOV[CENTRO DE CUSTOS],$D$4)</f>
        <v>0</v>
      </c>
      <c r="O860" s="206">
        <f>SUMIFS(LANÇ_MOV[VALOR LÍQUIDO],LANÇ_MOV[RECEITA OU DESPESA],"Despesa",LANÇ_MOV[CONTAS],$C860,LANÇ_MOV[PLANO DE CONTAS],REL_DRE_FINANCEIRO!$B$855,LANÇ_MOV[ANO PAGAMENTO],$B$4,LANÇ_MOV[MÊS PAGAMENTO CORRESPONDENTE],O$6,LANÇ_MOV[EMPRESA],$C$4,LANÇ_MOV[CENTRO DE CUSTOS],$D$4)</f>
        <v>0</v>
      </c>
      <c r="P860" s="207">
        <f t="shared" si="111"/>
        <v>0</v>
      </c>
      <c r="Q860" s="329">
        <v>9.5999999999999996E-6</v>
      </c>
      <c r="R860" s="346">
        <f t="shared" si="112"/>
        <v>9.5999999999999996E-6</v>
      </c>
      <c r="S860" s="347" t="str">
        <f t="shared" si="113"/>
        <v>IMOBILIZADO - MÁQUINAS, EQUIPAMENTOS E FERRAMENTAS</v>
      </c>
      <c r="T860" s="347">
        <f t="shared" si="114"/>
        <v>0</v>
      </c>
      <c r="U860" s="347">
        <f>HLOOKUP(Apoio!$P$12,$D$854:$P$955,X860,FALSE)+Q860</f>
        <v>9.5999999999999996E-6</v>
      </c>
      <c r="V860" s="447" t="str">
        <f t="shared" si="115"/>
        <v>IMOBILIZADO - MÁQUINAS, EQUIPAMENTOS E FERRAMENTAS</v>
      </c>
      <c r="W860" s="448">
        <f>HLOOKUP(Apoio!$P$12,$D$854:$P$955,X860,FALSE)</f>
        <v>0</v>
      </c>
      <c r="X860" s="329">
        <v>7</v>
      </c>
      <c r="Y860" s="329">
        <v>5</v>
      </c>
      <c r="Z860" s="340" t="str">
        <f>VLOOKUP(LARGE($R$856:$R$955,Y860),$R$856:$S$955,2,FALSE)</f>
        <v>IMOBILIZADO - MÁQUINAS, EQUIPAMENTOS E FERRAMENTAS</v>
      </c>
      <c r="AA860" s="340">
        <f>VLOOKUP(Z860,$S$856:$T$955,2,FALSE)</f>
        <v>0</v>
      </c>
    </row>
    <row r="861" spans="2:50" ht="30.05" customHeight="1" x14ac:dyDescent="0.35">
      <c r="B861" s="204" t="str">
        <f>'CAD_PL_REC-DESP'!AC10</f>
        <v>2.7.6</v>
      </c>
      <c r="C861" s="205" t="str">
        <f>IF('CAD_PL_REC-DESP'!AD10="","-",'CAD_PL_REC-DESP'!AD10)</f>
        <v>IMOBILIZADO - MARCAS E PATENTES</v>
      </c>
      <c r="D861" s="206">
        <f>SUMIFS(LANÇ_MOV[VALOR LÍQUIDO],LANÇ_MOV[RECEITA OU DESPESA],"Despesa",LANÇ_MOV[CONTAS],$C861,LANÇ_MOV[PLANO DE CONTAS],REL_DRE_FINANCEIRO!$B$855,LANÇ_MOV[ANO PAGAMENTO],$B$4,LANÇ_MOV[MÊS PAGAMENTO CORRESPONDENTE],D$6,LANÇ_MOV[EMPRESA],$C$4,LANÇ_MOV[CENTRO DE CUSTOS],$D$4)</f>
        <v>0</v>
      </c>
      <c r="E861" s="206">
        <f>SUMIFS(LANÇ_MOV[VALOR LÍQUIDO],LANÇ_MOV[RECEITA OU DESPESA],"Despesa",LANÇ_MOV[CONTAS],$C861,LANÇ_MOV[PLANO DE CONTAS],REL_DRE_FINANCEIRO!$B$855,LANÇ_MOV[ANO PAGAMENTO],$B$4,LANÇ_MOV[MÊS PAGAMENTO CORRESPONDENTE],E$6,LANÇ_MOV[EMPRESA],$C$4,LANÇ_MOV[CENTRO DE CUSTOS],$D$4)</f>
        <v>0</v>
      </c>
      <c r="F861" s="206">
        <f>SUMIFS(LANÇ_MOV[VALOR LÍQUIDO],LANÇ_MOV[RECEITA OU DESPESA],"Despesa",LANÇ_MOV[CONTAS],$C861,LANÇ_MOV[PLANO DE CONTAS],REL_DRE_FINANCEIRO!$B$855,LANÇ_MOV[ANO PAGAMENTO],$B$4,LANÇ_MOV[MÊS PAGAMENTO CORRESPONDENTE],F$6,LANÇ_MOV[EMPRESA],$C$4,LANÇ_MOV[CENTRO DE CUSTOS],$D$4)</f>
        <v>0</v>
      </c>
      <c r="G861" s="206">
        <f>SUMIFS(LANÇ_MOV[VALOR LÍQUIDO],LANÇ_MOV[RECEITA OU DESPESA],"Despesa",LANÇ_MOV[CONTAS],$C861,LANÇ_MOV[PLANO DE CONTAS],REL_DRE_FINANCEIRO!$B$855,LANÇ_MOV[ANO PAGAMENTO],$B$4,LANÇ_MOV[MÊS PAGAMENTO CORRESPONDENTE],G$6,LANÇ_MOV[EMPRESA],$C$4,LANÇ_MOV[CENTRO DE CUSTOS],$D$4)</f>
        <v>0</v>
      </c>
      <c r="H861" s="206">
        <f>SUMIFS(LANÇ_MOV[VALOR LÍQUIDO],LANÇ_MOV[RECEITA OU DESPESA],"Despesa",LANÇ_MOV[CONTAS],$C861,LANÇ_MOV[PLANO DE CONTAS],REL_DRE_FINANCEIRO!$B$855,LANÇ_MOV[ANO PAGAMENTO],$B$4,LANÇ_MOV[MÊS PAGAMENTO CORRESPONDENTE],H$6,LANÇ_MOV[EMPRESA],$C$4,LANÇ_MOV[CENTRO DE CUSTOS],$D$4)</f>
        <v>0</v>
      </c>
      <c r="I861" s="206">
        <f>SUMIFS(LANÇ_MOV[VALOR LÍQUIDO],LANÇ_MOV[RECEITA OU DESPESA],"Despesa",LANÇ_MOV[CONTAS],$C861,LANÇ_MOV[PLANO DE CONTAS],REL_DRE_FINANCEIRO!$B$855,LANÇ_MOV[ANO PAGAMENTO],$B$4,LANÇ_MOV[MÊS PAGAMENTO CORRESPONDENTE],I$6,LANÇ_MOV[EMPRESA],$C$4,LANÇ_MOV[CENTRO DE CUSTOS],$D$4)</f>
        <v>0</v>
      </c>
      <c r="J861" s="206">
        <f>SUMIFS(LANÇ_MOV[VALOR LÍQUIDO],LANÇ_MOV[RECEITA OU DESPESA],"Despesa",LANÇ_MOV[CONTAS],$C861,LANÇ_MOV[PLANO DE CONTAS],REL_DRE_FINANCEIRO!$B$855,LANÇ_MOV[ANO PAGAMENTO],$B$4,LANÇ_MOV[MÊS PAGAMENTO CORRESPONDENTE],J$6,LANÇ_MOV[EMPRESA],$C$4,LANÇ_MOV[CENTRO DE CUSTOS],$D$4)</f>
        <v>0</v>
      </c>
      <c r="K861" s="206">
        <f>SUMIFS(LANÇ_MOV[VALOR LÍQUIDO],LANÇ_MOV[RECEITA OU DESPESA],"Despesa",LANÇ_MOV[CONTAS],$C861,LANÇ_MOV[PLANO DE CONTAS],REL_DRE_FINANCEIRO!$B$855,LANÇ_MOV[ANO PAGAMENTO],$B$4,LANÇ_MOV[MÊS PAGAMENTO CORRESPONDENTE],K$6,LANÇ_MOV[EMPRESA],$C$4,LANÇ_MOV[CENTRO DE CUSTOS],$D$4)</f>
        <v>0</v>
      </c>
      <c r="L861" s="206">
        <f>SUMIFS(LANÇ_MOV[VALOR LÍQUIDO],LANÇ_MOV[RECEITA OU DESPESA],"Despesa",LANÇ_MOV[CONTAS],$C861,LANÇ_MOV[PLANO DE CONTAS],REL_DRE_FINANCEIRO!$B$855,LANÇ_MOV[ANO PAGAMENTO],$B$4,LANÇ_MOV[MÊS PAGAMENTO CORRESPONDENTE],L$6,LANÇ_MOV[EMPRESA],$C$4,LANÇ_MOV[CENTRO DE CUSTOS],$D$4)</f>
        <v>0</v>
      </c>
      <c r="M861" s="206">
        <f>SUMIFS(LANÇ_MOV[VALOR LÍQUIDO],LANÇ_MOV[RECEITA OU DESPESA],"Despesa",LANÇ_MOV[CONTAS],$C861,LANÇ_MOV[PLANO DE CONTAS],REL_DRE_FINANCEIRO!$B$855,LANÇ_MOV[ANO PAGAMENTO],$B$4,LANÇ_MOV[MÊS PAGAMENTO CORRESPONDENTE],M$6,LANÇ_MOV[EMPRESA],$C$4,LANÇ_MOV[CENTRO DE CUSTOS],$D$4)</f>
        <v>0</v>
      </c>
      <c r="N861" s="206">
        <f>SUMIFS(LANÇ_MOV[VALOR LÍQUIDO],LANÇ_MOV[RECEITA OU DESPESA],"Despesa",LANÇ_MOV[CONTAS],$C861,LANÇ_MOV[PLANO DE CONTAS],REL_DRE_FINANCEIRO!$B$855,LANÇ_MOV[ANO PAGAMENTO],$B$4,LANÇ_MOV[MÊS PAGAMENTO CORRESPONDENTE],N$6,LANÇ_MOV[EMPRESA],$C$4,LANÇ_MOV[CENTRO DE CUSTOS],$D$4)</f>
        <v>0</v>
      </c>
      <c r="O861" s="206">
        <f>SUMIFS(LANÇ_MOV[VALOR LÍQUIDO],LANÇ_MOV[RECEITA OU DESPESA],"Despesa",LANÇ_MOV[CONTAS],$C861,LANÇ_MOV[PLANO DE CONTAS],REL_DRE_FINANCEIRO!$B$855,LANÇ_MOV[ANO PAGAMENTO],$B$4,LANÇ_MOV[MÊS PAGAMENTO CORRESPONDENTE],O$6,LANÇ_MOV[EMPRESA],$C$4,LANÇ_MOV[CENTRO DE CUSTOS],$D$4)</f>
        <v>0</v>
      </c>
      <c r="P861" s="207">
        <f t="shared" si="111"/>
        <v>0</v>
      </c>
      <c r="Q861" s="329">
        <v>9.5000000000000005E-6</v>
      </c>
      <c r="R861" s="346">
        <f t="shared" si="112"/>
        <v>9.5000000000000005E-6</v>
      </c>
      <c r="S861" s="347" t="str">
        <f t="shared" si="113"/>
        <v>IMOBILIZADO - MARCAS E PATENTES</v>
      </c>
      <c r="T861" s="347">
        <f t="shared" si="114"/>
        <v>0</v>
      </c>
      <c r="U861" s="347">
        <f>HLOOKUP(Apoio!$P$12,$D$854:$P$955,X861,FALSE)+Q861</f>
        <v>9.5000000000000005E-6</v>
      </c>
      <c r="V861" s="447" t="str">
        <f t="shared" si="115"/>
        <v>IMOBILIZADO - MARCAS E PATENTES</v>
      </c>
      <c r="W861" s="448">
        <f>HLOOKUP(Apoio!$P$12,$D$854:$P$955,X861,FALSE)</f>
        <v>0</v>
      </c>
      <c r="X861" s="329">
        <v>8</v>
      </c>
      <c r="Z861" s="340" t="s">
        <v>1121</v>
      </c>
      <c r="AA861" s="340" t="s">
        <v>1123</v>
      </c>
    </row>
    <row r="862" spans="2:50" ht="30.05" customHeight="1" x14ac:dyDescent="0.35">
      <c r="B862" s="204" t="str">
        <f>'CAD_PL_REC-DESP'!AC11</f>
        <v>2.7.7</v>
      </c>
      <c r="C862" s="205" t="str">
        <f>IF('CAD_PL_REC-DESP'!AD11="","-",'CAD_PL_REC-DESP'!AD11)</f>
        <v>IMOBILIZADO - MOVEIS E UTENSILIOS</v>
      </c>
      <c r="D862" s="206">
        <f>SUMIFS(LANÇ_MOV[VALOR LÍQUIDO],LANÇ_MOV[RECEITA OU DESPESA],"Despesa",LANÇ_MOV[CONTAS],$C862,LANÇ_MOV[PLANO DE CONTAS],REL_DRE_FINANCEIRO!$B$855,LANÇ_MOV[ANO PAGAMENTO],$B$4,LANÇ_MOV[MÊS PAGAMENTO CORRESPONDENTE],D$6,LANÇ_MOV[EMPRESA],$C$4,LANÇ_MOV[CENTRO DE CUSTOS],$D$4)</f>
        <v>0</v>
      </c>
      <c r="E862" s="206">
        <f>SUMIFS(LANÇ_MOV[VALOR LÍQUIDO],LANÇ_MOV[RECEITA OU DESPESA],"Despesa",LANÇ_MOV[CONTAS],$C862,LANÇ_MOV[PLANO DE CONTAS],REL_DRE_FINANCEIRO!$B$855,LANÇ_MOV[ANO PAGAMENTO],$B$4,LANÇ_MOV[MÊS PAGAMENTO CORRESPONDENTE],E$6,LANÇ_MOV[EMPRESA],$C$4,LANÇ_MOV[CENTRO DE CUSTOS],$D$4)</f>
        <v>0</v>
      </c>
      <c r="F862" s="206">
        <f>SUMIFS(LANÇ_MOV[VALOR LÍQUIDO],LANÇ_MOV[RECEITA OU DESPESA],"Despesa",LANÇ_MOV[CONTAS],$C862,LANÇ_MOV[PLANO DE CONTAS],REL_DRE_FINANCEIRO!$B$855,LANÇ_MOV[ANO PAGAMENTO],$B$4,LANÇ_MOV[MÊS PAGAMENTO CORRESPONDENTE],F$6,LANÇ_MOV[EMPRESA],$C$4,LANÇ_MOV[CENTRO DE CUSTOS],$D$4)</f>
        <v>0</v>
      </c>
      <c r="G862" s="206">
        <f>SUMIFS(LANÇ_MOV[VALOR LÍQUIDO],LANÇ_MOV[RECEITA OU DESPESA],"Despesa",LANÇ_MOV[CONTAS],$C862,LANÇ_MOV[PLANO DE CONTAS],REL_DRE_FINANCEIRO!$B$855,LANÇ_MOV[ANO PAGAMENTO],$B$4,LANÇ_MOV[MÊS PAGAMENTO CORRESPONDENTE],G$6,LANÇ_MOV[EMPRESA],$C$4,LANÇ_MOV[CENTRO DE CUSTOS],$D$4)</f>
        <v>0</v>
      </c>
      <c r="H862" s="206">
        <f>SUMIFS(LANÇ_MOV[VALOR LÍQUIDO],LANÇ_MOV[RECEITA OU DESPESA],"Despesa",LANÇ_MOV[CONTAS],$C862,LANÇ_MOV[PLANO DE CONTAS],REL_DRE_FINANCEIRO!$B$855,LANÇ_MOV[ANO PAGAMENTO],$B$4,LANÇ_MOV[MÊS PAGAMENTO CORRESPONDENTE],H$6,LANÇ_MOV[EMPRESA],$C$4,LANÇ_MOV[CENTRO DE CUSTOS],$D$4)</f>
        <v>0</v>
      </c>
      <c r="I862" s="206">
        <f>SUMIFS(LANÇ_MOV[VALOR LÍQUIDO],LANÇ_MOV[RECEITA OU DESPESA],"Despesa",LANÇ_MOV[CONTAS],$C862,LANÇ_MOV[PLANO DE CONTAS],REL_DRE_FINANCEIRO!$B$855,LANÇ_MOV[ANO PAGAMENTO],$B$4,LANÇ_MOV[MÊS PAGAMENTO CORRESPONDENTE],I$6,LANÇ_MOV[EMPRESA],$C$4,LANÇ_MOV[CENTRO DE CUSTOS],$D$4)</f>
        <v>0</v>
      </c>
      <c r="J862" s="206">
        <f>SUMIFS(LANÇ_MOV[VALOR LÍQUIDO],LANÇ_MOV[RECEITA OU DESPESA],"Despesa",LANÇ_MOV[CONTAS],$C862,LANÇ_MOV[PLANO DE CONTAS],REL_DRE_FINANCEIRO!$B$855,LANÇ_MOV[ANO PAGAMENTO],$B$4,LANÇ_MOV[MÊS PAGAMENTO CORRESPONDENTE],J$6,LANÇ_MOV[EMPRESA],$C$4,LANÇ_MOV[CENTRO DE CUSTOS],$D$4)</f>
        <v>0</v>
      </c>
      <c r="K862" s="206">
        <f>SUMIFS(LANÇ_MOV[VALOR LÍQUIDO],LANÇ_MOV[RECEITA OU DESPESA],"Despesa",LANÇ_MOV[CONTAS],$C862,LANÇ_MOV[PLANO DE CONTAS],REL_DRE_FINANCEIRO!$B$855,LANÇ_MOV[ANO PAGAMENTO],$B$4,LANÇ_MOV[MÊS PAGAMENTO CORRESPONDENTE],K$6,LANÇ_MOV[EMPRESA],$C$4,LANÇ_MOV[CENTRO DE CUSTOS],$D$4)</f>
        <v>0</v>
      </c>
      <c r="L862" s="206">
        <f>SUMIFS(LANÇ_MOV[VALOR LÍQUIDO],LANÇ_MOV[RECEITA OU DESPESA],"Despesa",LANÇ_MOV[CONTAS],$C862,LANÇ_MOV[PLANO DE CONTAS],REL_DRE_FINANCEIRO!$B$855,LANÇ_MOV[ANO PAGAMENTO],$B$4,LANÇ_MOV[MÊS PAGAMENTO CORRESPONDENTE],L$6,LANÇ_MOV[EMPRESA],$C$4,LANÇ_MOV[CENTRO DE CUSTOS],$D$4)</f>
        <v>0</v>
      </c>
      <c r="M862" s="206">
        <f>SUMIFS(LANÇ_MOV[VALOR LÍQUIDO],LANÇ_MOV[RECEITA OU DESPESA],"Despesa",LANÇ_MOV[CONTAS],$C862,LANÇ_MOV[PLANO DE CONTAS],REL_DRE_FINANCEIRO!$B$855,LANÇ_MOV[ANO PAGAMENTO],$B$4,LANÇ_MOV[MÊS PAGAMENTO CORRESPONDENTE],M$6,LANÇ_MOV[EMPRESA],$C$4,LANÇ_MOV[CENTRO DE CUSTOS],$D$4)</f>
        <v>0</v>
      </c>
      <c r="N862" s="206">
        <f>SUMIFS(LANÇ_MOV[VALOR LÍQUIDO],LANÇ_MOV[RECEITA OU DESPESA],"Despesa",LANÇ_MOV[CONTAS],$C862,LANÇ_MOV[PLANO DE CONTAS],REL_DRE_FINANCEIRO!$B$855,LANÇ_MOV[ANO PAGAMENTO],$B$4,LANÇ_MOV[MÊS PAGAMENTO CORRESPONDENTE],N$6,LANÇ_MOV[EMPRESA],$C$4,LANÇ_MOV[CENTRO DE CUSTOS],$D$4)</f>
        <v>0</v>
      </c>
      <c r="O862" s="206">
        <f>SUMIFS(LANÇ_MOV[VALOR LÍQUIDO],LANÇ_MOV[RECEITA OU DESPESA],"Despesa",LANÇ_MOV[CONTAS],$C862,LANÇ_MOV[PLANO DE CONTAS],REL_DRE_FINANCEIRO!$B$855,LANÇ_MOV[ANO PAGAMENTO],$B$4,LANÇ_MOV[MÊS PAGAMENTO CORRESPONDENTE],O$6,LANÇ_MOV[EMPRESA],$C$4,LANÇ_MOV[CENTRO DE CUSTOS],$D$4)</f>
        <v>0</v>
      </c>
      <c r="P862" s="207">
        <f t="shared" si="111"/>
        <v>0</v>
      </c>
      <c r="Q862" s="329">
        <v>9.3999999999999998E-6</v>
      </c>
      <c r="R862" s="346">
        <f t="shared" si="112"/>
        <v>9.3999999999999998E-6</v>
      </c>
      <c r="S862" s="347" t="str">
        <f t="shared" si="113"/>
        <v>IMOBILIZADO - MOVEIS E UTENSILIOS</v>
      </c>
      <c r="T862" s="347">
        <f t="shared" si="114"/>
        <v>0</v>
      </c>
      <c r="U862" s="347">
        <f>HLOOKUP(Apoio!$P$12,$D$854:$P$955,X862,FALSE)+Q862</f>
        <v>9.3999999999999998E-6</v>
      </c>
      <c r="V862" s="447" t="str">
        <f t="shared" si="115"/>
        <v>IMOBILIZADO - MOVEIS E UTENSILIOS</v>
      </c>
      <c r="W862" s="448">
        <f>HLOOKUP(Apoio!$P$12,$D$854:$P$955,X862,FALSE)</f>
        <v>0</v>
      </c>
      <c r="X862" s="329">
        <v>9</v>
      </c>
      <c r="Y862" s="329">
        <v>1</v>
      </c>
      <c r="Z862" s="340" t="str">
        <f>VLOOKUP(LARGE($U$856:$U$955,Y862),$U$856:$V$955,2,FALSE)</f>
        <v>IMOBILIZADO - AQUISIÇÃO DE IMÓVEIS</v>
      </c>
      <c r="AA862" s="340">
        <f>VLOOKUP(Z862,$V$856:$W$955,2,FALSE)</f>
        <v>0</v>
      </c>
    </row>
    <row r="863" spans="2:50" ht="30.05" customHeight="1" x14ac:dyDescent="0.35">
      <c r="B863" s="204" t="str">
        <f>'CAD_PL_REC-DESP'!AC12</f>
        <v>2.7.8</v>
      </c>
      <c r="C863" s="205" t="str">
        <f>IF('CAD_PL_REC-DESP'!AD12="","-",'CAD_PL_REC-DESP'!AD12)</f>
        <v>IMOBILIZADO - VEÍCULOS</v>
      </c>
      <c r="D863" s="206">
        <f>SUMIFS(LANÇ_MOV[VALOR LÍQUIDO],LANÇ_MOV[RECEITA OU DESPESA],"Despesa",LANÇ_MOV[CONTAS],$C863,LANÇ_MOV[PLANO DE CONTAS],REL_DRE_FINANCEIRO!$B$855,LANÇ_MOV[ANO PAGAMENTO],$B$4,LANÇ_MOV[MÊS PAGAMENTO CORRESPONDENTE],D$6,LANÇ_MOV[EMPRESA],$C$4,LANÇ_MOV[CENTRO DE CUSTOS],$D$4)</f>
        <v>0</v>
      </c>
      <c r="E863" s="206">
        <f>SUMIFS(LANÇ_MOV[VALOR LÍQUIDO],LANÇ_MOV[RECEITA OU DESPESA],"Despesa",LANÇ_MOV[CONTAS],$C863,LANÇ_MOV[PLANO DE CONTAS],REL_DRE_FINANCEIRO!$B$855,LANÇ_MOV[ANO PAGAMENTO],$B$4,LANÇ_MOV[MÊS PAGAMENTO CORRESPONDENTE],E$6,LANÇ_MOV[EMPRESA],$C$4,LANÇ_MOV[CENTRO DE CUSTOS],$D$4)</f>
        <v>0</v>
      </c>
      <c r="F863" s="206">
        <f>SUMIFS(LANÇ_MOV[VALOR LÍQUIDO],LANÇ_MOV[RECEITA OU DESPESA],"Despesa",LANÇ_MOV[CONTAS],$C863,LANÇ_MOV[PLANO DE CONTAS],REL_DRE_FINANCEIRO!$B$855,LANÇ_MOV[ANO PAGAMENTO],$B$4,LANÇ_MOV[MÊS PAGAMENTO CORRESPONDENTE],F$6,LANÇ_MOV[EMPRESA],$C$4,LANÇ_MOV[CENTRO DE CUSTOS],$D$4)</f>
        <v>0</v>
      </c>
      <c r="G863" s="206">
        <f>SUMIFS(LANÇ_MOV[VALOR LÍQUIDO],LANÇ_MOV[RECEITA OU DESPESA],"Despesa",LANÇ_MOV[CONTAS],$C863,LANÇ_MOV[PLANO DE CONTAS],REL_DRE_FINANCEIRO!$B$855,LANÇ_MOV[ANO PAGAMENTO],$B$4,LANÇ_MOV[MÊS PAGAMENTO CORRESPONDENTE],G$6,LANÇ_MOV[EMPRESA],$C$4,LANÇ_MOV[CENTRO DE CUSTOS],$D$4)</f>
        <v>0</v>
      </c>
      <c r="H863" s="206">
        <f>SUMIFS(LANÇ_MOV[VALOR LÍQUIDO],LANÇ_MOV[RECEITA OU DESPESA],"Despesa",LANÇ_MOV[CONTAS],$C863,LANÇ_MOV[PLANO DE CONTAS],REL_DRE_FINANCEIRO!$B$855,LANÇ_MOV[ANO PAGAMENTO],$B$4,LANÇ_MOV[MÊS PAGAMENTO CORRESPONDENTE],H$6,LANÇ_MOV[EMPRESA],$C$4,LANÇ_MOV[CENTRO DE CUSTOS],$D$4)</f>
        <v>0</v>
      </c>
      <c r="I863" s="206">
        <f>SUMIFS(LANÇ_MOV[VALOR LÍQUIDO],LANÇ_MOV[RECEITA OU DESPESA],"Despesa",LANÇ_MOV[CONTAS],$C863,LANÇ_MOV[PLANO DE CONTAS],REL_DRE_FINANCEIRO!$B$855,LANÇ_MOV[ANO PAGAMENTO],$B$4,LANÇ_MOV[MÊS PAGAMENTO CORRESPONDENTE],I$6,LANÇ_MOV[EMPRESA],$C$4,LANÇ_MOV[CENTRO DE CUSTOS],$D$4)</f>
        <v>0</v>
      </c>
      <c r="J863" s="206">
        <f>SUMIFS(LANÇ_MOV[VALOR LÍQUIDO],LANÇ_MOV[RECEITA OU DESPESA],"Despesa",LANÇ_MOV[CONTAS],$C863,LANÇ_MOV[PLANO DE CONTAS],REL_DRE_FINANCEIRO!$B$855,LANÇ_MOV[ANO PAGAMENTO],$B$4,LANÇ_MOV[MÊS PAGAMENTO CORRESPONDENTE],J$6,LANÇ_MOV[EMPRESA],$C$4,LANÇ_MOV[CENTRO DE CUSTOS],$D$4)</f>
        <v>0</v>
      </c>
      <c r="K863" s="206">
        <f>SUMIFS(LANÇ_MOV[VALOR LÍQUIDO],LANÇ_MOV[RECEITA OU DESPESA],"Despesa",LANÇ_MOV[CONTAS],$C863,LANÇ_MOV[PLANO DE CONTAS],REL_DRE_FINANCEIRO!$B$855,LANÇ_MOV[ANO PAGAMENTO],$B$4,LANÇ_MOV[MÊS PAGAMENTO CORRESPONDENTE],K$6,LANÇ_MOV[EMPRESA],$C$4,LANÇ_MOV[CENTRO DE CUSTOS],$D$4)</f>
        <v>0</v>
      </c>
      <c r="L863" s="206">
        <f>SUMIFS(LANÇ_MOV[VALOR LÍQUIDO],LANÇ_MOV[RECEITA OU DESPESA],"Despesa",LANÇ_MOV[CONTAS],$C863,LANÇ_MOV[PLANO DE CONTAS],REL_DRE_FINANCEIRO!$B$855,LANÇ_MOV[ANO PAGAMENTO],$B$4,LANÇ_MOV[MÊS PAGAMENTO CORRESPONDENTE],L$6,LANÇ_MOV[EMPRESA],$C$4,LANÇ_MOV[CENTRO DE CUSTOS],$D$4)</f>
        <v>0</v>
      </c>
      <c r="M863" s="206">
        <f>SUMIFS(LANÇ_MOV[VALOR LÍQUIDO],LANÇ_MOV[RECEITA OU DESPESA],"Despesa",LANÇ_MOV[CONTAS],$C863,LANÇ_MOV[PLANO DE CONTAS],REL_DRE_FINANCEIRO!$B$855,LANÇ_MOV[ANO PAGAMENTO],$B$4,LANÇ_MOV[MÊS PAGAMENTO CORRESPONDENTE],M$6,LANÇ_MOV[EMPRESA],$C$4,LANÇ_MOV[CENTRO DE CUSTOS],$D$4)</f>
        <v>0</v>
      </c>
      <c r="N863" s="206">
        <f>SUMIFS(LANÇ_MOV[VALOR LÍQUIDO],LANÇ_MOV[RECEITA OU DESPESA],"Despesa",LANÇ_MOV[CONTAS],$C863,LANÇ_MOV[PLANO DE CONTAS],REL_DRE_FINANCEIRO!$B$855,LANÇ_MOV[ANO PAGAMENTO],$B$4,LANÇ_MOV[MÊS PAGAMENTO CORRESPONDENTE],N$6,LANÇ_MOV[EMPRESA],$C$4,LANÇ_MOV[CENTRO DE CUSTOS],$D$4)</f>
        <v>0</v>
      </c>
      <c r="O863" s="206">
        <f>SUMIFS(LANÇ_MOV[VALOR LÍQUIDO],LANÇ_MOV[RECEITA OU DESPESA],"Despesa",LANÇ_MOV[CONTAS],$C863,LANÇ_MOV[PLANO DE CONTAS],REL_DRE_FINANCEIRO!$B$855,LANÇ_MOV[ANO PAGAMENTO],$B$4,LANÇ_MOV[MÊS PAGAMENTO CORRESPONDENTE],O$6,LANÇ_MOV[EMPRESA],$C$4,LANÇ_MOV[CENTRO DE CUSTOS],$D$4)</f>
        <v>0</v>
      </c>
      <c r="P863" s="207">
        <f t="shared" si="111"/>
        <v>0</v>
      </c>
      <c r="Q863" s="329">
        <v>9.3000000000000007E-6</v>
      </c>
      <c r="R863" s="346">
        <f t="shared" si="112"/>
        <v>9.3000000000000007E-6</v>
      </c>
      <c r="S863" s="347" t="str">
        <f t="shared" si="113"/>
        <v>IMOBILIZADO - VEÍCULOS</v>
      </c>
      <c r="T863" s="347">
        <f t="shared" si="114"/>
        <v>0</v>
      </c>
      <c r="U863" s="347">
        <f>HLOOKUP(Apoio!$P$12,$D$854:$P$955,X863,FALSE)+Q863</f>
        <v>9.3000000000000007E-6</v>
      </c>
      <c r="V863" s="447" t="str">
        <f t="shared" si="115"/>
        <v>IMOBILIZADO - VEÍCULOS</v>
      </c>
      <c r="W863" s="448">
        <f>HLOOKUP(Apoio!$P$12,$D$854:$P$955,X863,FALSE)</f>
        <v>0</v>
      </c>
      <c r="X863" s="329">
        <v>10</v>
      </c>
      <c r="Y863" s="329">
        <v>2</v>
      </c>
      <c r="Z863" s="340" t="str">
        <f>VLOOKUP(LARGE($U$856:$U$955,Y863),$U$856:$V$955,2,FALSE)</f>
        <v>IMOBILIZADO - AQUISIÇÃO DE SOFTWARE</v>
      </c>
      <c r="AA863" s="340">
        <f>VLOOKUP(Z863,$V$856:$W$955,2,FALSE)</f>
        <v>0</v>
      </c>
    </row>
    <row r="864" spans="2:50" ht="30.05" customHeight="1" x14ac:dyDescent="0.35">
      <c r="B864" s="204" t="str">
        <f>'CAD_PL_REC-DESP'!AC13</f>
        <v>2.7.9</v>
      </c>
      <c r="C864" s="205" t="str">
        <f>IF('CAD_PL_REC-DESP'!AD13="","-",'CAD_PL_REC-DESP'!AD13)</f>
        <v>OUTROS INVESTIMENTOS</v>
      </c>
      <c r="D864" s="206">
        <f>SUMIFS(LANÇ_MOV[VALOR LÍQUIDO],LANÇ_MOV[RECEITA OU DESPESA],"Despesa",LANÇ_MOV[CONTAS],$C864,LANÇ_MOV[PLANO DE CONTAS],REL_DRE_FINANCEIRO!$B$855,LANÇ_MOV[ANO PAGAMENTO],$B$4,LANÇ_MOV[MÊS PAGAMENTO CORRESPONDENTE],D$6,LANÇ_MOV[EMPRESA],$C$4,LANÇ_MOV[CENTRO DE CUSTOS],$D$4)</f>
        <v>0</v>
      </c>
      <c r="E864" s="206">
        <f>SUMIFS(LANÇ_MOV[VALOR LÍQUIDO],LANÇ_MOV[RECEITA OU DESPESA],"Despesa",LANÇ_MOV[CONTAS],$C864,LANÇ_MOV[PLANO DE CONTAS],REL_DRE_FINANCEIRO!$B$855,LANÇ_MOV[ANO PAGAMENTO],$B$4,LANÇ_MOV[MÊS PAGAMENTO CORRESPONDENTE],E$6,LANÇ_MOV[EMPRESA],$C$4,LANÇ_MOV[CENTRO DE CUSTOS],$D$4)</f>
        <v>0</v>
      </c>
      <c r="F864" s="206">
        <f>SUMIFS(LANÇ_MOV[VALOR LÍQUIDO],LANÇ_MOV[RECEITA OU DESPESA],"Despesa",LANÇ_MOV[CONTAS],$C864,LANÇ_MOV[PLANO DE CONTAS],REL_DRE_FINANCEIRO!$B$855,LANÇ_MOV[ANO PAGAMENTO],$B$4,LANÇ_MOV[MÊS PAGAMENTO CORRESPONDENTE],F$6,LANÇ_MOV[EMPRESA],$C$4,LANÇ_MOV[CENTRO DE CUSTOS],$D$4)</f>
        <v>0</v>
      </c>
      <c r="G864" s="206">
        <f>SUMIFS(LANÇ_MOV[VALOR LÍQUIDO],LANÇ_MOV[RECEITA OU DESPESA],"Despesa",LANÇ_MOV[CONTAS],$C864,LANÇ_MOV[PLANO DE CONTAS],REL_DRE_FINANCEIRO!$B$855,LANÇ_MOV[ANO PAGAMENTO],$B$4,LANÇ_MOV[MÊS PAGAMENTO CORRESPONDENTE],G$6,LANÇ_MOV[EMPRESA],$C$4,LANÇ_MOV[CENTRO DE CUSTOS],$D$4)</f>
        <v>0</v>
      </c>
      <c r="H864" s="206">
        <f>SUMIFS(LANÇ_MOV[VALOR LÍQUIDO],LANÇ_MOV[RECEITA OU DESPESA],"Despesa",LANÇ_MOV[CONTAS],$C864,LANÇ_MOV[PLANO DE CONTAS],REL_DRE_FINANCEIRO!$B$855,LANÇ_MOV[ANO PAGAMENTO],$B$4,LANÇ_MOV[MÊS PAGAMENTO CORRESPONDENTE],H$6,LANÇ_MOV[EMPRESA],$C$4,LANÇ_MOV[CENTRO DE CUSTOS],$D$4)</f>
        <v>0</v>
      </c>
      <c r="I864" s="206">
        <f>SUMIFS(LANÇ_MOV[VALOR LÍQUIDO],LANÇ_MOV[RECEITA OU DESPESA],"Despesa",LANÇ_MOV[CONTAS],$C864,LANÇ_MOV[PLANO DE CONTAS],REL_DRE_FINANCEIRO!$B$855,LANÇ_MOV[ANO PAGAMENTO],$B$4,LANÇ_MOV[MÊS PAGAMENTO CORRESPONDENTE],I$6,LANÇ_MOV[EMPRESA],$C$4,LANÇ_MOV[CENTRO DE CUSTOS],$D$4)</f>
        <v>0</v>
      </c>
      <c r="J864" s="206">
        <f>SUMIFS(LANÇ_MOV[VALOR LÍQUIDO],LANÇ_MOV[RECEITA OU DESPESA],"Despesa",LANÇ_MOV[CONTAS],$C864,LANÇ_MOV[PLANO DE CONTAS],REL_DRE_FINANCEIRO!$B$855,LANÇ_MOV[ANO PAGAMENTO],$B$4,LANÇ_MOV[MÊS PAGAMENTO CORRESPONDENTE],J$6,LANÇ_MOV[EMPRESA],$C$4,LANÇ_MOV[CENTRO DE CUSTOS],$D$4)</f>
        <v>0</v>
      </c>
      <c r="K864" s="206">
        <f>SUMIFS(LANÇ_MOV[VALOR LÍQUIDO],LANÇ_MOV[RECEITA OU DESPESA],"Despesa",LANÇ_MOV[CONTAS],$C864,LANÇ_MOV[PLANO DE CONTAS],REL_DRE_FINANCEIRO!$B$855,LANÇ_MOV[ANO PAGAMENTO],$B$4,LANÇ_MOV[MÊS PAGAMENTO CORRESPONDENTE],K$6,LANÇ_MOV[EMPRESA],$C$4,LANÇ_MOV[CENTRO DE CUSTOS],$D$4)</f>
        <v>0</v>
      </c>
      <c r="L864" s="206">
        <f>SUMIFS(LANÇ_MOV[VALOR LÍQUIDO],LANÇ_MOV[RECEITA OU DESPESA],"Despesa",LANÇ_MOV[CONTAS],$C864,LANÇ_MOV[PLANO DE CONTAS],REL_DRE_FINANCEIRO!$B$855,LANÇ_MOV[ANO PAGAMENTO],$B$4,LANÇ_MOV[MÊS PAGAMENTO CORRESPONDENTE],L$6,LANÇ_MOV[EMPRESA],$C$4,LANÇ_MOV[CENTRO DE CUSTOS],$D$4)</f>
        <v>0</v>
      </c>
      <c r="M864" s="206">
        <f>SUMIFS(LANÇ_MOV[VALOR LÍQUIDO],LANÇ_MOV[RECEITA OU DESPESA],"Despesa",LANÇ_MOV[CONTAS],$C864,LANÇ_MOV[PLANO DE CONTAS],REL_DRE_FINANCEIRO!$B$855,LANÇ_MOV[ANO PAGAMENTO],$B$4,LANÇ_MOV[MÊS PAGAMENTO CORRESPONDENTE],M$6,LANÇ_MOV[EMPRESA],$C$4,LANÇ_MOV[CENTRO DE CUSTOS],$D$4)</f>
        <v>0</v>
      </c>
      <c r="N864" s="206">
        <f>SUMIFS(LANÇ_MOV[VALOR LÍQUIDO],LANÇ_MOV[RECEITA OU DESPESA],"Despesa",LANÇ_MOV[CONTAS],$C864,LANÇ_MOV[PLANO DE CONTAS],REL_DRE_FINANCEIRO!$B$855,LANÇ_MOV[ANO PAGAMENTO],$B$4,LANÇ_MOV[MÊS PAGAMENTO CORRESPONDENTE],N$6,LANÇ_MOV[EMPRESA],$C$4,LANÇ_MOV[CENTRO DE CUSTOS],$D$4)</f>
        <v>0</v>
      </c>
      <c r="O864" s="206">
        <f>SUMIFS(LANÇ_MOV[VALOR LÍQUIDO],LANÇ_MOV[RECEITA OU DESPESA],"Despesa",LANÇ_MOV[CONTAS],$C864,LANÇ_MOV[PLANO DE CONTAS],REL_DRE_FINANCEIRO!$B$855,LANÇ_MOV[ANO PAGAMENTO],$B$4,LANÇ_MOV[MÊS PAGAMENTO CORRESPONDENTE],O$6,LANÇ_MOV[EMPRESA],$C$4,LANÇ_MOV[CENTRO DE CUSTOS],$D$4)</f>
        <v>0</v>
      </c>
      <c r="P864" s="207">
        <f t="shared" si="111"/>
        <v>0</v>
      </c>
      <c r="Q864" s="329">
        <v>9.2E-6</v>
      </c>
      <c r="R864" s="346">
        <f t="shared" si="112"/>
        <v>9.2E-6</v>
      </c>
      <c r="S864" s="347" t="str">
        <f t="shared" si="113"/>
        <v>OUTROS INVESTIMENTOS</v>
      </c>
      <c r="T864" s="347">
        <f t="shared" si="114"/>
        <v>0</v>
      </c>
      <c r="U864" s="347">
        <f>HLOOKUP(Apoio!$P$12,$D$854:$P$955,X864,FALSE)+Q864</f>
        <v>9.2E-6</v>
      </c>
      <c r="V864" s="447" t="str">
        <f t="shared" si="115"/>
        <v>OUTROS INVESTIMENTOS</v>
      </c>
      <c r="W864" s="448">
        <f>HLOOKUP(Apoio!$P$12,$D$854:$P$955,X864,FALSE)</f>
        <v>0</v>
      </c>
      <c r="X864" s="329">
        <v>11</v>
      </c>
      <c r="Y864" s="329">
        <v>3</v>
      </c>
      <c r="Z864" s="340" t="str">
        <f>VLOOKUP(LARGE($U$856:$U$955,Y864),$U$856:$V$955,2,FALSE)</f>
        <v>IMOBILIZADO - BENFEITORIAS</v>
      </c>
      <c r="AA864" s="340">
        <f>VLOOKUP(Z864,$V$856:$W$955,2,FALSE)</f>
        <v>0</v>
      </c>
    </row>
    <row r="865" spans="2:27" ht="30.05" customHeight="1" x14ac:dyDescent="0.35">
      <c r="B865" s="204" t="str">
        <f>'CAD_PL_REC-DESP'!AC14</f>
        <v>2.7.10</v>
      </c>
      <c r="C865" s="205" t="str">
        <f>IF('CAD_PL_REC-DESP'!AD14="","-",'CAD_PL_REC-DESP'!AD14)</f>
        <v>PNEUS</v>
      </c>
      <c r="D865" s="206">
        <f>SUMIFS(LANÇ_MOV[VALOR LÍQUIDO],LANÇ_MOV[RECEITA OU DESPESA],"Despesa",LANÇ_MOV[CONTAS],$C865,LANÇ_MOV[PLANO DE CONTAS],REL_DRE_FINANCEIRO!$B$855,LANÇ_MOV[ANO PAGAMENTO],$B$4,LANÇ_MOV[MÊS PAGAMENTO CORRESPONDENTE],D$6,LANÇ_MOV[EMPRESA],$C$4,LANÇ_MOV[CENTRO DE CUSTOS],$D$4)</f>
        <v>0</v>
      </c>
      <c r="E865" s="206">
        <f>SUMIFS(LANÇ_MOV[VALOR LÍQUIDO],LANÇ_MOV[RECEITA OU DESPESA],"Despesa",LANÇ_MOV[CONTAS],$C865,LANÇ_MOV[PLANO DE CONTAS],REL_DRE_FINANCEIRO!$B$855,LANÇ_MOV[ANO PAGAMENTO],$B$4,LANÇ_MOV[MÊS PAGAMENTO CORRESPONDENTE],E$6,LANÇ_MOV[EMPRESA],$C$4,LANÇ_MOV[CENTRO DE CUSTOS],$D$4)</f>
        <v>0</v>
      </c>
      <c r="F865" s="206">
        <f>SUMIFS(LANÇ_MOV[VALOR LÍQUIDO],LANÇ_MOV[RECEITA OU DESPESA],"Despesa",LANÇ_MOV[CONTAS],$C865,LANÇ_MOV[PLANO DE CONTAS],REL_DRE_FINANCEIRO!$B$855,LANÇ_MOV[ANO PAGAMENTO],$B$4,LANÇ_MOV[MÊS PAGAMENTO CORRESPONDENTE],F$6,LANÇ_MOV[EMPRESA],$C$4,LANÇ_MOV[CENTRO DE CUSTOS],$D$4)</f>
        <v>0</v>
      </c>
      <c r="G865" s="206">
        <f>SUMIFS(LANÇ_MOV[VALOR LÍQUIDO],LANÇ_MOV[RECEITA OU DESPESA],"Despesa",LANÇ_MOV[CONTAS],$C865,LANÇ_MOV[PLANO DE CONTAS],REL_DRE_FINANCEIRO!$B$855,LANÇ_MOV[ANO PAGAMENTO],$B$4,LANÇ_MOV[MÊS PAGAMENTO CORRESPONDENTE],G$6,LANÇ_MOV[EMPRESA],$C$4,LANÇ_MOV[CENTRO DE CUSTOS],$D$4)</f>
        <v>0</v>
      </c>
      <c r="H865" s="206">
        <f>SUMIFS(LANÇ_MOV[VALOR LÍQUIDO],LANÇ_MOV[RECEITA OU DESPESA],"Despesa",LANÇ_MOV[CONTAS],$C865,LANÇ_MOV[PLANO DE CONTAS],REL_DRE_FINANCEIRO!$B$855,LANÇ_MOV[ANO PAGAMENTO],$B$4,LANÇ_MOV[MÊS PAGAMENTO CORRESPONDENTE],H$6,LANÇ_MOV[EMPRESA],$C$4,LANÇ_MOV[CENTRO DE CUSTOS],$D$4)</f>
        <v>0</v>
      </c>
      <c r="I865" s="206">
        <f>SUMIFS(LANÇ_MOV[VALOR LÍQUIDO],LANÇ_MOV[RECEITA OU DESPESA],"Despesa",LANÇ_MOV[CONTAS],$C865,LANÇ_MOV[PLANO DE CONTAS],REL_DRE_FINANCEIRO!$B$855,LANÇ_MOV[ANO PAGAMENTO],$B$4,LANÇ_MOV[MÊS PAGAMENTO CORRESPONDENTE],I$6,LANÇ_MOV[EMPRESA],$C$4,LANÇ_MOV[CENTRO DE CUSTOS],$D$4)</f>
        <v>0</v>
      </c>
      <c r="J865" s="206">
        <f>SUMIFS(LANÇ_MOV[VALOR LÍQUIDO],LANÇ_MOV[RECEITA OU DESPESA],"Despesa",LANÇ_MOV[CONTAS],$C865,LANÇ_MOV[PLANO DE CONTAS],REL_DRE_FINANCEIRO!$B$855,LANÇ_MOV[ANO PAGAMENTO],$B$4,LANÇ_MOV[MÊS PAGAMENTO CORRESPONDENTE],J$6,LANÇ_MOV[EMPRESA],$C$4,LANÇ_MOV[CENTRO DE CUSTOS],$D$4)</f>
        <v>0</v>
      </c>
      <c r="K865" s="206">
        <f>SUMIFS(LANÇ_MOV[VALOR LÍQUIDO],LANÇ_MOV[RECEITA OU DESPESA],"Despesa",LANÇ_MOV[CONTAS],$C865,LANÇ_MOV[PLANO DE CONTAS],REL_DRE_FINANCEIRO!$B$855,LANÇ_MOV[ANO PAGAMENTO],$B$4,LANÇ_MOV[MÊS PAGAMENTO CORRESPONDENTE],K$6,LANÇ_MOV[EMPRESA],$C$4,LANÇ_MOV[CENTRO DE CUSTOS],$D$4)</f>
        <v>0</v>
      </c>
      <c r="L865" s="206">
        <f>SUMIFS(LANÇ_MOV[VALOR LÍQUIDO],LANÇ_MOV[RECEITA OU DESPESA],"Despesa",LANÇ_MOV[CONTAS],$C865,LANÇ_MOV[PLANO DE CONTAS],REL_DRE_FINANCEIRO!$B$855,LANÇ_MOV[ANO PAGAMENTO],$B$4,LANÇ_MOV[MÊS PAGAMENTO CORRESPONDENTE],L$6,LANÇ_MOV[EMPRESA],$C$4,LANÇ_MOV[CENTRO DE CUSTOS],$D$4)</f>
        <v>0</v>
      </c>
      <c r="M865" s="206">
        <f>SUMIFS(LANÇ_MOV[VALOR LÍQUIDO],LANÇ_MOV[RECEITA OU DESPESA],"Despesa",LANÇ_MOV[CONTAS],$C865,LANÇ_MOV[PLANO DE CONTAS],REL_DRE_FINANCEIRO!$B$855,LANÇ_MOV[ANO PAGAMENTO],$B$4,LANÇ_MOV[MÊS PAGAMENTO CORRESPONDENTE],M$6,LANÇ_MOV[EMPRESA],$C$4,LANÇ_MOV[CENTRO DE CUSTOS],$D$4)</f>
        <v>0</v>
      </c>
      <c r="N865" s="206">
        <f>SUMIFS(LANÇ_MOV[VALOR LÍQUIDO],LANÇ_MOV[RECEITA OU DESPESA],"Despesa",LANÇ_MOV[CONTAS],$C865,LANÇ_MOV[PLANO DE CONTAS],REL_DRE_FINANCEIRO!$B$855,LANÇ_MOV[ANO PAGAMENTO],$B$4,LANÇ_MOV[MÊS PAGAMENTO CORRESPONDENTE],N$6,LANÇ_MOV[EMPRESA],$C$4,LANÇ_MOV[CENTRO DE CUSTOS],$D$4)</f>
        <v>0</v>
      </c>
      <c r="O865" s="206">
        <f>SUMIFS(LANÇ_MOV[VALOR LÍQUIDO],LANÇ_MOV[RECEITA OU DESPESA],"Despesa",LANÇ_MOV[CONTAS],$C865,LANÇ_MOV[PLANO DE CONTAS],REL_DRE_FINANCEIRO!$B$855,LANÇ_MOV[ANO PAGAMENTO],$B$4,LANÇ_MOV[MÊS PAGAMENTO CORRESPONDENTE],O$6,LANÇ_MOV[EMPRESA],$C$4,LANÇ_MOV[CENTRO DE CUSTOS],$D$4)</f>
        <v>0</v>
      </c>
      <c r="P865" s="207">
        <f t="shared" si="111"/>
        <v>0</v>
      </c>
      <c r="Q865" s="329">
        <v>9.0999999999999993E-6</v>
      </c>
      <c r="R865" s="346">
        <f t="shared" si="112"/>
        <v>9.0999999999999993E-6</v>
      </c>
      <c r="S865" s="347" t="str">
        <f t="shared" si="113"/>
        <v>PNEUS</v>
      </c>
      <c r="T865" s="347">
        <f t="shared" si="114"/>
        <v>0</v>
      </c>
      <c r="U865" s="347">
        <f>HLOOKUP(Apoio!$P$12,$D$854:$P$955,X865,FALSE)+Q865</f>
        <v>9.0999999999999993E-6</v>
      </c>
      <c r="V865" s="447" t="str">
        <f t="shared" si="115"/>
        <v>PNEUS</v>
      </c>
      <c r="W865" s="448">
        <f>HLOOKUP(Apoio!$P$12,$D$854:$P$955,X865,FALSE)</f>
        <v>0</v>
      </c>
      <c r="X865" s="329">
        <v>12</v>
      </c>
      <c r="Y865" s="329">
        <v>4</v>
      </c>
      <c r="Z865" s="340" t="str">
        <f>VLOOKUP(LARGE($U$856:$U$955,Y865),$U$856:$V$955,2,FALSE)</f>
        <v>IMOBILIZADO - COMPUTADORES E PERIFERICOS</v>
      </c>
      <c r="AA865" s="340">
        <f>VLOOKUP(Z865,$V$856:$W$955,2,FALSE)</f>
        <v>0</v>
      </c>
    </row>
    <row r="866" spans="2:27" ht="30.05" customHeight="1" x14ac:dyDescent="0.35">
      <c r="B866" s="204" t="str">
        <f>'CAD_PL_REC-DESP'!AC15</f>
        <v>2.7.11</v>
      </c>
      <c r="C866" s="205" t="str">
        <f>IF('CAD_PL_REC-DESP'!AD15="","-",'CAD_PL_REC-DESP'!AD15)</f>
        <v>-</v>
      </c>
      <c r="D866" s="206">
        <f>SUMIFS(LANÇ_MOV[VALOR LÍQUIDO],LANÇ_MOV[RECEITA OU DESPESA],"Despesa",LANÇ_MOV[CONTAS],$C866,LANÇ_MOV[PLANO DE CONTAS],REL_DRE_FINANCEIRO!$B$855,LANÇ_MOV[ANO PAGAMENTO],$B$4,LANÇ_MOV[MÊS PAGAMENTO CORRESPONDENTE],D$6,LANÇ_MOV[EMPRESA],$C$4,LANÇ_MOV[CENTRO DE CUSTOS],$D$4)</f>
        <v>0</v>
      </c>
      <c r="E866" s="206">
        <f>SUMIFS(LANÇ_MOV[VALOR LÍQUIDO],LANÇ_MOV[RECEITA OU DESPESA],"Despesa",LANÇ_MOV[CONTAS],$C866,LANÇ_MOV[PLANO DE CONTAS],REL_DRE_FINANCEIRO!$B$855,LANÇ_MOV[ANO PAGAMENTO],$B$4,LANÇ_MOV[MÊS PAGAMENTO CORRESPONDENTE],E$6,LANÇ_MOV[EMPRESA],$C$4,LANÇ_MOV[CENTRO DE CUSTOS],$D$4)</f>
        <v>0</v>
      </c>
      <c r="F866" s="206">
        <f>SUMIFS(LANÇ_MOV[VALOR LÍQUIDO],LANÇ_MOV[RECEITA OU DESPESA],"Despesa",LANÇ_MOV[CONTAS],$C866,LANÇ_MOV[PLANO DE CONTAS],REL_DRE_FINANCEIRO!$B$855,LANÇ_MOV[ANO PAGAMENTO],$B$4,LANÇ_MOV[MÊS PAGAMENTO CORRESPONDENTE],F$6,LANÇ_MOV[EMPRESA],$C$4,LANÇ_MOV[CENTRO DE CUSTOS],$D$4)</f>
        <v>0</v>
      </c>
      <c r="G866" s="206">
        <f>SUMIFS(LANÇ_MOV[VALOR LÍQUIDO],LANÇ_MOV[RECEITA OU DESPESA],"Despesa",LANÇ_MOV[CONTAS],$C866,LANÇ_MOV[PLANO DE CONTAS],REL_DRE_FINANCEIRO!$B$855,LANÇ_MOV[ANO PAGAMENTO],$B$4,LANÇ_MOV[MÊS PAGAMENTO CORRESPONDENTE],G$6,LANÇ_MOV[EMPRESA],$C$4,LANÇ_MOV[CENTRO DE CUSTOS],$D$4)</f>
        <v>0</v>
      </c>
      <c r="H866" s="206">
        <f>SUMIFS(LANÇ_MOV[VALOR LÍQUIDO],LANÇ_MOV[RECEITA OU DESPESA],"Despesa",LANÇ_MOV[CONTAS],$C866,LANÇ_MOV[PLANO DE CONTAS],REL_DRE_FINANCEIRO!$B$855,LANÇ_MOV[ANO PAGAMENTO],$B$4,LANÇ_MOV[MÊS PAGAMENTO CORRESPONDENTE],H$6,LANÇ_MOV[EMPRESA],$C$4,LANÇ_MOV[CENTRO DE CUSTOS],$D$4)</f>
        <v>0</v>
      </c>
      <c r="I866" s="206">
        <f>SUMIFS(LANÇ_MOV[VALOR LÍQUIDO],LANÇ_MOV[RECEITA OU DESPESA],"Despesa",LANÇ_MOV[CONTAS],$C866,LANÇ_MOV[PLANO DE CONTAS],REL_DRE_FINANCEIRO!$B$855,LANÇ_MOV[ANO PAGAMENTO],$B$4,LANÇ_MOV[MÊS PAGAMENTO CORRESPONDENTE],I$6,LANÇ_MOV[EMPRESA],$C$4,LANÇ_MOV[CENTRO DE CUSTOS],$D$4)</f>
        <v>0</v>
      </c>
      <c r="J866" s="206">
        <f>SUMIFS(LANÇ_MOV[VALOR LÍQUIDO],LANÇ_MOV[RECEITA OU DESPESA],"Despesa",LANÇ_MOV[CONTAS],$C866,LANÇ_MOV[PLANO DE CONTAS],REL_DRE_FINANCEIRO!$B$855,LANÇ_MOV[ANO PAGAMENTO],$B$4,LANÇ_MOV[MÊS PAGAMENTO CORRESPONDENTE],J$6,LANÇ_MOV[EMPRESA],$C$4,LANÇ_MOV[CENTRO DE CUSTOS],$D$4)</f>
        <v>0</v>
      </c>
      <c r="K866" s="206">
        <f>SUMIFS(LANÇ_MOV[VALOR LÍQUIDO],LANÇ_MOV[RECEITA OU DESPESA],"Despesa",LANÇ_MOV[CONTAS],$C866,LANÇ_MOV[PLANO DE CONTAS],REL_DRE_FINANCEIRO!$B$855,LANÇ_MOV[ANO PAGAMENTO],$B$4,LANÇ_MOV[MÊS PAGAMENTO CORRESPONDENTE],K$6,LANÇ_MOV[EMPRESA],$C$4,LANÇ_MOV[CENTRO DE CUSTOS],$D$4)</f>
        <v>0</v>
      </c>
      <c r="L866" s="206">
        <f>SUMIFS(LANÇ_MOV[VALOR LÍQUIDO],LANÇ_MOV[RECEITA OU DESPESA],"Despesa",LANÇ_MOV[CONTAS],$C866,LANÇ_MOV[PLANO DE CONTAS],REL_DRE_FINANCEIRO!$B$855,LANÇ_MOV[ANO PAGAMENTO],$B$4,LANÇ_MOV[MÊS PAGAMENTO CORRESPONDENTE],L$6,LANÇ_MOV[EMPRESA],$C$4,LANÇ_MOV[CENTRO DE CUSTOS],$D$4)</f>
        <v>0</v>
      </c>
      <c r="M866" s="206">
        <f>SUMIFS(LANÇ_MOV[VALOR LÍQUIDO],LANÇ_MOV[RECEITA OU DESPESA],"Despesa",LANÇ_MOV[CONTAS],$C866,LANÇ_MOV[PLANO DE CONTAS],REL_DRE_FINANCEIRO!$B$855,LANÇ_MOV[ANO PAGAMENTO],$B$4,LANÇ_MOV[MÊS PAGAMENTO CORRESPONDENTE],M$6,LANÇ_MOV[EMPRESA],$C$4,LANÇ_MOV[CENTRO DE CUSTOS],$D$4)</f>
        <v>0</v>
      </c>
      <c r="N866" s="206">
        <f>SUMIFS(LANÇ_MOV[VALOR LÍQUIDO],LANÇ_MOV[RECEITA OU DESPESA],"Despesa",LANÇ_MOV[CONTAS],$C866,LANÇ_MOV[PLANO DE CONTAS],REL_DRE_FINANCEIRO!$B$855,LANÇ_MOV[ANO PAGAMENTO],$B$4,LANÇ_MOV[MÊS PAGAMENTO CORRESPONDENTE],N$6,LANÇ_MOV[EMPRESA],$C$4,LANÇ_MOV[CENTRO DE CUSTOS],$D$4)</f>
        <v>0</v>
      </c>
      <c r="O866" s="206">
        <f>SUMIFS(LANÇ_MOV[VALOR LÍQUIDO],LANÇ_MOV[RECEITA OU DESPESA],"Despesa",LANÇ_MOV[CONTAS],$C866,LANÇ_MOV[PLANO DE CONTAS],REL_DRE_FINANCEIRO!$B$855,LANÇ_MOV[ANO PAGAMENTO],$B$4,LANÇ_MOV[MÊS PAGAMENTO CORRESPONDENTE],O$6,LANÇ_MOV[EMPRESA],$C$4,LANÇ_MOV[CENTRO DE CUSTOS],$D$4)</f>
        <v>0</v>
      </c>
      <c r="P866" s="207">
        <f t="shared" si="111"/>
        <v>0</v>
      </c>
      <c r="Q866" s="329">
        <v>9.0000000000000002E-6</v>
      </c>
      <c r="R866" s="346">
        <f t="shared" si="112"/>
        <v>9.0000000000000002E-6</v>
      </c>
      <c r="S866" s="347" t="str">
        <f t="shared" si="113"/>
        <v>-</v>
      </c>
      <c r="T866" s="347">
        <f t="shared" si="114"/>
        <v>0</v>
      </c>
      <c r="U866" s="347">
        <f>HLOOKUP(Apoio!$P$12,$D$854:$P$955,X866,FALSE)+Q866</f>
        <v>9.0000000000000002E-6</v>
      </c>
      <c r="V866" s="447" t="str">
        <f t="shared" si="115"/>
        <v>-</v>
      </c>
      <c r="W866" s="448">
        <f>HLOOKUP(Apoio!$P$12,$D$854:$P$955,X866,FALSE)</f>
        <v>0</v>
      </c>
      <c r="X866" s="329">
        <v>13</v>
      </c>
      <c r="Y866" s="329">
        <v>5</v>
      </c>
      <c r="Z866" s="340" t="str">
        <f>VLOOKUP(LARGE($U$856:$U$955,Y866),$U$856:$V$955,2,FALSE)</f>
        <v>IMOBILIZADO - MÁQUINAS, EQUIPAMENTOS E FERRAMENTAS</v>
      </c>
      <c r="AA866" s="340">
        <f>VLOOKUP(Z866,$V$856:$W$955,2,FALSE)</f>
        <v>0</v>
      </c>
    </row>
    <row r="867" spans="2:27" ht="30.05" customHeight="1" x14ac:dyDescent="0.35">
      <c r="B867" s="204" t="str">
        <f>'CAD_PL_REC-DESP'!AC16</f>
        <v>2.7.12</v>
      </c>
      <c r="C867" s="205" t="str">
        <f>IF('CAD_PL_REC-DESP'!AD16="","-",'CAD_PL_REC-DESP'!AD16)</f>
        <v>-</v>
      </c>
      <c r="D867" s="206">
        <f>SUMIFS(LANÇ_MOV[VALOR LÍQUIDO],LANÇ_MOV[RECEITA OU DESPESA],"Despesa",LANÇ_MOV[CONTAS],$C867,LANÇ_MOV[PLANO DE CONTAS],REL_DRE_FINANCEIRO!$B$855,LANÇ_MOV[ANO PAGAMENTO],$B$4,LANÇ_MOV[MÊS PAGAMENTO CORRESPONDENTE],D$6,LANÇ_MOV[EMPRESA],$C$4,LANÇ_MOV[CENTRO DE CUSTOS],$D$4)</f>
        <v>0</v>
      </c>
      <c r="E867" s="206">
        <f>SUMIFS(LANÇ_MOV[VALOR LÍQUIDO],LANÇ_MOV[RECEITA OU DESPESA],"Despesa",LANÇ_MOV[CONTAS],$C867,LANÇ_MOV[PLANO DE CONTAS],REL_DRE_FINANCEIRO!$B$855,LANÇ_MOV[ANO PAGAMENTO],$B$4,LANÇ_MOV[MÊS PAGAMENTO CORRESPONDENTE],E$6,LANÇ_MOV[EMPRESA],$C$4,LANÇ_MOV[CENTRO DE CUSTOS],$D$4)</f>
        <v>0</v>
      </c>
      <c r="F867" s="206">
        <f>SUMIFS(LANÇ_MOV[VALOR LÍQUIDO],LANÇ_MOV[RECEITA OU DESPESA],"Despesa",LANÇ_MOV[CONTAS],$C867,LANÇ_MOV[PLANO DE CONTAS],REL_DRE_FINANCEIRO!$B$855,LANÇ_MOV[ANO PAGAMENTO],$B$4,LANÇ_MOV[MÊS PAGAMENTO CORRESPONDENTE],F$6,LANÇ_MOV[EMPRESA],$C$4,LANÇ_MOV[CENTRO DE CUSTOS],$D$4)</f>
        <v>0</v>
      </c>
      <c r="G867" s="206">
        <f>SUMIFS(LANÇ_MOV[VALOR LÍQUIDO],LANÇ_MOV[RECEITA OU DESPESA],"Despesa",LANÇ_MOV[CONTAS],$C867,LANÇ_MOV[PLANO DE CONTAS],REL_DRE_FINANCEIRO!$B$855,LANÇ_MOV[ANO PAGAMENTO],$B$4,LANÇ_MOV[MÊS PAGAMENTO CORRESPONDENTE],G$6,LANÇ_MOV[EMPRESA],$C$4,LANÇ_MOV[CENTRO DE CUSTOS],$D$4)</f>
        <v>0</v>
      </c>
      <c r="H867" s="206">
        <f>SUMIFS(LANÇ_MOV[VALOR LÍQUIDO],LANÇ_MOV[RECEITA OU DESPESA],"Despesa",LANÇ_MOV[CONTAS],$C867,LANÇ_MOV[PLANO DE CONTAS],REL_DRE_FINANCEIRO!$B$855,LANÇ_MOV[ANO PAGAMENTO],$B$4,LANÇ_MOV[MÊS PAGAMENTO CORRESPONDENTE],H$6,LANÇ_MOV[EMPRESA],$C$4,LANÇ_MOV[CENTRO DE CUSTOS],$D$4)</f>
        <v>0</v>
      </c>
      <c r="I867" s="206">
        <f>SUMIFS(LANÇ_MOV[VALOR LÍQUIDO],LANÇ_MOV[RECEITA OU DESPESA],"Despesa",LANÇ_MOV[CONTAS],$C867,LANÇ_MOV[PLANO DE CONTAS],REL_DRE_FINANCEIRO!$B$855,LANÇ_MOV[ANO PAGAMENTO],$B$4,LANÇ_MOV[MÊS PAGAMENTO CORRESPONDENTE],I$6,LANÇ_MOV[EMPRESA],$C$4,LANÇ_MOV[CENTRO DE CUSTOS],$D$4)</f>
        <v>0</v>
      </c>
      <c r="J867" s="206">
        <f>SUMIFS(LANÇ_MOV[VALOR LÍQUIDO],LANÇ_MOV[RECEITA OU DESPESA],"Despesa",LANÇ_MOV[CONTAS],$C867,LANÇ_MOV[PLANO DE CONTAS],REL_DRE_FINANCEIRO!$B$855,LANÇ_MOV[ANO PAGAMENTO],$B$4,LANÇ_MOV[MÊS PAGAMENTO CORRESPONDENTE],J$6,LANÇ_MOV[EMPRESA],$C$4,LANÇ_MOV[CENTRO DE CUSTOS],$D$4)</f>
        <v>0</v>
      </c>
      <c r="K867" s="206">
        <f>SUMIFS(LANÇ_MOV[VALOR LÍQUIDO],LANÇ_MOV[RECEITA OU DESPESA],"Despesa",LANÇ_MOV[CONTAS],$C867,LANÇ_MOV[PLANO DE CONTAS],REL_DRE_FINANCEIRO!$B$855,LANÇ_MOV[ANO PAGAMENTO],$B$4,LANÇ_MOV[MÊS PAGAMENTO CORRESPONDENTE],K$6,LANÇ_MOV[EMPRESA],$C$4,LANÇ_MOV[CENTRO DE CUSTOS],$D$4)</f>
        <v>0</v>
      </c>
      <c r="L867" s="206">
        <f>SUMIFS(LANÇ_MOV[VALOR LÍQUIDO],LANÇ_MOV[RECEITA OU DESPESA],"Despesa",LANÇ_MOV[CONTAS],$C867,LANÇ_MOV[PLANO DE CONTAS],REL_DRE_FINANCEIRO!$B$855,LANÇ_MOV[ANO PAGAMENTO],$B$4,LANÇ_MOV[MÊS PAGAMENTO CORRESPONDENTE],L$6,LANÇ_MOV[EMPRESA],$C$4,LANÇ_MOV[CENTRO DE CUSTOS],$D$4)</f>
        <v>0</v>
      </c>
      <c r="M867" s="206">
        <f>SUMIFS(LANÇ_MOV[VALOR LÍQUIDO],LANÇ_MOV[RECEITA OU DESPESA],"Despesa",LANÇ_MOV[CONTAS],$C867,LANÇ_MOV[PLANO DE CONTAS],REL_DRE_FINANCEIRO!$B$855,LANÇ_MOV[ANO PAGAMENTO],$B$4,LANÇ_MOV[MÊS PAGAMENTO CORRESPONDENTE],M$6,LANÇ_MOV[EMPRESA],$C$4,LANÇ_MOV[CENTRO DE CUSTOS],$D$4)</f>
        <v>0</v>
      </c>
      <c r="N867" s="206">
        <f>SUMIFS(LANÇ_MOV[VALOR LÍQUIDO],LANÇ_MOV[RECEITA OU DESPESA],"Despesa",LANÇ_MOV[CONTAS],$C867,LANÇ_MOV[PLANO DE CONTAS],REL_DRE_FINANCEIRO!$B$855,LANÇ_MOV[ANO PAGAMENTO],$B$4,LANÇ_MOV[MÊS PAGAMENTO CORRESPONDENTE],N$6,LANÇ_MOV[EMPRESA],$C$4,LANÇ_MOV[CENTRO DE CUSTOS],$D$4)</f>
        <v>0</v>
      </c>
      <c r="O867" s="206">
        <f>SUMIFS(LANÇ_MOV[VALOR LÍQUIDO],LANÇ_MOV[RECEITA OU DESPESA],"Despesa",LANÇ_MOV[CONTAS],$C867,LANÇ_MOV[PLANO DE CONTAS],REL_DRE_FINANCEIRO!$B$855,LANÇ_MOV[ANO PAGAMENTO],$B$4,LANÇ_MOV[MÊS PAGAMENTO CORRESPONDENTE],O$6,LANÇ_MOV[EMPRESA],$C$4,LANÇ_MOV[CENTRO DE CUSTOS],$D$4)</f>
        <v>0</v>
      </c>
      <c r="P867" s="207">
        <f t="shared" si="111"/>
        <v>0</v>
      </c>
      <c r="Q867" s="329">
        <v>8.8999999999999995E-6</v>
      </c>
      <c r="R867" s="346">
        <f t="shared" si="112"/>
        <v>8.8999999999999995E-6</v>
      </c>
      <c r="S867" s="347" t="str">
        <f t="shared" si="113"/>
        <v>-</v>
      </c>
      <c r="T867" s="347">
        <f t="shared" si="114"/>
        <v>0</v>
      </c>
      <c r="U867" s="347">
        <f>HLOOKUP(Apoio!$P$12,$D$854:$P$955,X867,FALSE)+Q867</f>
        <v>8.8999999999999995E-6</v>
      </c>
      <c r="V867" s="447" t="str">
        <f t="shared" si="115"/>
        <v>-</v>
      </c>
      <c r="W867" s="448">
        <f>HLOOKUP(Apoio!$P$12,$D$854:$P$955,X867,FALSE)</f>
        <v>0</v>
      </c>
      <c r="X867" s="329">
        <v>14</v>
      </c>
      <c r="AA867" s="340">
        <f>SUM(AA862:AA866)</f>
        <v>0</v>
      </c>
    </row>
    <row r="868" spans="2:27" ht="30.05" customHeight="1" x14ac:dyDescent="0.35">
      <c r="B868" s="204" t="str">
        <f>'CAD_PL_REC-DESP'!AC17</f>
        <v>2.7.13</v>
      </c>
      <c r="C868" s="205" t="str">
        <f>IF('CAD_PL_REC-DESP'!AD17="","-",'CAD_PL_REC-DESP'!AD17)</f>
        <v>-</v>
      </c>
      <c r="D868" s="206">
        <f>SUMIFS(LANÇ_MOV[VALOR LÍQUIDO],LANÇ_MOV[RECEITA OU DESPESA],"Despesa",LANÇ_MOV[CONTAS],$C868,LANÇ_MOV[PLANO DE CONTAS],REL_DRE_FINANCEIRO!$B$855,LANÇ_MOV[ANO PAGAMENTO],$B$4,LANÇ_MOV[MÊS PAGAMENTO CORRESPONDENTE],D$6,LANÇ_MOV[EMPRESA],$C$4,LANÇ_MOV[CENTRO DE CUSTOS],$D$4)</f>
        <v>0</v>
      </c>
      <c r="E868" s="206">
        <f>SUMIFS(LANÇ_MOV[VALOR LÍQUIDO],LANÇ_MOV[RECEITA OU DESPESA],"Despesa",LANÇ_MOV[CONTAS],$C868,LANÇ_MOV[PLANO DE CONTAS],REL_DRE_FINANCEIRO!$B$855,LANÇ_MOV[ANO PAGAMENTO],$B$4,LANÇ_MOV[MÊS PAGAMENTO CORRESPONDENTE],E$6,LANÇ_MOV[EMPRESA],$C$4,LANÇ_MOV[CENTRO DE CUSTOS],$D$4)</f>
        <v>0</v>
      </c>
      <c r="F868" s="206">
        <f>SUMIFS(LANÇ_MOV[VALOR LÍQUIDO],LANÇ_MOV[RECEITA OU DESPESA],"Despesa",LANÇ_MOV[CONTAS],$C868,LANÇ_MOV[PLANO DE CONTAS],REL_DRE_FINANCEIRO!$B$855,LANÇ_MOV[ANO PAGAMENTO],$B$4,LANÇ_MOV[MÊS PAGAMENTO CORRESPONDENTE],F$6,LANÇ_MOV[EMPRESA],$C$4,LANÇ_MOV[CENTRO DE CUSTOS],$D$4)</f>
        <v>0</v>
      </c>
      <c r="G868" s="206">
        <f>SUMIFS(LANÇ_MOV[VALOR LÍQUIDO],LANÇ_MOV[RECEITA OU DESPESA],"Despesa",LANÇ_MOV[CONTAS],$C868,LANÇ_MOV[PLANO DE CONTAS],REL_DRE_FINANCEIRO!$B$855,LANÇ_MOV[ANO PAGAMENTO],$B$4,LANÇ_MOV[MÊS PAGAMENTO CORRESPONDENTE],G$6,LANÇ_MOV[EMPRESA],$C$4,LANÇ_MOV[CENTRO DE CUSTOS],$D$4)</f>
        <v>0</v>
      </c>
      <c r="H868" s="206">
        <f>SUMIFS(LANÇ_MOV[VALOR LÍQUIDO],LANÇ_MOV[RECEITA OU DESPESA],"Despesa",LANÇ_MOV[CONTAS],$C868,LANÇ_MOV[PLANO DE CONTAS],REL_DRE_FINANCEIRO!$B$855,LANÇ_MOV[ANO PAGAMENTO],$B$4,LANÇ_MOV[MÊS PAGAMENTO CORRESPONDENTE],H$6,LANÇ_MOV[EMPRESA],$C$4,LANÇ_MOV[CENTRO DE CUSTOS],$D$4)</f>
        <v>0</v>
      </c>
      <c r="I868" s="206">
        <f>SUMIFS(LANÇ_MOV[VALOR LÍQUIDO],LANÇ_MOV[RECEITA OU DESPESA],"Despesa",LANÇ_MOV[CONTAS],$C868,LANÇ_MOV[PLANO DE CONTAS],REL_DRE_FINANCEIRO!$B$855,LANÇ_MOV[ANO PAGAMENTO],$B$4,LANÇ_MOV[MÊS PAGAMENTO CORRESPONDENTE],I$6,LANÇ_MOV[EMPRESA],$C$4,LANÇ_MOV[CENTRO DE CUSTOS],$D$4)</f>
        <v>0</v>
      </c>
      <c r="J868" s="206">
        <f>SUMIFS(LANÇ_MOV[VALOR LÍQUIDO],LANÇ_MOV[RECEITA OU DESPESA],"Despesa",LANÇ_MOV[CONTAS],$C868,LANÇ_MOV[PLANO DE CONTAS],REL_DRE_FINANCEIRO!$B$855,LANÇ_MOV[ANO PAGAMENTO],$B$4,LANÇ_MOV[MÊS PAGAMENTO CORRESPONDENTE],J$6,LANÇ_MOV[EMPRESA],$C$4,LANÇ_MOV[CENTRO DE CUSTOS],$D$4)</f>
        <v>0</v>
      </c>
      <c r="K868" s="206">
        <f>SUMIFS(LANÇ_MOV[VALOR LÍQUIDO],LANÇ_MOV[RECEITA OU DESPESA],"Despesa",LANÇ_MOV[CONTAS],$C868,LANÇ_MOV[PLANO DE CONTAS],REL_DRE_FINANCEIRO!$B$855,LANÇ_MOV[ANO PAGAMENTO],$B$4,LANÇ_MOV[MÊS PAGAMENTO CORRESPONDENTE],K$6,LANÇ_MOV[EMPRESA],$C$4,LANÇ_MOV[CENTRO DE CUSTOS],$D$4)</f>
        <v>0</v>
      </c>
      <c r="L868" s="206">
        <f>SUMIFS(LANÇ_MOV[VALOR LÍQUIDO],LANÇ_MOV[RECEITA OU DESPESA],"Despesa",LANÇ_MOV[CONTAS],$C868,LANÇ_MOV[PLANO DE CONTAS],REL_DRE_FINANCEIRO!$B$855,LANÇ_MOV[ANO PAGAMENTO],$B$4,LANÇ_MOV[MÊS PAGAMENTO CORRESPONDENTE],L$6,LANÇ_MOV[EMPRESA],$C$4,LANÇ_MOV[CENTRO DE CUSTOS],$D$4)</f>
        <v>0</v>
      </c>
      <c r="M868" s="206">
        <f>SUMIFS(LANÇ_MOV[VALOR LÍQUIDO],LANÇ_MOV[RECEITA OU DESPESA],"Despesa",LANÇ_MOV[CONTAS],$C868,LANÇ_MOV[PLANO DE CONTAS],REL_DRE_FINANCEIRO!$B$855,LANÇ_MOV[ANO PAGAMENTO],$B$4,LANÇ_MOV[MÊS PAGAMENTO CORRESPONDENTE],M$6,LANÇ_MOV[EMPRESA],$C$4,LANÇ_MOV[CENTRO DE CUSTOS],$D$4)</f>
        <v>0</v>
      </c>
      <c r="N868" s="206">
        <f>SUMIFS(LANÇ_MOV[VALOR LÍQUIDO],LANÇ_MOV[RECEITA OU DESPESA],"Despesa",LANÇ_MOV[CONTAS],$C868,LANÇ_MOV[PLANO DE CONTAS],REL_DRE_FINANCEIRO!$B$855,LANÇ_MOV[ANO PAGAMENTO],$B$4,LANÇ_MOV[MÊS PAGAMENTO CORRESPONDENTE],N$6,LANÇ_MOV[EMPRESA],$C$4,LANÇ_MOV[CENTRO DE CUSTOS],$D$4)</f>
        <v>0</v>
      </c>
      <c r="O868" s="206">
        <f>SUMIFS(LANÇ_MOV[VALOR LÍQUIDO],LANÇ_MOV[RECEITA OU DESPESA],"Despesa",LANÇ_MOV[CONTAS],$C868,LANÇ_MOV[PLANO DE CONTAS],REL_DRE_FINANCEIRO!$B$855,LANÇ_MOV[ANO PAGAMENTO],$B$4,LANÇ_MOV[MÊS PAGAMENTO CORRESPONDENTE],O$6,LANÇ_MOV[EMPRESA],$C$4,LANÇ_MOV[CENTRO DE CUSTOS],$D$4)</f>
        <v>0</v>
      </c>
      <c r="P868" s="207">
        <f t="shared" si="111"/>
        <v>0</v>
      </c>
      <c r="Q868" s="329">
        <v>8.8000000000000004E-6</v>
      </c>
      <c r="R868" s="346">
        <f t="shared" si="112"/>
        <v>8.8000000000000004E-6</v>
      </c>
      <c r="S868" s="347" t="str">
        <f t="shared" si="113"/>
        <v>-</v>
      </c>
      <c r="T868" s="347">
        <f t="shared" si="114"/>
        <v>0</v>
      </c>
      <c r="U868" s="347">
        <f>HLOOKUP(Apoio!$P$12,$D$854:$P$955,X868,FALSE)+Q868</f>
        <v>8.8000000000000004E-6</v>
      </c>
      <c r="V868" s="447" t="str">
        <f t="shared" si="115"/>
        <v>-</v>
      </c>
      <c r="W868" s="448">
        <f>HLOOKUP(Apoio!$P$12,$D$854:$P$955,X868,FALSE)</f>
        <v>0</v>
      </c>
      <c r="X868" s="329">
        <v>15</v>
      </c>
    </row>
    <row r="869" spans="2:27" ht="30.05" customHeight="1" x14ac:dyDescent="0.35">
      <c r="B869" s="204" t="str">
        <f>'CAD_PL_REC-DESP'!AC18</f>
        <v>2.7.14</v>
      </c>
      <c r="C869" s="205" t="str">
        <f>IF('CAD_PL_REC-DESP'!AD18="","-",'CAD_PL_REC-DESP'!AD18)</f>
        <v>-</v>
      </c>
      <c r="D869" s="206">
        <f>SUMIFS(LANÇ_MOV[VALOR LÍQUIDO],LANÇ_MOV[RECEITA OU DESPESA],"Despesa",LANÇ_MOV[CONTAS],$C869,LANÇ_MOV[PLANO DE CONTAS],REL_DRE_FINANCEIRO!$B$855,LANÇ_MOV[ANO PAGAMENTO],$B$4,LANÇ_MOV[MÊS PAGAMENTO CORRESPONDENTE],D$6,LANÇ_MOV[EMPRESA],$C$4,LANÇ_MOV[CENTRO DE CUSTOS],$D$4)</f>
        <v>0</v>
      </c>
      <c r="E869" s="206">
        <f>SUMIFS(LANÇ_MOV[VALOR LÍQUIDO],LANÇ_MOV[RECEITA OU DESPESA],"Despesa",LANÇ_MOV[CONTAS],$C869,LANÇ_MOV[PLANO DE CONTAS],REL_DRE_FINANCEIRO!$B$855,LANÇ_MOV[ANO PAGAMENTO],$B$4,LANÇ_MOV[MÊS PAGAMENTO CORRESPONDENTE],E$6,LANÇ_MOV[EMPRESA],$C$4,LANÇ_MOV[CENTRO DE CUSTOS],$D$4)</f>
        <v>0</v>
      </c>
      <c r="F869" s="206">
        <f>SUMIFS(LANÇ_MOV[VALOR LÍQUIDO],LANÇ_MOV[RECEITA OU DESPESA],"Despesa",LANÇ_MOV[CONTAS],$C869,LANÇ_MOV[PLANO DE CONTAS],REL_DRE_FINANCEIRO!$B$855,LANÇ_MOV[ANO PAGAMENTO],$B$4,LANÇ_MOV[MÊS PAGAMENTO CORRESPONDENTE],F$6,LANÇ_MOV[EMPRESA],$C$4,LANÇ_MOV[CENTRO DE CUSTOS],$D$4)</f>
        <v>0</v>
      </c>
      <c r="G869" s="206">
        <f>SUMIFS(LANÇ_MOV[VALOR LÍQUIDO],LANÇ_MOV[RECEITA OU DESPESA],"Despesa",LANÇ_MOV[CONTAS],$C869,LANÇ_MOV[PLANO DE CONTAS],REL_DRE_FINANCEIRO!$B$855,LANÇ_MOV[ANO PAGAMENTO],$B$4,LANÇ_MOV[MÊS PAGAMENTO CORRESPONDENTE],G$6,LANÇ_MOV[EMPRESA],$C$4,LANÇ_MOV[CENTRO DE CUSTOS],$D$4)</f>
        <v>0</v>
      </c>
      <c r="H869" s="206">
        <f>SUMIFS(LANÇ_MOV[VALOR LÍQUIDO],LANÇ_MOV[RECEITA OU DESPESA],"Despesa",LANÇ_MOV[CONTAS],$C869,LANÇ_MOV[PLANO DE CONTAS],REL_DRE_FINANCEIRO!$B$855,LANÇ_MOV[ANO PAGAMENTO],$B$4,LANÇ_MOV[MÊS PAGAMENTO CORRESPONDENTE],H$6,LANÇ_MOV[EMPRESA],$C$4,LANÇ_MOV[CENTRO DE CUSTOS],$D$4)</f>
        <v>0</v>
      </c>
      <c r="I869" s="206">
        <f>SUMIFS(LANÇ_MOV[VALOR LÍQUIDO],LANÇ_MOV[RECEITA OU DESPESA],"Despesa",LANÇ_MOV[CONTAS],$C869,LANÇ_MOV[PLANO DE CONTAS],REL_DRE_FINANCEIRO!$B$855,LANÇ_MOV[ANO PAGAMENTO],$B$4,LANÇ_MOV[MÊS PAGAMENTO CORRESPONDENTE],I$6,LANÇ_MOV[EMPRESA],$C$4,LANÇ_MOV[CENTRO DE CUSTOS],$D$4)</f>
        <v>0</v>
      </c>
      <c r="J869" s="206">
        <f>SUMIFS(LANÇ_MOV[VALOR LÍQUIDO],LANÇ_MOV[RECEITA OU DESPESA],"Despesa",LANÇ_MOV[CONTAS],$C869,LANÇ_MOV[PLANO DE CONTAS],REL_DRE_FINANCEIRO!$B$855,LANÇ_MOV[ANO PAGAMENTO],$B$4,LANÇ_MOV[MÊS PAGAMENTO CORRESPONDENTE],J$6,LANÇ_MOV[EMPRESA],$C$4,LANÇ_MOV[CENTRO DE CUSTOS],$D$4)</f>
        <v>0</v>
      </c>
      <c r="K869" s="206">
        <f>SUMIFS(LANÇ_MOV[VALOR LÍQUIDO],LANÇ_MOV[RECEITA OU DESPESA],"Despesa",LANÇ_MOV[CONTAS],$C869,LANÇ_MOV[PLANO DE CONTAS],REL_DRE_FINANCEIRO!$B$855,LANÇ_MOV[ANO PAGAMENTO],$B$4,LANÇ_MOV[MÊS PAGAMENTO CORRESPONDENTE],K$6,LANÇ_MOV[EMPRESA],$C$4,LANÇ_MOV[CENTRO DE CUSTOS],$D$4)</f>
        <v>0</v>
      </c>
      <c r="L869" s="206">
        <f>SUMIFS(LANÇ_MOV[VALOR LÍQUIDO],LANÇ_MOV[RECEITA OU DESPESA],"Despesa",LANÇ_MOV[CONTAS],$C869,LANÇ_MOV[PLANO DE CONTAS],REL_DRE_FINANCEIRO!$B$855,LANÇ_MOV[ANO PAGAMENTO],$B$4,LANÇ_MOV[MÊS PAGAMENTO CORRESPONDENTE],L$6,LANÇ_MOV[EMPRESA],$C$4,LANÇ_MOV[CENTRO DE CUSTOS],$D$4)</f>
        <v>0</v>
      </c>
      <c r="M869" s="206">
        <f>SUMIFS(LANÇ_MOV[VALOR LÍQUIDO],LANÇ_MOV[RECEITA OU DESPESA],"Despesa",LANÇ_MOV[CONTAS],$C869,LANÇ_MOV[PLANO DE CONTAS],REL_DRE_FINANCEIRO!$B$855,LANÇ_MOV[ANO PAGAMENTO],$B$4,LANÇ_MOV[MÊS PAGAMENTO CORRESPONDENTE],M$6,LANÇ_MOV[EMPRESA],$C$4,LANÇ_MOV[CENTRO DE CUSTOS],$D$4)</f>
        <v>0</v>
      </c>
      <c r="N869" s="206">
        <f>SUMIFS(LANÇ_MOV[VALOR LÍQUIDO],LANÇ_MOV[RECEITA OU DESPESA],"Despesa",LANÇ_MOV[CONTAS],$C869,LANÇ_MOV[PLANO DE CONTAS],REL_DRE_FINANCEIRO!$B$855,LANÇ_MOV[ANO PAGAMENTO],$B$4,LANÇ_MOV[MÊS PAGAMENTO CORRESPONDENTE],N$6,LANÇ_MOV[EMPRESA],$C$4,LANÇ_MOV[CENTRO DE CUSTOS],$D$4)</f>
        <v>0</v>
      </c>
      <c r="O869" s="206">
        <f>SUMIFS(LANÇ_MOV[VALOR LÍQUIDO],LANÇ_MOV[RECEITA OU DESPESA],"Despesa",LANÇ_MOV[CONTAS],$C869,LANÇ_MOV[PLANO DE CONTAS],REL_DRE_FINANCEIRO!$B$855,LANÇ_MOV[ANO PAGAMENTO],$B$4,LANÇ_MOV[MÊS PAGAMENTO CORRESPONDENTE],O$6,LANÇ_MOV[EMPRESA],$C$4,LANÇ_MOV[CENTRO DE CUSTOS],$D$4)</f>
        <v>0</v>
      </c>
      <c r="P869" s="207">
        <f t="shared" si="111"/>
        <v>0</v>
      </c>
      <c r="Q869" s="329">
        <v>8.6999999999999997E-6</v>
      </c>
      <c r="R869" s="346">
        <f t="shared" si="112"/>
        <v>8.6999999999999997E-6</v>
      </c>
      <c r="S869" s="347" t="str">
        <f t="shared" si="113"/>
        <v>-</v>
      </c>
      <c r="T869" s="347">
        <f t="shared" si="114"/>
        <v>0</v>
      </c>
      <c r="U869" s="347">
        <f>HLOOKUP(Apoio!$P$12,$D$854:$P$955,X869,FALSE)+Q869</f>
        <v>8.6999999999999997E-6</v>
      </c>
      <c r="V869" s="447" t="str">
        <f t="shared" si="115"/>
        <v>-</v>
      </c>
      <c r="W869" s="448">
        <f>HLOOKUP(Apoio!$P$12,$D$854:$P$955,X869,FALSE)</f>
        <v>0</v>
      </c>
      <c r="X869" s="329">
        <v>16</v>
      </c>
    </row>
    <row r="870" spans="2:27" ht="30.05" customHeight="1" x14ac:dyDescent="0.35">
      <c r="B870" s="204" t="str">
        <f>'CAD_PL_REC-DESP'!AC19</f>
        <v>2.7.15</v>
      </c>
      <c r="C870" s="205" t="str">
        <f>IF('CAD_PL_REC-DESP'!AD19="","-",'CAD_PL_REC-DESP'!AD19)</f>
        <v>-</v>
      </c>
      <c r="D870" s="206">
        <f>SUMIFS(LANÇ_MOV[VALOR LÍQUIDO],LANÇ_MOV[RECEITA OU DESPESA],"Despesa",LANÇ_MOV[CONTAS],$C870,LANÇ_MOV[PLANO DE CONTAS],REL_DRE_FINANCEIRO!$B$855,LANÇ_MOV[ANO PAGAMENTO],$B$4,LANÇ_MOV[MÊS PAGAMENTO CORRESPONDENTE],D$6,LANÇ_MOV[EMPRESA],$C$4,LANÇ_MOV[CENTRO DE CUSTOS],$D$4)</f>
        <v>0</v>
      </c>
      <c r="E870" s="206">
        <f>SUMIFS(LANÇ_MOV[VALOR LÍQUIDO],LANÇ_MOV[RECEITA OU DESPESA],"Despesa",LANÇ_MOV[CONTAS],$C870,LANÇ_MOV[PLANO DE CONTAS],REL_DRE_FINANCEIRO!$B$855,LANÇ_MOV[ANO PAGAMENTO],$B$4,LANÇ_MOV[MÊS PAGAMENTO CORRESPONDENTE],E$6,LANÇ_MOV[EMPRESA],$C$4,LANÇ_MOV[CENTRO DE CUSTOS],$D$4)</f>
        <v>0</v>
      </c>
      <c r="F870" s="206">
        <f>SUMIFS(LANÇ_MOV[VALOR LÍQUIDO],LANÇ_MOV[RECEITA OU DESPESA],"Despesa",LANÇ_MOV[CONTAS],$C870,LANÇ_MOV[PLANO DE CONTAS],REL_DRE_FINANCEIRO!$B$855,LANÇ_MOV[ANO PAGAMENTO],$B$4,LANÇ_MOV[MÊS PAGAMENTO CORRESPONDENTE],F$6,LANÇ_MOV[EMPRESA],$C$4,LANÇ_MOV[CENTRO DE CUSTOS],$D$4)</f>
        <v>0</v>
      </c>
      <c r="G870" s="206">
        <f>SUMIFS(LANÇ_MOV[VALOR LÍQUIDO],LANÇ_MOV[RECEITA OU DESPESA],"Despesa",LANÇ_MOV[CONTAS],$C870,LANÇ_MOV[PLANO DE CONTAS],REL_DRE_FINANCEIRO!$B$855,LANÇ_MOV[ANO PAGAMENTO],$B$4,LANÇ_MOV[MÊS PAGAMENTO CORRESPONDENTE],G$6,LANÇ_MOV[EMPRESA],$C$4,LANÇ_MOV[CENTRO DE CUSTOS],$D$4)</f>
        <v>0</v>
      </c>
      <c r="H870" s="206">
        <f>SUMIFS(LANÇ_MOV[VALOR LÍQUIDO],LANÇ_MOV[RECEITA OU DESPESA],"Despesa",LANÇ_MOV[CONTAS],$C870,LANÇ_MOV[PLANO DE CONTAS],REL_DRE_FINANCEIRO!$B$855,LANÇ_MOV[ANO PAGAMENTO],$B$4,LANÇ_MOV[MÊS PAGAMENTO CORRESPONDENTE],H$6,LANÇ_MOV[EMPRESA],$C$4,LANÇ_MOV[CENTRO DE CUSTOS],$D$4)</f>
        <v>0</v>
      </c>
      <c r="I870" s="206">
        <f>SUMIFS(LANÇ_MOV[VALOR LÍQUIDO],LANÇ_MOV[RECEITA OU DESPESA],"Despesa",LANÇ_MOV[CONTAS],$C870,LANÇ_MOV[PLANO DE CONTAS],REL_DRE_FINANCEIRO!$B$855,LANÇ_MOV[ANO PAGAMENTO],$B$4,LANÇ_MOV[MÊS PAGAMENTO CORRESPONDENTE],I$6,LANÇ_MOV[EMPRESA],$C$4,LANÇ_MOV[CENTRO DE CUSTOS],$D$4)</f>
        <v>0</v>
      </c>
      <c r="J870" s="206">
        <f>SUMIFS(LANÇ_MOV[VALOR LÍQUIDO],LANÇ_MOV[RECEITA OU DESPESA],"Despesa",LANÇ_MOV[CONTAS],$C870,LANÇ_MOV[PLANO DE CONTAS],REL_DRE_FINANCEIRO!$B$855,LANÇ_MOV[ANO PAGAMENTO],$B$4,LANÇ_MOV[MÊS PAGAMENTO CORRESPONDENTE],J$6,LANÇ_MOV[EMPRESA],$C$4,LANÇ_MOV[CENTRO DE CUSTOS],$D$4)</f>
        <v>0</v>
      </c>
      <c r="K870" s="206">
        <f>SUMIFS(LANÇ_MOV[VALOR LÍQUIDO],LANÇ_MOV[RECEITA OU DESPESA],"Despesa",LANÇ_MOV[CONTAS],$C870,LANÇ_MOV[PLANO DE CONTAS],REL_DRE_FINANCEIRO!$B$855,LANÇ_MOV[ANO PAGAMENTO],$B$4,LANÇ_MOV[MÊS PAGAMENTO CORRESPONDENTE],K$6,LANÇ_MOV[EMPRESA],$C$4,LANÇ_MOV[CENTRO DE CUSTOS],$D$4)</f>
        <v>0</v>
      </c>
      <c r="L870" s="206">
        <f>SUMIFS(LANÇ_MOV[VALOR LÍQUIDO],LANÇ_MOV[RECEITA OU DESPESA],"Despesa",LANÇ_MOV[CONTAS],$C870,LANÇ_MOV[PLANO DE CONTAS],REL_DRE_FINANCEIRO!$B$855,LANÇ_MOV[ANO PAGAMENTO],$B$4,LANÇ_MOV[MÊS PAGAMENTO CORRESPONDENTE],L$6,LANÇ_MOV[EMPRESA],$C$4,LANÇ_MOV[CENTRO DE CUSTOS],$D$4)</f>
        <v>0</v>
      </c>
      <c r="M870" s="206">
        <f>SUMIFS(LANÇ_MOV[VALOR LÍQUIDO],LANÇ_MOV[RECEITA OU DESPESA],"Despesa",LANÇ_MOV[CONTAS],$C870,LANÇ_MOV[PLANO DE CONTAS],REL_DRE_FINANCEIRO!$B$855,LANÇ_MOV[ANO PAGAMENTO],$B$4,LANÇ_MOV[MÊS PAGAMENTO CORRESPONDENTE],M$6,LANÇ_MOV[EMPRESA],$C$4,LANÇ_MOV[CENTRO DE CUSTOS],$D$4)</f>
        <v>0</v>
      </c>
      <c r="N870" s="206">
        <f>SUMIFS(LANÇ_MOV[VALOR LÍQUIDO],LANÇ_MOV[RECEITA OU DESPESA],"Despesa",LANÇ_MOV[CONTAS],$C870,LANÇ_MOV[PLANO DE CONTAS],REL_DRE_FINANCEIRO!$B$855,LANÇ_MOV[ANO PAGAMENTO],$B$4,LANÇ_MOV[MÊS PAGAMENTO CORRESPONDENTE],N$6,LANÇ_MOV[EMPRESA],$C$4,LANÇ_MOV[CENTRO DE CUSTOS],$D$4)</f>
        <v>0</v>
      </c>
      <c r="O870" s="206">
        <f>SUMIFS(LANÇ_MOV[VALOR LÍQUIDO],LANÇ_MOV[RECEITA OU DESPESA],"Despesa",LANÇ_MOV[CONTAS],$C870,LANÇ_MOV[PLANO DE CONTAS],REL_DRE_FINANCEIRO!$B$855,LANÇ_MOV[ANO PAGAMENTO],$B$4,LANÇ_MOV[MÊS PAGAMENTO CORRESPONDENTE],O$6,LANÇ_MOV[EMPRESA],$C$4,LANÇ_MOV[CENTRO DE CUSTOS],$D$4)</f>
        <v>0</v>
      </c>
      <c r="P870" s="207">
        <f t="shared" si="111"/>
        <v>0</v>
      </c>
      <c r="Q870" s="329">
        <v>8.6000000000000007E-6</v>
      </c>
      <c r="R870" s="346">
        <f t="shared" si="112"/>
        <v>8.6000000000000007E-6</v>
      </c>
      <c r="S870" s="347" t="str">
        <f t="shared" si="113"/>
        <v>-</v>
      </c>
      <c r="T870" s="347">
        <f t="shared" si="114"/>
        <v>0</v>
      </c>
      <c r="U870" s="347">
        <f>HLOOKUP(Apoio!$P$12,$D$854:$P$955,X870,FALSE)+Q870</f>
        <v>8.6000000000000007E-6</v>
      </c>
      <c r="V870" s="447" t="str">
        <f t="shared" si="115"/>
        <v>-</v>
      </c>
      <c r="W870" s="448">
        <f>HLOOKUP(Apoio!$P$12,$D$854:$P$955,X870,FALSE)</f>
        <v>0</v>
      </c>
      <c r="X870" s="329">
        <v>17</v>
      </c>
    </row>
    <row r="871" spans="2:27" ht="30.05" customHeight="1" x14ac:dyDescent="0.35">
      <c r="B871" s="204" t="str">
        <f>'CAD_PL_REC-DESP'!AC20</f>
        <v>2.7.16</v>
      </c>
      <c r="C871" s="205" t="str">
        <f>IF('CAD_PL_REC-DESP'!AD20="","-",'CAD_PL_REC-DESP'!AD20)</f>
        <v>-</v>
      </c>
      <c r="D871" s="206">
        <f>SUMIFS(LANÇ_MOV[VALOR LÍQUIDO],LANÇ_MOV[RECEITA OU DESPESA],"Despesa",LANÇ_MOV[CONTAS],$C871,LANÇ_MOV[PLANO DE CONTAS],REL_DRE_FINANCEIRO!$B$855,LANÇ_MOV[ANO PAGAMENTO],$B$4,LANÇ_MOV[MÊS PAGAMENTO CORRESPONDENTE],D$6,LANÇ_MOV[EMPRESA],$C$4,LANÇ_MOV[CENTRO DE CUSTOS],$D$4)</f>
        <v>0</v>
      </c>
      <c r="E871" s="206">
        <f>SUMIFS(LANÇ_MOV[VALOR LÍQUIDO],LANÇ_MOV[RECEITA OU DESPESA],"Despesa",LANÇ_MOV[CONTAS],$C871,LANÇ_MOV[PLANO DE CONTAS],REL_DRE_FINANCEIRO!$B$855,LANÇ_MOV[ANO PAGAMENTO],$B$4,LANÇ_MOV[MÊS PAGAMENTO CORRESPONDENTE],E$6,LANÇ_MOV[EMPRESA],$C$4,LANÇ_MOV[CENTRO DE CUSTOS],$D$4)</f>
        <v>0</v>
      </c>
      <c r="F871" s="206">
        <f>SUMIFS(LANÇ_MOV[VALOR LÍQUIDO],LANÇ_MOV[RECEITA OU DESPESA],"Despesa",LANÇ_MOV[CONTAS],$C871,LANÇ_MOV[PLANO DE CONTAS],REL_DRE_FINANCEIRO!$B$855,LANÇ_MOV[ANO PAGAMENTO],$B$4,LANÇ_MOV[MÊS PAGAMENTO CORRESPONDENTE],F$6,LANÇ_MOV[EMPRESA],$C$4,LANÇ_MOV[CENTRO DE CUSTOS],$D$4)</f>
        <v>0</v>
      </c>
      <c r="G871" s="206">
        <f>SUMIFS(LANÇ_MOV[VALOR LÍQUIDO],LANÇ_MOV[RECEITA OU DESPESA],"Despesa",LANÇ_MOV[CONTAS],$C871,LANÇ_MOV[PLANO DE CONTAS],REL_DRE_FINANCEIRO!$B$855,LANÇ_MOV[ANO PAGAMENTO],$B$4,LANÇ_MOV[MÊS PAGAMENTO CORRESPONDENTE],G$6,LANÇ_MOV[EMPRESA],$C$4,LANÇ_MOV[CENTRO DE CUSTOS],$D$4)</f>
        <v>0</v>
      </c>
      <c r="H871" s="206">
        <f>SUMIFS(LANÇ_MOV[VALOR LÍQUIDO],LANÇ_MOV[RECEITA OU DESPESA],"Despesa",LANÇ_MOV[CONTAS],$C871,LANÇ_MOV[PLANO DE CONTAS],REL_DRE_FINANCEIRO!$B$855,LANÇ_MOV[ANO PAGAMENTO],$B$4,LANÇ_MOV[MÊS PAGAMENTO CORRESPONDENTE],H$6,LANÇ_MOV[EMPRESA],$C$4,LANÇ_MOV[CENTRO DE CUSTOS],$D$4)</f>
        <v>0</v>
      </c>
      <c r="I871" s="206">
        <f>SUMIFS(LANÇ_MOV[VALOR LÍQUIDO],LANÇ_MOV[RECEITA OU DESPESA],"Despesa",LANÇ_MOV[CONTAS],$C871,LANÇ_MOV[PLANO DE CONTAS],REL_DRE_FINANCEIRO!$B$855,LANÇ_MOV[ANO PAGAMENTO],$B$4,LANÇ_MOV[MÊS PAGAMENTO CORRESPONDENTE],I$6,LANÇ_MOV[EMPRESA],$C$4,LANÇ_MOV[CENTRO DE CUSTOS],$D$4)</f>
        <v>0</v>
      </c>
      <c r="J871" s="206">
        <f>SUMIFS(LANÇ_MOV[VALOR LÍQUIDO],LANÇ_MOV[RECEITA OU DESPESA],"Despesa",LANÇ_MOV[CONTAS],$C871,LANÇ_MOV[PLANO DE CONTAS],REL_DRE_FINANCEIRO!$B$855,LANÇ_MOV[ANO PAGAMENTO],$B$4,LANÇ_MOV[MÊS PAGAMENTO CORRESPONDENTE],J$6,LANÇ_MOV[EMPRESA],$C$4,LANÇ_MOV[CENTRO DE CUSTOS],$D$4)</f>
        <v>0</v>
      </c>
      <c r="K871" s="206">
        <f>SUMIFS(LANÇ_MOV[VALOR LÍQUIDO],LANÇ_MOV[RECEITA OU DESPESA],"Despesa",LANÇ_MOV[CONTAS],$C871,LANÇ_MOV[PLANO DE CONTAS],REL_DRE_FINANCEIRO!$B$855,LANÇ_MOV[ANO PAGAMENTO],$B$4,LANÇ_MOV[MÊS PAGAMENTO CORRESPONDENTE],K$6,LANÇ_MOV[EMPRESA],$C$4,LANÇ_MOV[CENTRO DE CUSTOS],$D$4)</f>
        <v>0</v>
      </c>
      <c r="L871" s="206">
        <f>SUMIFS(LANÇ_MOV[VALOR LÍQUIDO],LANÇ_MOV[RECEITA OU DESPESA],"Despesa",LANÇ_MOV[CONTAS],$C871,LANÇ_MOV[PLANO DE CONTAS],REL_DRE_FINANCEIRO!$B$855,LANÇ_MOV[ANO PAGAMENTO],$B$4,LANÇ_MOV[MÊS PAGAMENTO CORRESPONDENTE],L$6,LANÇ_MOV[EMPRESA],$C$4,LANÇ_MOV[CENTRO DE CUSTOS],$D$4)</f>
        <v>0</v>
      </c>
      <c r="M871" s="206">
        <f>SUMIFS(LANÇ_MOV[VALOR LÍQUIDO],LANÇ_MOV[RECEITA OU DESPESA],"Despesa",LANÇ_MOV[CONTAS],$C871,LANÇ_MOV[PLANO DE CONTAS],REL_DRE_FINANCEIRO!$B$855,LANÇ_MOV[ANO PAGAMENTO],$B$4,LANÇ_MOV[MÊS PAGAMENTO CORRESPONDENTE],M$6,LANÇ_MOV[EMPRESA],$C$4,LANÇ_MOV[CENTRO DE CUSTOS],$D$4)</f>
        <v>0</v>
      </c>
      <c r="N871" s="206">
        <f>SUMIFS(LANÇ_MOV[VALOR LÍQUIDO],LANÇ_MOV[RECEITA OU DESPESA],"Despesa",LANÇ_MOV[CONTAS],$C871,LANÇ_MOV[PLANO DE CONTAS],REL_DRE_FINANCEIRO!$B$855,LANÇ_MOV[ANO PAGAMENTO],$B$4,LANÇ_MOV[MÊS PAGAMENTO CORRESPONDENTE],N$6,LANÇ_MOV[EMPRESA],$C$4,LANÇ_MOV[CENTRO DE CUSTOS],$D$4)</f>
        <v>0</v>
      </c>
      <c r="O871" s="206">
        <f>SUMIFS(LANÇ_MOV[VALOR LÍQUIDO],LANÇ_MOV[RECEITA OU DESPESA],"Despesa",LANÇ_MOV[CONTAS],$C871,LANÇ_MOV[PLANO DE CONTAS],REL_DRE_FINANCEIRO!$B$855,LANÇ_MOV[ANO PAGAMENTO],$B$4,LANÇ_MOV[MÊS PAGAMENTO CORRESPONDENTE],O$6,LANÇ_MOV[EMPRESA],$C$4,LANÇ_MOV[CENTRO DE CUSTOS],$D$4)</f>
        <v>0</v>
      </c>
      <c r="P871" s="207">
        <f t="shared" si="111"/>
        <v>0</v>
      </c>
      <c r="Q871" s="329">
        <v>8.4999999999999999E-6</v>
      </c>
      <c r="R871" s="346">
        <f t="shared" si="112"/>
        <v>8.4999999999999999E-6</v>
      </c>
      <c r="S871" s="347" t="str">
        <f t="shared" si="113"/>
        <v>-</v>
      </c>
      <c r="T871" s="347">
        <f t="shared" si="114"/>
        <v>0</v>
      </c>
      <c r="U871" s="347">
        <f>HLOOKUP(Apoio!$P$12,$D$854:$P$955,X871,FALSE)+Q871</f>
        <v>8.4999999999999999E-6</v>
      </c>
      <c r="V871" s="447" t="str">
        <f t="shared" si="115"/>
        <v>-</v>
      </c>
      <c r="W871" s="448">
        <f>HLOOKUP(Apoio!$P$12,$D$854:$P$955,X871,FALSE)</f>
        <v>0</v>
      </c>
      <c r="X871" s="329">
        <v>18</v>
      </c>
    </row>
    <row r="872" spans="2:27" ht="30.05" customHeight="1" x14ac:dyDescent="0.35">
      <c r="B872" s="204" t="str">
        <f>'CAD_PL_REC-DESP'!AC21</f>
        <v>2.7.17</v>
      </c>
      <c r="C872" s="205" t="str">
        <f>IF('CAD_PL_REC-DESP'!AD21="","-",'CAD_PL_REC-DESP'!AD21)</f>
        <v>-</v>
      </c>
      <c r="D872" s="206">
        <f>SUMIFS(LANÇ_MOV[VALOR LÍQUIDO],LANÇ_MOV[RECEITA OU DESPESA],"Despesa",LANÇ_MOV[CONTAS],$C872,LANÇ_MOV[PLANO DE CONTAS],REL_DRE_FINANCEIRO!$B$855,LANÇ_MOV[ANO PAGAMENTO],$B$4,LANÇ_MOV[MÊS PAGAMENTO CORRESPONDENTE],D$6,LANÇ_MOV[EMPRESA],$C$4,LANÇ_MOV[CENTRO DE CUSTOS],$D$4)</f>
        <v>0</v>
      </c>
      <c r="E872" s="206">
        <f>SUMIFS(LANÇ_MOV[VALOR LÍQUIDO],LANÇ_MOV[RECEITA OU DESPESA],"Despesa",LANÇ_MOV[CONTAS],$C872,LANÇ_MOV[PLANO DE CONTAS],REL_DRE_FINANCEIRO!$B$855,LANÇ_MOV[ANO PAGAMENTO],$B$4,LANÇ_MOV[MÊS PAGAMENTO CORRESPONDENTE],E$6,LANÇ_MOV[EMPRESA],$C$4,LANÇ_MOV[CENTRO DE CUSTOS],$D$4)</f>
        <v>0</v>
      </c>
      <c r="F872" s="206">
        <f>SUMIFS(LANÇ_MOV[VALOR LÍQUIDO],LANÇ_MOV[RECEITA OU DESPESA],"Despesa",LANÇ_MOV[CONTAS],$C872,LANÇ_MOV[PLANO DE CONTAS],REL_DRE_FINANCEIRO!$B$855,LANÇ_MOV[ANO PAGAMENTO],$B$4,LANÇ_MOV[MÊS PAGAMENTO CORRESPONDENTE],F$6,LANÇ_MOV[EMPRESA],$C$4,LANÇ_MOV[CENTRO DE CUSTOS],$D$4)</f>
        <v>0</v>
      </c>
      <c r="G872" s="206">
        <f>SUMIFS(LANÇ_MOV[VALOR LÍQUIDO],LANÇ_MOV[RECEITA OU DESPESA],"Despesa",LANÇ_MOV[CONTAS],$C872,LANÇ_MOV[PLANO DE CONTAS],REL_DRE_FINANCEIRO!$B$855,LANÇ_MOV[ANO PAGAMENTO],$B$4,LANÇ_MOV[MÊS PAGAMENTO CORRESPONDENTE],G$6,LANÇ_MOV[EMPRESA],$C$4,LANÇ_MOV[CENTRO DE CUSTOS],$D$4)</f>
        <v>0</v>
      </c>
      <c r="H872" s="206">
        <f>SUMIFS(LANÇ_MOV[VALOR LÍQUIDO],LANÇ_MOV[RECEITA OU DESPESA],"Despesa",LANÇ_MOV[CONTAS],$C872,LANÇ_MOV[PLANO DE CONTAS],REL_DRE_FINANCEIRO!$B$855,LANÇ_MOV[ANO PAGAMENTO],$B$4,LANÇ_MOV[MÊS PAGAMENTO CORRESPONDENTE],H$6,LANÇ_MOV[EMPRESA],$C$4,LANÇ_MOV[CENTRO DE CUSTOS],$D$4)</f>
        <v>0</v>
      </c>
      <c r="I872" s="206">
        <f>SUMIFS(LANÇ_MOV[VALOR LÍQUIDO],LANÇ_MOV[RECEITA OU DESPESA],"Despesa",LANÇ_MOV[CONTAS],$C872,LANÇ_MOV[PLANO DE CONTAS],REL_DRE_FINANCEIRO!$B$855,LANÇ_MOV[ANO PAGAMENTO],$B$4,LANÇ_MOV[MÊS PAGAMENTO CORRESPONDENTE],I$6,LANÇ_MOV[EMPRESA],$C$4,LANÇ_MOV[CENTRO DE CUSTOS],$D$4)</f>
        <v>0</v>
      </c>
      <c r="J872" s="206">
        <f>SUMIFS(LANÇ_MOV[VALOR LÍQUIDO],LANÇ_MOV[RECEITA OU DESPESA],"Despesa",LANÇ_MOV[CONTAS],$C872,LANÇ_MOV[PLANO DE CONTAS],REL_DRE_FINANCEIRO!$B$855,LANÇ_MOV[ANO PAGAMENTO],$B$4,LANÇ_MOV[MÊS PAGAMENTO CORRESPONDENTE],J$6,LANÇ_MOV[EMPRESA],$C$4,LANÇ_MOV[CENTRO DE CUSTOS],$D$4)</f>
        <v>0</v>
      </c>
      <c r="K872" s="206">
        <f>SUMIFS(LANÇ_MOV[VALOR LÍQUIDO],LANÇ_MOV[RECEITA OU DESPESA],"Despesa",LANÇ_MOV[CONTAS],$C872,LANÇ_MOV[PLANO DE CONTAS],REL_DRE_FINANCEIRO!$B$855,LANÇ_MOV[ANO PAGAMENTO],$B$4,LANÇ_MOV[MÊS PAGAMENTO CORRESPONDENTE],K$6,LANÇ_MOV[EMPRESA],$C$4,LANÇ_MOV[CENTRO DE CUSTOS],$D$4)</f>
        <v>0</v>
      </c>
      <c r="L872" s="206">
        <f>SUMIFS(LANÇ_MOV[VALOR LÍQUIDO],LANÇ_MOV[RECEITA OU DESPESA],"Despesa",LANÇ_MOV[CONTAS],$C872,LANÇ_MOV[PLANO DE CONTAS],REL_DRE_FINANCEIRO!$B$855,LANÇ_MOV[ANO PAGAMENTO],$B$4,LANÇ_MOV[MÊS PAGAMENTO CORRESPONDENTE],L$6,LANÇ_MOV[EMPRESA],$C$4,LANÇ_MOV[CENTRO DE CUSTOS],$D$4)</f>
        <v>0</v>
      </c>
      <c r="M872" s="206">
        <f>SUMIFS(LANÇ_MOV[VALOR LÍQUIDO],LANÇ_MOV[RECEITA OU DESPESA],"Despesa",LANÇ_MOV[CONTAS],$C872,LANÇ_MOV[PLANO DE CONTAS],REL_DRE_FINANCEIRO!$B$855,LANÇ_MOV[ANO PAGAMENTO],$B$4,LANÇ_MOV[MÊS PAGAMENTO CORRESPONDENTE],M$6,LANÇ_MOV[EMPRESA],$C$4,LANÇ_MOV[CENTRO DE CUSTOS],$D$4)</f>
        <v>0</v>
      </c>
      <c r="N872" s="206">
        <f>SUMIFS(LANÇ_MOV[VALOR LÍQUIDO],LANÇ_MOV[RECEITA OU DESPESA],"Despesa",LANÇ_MOV[CONTAS],$C872,LANÇ_MOV[PLANO DE CONTAS],REL_DRE_FINANCEIRO!$B$855,LANÇ_MOV[ANO PAGAMENTO],$B$4,LANÇ_MOV[MÊS PAGAMENTO CORRESPONDENTE],N$6,LANÇ_MOV[EMPRESA],$C$4,LANÇ_MOV[CENTRO DE CUSTOS],$D$4)</f>
        <v>0</v>
      </c>
      <c r="O872" s="206">
        <f>SUMIFS(LANÇ_MOV[VALOR LÍQUIDO],LANÇ_MOV[RECEITA OU DESPESA],"Despesa",LANÇ_MOV[CONTAS],$C872,LANÇ_MOV[PLANO DE CONTAS],REL_DRE_FINANCEIRO!$B$855,LANÇ_MOV[ANO PAGAMENTO],$B$4,LANÇ_MOV[MÊS PAGAMENTO CORRESPONDENTE],O$6,LANÇ_MOV[EMPRESA],$C$4,LANÇ_MOV[CENTRO DE CUSTOS],$D$4)</f>
        <v>0</v>
      </c>
      <c r="P872" s="207">
        <f t="shared" si="111"/>
        <v>0</v>
      </c>
      <c r="Q872" s="329">
        <v>8.3999999999999992E-6</v>
      </c>
      <c r="R872" s="346">
        <f t="shared" si="112"/>
        <v>8.3999999999999992E-6</v>
      </c>
      <c r="S872" s="347" t="str">
        <f t="shared" si="113"/>
        <v>-</v>
      </c>
      <c r="T872" s="347">
        <f t="shared" si="114"/>
        <v>0</v>
      </c>
      <c r="U872" s="347">
        <f>HLOOKUP(Apoio!$P$12,$D$854:$P$955,X872,FALSE)+Q872</f>
        <v>8.3999999999999992E-6</v>
      </c>
      <c r="V872" s="447" t="str">
        <f t="shared" si="115"/>
        <v>-</v>
      </c>
      <c r="W872" s="448">
        <f>HLOOKUP(Apoio!$P$12,$D$854:$P$955,X872,FALSE)</f>
        <v>0</v>
      </c>
      <c r="X872" s="329">
        <v>19</v>
      </c>
    </row>
    <row r="873" spans="2:27" ht="30.05" customHeight="1" x14ac:dyDescent="0.35">
      <c r="B873" s="204" t="str">
        <f>'CAD_PL_REC-DESP'!AC22</f>
        <v>2.7.18</v>
      </c>
      <c r="C873" s="205" t="str">
        <f>IF('CAD_PL_REC-DESP'!AD22="","-",'CAD_PL_REC-DESP'!AD22)</f>
        <v>-</v>
      </c>
      <c r="D873" s="206">
        <f>SUMIFS(LANÇ_MOV[VALOR LÍQUIDO],LANÇ_MOV[RECEITA OU DESPESA],"Despesa",LANÇ_MOV[CONTAS],$C873,LANÇ_MOV[PLANO DE CONTAS],REL_DRE_FINANCEIRO!$B$855,LANÇ_MOV[ANO PAGAMENTO],$B$4,LANÇ_MOV[MÊS PAGAMENTO CORRESPONDENTE],D$6,LANÇ_MOV[EMPRESA],$C$4,LANÇ_MOV[CENTRO DE CUSTOS],$D$4)</f>
        <v>0</v>
      </c>
      <c r="E873" s="206">
        <f>SUMIFS(LANÇ_MOV[VALOR LÍQUIDO],LANÇ_MOV[RECEITA OU DESPESA],"Despesa",LANÇ_MOV[CONTAS],$C873,LANÇ_MOV[PLANO DE CONTAS],REL_DRE_FINANCEIRO!$B$855,LANÇ_MOV[ANO PAGAMENTO],$B$4,LANÇ_MOV[MÊS PAGAMENTO CORRESPONDENTE],E$6,LANÇ_MOV[EMPRESA],$C$4,LANÇ_MOV[CENTRO DE CUSTOS],$D$4)</f>
        <v>0</v>
      </c>
      <c r="F873" s="206">
        <f>SUMIFS(LANÇ_MOV[VALOR LÍQUIDO],LANÇ_MOV[RECEITA OU DESPESA],"Despesa",LANÇ_MOV[CONTAS],$C873,LANÇ_MOV[PLANO DE CONTAS],REL_DRE_FINANCEIRO!$B$855,LANÇ_MOV[ANO PAGAMENTO],$B$4,LANÇ_MOV[MÊS PAGAMENTO CORRESPONDENTE],F$6,LANÇ_MOV[EMPRESA],$C$4,LANÇ_MOV[CENTRO DE CUSTOS],$D$4)</f>
        <v>0</v>
      </c>
      <c r="G873" s="206">
        <f>SUMIFS(LANÇ_MOV[VALOR LÍQUIDO],LANÇ_MOV[RECEITA OU DESPESA],"Despesa",LANÇ_MOV[CONTAS],$C873,LANÇ_MOV[PLANO DE CONTAS],REL_DRE_FINANCEIRO!$B$855,LANÇ_MOV[ANO PAGAMENTO],$B$4,LANÇ_MOV[MÊS PAGAMENTO CORRESPONDENTE],G$6,LANÇ_MOV[EMPRESA],$C$4,LANÇ_MOV[CENTRO DE CUSTOS],$D$4)</f>
        <v>0</v>
      </c>
      <c r="H873" s="206">
        <f>SUMIFS(LANÇ_MOV[VALOR LÍQUIDO],LANÇ_MOV[RECEITA OU DESPESA],"Despesa",LANÇ_MOV[CONTAS],$C873,LANÇ_MOV[PLANO DE CONTAS],REL_DRE_FINANCEIRO!$B$855,LANÇ_MOV[ANO PAGAMENTO],$B$4,LANÇ_MOV[MÊS PAGAMENTO CORRESPONDENTE],H$6,LANÇ_MOV[EMPRESA],$C$4,LANÇ_MOV[CENTRO DE CUSTOS],$D$4)</f>
        <v>0</v>
      </c>
      <c r="I873" s="206">
        <f>SUMIFS(LANÇ_MOV[VALOR LÍQUIDO],LANÇ_MOV[RECEITA OU DESPESA],"Despesa",LANÇ_MOV[CONTAS],$C873,LANÇ_MOV[PLANO DE CONTAS],REL_DRE_FINANCEIRO!$B$855,LANÇ_MOV[ANO PAGAMENTO],$B$4,LANÇ_MOV[MÊS PAGAMENTO CORRESPONDENTE],I$6,LANÇ_MOV[EMPRESA],$C$4,LANÇ_MOV[CENTRO DE CUSTOS],$D$4)</f>
        <v>0</v>
      </c>
      <c r="J873" s="206">
        <f>SUMIFS(LANÇ_MOV[VALOR LÍQUIDO],LANÇ_MOV[RECEITA OU DESPESA],"Despesa",LANÇ_MOV[CONTAS],$C873,LANÇ_MOV[PLANO DE CONTAS],REL_DRE_FINANCEIRO!$B$855,LANÇ_MOV[ANO PAGAMENTO],$B$4,LANÇ_MOV[MÊS PAGAMENTO CORRESPONDENTE],J$6,LANÇ_MOV[EMPRESA],$C$4,LANÇ_MOV[CENTRO DE CUSTOS],$D$4)</f>
        <v>0</v>
      </c>
      <c r="K873" s="206">
        <f>SUMIFS(LANÇ_MOV[VALOR LÍQUIDO],LANÇ_MOV[RECEITA OU DESPESA],"Despesa",LANÇ_MOV[CONTAS],$C873,LANÇ_MOV[PLANO DE CONTAS],REL_DRE_FINANCEIRO!$B$855,LANÇ_MOV[ANO PAGAMENTO],$B$4,LANÇ_MOV[MÊS PAGAMENTO CORRESPONDENTE],K$6,LANÇ_MOV[EMPRESA],$C$4,LANÇ_MOV[CENTRO DE CUSTOS],$D$4)</f>
        <v>0</v>
      </c>
      <c r="L873" s="206">
        <f>SUMIFS(LANÇ_MOV[VALOR LÍQUIDO],LANÇ_MOV[RECEITA OU DESPESA],"Despesa",LANÇ_MOV[CONTAS],$C873,LANÇ_MOV[PLANO DE CONTAS],REL_DRE_FINANCEIRO!$B$855,LANÇ_MOV[ANO PAGAMENTO],$B$4,LANÇ_MOV[MÊS PAGAMENTO CORRESPONDENTE],L$6,LANÇ_MOV[EMPRESA],$C$4,LANÇ_MOV[CENTRO DE CUSTOS],$D$4)</f>
        <v>0</v>
      </c>
      <c r="M873" s="206">
        <f>SUMIFS(LANÇ_MOV[VALOR LÍQUIDO],LANÇ_MOV[RECEITA OU DESPESA],"Despesa",LANÇ_MOV[CONTAS],$C873,LANÇ_MOV[PLANO DE CONTAS],REL_DRE_FINANCEIRO!$B$855,LANÇ_MOV[ANO PAGAMENTO],$B$4,LANÇ_MOV[MÊS PAGAMENTO CORRESPONDENTE],M$6,LANÇ_MOV[EMPRESA],$C$4,LANÇ_MOV[CENTRO DE CUSTOS],$D$4)</f>
        <v>0</v>
      </c>
      <c r="N873" s="206">
        <f>SUMIFS(LANÇ_MOV[VALOR LÍQUIDO],LANÇ_MOV[RECEITA OU DESPESA],"Despesa",LANÇ_MOV[CONTAS],$C873,LANÇ_MOV[PLANO DE CONTAS],REL_DRE_FINANCEIRO!$B$855,LANÇ_MOV[ANO PAGAMENTO],$B$4,LANÇ_MOV[MÊS PAGAMENTO CORRESPONDENTE],N$6,LANÇ_MOV[EMPRESA],$C$4,LANÇ_MOV[CENTRO DE CUSTOS],$D$4)</f>
        <v>0</v>
      </c>
      <c r="O873" s="206">
        <f>SUMIFS(LANÇ_MOV[VALOR LÍQUIDO],LANÇ_MOV[RECEITA OU DESPESA],"Despesa",LANÇ_MOV[CONTAS],$C873,LANÇ_MOV[PLANO DE CONTAS],REL_DRE_FINANCEIRO!$B$855,LANÇ_MOV[ANO PAGAMENTO],$B$4,LANÇ_MOV[MÊS PAGAMENTO CORRESPONDENTE],O$6,LANÇ_MOV[EMPRESA],$C$4,LANÇ_MOV[CENTRO DE CUSTOS],$D$4)</f>
        <v>0</v>
      </c>
      <c r="P873" s="207">
        <f t="shared" si="111"/>
        <v>0</v>
      </c>
      <c r="Q873" s="329">
        <v>8.3000000000000002E-6</v>
      </c>
      <c r="R873" s="346">
        <f t="shared" si="112"/>
        <v>8.3000000000000002E-6</v>
      </c>
      <c r="S873" s="347" t="str">
        <f t="shared" si="113"/>
        <v>-</v>
      </c>
      <c r="T873" s="347">
        <f t="shared" si="114"/>
        <v>0</v>
      </c>
      <c r="U873" s="347">
        <f>HLOOKUP(Apoio!$P$12,$D$854:$P$955,X873,FALSE)+Q873</f>
        <v>8.3000000000000002E-6</v>
      </c>
      <c r="V873" s="447" t="str">
        <f t="shared" si="115"/>
        <v>-</v>
      </c>
      <c r="W873" s="448">
        <f>HLOOKUP(Apoio!$P$12,$D$854:$P$955,X873,FALSE)</f>
        <v>0</v>
      </c>
      <c r="X873" s="329">
        <v>20</v>
      </c>
    </row>
    <row r="874" spans="2:27" ht="30.05" customHeight="1" x14ac:dyDescent="0.35">
      <c r="B874" s="204" t="str">
        <f>'CAD_PL_REC-DESP'!AC23</f>
        <v>2.7.19</v>
      </c>
      <c r="C874" s="205" t="str">
        <f>IF('CAD_PL_REC-DESP'!AD23="","-",'CAD_PL_REC-DESP'!AD23)</f>
        <v>-</v>
      </c>
      <c r="D874" s="206">
        <f>SUMIFS(LANÇ_MOV[VALOR LÍQUIDO],LANÇ_MOV[RECEITA OU DESPESA],"Despesa",LANÇ_MOV[CONTAS],$C874,LANÇ_MOV[PLANO DE CONTAS],REL_DRE_FINANCEIRO!$B$855,LANÇ_MOV[ANO PAGAMENTO],$B$4,LANÇ_MOV[MÊS PAGAMENTO CORRESPONDENTE],D$6,LANÇ_MOV[EMPRESA],$C$4,LANÇ_MOV[CENTRO DE CUSTOS],$D$4)</f>
        <v>0</v>
      </c>
      <c r="E874" s="206">
        <f>SUMIFS(LANÇ_MOV[VALOR LÍQUIDO],LANÇ_MOV[RECEITA OU DESPESA],"Despesa",LANÇ_MOV[CONTAS],$C874,LANÇ_MOV[PLANO DE CONTAS],REL_DRE_FINANCEIRO!$B$855,LANÇ_MOV[ANO PAGAMENTO],$B$4,LANÇ_MOV[MÊS PAGAMENTO CORRESPONDENTE],E$6,LANÇ_MOV[EMPRESA],$C$4,LANÇ_MOV[CENTRO DE CUSTOS],$D$4)</f>
        <v>0</v>
      </c>
      <c r="F874" s="206">
        <f>SUMIFS(LANÇ_MOV[VALOR LÍQUIDO],LANÇ_MOV[RECEITA OU DESPESA],"Despesa",LANÇ_MOV[CONTAS],$C874,LANÇ_MOV[PLANO DE CONTAS],REL_DRE_FINANCEIRO!$B$855,LANÇ_MOV[ANO PAGAMENTO],$B$4,LANÇ_MOV[MÊS PAGAMENTO CORRESPONDENTE],F$6,LANÇ_MOV[EMPRESA],$C$4,LANÇ_MOV[CENTRO DE CUSTOS],$D$4)</f>
        <v>0</v>
      </c>
      <c r="G874" s="206">
        <f>SUMIFS(LANÇ_MOV[VALOR LÍQUIDO],LANÇ_MOV[RECEITA OU DESPESA],"Despesa",LANÇ_MOV[CONTAS],$C874,LANÇ_MOV[PLANO DE CONTAS],REL_DRE_FINANCEIRO!$B$855,LANÇ_MOV[ANO PAGAMENTO],$B$4,LANÇ_MOV[MÊS PAGAMENTO CORRESPONDENTE],G$6,LANÇ_MOV[EMPRESA],$C$4,LANÇ_MOV[CENTRO DE CUSTOS],$D$4)</f>
        <v>0</v>
      </c>
      <c r="H874" s="206">
        <f>SUMIFS(LANÇ_MOV[VALOR LÍQUIDO],LANÇ_MOV[RECEITA OU DESPESA],"Despesa",LANÇ_MOV[CONTAS],$C874,LANÇ_MOV[PLANO DE CONTAS],REL_DRE_FINANCEIRO!$B$855,LANÇ_MOV[ANO PAGAMENTO],$B$4,LANÇ_MOV[MÊS PAGAMENTO CORRESPONDENTE],H$6,LANÇ_MOV[EMPRESA],$C$4,LANÇ_MOV[CENTRO DE CUSTOS],$D$4)</f>
        <v>0</v>
      </c>
      <c r="I874" s="206">
        <f>SUMIFS(LANÇ_MOV[VALOR LÍQUIDO],LANÇ_MOV[RECEITA OU DESPESA],"Despesa",LANÇ_MOV[CONTAS],$C874,LANÇ_MOV[PLANO DE CONTAS],REL_DRE_FINANCEIRO!$B$855,LANÇ_MOV[ANO PAGAMENTO],$B$4,LANÇ_MOV[MÊS PAGAMENTO CORRESPONDENTE],I$6,LANÇ_MOV[EMPRESA],$C$4,LANÇ_MOV[CENTRO DE CUSTOS],$D$4)</f>
        <v>0</v>
      </c>
      <c r="J874" s="206">
        <f>SUMIFS(LANÇ_MOV[VALOR LÍQUIDO],LANÇ_MOV[RECEITA OU DESPESA],"Despesa",LANÇ_MOV[CONTAS],$C874,LANÇ_MOV[PLANO DE CONTAS],REL_DRE_FINANCEIRO!$B$855,LANÇ_MOV[ANO PAGAMENTO],$B$4,LANÇ_MOV[MÊS PAGAMENTO CORRESPONDENTE],J$6,LANÇ_MOV[EMPRESA],$C$4,LANÇ_MOV[CENTRO DE CUSTOS],$D$4)</f>
        <v>0</v>
      </c>
      <c r="K874" s="206">
        <f>SUMIFS(LANÇ_MOV[VALOR LÍQUIDO],LANÇ_MOV[RECEITA OU DESPESA],"Despesa",LANÇ_MOV[CONTAS],$C874,LANÇ_MOV[PLANO DE CONTAS],REL_DRE_FINANCEIRO!$B$855,LANÇ_MOV[ANO PAGAMENTO],$B$4,LANÇ_MOV[MÊS PAGAMENTO CORRESPONDENTE],K$6,LANÇ_MOV[EMPRESA],$C$4,LANÇ_MOV[CENTRO DE CUSTOS],$D$4)</f>
        <v>0</v>
      </c>
      <c r="L874" s="206">
        <f>SUMIFS(LANÇ_MOV[VALOR LÍQUIDO],LANÇ_MOV[RECEITA OU DESPESA],"Despesa",LANÇ_MOV[CONTAS],$C874,LANÇ_MOV[PLANO DE CONTAS],REL_DRE_FINANCEIRO!$B$855,LANÇ_MOV[ANO PAGAMENTO],$B$4,LANÇ_MOV[MÊS PAGAMENTO CORRESPONDENTE],L$6,LANÇ_MOV[EMPRESA],$C$4,LANÇ_MOV[CENTRO DE CUSTOS],$D$4)</f>
        <v>0</v>
      </c>
      <c r="M874" s="206">
        <f>SUMIFS(LANÇ_MOV[VALOR LÍQUIDO],LANÇ_MOV[RECEITA OU DESPESA],"Despesa",LANÇ_MOV[CONTAS],$C874,LANÇ_MOV[PLANO DE CONTAS],REL_DRE_FINANCEIRO!$B$855,LANÇ_MOV[ANO PAGAMENTO],$B$4,LANÇ_MOV[MÊS PAGAMENTO CORRESPONDENTE],M$6,LANÇ_MOV[EMPRESA],$C$4,LANÇ_MOV[CENTRO DE CUSTOS],$D$4)</f>
        <v>0</v>
      </c>
      <c r="N874" s="206">
        <f>SUMIFS(LANÇ_MOV[VALOR LÍQUIDO],LANÇ_MOV[RECEITA OU DESPESA],"Despesa",LANÇ_MOV[CONTAS],$C874,LANÇ_MOV[PLANO DE CONTAS],REL_DRE_FINANCEIRO!$B$855,LANÇ_MOV[ANO PAGAMENTO],$B$4,LANÇ_MOV[MÊS PAGAMENTO CORRESPONDENTE],N$6,LANÇ_MOV[EMPRESA],$C$4,LANÇ_MOV[CENTRO DE CUSTOS],$D$4)</f>
        <v>0</v>
      </c>
      <c r="O874" s="206">
        <f>SUMIFS(LANÇ_MOV[VALOR LÍQUIDO],LANÇ_MOV[RECEITA OU DESPESA],"Despesa",LANÇ_MOV[CONTAS],$C874,LANÇ_MOV[PLANO DE CONTAS],REL_DRE_FINANCEIRO!$B$855,LANÇ_MOV[ANO PAGAMENTO],$B$4,LANÇ_MOV[MÊS PAGAMENTO CORRESPONDENTE],O$6,LANÇ_MOV[EMPRESA],$C$4,LANÇ_MOV[CENTRO DE CUSTOS],$D$4)</f>
        <v>0</v>
      </c>
      <c r="P874" s="207">
        <f t="shared" si="111"/>
        <v>0</v>
      </c>
      <c r="Q874" s="329">
        <v>8.1999999999999994E-6</v>
      </c>
      <c r="R874" s="346">
        <f t="shared" si="112"/>
        <v>8.1999999999999994E-6</v>
      </c>
      <c r="S874" s="347" t="str">
        <f t="shared" si="113"/>
        <v>-</v>
      </c>
      <c r="T874" s="347">
        <f t="shared" si="114"/>
        <v>0</v>
      </c>
      <c r="U874" s="347">
        <f>HLOOKUP(Apoio!$P$12,$D$854:$P$955,X874,FALSE)+Q874</f>
        <v>8.1999999999999994E-6</v>
      </c>
      <c r="V874" s="447" t="str">
        <f t="shared" si="115"/>
        <v>-</v>
      </c>
      <c r="W874" s="448">
        <f>HLOOKUP(Apoio!$P$12,$D$854:$P$955,X874,FALSE)</f>
        <v>0</v>
      </c>
      <c r="X874" s="329">
        <v>21</v>
      </c>
    </row>
    <row r="875" spans="2:27" ht="30.05" customHeight="1" x14ac:dyDescent="0.35">
      <c r="B875" s="204" t="str">
        <f>'CAD_PL_REC-DESP'!AC24</f>
        <v>2.7.20</v>
      </c>
      <c r="C875" s="205" t="str">
        <f>IF('CAD_PL_REC-DESP'!AD24="","-",'CAD_PL_REC-DESP'!AD24)</f>
        <v>-</v>
      </c>
      <c r="D875" s="206">
        <f>SUMIFS(LANÇ_MOV[VALOR LÍQUIDO],LANÇ_MOV[RECEITA OU DESPESA],"Despesa",LANÇ_MOV[CONTAS],$C875,LANÇ_MOV[PLANO DE CONTAS],REL_DRE_FINANCEIRO!$B$855,LANÇ_MOV[ANO PAGAMENTO],$B$4,LANÇ_MOV[MÊS PAGAMENTO CORRESPONDENTE],D$6,LANÇ_MOV[EMPRESA],$C$4,LANÇ_MOV[CENTRO DE CUSTOS],$D$4)</f>
        <v>0</v>
      </c>
      <c r="E875" s="206">
        <f>SUMIFS(LANÇ_MOV[VALOR LÍQUIDO],LANÇ_MOV[RECEITA OU DESPESA],"Despesa",LANÇ_MOV[CONTAS],$C875,LANÇ_MOV[PLANO DE CONTAS],REL_DRE_FINANCEIRO!$B$855,LANÇ_MOV[ANO PAGAMENTO],$B$4,LANÇ_MOV[MÊS PAGAMENTO CORRESPONDENTE],E$6,LANÇ_MOV[EMPRESA],$C$4,LANÇ_MOV[CENTRO DE CUSTOS],$D$4)</f>
        <v>0</v>
      </c>
      <c r="F875" s="206">
        <f>SUMIFS(LANÇ_MOV[VALOR LÍQUIDO],LANÇ_MOV[RECEITA OU DESPESA],"Despesa",LANÇ_MOV[CONTAS],$C875,LANÇ_MOV[PLANO DE CONTAS],REL_DRE_FINANCEIRO!$B$855,LANÇ_MOV[ANO PAGAMENTO],$B$4,LANÇ_MOV[MÊS PAGAMENTO CORRESPONDENTE],F$6,LANÇ_MOV[EMPRESA],$C$4,LANÇ_MOV[CENTRO DE CUSTOS],$D$4)</f>
        <v>0</v>
      </c>
      <c r="G875" s="206">
        <f>SUMIFS(LANÇ_MOV[VALOR LÍQUIDO],LANÇ_MOV[RECEITA OU DESPESA],"Despesa",LANÇ_MOV[CONTAS],$C875,LANÇ_MOV[PLANO DE CONTAS],REL_DRE_FINANCEIRO!$B$855,LANÇ_MOV[ANO PAGAMENTO],$B$4,LANÇ_MOV[MÊS PAGAMENTO CORRESPONDENTE],G$6,LANÇ_MOV[EMPRESA],$C$4,LANÇ_MOV[CENTRO DE CUSTOS],$D$4)</f>
        <v>0</v>
      </c>
      <c r="H875" s="206">
        <f>SUMIFS(LANÇ_MOV[VALOR LÍQUIDO],LANÇ_MOV[RECEITA OU DESPESA],"Despesa",LANÇ_MOV[CONTAS],$C875,LANÇ_MOV[PLANO DE CONTAS],REL_DRE_FINANCEIRO!$B$855,LANÇ_MOV[ANO PAGAMENTO],$B$4,LANÇ_MOV[MÊS PAGAMENTO CORRESPONDENTE],H$6,LANÇ_MOV[EMPRESA],$C$4,LANÇ_MOV[CENTRO DE CUSTOS],$D$4)</f>
        <v>0</v>
      </c>
      <c r="I875" s="206">
        <f>SUMIFS(LANÇ_MOV[VALOR LÍQUIDO],LANÇ_MOV[RECEITA OU DESPESA],"Despesa",LANÇ_MOV[CONTAS],$C875,LANÇ_MOV[PLANO DE CONTAS],REL_DRE_FINANCEIRO!$B$855,LANÇ_MOV[ANO PAGAMENTO],$B$4,LANÇ_MOV[MÊS PAGAMENTO CORRESPONDENTE],I$6,LANÇ_MOV[EMPRESA],$C$4,LANÇ_MOV[CENTRO DE CUSTOS],$D$4)</f>
        <v>0</v>
      </c>
      <c r="J875" s="206">
        <f>SUMIFS(LANÇ_MOV[VALOR LÍQUIDO],LANÇ_MOV[RECEITA OU DESPESA],"Despesa",LANÇ_MOV[CONTAS],$C875,LANÇ_MOV[PLANO DE CONTAS],REL_DRE_FINANCEIRO!$B$855,LANÇ_MOV[ANO PAGAMENTO],$B$4,LANÇ_MOV[MÊS PAGAMENTO CORRESPONDENTE],J$6,LANÇ_MOV[EMPRESA],$C$4,LANÇ_MOV[CENTRO DE CUSTOS],$D$4)</f>
        <v>0</v>
      </c>
      <c r="K875" s="206">
        <f>SUMIFS(LANÇ_MOV[VALOR LÍQUIDO],LANÇ_MOV[RECEITA OU DESPESA],"Despesa",LANÇ_MOV[CONTAS],$C875,LANÇ_MOV[PLANO DE CONTAS],REL_DRE_FINANCEIRO!$B$855,LANÇ_MOV[ANO PAGAMENTO],$B$4,LANÇ_MOV[MÊS PAGAMENTO CORRESPONDENTE],K$6,LANÇ_MOV[EMPRESA],$C$4,LANÇ_MOV[CENTRO DE CUSTOS],$D$4)</f>
        <v>0</v>
      </c>
      <c r="L875" s="206">
        <f>SUMIFS(LANÇ_MOV[VALOR LÍQUIDO],LANÇ_MOV[RECEITA OU DESPESA],"Despesa",LANÇ_MOV[CONTAS],$C875,LANÇ_MOV[PLANO DE CONTAS],REL_DRE_FINANCEIRO!$B$855,LANÇ_MOV[ANO PAGAMENTO],$B$4,LANÇ_MOV[MÊS PAGAMENTO CORRESPONDENTE],L$6,LANÇ_MOV[EMPRESA],$C$4,LANÇ_MOV[CENTRO DE CUSTOS],$D$4)</f>
        <v>0</v>
      </c>
      <c r="M875" s="206">
        <f>SUMIFS(LANÇ_MOV[VALOR LÍQUIDO],LANÇ_MOV[RECEITA OU DESPESA],"Despesa",LANÇ_MOV[CONTAS],$C875,LANÇ_MOV[PLANO DE CONTAS],REL_DRE_FINANCEIRO!$B$855,LANÇ_MOV[ANO PAGAMENTO],$B$4,LANÇ_MOV[MÊS PAGAMENTO CORRESPONDENTE],M$6,LANÇ_MOV[EMPRESA],$C$4,LANÇ_MOV[CENTRO DE CUSTOS],$D$4)</f>
        <v>0</v>
      </c>
      <c r="N875" s="206">
        <f>SUMIFS(LANÇ_MOV[VALOR LÍQUIDO],LANÇ_MOV[RECEITA OU DESPESA],"Despesa",LANÇ_MOV[CONTAS],$C875,LANÇ_MOV[PLANO DE CONTAS],REL_DRE_FINANCEIRO!$B$855,LANÇ_MOV[ANO PAGAMENTO],$B$4,LANÇ_MOV[MÊS PAGAMENTO CORRESPONDENTE],N$6,LANÇ_MOV[EMPRESA],$C$4,LANÇ_MOV[CENTRO DE CUSTOS],$D$4)</f>
        <v>0</v>
      </c>
      <c r="O875" s="206">
        <f>SUMIFS(LANÇ_MOV[VALOR LÍQUIDO],LANÇ_MOV[RECEITA OU DESPESA],"Despesa",LANÇ_MOV[CONTAS],$C875,LANÇ_MOV[PLANO DE CONTAS],REL_DRE_FINANCEIRO!$B$855,LANÇ_MOV[ANO PAGAMENTO],$B$4,LANÇ_MOV[MÊS PAGAMENTO CORRESPONDENTE],O$6,LANÇ_MOV[EMPRESA],$C$4,LANÇ_MOV[CENTRO DE CUSTOS],$D$4)</f>
        <v>0</v>
      </c>
      <c r="P875" s="207">
        <f t="shared" si="111"/>
        <v>0</v>
      </c>
      <c r="Q875" s="329">
        <v>8.1000000000000004E-6</v>
      </c>
      <c r="R875" s="346">
        <f t="shared" si="112"/>
        <v>8.1000000000000004E-6</v>
      </c>
      <c r="S875" s="347" t="str">
        <f t="shared" si="113"/>
        <v>-</v>
      </c>
      <c r="T875" s="347">
        <f t="shared" si="114"/>
        <v>0</v>
      </c>
      <c r="U875" s="347">
        <f>HLOOKUP(Apoio!$P$12,$D$854:$P$955,X875,FALSE)+Q875</f>
        <v>8.1000000000000004E-6</v>
      </c>
      <c r="V875" s="447" t="str">
        <f t="shared" si="115"/>
        <v>-</v>
      </c>
      <c r="W875" s="448">
        <f>HLOOKUP(Apoio!$P$12,$D$854:$P$955,X875,FALSE)</f>
        <v>0</v>
      </c>
      <c r="X875" s="329">
        <v>22</v>
      </c>
    </row>
    <row r="876" spans="2:27" ht="30.05" customHeight="1" x14ac:dyDescent="0.35">
      <c r="B876" s="204" t="str">
        <f>'CAD_PL_REC-DESP'!AC25</f>
        <v>2.7.21</v>
      </c>
      <c r="C876" s="205" t="str">
        <f>IF('CAD_PL_REC-DESP'!AD25="","-",'CAD_PL_REC-DESP'!AD25)</f>
        <v>-</v>
      </c>
      <c r="D876" s="206">
        <f>SUMIFS(LANÇ_MOV[VALOR LÍQUIDO],LANÇ_MOV[RECEITA OU DESPESA],"Despesa",LANÇ_MOV[CONTAS],$C876,LANÇ_MOV[PLANO DE CONTAS],REL_DRE_FINANCEIRO!$B$855,LANÇ_MOV[ANO PAGAMENTO],$B$4,LANÇ_MOV[MÊS PAGAMENTO CORRESPONDENTE],D$6,LANÇ_MOV[EMPRESA],$C$4,LANÇ_MOV[CENTRO DE CUSTOS],$D$4)</f>
        <v>0</v>
      </c>
      <c r="E876" s="206">
        <f>SUMIFS(LANÇ_MOV[VALOR LÍQUIDO],LANÇ_MOV[RECEITA OU DESPESA],"Despesa",LANÇ_MOV[CONTAS],$C876,LANÇ_MOV[PLANO DE CONTAS],REL_DRE_FINANCEIRO!$B$855,LANÇ_MOV[ANO PAGAMENTO],$B$4,LANÇ_MOV[MÊS PAGAMENTO CORRESPONDENTE],E$6,LANÇ_MOV[EMPRESA],$C$4,LANÇ_MOV[CENTRO DE CUSTOS],$D$4)</f>
        <v>0</v>
      </c>
      <c r="F876" s="206">
        <f>SUMIFS(LANÇ_MOV[VALOR LÍQUIDO],LANÇ_MOV[RECEITA OU DESPESA],"Despesa",LANÇ_MOV[CONTAS],$C876,LANÇ_MOV[PLANO DE CONTAS],REL_DRE_FINANCEIRO!$B$855,LANÇ_MOV[ANO PAGAMENTO],$B$4,LANÇ_MOV[MÊS PAGAMENTO CORRESPONDENTE],F$6,LANÇ_MOV[EMPRESA],$C$4,LANÇ_MOV[CENTRO DE CUSTOS],$D$4)</f>
        <v>0</v>
      </c>
      <c r="G876" s="206">
        <f>SUMIFS(LANÇ_MOV[VALOR LÍQUIDO],LANÇ_MOV[RECEITA OU DESPESA],"Despesa",LANÇ_MOV[CONTAS],$C876,LANÇ_MOV[PLANO DE CONTAS],REL_DRE_FINANCEIRO!$B$855,LANÇ_MOV[ANO PAGAMENTO],$B$4,LANÇ_MOV[MÊS PAGAMENTO CORRESPONDENTE],G$6,LANÇ_MOV[EMPRESA],$C$4,LANÇ_MOV[CENTRO DE CUSTOS],$D$4)</f>
        <v>0</v>
      </c>
      <c r="H876" s="206">
        <f>SUMIFS(LANÇ_MOV[VALOR LÍQUIDO],LANÇ_MOV[RECEITA OU DESPESA],"Despesa",LANÇ_MOV[CONTAS],$C876,LANÇ_MOV[PLANO DE CONTAS],REL_DRE_FINANCEIRO!$B$855,LANÇ_MOV[ANO PAGAMENTO],$B$4,LANÇ_MOV[MÊS PAGAMENTO CORRESPONDENTE],H$6,LANÇ_MOV[EMPRESA],$C$4,LANÇ_MOV[CENTRO DE CUSTOS],$D$4)</f>
        <v>0</v>
      </c>
      <c r="I876" s="206">
        <f>SUMIFS(LANÇ_MOV[VALOR LÍQUIDO],LANÇ_MOV[RECEITA OU DESPESA],"Despesa",LANÇ_MOV[CONTAS],$C876,LANÇ_MOV[PLANO DE CONTAS],REL_DRE_FINANCEIRO!$B$855,LANÇ_MOV[ANO PAGAMENTO],$B$4,LANÇ_MOV[MÊS PAGAMENTO CORRESPONDENTE],I$6,LANÇ_MOV[EMPRESA],$C$4,LANÇ_MOV[CENTRO DE CUSTOS],$D$4)</f>
        <v>0</v>
      </c>
      <c r="J876" s="206">
        <f>SUMIFS(LANÇ_MOV[VALOR LÍQUIDO],LANÇ_MOV[RECEITA OU DESPESA],"Despesa",LANÇ_MOV[CONTAS],$C876,LANÇ_MOV[PLANO DE CONTAS],REL_DRE_FINANCEIRO!$B$855,LANÇ_MOV[ANO PAGAMENTO],$B$4,LANÇ_MOV[MÊS PAGAMENTO CORRESPONDENTE],J$6,LANÇ_MOV[EMPRESA],$C$4,LANÇ_MOV[CENTRO DE CUSTOS],$D$4)</f>
        <v>0</v>
      </c>
      <c r="K876" s="206">
        <f>SUMIFS(LANÇ_MOV[VALOR LÍQUIDO],LANÇ_MOV[RECEITA OU DESPESA],"Despesa",LANÇ_MOV[CONTAS],$C876,LANÇ_MOV[PLANO DE CONTAS],REL_DRE_FINANCEIRO!$B$855,LANÇ_MOV[ANO PAGAMENTO],$B$4,LANÇ_MOV[MÊS PAGAMENTO CORRESPONDENTE],K$6,LANÇ_MOV[EMPRESA],$C$4,LANÇ_MOV[CENTRO DE CUSTOS],$D$4)</f>
        <v>0</v>
      </c>
      <c r="L876" s="206">
        <f>SUMIFS(LANÇ_MOV[VALOR LÍQUIDO],LANÇ_MOV[RECEITA OU DESPESA],"Despesa",LANÇ_MOV[CONTAS],$C876,LANÇ_MOV[PLANO DE CONTAS],REL_DRE_FINANCEIRO!$B$855,LANÇ_MOV[ANO PAGAMENTO],$B$4,LANÇ_MOV[MÊS PAGAMENTO CORRESPONDENTE],L$6,LANÇ_MOV[EMPRESA],$C$4,LANÇ_MOV[CENTRO DE CUSTOS],$D$4)</f>
        <v>0</v>
      </c>
      <c r="M876" s="206">
        <f>SUMIFS(LANÇ_MOV[VALOR LÍQUIDO],LANÇ_MOV[RECEITA OU DESPESA],"Despesa",LANÇ_MOV[CONTAS],$C876,LANÇ_MOV[PLANO DE CONTAS],REL_DRE_FINANCEIRO!$B$855,LANÇ_MOV[ANO PAGAMENTO],$B$4,LANÇ_MOV[MÊS PAGAMENTO CORRESPONDENTE],M$6,LANÇ_MOV[EMPRESA],$C$4,LANÇ_MOV[CENTRO DE CUSTOS],$D$4)</f>
        <v>0</v>
      </c>
      <c r="N876" s="206">
        <f>SUMIFS(LANÇ_MOV[VALOR LÍQUIDO],LANÇ_MOV[RECEITA OU DESPESA],"Despesa",LANÇ_MOV[CONTAS],$C876,LANÇ_MOV[PLANO DE CONTAS],REL_DRE_FINANCEIRO!$B$855,LANÇ_MOV[ANO PAGAMENTO],$B$4,LANÇ_MOV[MÊS PAGAMENTO CORRESPONDENTE],N$6,LANÇ_MOV[EMPRESA],$C$4,LANÇ_MOV[CENTRO DE CUSTOS],$D$4)</f>
        <v>0</v>
      </c>
      <c r="O876" s="206">
        <f>SUMIFS(LANÇ_MOV[VALOR LÍQUIDO],LANÇ_MOV[RECEITA OU DESPESA],"Despesa",LANÇ_MOV[CONTAS],$C876,LANÇ_MOV[PLANO DE CONTAS],REL_DRE_FINANCEIRO!$B$855,LANÇ_MOV[ANO PAGAMENTO],$B$4,LANÇ_MOV[MÊS PAGAMENTO CORRESPONDENTE],O$6,LANÇ_MOV[EMPRESA],$C$4,LANÇ_MOV[CENTRO DE CUSTOS],$D$4)</f>
        <v>0</v>
      </c>
      <c r="P876" s="207">
        <f t="shared" si="111"/>
        <v>0</v>
      </c>
      <c r="Q876" s="329">
        <v>7.9999999999999996E-6</v>
      </c>
      <c r="R876" s="346">
        <f t="shared" si="112"/>
        <v>7.9999999999999996E-6</v>
      </c>
      <c r="S876" s="347" t="str">
        <f t="shared" si="113"/>
        <v>-</v>
      </c>
      <c r="T876" s="347">
        <f t="shared" si="114"/>
        <v>0</v>
      </c>
      <c r="U876" s="347">
        <f>HLOOKUP(Apoio!$P$12,$D$854:$P$955,X876,FALSE)+Q876</f>
        <v>7.9999999999999996E-6</v>
      </c>
      <c r="V876" s="447" t="str">
        <f t="shared" si="115"/>
        <v>-</v>
      </c>
      <c r="W876" s="448">
        <f>HLOOKUP(Apoio!$P$12,$D$854:$P$955,X876,FALSE)</f>
        <v>0</v>
      </c>
      <c r="X876" s="329">
        <v>23</v>
      </c>
    </row>
    <row r="877" spans="2:27" ht="30.05" customHeight="1" x14ac:dyDescent="0.35">
      <c r="B877" s="204" t="str">
        <f>'CAD_PL_REC-DESP'!AC26</f>
        <v>2.7.22</v>
      </c>
      <c r="C877" s="205" t="str">
        <f>IF('CAD_PL_REC-DESP'!AD26="","-",'CAD_PL_REC-DESP'!AD26)</f>
        <v>-</v>
      </c>
      <c r="D877" s="206">
        <f>SUMIFS(LANÇ_MOV[VALOR LÍQUIDO],LANÇ_MOV[RECEITA OU DESPESA],"Despesa",LANÇ_MOV[CONTAS],$C877,LANÇ_MOV[PLANO DE CONTAS],REL_DRE_FINANCEIRO!$B$855,LANÇ_MOV[ANO PAGAMENTO],$B$4,LANÇ_MOV[MÊS PAGAMENTO CORRESPONDENTE],D$6,LANÇ_MOV[EMPRESA],$C$4,LANÇ_MOV[CENTRO DE CUSTOS],$D$4)</f>
        <v>0</v>
      </c>
      <c r="E877" s="206">
        <f>SUMIFS(LANÇ_MOV[VALOR LÍQUIDO],LANÇ_MOV[RECEITA OU DESPESA],"Despesa",LANÇ_MOV[CONTAS],$C877,LANÇ_MOV[PLANO DE CONTAS],REL_DRE_FINANCEIRO!$B$855,LANÇ_MOV[ANO PAGAMENTO],$B$4,LANÇ_MOV[MÊS PAGAMENTO CORRESPONDENTE],E$6,LANÇ_MOV[EMPRESA],$C$4,LANÇ_MOV[CENTRO DE CUSTOS],$D$4)</f>
        <v>0</v>
      </c>
      <c r="F877" s="206">
        <f>SUMIFS(LANÇ_MOV[VALOR LÍQUIDO],LANÇ_MOV[RECEITA OU DESPESA],"Despesa",LANÇ_MOV[CONTAS],$C877,LANÇ_MOV[PLANO DE CONTAS],REL_DRE_FINANCEIRO!$B$855,LANÇ_MOV[ANO PAGAMENTO],$B$4,LANÇ_MOV[MÊS PAGAMENTO CORRESPONDENTE],F$6,LANÇ_MOV[EMPRESA],$C$4,LANÇ_MOV[CENTRO DE CUSTOS],$D$4)</f>
        <v>0</v>
      </c>
      <c r="G877" s="206">
        <f>SUMIFS(LANÇ_MOV[VALOR LÍQUIDO],LANÇ_MOV[RECEITA OU DESPESA],"Despesa",LANÇ_MOV[CONTAS],$C877,LANÇ_MOV[PLANO DE CONTAS],REL_DRE_FINANCEIRO!$B$855,LANÇ_MOV[ANO PAGAMENTO],$B$4,LANÇ_MOV[MÊS PAGAMENTO CORRESPONDENTE],G$6,LANÇ_MOV[EMPRESA],$C$4,LANÇ_MOV[CENTRO DE CUSTOS],$D$4)</f>
        <v>0</v>
      </c>
      <c r="H877" s="206">
        <f>SUMIFS(LANÇ_MOV[VALOR LÍQUIDO],LANÇ_MOV[RECEITA OU DESPESA],"Despesa",LANÇ_MOV[CONTAS],$C877,LANÇ_MOV[PLANO DE CONTAS],REL_DRE_FINANCEIRO!$B$855,LANÇ_MOV[ANO PAGAMENTO],$B$4,LANÇ_MOV[MÊS PAGAMENTO CORRESPONDENTE],H$6,LANÇ_MOV[EMPRESA],$C$4,LANÇ_MOV[CENTRO DE CUSTOS],$D$4)</f>
        <v>0</v>
      </c>
      <c r="I877" s="206">
        <f>SUMIFS(LANÇ_MOV[VALOR LÍQUIDO],LANÇ_MOV[RECEITA OU DESPESA],"Despesa",LANÇ_MOV[CONTAS],$C877,LANÇ_MOV[PLANO DE CONTAS],REL_DRE_FINANCEIRO!$B$855,LANÇ_MOV[ANO PAGAMENTO],$B$4,LANÇ_MOV[MÊS PAGAMENTO CORRESPONDENTE],I$6,LANÇ_MOV[EMPRESA],$C$4,LANÇ_MOV[CENTRO DE CUSTOS],$D$4)</f>
        <v>0</v>
      </c>
      <c r="J877" s="206">
        <f>SUMIFS(LANÇ_MOV[VALOR LÍQUIDO],LANÇ_MOV[RECEITA OU DESPESA],"Despesa",LANÇ_MOV[CONTAS],$C877,LANÇ_MOV[PLANO DE CONTAS],REL_DRE_FINANCEIRO!$B$855,LANÇ_MOV[ANO PAGAMENTO],$B$4,LANÇ_MOV[MÊS PAGAMENTO CORRESPONDENTE],J$6,LANÇ_MOV[EMPRESA],$C$4,LANÇ_MOV[CENTRO DE CUSTOS],$D$4)</f>
        <v>0</v>
      </c>
      <c r="K877" s="206">
        <f>SUMIFS(LANÇ_MOV[VALOR LÍQUIDO],LANÇ_MOV[RECEITA OU DESPESA],"Despesa",LANÇ_MOV[CONTAS],$C877,LANÇ_MOV[PLANO DE CONTAS],REL_DRE_FINANCEIRO!$B$855,LANÇ_MOV[ANO PAGAMENTO],$B$4,LANÇ_MOV[MÊS PAGAMENTO CORRESPONDENTE],K$6,LANÇ_MOV[EMPRESA],$C$4,LANÇ_MOV[CENTRO DE CUSTOS],$D$4)</f>
        <v>0</v>
      </c>
      <c r="L877" s="206">
        <f>SUMIFS(LANÇ_MOV[VALOR LÍQUIDO],LANÇ_MOV[RECEITA OU DESPESA],"Despesa",LANÇ_MOV[CONTAS],$C877,LANÇ_MOV[PLANO DE CONTAS],REL_DRE_FINANCEIRO!$B$855,LANÇ_MOV[ANO PAGAMENTO],$B$4,LANÇ_MOV[MÊS PAGAMENTO CORRESPONDENTE],L$6,LANÇ_MOV[EMPRESA],$C$4,LANÇ_MOV[CENTRO DE CUSTOS],$D$4)</f>
        <v>0</v>
      </c>
      <c r="M877" s="206">
        <f>SUMIFS(LANÇ_MOV[VALOR LÍQUIDO],LANÇ_MOV[RECEITA OU DESPESA],"Despesa",LANÇ_MOV[CONTAS],$C877,LANÇ_MOV[PLANO DE CONTAS],REL_DRE_FINANCEIRO!$B$855,LANÇ_MOV[ANO PAGAMENTO],$B$4,LANÇ_MOV[MÊS PAGAMENTO CORRESPONDENTE],M$6,LANÇ_MOV[EMPRESA],$C$4,LANÇ_MOV[CENTRO DE CUSTOS],$D$4)</f>
        <v>0</v>
      </c>
      <c r="N877" s="206">
        <f>SUMIFS(LANÇ_MOV[VALOR LÍQUIDO],LANÇ_MOV[RECEITA OU DESPESA],"Despesa",LANÇ_MOV[CONTAS],$C877,LANÇ_MOV[PLANO DE CONTAS],REL_DRE_FINANCEIRO!$B$855,LANÇ_MOV[ANO PAGAMENTO],$B$4,LANÇ_MOV[MÊS PAGAMENTO CORRESPONDENTE],N$6,LANÇ_MOV[EMPRESA],$C$4,LANÇ_MOV[CENTRO DE CUSTOS],$D$4)</f>
        <v>0</v>
      </c>
      <c r="O877" s="206">
        <f>SUMIFS(LANÇ_MOV[VALOR LÍQUIDO],LANÇ_MOV[RECEITA OU DESPESA],"Despesa",LANÇ_MOV[CONTAS],$C877,LANÇ_MOV[PLANO DE CONTAS],REL_DRE_FINANCEIRO!$B$855,LANÇ_MOV[ANO PAGAMENTO],$B$4,LANÇ_MOV[MÊS PAGAMENTO CORRESPONDENTE],O$6,LANÇ_MOV[EMPRESA],$C$4,LANÇ_MOV[CENTRO DE CUSTOS],$D$4)</f>
        <v>0</v>
      </c>
      <c r="P877" s="207">
        <f t="shared" si="111"/>
        <v>0</v>
      </c>
      <c r="Q877" s="329">
        <v>7.9000000000000006E-6</v>
      </c>
      <c r="R877" s="346">
        <f t="shared" si="112"/>
        <v>7.9000000000000006E-6</v>
      </c>
      <c r="S877" s="347" t="str">
        <f t="shared" si="113"/>
        <v>-</v>
      </c>
      <c r="T877" s="347">
        <f t="shared" si="114"/>
        <v>0</v>
      </c>
      <c r="U877" s="347">
        <f>HLOOKUP(Apoio!$P$12,$D$854:$P$955,X877,FALSE)+Q877</f>
        <v>7.9000000000000006E-6</v>
      </c>
      <c r="V877" s="447" t="str">
        <f t="shared" si="115"/>
        <v>-</v>
      </c>
      <c r="W877" s="448">
        <f>HLOOKUP(Apoio!$P$12,$D$854:$P$955,X877,FALSE)</f>
        <v>0</v>
      </c>
      <c r="X877" s="329">
        <v>24</v>
      </c>
    </row>
    <row r="878" spans="2:27" ht="30.05" customHeight="1" x14ac:dyDescent="0.35">
      <c r="B878" s="204" t="str">
        <f>'CAD_PL_REC-DESP'!AC27</f>
        <v>2.7.23</v>
      </c>
      <c r="C878" s="205" t="str">
        <f>IF('CAD_PL_REC-DESP'!AD27="","-",'CAD_PL_REC-DESP'!AD27)</f>
        <v>-</v>
      </c>
      <c r="D878" s="206">
        <f>SUMIFS(LANÇ_MOV[VALOR LÍQUIDO],LANÇ_MOV[RECEITA OU DESPESA],"Despesa",LANÇ_MOV[CONTAS],$C878,LANÇ_MOV[PLANO DE CONTAS],REL_DRE_FINANCEIRO!$B$855,LANÇ_MOV[ANO PAGAMENTO],$B$4,LANÇ_MOV[MÊS PAGAMENTO CORRESPONDENTE],D$6,LANÇ_MOV[EMPRESA],$C$4,LANÇ_MOV[CENTRO DE CUSTOS],$D$4)</f>
        <v>0</v>
      </c>
      <c r="E878" s="206">
        <f>SUMIFS(LANÇ_MOV[VALOR LÍQUIDO],LANÇ_MOV[RECEITA OU DESPESA],"Despesa",LANÇ_MOV[CONTAS],$C878,LANÇ_MOV[PLANO DE CONTAS],REL_DRE_FINANCEIRO!$B$855,LANÇ_MOV[ANO PAGAMENTO],$B$4,LANÇ_MOV[MÊS PAGAMENTO CORRESPONDENTE],E$6,LANÇ_MOV[EMPRESA],$C$4,LANÇ_MOV[CENTRO DE CUSTOS],$D$4)</f>
        <v>0</v>
      </c>
      <c r="F878" s="206">
        <f>SUMIFS(LANÇ_MOV[VALOR LÍQUIDO],LANÇ_MOV[RECEITA OU DESPESA],"Despesa",LANÇ_MOV[CONTAS],$C878,LANÇ_MOV[PLANO DE CONTAS],REL_DRE_FINANCEIRO!$B$855,LANÇ_MOV[ANO PAGAMENTO],$B$4,LANÇ_MOV[MÊS PAGAMENTO CORRESPONDENTE],F$6,LANÇ_MOV[EMPRESA],$C$4,LANÇ_MOV[CENTRO DE CUSTOS],$D$4)</f>
        <v>0</v>
      </c>
      <c r="G878" s="206">
        <f>SUMIFS(LANÇ_MOV[VALOR LÍQUIDO],LANÇ_MOV[RECEITA OU DESPESA],"Despesa",LANÇ_MOV[CONTAS],$C878,LANÇ_MOV[PLANO DE CONTAS],REL_DRE_FINANCEIRO!$B$855,LANÇ_MOV[ANO PAGAMENTO],$B$4,LANÇ_MOV[MÊS PAGAMENTO CORRESPONDENTE],G$6,LANÇ_MOV[EMPRESA],$C$4,LANÇ_MOV[CENTRO DE CUSTOS],$D$4)</f>
        <v>0</v>
      </c>
      <c r="H878" s="206">
        <f>SUMIFS(LANÇ_MOV[VALOR LÍQUIDO],LANÇ_MOV[RECEITA OU DESPESA],"Despesa",LANÇ_MOV[CONTAS],$C878,LANÇ_MOV[PLANO DE CONTAS],REL_DRE_FINANCEIRO!$B$855,LANÇ_MOV[ANO PAGAMENTO],$B$4,LANÇ_MOV[MÊS PAGAMENTO CORRESPONDENTE],H$6,LANÇ_MOV[EMPRESA],$C$4,LANÇ_MOV[CENTRO DE CUSTOS],$D$4)</f>
        <v>0</v>
      </c>
      <c r="I878" s="206">
        <f>SUMIFS(LANÇ_MOV[VALOR LÍQUIDO],LANÇ_MOV[RECEITA OU DESPESA],"Despesa",LANÇ_MOV[CONTAS],$C878,LANÇ_MOV[PLANO DE CONTAS],REL_DRE_FINANCEIRO!$B$855,LANÇ_MOV[ANO PAGAMENTO],$B$4,LANÇ_MOV[MÊS PAGAMENTO CORRESPONDENTE],I$6,LANÇ_MOV[EMPRESA],$C$4,LANÇ_MOV[CENTRO DE CUSTOS],$D$4)</f>
        <v>0</v>
      </c>
      <c r="J878" s="206">
        <f>SUMIFS(LANÇ_MOV[VALOR LÍQUIDO],LANÇ_MOV[RECEITA OU DESPESA],"Despesa",LANÇ_MOV[CONTAS],$C878,LANÇ_MOV[PLANO DE CONTAS],REL_DRE_FINANCEIRO!$B$855,LANÇ_MOV[ANO PAGAMENTO],$B$4,LANÇ_MOV[MÊS PAGAMENTO CORRESPONDENTE],J$6,LANÇ_MOV[EMPRESA],$C$4,LANÇ_MOV[CENTRO DE CUSTOS],$D$4)</f>
        <v>0</v>
      </c>
      <c r="K878" s="206">
        <f>SUMIFS(LANÇ_MOV[VALOR LÍQUIDO],LANÇ_MOV[RECEITA OU DESPESA],"Despesa",LANÇ_MOV[CONTAS],$C878,LANÇ_MOV[PLANO DE CONTAS],REL_DRE_FINANCEIRO!$B$855,LANÇ_MOV[ANO PAGAMENTO],$B$4,LANÇ_MOV[MÊS PAGAMENTO CORRESPONDENTE],K$6,LANÇ_MOV[EMPRESA],$C$4,LANÇ_MOV[CENTRO DE CUSTOS],$D$4)</f>
        <v>0</v>
      </c>
      <c r="L878" s="206">
        <f>SUMIFS(LANÇ_MOV[VALOR LÍQUIDO],LANÇ_MOV[RECEITA OU DESPESA],"Despesa",LANÇ_MOV[CONTAS],$C878,LANÇ_MOV[PLANO DE CONTAS],REL_DRE_FINANCEIRO!$B$855,LANÇ_MOV[ANO PAGAMENTO],$B$4,LANÇ_MOV[MÊS PAGAMENTO CORRESPONDENTE],L$6,LANÇ_MOV[EMPRESA],$C$4,LANÇ_MOV[CENTRO DE CUSTOS],$D$4)</f>
        <v>0</v>
      </c>
      <c r="M878" s="206">
        <f>SUMIFS(LANÇ_MOV[VALOR LÍQUIDO],LANÇ_MOV[RECEITA OU DESPESA],"Despesa",LANÇ_MOV[CONTAS],$C878,LANÇ_MOV[PLANO DE CONTAS],REL_DRE_FINANCEIRO!$B$855,LANÇ_MOV[ANO PAGAMENTO],$B$4,LANÇ_MOV[MÊS PAGAMENTO CORRESPONDENTE],M$6,LANÇ_MOV[EMPRESA],$C$4,LANÇ_MOV[CENTRO DE CUSTOS],$D$4)</f>
        <v>0</v>
      </c>
      <c r="N878" s="206">
        <f>SUMIFS(LANÇ_MOV[VALOR LÍQUIDO],LANÇ_MOV[RECEITA OU DESPESA],"Despesa",LANÇ_MOV[CONTAS],$C878,LANÇ_MOV[PLANO DE CONTAS],REL_DRE_FINANCEIRO!$B$855,LANÇ_MOV[ANO PAGAMENTO],$B$4,LANÇ_MOV[MÊS PAGAMENTO CORRESPONDENTE],N$6,LANÇ_MOV[EMPRESA],$C$4,LANÇ_MOV[CENTRO DE CUSTOS],$D$4)</f>
        <v>0</v>
      </c>
      <c r="O878" s="206">
        <f>SUMIFS(LANÇ_MOV[VALOR LÍQUIDO],LANÇ_MOV[RECEITA OU DESPESA],"Despesa",LANÇ_MOV[CONTAS],$C878,LANÇ_MOV[PLANO DE CONTAS],REL_DRE_FINANCEIRO!$B$855,LANÇ_MOV[ANO PAGAMENTO],$B$4,LANÇ_MOV[MÊS PAGAMENTO CORRESPONDENTE],O$6,LANÇ_MOV[EMPRESA],$C$4,LANÇ_MOV[CENTRO DE CUSTOS],$D$4)</f>
        <v>0</v>
      </c>
      <c r="P878" s="207">
        <f t="shared" si="111"/>
        <v>0</v>
      </c>
      <c r="Q878" s="329">
        <v>7.7999999999999999E-6</v>
      </c>
      <c r="R878" s="346">
        <f t="shared" si="112"/>
        <v>7.7999999999999999E-6</v>
      </c>
      <c r="S878" s="347" t="str">
        <f t="shared" si="113"/>
        <v>-</v>
      </c>
      <c r="T878" s="347">
        <f t="shared" si="114"/>
        <v>0</v>
      </c>
      <c r="U878" s="347">
        <f>HLOOKUP(Apoio!$P$12,$D$854:$P$955,X878,FALSE)+Q878</f>
        <v>7.7999999999999999E-6</v>
      </c>
      <c r="V878" s="447" t="str">
        <f t="shared" si="115"/>
        <v>-</v>
      </c>
      <c r="W878" s="448">
        <f>HLOOKUP(Apoio!$P$12,$D$854:$P$955,X878,FALSE)</f>
        <v>0</v>
      </c>
      <c r="X878" s="329">
        <v>25</v>
      </c>
    </row>
    <row r="879" spans="2:27" ht="30.05" customHeight="1" x14ac:dyDescent="0.35">
      <c r="B879" s="204" t="str">
        <f>'CAD_PL_REC-DESP'!AC28</f>
        <v>2.7.24</v>
      </c>
      <c r="C879" s="205" t="str">
        <f>IF('CAD_PL_REC-DESP'!AD28="","-",'CAD_PL_REC-DESP'!AD28)</f>
        <v>-</v>
      </c>
      <c r="D879" s="206">
        <f>SUMIFS(LANÇ_MOV[VALOR LÍQUIDO],LANÇ_MOV[RECEITA OU DESPESA],"Despesa",LANÇ_MOV[CONTAS],$C879,LANÇ_MOV[PLANO DE CONTAS],REL_DRE_FINANCEIRO!$B$855,LANÇ_MOV[ANO PAGAMENTO],$B$4,LANÇ_MOV[MÊS PAGAMENTO CORRESPONDENTE],D$6,LANÇ_MOV[EMPRESA],$C$4,LANÇ_MOV[CENTRO DE CUSTOS],$D$4)</f>
        <v>0</v>
      </c>
      <c r="E879" s="206">
        <f>SUMIFS(LANÇ_MOV[VALOR LÍQUIDO],LANÇ_MOV[RECEITA OU DESPESA],"Despesa",LANÇ_MOV[CONTAS],$C879,LANÇ_MOV[PLANO DE CONTAS],REL_DRE_FINANCEIRO!$B$855,LANÇ_MOV[ANO PAGAMENTO],$B$4,LANÇ_MOV[MÊS PAGAMENTO CORRESPONDENTE],E$6,LANÇ_MOV[EMPRESA],$C$4,LANÇ_MOV[CENTRO DE CUSTOS],$D$4)</f>
        <v>0</v>
      </c>
      <c r="F879" s="206">
        <f>SUMIFS(LANÇ_MOV[VALOR LÍQUIDO],LANÇ_MOV[RECEITA OU DESPESA],"Despesa",LANÇ_MOV[CONTAS],$C879,LANÇ_MOV[PLANO DE CONTAS],REL_DRE_FINANCEIRO!$B$855,LANÇ_MOV[ANO PAGAMENTO],$B$4,LANÇ_MOV[MÊS PAGAMENTO CORRESPONDENTE],F$6,LANÇ_MOV[EMPRESA],$C$4,LANÇ_MOV[CENTRO DE CUSTOS],$D$4)</f>
        <v>0</v>
      </c>
      <c r="G879" s="206">
        <f>SUMIFS(LANÇ_MOV[VALOR LÍQUIDO],LANÇ_MOV[RECEITA OU DESPESA],"Despesa",LANÇ_MOV[CONTAS],$C879,LANÇ_MOV[PLANO DE CONTAS],REL_DRE_FINANCEIRO!$B$855,LANÇ_MOV[ANO PAGAMENTO],$B$4,LANÇ_MOV[MÊS PAGAMENTO CORRESPONDENTE],G$6,LANÇ_MOV[EMPRESA],$C$4,LANÇ_MOV[CENTRO DE CUSTOS],$D$4)</f>
        <v>0</v>
      </c>
      <c r="H879" s="206">
        <f>SUMIFS(LANÇ_MOV[VALOR LÍQUIDO],LANÇ_MOV[RECEITA OU DESPESA],"Despesa",LANÇ_MOV[CONTAS],$C879,LANÇ_MOV[PLANO DE CONTAS],REL_DRE_FINANCEIRO!$B$855,LANÇ_MOV[ANO PAGAMENTO],$B$4,LANÇ_MOV[MÊS PAGAMENTO CORRESPONDENTE],H$6,LANÇ_MOV[EMPRESA],$C$4,LANÇ_MOV[CENTRO DE CUSTOS],$D$4)</f>
        <v>0</v>
      </c>
      <c r="I879" s="206">
        <f>SUMIFS(LANÇ_MOV[VALOR LÍQUIDO],LANÇ_MOV[RECEITA OU DESPESA],"Despesa",LANÇ_MOV[CONTAS],$C879,LANÇ_MOV[PLANO DE CONTAS],REL_DRE_FINANCEIRO!$B$855,LANÇ_MOV[ANO PAGAMENTO],$B$4,LANÇ_MOV[MÊS PAGAMENTO CORRESPONDENTE],I$6,LANÇ_MOV[EMPRESA],$C$4,LANÇ_MOV[CENTRO DE CUSTOS],$D$4)</f>
        <v>0</v>
      </c>
      <c r="J879" s="206">
        <f>SUMIFS(LANÇ_MOV[VALOR LÍQUIDO],LANÇ_MOV[RECEITA OU DESPESA],"Despesa",LANÇ_MOV[CONTAS],$C879,LANÇ_MOV[PLANO DE CONTAS],REL_DRE_FINANCEIRO!$B$855,LANÇ_MOV[ANO PAGAMENTO],$B$4,LANÇ_MOV[MÊS PAGAMENTO CORRESPONDENTE],J$6,LANÇ_MOV[EMPRESA],$C$4,LANÇ_MOV[CENTRO DE CUSTOS],$D$4)</f>
        <v>0</v>
      </c>
      <c r="K879" s="206">
        <f>SUMIFS(LANÇ_MOV[VALOR LÍQUIDO],LANÇ_MOV[RECEITA OU DESPESA],"Despesa",LANÇ_MOV[CONTAS],$C879,LANÇ_MOV[PLANO DE CONTAS],REL_DRE_FINANCEIRO!$B$855,LANÇ_MOV[ANO PAGAMENTO],$B$4,LANÇ_MOV[MÊS PAGAMENTO CORRESPONDENTE],K$6,LANÇ_MOV[EMPRESA],$C$4,LANÇ_MOV[CENTRO DE CUSTOS],$D$4)</f>
        <v>0</v>
      </c>
      <c r="L879" s="206">
        <f>SUMIFS(LANÇ_MOV[VALOR LÍQUIDO],LANÇ_MOV[RECEITA OU DESPESA],"Despesa",LANÇ_MOV[CONTAS],$C879,LANÇ_MOV[PLANO DE CONTAS],REL_DRE_FINANCEIRO!$B$855,LANÇ_MOV[ANO PAGAMENTO],$B$4,LANÇ_MOV[MÊS PAGAMENTO CORRESPONDENTE],L$6,LANÇ_MOV[EMPRESA],$C$4,LANÇ_MOV[CENTRO DE CUSTOS],$D$4)</f>
        <v>0</v>
      </c>
      <c r="M879" s="206">
        <f>SUMIFS(LANÇ_MOV[VALOR LÍQUIDO],LANÇ_MOV[RECEITA OU DESPESA],"Despesa",LANÇ_MOV[CONTAS],$C879,LANÇ_MOV[PLANO DE CONTAS],REL_DRE_FINANCEIRO!$B$855,LANÇ_MOV[ANO PAGAMENTO],$B$4,LANÇ_MOV[MÊS PAGAMENTO CORRESPONDENTE],M$6,LANÇ_MOV[EMPRESA],$C$4,LANÇ_MOV[CENTRO DE CUSTOS],$D$4)</f>
        <v>0</v>
      </c>
      <c r="N879" s="206">
        <f>SUMIFS(LANÇ_MOV[VALOR LÍQUIDO],LANÇ_MOV[RECEITA OU DESPESA],"Despesa",LANÇ_MOV[CONTAS],$C879,LANÇ_MOV[PLANO DE CONTAS],REL_DRE_FINANCEIRO!$B$855,LANÇ_MOV[ANO PAGAMENTO],$B$4,LANÇ_MOV[MÊS PAGAMENTO CORRESPONDENTE],N$6,LANÇ_MOV[EMPRESA],$C$4,LANÇ_MOV[CENTRO DE CUSTOS],$D$4)</f>
        <v>0</v>
      </c>
      <c r="O879" s="206">
        <f>SUMIFS(LANÇ_MOV[VALOR LÍQUIDO],LANÇ_MOV[RECEITA OU DESPESA],"Despesa",LANÇ_MOV[CONTAS],$C879,LANÇ_MOV[PLANO DE CONTAS],REL_DRE_FINANCEIRO!$B$855,LANÇ_MOV[ANO PAGAMENTO],$B$4,LANÇ_MOV[MÊS PAGAMENTO CORRESPONDENTE],O$6,LANÇ_MOV[EMPRESA],$C$4,LANÇ_MOV[CENTRO DE CUSTOS],$D$4)</f>
        <v>0</v>
      </c>
      <c r="P879" s="207">
        <f t="shared" si="111"/>
        <v>0</v>
      </c>
      <c r="Q879" s="329">
        <v>7.7000000000000008E-6</v>
      </c>
      <c r="R879" s="346">
        <f t="shared" si="112"/>
        <v>7.7000000000000008E-6</v>
      </c>
      <c r="S879" s="347" t="str">
        <f t="shared" si="113"/>
        <v>-</v>
      </c>
      <c r="T879" s="347">
        <f t="shared" si="114"/>
        <v>0</v>
      </c>
      <c r="U879" s="347">
        <f>HLOOKUP(Apoio!$P$12,$D$854:$P$955,X879,FALSE)+Q879</f>
        <v>7.7000000000000008E-6</v>
      </c>
      <c r="V879" s="447" t="str">
        <f t="shared" si="115"/>
        <v>-</v>
      </c>
      <c r="W879" s="448">
        <f>HLOOKUP(Apoio!$P$12,$D$854:$P$955,X879,FALSE)</f>
        <v>0</v>
      </c>
      <c r="X879" s="329">
        <v>26</v>
      </c>
    </row>
    <row r="880" spans="2:27" ht="30.05" customHeight="1" x14ac:dyDescent="0.35">
      <c r="B880" s="204" t="str">
        <f>'CAD_PL_REC-DESP'!AC29</f>
        <v>2.7.25</v>
      </c>
      <c r="C880" s="205" t="str">
        <f>IF('CAD_PL_REC-DESP'!AD29="","-",'CAD_PL_REC-DESP'!AD29)</f>
        <v>-</v>
      </c>
      <c r="D880" s="206">
        <f>SUMIFS(LANÇ_MOV[VALOR LÍQUIDO],LANÇ_MOV[RECEITA OU DESPESA],"Despesa",LANÇ_MOV[CONTAS],$C880,LANÇ_MOV[PLANO DE CONTAS],REL_DRE_FINANCEIRO!$B$855,LANÇ_MOV[ANO PAGAMENTO],$B$4,LANÇ_MOV[MÊS PAGAMENTO CORRESPONDENTE],D$6,LANÇ_MOV[EMPRESA],$C$4,LANÇ_MOV[CENTRO DE CUSTOS],$D$4)</f>
        <v>0</v>
      </c>
      <c r="E880" s="206">
        <f>SUMIFS(LANÇ_MOV[VALOR LÍQUIDO],LANÇ_MOV[RECEITA OU DESPESA],"Despesa",LANÇ_MOV[CONTAS],$C880,LANÇ_MOV[PLANO DE CONTAS],REL_DRE_FINANCEIRO!$B$855,LANÇ_MOV[ANO PAGAMENTO],$B$4,LANÇ_MOV[MÊS PAGAMENTO CORRESPONDENTE],E$6,LANÇ_MOV[EMPRESA],$C$4,LANÇ_MOV[CENTRO DE CUSTOS],$D$4)</f>
        <v>0</v>
      </c>
      <c r="F880" s="206">
        <f>SUMIFS(LANÇ_MOV[VALOR LÍQUIDO],LANÇ_MOV[RECEITA OU DESPESA],"Despesa",LANÇ_MOV[CONTAS],$C880,LANÇ_MOV[PLANO DE CONTAS],REL_DRE_FINANCEIRO!$B$855,LANÇ_MOV[ANO PAGAMENTO],$B$4,LANÇ_MOV[MÊS PAGAMENTO CORRESPONDENTE],F$6,LANÇ_MOV[EMPRESA],$C$4,LANÇ_MOV[CENTRO DE CUSTOS],$D$4)</f>
        <v>0</v>
      </c>
      <c r="G880" s="206">
        <f>SUMIFS(LANÇ_MOV[VALOR LÍQUIDO],LANÇ_MOV[RECEITA OU DESPESA],"Despesa",LANÇ_MOV[CONTAS],$C880,LANÇ_MOV[PLANO DE CONTAS],REL_DRE_FINANCEIRO!$B$855,LANÇ_MOV[ANO PAGAMENTO],$B$4,LANÇ_MOV[MÊS PAGAMENTO CORRESPONDENTE],G$6,LANÇ_MOV[EMPRESA],$C$4,LANÇ_MOV[CENTRO DE CUSTOS],$D$4)</f>
        <v>0</v>
      </c>
      <c r="H880" s="206">
        <f>SUMIFS(LANÇ_MOV[VALOR LÍQUIDO],LANÇ_MOV[RECEITA OU DESPESA],"Despesa",LANÇ_MOV[CONTAS],$C880,LANÇ_MOV[PLANO DE CONTAS],REL_DRE_FINANCEIRO!$B$855,LANÇ_MOV[ANO PAGAMENTO],$B$4,LANÇ_MOV[MÊS PAGAMENTO CORRESPONDENTE],H$6,LANÇ_MOV[EMPRESA],$C$4,LANÇ_MOV[CENTRO DE CUSTOS],$D$4)</f>
        <v>0</v>
      </c>
      <c r="I880" s="206">
        <f>SUMIFS(LANÇ_MOV[VALOR LÍQUIDO],LANÇ_MOV[RECEITA OU DESPESA],"Despesa",LANÇ_MOV[CONTAS],$C880,LANÇ_MOV[PLANO DE CONTAS],REL_DRE_FINANCEIRO!$B$855,LANÇ_MOV[ANO PAGAMENTO],$B$4,LANÇ_MOV[MÊS PAGAMENTO CORRESPONDENTE],I$6,LANÇ_MOV[EMPRESA],$C$4,LANÇ_MOV[CENTRO DE CUSTOS],$D$4)</f>
        <v>0</v>
      </c>
      <c r="J880" s="206">
        <f>SUMIFS(LANÇ_MOV[VALOR LÍQUIDO],LANÇ_MOV[RECEITA OU DESPESA],"Despesa",LANÇ_MOV[CONTAS],$C880,LANÇ_MOV[PLANO DE CONTAS],REL_DRE_FINANCEIRO!$B$855,LANÇ_MOV[ANO PAGAMENTO],$B$4,LANÇ_MOV[MÊS PAGAMENTO CORRESPONDENTE],J$6,LANÇ_MOV[EMPRESA],$C$4,LANÇ_MOV[CENTRO DE CUSTOS],$D$4)</f>
        <v>0</v>
      </c>
      <c r="K880" s="206">
        <f>SUMIFS(LANÇ_MOV[VALOR LÍQUIDO],LANÇ_MOV[RECEITA OU DESPESA],"Despesa",LANÇ_MOV[CONTAS],$C880,LANÇ_MOV[PLANO DE CONTAS],REL_DRE_FINANCEIRO!$B$855,LANÇ_MOV[ANO PAGAMENTO],$B$4,LANÇ_MOV[MÊS PAGAMENTO CORRESPONDENTE],K$6,LANÇ_MOV[EMPRESA],$C$4,LANÇ_MOV[CENTRO DE CUSTOS],$D$4)</f>
        <v>0</v>
      </c>
      <c r="L880" s="206">
        <f>SUMIFS(LANÇ_MOV[VALOR LÍQUIDO],LANÇ_MOV[RECEITA OU DESPESA],"Despesa",LANÇ_MOV[CONTAS],$C880,LANÇ_MOV[PLANO DE CONTAS],REL_DRE_FINANCEIRO!$B$855,LANÇ_MOV[ANO PAGAMENTO],$B$4,LANÇ_MOV[MÊS PAGAMENTO CORRESPONDENTE],L$6,LANÇ_MOV[EMPRESA],$C$4,LANÇ_MOV[CENTRO DE CUSTOS],$D$4)</f>
        <v>0</v>
      </c>
      <c r="M880" s="206">
        <f>SUMIFS(LANÇ_MOV[VALOR LÍQUIDO],LANÇ_MOV[RECEITA OU DESPESA],"Despesa",LANÇ_MOV[CONTAS],$C880,LANÇ_MOV[PLANO DE CONTAS],REL_DRE_FINANCEIRO!$B$855,LANÇ_MOV[ANO PAGAMENTO],$B$4,LANÇ_MOV[MÊS PAGAMENTO CORRESPONDENTE],M$6,LANÇ_MOV[EMPRESA],$C$4,LANÇ_MOV[CENTRO DE CUSTOS],$D$4)</f>
        <v>0</v>
      </c>
      <c r="N880" s="206">
        <f>SUMIFS(LANÇ_MOV[VALOR LÍQUIDO],LANÇ_MOV[RECEITA OU DESPESA],"Despesa",LANÇ_MOV[CONTAS],$C880,LANÇ_MOV[PLANO DE CONTAS],REL_DRE_FINANCEIRO!$B$855,LANÇ_MOV[ANO PAGAMENTO],$B$4,LANÇ_MOV[MÊS PAGAMENTO CORRESPONDENTE],N$6,LANÇ_MOV[EMPRESA],$C$4,LANÇ_MOV[CENTRO DE CUSTOS],$D$4)</f>
        <v>0</v>
      </c>
      <c r="O880" s="206">
        <f>SUMIFS(LANÇ_MOV[VALOR LÍQUIDO],LANÇ_MOV[RECEITA OU DESPESA],"Despesa",LANÇ_MOV[CONTAS],$C880,LANÇ_MOV[PLANO DE CONTAS],REL_DRE_FINANCEIRO!$B$855,LANÇ_MOV[ANO PAGAMENTO],$B$4,LANÇ_MOV[MÊS PAGAMENTO CORRESPONDENTE],O$6,LANÇ_MOV[EMPRESA],$C$4,LANÇ_MOV[CENTRO DE CUSTOS],$D$4)</f>
        <v>0</v>
      </c>
      <c r="P880" s="207">
        <f t="shared" si="111"/>
        <v>0</v>
      </c>
      <c r="Q880" s="329">
        <v>7.6000000000000001E-6</v>
      </c>
      <c r="R880" s="346">
        <f t="shared" si="112"/>
        <v>7.6000000000000001E-6</v>
      </c>
      <c r="S880" s="347" t="str">
        <f t="shared" si="113"/>
        <v>-</v>
      </c>
      <c r="T880" s="347">
        <f t="shared" si="114"/>
        <v>0</v>
      </c>
      <c r="U880" s="347">
        <f>HLOOKUP(Apoio!$P$12,$D$854:$P$955,X880,FALSE)+Q880</f>
        <v>7.6000000000000001E-6</v>
      </c>
      <c r="V880" s="447" t="str">
        <f t="shared" si="115"/>
        <v>-</v>
      </c>
      <c r="W880" s="448">
        <f>HLOOKUP(Apoio!$P$12,$D$854:$P$955,X880,FALSE)</f>
        <v>0</v>
      </c>
      <c r="X880" s="329">
        <v>27</v>
      </c>
    </row>
    <row r="881" spans="2:24" ht="30.05" customHeight="1" x14ac:dyDescent="0.35">
      <c r="B881" s="204" t="str">
        <f>'CAD_PL_REC-DESP'!AC30</f>
        <v>2.7.26</v>
      </c>
      <c r="C881" s="205" t="str">
        <f>IF('CAD_PL_REC-DESP'!AD30="","-",'CAD_PL_REC-DESP'!AD30)</f>
        <v>-</v>
      </c>
      <c r="D881" s="206">
        <f>SUMIFS(LANÇ_MOV[VALOR LÍQUIDO],LANÇ_MOV[RECEITA OU DESPESA],"Despesa",LANÇ_MOV[CONTAS],$C881,LANÇ_MOV[PLANO DE CONTAS],REL_DRE_FINANCEIRO!$B$855,LANÇ_MOV[ANO PAGAMENTO],$B$4,LANÇ_MOV[MÊS PAGAMENTO CORRESPONDENTE],D$6,LANÇ_MOV[EMPRESA],$C$4,LANÇ_MOV[CENTRO DE CUSTOS],$D$4)</f>
        <v>0</v>
      </c>
      <c r="E881" s="206">
        <f>SUMIFS(LANÇ_MOV[VALOR LÍQUIDO],LANÇ_MOV[RECEITA OU DESPESA],"Despesa",LANÇ_MOV[CONTAS],$C881,LANÇ_MOV[PLANO DE CONTAS],REL_DRE_FINANCEIRO!$B$855,LANÇ_MOV[ANO PAGAMENTO],$B$4,LANÇ_MOV[MÊS PAGAMENTO CORRESPONDENTE],E$6,LANÇ_MOV[EMPRESA],$C$4,LANÇ_MOV[CENTRO DE CUSTOS],$D$4)</f>
        <v>0</v>
      </c>
      <c r="F881" s="206">
        <f>SUMIFS(LANÇ_MOV[VALOR LÍQUIDO],LANÇ_MOV[RECEITA OU DESPESA],"Despesa",LANÇ_MOV[CONTAS],$C881,LANÇ_MOV[PLANO DE CONTAS],REL_DRE_FINANCEIRO!$B$855,LANÇ_MOV[ANO PAGAMENTO],$B$4,LANÇ_MOV[MÊS PAGAMENTO CORRESPONDENTE],F$6,LANÇ_MOV[EMPRESA],$C$4,LANÇ_MOV[CENTRO DE CUSTOS],$D$4)</f>
        <v>0</v>
      </c>
      <c r="G881" s="206">
        <f>SUMIFS(LANÇ_MOV[VALOR LÍQUIDO],LANÇ_MOV[RECEITA OU DESPESA],"Despesa",LANÇ_MOV[CONTAS],$C881,LANÇ_MOV[PLANO DE CONTAS],REL_DRE_FINANCEIRO!$B$855,LANÇ_MOV[ANO PAGAMENTO],$B$4,LANÇ_MOV[MÊS PAGAMENTO CORRESPONDENTE],G$6,LANÇ_MOV[EMPRESA],$C$4,LANÇ_MOV[CENTRO DE CUSTOS],$D$4)</f>
        <v>0</v>
      </c>
      <c r="H881" s="206">
        <f>SUMIFS(LANÇ_MOV[VALOR LÍQUIDO],LANÇ_MOV[RECEITA OU DESPESA],"Despesa",LANÇ_MOV[CONTAS],$C881,LANÇ_MOV[PLANO DE CONTAS],REL_DRE_FINANCEIRO!$B$855,LANÇ_MOV[ANO PAGAMENTO],$B$4,LANÇ_MOV[MÊS PAGAMENTO CORRESPONDENTE],H$6,LANÇ_MOV[EMPRESA],$C$4,LANÇ_MOV[CENTRO DE CUSTOS],$D$4)</f>
        <v>0</v>
      </c>
      <c r="I881" s="206">
        <f>SUMIFS(LANÇ_MOV[VALOR LÍQUIDO],LANÇ_MOV[RECEITA OU DESPESA],"Despesa",LANÇ_MOV[CONTAS],$C881,LANÇ_MOV[PLANO DE CONTAS],REL_DRE_FINANCEIRO!$B$855,LANÇ_MOV[ANO PAGAMENTO],$B$4,LANÇ_MOV[MÊS PAGAMENTO CORRESPONDENTE],I$6,LANÇ_MOV[EMPRESA],$C$4,LANÇ_MOV[CENTRO DE CUSTOS],$D$4)</f>
        <v>0</v>
      </c>
      <c r="J881" s="206">
        <f>SUMIFS(LANÇ_MOV[VALOR LÍQUIDO],LANÇ_MOV[RECEITA OU DESPESA],"Despesa",LANÇ_MOV[CONTAS],$C881,LANÇ_MOV[PLANO DE CONTAS],REL_DRE_FINANCEIRO!$B$855,LANÇ_MOV[ANO PAGAMENTO],$B$4,LANÇ_MOV[MÊS PAGAMENTO CORRESPONDENTE],J$6,LANÇ_MOV[EMPRESA],$C$4,LANÇ_MOV[CENTRO DE CUSTOS],$D$4)</f>
        <v>0</v>
      </c>
      <c r="K881" s="206">
        <f>SUMIFS(LANÇ_MOV[VALOR LÍQUIDO],LANÇ_MOV[RECEITA OU DESPESA],"Despesa",LANÇ_MOV[CONTAS],$C881,LANÇ_MOV[PLANO DE CONTAS],REL_DRE_FINANCEIRO!$B$855,LANÇ_MOV[ANO PAGAMENTO],$B$4,LANÇ_MOV[MÊS PAGAMENTO CORRESPONDENTE],K$6,LANÇ_MOV[EMPRESA],$C$4,LANÇ_MOV[CENTRO DE CUSTOS],$D$4)</f>
        <v>0</v>
      </c>
      <c r="L881" s="206">
        <f>SUMIFS(LANÇ_MOV[VALOR LÍQUIDO],LANÇ_MOV[RECEITA OU DESPESA],"Despesa",LANÇ_MOV[CONTAS],$C881,LANÇ_MOV[PLANO DE CONTAS],REL_DRE_FINANCEIRO!$B$855,LANÇ_MOV[ANO PAGAMENTO],$B$4,LANÇ_MOV[MÊS PAGAMENTO CORRESPONDENTE],L$6,LANÇ_MOV[EMPRESA],$C$4,LANÇ_MOV[CENTRO DE CUSTOS],$D$4)</f>
        <v>0</v>
      </c>
      <c r="M881" s="206">
        <f>SUMIFS(LANÇ_MOV[VALOR LÍQUIDO],LANÇ_MOV[RECEITA OU DESPESA],"Despesa",LANÇ_MOV[CONTAS],$C881,LANÇ_MOV[PLANO DE CONTAS],REL_DRE_FINANCEIRO!$B$855,LANÇ_MOV[ANO PAGAMENTO],$B$4,LANÇ_MOV[MÊS PAGAMENTO CORRESPONDENTE],M$6,LANÇ_MOV[EMPRESA],$C$4,LANÇ_MOV[CENTRO DE CUSTOS],$D$4)</f>
        <v>0</v>
      </c>
      <c r="N881" s="206">
        <f>SUMIFS(LANÇ_MOV[VALOR LÍQUIDO],LANÇ_MOV[RECEITA OU DESPESA],"Despesa",LANÇ_MOV[CONTAS],$C881,LANÇ_MOV[PLANO DE CONTAS],REL_DRE_FINANCEIRO!$B$855,LANÇ_MOV[ANO PAGAMENTO],$B$4,LANÇ_MOV[MÊS PAGAMENTO CORRESPONDENTE],N$6,LANÇ_MOV[EMPRESA],$C$4,LANÇ_MOV[CENTRO DE CUSTOS],$D$4)</f>
        <v>0</v>
      </c>
      <c r="O881" s="206">
        <f>SUMIFS(LANÇ_MOV[VALOR LÍQUIDO],LANÇ_MOV[RECEITA OU DESPESA],"Despesa",LANÇ_MOV[CONTAS],$C881,LANÇ_MOV[PLANO DE CONTAS],REL_DRE_FINANCEIRO!$B$855,LANÇ_MOV[ANO PAGAMENTO],$B$4,LANÇ_MOV[MÊS PAGAMENTO CORRESPONDENTE],O$6,LANÇ_MOV[EMPRESA],$C$4,LANÇ_MOV[CENTRO DE CUSTOS],$D$4)</f>
        <v>0</v>
      </c>
      <c r="P881" s="207">
        <f t="shared" si="111"/>
        <v>0</v>
      </c>
      <c r="Q881" s="329">
        <v>7.5000000000000002E-6</v>
      </c>
      <c r="R881" s="346">
        <f t="shared" si="112"/>
        <v>7.5000000000000002E-6</v>
      </c>
      <c r="S881" s="347" t="str">
        <f t="shared" si="113"/>
        <v>-</v>
      </c>
      <c r="T881" s="347">
        <f t="shared" si="114"/>
        <v>0</v>
      </c>
      <c r="U881" s="347">
        <f>HLOOKUP(Apoio!$P$12,$D$854:$P$955,X881,FALSE)+Q881</f>
        <v>7.5000000000000002E-6</v>
      </c>
      <c r="V881" s="447" t="str">
        <f t="shared" si="115"/>
        <v>-</v>
      </c>
      <c r="W881" s="448">
        <f>HLOOKUP(Apoio!$P$12,$D$854:$P$955,X881,FALSE)</f>
        <v>0</v>
      </c>
      <c r="X881" s="329">
        <v>28</v>
      </c>
    </row>
    <row r="882" spans="2:24" ht="30.05" customHeight="1" x14ac:dyDescent="0.35">
      <c r="B882" s="204" t="str">
        <f>'CAD_PL_REC-DESP'!AC31</f>
        <v>2.7.27</v>
      </c>
      <c r="C882" s="205" t="str">
        <f>IF('CAD_PL_REC-DESP'!AD31="","-",'CAD_PL_REC-DESP'!AD31)</f>
        <v>-</v>
      </c>
      <c r="D882" s="206">
        <f>SUMIFS(LANÇ_MOV[VALOR LÍQUIDO],LANÇ_MOV[RECEITA OU DESPESA],"Despesa",LANÇ_MOV[CONTAS],$C882,LANÇ_MOV[PLANO DE CONTAS],REL_DRE_FINANCEIRO!$B$855,LANÇ_MOV[ANO PAGAMENTO],$B$4,LANÇ_MOV[MÊS PAGAMENTO CORRESPONDENTE],D$6,LANÇ_MOV[EMPRESA],$C$4,LANÇ_MOV[CENTRO DE CUSTOS],$D$4)</f>
        <v>0</v>
      </c>
      <c r="E882" s="206">
        <f>SUMIFS(LANÇ_MOV[VALOR LÍQUIDO],LANÇ_MOV[RECEITA OU DESPESA],"Despesa",LANÇ_MOV[CONTAS],$C882,LANÇ_MOV[PLANO DE CONTAS],REL_DRE_FINANCEIRO!$B$855,LANÇ_MOV[ANO PAGAMENTO],$B$4,LANÇ_MOV[MÊS PAGAMENTO CORRESPONDENTE],E$6,LANÇ_MOV[EMPRESA],$C$4,LANÇ_MOV[CENTRO DE CUSTOS],$D$4)</f>
        <v>0</v>
      </c>
      <c r="F882" s="206">
        <f>SUMIFS(LANÇ_MOV[VALOR LÍQUIDO],LANÇ_MOV[RECEITA OU DESPESA],"Despesa",LANÇ_MOV[CONTAS],$C882,LANÇ_MOV[PLANO DE CONTAS],REL_DRE_FINANCEIRO!$B$855,LANÇ_MOV[ANO PAGAMENTO],$B$4,LANÇ_MOV[MÊS PAGAMENTO CORRESPONDENTE],F$6,LANÇ_MOV[EMPRESA],$C$4,LANÇ_MOV[CENTRO DE CUSTOS],$D$4)</f>
        <v>0</v>
      </c>
      <c r="G882" s="206">
        <f>SUMIFS(LANÇ_MOV[VALOR LÍQUIDO],LANÇ_MOV[RECEITA OU DESPESA],"Despesa",LANÇ_MOV[CONTAS],$C882,LANÇ_MOV[PLANO DE CONTAS],REL_DRE_FINANCEIRO!$B$855,LANÇ_MOV[ANO PAGAMENTO],$B$4,LANÇ_MOV[MÊS PAGAMENTO CORRESPONDENTE],G$6,LANÇ_MOV[EMPRESA],$C$4,LANÇ_MOV[CENTRO DE CUSTOS],$D$4)</f>
        <v>0</v>
      </c>
      <c r="H882" s="206">
        <f>SUMIFS(LANÇ_MOV[VALOR LÍQUIDO],LANÇ_MOV[RECEITA OU DESPESA],"Despesa",LANÇ_MOV[CONTAS],$C882,LANÇ_MOV[PLANO DE CONTAS],REL_DRE_FINANCEIRO!$B$855,LANÇ_MOV[ANO PAGAMENTO],$B$4,LANÇ_MOV[MÊS PAGAMENTO CORRESPONDENTE],H$6,LANÇ_MOV[EMPRESA],$C$4,LANÇ_MOV[CENTRO DE CUSTOS],$D$4)</f>
        <v>0</v>
      </c>
      <c r="I882" s="206">
        <f>SUMIFS(LANÇ_MOV[VALOR LÍQUIDO],LANÇ_MOV[RECEITA OU DESPESA],"Despesa",LANÇ_MOV[CONTAS],$C882,LANÇ_MOV[PLANO DE CONTAS],REL_DRE_FINANCEIRO!$B$855,LANÇ_MOV[ANO PAGAMENTO],$B$4,LANÇ_MOV[MÊS PAGAMENTO CORRESPONDENTE],I$6,LANÇ_MOV[EMPRESA],$C$4,LANÇ_MOV[CENTRO DE CUSTOS],$D$4)</f>
        <v>0</v>
      </c>
      <c r="J882" s="206">
        <f>SUMIFS(LANÇ_MOV[VALOR LÍQUIDO],LANÇ_MOV[RECEITA OU DESPESA],"Despesa",LANÇ_MOV[CONTAS],$C882,LANÇ_MOV[PLANO DE CONTAS],REL_DRE_FINANCEIRO!$B$855,LANÇ_MOV[ANO PAGAMENTO],$B$4,LANÇ_MOV[MÊS PAGAMENTO CORRESPONDENTE],J$6,LANÇ_MOV[EMPRESA],$C$4,LANÇ_MOV[CENTRO DE CUSTOS],$D$4)</f>
        <v>0</v>
      </c>
      <c r="K882" s="206">
        <f>SUMIFS(LANÇ_MOV[VALOR LÍQUIDO],LANÇ_MOV[RECEITA OU DESPESA],"Despesa",LANÇ_MOV[CONTAS],$C882,LANÇ_MOV[PLANO DE CONTAS],REL_DRE_FINANCEIRO!$B$855,LANÇ_MOV[ANO PAGAMENTO],$B$4,LANÇ_MOV[MÊS PAGAMENTO CORRESPONDENTE],K$6,LANÇ_MOV[EMPRESA],$C$4,LANÇ_MOV[CENTRO DE CUSTOS],$D$4)</f>
        <v>0</v>
      </c>
      <c r="L882" s="206">
        <f>SUMIFS(LANÇ_MOV[VALOR LÍQUIDO],LANÇ_MOV[RECEITA OU DESPESA],"Despesa",LANÇ_MOV[CONTAS],$C882,LANÇ_MOV[PLANO DE CONTAS],REL_DRE_FINANCEIRO!$B$855,LANÇ_MOV[ANO PAGAMENTO],$B$4,LANÇ_MOV[MÊS PAGAMENTO CORRESPONDENTE],L$6,LANÇ_MOV[EMPRESA],$C$4,LANÇ_MOV[CENTRO DE CUSTOS],$D$4)</f>
        <v>0</v>
      </c>
      <c r="M882" s="206">
        <f>SUMIFS(LANÇ_MOV[VALOR LÍQUIDO],LANÇ_MOV[RECEITA OU DESPESA],"Despesa",LANÇ_MOV[CONTAS],$C882,LANÇ_MOV[PLANO DE CONTAS],REL_DRE_FINANCEIRO!$B$855,LANÇ_MOV[ANO PAGAMENTO],$B$4,LANÇ_MOV[MÊS PAGAMENTO CORRESPONDENTE],M$6,LANÇ_MOV[EMPRESA],$C$4,LANÇ_MOV[CENTRO DE CUSTOS],$D$4)</f>
        <v>0</v>
      </c>
      <c r="N882" s="206">
        <f>SUMIFS(LANÇ_MOV[VALOR LÍQUIDO],LANÇ_MOV[RECEITA OU DESPESA],"Despesa",LANÇ_MOV[CONTAS],$C882,LANÇ_MOV[PLANO DE CONTAS],REL_DRE_FINANCEIRO!$B$855,LANÇ_MOV[ANO PAGAMENTO],$B$4,LANÇ_MOV[MÊS PAGAMENTO CORRESPONDENTE],N$6,LANÇ_MOV[EMPRESA],$C$4,LANÇ_MOV[CENTRO DE CUSTOS],$D$4)</f>
        <v>0</v>
      </c>
      <c r="O882" s="206">
        <f>SUMIFS(LANÇ_MOV[VALOR LÍQUIDO],LANÇ_MOV[RECEITA OU DESPESA],"Despesa",LANÇ_MOV[CONTAS],$C882,LANÇ_MOV[PLANO DE CONTAS],REL_DRE_FINANCEIRO!$B$855,LANÇ_MOV[ANO PAGAMENTO],$B$4,LANÇ_MOV[MÊS PAGAMENTO CORRESPONDENTE],O$6,LANÇ_MOV[EMPRESA],$C$4,LANÇ_MOV[CENTRO DE CUSTOS],$D$4)</f>
        <v>0</v>
      </c>
      <c r="P882" s="207">
        <f t="shared" si="111"/>
        <v>0</v>
      </c>
      <c r="Q882" s="329">
        <v>7.4000000000000003E-6</v>
      </c>
      <c r="R882" s="346">
        <f t="shared" si="112"/>
        <v>7.4000000000000003E-6</v>
      </c>
      <c r="S882" s="347" t="str">
        <f t="shared" si="113"/>
        <v>-</v>
      </c>
      <c r="T882" s="347">
        <f t="shared" si="114"/>
        <v>0</v>
      </c>
      <c r="U882" s="347">
        <f>HLOOKUP(Apoio!$P$12,$D$854:$P$955,X882,FALSE)+Q882</f>
        <v>7.4000000000000003E-6</v>
      </c>
      <c r="V882" s="447" t="str">
        <f t="shared" si="115"/>
        <v>-</v>
      </c>
      <c r="W882" s="448">
        <f>HLOOKUP(Apoio!$P$12,$D$854:$P$955,X882,FALSE)</f>
        <v>0</v>
      </c>
      <c r="X882" s="329">
        <v>29</v>
      </c>
    </row>
    <row r="883" spans="2:24" ht="30.05" customHeight="1" x14ac:dyDescent="0.35">
      <c r="B883" s="204" t="str">
        <f>'CAD_PL_REC-DESP'!AC32</f>
        <v>2.7.28</v>
      </c>
      <c r="C883" s="205" t="str">
        <f>IF('CAD_PL_REC-DESP'!AD32="","-",'CAD_PL_REC-DESP'!AD32)</f>
        <v>-</v>
      </c>
      <c r="D883" s="206">
        <f>SUMIFS(LANÇ_MOV[VALOR LÍQUIDO],LANÇ_MOV[RECEITA OU DESPESA],"Despesa",LANÇ_MOV[CONTAS],$C883,LANÇ_MOV[PLANO DE CONTAS],REL_DRE_FINANCEIRO!$B$855,LANÇ_MOV[ANO PAGAMENTO],$B$4,LANÇ_MOV[MÊS PAGAMENTO CORRESPONDENTE],D$6,LANÇ_MOV[EMPRESA],$C$4,LANÇ_MOV[CENTRO DE CUSTOS],$D$4)</f>
        <v>0</v>
      </c>
      <c r="E883" s="206">
        <f>SUMIFS(LANÇ_MOV[VALOR LÍQUIDO],LANÇ_MOV[RECEITA OU DESPESA],"Despesa",LANÇ_MOV[CONTAS],$C883,LANÇ_MOV[PLANO DE CONTAS],REL_DRE_FINANCEIRO!$B$855,LANÇ_MOV[ANO PAGAMENTO],$B$4,LANÇ_MOV[MÊS PAGAMENTO CORRESPONDENTE],E$6,LANÇ_MOV[EMPRESA],$C$4,LANÇ_MOV[CENTRO DE CUSTOS],$D$4)</f>
        <v>0</v>
      </c>
      <c r="F883" s="206">
        <f>SUMIFS(LANÇ_MOV[VALOR LÍQUIDO],LANÇ_MOV[RECEITA OU DESPESA],"Despesa",LANÇ_MOV[CONTAS],$C883,LANÇ_MOV[PLANO DE CONTAS],REL_DRE_FINANCEIRO!$B$855,LANÇ_MOV[ANO PAGAMENTO],$B$4,LANÇ_MOV[MÊS PAGAMENTO CORRESPONDENTE],F$6,LANÇ_MOV[EMPRESA],$C$4,LANÇ_MOV[CENTRO DE CUSTOS],$D$4)</f>
        <v>0</v>
      </c>
      <c r="G883" s="206">
        <f>SUMIFS(LANÇ_MOV[VALOR LÍQUIDO],LANÇ_MOV[RECEITA OU DESPESA],"Despesa",LANÇ_MOV[CONTAS],$C883,LANÇ_MOV[PLANO DE CONTAS],REL_DRE_FINANCEIRO!$B$855,LANÇ_MOV[ANO PAGAMENTO],$B$4,LANÇ_MOV[MÊS PAGAMENTO CORRESPONDENTE],G$6,LANÇ_MOV[EMPRESA],$C$4,LANÇ_MOV[CENTRO DE CUSTOS],$D$4)</f>
        <v>0</v>
      </c>
      <c r="H883" s="206">
        <f>SUMIFS(LANÇ_MOV[VALOR LÍQUIDO],LANÇ_MOV[RECEITA OU DESPESA],"Despesa",LANÇ_MOV[CONTAS],$C883,LANÇ_MOV[PLANO DE CONTAS],REL_DRE_FINANCEIRO!$B$855,LANÇ_MOV[ANO PAGAMENTO],$B$4,LANÇ_MOV[MÊS PAGAMENTO CORRESPONDENTE],H$6,LANÇ_MOV[EMPRESA],$C$4,LANÇ_MOV[CENTRO DE CUSTOS],$D$4)</f>
        <v>0</v>
      </c>
      <c r="I883" s="206">
        <f>SUMIFS(LANÇ_MOV[VALOR LÍQUIDO],LANÇ_MOV[RECEITA OU DESPESA],"Despesa",LANÇ_MOV[CONTAS],$C883,LANÇ_MOV[PLANO DE CONTAS],REL_DRE_FINANCEIRO!$B$855,LANÇ_MOV[ANO PAGAMENTO],$B$4,LANÇ_MOV[MÊS PAGAMENTO CORRESPONDENTE],I$6,LANÇ_MOV[EMPRESA],$C$4,LANÇ_MOV[CENTRO DE CUSTOS],$D$4)</f>
        <v>0</v>
      </c>
      <c r="J883" s="206">
        <f>SUMIFS(LANÇ_MOV[VALOR LÍQUIDO],LANÇ_MOV[RECEITA OU DESPESA],"Despesa",LANÇ_MOV[CONTAS],$C883,LANÇ_MOV[PLANO DE CONTAS],REL_DRE_FINANCEIRO!$B$855,LANÇ_MOV[ANO PAGAMENTO],$B$4,LANÇ_MOV[MÊS PAGAMENTO CORRESPONDENTE],J$6,LANÇ_MOV[EMPRESA],$C$4,LANÇ_MOV[CENTRO DE CUSTOS],$D$4)</f>
        <v>0</v>
      </c>
      <c r="K883" s="206">
        <f>SUMIFS(LANÇ_MOV[VALOR LÍQUIDO],LANÇ_MOV[RECEITA OU DESPESA],"Despesa",LANÇ_MOV[CONTAS],$C883,LANÇ_MOV[PLANO DE CONTAS],REL_DRE_FINANCEIRO!$B$855,LANÇ_MOV[ANO PAGAMENTO],$B$4,LANÇ_MOV[MÊS PAGAMENTO CORRESPONDENTE],K$6,LANÇ_MOV[EMPRESA],$C$4,LANÇ_MOV[CENTRO DE CUSTOS],$D$4)</f>
        <v>0</v>
      </c>
      <c r="L883" s="206">
        <f>SUMIFS(LANÇ_MOV[VALOR LÍQUIDO],LANÇ_MOV[RECEITA OU DESPESA],"Despesa",LANÇ_MOV[CONTAS],$C883,LANÇ_MOV[PLANO DE CONTAS],REL_DRE_FINANCEIRO!$B$855,LANÇ_MOV[ANO PAGAMENTO],$B$4,LANÇ_MOV[MÊS PAGAMENTO CORRESPONDENTE],L$6,LANÇ_MOV[EMPRESA],$C$4,LANÇ_MOV[CENTRO DE CUSTOS],$D$4)</f>
        <v>0</v>
      </c>
      <c r="M883" s="206">
        <f>SUMIFS(LANÇ_MOV[VALOR LÍQUIDO],LANÇ_MOV[RECEITA OU DESPESA],"Despesa",LANÇ_MOV[CONTAS],$C883,LANÇ_MOV[PLANO DE CONTAS],REL_DRE_FINANCEIRO!$B$855,LANÇ_MOV[ANO PAGAMENTO],$B$4,LANÇ_MOV[MÊS PAGAMENTO CORRESPONDENTE],M$6,LANÇ_MOV[EMPRESA],$C$4,LANÇ_MOV[CENTRO DE CUSTOS],$D$4)</f>
        <v>0</v>
      </c>
      <c r="N883" s="206">
        <f>SUMIFS(LANÇ_MOV[VALOR LÍQUIDO],LANÇ_MOV[RECEITA OU DESPESA],"Despesa",LANÇ_MOV[CONTAS],$C883,LANÇ_MOV[PLANO DE CONTAS],REL_DRE_FINANCEIRO!$B$855,LANÇ_MOV[ANO PAGAMENTO],$B$4,LANÇ_MOV[MÊS PAGAMENTO CORRESPONDENTE],N$6,LANÇ_MOV[EMPRESA],$C$4,LANÇ_MOV[CENTRO DE CUSTOS],$D$4)</f>
        <v>0</v>
      </c>
      <c r="O883" s="206">
        <f>SUMIFS(LANÇ_MOV[VALOR LÍQUIDO],LANÇ_MOV[RECEITA OU DESPESA],"Despesa",LANÇ_MOV[CONTAS],$C883,LANÇ_MOV[PLANO DE CONTAS],REL_DRE_FINANCEIRO!$B$855,LANÇ_MOV[ANO PAGAMENTO],$B$4,LANÇ_MOV[MÊS PAGAMENTO CORRESPONDENTE],O$6,LANÇ_MOV[EMPRESA],$C$4,LANÇ_MOV[CENTRO DE CUSTOS],$D$4)</f>
        <v>0</v>
      </c>
      <c r="P883" s="207">
        <f t="shared" si="111"/>
        <v>0</v>
      </c>
      <c r="Q883" s="329">
        <v>7.3000000000000004E-6</v>
      </c>
      <c r="R883" s="346">
        <f t="shared" si="112"/>
        <v>7.3000000000000004E-6</v>
      </c>
      <c r="S883" s="347" t="str">
        <f t="shared" si="113"/>
        <v>-</v>
      </c>
      <c r="T883" s="347">
        <f t="shared" si="114"/>
        <v>0</v>
      </c>
      <c r="U883" s="347">
        <f>HLOOKUP(Apoio!$P$12,$D$854:$P$955,X883,FALSE)+Q883</f>
        <v>7.3000000000000004E-6</v>
      </c>
      <c r="V883" s="447" t="str">
        <f t="shared" si="115"/>
        <v>-</v>
      </c>
      <c r="W883" s="448">
        <f>HLOOKUP(Apoio!$P$12,$D$854:$P$955,X883,FALSE)</f>
        <v>0</v>
      </c>
      <c r="X883" s="329">
        <v>30</v>
      </c>
    </row>
    <row r="884" spans="2:24" ht="30.05" customHeight="1" x14ac:dyDescent="0.35">
      <c r="B884" s="204" t="str">
        <f>'CAD_PL_REC-DESP'!AC33</f>
        <v>2.7.29</v>
      </c>
      <c r="C884" s="205" t="str">
        <f>IF('CAD_PL_REC-DESP'!AD33="","-",'CAD_PL_REC-DESP'!AD33)</f>
        <v>-</v>
      </c>
      <c r="D884" s="206">
        <f>SUMIFS(LANÇ_MOV[VALOR LÍQUIDO],LANÇ_MOV[RECEITA OU DESPESA],"Despesa",LANÇ_MOV[CONTAS],$C884,LANÇ_MOV[PLANO DE CONTAS],REL_DRE_FINANCEIRO!$B$855,LANÇ_MOV[ANO PAGAMENTO],$B$4,LANÇ_MOV[MÊS PAGAMENTO CORRESPONDENTE],D$6,LANÇ_MOV[EMPRESA],$C$4,LANÇ_MOV[CENTRO DE CUSTOS],$D$4)</f>
        <v>0</v>
      </c>
      <c r="E884" s="206">
        <f>SUMIFS(LANÇ_MOV[VALOR LÍQUIDO],LANÇ_MOV[RECEITA OU DESPESA],"Despesa",LANÇ_MOV[CONTAS],$C884,LANÇ_MOV[PLANO DE CONTAS],REL_DRE_FINANCEIRO!$B$855,LANÇ_MOV[ANO PAGAMENTO],$B$4,LANÇ_MOV[MÊS PAGAMENTO CORRESPONDENTE],E$6,LANÇ_MOV[EMPRESA],$C$4,LANÇ_MOV[CENTRO DE CUSTOS],$D$4)</f>
        <v>0</v>
      </c>
      <c r="F884" s="206">
        <f>SUMIFS(LANÇ_MOV[VALOR LÍQUIDO],LANÇ_MOV[RECEITA OU DESPESA],"Despesa",LANÇ_MOV[CONTAS],$C884,LANÇ_MOV[PLANO DE CONTAS],REL_DRE_FINANCEIRO!$B$855,LANÇ_MOV[ANO PAGAMENTO],$B$4,LANÇ_MOV[MÊS PAGAMENTO CORRESPONDENTE],F$6,LANÇ_MOV[EMPRESA],$C$4,LANÇ_MOV[CENTRO DE CUSTOS],$D$4)</f>
        <v>0</v>
      </c>
      <c r="G884" s="206">
        <f>SUMIFS(LANÇ_MOV[VALOR LÍQUIDO],LANÇ_MOV[RECEITA OU DESPESA],"Despesa",LANÇ_MOV[CONTAS],$C884,LANÇ_MOV[PLANO DE CONTAS],REL_DRE_FINANCEIRO!$B$855,LANÇ_MOV[ANO PAGAMENTO],$B$4,LANÇ_MOV[MÊS PAGAMENTO CORRESPONDENTE],G$6,LANÇ_MOV[EMPRESA],$C$4,LANÇ_MOV[CENTRO DE CUSTOS],$D$4)</f>
        <v>0</v>
      </c>
      <c r="H884" s="206">
        <f>SUMIFS(LANÇ_MOV[VALOR LÍQUIDO],LANÇ_MOV[RECEITA OU DESPESA],"Despesa",LANÇ_MOV[CONTAS],$C884,LANÇ_MOV[PLANO DE CONTAS],REL_DRE_FINANCEIRO!$B$855,LANÇ_MOV[ANO PAGAMENTO],$B$4,LANÇ_MOV[MÊS PAGAMENTO CORRESPONDENTE],H$6,LANÇ_MOV[EMPRESA],$C$4,LANÇ_MOV[CENTRO DE CUSTOS],$D$4)</f>
        <v>0</v>
      </c>
      <c r="I884" s="206">
        <f>SUMIFS(LANÇ_MOV[VALOR LÍQUIDO],LANÇ_MOV[RECEITA OU DESPESA],"Despesa",LANÇ_MOV[CONTAS],$C884,LANÇ_MOV[PLANO DE CONTAS],REL_DRE_FINANCEIRO!$B$855,LANÇ_MOV[ANO PAGAMENTO],$B$4,LANÇ_MOV[MÊS PAGAMENTO CORRESPONDENTE],I$6,LANÇ_MOV[EMPRESA],$C$4,LANÇ_MOV[CENTRO DE CUSTOS],$D$4)</f>
        <v>0</v>
      </c>
      <c r="J884" s="206">
        <f>SUMIFS(LANÇ_MOV[VALOR LÍQUIDO],LANÇ_MOV[RECEITA OU DESPESA],"Despesa",LANÇ_MOV[CONTAS],$C884,LANÇ_MOV[PLANO DE CONTAS],REL_DRE_FINANCEIRO!$B$855,LANÇ_MOV[ANO PAGAMENTO],$B$4,LANÇ_MOV[MÊS PAGAMENTO CORRESPONDENTE],J$6,LANÇ_MOV[EMPRESA],$C$4,LANÇ_MOV[CENTRO DE CUSTOS],$D$4)</f>
        <v>0</v>
      </c>
      <c r="K884" s="206">
        <f>SUMIFS(LANÇ_MOV[VALOR LÍQUIDO],LANÇ_MOV[RECEITA OU DESPESA],"Despesa",LANÇ_MOV[CONTAS],$C884,LANÇ_MOV[PLANO DE CONTAS],REL_DRE_FINANCEIRO!$B$855,LANÇ_MOV[ANO PAGAMENTO],$B$4,LANÇ_MOV[MÊS PAGAMENTO CORRESPONDENTE],K$6,LANÇ_MOV[EMPRESA],$C$4,LANÇ_MOV[CENTRO DE CUSTOS],$D$4)</f>
        <v>0</v>
      </c>
      <c r="L884" s="206">
        <f>SUMIFS(LANÇ_MOV[VALOR LÍQUIDO],LANÇ_MOV[RECEITA OU DESPESA],"Despesa",LANÇ_MOV[CONTAS],$C884,LANÇ_MOV[PLANO DE CONTAS],REL_DRE_FINANCEIRO!$B$855,LANÇ_MOV[ANO PAGAMENTO],$B$4,LANÇ_MOV[MÊS PAGAMENTO CORRESPONDENTE],L$6,LANÇ_MOV[EMPRESA],$C$4,LANÇ_MOV[CENTRO DE CUSTOS],$D$4)</f>
        <v>0</v>
      </c>
      <c r="M884" s="206">
        <f>SUMIFS(LANÇ_MOV[VALOR LÍQUIDO],LANÇ_MOV[RECEITA OU DESPESA],"Despesa",LANÇ_MOV[CONTAS],$C884,LANÇ_MOV[PLANO DE CONTAS],REL_DRE_FINANCEIRO!$B$855,LANÇ_MOV[ANO PAGAMENTO],$B$4,LANÇ_MOV[MÊS PAGAMENTO CORRESPONDENTE],M$6,LANÇ_MOV[EMPRESA],$C$4,LANÇ_MOV[CENTRO DE CUSTOS],$D$4)</f>
        <v>0</v>
      </c>
      <c r="N884" s="206">
        <f>SUMIFS(LANÇ_MOV[VALOR LÍQUIDO],LANÇ_MOV[RECEITA OU DESPESA],"Despesa",LANÇ_MOV[CONTAS],$C884,LANÇ_MOV[PLANO DE CONTAS],REL_DRE_FINANCEIRO!$B$855,LANÇ_MOV[ANO PAGAMENTO],$B$4,LANÇ_MOV[MÊS PAGAMENTO CORRESPONDENTE],N$6,LANÇ_MOV[EMPRESA],$C$4,LANÇ_MOV[CENTRO DE CUSTOS],$D$4)</f>
        <v>0</v>
      </c>
      <c r="O884" s="206">
        <f>SUMIFS(LANÇ_MOV[VALOR LÍQUIDO],LANÇ_MOV[RECEITA OU DESPESA],"Despesa",LANÇ_MOV[CONTAS],$C884,LANÇ_MOV[PLANO DE CONTAS],REL_DRE_FINANCEIRO!$B$855,LANÇ_MOV[ANO PAGAMENTO],$B$4,LANÇ_MOV[MÊS PAGAMENTO CORRESPONDENTE],O$6,LANÇ_MOV[EMPRESA],$C$4,LANÇ_MOV[CENTRO DE CUSTOS],$D$4)</f>
        <v>0</v>
      </c>
      <c r="P884" s="207">
        <f t="shared" si="111"/>
        <v>0</v>
      </c>
      <c r="Q884" s="329">
        <v>7.1999999999999997E-6</v>
      </c>
      <c r="R884" s="346">
        <f t="shared" si="112"/>
        <v>7.1999999999999997E-6</v>
      </c>
      <c r="S884" s="347" t="str">
        <f t="shared" si="113"/>
        <v>-</v>
      </c>
      <c r="T884" s="347">
        <f t="shared" si="114"/>
        <v>0</v>
      </c>
      <c r="U884" s="347">
        <f>HLOOKUP(Apoio!$P$12,$D$854:$P$955,X884,FALSE)+Q884</f>
        <v>7.1999999999999997E-6</v>
      </c>
      <c r="V884" s="447" t="str">
        <f t="shared" si="115"/>
        <v>-</v>
      </c>
      <c r="W884" s="448">
        <f>HLOOKUP(Apoio!$P$12,$D$854:$P$955,X884,FALSE)</f>
        <v>0</v>
      </c>
      <c r="X884" s="329">
        <v>31</v>
      </c>
    </row>
    <row r="885" spans="2:24" ht="30.05" customHeight="1" x14ac:dyDescent="0.35">
      <c r="B885" s="204" t="str">
        <f>'CAD_PL_REC-DESP'!AC34</f>
        <v>2.7.30</v>
      </c>
      <c r="C885" s="205" t="str">
        <f>IF('CAD_PL_REC-DESP'!AD34="","-",'CAD_PL_REC-DESP'!AD34)</f>
        <v>-</v>
      </c>
      <c r="D885" s="206">
        <f>SUMIFS(LANÇ_MOV[VALOR LÍQUIDO],LANÇ_MOV[RECEITA OU DESPESA],"Despesa",LANÇ_MOV[CONTAS],$C885,LANÇ_MOV[PLANO DE CONTAS],REL_DRE_FINANCEIRO!$B$855,LANÇ_MOV[ANO PAGAMENTO],$B$4,LANÇ_MOV[MÊS PAGAMENTO CORRESPONDENTE],D$6,LANÇ_MOV[EMPRESA],$C$4,LANÇ_MOV[CENTRO DE CUSTOS],$D$4)</f>
        <v>0</v>
      </c>
      <c r="E885" s="206">
        <f>SUMIFS(LANÇ_MOV[VALOR LÍQUIDO],LANÇ_MOV[RECEITA OU DESPESA],"Despesa",LANÇ_MOV[CONTAS],$C885,LANÇ_MOV[PLANO DE CONTAS],REL_DRE_FINANCEIRO!$B$855,LANÇ_MOV[ANO PAGAMENTO],$B$4,LANÇ_MOV[MÊS PAGAMENTO CORRESPONDENTE],E$6,LANÇ_MOV[EMPRESA],$C$4,LANÇ_MOV[CENTRO DE CUSTOS],$D$4)</f>
        <v>0</v>
      </c>
      <c r="F885" s="206">
        <f>SUMIFS(LANÇ_MOV[VALOR LÍQUIDO],LANÇ_MOV[RECEITA OU DESPESA],"Despesa",LANÇ_MOV[CONTAS],$C885,LANÇ_MOV[PLANO DE CONTAS],REL_DRE_FINANCEIRO!$B$855,LANÇ_MOV[ANO PAGAMENTO],$B$4,LANÇ_MOV[MÊS PAGAMENTO CORRESPONDENTE],F$6,LANÇ_MOV[EMPRESA],$C$4,LANÇ_MOV[CENTRO DE CUSTOS],$D$4)</f>
        <v>0</v>
      </c>
      <c r="G885" s="206">
        <f>SUMIFS(LANÇ_MOV[VALOR LÍQUIDO],LANÇ_MOV[RECEITA OU DESPESA],"Despesa",LANÇ_MOV[CONTAS],$C885,LANÇ_MOV[PLANO DE CONTAS],REL_DRE_FINANCEIRO!$B$855,LANÇ_MOV[ANO PAGAMENTO],$B$4,LANÇ_MOV[MÊS PAGAMENTO CORRESPONDENTE],G$6,LANÇ_MOV[EMPRESA],$C$4,LANÇ_MOV[CENTRO DE CUSTOS],$D$4)</f>
        <v>0</v>
      </c>
      <c r="H885" s="206">
        <f>SUMIFS(LANÇ_MOV[VALOR LÍQUIDO],LANÇ_MOV[RECEITA OU DESPESA],"Despesa",LANÇ_MOV[CONTAS],$C885,LANÇ_MOV[PLANO DE CONTAS],REL_DRE_FINANCEIRO!$B$855,LANÇ_MOV[ANO PAGAMENTO],$B$4,LANÇ_MOV[MÊS PAGAMENTO CORRESPONDENTE],H$6,LANÇ_MOV[EMPRESA],$C$4,LANÇ_MOV[CENTRO DE CUSTOS],$D$4)</f>
        <v>0</v>
      </c>
      <c r="I885" s="206">
        <f>SUMIFS(LANÇ_MOV[VALOR LÍQUIDO],LANÇ_MOV[RECEITA OU DESPESA],"Despesa",LANÇ_MOV[CONTAS],$C885,LANÇ_MOV[PLANO DE CONTAS],REL_DRE_FINANCEIRO!$B$855,LANÇ_MOV[ANO PAGAMENTO],$B$4,LANÇ_MOV[MÊS PAGAMENTO CORRESPONDENTE],I$6,LANÇ_MOV[EMPRESA],$C$4,LANÇ_MOV[CENTRO DE CUSTOS],$D$4)</f>
        <v>0</v>
      </c>
      <c r="J885" s="206">
        <f>SUMIFS(LANÇ_MOV[VALOR LÍQUIDO],LANÇ_MOV[RECEITA OU DESPESA],"Despesa",LANÇ_MOV[CONTAS],$C885,LANÇ_MOV[PLANO DE CONTAS],REL_DRE_FINANCEIRO!$B$855,LANÇ_MOV[ANO PAGAMENTO],$B$4,LANÇ_MOV[MÊS PAGAMENTO CORRESPONDENTE],J$6,LANÇ_MOV[EMPRESA],$C$4,LANÇ_MOV[CENTRO DE CUSTOS],$D$4)</f>
        <v>0</v>
      </c>
      <c r="K885" s="206">
        <f>SUMIFS(LANÇ_MOV[VALOR LÍQUIDO],LANÇ_MOV[RECEITA OU DESPESA],"Despesa",LANÇ_MOV[CONTAS],$C885,LANÇ_MOV[PLANO DE CONTAS],REL_DRE_FINANCEIRO!$B$855,LANÇ_MOV[ANO PAGAMENTO],$B$4,LANÇ_MOV[MÊS PAGAMENTO CORRESPONDENTE],K$6,LANÇ_MOV[EMPRESA],$C$4,LANÇ_MOV[CENTRO DE CUSTOS],$D$4)</f>
        <v>0</v>
      </c>
      <c r="L885" s="206">
        <f>SUMIFS(LANÇ_MOV[VALOR LÍQUIDO],LANÇ_MOV[RECEITA OU DESPESA],"Despesa",LANÇ_MOV[CONTAS],$C885,LANÇ_MOV[PLANO DE CONTAS],REL_DRE_FINANCEIRO!$B$855,LANÇ_MOV[ANO PAGAMENTO],$B$4,LANÇ_MOV[MÊS PAGAMENTO CORRESPONDENTE],L$6,LANÇ_MOV[EMPRESA],$C$4,LANÇ_MOV[CENTRO DE CUSTOS],$D$4)</f>
        <v>0</v>
      </c>
      <c r="M885" s="206">
        <f>SUMIFS(LANÇ_MOV[VALOR LÍQUIDO],LANÇ_MOV[RECEITA OU DESPESA],"Despesa",LANÇ_MOV[CONTAS],$C885,LANÇ_MOV[PLANO DE CONTAS],REL_DRE_FINANCEIRO!$B$855,LANÇ_MOV[ANO PAGAMENTO],$B$4,LANÇ_MOV[MÊS PAGAMENTO CORRESPONDENTE],M$6,LANÇ_MOV[EMPRESA],$C$4,LANÇ_MOV[CENTRO DE CUSTOS],$D$4)</f>
        <v>0</v>
      </c>
      <c r="N885" s="206">
        <f>SUMIFS(LANÇ_MOV[VALOR LÍQUIDO],LANÇ_MOV[RECEITA OU DESPESA],"Despesa",LANÇ_MOV[CONTAS],$C885,LANÇ_MOV[PLANO DE CONTAS],REL_DRE_FINANCEIRO!$B$855,LANÇ_MOV[ANO PAGAMENTO],$B$4,LANÇ_MOV[MÊS PAGAMENTO CORRESPONDENTE],N$6,LANÇ_MOV[EMPRESA],$C$4,LANÇ_MOV[CENTRO DE CUSTOS],$D$4)</f>
        <v>0</v>
      </c>
      <c r="O885" s="206">
        <f>SUMIFS(LANÇ_MOV[VALOR LÍQUIDO],LANÇ_MOV[RECEITA OU DESPESA],"Despesa",LANÇ_MOV[CONTAS],$C885,LANÇ_MOV[PLANO DE CONTAS],REL_DRE_FINANCEIRO!$B$855,LANÇ_MOV[ANO PAGAMENTO],$B$4,LANÇ_MOV[MÊS PAGAMENTO CORRESPONDENTE],O$6,LANÇ_MOV[EMPRESA],$C$4,LANÇ_MOV[CENTRO DE CUSTOS],$D$4)</f>
        <v>0</v>
      </c>
      <c r="P885" s="207">
        <f t="shared" si="111"/>
        <v>0</v>
      </c>
      <c r="Q885" s="329">
        <v>7.0999999999999998E-6</v>
      </c>
      <c r="R885" s="346">
        <f t="shared" si="112"/>
        <v>7.0999999999999998E-6</v>
      </c>
      <c r="S885" s="347" t="str">
        <f t="shared" si="113"/>
        <v>-</v>
      </c>
      <c r="T885" s="347">
        <f t="shared" si="114"/>
        <v>0</v>
      </c>
      <c r="U885" s="347">
        <f>HLOOKUP(Apoio!$P$12,$D$854:$P$955,X885,FALSE)+Q885</f>
        <v>7.0999999999999998E-6</v>
      </c>
      <c r="V885" s="447" t="str">
        <f t="shared" si="115"/>
        <v>-</v>
      </c>
      <c r="W885" s="448">
        <f>HLOOKUP(Apoio!$P$12,$D$854:$P$955,X885,FALSE)</f>
        <v>0</v>
      </c>
      <c r="X885" s="329">
        <v>32</v>
      </c>
    </row>
    <row r="886" spans="2:24" ht="30.05" customHeight="1" x14ac:dyDescent="0.35">
      <c r="B886" s="204" t="str">
        <f>'CAD_PL_REC-DESP'!AC35</f>
        <v>2.7.31</v>
      </c>
      <c r="C886" s="205" t="str">
        <f>IF('CAD_PL_REC-DESP'!AD35="","-",'CAD_PL_REC-DESP'!AD35)</f>
        <v>-</v>
      </c>
      <c r="D886" s="206">
        <f>SUMIFS(LANÇ_MOV[VALOR LÍQUIDO],LANÇ_MOV[RECEITA OU DESPESA],"Despesa",LANÇ_MOV[CONTAS],$C886,LANÇ_MOV[PLANO DE CONTAS],REL_DRE_FINANCEIRO!$B$855,LANÇ_MOV[ANO PAGAMENTO],$B$4,LANÇ_MOV[MÊS PAGAMENTO CORRESPONDENTE],D$6,LANÇ_MOV[EMPRESA],$C$4,LANÇ_MOV[CENTRO DE CUSTOS],$D$4)</f>
        <v>0</v>
      </c>
      <c r="E886" s="206">
        <f>SUMIFS(LANÇ_MOV[VALOR LÍQUIDO],LANÇ_MOV[RECEITA OU DESPESA],"Despesa",LANÇ_MOV[CONTAS],$C886,LANÇ_MOV[PLANO DE CONTAS],REL_DRE_FINANCEIRO!$B$855,LANÇ_MOV[ANO PAGAMENTO],$B$4,LANÇ_MOV[MÊS PAGAMENTO CORRESPONDENTE],E$6,LANÇ_MOV[EMPRESA],$C$4,LANÇ_MOV[CENTRO DE CUSTOS],$D$4)</f>
        <v>0</v>
      </c>
      <c r="F886" s="206">
        <f>SUMIFS(LANÇ_MOV[VALOR LÍQUIDO],LANÇ_MOV[RECEITA OU DESPESA],"Despesa",LANÇ_MOV[CONTAS],$C886,LANÇ_MOV[PLANO DE CONTAS],REL_DRE_FINANCEIRO!$B$855,LANÇ_MOV[ANO PAGAMENTO],$B$4,LANÇ_MOV[MÊS PAGAMENTO CORRESPONDENTE],F$6,LANÇ_MOV[EMPRESA],$C$4,LANÇ_MOV[CENTRO DE CUSTOS],$D$4)</f>
        <v>0</v>
      </c>
      <c r="G886" s="206">
        <f>SUMIFS(LANÇ_MOV[VALOR LÍQUIDO],LANÇ_MOV[RECEITA OU DESPESA],"Despesa",LANÇ_MOV[CONTAS],$C886,LANÇ_MOV[PLANO DE CONTAS],REL_DRE_FINANCEIRO!$B$855,LANÇ_MOV[ANO PAGAMENTO],$B$4,LANÇ_MOV[MÊS PAGAMENTO CORRESPONDENTE],G$6,LANÇ_MOV[EMPRESA],$C$4,LANÇ_MOV[CENTRO DE CUSTOS],$D$4)</f>
        <v>0</v>
      </c>
      <c r="H886" s="206">
        <f>SUMIFS(LANÇ_MOV[VALOR LÍQUIDO],LANÇ_MOV[RECEITA OU DESPESA],"Despesa",LANÇ_MOV[CONTAS],$C886,LANÇ_MOV[PLANO DE CONTAS],REL_DRE_FINANCEIRO!$B$855,LANÇ_MOV[ANO PAGAMENTO],$B$4,LANÇ_MOV[MÊS PAGAMENTO CORRESPONDENTE],H$6,LANÇ_MOV[EMPRESA],$C$4,LANÇ_MOV[CENTRO DE CUSTOS],$D$4)</f>
        <v>0</v>
      </c>
      <c r="I886" s="206">
        <f>SUMIFS(LANÇ_MOV[VALOR LÍQUIDO],LANÇ_MOV[RECEITA OU DESPESA],"Despesa",LANÇ_MOV[CONTAS],$C886,LANÇ_MOV[PLANO DE CONTAS],REL_DRE_FINANCEIRO!$B$855,LANÇ_MOV[ANO PAGAMENTO],$B$4,LANÇ_MOV[MÊS PAGAMENTO CORRESPONDENTE],I$6,LANÇ_MOV[EMPRESA],$C$4,LANÇ_MOV[CENTRO DE CUSTOS],$D$4)</f>
        <v>0</v>
      </c>
      <c r="J886" s="206">
        <f>SUMIFS(LANÇ_MOV[VALOR LÍQUIDO],LANÇ_MOV[RECEITA OU DESPESA],"Despesa",LANÇ_MOV[CONTAS],$C886,LANÇ_MOV[PLANO DE CONTAS],REL_DRE_FINANCEIRO!$B$855,LANÇ_MOV[ANO PAGAMENTO],$B$4,LANÇ_MOV[MÊS PAGAMENTO CORRESPONDENTE],J$6,LANÇ_MOV[EMPRESA],$C$4,LANÇ_MOV[CENTRO DE CUSTOS],$D$4)</f>
        <v>0</v>
      </c>
      <c r="K886" s="206">
        <f>SUMIFS(LANÇ_MOV[VALOR LÍQUIDO],LANÇ_MOV[RECEITA OU DESPESA],"Despesa",LANÇ_MOV[CONTAS],$C886,LANÇ_MOV[PLANO DE CONTAS],REL_DRE_FINANCEIRO!$B$855,LANÇ_MOV[ANO PAGAMENTO],$B$4,LANÇ_MOV[MÊS PAGAMENTO CORRESPONDENTE],K$6,LANÇ_MOV[EMPRESA],$C$4,LANÇ_MOV[CENTRO DE CUSTOS],$D$4)</f>
        <v>0</v>
      </c>
      <c r="L886" s="206">
        <f>SUMIFS(LANÇ_MOV[VALOR LÍQUIDO],LANÇ_MOV[RECEITA OU DESPESA],"Despesa",LANÇ_MOV[CONTAS],$C886,LANÇ_MOV[PLANO DE CONTAS],REL_DRE_FINANCEIRO!$B$855,LANÇ_MOV[ANO PAGAMENTO],$B$4,LANÇ_MOV[MÊS PAGAMENTO CORRESPONDENTE],L$6,LANÇ_MOV[EMPRESA],$C$4,LANÇ_MOV[CENTRO DE CUSTOS],$D$4)</f>
        <v>0</v>
      </c>
      <c r="M886" s="206">
        <f>SUMIFS(LANÇ_MOV[VALOR LÍQUIDO],LANÇ_MOV[RECEITA OU DESPESA],"Despesa",LANÇ_MOV[CONTAS],$C886,LANÇ_MOV[PLANO DE CONTAS],REL_DRE_FINANCEIRO!$B$855,LANÇ_MOV[ANO PAGAMENTO],$B$4,LANÇ_MOV[MÊS PAGAMENTO CORRESPONDENTE],M$6,LANÇ_MOV[EMPRESA],$C$4,LANÇ_MOV[CENTRO DE CUSTOS],$D$4)</f>
        <v>0</v>
      </c>
      <c r="N886" s="206">
        <f>SUMIFS(LANÇ_MOV[VALOR LÍQUIDO],LANÇ_MOV[RECEITA OU DESPESA],"Despesa",LANÇ_MOV[CONTAS],$C886,LANÇ_MOV[PLANO DE CONTAS],REL_DRE_FINANCEIRO!$B$855,LANÇ_MOV[ANO PAGAMENTO],$B$4,LANÇ_MOV[MÊS PAGAMENTO CORRESPONDENTE],N$6,LANÇ_MOV[EMPRESA],$C$4,LANÇ_MOV[CENTRO DE CUSTOS],$D$4)</f>
        <v>0</v>
      </c>
      <c r="O886" s="206">
        <f>SUMIFS(LANÇ_MOV[VALOR LÍQUIDO],LANÇ_MOV[RECEITA OU DESPESA],"Despesa",LANÇ_MOV[CONTAS],$C886,LANÇ_MOV[PLANO DE CONTAS],REL_DRE_FINANCEIRO!$B$855,LANÇ_MOV[ANO PAGAMENTO],$B$4,LANÇ_MOV[MÊS PAGAMENTO CORRESPONDENTE],O$6,LANÇ_MOV[EMPRESA],$C$4,LANÇ_MOV[CENTRO DE CUSTOS],$D$4)</f>
        <v>0</v>
      </c>
      <c r="P886" s="207">
        <f t="shared" si="111"/>
        <v>0</v>
      </c>
      <c r="Q886" s="329">
        <v>6.9999999999999999E-6</v>
      </c>
      <c r="R886" s="346">
        <f t="shared" si="112"/>
        <v>6.9999999999999999E-6</v>
      </c>
      <c r="S886" s="347" t="str">
        <f t="shared" si="113"/>
        <v>-</v>
      </c>
      <c r="T886" s="347">
        <f t="shared" si="114"/>
        <v>0</v>
      </c>
      <c r="U886" s="347">
        <f>HLOOKUP(Apoio!$P$12,$D$854:$P$955,X886,FALSE)+Q886</f>
        <v>6.9999999999999999E-6</v>
      </c>
      <c r="V886" s="447" t="str">
        <f t="shared" si="115"/>
        <v>-</v>
      </c>
      <c r="W886" s="448">
        <f>HLOOKUP(Apoio!$P$12,$D$854:$P$955,X886,FALSE)</f>
        <v>0</v>
      </c>
      <c r="X886" s="329">
        <v>33</v>
      </c>
    </row>
    <row r="887" spans="2:24" ht="30.05" customHeight="1" x14ac:dyDescent="0.35">
      <c r="B887" s="204" t="str">
        <f>'CAD_PL_REC-DESP'!AC36</f>
        <v>2.7.32</v>
      </c>
      <c r="C887" s="205" t="str">
        <f>IF('CAD_PL_REC-DESP'!AD36="","-",'CAD_PL_REC-DESP'!AD36)</f>
        <v>-</v>
      </c>
      <c r="D887" s="206">
        <f>SUMIFS(LANÇ_MOV[VALOR LÍQUIDO],LANÇ_MOV[RECEITA OU DESPESA],"Despesa",LANÇ_MOV[CONTAS],$C887,LANÇ_MOV[PLANO DE CONTAS],REL_DRE_FINANCEIRO!$B$855,LANÇ_MOV[ANO PAGAMENTO],$B$4,LANÇ_MOV[MÊS PAGAMENTO CORRESPONDENTE],D$6,LANÇ_MOV[EMPRESA],$C$4,LANÇ_MOV[CENTRO DE CUSTOS],$D$4)</f>
        <v>0</v>
      </c>
      <c r="E887" s="206">
        <f>SUMIFS(LANÇ_MOV[VALOR LÍQUIDO],LANÇ_MOV[RECEITA OU DESPESA],"Despesa",LANÇ_MOV[CONTAS],$C887,LANÇ_MOV[PLANO DE CONTAS],REL_DRE_FINANCEIRO!$B$855,LANÇ_MOV[ANO PAGAMENTO],$B$4,LANÇ_MOV[MÊS PAGAMENTO CORRESPONDENTE],E$6,LANÇ_MOV[EMPRESA],$C$4,LANÇ_MOV[CENTRO DE CUSTOS],$D$4)</f>
        <v>0</v>
      </c>
      <c r="F887" s="206">
        <f>SUMIFS(LANÇ_MOV[VALOR LÍQUIDO],LANÇ_MOV[RECEITA OU DESPESA],"Despesa",LANÇ_MOV[CONTAS],$C887,LANÇ_MOV[PLANO DE CONTAS],REL_DRE_FINANCEIRO!$B$855,LANÇ_MOV[ANO PAGAMENTO],$B$4,LANÇ_MOV[MÊS PAGAMENTO CORRESPONDENTE],F$6,LANÇ_MOV[EMPRESA],$C$4,LANÇ_MOV[CENTRO DE CUSTOS],$D$4)</f>
        <v>0</v>
      </c>
      <c r="G887" s="206">
        <f>SUMIFS(LANÇ_MOV[VALOR LÍQUIDO],LANÇ_MOV[RECEITA OU DESPESA],"Despesa",LANÇ_MOV[CONTAS],$C887,LANÇ_MOV[PLANO DE CONTAS],REL_DRE_FINANCEIRO!$B$855,LANÇ_MOV[ANO PAGAMENTO],$B$4,LANÇ_MOV[MÊS PAGAMENTO CORRESPONDENTE],G$6,LANÇ_MOV[EMPRESA],$C$4,LANÇ_MOV[CENTRO DE CUSTOS],$D$4)</f>
        <v>0</v>
      </c>
      <c r="H887" s="206">
        <f>SUMIFS(LANÇ_MOV[VALOR LÍQUIDO],LANÇ_MOV[RECEITA OU DESPESA],"Despesa",LANÇ_MOV[CONTAS],$C887,LANÇ_MOV[PLANO DE CONTAS],REL_DRE_FINANCEIRO!$B$855,LANÇ_MOV[ANO PAGAMENTO],$B$4,LANÇ_MOV[MÊS PAGAMENTO CORRESPONDENTE],H$6,LANÇ_MOV[EMPRESA],$C$4,LANÇ_MOV[CENTRO DE CUSTOS],$D$4)</f>
        <v>0</v>
      </c>
      <c r="I887" s="206">
        <f>SUMIFS(LANÇ_MOV[VALOR LÍQUIDO],LANÇ_MOV[RECEITA OU DESPESA],"Despesa",LANÇ_MOV[CONTAS],$C887,LANÇ_MOV[PLANO DE CONTAS],REL_DRE_FINANCEIRO!$B$855,LANÇ_MOV[ANO PAGAMENTO],$B$4,LANÇ_MOV[MÊS PAGAMENTO CORRESPONDENTE],I$6,LANÇ_MOV[EMPRESA],$C$4,LANÇ_MOV[CENTRO DE CUSTOS],$D$4)</f>
        <v>0</v>
      </c>
      <c r="J887" s="206">
        <f>SUMIFS(LANÇ_MOV[VALOR LÍQUIDO],LANÇ_MOV[RECEITA OU DESPESA],"Despesa",LANÇ_MOV[CONTAS],$C887,LANÇ_MOV[PLANO DE CONTAS],REL_DRE_FINANCEIRO!$B$855,LANÇ_MOV[ANO PAGAMENTO],$B$4,LANÇ_MOV[MÊS PAGAMENTO CORRESPONDENTE],J$6,LANÇ_MOV[EMPRESA],$C$4,LANÇ_MOV[CENTRO DE CUSTOS],$D$4)</f>
        <v>0</v>
      </c>
      <c r="K887" s="206">
        <f>SUMIFS(LANÇ_MOV[VALOR LÍQUIDO],LANÇ_MOV[RECEITA OU DESPESA],"Despesa",LANÇ_MOV[CONTAS],$C887,LANÇ_MOV[PLANO DE CONTAS],REL_DRE_FINANCEIRO!$B$855,LANÇ_MOV[ANO PAGAMENTO],$B$4,LANÇ_MOV[MÊS PAGAMENTO CORRESPONDENTE],K$6,LANÇ_MOV[EMPRESA],$C$4,LANÇ_MOV[CENTRO DE CUSTOS],$D$4)</f>
        <v>0</v>
      </c>
      <c r="L887" s="206">
        <f>SUMIFS(LANÇ_MOV[VALOR LÍQUIDO],LANÇ_MOV[RECEITA OU DESPESA],"Despesa",LANÇ_MOV[CONTAS],$C887,LANÇ_MOV[PLANO DE CONTAS],REL_DRE_FINANCEIRO!$B$855,LANÇ_MOV[ANO PAGAMENTO],$B$4,LANÇ_MOV[MÊS PAGAMENTO CORRESPONDENTE],L$6,LANÇ_MOV[EMPRESA],$C$4,LANÇ_MOV[CENTRO DE CUSTOS],$D$4)</f>
        <v>0</v>
      </c>
      <c r="M887" s="206">
        <f>SUMIFS(LANÇ_MOV[VALOR LÍQUIDO],LANÇ_MOV[RECEITA OU DESPESA],"Despesa",LANÇ_MOV[CONTAS],$C887,LANÇ_MOV[PLANO DE CONTAS],REL_DRE_FINANCEIRO!$B$855,LANÇ_MOV[ANO PAGAMENTO],$B$4,LANÇ_MOV[MÊS PAGAMENTO CORRESPONDENTE],M$6,LANÇ_MOV[EMPRESA],$C$4,LANÇ_MOV[CENTRO DE CUSTOS],$D$4)</f>
        <v>0</v>
      </c>
      <c r="N887" s="206">
        <f>SUMIFS(LANÇ_MOV[VALOR LÍQUIDO],LANÇ_MOV[RECEITA OU DESPESA],"Despesa",LANÇ_MOV[CONTAS],$C887,LANÇ_MOV[PLANO DE CONTAS],REL_DRE_FINANCEIRO!$B$855,LANÇ_MOV[ANO PAGAMENTO],$B$4,LANÇ_MOV[MÊS PAGAMENTO CORRESPONDENTE],N$6,LANÇ_MOV[EMPRESA],$C$4,LANÇ_MOV[CENTRO DE CUSTOS],$D$4)</f>
        <v>0</v>
      </c>
      <c r="O887" s="206">
        <f>SUMIFS(LANÇ_MOV[VALOR LÍQUIDO],LANÇ_MOV[RECEITA OU DESPESA],"Despesa",LANÇ_MOV[CONTAS],$C887,LANÇ_MOV[PLANO DE CONTAS],REL_DRE_FINANCEIRO!$B$855,LANÇ_MOV[ANO PAGAMENTO],$B$4,LANÇ_MOV[MÊS PAGAMENTO CORRESPONDENTE],O$6,LANÇ_MOV[EMPRESA],$C$4,LANÇ_MOV[CENTRO DE CUSTOS],$D$4)</f>
        <v>0</v>
      </c>
      <c r="P887" s="207">
        <f t="shared" si="111"/>
        <v>0</v>
      </c>
      <c r="Q887" s="329">
        <v>6.9E-6</v>
      </c>
      <c r="R887" s="346">
        <f t="shared" si="112"/>
        <v>6.9E-6</v>
      </c>
      <c r="S887" s="347" t="str">
        <f t="shared" si="113"/>
        <v>-</v>
      </c>
      <c r="T887" s="347">
        <f t="shared" si="114"/>
        <v>0</v>
      </c>
      <c r="U887" s="347">
        <f>HLOOKUP(Apoio!$P$12,$D$854:$P$955,X887,FALSE)+Q887</f>
        <v>6.9E-6</v>
      </c>
      <c r="V887" s="447" t="str">
        <f t="shared" si="115"/>
        <v>-</v>
      </c>
      <c r="W887" s="448">
        <f>HLOOKUP(Apoio!$P$12,$D$854:$P$955,X887,FALSE)</f>
        <v>0</v>
      </c>
      <c r="X887" s="329">
        <v>34</v>
      </c>
    </row>
    <row r="888" spans="2:24" ht="30.05" customHeight="1" x14ac:dyDescent="0.35">
      <c r="B888" s="204" t="str">
        <f>'CAD_PL_REC-DESP'!AC37</f>
        <v>2.7.33</v>
      </c>
      <c r="C888" s="205" t="str">
        <f>IF('CAD_PL_REC-DESP'!AD37="","-",'CAD_PL_REC-DESP'!AD37)</f>
        <v>-</v>
      </c>
      <c r="D888" s="206">
        <f>SUMIFS(LANÇ_MOV[VALOR LÍQUIDO],LANÇ_MOV[RECEITA OU DESPESA],"Despesa",LANÇ_MOV[CONTAS],$C888,LANÇ_MOV[PLANO DE CONTAS],REL_DRE_FINANCEIRO!$B$855,LANÇ_MOV[ANO PAGAMENTO],$B$4,LANÇ_MOV[MÊS PAGAMENTO CORRESPONDENTE],D$6,LANÇ_MOV[EMPRESA],$C$4,LANÇ_MOV[CENTRO DE CUSTOS],$D$4)</f>
        <v>0</v>
      </c>
      <c r="E888" s="206">
        <f>SUMIFS(LANÇ_MOV[VALOR LÍQUIDO],LANÇ_MOV[RECEITA OU DESPESA],"Despesa",LANÇ_MOV[CONTAS],$C888,LANÇ_MOV[PLANO DE CONTAS],REL_DRE_FINANCEIRO!$B$855,LANÇ_MOV[ANO PAGAMENTO],$B$4,LANÇ_MOV[MÊS PAGAMENTO CORRESPONDENTE],E$6,LANÇ_MOV[EMPRESA],$C$4,LANÇ_MOV[CENTRO DE CUSTOS],$D$4)</f>
        <v>0</v>
      </c>
      <c r="F888" s="206">
        <f>SUMIFS(LANÇ_MOV[VALOR LÍQUIDO],LANÇ_MOV[RECEITA OU DESPESA],"Despesa",LANÇ_MOV[CONTAS],$C888,LANÇ_MOV[PLANO DE CONTAS],REL_DRE_FINANCEIRO!$B$855,LANÇ_MOV[ANO PAGAMENTO],$B$4,LANÇ_MOV[MÊS PAGAMENTO CORRESPONDENTE],F$6,LANÇ_MOV[EMPRESA],$C$4,LANÇ_MOV[CENTRO DE CUSTOS],$D$4)</f>
        <v>0</v>
      </c>
      <c r="G888" s="206">
        <f>SUMIFS(LANÇ_MOV[VALOR LÍQUIDO],LANÇ_MOV[RECEITA OU DESPESA],"Despesa",LANÇ_MOV[CONTAS],$C888,LANÇ_MOV[PLANO DE CONTAS],REL_DRE_FINANCEIRO!$B$855,LANÇ_MOV[ANO PAGAMENTO],$B$4,LANÇ_MOV[MÊS PAGAMENTO CORRESPONDENTE],G$6,LANÇ_MOV[EMPRESA],$C$4,LANÇ_MOV[CENTRO DE CUSTOS],$D$4)</f>
        <v>0</v>
      </c>
      <c r="H888" s="206">
        <f>SUMIFS(LANÇ_MOV[VALOR LÍQUIDO],LANÇ_MOV[RECEITA OU DESPESA],"Despesa",LANÇ_MOV[CONTAS],$C888,LANÇ_MOV[PLANO DE CONTAS],REL_DRE_FINANCEIRO!$B$855,LANÇ_MOV[ANO PAGAMENTO],$B$4,LANÇ_MOV[MÊS PAGAMENTO CORRESPONDENTE],H$6,LANÇ_MOV[EMPRESA],$C$4,LANÇ_MOV[CENTRO DE CUSTOS],$D$4)</f>
        <v>0</v>
      </c>
      <c r="I888" s="206">
        <f>SUMIFS(LANÇ_MOV[VALOR LÍQUIDO],LANÇ_MOV[RECEITA OU DESPESA],"Despesa",LANÇ_MOV[CONTAS],$C888,LANÇ_MOV[PLANO DE CONTAS],REL_DRE_FINANCEIRO!$B$855,LANÇ_MOV[ANO PAGAMENTO],$B$4,LANÇ_MOV[MÊS PAGAMENTO CORRESPONDENTE],I$6,LANÇ_MOV[EMPRESA],$C$4,LANÇ_MOV[CENTRO DE CUSTOS],$D$4)</f>
        <v>0</v>
      </c>
      <c r="J888" s="206">
        <f>SUMIFS(LANÇ_MOV[VALOR LÍQUIDO],LANÇ_MOV[RECEITA OU DESPESA],"Despesa",LANÇ_MOV[CONTAS],$C888,LANÇ_MOV[PLANO DE CONTAS],REL_DRE_FINANCEIRO!$B$855,LANÇ_MOV[ANO PAGAMENTO],$B$4,LANÇ_MOV[MÊS PAGAMENTO CORRESPONDENTE],J$6,LANÇ_MOV[EMPRESA],$C$4,LANÇ_MOV[CENTRO DE CUSTOS],$D$4)</f>
        <v>0</v>
      </c>
      <c r="K888" s="206">
        <f>SUMIFS(LANÇ_MOV[VALOR LÍQUIDO],LANÇ_MOV[RECEITA OU DESPESA],"Despesa",LANÇ_MOV[CONTAS],$C888,LANÇ_MOV[PLANO DE CONTAS],REL_DRE_FINANCEIRO!$B$855,LANÇ_MOV[ANO PAGAMENTO],$B$4,LANÇ_MOV[MÊS PAGAMENTO CORRESPONDENTE],K$6,LANÇ_MOV[EMPRESA],$C$4,LANÇ_MOV[CENTRO DE CUSTOS],$D$4)</f>
        <v>0</v>
      </c>
      <c r="L888" s="206">
        <f>SUMIFS(LANÇ_MOV[VALOR LÍQUIDO],LANÇ_MOV[RECEITA OU DESPESA],"Despesa",LANÇ_MOV[CONTAS],$C888,LANÇ_MOV[PLANO DE CONTAS],REL_DRE_FINANCEIRO!$B$855,LANÇ_MOV[ANO PAGAMENTO],$B$4,LANÇ_MOV[MÊS PAGAMENTO CORRESPONDENTE],L$6,LANÇ_MOV[EMPRESA],$C$4,LANÇ_MOV[CENTRO DE CUSTOS],$D$4)</f>
        <v>0</v>
      </c>
      <c r="M888" s="206">
        <f>SUMIFS(LANÇ_MOV[VALOR LÍQUIDO],LANÇ_MOV[RECEITA OU DESPESA],"Despesa",LANÇ_MOV[CONTAS],$C888,LANÇ_MOV[PLANO DE CONTAS],REL_DRE_FINANCEIRO!$B$855,LANÇ_MOV[ANO PAGAMENTO],$B$4,LANÇ_MOV[MÊS PAGAMENTO CORRESPONDENTE],M$6,LANÇ_MOV[EMPRESA],$C$4,LANÇ_MOV[CENTRO DE CUSTOS],$D$4)</f>
        <v>0</v>
      </c>
      <c r="N888" s="206">
        <f>SUMIFS(LANÇ_MOV[VALOR LÍQUIDO],LANÇ_MOV[RECEITA OU DESPESA],"Despesa",LANÇ_MOV[CONTAS],$C888,LANÇ_MOV[PLANO DE CONTAS],REL_DRE_FINANCEIRO!$B$855,LANÇ_MOV[ANO PAGAMENTO],$B$4,LANÇ_MOV[MÊS PAGAMENTO CORRESPONDENTE],N$6,LANÇ_MOV[EMPRESA],$C$4,LANÇ_MOV[CENTRO DE CUSTOS],$D$4)</f>
        <v>0</v>
      </c>
      <c r="O888" s="206">
        <f>SUMIFS(LANÇ_MOV[VALOR LÍQUIDO],LANÇ_MOV[RECEITA OU DESPESA],"Despesa",LANÇ_MOV[CONTAS],$C888,LANÇ_MOV[PLANO DE CONTAS],REL_DRE_FINANCEIRO!$B$855,LANÇ_MOV[ANO PAGAMENTO],$B$4,LANÇ_MOV[MÊS PAGAMENTO CORRESPONDENTE],O$6,LANÇ_MOV[EMPRESA],$C$4,LANÇ_MOV[CENTRO DE CUSTOS],$D$4)</f>
        <v>0</v>
      </c>
      <c r="P888" s="207">
        <f t="shared" si="111"/>
        <v>0</v>
      </c>
      <c r="Q888" s="329">
        <v>6.8000000000000001E-6</v>
      </c>
      <c r="R888" s="346">
        <f t="shared" si="112"/>
        <v>6.8000000000000001E-6</v>
      </c>
      <c r="S888" s="347" t="str">
        <f t="shared" si="113"/>
        <v>-</v>
      </c>
      <c r="T888" s="347">
        <f t="shared" si="114"/>
        <v>0</v>
      </c>
      <c r="U888" s="347">
        <f>HLOOKUP(Apoio!$P$12,$D$854:$P$955,X888,FALSE)+Q888</f>
        <v>6.8000000000000001E-6</v>
      </c>
      <c r="V888" s="447" t="str">
        <f t="shared" si="115"/>
        <v>-</v>
      </c>
      <c r="W888" s="448">
        <f>HLOOKUP(Apoio!$P$12,$D$854:$P$955,X888,FALSE)</f>
        <v>0</v>
      </c>
      <c r="X888" s="329">
        <v>35</v>
      </c>
    </row>
    <row r="889" spans="2:24" ht="30.05" customHeight="1" x14ac:dyDescent="0.35">
      <c r="B889" s="204" t="str">
        <f>'CAD_PL_REC-DESP'!AC38</f>
        <v>2.7.34</v>
      </c>
      <c r="C889" s="205" t="str">
        <f>IF('CAD_PL_REC-DESP'!AD38="","-",'CAD_PL_REC-DESP'!AD38)</f>
        <v>-</v>
      </c>
      <c r="D889" s="206">
        <f>SUMIFS(LANÇ_MOV[VALOR LÍQUIDO],LANÇ_MOV[RECEITA OU DESPESA],"Despesa",LANÇ_MOV[CONTAS],$C889,LANÇ_MOV[PLANO DE CONTAS],REL_DRE_FINANCEIRO!$B$855,LANÇ_MOV[ANO PAGAMENTO],$B$4,LANÇ_MOV[MÊS PAGAMENTO CORRESPONDENTE],D$6,LANÇ_MOV[EMPRESA],$C$4,LANÇ_MOV[CENTRO DE CUSTOS],$D$4)</f>
        <v>0</v>
      </c>
      <c r="E889" s="206">
        <f>SUMIFS(LANÇ_MOV[VALOR LÍQUIDO],LANÇ_MOV[RECEITA OU DESPESA],"Despesa",LANÇ_MOV[CONTAS],$C889,LANÇ_MOV[PLANO DE CONTAS],REL_DRE_FINANCEIRO!$B$855,LANÇ_MOV[ANO PAGAMENTO],$B$4,LANÇ_MOV[MÊS PAGAMENTO CORRESPONDENTE],E$6,LANÇ_MOV[EMPRESA],$C$4,LANÇ_MOV[CENTRO DE CUSTOS],$D$4)</f>
        <v>0</v>
      </c>
      <c r="F889" s="206">
        <f>SUMIFS(LANÇ_MOV[VALOR LÍQUIDO],LANÇ_MOV[RECEITA OU DESPESA],"Despesa",LANÇ_MOV[CONTAS],$C889,LANÇ_MOV[PLANO DE CONTAS],REL_DRE_FINANCEIRO!$B$855,LANÇ_MOV[ANO PAGAMENTO],$B$4,LANÇ_MOV[MÊS PAGAMENTO CORRESPONDENTE],F$6,LANÇ_MOV[EMPRESA],$C$4,LANÇ_MOV[CENTRO DE CUSTOS],$D$4)</f>
        <v>0</v>
      </c>
      <c r="G889" s="206">
        <f>SUMIFS(LANÇ_MOV[VALOR LÍQUIDO],LANÇ_MOV[RECEITA OU DESPESA],"Despesa",LANÇ_MOV[CONTAS],$C889,LANÇ_MOV[PLANO DE CONTAS],REL_DRE_FINANCEIRO!$B$855,LANÇ_MOV[ANO PAGAMENTO],$B$4,LANÇ_MOV[MÊS PAGAMENTO CORRESPONDENTE],G$6,LANÇ_MOV[EMPRESA],$C$4,LANÇ_MOV[CENTRO DE CUSTOS],$D$4)</f>
        <v>0</v>
      </c>
      <c r="H889" s="206">
        <f>SUMIFS(LANÇ_MOV[VALOR LÍQUIDO],LANÇ_MOV[RECEITA OU DESPESA],"Despesa",LANÇ_MOV[CONTAS],$C889,LANÇ_MOV[PLANO DE CONTAS],REL_DRE_FINANCEIRO!$B$855,LANÇ_MOV[ANO PAGAMENTO],$B$4,LANÇ_MOV[MÊS PAGAMENTO CORRESPONDENTE],H$6,LANÇ_MOV[EMPRESA],$C$4,LANÇ_MOV[CENTRO DE CUSTOS],$D$4)</f>
        <v>0</v>
      </c>
      <c r="I889" s="206">
        <f>SUMIFS(LANÇ_MOV[VALOR LÍQUIDO],LANÇ_MOV[RECEITA OU DESPESA],"Despesa",LANÇ_MOV[CONTAS],$C889,LANÇ_MOV[PLANO DE CONTAS],REL_DRE_FINANCEIRO!$B$855,LANÇ_MOV[ANO PAGAMENTO],$B$4,LANÇ_MOV[MÊS PAGAMENTO CORRESPONDENTE],I$6,LANÇ_MOV[EMPRESA],$C$4,LANÇ_MOV[CENTRO DE CUSTOS],$D$4)</f>
        <v>0</v>
      </c>
      <c r="J889" s="206">
        <f>SUMIFS(LANÇ_MOV[VALOR LÍQUIDO],LANÇ_MOV[RECEITA OU DESPESA],"Despesa",LANÇ_MOV[CONTAS],$C889,LANÇ_MOV[PLANO DE CONTAS],REL_DRE_FINANCEIRO!$B$855,LANÇ_MOV[ANO PAGAMENTO],$B$4,LANÇ_MOV[MÊS PAGAMENTO CORRESPONDENTE],J$6,LANÇ_MOV[EMPRESA],$C$4,LANÇ_MOV[CENTRO DE CUSTOS],$D$4)</f>
        <v>0</v>
      </c>
      <c r="K889" s="206">
        <f>SUMIFS(LANÇ_MOV[VALOR LÍQUIDO],LANÇ_MOV[RECEITA OU DESPESA],"Despesa",LANÇ_MOV[CONTAS],$C889,LANÇ_MOV[PLANO DE CONTAS],REL_DRE_FINANCEIRO!$B$855,LANÇ_MOV[ANO PAGAMENTO],$B$4,LANÇ_MOV[MÊS PAGAMENTO CORRESPONDENTE],K$6,LANÇ_MOV[EMPRESA],$C$4,LANÇ_MOV[CENTRO DE CUSTOS],$D$4)</f>
        <v>0</v>
      </c>
      <c r="L889" s="206">
        <f>SUMIFS(LANÇ_MOV[VALOR LÍQUIDO],LANÇ_MOV[RECEITA OU DESPESA],"Despesa",LANÇ_MOV[CONTAS],$C889,LANÇ_MOV[PLANO DE CONTAS],REL_DRE_FINANCEIRO!$B$855,LANÇ_MOV[ANO PAGAMENTO],$B$4,LANÇ_MOV[MÊS PAGAMENTO CORRESPONDENTE],L$6,LANÇ_MOV[EMPRESA],$C$4,LANÇ_MOV[CENTRO DE CUSTOS],$D$4)</f>
        <v>0</v>
      </c>
      <c r="M889" s="206">
        <f>SUMIFS(LANÇ_MOV[VALOR LÍQUIDO],LANÇ_MOV[RECEITA OU DESPESA],"Despesa",LANÇ_MOV[CONTAS],$C889,LANÇ_MOV[PLANO DE CONTAS],REL_DRE_FINANCEIRO!$B$855,LANÇ_MOV[ANO PAGAMENTO],$B$4,LANÇ_MOV[MÊS PAGAMENTO CORRESPONDENTE],M$6,LANÇ_MOV[EMPRESA],$C$4,LANÇ_MOV[CENTRO DE CUSTOS],$D$4)</f>
        <v>0</v>
      </c>
      <c r="N889" s="206">
        <f>SUMIFS(LANÇ_MOV[VALOR LÍQUIDO],LANÇ_MOV[RECEITA OU DESPESA],"Despesa",LANÇ_MOV[CONTAS],$C889,LANÇ_MOV[PLANO DE CONTAS],REL_DRE_FINANCEIRO!$B$855,LANÇ_MOV[ANO PAGAMENTO],$B$4,LANÇ_MOV[MÊS PAGAMENTO CORRESPONDENTE],N$6,LANÇ_MOV[EMPRESA],$C$4,LANÇ_MOV[CENTRO DE CUSTOS],$D$4)</f>
        <v>0</v>
      </c>
      <c r="O889" s="206">
        <f>SUMIFS(LANÇ_MOV[VALOR LÍQUIDO],LANÇ_MOV[RECEITA OU DESPESA],"Despesa",LANÇ_MOV[CONTAS],$C889,LANÇ_MOV[PLANO DE CONTAS],REL_DRE_FINANCEIRO!$B$855,LANÇ_MOV[ANO PAGAMENTO],$B$4,LANÇ_MOV[MÊS PAGAMENTO CORRESPONDENTE],O$6,LANÇ_MOV[EMPRESA],$C$4,LANÇ_MOV[CENTRO DE CUSTOS],$D$4)</f>
        <v>0</v>
      </c>
      <c r="P889" s="207">
        <f t="shared" si="111"/>
        <v>0</v>
      </c>
      <c r="Q889" s="329">
        <v>6.7000000000000002E-6</v>
      </c>
      <c r="R889" s="346">
        <f t="shared" si="112"/>
        <v>6.7000000000000002E-6</v>
      </c>
      <c r="S889" s="347" t="str">
        <f t="shared" si="113"/>
        <v>-</v>
      </c>
      <c r="T889" s="347">
        <f t="shared" si="114"/>
        <v>0</v>
      </c>
      <c r="U889" s="347">
        <f>HLOOKUP(Apoio!$P$12,$D$854:$P$955,X889,FALSE)+Q889</f>
        <v>6.7000000000000002E-6</v>
      </c>
      <c r="V889" s="447" t="str">
        <f t="shared" si="115"/>
        <v>-</v>
      </c>
      <c r="W889" s="448">
        <f>HLOOKUP(Apoio!$P$12,$D$854:$P$955,X889,FALSE)</f>
        <v>0</v>
      </c>
      <c r="X889" s="329">
        <v>36</v>
      </c>
    </row>
    <row r="890" spans="2:24" ht="30.05" customHeight="1" x14ac:dyDescent="0.35">
      <c r="B890" s="204" t="str">
        <f>'CAD_PL_REC-DESP'!AC39</f>
        <v>2.7.35</v>
      </c>
      <c r="C890" s="205" t="str">
        <f>IF('CAD_PL_REC-DESP'!AD39="","-",'CAD_PL_REC-DESP'!AD39)</f>
        <v>-</v>
      </c>
      <c r="D890" s="206">
        <f>SUMIFS(LANÇ_MOV[VALOR LÍQUIDO],LANÇ_MOV[RECEITA OU DESPESA],"Despesa",LANÇ_MOV[CONTAS],$C890,LANÇ_MOV[PLANO DE CONTAS],REL_DRE_FINANCEIRO!$B$855,LANÇ_MOV[ANO PAGAMENTO],$B$4,LANÇ_MOV[MÊS PAGAMENTO CORRESPONDENTE],D$6,LANÇ_MOV[EMPRESA],$C$4,LANÇ_MOV[CENTRO DE CUSTOS],$D$4)</f>
        <v>0</v>
      </c>
      <c r="E890" s="206">
        <f>SUMIFS(LANÇ_MOV[VALOR LÍQUIDO],LANÇ_MOV[RECEITA OU DESPESA],"Despesa",LANÇ_MOV[CONTAS],$C890,LANÇ_MOV[PLANO DE CONTAS],REL_DRE_FINANCEIRO!$B$855,LANÇ_MOV[ANO PAGAMENTO],$B$4,LANÇ_MOV[MÊS PAGAMENTO CORRESPONDENTE],E$6,LANÇ_MOV[EMPRESA],$C$4,LANÇ_MOV[CENTRO DE CUSTOS],$D$4)</f>
        <v>0</v>
      </c>
      <c r="F890" s="206">
        <f>SUMIFS(LANÇ_MOV[VALOR LÍQUIDO],LANÇ_MOV[RECEITA OU DESPESA],"Despesa",LANÇ_MOV[CONTAS],$C890,LANÇ_MOV[PLANO DE CONTAS],REL_DRE_FINANCEIRO!$B$855,LANÇ_MOV[ANO PAGAMENTO],$B$4,LANÇ_MOV[MÊS PAGAMENTO CORRESPONDENTE],F$6,LANÇ_MOV[EMPRESA],$C$4,LANÇ_MOV[CENTRO DE CUSTOS],$D$4)</f>
        <v>0</v>
      </c>
      <c r="G890" s="206">
        <f>SUMIFS(LANÇ_MOV[VALOR LÍQUIDO],LANÇ_MOV[RECEITA OU DESPESA],"Despesa",LANÇ_MOV[CONTAS],$C890,LANÇ_MOV[PLANO DE CONTAS],REL_DRE_FINANCEIRO!$B$855,LANÇ_MOV[ANO PAGAMENTO],$B$4,LANÇ_MOV[MÊS PAGAMENTO CORRESPONDENTE],G$6,LANÇ_MOV[EMPRESA],$C$4,LANÇ_MOV[CENTRO DE CUSTOS],$D$4)</f>
        <v>0</v>
      </c>
      <c r="H890" s="206">
        <f>SUMIFS(LANÇ_MOV[VALOR LÍQUIDO],LANÇ_MOV[RECEITA OU DESPESA],"Despesa",LANÇ_MOV[CONTAS],$C890,LANÇ_MOV[PLANO DE CONTAS],REL_DRE_FINANCEIRO!$B$855,LANÇ_MOV[ANO PAGAMENTO],$B$4,LANÇ_MOV[MÊS PAGAMENTO CORRESPONDENTE],H$6,LANÇ_MOV[EMPRESA],$C$4,LANÇ_MOV[CENTRO DE CUSTOS],$D$4)</f>
        <v>0</v>
      </c>
      <c r="I890" s="206">
        <f>SUMIFS(LANÇ_MOV[VALOR LÍQUIDO],LANÇ_MOV[RECEITA OU DESPESA],"Despesa",LANÇ_MOV[CONTAS],$C890,LANÇ_MOV[PLANO DE CONTAS],REL_DRE_FINANCEIRO!$B$855,LANÇ_MOV[ANO PAGAMENTO],$B$4,LANÇ_MOV[MÊS PAGAMENTO CORRESPONDENTE],I$6,LANÇ_MOV[EMPRESA],$C$4,LANÇ_MOV[CENTRO DE CUSTOS],$D$4)</f>
        <v>0</v>
      </c>
      <c r="J890" s="206">
        <f>SUMIFS(LANÇ_MOV[VALOR LÍQUIDO],LANÇ_MOV[RECEITA OU DESPESA],"Despesa",LANÇ_MOV[CONTAS],$C890,LANÇ_MOV[PLANO DE CONTAS],REL_DRE_FINANCEIRO!$B$855,LANÇ_MOV[ANO PAGAMENTO],$B$4,LANÇ_MOV[MÊS PAGAMENTO CORRESPONDENTE],J$6,LANÇ_MOV[EMPRESA],$C$4,LANÇ_MOV[CENTRO DE CUSTOS],$D$4)</f>
        <v>0</v>
      </c>
      <c r="K890" s="206">
        <f>SUMIFS(LANÇ_MOV[VALOR LÍQUIDO],LANÇ_MOV[RECEITA OU DESPESA],"Despesa",LANÇ_MOV[CONTAS],$C890,LANÇ_MOV[PLANO DE CONTAS],REL_DRE_FINANCEIRO!$B$855,LANÇ_MOV[ANO PAGAMENTO],$B$4,LANÇ_MOV[MÊS PAGAMENTO CORRESPONDENTE],K$6,LANÇ_MOV[EMPRESA],$C$4,LANÇ_MOV[CENTRO DE CUSTOS],$D$4)</f>
        <v>0</v>
      </c>
      <c r="L890" s="206">
        <f>SUMIFS(LANÇ_MOV[VALOR LÍQUIDO],LANÇ_MOV[RECEITA OU DESPESA],"Despesa",LANÇ_MOV[CONTAS],$C890,LANÇ_MOV[PLANO DE CONTAS],REL_DRE_FINANCEIRO!$B$855,LANÇ_MOV[ANO PAGAMENTO],$B$4,LANÇ_MOV[MÊS PAGAMENTO CORRESPONDENTE],L$6,LANÇ_MOV[EMPRESA],$C$4,LANÇ_MOV[CENTRO DE CUSTOS],$D$4)</f>
        <v>0</v>
      </c>
      <c r="M890" s="206">
        <f>SUMIFS(LANÇ_MOV[VALOR LÍQUIDO],LANÇ_MOV[RECEITA OU DESPESA],"Despesa",LANÇ_MOV[CONTAS],$C890,LANÇ_MOV[PLANO DE CONTAS],REL_DRE_FINANCEIRO!$B$855,LANÇ_MOV[ANO PAGAMENTO],$B$4,LANÇ_MOV[MÊS PAGAMENTO CORRESPONDENTE],M$6,LANÇ_MOV[EMPRESA],$C$4,LANÇ_MOV[CENTRO DE CUSTOS],$D$4)</f>
        <v>0</v>
      </c>
      <c r="N890" s="206">
        <f>SUMIFS(LANÇ_MOV[VALOR LÍQUIDO],LANÇ_MOV[RECEITA OU DESPESA],"Despesa",LANÇ_MOV[CONTAS],$C890,LANÇ_MOV[PLANO DE CONTAS],REL_DRE_FINANCEIRO!$B$855,LANÇ_MOV[ANO PAGAMENTO],$B$4,LANÇ_MOV[MÊS PAGAMENTO CORRESPONDENTE],N$6,LANÇ_MOV[EMPRESA],$C$4,LANÇ_MOV[CENTRO DE CUSTOS],$D$4)</f>
        <v>0</v>
      </c>
      <c r="O890" s="206">
        <f>SUMIFS(LANÇ_MOV[VALOR LÍQUIDO],LANÇ_MOV[RECEITA OU DESPESA],"Despesa",LANÇ_MOV[CONTAS],$C890,LANÇ_MOV[PLANO DE CONTAS],REL_DRE_FINANCEIRO!$B$855,LANÇ_MOV[ANO PAGAMENTO],$B$4,LANÇ_MOV[MÊS PAGAMENTO CORRESPONDENTE],O$6,LANÇ_MOV[EMPRESA],$C$4,LANÇ_MOV[CENTRO DE CUSTOS],$D$4)</f>
        <v>0</v>
      </c>
      <c r="P890" s="207">
        <f t="shared" si="111"/>
        <v>0</v>
      </c>
      <c r="Q890" s="329">
        <v>6.6000000000000003E-6</v>
      </c>
      <c r="R890" s="346">
        <f t="shared" si="112"/>
        <v>6.6000000000000003E-6</v>
      </c>
      <c r="S890" s="347" t="str">
        <f t="shared" si="113"/>
        <v>-</v>
      </c>
      <c r="T890" s="347">
        <f t="shared" si="114"/>
        <v>0</v>
      </c>
      <c r="U890" s="347">
        <f>HLOOKUP(Apoio!$P$12,$D$854:$P$955,X890,FALSE)+Q890</f>
        <v>6.6000000000000003E-6</v>
      </c>
      <c r="V890" s="447" t="str">
        <f t="shared" si="115"/>
        <v>-</v>
      </c>
      <c r="W890" s="448">
        <f>HLOOKUP(Apoio!$P$12,$D$854:$P$955,X890,FALSE)</f>
        <v>0</v>
      </c>
      <c r="X890" s="329">
        <v>37</v>
      </c>
    </row>
    <row r="891" spans="2:24" ht="30.05" customHeight="1" x14ac:dyDescent="0.35">
      <c r="B891" s="204" t="str">
        <f>'CAD_PL_REC-DESP'!AC40</f>
        <v>2.7.36</v>
      </c>
      <c r="C891" s="205" t="str">
        <f>IF('CAD_PL_REC-DESP'!AD40="","-",'CAD_PL_REC-DESP'!AD40)</f>
        <v>-</v>
      </c>
      <c r="D891" s="206">
        <f>SUMIFS(LANÇ_MOV[VALOR LÍQUIDO],LANÇ_MOV[RECEITA OU DESPESA],"Despesa",LANÇ_MOV[CONTAS],$C891,LANÇ_MOV[PLANO DE CONTAS],REL_DRE_FINANCEIRO!$B$855,LANÇ_MOV[ANO PAGAMENTO],$B$4,LANÇ_MOV[MÊS PAGAMENTO CORRESPONDENTE],D$6,LANÇ_MOV[EMPRESA],$C$4,LANÇ_MOV[CENTRO DE CUSTOS],$D$4)</f>
        <v>0</v>
      </c>
      <c r="E891" s="206">
        <f>SUMIFS(LANÇ_MOV[VALOR LÍQUIDO],LANÇ_MOV[RECEITA OU DESPESA],"Despesa",LANÇ_MOV[CONTAS],$C891,LANÇ_MOV[PLANO DE CONTAS],REL_DRE_FINANCEIRO!$B$855,LANÇ_MOV[ANO PAGAMENTO],$B$4,LANÇ_MOV[MÊS PAGAMENTO CORRESPONDENTE],E$6,LANÇ_MOV[EMPRESA],$C$4,LANÇ_MOV[CENTRO DE CUSTOS],$D$4)</f>
        <v>0</v>
      </c>
      <c r="F891" s="206">
        <f>SUMIFS(LANÇ_MOV[VALOR LÍQUIDO],LANÇ_MOV[RECEITA OU DESPESA],"Despesa",LANÇ_MOV[CONTAS],$C891,LANÇ_MOV[PLANO DE CONTAS],REL_DRE_FINANCEIRO!$B$855,LANÇ_MOV[ANO PAGAMENTO],$B$4,LANÇ_MOV[MÊS PAGAMENTO CORRESPONDENTE],F$6,LANÇ_MOV[EMPRESA],$C$4,LANÇ_MOV[CENTRO DE CUSTOS],$D$4)</f>
        <v>0</v>
      </c>
      <c r="G891" s="206">
        <f>SUMIFS(LANÇ_MOV[VALOR LÍQUIDO],LANÇ_MOV[RECEITA OU DESPESA],"Despesa",LANÇ_MOV[CONTAS],$C891,LANÇ_MOV[PLANO DE CONTAS],REL_DRE_FINANCEIRO!$B$855,LANÇ_MOV[ANO PAGAMENTO],$B$4,LANÇ_MOV[MÊS PAGAMENTO CORRESPONDENTE],G$6,LANÇ_MOV[EMPRESA],$C$4,LANÇ_MOV[CENTRO DE CUSTOS],$D$4)</f>
        <v>0</v>
      </c>
      <c r="H891" s="206">
        <f>SUMIFS(LANÇ_MOV[VALOR LÍQUIDO],LANÇ_MOV[RECEITA OU DESPESA],"Despesa",LANÇ_MOV[CONTAS],$C891,LANÇ_MOV[PLANO DE CONTAS],REL_DRE_FINANCEIRO!$B$855,LANÇ_MOV[ANO PAGAMENTO],$B$4,LANÇ_MOV[MÊS PAGAMENTO CORRESPONDENTE],H$6,LANÇ_MOV[EMPRESA],$C$4,LANÇ_MOV[CENTRO DE CUSTOS],$D$4)</f>
        <v>0</v>
      </c>
      <c r="I891" s="206">
        <f>SUMIFS(LANÇ_MOV[VALOR LÍQUIDO],LANÇ_MOV[RECEITA OU DESPESA],"Despesa",LANÇ_MOV[CONTAS],$C891,LANÇ_MOV[PLANO DE CONTAS],REL_DRE_FINANCEIRO!$B$855,LANÇ_MOV[ANO PAGAMENTO],$B$4,LANÇ_MOV[MÊS PAGAMENTO CORRESPONDENTE],I$6,LANÇ_MOV[EMPRESA],$C$4,LANÇ_MOV[CENTRO DE CUSTOS],$D$4)</f>
        <v>0</v>
      </c>
      <c r="J891" s="206">
        <f>SUMIFS(LANÇ_MOV[VALOR LÍQUIDO],LANÇ_MOV[RECEITA OU DESPESA],"Despesa",LANÇ_MOV[CONTAS],$C891,LANÇ_MOV[PLANO DE CONTAS],REL_DRE_FINANCEIRO!$B$855,LANÇ_MOV[ANO PAGAMENTO],$B$4,LANÇ_MOV[MÊS PAGAMENTO CORRESPONDENTE],J$6,LANÇ_MOV[EMPRESA],$C$4,LANÇ_MOV[CENTRO DE CUSTOS],$D$4)</f>
        <v>0</v>
      </c>
      <c r="K891" s="206">
        <f>SUMIFS(LANÇ_MOV[VALOR LÍQUIDO],LANÇ_MOV[RECEITA OU DESPESA],"Despesa",LANÇ_MOV[CONTAS],$C891,LANÇ_MOV[PLANO DE CONTAS],REL_DRE_FINANCEIRO!$B$855,LANÇ_MOV[ANO PAGAMENTO],$B$4,LANÇ_MOV[MÊS PAGAMENTO CORRESPONDENTE],K$6,LANÇ_MOV[EMPRESA],$C$4,LANÇ_MOV[CENTRO DE CUSTOS],$D$4)</f>
        <v>0</v>
      </c>
      <c r="L891" s="206">
        <f>SUMIFS(LANÇ_MOV[VALOR LÍQUIDO],LANÇ_MOV[RECEITA OU DESPESA],"Despesa",LANÇ_MOV[CONTAS],$C891,LANÇ_MOV[PLANO DE CONTAS],REL_DRE_FINANCEIRO!$B$855,LANÇ_MOV[ANO PAGAMENTO],$B$4,LANÇ_MOV[MÊS PAGAMENTO CORRESPONDENTE],L$6,LANÇ_MOV[EMPRESA],$C$4,LANÇ_MOV[CENTRO DE CUSTOS],$D$4)</f>
        <v>0</v>
      </c>
      <c r="M891" s="206">
        <f>SUMIFS(LANÇ_MOV[VALOR LÍQUIDO],LANÇ_MOV[RECEITA OU DESPESA],"Despesa",LANÇ_MOV[CONTAS],$C891,LANÇ_MOV[PLANO DE CONTAS],REL_DRE_FINANCEIRO!$B$855,LANÇ_MOV[ANO PAGAMENTO],$B$4,LANÇ_MOV[MÊS PAGAMENTO CORRESPONDENTE],M$6,LANÇ_MOV[EMPRESA],$C$4,LANÇ_MOV[CENTRO DE CUSTOS],$D$4)</f>
        <v>0</v>
      </c>
      <c r="N891" s="206">
        <f>SUMIFS(LANÇ_MOV[VALOR LÍQUIDO],LANÇ_MOV[RECEITA OU DESPESA],"Despesa",LANÇ_MOV[CONTAS],$C891,LANÇ_MOV[PLANO DE CONTAS],REL_DRE_FINANCEIRO!$B$855,LANÇ_MOV[ANO PAGAMENTO],$B$4,LANÇ_MOV[MÊS PAGAMENTO CORRESPONDENTE],N$6,LANÇ_MOV[EMPRESA],$C$4,LANÇ_MOV[CENTRO DE CUSTOS],$D$4)</f>
        <v>0</v>
      </c>
      <c r="O891" s="206">
        <f>SUMIFS(LANÇ_MOV[VALOR LÍQUIDO],LANÇ_MOV[RECEITA OU DESPESA],"Despesa",LANÇ_MOV[CONTAS],$C891,LANÇ_MOV[PLANO DE CONTAS],REL_DRE_FINANCEIRO!$B$855,LANÇ_MOV[ANO PAGAMENTO],$B$4,LANÇ_MOV[MÊS PAGAMENTO CORRESPONDENTE],O$6,LANÇ_MOV[EMPRESA],$C$4,LANÇ_MOV[CENTRO DE CUSTOS],$D$4)</f>
        <v>0</v>
      </c>
      <c r="P891" s="207">
        <f t="shared" si="111"/>
        <v>0</v>
      </c>
      <c r="Q891" s="329">
        <v>6.4999999999999996E-6</v>
      </c>
      <c r="R891" s="346">
        <f t="shared" si="112"/>
        <v>6.4999999999999996E-6</v>
      </c>
      <c r="S891" s="347" t="str">
        <f t="shared" si="113"/>
        <v>-</v>
      </c>
      <c r="T891" s="347">
        <f t="shared" si="114"/>
        <v>0</v>
      </c>
      <c r="U891" s="347">
        <f>HLOOKUP(Apoio!$P$12,$D$854:$P$955,X891,FALSE)+Q891</f>
        <v>6.4999999999999996E-6</v>
      </c>
      <c r="V891" s="447" t="str">
        <f t="shared" si="115"/>
        <v>-</v>
      </c>
      <c r="W891" s="448">
        <f>HLOOKUP(Apoio!$P$12,$D$854:$P$955,X891,FALSE)</f>
        <v>0</v>
      </c>
      <c r="X891" s="329">
        <v>38</v>
      </c>
    </row>
    <row r="892" spans="2:24" ht="30.05" customHeight="1" x14ac:dyDescent="0.35">
      <c r="B892" s="204" t="str">
        <f>'CAD_PL_REC-DESP'!AC41</f>
        <v>2.7.37</v>
      </c>
      <c r="C892" s="205" t="str">
        <f>IF('CAD_PL_REC-DESP'!AD41="","-",'CAD_PL_REC-DESP'!AD41)</f>
        <v>-</v>
      </c>
      <c r="D892" s="206">
        <f>SUMIFS(LANÇ_MOV[VALOR LÍQUIDO],LANÇ_MOV[RECEITA OU DESPESA],"Despesa",LANÇ_MOV[CONTAS],$C892,LANÇ_MOV[PLANO DE CONTAS],REL_DRE_FINANCEIRO!$B$855,LANÇ_MOV[ANO PAGAMENTO],$B$4,LANÇ_MOV[MÊS PAGAMENTO CORRESPONDENTE],D$6,LANÇ_MOV[EMPRESA],$C$4,LANÇ_MOV[CENTRO DE CUSTOS],$D$4)</f>
        <v>0</v>
      </c>
      <c r="E892" s="206">
        <f>SUMIFS(LANÇ_MOV[VALOR LÍQUIDO],LANÇ_MOV[RECEITA OU DESPESA],"Despesa",LANÇ_MOV[CONTAS],$C892,LANÇ_MOV[PLANO DE CONTAS],REL_DRE_FINANCEIRO!$B$855,LANÇ_MOV[ANO PAGAMENTO],$B$4,LANÇ_MOV[MÊS PAGAMENTO CORRESPONDENTE],E$6,LANÇ_MOV[EMPRESA],$C$4,LANÇ_MOV[CENTRO DE CUSTOS],$D$4)</f>
        <v>0</v>
      </c>
      <c r="F892" s="206">
        <f>SUMIFS(LANÇ_MOV[VALOR LÍQUIDO],LANÇ_MOV[RECEITA OU DESPESA],"Despesa",LANÇ_MOV[CONTAS],$C892,LANÇ_MOV[PLANO DE CONTAS],REL_DRE_FINANCEIRO!$B$855,LANÇ_MOV[ANO PAGAMENTO],$B$4,LANÇ_MOV[MÊS PAGAMENTO CORRESPONDENTE],F$6,LANÇ_MOV[EMPRESA],$C$4,LANÇ_MOV[CENTRO DE CUSTOS],$D$4)</f>
        <v>0</v>
      </c>
      <c r="G892" s="206">
        <f>SUMIFS(LANÇ_MOV[VALOR LÍQUIDO],LANÇ_MOV[RECEITA OU DESPESA],"Despesa",LANÇ_MOV[CONTAS],$C892,LANÇ_MOV[PLANO DE CONTAS],REL_DRE_FINANCEIRO!$B$855,LANÇ_MOV[ANO PAGAMENTO],$B$4,LANÇ_MOV[MÊS PAGAMENTO CORRESPONDENTE],G$6,LANÇ_MOV[EMPRESA],$C$4,LANÇ_MOV[CENTRO DE CUSTOS],$D$4)</f>
        <v>0</v>
      </c>
      <c r="H892" s="206">
        <f>SUMIFS(LANÇ_MOV[VALOR LÍQUIDO],LANÇ_MOV[RECEITA OU DESPESA],"Despesa",LANÇ_MOV[CONTAS],$C892,LANÇ_MOV[PLANO DE CONTAS],REL_DRE_FINANCEIRO!$B$855,LANÇ_MOV[ANO PAGAMENTO],$B$4,LANÇ_MOV[MÊS PAGAMENTO CORRESPONDENTE],H$6,LANÇ_MOV[EMPRESA],$C$4,LANÇ_MOV[CENTRO DE CUSTOS],$D$4)</f>
        <v>0</v>
      </c>
      <c r="I892" s="206">
        <f>SUMIFS(LANÇ_MOV[VALOR LÍQUIDO],LANÇ_MOV[RECEITA OU DESPESA],"Despesa",LANÇ_MOV[CONTAS],$C892,LANÇ_MOV[PLANO DE CONTAS],REL_DRE_FINANCEIRO!$B$855,LANÇ_MOV[ANO PAGAMENTO],$B$4,LANÇ_MOV[MÊS PAGAMENTO CORRESPONDENTE],I$6,LANÇ_MOV[EMPRESA],$C$4,LANÇ_MOV[CENTRO DE CUSTOS],$D$4)</f>
        <v>0</v>
      </c>
      <c r="J892" s="206">
        <f>SUMIFS(LANÇ_MOV[VALOR LÍQUIDO],LANÇ_MOV[RECEITA OU DESPESA],"Despesa",LANÇ_MOV[CONTAS],$C892,LANÇ_MOV[PLANO DE CONTAS],REL_DRE_FINANCEIRO!$B$855,LANÇ_MOV[ANO PAGAMENTO],$B$4,LANÇ_MOV[MÊS PAGAMENTO CORRESPONDENTE],J$6,LANÇ_MOV[EMPRESA],$C$4,LANÇ_MOV[CENTRO DE CUSTOS],$D$4)</f>
        <v>0</v>
      </c>
      <c r="K892" s="206">
        <f>SUMIFS(LANÇ_MOV[VALOR LÍQUIDO],LANÇ_MOV[RECEITA OU DESPESA],"Despesa",LANÇ_MOV[CONTAS],$C892,LANÇ_MOV[PLANO DE CONTAS],REL_DRE_FINANCEIRO!$B$855,LANÇ_MOV[ANO PAGAMENTO],$B$4,LANÇ_MOV[MÊS PAGAMENTO CORRESPONDENTE],K$6,LANÇ_MOV[EMPRESA],$C$4,LANÇ_MOV[CENTRO DE CUSTOS],$D$4)</f>
        <v>0</v>
      </c>
      <c r="L892" s="206">
        <f>SUMIFS(LANÇ_MOV[VALOR LÍQUIDO],LANÇ_MOV[RECEITA OU DESPESA],"Despesa",LANÇ_MOV[CONTAS],$C892,LANÇ_MOV[PLANO DE CONTAS],REL_DRE_FINANCEIRO!$B$855,LANÇ_MOV[ANO PAGAMENTO],$B$4,LANÇ_MOV[MÊS PAGAMENTO CORRESPONDENTE],L$6,LANÇ_MOV[EMPRESA],$C$4,LANÇ_MOV[CENTRO DE CUSTOS],$D$4)</f>
        <v>0</v>
      </c>
      <c r="M892" s="206">
        <f>SUMIFS(LANÇ_MOV[VALOR LÍQUIDO],LANÇ_MOV[RECEITA OU DESPESA],"Despesa",LANÇ_MOV[CONTAS],$C892,LANÇ_MOV[PLANO DE CONTAS],REL_DRE_FINANCEIRO!$B$855,LANÇ_MOV[ANO PAGAMENTO],$B$4,LANÇ_MOV[MÊS PAGAMENTO CORRESPONDENTE],M$6,LANÇ_MOV[EMPRESA],$C$4,LANÇ_MOV[CENTRO DE CUSTOS],$D$4)</f>
        <v>0</v>
      </c>
      <c r="N892" s="206">
        <f>SUMIFS(LANÇ_MOV[VALOR LÍQUIDO],LANÇ_MOV[RECEITA OU DESPESA],"Despesa",LANÇ_MOV[CONTAS],$C892,LANÇ_MOV[PLANO DE CONTAS],REL_DRE_FINANCEIRO!$B$855,LANÇ_MOV[ANO PAGAMENTO],$B$4,LANÇ_MOV[MÊS PAGAMENTO CORRESPONDENTE],N$6,LANÇ_MOV[EMPRESA],$C$4,LANÇ_MOV[CENTRO DE CUSTOS],$D$4)</f>
        <v>0</v>
      </c>
      <c r="O892" s="206">
        <f>SUMIFS(LANÇ_MOV[VALOR LÍQUIDO],LANÇ_MOV[RECEITA OU DESPESA],"Despesa",LANÇ_MOV[CONTAS],$C892,LANÇ_MOV[PLANO DE CONTAS],REL_DRE_FINANCEIRO!$B$855,LANÇ_MOV[ANO PAGAMENTO],$B$4,LANÇ_MOV[MÊS PAGAMENTO CORRESPONDENTE],O$6,LANÇ_MOV[EMPRESA],$C$4,LANÇ_MOV[CENTRO DE CUSTOS],$D$4)</f>
        <v>0</v>
      </c>
      <c r="P892" s="207">
        <f t="shared" si="111"/>
        <v>0</v>
      </c>
      <c r="Q892" s="329">
        <v>6.3999999999999997E-6</v>
      </c>
      <c r="R892" s="346">
        <f t="shared" si="112"/>
        <v>6.3999999999999997E-6</v>
      </c>
      <c r="S892" s="347" t="str">
        <f t="shared" si="113"/>
        <v>-</v>
      </c>
      <c r="T892" s="347">
        <f t="shared" si="114"/>
        <v>0</v>
      </c>
      <c r="U892" s="347">
        <f>HLOOKUP(Apoio!$P$12,$D$854:$P$955,X892,FALSE)+Q892</f>
        <v>6.3999999999999997E-6</v>
      </c>
      <c r="V892" s="447" t="str">
        <f t="shared" si="115"/>
        <v>-</v>
      </c>
      <c r="W892" s="448">
        <f>HLOOKUP(Apoio!$P$12,$D$854:$P$955,X892,FALSE)</f>
        <v>0</v>
      </c>
      <c r="X892" s="329">
        <v>39</v>
      </c>
    </row>
    <row r="893" spans="2:24" ht="30.05" customHeight="1" x14ac:dyDescent="0.35">
      <c r="B893" s="204" t="str">
        <f>'CAD_PL_REC-DESP'!AC42</f>
        <v>2.7.38</v>
      </c>
      <c r="C893" s="205" t="str">
        <f>IF('CAD_PL_REC-DESP'!AD42="","-",'CAD_PL_REC-DESP'!AD42)</f>
        <v>-</v>
      </c>
      <c r="D893" s="206">
        <f>SUMIFS(LANÇ_MOV[VALOR LÍQUIDO],LANÇ_MOV[RECEITA OU DESPESA],"Despesa",LANÇ_MOV[CONTAS],$C893,LANÇ_MOV[PLANO DE CONTAS],REL_DRE_FINANCEIRO!$B$855,LANÇ_MOV[ANO PAGAMENTO],$B$4,LANÇ_MOV[MÊS PAGAMENTO CORRESPONDENTE],D$6,LANÇ_MOV[EMPRESA],$C$4,LANÇ_MOV[CENTRO DE CUSTOS],$D$4)</f>
        <v>0</v>
      </c>
      <c r="E893" s="206">
        <f>SUMIFS(LANÇ_MOV[VALOR LÍQUIDO],LANÇ_MOV[RECEITA OU DESPESA],"Despesa",LANÇ_MOV[CONTAS],$C893,LANÇ_MOV[PLANO DE CONTAS],REL_DRE_FINANCEIRO!$B$855,LANÇ_MOV[ANO PAGAMENTO],$B$4,LANÇ_MOV[MÊS PAGAMENTO CORRESPONDENTE],E$6,LANÇ_MOV[EMPRESA],$C$4,LANÇ_MOV[CENTRO DE CUSTOS],$D$4)</f>
        <v>0</v>
      </c>
      <c r="F893" s="206">
        <f>SUMIFS(LANÇ_MOV[VALOR LÍQUIDO],LANÇ_MOV[RECEITA OU DESPESA],"Despesa",LANÇ_MOV[CONTAS],$C893,LANÇ_MOV[PLANO DE CONTAS],REL_DRE_FINANCEIRO!$B$855,LANÇ_MOV[ANO PAGAMENTO],$B$4,LANÇ_MOV[MÊS PAGAMENTO CORRESPONDENTE],F$6,LANÇ_MOV[EMPRESA],$C$4,LANÇ_MOV[CENTRO DE CUSTOS],$D$4)</f>
        <v>0</v>
      </c>
      <c r="G893" s="206">
        <f>SUMIFS(LANÇ_MOV[VALOR LÍQUIDO],LANÇ_MOV[RECEITA OU DESPESA],"Despesa",LANÇ_MOV[CONTAS],$C893,LANÇ_MOV[PLANO DE CONTAS],REL_DRE_FINANCEIRO!$B$855,LANÇ_MOV[ANO PAGAMENTO],$B$4,LANÇ_MOV[MÊS PAGAMENTO CORRESPONDENTE],G$6,LANÇ_MOV[EMPRESA],$C$4,LANÇ_MOV[CENTRO DE CUSTOS],$D$4)</f>
        <v>0</v>
      </c>
      <c r="H893" s="206">
        <f>SUMIFS(LANÇ_MOV[VALOR LÍQUIDO],LANÇ_MOV[RECEITA OU DESPESA],"Despesa",LANÇ_MOV[CONTAS],$C893,LANÇ_MOV[PLANO DE CONTAS],REL_DRE_FINANCEIRO!$B$855,LANÇ_MOV[ANO PAGAMENTO],$B$4,LANÇ_MOV[MÊS PAGAMENTO CORRESPONDENTE],H$6,LANÇ_MOV[EMPRESA],$C$4,LANÇ_MOV[CENTRO DE CUSTOS],$D$4)</f>
        <v>0</v>
      </c>
      <c r="I893" s="206">
        <f>SUMIFS(LANÇ_MOV[VALOR LÍQUIDO],LANÇ_MOV[RECEITA OU DESPESA],"Despesa",LANÇ_MOV[CONTAS],$C893,LANÇ_MOV[PLANO DE CONTAS],REL_DRE_FINANCEIRO!$B$855,LANÇ_MOV[ANO PAGAMENTO],$B$4,LANÇ_MOV[MÊS PAGAMENTO CORRESPONDENTE],I$6,LANÇ_MOV[EMPRESA],$C$4,LANÇ_MOV[CENTRO DE CUSTOS],$D$4)</f>
        <v>0</v>
      </c>
      <c r="J893" s="206">
        <f>SUMIFS(LANÇ_MOV[VALOR LÍQUIDO],LANÇ_MOV[RECEITA OU DESPESA],"Despesa",LANÇ_MOV[CONTAS],$C893,LANÇ_MOV[PLANO DE CONTAS],REL_DRE_FINANCEIRO!$B$855,LANÇ_MOV[ANO PAGAMENTO],$B$4,LANÇ_MOV[MÊS PAGAMENTO CORRESPONDENTE],J$6,LANÇ_MOV[EMPRESA],$C$4,LANÇ_MOV[CENTRO DE CUSTOS],$D$4)</f>
        <v>0</v>
      </c>
      <c r="K893" s="206">
        <f>SUMIFS(LANÇ_MOV[VALOR LÍQUIDO],LANÇ_MOV[RECEITA OU DESPESA],"Despesa",LANÇ_MOV[CONTAS],$C893,LANÇ_MOV[PLANO DE CONTAS],REL_DRE_FINANCEIRO!$B$855,LANÇ_MOV[ANO PAGAMENTO],$B$4,LANÇ_MOV[MÊS PAGAMENTO CORRESPONDENTE],K$6,LANÇ_MOV[EMPRESA],$C$4,LANÇ_MOV[CENTRO DE CUSTOS],$D$4)</f>
        <v>0</v>
      </c>
      <c r="L893" s="206">
        <f>SUMIFS(LANÇ_MOV[VALOR LÍQUIDO],LANÇ_MOV[RECEITA OU DESPESA],"Despesa",LANÇ_MOV[CONTAS],$C893,LANÇ_MOV[PLANO DE CONTAS],REL_DRE_FINANCEIRO!$B$855,LANÇ_MOV[ANO PAGAMENTO],$B$4,LANÇ_MOV[MÊS PAGAMENTO CORRESPONDENTE],L$6,LANÇ_MOV[EMPRESA],$C$4,LANÇ_MOV[CENTRO DE CUSTOS],$D$4)</f>
        <v>0</v>
      </c>
      <c r="M893" s="206">
        <f>SUMIFS(LANÇ_MOV[VALOR LÍQUIDO],LANÇ_MOV[RECEITA OU DESPESA],"Despesa",LANÇ_MOV[CONTAS],$C893,LANÇ_MOV[PLANO DE CONTAS],REL_DRE_FINANCEIRO!$B$855,LANÇ_MOV[ANO PAGAMENTO],$B$4,LANÇ_MOV[MÊS PAGAMENTO CORRESPONDENTE],M$6,LANÇ_MOV[EMPRESA],$C$4,LANÇ_MOV[CENTRO DE CUSTOS],$D$4)</f>
        <v>0</v>
      </c>
      <c r="N893" s="206">
        <f>SUMIFS(LANÇ_MOV[VALOR LÍQUIDO],LANÇ_MOV[RECEITA OU DESPESA],"Despesa",LANÇ_MOV[CONTAS],$C893,LANÇ_MOV[PLANO DE CONTAS],REL_DRE_FINANCEIRO!$B$855,LANÇ_MOV[ANO PAGAMENTO],$B$4,LANÇ_MOV[MÊS PAGAMENTO CORRESPONDENTE],N$6,LANÇ_MOV[EMPRESA],$C$4,LANÇ_MOV[CENTRO DE CUSTOS],$D$4)</f>
        <v>0</v>
      </c>
      <c r="O893" s="206">
        <f>SUMIFS(LANÇ_MOV[VALOR LÍQUIDO],LANÇ_MOV[RECEITA OU DESPESA],"Despesa",LANÇ_MOV[CONTAS],$C893,LANÇ_MOV[PLANO DE CONTAS],REL_DRE_FINANCEIRO!$B$855,LANÇ_MOV[ANO PAGAMENTO],$B$4,LANÇ_MOV[MÊS PAGAMENTO CORRESPONDENTE],O$6,LANÇ_MOV[EMPRESA],$C$4,LANÇ_MOV[CENTRO DE CUSTOS],$D$4)</f>
        <v>0</v>
      </c>
      <c r="P893" s="207">
        <f t="shared" si="111"/>
        <v>0</v>
      </c>
      <c r="Q893" s="329">
        <v>6.2999999999999998E-6</v>
      </c>
      <c r="R893" s="346">
        <f t="shared" si="112"/>
        <v>6.2999999999999998E-6</v>
      </c>
      <c r="S893" s="347" t="str">
        <f t="shared" si="113"/>
        <v>-</v>
      </c>
      <c r="T893" s="347">
        <f t="shared" si="114"/>
        <v>0</v>
      </c>
      <c r="U893" s="347">
        <f>HLOOKUP(Apoio!$P$12,$D$854:$P$955,X893,FALSE)+Q893</f>
        <v>6.2999999999999998E-6</v>
      </c>
      <c r="V893" s="447" t="str">
        <f t="shared" si="115"/>
        <v>-</v>
      </c>
      <c r="W893" s="448">
        <f>HLOOKUP(Apoio!$P$12,$D$854:$P$955,X893,FALSE)</f>
        <v>0</v>
      </c>
      <c r="X893" s="329">
        <v>40</v>
      </c>
    </row>
    <row r="894" spans="2:24" ht="30.05" customHeight="1" x14ac:dyDescent="0.35">
      <c r="B894" s="204" t="str">
        <f>'CAD_PL_REC-DESP'!AC43</f>
        <v>2.7.39</v>
      </c>
      <c r="C894" s="205" t="str">
        <f>IF('CAD_PL_REC-DESP'!AD43="","-",'CAD_PL_REC-DESP'!AD43)</f>
        <v>-</v>
      </c>
      <c r="D894" s="206">
        <f>SUMIFS(LANÇ_MOV[VALOR LÍQUIDO],LANÇ_MOV[RECEITA OU DESPESA],"Despesa",LANÇ_MOV[CONTAS],$C894,LANÇ_MOV[PLANO DE CONTAS],REL_DRE_FINANCEIRO!$B$855,LANÇ_MOV[ANO PAGAMENTO],$B$4,LANÇ_MOV[MÊS PAGAMENTO CORRESPONDENTE],D$6,LANÇ_MOV[EMPRESA],$C$4,LANÇ_MOV[CENTRO DE CUSTOS],$D$4)</f>
        <v>0</v>
      </c>
      <c r="E894" s="206">
        <f>SUMIFS(LANÇ_MOV[VALOR LÍQUIDO],LANÇ_MOV[RECEITA OU DESPESA],"Despesa",LANÇ_MOV[CONTAS],$C894,LANÇ_MOV[PLANO DE CONTAS],REL_DRE_FINANCEIRO!$B$855,LANÇ_MOV[ANO PAGAMENTO],$B$4,LANÇ_MOV[MÊS PAGAMENTO CORRESPONDENTE],E$6,LANÇ_MOV[EMPRESA],$C$4,LANÇ_MOV[CENTRO DE CUSTOS],$D$4)</f>
        <v>0</v>
      </c>
      <c r="F894" s="206">
        <f>SUMIFS(LANÇ_MOV[VALOR LÍQUIDO],LANÇ_MOV[RECEITA OU DESPESA],"Despesa",LANÇ_MOV[CONTAS],$C894,LANÇ_MOV[PLANO DE CONTAS],REL_DRE_FINANCEIRO!$B$855,LANÇ_MOV[ANO PAGAMENTO],$B$4,LANÇ_MOV[MÊS PAGAMENTO CORRESPONDENTE],F$6,LANÇ_MOV[EMPRESA],$C$4,LANÇ_MOV[CENTRO DE CUSTOS],$D$4)</f>
        <v>0</v>
      </c>
      <c r="G894" s="206">
        <f>SUMIFS(LANÇ_MOV[VALOR LÍQUIDO],LANÇ_MOV[RECEITA OU DESPESA],"Despesa",LANÇ_MOV[CONTAS],$C894,LANÇ_MOV[PLANO DE CONTAS],REL_DRE_FINANCEIRO!$B$855,LANÇ_MOV[ANO PAGAMENTO],$B$4,LANÇ_MOV[MÊS PAGAMENTO CORRESPONDENTE],G$6,LANÇ_MOV[EMPRESA],$C$4,LANÇ_MOV[CENTRO DE CUSTOS],$D$4)</f>
        <v>0</v>
      </c>
      <c r="H894" s="206">
        <f>SUMIFS(LANÇ_MOV[VALOR LÍQUIDO],LANÇ_MOV[RECEITA OU DESPESA],"Despesa",LANÇ_MOV[CONTAS],$C894,LANÇ_MOV[PLANO DE CONTAS],REL_DRE_FINANCEIRO!$B$855,LANÇ_MOV[ANO PAGAMENTO],$B$4,LANÇ_MOV[MÊS PAGAMENTO CORRESPONDENTE],H$6,LANÇ_MOV[EMPRESA],$C$4,LANÇ_MOV[CENTRO DE CUSTOS],$D$4)</f>
        <v>0</v>
      </c>
      <c r="I894" s="206">
        <f>SUMIFS(LANÇ_MOV[VALOR LÍQUIDO],LANÇ_MOV[RECEITA OU DESPESA],"Despesa",LANÇ_MOV[CONTAS],$C894,LANÇ_MOV[PLANO DE CONTAS],REL_DRE_FINANCEIRO!$B$855,LANÇ_MOV[ANO PAGAMENTO],$B$4,LANÇ_MOV[MÊS PAGAMENTO CORRESPONDENTE],I$6,LANÇ_MOV[EMPRESA],$C$4,LANÇ_MOV[CENTRO DE CUSTOS],$D$4)</f>
        <v>0</v>
      </c>
      <c r="J894" s="206">
        <f>SUMIFS(LANÇ_MOV[VALOR LÍQUIDO],LANÇ_MOV[RECEITA OU DESPESA],"Despesa",LANÇ_MOV[CONTAS],$C894,LANÇ_MOV[PLANO DE CONTAS],REL_DRE_FINANCEIRO!$B$855,LANÇ_MOV[ANO PAGAMENTO],$B$4,LANÇ_MOV[MÊS PAGAMENTO CORRESPONDENTE],J$6,LANÇ_MOV[EMPRESA],$C$4,LANÇ_MOV[CENTRO DE CUSTOS],$D$4)</f>
        <v>0</v>
      </c>
      <c r="K894" s="206">
        <f>SUMIFS(LANÇ_MOV[VALOR LÍQUIDO],LANÇ_MOV[RECEITA OU DESPESA],"Despesa",LANÇ_MOV[CONTAS],$C894,LANÇ_MOV[PLANO DE CONTAS],REL_DRE_FINANCEIRO!$B$855,LANÇ_MOV[ANO PAGAMENTO],$B$4,LANÇ_MOV[MÊS PAGAMENTO CORRESPONDENTE],K$6,LANÇ_MOV[EMPRESA],$C$4,LANÇ_MOV[CENTRO DE CUSTOS],$D$4)</f>
        <v>0</v>
      </c>
      <c r="L894" s="206">
        <f>SUMIFS(LANÇ_MOV[VALOR LÍQUIDO],LANÇ_MOV[RECEITA OU DESPESA],"Despesa",LANÇ_MOV[CONTAS],$C894,LANÇ_MOV[PLANO DE CONTAS],REL_DRE_FINANCEIRO!$B$855,LANÇ_MOV[ANO PAGAMENTO],$B$4,LANÇ_MOV[MÊS PAGAMENTO CORRESPONDENTE],L$6,LANÇ_MOV[EMPRESA],$C$4,LANÇ_MOV[CENTRO DE CUSTOS],$D$4)</f>
        <v>0</v>
      </c>
      <c r="M894" s="206">
        <f>SUMIFS(LANÇ_MOV[VALOR LÍQUIDO],LANÇ_MOV[RECEITA OU DESPESA],"Despesa",LANÇ_MOV[CONTAS],$C894,LANÇ_MOV[PLANO DE CONTAS],REL_DRE_FINANCEIRO!$B$855,LANÇ_MOV[ANO PAGAMENTO],$B$4,LANÇ_MOV[MÊS PAGAMENTO CORRESPONDENTE],M$6,LANÇ_MOV[EMPRESA],$C$4,LANÇ_MOV[CENTRO DE CUSTOS],$D$4)</f>
        <v>0</v>
      </c>
      <c r="N894" s="206">
        <f>SUMIFS(LANÇ_MOV[VALOR LÍQUIDO],LANÇ_MOV[RECEITA OU DESPESA],"Despesa",LANÇ_MOV[CONTAS],$C894,LANÇ_MOV[PLANO DE CONTAS],REL_DRE_FINANCEIRO!$B$855,LANÇ_MOV[ANO PAGAMENTO],$B$4,LANÇ_MOV[MÊS PAGAMENTO CORRESPONDENTE],N$6,LANÇ_MOV[EMPRESA],$C$4,LANÇ_MOV[CENTRO DE CUSTOS],$D$4)</f>
        <v>0</v>
      </c>
      <c r="O894" s="206">
        <f>SUMIFS(LANÇ_MOV[VALOR LÍQUIDO],LANÇ_MOV[RECEITA OU DESPESA],"Despesa",LANÇ_MOV[CONTAS],$C894,LANÇ_MOV[PLANO DE CONTAS],REL_DRE_FINANCEIRO!$B$855,LANÇ_MOV[ANO PAGAMENTO],$B$4,LANÇ_MOV[MÊS PAGAMENTO CORRESPONDENTE],O$6,LANÇ_MOV[EMPRESA],$C$4,LANÇ_MOV[CENTRO DE CUSTOS],$D$4)</f>
        <v>0</v>
      </c>
      <c r="P894" s="207">
        <f t="shared" si="111"/>
        <v>0</v>
      </c>
      <c r="Q894" s="329">
        <v>6.1999999999999999E-6</v>
      </c>
      <c r="R894" s="346">
        <f t="shared" si="112"/>
        <v>6.1999999999999999E-6</v>
      </c>
      <c r="S894" s="347" t="str">
        <f t="shared" si="113"/>
        <v>-</v>
      </c>
      <c r="T894" s="347">
        <f t="shared" si="114"/>
        <v>0</v>
      </c>
      <c r="U894" s="347">
        <f>HLOOKUP(Apoio!$P$12,$D$854:$P$955,X894,FALSE)+Q894</f>
        <v>6.1999999999999999E-6</v>
      </c>
      <c r="V894" s="447" t="str">
        <f t="shared" si="115"/>
        <v>-</v>
      </c>
      <c r="W894" s="448">
        <f>HLOOKUP(Apoio!$P$12,$D$854:$P$955,X894,FALSE)</f>
        <v>0</v>
      </c>
      <c r="X894" s="329">
        <v>41</v>
      </c>
    </row>
    <row r="895" spans="2:24" ht="30.05" customHeight="1" x14ac:dyDescent="0.35">
      <c r="B895" s="204" t="str">
        <f>'CAD_PL_REC-DESP'!AC44</f>
        <v>2.7.40</v>
      </c>
      <c r="C895" s="205" t="str">
        <f>IF('CAD_PL_REC-DESP'!AD44="","-",'CAD_PL_REC-DESP'!AD44)</f>
        <v>-</v>
      </c>
      <c r="D895" s="206">
        <f>SUMIFS(LANÇ_MOV[VALOR LÍQUIDO],LANÇ_MOV[RECEITA OU DESPESA],"Despesa",LANÇ_MOV[CONTAS],$C895,LANÇ_MOV[PLANO DE CONTAS],REL_DRE_FINANCEIRO!$B$855,LANÇ_MOV[ANO PAGAMENTO],$B$4,LANÇ_MOV[MÊS PAGAMENTO CORRESPONDENTE],D$6,LANÇ_MOV[EMPRESA],$C$4,LANÇ_MOV[CENTRO DE CUSTOS],$D$4)</f>
        <v>0</v>
      </c>
      <c r="E895" s="206">
        <f>SUMIFS(LANÇ_MOV[VALOR LÍQUIDO],LANÇ_MOV[RECEITA OU DESPESA],"Despesa",LANÇ_MOV[CONTAS],$C895,LANÇ_MOV[PLANO DE CONTAS],REL_DRE_FINANCEIRO!$B$855,LANÇ_MOV[ANO PAGAMENTO],$B$4,LANÇ_MOV[MÊS PAGAMENTO CORRESPONDENTE],E$6,LANÇ_MOV[EMPRESA],$C$4,LANÇ_MOV[CENTRO DE CUSTOS],$D$4)</f>
        <v>0</v>
      </c>
      <c r="F895" s="206">
        <f>SUMIFS(LANÇ_MOV[VALOR LÍQUIDO],LANÇ_MOV[RECEITA OU DESPESA],"Despesa",LANÇ_MOV[CONTAS],$C895,LANÇ_MOV[PLANO DE CONTAS],REL_DRE_FINANCEIRO!$B$855,LANÇ_MOV[ANO PAGAMENTO],$B$4,LANÇ_MOV[MÊS PAGAMENTO CORRESPONDENTE],F$6,LANÇ_MOV[EMPRESA],$C$4,LANÇ_MOV[CENTRO DE CUSTOS],$D$4)</f>
        <v>0</v>
      </c>
      <c r="G895" s="206">
        <f>SUMIFS(LANÇ_MOV[VALOR LÍQUIDO],LANÇ_MOV[RECEITA OU DESPESA],"Despesa",LANÇ_MOV[CONTAS],$C895,LANÇ_MOV[PLANO DE CONTAS],REL_DRE_FINANCEIRO!$B$855,LANÇ_MOV[ANO PAGAMENTO],$B$4,LANÇ_MOV[MÊS PAGAMENTO CORRESPONDENTE],G$6,LANÇ_MOV[EMPRESA],$C$4,LANÇ_MOV[CENTRO DE CUSTOS],$D$4)</f>
        <v>0</v>
      </c>
      <c r="H895" s="206">
        <f>SUMIFS(LANÇ_MOV[VALOR LÍQUIDO],LANÇ_MOV[RECEITA OU DESPESA],"Despesa",LANÇ_MOV[CONTAS],$C895,LANÇ_MOV[PLANO DE CONTAS],REL_DRE_FINANCEIRO!$B$855,LANÇ_MOV[ANO PAGAMENTO],$B$4,LANÇ_MOV[MÊS PAGAMENTO CORRESPONDENTE],H$6,LANÇ_MOV[EMPRESA],$C$4,LANÇ_MOV[CENTRO DE CUSTOS],$D$4)</f>
        <v>0</v>
      </c>
      <c r="I895" s="206">
        <f>SUMIFS(LANÇ_MOV[VALOR LÍQUIDO],LANÇ_MOV[RECEITA OU DESPESA],"Despesa",LANÇ_MOV[CONTAS],$C895,LANÇ_MOV[PLANO DE CONTAS],REL_DRE_FINANCEIRO!$B$855,LANÇ_MOV[ANO PAGAMENTO],$B$4,LANÇ_MOV[MÊS PAGAMENTO CORRESPONDENTE],I$6,LANÇ_MOV[EMPRESA],$C$4,LANÇ_MOV[CENTRO DE CUSTOS],$D$4)</f>
        <v>0</v>
      </c>
      <c r="J895" s="206">
        <f>SUMIFS(LANÇ_MOV[VALOR LÍQUIDO],LANÇ_MOV[RECEITA OU DESPESA],"Despesa",LANÇ_MOV[CONTAS],$C895,LANÇ_MOV[PLANO DE CONTAS],REL_DRE_FINANCEIRO!$B$855,LANÇ_MOV[ANO PAGAMENTO],$B$4,LANÇ_MOV[MÊS PAGAMENTO CORRESPONDENTE],J$6,LANÇ_MOV[EMPRESA],$C$4,LANÇ_MOV[CENTRO DE CUSTOS],$D$4)</f>
        <v>0</v>
      </c>
      <c r="K895" s="206">
        <f>SUMIFS(LANÇ_MOV[VALOR LÍQUIDO],LANÇ_MOV[RECEITA OU DESPESA],"Despesa",LANÇ_MOV[CONTAS],$C895,LANÇ_MOV[PLANO DE CONTAS],REL_DRE_FINANCEIRO!$B$855,LANÇ_MOV[ANO PAGAMENTO],$B$4,LANÇ_MOV[MÊS PAGAMENTO CORRESPONDENTE],K$6,LANÇ_MOV[EMPRESA],$C$4,LANÇ_MOV[CENTRO DE CUSTOS],$D$4)</f>
        <v>0</v>
      </c>
      <c r="L895" s="206">
        <f>SUMIFS(LANÇ_MOV[VALOR LÍQUIDO],LANÇ_MOV[RECEITA OU DESPESA],"Despesa",LANÇ_MOV[CONTAS],$C895,LANÇ_MOV[PLANO DE CONTAS],REL_DRE_FINANCEIRO!$B$855,LANÇ_MOV[ANO PAGAMENTO],$B$4,LANÇ_MOV[MÊS PAGAMENTO CORRESPONDENTE],L$6,LANÇ_MOV[EMPRESA],$C$4,LANÇ_MOV[CENTRO DE CUSTOS],$D$4)</f>
        <v>0</v>
      </c>
      <c r="M895" s="206">
        <f>SUMIFS(LANÇ_MOV[VALOR LÍQUIDO],LANÇ_MOV[RECEITA OU DESPESA],"Despesa",LANÇ_MOV[CONTAS],$C895,LANÇ_MOV[PLANO DE CONTAS],REL_DRE_FINANCEIRO!$B$855,LANÇ_MOV[ANO PAGAMENTO],$B$4,LANÇ_MOV[MÊS PAGAMENTO CORRESPONDENTE],M$6,LANÇ_MOV[EMPRESA],$C$4,LANÇ_MOV[CENTRO DE CUSTOS],$D$4)</f>
        <v>0</v>
      </c>
      <c r="N895" s="206">
        <f>SUMIFS(LANÇ_MOV[VALOR LÍQUIDO],LANÇ_MOV[RECEITA OU DESPESA],"Despesa",LANÇ_MOV[CONTAS],$C895,LANÇ_MOV[PLANO DE CONTAS],REL_DRE_FINANCEIRO!$B$855,LANÇ_MOV[ANO PAGAMENTO],$B$4,LANÇ_MOV[MÊS PAGAMENTO CORRESPONDENTE],N$6,LANÇ_MOV[EMPRESA],$C$4,LANÇ_MOV[CENTRO DE CUSTOS],$D$4)</f>
        <v>0</v>
      </c>
      <c r="O895" s="206">
        <f>SUMIFS(LANÇ_MOV[VALOR LÍQUIDO],LANÇ_MOV[RECEITA OU DESPESA],"Despesa",LANÇ_MOV[CONTAS],$C895,LANÇ_MOV[PLANO DE CONTAS],REL_DRE_FINANCEIRO!$B$855,LANÇ_MOV[ANO PAGAMENTO],$B$4,LANÇ_MOV[MÊS PAGAMENTO CORRESPONDENTE],O$6,LANÇ_MOV[EMPRESA],$C$4,LANÇ_MOV[CENTRO DE CUSTOS],$D$4)</f>
        <v>0</v>
      </c>
      <c r="P895" s="207">
        <f t="shared" si="111"/>
        <v>0</v>
      </c>
      <c r="Q895" s="329">
        <v>6.1E-6</v>
      </c>
      <c r="R895" s="346">
        <f t="shared" si="112"/>
        <v>6.1E-6</v>
      </c>
      <c r="S895" s="347" t="str">
        <f t="shared" si="113"/>
        <v>-</v>
      </c>
      <c r="T895" s="347">
        <f t="shared" si="114"/>
        <v>0</v>
      </c>
      <c r="U895" s="347">
        <f>HLOOKUP(Apoio!$P$12,$D$854:$P$955,X895,FALSE)+Q895</f>
        <v>6.1E-6</v>
      </c>
      <c r="V895" s="447" t="str">
        <f t="shared" si="115"/>
        <v>-</v>
      </c>
      <c r="W895" s="448">
        <f>HLOOKUP(Apoio!$P$12,$D$854:$P$955,X895,FALSE)</f>
        <v>0</v>
      </c>
      <c r="X895" s="329">
        <v>42</v>
      </c>
    </row>
    <row r="896" spans="2:24" ht="30.05" customHeight="1" x14ac:dyDescent="0.35">
      <c r="B896" s="204" t="str">
        <f>'CAD_PL_REC-DESP'!AC45</f>
        <v>2.7.41</v>
      </c>
      <c r="C896" s="205" t="str">
        <f>IF('CAD_PL_REC-DESP'!AD45="","-",'CAD_PL_REC-DESP'!AD45)</f>
        <v>-</v>
      </c>
      <c r="D896" s="206">
        <f>SUMIFS(LANÇ_MOV[VALOR LÍQUIDO],LANÇ_MOV[RECEITA OU DESPESA],"Despesa",LANÇ_MOV[CONTAS],$C896,LANÇ_MOV[PLANO DE CONTAS],REL_DRE_FINANCEIRO!$B$855,LANÇ_MOV[ANO PAGAMENTO],$B$4,LANÇ_MOV[MÊS PAGAMENTO CORRESPONDENTE],D$6,LANÇ_MOV[EMPRESA],$C$4,LANÇ_MOV[CENTRO DE CUSTOS],$D$4)</f>
        <v>0</v>
      </c>
      <c r="E896" s="206">
        <f>SUMIFS(LANÇ_MOV[VALOR LÍQUIDO],LANÇ_MOV[RECEITA OU DESPESA],"Despesa",LANÇ_MOV[CONTAS],$C896,LANÇ_MOV[PLANO DE CONTAS],REL_DRE_FINANCEIRO!$B$855,LANÇ_MOV[ANO PAGAMENTO],$B$4,LANÇ_MOV[MÊS PAGAMENTO CORRESPONDENTE],E$6,LANÇ_MOV[EMPRESA],$C$4,LANÇ_MOV[CENTRO DE CUSTOS],$D$4)</f>
        <v>0</v>
      </c>
      <c r="F896" s="206">
        <f>SUMIFS(LANÇ_MOV[VALOR LÍQUIDO],LANÇ_MOV[RECEITA OU DESPESA],"Despesa",LANÇ_MOV[CONTAS],$C896,LANÇ_MOV[PLANO DE CONTAS],REL_DRE_FINANCEIRO!$B$855,LANÇ_MOV[ANO PAGAMENTO],$B$4,LANÇ_MOV[MÊS PAGAMENTO CORRESPONDENTE],F$6,LANÇ_MOV[EMPRESA],$C$4,LANÇ_MOV[CENTRO DE CUSTOS],$D$4)</f>
        <v>0</v>
      </c>
      <c r="G896" s="206">
        <f>SUMIFS(LANÇ_MOV[VALOR LÍQUIDO],LANÇ_MOV[RECEITA OU DESPESA],"Despesa",LANÇ_MOV[CONTAS],$C896,LANÇ_MOV[PLANO DE CONTAS],REL_DRE_FINANCEIRO!$B$855,LANÇ_MOV[ANO PAGAMENTO],$B$4,LANÇ_MOV[MÊS PAGAMENTO CORRESPONDENTE],G$6,LANÇ_MOV[EMPRESA],$C$4,LANÇ_MOV[CENTRO DE CUSTOS],$D$4)</f>
        <v>0</v>
      </c>
      <c r="H896" s="206">
        <f>SUMIFS(LANÇ_MOV[VALOR LÍQUIDO],LANÇ_MOV[RECEITA OU DESPESA],"Despesa",LANÇ_MOV[CONTAS],$C896,LANÇ_MOV[PLANO DE CONTAS],REL_DRE_FINANCEIRO!$B$855,LANÇ_MOV[ANO PAGAMENTO],$B$4,LANÇ_MOV[MÊS PAGAMENTO CORRESPONDENTE],H$6,LANÇ_MOV[EMPRESA],$C$4,LANÇ_MOV[CENTRO DE CUSTOS],$D$4)</f>
        <v>0</v>
      </c>
      <c r="I896" s="206">
        <f>SUMIFS(LANÇ_MOV[VALOR LÍQUIDO],LANÇ_MOV[RECEITA OU DESPESA],"Despesa",LANÇ_MOV[CONTAS],$C896,LANÇ_MOV[PLANO DE CONTAS],REL_DRE_FINANCEIRO!$B$855,LANÇ_MOV[ANO PAGAMENTO],$B$4,LANÇ_MOV[MÊS PAGAMENTO CORRESPONDENTE],I$6,LANÇ_MOV[EMPRESA],$C$4,LANÇ_MOV[CENTRO DE CUSTOS],$D$4)</f>
        <v>0</v>
      </c>
      <c r="J896" s="206">
        <f>SUMIFS(LANÇ_MOV[VALOR LÍQUIDO],LANÇ_MOV[RECEITA OU DESPESA],"Despesa",LANÇ_MOV[CONTAS],$C896,LANÇ_MOV[PLANO DE CONTAS],REL_DRE_FINANCEIRO!$B$855,LANÇ_MOV[ANO PAGAMENTO],$B$4,LANÇ_MOV[MÊS PAGAMENTO CORRESPONDENTE],J$6,LANÇ_MOV[EMPRESA],$C$4,LANÇ_MOV[CENTRO DE CUSTOS],$D$4)</f>
        <v>0</v>
      </c>
      <c r="K896" s="206">
        <f>SUMIFS(LANÇ_MOV[VALOR LÍQUIDO],LANÇ_MOV[RECEITA OU DESPESA],"Despesa",LANÇ_MOV[CONTAS],$C896,LANÇ_MOV[PLANO DE CONTAS],REL_DRE_FINANCEIRO!$B$855,LANÇ_MOV[ANO PAGAMENTO],$B$4,LANÇ_MOV[MÊS PAGAMENTO CORRESPONDENTE],K$6,LANÇ_MOV[EMPRESA],$C$4,LANÇ_MOV[CENTRO DE CUSTOS],$D$4)</f>
        <v>0</v>
      </c>
      <c r="L896" s="206">
        <f>SUMIFS(LANÇ_MOV[VALOR LÍQUIDO],LANÇ_MOV[RECEITA OU DESPESA],"Despesa",LANÇ_MOV[CONTAS],$C896,LANÇ_MOV[PLANO DE CONTAS],REL_DRE_FINANCEIRO!$B$855,LANÇ_MOV[ANO PAGAMENTO],$B$4,LANÇ_MOV[MÊS PAGAMENTO CORRESPONDENTE],L$6,LANÇ_MOV[EMPRESA],$C$4,LANÇ_MOV[CENTRO DE CUSTOS],$D$4)</f>
        <v>0</v>
      </c>
      <c r="M896" s="206">
        <f>SUMIFS(LANÇ_MOV[VALOR LÍQUIDO],LANÇ_MOV[RECEITA OU DESPESA],"Despesa",LANÇ_MOV[CONTAS],$C896,LANÇ_MOV[PLANO DE CONTAS],REL_DRE_FINANCEIRO!$B$855,LANÇ_MOV[ANO PAGAMENTO],$B$4,LANÇ_MOV[MÊS PAGAMENTO CORRESPONDENTE],M$6,LANÇ_MOV[EMPRESA],$C$4,LANÇ_MOV[CENTRO DE CUSTOS],$D$4)</f>
        <v>0</v>
      </c>
      <c r="N896" s="206">
        <f>SUMIFS(LANÇ_MOV[VALOR LÍQUIDO],LANÇ_MOV[RECEITA OU DESPESA],"Despesa",LANÇ_MOV[CONTAS],$C896,LANÇ_MOV[PLANO DE CONTAS],REL_DRE_FINANCEIRO!$B$855,LANÇ_MOV[ANO PAGAMENTO],$B$4,LANÇ_MOV[MÊS PAGAMENTO CORRESPONDENTE],N$6,LANÇ_MOV[EMPRESA],$C$4,LANÇ_MOV[CENTRO DE CUSTOS],$D$4)</f>
        <v>0</v>
      </c>
      <c r="O896" s="206">
        <f>SUMIFS(LANÇ_MOV[VALOR LÍQUIDO],LANÇ_MOV[RECEITA OU DESPESA],"Despesa",LANÇ_MOV[CONTAS],$C896,LANÇ_MOV[PLANO DE CONTAS],REL_DRE_FINANCEIRO!$B$855,LANÇ_MOV[ANO PAGAMENTO],$B$4,LANÇ_MOV[MÊS PAGAMENTO CORRESPONDENTE],O$6,LANÇ_MOV[EMPRESA],$C$4,LANÇ_MOV[CENTRO DE CUSTOS],$D$4)</f>
        <v>0</v>
      </c>
      <c r="P896" s="207">
        <f t="shared" si="111"/>
        <v>0</v>
      </c>
      <c r="Q896" s="329">
        <v>6.0000000000000002E-6</v>
      </c>
      <c r="R896" s="346">
        <f t="shared" si="112"/>
        <v>6.0000000000000002E-6</v>
      </c>
      <c r="S896" s="347" t="str">
        <f t="shared" si="113"/>
        <v>-</v>
      </c>
      <c r="T896" s="347">
        <f t="shared" si="114"/>
        <v>0</v>
      </c>
      <c r="U896" s="347">
        <f>HLOOKUP(Apoio!$P$12,$D$854:$P$955,X896,FALSE)+Q896</f>
        <v>6.0000000000000002E-6</v>
      </c>
      <c r="V896" s="447" t="str">
        <f t="shared" si="115"/>
        <v>-</v>
      </c>
      <c r="W896" s="448">
        <f>HLOOKUP(Apoio!$P$12,$D$854:$P$955,X896,FALSE)</f>
        <v>0</v>
      </c>
      <c r="X896" s="329">
        <v>43</v>
      </c>
    </row>
    <row r="897" spans="2:24" ht="30.05" customHeight="1" x14ac:dyDescent="0.35">
      <c r="B897" s="204" t="str">
        <f>'CAD_PL_REC-DESP'!AC46</f>
        <v>2.7.42</v>
      </c>
      <c r="C897" s="205" t="str">
        <f>IF('CAD_PL_REC-DESP'!AD46="","-",'CAD_PL_REC-DESP'!AD46)</f>
        <v>-</v>
      </c>
      <c r="D897" s="206">
        <f>SUMIFS(LANÇ_MOV[VALOR LÍQUIDO],LANÇ_MOV[RECEITA OU DESPESA],"Despesa",LANÇ_MOV[CONTAS],$C897,LANÇ_MOV[PLANO DE CONTAS],REL_DRE_FINANCEIRO!$B$855,LANÇ_MOV[ANO PAGAMENTO],$B$4,LANÇ_MOV[MÊS PAGAMENTO CORRESPONDENTE],D$6,LANÇ_MOV[EMPRESA],$C$4,LANÇ_MOV[CENTRO DE CUSTOS],$D$4)</f>
        <v>0</v>
      </c>
      <c r="E897" s="206">
        <f>SUMIFS(LANÇ_MOV[VALOR LÍQUIDO],LANÇ_MOV[RECEITA OU DESPESA],"Despesa",LANÇ_MOV[CONTAS],$C897,LANÇ_MOV[PLANO DE CONTAS],REL_DRE_FINANCEIRO!$B$855,LANÇ_MOV[ANO PAGAMENTO],$B$4,LANÇ_MOV[MÊS PAGAMENTO CORRESPONDENTE],E$6,LANÇ_MOV[EMPRESA],$C$4,LANÇ_MOV[CENTRO DE CUSTOS],$D$4)</f>
        <v>0</v>
      </c>
      <c r="F897" s="206">
        <f>SUMIFS(LANÇ_MOV[VALOR LÍQUIDO],LANÇ_MOV[RECEITA OU DESPESA],"Despesa",LANÇ_MOV[CONTAS],$C897,LANÇ_MOV[PLANO DE CONTAS],REL_DRE_FINANCEIRO!$B$855,LANÇ_MOV[ANO PAGAMENTO],$B$4,LANÇ_MOV[MÊS PAGAMENTO CORRESPONDENTE],F$6,LANÇ_MOV[EMPRESA],$C$4,LANÇ_MOV[CENTRO DE CUSTOS],$D$4)</f>
        <v>0</v>
      </c>
      <c r="G897" s="206">
        <f>SUMIFS(LANÇ_MOV[VALOR LÍQUIDO],LANÇ_MOV[RECEITA OU DESPESA],"Despesa",LANÇ_MOV[CONTAS],$C897,LANÇ_MOV[PLANO DE CONTAS],REL_DRE_FINANCEIRO!$B$855,LANÇ_MOV[ANO PAGAMENTO],$B$4,LANÇ_MOV[MÊS PAGAMENTO CORRESPONDENTE],G$6,LANÇ_MOV[EMPRESA],$C$4,LANÇ_MOV[CENTRO DE CUSTOS],$D$4)</f>
        <v>0</v>
      </c>
      <c r="H897" s="206">
        <f>SUMIFS(LANÇ_MOV[VALOR LÍQUIDO],LANÇ_MOV[RECEITA OU DESPESA],"Despesa",LANÇ_MOV[CONTAS],$C897,LANÇ_MOV[PLANO DE CONTAS],REL_DRE_FINANCEIRO!$B$855,LANÇ_MOV[ANO PAGAMENTO],$B$4,LANÇ_MOV[MÊS PAGAMENTO CORRESPONDENTE],H$6,LANÇ_MOV[EMPRESA],$C$4,LANÇ_MOV[CENTRO DE CUSTOS],$D$4)</f>
        <v>0</v>
      </c>
      <c r="I897" s="206">
        <f>SUMIFS(LANÇ_MOV[VALOR LÍQUIDO],LANÇ_MOV[RECEITA OU DESPESA],"Despesa",LANÇ_MOV[CONTAS],$C897,LANÇ_MOV[PLANO DE CONTAS],REL_DRE_FINANCEIRO!$B$855,LANÇ_MOV[ANO PAGAMENTO],$B$4,LANÇ_MOV[MÊS PAGAMENTO CORRESPONDENTE],I$6,LANÇ_MOV[EMPRESA],$C$4,LANÇ_MOV[CENTRO DE CUSTOS],$D$4)</f>
        <v>0</v>
      </c>
      <c r="J897" s="206">
        <f>SUMIFS(LANÇ_MOV[VALOR LÍQUIDO],LANÇ_MOV[RECEITA OU DESPESA],"Despesa",LANÇ_MOV[CONTAS],$C897,LANÇ_MOV[PLANO DE CONTAS],REL_DRE_FINANCEIRO!$B$855,LANÇ_MOV[ANO PAGAMENTO],$B$4,LANÇ_MOV[MÊS PAGAMENTO CORRESPONDENTE],J$6,LANÇ_MOV[EMPRESA],$C$4,LANÇ_MOV[CENTRO DE CUSTOS],$D$4)</f>
        <v>0</v>
      </c>
      <c r="K897" s="206">
        <f>SUMIFS(LANÇ_MOV[VALOR LÍQUIDO],LANÇ_MOV[RECEITA OU DESPESA],"Despesa",LANÇ_MOV[CONTAS],$C897,LANÇ_MOV[PLANO DE CONTAS],REL_DRE_FINANCEIRO!$B$855,LANÇ_MOV[ANO PAGAMENTO],$B$4,LANÇ_MOV[MÊS PAGAMENTO CORRESPONDENTE],K$6,LANÇ_MOV[EMPRESA],$C$4,LANÇ_MOV[CENTRO DE CUSTOS],$D$4)</f>
        <v>0</v>
      </c>
      <c r="L897" s="206">
        <f>SUMIFS(LANÇ_MOV[VALOR LÍQUIDO],LANÇ_MOV[RECEITA OU DESPESA],"Despesa",LANÇ_MOV[CONTAS],$C897,LANÇ_MOV[PLANO DE CONTAS],REL_DRE_FINANCEIRO!$B$855,LANÇ_MOV[ANO PAGAMENTO],$B$4,LANÇ_MOV[MÊS PAGAMENTO CORRESPONDENTE],L$6,LANÇ_MOV[EMPRESA],$C$4,LANÇ_MOV[CENTRO DE CUSTOS],$D$4)</f>
        <v>0</v>
      </c>
      <c r="M897" s="206">
        <f>SUMIFS(LANÇ_MOV[VALOR LÍQUIDO],LANÇ_MOV[RECEITA OU DESPESA],"Despesa",LANÇ_MOV[CONTAS],$C897,LANÇ_MOV[PLANO DE CONTAS],REL_DRE_FINANCEIRO!$B$855,LANÇ_MOV[ANO PAGAMENTO],$B$4,LANÇ_MOV[MÊS PAGAMENTO CORRESPONDENTE],M$6,LANÇ_MOV[EMPRESA],$C$4,LANÇ_MOV[CENTRO DE CUSTOS],$D$4)</f>
        <v>0</v>
      </c>
      <c r="N897" s="206">
        <f>SUMIFS(LANÇ_MOV[VALOR LÍQUIDO],LANÇ_MOV[RECEITA OU DESPESA],"Despesa",LANÇ_MOV[CONTAS],$C897,LANÇ_MOV[PLANO DE CONTAS],REL_DRE_FINANCEIRO!$B$855,LANÇ_MOV[ANO PAGAMENTO],$B$4,LANÇ_MOV[MÊS PAGAMENTO CORRESPONDENTE],N$6,LANÇ_MOV[EMPRESA],$C$4,LANÇ_MOV[CENTRO DE CUSTOS],$D$4)</f>
        <v>0</v>
      </c>
      <c r="O897" s="206">
        <f>SUMIFS(LANÇ_MOV[VALOR LÍQUIDO],LANÇ_MOV[RECEITA OU DESPESA],"Despesa",LANÇ_MOV[CONTAS],$C897,LANÇ_MOV[PLANO DE CONTAS],REL_DRE_FINANCEIRO!$B$855,LANÇ_MOV[ANO PAGAMENTO],$B$4,LANÇ_MOV[MÊS PAGAMENTO CORRESPONDENTE],O$6,LANÇ_MOV[EMPRESA],$C$4,LANÇ_MOV[CENTRO DE CUSTOS],$D$4)</f>
        <v>0</v>
      </c>
      <c r="P897" s="207">
        <f t="shared" si="111"/>
        <v>0</v>
      </c>
      <c r="Q897" s="329">
        <v>5.9000000000000003E-6</v>
      </c>
      <c r="R897" s="346">
        <f t="shared" si="112"/>
        <v>5.9000000000000003E-6</v>
      </c>
      <c r="S897" s="347" t="str">
        <f t="shared" si="113"/>
        <v>-</v>
      </c>
      <c r="T897" s="347">
        <f t="shared" si="114"/>
        <v>0</v>
      </c>
      <c r="U897" s="347">
        <f>HLOOKUP(Apoio!$P$12,$D$854:$P$955,X897,FALSE)+Q897</f>
        <v>5.9000000000000003E-6</v>
      </c>
      <c r="V897" s="447" t="str">
        <f t="shared" si="115"/>
        <v>-</v>
      </c>
      <c r="W897" s="448">
        <f>HLOOKUP(Apoio!$P$12,$D$854:$P$955,X897,FALSE)</f>
        <v>0</v>
      </c>
      <c r="X897" s="329">
        <v>44</v>
      </c>
    </row>
    <row r="898" spans="2:24" ht="30.05" customHeight="1" x14ac:dyDescent="0.35">
      <c r="B898" s="204" t="str">
        <f>'CAD_PL_REC-DESP'!AC47</f>
        <v>2.7.43</v>
      </c>
      <c r="C898" s="205" t="str">
        <f>IF('CAD_PL_REC-DESP'!AD47="","-",'CAD_PL_REC-DESP'!AD47)</f>
        <v>-</v>
      </c>
      <c r="D898" s="206">
        <f>SUMIFS(LANÇ_MOV[VALOR LÍQUIDO],LANÇ_MOV[RECEITA OU DESPESA],"Despesa",LANÇ_MOV[CONTAS],$C898,LANÇ_MOV[PLANO DE CONTAS],REL_DRE_FINANCEIRO!$B$855,LANÇ_MOV[ANO PAGAMENTO],$B$4,LANÇ_MOV[MÊS PAGAMENTO CORRESPONDENTE],D$6,LANÇ_MOV[EMPRESA],$C$4,LANÇ_MOV[CENTRO DE CUSTOS],$D$4)</f>
        <v>0</v>
      </c>
      <c r="E898" s="206">
        <f>SUMIFS(LANÇ_MOV[VALOR LÍQUIDO],LANÇ_MOV[RECEITA OU DESPESA],"Despesa",LANÇ_MOV[CONTAS],$C898,LANÇ_MOV[PLANO DE CONTAS],REL_DRE_FINANCEIRO!$B$855,LANÇ_MOV[ANO PAGAMENTO],$B$4,LANÇ_MOV[MÊS PAGAMENTO CORRESPONDENTE],E$6,LANÇ_MOV[EMPRESA],$C$4,LANÇ_MOV[CENTRO DE CUSTOS],$D$4)</f>
        <v>0</v>
      </c>
      <c r="F898" s="206">
        <f>SUMIFS(LANÇ_MOV[VALOR LÍQUIDO],LANÇ_MOV[RECEITA OU DESPESA],"Despesa",LANÇ_MOV[CONTAS],$C898,LANÇ_MOV[PLANO DE CONTAS],REL_DRE_FINANCEIRO!$B$855,LANÇ_MOV[ANO PAGAMENTO],$B$4,LANÇ_MOV[MÊS PAGAMENTO CORRESPONDENTE],F$6,LANÇ_MOV[EMPRESA],$C$4,LANÇ_MOV[CENTRO DE CUSTOS],$D$4)</f>
        <v>0</v>
      </c>
      <c r="G898" s="206">
        <f>SUMIFS(LANÇ_MOV[VALOR LÍQUIDO],LANÇ_MOV[RECEITA OU DESPESA],"Despesa",LANÇ_MOV[CONTAS],$C898,LANÇ_MOV[PLANO DE CONTAS],REL_DRE_FINANCEIRO!$B$855,LANÇ_MOV[ANO PAGAMENTO],$B$4,LANÇ_MOV[MÊS PAGAMENTO CORRESPONDENTE],G$6,LANÇ_MOV[EMPRESA],$C$4,LANÇ_MOV[CENTRO DE CUSTOS],$D$4)</f>
        <v>0</v>
      </c>
      <c r="H898" s="206">
        <f>SUMIFS(LANÇ_MOV[VALOR LÍQUIDO],LANÇ_MOV[RECEITA OU DESPESA],"Despesa",LANÇ_MOV[CONTAS],$C898,LANÇ_MOV[PLANO DE CONTAS],REL_DRE_FINANCEIRO!$B$855,LANÇ_MOV[ANO PAGAMENTO],$B$4,LANÇ_MOV[MÊS PAGAMENTO CORRESPONDENTE],H$6,LANÇ_MOV[EMPRESA],$C$4,LANÇ_MOV[CENTRO DE CUSTOS],$D$4)</f>
        <v>0</v>
      </c>
      <c r="I898" s="206">
        <f>SUMIFS(LANÇ_MOV[VALOR LÍQUIDO],LANÇ_MOV[RECEITA OU DESPESA],"Despesa",LANÇ_MOV[CONTAS],$C898,LANÇ_MOV[PLANO DE CONTAS],REL_DRE_FINANCEIRO!$B$855,LANÇ_MOV[ANO PAGAMENTO],$B$4,LANÇ_MOV[MÊS PAGAMENTO CORRESPONDENTE],I$6,LANÇ_MOV[EMPRESA],$C$4,LANÇ_MOV[CENTRO DE CUSTOS],$D$4)</f>
        <v>0</v>
      </c>
      <c r="J898" s="206">
        <f>SUMIFS(LANÇ_MOV[VALOR LÍQUIDO],LANÇ_MOV[RECEITA OU DESPESA],"Despesa",LANÇ_MOV[CONTAS],$C898,LANÇ_MOV[PLANO DE CONTAS],REL_DRE_FINANCEIRO!$B$855,LANÇ_MOV[ANO PAGAMENTO],$B$4,LANÇ_MOV[MÊS PAGAMENTO CORRESPONDENTE],J$6,LANÇ_MOV[EMPRESA],$C$4,LANÇ_MOV[CENTRO DE CUSTOS],$D$4)</f>
        <v>0</v>
      </c>
      <c r="K898" s="206">
        <f>SUMIFS(LANÇ_MOV[VALOR LÍQUIDO],LANÇ_MOV[RECEITA OU DESPESA],"Despesa",LANÇ_MOV[CONTAS],$C898,LANÇ_MOV[PLANO DE CONTAS],REL_DRE_FINANCEIRO!$B$855,LANÇ_MOV[ANO PAGAMENTO],$B$4,LANÇ_MOV[MÊS PAGAMENTO CORRESPONDENTE],K$6,LANÇ_MOV[EMPRESA],$C$4,LANÇ_MOV[CENTRO DE CUSTOS],$D$4)</f>
        <v>0</v>
      </c>
      <c r="L898" s="206">
        <f>SUMIFS(LANÇ_MOV[VALOR LÍQUIDO],LANÇ_MOV[RECEITA OU DESPESA],"Despesa",LANÇ_MOV[CONTAS],$C898,LANÇ_MOV[PLANO DE CONTAS],REL_DRE_FINANCEIRO!$B$855,LANÇ_MOV[ANO PAGAMENTO],$B$4,LANÇ_MOV[MÊS PAGAMENTO CORRESPONDENTE],L$6,LANÇ_MOV[EMPRESA],$C$4,LANÇ_MOV[CENTRO DE CUSTOS],$D$4)</f>
        <v>0</v>
      </c>
      <c r="M898" s="206">
        <f>SUMIFS(LANÇ_MOV[VALOR LÍQUIDO],LANÇ_MOV[RECEITA OU DESPESA],"Despesa",LANÇ_MOV[CONTAS],$C898,LANÇ_MOV[PLANO DE CONTAS],REL_DRE_FINANCEIRO!$B$855,LANÇ_MOV[ANO PAGAMENTO],$B$4,LANÇ_MOV[MÊS PAGAMENTO CORRESPONDENTE],M$6,LANÇ_MOV[EMPRESA],$C$4,LANÇ_MOV[CENTRO DE CUSTOS],$D$4)</f>
        <v>0</v>
      </c>
      <c r="N898" s="206">
        <f>SUMIFS(LANÇ_MOV[VALOR LÍQUIDO],LANÇ_MOV[RECEITA OU DESPESA],"Despesa",LANÇ_MOV[CONTAS],$C898,LANÇ_MOV[PLANO DE CONTAS],REL_DRE_FINANCEIRO!$B$855,LANÇ_MOV[ANO PAGAMENTO],$B$4,LANÇ_MOV[MÊS PAGAMENTO CORRESPONDENTE],N$6,LANÇ_MOV[EMPRESA],$C$4,LANÇ_MOV[CENTRO DE CUSTOS],$D$4)</f>
        <v>0</v>
      </c>
      <c r="O898" s="206">
        <f>SUMIFS(LANÇ_MOV[VALOR LÍQUIDO],LANÇ_MOV[RECEITA OU DESPESA],"Despesa",LANÇ_MOV[CONTAS],$C898,LANÇ_MOV[PLANO DE CONTAS],REL_DRE_FINANCEIRO!$B$855,LANÇ_MOV[ANO PAGAMENTO],$B$4,LANÇ_MOV[MÊS PAGAMENTO CORRESPONDENTE],O$6,LANÇ_MOV[EMPRESA],$C$4,LANÇ_MOV[CENTRO DE CUSTOS],$D$4)</f>
        <v>0</v>
      </c>
      <c r="P898" s="207">
        <f t="shared" si="111"/>
        <v>0</v>
      </c>
      <c r="Q898" s="329">
        <v>5.8000000000000004E-6</v>
      </c>
      <c r="R898" s="346">
        <f t="shared" si="112"/>
        <v>5.8000000000000004E-6</v>
      </c>
      <c r="S898" s="347" t="str">
        <f t="shared" si="113"/>
        <v>-</v>
      </c>
      <c r="T898" s="347">
        <f t="shared" si="114"/>
        <v>0</v>
      </c>
      <c r="U898" s="347">
        <f>HLOOKUP(Apoio!$P$12,$D$854:$P$955,X898,FALSE)+Q898</f>
        <v>5.8000000000000004E-6</v>
      </c>
      <c r="V898" s="447" t="str">
        <f t="shared" si="115"/>
        <v>-</v>
      </c>
      <c r="W898" s="448">
        <f>HLOOKUP(Apoio!$P$12,$D$854:$P$955,X898,FALSE)</f>
        <v>0</v>
      </c>
      <c r="X898" s="329">
        <v>45</v>
      </c>
    </row>
    <row r="899" spans="2:24" ht="30.05" customHeight="1" x14ac:dyDescent="0.35">
      <c r="B899" s="204" t="str">
        <f>'CAD_PL_REC-DESP'!AC48</f>
        <v>2.7.44</v>
      </c>
      <c r="C899" s="205" t="str">
        <f>IF('CAD_PL_REC-DESP'!AD48="","-",'CAD_PL_REC-DESP'!AD48)</f>
        <v>-</v>
      </c>
      <c r="D899" s="206">
        <f>SUMIFS(LANÇ_MOV[VALOR LÍQUIDO],LANÇ_MOV[RECEITA OU DESPESA],"Despesa",LANÇ_MOV[CONTAS],$C899,LANÇ_MOV[PLANO DE CONTAS],REL_DRE_FINANCEIRO!$B$855,LANÇ_MOV[ANO PAGAMENTO],$B$4,LANÇ_MOV[MÊS PAGAMENTO CORRESPONDENTE],D$6,LANÇ_MOV[EMPRESA],$C$4,LANÇ_MOV[CENTRO DE CUSTOS],$D$4)</f>
        <v>0</v>
      </c>
      <c r="E899" s="206">
        <f>SUMIFS(LANÇ_MOV[VALOR LÍQUIDO],LANÇ_MOV[RECEITA OU DESPESA],"Despesa",LANÇ_MOV[CONTAS],$C899,LANÇ_MOV[PLANO DE CONTAS],REL_DRE_FINANCEIRO!$B$855,LANÇ_MOV[ANO PAGAMENTO],$B$4,LANÇ_MOV[MÊS PAGAMENTO CORRESPONDENTE],E$6,LANÇ_MOV[EMPRESA],$C$4,LANÇ_MOV[CENTRO DE CUSTOS],$D$4)</f>
        <v>0</v>
      </c>
      <c r="F899" s="206">
        <f>SUMIFS(LANÇ_MOV[VALOR LÍQUIDO],LANÇ_MOV[RECEITA OU DESPESA],"Despesa",LANÇ_MOV[CONTAS],$C899,LANÇ_MOV[PLANO DE CONTAS],REL_DRE_FINANCEIRO!$B$855,LANÇ_MOV[ANO PAGAMENTO],$B$4,LANÇ_MOV[MÊS PAGAMENTO CORRESPONDENTE],F$6,LANÇ_MOV[EMPRESA],$C$4,LANÇ_MOV[CENTRO DE CUSTOS],$D$4)</f>
        <v>0</v>
      </c>
      <c r="G899" s="206">
        <f>SUMIFS(LANÇ_MOV[VALOR LÍQUIDO],LANÇ_MOV[RECEITA OU DESPESA],"Despesa",LANÇ_MOV[CONTAS],$C899,LANÇ_MOV[PLANO DE CONTAS],REL_DRE_FINANCEIRO!$B$855,LANÇ_MOV[ANO PAGAMENTO],$B$4,LANÇ_MOV[MÊS PAGAMENTO CORRESPONDENTE],G$6,LANÇ_MOV[EMPRESA],$C$4,LANÇ_MOV[CENTRO DE CUSTOS],$D$4)</f>
        <v>0</v>
      </c>
      <c r="H899" s="206">
        <f>SUMIFS(LANÇ_MOV[VALOR LÍQUIDO],LANÇ_MOV[RECEITA OU DESPESA],"Despesa",LANÇ_MOV[CONTAS],$C899,LANÇ_MOV[PLANO DE CONTAS],REL_DRE_FINANCEIRO!$B$855,LANÇ_MOV[ANO PAGAMENTO],$B$4,LANÇ_MOV[MÊS PAGAMENTO CORRESPONDENTE],H$6,LANÇ_MOV[EMPRESA],$C$4,LANÇ_MOV[CENTRO DE CUSTOS],$D$4)</f>
        <v>0</v>
      </c>
      <c r="I899" s="206">
        <f>SUMIFS(LANÇ_MOV[VALOR LÍQUIDO],LANÇ_MOV[RECEITA OU DESPESA],"Despesa",LANÇ_MOV[CONTAS],$C899,LANÇ_MOV[PLANO DE CONTAS],REL_DRE_FINANCEIRO!$B$855,LANÇ_MOV[ANO PAGAMENTO],$B$4,LANÇ_MOV[MÊS PAGAMENTO CORRESPONDENTE],I$6,LANÇ_MOV[EMPRESA],$C$4,LANÇ_MOV[CENTRO DE CUSTOS],$D$4)</f>
        <v>0</v>
      </c>
      <c r="J899" s="206">
        <f>SUMIFS(LANÇ_MOV[VALOR LÍQUIDO],LANÇ_MOV[RECEITA OU DESPESA],"Despesa",LANÇ_MOV[CONTAS],$C899,LANÇ_MOV[PLANO DE CONTAS],REL_DRE_FINANCEIRO!$B$855,LANÇ_MOV[ANO PAGAMENTO],$B$4,LANÇ_MOV[MÊS PAGAMENTO CORRESPONDENTE],J$6,LANÇ_MOV[EMPRESA],$C$4,LANÇ_MOV[CENTRO DE CUSTOS],$D$4)</f>
        <v>0</v>
      </c>
      <c r="K899" s="206">
        <f>SUMIFS(LANÇ_MOV[VALOR LÍQUIDO],LANÇ_MOV[RECEITA OU DESPESA],"Despesa",LANÇ_MOV[CONTAS],$C899,LANÇ_MOV[PLANO DE CONTAS],REL_DRE_FINANCEIRO!$B$855,LANÇ_MOV[ANO PAGAMENTO],$B$4,LANÇ_MOV[MÊS PAGAMENTO CORRESPONDENTE],K$6,LANÇ_MOV[EMPRESA],$C$4,LANÇ_MOV[CENTRO DE CUSTOS],$D$4)</f>
        <v>0</v>
      </c>
      <c r="L899" s="206">
        <f>SUMIFS(LANÇ_MOV[VALOR LÍQUIDO],LANÇ_MOV[RECEITA OU DESPESA],"Despesa",LANÇ_MOV[CONTAS],$C899,LANÇ_MOV[PLANO DE CONTAS],REL_DRE_FINANCEIRO!$B$855,LANÇ_MOV[ANO PAGAMENTO],$B$4,LANÇ_MOV[MÊS PAGAMENTO CORRESPONDENTE],L$6,LANÇ_MOV[EMPRESA],$C$4,LANÇ_MOV[CENTRO DE CUSTOS],$D$4)</f>
        <v>0</v>
      </c>
      <c r="M899" s="206">
        <f>SUMIFS(LANÇ_MOV[VALOR LÍQUIDO],LANÇ_MOV[RECEITA OU DESPESA],"Despesa",LANÇ_MOV[CONTAS],$C899,LANÇ_MOV[PLANO DE CONTAS],REL_DRE_FINANCEIRO!$B$855,LANÇ_MOV[ANO PAGAMENTO],$B$4,LANÇ_MOV[MÊS PAGAMENTO CORRESPONDENTE],M$6,LANÇ_MOV[EMPRESA],$C$4,LANÇ_MOV[CENTRO DE CUSTOS],$D$4)</f>
        <v>0</v>
      </c>
      <c r="N899" s="206">
        <f>SUMIFS(LANÇ_MOV[VALOR LÍQUIDO],LANÇ_MOV[RECEITA OU DESPESA],"Despesa",LANÇ_MOV[CONTAS],$C899,LANÇ_MOV[PLANO DE CONTAS],REL_DRE_FINANCEIRO!$B$855,LANÇ_MOV[ANO PAGAMENTO],$B$4,LANÇ_MOV[MÊS PAGAMENTO CORRESPONDENTE],N$6,LANÇ_MOV[EMPRESA],$C$4,LANÇ_MOV[CENTRO DE CUSTOS],$D$4)</f>
        <v>0</v>
      </c>
      <c r="O899" s="206">
        <f>SUMIFS(LANÇ_MOV[VALOR LÍQUIDO],LANÇ_MOV[RECEITA OU DESPESA],"Despesa",LANÇ_MOV[CONTAS],$C899,LANÇ_MOV[PLANO DE CONTAS],REL_DRE_FINANCEIRO!$B$855,LANÇ_MOV[ANO PAGAMENTO],$B$4,LANÇ_MOV[MÊS PAGAMENTO CORRESPONDENTE],O$6,LANÇ_MOV[EMPRESA],$C$4,LANÇ_MOV[CENTRO DE CUSTOS],$D$4)</f>
        <v>0</v>
      </c>
      <c r="P899" s="207">
        <f t="shared" si="111"/>
        <v>0</v>
      </c>
      <c r="Q899" s="329">
        <v>5.6999999999999996E-6</v>
      </c>
      <c r="R899" s="346">
        <f t="shared" si="112"/>
        <v>5.6999999999999996E-6</v>
      </c>
      <c r="S899" s="347" t="str">
        <f t="shared" si="113"/>
        <v>-</v>
      </c>
      <c r="T899" s="347">
        <f t="shared" si="114"/>
        <v>0</v>
      </c>
      <c r="U899" s="347">
        <f>HLOOKUP(Apoio!$P$12,$D$854:$P$955,X899,FALSE)+Q899</f>
        <v>5.6999999999999996E-6</v>
      </c>
      <c r="V899" s="447" t="str">
        <f t="shared" si="115"/>
        <v>-</v>
      </c>
      <c r="W899" s="448">
        <f>HLOOKUP(Apoio!$P$12,$D$854:$P$955,X899,FALSE)</f>
        <v>0</v>
      </c>
      <c r="X899" s="329">
        <v>46</v>
      </c>
    </row>
    <row r="900" spans="2:24" ht="30.05" customHeight="1" x14ac:dyDescent="0.35">
      <c r="B900" s="204" t="str">
        <f>'CAD_PL_REC-DESP'!AC49</f>
        <v>2.7.45</v>
      </c>
      <c r="C900" s="205" t="str">
        <f>IF('CAD_PL_REC-DESP'!AD49="","-",'CAD_PL_REC-DESP'!AD49)</f>
        <v>-</v>
      </c>
      <c r="D900" s="206">
        <f>SUMIFS(LANÇ_MOV[VALOR LÍQUIDO],LANÇ_MOV[RECEITA OU DESPESA],"Despesa",LANÇ_MOV[CONTAS],$C900,LANÇ_MOV[PLANO DE CONTAS],REL_DRE_FINANCEIRO!$B$855,LANÇ_MOV[ANO PAGAMENTO],$B$4,LANÇ_MOV[MÊS PAGAMENTO CORRESPONDENTE],D$6,LANÇ_MOV[EMPRESA],$C$4,LANÇ_MOV[CENTRO DE CUSTOS],$D$4)</f>
        <v>0</v>
      </c>
      <c r="E900" s="206">
        <f>SUMIFS(LANÇ_MOV[VALOR LÍQUIDO],LANÇ_MOV[RECEITA OU DESPESA],"Despesa",LANÇ_MOV[CONTAS],$C900,LANÇ_MOV[PLANO DE CONTAS],REL_DRE_FINANCEIRO!$B$855,LANÇ_MOV[ANO PAGAMENTO],$B$4,LANÇ_MOV[MÊS PAGAMENTO CORRESPONDENTE],E$6,LANÇ_MOV[EMPRESA],$C$4,LANÇ_MOV[CENTRO DE CUSTOS],$D$4)</f>
        <v>0</v>
      </c>
      <c r="F900" s="206">
        <f>SUMIFS(LANÇ_MOV[VALOR LÍQUIDO],LANÇ_MOV[RECEITA OU DESPESA],"Despesa",LANÇ_MOV[CONTAS],$C900,LANÇ_MOV[PLANO DE CONTAS],REL_DRE_FINANCEIRO!$B$855,LANÇ_MOV[ANO PAGAMENTO],$B$4,LANÇ_MOV[MÊS PAGAMENTO CORRESPONDENTE],F$6,LANÇ_MOV[EMPRESA],$C$4,LANÇ_MOV[CENTRO DE CUSTOS],$D$4)</f>
        <v>0</v>
      </c>
      <c r="G900" s="206">
        <f>SUMIFS(LANÇ_MOV[VALOR LÍQUIDO],LANÇ_MOV[RECEITA OU DESPESA],"Despesa",LANÇ_MOV[CONTAS],$C900,LANÇ_MOV[PLANO DE CONTAS],REL_DRE_FINANCEIRO!$B$855,LANÇ_MOV[ANO PAGAMENTO],$B$4,LANÇ_MOV[MÊS PAGAMENTO CORRESPONDENTE],G$6,LANÇ_MOV[EMPRESA],$C$4,LANÇ_MOV[CENTRO DE CUSTOS],$D$4)</f>
        <v>0</v>
      </c>
      <c r="H900" s="206">
        <f>SUMIFS(LANÇ_MOV[VALOR LÍQUIDO],LANÇ_MOV[RECEITA OU DESPESA],"Despesa",LANÇ_MOV[CONTAS],$C900,LANÇ_MOV[PLANO DE CONTAS],REL_DRE_FINANCEIRO!$B$855,LANÇ_MOV[ANO PAGAMENTO],$B$4,LANÇ_MOV[MÊS PAGAMENTO CORRESPONDENTE],H$6,LANÇ_MOV[EMPRESA],$C$4,LANÇ_MOV[CENTRO DE CUSTOS],$D$4)</f>
        <v>0</v>
      </c>
      <c r="I900" s="206">
        <f>SUMIFS(LANÇ_MOV[VALOR LÍQUIDO],LANÇ_MOV[RECEITA OU DESPESA],"Despesa",LANÇ_MOV[CONTAS],$C900,LANÇ_MOV[PLANO DE CONTAS],REL_DRE_FINANCEIRO!$B$855,LANÇ_MOV[ANO PAGAMENTO],$B$4,LANÇ_MOV[MÊS PAGAMENTO CORRESPONDENTE],I$6,LANÇ_MOV[EMPRESA],$C$4,LANÇ_MOV[CENTRO DE CUSTOS],$D$4)</f>
        <v>0</v>
      </c>
      <c r="J900" s="206">
        <f>SUMIFS(LANÇ_MOV[VALOR LÍQUIDO],LANÇ_MOV[RECEITA OU DESPESA],"Despesa",LANÇ_MOV[CONTAS],$C900,LANÇ_MOV[PLANO DE CONTAS],REL_DRE_FINANCEIRO!$B$855,LANÇ_MOV[ANO PAGAMENTO],$B$4,LANÇ_MOV[MÊS PAGAMENTO CORRESPONDENTE],J$6,LANÇ_MOV[EMPRESA],$C$4,LANÇ_MOV[CENTRO DE CUSTOS],$D$4)</f>
        <v>0</v>
      </c>
      <c r="K900" s="206">
        <f>SUMIFS(LANÇ_MOV[VALOR LÍQUIDO],LANÇ_MOV[RECEITA OU DESPESA],"Despesa",LANÇ_MOV[CONTAS],$C900,LANÇ_MOV[PLANO DE CONTAS],REL_DRE_FINANCEIRO!$B$855,LANÇ_MOV[ANO PAGAMENTO],$B$4,LANÇ_MOV[MÊS PAGAMENTO CORRESPONDENTE],K$6,LANÇ_MOV[EMPRESA],$C$4,LANÇ_MOV[CENTRO DE CUSTOS],$D$4)</f>
        <v>0</v>
      </c>
      <c r="L900" s="206">
        <f>SUMIFS(LANÇ_MOV[VALOR LÍQUIDO],LANÇ_MOV[RECEITA OU DESPESA],"Despesa",LANÇ_MOV[CONTAS],$C900,LANÇ_MOV[PLANO DE CONTAS],REL_DRE_FINANCEIRO!$B$855,LANÇ_MOV[ANO PAGAMENTO],$B$4,LANÇ_MOV[MÊS PAGAMENTO CORRESPONDENTE],L$6,LANÇ_MOV[EMPRESA],$C$4,LANÇ_MOV[CENTRO DE CUSTOS],$D$4)</f>
        <v>0</v>
      </c>
      <c r="M900" s="206">
        <f>SUMIFS(LANÇ_MOV[VALOR LÍQUIDO],LANÇ_MOV[RECEITA OU DESPESA],"Despesa",LANÇ_MOV[CONTAS],$C900,LANÇ_MOV[PLANO DE CONTAS],REL_DRE_FINANCEIRO!$B$855,LANÇ_MOV[ANO PAGAMENTO],$B$4,LANÇ_MOV[MÊS PAGAMENTO CORRESPONDENTE],M$6,LANÇ_MOV[EMPRESA],$C$4,LANÇ_MOV[CENTRO DE CUSTOS],$D$4)</f>
        <v>0</v>
      </c>
      <c r="N900" s="206">
        <f>SUMIFS(LANÇ_MOV[VALOR LÍQUIDO],LANÇ_MOV[RECEITA OU DESPESA],"Despesa",LANÇ_MOV[CONTAS],$C900,LANÇ_MOV[PLANO DE CONTAS],REL_DRE_FINANCEIRO!$B$855,LANÇ_MOV[ANO PAGAMENTO],$B$4,LANÇ_MOV[MÊS PAGAMENTO CORRESPONDENTE],N$6,LANÇ_MOV[EMPRESA],$C$4,LANÇ_MOV[CENTRO DE CUSTOS],$D$4)</f>
        <v>0</v>
      </c>
      <c r="O900" s="206">
        <f>SUMIFS(LANÇ_MOV[VALOR LÍQUIDO],LANÇ_MOV[RECEITA OU DESPESA],"Despesa",LANÇ_MOV[CONTAS],$C900,LANÇ_MOV[PLANO DE CONTAS],REL_DRE_FINANCEIRO!$B$855,LANÇ_MOV[ANO PAGAMENTO],$B$4,LANÇ_MOV[MÊS PAGAMENTO CORRESPONDENTE],O$6,LANÇ_MOV[EMPRESA],$C$4,LANÇ_MOV[CENTRO DE CUSTOS],$D$4)</f>
        <v>0</v>
      </c>
      <c r="P900" s="207">
        <f t="shared" si="111"/>
        <v>0</v>
      </c>
      <c r="Q900" s="329">
        <v>5.5999999999999997E-6</v>
      </c>
      <c r="R900" s="346">
        <f t="shared" si="112"/>
        <v>5.5999999999999997E-6</v>
      </c>
      <c r="S900" s="347" t="str">
        <f t="shared" si="113"/>
        <v>-</v>
      </c>
      <c r="T900" s="347">
        <f t="shared" si="114"/>
        <v>0</v>
      </c>
      <c r="U900" s="347">
        <f>HLOOKUP(Apoio!$P$12,$D$854:$P$955,X900,FALSE)+Q900</f>
        <v>5.5999999999999997E-6</v>
      </c>
      <c r="V900" s="447" t="str">
        <f t="shared" si="115"/>
        <v>-</v>
      </c>
      <c r="W900" s="448">
        <f>HLOOKUP(Apoio!$P$12,$D$854:$P$955,X900,FALSE)</f>
        <v>0</v>
      </c>
      <c r="X900" s="329">
        <v>47</v>
      </c>
    </row>
    <row r="901" spans="2:24" ht="30.05" customHeight="1" x14ac:dyDescent="0.35">
      <c r="B901" s="204" t="str">
        <f>'CAD_PL_REC-DESP'!AC50</f>
        <v>2.7.46</v>
      </c>
      <c r="C901" s="205" t="str">
        <f>IF('CAD_PL_REC-DESP'!AD50="","-",'CAD_PL_REC-DESP'!AD50)</f>
        <v>-</v>
      </c>
      <c r="D901" s="206">
        <f>SUMIFS(LANÇ_MOV[VALOR LÍQUIDO],LANÇ_MOV[RECEITA OU DESPESA],"Despesa",LANÇ_MOV[CONTAS],$C901,LANÇ_MOV[PLANO DE CONTAS],REL_DRE_FINANCEIRO!$B$855,LANÇ_MOV[ANO PAGAMENTO],$B$4,LANÇ_MOV[MÊS PAGAMENTO CORRESPONDENTE],D$6,LANÇ_MOV[EMPRESA],$C$4,LANÇ_MOV[CENTRO DE CUSTOS],$D$4)</f>
        <v>0</v>
      </c>
      <c r="E901" s="206">
        <f>SUMIFS(LANÇ_MOV[VALOR LÍQUIDO],LANÇ_MOV[RECEITA OU DESPESA],"Despesa",LANÇ_MOV[CONTAS],$C901,LANÇ_MOV[PLANO DE CONTAS],REL_DRE_FINANCEIRO!$B$855,LANÇ_MOV[ANO PAGAMENTO],$B$4,LANÇ_MOV[MÊS PAGAMENTO CORRESPONDENTE],E$6,LANÇ_MOV[EMPRESA],$C$4,LANÇ_MOV[CENTRO DE CUSTOS],$D$4)</f>
        <v>0</v>
      </c>
      <c r="F901" s="206">
        <f>SUMIFS(LANÇ_MOV[VALOR LÍQUIDO],LANÇ_MOV[RECEITA OU DESPESA],"Despesa",LANÇ_MOV[CONTAS],$C901,LANÇ_MOV[PLANO DE CONTAS],REL_DRE_FINANCEIRO!$B$855,LANÇ_MOV[ANO PAGAMENTO],$B$4,LANÇ_MOV[MÊS PAGAMENTO CORRESPONDENTE],F$6,LANÇ_MOV[EMPRESA],$C$4,LANÇ_MOV[CENTRO DE CUSTOS],$D$4)</f>
        <v>0</v>
      </c>
      <c r="G901" s="206">
        <f>SUMIFS(LANÇ_MOV[VALOR LÍQUIDO],LANÇ_MOV[RECEITA OU DESPESA],"Despesa",LANÇ_MOV[CONTAS],$C901,LANÇ_MOV[PLANO DE CONTAS],REL_DRE_FINANCEIRO!$B$855,LANÇ_MOV[ANO PAGAMENTO],$B$4,LANÇ_MOV[MÊS PAGAMENTO CORRESPONDENTE],G$6,LANÇ_MOV[EMPRESA],$C$4,LANÇ_MOV[CENTRO DE CUSTOS],$D$4)</f>
        <v>0</v>
      </c>
      <c r="H901" s="206">
        <f>SUMIFS(LANÇ_MOV[VALOR LÍQUIDO],LANÇ_MOV[RECEITA OU DESPESA],"Despesa",LANÇ_MOV[CONTAS],$C901,LANÇ_MOV[PLANO DE CONTAS],REL_DRE_FINANCEIRO!$B$855,LANÇ_MOV[ANO PAGAMENTO],$B$4,LANÇ_MOV[MÊS PAGAMENTO CORRESPONDENTE],H$6,LANÇ_MOV[EMPRESA],$C$4,LANÇ_MOV[CENTRO DE CUSTOS],$D$4)</f>
        <v>0</v>
      </c>
      <c r="I901" s="206">
        <f>SUMIFS(LANÇ_MOV[VALOR LÍQUIDO],LANÇ_MOV[RECEITA OU DESPESA],"Despesa",LANÇ_MOV[CONTAS],$C901,LANÇ_MOV[PLANO DE CONTAS],REL_DRE_FINANCEIRO!$B$855,LANÇ_MOV[ANO PAGAMENTO],$B$4,LANÇ_MOV[MÊS PAGAMENTO CORRESPONDENTE],I$6,LANÇ_MOV[EMPRESA],$C$4,LANÇ_MOV[CENTRO DE CUSTOS],$D$4)</f>
        <v>0</v>
      </c>
      <c r="J901" s="206">
        <f>SUMIFS(LANÇ_MOV[VALOR LÍQUIDO],LANÇ_MOV[RECEITA OU DESPESA],"Despesa",LANÇ_MOV[CONTAS],$C901,LANÇ_MOV[PLANO DE CONTAS],REL_DRE_FINANCEIRO!$B$855,LANÇ_MOV[ANO PAGAMENTO],$B$4,LANÇ_MOV[MÊS PAGAMENTO CORRESPONDENTE],J$6,LANÇ_MOV[EMPRESA],$C$4,LANÇ_MOV[CENTRO DE CUSTOS],$D$4)</f>
        <v>0</v>
      </c>
      <c r="K901" s="206">
        <f>SUMIFS(LANÇ_MOV[VALOR LÍQUIDO],LANÇ_MOV[RECEITA OU DESPESA],"Despesa",LANÇ_MOV[CONTAS],$C901,LANÇ_MOV[PLANO DE CONTAS],REL_DRE_FINANCEIRO!$B$855,LANÇ_MOV[ANO PAGAMENTO],$B$4,LANÇ_MOV[MÊS PAGAMENTO CORRESPONDENTE],K$6,LANÇ_MOV[EMPRESA],$C$4,LANÇ_MOV[CENTRO DE CUSTOS],$D$4)</f>
        <v>0</v>
      </c>
      <c r="L901" s="206">
        <f>SUMIFS(LANÇ_MOV[VALOR LÍQUIDO],LANÇ_MOV[RECEITA OU DESPESA],"Despesa",LANÇ_MOV[CONTAS],$C901,LANÇ_MOV[PLANO DE CONTAS],REL_DRE_FINANCEIRO!$B$855,LANÇ_MOV[ANO PAGAMENTO],$B$4,LANÇ_MOV[MÊS PAGAMENTO CORRESPONDENTE],L$6,LANÇ_MOV[EMPRESA],$C$4,LANÇ_MOV[CENTRO DE CUSTOS],$D$4)</f>
        <v>0</v>
      </c>
      <c r="M901" s="206">
        <f>SUMIFS(LANÇ_MOV[VALOR LÍQUIDO],LANÇ_MOV[RECEITA OU DESPESA],"Despesa",LANÇ_MOV[CONTAS],$C901,LANÇ_MOV[PLANO DE CONTAS],REL_DRE_FINANCEIRO!$B$855,LANÇ_MOV[ANO PAGAMENTO],$B$4,LANÇ_MOV[MÊS PAGAMENTO CORRESPONDENTE],M$6,LANÇ_MOV[EMPRESA],$C$4,LANÇ_MOV[CENTRO DE CUSTOS],$D$4)</f>
        <v>0</v>
      </c>
      <c r="N901" s="206">
        <f>SUMIFS(LANÇ_MOV[VALOR LÍQUIDO],LANÇ_MOV[RECEITA OU DESPESA],"Despesa",LANÇ_MOV[CONTAS],$C901,LANÇ_MOV[PLANO DE CONTAS],REL_DRE_FINANCEIRO!$B$855,LANÇ_MOV[ANO PAGAMENTO],$B$4,LANÇ_MOV[MÊS PAGAMENTO CORRESPONDENTE],N$6,LANÇ_MOV[EMPRESA],$C$4,LANÇ_MOV[CENTRO DE CUSTOS],$D$4)</f>
        <v>0</v>
      </c>
      <c r="O901" s="206">
        <f>SUMIFS(LANÇ_MOV[VALOR LÍQUIDO],LANÇ_MOV[RECEITA OU DESPESA],"Despesa",LANÇ_MOV[CONTAS],$C901,LANÇ_MOV[PLANO DE CONTAS],REL_DRE_FINANCEIRO!$B$855,LANÇ_MOV[ANO PAGAMENTO],$B$4,LANÇ_MOV[MÊS PAGAMENTO CORRESPONDENTE],O$6,LANÇ_MOV[EMPRESA],$C$4,LANÇ_MOV[CENTRO DE CUSTOS],$D$4)</f>
        <v>0</v>
      </c>
      <c r="P901" s="207">
        <f t="shared" si="111"/>
        <v>0</v>
      </c>
      <c r="Q901" s="329">
        <v>5.4999999999999999E-6</v>
      </c>
      <c r="R901" s="346">
        <f t="shared" si="112"/>
        <v>5.4999999999999999E-6</v>
      </c>
      <c r="S901" s="347" t="str">
        <f t="shared" si="113"/>
        <v>-</v>
      </c>
      <c r="T901" s="347">
        <f t="shared" si="114"/>
        <v>0</v>
      </c>
      <c r="U901" s="347">
        <f>HLOOKUP(Apoio!$P$12,$D$854:$P$955,X901,FALSE)+Q901</f>
        <v>5.4999999999999999E-6</v>
      </c>
      <c r="V901" s="447" t="str">
        <f t="shared" si="115"/>
        <v>-</v>
      </c>
      <c r="W901" s="448">
        <f>HLOOKUP(Apoio!$P$12,$D$854:$P$955,X901,FALSE)</f>
        <v>0</v>
      </c>
      <c r="X901" s="329">
        <v>48</v>
      </c>
    </row>
    <row r="902" spans="2:24" ht="30.05" customHeight="1" x14ac:dyDescent="0.35">
      <c r="B902" s="204" t="str">
        <f>'CAD_PL_REC-DESP'!AC51</f>
        <v>2.7.47</v>
      </c>
      <c r="C902" s="205" t="str">
        <f>IF('CAD_PL_REC-DESP'!AD51="","-",'CAD_PL_REC-DESP'!AD51)</f>
        <v>-</v>
      </c>
      <c r="D902" s="206">
        <f>SUMIFS(LANÇ_MOV[VALOR LÍQUIDO],LANÇ_MOV[RECEITA OU DESPESA],"Despesa",LANÇ_MOV[CONTAS],$C902,LANÇ_MOV[PLANO DE CONTAS],REL_DRE_FINANCEIRO!$B$855,LANÇ_MOV[ANO PAGAMENTO],$B$4,LANÇ_MOV[MÊS PAGAMENTO CORRESPONDENTE],D$6,LANÇ_MOV[EMPRESA],$C$4,LANÇ_MOV[CENTRO DE CUSTOS],$D$4)</f>
        <v>0</v>
      </c>
      <c r="E902" s="206">
        <f>SUMIFS(LANÇ_MOV[VALOR LÍQUIDO],LANÇ_MOV[RECEITA OU DESPESA],"Despesa",LANÇ_MOV[CONTAS],$C902,LANÇ_MOV[PLANO DE CONTAS],REL_DRE_FINANCEIRO!$B$855,LANÇ_MOV[ANO PAGAMENTO],$B$4,LANÇ_MOV[MÊS PAGAMENTO CORRESPONDENTE],E$6,LANÇ_MOV[EMPRESA],$C$4,LANÇ_MOV[CENTRO DE CUSTOS],$D$4)</f>
        <v>0</v>
      </c>
      <c r="F902" s="206">
        <f>SUMIFS(LANÇ_MOV[VALOR LÍQUIDO],LANÇ_MOV[RECEITA OU DESPESA],"Despesa",LANÇ_MOV[CONTAS],$C902,LANÇ_MOV[PLANO DE CONTAS],REL_DRE_FINANCEIRO!$B$855,LANÇ_MOV[ANO PAGAMENTO],$B$4,LANÇ_MOV[MÊS PAGAMENTO CORRESPONDENTE],F$6,LANÇ_MOV[EMPRESA],$C$4,LANÇ_MOV[CENTRO DE CUSTOS],$D$4)</f>
        <v>0</v>
      </c>
      <c r="G902" s="206">
        <f>SUMIFS(LANÇ_MOV[VALOR LÍQUIDO],LANÇ_MOV[RECEITA OU DESPESA],"Despesa",LANÇ_MOV[CONTAS],$C902,LANÇ_MOV[PLANO DE CONTAS],REL_DRE_FINANCEIRO!$B$855,LANÇ_MOV[ANO PAGAMENTO],$B$4,LANÇ_MOV[MÊS PAGAMENTO CORRESPONDENTE],G$6,LANÇ_MOV[EMPRESA],$C$4,LANÇ_MOV[CENTRO DE CUSTOS],$D$4)</f>
        <v>0</v>
      </c>
      <c r="H902" s="206">
        <f>SUMIFS(LANÇ_MOV[VALOR LÍQUIDO],LANÇ_MOV[RECEITA OU DESPESA],"Despesa",LANÇ_MOV[CONTAS],$C902,LANÇ_MOV[PLANO DE CONTAS],REL_DRE_FINANCEIRO!$B$855,LANÇ_MOV[ANO PAGAMENTO],$B$4,LANÇ_MOV[MÊS PAGAMENTO CORRESPONDENTE],H$6,LANÇ_MOV[EMPRESA],$C$4,LANÇ_MOV[CENTRO DE CUSTOS],$D$4)</f>
        <v>0</v>
      </c>
      <c r="I902" s="206">
        <f>SUMIFS(LANÇ_MOV[VALOR LÍQUIDO],LANÇ_MOV[RECEITA OU DESPESA],"Despesa",LANÇ_MOV[CONTAS],$C902,LANÇ_MOV[PLANO DE CONTAS],REL_DRE_FINANCEIRO!$B$855,LANÇ_MOV[ANO PAGAMENTO],$B$4,LANÇ_MOV[MÊS PAGAMENTO CORRESPONDENTE],I$6,LANÇ_MOV[EMPRESA],$C$4,LANÇ_MOV[CENTRO DE CUSTOS],$D$4)</f>
        <v>0</v>
      </c>
      <c r="J902" s="206">
        <f>SUMIFS(LANÇ_MOV[VALOR LÍQUIDO],LANÇ_MOV[RECEITA OU DESPESA],"Despesa",LANÇ_MOV[CONTAS],$C902,LANÇ_MOV[PLANO DE CONTAS],REL_DRE_FINANCEIRO!$B$855,LANÇ_MOV[ANO PAGAMENTO],$B$4,LANÇ_MOV[MÊS PAGAMENTO CORRESPONDENTE],J$6,LANÇ_MOV[EMPRESA],$C$4,LANÇ_MOV[CENTRO DE CUSTOS],$D$4)</f>
        <v>0</v>
      </c>
      <c r="K902" s="206">
        <f>SUMIFS(LANÇ_MOV[VALOR LÍQUIDO],LANÇ_MOV[RECEITA OU DESPESA],"Despesa",LANÇ_MOV[CONTAS],$C902,LANÇ_MOV[PLANO DE CONTAS],REL_DRE_FINANCEIRO!$B$855,LANÇ_MOV[ANO PAGAMENTO],$B$4,LANÇ_MOV[MÊS PAGAMENTO CORRESPONDENTE],K$6,LANÇ_MOV[EMPRESA],$C$4,LANÇ_MOV[CENTRO DE CUSTOS],$D$4)</f>
        <v>0</v>
      </c>
      <c r="L902" s="206">
        <f>SUMIFS(LANÇ_MOV[VALOR LÍQUIDO],LANÇ_MOV[RECEITA OU DESPESA],"Despesa",LANÇ_MOV[CONTAS],$C902,LANÇ_MOV[PLANO DE CONTAS],REL_DRE_FINANCEIRO!$B$855,LANÇ_MOV[ANO PAGAMENTO],$B$4,LANÇ_MOV[MÊS PAGAMENTO CORRESPONDENTE],L$6,LANÇ_MOV[EMPRESA],$C$4,LANÇ_MOV[CENTRO DE CUSTOS],$D$4)</f>
        <v>0</v>
      </c>
      <c r="M902" s="206">
        <f>SUMIFS(LANÇ_MOV[VALOR LÍQUIDO],LANÇ_MOV[RECEITA OU DESPESA],"Despesa",LANÇ_MOV[CONTAS],$C902,LANÇ_MOV[PLANO DE CONTAS],REL_DRE_FINANCEIRO!$B$855,LANÇ_MOV[ANO PAGAMENTO],$B$4,LANÇ_MOV[MÊS PAGAMENTO CORRESPONDENTE],M$6,LANÇ_MOV[EMPRESA],$C$4,LANÇ_MOV[CENTRO DE CUSTOS],$D$4)</f>
        <v>0</v>
      </c>
      <c r="N902" s="206">
        <f>SUMIFS(LANÇ_MOV[VALOR LÍQUIDO],LANÇ_MOV[RECEITA OU DESPESA],"Despesa",LANÇ_MOV[CONTAS],$C902,LANÇ_MOV[PLANO DE CONTAS],REL_DRE_FINANCEIRO!$B$855,LANÇ_MOV[ANO PAGAMENTO],$B$4,LANÇ_MOV[MÊS PAGAMENTO CORRESPONDENTE],N$6,LANÇ_MOV[EMPRESA],$C$4,LANÇ_MOV[CENTRO DE CUSTOS],$D$4)</f>
        <v>0</v>
      </c>
      <c r="O902" s="206">
        <f>SUMIFS(LANÇ_MOV[VALOR LÍQUIDO],LANÇ_MOV[RECEITA OU DESPESA],"Despesa",LANÇ_MOV[CONTAS],$C902,LANÇ_MOV[PLANO DE CONTAS],REL_DRE_FINANCEIRO!$B$855,LANÇ_MOV[ANO PAGAMENTO],$B$4,LANÇ_MOV[MÊS PAGAMENTO CORRESPONDENTE],O$6,LANÇ_MOV[EMPRESA],$C$4,LANÇ_MOV[CENTRO DE CUSTOS],$D$4)</f>
        <v>0</v>
      </c>
      <c r="P902" s="207">
        <f t="shared" si="111"/>
        <v>0</v>
      </c>
      <c r="Q902" s="329">
        <v>5.4E-6</v>
      </c>
      <c r="R902" s="346">
        <f t="shared" si="112"/>
        <v>5.4E-6</v>
      </c>
      <c r="S902" s="347" t="str">
        <f t="shared" si="113"/>
        <v>-</v>
      </c>
      <c r="T902" s="347">
        <f t="shared" si="114"/>
        <v>0</v>
      </c>
      <c r="U902" s="347">
        <f>HLOOKUP(Apoio!$P$12,$D$854:$P$955,X902,FALSE)+Q902</f>
        <v>5.4E-6</v>
      </c>
      <c r="V902" s="447" t="str">
        <f t="shared" si="115"/>
        <v>-</v>
      </c>
      <c r="W902" s="448">
        <f>HLOOKUP(Apoio!$P$12,$D$854:$P$955,X902,FALSE)</f>
        <v>0</v>
      </c>
      <c r="X902" s="329">
        <v>49</v>
      </c>
    </row>
    <row r="903" spans="2:24" ht="30.05" customHeight="1" x14ac:dyDescent="0.35">
      <c r="B903" s="204" t="str">
        <f>'CAD_PL_REC-DESP'!AC52</f>
        <v>2.7.48</v>
      </c>
      <c r="C903" s="205" t="str">
        <f>IF('CAD_PL_REC-DESP'!AD52="","-",'CAD_PL_REC-DESP'!AD52)</f>
        <v>-</v>
      </c>
      <c r="D903" s="206">
        <f>SUMIFS(LANÇ_MOV[VALOR LÍQUIDO],LANÇ_MOV[RECEITA OU DESPESA],"Despesa",LANÇ_MOV[CONTAS],$C903,LANÇ_MOV[PLANO DE CONTAS],REL_DRE_FINANCEIRO!$B$855,LANÇ_MOV[ANO PAGAMENTO],$B$4,LANÇ_MOV[MÊS PAGAMENTO CORRESPONDENTE],D$6,LANÇ_MOV[EMPRESA],$C$4,LANÇ_MOV[CENTRO DE CUSTOS],$D$4)</f>
        <v>0</v>
      </c>
      <c r="E903" s="206">
        <f>SUMIFS(LANÇ_MOV[VALOR LÍQUIDO],LANÇ_MOV[RECEITA OU DESPESA],"Despesa",LANÇ_MOV[CONTAS],$C903,LANÇ_MOV[PLANO DE CONTAS],REL_DRE_FINANCEIRO!$B$855,LANÇ_MOV[ANO PAGAMENTO],$B$4,LANÇ_MOV[MÊS PAGAMENTO CORRESPONDENTE],E$6,LANÇ_MOV[EMPRESA],$C$4,LANÇ_MOV[CENTRO DE CUSTOS],$D$4)</f>
        <v>0</v>
      </c>
      <c r="F903" s="206">
        <f>SUMIFS(LANÇ_MOV[VALOR LÍQUIDO],LANÇ_MOV[RECEITA OU DESPESA],"Despesa",LANÇ_MOV[CONTAS],$C903,LANÇ_MOV[PLANO DE CONTAS],REL_DRE_FINANCEIRO!$B$855,LANÇ_MOV[ANO PAGAMENTO],$B$4,LANÇ_MOV[MÊS PAGAMENTO CORRESPONDENTE],F$6,LANÇ_MOV[EMPRESA],$C$4,LANÇ_MOV[CENTRO DE CUSTOS],$D$4)</f>
        <v>0</v>
      </c>
      <c r="G903" s="206">
        <f>SUMIFS(LANÇ_MOV[VALOR LÍQUIDO],LANÇ_MOV[RECEITA OU DESPESA],"Despesa",LANÇ_MOV[CONTAS],$C903,LANÇ_MOV[PLANO DE CONTAS],REL_DRE_FINANCEIRO!$B$855,LANÇ_MOV[ANO PAGAMENTO],$B$4,LANÇ_MOV[MÊS PAGAMENTO CORRESPONDENTE],G$6,LANÇ_MOV[EMPRESA],$C$4,LANÇ_MOV[CENTRO DE CUSTOS],$D$4)</f>
        <v>0</v>
      </c>
      <c r="H903" s="206">
        <f>SUMIFS(LANÇ_MOV[VALOR LÍQUIDO],LANÇ_MOV[RECEITA OU DESPESA],"Despesa",LANÇ_MOV[CONTAS],$C903,LANÇ_MOV[PLANO DE CONTAS],REL_DRE_FINANCEIRO!$B$855,LANÇ_MOV[ANO PAGAMENTO],$B$4,LANÇ_MOV[MÊS PAGAMENTO CORRESPONDENTE],H$6,LANÇ_MOV[EMPRESA],$C$4,LANÇ_MOV[CENTRO DE CUSTOS],$D$4)</f>
        <v>0</v>
      </c>
      <c r="I903" s="206">
        <f>SUMIFS(LANÇ_MOV[VALOR LÍQUIDO],LANÇ_MOV[RECEITA OU DESPESA],"Despesa",LANÇ_MOV[CONTAS],$C903,LANÇ_MOV[PLANO DE CONTAS],REL_DRE_FINANCEIRO!$B$855,LANÇ_MOV[ANO PAGAMENTO],$B$4,LANÇ_MOV[MÊS PAGAMENTO CORRESPONDENTE],I$6,LANÇ_MOV[EMPRESA],$C$4,LANÇ_MOV[CENTRO DE CUSTOS],$D$4)</f>
        <v>0</v>
      </c>
      <c r="J903" s="206">
        <f>SUMIFS(LANÇ_MOV[VALOR LÍQUIDO],LANÇ_MOV[RECEITA OU DESPESA],"Despesa",LANÇ_MOV[CONTAS],$C903,LANÇ_MOV[PLANO DE CONTAS],REL_DRE_FINANCEIRO!$B$855,LANÇ_MOV[ANO PAGAMENTO],$B$4,LANÇ_MOV[MÊS PAGAMENTO CORRESPONDENTE],J$6,LANÇ_MOV[EMPRESA],$C$4,LANÇ_MOV[CENTRO DE CUSTOS],$D$4)</f>
        <v>0</v>
      </c>
      <c r="K903" s="206">
        <f>SUMIFS(LANÇ_MOV[VALOR LÍQUIDO],LANÇ_MOV[RECEITA OU DESPESA],"Despesa",LANÇ_MOV[CONTAS],$C903,LANÇ_MOV[PLANO DE CONTAS],REL_DRE_FINANCEIRO!$B$855,LANÇ_MOV[ANO PAGAMENTO],$B$4,LANÇ_MOV[MÊS PAGAMENTO CORRESPONDENTE],K$6,LANÇ_MOV[EMPRESA],$C$4,LANÇ_MOV[CENTRO DE CUSTOS],$D$4)</f>
        <v>0</v>
      </c>
      <c r="L903" s="206">
        <f>SUMIFS(LANÇ_MOV[VALOR LÍQUIDO],LANÇ_MOV[RECEITA OU DESPESA],"Despesa",LANÇ_MOV[CONTAS],$C903,LANÇ_MOV[PLANO DE CONTAS],REL_DRE_FINANCEIRO!$B$855,LANÇ_MOV[ANO PAGAMENTO],$B$4,LANÇ_MOV[MÊS PAGAMENTO CORRESPONDENTE],L$6,LANÇ_MOV[EMPRESA],$C$4,LANÇ_MOV[CENTRO DE CUSTOS],$D$4)</f>
        <v>0</v>
      </c>
      <c r="M903" s="206">
        <f>SUMIFS(LANÇ_MOV[VALOR LÍQUIDO],LANÇ_MOV[RECEITA OU DESPESA],"Despesa",LANÇ_MOV[CONTAS],$C903,LANÇ_MOV[PLANO DE CONTAS],REL_DRE_FINANCEIRO!$B$855,LANÇ_MOV[ANO PAGAMENTO],$B$4,LANÇ_MOV[MÊS PAGAMENTO CORRESPONDENTE],M$6,LANÇ_MOV[EMPRESA],$C$4,LANÇ_MOV[CENTRO DE CUSTOS],$D$4)</f>
        <v>0</v>
      </c>
      <c r="N903" s="206">
        <f>SUMIFS(LANÇ_MOV[VALOR LÍQUIDO],LANÇ_MOV[RECEITA OU DESPESA],"Despesa",LANÇ_MOV[CONTAS],$C903,LANÇ_MOV[PLANO DE CONTAS],REL_DRE_FINANCEIRO!$B$855,LANÇ_MOV[ANO PAGAMENTO],$B$4,LANÇ_MOV[MÊS PAGAMENTO CORRESPONDENTE],N$6,LANÇ_MOV[EMPRESA],$C$4,LANÇ_MOV[CENTRO DE CUSTOS],$D$4)</f>
        <v>0</v>
      </c>
      <c r="O903" s="206">
        <f>SUMIFS(LANÇ_MOV[VALOR LÍQUIDO],LANÇ_MOV[RECEITA OU DESPESA],"Despesa",LANÇ_MOV[CONTAS],$C903,LANÇ_MOV[PLANO DE CONTAS],REL_DRE_FINANCEIRO!$B$855,LANÇ_MOV[ANO PAGAMENTO],$B$4,LANÇ_MOV[MÊS PAGAMENTO CORRESPONDENTE],O$6,LANÇ_MOV[EMPRESA],$C$4,LANÇ_MOV[CENTRO DE CUSTOS],$D$4)</f>
        <v>0</v>
      </c>
      <c r="P903" s="207">
        <f t="shared" si="111"/>
        <v>0</v>
      </c>
      <c r="Q903" s="329">
        <v>5.3000000000000001E-6</v>
      </c>
      <c r="R903" s="346">
        <f t="shared" si="112"/>
        <v>5.3000000000000001E-6</v>
      </c>
      <c r="S903" s="347" t="str">
        <f t="shared" si="113"/>
        <v>-</v>
      </c>
      <c r="T903" s="347">
        <f t="shared" si="114"/>
        <v>0</v>
      </c>
      <c r="U903" s="347">
        <f>HLOOKUP(Apoio!$P$12,$D$854:$P$955,X903,FALSE)+Q903</f>
        <v>5.3000000000000001E-6</v>
      </c>
      <c r="V903" s="447" t="str">
        <f t="shared" si="115"/>
        <v>-</v>
      </c>
      <c r="W903" s="448">
        <f>HLOOKUP(Apoio!$P$12,$D$854:$P$955,X903,FALSE)</f>
        <v>0</v>
      </c>
      <c r="X903" s="329">
        <v>50</v>
      </c>
    </row>
    <row r="904" spans="2:24" ht="30.05" customHeight="1" x14ac:dyDescent="0.35">
      <c r="B904" s="204" t="str">
        <f>'CAD_PL_REC-DESP'!AC53</f>
        <v>2.7.49</v>
      </c>
      <c r="C904" s="205" t="str">
        <f>IF('CAD_PL_REC-DESP'!AD53="","-",'CAD_PL_REC-DESP'!AD53)</f>
        <v>-</v>
      </c>
      <c r="D904" s="206">
        <f>SUMIFS(LANÇ_MOV[VALOR LÍQUIDO],LANÇ_MOV[RECEITA OU DESPESA],"Despesa",LANÇ_MOV[CONTAS],$C904,LANÇ_MOV[PLANO DE CONTAS],REL_DRE_FINANCEIRO!$B$855,LANÇ_MOV[ANO PAGAMENTO],$B$4,LANÇ_MOV[MÊS PAGAMENTO CORRESPONDENTE],D$6,LANÇ_MOV[EMPRESA],$C$4,LANÇ_MOV[CENTRO DE CUSTOS],$D$4)</f>
        <v>0</v>
      </c>
      <c r="E904" s="206">
        <f>SUMIFS(LANÇ_MOV[VALOR LÍQUIDO],LANÇ_MOV[RECEITA OU DESPESA],"Despesa",LANÇ_MOV[CONTAS],$C904,LANÇ_MOV[PLANO DE CONTAS],REL_DRE_FINANCEIRO!$B$855,LANÇ_MOV[ANO PAGAMENTO],$B$4,LANÇ_MOV[MÊS PAGAMENTO CORRESPONDENTE],E$6,LANÇ_MOV[EMPRESA],$C$4,LANÇ_MOV[CENTRO DE CUSTOS],$D$4)</f>
        <v>0</v>
      </c>
      <c r="F904" s="206">
        <f>SUMIFS(LANÇ_MOV[VALOR LÍQUIDO],LANÇ_MOV[RECEITA OU DESPESA],"Despesa",LANÇ_MOV[CONTAS],$C904,LANÇ_MOV[PLANO DE CONTAS],REL_DRE_FINANCEIRO!$B$855,LANÇ_MOV[ANO PAGAMENTO],$B$4,LANÇ_MOV[MÊS PAGAMENTO CORRESPONDENTE],F$6,LANÇ_MOV[EMPRESA],$C$4,LANÇ_MOV[CENTRO DE CUSTOS],$D$4)</f>
        <v>0</v>
      </c>
      <c r="G904" s="206">
        <f>SUMIFS(LANÇ_MOV[VALOR LÍQUIDO],LANÇ_MOV[RECEITA OU DESPESA],"Despesa",LANÇ_MOV[CONTAS],$C904,LANÇ_MOV[PLANO DE CONTAS],REL_DRE_FINANCEIRO!$B$855,LANÇ_MOV[ANO PAGAMENTO],$B$4,LANÇ_MOV[MÊS PAGAMENTO CORRESPONDENTE],G$6,LANÇ_MOV[EMPRESA],$C$4,LANÇ_MOV[CENTRO DE CUSTOS],$D$4)</f>
        <v>0</v>
      </c>
      <c r="H904" s="206">
        <f>SUMIFS(LANÇ_MOV[VALOR LÍQUIDO],LANÇ_MOV[RECEITA OU DESPESA],"Despesa",LANÇ_MOV[CONTAS],$C904,LANÇ_MOV[PLANO DE CONTAS],REL_DRE_FINANCEIRO!$B$855,LANÇ_MOV[ANO PAGAMENTO],$B$4,LANÇ_MOV[MÊS PAGAMENTO CORRESPONDENTE],H$6,LANÇ_MOV[EMPRESA],$C$4,LANÇ_MOV[CENTRO DE CUSTOS],$D$4)</f>
        <v>0</v>
      </c>
      <c r="I904" s="206">
        <f>SUMIFS(LANÇ_MOV[VALOR LÍQUIDO],LANÇ_MOV[RECEITA OU DESPESA],"Despesa",LANÇ_MOV[CONTAS],$C904,LANÇ_MOV[PLANO DE CONTAS],REL_DRE_FINANCEIRO!$B$855,LANÇ_MOV[ANO PAGAMENTO],$B$4,LANÇ_MOV[MÊS PAGAMENTO CORRESPONDENTE],I$6,LANÇ_MOV[EMPRESA],$C$4,LANÇ_MOV[CENTRO DE CUSTOS],$D$4)</f>
        <v>0</v>
      </c>
      <c r="J904" s="206">
        <f>SUMIFS(LANÇ_MOV[VALOR LÍQUIDO],LANÇ_MOV[RECEITA OU DESPESA],"Despesa",LANÇ_MOV[CONTAS],$C904,LANÇ_MOV[PLANO DE CONTAS],REL_DRE_FINANCEIRO!$B$855,LANÇ_MOV[ANO PAGAMENTO],$B$4,LANÇ_MOV[MÊS PAGAMENTO CORRESPONDENTE],J$6,LANÇ_MOV[EMPRESA],$C$4,LANÇ_MOV[CENTRO DE CUSTOS],$D$4)</f>
        <v>0</v>
      </c>
      <c r="K904" s="206">
        <f>SUMIFS(LANÇ_MOV[VALOR LÍQUIDO],LANÇ_MOV[RECEITA OU DESPESA],"Despesa",LANÇ_MOV[CONTAS],$C904,LANÇ_MOV[PLANO DE CONTAS],REL_DRE_FINANCEIRO!$B$855,LANÇ_MOV[ANO PAGAMENTO],$B$4,LANÇ_MOV[MÊS PAGAMENTO CORRESPONDENTE],K$6,LANÇ_MOV[EMPRESA],$C$4,LANÇ_MOV[CENTRO DE CUSTOS],$D$4)</f>
        <v>0</v>
      </c>
      <c r="L904" s="206">
        <f>SUMIFS(LANÇ_MOV[VALOR LÍQUIDO],LANÇ_MOV[RECEITA OU DESPESA],"Despesa",LANÇ_MOV[CONTAS],$C904,LANÇ_MOV[PLANO DE CONTAS],REL_DRE_FINANCEIRO!$B$855,LANÇ_MOV[ANO PAGAMENTO],$B$4,LANÇ_MOV[MÊS PAGAMENTO CORRESPONDENTE],L$6,LANÇ_MOV[EMPRESA],$C$4,LANÇ_MOV[CENTRO DE CUSTOS],$D$4)</f>
        <v>0</v>
      </c>
      <c r="M904" s="206">
        <f>SUMIFS(LANÇ_MOV[VALOR LÍQUIDO],LANÇ_MOV[RECEITA OU DESPESA],"Despesa",LANÇ_MOV[CONTAS],$C904,LANÇ_MOV[PLANO DE CONTAS],REL_DRE_FINANCEIRO!$B$855,LANÇ_MOV[ANO PAGAMENTO],$B$4,LANÇ_MOV[MÊS PAGAMENTO CORRESPONDENTE],M$6,LANÇ_MOV[EMPRESA],$C$4,LANÇ_MOV[CENTRO DE CUSTOS],$D$4)</f>
        <v>0</v>
      </c>
      <c r="N904" s="206">
        <f>SUMIFS(LANÇ_MOV[VALOR LÍQUIDO],LANÇ_MOV[RECEITA OU DESPESA],"Despesa",LANÇ_MOV[CONTAS],$C904,LANÇ_MOV[PLANO DE CONTAS],REL_DRE_FINANCEIRO!$B$855,LANÇ_MOV[ANO PAGAMENTO],$B$4,LANÇ_MOV[MÊS PAGAMENTO CORRESPONDENTE],N$6,LANÇ_MOV[EMPRESA],$C$4,LANÇ_MOV[CENTRO DE CUSTOS],$D$4)</f>
        <v>0</v>
      </c>
      <c r="O904" s="206">
        <f>SUMIFS(LANÇ_MOV[VALOR LÍQUIDO],LANÇ_MOV[RECEITA OU DESPESA],"Despesa",LANÇ_MOV[CONTAS],$C904,LANÇ_MOV[PLANO DE CONTAS],REL_DRE_FINANCEIRO!$B$855,LANÇ_MOV[ANO PAGAMENTO],$B$4,LANÇ_MOV[MÊS PAGAMENTO CORRESPONDENTE],O$6,LANÇ_MOV[EMPRESA],$C$4,LANÇ_MOV[CENTRO DE CUSTOS],$D$4)</f>
        <v>0</v>
      </c>
      <c r="P904" s="207">
        <f t="shared" si="111"/>
        <v>0</v>
      </c>
      <c r="Q904" s="329">
        <v>5.2000000000000002E-6</v>
      </c>
      <c r="R904" s="346">
        <f t="shared" si="112"/>
        <v>5.2000000000000002E-6</v>
      </c>
      <c r="S904" s="347" t="str">
        <f t="shared" si="113"/>
        <v>-</v>
      </c>
      <c r="T904" s="347">
        <f t="shared" si="114"/>
        <v>0</v>
      </c>
      <c r="U904" s="347">
        <f>HLOOKUP(Apoio!$P$12,$D$854:$P$955,X904,FALSE)+Q904</f>
        <v>5.2000000000000002E-6</v>
      </c>
      <c r="V904" s="447" t="str">
        <f t="shared" si="115"/>
        <v>-</v>
      </c>
      <c r="W904" s="448">
        <f>HLOOKUP(Apoio!$P$12,$D$854:$P$955,X904,FALSE)</f>
        <v>0</v>
      </c>
      <c r="X904" s="329">
        <v>51</v>
      </c>
    </row>
    <row r="905" spans="2:24" ht="30.05" customHeight="1" x14ac:dyDescent="0.35">
      <c r="B905" s="204" t="str">
        <f>'CAD_PL_REC-DESP'!AC54</f>
        <v>2.7.50</v>
      </c>
      <c r="C905" s="205" t="str">
        <f>IF('CAD_PL_REC-DESP'!AD54="","-",'CAD_PL_REC-DESP'!AD54)</f>
        <v>-</v>
      </c>
      <c r="D905" s="206">
        <f>SUMIFS(LANÇ_MOV[VALOR LÍQUIDO],LANÇ_MOV[RECEITA OU DESPESA],"Despesa",LANÇ_MOV[CONTAS],$C905,LANÇ_MOV[PLANO DE CONTAS],REL_DRE_FINANCEIRO!$B$855,LANÇ_MOV[ANO PAGAMENTO],$B$4,LANÇ_MOV[MÊS PAGAMENTO CORRESPONDENTE],D$6,LANÇ_MOV[EMPRESA],$C$4,LANÇ_MOV[CENTRO DE CUSTOS],$D$4)</f>
        <v>0</v>
      </c>
      <c r="E905" s="206">
        <f>SUMIFS(LANÇ_MOV[VALOR LÍQUIDO],LANÇ_MOV[RECEITA OU DESPESA],"Despesa",LANÇ_MOV[CONTAS],$C905,LANÇ_MOV[PLANO DE CONTAS],REL_DRE_FINANCEIRO!$B$855,LANÇ_MOV[ANO PAGAMENTO],$B$4,LANÇ_MOV[MÊS PAGAMENTO CORRESPONDENTE],E$6,LANÇ_MOV[EMPRESA],$C$4,LANÇ_MOV[CENTRO DE CUSTOS],$D$4)</f>
        <v>0</v>
      </c>
      <c r="F905" s="206">
        <f>SUMIFS(LANÇ_MOV[VALOR LÍQUIDO],LANÇ_MOV[RECEITA OU DESPESA],"Despesa",LANÇ_MOV[CONTAS],$C905,LANÇ_MOV[PLANO DE CONTAS],REL_DRE_FINANCEIRO!$B$855,LANÇ_MOV[ANO PAGAMENTO],$B$4,LANÇ_MOV[MÊS PAGAMENTO CORRESPONDENTE],F$6,LANÇ_MOV[EMPRESA],$C$4,LANÇ_MOV[CENTRO DE CUSTOS],$D$4)</f>
        <v>0</v>
      </c>
      <c r="G905" s="206">
        <f>SUMIFS(LANÇ_MOV[VALOR LÍQUIDO],LANÇ_MOV[RECEITA OU DESPESA],"Despesa",LANÇ_MOV[CONTAS],$C905,LANÇ_MOV[PLANO DE CONTAS],REL_DRE_FINANCEIRO!$B$855,LANÇ_MOV[ANO PAGAMENTO],$B$4,LANÇ_MOV[MÊS PAGAMENTO CORRESPONDENTE],G$6,LANÇ_MOV[EMPRESA],$C$4,LANÇ_MOV[CENTRO DE CUSTOS],$D$4)</f>
        <v>0</v>
      </c>
      <c r="H905" s="206">
        <f>SUMIFS(LANÇ_MOV[VALOR LÍQUIDO],LANÇ_MOV[RECEITA OU DESPESA],"Despesa",LANÇ_MOV[CONTAS],$C905,LANÇ_MOV[PLANO DE CONTAS],REL_DRE_FINANCEIRO!$B$855,LANÇ_MOV[ANO PAGAMENTO],$B$4,LANÇ_MOV[MÊS PAGAMENTO CORRESPONDENTE],H$6,LANÇ_MOV[EMPRESA],$C$4,LANÇ_MOV[CENTRO DE CUSTOS],$D$4)</f>
        <v>0</v>
      </c>
      <c r="I905" s="206">
        <f>SUMIFS(LANÇ_MOV[VALOR LÍQUIDO],LANÇ_MOV[RECEITA OU DESPESA],"Despesa",LANÇ_MOV[CONTAS],$C905,LANÇ_MOV[PLANO DE CONTAS],REL_DRE_FINANCEIRO!$B$855,LANÇ_MOV[ANO PAGAMENTO],$B$4,LANÇ_MOV[MÊS PAGAMENTO CORRESPONDENTE],I$6,LANÇ_MOV[EMPRESA],$C$4,LANÇ_MOV[CENTRO DE CUSTOS],$D$4)</f>
        <v>0</v>
      </c>
      <c r="J905" s="206">
        <f>SUMIFS(LANÇ_MOV[VALOR LÍQUIDO],LANÇ_MOV[RECEITA OU DESPESA],"Despesa",LANÇ_MOV[CONTAS],$C905,LANÇ_MOV[PLANO DE CONTAS],REL_DRE_FINANCEIRO!$B$855,LANÇ_MOV[ANO PAGAMENTO],$B$4,LANÇ_MOV[MÊS PAGAMENTO CORRESPONDENTE],J$6,LANÇ_MOV[EMPRESA],$C$4,LANÇ_MOV[CENTRO DE CUSTOS],$D$4)</f>
        <v>0</v>
      </c>
      <c r="K905" s="206">
        <f>SUMIFS(LANÇ_MOV[VALOR LÍQUIDO],LANÇ_MOV[RECEITA OU DESPESA],"Despesa",LANÇ_MOV[CONTAS],$C905,LANÇ_MOV[PLANO DE CONTAS],REL_DRE_FINANCEIRO!$B$855,LANÇ_MOV[ANO PAGAMENTO],$B$4,LANÇ_MOV[MÊS PAGAMENTO CORRESPONDENTE],K$6,LANÇ_MOV[EMPRESA],$C$4,LANÇ_MOV[CENTRO DE CUSTOS],$D$4)</f>
        <v>0</v>
      </c>
      <c r="L905" s="206">
        <f>SUMIFS(LANÇ_MOV[VALOR LÍQUIDO],LANÇ_MOV[RECEITA OU DESPESA],"Despesa",LANÇ_MOV[CONTAS],$C905,LANÇ_MOV[PLANO DE CONTAS],REL_DRE_FINANCEIRO!$B$855,LANÇ_MOV[ANO PAGAMENTO],$B$4,LANÇ_MOV[MÊS PAGAMENTO CORRESPONDENTE],L$6,LANÇ_MOV[EMPRESA],$C$4,LANÇ_MOV[CENTRO DE CUSTOS],$D$4)</f>
        <v>0</v>
      </c>
      <c r="M905" s="206">
        <f>SUMIFS(LANÇ_MOV[VALOR LÍQUIDO],LANÇ_MOV[RECEITA OU DESPESA],"Despesa",LANÇ_MOV[CONTAS],$C905,LANÇ_MOV[PLANO DE CONTAS],REL_DRE_FINANCEIRO!$B$855,LANÇ_MOV[ANO PAGAMENTO],$B$4,LANÇ_MOV[MÊS PAGAMENTO CORRESPONDENTE],M$6,LANÇ_MOV[EMPRESA],$C$4,LANÇ_MOV[CENTRO DE CUSTOS],$D$4)</f>
        <v>0</v>
      </c>
      <c r="N905" s="206">
        <f>SUMIFS(LANÇ_MOV[VALOR LÍQUIDO],LANÇ_MOV[RECEITA OU DESPESA],"Despesa",LANÇ_MOV[CONTAS],$C905,LANÇ_MOV[PLANO DE CONTAS],REL_DRE_FINANCEIRO!$B$855,LANÇ_MOV[ANO PAGAMENTO],$B$4,LANÇ_MOV[MÊS PAGAMENTO CORRESPONDENTE],N$6,LANÇ_MOV[EMPRESA],$C$4,LANÇ_MOV[CENTRO DE CUSTOS],$D$4)</f>
        <v>0</v>
      </c>
      <c r="O905" s="206">
        <f>SUMIFS(LANÇ_MOV[VALOR LÍQUIDO],LANÇ_MOV[RECEITA OU DESPESA],"Despesa",LANÇ_MOV[CONTAS],$C905,LANÇ_MOV[PLANO DE CONTAS],REL_DRE_FINANCEIRO!$B$855,LANÇ_MOV[ANO PAGAMENTO],$B$4,LANÇ_MOV[MÊS PAGAMENTO CORRESPONDENTE],O$6,LANÇ_MOV[EMPRESA],$C$4,LANÇ_MOV[CENTRO DE CUSTOS],$D$4)</f>
        <v>0</v>
      </c>
      <c r="P905" s="207">
        <f t="shared" si="111"/>
        <v>0</v>
      </c>
      <c r="Q905" s="329">
        <v>5.1000000000000003E-6</v>
      </c>
      <c r="R905" s="346">
        <f t="shared" si="112"/>
        <v>5.1000000000000003E-6</v>
      </c>
      <c r="S905" s="347" t="str">
        <f t="shared" si="113"/>
        <v>-</v>
      </c>
      <c r="T905" s="347">
        <f t="shared" si="114"/>
        <v>0</v>
      </c>
      <c r="U905" s="347">
        <f>HLOOKUP(Apoio!$P$12,$D$854:$P$955,X905,FALSE)+Q905</f>
        <v>5.1000000000000003E-6</v>
      </c>
      <c r="V905" s="447" t="str">
        <f t="shared" si="115"/>
        <v>-</v>
      </c>
      <c r="W905" s="448">
        <f>HLOOKUP(Apoio!$P$12,$D$854:$P$955,X905,FALSE)</f>
        <v>0</v>
      </c>
      <c r="X905" s="329">
        <v>52</v>
      </c>
    </row>
    <row r="906" spans="2:24" ht="30.05" customHeight="1" x14ac:dyDescent="0.35">
      <c r="B906" s="204" t="str">
        <f>'CAD_PL_REC-DESP'!AC55</f>
        <v>2.7.51</v>
      </c>
      <c r="C906" s="205" t="str">
        <f>IF('CAD_PL_REC-DESP'!AD55="","-",'CAD_PL_REC-DESP'!AD55)</f>
        <v>-</v>
      </c>
      <c r="D906" s="206">
        <f>SUMIFS(LANÇ_MOV[VALOR LÍQUIDO],LANÇ_MOV[RECEITA OU DESPESA],"Despesa",LANÇ_MOV[CONTAS],$C906,LANÇ_MOV[PLANO DE CONTAS],REL_DRE_FINANCEIRO!$B$855,LANÇ_MOV[ANO PAGAMENTO],$B$4,LANÇ_MOV[MÊS PAGAMENTO CORRESPONDENTE],D$6,LANÇ_MOV[EMPRESA],$C$4,LANÇ_MOV[CENTRO DE CUSTOS],$D$4)</f>
        <v>0</v>
      </c>
      <c r="E906" s="206">
        <f>SUMIFS(LANÇ_MOV[VALOR LÍQUIDO],LANÇ_MOV[RECEITA OU DESPESA],"Despesa",LANÇ_MOV[CONTAS],$C906,LANÇ_MOV[PLANO DE CONTAS],REL_DRE_FINANCEIRO!$B$855,LANÇ_MOV[ANO PAGAMENTO],$B$4,LANÇ_MOV[MÊS PAGAMENTO CORRESPONDENTE],E$6,LANÇ_MOV[EMPRESA],$C$4,LANÇ_MOV[CENTRO DE CUSTOS],$D$4)</f>
        <v>0</v>
      </c>
      <c r="F906" s="206">
        <f>SUMIFS(LANÇ_MOV[VALOR LÍQUIDO],LANÇ_MOV[RECEITA OU DESPESA],"Despesa",LANÇ_MOV[CONTAS],$C906,LANÇ_MOV[PLANO DE CONTAS],REL_DRE_FINANCEIRO!$B$855,LANÇ_MOV[ANO PAGAMENTO],$B$4,LANÇ_MOV[MÊS PAGAMENTO CORRESPONDENTE],F$6,LANÇ_MOV[EMPRESA],$C$4,LANÇ_MOV[CENTRO DE CUSTOS],$D$4)</f>
        <v>0</v>
      </c>
      <c r="G906" s="206">
        <f>SUMIFS(LANÇ_MOV[VALOR LÍQUIDO],LANÇ_MOV[RECEITA OU DESPESA],"Despesa",LANÇ_MOV[CONTAS],$C906,LANÇ_MOV[PLANO DE CONTAS],REL_DRE_FINANCEIRO!$B$855,LANÇ_MOV[ANO PAGAMENTO],$B$4,LANÇ_MOV[MÊS PAGAMENTO CORRESPONDENTE],G$6,LANÇ_MOV[EMPRESA],$C$4,LANÇ_MOV[CENTRO DE CUSTOS],$D$4)</f>
        <v>0</v>
      </c>
      <c r="H906" s="206">
        <f>SUMIFS(LANÇ_MOV[VALOR LÍQUIDO],LANÇ_MOV[RECEITA OU DESPESA],"Despesa",LANÇ_MOV[CONTAS],$C906,LANÇ_MOV[PLANO DE CONTAS],REL_DRE_FINANCEIRO!$B$855,LANÇ_MOV[ANO PAGAMENTO],$B$4,LANÇ_MOV[MÊS PAGAMENTO CORRESPONDENTE],H$6,LANÇ_MOV[EMPRESA],$C$4,LANÇ_MOV[CENTRO DE CUSTOS],$D$4)</f>
        <v>0</v>
      </c>
      <c r="I906" s="206">
        <f>SUMIFS(LANÇ_MOV[VALOR LÍQUIDO],LANÇ_MOV[RECEITA OU DESPESA],"Despesa",LANÇ_MOV[CONTAS],$C906,LANÇ_MOV[PLANO DE CONTAS],REL_DRE_FINANCEIRO!$B$855,LANÇ_MOV[ANO PAGAMENTO],$B$4,LANÇ_MOV[MÊS PAGAMENTO CORRESPONDENTE],I$6,LANÇ_MOV[EMPRESA],$C$4,LANÇ_MOV[CENTRO DE CUSTOS],$D$4)</f>
        <v>0</v>
      </c>
      <c r="J906" s="206">
        <f>SUMIFS(LANÇ_MOV[VALOR LÍQUIDO],LANÇ_MOV[RECEITA OU DESPESA],"Despesa",LANÇ_MOV[CONTAS],$C906,LANÇ_MOV[PLANO DE CONTAS],REL_DRE_FINANCEIRO!$B$855,LANÇ_MOV[ANO PAGAMENTO],$B$4,LANÇ_MOV[MÊS PAGAMENTO CORRESPONDENTE],J$6,LANÇ_MOV[EMPRESA],$C$4,LANÇ_MOV[CENTRO DE CUSTOS],$D$4)</f>
        <v>0</v>
      </c>
      <c r="K906" s="206">
        <f>SUMIFS(LANÇ_MOV[VALOR LÍQUIDO],LANÇ_MOV[RECEITA OU DESPESA],"Despesa",LANÇ_MOV[CONTAS],$C906,LANÇ_MOV[PLANO DE CONTAS],REL_DRE_FINANCEIRO!$B$855,LANÇ_MOV[ANO PAGAMENTO],$B$4,LANÇ_MOV[MÊS PAGAMENTO CORRESPONDENTE],K$6,LANÇ_MOV[EMPRESA],$C$4,LANÇ_MOV[CENTRO DE CUSTOS],$D$4)</f>
        <v>0</v>
      </c>
      <c r="L906" s="206">
        <f>SUMIFS(LANÇ_MOV[VALOR LÍQUIDO],LANÇ_MOV[RECEITA OU DESPESA],"Despesa",LANÇ_MOV[CONTAS],$C906,LANÇ_MOV[PLANO DE CONTAS],REL_DRE_FINANCEIRO!$B$855,LANÇ_MOV[ANO PAGAMENTO],$B$4,LANÇ_MOV[MÊS PAGAMENTO CORRESPONDENTE],L$6,LANÇ_MOV[EMPRESA],$C$4,LANÇ_MOV[CENTRO DE CUSTOS],$D$4)</f>
        <v>0</v>
      </c>
      <c r="M906" s="206">
        <f>SUMIFS(LANÇ_MOV[VALOR LÍQUIDO],LANÇ_MOV[RECEITA OU DESPESA],"Despesa",LANÇ_MOV[CONTAS],$C906,LANÇ_MOV[PLANO DE CONTAS],REL_DRE_FINANCEIRO!$B$855,LANÇ_MOV[ANO PAGAMENTO],$B$4,LANÇ_MOV[MÊS PAGAMENTO CORRESPONDENTE],M$6,LANÇ_MOV[EMPRESA],$C$4,LANÇ_MOV[CENTRO DE CUSTOS],$D$4)</f>
        <v>0</v>
      </c>
      <c r="N906" s="206">
        <f>SUMIFS(LANÇ_MOV[VALOR LÍQUIDO],LANÇ_MOV[RECEITA OU DESPESA],"Despesa",LANÇ_MOV[CONTAS],$C906,LANÇ_MOV[PLANO DE CONTAS],REL_DRE_FINANCEIRO!$B$855,LANÇ_MOV[ANO PAGAMENTO],$B$4,LANÇ_MOV[MÊS PAGAMENTO CORRESPONDENTE],N$6,LANÇ_MOV[EMPRESA],$C$4,LANÇ_MOV[CENTRO DE CUSTOS],$D$4)</f>
        <v>0</v>
      </c>
      <c r="O906" s="206">
        <f>SUMIFS(LANÇ_MOV[VALOR LÍQUIDO],LANÇ_MOV[RECEITA OU DESPESA],"Despesa",LANÇ_MOV[CONTAS],$C906,LANÇ_MOV[PLANO DE CONTAS],REL_DRE_FINANCEIRO!$B$855,LANÇ_MOV[ANO PAGAMENTO],$B$4,LANÇ_MOV[MÊS PAGAMENTO CORRESPONDENTE],O$6,LANÇ_MOV[EMPRESA],$C$4,LANÇ_MOV[CENTRO DE CUSTOS],$D$4)</f>
        <v>0</v>
      </c>
      <c r="P906" s="207">
        <f t="shared" si="111"/>
        <v>0</v>
      </c>
      <c r="Q906" s="329">
        <v>5.0000000000000004E-6</v>
      </c>
      <c r="R906" s="346">
        <f t="shared" si="112"/>
        <v>5.0000000000000004E-6</v>
      </c>
      <c r="S906" s="347" t="str">
        <f t="shared" si="113"/>
        <v>-</v>
      </c>
      <c r="T906" s="347">
        <f t="shared" si="114"/>
        <v>0</v>
      </c>
      <c r="U906" s="347">
        <f>HLOOKUP(Apoio!$P$12,$D$854:$P$955,X906,FALSE)+Q906</f>
        <v>5.0000000000000004E-6</v>
      </c>
      <c r="V906" s="447" t="str">
        <f t="shared" si="115"/>
        <v>-</v>
      </c>
      <c r="W906" s="448">
        <f>HLOOKUP(Apoio!$P$12,$D$854:$P$955,X906,FALSE)</f>
        <v>0</v>
      </c>
      <c r="X906" s="329">
        <v>53</v>
      </c>
    </row>
    <row r="907" spans="2:24" ht="30.05" customHeight="1" x14ac:dyDescent="0.35">
      <c r="B907" s="204" t="str">
        <f>'CAD_PL_REC-DESP'!AC56</f>
        <v>2.7.52</v>
      </c>
      <c r="C907" s="205" t="str">
        <f>IF('CAD_PL_REC-DESP'!AD56="","-",'CAD_PL_REC-DESP'!AD56)</f>
        <v>-</v>
      </c>
      <c r="D907" s="206">
        <f>SUMIFS(LANÇ_MOV[VALOR LÍQUIDO],LANÇ_MOV[RECEITA OU DESPESA],"Despesa",LANÇ_MOV[CONTAS],$C907,LANÇ_MOV[PLANO DE CONTAS],REL_DRE_FINANCEIRO!$B$855,LANÇ_MOV[ANO PAGAMENTO],$B$4,LANÇ_MOV[MÊS PAGAMENTO CORRESPONDENTE],D$6,LANÇ_MOV[EMPRESA],$C$4,LANÇ_MOV[CENTRO DE CUSTOS],$D$4)</f>
        <v>0</v>
      </c>
      <c r="E907" s="206">
        <f>SUMIFS(LANÇ_MOV[VALOR LÍQUIDO],LANÇ_MOV[RECEITA OU DESPESA],"Despesa",LANÇ_MOV[CONTAS],$C907,LANÇ_MOV[PLANO DE CONTAS],REL_DRE_FINANCEIRO!$B$855,LANÇ_MOV[ANO PAGAMENTO],$B$4,LANÇ_MOV[MÊS PAGAMENTO CORRESPONDENTE],E$6,LANÇ_MOV[EMPRESA],$C$4,LANÇ_MOV[CENTRO DE CUSTOS],$D$4)</f>
        <v>0</v>
      </c>
      <c r="F907" s="206">
        <f>SUMIFS(LANÇ_MOV[VALOR LÍQUIDO],LANÇ_MOV[RECEITA OU DESPESA],"Despesa",LANÇ_MOV[CONTAS],$C907,LANÇ_MOV[PLANO DE CONTAS],REL_DRE_FINANCEIRO!$B$855,LANÇ_MOV[ANO PAGAMENTO],$B$4,LANÇ_MOV[MÊS PAGAMENTO CORRESPONDENTE],F$6,LANÇ_MOV[EMPRESA],$C$4,LANÇ_MOV[CENTRO DE CUSTOS],$D$4)</f>
        <v>0</v>
      </c>
      <c r="G907" s="206">
        <f>SUMIFS(LANÇ_MOV[VALOR LÍQUIDO],LANÇ_MOV[RECEITA OU DESPESA],"Despesa",LANÇ_MOV[CONTAS],$C907,LANÇ_MOV[PLANO DE CONTAS],REL_DRE_FINANCEIRO!$B$855,LANÇ_MOV[ANO PAGAMENTO],$B$4,LANÇ_MOV[MÊS PAGAMENTO CORRESPONDENTE],G$6,LANÇ_MOV[EMPRESA],$C$4,LANÇ_MOV[CENTRO DE CUSTOS],$D$4)</f>
        <v>0</v>
      </c>
      <c r="H907" s="206">
        <f>SUMIFS(LANÇ_MOV[VALOR LÍQUIDO],LANÇ_MOV[RECEITA OU DESPESA],"Despesa",LANÇ_MOV[CONTAS],$C907,LANÇ_MOV[PLANO DE CONTAS],REL_DRE_FINANCEIRO!$B$855,LANÇ_MOV[ANO PAGAMENTO],$B$4,LANÇ_MOV[MÊS PAGAMENTO CORRESPONDENTE],H$6,LANÇ_MOV[EMPRESA],$C$4,LANÇ_MOV[CENTRO DE CUSTOS],$D$4)</f>
        <v>0</v>
      </c>
      <c r="I907" s="206">
        <f>SUMIFS(LANÇ_MOV[VALOR LÍQUIDO],LANÇ_MOV[RECEITA OU DESPESA],"Despesa",LANÇ_MOV[CONTAS],$C907,LANÇ_MOV[PLANO DE CONTAS],REL_DRE_FINANCEIRO!$B$855,LANÇ_MOV[ANO PAGAMENTO],$B$4,LANÇ_MOV[MÊS PAGAMENTO CORRESPONDENTE],I$6,LANÇ_MOV[EMPRESA],$C$4,LANÇ_MOV[CENTRO DE CUSTOS],$D$4)</f>
        <v>0</v>
      </c>
      <c r="J907" s="206">
        <f>SUMIFS(LANÇ_MOV[VALOR LÍQUIDO],LANÇ_MOV[RECEITA OU DESPESA],"Despesa",LANÇ_MOV[CONTAS],$C907,LANÇ_MOV[PLANO DE CONTAS],REL_DRE_FINANCEIRO!$B$855,LANÇ_MOV[ANO PAGAMENTO],$B$4,LANÇ_MOV[MÊS PAGAMENTO CORRESPONDENTE],J$6,LANÇ_MOV[EMPRESA],$C$4,LANÇ_MOV[CENTRO DE CUSTOS],$D$4)</f>
        <v>0</v>
      </c>
      <c r="K907" s="206">
        <f>SUMIFS(LANÇ_MOV[VALOR LÍQUIDO],LANÇ_MOV[RECEITA OU DESPESA],"Despesa",LANÇ_MOV[CONTAS],$C907,LANÇ_MOV[PLANO DE CONTAS],REL_DRE_FINANCEIRO!$B$855,LANÇ_MOV[ANO PAGAMENTO],$B$4,LANÇ_MOV[MÊS PAGAMENTO CORRESPONDENTE],K$6,LANÇ_MOV[EMPRESA],$C$4,LANÇ_MOV[CENTRO DE CUSTOS],$D$4)</f>
        <v>0</v>
      </c>
      <c r="L907" s="206">
        <f>SUMIFS(LANÇ_MOV[VALOR LÍQUIDO],LANÇ_MOV[RECEITA OU DESPESA],"Despesa",LANÇ_MOV[CONTAS],$C907,LANÇ_MOV[PLANO DE CONTAS],REL_DRE_FINANCEIRO!$B$855,LANÇ_MOV[ANO PAGAMENTO],$B$4,LANÇ_MOV[MÊS PAGAMENTO CORRESPONDENTE],L$6,LANÇ_MOV[EMPRESA],$C$4,LANÇ_MOV[CENTRO DE CUSTOS],$D$4)</f>
        <v>0</v>
      </c>
      <c r="M907" s="206">
        <f>SUMIFS(LANÇ_MOV[VALOR LÍQUIDO],LANÇ_MOV[RECEITA OU DESPESA],"Despesa",LANÇ_MOV[CONTAS],$C907,LANÇ_MOV[PLANO DE CONTAS],REL_DRE_FINANCEIRO!$B$855,LANÇ_MOV[ANO PAGAMENTO],$B$4,LANÇ_MOV[MÊS PAGAMENTO CORRESPONDENTE],M$6,LANÇ_MOV[EMPRESA],$C$4,LANÇ_MOV[CENTRO DE CUSTOS],$D$4)</f>
        <v>0</v>
      </c>
      <c r="N907" s="206">
        <f>SUMIFS(LANÇ_MOV[VALOR LÍQUIDO],LANÇ_MOV[RECEITA OU DESPESA],"Despesa",LANÇ_MOV[CONTAS],$C907,LANÇ_MOV[PLANO DE CONTAS],REL_DRE_FINANCEIRO!$B$855,LANÇ_MOV[ANO PAGAMENTO],$B$4,LANÇ_MOV[MÊS PAGAMENTO CORRESPONDENTE],N$6,LANÇ_MOV[EMPRESA],$C$4,LANÇ_MOV[CENTRO DE CUSTOS],$D$4)</f>
        <v>0</v>
      </c>
      <c r="O907" s="206">
        <f>SUMIFS(LANÇ_MOV[VALOR LÍQUIDO],LANÇ_MOV[RECEITA OU DESPESA],"Despesa",LANÇ_MOV[CONTAS],$C907,LANÇ_MOV[PLANO DE CONTAS],REL_DRE_FINANCEIRO!$B$855,LANÇ_MOV[ANO PAGAMENTO],$B$4,LANÇ_MOV[MÊS PAGAMENTO CORRESPONDENTE],O$6,LANÇ_MOV[EMPRESA],$C$4,LANÇ_MOV[CENTRO DE CUSTOS],$D$4)</f>
        <v>0</v>
      </c>
      <c r="P907" s="207">
        <f t="shared" si="111"/>
        <v>0</v>
      </c>
      <c r="Q907" s="329">
        <v>4.8999999999999997E-6</v>
      </c>
      <c r="R907" s="346">
        <f t="shared" si="112"/>
        <v>4.8999999999999997E-6</v>
      </c>
      <c r="S907" s="347" t="str">
        <f t="shared" si="113"/>
        <v>-</v>
      </c>
      <c r="T907" s="347">
        <f t="shared" si="114"/>
        <v>0</v>
      </c>
      <c r="U907" s="347">
        <f>HLOOKUP(Apoio!$P$12,$D$854:$P$955,X907,FALSE)+Q907</f>
        <v>4.8999999999999997E-6</v>
      </c>
      <c r="V907" s="447" t="str">
        <f t="shared" si="115"/>
        <v>-</v>
      </c>
      <c r="W907" s="448">
        <f>HLOOKUP(Apoio!$P$12,$D$854:$P$955,X907,FALSE)</f>
        <v>0</v>
      </c>
      <c r="X907" s="329">
        <v>54</v>
      </c>
    </row>
    <row r="908" spans="2:24" ht="30.05" customHeight="1" x14ac:dyDescent="0.35">
      <c r="B908" s="204" t="str">
        <f>'CAD_PL_REC-DESP'!AC57</f>
        <v>2.7.53</v>
      </c>
      <c r="C908" s="205" t="str">
        <f>IF('CAD_PL_REC-DESP'!AD57="","-",'CAD_PL_REC-DESP'!AD57)</f>
        <v>-</v>
      </c>
      <c r="D908" s="206">
        <f>SUMIFS(LANÇ_MOV[VALOR LÍQUIDO],LANÇ_MOV[RECEITA OU DESPESA],"Despesa",LANÇ_MOV[CONTAS],$C908,LANÇ_MOV[PLANO DE CONTAS],REL_DRE_FINANCEIRO!$B$855,LANÇ_MOV[ANO PAGAMENTO],$B$4,LANÇ_MOV[MÊS PAGAMENTO CORRESPONDENTE],D$6,LANÇ_MOV[EMPRESA],$C$4,LANÇ_MOV[CENTRO DE CUSTOS],$D$4)</f>
        <v>0</v>
      </c>
      <c r="E908" s="206">
        <f>SUMIFS(LANÇ_MOV[VALOR LÍQUIDO],LANÇ_MOV[RECEITA OU DESPESA],"Despesa",LANÇ_MOV[CONTAS],$C908,LANÇ_MOV[PLANO DE CONTAS],REL_DRE_FINANCEIRO!$B$855,LANÇ_MOV[ANO PAGAMENTO],$B$4,LANÇ_MOV[MÊS PAGAMENTO CORRESPONDENTE],E$6,LANÇ_MOV[EMPRESA],$C$4,LANÇ_MOV[CENTRO DE CUSTOS],$D$4)</f>
        <v>0</v>
      </c>
      <c r="F908" s="206">
        <f>SUMIFS(LANÇ_MOV[VALOR LÍQUIDO],LANÇ_MOV[RECEITA OU DESPESA],"Despesa",LANÇ_MOV[CONTAS],$C908,LANÇ_MOV[PLANO DE CONTAS],REL_DRE_FINANCEIRO!$B$855,LANÇ_MOV[ANO PAGAMENTO],$B$4,LANÇ_MOV[MÊS PAGAMENTO CORRESPONDENTE],F$6,LANÇ_MOV[EMPRESA],$C$4,LANÇ_MOV[CENTRO DE CUSTOS],$D$4)</f>
        <v>0</v>
      </c>
      <c r="G908" s="206">
        <f>SUMIFS(LANÇ_MOV[VALOR LÍQUIDO],LANÇ_MOV[RECEITA OU DESPESA],"Despesa",LANÇ_MOV[CONTAS],$C908,LANÇ_MOV[PLANO DE CONTAS],REL_DRE_FINANCEIRO!$B$855,LANÇ_MOV[ANO PAGAMENTO],$B$4,LANÇ_MOV[MÊS PAGAMENTO CORRESPONDENTE],G$6,LANÇ_MOV[EMPRESA],$C$4,LANÇ_MOV[CENTRO DE CUSTOS],$D$4)</f>
        <v>0</v>
      </c>
      <c r="H908" s="206">
        <f>SUMIFS(LANÇ_MOV[VALOR LÍQUIDO],LANÇ_MOV[RECEITA OU DESPESA],"Despesa",LANÇ_MOV[CONTAS],$C908,LANÇ_MOV[PLANO DE CONTAS],REL_DRE_FINANCEIRO!$B$855,LANÇ_MOV[ANO PAGAMENTO],$B$4,LANÇ_MOV[MÊS PAGAMENTO CORRESPONDENTE],H$6,LANÇ_MOV[EMPRESA],$C$4,LANÇ_MOV[CENTRO DE CUSTOS],$D$4)</f>
        <v>0</v>
      </c>
      <c r="I908" s="206">
        <f>SUMIFS(LANÇ_MOV[VALOR LÍQUIDO],LANÇ_MOV[RECEITA OU DESPESA],"Despesa",LANÇ_MOV[CONTAS],$C908,LANÇ_MOV[PLANO DE CONTAS],REL_DRE_FINANCEIRO!$B$855,LANÇ_MOV[ANO PAGAMENTO],$B$4,LANÇ_MOV[MÊS PAGAMENTO CORRESPONDENTE],I$6,LANÇ_MOV[EMPRESA],$C$4,LANÇ_MOV[CENTRO DE CUSTOS],$D$4)</f>
        <v>0</v>
      </c>
      <c r="J908" s="206">
        <f>SUMIFS(LANÇ_MOV[VALOR LÍQUIDO],LANÇ_MOV[RECEITA OU DESPESA],"Despesa",LANÇ_MOV[CONTAS],$C908,LANÇ_MOV[PLANO DE CONTAS],REL_DRE_FINANCEIRO!$B$855,LANÇ_MOV[ANO PAGAMENTO],$B$4,LANÇ_MOV[MÊS PAGAMENTO CORRESPONDENTE],J$6,LANÇ_MOV[EMPRESA],$C$4,LANÇ_MOV[CENTRO DE CUSTOS],$D$4)</f>
        <v>0</v>
      </c>
      <c r="K908" s="206">
        <f>SUMIFS(LANÇ_MOV[VALOR LÍQUIDO],LANÇ_MOV[RECEITA OU DESPESA],"Despesa",LANÇ_MOV[CONTAS],$C908,LANÇ_MOV[PLANO DE CONTAS],REL_DRE_FINANCEIRO!$B$855,LANÇ_MOV[ANO PAGAMENTO],$B$4,LANÇ_MOV[MÊS PAGAMENTO CORRESPONDENTE],K$6,LANÇ_MOV[EMPRESA],$C$4,LANÇ_MOV[CENTRO DE CUSTOS],$D$4)</f>
        <v>0</v>
      </c>
      <c r="L908" s="206">
        <f>SUMIFS(LANÇ_MOV[VALOR LÍQUIDO],LANÇ_MOV[RECEITA OU DESPESA],"Despesa",LANÇ_MOV[CONTAS],$C908,LANÇ_MOV[PLANO DE CONTAS],REL_DRE_FINANCEIRO!$B$855,LANÇ_MOV[ANO PAGAMENTO],$B$4,LANÇ_MOV[MÊS PAGAMENTO CORRESPONDENTE],L$6,LANÇ_MOV[EMPRESA],$C$4,LANÇ_MOV[CENTRO DE CUSTOS],$D$4)</f>
        <v>0</v>
      </c>
      <c r="M908" s="206">
        <f>SUMIFS(LANÇ_MOV[VALOR LÍQUIDO],LANÇ_MOV[RECEITA OU DESPESA],"Despesa",LANÇ_MOV[CONTAS],$C908,LANÇ_MOV[PLANO DE CONTAS],REL_DRE_FINANCEIRO!$B$855,LANÇ_MOV[ANO PAGAMENTO],$B$4,LANÇ_MOV[MÊS PAGAMENTO CORRESPONDENTE],M$6,LANÇ_MOV[EMPRESA],$C$4,LANÇ_MOV[CENTRO DE CUSTOS],$D$4)</f>
        <v>0</v>
      </c>
      <c r="N908" s="206">
        <f>SUMIFS(LANÇ_MOV[VALOR LÍQUIDO],LANÇ_MOV[RECEITA OU DESPESA],"Despesa",LANÇ_MOV[CONTAS],$C908,LANÇ_MOV[PLANO DE CONTAS],REL_DRE_FINANCEIRO!$B$855,LANÇ_MOV[ANO PAGAMENTO],$B$4,LANÇ_MOV[MÊS PAGAMENTO CORRESPONDENTE],N$6,LANÇ_MOV[EMPRESA],$C$4,LANÇ_MOV[CENTRO DE CUSTOS],$D$4)</f>
        <v>0</v>
      </c>
      <c r="O908" s="206">
        <f>SUMIFS(LANÇ_MOV[VALOR LÍQUIDO],LANÇ_MOV[RECEITA OU DESPESA],"Despesa",LANÇ_MOV[CONTAS],$C908,LANÇ_MOV[PLANO DE CONTAS],REL_DRE_FINANCEIRO!$B$855,LANÇ_MOV[ANO PAGAMENTO],$B$4,LANÇ_MOV[MÊS PAGAMENTO CORRESPONDENTE],O$6,LANÇ_MOV[EMPRESA],$C$4,LANÇ_MOV[CENTRO DE CUSTOS],$D$4)</f>
        <v>0</v>
      </c>
      <c r="P908" s="207">
        <f t="shared" si="111"/>
        <v>0</v>
      </c>
      <c r="Q908" s="329">
        <v>4.7999999999999998E-6</v>
      </c>
      <c r="R908" s="346">
        <f t="shared" si="112"/>
        <v>4.7999999999999998E-6</v>
      </c>
      <c r="S908" s="347" t="str">
        <f t="shared" si="113"/>
        <v>-</v>
      </c>
      <c r="T908" s="347">
        <f t="shared" si="114"/>
        <v>0</v>
      </c>
      <c r="U908" s="347">
        <f>HLOOKUP(Apoio!$P$12,$D$854:$P$955,X908,FALSE)+Q908</f>
        <v>4.7999999999999998E-6</v>
      </c>
      <c r="V908" s="447" t="str">
        <f t="shared" si="115"/>
        <v>-</v>
      </c>
      <c r="W908" s="448">
        <f>HLOOKUP(Apoio!$P$12,$D$854:$P$955,X908,FALSE)</f>
        <v>0</v>
      </c>
      <c r="X908" s="329">
        <v>55</v>
      </c>
    </row>
    <row r="909" spans="2:24" ht="30.05" customHeight="1" x14ac:dyDescent="0.35">
      <c r="B909" s="204" t="str">
        <f>'CAD_PL_REC-DESP'!AC58</f>
        <v>2.7.54</v>
      </c>
      <c r="C909" s="205" t="str">
        <f>IF('CAD_PL_REC-DESP'!AD58="","-",'CAD_PL_REC-DESP'!AD58)</f>
        <v>-</v>
      </c>
      <c r="D909" s="206">
        <f>SUMIFS(LANÇ_MOV[VALOR LÍQUIDO],LANÇ_MOV[RECEITA OU DESPESA],"Despesa",LANÇ_MOV[CONTAS],$C909,LANÇ_MOV[PLANO DE CONTAS],REL_DRE_FINANCEIRO!$B$855,LANÇ_MOV[ANO PAGAMENTO],$B$4,LANÇ_MOV[MÊS PAGAMENTO CORRESPONDENTE],D$6,LANÇ_MOV[EMPRESA],$C$4,LANÇ_MOV[CENTRO DE CUSTOS],$D$4)</f>
        <v>0</v>
      </c>
      <c r="E909" s="206">
        <f>SUMIFS(LANÇ_MOV[VALOR LÍQUIDO],LANÇ_MOV[RECEITA OU DESPESA],"Despesa",LANÇ_MOV[CONTAS],$C909,LANÇ_MOV[PLANO DE CONTAS],REL_DRE_FINANCEIRO!$B$855,LANÇ_MOV[ANO PAGAMENTO],$B$4,LANÇ_MOV[MÊS PAGAMENTO CORRESPONDENTE],E$6,LANÇ_MOV[EMPRESA],$C$4,LANÇ_MOV[CENTRO DE CUSTOS],$D$4)</f>
        <v>0</v>
      </c>
      <c r="F909" s="206">
        <f>SUMIFS(LANÇ_MOV[VALOR LÍQUIDO],LANÇ_MOV[RECEITA OU DESPESA],"Despesa",LANÇ_MOV[CONTAS],$C909,LANÇ_MOV[PLANO DE CONTAS],REL_DRE_FINANCEIRO!$B$855,LANÇ_MOV[ANO PAGAMENTO],$B$4,LANÇ_MOV[MÊS PAGAMENTO CORRESPONDENTE],F$6,LANÇ_MOV[EMPRESA],$C$4,LANÇ_MOV[CENTRO DE CUSTOS],$D$4)</f>
        <v>0</v>
      </c>
      <c r="G909" s="206">
        <f>SUMIFS(LANÇ_MOV[VALOR LÍQUIDO],LANÇ_MOV[RECEITA OU DESPESA],"Despesa",LANÇ_MOV[CONTAS],$C909,LANÇ_MOV[PLANO DE CONTAS],REL_DRE_FINANCEIRO!$B$855,LANÇ_MOV[ANO PAGAMENTO],$B$4,LANÇ_MOV[MÊS PAGAMENTO CORRESPONDENTE],G$6,LANÇ_MOV[EMPRESA],$C$4,LANÇ_MOV[CENTRO DE CUSTOS],$D$4)</f>
        <v>0</v>
      </c>
      <c r="H909" s="206">
        <f>SUMIFS(LANÇ_MOV[VALOR LÍQUIDO],LANÇ_MOV[RECEITA OU DESPESA],"Despesa",LANÇ_MOV[CONTAS],$C909,LANÇ_MOV[PLANO DE CONTAS],REL_DRE_FINANCEIRO!$B$855,LANÇ_MOV[ANO PAGAMENTO],$B$4,LANÇ_MOV[MÊS PAGAMENTO CORRESPONDENTE],H$6,LANÇ_MOV[EMPRESA],$C$4,LANÇ_MOV[CENTRO DE CUSTOS],$D$4)</f>
        <v>0</v>
      </c>
      <c r="I909" s="206">
        <f>SUMIFS(LANÇ_MOV[VALOR LÍQUIDO],LANÇ_MOV[RECEITA OU DESPESA],"Despesa",LANÇ_MOV[CONTAS],$C909,LANÇ_MOV[PLANO DE CONTAS],REL_DRE_FINANCEIRO!$B$855,LANÇ_MOV[ANO PAGAMENTO],$B$4,LANÇ_MOV[MÊS PAGAMENTO CORRESPONDENTE],I$6,LANÇ_MOV[EMPRESA],$C$4,LANÇ_MOV[CENTRO DE CUSTOS],$D$4)</f>
        <v>0</v>
      </c>
      <c r="J909" s="206">
        <f>SUMIFS(LANÇ_MOV[VALOR LÍQUIDO],LANÇ_MOV[RECEITA OU DESPESA],"Despesa",LANÇ_MOV[CONTAS],$C909,LANÇ_MOV[PLANO DE CONTAS],REL_DRE_FINANCEIRO!$B$855,LANÇ_MOV[ANO PAGAMENTO],$B$4,LANÇ_MOV[MÊS PAGAMENTO CORRESPONDENTE],J$6,LANÇ_MOV[EMPRESA],$C$4,LANÇ_MOV[CENTRO DE CUSTOS],$D$4)</f>
        <v>0</v>
      </c>
      <c r="K909" s="206">
        <f>SUMIFS(LANÇ_MOV[VALOR LÍQUIDO],LANÇ_MOV[RECEITA OU DESPESA],"Despesa",LANÇ_MOV[CONTAS],$C909,LANÇ_MOV[PLANO DE CONTAS],REL_DRE_FINANCEIRO!$B$855,LANÇ_MOV[ANO PAGAMENTO],$B$4,LANÇ_MOV[MÊS PAGAMENTO CORRESPONDENTE],K$6,LANÇ_MOV[EMPRESA],$C$4,LANÇ_MOV[CENTRO DE CUSTOS],$D$4)</f>
        <v>0</v>
      </c>
      <c r="L909" s="206">
        <f>SUMIFS(LANÇ_MOV[VALOR LÍQUIDO],LANÇ_MOV[RECEITA OU DESPESA],"Despesa",LANÇ_MOV[CONTAS],$C909,LANÇ_MOV[PLANO DE CONTAS],REL_DRE_FINANCEIRO!$B$855,LANÇ_MOV[ANO PAGAMENTO],$B$4,LANÇ_MOV[MÊS PAGAMENTO CORRESPONDENTE],L$6,LANÇ_MOV[EMPRESA],$C$4,LANÇ_MOV[CENTRO DE CUSTOS],$D$4)</f>
        <v>0</v>
      </c>
      <c r="M909" s="206">
        <f>SUMIFS(LANÇ_MOV[VALOR LÍQUIDO],LANÇ_MOV[RECEITA OU DESPESA],"Despesa",LANÇ_MOV[CONTAS],$C909,LANÇ_MOV[PLANO DE CONTAS],REL_DRE_FINANCEIRO!$B$855,LANÇ_MOV[ANO PAGAMENTO],$B$4,LANÇ_MOV[MÊS PAGAMENTO CORRESPONDENTE],M$6,LANÇ_MOV[EMPRESA],$C$4,LANÇ_MOV[CENTRO DE CUSTOS],$D$4)</f>
        <v>0</v>
      </c>
      <c r="N909" s="206">
        <f>SUMIFS(LANÇ_MOV[VALOR LÍQUIDO],LANÇ_MOV[RECEITA OU DESPESA],"Despesa",LANÇ_MOV[CONTAS],$C909,LANÇ_MOV[PLANO DE CONTAS],REL_DRE_FINANCEIRO!$B$855,LANÇ_MOV[ANO PAGAMENTO],$B$4,LANÇ_MOV[MÊS PAGAMENTO CORRESPONDENTE],N$6,LANÇ_MOV[EMPRESA],$C$4,LANÇ_MOV[CENTRO DE CUSTOS],$D$4)</f>
        <v>0</v>
      </c>
      <c r="O909" s="206">
        <f>SUMIFS(LANÇ_MOV[VALOR LÍQUIDO],LANÇ_MOV[RECEITA OU DESPESA],"Despesa",LANÇ_MOV[CONTAS],$C909,LANÇ_MOV[PLANO DE CONTAS],REL_DRE_FINANCEIRO!$B$855,LANÇ_MOV[ANO PAGAMENTO],$B$4,LANÇ_MOV[MÊS PAGAMENTO CORRESPONDENTE],O$6,LANÇ_MOV[EMPRESA],$C$4,LANÇ_MOV[CENTRO DE CUSTOS],$D$4)</f>
        <v>0</v>
      </c>
      <c r="P909" s="207">
        <f t="shared" si="111"/>
        <v>0</v>
      </c>
      <c r="Q909" s="329">
        <v>4.6999999999999999E-6</v>
      </c>
      <c r="R909" s="346">
        <f t="shared" si="112"/>
        <v>4.6999999999999999E-6</v>
      </c>
      <c r="S909" s="347" t="str">
        <f t="shared" si="113"/>
        <v>-</v>
      </c>
      <c r="T909" s="347">
        <f t="shared" si="114"/>
        <v>0</v>
      </c>
      <c r="U909" s="347">
        <f>HLOOKUP(Apoio!$P$12,$D$854:$P$955,X909,FALSE)+Q909</f>
        <v>4.6999999999999999E-6</v>
      </c>
      <c r="V909" s="447" t="str">
        <f t="shared" si="115"/>
        <v>-</v>
      </c>
      <c r="W909" s="448">
        <f>HLOOKUP(Apoio!$P$12,$D$854:$P$955,X909,FALSE)</f>
        <v>0</v>
      </c>
      <c r="X909" s="329">
        <v>56</v>
      </c>
    </row>
    <row r="910" spans="2:24" ht="30.05" customHeight="1" x14ac:dyDescent="0.35">
      <c r="B910" s="204" t="str">
        <f>'CAD_PL_REC-DESP'!AC59</f>
        <v>2.7.55</v>
      </c>
      <c r="C910" s="205" t="str">
        <f>IF('CAD_PL_REC-DESP'!AD59="","-",'CAD_PL_REC-DESP'!AD59)</f>
        <v>-</v>
      </c>
      <c r="D910" s="206">
        <f>SUMIFS(LANÇ_MOV[VALOR LÍQUIDO],LANÇ_MOV[RECEITA OU DESPESA],"Despesa",LANÇ_MOV[CONTAS],$C910,LANÇ_MOV[PLANO DE CONTAS],REL_DRE_FINANCEIRO!$B$855,LANÇ_MOV[ANO PAGAMENTO],$B$4,LANÇ_MOV[MÊS PAGAMENTO CORRESPONDENTE],D$6,LANÇ_MOV[EMPRESA],$C$4,LANÇ_MOV[CENTRO DE CUSTOS],$D$4)</f>
        <v>0</v>
      </c>
      <c r="E910" s="206">
        <f>SUMIFS(LANÇ_MOV[VALOR LÍQUIDO],LANÇ_MOV[RECEITA OU DESPESA],"Despesa",LANÇ_MOV[CONTAS],$C910,LANÇ_MOV[PLANO DE CONTAS],REL_DRE_FINANCEIRO!$B$855,LANÇ_MOV[ANO PAGAMENTO],$B$4,LANÇ_MOV[MÊS PAGAMENTO CORRESPONDENTE],E$6,LANÇ_MOV[EMPRESA],$C$4,LANÇ_MOV[CENTRO DE CUSTOS],$D$4)</f>
        <v>0</v>
      </c>
      <c r="F910" s="206">
        <f>SUMIFS(LANÇ_MOV[VALOR LÍQUIDO],LANÇ_MOV[RECEITA OU DESPESA],"Despesa",LANÇ_MOV[CONTAS],$C910,LANÇ_MOV[PLANO DE CONTAS],REL_DRE_FINANCEIRO!$B$855,LANÇ_MOV[ANO PAGAMENTO],$B$4,LANÇ_MOV[MÊS PAGAMENTO CORRESPONDENTE],F$6,LANÇ_MOV[EMPRESA],$C$4,LANÇ_MOV[CENTRO DE CUSTOS],$D$4)</f>
        <v>0</v>
      </c>
      <c r="G910" s="206">
        <f>SUMIFS(LANÇ_MOV[VALOR LÍQUIDO],LANÇ_MOV[RECEITA OU DESPESA],"Despesa",LANÇ_MOV[CONTAS],$C910,LANÇ_MOV[PLANO DE CONTAS],REL_DRE_FINANCEIRO!$B$855,LANÇ_MOV[ANO PAGAMENTO],$B$4,LANÇ_MOV[MÊS PAGAMENTO CORRESPONDENTE],G$6,LANÇ_MOV[EMPRESA],$C$4,LANÇ_MOV[CENTRO DE CUSTOS],$D$4)</f>
        <v>0</v>
      </c>
      <c r="H910" s="206">
        <f>SUMIFS(LANÇ_MOV[VALOR LÍQUIDO],LANÇ_MOV[RECEITA OU DESPESA],"Despesa",LANÇ_MOV[CONTAS],$C910,LANÇ_MOV[PLANO DE CONTAS],REL_DRE_FINANCEIRO!$B$855,LANÇ_MOV[ANO PAGAMENTO],$B$4,LANÇ_MOV[MÊS PAGAMENTO CORRESPONDENTE],H$6,LANÇ_MOV[EMPRESA],$C$4,LANÇ_MOV[CENTRO DE CUSTOS],$D$4)</f>
        <v>0</v>
      </c>
      <c r="I910" s="206">
        <f>SUMIFS(LANÇ_MOV[VALOR LÍQUIDO],LANÇ_MOV[RECEITA OU DESPESA],"Despesa",LANÇ_MOV[CONTAS],$C910,LANÇ_MOV[PLANO DE CONTAS],REL_DRE_FINANCEIRO!$B$855,LANÇ_MOV[ANO PAGAMENTO],$B$4,LANÇ_MOV[MÊS PAGAMENTO CORRESPONDENTE],I$6,LANÇ_MOV[EMPRESA],$C$4,LANÇ_MOV[CENTRO DE CUSTOS],$D$4)</f>
        <v>0</v>
      </c>
      <c r="J910" s="206">
        <f>SUMIFS(LANÇ_MOV[VALOR LÍQUIDO],LANÇ_MOV[RECEITA OU DESPESA],"Despesa",LANÇ_MOV[CONTAS],$C910,LANÇ_MOV[PLANO DE CONTAS],REL_DRE_FINANCEIRO!$B$855,LANÇ_MOV[ANO PAGAMENTO],$B$4,LANÇ_MOV[MÊS PAGAMENTO CORRESPONDENTE],J$6,LANÇ_MOV[EMPRESA],$C$4,LANÇ_MOV[CENTRO DE CUSTOS],$D$4)</f>
        <v>0</v>
      </c>
      <c r="K910" s="206">
        <f>SUMIFS(LANÇ_MOV[VALOR LÍQUIDO],LANÇ_MOV[RECEITA OU DESPESA],"Despesa",LANÇ_MOV[CONTAS],$C910,LANÇ_MOV[PLANO DE CONTAS],REL_DRE_FINANCEIRO!$B$855,LANÇ_MOV[ANO PAGAMENTO],$B$4,LANÇ_MOV[MÊS PAGAMENTO CORRESPONDENTE],K$6,LANÇ_MOV[EMPRESA],$C$4,LANÇ_MOV[CENTRO DE CUSTOS],$D$4)</f>
        <v>0</v>
      </c>
      <c r="L910" s="206">
        <f>SUMIFS(LANÇ_MOV[VALOR LÍQUIDO],LANÇ_MOV[RECEITA OU DESPESA],"Despesa",LANÇ_MOV[CONTAS],$C910,LANÇ_MOV[PLANO DE CONTAS],REL_DRE_FINANCEIRO!$B$855,LANÇ_MOV[ANO PAGAMENTO],$B$4,LANÇ_MOV[MÊS PAGAMENTO CORRESPONDENTE],L$6,LANÇ_MOV[EMPRESA],$C$4,LANÇ_MOV[CENTRO DE CUSTOS],$D$4)</f>
        <v>0</v>
      </c>
      <c r="M910" s="206">
        <f>SUMIFS(LANÇ_MOV[VALOR LÍQUIDO],LANÇ_MOV[RECEITA OU DESPESA],"Despesa",LANÇ_MOV[CONTAS],$C910,LANÇ_MOV[PLANO DE CONTAS],REL_DRE_FINANCEIRO!$B$855,LANÇ_MOV[ANO PAGAMENTO],$B$4,LANÇ_MOV[MÊS PAGAMENTO CORRESPONDENTE],M$6,LANÇ_MOV[EMPRESA],$C$4,LANÇ_MOV[CENTRO DE CUSTOS],$D$4)</f>
        <v>0</v>
      </c>
      <c r="N910" s="206">
        <f>SUMIFS(LANÇ_MOV[VALOR LÍQUIDO],LANÇ_MOV[RECEITA OU DESPESA],"Despesa",LANÇ_MOV[CONTAS],$C910,LANÇ_MOV[PLANO DE CONTAS],REL_DRE_FINANCEIRO!$B$855,LANÇ_MOV[ANO PAGAMENTO],$B$4,LANÇ_MOV[MÊS PAGAMENTO CORRESPONDENTE],N$6,LANÇ_MOV[EMPRESA],$C$4,LANÇ_MOV[CENTRO DE CUSTOS],$D$4)</f>
        <v>0</v>
      </c>
      <c r="O910" s="206">
        <f>SUMIFS(LANÇ_MOV[VALOR LÍQUIDO],LANÇ_MOV[RECEITA OU DESPESA],"Despesa",LANÇ_MOV[CONTAS],$C910,LANÇ_MOV[PLANO DE CONTAS],REL_DRE_FINANCEIRO!$B$855,LANÇ_MOV[ANO PAGAMENTO],$B$4,LANÇ_MOV[MÊS PAGAMENTO CORRESPONDENTE],O$6,LANÇ_MOV[EMPRESA],$C$4,LANÇ_MOV[CENTRO DE CUSTOS],$D$4)</f>
        <v>0</v>
      </c>
      <c r="P910" s="207">
        <f t="shared" si="111"/>
        <v>0</v>
      </c>
      <c r="Q910" s="329">
        <v>4.6E-6</v>
      </c>
      <c r="R910" s="346">
        <f t="shared" si="112"/>
        <v>4.6E-6</v>
      </c>
      <c r="S910" s="347" t="str">
        <f t="shared" si="113"/>
        <v>-</v>
      </c>
      <c r="T910" s="347">
        <f t="shared" si="114"/>
        <v>0</v>
      </c>
      <c r="U910" s="347">
        <f>HLOOKUP(Apoio!$P$12,$D$854:$P$955,X910,FALSE)+Q910</f>
        <v>4.6E-6</v>
      </c>
      <c r="V910" s="447" t="str">
        <f t="shared" si="115"/>
        <v>-</v>
      </c>
      <c r="W910" s="448">
        <f>HLOOKUP(Apoio!$P$12,$D$854:$P$955,X910,FALSE)</f>
        <v>0</v>
      </c>
      <c r="X910" s="329">
        <v>57</v>
      </c>
    </row>
    <row r="911" spans="2:24" ht="30.05" customHeight="1" x14ac:dyDescent="0.35">
      <c r="B911" s="204" t="str">
        <f>'CAD_PL_REC-DESP'!AC60</f>
        <v>2.7.56</v>
      </c>
      <c r="C911" s="205" t="str">
        <f>IF('CAD_PL_REC-DESP'!AD60="","-",'CAD_PL_REC-DESP'!AD60)</f>
        <v>-</v>
      </c>
      <c r="D911" s="206">
        <f>SUMIFS(LANÇ_MOV[VALOR LÍQUIDO],LANÇ_MOV[RECEITA OU DESPESA],"Despesa",LANÇ_MOV[CONTAS],$C911,LANÇ_MOV[PLANO DE CONTAS],REL_DRE_FINANCEIRO!$B$855,LANÇ_MOV[ANO PAGAMENTO],$B$4,LANÇ_MOV[MÊS PAGAMENTO CORRESPONDENTE],D$6,LANÇ_MOV[EMPRESA],$C$4,LANÇ_MOV[CENTRO DE CUSTOS],$D$4)</f>
        <v>0</v>
      </c>
      <c r="E911" s="206">
        <f>SUMIFS(LANÇ_MOV[VALOR LÍQUIDO],LANÇ_MOV[RECEITA OU DESPESA],"Despesa",LANÇ_MOV[CONTAS],$C911,LANÇ_MOV[PLANO DE CONTAS],REL_DRE_FINANCEIRO!$B$855,LANÇ_MOV[ANO PAGAMENTO],$B$4,LANÇ_MOV[MÊS PAGAMENTO CORRESPONDENTE],E$6,LANÇ_MOV[EMPRESA],$C$4,LANÇ_MOV[CENTRO DE CUSTOS],$D$4)</f>
        <v>0</v>
      </c>
      <c r="F911" s="206">
        <f>SUMIFS(LANÇ_MOV[VALOR LÍQUIDO],LANÇ_MOV[RECEITA OU DESPESA],"Despesa",LANÇ_MOV[CONTAS],$C911,LANÇ_MOV[PLANO DE CONTAS],REL_DRE_FINANCEIRO!$B$855,LANÇ_MOV[ANO PAGAMENTO],$B$4,LANÇ_MOV[MÊS PAGAMENTO CORRESPONDENTE],F$6,LANÇ_MOV[EMPRESA],$C$4,LANÇ_MOV[CENTRO DE CUSTOS],$D$4)</f>
        <v>0</v>
      </c>
      <c r="G911" s="206">
        <f>SUMIFS(LANÇ_MOV[VALOR LÍQUIDO],LANÇ_MOV[RECEITA OU DESPESA],"Despesa",LANÇ_MOV[CONTAS],$C911,LANÇ_MOV[PLANO DE CONTAS],REL_DRE_FINANCEIRO!$B$855,LANÇ_MOV[ANO PAGAMENTO],$B$4,LANÇ_MOV[MÊS PAGAMENTO CORRESPONDENTE],G$6,LANÇ_MOV[EMPRESA],$C$4,LANÇ_MOV[CENTRO DE CUSTOS],$D$4)</f>
        <v>0</v>
      </c>
      <c r="H911" s="206">
        <f>SUMIFS(LANÇ_MOV[VALOR LÍQUIDO],LANÇ_MOV[RECEITA OU DESPESA],"Despesa",LANÇ_MOV[CONTAS],$C911,LANÇ_MOV[PLANO DE CONTAS],REL_DRE_FINANCEIRO!$B$855,LANÇ_MOV[ANO PAGAMENTO],$B$4,LANÇ_MOV[MÊS PAGAMENTO CORRESPONDENTE],H$6,LANÇ_MOV[EMPRESA],$C$4,LANÇ_MOV[CENTRO DE CUSTOS],$D$4)</f>
        <v>0</v>
      </c>
      <c r="I911" s="206">
        <f>SUMIFS(LANÇ_MOV[VALOR LÍQUIDO],LANÇ_MOV[RECEITA OU DESPESA],"Despesa",LANÇ_MOV[CONTAS],$C911,LANÇ_MOV[PLANO DE CONTAS],REL_DRE_FINANCEIRO!$B$855,LANÇ_MOV[ANO PAGAMENTO],$B$4,LANÇ_MOV[MÊS PAGAMENTO CORRESPONDENTE],I$6,LANÇ_MOV[EMPRESA],$C$4,LANÇ_MOV[CENTRO DE CUSTOS],$D$4)</f>
        <v>0</v>
      </c>
      <c r="J911" s="206">
        <f>SUMIFS(LANÇ_MOV[VALOR LÍQUIDO],LANÇ_MOV[RECEITA OU DESPESA],"Despesa",LANÇ_MOV[CONTAS],$C911,LANÇ_MOV[PLANO DE CONTAS],REL_DRE_FINANCEIRO!$B$855,LANÇ_MOV[ANO PAGAMENTO],$B$4,LANÇ_MOV[MÊS PAGAMENTO CORRESPONDENTE],J$6,LANÇ_MOV[EMPRESA],$C$4,LANÇ_MOV[CENTRO DE CUSTOS],$D$4)</f>
        <v>0</v>
      </c>
      <c r="K911" s="206">
        <f>SUMIFS(LANÇ_MOV[VALOR LÍQUIDO],LANÇ_MOV[RECEITA OU DESPESA],"Despesa",LANÇ_MOV[CONTAS],$C911,LANÇ_MOV[PLANO DE CONTAS],REL_DRE_FINANCEIRO!$B$855,LANÇ_MOV[ANO PAGAMENTO],$B$4,LANÇ_MOV[MÊS PAGAMENTO CORRESPONDENTE],K$6,LANÇ_MOV[EMPRESA],$C$4,LANÇ_MOV[CENTRO DE CUSTOS],$D$4)</f>
        <v>0</v>
      </c>
      <c r="L911" s="206">
        <f>SUMIFS(LANÇ_MOV[VALOR LÍQUIDO],LANÇ_MOV[RECEITA OU DESPESA],"Despesa",LANÇ_MOV[CONTAS],$C911,LANÇ_MOV[PLANO DE CONTAS],REL_DRE_FINANCEIRO!$B$855,LANÇ_MOV[ANO PAGAMENTO],$B$4,LANÇ_MOV[MÊS PAGAMENTO CORRESPONDENTE],L$6,LANÇ_MOV[EMPRESA],$C$4,LANÇ_MOV[CENTRO DE CUSTOS],$D$4)</f>
        <v>0</v>
      </c>
      <c r="M911" s="206">
        <f>SUMIFS(LANÇ_MOV[VALOR LÍQUIDO],LANÇ_MOV[RECEITA OU DESPESA],"Despesa",LANÇ_MOV[CONTAS],$C911,LANÇ_MOV[PLANO DE CONTAS],REL_DRE_FINANCEIRO!$B$855,LANÇ_MOV[ANO PAGAMENTO],$B$4,LANÇ_MOV[MÊS PAGAMENTO CORRESPONDENTE],M$6,LANÇ_MOV[EMPRESA],$C$4,LANÇ_MOV[CENTRO DE CUSTOS],$D$4)</f>
        <v>0</v>
      </c>
      <c r="N911" s="206">
        <f>SUMIFS(LANÇ_MOV[VALOR LÍQUIDO],LANÇ_MOV[RECEITA OU DESPESA],"Despesa",LANÇ_MOV[CONTAS],$C911,LANÇ_MOV[PLANO DE CONTAS],REL_DRE_FINANCEIRO!$B$855,LANÇ_MOV[ANO PAGAMENTO],$B$4,LANÇ_MOV[MÊS PAGAMENTO CORRESPONDENTE],N$6,LANÇ_MOV[EMPRESA],$C$4,LANÇ_MOV[CENTRO DE CUSTOS],$D$4)</f>
        <v>0</v>
      </c>
      <c r="O911" s="206">
        <f>SUMIFS(LANÇ_MOV[VALOR LÍQUIDO],LANÇ_MOV[RECEITA OU DESPESA],"Despesa",LANÇ_MOV[CONTAS],$C911,LANÇ_MOV[PLANO DE CONTAS],REL_DRE_FINANCEIRO!$B$855,LANÇ_MOV[ANO PAGAMENTO],$B$4,LANÇ_MOV[MÊS PAGAMENTO CORRESPONDENTE],O$6,LANÇ_MOV[EMPRESA],$C$4,LANÇ_MOV[CENTRO DE CUSTOS],$D$4)</f>
        <v>0</v>
      </c>
      <c r="P911" s="207">
        <f t="shared" si="111"/>
        <v>0</v>
      </c>
      <c r="Q911" s="329">
        <v>4.5000000000000001E-6</v>
      </c>
      <c r="R911" s="346">
        <f t="shared" si="112"/>
        <v>4.5000000000000001E-6</v>
      </c>
      <c r="S911" s="347" t="str">
        <f t="shared" si="113"/>
        <v>-</v>
      </c>
      <c r="T911" s="347">
        <f t="shared" si="114"/>
        <v>0</v>
      </c>
      <c r="U911" s="347">
        <f>HLOOKUP(Apoio!$P$12,$D$854:$P$955,X911,FALSE)+Q911</f>
        <v>4.5000000000000001E-6</v>
      </c>
      <c r="V911" s="447" t="str">
        <f t="shared" si="115"/>
        <v>-</v>
      </c>
      <c r="W911" s="448">
        <f>HLOOKUP(Apoio!$P$12,$D$854:$P$955,X911,FALSE)</f>
        <v>0</v>
      </c>
      <c r="X911" s="329">
        <v>58</v>
      </c>
    </row>
    <row r="912" spans="2:24" ht="30.05" customHeight="1" x14ac:dyDescent="0.35">
      <c r="B912" s="204" t="str">
        <f>'CAD_PL_REC-DESP'!AC61</f>
        <v>2.7.57</v>
      </c>
      <c r="C912" s="205" t="str">
        <f>IF('CAD_PL_REC-DESP'!AD61="","-",'CAD_PL_REC-DESP'!AD61)</f>
        <v>-</v>
      </c>
      <c r="D912" s="206">
        <f>SUMIFS(LANÇ_MOV[VALOR LÍQUIDO],LANÇ_MOV[RECEITA OU DESPESA],"Despesa",LANÇ_MOV[CONTAS],$C912,LANÇ_MOV[PLANO DE CONTAS],REL_DRE_FINANCEIRO!$B$855,LANÇ_MOV[ANO PAGAMENTO],$B$4,LANÇ_MOV[MÊS PAGAMENTO CORRESPONDENTE],D$6,LANÇ_MOV[EMPRESA],$C$4,LANÇ_MOV[CENTRO DE CUSTOS],$D$4)</f>
        <v>0</v>
      </c>
      <c r="E912" s="206">
        <f>SUMIFS(LANÇ_MOV[VALOR LÍQUIDO],LANÇ_MOV[RECEITA OU DESPESA],"Despesa",LANÇ_MOV[CONTAS],$C912,LANÇ_MOV[PLANO DE CONTAS],REL_DRE_FINANCEIRO!$B$855,LANÇ_MOV[ANO PAGAMENTO],$B$4,LANÇ_MOV[MÊS PAGAMENTO CORRESPONDENTE],E$6,LANÇ_MOV[EMPRESA],$C$4,LANÇ_MOV[CENTRO DE CUSTOS],$D$4)</f>
        <v>0</v>
      </c>
      <c r="F912" s="206">
        <f>SUMIFS(LANÇ_MOV[VALOR LÍQUIDO],LANÇ_MOV[RECEITA OU DESPESA],"Despesa",LANÇ_MOV[CONTAS],$C912,LANÇ_MOV[PLANO DE CONTAS],REL_DRE_FINANCEIRO!$B$855,LANÇ_MOV[ANO PAGAMENTO],$B$4,LANÇ_MOV[MÊS PAGAMENTO CORRESPONDENTE],F$6,LANÇ_MOV[EMPRESA],$C$4,LANÇ_MOV[CENTRO DE CUSTOS],$D$4)</f>
        <v>0</v>
      </c>
      <c r="G912" s="206">
        <f>SUMIFS(LANÇ_MOV[VALOR LÍQUIDO],LANÇ_MOV[RECEITA OU DESPESA],"Despesa",LANÇ_MOV[CONTAS],$C912,LANÇ_MOV[PLANO DE CONTAS],REL_DRE_FINANCEIRO!$B$855,LANÇ_MOV[ANO PAGAMENTO],$B$4,LANÇ_MOV[MÊS PAGAMENTO CORRESPONDENTE],G$6,LANÇ_MOV[EMPRESA],$C$4,LANÇ_MOV[CENTRO DE CUSTOS],$D$4)</f>
        <v>0</v>
      </c>
      <c r="H912" s="206">
        <f>SUMIFS(LANÇ_MOV[VALOR LÍQUIDO],LANÇ_MOV[RECEITA OU DESPESA],"Despesa",LANÇ_MOV[CONTAS],$C912,LANÇ_MOV[PLANO DE CONTAS],REL_DRE_FINANCEIRO!$B$855,LANÇ_MOV[ANO PAGAMENTO],$B$4,LANÇ_MOV[MÊS PAGAMENTO CORRESPONDENTE],H$6,LANÇ_MOV[EMPRESA],$C$4,LANÇ_MOV[CENTRO DE CUSTOS],$D$4)</f>
        <v>0</v>
      </c>
      <c r="I912" s="206">
        <f>SUMIFS(LANÇ_MOV[VALOR LÍQUIDO],LANÇ_MOV[RECEITA OU DESPESA],"Despesa",LANÇ_MOV[CONTAS],$C912,LANÇ_MOV[PLANO DE CONTAS],REL_DRE_FINANCEIRO!$B$855,LANÇ_MOV[ANO PAGAMENTO],$B$4,LANÇ_MOV[MÊS PAGAMENTO CORRESPONDENTE],I$6,LANÇ_MOV[EMPRESA],$C$4,LANÇ_MOV[CENTRO DE CUSTOS],$D$4)</f>
        <v>0</v>
      </c>
      <c r="J912" s="206">
        <f>SUMIFS(LANÇ_MOV[VALOR LÍQUIDO],LANÇ_MOV[RECEITA OU DESPESA],"Despesa",LANÇ_MOV[CONTAS],$C912,LANÇ_MOV[PLANO DE CONTAS],REL_DRE_FINANCEIRO!$B$855,LANÇ_MOV[ANO PAGAMENTO],$B$4,LANÇ_MOV[MÊS PAGAMENTO CORRESPONDENTE],J$6,LANÇ_MOV[EMPRESA],$C$4,LANÇ_MOV[CENTRO DE CUSTOS],$D$4)</f>
        <v>0</v>
      </c>
      <c r="K912" s="206">
        <f>SUMIFS(LANÇ_MOV[VALOR LÍQUIDO],LANÇ_MOV[RECEITA OU DESPESA],"Despesa",LANÇ_MOV[CONTAS],$C912,LANÇ_MOV[PLANO DE CONTAS],REL_DRE_FINANCEIRO!$B$855,LANÇ_MOV[ANO PAGAMENTO],$B$4,LANÇ_MOV[MÊS PAGAMENTO CORRESPONDENTE],K$6,LANÇ_MOV[EMPRESA],$C$4,LANÇ_MOV[CENTRO DE CUSTOS],$D$4)</f>
        <v>0</v>
      </c>
      <c r="L912" s="206">
        <f>SUMIFS(LANÇ_MOV[VALOR LÍQUIDO],LANÇ_MOV[RECEITA OU DESPESA],"Despesa",LANÇ_MOV[CONTAS],$C912,LANÇ_MOV[PLANO DE CONTAS],REL_DRE_FINANCEIRO!$B$855,LANÇ_MOV[ANO PAGAMENTO],$B$4,LANÇ_MOV[MÊS PAGAMENTO CORRESPONDENTE],L$6,LANÇ_MOV[EMPRESA],$C$4,LANÇ_MOV[CENTRO DE CUSTOS],$D$4)</f>
        <v>0</v>
      </c>
      <c r="M912" s="206">
        <f>SUMIFS(LANÇ_MOV[VALOR LÍQUIDO],LANÇ_MOV[RECEITA OU DESPESA],"Despesa",LANÇ_MOV[CONTAS],$C912,LANÇ_MOV[PLANO DE CONTAS],REL_DRE_FINANCEIRO!$B$855,LANÇ_MOV[ANO PAGAMENTO],$B$4,LANÇ_MOV[MÊS PAGAMENTO CORRESPONDENTE],M$6,LANÇ_MOV[EMPRESA],$C$4,LANÇ_MOV[CENTRO DE CUSTOS],$D$4)</f>
        <v>0</v>
      </c>
      <c r="N912" s="206">
        <f>SUMIFS(LANÇ_MOV[VALOR LÍQUIDO],LANÇ_MOV[RECEITA OU DESPESA],"Despesa",LANÇ_MOV[CONTAS],$C912,LANÇ_MOV[PLANO DE CONTAS],REL_DRE_FINANCEIRO!$B$855,LANÇ_MOV[ANO PAGAMENTO],$B$4,LANÇ_MOV[MÊS PAGAMENTO CORRESPONDENTE],N$6,LANÇ_MOV[EMPRESA],$C$4,LANÇ_MOV[CENTRO DE CUSTOS],$D$4)</f>
        <v>0</v>
      </c>
      <c r="O912" s="206">
        <f>SUMIFS(LANÇ_MOV[VALOR LÍQUIDO],LANÇ_MOV[RECEITA OU DESPESA],"Despesa",LANÇ_MOV[CONTAS],$C912,LANÇ_MOV[PLANO DE CONTAS],REL_DRE_FINANCEIRO!$B$855,LANÇ_MOV[ANO PAGAMENTO],$B$4,LANÇ_MOV[MÊS PAGAMENTO CORRESPONDENTE],O$6,LANÇ_MOV[EMPRESA],$C$4,LANÇ_MOV[CENTRO DE CUSTOS],$D$4)</f>
        <v>0</v>
      </c>
      <c r="P912" s="207">
        <f t="shared" si="111"/>
        <v>0</v>
      </c>
      <c r="Q912" s="329">
        <v>4.4000000000000002E-6</v>
      </c>
      <c r="R912" s="346">
        <f t="shared" si="112"/>
        <v>4.4000000000000002E-6</v>
      </c>
      <c r="S912" s="347" t="str">
        <f t="shared" si="113"/>
        <v>-</v>
      </c>
      <c r="T912" s="347">
        <f t="shared" si="114"/>
        <v>0</v>
      </c>
      <c r="U912" s="347">
        <f>HLOOKUP(Apoio!$P$12,$D$854:$P$955,X912,FALSE)+Q912</f>
        <v>4.4000000000000002E-6</v>
      </c>
      <c r="V912" s="447" t="str">
        <f t="shared" si="115"/>
        <v>-</v>
      </c>
      <c r="W912" s="448">
        <f>HLOOKUP(Apoio!$P$12,$D$854:$P$955,X912,FALSE)</f>
        <v>0</v>
      </c>
      <c r="X912" s="329">
        <v>59</v>
      </c>
    </row>
    <row r="913" spans="2:24" ht="30.05" customHeight="1" x14ac:dyDescent="0.35">
      <c r="B913" s="204" t="str">
        <f>'CAD_PL_REC-DESP'!AC62</f>
        <v>2.7.58</v>
      </c>
      <c r="C913" s="205" t="str">
        <f>IF('CAD_PL_REC-DESP'!AD62="","-",'CAD_PL_REC-DESP'!AD62)</f>
        <v>-</v>
      </c>
      <c r="D913" s="206">
        <f>SUMIFS(LANÇ_MOV[VALOR LÍQUIDO],LANÇ_MOV[RECEITA OU DESPESA],"Despesa",LANÇ_MOV[CONTAS],$C913,LANÇ_MOV[PLANO DE CONTAS],REL_DRE_FINANCEIRO!$B$855,LANÇ_MOV[ANO PAGAMENTO],$B$4,LANÇ_MOV[MÊS PAGAMENTO CORRESPONDENTE],D$6,LANÇ_MOV[EMPRESA],$C$4,LANÇ_MOV[CENTRO DE CUSTOS],$D$4)</f>
        <v>0</v>
      </c>
      <c r="E913" s="206">
        <f>SUMIFS(LANÇ_MOV[VALOR LÍQUIDO],LANÇ_MOV[RECEITA OU DESPESA],"Despesa",LANÇ_MOV[CONTAS],$C913,LANÇ_MOV[PLANO DE CONTAS],REL_DRE_FINANCEIRO!$B$855,LANÇ_MOV[ANO PAGAMENTO],$B$4,LANÇ_MOV[MÊS PAGAMENTO CORRESPONDENTE],E$6,LANÇ_MOV[EMPRESA],$C$4,LANÇ_MOV[CENTRO DE CUSTOS],$D$4)</f>
        <v>0</v>
      </c>
      <c r="F913" s="206">
        <f>SUMIFS(LANÇ_MOV[VALOR LÍQUIDO],LANÇ_MOV[RECEITA OU DESPESA],"Despesa",LANÇ_MOV[CONTAS],$C913,LANÇ_MOV[PLANO DE CONTAS],REL_DRE_FINANCEIRO!$B$855,LANÇ_MOV[ANO PAGAMENTO],$B$4,LANÇ_MOV[MÊS PAGAMENTO CORRESPONDENTE],F$6,LANÇ_MOV[EMPRESA],$C$4,LANÇ_MOV[CENTRO DE CUSTOS],$D$4)</f>
        <v>0</v>
      </c>
      <c r="G913" s="206">
        <f>SUMIFS(LANÇ_MOV[VALOR LÍQUIDO],LANÇ_MOV[RECEITA OU DESPESA],"Despesa",LANÇ_MOV[CONTAS],$C913,LANÇ_MOV[PLANO DE CONTAS],REL_DRE_FINANCEIRO!$B$855,LANÇ_MOV[ANO PAGAMENTO],$B$4,LANÇ_MOV[MÊS PAGAMENTO CORRESPONDENTE],G$6,LANÇ_MOV[EMPRESA],$C$4,LANÇ_MOV[CENTRO DE CUSTOS],$D$4)</f>
        <v>0</v>
      </c>
      <c r="H913" s="206">
        <f>SUMIFS(LANÇ_MOV[VALOR LÍQUIDO],LANÇ_MOV[RECEITA OU DESPESA],"Despesa",LANÇ_MOV[CONTAS],$C913,LANÇ_MOV[PLANO DE CONTAS],REL_DRE_FINANCEIRO!$B$855,LANÇ_MOV[ANO PAGAMENTO],$B$4,LANÇ_MOV[MÊS PAGAMENTO CORRESPONDENTE],H$6,LANÇ_MOV[EMPRESA],$C$4,LANÇ_MOV[CENTRO DE CUSTOS],$D$4)</f>
        <v>0</v>
      </c>
      <c r="I913" s="206">
        <f>SUMIFS(LANÇ_MOV[VALOR LÍQUIDO],LANÇ_MOV[RECEITA OU DESPESA],"Despesa",LANÇ_MOV[CONTAS],$C913,LANÇ_MOV[PLANO DE CONTAS],REL_DRE_FINANCEIRO!$B$855,LANÇ_MOV[ANO PAGAMENTO],$B$4,LANÇ_MOV[MÊS PAGAMENTO CORRESPONDENTE],I$6,LANÇ_MOV[EMPRESA],$C$4,LANÇ_MOV[CENTRO DE CUSTOS],$D$4)</f>
        <v>0</v>
      </c>
      <c r="J913" s="206">
        <f>SUMIFS(LANÇ_MOV[VALOR LÍQUIDO],LANÇ_MOV[RECEITA OU DESPESA],"Despesa",LANÇ_MOV[CONTAS],$C913,LANÇ_MOV[PLANO DE CONTAS],REL_DRE_FINANCEIRO!$B$855,LANÇ_MOV[ANO PAGAMENTO],$B$4,LANÇ_MOV[MÊS PAGAMENTO CORRESPONDENTE],J$6,LANÇ_MOV[EMPRESA],$C$4,LANÇ_MOV[CENTRO DE CUSTOS],$D$4)</f>
        <v>0</v>
      </c>
      <c r="K913" s="206">
        <f>SUMIFS(LANÇ_MOV[VALOR LÍQUIDO],LANÇ_MOV[RECEITA OU DESPESA],"Despesa",LANÇ_MOV[CONTAS],$C913,LANÇ_MOV[PLANO DE CONTAS],REL_DRE_FINANCEIRO!$B$855,LANÇ_MOV[ANO PAGAMENTO],$B$4,LANÇ_MOV[MÊS PAGAMENTO CORRESPONDENTE],K$6,LANÇ_MOV[EMPRESA],$C$4,LANÇ_MOV[CENTRO DE CUSTOS],$D$4)</f>
        <v>0</v>
      </c>
      <c r="L913" s="206">
        <f>SUMIFS(LANÇ_MOV[VALOR LÍQUIDO],LANÇ_MOV[RECEITA OU DESPESA],"Despesa",LANÇ_MOV[CONTAS],$C913,LANÇ_MOV[PLANO DE CONTAS],REL_DRE_FINANCEIRO!$B$855,LANÇ_MOV[ANO PAGAMENTO],$B$4,LANÇ_MOV[MÊS PAGAMENTO CORRESPONDENTE],L$6,LANÇ_MOV[EMPRESA],$C$4,LANÇ_MOV[CENTRO DE CUSTOS],$D$4)</f>
        <v>0</v>
      </c>
      <c r="M913" s="206">
        <f>SUMIFS(LANÇ_MOV[VALOR LÍQUIDO],LANÇ_MOV[RECEITA OU DESPESA],"Despesa",LANÇ_MOV[CONTAS],$C913,LANÇ_MOV[PLANO DE CONTAS],REL_DRE_FINANCEIRO!$B$855,LANÇ_MOV[ANO PAGAMENTO],$B$4,LANÇ_MOV[MÊS PAGAMENTO CORRESPONDENTE],M$6,LANÇ_MOV[EMPRESA],$C$4,LANÇ_MOV[CENTRO DE CUSTOS],$D$4)</f>
        <v>0</v>
      </c>
      <c r="N913" s="206">
        <f>SUMIFS(LANÇ_MOV[VALOR LÍQUIDO],LANÇ_MOV[RECEITA OU DESPESA],"Despesa",LANÇ_MOV[CONTAS],$C913,LANÇ_MOV[PLANO DE CONTAS],REL_DRE_FINANCEIRO!$B$855,LANÇ_MOV[ANO PAGAMENTO],$B$4,LANÇ_MOV[MÊS PAGAMENTO CORRESPONDENTE],N$6,LANÇ_MOV[EMPRESA],$C$4,LANÇ_MOV[CENTRO DE CUSTOS],$D$4)</f>
        <v>0</v>
      </c>
      <c r="O913" s="206">
        <f>SUMIFS(LANÇ_MOV[VALOR LÍQUIDO],LANÇ_MOV[RECEITA OU DESPESA],"Despesa",LANÇ_MOV[CONTAS],$C913,LANÇ_MOV[PLANO DE CONTAS],REL_DRE_FINANCEIRO!$B$855,LANÇ_MOV[ANO PAGAMENTO],$B$4,LANÇ_MOV[MÊS PAGAMENTO CORRESPONDENTE],O$6,LANÇ_MOV[EMPRESA],$C$4,LANÇ_MOV[CENTRO DE CUSTOS],$D$4)</f>
        <v>0</v>
      </c>
      <c r="P913" s="207">
        <f t="shared" si="111"/>
        <v>0</v>
      </c>
      <c r="Q913" s="329">
        <v>4.3000000000000003E-6</v>
      </c>
      <c r="R913" s="346">
        <f t="shared" si="112"/>
        <v>4.3000000000000003E-6</v>
      </c>
      <c r="S913" s="347" t="str">
        <f t="shared" si="113"/>
        <v>-</v>
      </c>
      <c r="T913" s="347">
        <f t="shared" si="114"/>
        <v>0</v>
      </c>
      <c r="U913" s="347">
        <f>HLOOKUP(Apoio!$P$12,$D$854:$P$955,X913,FALSE)+Q913</f>
        <v>4.3000000000000003E-6</v>
      </c>
      <c r="V913" s="447" t="str">
        <f t="shared" si="115"/>
        <v>-</v>
      </c>
      <c r="W913" s="448">
        <f>HLOOKUP(Apoio!$P$12,$D$854:$P$955,X913,FALSE)</f>
        <v>0</v>
      </c>
      <c r="X913" s="329">
        <v>60</v>
      </c>
    </row>
    <row r="914" spans="2:24" ht="30.05" customHeight="1" x14ac:dyDescent="0.35">
      <c r="B914" s="204" t="str">
        <f>'CAD_PL_REC-DESP'!AC63</f>
        <v>2.7.59</v>
      </c>
      <c r="C914" s="205" t="str">
        <f>IF('CAD_PL_REC-DESP'!AD63="","-",'CAD_PL_REC-DESP'!AD63)</f>
        <v>-</v>
      </c>
      <c r="D914" s="206">
        <f>SUMIFS(LANÇ_MOV[VALOR LÍQUIDO],LANÇ_MOV[RECEITA OU DESPESA],"Despesa",LANÇ_MOV[CONTAS],$C914,LANÇ_MOV[PLANO DE CONTAS],REL_DRE_FINANCEIRO!$B$855,LANÇ_MOV[ANO PAGAMENTO],$B$4,LANÇ_MOV[MÊS PAGAMENTO CORRESPONDENTE],D$6,LANÇ_MOV[EMPRESA],$C$4,LANÇ_MOV[CENTRO DE CUSTOS],$D$4)</f>
        <v>0</v>
      </c>
      <c r="E914" s="206">
        <f>SUMIFS(LANÇ_MOV[VALOR LÍQUIDO],LANÇ_MOV[RECEITA OU DESPESA],"Despesa",LANÇ_MOV[CONTAS],$C914,LANÇ_MOV[PLANO DE CONTAS],REL_DRE_FINANCEIRO!$B$855,LANÇ_MOV[ANO PAGAMENTO],$B$4,LANÇ_MOV[MÊS PAGAMENTO CORRESPONDENTE],E$6,LANÇ_MOV[EMPRESA],$C$4,LANÇ_MOV[CENTRO DE CUSTOS],$D$4)</f>
        <v>0</v>
      </c>
      <c r="F914" s="206">
        <f>SUMIFS(LANÇ_MOV[VALOR LÍQUIDO],LANÇ_MOV[RECEITA OU DESPESA],"Despesa",LANÇ_MOV[CONTAS],$C914,LANÇ_MOV[PLANO DE CONTAS],REL_DRE_FINANCEIRO!$B$855,LANÇ_MOV[ANO PAGAMENTO],$B$4,LANÇ_MOV[MÊS PAGAMENTO CORRESPONDENTE],F$6,LANÇ_MOV[EMPRESA],$C$4,LANÇ_MOV[CENTRO DE CUSTOS],$D$4)</f>
        <v>0</v>
      </c>
      <c r="G914" s="206">
        <f>SUMIFS(LANÇ_MOV[VALOR LÍQUIDO],LANÇ_MOV[RECEITA OU DESPESA],"Despesa",LANÇ_MOV[CONTAS],$C914,LANÇ_MOV[PLANO DE CONTAS],REL_DRE_FINANCEIRO!$B$855,LANÇ_MOV[ANO PAGAMENTO],$B$4,LANÇ_MOV[MÊS PAGAMENTO CORRESPONDENTE],G$6,LANÇ_MOV[EMPRESA],$C$4,LANÇ_MOV[CENTRO DE CUSTOS],$D$4)</f>
        <v>0</v>
      </c>
      <c r="H914" s="206">
        <f>SUMIFS(LANÇ_MOV[VALOR LÍQUIDO],LANÇ_MOV[RECEITA OU DESPESA],"Despesa",LANÇ_MOV[CONTAS],$C914,LANÇ_MOV[PLANO DE CONTAS],REL_DRE_FINANCEIRO!$B$855,LANÇ_MOV[ANO PAGAMENTO],$B$4,LANÇ_MOV[MÊS PAGAMENTO CORRESPONDENTE],H$6,LANÇ_MOV[EMPRESA],$C$4,LANÇ_MOV[CENTRO DE CUSTOS],$D$4)</f>
        <v>0</v>
      </c>
      <c r="I914" s="206">
        <f>SUMIFS(LANÇ_MOV[VALOR LÍQUIDO],LANÇ_MOV[RECEITA OU DESPESA],"Despesa",LANÇ_MOV[CONTAS],$C914,LANÇ_MOV[PLANO DE CONTAS],REL_DRE_FINANCEIRO!$B$855,LANÇ_MOV[ANO PAGAMENTO],$B$4,LANÇ_MOV[MÊS PAGAMENTO CORRESPONDENTE],I$6,LANÇ_MOV[EMPRESA],$C$4,LANÇ_MOV[CENTRO DE CUSTOS],$D$4)</f>
        <v>0</v>
      </c>
      <c r="J914" s="206">
        <f>SUMIFS(LANÇ_MOV[VALOR LÍQUIDO],LANÇ_MOV[RECEITA OU DESPESA],"Despesa",LANÇ_MOV[CONTAS],$C914,LANÇ_MOV[PLANO DE CONTAS],REL_DRE_FINANCEIRO!$B$855,LANÇ_MOV[ANO PAGAMENTO],$B$4,LANÇ_MOV[MÊS PAGAMENTO CORRESPONDENTE],J$6,LANÇ_MOV[EMPRESA],$C$4,LANÇ_MOV[CENTRO DE CUSTOS],$D$4)</f>
        <v>0</v>
      </c>
      <c r="K914" s="206">
        <f>SUMIFS(LANÇ_MOV[VALOR LÍQUIDO],LANÇ_MOV[RECEITA OU DESPESA],"Despesa",LANÇ_MOV[CONTAS],$C914,LANÇ_MOV[PLANO DE CONTAS],REL_DRE_FINANCEIRO!$B$855,LANÇ_MOV[ANO PAGAMENTO],$B$4,LANÇ_MOV[MÊS PAGAMENTO CORRESPONDENTE],K$6,LANÇ_MOV[EMPRESA],$C$4,LANÇ_MOV[CENTRO DE CUSTOS],$D$4)</f>
        <v>0</v>
      </c>
      <c r="L914" s="206">
        <f>SUMIFS(LANÇ_MOV[VALOR LÍQUIDO],LANÇ_MOV[RECEITA OU DESPESA],"Despesa",LANÇ_MOV[CONTAS],$C914,LANÇ_MOV[PLANO DE CONTAS],REL_DRE_FINANCEIRO!$B$855,LANÇ_MOV[ANO PAGAMENTO],$B$4,LANÇ_MOV[MÊS PAGAMENTO CORRESPONDENTE],L$6,LANÇ_MOV[EMPRESA],$C$4,LANÇ_MOV[CENTRO DE CUSTOS],$D$4)</f>
        <v>0</v>
      </c>
      <c r="M914" s="206">
        <f>SUMIFS(LANÇ_MOV[VALOR LÍQUIDO],LANÇ_MOV[RECEITA OU DESPESA],"Despesa",LANÇ_MOV[CONTAS],$C914,LANÇ_MOV[PLANO DE CONTAS],REL_DRE_FINANCEIRO!$B$855,LANÇ_MOV[ANO PAGAMENTO],$B$4,LANÇ_MOV[MÊS PAGAMENTO CORRESPONDENTE],M$6,LANÇ_MOV[EMPRESA],$C$4,LANÇ_MOV[CENTRO DE CUSTOS],$D$4)</f>
        <v>0</v>
      </c>
      <c r="N914" s="206">
        <f>SUMIFS(LANÇ_MOV[VALOR LÍQUIDO],LANÇ_MOV[RECEITA OU DESPESA],"Despesa",LANÇ_MOV[CONTAS],$C914,LANÇ_MOV[PLANO DE CONTAS],REL_DRE_FINANCEIRO!$B$855,LANÇ_MOV[ANO PAGAMENTO],$B$4,LANÇ_MOV[MÊS PAGAMENTO CORRESPONDENTE],N$6,LANÇ_MOV[EMPRESA],$C$4,LANÇ_MOV[CENTRO DE CUSTOS],$D$4)</f>
        <v>0</v>
      </c>
      <c r="O914" s="206">
        <f>SUMIFS(LANÇ_MOV[VALOR LÍQUIDO],LANÇ_MOV[RECEITA OU DESPESA],"Despesa",LANÇ_MOV[CONTAS],$C914,LANÇ_MOV[PLANO DE CONTAS],REL_DRE_FINANCEIRO!$B$855,LANÇ_MOV[ANO PAGAMENTO],$B$4,LANÇ_MOV[MÊS PAGAMENTO CORRESPONDENTE],O$6,LANÇ_MOV[EMPRESA],$C$4,LANÇ_MOV[CENTRO DE CUSTOS],$D$4)</f>
        <v>0</v>
      </c>
      <c r="P914" s="207">
        <f t="shared" si="111"/>
        <v>0</v>
      </c>
      <c r="Q914" s="329">
        <v>4.1999999999999996E-6</v>
      </c>
      <c r="R914" s="346">
        <f t="shared" si="112"/>
        <v>4.1999999999999996E-6</v>
      </c>
      <c r="S914" s="347" t="str">
        <f t="shared" si="113"/>
        <v>-</v>
      </c>
      <c r="T914" s="347">
        <f t="shared" si="114"/>
        <v>0</v>
      </c>
      <c r="U914" s="347">
        <f>HLOOKUP(Apoio!$P$12,$D$854:$P$955,X914,FALSE)+Q914</f>
        <v>4.1999999999999996E-6</v>
      </c>
      <c r="V914" s="447" t="str">
        <f t="shared" si="115"/>
        <v>-</v>
      </c>
      <c r="W914" s="448">
        <f>HLOOKUP(Apoio!$P$12,$D$854:$P$955,X914,FALSE)</f>
        <v>0</v>
      </c>
      <c r="X914" s="329">
        <v>61</v>
      </c>
    </row>
    <row r="915" spans="2:24" ht="30.05" customHeight="1" x14ac:dyDescent="0.35">
      <c r="B915" s="204" t="str">
        <f>'CAD_PL_REC-DESP'!AC64</f>
        <v>2.7.60</v>
      </c>
      <c r="C915" s="205" t="str">
        <f>IF('CAD_PL_REC-DESP'!AD64="","-",'CAD_PL_REC-DESP'!AD64)</f>
        <v>-</v>
      </c>
      <c r="D915" s="206">
        <f>SUMIFS(LANÇ_MOV[VALOR LÍQUIDO],LANÇ_MOV[RECEITA OU DESPESA],"Despesa",LANÇ_MOV[CONTAS],$C915,LANÇ_MOV[PLANO DE CONTAS],REL_DRE_FINANCEIRO!$B$855,LANÇ_MOV[ANO PAGAMENTO],$B$4,LANÇ_MOV[MÊS PAGAMENTO CORRESPONDENTE],D$6,LANÇ_MOV[EMPRESA],$C$4,LANÇ_MOV[CENTRO DE CUSTOS],$D$4)</f>
        <v>0</v>
      </c>
      <c r="E915" s="206">
        <f>SUMIFS(LANÇ_MOV[VALOR LÍQUIDO],LANÇ_MOV[RECEITA OU DESPESA],"Despesa",LANÇ_MOV[CONTAS],$C915,LANÇ_MOV[PLANO DE CONTAS],REL_DRE_FINANCEIRO!$B$855,LANÇ_MOV[ANO PAGAMENTO],$B$4,LANÇ_MOV[MÊS PAGAMENTO CORRESPONDENTE],E$6,LANÇ_MOV[EMPRESA],$C$4,LANÇ_MOV[CENTRO DE CUSTOS],$D$4)</f>
        <v>0</v>
      </c>
      <c r="F915" s="206">
        <f>SUMIFS(LANÇ_MOV[VALOR LÍQUIDO],LANÇ_MOV[RECEITA OU DESPESA],"Despesa",LANÇ_MOV[CONTAS],$C915,LANÇ_MOV[PLANO DE CONTAS],REL_DRE_FINANCEIRO!$B$855,LANÇ_MOV[ANO PAGAMENTO],$B$4,LANÇ_MOV[MÊS PAGAMENTO CORRESPONDENTE],F$6,LANÇ_MOV[EMPRESA],$C$4,LANÇ_MOV[CENTRO DE CUSTOS],$D$4)</f>
        <v>0</v>
      </c>
      <c r="G915" s="206">
        <f>SUMIFS(LANÇ_MOV[VALOR LÍQUIDO],LANÇ_MOV[RECEITA OU DESPESA],"Despesa",LANÇ_MOV[CONTAS],$C915,LANÇ_MOV[PLANO DE CONTAS],REL_DRE_FINANCEIRO!$B$855,LANÇ_MOV[ANO PAGAMENTO],$B$4,LANÇ_MOV[MÊS PAGAMENTO CORRESPONDENTE],G$6,LANÇ_MOV[EMPRESA],$C$4,LANÇ_MOV[CENTRO DE CUSTOS],$D$4)</f>
        <v>0</v>
      </c>
      <c r="H915" s="206">
        <f>SUMIFS(LANÇ_MOV[VALOR LÍQUIDO],LANÇ_MOV[RECEITA OU DESPESA],"Despesa",LANÇ_MOV[CONTAS],$C915,LANÇ_MOV[PLANO DE CONTAS],REL_DRE_FINANCEIRO!$B$855,LANÇ_MOV[ANO PAGAMENTO],$B$4,LANÇ_MOV[MÊS PAGAMENTO CORRESPONDENTE],H$6,LANÇ_MOV[EMPRESA],$C$4,LANÇ_MOV[CENTRO DE CUSTOS],$D$4)</f>
        <v>0</v>
      </c>
      <c r="I915" s="206">
        <f>SUMIFS(LANÇ_MOV[VALOR LÍQUIDO],LANÇ_MOV[RECEITA OU DESPESA],"Despesa",LANÇ_MOV[CONTAS],$C915,LANÇ_MOV[PLANO DE CONTAS],REL_DRE_FINANCEIRO!$B$855,LANÇ_MOV[ANO PAGAMENTO],$B$4,LANÇ_MOV[MÊS PAGAMENTO CORRESPONDENTE],I$6,LANÇ_MOV[EMPRESA],$C$4,LANÇ_MOV[CENTRO DE CUSTOS],$D$4)</f>
        <v>0</v>
      </c>
      <c r="J915" s="206">
        <f>SUMIFS(LANÇ_MOV[VALOR LÍQUIDO],LANÇ_MOV[RECEITA OU DESPESA],"Despesa",LANÇ_MOV[CONTAS],$C915,LANÇ_MOV[PLANO DE CONTAS],REL_DRE_FINANCEIRO!$B$855,LANÇ_MOV[ANO PAGAMENTO],$B$4,LANÇ_MOV[MÊS PAGAMENTO CORRESPONDENTE],J$6,LANÇ_MOV[EMPRESA],$C$4,LANÇ_MOV[CENTRO DE CUSTOS],$D$4)</f>
        <v>0</v>
      </c>
      <c r="K915" s="206">
        <f>SUMIFS(LANÇ_MOV[VALOR LÍQUIDO],LANÇ_MOV[RECEITA OU DESPESA],"Despesa",LANÇ_MOV[CONTAS],$C915,LANÇ_MOV[PLANO DE CONTAS],REL_DRE_FINANCEIRO!$B$855,LANÇ_MOV[ANO PAGAMENTO],$B$4,LANÇ_MOV[MÊS PAGAMENTO CORRESPONDENTE],K$6,LANÇ_MOV[EMPRESA],$C$4,LANÇ_MOV[CENTRO DE CUSTOS],$D$4)</f>
        <v>0</v>
      </c>
      <c r="L915" s="206">
        <f>SUMIFS(LANÇ_MOV[VALOR LÍQUIDO],LANÇ_MOV[RECEITA OU DESPESA],"Despesa",LANÇ_MOV[CONTAS],$C915,LANÇ_MOV[PLANO DE CONTAS],REL_DRE_FINANCEIRO!$B$855,LANÇ_MOV[ANO PAGAMENTO],$B$4,LANÇ_MOV[MÊS PAGAMENTO CORRESPONDENTE],L$6,LANÇ_MOV[EMPRESA],$C$4,LANÇ_MOV[CENTRO DE CUSTOS],$D$4)</f>
        <v>0</v>
      </c>
      <c r="M915" s="206">
        <f>SUMIFS(LANÇ_MOV[VALOR LÍQUIDO],LANÇ_MOV[RECEITA OU DESPESA],"Despesa",LANÇ_MOV[CONTAS],$C915,LANÇ_MOV[PLANO DE CONTAS],REL_DRE_FINANCEIRO!$B$855,LANÇ_MOV[ANO PAGAMENTO],$B$4,LANÇ_MOV[MÊS PAGAMENTO CORRESPONDENTE],M$6,LANÇ_MOV[EMPRESA],$C$4,LANÇ_MOV[CENTRO DE CUSTOS],$D$4)</f>
        <v>0</v>
      </c>
      <c r="N915" s="206">
        <f>SUMIFS(LANÇ_MOV[VALOR LÍQUIDO],LANÇ_MOV[RECEITA OU DESPESA],"Despesa",LANÇ_MOV[CONTAS],$C915,LANÇ_MOV[PLANO DE CONTAS],REL_DRE_FINANCEIRO!$B$855,LANÇ_MOV[ANO PAGAMENTO],$B$4,LANÇ_MOV[MÊS PAGAMENTO CORRESPONDENTE],N$6,LANÇ_MOV[EMPRESA],$C$4,LANÇ_MOV[CENTRO DE CUSTOS],$D$4)</f>
        <v>0</v>
      </c>
      <c r="O915" s="206">
        <f>SUMIFS(LANÇ_MOV[VALOR LÍQUIDO],LANÇ_MOV[RECEITA OU DESPESA],"Despesa",LANÇ_MOV[CONTAS],$C915,LANÇ_MOV[PLANO DE CONTAS],REL_DRE_FINANCEIRO!$B$855,LANÇ_MOV[ANO PAGAMENTO],$B$4,LANÇ_MOV[MÊS PAGAMENTO CORRESPONDENTE],O$6,LANÇ_MOV[EMPRESA],$C$4,LANÇ_MOV[CENTRO DE CUSTOS],$D$4)</f>
        <v>0</v>
      </c>
      <c r="P915" s="207">
        <f t="shared" si="111"/>
        <v>0</v>
      </c>
      <c r="Q915" s="329">
        <v>4.0999999999999997E-6</v>
      </c>
      <c r="R915" s="346">
        <f t="shared" si="112"/>
        <v>4.0999999999999997E-6</v>
      </c>
      <c r="S915" s="347" t="str">
        <f t="shared" si="113"/>
        <v>-</v>
      </c>
      <c r="T915" s="347">
        <f t="shared" si="114"/>
        <v>0</v>
      </c>
      <c r="U915" s="347">
        <f>HLOOKUP(Apoio!$P$12,$D$854:$P$955,X915,FALSE)+Q915</f>
        <v>4.0999999999999997E-6</v>
      </c>
      <c r="V915" s="447" t="str">
        <f t="shared" si="115"/>
        <v>-</v>
      </c>
      <c r="W915" s="448">
        <f>HLOOKUP(Apoio!$P$12,$D$854:$P$955,X915,FALSE)</f>
        <v>0</v>
      </c>
      <c r="X915" s="329">
        <v>62</v>
      </c>
    </row>
    <row r="916" spans="2:24" ht="30.05" customHeight="1" x14ac:dyDescent="0.35">
      <c r="B916" s="204" t="str">
        <f>'CAD_PL_REC-DESP'!AC65</f>
        <v>2.7.61</v>
      </c>
      <c r="C916" s="205" t="str">
        <f>IF('CAD_PL_REC-DESP'!AD65="","-",'CAD_PL_REC-DESP'!AD65)</f>
        <v>-</v>
      </c>
      <c r="D916" s="206">
        <f>SUMIFS(LANÇ_MOV[VALOR LÍQUIDO],LANÇ_MOV[RECEITA OU DESPESA],"Despesa",LANÇ_MOV[CONTAS],$C916,LANÇ_MOV[PLANO DE CONTAS],REL_DRE_FINANCEIRO!$B$855,LANÇ_MOV[ANO PAGAMENTO],$B$4,LANÇ_MOV[MÊS PAGAMENTO CORRESPONDENTE],D$6,LANÇ_MOV[EMPRESA],$C$4,LANÇ_MOV[CENTRO DE CUSTOS],$D$4)</f>
        <v>0</v>
      </c>
      <c r="E916" s="206">
        <f>SUMIFS(LANÇ_MOV[VALOR LÍQUIDO],LANÇ_MOV[RECEITA OU DESPESA],"Despesa",LANÇ_MOV[CONTAS],$C916,LANÇ_MOV[PLANO DE CONTAS],REL_DRE_FINANCEIRO!$B$855,LANÇ_MOV[ANO PAGAMENTO],$B$4,LANÇ_MOV[MÊS PAGAMENTO CORRESPONDENTE],E$6,LANÇ_MOV[EMPRESA],$C$4,LANÇ_MOV[CENTRO DE CUSTOS],$D$4)</f>
        <v>0</v>
      </c>
      <c r="F916" s="206">
        <f>SUMIFS(LANÇ_MOV[VALOR LÍQUIDO],LANÇ_MOV[RECEITA OU DESPESA],"Despesa",LANÇ_MOV[CONTAS],$C916,LANÇ_MOV[PLANO DE CONTAS],REL_DRE_FINANCEIRO!$B$855,LANÇ_MOV[ANO PAGAMENTO],$B$4,LANÇ_MOV[MÊS PAGAMENTO CORRESPONDENTE],F$6,LANÇ_MOV[EMPRESA],$C$4,LANÇ_MOV[CENTRO DE CUSTOS],$D$4)</f>
        <v>0</v>
      </c>
      <c r="G916" s="206">
        <f>SUMIFS(LANÇ_MOV[VALOR LÍQUIDO],LANÇ_MOV[RECEITA OU DESPESA],"Despesa",LANÇ_MOV[CONTAS],$C916,LANÇ_MOV[PLANO DE CONTAS],REL_DRE_FINANCEIRO!$B$855,LANÇ_MOV[ANO PAGAMENTO],$B$4,LANÇ_MOV[MÊS PAGAMENTO CORRESPONDENTE],G$6,LANÇ_MOV[EMPRESA],$C$4,LANÇ_MOV[CENTRO DE CUSTOS],$D$4)</f>
        <v>0</v>
      </c>
      <c r="H916" s="206">
        <f>SUMIFS(LANÇ_MOV[VALOR LÍQUIDO],LANÇ_MOV[RECEITA OU DESPESA],"Despesa",LANÇ_MOV[CONTAS],$C916,LANÇ_MOV[PLANO DE CONTAS],REL_DRE_FINANCEIRO!$B$855,LANÇ_MOV[ANO PAGAMENTO],$B$4,LANÇ_MOV[MÊS PAGAMENTO CORRESPONDENTE],H$6,LANÇ_MOV[EMPRESA],$C$4,LANÇ_MOV[CENTRO DE CUSTOS],$D$4)</f>
        <v>0</v>
      </c>
      <c r="I916" s="206">
        <f>SUMIFS(LANÇ_MOV[VALOR LÍQUIDO],LANÇ_MOV[RECEITA OU DESPESA],"Despesa",LANÇ_MOV[CONTAS],$C916,LANÇ_MOV[PLANO DE CONTAS],REL_DRE_FINANCEIRO!$B$855,LANÇ_MOV[ANO PAGAMENTO],$B$4,LANÇ_MOV[MÊS PAGAMENTO CORRESPONDENTE],I$6,LANÇ_MOV[EMPRESA],$C$4,LANÇ_MOV[CENTRO DE CUSTOS],$D$4)</f>
        <v>0</v>
      </c>
      <c r="J916" s="206">
        <f>SUMIFS(LANÇ_MOV[VALOR LÍQUIDO],LANÇ_MOV[RECEITA OU DESPESA],"Despesa",LANÇ_MOV[CONTAS],$C916,LANÇ_MOV[PLANO DE CONTAS],REL_DRE_FINANCEIRO!$B$855,LANÇ_MOV[ANO PAGAMENTO],$B$4,LANÇ_MOV[MÊS PAGAMENTO CORRESPONDENTE],J$6,LANÇ_MOV[EMPRESA],$C$4,LANÇ_MOV[CENTRO DE CUSTOS],$D$4)</f>
        <v>0</v>
      </c>
      <c r="K916" s="206">
        <f>SUMIFS(LANÇ_MOV[VALOR LÍQUIDO],LANÇ_MOV[RECEITA OU DESPESA],"Despesa",LANÇ_MOV[CONTAS],$C916,LANÇ_MOV[PLANO DE CONTAS],REL_DRE_FINANCEIRO!$B$855,LANÇ_MOV[ANO PAGAMENTO],$B$4,LANÇ_MOV[MÊS PAGAMENTO CORRESPONDENTE],K$6,LANÇ_MOV[EMPRESA],$C$4,LANÇ_MOV[CENTRO DE CUSTOS],$D$4)</f>
        <v>0</v>
      </c>
      <c r="L916" s="206">
        <f>SUMIFS(LANÇ_MOV[VALOR LÍQUIDO],LANÇ_MOV[RECEITA OU DESPESA],"Despesa",LANÇ_MOV[CONTAS],$C916,LANÇ_MOV[PLANO DE CONTAS],REL_DRE_FINANCEIRO!$B$855,LANÇ_MOV[ANO PAGAMENTO],$B$4,LANÇ_MOV[MÊS PAGAMENTO CORRESPONDENTE],L$6,LANÇ_MOV[EMPRESA],$C$4,LANÇ_MOV[CENTRO DE CUSTOS],$D$4)</f>
        <v>0</v>
      </c>
      <c r="M916" s="206">
        <f>SUMIFS(LANÇ_MOV[VALOR LÍQUIDO],LANÇ_MOV[RECEITA OU DESPESA],"Despesa",LANÇ_MOV[CONTAS],$C916,LANÇ_MOV[PLANO DE CONTAS],REL_DRE_FINANCEIRO!$B$855,LANÇ_MOV[ANO PAGAMENTO],$B$4,LANÇ_MOV[MÊS PAGAMENTO CORRESPONDENTE],M$6,LANÇ_MOV[EMPRESA],$C$4,LANÇ_MOV[CENTRO DE CUSTOS],$D$4)</f>
        <v>0</v>
      </c>
      <c r="N916" s="206">
        <f>SUMIFS(LANÇ_MOV[VALOR LÍQUIDO],LANÇ_MOV[RECEITA OU DESPESA],"Despesa",LANÇ_MOV[CONTAS],$C916,LANÇ_MOV[PLANO DE CONTAS],REL_DRE_FINANCEIRO!$B$855,LANÇ_MOV[ANO PAGAMENTO],$B$4,LANÇ_MOV[MÊS PAGAMENTO CORRESPONDENTE],N$6,LANÇ_MOV[EMPRESA],$C$4,LANÇ_MOV[CENTRO DE CUSTOS],$D$4)</f>
        <v>0</v>
      </c>
      <c r="O916" s="206">
        <f>SUMIFS(LANÇ_MOV[VALOR LÍQUIDO],LANÇ_MOV[RECEITA OU DESPESA],"Despesa",LANÇ_MOV[CONTAS],$C916,LANÇ_MOV[PLANO DE CONTAS],REL_DRE_FINANCEIRO!$B$855,LANÇ_MOV[ANO PAGAMENTO],$B$4,LANÇ_MOV[MÊS PAGAMENTO CORRESPONDENTE],O$6,LANÇ_MOV[EMPRESA],$C$4,LANÇ_MOV[CENTRO DE CUSTOS],$D$4)</f>
        <v>0</v>
      </c>
      <c r="P916" s="207">
        <f t="shared" si="111"/>
        <v>0</v>
      </c>
      <c r="Q916" s="329">
        <v>3.9999999999999998E-6</v>
      </c>
      <c r="R916" s="346">
        <f t="shared" si="112"/>
        <v>3.9999999999999998E-6</v>
      </c>
      <c r="S916" s="347" t="str">
        <f t="shared" si="113"/>
        <v>-</v>
      </c>
      <c r="T916" s="347">
        <f t="shared" si="114"/>
        <v>0</v>
      </c>
      <c r="U916" s="347">
        <f>HLOOKUP(Apoio!$P$12,$D$854:$P$955,X916,FALSE)+Q916</f>
        <v>3.9999999999999998E-6</v>
      </c>
      <c r="V916" s="447" t="str">
        <f t="shared" si="115"/>
        <v>-</v>
      </c>
      <c r="W916" s="448">
        <f>HLOOKUP(Apoio!$P$12,$D$854:$P$955,X916,FALSE)</f>
        <v>0</v>
      </c>
      <c r="X916" s="329">
        <v>63</v>
      </c>
    </row>
    <row r="917" spans="2:24" ht="30.05" customHeight="1" x14ac:dyDescent="0.35">
      <c r="B917" s="204" t="str">
        <f>'CAD_PL_REC-DESP'!AC66</f>
        <v>2.7.62</v>
      </c>
      <c r="C917" s="205" t="str">
        <f>IF('CAD_PL_REC-DESP'!AD66="","-",'CAD_PL_REC-DESP'!AD66)</f>
        <v>-</v>
      </c>
      <c r="D917" s="206">
        <f>SUMIFS(LANÇ_MOV[VALOR LÍQUIDO],LANÇ_MOV[RECEITA OU DESPESA],"Despesa",LANÇ_MOV[CONTAS],$C917,LANÇ_MOV[PLANO DE CONTAS],REL_DRE_FINANCEIRO!$B$855,LANÇ_MOV[ANO PAGAMENTO],$B$4,LANÇ_MOV[MÊS PAGAMENTO CORRESPONDENTE],D$6,LANÇ_MOV[EMPRESA],$C$4,LANÇ_MOV[CENTRO DE CUSTOS],$D$4)</f>
        <v>0</v>
      </c>
      <c r="E917" s="206">
        <f>SUMIFS(LANÇ_MOV[VALOR LÍQUIDO],LANÇ_MOV[RECEITA OU DESPESA],"Despesa",LANÇ_MOV[CONTAS],$C917,LANÇ_MOV[PLANO DE CONTAS],REL_DRE_FINANCEIRO!$B$855,LANÇ_MOV[ANO PAGAMENTO],$B$4,LANÇ_MOV[MÊS PAGAMENTO CORRESPONDENTE],E$6,LANÇ_MOV[EMPRESA],$C$4,LANÇ_MOV[CENTRO DE CUSTOS],$D$4)</f>
        <v>0</v>
      </c>
      <c r="F917" s="206">
        <f>SUMIFS(LANÇ_MOV[VALOR LÍQUIDO],LANÇ_MOV[RECEITA OU DESPESA],"Despesa",LANÇ_MOV[CONTAS],$C917,LANÇ_MOV[PLANO DE CONTAS],REL_DRE_FINANCEIRO!$B$855,LANÇ_MOV[ANO PAGAMENTO],$B$4,LANÇ_MOV[MÊS PAGAMENTO CORRESPONDENTE],F$6,LANÇ_MOV[EMPRESA],$C$4,LANÇ_MOV[CENTRO DE CUSTOS],$D$4)</f>
        <v>0</v>
      </c>
      <c r="G917" s="206">
        <f>SUMIFS(LANÇ_MOV[VALOR LÍQUIDO],LANÇ_MOV[RECEITA OU DESPESA],"Despesa",LANÇ_MOV[CONTAS],$C917,LANÇ_MOV[PLANO DE CONTAS],REL_DRE_FINANCEIRO!$B$855,LANÇ_MOV[ANO PAGAMENTO],$B$4,LANÇ_MOV[MÊS PAGAMENTO CORRESPONDENTE],G$6,LANÇ_MOV[EMPRESA],$C$4,LANÇ_MOV[CENTRO DE CUSTOS],$D$4)</f>
        <v>0</v>
      </c>
      <c r="H917" s="206">
        <f>SUMIFS(LANÇ_MOV[VALOR LÍQUIDO],LANÇ_MOV[RECEITA OU DESPESA],"Despesa",LANÇ_MOV[CONTAS],$C917,LANÇ_MOV[PLANO DE CONTAS],REL_DRE_FINANCEIRO!$B$855,LANÇ_MOV[ANO PAGAMENTO],$B$4,LANÇ_MOV[MÊS PAGAMENTO CORRESPONDENTE],H$6,LANÇ_MOV[EMPRESA],$C$4,LANÇ_MOV[CENTRO DE CUSTOS],$D$4)</f>
        <v>0</v>
      </c>
      <c r="I917" s="206">
        <f>SUMIFS(LANÇ_MOV[VALOR LÍQUIDO],LANÇ_MOV[RECEITA OU DESPESA],"Despesa",LANÇ_MOV[CONTAS],$C917,LANÇ_MOV[PLANO DE CONTAS],REL_DRE_FINANCEIRO!$B$855,LANÇ_MOV[ANO PAGAMENTO],$B$4,LANÇ_MOV[MÊS PAGAMENTO CORRESPONDENTE],I$6,LANÇ_MOV[EMPRESA],$C$4,LANÇ_MOV[CENTRO DE CUSTOS],$D$4)</f>
        <v>0</v>
      </c>
      <c r="J917" s="206">
        <f>SUMIFS(LANÇ_MOV[VALOR LÍQUIDO],LANÇ_MOV[RECEITA OU DESPESA],"Despesa",LANÇ_MOV[CONTAS],$C917,LANÇ_MOV[PLANO DE CONTAS],REL_DRE_FINANCEIRO!$B$855,LANÇ_MOV[ANO PAGAMENTO],$B$4,LANÇ_MOV[MÊS PAGAMENTO CORRESPONDENTE],J$6,LANÇ_MOV[EMPRESA],$C$4,LANÇ_MOV[CENTRO DE CUSTOS],$D$4)</f>
        <v>0</v>
      </c>
      <c r="K917" s="206">
        <f>SUMIFS(LANÇ_MOV[VALOR LÍQUIDO],LANÇ_MOV[RECEITA OU DESPESA],"Despesa",LANÇ_MOV[CONTAS],$C917,LANÇ_MOV[PLANO DE CONTAS],REL_DRE_FINANCEIRO!$B$855,LANÇ_MOV[ANO PAGAMENTO],$B$4,LANÇ_MOV[MÊS PAGAMENTO CORRESPONDENTE],K$6,LANÇ_MOV[EMPRESA],$C$4,LANÇ_MOV[CENTRO DE CUSTOS],$D$4)</f>
        <v>0</v>
      </c>
      <c r="L917" s="206">
        <f>SUMIFS(LANÇ_MOV[VALOR LÍQUIDO],LANÇ_MOV[RECEITA OU DESPESA],"Despesa",LANÇ_MOV[CONTAS],$C917,LANÇ_MOV[PLANO DE CONTAS],REL_DRE_FINANCEIRO!$B$855,LANÇ_MOV[ANO PAGAMENTO],$B$4,LANÇ_MOV[MÊS PAGAMENTO CORRESPONDENTE],L$6,LANÇ_MOV[EMPRESA],$C$4,LANÇ_MOV[CENTRO DE CUSTOS],$D$4)</f>
        <v>0</v>
      </c>
      <c r="M917" s="206">
        <f>SUMIFS(LANÇ_MOV[VALOR LÍQUIDO],LANÇ_MOV[RECEITA OU DESPESA],"Despesa",LANÇ_MOV[CONTAS],$C917,LANÇ_MOV[PLANO DE CONTAS],REL_DRE_FINANCEIRO!$B$855,LANÇ_MOV[ANO PAGAMENTO],$B$4,LANÇ_MOV[MÊS PAGAMENTO CORRESPONDENTE],M$6,LANÇ_MOV[EMPRESA],$C$4,LANÇ_MOV[CENTRO DE CUSTOS],$D$4)</f>
        <v>0</v>
      </c>
      <c r="N917" s="206">
        <f>SUMIFS(LANÇ_MOV[VALOR LÍQUIDO],LANÇ_MOV[RECEITA OU DESPESA],"Despesa",LANÇ_MOV[CONTAS],$C917,LANÇ_MOV[PLANO DE CONTAS],REL_DRE_FINANCEIRO!$B$855,LANÇ_MOV[ANO PAGAMENTO],$B$4,LANÇ_MOV[MÊS PAGAMENTO CORRESPONDENTE],N$6,LANÇ_MOV[EMPRESA],$C$4,LANÇ_MOV[CENTRO DE CUSTOS],$D$4)</f>
        <v>0</v>
      </c>
      <c r="O917" s="206">
        <f>SUMIFS(LANÇ_MOV[VALOR LÍQUIDO],LANÇ_MOV[RECEITA OU DESPESA],"Despesa",LANÇ_MOV[CONTAS],$C917,LANÇ_MOV[PLANO DE CONTAS],REL_DRE_FINANCEIRO!$B$855,LANÇ_MOV[ANO PAGAMENTO],$B$4,LANÇ_MOV[MÊS PAGAMENTO CORRESPONDENTE],O$6,LANÇ_MOV[EMPRESA],$C$4,LANÇ_MOV[CENTRO DE CUSTOS],$D$4)</f>
        <v>0</v>
      </c>
      <c r="P917" s="207">
        <f t="shared" si="111"/>
        <v>0</v>
      </c>
      <c r="Q917" s="329">
        <v>3.8999999999999999E-6</v>
      </c>
      <c r="R917" s="346">
        <f t="shared" si="112"/>
        <v>3.8999999999999999E-6</v>
      </c>
      <c r="S917" s="347" t="str">
        <f t="shared" si="113"/>
        <v>-</v>
      </c>
      <c r="T917" s="347">
        <f t="shared" si="114"/>
        <v>0</v>
      </c>
      <c r="U917" s="347">
        <f>HLOOKUP(Apoio!$P$12,$D$854:$P$955,X917,FALSE)+Q917</f>
        <v>3.8999999999999999E-6</v>
      </c>
      <c r="V917" s="447" t="str">
        <f t="shared" si="115"/>
        <v>-</v>
      </c>
      <c r="W917" s="448">
        <f>HLOOKUP(Apoio!$P$12,$D$854:$P$955,X917,FALSE)</f>
        <v>0</v>
      </c>
      <c r="X917" s="329">
        <v>64</v>
      </c>
    </row>
    <row r="918" spans="2:24" ht="30.05" customHeight="1" x14ac:dyDescent="0.35">
      <c r="B918" s="204" t="str">
        <f>'CAD_PL_REC-DESP'!AC67</f>
        <v>2.7.63</v>
      </c>
      <c r="C918" s="205" t="str">
        <f>IF('CAD_PL_REC-DESP'!AD67="","-",'CAD_PL_REC-DESP'!AD67)</f>
        <v>-</v>
      </c>
      <c r="D918" s="206">
        <f>SUMIFS(LANÇ_MOV[VALOR LÍQUIDO],LANÇ_MOV[RECEITA OU DESPESA],"Despesa",LANÇ_MOV[CONTAS],$C918,LANÇ_MOV[PLANO DE CONTAS],REL_DRE_FINANCEIRO!$B$855,LANÇ_MOV[ANO PAGAMENTO],$B$4,LANÇ_MOV[MÊS PAGAMENTO CORRESPONDENTE],D$6,LANÇ_MOV[EMPRESA],$C$4,LANÇ_MOV[CENTRO DE CUSTOS],$D$4)</f>
        <v>0</v>
      </c>
      <c r="E918" s="206">
        <f>SUMIFS(LANÇ_MOV[VALOR LÍQUIDO],LANÇ_MOV[RECEITA OU DESPESA],"Despesa",LANÇ_MOV[CONTAS],$C918,LANÇ_MOV[PLANO DE CONTAS],REL_DRE_FINANCEIRO!$B$855,LANÇ_MOV[ANO PAGAMENTO],$B$4,LANÇ_MOV[MÊS PAGAMENTO CORRESPONDENTE],E$6,LANÇ_MOV[EMPRESA],$C$4,LANÇ_MOV[CENTRO DE CUSTOS],$D$4)</f>
        <v>0</v>
      </c>
      <c r="F918" s="206">
        <f>SUMIFS(LANÇ_MOV[VALOR LÍQUIDO],LANÇ_MOV[RECEITA OU DESPESA],"Despesa",LANÇ_MOV[CONTAS],$C918,LANÇ_MOV[PLANO DE CONTAS],REL_DRE_FINANCEIRO!$B$855,LANÇ_MOV[ANO PAGAMENTO],$B$4,LANÇ_MOV[MÊS PAGAMENTO CORRESPONDENTE],F$6,LANÇ_MOV[EMPRESA],$C$4,LANÇ_MOV[CENTRO DE CUSTOS],$D$4)</f>
        <v>0</v>
      </c>
      <c r="G918" s="206">
        <f>SUMIFS(LANÇ_MOV[VALOR LÍQUIDO],LANÇ_MOV[RECEITA OU DESPESA],"Despesa",LANÇ_MOV[CONTAS],$C918,LANÇ_MOV[PLANO DE CONTAS],REL_DRE_FINANCEIRO!$B$855,LANÇ_MOV[ANO PAGAMENTO],$B$4,LANÇ_MOV[MÊS PAGAMENTO CORRESPONDENTE],G$6,LANÇ_MOV[EMPRESA],$C$4,LANÇ_MOV[CENTRO DE CUSTOS],$D$4)</f>
        <v>0</v>
      </c>
      <c r="H918" s="206">
        <f>SUMIFS(LANÇ_MOV[VALOR LÍQUIDO],LANÇ_MOV[RECEITA OU DESPESA],"Despesa",LANÇ_MOV[CONTAS],$C918,LANÇ_MOV[PLANO DE CONTAS],REL_DRE_FINANCEIRO!$B$855,LANÇ_MOV[ANO PAGAMENTO],$B$4,LANÇ_MOV[MÊS PAGAMENTO CORRESPONDENTE],H$6,LANÇ_MOV[EMPRESA],$C$4,LANÇ_MOV[CENTRO DE CUSTOS],$D$4)</f>
        <v>0</v>
      </c>
      <c r="I918" s="206">
        <f>SUMIFS(LANÇ_MOV[VALOR LÍQUIDO],LANÇ_MOV[RECEITA OU DESPESA],"Despesa",LANÇ_MOV[CONTAS],$C918,LANÇ_MOV[PLANO DE CONTAS],REL_DRE_FINANCEIRO!$B$855,LANÇ_MOV[ANO PAGAMENTO],$B$4,LANÇ_MOV[MÊS PAGAMENTO CORRESPONDENTE],I$6,LANÇ_MOV[EMPRESA],$C$4,LANÇ_MOV[CENTRO DE CUSTOS],$D$4)</f>
        <v>0</v>
      </c>
      <c r="J918" s="206">
        <f>SUMIFS(LANÇ_MOV[VALOR LÍQUIDO],LANÇ_MOV[RECEITA OU DESPESA],"Despesa",LANÇ_MOV[CONTAS],$C918,LANÇ_MOV[PLANO DE CONTAS],REL_DRE_FINANCEIRO!$B$855,LANÇ_MOV[ANO PAGAMENTO],$B$4,LANÇ_MOV[MÊS PAGAMENTO CORRESPONDENTE],J$6,LANÇ_MOV[EMPRESA],$C$4,LANÇ_MOV[CENTRO DE CUSTOS],$D$4)</f>
        <v>0</v>
      </c>
      <c r="K918" s="206">
        <f>SUMIFS(LANÇ_MOV[VALOR LÍQUIDO],LANÇ_MOV[RECEITA OU DESPESA],"Despesa",LANÇ_MOV[CONTAS],$C918,LANÇ_MOV[PLANO DE CONTAS],REL_DRE_FINANCEIRO!$B$855,LANÇ_MOV[ANO PAGAMENTO],$B$4,LANÇ_MOV[MÊS PAGAMENTO CORRESPONDENTE],K$6,LANÇ_MOV[EMPRESA],$C$4,LANÇ_MOV[CENTRO DE CUSTOS],$D$4)</f>
        <v>0</v>
      </c>
      <c r="L918" s="206">
        <f>SUMIFS(LANÇ_MOV[VALOR LÍQUIDO],LANÇ_MOV[RECEITA OU DESPESA],"Despesa",LANÇ_MOV[CONTAS],$C918,LANÇ_MOV[PLANO DE CONTAS],REL_DRE_FINANCEIRO!$B$855,LANÇ_MOV[ANO PAGAMENTO],$B$4,LANÇ_MOV[MÊS PAGAMENTO CORRESPONDENTE],L$6,LANÇ_MOV[EMPRESA],$C$4,LANÇ_MOV[CENTRO DE CUSTOS],$D$4)</f>
        <v>0</v>
      </c>
      <c r="M918" s="206">
        <f>SUMIFS(LANÇ_MOV[VALOR LÍQUIDO],LANÇ_MOV[RECEITA OU DESPESA],"Despesa",LANÇ_MOV[CONTAS],$C918,LANÇ_MOV[PLANO DE CONTAS],REL_DRE_FINANCEIRO!$B$855,LANÇ_MOV[ANO PAGAMENTO],$B$4,LANÇ_MOV[MÊS PAGAMENTO CORRESPONDENTE],M$6,LANÇ_MOV[EMPRESA],$C$4,LANÇ_MOV[CENTRO DE CUSTOS],$D$4)</f>
        <v>0</v>
      </c>
      <c r="N918" s="206">
        <f>SUMIFS(LANÇ_MOV[VALOR LÍQUIDO],LANÇ_MOV[RECEITA OU DESPESA],"Despesa",LANÇ_MOV[CONTAS],$C918,LANÇ_MOV[PLANO DE CONTAS],REL_DRE_FINANCEIRO!$B$855,LANÇ_MOV[ANO PAGAMENTO],$B$4,LANÇ_MOV[MÊS PAGAMENTO CORRESPONDENTE],N$6,LANÇ_MOV[EMPRESA],$C$4,LANÇ_MOV[CENTRO DE CUSTOS],$D$4)</f>
        <v>0</v>
      </c>
      <c r="O918" s="206">
        <f>SUMIFS(LANÇ_MOV[VALOR LÍQUIDO],LANÇ_MOV[RECEITA OU DESPESA],"Despesa",LANÇ_MOV[CONTAS],$C918,LANÇ_MOV[PLANO DE CONTAS],REL_DRE_FINANCEIRO!$B$855,LANÇ_MOV[ANO PAGAMENTO],$B$4,LANÇ_MOV[MÊS PAGAMENTO CORRESPONDENTE],O$6,LANÇ_MOV[EMPRESA],$C$4,LANÇ_MOV[CENTRO DE CUSTOS],$D$4)</f>
        <v>0</v>
      </c>
      <c r="P918" s="207">
        <f t="shared" si="111"/>
        <v>0</v>
      </c>
      <c r="Q918" s="329">
        <v>3.8E-6</v>
      </c>
      <c r="R918" s="346">
        <f t="shared" si="112"/>
        <v>3.8E-6</v>
      </c>
      <c r="S918" s="347" t="str">
        <f t="shared" si="113"/>
        <v>-</v>
      </c>
      <c r="T918" s="347">
        <f t="shared" si="114"/>
        <v>0</v>
      </c>
      <c r="U918" s="347">
        <f>HLOOKUP(Apoio!$P$12,$D$854:$P$955,X918,FALSE)+Q918</f>
        <v>3.8E-6</v>
      </c>
      <c r="V918" s="447" t="str">
        <f t="shared" si="115"/>
        <v>-</v>
      </c>
      <c r="W918" s="448">
        <f>HLOOKUP(Apoio!$P$12,$D$854:$P$955,X918,FALSE)</f>
        <v>0</v>
      </c>
      <c r="X918" s="329">
        <v>65</v>
      </c>
    </row>
    <row r="919" spans="2:24" ht="30.05" customHeight="1" x14ac:dyDescent="0.35">
      <c r="B919" s="204" t="str">
        <f>'CAD_PL_REC-DESP'!AC68</f>
        <v>2.7.64</v>
      </c>
      <c r="C919" s="205" t="str">
        <f>IF('CAD_PL_REC-DESP'!AD68="","-",'CAD_PL_REC-DESP'!AD68)</f>
        <v>-</v>
      </c>
      <c r="D919" s="206">
        <f>SUMIFS(LANÇ_MOV[VALOR LÍQUIDO],LANÇ_MOV[RECEITA OU DESPESA],"Despesa",LANÇ_MOV[CONTAS],$C919,LANÇ_MOV[PLANO DE CONTAS],REL_DRE_FINANCEIRO!$B$855,LANÇ_MOV[ANO PAGAMENTO],$B$4,LANÇ_MOV[MÊS PAGAMENTO CORRESPONDENTE],D$6,LANÇ_MOV[EMPRESA],$C$4,LANÇ_MOV[CENTRO DE CUSTOS],$D$4)</f>
        <v>0</v>
      </c>
      <c r="E919" s="206">
        <f>SUMIFS(LANÇ_MOV[VALOR LÍQUIDO],LANÇ_MOV[RECEITA OU DESPESA],"Despesa",LANÇ_MOV[CONTAS],$C919,LANÇ_MOV[PLANO DE CONTAS],REL_DRE_FINANCEIRO!$B$855,LANÇ_MOV[ANO PAGAMENTO],$B$4,LANÇ_MOV[MÊS PAGAMENTO CORRESPONDENTE],E$6,LANÇ_MOV[EMPRESA],$C$4,LANÇ_MOV[CENTRO DE CUSTOS],$D$4)</f>
        <v>0</v>
      </c>
      <c r="F919" s="206">
        <f>SUMIFS(LANÇ_MOV[VALOR LÍQUIDO],LANÇ_MOV[RECEITA OU DESPESA],"Despesa",LANÇ_MOV[CONTAS],$C919,LANÇ_MOV[PLANO DE CONTAS],REL_DRE_FINANCEIRO!$B$855,LANÇ_MOV[ANO PAGAMENTO],$B$4,LANÇ_MOV[MÊS PAGAMENTO CORRESPONDENTE],F$6,LANÇ_MOV[EMPRESA],$C$4,LANÇ_MOV[CENTRO DE CUSTOS],$D$4)</f>
        <v>0</v>
      </c>
      <c r="G919" s="206">
        <f>SUMIFS(LANÇ_MOV[VALOR LÍQUIDO],LANÇ_MOV[RECEITA OU DESPESA],"Despesa",LANÇ_MOV[CONTAS],$C919,LANÇ_MOV[PLANO DE CONTAS],REL_DRE_FINANCEIRO!$B$855,LANÇ_MOV[ANO PAGAMENTO],$B$4,LANÇ_MOV[MÊS PAGAMENTO CORRESPONDENTE],G$6,LANÇ_MOV[EMPRESA],$C$4,LANÇ_MOV[CENTRO DE CUSTOS],$D$4)</f>
        <v>0</v>
      </c>
      <c r="H919" s="206">
        <f>SUMIFS(LANÇ_MOV[VALOR LÍQUIDO],LANÇ_MOV[RECEITA OU DESPESA],"Despesa",LANÇ_MOV[CONTAS],$C919,LANÇ_MOV[PLANO DE CONTAS],REL_DRE_FINANCEIRO!$B$855,LANÇ_MOV[ANO PAGAMENTO],$B$4,LANÇ_MOV[MÊS PAGAMENTO CORRESPONDENTE],H$6,LANÇ_MOV[EMPRESA],$C$4,LANÇ_MOV[CENTRO DE CUSTOS],$D$4)</f>
        <v>0</v>
      </c>
      <c r="I919" s="206">
        <f>SUMIFS(LANÇ_MOV[VALOR LÍQUIDO],LANÇ_MOV[RECEITA OU DESPESA],"Despesa",LANÇ_MOV[CONTAS],$C919,LANÇ_MOV[PLANO DE CONTAS],REL_DRE_FINANCEIRO!$B$855,LANÇ_MOV[ANO PAGAMENTO],$B$4,LANÇ_MOV[MÊS PAGAMENTO CORRESPONDENTE],I$6,LANÇ_MOV[EMPRESA],$C$4,LANÇ_MOV[CENTRO DE CUSTOS],$D$4)</f>
        <v>0</v>
      </c>
      <c r="J919" s="206">
        <f>SUMIFS(LANÇ_MOV[VALOR LÍQUIDO],LANÇ_MOV[RECEITA OU DESPESA],"Despesa",LANÇ_MOV[CONTAS],$C919,LANÇ_MOV[PLANO DE CONTAS],REL_DRE_FINANCEIRO!$B$855,LANÇ_MOV[ANO PAGAMENTO],$B$4,LANÇ_MOV[MÊS PAGAMENTO CORRESPONDENTE],J$6,LANÇ_MOV[EMPRESA],$C$4,LANÇ_MOV[CENTRO DE CUSTOS],$D$4)</f>
        <v>0</v>
      </c>
      <c r="K919" s="206">
        <f>SUMIFS(LANÇ_MOV[VALOR LÍQUIDO],LANÇ_MOV[RECEITA OU DESPESA],"Despesa",LANÇ_MOV[CONTAS],$C919,LANÇ_MOV[PLANO DE CONTAS],REL_DRE_FINANCEIRO!$B$855,LANÇ_MOV[ANO PAGAMENTO],$B$4,LANÇ_MOV[MÊS PAGAMENTO CORRESPONDENTE],K$6,LANÇ_MOV[EMPRESA],$C$4,LANÇ_MOV[CENTRO DE CUSTOS],$D$4)</f>
        <v>0</v>
      </c>
      <c r="L919" s="206">
        <f>SUMIFS(LANÇ_MOV[VALOR LÍQUIDO],LANÇ_MOV[RECEITA OU DESPESA],"Despesa",LANÇ_MOV[CONTAS],$C919,LANÇ_MOV[PLANO DE CONTAS],REL_DRE_FINANCEIRO!$B$855,LANÇ_MOV[ANO PAGAMENTO],$B$4,LANÇ_MOV[MÊS PAGAMENTO CORRESPONDENTE],L$6,LANÇ_MOV[EMPRESA],$C$4,LANÇ_MOV[CENTRO DE CUSTOS],$D$4)</f>
        <v>0</v>
      </c>
      <c r="M919" s="206">
        <f>SUMIFS(LANÇ_MOV[VALOR LÍQUIDO],LANÇ_MOV[RECEITA OU DESPESA],"Despesa",LANÇ_MOV[CONTAS],$C919,LANÇ_MOV[PLANO DE CONTAS],REL_DRE_FINANCEIRO!$B$855,LANÇ_MOV[ANO PAGAMENTO],$B$4,LANÇ_MOV[MÊS PAGAMENTO CORRESPONDENTE],M$6,LANÇ_MOV[EMPRESA],$C$4,LANÇ_MOV[CENTRO DE CUSTOS],$D$4)</f>
        <v>0</v>
      </c>
      <c r="N919" s="206">
        <f>SUMIFS(LANÇ_MOV[VALOR LÍQUIDO],LANÇ_MOV[RECEITA OU DESPESA],"Despesa",LANÇ_MOV[CONTAS],$C919,LANÇ_MOV[PLANO DE CONTAS],REL_DRE_FINANCEIRO!$B$855,LANÇ_MOV[ANO PAGAMENTO],$B$4,LANÇ_MOV[MÊS PAGAMENTO CORRESPONDENTE],N$6,LANÇ_MOV[EMPRESA],$C$4,LANÇ_MOV[CENTRO DE CUSTOS],$D$4)</f>
        <v>0</v>
      </c>
      <c r="O919" s="206">
        <f>SUMIFS(LANÇ_MOV[VALOR LÍQUIDO],LANÇ_MOV[RECEITA OU DESPESA],"Despesa",LANÇ_MOV[CONTAS],$C919,LANÇ_MOV[PLANO DE CONTAS],REL_DRE_FINANCEIRO!$B$855,LANÇ_MOV[ANO PAGAMENTO],$B$4,LANÇ_MOV[MÊS PAGAMENTO CORRESPONDENTE],O$6,LANÇ_MOV[EMPRESA],$C$4,LANÇ_MOV[CENTRO DE CUSTOS],$D$4)</f>
        <v>0</v>
      </c>
      <c r="P919" s="207">
        <f t="shared" si="111"/>
        <v>0</v>
      </c>
      <c r="Q919" s="329">
        <v>3.7000000000000002E-6</v>
      </c>
      <c r="R919" s="346">
        <f t="shared" si="112"/>
        <v>3.7000000000000002E-6</v>
      </c>
      <c r="S919" s="347" t="str">
        <f t="shared" si="113"/>
        <v>-</v>
      </c>
      <c r="T919" s="347">
        <f t="shared" si="114"/>
        <v>0</v>
      </c>
      <c r="U919" s="347">
        <f>HLOOKUP(Apoio!$P$12,$D$854:$P$955,X919,FALSE)+Q919</f>
        <v>3.7000000000000002E-6</v>
      </c>
      <c r="V919" s="447" t="str">
        <f t="shared" si="115"/>
        <v>-</v>
      </c>
      <c r="W919" s="448">
        <f>HLOOKUP(Apoio!$P$12,$D$854:$P$955,X919,FALSE)</f>
        <v>0</v>
      </c>
      <c r="X919" s="329">
        <v>66</v>
      </c>
    </row>
    <row r="920" spans="2:24" ht="30.05" customHeight="1" x14ac:dyDescent="0.35">
      <c r="B920" s="204" t="str">
        <f>'CAD_PL_REC-DESP'!AC69</f>
        <v>2.7.65</v>
      </c>
      <c r="C920" s="205" t="str">
        <f>IF('CAD_PL_REC-DESP'!AD69="","-",'CAD_PL_REC-DESP'!AD69)</f>
        <v>-</v>
      </c>
      <c r="D920" s="206">
        <f>SUMIFS(LANÇ_MOV[VALOR LÍQUIDO],LANÇ_MOV[RECEITA OU DESPESA],"Despesa",LANÇ_MOV[CONTAS],$C920,LANÇ_MOV[PLANO DE CONTAS],REL_DRE_FINANCEIRO!$B$855,LANÇ_MOV[ANO PAGAMENTO],$B$4,LANÇ_MOV[MÊS PAGAMENTO CORRESPONDENTE],D$6,LANÇ_MOV[EMPRESA],$C$4,LANÇ_MOV[CENTRO DE CUSTOS],$D$4)</f>
        <v>0</v>
      </c>
      <c r="E920" s="206">
        <f>SUMIFS(LANÇ_MOV[VALOR LÍQUIDO],LANÇ_MOV[RECEITA OU DESPESA],"Despesa",LANÇ_MOV[CONTAS],$C920,LANÇ_MOV[PLANO DE CONTAS],REL_DRE_FINANCEIRO!$B$855,LANÇ_MOV[ANO PAGAMENTO],$B$4,LANÇ_MOV[MÊS PAGAMENTO CORRESPONDENTE],E$6,LANÇ_MOV[EMPRESA],$C$4,LANÇ_MOV[CENTRO DE CUSTOS],$D$4)</f>
        <v>0</v>
      </c>
      <c r="F920" s="206">
        <f>SUMIFS(LANÇ_MOV[VALOR LÍQUIDO],LANÇ_MOV[RECEITA OU DESPESA],"Despesa",LANÇ_MOV[CONTAS],$C920,LANÇ_MOV[PLANO DE CONTAS],REL_DRE_FINANCEIRO!$B$855,LANÇ_MOV[ANO PAGAMENTO],$B$4,LANÇ_MOV[MÊS PAGAMENTO CORRESPONDENTE],F$6,LANÇ_MOV[EMPRESA],$C$4,LANÇ_MOV[CENTRO DE CUSTOS],$D$4)</f>
        <v>0</v>
      </c>
      <c r="G920" s="206">
        <f>SUMIFS(LANÇ_MOV[VALOR LÍQUIDO],LANÇ_MOV[RECEITA OU DESPESA],"Despesa",LANÇ_MOV[CONTAS],$C920,LANÇ_MOV[PLANO DE CONTAS],REL_DRE_FINANCEIRO!$B$855,LANÇ_MOV[ANO PAGAMENTO],$B$4,LANÇ_MOV[MÊS PAGAMENTO CORRESPONDENTE],G$6,LANÇ_MOV[EMPRESA],$C$4,LANÇ_MOV[CENTRO DE CUSTOS],$D$4)</f>
        <v>0</v>
      </c>
      <c r="H920" s="206">
        <f>SUMIFS(LANÇ_MOV[VALOR LÍQUIDO],LANÇ_MOV[RECEITA OU DESPESA],"Despesa",LANÇ_MOV[CONTAS],$C920,LANÇ_MOV[PLANO DE CONTAS],REL_DRE_FINANCEIRO!$B$855,LANÇ_MOV[ANO PAGAMENTO],$B$4,LANÇ_MOV[MÊS PAGAMENTO CORRESPONDENTE],H$6,LANÇ_MOV[EMPRESA],$C$4,LANÇ_MOV[CENTRO DE CUSTOS],$D$4)</f>
        <v>0</v>
      </c>
      <c r="I920" s="206">
        <f>SUMIFS(LANÇ_MOV[VALOR LÍQUIDO],LANÇ_MOV[RECEITA OU DESPESA],"Despesa",LANÇ_MOV[CONTAS],$C920,LANÇ_MOV[PLANO DE CONTAS],REL_DRE_FINANCEIRO!$B$855,LANÇ_MOV[ANO PAGAMENTO],$B$4,LANÇ_MOV[MÊS PAGAMENTO CORRESPONDENTE],I$6,LANÇ_MOV[EMPRESA],$C$4,LANÇ_MOV[CENTRO DE CUSTOS],$D$4)</f>
        <v>0</v>
      </c>
      <c r="J920" s="206">
        <f>SUMIFS(LANÇ_MOV[VALOR LÍQUIDO],LANÇ_MOV[RECEITA OU DESPESA],"Despesa",LANÇ_MOV[CONTAS],$C920,LANÇ_MOV[PLANO DE CONTAS],REL_DRE_FINANCEIRO!$B$855,LANÇ_MOV[ANO PAGAMENTO],$B$4,LANÇ_MOV[MÊS PAGAMENTO CORRESPONDENTE],J$6,LANÇ_MOV[EMPRESA],$C$4,LANÇ_MOV[CENTRO DE CUSTOS],$D$4)</f>
        <v>0</v>
      </c>
      <c r="K920" s="206">
        <f>SUMIFS(LANÇ_MOV[VALOR LÍQUIDO],LANÇ_MOV[RECEITA OU DESPESA],"Despesa",LANÇ_MOV[CONTAS],$C920,LANÇ_MOV[PLANO DE CONTAS],REL_DRE_FINANCEIRO!$B$855,LANÇ_MOV[ANO PAGAMENTO],$B$4,LANÇ_MOV[MÊS PAGAMENTO CORRESPONDENTE],K$6,LANÇ_MOV[EMPRESA],$C$4,LANÇ_MOV[CENTRO DE CUSTOS],$D$4)</f>
        <v>0</v>
      </c>
      <c r="L920" s="206">
        <f>SUMIFS(LANÇ_MOV[VALOR LÍQUIDO],LANÇ_MOV[RECEITA OU DESPESA],"Despesa",LANÇ_MOV[CONTAS],$C920,LANÇ_MOV[PLANO DE CONTAS],REL_DRE_FINANCEIRO!$B$855,LANÇ_MOV[ANO PAGAMENTO],$B$4,LANÇ_MOV[MÊS PAGAMENTO CORRESPONDENTE],L$6,LANÇ_MOV[EMPRESA],$C$4,LANÇ_MOV[CENTRO DE CUSTOS],$D$4)</f>
        <v>0</v>
      </c>
      <c r="M920" s="206">
        <f>SUMIFS(LANÇ_MOV[VALOR LÍQUIDO],LANÇ_MOV[RECEITA OU DESPESA],"Despesa",LANÇ_MOV[CONTAS],$C920,LANÇ_MOV[PLANO DE CONTAS],REL_DRE_FINANCEIRO!$B$855,LANÇ_MOV[ANO PAGAMENTO],$B$4,LANÇ_MOV[MÊS PAGAMENTO CORRESPONDENTE],M$6,LANÇ_MOV[EMPRESA],$C$4,LANÇ_MOV[CENTRO DE CUSTOS],$D$4)</f>
        <v>0</v>
      </c>
      <c r="N920" s="206">
        <f>SUMIFS(LANÇ_MOV[VALOR LÍQUIDO],LANÇ_MOV[RECEITA OU DESPESA],"Despesa",LANÇ_MOV[CONTAS],$C920,LANÇ_MOV[PLANO DE CONTAS],REL_DRE_FINANCEIRO!$B$855,LANÇ_MOV[ANO PAGAMENTO],$B$4,LANÇ_MOV[MÊS PAGAMENTO CORRESPONDENTE],N$6,LANÇ_MOV[EMPRESA],$C$4,LANÇ_MOV[CENTRO DE CUSTOS],$D$4)</f>
        <v>0</v>
      </c>
      <c r="O920" s="206">
        <f>SUMIFS(LANÇ_MOV[VALOR LÍQUIDO],LANÇ_MOV[RECEITA OU DESPESA],"Despesa",LANÇ_MOV[CONTAS],$C920,LANÇ_MOV[PLANO DE CONTAS],REL_DRE_FINANCEIRO!$B$855,LANÇ_MOV[ANO PAGAMENTO],$B$4,LANÇ_MOV[MÊS PAGAMENTO CORRESPONDENTE],O$6,LANÇ_MOV[EMPRESA],$C$4,LANÇ_MOV[CENTRO DE CUSTOS],$D$4)</f>
        <v>0</v>
      </c>
      <c r="P920" s="207">
        <f t="shared" ref="P920:P955" si="116">SUM(D920:O920)</f>
        <v>0</v>
      </c>
      <c r="Q920" s="329">
        <v>3.5999999999999998E-6</v>
      </c>
      <c r="R920" s="346">
        <f t="shared" ref="R920:R955" si="117">P920+Q920</f>
        <v>3.5999999999999998E-6</v>
      </c>
      <c r="S920" s="347" t="str">
        <f t="shared" ref="S920:S955" si="118">C920</f>
        <v>-</v>
      </c>
      <c r="T920" s="347">
        <f t="shared" ref="T920:T955" si="119">P920</f>
        <v>0</v>
      </c>
      <c r="U920" s="347">
        <f>HLOOKUP(Apoio!$P$12,$D$854:$P$955,X920,FALSE)+Q920</f>
        <v>3.5999999999999998E-6</v>
      </c>
      <c r="V920" s="447" t="str">
        <f t="shared" ref="V920:V955" si="120">S920</f>
        <v>-</v>
      </c>
      <c r="W920" s="448">
        <f>HLOOKUP(Apoio!$P$12,$D$854:$P$955,X920,FALSE)</f>
        <v>0</v>
      </c>
      <c r="X920" s="329">
        <v>67</v>
      </c>
    </row>
    <row r="921" spans="2:24" ht="30.05" customHeight="1" x14ac:dyDescent="0.35">
      <c r="B921" s="204" t="str">
        <f>'CAD_PL_REC-DESP'!AC70</f>
        <v>2.7.66</v>
      </c>
      <c r="C921" s="205" t="str">
        <f>IF('CAD_PL_REC-DESP'!AD70="","-",'CAD_PL_REC-DESP'!AD70)</f>
        <v>-</v>
      </c>
      <c r="D921" s="206">
        <f>SUMIFS(LANÇ_MOV[VALOR LÍQUIDO],LANÇ_MOV[RECEITA OU DESPESA],"Despesa",LANÇ_MOV[CONTAS],$C921,LANÇ_MOV[PLANO DE CONTAS],REL_DRE_FINANCEIRO!$B$855,LANÇ_MOV[ANO PAGAMENTO],$B$4,LANÇ_MOV[MÊS PAGAMENTO CORRESPONDENTE],D$6,LANÇ_MOV[EMPRESA],$C$4,LANÇ_MOV[CENTRO DE CUSTOS],$D$4)</f>
        <v>0</v>
      </c>
      <c r="E921" s="206">
        <f>SUMIFS(LANÇ_MOV[VALOR LÍQUIDO],LANÇ_MOV[RECEITA OU DESPESA],"Despesa",LANÇ_MOV[CONTAS],$C921,LANÇ_MOV[PLANO DE CONTAS],REL_DRE_FINANCEIRO!$B$855,LANÇ_MOV[ANO PAGAMENTO],$B$4,LANÇ_MOV[MÊS PAGAMENTO CORRESPONDENTE],E$6,LANÇ_MOV[EMPRESA],$C$4,LANÇ_MOV[CENTRO DE CUSTOS],$D$4)</f>
        <v>0</v>
      </c>
      <c r="F921" s="206">
        <f>SUMIFS(LANÇ_MOV[VALOR LÍQUIDO],LANÇ_MOV[RECEITA OU DESPESA],"Despesa",LANÇ_MOV[CONTAS],$C921,LANÇ_MOV[PLANO DE CONTAS],REL_DRE_FINANCEIRO!$B$855,LANÇ_MOV[ANO PAGAMENTO],$B$4,LANÇ_MOV[MÊS PAGAMENTO CORRESPONDENTE],F$6,LANÇ_MOV[EMPRESA],$C$4,LANÇ_MOV[CENTRO DE CUSTOS],$D$4)</f>
        <v>0</v>
      </c>
      <c r="G921" s="206">
        <f>SUMIFS(LANÇ_MOV[VALOR LÍQUIDO],LANÇ_MOV[RECEITA OU DESPESA],"Despesa",LANÇ_MOV[CONTAS],$C921,LANÇ_MOV[PLANO DE CONTAS],REL_DRE_FINANCEIRO!$B$855,LANÇ_MOV[ANO PAGAMENTO],$B$4,LANÇ_MOV[MÊS PAGAMENTO CORRESPONDENTE],G$6,LANÇ_MOV[EMPRESA],$C$4,LANÇ_MOV[CENTRO DE CUSTOS],$D$4)</f>
        <v>0</v>
      </c>
      <c r="H921" s="206">
        <f>SUMIFS(LANÇ_MOV[VALOR LÍQUIDO],LANÇ_MOV[RECEITA OU DESPESA],"Despesa",LANÇ_MOV[CONTAS],$C921,LANÇ_MOV[PLANO DE CONTAS],REL_DRE_FINANCEIRO!$B$855,LANÇ_MOV[ANO PAGAMENTO],$B$4,LANÇ_MOV[MÊS PAGAMENTO CORRESPONDENTE],H$6,LANÇ_MOV[EMPRESA],$C$4,LANÇ_MOV[CENTRO DE CUSTOS],$D$4)</f>
        <v>0</v>
      </c>
      <c r="I921" s="206">
        <f>SUMIFS(LANÇ_MOV[VALOR LÍQUIDO],LANÇ_MOV[RECEITA OU DESPESA],"Despesa",LANÇ_MOV[CONTAS],$C921,LANÇ_MOV[PLANO DE CONTAS],REL_DRE_FINANCEIRO!$B$855,LANÇ_MOV[ANO PAGAMENTO],$B$4,LANÇ_MOV[MÊS PAGAMENTO CORRESPONDENTE],I$6,LANÇ_MOV[EMPRESA],$C$4,LANÇ_MOV[CENTRO DE CUSTOS],$D$4)</f>
        <v>0</v>
      </c>
      <c r="J921" s="206">
        <f>SUMIFS(LANÇ_MOV[VALOR LÍQUIDO],LANÇ_MOV[RECEITA OU DESPESA],"Despesa",LANÇ_MOV[CONTAS],$C921,LANÇ_MOV[PLANO DE CONTAS],REL_DRE_FINANCEIRO!$B$855,LANÇ_MOV[ANO PAGAMENTO],$B$4,LANÇ_MOV[MÊS PAGAMENTO CORRESPONDENTE],J$6,LANÇ_MOV[EMPRESA],$C$4,LANÇ_MOV[CENTRO DE CUSTOS],$D$4)</f>
        <v>0</v>
      </c>
      <c r="K921" s="206">
        <f>SUMIFS(LANÇ_MOV[VALOR LÍQUIDO],LANÇ_MOV[RECEITA OU DESPESA],"Despesa",LANÇ_MOV[CONTAS],$C921,LANÇ_MOV[PLANO DE CONTAS],REL_DRE_FINANCEIRO!$B$855,LANÇ_MOV[ANO PAGAMENTO],$B$4,LANÇ_MOV[MÊS PAGAMENTO CORRESPONDENTE],K$6,LANÇ_MOV[EMPRESA],$C$4,LANÇ_MOV[CENTRO DE CUSTOS],$D$4)</f>
        <v>0</v>
      </c>
      <c r="L921" s="206">
        <f>SUMIFS(LANÇ_MOV[VALOR LÍQUIDO],LANÇ_MOV[RECEITA OU DESPESA],"Despesa",LANÇ_MOV[CONTAS],$C921,LANÇ_MOV[PLANO DE CONTAS],REL_DRE_FINANCEIRO!$B$855,LANÇ_MOV[ANO PAGAMENTO],$B$4,LANÇ_MOV[MÊS PAGAMENTO CORRESPONDENTE],L$6,LANÇ_MOV[EMPRESA],$C$4,LANÇ_MOV[CENTRO DE CUSTOS],$D$4)</f>
        <v>0</v>
      </c>
      <c r="M921" s="206">
        <f>SUMIFS(LANÇ_MOV[VALOR LÍQUIDO],LANÇ_MOV[RECEITA OU DESPESA],"Despesa",LANÇ_MOV[CONTAS],$C921,LANÇ_MOV[PLANO DE CONTAS],REL_DRE_FINANCEIRO!$B$855,LANÇ_MOV[ANO PAGAMENTO],$B$4,LANÇ_MOV[MÊS PAGAMENTO CORRESPONDENTE],M$6,LANÇ_MOV[EMPRESA],$C$4,LANÇ_MOV[CENTRO DE CUSTOS],$D$4)</f>
        <v>0</v>
      </c>
      <c r="N921" s="206">
        <f>SUMIFS(LANÇ_MOV[VALOR LÍQUIDO],LANÇ_MOV[RECEITA OU DESPESA],"Despesa",LANÇ_MOV[CONTAS],$C921,LANÇ_MOV[PLANO DE CONTAS],REL_DRE_FINANCEIRO!$B$855,LANÇ_MOV[ANO PAGAMENTO],$B$4,LANÇ_MOV[MÊS PAGAMENTO CORRESPONDENTE],N$6,LANÇ_MOV[EMPRESA],$C$4,LANÇ_MOV[CENTRO DE CUSTOS],$D$4)</f>
        <v>0</v>
      </c>
      <c r="O921" s="206">
        <f>SUMIFS(LANÇ_MOV[VALOR LÍQUIDO],LANÇ_MOV[RECEITA OU DESPESA],"Despesa",LANÇ_MOV[CONTAS],$C921,LANÇ_MOV[PLANO DE CONTAS],REL_DRE_FINANCEIRO!$B$855,LANÇ_MOV[ANO PAGAMENTO],$B$4,LANÇ_MOV[MÊS PAGAMENTO CORRESPONDENTE],O$6,LANÇ_MOV[EMPRESA],$C$4,LANÇ_MOV[CENTRO DE CUSTOS],$D$4)</f>
        <v>0</v>
      </c>
      <c r="P921" s="207">
        <f t="shared" si="116"/>
        <v>0</v>
      </c>
      <c r="Q921" s="329">
        <v>3.4999999999999999E-6</v>
      </c>
      <c r="R921" s="346">
        <f t="shared" si="117"/>
        <v>3.4999999999999999E-6</v>
      </c>
      <c r="S921" s="347" t="str">
        <f t="shared" si="118"/>
        <v>-</v>
      </c>
      <c r="T921" s="347">
        <f t="shared" si="119"/>
        <v>0</v>
      </c>
      <c r="U921" s="347">
        <f>HLOOKUP(Apoio!$P$12,$D$854:$P$955,X921,FALSE)+Q921</f>
        <v>3.4999999999999999E-6</v>
      </c>
      <c r="V921" s="447" t="str">
        <f t="shared" si="120"/>
        <v>-</v>
      </c>
      <c r="W921" s="448">
        <f>HLOOKUP(Apoio!$P$12,$D$854:$P$955,X921,FALSE)</f>
        <v>0</v>
      </c>
      <c r="X921" s="329">
        <v>68</v>
      </c>
    </row>
    <row r="922" spans="2:24" ht="30.05" customHeight="1" x14ac:dyDescent="0.35">
      <c r="B922" s="204" t="str">
        <f>'CAD_PL_REC-DESP'!AC71</f>
        <v>2.7.67</v>
      </c>
      <c r="C922" s="205" t="str">
        <f>IF('CAD_PL_REC-DESP'!AD71="","-",'CAD_PL_REC-DESP'!AD71)</f>
        <v>-</v>
      </c>
      <c r="D922" s="206">
        <f>SUMIFS(LANÇ_MOV[VALOR LÍQUIDO],LANÇ_MOV[RECEITA OU DESPESA],"Despesa",LANÇ_MOV[CONTAS],$C922,LANÇ_MOV[PLANO DE CONTAS],REL_DRE_FINANCEIRO!$B$855,LANÇ_MOV[ANO PAGAMENTO],$B$4,LANÇ_MOV[MÊS PAGAMENTO CORRESPONDENTE],D$6,LANÇ_MOV[EMPRESA],$C$4,LANÇ_MOV[CENTRO DE CUSTOS],$D$4)</f>
        <v>0</v>
      </c>
      <c r="E922" s="206">
        <f>SUMIFS(LANÇ_MOV[VALOR LÍQUIDO],LANÇ_MOV[RECEITA OU DESPESA],"Despesa",LANÇ_MOV[CONTAS],$C922,LANÇ_MOV[PLANO DE CONTAS],REL_DRE_FINANCEIRO!$B$855,LANÇ_MOV[ANO PAGAMENTO],$B$4,LANÇ_MOV[MÊS PAGAMENTO CORRESPONDENTE],E$6,LANÇ_MOV[EMPRESA],$C$4,LANÇ_MOV[CENTRO DE CUSTOS],$D$4)</f>
        <v>0</v>
      </c>
      <c r="F922" s="206">
        <f>SUMIFS(LANÇ_MOV[VALOR LÍQUIDO],LANÇ_MOV[RECEITA OU DESPESA],"Despesa",LANÇ_MOV[CONTAS],$C922,LANÇ_MOV[PLANO DE CONTAS],REL_DRE_FINANCEIRO!$B$855,LANÇ_MOV[ANO PAGAMENTO],$B$4,LANÇ_MOV[MÊS PAGAMENTO CORRESPONDENTE],F$6,LANÇ_MOV[EMPRESA],$C$4,LANÇ_MOV[CENTRO DE CUSTOS],$D$4)</f>
        <v>0</v>
      </c>
      <c r="G922" s="206">
        <f>SUMIFS(LANÇ_MOV[VALOR LÍQUIDO],LANÇ_MOV[RECEITA OU DESPESA],"Despesa",LANÇ_MOV[CONTAS],$C922,LANÇ_MOV[PLANO DE CONTAS],REL_DRE_FINANCEIRO!$B$855,LANÇ_MOV[ANO PAGAMENTO],$B$4,LANÇ_MOV[MÊS PAGAMENTO CORRESPONDENTE],G$6,LANÇ_MOV[EMPRESA],$C$4,LANÇ_MOV[CENTRO DE CUSTOS],$D$4)</f>
        <v>0</v>
      </c>
      <c r="H922" s="206">
        <f>SUMIFS(LANÇ_MOV[VALOR LÍQUIDO],LANÇ_MOV[RECEITA OU DESPESA],"Despesa",LANÇ_MOV[CONTAS],$C922,LANÇ_MOV[PLANO DE CONTAS],REL_DRE_FINANCEIRO!$B$855,LANÇ_MOV[ANO PAGAMENTO],$B$4,LANÇ_MOV[MÊS PAGAMENTO CORRESPONDENTE],H$6,LANÇ_MOV[EMPRESA],$C$4,LANÇ_MOV[CENTRO DE CUSTOS],$D$4)</f>
        <v>0</v>
      </c>
      <c r="I922" s="206">
        <f>SUMIFS(LANÇ_MOV[VALOR LÍQUIDO],LANÇ_MOV[RECEITA OU DESPESA],"Despesa",LANÇ_MOV[CONTAS],$C922,LANÇ_MOV[PLANO DE CONTAS],REL_DRE_FINANCEIRO!$B$855,LANÇ_MOV[ANO PAGAMENTO],$B$4,LANÇ_MOV[MÊS PAGAMENTO CORRESPONDENTE],I$6,LANÇ_MOV[EMPRESA],$C$4,LANÇ_MOV[CENTRO DE CUSTOS],$D$4)</f>
        <v>0</v>
      </c>
      <c r="J922" s="206">
        <f>SUMIFS(LANÇ_MOV[VALOR LÍQUIDO],LANÇ_MOV[RECEITA OU DESPESA],"Despesa",LANÇ_MOV[CONTAS],$C922,LANÇ_MOV[PLANO DE CONTAS],REL_DRE_FINANCEIRO!$B$855,LANÇ_MOV[ANO PAGAMENTO],$B$4,LANÇ_MOV[MÊS PAGAMENTO CORRESPONDENTE],J$6,LANÇ_MOV[EMPRESA],$C$4,LANÇ_MOV[CENTRO DE CUSTOS],$D$4)</f>
        <v>0</v>
      </c>
      <c r="K922" s="206">
        <f>SUMIFS(LANÇ_MOV[VALOR LÍQUIDO],LANÇ_MOV[RECEITA OU DESPESA],"Despesa",LANÇ_MOV[CONTAS],$C922,LANÇ_MOV[PLANO DE CONTAS],REL_DRE_FINANCEIRO!$B$855,LANÇ_MOV[ANO PAGAMENTO],$B$4,LANÇ_MOV[MÊS PAGAMENTO CORRESPONDENTE],K$6,LANÇ_MOV[EMPRESA],$C$4,LANÇ_MOV[CENTRO DE CUSTOS],$D$4)</f>
        <v>0</v>
      </c>
      <c r="L922" s="206">
        <f>SUMIFS(LANÇ_MOV[VALOR LÍQUIDO],LANÇ_MOV[RECEITA OU DESPESA],"Despesa",LANÇ_MOV[CONTAS],$C922,LANÇ_MOV[PLANO DE CONTAS],REL_DRE_FINANCEIRO!$B$855,LANÇ_MOV[ANO PAGAMENTO],$B$4,LANÇ_MOV[MÊS PAGAMENTO CORRESPONDENTE],L$6,LANÇ_MOV[EMPRESA],$C$4,LANÇ_MOV[CENTRO DE CUSTOS],$D$4)</f>
        <v>0</v>
      </c>
      <c r="M922" s="206">
        <f>SUMIFS(LANÇ_MOV[VALOR LÍQUIDO],LANÇ_MOV[RECEITA OU DESPESA],"Despesa",LANÇ_MOV[CONTAS],$C922,LANÇ_MOV[PLANO DE CONTAS],REL_DRE_FINANCEIRO!$B$855,LANÇ_MOV[ANO PAGAMENTO],$B$4,LANÇ_MOV[MÊS PAGAMENTO CORRESPONDENTE],M$6,LANÇ_MOV[EMPRESA],$C$4,LANÇ_MOV[CENTRO DE CUSTOS],$D$4)</f>
        <v>0</v>
      </c>
      <c r="N922" s="206">
        <f>SUMIFS(LANÇ_MOV[VALOR LÍQUIDO],LANÇ_MOV[RECEITA OU DESPESA],"Despesa",LANÇ_MOV[CONTAS],$C922,LANÇ_MOV[PLANO DE CONTAS],REL_DRE_FINANCEIRO!$B$855,LANÇ_MOV[ANO PAGAMENTO],$B$4,LANÇ_MOV[MÊS PAGAMENTO CORRESPONDENTE],N$6,LANÇ_MOV[EMPRESA],$C$4,LANÇ_MOV[CENTRO DE CUSTOS],$D$4)</f>
        <v>0</v>
      </c>
      <c r="O922" s="206">
        <f>SUMIFS(LANÇ_MOV[VALOR LÍQUIDO],LANÇ_MOV[RECEITA OU DESPESA],"Despesa",LANÇ_MOV[CONTAS],$C922,LANÇ_MOV[PLANO DE CONTAS],REL_DRE_FINANCEIRO!$B$855,LANÇ_MOV[ANO PAGAMENTO],$B$4,LANÇ_MOV[MÊS PAGAMENTO CORRESPONDENTE],O$6,LANÇ_MOV[EMPRESA],$C$4,LANÇ_MOV[CENTRO DE CUSTOS],$D$4)</f>
        <v>0</v>
      </c>
      <c r="P922" s="207">
        <f t="shared" si="116"/>
        <v>0</v>
      </c>
      <c r="Q922" s="329">
        <v>3.4000000000000001E-6</v>
      </c>
      <c r="R922" s="346">
        <f t="shared" si="117"/>
        <v>3.4000000000000001E-6</v>
      </c>
      <c r="S922" s="347" t="str">
        <f t="shared" si="118"/>
        <v>-</v>
      </c>
      <c r="T922" s="347">
        <f t="shared" si="119"/>
        <v>0</v>
      </c>
      <c r="U922" s="347">
        <f>HLOOKUP(Apoio!$P$12,$D$854:$P$955,X922,FALSE)+Q922</f>
        <v>3.4000000000000001E-6</v>
      </c>
      <c r="V922" s="447" t="str">
        <f t="shared" si="120"/>
        <v>-</v>
      </c>
      <c r="W922" s="448">
        <f>HLOOKUP(Apoio!$P$12,$D$854:$P$955,X922,FALSE)</f>
        <v>0</v>
      </c>
      <c r="X922" s="329">
        <v>69</v>
      </c>
    </row>
    <row r="923" spans="2:24" ht="30.05" customHeight="1" x14ac:dyDescent="0.35">
      <c r="B923" s="204" t="str">
        <f>'CAD_PL_REC-DESP'!AC72</f>
        <v>2.7.68</v>
      </c>
      <c r="C923" s="205" t="str">
        <f>IF('CAD_PL_REC-DESP'!AD72="","-",'CAD_PL_REC-DESP'!AD72)</f>
        <v>-</v>
      </c>
      <c r="D923" s="206">
        <f>SUMIFS(LANÇ_MOV[VALOR LÍQUIDO],LANÇ_MOV[RECEITA OU DESPESA],"Despesa",LANÇ_MOV[CONTAS],$C923,LANÇ_MOV[PLANO DE CONTAS],REL_DRE_FINANCEIRO!$B$855,LANÇ_MOV[ANO PAGAMENTO],$B$4,LANÇ_MOV[MÊS PAGAMENTO CORRESPONDENTE],D$6,LANÇ_MOV[EMPRESA],$C$4,LANÇ_MOV[CENTRO DE CUSTOS],$D$4)</f>
        <v>0</v>
      </c>
      <c r="E923" s="206">
        <f>SUMIFS(LANÇ_MOV[VALOR LÍQUIDO],LANÇ_MOV[RECEITA OU DESPESA],"Despesa",LANÇ_MOV[CONTAS],$C923,LANÇ_MOV[PLANO DE CONTAS],REL_DRE_FINANCEIRO!$B$855,LANÇ_MOV[ANO PAGAMENTO],$B$4,LANÇ_MOV[MÊS PAGAMENTO CORRESPONDENTE],E$6,LANÇ_MOV[EMPRESA],$C$4,LANÇ_MOV[CENTRO DE CUSTOS],$D$4)</f>
        <v>0</v>
      </c>
      <c r="F923" s="206">
        <f>SUMIFS(LANÇ_MOV[VALOR LÍQUIDO],LANÇ_MOV[RECEITA OU DESPESA],"Despesa",LANÇ_MOV[CONTAS],$C923,LANÇ_MOV[PLANO DE CONTAS],REL_DRE_FINANCEIRO!$B$855,LANÇ_MOV[ANO PAGAMENTO],$B$4,LANÇ_MOV[MÊS PAGAMENTO CORRESPONDENTE],F$6,LANÇ_MOV[EMPRESA],$C$4,LANÇ_MOV[CENTRO DE CUSTOS],$D$4)</f>
        <v>0</v>
      </c>
      <c r="G923" s="206">
        <f>SUMIFS(LANÇ_MOV[VALOR LÍQUIDO],LANÇ_MOV[RECEITA OU DESPESA],"Despesa",LANÇ_MOV[CONTAS],$C923,LANÇ_MOV[PLANO DE CONTAS],REL_DRE_FINANCEIRO!$B$855,LANÇ_MOV[ANO PAGAMENTO],$B$4,LANÇ_MOV[MÊS PAGAMENTO CORRESPONDENTE],G$6,LANÇ_MOV[EMPRESA],$C$4,LANÇ_MOV[CENTRO DE CUSTOS],$D$4)</f>
        <v>0</v>
      </c>
      <c r="H923" s="206">
        <f>SUMIFS(LANÇ_MOV[VALOR LÍQUIDO],LANÇ_MOV[RECEITA OU DESPESA],"Despesa",LANÇ_MOV[CONTAS],$C923,LANÇ_MOV[PLANO DE CONTAS],REL_DRE_FINANCEIRO!$B$855,LANÇ_MOV[ANO PAGAMENTO],$B$4,LANÇ_MOV[MÊS PAGAMENTO CORRESPONDENTE],H$6,LANÇ_MOV[EMPRESA],$C$4,LANÇ_MOV[CENTRO DE CUSTOS],$D$4)</f>
        <v>0</v>
      </c>
      <c r="I923" s="206">
        <f>SUMIFS(LANÇ_MOV[VALOR LÍQUIDO],LANÇ_MOV[RECEITA OU DESPESA],"Despesa",LANÇ_MOV[CONTAS],$C923,LANÇ_MOV[PLANO DE CONTAS],REL_DRE_FINANCEIRO!$B$855,LANÇ_MOV[ANO PAGAMENTO],$B$4,LANÇ_MOV[MÊS PAGAMENTO CORRESPONDENTE],I$6,LANÇ_MOV[EMPRESA],$C$4,LANÇ_MOV[CENTRO DE CUSTOS],$D$4)</f>
        <v>0</v>
      </c>
      <c r="J923" s="206">
        <f>SUMIFS(LANÇ_MOV[VALOR LÍQUIDO],LANÇ_MOV[RECEITA OU DESPESA],"Despesa",LANÇ_MOV[CONTAS],$C923,LANÇ_MOV[PLANO DE CONTAS],REL_DRE_FINANCEIRO!$B$855,LANÇ_MOV[ANO PAGAMENTO],$B$4,LANÇ_MOV[MÊS PAGAMENTO CORRESPONDENTE],J$6,LANÇ_MOV[EMPRESA],$C$4,LANÇ_MOV[CENTRO DE CUSTOS],$D$4)</f>
        <v>0</v>
      </c>
      <c r="K923" s="206">
        <f>SUMIFS(LANÇ_MOV[VALOR LÍQUIDO],LANÇ_MOV[RECEITA OU DESPESA],"Despesa",LANÇ_MOV[CONTAS],$C923,LANÇ_MOV[PLANO DE CONTAS],REL_DRE_FINANCEIRO!$B$855,LANÇ_MOV[ANO PAGAMENTO],$B$4,LANÇ_MOV[MÊS PAGAMENTO CORRESPONDENTE],K$6,LANÇ_MOV[EMPRESA],$C$4,LANÇ_MOV[CENTRO DE CUSTOS],$D$4)</f>
        <v>0</v>
      </c>
      <c r="L923" s="206">
        <f>SUMIFS(LANÇ_MOV[VALOR LÍQUIDO],LANÇ_MOV[RECEITA OU DESPESA],"Despesa",LANÇ_MOV[CONTAS],$C923,LANÇ_MOV[PLANO DE CONTAS],REL_DRE_FINANCEIRO!$B$855,LANÇ_MOV[ANO PAGAMENTO],$B$4,LANÇ_MOV[MÊS PAGAMENTO CORRESPONDENTE],L$6,LANÇ_MOV[EMPRESA],$C$4,LANÇ_MOV[CENTRO DE CUSTOS],$D$4)</f>
        <v>0</v>
      </c>
      <c r="M923" s="206">
        <f>SUMIFS(LANÇ_MOV[VALOR LÍQUIDO],LANÇ_MOV[RECEITA OU DESPESA],"Despesa",LANÇ_MOV[CONTAS],$C923,LANÇ_MOV[PLANO DE CONTAS],REL_DRE_FINANCEIRO!$B$855,LANÇ_MOV[ANO PAGAMENTO],$B$4,LANÇ_MOV[MÊS PAGAMENTO CORRESPONDENTE],M$6,LANÇ_MOV[EMPRESA],$C$4,LANÇ_MOV[CENTRO DE CUSTOS],$D$4)</f>
        <v>0</v>
      </c>
      <c r="N923" s="206">
        <f>SUMIFS(LANÇ_MOV[VALOR LÍQUIDO],LANÇ_MOV[RECEITA OU DESPESA],"Despesa",LANÇ_MOV[CONTAS],$C923,LANÇ_MOV[PLANO DE CONTAS],REL_DRE_FINANCEIRO!$B$855,LANÇ_MOV[ANO PAGAMENTO],$B$4,LANÇ_MOV[MÊS PAGAMENTO CORRESPONDENTE],N$6,LANÇ_MOV[EMPRESA],$C$4,LANÇ_MOV[CENTRO DE CUSTOS],$D$4)</f>
        <v>0</v>
      </c>
      <c r="O923" s="206">
        <f>SUMIFS(LANÇ_MOV[VALOR LÍQUIDO],LANÇ_MOV[RECEITA OU DESPESA],"Despesa",LANÇ_MOV[CONTAS],$C923,LANÇ_MOV[PLANO DE CONTAS],REL_DRE_FINANCEIRO!$B$855,LANÇ_MOV[ANO PAGAMENTO],$B$4,LANÇ_MOV[MÊS PAGAMENTO CORRESPONDENTE],O$6,LANÇ_MOV[EMPRESA],$C$4,LANÇ_MOV[CENTRO DE CUSTOS],$D$4)</f>
        <v>0</v>
      </c>
      <c r="P923" s="207">
        <f t="shared" si="116"/>
        <v>0</v>
      </c>
      <c r="Q923" s="329">
        <v>3.3000000000000002E-6</v>
      </c>
      <c r="R923" s="346">
        <f t="shared" si="117"/>
        <v>3.3000000000000002E-6</v>
      </c>
      <c r="S923" s="347" t="str">
        <f t="shared" si="118"/>
        <v>-</v>
      </c>
      <c r="T923" s="347">
        <f t="shared" si="119"/>
        <v>0</v>
      </c>
      <c r="U923" s="347">
        <f>HLOOKUP(Apoio!$P$12,$D$854:$P$955,X923,FALSE)+Q923</f>
        <v>3.3000000000000002E-6</v>
      </c>
      <c r="V923" s="447" t="str">
        <f t="shared" si="120"/>
        <v>-</v>
      </c>
      <c r="W923" s="448">
        <f>HLOOKUP(Apoio!$P$12,$D$854:$P$955,X923,FALSE)</f>
        <v>0</v>
      </c>
      <c r="X923" s="329">
        <v>70</v>
      </c>
    </row>
    <row r="924" spans="2:24" ht="30.05" customHeight="1" x14ac:dyDescent="0.35">
      <c r="B924" s="204" t="str">
        <f>'CAD_PL_REC-DESP'!AC73</f>
        <v>2.7.69</v>
      </c>
      <c r="C924" s="205" t="str">
        <f>IF('CAD_PL_REC-DESP'!AD73="","-",'CAD_PL_REC-DESP'!AD73)</f>
        <v>-</v>
      </c>
      <c r="D924" s="206">
        <f>SUMIFS(LANÇ_MOV[VALOR LÍQUIDO],LANÇ_MOV[RECEITA OU DESPESA],"Despesa",LANÇ_MOV[CONTAS],$C924,LANÇ_MOV[PLANO DE CONTAS],REL_DRE_FINANCEIRO!$B$855,LANÇ_MOV[ANO PAGAMENTO],$B$4,LANÇ_MOV[MÊS PAGAMENTO CORRESPONDENTE],D$6,LANÇ_MOV[EMPRESA],$C$4,LANÇ_MOV[CENTRO DE CUSTOS],$D$4)</f>
        <v>0</v>
      </c>
      <c r="E924" s="206">
        <f>SUMIFS(LANÇ_MOV[VALOR LÍQUIDO],LANÇ_MOV[RECEITA OU DESPESA],"Despesa",LANÇ_MOV[CONTAS],$C924,LANÇ_MOV[PLANO DE CONTAS],REL_DRE_FINANCEIRO!$B$855,LANÇ_MOV[ANO PAGAMENTO],$B$4,LANÇ_MOV[MÊS PAGAMENTO CORRESPONDENTE],E$6,LANÇ_MOV[EMPRESA],$C$4,LANÇ_MOV[CENTRO DE CUSTOS],$D$4)</f>
        <v>0</v>
      </c>
      <c r="F924" s="206">
        <f>SUMIFS(LANÇ_MOV[VALOR LÍQUIDO],LANÇ_MOV[RECEITA OU DESPESA],"Despesa",LANÇ_MOV[CONTAS],$C924,LANÇ_MOV[PLANO DE CONTAS],REL_DRE_FINANCEIRO!$B$855,LANÇ_MOV[ANO PAGAMENTO],$B$4,LANÇ_MOV[MÊS PAGAMENTO CORRESPONDENTE],F$6,LANÇ_MOV[EMPRESA],$C$4,LANÇ_MOV[CENTRO DE CUSTOS],$D$4)</f>
        <v>0</v>
      </c>
      <c r="G924" s="206">
        <f>SUMIFS(LANÇ_MOV[VALOR LÍQUIDO],LANÇ_MOV[RECEITA OU DESPESA],"Despesa",LANÇ_MOV[CONTAS],$C924,LANÇ_MOV[PLANO DE CONTAS],REL_DRE_FINANCEIRO!$B$855,LANÇ_MOV[ANO PAGAMENTO],$B$4,LANÇ_MOV[MÊS PAGAMENTO CORRESPONDENTE],G$6,LANÇ_MOV[EMPRESA],$C$4,LANÇ_MOV[CENTRO DE CUSTOS],$D$4)</f>
        <v>0</v>
      </c>
      <c r="H924" s="206">
        <f>SUMIFS(LANÇ_MOV[VALOR LÍQUIDO],LANÇ_MOV[RECEITA OU DESPESA],"Despesa",LANÇ_MOV[CONTAS],$C924,LANÇ_MOV[PLANO DE CONTAS],REL_DRE_FINANCEIRO!$B$855,LANÇ_MOV[ANO PAGAMENTO],$B$4,LANÇ_MOV[MÊS PAGAMENTO CORRESPONDENTE],H$6,LANÇ_MOV[EMPRESA],$C$4,LANÇ_MOV[CENTRO DE CUSTOS],$D$4)</f>
        <v>0</v>
      </c>
      <c r="I924" s="206">
        <f>SUMIFS(LANÇ_MOV[VALOR LÍQUIDO],LANÇ_MOV[RECEITA OU DESPESA],"Despesa",LANÇ_MOV[CONTAS],$C924,LANÇ_MOV[PLANO DE CONTAS],REL_DRE_FINANCEIRO!$B$855,LANÇ_MOV[ANO PAGAMENTO],$B$4,LANÇ_MOV[MÊS PAGAMENTO CORRESPONDENTE],I$6,LANÇ_MOV[EMPRESA],$C$4,LANÇ_MOV[CENTRO DE CUSTOS],$D$4)</f>
        <v>0</v>
      </c>
      <c r="J924" s="206">
        <f>SUMIFS(LANÇ_MOV[VALOR LÍQUIDO],LANÇ_MOV[RECEITA OU DESPESA],"Despesa",LANÇ_MOV[CONTAS],$C924,LANÇ_MOV[PLANO DE CONTAS],REL_DRE_FINANCEIRO!$B$855,LANÇ_MOV[ANO PAGAMENTO],$B$4,LANÇ_MOV[MÊS PAGAMENTO CORRESPONDENTE],J$6,LANÇ_MOV[EMPRESA],$C$4,LANÇ_MOV[CENTRO DE CUSTOS],$D$4)</f>
        <v>0</v>
      </c>
      <c r="K924" s="206">
        <f>SUMIFS(LANÇ_MOV[VALOR LÍQUIDO],LANÇ_MOV[RECEITA OU DESPESA],"Despesa",LANÇ_MOV[CONTAS],$C924,LANÇ_MOV[PLANO DE CONTAS],REL_DRE_FINANCEIRO!$B$855,LANÇ_MOV[ANO PAGAMENTO],$B$4,LANÇ_MOV[MÊS PAGAMENTO CORRESPONDENTE],K$6,LANÇ_MOV[EMPRESA],$C$4,LANÇ_MOV[CENTRO DE CUSTOS],$D$4)</f>
        <v>0</v>
      </c>
      <c r="L924" s="206">
        <f>SUMIFS(LANÇ_MOV[VALOR LÍQUIDO],LANÇ_MOV[RECEITA OU DESPESA],"Despesa",LANÇ_MOV[CONTAS],$C924,LANÇ_MOV[PLANO DE CONTAS],REL_DRE_FINANCEIRO!$B$855,LANÇ_MOV[ANO PAGAMENTO],$B$4,LANÇ_MOV[MÊS PAGAMENTO CORRESPONDENTE],L$6,LANÇ_MOV[EMPRESA],$C$4,LANÇ_MOV[CENTRO DE CUSTOS],$D$4)</f>
        <v>0</v>
      </c>
      <c r="M924" s="206">
        <f>SUMIFS(LANÇ_MOV[VALOR LÍQUIDO],LANÇ_MOV[RECEITA OU DESPESA],"Despesa",LANÇ_MOV[CONTAS],$C924,LANÇ_MOV[PLANO DE CONTAS],REL_DRE_FINANCEIRO!$B$855,LANÇ_MOV[ANO PAGAMENTO],$B$4,LANÇ_MOV[MÊS PAGAMENTO CORRESPONDENTE],M$6,LANÇ_MOV[EMPRESA],$C$4,LANÇ_MOV[CENTRO DE CUSTOS],$D$4)</f>
        <v>0</v>
      </c>
      <c r="N924" s="206">
        <f>SUMIFS(LANÇ_MOV[VALOR LÍQUIDO],LANÇ_MOV[RECEITA OU DESPESA],"Despesa",LANÇ_MOV[CONTAS],$C924,LANÇ_MOV[PLANO DE CONTAS],REL_DRE_FINANCEIRO!$B$855,LANÇ_MOV[ANO PAGAMENTO],$B$4,LANÇ_MOV[MÊS PAGAMENTO CORRESPONDENTE],N$6,LANÇ_MOV[EMPRESA],$C$4,LANÇ_MOV[CENTRO DE CUSTOS],$D$4)</f>
        <v>0</v>
      </c>
      <c r="O924" s="206">
        <f>SUMIFS(LANÇ_MOV[VALOR LÍQUIDO],LANÇ_MOV[RECEITA OU DESPESA],"Despesa",LANÇ_MOV[CONTAS],$C924,LANÇ_MOV[PLANO DE CONTAS],REL_DRE_FINANCEIRO!$B$855,LANÇ_MOV[ANO PAGAMENTO],$B$4,LANÇ_MOV[MÊS PAGAMENTO CORRESPONDENTE],O$6,LANÇ_MOV[EMPRESA],$C$4,LANÇ_MOV[CENTRO DE CUSTOS],$D$4)</f>
        <v>0</v>
      </c>
      <c r="P924" s="207">
        <f t="shared" si="116"/>
        <v>0</v>
      </c>
      <c r="Q924" s="329">
        <v>3.1999999999999999E-6</v>
      </c>
      <c r="R924" s="346">
        <f t="shared" si="117"/>
        <v>3.1999999999999999E-6</v>
      </c>
      <c r="S924" s="347" t="str">
        <f t="shared" si="118"/>
        <v>-</v>
      </c>
      <c r="T924" s="347">
        <f t="shared" si="119"/>
        <v>0</v>
      </c>
      <c r="U924" s="347">
        <f>HLOOKUP(Apoio!$P$12,$D$854:$P$955,X924,FALSE)+Q924</f>
        <v>3.1999999999999999E-6</v>
      </c>
      <c r="V924" s="447" t="str">
        <f t="shared" si="120"/>
        <v>-</v>
      </c>
      <c r="W924" s="448">
        <f>HLOOKUP(Apoio!$P$12,$D$854:$P$955,X924,FALSE)</f>
        <v>0</v>
      </c>
      <c r="X924" s="329">
        <v>71</v>
      </c>
    </row>
    <row r="925" spans="2:24" ht="30.05" customHeight="1" x14ac:dyDescent="0.35">
      <c r="B925" s="204" t="str">
        <f>'CAD_PL_REC-DESP'!AC74</f>
        <v>2.7.70</v>
      </c>
      <c r="C925" s="205" t="str">
        <f>IF('CAD_PL_REC-DESP'!AD74="","-",'CAD_PL_REC-DESP'!AD74)</f>
        <v>-</v>
      </c>
      <c r="D925" s="206">
        <f>SUMIFS(LANÇ_MOV[VALOR LÍQUIDO],LANÇ_MOV[RECEITA OU DESPESA],"Despesa",LANÇ_MOV[CONTAS],$C925,LANÇ_MOV[PLANO DE CONTAS],REL_DRE_FINANCEIRO!$B$855,LANÇ_MOV[ANO PAGAMENTO],$B$4,LANÇ_MOV[MÊS PAGAMENTO CORRESPONDENTE],D$6,LANÇ_MOV[EMPRESA],$C$4,LANÇ_MOV[CENTRO DE CUSTOS],$D$4)</f>
        <v>0</v>
      </c>
      <c r="E925" s="206">
        <f>SUMIFS(LANÇ_MOV[VALOR LÍQUIDO],LANÇ_MOV[RECEITA OU DESPESA],"Despesa",LANÇ_MOV[CONTAS],$C925,LANÇ_MOV[PLANO DE CONTAS],REL_DRE_FINANCEIRO!$B$855,LANÇ_MOV[ANO PAGAMENTO],$B$4,LANÇ_MOV[MÊS PAGAMENTO CORRESPONDENTE],E$6,LANÇ_MOV[EMPRESA],$C$4,LANÇ_MOV[CENTRO DE CUSTOS],$D$4)</f>
        <v>0</v>
      </c>
      <c r="F925" s="206">
        <f>SUMIFS(LANÇ_MOV[VALOR LÍQUIDO],LANÇ_MOV[RECEITA OU DESPESA],"Despesa",LANÇ_MOV[CONTAS],$C925,LANÇ_MOV[PLANO DE CONTAS],REL_DRE_FINANCEIRO!$B$855,LANÇ_MOV[ANO PAGAMENTO],$B$4,LANÇ_MOV[MÊS PAGAMENTO CORRESPONDENTE],F$6,LANÇ_MOV[EMPRESA],$C$4,LANÇ_MOV[CENTRO DE CUSTOS],$D$4)</f>
        <v>0</v>
      </c>
      <c r="G925" s="206">
        <f>SUMIFS(LANÇ_MOV[VALOR LÍQUIDO],LANÇ_MOV[RECEITA OU DESPESA],"Despesa",LANÇ_MOV[CONTAS],$C925,LANÇ_MOV[PLANO DE CONTAS],REL_DRE_FINANCEIRO!$B$855,LANÇ_MOV[ANO PAGAMENTO],$B$4,LANÇ_MOV[MÊS PAGAMENTO CORRESPONDENTE],G$6,LANÇ_MOV[EMPRESA],$C$4,LANÇ_MOV[CENTRO DE CUSTOS],$D$4)</f>
        <v>0</v>
      </c>
      <c r="H925" s="206">
        <f>SUMIFS(LANÇ_MOV[VALOR LÍQUIDO],LANÇ_MOV[RECEITA OU DESPESA],"Despesa",LANÇ_MOV[CONTAS],$C925,LANÇ_MOV[PLANO DE CONTAS],REL_DRE_FINANCEIRO!$B$855,LANÇ_MOV[ANO PAGAMENTO],$B$4,LANÇ_MOV[MÊS PAGAMENTO CORRESPONDENTE],H$6,LANÇ_MOV[EMPRESA],$C$4,LANÇ_MOV[CENTRO DE CUSTOS],$D$4)</f>
        <v>0</v>
      </c>
      <c r="I925" s="206">
        <f>SUMIFS(LANÇ_MOV[VALOR LÍQUIDO],LANÇ_MOV[RECEITA OU DESPESA],"Despesa",LANÇ_MOV[CONTAS],$C925,LANÇ_MOV[PLANO DE CONTAS],REL_DRE_FINANCEIRO!$B$855,LANÇ_MOV[ANO PAGAMENTO],$B$4,LANÇ_MOV[MÊS PAGAMENTO CORRESPONDENTE],I$6,LANÇ_MOV[EMPRESA],$C$4,LANÇ_MOV[CENTRO DE CUSTOS],$D$4)</f>
        <v>0</v>
      </c>
      <c r="J925" s="206">
        <f>SUMIFS(LANÇ_MOV[VALOR LÍQUIDO],LANÇ_MOV[RECEITA OU DESPESA],"Despesa",LANÇ_MOV[CONTAS],$C925,LANÇ_MOV[PLANO DE CONTAS],REL_DRE_FINANCEIRO!$B$855,LANÇ_MOV[ANO PAGAMENTO],$B$4,LANÇ_MOV[MÊS PAGAMENTO CORRESPONDENTE],J$6,LANÇ_MOV[EMPRESA],$C$4,LANÇ_MOV[CENTRO DE CUSTOS],$D$4)</f>
        <v>0</v>
      </c>
      <c r="K925" s="206">
        <f>SUMIFS(LANÇ_MOV[VALOR LÍQUIDO],LANÇ_MOV[RECEITA OU DESPESA],"Despesa",LANÇ_MOV[CONTAS],$C925,LANÇ_MOV[PLANO DE CONTAS],REL_DRE_FINANCEIRO!$B$855,LANÇ_MOV[ANO PAGAMENTO],$B$4,LANÇ_MOV[MÊS PAGAMENTO CORRESPONDENTE],K$6,LANÇ_MOV[EMPRESA],$C$4,LANÇ_MOV[CENTRO DE CUSTOS],$D$4)</f>
        <v>0</v>
      </c>
      <c r="L925" s="206">
        <f>SUMIFS(LANÇ_MOV[VALOR LÍQUIDO],LANÇ_MOV[RECEITA OU DESPESA],"Despesa",LANÇ_MOV[CONTAS],$C925,LANÇ_MOV[PLANO DE CONTAS],REL_DRE_FINANCEIRO!$B$855,LANÇ_MOV[ANO PAGAMENTO],$B$4,LANÇ_MOV[MÊS PAGAMENTO CORRESPONDENTE],L$6,LANÇ_MOV[EMPRESA],$C$4,LANÇ_MOV[CENTRO DE CUSTOS],$D$4)</f>
        <v>0</v>
      </c>
      <c r="M925" s="206">
        <f>SUMIFS(LANÇ_MOV[VALOR LÍQUIDO],LANÇ_MOV[RECEITA OU DESPESA],"Despesa",LANÇ_MOV[CONTAS],$C925,LANÇ_MOV[PLANO DE CONTAS],REL_DRE_FINANCEIRO!$B$855,LANÇ_MOV[ANO PAGAMENTO],$B$4,LANÇ_MOV[MÊS PAGAMENTO CORRESPONDENTE],M$6,LANÇ_MOV[EMPRESA],$C$4,LANÇ_MOV[CENTRO DE CUSTOS],$D$4)</f>
        <v>0</v>
      </c>
      <c r="N925" s="206">
        <f>SUMIFS(LANÇ_MOV[VALOR LÍQUIDO],LANÇ_MOV[RECEITA OU DESPESA],"Despesa",LANÇ_MOV[CONTAS],$C925,LANÇ_MOV[PLANO DE CONTAS],REL_DRE_FINANCEIRO!$B$855,LANÇ_MOV[ANO PAGAMENTO],$B$4,LANÇ_MOV[MÊS PAGAMENTO CORRESPONDENTE],N$6,LANÇ_MOV[EMPRESA],$C$4,LANÇ_MOV[CENTRO DE CUSTOS],$D$4)</f>
        <v>0</v>
      </c>
      <c r="O925" s="206">
        <f>SUMIFS(LANÇ_MOV[VALOR LÍQUIDO],LANÇ_MOV[RECEITA OU DESPESA],"Despesa",LANÇ_MOV[CONTAS],$C925,LANÇ_MOV[PLANO DE CONTAS],REL_DRE_FINANCEIRO!$B$855,LANÇ_MOV[ANO PAGAMENTO],$B$4,LANÇ_MOV[MÊS PAGAMENTO CORRESPONDENTE],O$6,LANÇ_MOV[EMPRESA],$C$4,LANÇ_MOV[CENTRO DE CUSTOS],$D$4)</f>
        <v>0</v>
      </c>
      <c r="P925" s="207">
        <f t="shared" si="116"/>
        <v>0</v>
      </c>
      <c r="Q925" s="329">
        <v>3.1E-6</v>
      </c>
      <c r="R925" s="346">
        <f t="shared" si="117"/>
        <v>3.1E-6</v>
      </c>
      <c r="S925" s="347" t="str">
        <f t="shared" si="118"/>
        <v>-</v>
      </c>
      <c r="T925" s="347">
        <f t="shared" si="119"/>
        <v>0</v>
      </c>
      <c r="U925" s="347">
        <f>HLOOKUP(Apoio!$P$12,$D$854:$P$955,X925,FALSE)+Q925</f>
        <v>3.1E-6</v>
      </c>
      <c r="V925" s="447" t="str">
        <f t="shared" si="120"/>
        <v>-</v>
      </c>
      <c r="W925" s="448">
        <f>HLOOKUP(Apoio!$P$12,$D$854:$P$955,X925,FALSE)</f>
        <v>0</v>
      </c>
      <c r="X925" s="329">
        <v>72</v>
      </c>
    </row>
    <row r="926" spans="2:24" ht="30.05" customHeight="1" x14ac:dyDescent="0.35">
      <c r="B926" s="204" t="str">
        <f>'CAD_PL_REC-DESP'!AC75</f>
        <v>2.7.71</v>
      </c>
      <c r="C926" s="205" t="str">
        <f>IF('CAD_PL_REC-DESP'!AD75="","-",'CAD_PL_REC-DESP'!AD75)</f>
        <v>-</v>
      </c>
      <c r="D926" s="206">
        <f>SUMIFS(LANÇ_MOV[VALOR LÍQUIDO],LANÇ_MOV[RECEITA OU DESPESA],"Despesa",LANÇ_MOV[CONTAS],$C926,LANÇ_MOV[PLANO DE CONTAS],REL_DRE_FINANCEIRO!$B$855,LANÇ_MOV[ANO PAGAMENTO],$B$4,LANÇ_MOV[MÊS PAGAMENTO CORRESPONDENTE],D$6,LANÇ_MOV[EMPRESA],$C$4,LANÇ_MOV[CENTRO DE CUSTOS],$D$4)</f>
        <v>0</v>
      </c>
      <c r="E926" s="206">
        <f>SUMIFS(LANÇ_MOV[VALOR LÍQUIDO],LANÇ_MOV[RECEITA OU DESPESA],"Despesa",LANÇ_MOV[CONTAS],$C926,LANÇ_MOV[PLANO DE CONTAS],REL_DRE_FINANCEIRO!$B$855,LANÇ_MOV[ANO PAGAMENTO],$B$4,LANÇ_MOV[MÊS PAGAMENTO CORRESPONDENTE],E$6,LANÇ_MOV[EMPRESA],$C$4,LANÇ_MOV[CENTRO DE CUSTOS],$D$4)</f>
        <v>0</v>
      </c>
      <c r="F926" s="206">
        <f>SUMIFS(LANÇ_MOV[VALOR LÍQUIDO],LANÇ_MOV[RECEITA OU DESPESA],"Despesa",LANÇ_MOV[CONTAS],$C926,LANÇ_MOV[PLANO DE CONTAS],REL_DRE_FINANCEIRO!$B$855,LANÇ_MOV[ANO PAGAMENTO],$B$4,LANÇ_MOV[MÊS PAGAMENTO CORRESPONDENTE],F$6,LANÇ_MOV[EMPRESA],$C$4,LANÇ_MOV[CENTRO DE CUSTOS],$D$4)</f>
        <v>0</v>
      </c>
      <c r="G926" s="206">
        <f>SUMIFS(LANÇ_MOV[VALOR LÍQUIDO],LANÇ_MOV[RECEITA OU DESPESA],"Despesa",LANÇ_MOV[CONTAS],$C926,LANÇ_MOV[PLANO DE CONTAS],REL_DRE_FINANCEIRO!$B$855,LANÇ_MOV[ANO PAGAMENTO],$B$4,LANÇ_MOV[MÊS PAGAMENTO CORRESPONDENTE],G$6,LANÇ_MOV[EMPRESA],$C$4,LANÇ_MOV[CENTRO DE CUSTOS],$D$4)</f>
        <v>0</v>
      </c>
      <c r="H926" s="206">
        <f>SUMIFS(LANÇ_MOV[VALOR LÍQUIDO],LANÇ_MOV[RECEITA OU DESPESA],"Despesa",LANÇ_MOV[CONTAS],$C926,LANÇ_MOV[PLANO DE CONTAS],REL_DRE_FINANCEIRO!$B$855,LANÇ_MOV[ANO PAGAMENTO],$B$4,LANÇ_MOV[MÊS PAGAMENTO CORRESPONDENTE],H$6,LANÇ_MOV[EMPRESA],$C$4,LANÇ_MOV[CENTRO DE CUSTOS],$D$4)</f>
        <v>0</v>
      </c>
      <c r="I926" s="206">
        <f>SUMIFS(LANÇ_MOV[VALOR LÍQUIDO],LANÇ_MOV[RECEITA OU DESPESA],"Despesa",LANÇ_MOV[CONTAS],$C926,LANÇ_MOV[PLANO DE CONTAS],REL_DRE_FINANCEIRO!$B$855,LANÇ_MOV[ANO PAGAMENTO],$B$4,LANÇ_MOV[MÊS PAGAMENTO CORRESPONDENTE],I$6,LANÇ_MOV[EMPRESA],$C$4,LANÇ_MOV[CENTRO DE CUSTOS],$D$4)</f>
        <v>0</v>
      </c>
      <c r="J926" s="206">
        <f>SUMIFS(LANÇ_MOV[VALOR LÍQUIDO],LANÇ_MOV[RECEITA OU DESPESA],"Despesa",LANÇ_MOV[CONTAS],$C926,LANÇ_MOV[PLANO DE CONTAS],REL_DRE_FINANCEIRO!$B$855,LANÇ_MOV[ANO PAGAMENTO],$B$4,LANÇ_MOV[MÊS PAGAMENTO CORRESPONDENTE],J$6,LANÇ_MOV[EMPRESA],$C$4,LANÇ_MOV[CENTRO DE CUSTOS],$D$4)</f>
        <v>0</v>
      </c>
      <c r="K926" s="206">
        <f>SUMIFS(LANÇ_MOV[VALOR LÍQUIDO],LANÇ_MOV[RECEITA OU DESPESA],"Despesa",LANÇ_MOV[CONTAS],$C926,LANÇ_MOV[PLANO DE CONTAS],REL_DRE_FINANCEIRO!$B$855,LANÇ_MOV[ANO PAGAMENTO],$B$4,LANÇ_MOV[MÊS PAGAMENTO CORRESPONDENTE],K$6,LANÇ_MOV[EMPRESA],$C$4,LANÇ_MOV[CENTRO DE CUSTOS],$D$4)</f>
        <v>0</v>
      </c>
      <c r="L926" s="206">
        <f>SUMIFS(LANÇ_MOV[VALOR LÍQUIDO],LANÇ_MOV[RECEITA OU DESPESA],"Despesa",LANÇ_MOV[CONTAS],$C926,LANÇ_MOV[PLANO DE CONTAS],REL_DRE_FINANCEIRO!$B$855,LANÇ_MOV[ANO PAGAMENTO],$B$4,LANÇ_MOV[MÊS PAGAMENTO CORRESPONDENTE],L$6,LANÇ_MOV[EMPRESA],$C$4,LANÇ_MOV[CENTRO DE CUSTOS],$D$4)</f>
        <v>0</v>
      </c>
      <c r="M926" s="206">
        <f>SUMIFS(LANÇ_MOV[VALOR LÍQUIDO],LANÇ_MOV[RECEITA OU DESPESA],"Despesa",LANÇ_MOV[CONTAS],$C926,LANÇ_MOV[PLANO DE CONTAS],REL_DRE_FINANCEIRO!$B$855,LANÇ_MOV[ANO PAGAMENTO],$B$4,LANÇ_MOV[MÊS PAGAMENTO CORRESPONDENTE],M$6,LANÇ_MOV[EMPRESA],$C$4,LANÇ_MOV[CENTRO DE CUSTOS],$D$4)</f>
        <v>0</v>
      </c>
      <c r="N926" s="206">
        <f>SUMIFS(LANÇ_MOV[VALOR LÍQUIDO],LANÇ_MOV[RECEITA OU DESPESA],"Despesa",LANÇ_MOV[CONTAS],$C926,LANÇ_MOV[PLANO DE CONTAS],REL_DRE_FINANCEIRO!$B$855,LANÇ_MOV[ANO PAGAMENTO],$B$4,LANÇ_MOV[MÊS PAGAMENTO CORRESPONDENTE],N$6,LANÇ_MOV[EMPRESA],$C$4,LANÇ_MOV[CENTRO DE CUSTOS],$D$4)</f>
        <v>0</v>
      </c>
      <c r="O926" s="206">
        <f>SUMIFS(LANÇ_MOV[VALOR LÍQUIDO],LANÇ_MOV[RECEITA OU DESPESA],"Despesa",LANÇ_MOV[CONTAS],$C926,LANÇ_MOV[PLANO DE CONTAS],REL_DRE_FINANCEIRO!$B$855,LANÇ_MOV[ANO PAGAMENTO],$B$4,LANÇ_MOV[MÊS PAGAMENTO CORRESPONDENTE],O$6,LANÇ_MOV[EMPRESA],$C$4,LANÇ_MOV[CENTRO DE CUSTOS],$D$4)</f>
        <v>0</v>
      </c>
      <c r="P926" s="207">
        <f t="shared" si="116"/>
        <v>0</v>
      </c>
      <c r="Q926" s="329">
        <v>3.0000000000000001E-6</v>
      </c>
      <c r="R926" s="346">
        <f t="shared" si="117"/>
        <v>3.0000000000000001E-6</v>
      </c>
      <c r="S926" s="347" t="str">
        <f t="shared" si="118"/>
        <v>-</v>
      </c>
      <c r="T926" s="347">
        <f t="shared" si="119"/>
        <v>0</v>
      </c>
      <c r="U926" s="347">
        <f>HLOOKUP(Apoio!$P$12,$D$854:$P$955,X926,FALSE)+Q926</f>
        <v>3.0000000000000001E-6</v>
      </c>
      <c r="V926" s="447" t="str">
        <f t="shared" si="120"/>
        <v>-</v>
      </c>
      <c r="W926" s="448">
        <f>HLOOKUP(Apoio!$P$12,$D$854:$P$955,X926,FALSE)</f>
        <v>0</v>
      </c>
      <c r="X926" s="329">
        <v>73</v>
      </c>
    </row>
    <row r="927" spans="2:24" ht="30.05" customHeight="1" x14ac:dyDescent="0.35">
      <c r="B927" s="204" t="str">
        <f>'CAD_PL_REC-DESP'!AC76</f>
        <v>2.7.72</v>
      </c>
      <c r="C927" s="205" t="str">
        <f>IF('CAD_PL_REC-DESP'!AD76="","-",'CAD_PL_REC-DESP'!AD76)</f>
        <v>-</v>
      </c>
      <c r="D927" s="206">
        <f>SUMIFS(LANÇ_MOV[VALOR LÍQUIDO],LANÇ_MOV[RECEITA OU DESPESA],"Despesa",LANÇ_MOV[CONTAS],$C927,LANÇ_MOV[PLANO DE CONTAS],REL_DRE_FINANCEIRO!$B$855,LANÇ_MOV[ANO PAGAMENTO],$B$4,LANÇ_MOV[MÊS PAGAMENTO CORRESPONDENTE],D$6,LANÇ_MOV[EMPRESA],$C$4,LANÇ_MOV[CENTRO DE CUSTOS],$D$4)</f>
        <v>0</v>
      </c>
      <c r="E927" s="206">
        <f>SUMIFS(LANÇ_MOV[VALOR LÍQUIDO],LANÇ_MOV[RECEITA OU DESPESA],"Despesa",LANÇ_MOV[CONTAS],$C927,LANÇ_MOV[PLANO DE CONTAS],REL_DRE_FINANCEIRO!$B$855,LANÇ_MOV[ANO PAGAMENTO],$B$4,LANÇ_MOV[MÊS PAGAMENTO CORRESPONDENTE],E$6,LANÇ_MOV[EMPRESA],$C$4,LANÇ_MOV[CENTRO DE CUSTOS],$D$4)</f>
        <v>0</v>
      </c>
      <c r="F927" s="206">
        <f>SUMIFS(LANÇ_MOV[VALOR LÍQUIDO],LANÇ_MOV[RECEITA OU DESPESA],"Despesa",LANÇ_MOV[CONTAS],$C927,LANÇ_MOV[PLANO DE CONTAS],REL_DRE_FINANCEIRO!$B$855,LANÇ_MOV[ANO PAGAMENTO],$B$4,LANÇ_MOV[MÊS PAGAMENTO CORRESPONDENTE],F$6,LANÇ_MOV[EMPRESA],$C$4,LANÇ_MOV[CENTRO DE CUSTOS],$D$4)</f>
        <v>0</v>
      </c>
      <c r="G927" s="206">
        <f>SUMIFS(LANÇ_MOV[VALOR LÍQUIDO],LANÇ_MOV[RECEITA OU DESPESA],"Despesa",LANÇ_MOV[CONTAS],$C927,LANÇ_MOV[PLANO DE CONTAS],REL_DRE_FINANCEIRO!$B$855,LANÇ_MOV[ANO PAGAMENTO],$B$4,LANÇ_MOV[MÊS PAGAMENTO CORRESPONDENTE],G$6,LANÇ_MOV[EMPRESA],$C$4,LANÇ_MOV[CENTRO DE CUSTOS],$D$4)</f>
        <v>0</v>
      </c>
      <c r="H927" s="206">
        <f>SUMIFS(LANÇ_MOV[VALOR LÍQUIDO],LANÇ_MOV[RECEITA OU DESPESA],"Despesa",LANÇ_MOV[CONTAS],$C927,LANÇ_MOV[PLANO DE CONTAS],REL_DRE_FINANCEIRO!$B$855,LANÇ_MOV[ANO PAGAMENTO],$B$4,LANÇ_MOV[MÊS PAGAMENTO CORRESPONDENTE],H$6,LANÇ_MOV[EMPRESA],$C$4,LANÇ_MOV[CENTRO DE CUSTOS],$D$4)</f>
        <v>0</v>
      </c>
      <c r="I927" s="206">
        <f>SUMIFS(LANÇ_MOV[VALOR LÍQUIDO],LANÇ_MOV[RECEITA OU DESPESA],"Despesa",LANÇ_MOV[CONTAS],$C927,LANÇ_MOV[PLANO DE CONTAS],REL_DRE_FINANCEIRO!$B$855,LANÇ_MOV[ANO PAGAMENTO],$B$4,LANÇ_MOV[MÊS PAGAMENTO CORRESPONDENTE],I$6,LANÇ_MOV[EMPRESA],$C$4,LANÇ_MOV[CENTRO DE CUSTOS],$D$4)</f>
        <v>0</v>
      </c>
      <c r="J927" s="206">
        <f>SUMIFS(LANÇ_MOV[VALOR LÍQUIDO],LANÇ_MOV[RECEITA OU DESPESA],"Despesa",LANÇ_MOV[CONTAS],$C927,LANÇ_MOV[PLANO DE CONTAS],REL_DRE_FINANCEIRO!$B$855,LANÇ_MOV[ANO PAGAMENTO],$B$4,LANÇ_MOV[MÊS PAGAMENTO CORRESPONDENTE],J$6,LANÇ_MOV[EMPRESA],$C$4,LANÇ_MOV[CENTRO DE CUSTOS],$D$4)</f>
        <v>0</v>
      </c>
      <c r="K927" s="206">
        <f>SUMIFS(LANÇ_MOV[VALOR LÍQUIDO],LANÇ_MOV[RECEITA OU DESPESA],"Despesa",LANÇ_MOV[CONTAS],$C927,LANÇ_MOV[PLANO DE CONTAS],REL_DRE_FINANCEIRO!$B$855,LANÇ_MOV[ANO PAGAMENTO],$B$4,LANÇ_MOV[MÊS PAGAMENTO CORRESPONDENTE],K$6,LANÇ_MOV[EMPRESA],$C$4,LANÇ_MOV[CENTRO DE CUSTOS],$D$4)</f>
        <v>0</v>
      </c>
      <c r="L927" s="206">
        <f>SUMIFS(LANÇ_MOV[VALOR LÍQUIDO],LANÇ_MOV[RECEITA OU DESPESA],"Despesa",LANÇ_MOV[CONTAS],$C927,LANÇ_MOV[PLANO DE CONTAS],REL_DRE_FINANCEIRO!$B$855,LANÇ_MOV[ANO PAGAMENTO],$B$4,LANÇ_MOV[MÊS PAGAMENTO CORRESPONDENTE],L$6,LANÇ_MOV[EMPRESA],$C$4,LANÇ_MOV[CENTRO DE CUSTOS],$D$4)</f>
        <v>0</v>
      </c>
      <c r="M927" s="206">
        <f>SUMIFS(LANÇ_MOV[VALOR LÍQUIDO],LANÇ_MOV[RECEITA OU DESPESA],"Despesa",LANÇ_MOV[CONTAS],$C927,LANÇ_MOV[PLANO DE CONTAS],REL_DRE_FINANCEIRO!$B$855,LANÇ_MOV[ANO PAGAMENTO],$B$4,LANÇ_MOV[MÊS PAGAMENTO CORRESPONDENTE],M$6,LANÇ_MOV[EMPRESA],$C$4,LANÇ_MOV[CENTRO DE CUSTOS],$D$4)</f>
        <v>0</v>
      </c>
      <c r="N927" s="206">
        <f>SUMIFS(LANÇ_MOV[VALOR LÍQUIDO],LANÇ_MOV[RECEITA OU DESPESA],"Despesa",LANÇ_MOV[CONTAS],$C927,LANÇ_MOV[PLANO DE CONTAS],REL_DRE_FINANCEIRO!$B$855,LANÇ_MOV[ANO PAGAMENTO],$B$4,LANÇ_MOV[MÊS PAGAMENTO CORRESPONDENTE],N$6,LANÇ_MOV[EMPRESA],$C$4,LANÇ_MOV[CENTRO DE CUSTOS],$D$4)</f>
        <v>0</v>
      </c>
      <c r="O927" s="206">
        <f>SUMIFS(LANÇ_MOV[VALOR LÍQUIDO],LANÇ_MOV[RECEITA OU DESPESA],"Despesa",LANÇ_MOV[CONTAS],$C927,LANÇ_MOV[PLANO DE CONTAS],REL_DRE_FINANCEIRO!$B$855,LANÇ_MOV[ANO PAGAMENTO],$B$4,LANÇ_MOV[MÊS PAGAMENTO CORRESPONDENTE],O$6,LANÇ_MOV[EMPRESA],$C$4,LANÇ_MOV[CENTRO DE CUSTOS],$D$4)</f>
        <v>0</v>
      </c>
      <c r="P927" s="207">
        <f t="shared" si="116"/>
        <v>0</v>
      </c>
      <c r="Q927" s="329">
        <v>2.9000000000000002E-6</v>
      </c>
      <c r="R927" s="346">
        <f t="shared" si="117"/>
        <v>2.9000000000000002E-6</v>
      </c>
      <c r="S927" s="347" t="str">
        <f t="shared" si="118"/>
        <v>-</v>
      </c>
      <c r="T927" s="347">
        <f t="shared" si="119"/>
        <v>0</v>
      </c>
      <c r="U927" s="347">
        <f>HLOOKUP(Apoio!$P$12,$D$854:$P$955,X927,FALSE)+Q927</f>
        <v>2.9000000000000002E-6</v>
      </c>
      <c r="V927" s="447" t="str">
        <f t="shared" si="120"/>
        <v>-</v>
      </c>
      <c r="W927" s="448">
        <f>HLOOKUP(Apoio!$P$12,$D$854:$P$955,X927,FALSE)</f>
        <v>0</v>
      </c>
      <c r="X927" s="329">
        <v>74</v>
      </c>
    </row>
    <row r="928" spans="2:24" ht="30.05" customHeight="1" x14ac:dyDescent="0.35">
      <c r="B928" s="204" t="str">
        <f>'CAD_PL_REC-DESP'!AC77</f>
        <v>2.7.73</v>
      </c>
      <c r="C928" s="205" t="str">
        <f>IF('CAD_PL_REC-DESP'!AD77="","-",'CAD_PL_REC-DESP'!AD77)</f>
        <v>-</v>
      </c>
      <c r="D928" s="206">
        <f>SUMIFS(LANÇ_MOV[VALOR LÍQUIDO],LANÇ_MOV[RECEITA OU DESPESA],"Despesa",LANÇ_MOV[CONTAS],$C928,LANÇ_MOV[PLANO DE CONTAS],REL_DRE_FINANCEIRO!$B$855,LANÇ_MOV[ANO PAGAMENTO],$B$4,LANÇ_MOV[MÊS PAGAMENTO CORRESPONDENTE],D$6,LANÇ_MOV[EMPRESA],$C$4,LANÇ_MOV[CENTRO DE CUSTOS],$D$4)</f>
        <v>0</v>
      </c>
      <c r="E928" s="206">
        <f>SUMIFS(LANÇ_MOV[VALOR LÍQUIDO],LANÇ_MOV[RECEITA OU DESPESA],"Despesa",LANÇ_MOV[CONTAS],$C928,LANÇ_MOV[PLANO DE CONTAS],REL_DRE_FINANCEIRO!$B$855,LANÇ_MOV[ANO PAGAMENTO],$B$4,LANÇ_MOV[MÊS PAGAMENTO CORRESPONDENTE],E$6,LANÇ_MOV[EMPRESA],$C$4,LANÇ_MOV[CENTRO DE CUSTOS],$D$4)</f>
        <v>0</v>
      </c>
      <c r="F928" s="206">
        <f>SUMIFS(LANÇ_MOV[VALOR LÍQUIDO],LANÇ_MOV[RECEITA OU DESPESA],"Despesa",LANÇ_MOV[CONTAS],$C928,LANÇ_MOV[PLANO DE CONTAS],REL_DRE_FINANCEIRO!$B$855,LANÇ_MOV[ANO PAGAMENTO],$B$4,LANÇ_MOV[MÊS PAGAMENTO CORRESPONDENTE],F$6,LANÇ_MOV[EMPRESA],$C$4,LANÇ_MOV[CENTRO DE CUSTOS],$D$4)</f>
        <v>0</v>
      </c>
      <c r="G928" s="206">
        <f>SUMIFS(LANÇ_MOV[VALOR LÍQUIDO],LANÇ_MOV[RECEITA OU DESPESA],"Despesa",LANÇ_MOV[CONTAS],$C928,LANÇ_MOV[PLANO DE CONTAS],REL_DRE_FINANCEIRO!$B$855,LANÇ_MOV[ANO PAGAMENTO],$B$4,LANÇ_MOV[MÊS PAGAMENTO CORRESPONDENTE],G$6,LANÇ_MOV[EMPRESA],$C$4,LANÇ_MOV[CENTRO DE CUSTOS],$D$4)</f>
        <v>0</v>
      </c>
      <c r="H928" s="206">
        <f>SUMIFS(LANÇ_MOV[VALOR LÍQUIDO],LANÇ_MOV[RECEITA OU DESPESA],"Despesa",LANÇ_MOV[CONTAS],$C928,LANÇ_MOV[PLANO DE CONTAS],REL_DRE_FINANCEIRO!$B$855,LANÇ_MOV[ANO PAGAMENTO],$B$4,LANÇ_MOV[MÊS PAGAMENTO CORRESPONDENTE],H$6,LANÇ_MOV[EMPRESA],$C$4,LANÇ_MOV[CENTRO DE CUSTOS],$D$4)</f>
        <v>0</v>
      </c>
      <c r="I928" s="206">
        <f>SUMIFS(LANÇ_MOV[VALOR LÍQUIDO],LANÇ_MOV[RECEITA OU DESPESA],"Despesa",LANÇ_MOV[CONTAS],$C928,LANÇ_MOV[PLANO DE CONTAS],REL_DRE_FINANCEIRO!$B$855,LANÇ_MOV[ANO PAGAMENTO],$B$4,LANÇ_MOV[MÊS PAGAMENTO CORRESPONDENTE],I$6,LANÇ_MOV[EMPRESA],$C$4,LANÇ_MOV[CENTRO DE CUSTOS],$D$4)</f>
        <v>0</v>
      </c>
      <c r="J928" s="206">
        <f>SUMIFS(LANÇ_MOV[VALOR LÍQUIDO],LANÇ_MOV[RECEITA OU DESPESA],"Despesa",LANÇ_MOV[CONTAS],$C928,LANÇ_MOV[PLANO DE CONTAS],REL_DRE_FINANCEIRO!$B$855,LANÇ_MOV[ANO PAGAMENTO],$B$4,LANÇ_MOV[MÊS PAGAMENTO CORRESPONDENTE],J$6,LANÇ_MOV[EMPRESA],$C$4,LANÇ_MOV[CENTRO DE CUSTOS],$D$4)</f>
        <v>0</v>
      </c>
      <c r="K928" s="206">
        <f>SUMIFS(LANÇ_MOV[VALOR LÍQUIDO],LANÇ_MOV[RECEITA OU DESPESA],"Despesa",LANÇ_MOV[CONTAS],$C928,LANÇ_MOV[PLANO DE CONTAS],REL_DRE_FINANCEIRO!$B$855,LANÇ_MOV[ANO PAGAMENTO],$B$4,LANÇ_MOV[MÊS PAGAMENTO CORRESPONDENTE],K$6,LANÇ_MOV[EMPRESA],$C$4,LANÇ_MOV[CENTRO DE CUSTOS],$D$4)</f>
        <v>0</v>
      </c>
      <c r="L928" s="206">
        <f>SUMIFS(LANÇ_MOV[VALOR LÍQUIDO],LANÇ_MOV[RECEITA OU DESPESA],"Despesa",LANÇ_MOV[CONTAS],$C928,LANÇ_MOV[PLANO DE CONTAS],REL_DRE_FINANCEIRO!$B$855,LANÇ_MOV[ANO PAGAMENTO],$B$4,LANÇ_MOV[MÊS PAGAMENTO CORRESPONDENTE],L$6,LANÇ_MOV[EMPRESA],$C$4,LANÇ_MOV[CENTRO DE CUSTOS],$D$4)</f>
        <v>0</v>
      </c>
      <c r="M928" s="206">
        <f>SUMIFS(LANÇ_MOV[VALOR LÍQUIDO],LANÇ_MOV[RECEITA OU DESPESA],"Despesa",LANÇ_MOV[CONTAS],$C928,LANÇ_MOV[PLANO DE CONTAS],REL_DRE_FINANCEIRO!$B$855,LANÇ_MOV[ANO PAGAMENTO],$B$4,LANÇ_MOV[MÊS PAGAMENTO CORRESPONDENTE],M$6,LANÇ_MOV[EMPRESA],$C$4,LANÇ_MOV[CENTRO DE CUSTOS],$D$4)</f>
        <v>0</v>
      </c>
      <c r="N928" s="206">
        <f>SUMIFS(LANÇ_MOV[VALOR LÍQUIDO],LANÇ_MOV[RECEITA OU DESPESA],"Despesa",LANÇ_MOV[CONTAS],$C928,LANÇ_MOV[PLANO DE CONTAS],REL_DRE_FINANCEIRO!$B$855,LANÇ_MOV[ANO PAGAMENTO],$B$4,LANÇ_MOV[MÊS PAGAMENTO CORRESPONDENTE],N$6,LANÇ_MOV[EMPRESA],$C$4,LANÇ_MOV[CENTRO DE CUSTOS],$D$4)</f>
        <v>0</v>
      </c>
      <c r="O928" s="206">
        <f>SUMIFS(LANÇ_MOV[VALOR LÍQUIDO],LANÇ_MOV[RECEITA OU DESPESA],"Despesa",LANÇ_MOV[CONTAS],$C928,LANÇ_MOV[PLANO DE CONTAS],REL_DRE_FINANCEIRO!$B$855,LANÇ_MOV[ANO PAGAMENTO],$B$4,LANÇ_MOV[MÊS PAGAMENTO CORRESPONDENTE],O$6,LANÇ_MOV[EMPRESA],$C$4,LANÇ_MOV[CENTRO DE CUSTOS],$D$4)</f>
        <v>0</v>
      </c>
      <c r="P928" s="207">
        <f t="shared" si="116"/>
        <v>0</v>
      </c>
      <c r="Q928" s="329">
        <v>2.7999999999999999E-6</v>
      </c>
      <c r="R928" s="346">
        <f t="shared" si="117"/>
        <v>2.7999999999999999E-6</v>
      </c>
      <c r="S928" s="347" t="str">
        <f t="shared" si="118"/>
        <v>-</v>
      </c>
      <c r="T928" s="347">
        <f t="shared" si="119"/>
        <v>0</v>
      </c>
      <c r="U928" s="347">
        <f>HLOOKUP(Apoio!$P$12,$D$854:$P$955,X928,FALSE)+Q928</f>
        <v>2.7999999999999999E-6</v>
      </c>
      <c r="V928" s="447" t="str">
        <f t="shared" si="120"/>
        <v>-</v>
      </c>
      <c r="W928" s="448">
        <f>HLOOKUP(Apoio!$P$12,$D$854:$P$955,X928,FALSE)</f>
        <v>0</v>
      </c>
      <c r="X928" s="329">
        <v>75</v>
      </c>
    </row>
    <row r="929" spans="2:24" ht="30.05" customHeight="1" x14ac:dyDescent="0.35">
      <c r="B929" s="204" t="str">
        <f>'CAD_PL_REC-DESP'!AC78</f>
        <v>2.7.74</v>
      </c>
      <c r="C929" s="205" t="str">
        <f>IF('CAD_PL_REC-DESP'!AD78="","-",'CAD_PL_REC-DESP'!AD78)</f>
        <v>-</v>
      </c>
      <c r="D929" s="206">
        <f>SUMIFS(LANÇ_MOV[VALOR LÍQUIDO],LANÇ_MOV[RECEITA OU DESPESA],"Despesa",LANÇ_MOV[CONTAS],$C929,LANÇ_MOV[PLANO DE CONTAS],REL_DRE_FINANCEIRO!$B$855,LANÇ_MOV[ANO PAGAMENTO],$B$4,LANÇ_MOV[MÊS PAGAMENTO CORRESPONDENTE],D$6,LANÇ_MOV[EMPRESA],$C$4,LANÇ_MOV[CENTRO DE CUSTOS],$D$4)</f>
        <v>0</v>
      </c>
      <c r="E929" s="206">
        <f>SUMIFS(LANÇ_MOV[VALOR LÍQUIDO],LANÇ_MOV[RECEITA OU DESPESA],"Despesa",LANÇ_MOV[CONTAS],$C929,LANÇ_MOV[PLANO DE CONTAS],REL_DRE_FINANCEIRO!$B$855,LANÇ_MOV[ANO PAGAMENTO],$B$4,LANÇ_MOV[MÊS PAGAMENTO CORRESPONDENTE],E$6,LANÇ_MOV[EMPRESA],$C$4,LANÇ_MOV[CENTRO DE CUSTOS],$D$4)</f>
        <v>0</v>
      </c>
      <c r="F929" s="206">
        <f>SUMIFS(LANÇ_MOV[VALOR LÍQUIDO],LANÇ_MOV[RECEITA OU DESPESA],"Despesa",LANÇ_MOV[CONTAS],$C929,LANÇ_MOV[PLANO DE CONTAS],REL_DRE_FINANCEIRO!$B$855,LANÇ_MOV[ANO PAGAMENTO],$B$4,LANÇ_MOV[MÊS PAGAMENTO CORRESPONDENTE],F$6,LANÇ_MOV[EMPRESA],$C$4,LANÇ_MOV[CENTRO DE CUSTOS],$D$4)</f>
        <v>0</v>
      </c>
      <c r="G929" s="206">
        <f>SUMIFS(LANÇ_MOV[VALOR LÍQUIDO],LANÇ_MOV[RECEITA OU DESPESA],"Despesa",LANÇ_MOV[CONTAS],$C929,LANÇ_MOV[PLANO DE CONTAS],REL_DRE_FINANCEIRO!$B$855,LANÇ_MOV[ANO PAGAMENTO],$B$4,LANÇ_MOV[MÊS PAGAMENTO CORRESPONDENTE],G$6,LANÇ_MOV[EMPRESA],$C$4,LANÇ_MOV[CENTRO DE CUSTOS],$D$4)</f>
        <v>0</v>
      </c>
      <c r="H929" s="206">
        <f>SUMIFS(LANÇ_MOV[VALOR LÍQUIDO],LANÇ_MOV[RECEITA OU DESPESA],"Despesa",LANÇ_MOV[CONTAS],$C929,LANÇ_MOV[PLANO DE CONTAS],REL_DRE_FINANCEIRO!$B$855,LANÇ_MOV[ANO PAGAMENTO],$B$4,LANÇ_MOV[MÊS PAGAMENTO CORRESPONDENTE],H$6,LANÇ_MOV[EMPRESA],$C$4,LANÇ_MOV[CENTRO DE CUSTOS],$D$4)</f>
        <v>0</v>
      </c>
      <c r="I929" s="206">
        <f>SUMIFS(LANÇ_MOV[VALOR LÍQUIDO],LANÇ_MOV[RECEITA OU DESPESA],"Despesa",LANÇ_MOV[CONTAS],$C929,LANÇ_MOV[PLANO DE CONTAS],REL_DRE_FINANCEIRO!$B$855,LANÇ_MOV[ANO PAGAMENTO],$B$4,LANÇ_MOV[MÊS PAGAMENTO CORRESPONDENTE],I$6,LANÇ_MOV[EMPRESA],$C$4,LANÇ_MOV[CENTRO DE CUSTOS],$D$4)</f>
        <v>0</v>
      </c>
      <c r="J929" s="206">
        <f>SUMIFS(LANÇ_MOV[VALOR LÍQUIDO],LANÇ_MOV[RECEITA OU DESPESA],"Despesa",LANÇ_MOV[CONTAS],$C929,LANÇ_MOV[PLANO DE CONTAS],REL_DRE_FINANCEIRO!$B$855,LANÇ_MOV[ANO PAGAMENTO],$B$4,LANÇ_MOV[MÊS PAGAMENTO CORRESPONDENTE],J$6,LANÇ_MOV[EMPRESA],$C$4,LANÇ_MOV[CENTRO DE CUSTOS],$D$4)</f>
        <v>0</v>
      </c>
      <c r="K929" s="206">
        <f>SUMIFS(LANÇ_MOV[VALOR LÍQUIDO],LANÇ_MOV[RECEITA OU DESPESA],"Despesa",LANÇ_MOV[CONTAS],$C929,LANÇ_MOV[PLANO DE CONTAS],REL_DRE_FINANCEIRO!$B$855,LANÇ_MOV[ANO PAGAMENTO],$B$4,LANÇ_MOV[MÊS PAGAMENTO CORRESPONDENTE],K$6,LANÇ_MOV[EMPRESA],$C$4,LANÇ_MOV[CENTRO DE CUSTOS],$D$4)</f>
        <v>0</v>
      </c>
      <c r="L929" s="206">
        <f>SUMIFS(LANÇ_MOV[VALOR LÍQUIDO],LANÇ_MOV[RECEITA OU DESPESA],"Despesa",LANÇ_MOV[CONTAS],$C929,LANÇ_MOV[PLANO DE CONTAS],REL_DRE_FINANCEIRO!$B$855,LANÇ_MOV[ANO PAGAMENTO],$B$4,LANÇ_MOV[MÊS PAGAMENTO CORRESPONDENTE],L$6,LANÇ_MOV[EMPRESA],$C$4,LANÇ_MOV[CENTRO DE CUSTOS],$D$4)</f>
        <v>0</v>
      </c>
      <c r="M929" s="206">
        <f>SUMIFS(LANÇ_MOV[VALOR LÍQUIDO],LANÇ_MOV[RECEITA OU DESPESA],"Despesa",LANÇ_MOV[CONTAS],$C929,LANÇ_MOV[PLANO DE CONTAS],REL_DRE_FINANCEIRO!$B$855,LANÇ_MOV[ANO PAGAMENTO],$B$4,LANÇ_MOV[MÊS PAGAMENTO CORRESPONDENTE],M$6,LANÇ_MOV[EMPRESA],$C$4,LANÇ_MOV[CENTRO DE CUSTOS],$D$4)</f>
        <v>0</v>
      </c>
      <c r="N929" s="206">
        <f>SUMIFS(LANÇ_MOV[VALOR LÍQUIDO],LANÇ_MOV[RECEITA OU DESPESA],"Despesa",LANÇ_MOV[CONTAS],$C929,LANÇ_MOV[PLANO DE CONTAS],REL_DRE_FINANCEIRO!$B$855,LANÇ_MOV[ANO PAGAMENTO],$B$4,LANÇ_MOV[MÊS PAGAMENTO CORRESPONDENTE],N$6,LANÇ_MOV[EMPRESA],$C$4,LANÇ_MOV[CENTRO DE CUSTOS],$D$4)</f>
        <v>0</v>
      </c>
      <c r="O929" s="206">
        <f>SUMIFS(LANÇ_MOV[VALOR LÍQUIDO],LANÇ_MOV[RECEITA OU DESPESA],"Despesa",LANÇ_MOV[CONTAS],$C929,LANÇ_MOV[PLANO DE CONTAS],REL_DRE_FINANCEIRO!$B$855,LANÇ_MOV[ANO PAGAMENTO],$B$4,LANÇ_MOV[MÊS PAGAMENTO CORRESPONDENTE],O$6,LANÇ_MOV[EMPRESA],$C$4,LANÇ_MOV[CENTRO DE CUSTOS],$D$4)</f>
        <v>0</v>
      </c>
      <c r="P929" s="207">
        <f t="shared" si="116"/>
        <v>0</v>
      </c>
      <c r="Q929" s="329">
        <v>2.7E-6</v>
      </c>
      <c r="R929" s="346">
        <f t="shared" si="117"/>
        <v>2.7E-6</v>
      </c>
      <c r="S929" s="347" t="str">
        <f t="shared" si="118"/>
        <v>-</v>
      </c>
      <c r="T929" s="347">
        <f t="shared" si="119"/>
        <v>0</v>
      </c>
      <c r="U929" s="347">
        <f>HLOOKUP(Apoio!$P$12,$D$854:$P$955,X929,FALSE)+Q929</f>
        <v>2.7E-6</v>
      </c>
      <c r="V929" s="447" t="str">
        <f t="shared" si="120"/>
        <v>-</v>
      </c>
      <c r="W929" s="448">
        <f>HLOOKUP(Apoio!$P$12,$D$854:$P$955,X929,FALSE)</f>
        <v>0</v>
      </c>
      <c r="X929" s="329">
        <v>76</v>
      </c>
    </row>
    <row r="930" spans="2:24" ht="30.05" customHeight="1" x14ac:dyDescent="0.35">
      <c r="B930" s="204" t="str">
        <f>'CAD_PL_REC-DESP'!AC79</f>
        <v>2.7.75</v>
      </c>
      <c r="C930" s="205" t="str">
        <f>IF('CAD_PL_REC-DESP'!AD79="","-",'CAD_PL_REC-DESP'!AD79)</f>
        <v>-</v>
      </c>
      <c r="D930" s="206">
        <f>SUMIFS(LANÇ_MOV[VALOR LÍQUIDO],LANÇ_MOV[RECEITA OU DESPESA],"Despesa",LANÇ_MOV[CONTAS],$C930,LANÇ_MOV[PLANO DE CONTAS],REL_DRE_FINANCEIRO!$B$855,LANÇ_MOV[ANO PAGAMENTO],$B$4,LANÇ_MOV[MÊS PAGAMENTO CORRESPONDENTE],D$6,LANÇ_MOV[EMPRESA],$C$4,LANÇ_MOV[CENTRO DE CUSTOS],$D$4)</f>
        <v>0</v>
      </c>
      <c r="E930" s="206">
        <f>SUMIFS(LANÇ_MOV[VALOR LÍQUIDO],LANÇ_MOV[RECEITA OU DESPESA],"Despesa",LANÇ_MOV[CONTAS],$C930,LANÇ_MOV[PLANO DE CONTAS],REL_DRE_FINANCEIRO!$B$855,LANÇ_MOV[ANO PAGAMENTO],$B$4,LANÇ_MOV[MÊS PAGAMENTO CORRESPONDENTE],E$6,LANÇ_MOV[EMPRESA],$C$4,LANÇ_MOV[CENTRO DE CUSTOS],$D$4)</f>
        <v>0</v>
      </c>
      <c r="F930" s="206">
        <f>SUMIFS(LANÇ_MOV[VALOR LÍQUIDO],LANÇ_MOV[RECEITA OU DESPESA],"Despesa",LANÇ_MOV[CONTAS],$C930,LANÇ_MOV[PLANO DE CONTAS],REL_DRE_FINANCEIRO!$B$855,LANÇ_MOV[ANO PAGAMENTO],$B$4,LANÇ_MOV[MÊS PAGAMENTO CORRESPONDENTE],F$6,LANÇ_MOV[EMPRESA],$C$4,LANÇ_MOV[CENTRO DE CUSTOS],$D$4)</f>
        <v>0</v>
      </c>
      <c r="G930" s="206">
        <f>SUMIFS(LANÇ_MOV[VALOR LÍQUIDO],LANÇ_MOV[RECEITA OU DESPESA],"Despesa",LANÇ_MOV[CONTAS],$C930,LANÇ_MOV[PLANO DE CONTAS],REL_DRE_FINANCEIRO!$B$855,LANÇ_MOV[ANO PAGAMENTO],$B$4,LANÇ_MOV[MÊS PAGAMENTO CORRESPONDENTE],G$6,LANÇ_MOV[EMPRESA],$C$4,LANÇ_MOV[CENTRO DE CUSTOS],$D$4)</f>
        <v>0</v>
      </c>
      <c r="H930" s="206">
        <f>SUMIFS(LANÇ_MOV[VALOR LÍQUIDO],LANÇ_MOV[RECEITA OU DESPESA],"Despesa",LANÇ_MOV[CONTAS],$C930,LANÇ_MOV[PLANO DE CONTAS],REL_DRE_FINANCEIRO!$B$855,LANÇ_MOV[ANO PAGAMENTO],$B$4,LANÇ_MOV[MÊS PAGAMENTO CORRESPONDENTE],H$6,LANÇ_MOV[EMPRESA],$C$4,LANÇ_MOV[CENTRO DE CUSTOS],$D$4)</f>
        <v>0</v>
      </c>
      <c r="I930" s="206">
        <f>SUMIFS(LANÇ_MOV[VALOR LÍQUIDO],LANÇ_MOV[RECEITA OU DESPESA],"Despesa",LANÇ_MOV[CONTAS],$C930,LANÇ_MOV[PLANO DE CONTAS],REL_DRE_FINANCEIRO!$B$855,LANÇ_MOV[ANO PAGAMENTO],$B$4,LANÇ_MOV[MÊS PAGAMENTO CORRESPONDENTE],I$6,LANÇ_MOV[EMPRESA],$C$4,LANÇ_MOV[CENTRO DE CUSTOS],$D$4)</f>
        <v>0</v>
      </c>
      <c r="J930" s="206">
        <f>SUMIFS(LANÇ_MOV[VALOR LÍQUIDO],LANÇ_MOV[RECEITA OU DESPESA],"Despesa",LANÇ_MOV[CONTAS],$C930,LANÇ_MOV[PLANO DE CONTAS],REL_DRE_FINANCEIRO!$B$855,LANÇ_MOV[ANO PAGAMENTO],$B$4,LANÇ_MOV[MÊS PAGAMENTO CORRESPONDENTE],J$6,LANÇ_MOV[EMPRESA],$C$4,LANÇ_MOV[CENTRO DE CUSTOS],$D$4)</f>
        <v>0</v>
      </c>
      <c r="K930" s="206">
        <f>SUMIFS(LANÇ_MOV[VALOR LÍQUIDO],LANÇ_MOV[RECEITA OU DESPESA],"Despesa",LANÇ_MOV[CONTAS],$C930,LANÇ_MOV[PLANO DE CONTAS],REL_DRE_FINANCEIRO!$B$855,LANÇ_MOV[ANO PAGAMENTO],$B$4,LANÇ_MOV[MÊS PAGAMENTO CORRESPONDENTE],K$6,LANÇ_MOV[EMPRESA],$C$4,LANÇ_MOV[CENTRO DE CUSTOS],$D$4)</f>
        <v>0</v>
      </c>
      <c r="L930" s="206">
        <f>SUMIFS(LANÇ_MOV[VALOR LÍQUIDO],LANÇ_MOV[RECEITA OU DESPESA],"Despesa",LANÇ_MOV[CONTAS],$C930,LANÇ_MOV[PLANO DE CONTAS],REL_DRE_FINANCEIRO!$B$855,LANÇ_MOV[ANO PAGAMENTO],$B$4,LANÇ_MOV[MÊS PAGAMENTO CORRESPONDENTE],L$6,LANÇ_MOV[EMPRESA],$C$4,LANÇ_MOV[CENTRO DE CUSTOS],$D$4)</f>
        <v>0</v>
      </c>
      <c r="M930" s="206">
        <f>SUMIFS(LANÇ_MOV[VALOR LÍQUIDO],LANÇ_MOV[RECEITA OU DESPESA],"Despesa",LANÇ_MOV[CONTAS],$C930,LANÇ_MOV[PLANO DE CONTAS],REL_DRE_FINANCEIRO!$B$855,LANÇ_MOV[ANO PAGAMENTO],$B$4,LANÇ_MOV[MÊS PAGAMENTO CORRESPONDENTE],M$6,LANÇ_MOV[EMPRESA],$C$4,LANÇ_MOV[CENTRO DE CUSTOS],$D$4)</f>
        <v>0</v>
      </c>
      <c r="N930" s="206">
        <f>SUMIFS(LANÇ_MOV[VALOR LÍQUIDO],LANÇ_MOV[RECEITA OU DESPESA],"Despesa",LANÇ_MOV[CONTAS],$C930,LANÇ_MOV[PLANO DE CONTAS],REL_DRE_FINANCEIRO!$B$855,LANÇ_MOV[ANO PAGAMENTO],$B$4,LANÇ_MOV[MÊS PAGAMENTO CORRESPONDENTE],N$6,LANÇ_MOV[EMPRESA],$C$4,LANÇ_MOV[CENTRO DE CUSTOS],$D$4)</f>
        <v>0</v>
      </c>
      <c r="O930" s="206">
        <f>SUMIFS(LANÇ_MOV[VALOR LÍQUIDO],LANÇ_MOV[RECEITA OU DESPESA],"Despesa",LANÇ_MOV[CONTAS],$C930,LANÇ_MOV[PLANO DE CONTAS],REL_DRE_FINANCEIRO!$B$855,LANÇ_MOV[ANO PAGAMENTO],$B$4,LANÇ_MOV[MÊS PAGAMENTO CORRESPONDENTE],O$6,LANÇ_MOV[EMPRESA],$C$4,LANÇ_MOV[CENTRO DE CUSTOS],$D$4)</f>
        <v>0</v>
      </c>
      <c r="P930" s="207">
        <f t="shared" si="116"/>
        <v>0</v>
      </c>
      <c r="Q930" s="329">
        <v>2.6000000000000001E-6</v>
      </c>
      <c r="R930" s="346">
        <f t="shared" si="117"/>
        <v>2.6000000000000001E-6</v>
      </c>
      <c r="S930" s="347" t="str">
        <f t="shared" si="118"/>
        <v>-</v>
      </c>
      <c r="T930" s="347">
        <f t="shared" si="119"/>
        <v>0</v>
      </c>
      <c r="U930" s="347">
        <f>HLOOKUP(Apoio!$P$12,$D$854:$P$955,X930,FALSE)+Q930</f>
        <v>2.6000000000000001E-6</v>
      </c>
      <c r="V930" s="447" t="str">
        <f t="shared" si="120"/>
        <v>-</v>
      </c>
      <c r="W930" s="448">
        <f>HLOOKUP(Apoio!$P$12,$D$854:$P$955,X930,FALSE)</f>
        <v>0</v>
      </c>
      <c r="X930" s="329">
        <v>77</v>
      </c>
    </row>
    <row r="931" spans="2:24" ht="30.05" customHeight="1" x14ac:dyDescent="0.35">
      <c r="B931" s="204" t="str">
        <f>'CAD_PL_REC-DESP'!AC80</f>
        <v>2.7.76</v>
      </c>
      <c r="C931" s="205" t="str">
        <f>IF('CAD_PL_REC-DESP'!AD80="","-",'CAD_PL_REC-DESP'!AD80)</f>
        <v>-</v>
      </c>
      <c r="D931" s="206">
        <f>SUMIFS(LANÇ_MOV[VALOR LÍQUIDO],LANÇ_MOV[RECEITA OU DESPESA],"Despesa",LANÇ_MOV[CONTAS],$C931,LANÇ_MOV[PLANO DE CONTAS],REL_DRE_FINANCEIRO!$B$855,LANÇ_MOV[ANO PAGAMENTO],$B$4,LANÇ_MOV[MÊS PAGAMENTO CORRESPONDENTE],D$6,LANÇ_MOV[EMPRESA],$C$4,LANÇ_MOV[CENTRO DE CUSTOS],$D$4)</f>
        <v>0</v>
      </c>
      <c r="E931" s="206">
        <f>SUMIFS(LANÇ_MOV[VALOR LÍQUIDO],LANÇ_MOV[RECEITA OU DESPESA],"Despesa",LANÇ_MOV[CONTAS],$C931,LANÇ_MOV[PLANO DE CONTAS],REL_DRE_FINANCEIRO!$B$855,LANÇ_MOV[ANO PAGAMENTO],$B$4,LANÇ_MOV[MÊS PAGAMENTO CORRESPONDENTE],E$6,LANÇ_MOV[EMPRESA],$C$4,LANÇ_MOV[CENTRO DE CUSTOS],$D$4)</f>
        <v>0</v>
      </c>
      <c r="F931" s="206">
        <f>SUMIFS(LANÇ_MOV[VALOR LÍQUIDO],LANÇ_MOV[RECEITA OU DESPESA],"Despesa",LANÇ_MOV[CONTAS],$C931,LANÇ_MOV[PLANO DE CONTAS],REL_DRE_FINANCEIRO!$B$855,LANÇ_MOV[ANO PAGAMENTO],$B$4,LANÇ_MOV[MÊS PAGAMENTO CORRESPONDENTE],F$6,LANÇ_MOV[EMPRESA],$C$4,LANÇ_MOV[CENTRO DE CUSTOS],$D$4)</f>
        <v>0</v>
      </c>
      <c r="G931" s="206">
        <f>SUMIFS(LANÇ_MOV[VALOR LÍQUIDO],LANÇ_MOV[RECEITA OU DESPESA],"Despesa",LANÇ_MOV[CONTAS],$C931,LANÇ_MOV[PLANO DE CONTAS],REL_DRE_FINANCEIRO!$B$855,LANÇ_MOV[ANO PAGAMENTO],$B$4,LANÇ_MOV[MÊS PAGAMENTO CORRESPONDENTE],G$6,LANÇ_MOV[EMPRESA],$C$4,LANÇ_MOV[CENTRO DE CUSTOS],$D$4)</f>
        <v>0</v>
      </c>
      <c r="H931" s="206">
        <f>SUMIFS(LANÇ_MOV[VALOR LÍQUIDO],LANÇ_MOV[RECEITA OU DESPESA],"Despesa",LANÇ_MOV[CONTAS],$C931,LANÇ_MOV[PLANO DE CONTAS],REL_DRE_FINANCEIRO!$B$855,LANÇ_MOV[ANO PAGAMENTO],$B$4,LANÇ_MOV[MÊS PAGAMENTO CORRESPONDENTE],H$6,LANÇ_MOV[EMPRESA],$C$4,LANÇ_MOV[CENTRO DE CUSTOS],$D$4)</f>
        <v>0</v>
      </c>
      <c r="I931" s="206">
        <f>SUMIFS(LANÇ_MOV[VALOR LÍQUIDO],LANÇ_MOV[RECEITA OU DESPESA],"Despesa",LANÇ_MOV[CONTAS],$C931,LANÇ_MOV[PLANO DE CONTAS],REL_DRE_FINANCEIRO!$B$855,LANÇ_MOV[ANO PAGAMENTO],$B$4,LANÇ_MOV[MÊS PAGAMENTO CORRESPONDENTE],I$6,LANÇ_MOV[EMPRESA],$C$4,LANÇ_MOV[CENTRO DE CUSTOS],$D$4)</f>
        <v>0</v>
      </c>
      <c r="J931" s="206">
        <f>SUMIFS(LANÇ_MOV[VALOR LÍQUIDO],LANÇ_MOV[RECEITA OU DESPESA],"Despesa",LANÇ_MOV[CONTAS],$C931,LANÇ_MOV[PLANO DE CONTAS],REL_DRE_FINANCEIRO!$B$855,LANÇ_MOV[ANO PAGAMENTO],$B$4,LANÇ_MOV[MÊS PAGAMENTO CORRESPONDENTE],J$6,LANÇ_MOV[EMPRESA],$C$4,LANÇ_MOV[CENTRO DE CUSTOS],$D$4)</f>
        <v>0</v>
      </c>
      <c r="K931" s="206">
        <f>SUMIFS(LANÇ_MOV[VALOR LÍQUIDO],LANÇ_MOV[RECEITA OU DESPESA],"Despesa",LANÇ_MOV[CONTAS],$C931,LANÇ_MOV[PLANO DE CONTAS],REL_DRE_FINANCEIRO!$B$855,LANÇ_MOV[ANO PAGAMENTO],$B$4,LANÇ_MOV[MÊS PAGAMENTO CORRESPONDENTE],K$6,LANÇ_MOV[EMPRESA],$C$4,LANÇ_MOV[CENTRO DE CUSTOS],$D$4)</f>
        <v>0</v>
      </c>
      <c r="L931" s="206">
        <f>SUMIFS(LANÇ_MOV[VALOR LÍQUIDO],LANÇ_MOV[RECEITA OU DESPESA],"Despesa",LANÇ_MOV[CONTAS],$C931,LANÇ_MOV[PLANO DE CONTAS],REL_DRE_FINANCEIRO!$B$855,LANÇ_MOV[ANO PAGAMENTO],$B$4,LANÇ_MOV[MÊS PAGAMENTO CORRESPONDENTE],L$6,LANÇ_MOV[EMPRESA],$C$4,LANÇ_MOV[CENTRO DE CUSTOS],$D$4)</f>
        <v>0</v>
      </c>
      <c r="M931" s="206">
        <f>SUMIFS(LANÇ_MOV[VALOR LÍQUIDO],LANÇ_MOV[RECEITA OU DESPESA],"Despesa",LANÇ_MOV[CONTAS],$C931,LANÇ_MOV[PLANO DE CONTAS],REL_DRE_FINANCEIRO!$B$855,LANÇ_MOV[ANO PAGAMENTO],$B$4,LANÇ_MOV[MÊS PAGAMENTO CORRESPONDENTE],M$6,LANÇ_MOV[EMPRESA],$C$4,LANÇ_MOV[CENTRO DE CUSTOS],$D$4)</f>
        <v>0</v>
      </c>
      <c r="N931" s="206">
        <f>SUMIFS(LANÇ_MOV[VALOR LÍQUIDO],LANÇ_MOV[RECEITA OU DESPESA],"Despesa",LANÇ_MOV[CONTAS],$C931,LANÇ_MOV[PLANO DE CONTAS],REL_DRE_FINANCEIRO!$B$855,LANÇ_MOV[ANO PAGAMENTO],$B$4,LANÇ_MOV[MÊS PAGAMENTO CORRESPONDENTE],N$6,LANÇ_MOV[EMPRESA],$C$4,LANÇ_MOV[CENTRO DE CUSTOS],$D$4)</f>
        <v>0</v>
      </c>
      <c r="O931" s="206">
        <f>SUMIFS(LANÇ_MOV[VALOR LÍQUIDO],LANÇ_MOV[RECEITA OU DESPESA],"Despesa",LANÇ_MOV[CONTAS],$C931,LANÇ_MOV[PLANO DE CONTAS],REL_DRE_FINANCEIRO!$B$855,LANÇ_MOV[ANO PAGAMENTO],$B$4,LANÇ_MOV[MÊS PAGAMENTO CORRESPONDENTE],O$6,LANÇ_MOV[EMPRESA],$C$4,LANÇ_MOV[CENTRO DE CUSTOS],$D$4)</f>
        <v>0</v>
      </c>
      <c r="P931" s="207">
        <f t="shared" si="116"/>
        <v>0</v>
      </c>
      <c r="Q931" s="329">
        <v>2.5000000000000002E-6</v>
      </c>
      <c r="R931" s="346">
        <f t="shared" si="117"/>
        <v>2.5000000000000002E-6</v>
      </c>
      <c r="S931" s="347" t="str">
        <f t="shared" si="118"/>
        <v>-</v>
      </c>
      <c r="T931" s="347">
        <f t="shared" si="119"/>
        <v>0</v>
      </c>
      <c r="U931" s="347">
        <f>HLOOKUP(Apoio!$P$12,$D$854:$P$955,X931,FALSE)+Q931</f>
        <v>2.5000000000000002E-6</v>
      </c>
      <c r="V931" s="447" t="str">
        <f t="shared" si="120"/>
        <v>-</v>
      </c>
      <c r="W931" s="448">
        <f>HLOOKUP(Apoio!$P$12,$D$854:$P$955,X931,FALSE)</f>
        <v>0</v>
      </c>
      <c r="X931" s="329">
        <v>78</v>
      </c>
    </row>
    <row r="932" spans="2:24" ht="30.05" customHeight="1" x14ac:dyDescent="0.35">
      <c r="B932" s="204" t="str">
        <f>'CAD_PL_REC-DESP'!AC81</f>
        <v>2.7.77</v>
      </c>
      <c r="C932" s="205" t="str">
        <f>IF('CAD_PL_REC-DESP'!AD81="","-",'CAD_PL_REC-DESP'!AD81)</f>
        <v>-</v>
      </c>
      <c r="D932" s="206">
        <f>SUMIFS(LANÇ_MOV[VALOR LÍQUIDO],LANÇ_MOV[RECEITA OU DESPESA],"Despesa",LANÇ_MOV[CONTAS],$C932,LANÇ_MOV[PLANO DE CONTAS],REL_DRE_FINANCEIRO!$B$855,LANÇ_MOV[ANO PAGAMENTO],$B$4,LANÇ_MOV[MÊS PAGAMENTO CORRESPONDENTE],D$6,LANÇ_MOV[EMPRESA],$C$4,LANÇ_MOV[CENTRO DE CUSTOS],$D$4)</f>
        <v>0</v>
      </c>
      <c r="E932" s="206">
        <f>SUMIFS(LANÇ_MOV[VALOR LÍQUIDO],LANÇ_MOV[RECEITA OU DESPESA],"Despesa",LANÇ_MOV[CONTAS],$C932,LANÇ_MOV[PLANO DE CONTAS],REL_DRE_FINANCEIRO!$B$855,LANÇ_MOV[ANO PAGAMENTO],$B$4,LANÇ_MOV[MÊS PAGAMENTO CORRESPONDENTE],E$6,LANÇ_MOV[EMPRESA],$C$4,LANÇ_MOV[CENTRO DE CUSTOS],$D$4)</f>
        <v>0</v>
      </c>
      <c r="F932" s="206">
        <f>SUMIFS(LANÇ_MOV[VALOR LÍQUIDO],LANÇ_MOV[RECEITA OU DESPESA],"Despesa",LANÇ_MOV[CONTAS],$C932,LANÇ_MOV[PLANO DE CONTAS],REL_DRE_FINANCEIRO!$B$855,LANÇ_MOV[ANO PAGAMENTO],$B$4,LANÇ_MOV[MÊS PAGAMENTO CORRESPONDENTE],F$6,LANÇ_MOV[EMPRESA],$C$4,LANÇ_MOV[CENTRO DE CUSTOS],$D$4)</f>
        <v>0</v>
      </c>
      <c r="G932" s="206">
        <f>SUMIFS(LANÇ_MOV[VALOR LÍQUIDO],LANÇ_MOV[RECEITA OU DESPESA],"Despesa",LANÇ_MOV[CONTAS],$C932,LANÇ_MOV[PLANO DE CONTAS],REL_DRE_FINANCEIRO!$B$855,LANÇ_MOV[ANO PAGAMENTO],$B$4,LANÇ_MOV[MÊS PAGAMENTO CORRESPONDENTE],G$6,LANÇ_MOV[EMPRESA],$C$4,LANÇ_MOV[CENTRO DE CUSTOS],$D$4)</f>
        <v>0</v>
      </c>
      <c r="H932" s="206">
        <f>SUMIFS(LANÇ_MOV[VALOR LÍQUIDO],LANÇ_MOV[RECEITA OU DESPESA],"Despesa",LANÇ_MOV[CONTAS],$C932,LANÇ_MOV[PLANO DE CONTAS],REL_DRE_FINANCEIRO!$B$855,LANÇ_MOV[ANO PAGAMENTO],$B$4,LANÇ_MOV[MÊS PAGAMENTO CORRESPONDENTE],H$6,LANÇ_MOV[EMPRESA],$C$4,LANÇ_MOV[CENTRO DE CUSTOS],$D$4)</f>
        <v>0</v>
      </c>
      <c r="I932" s="206">
        <f>SUMIFS(LANÇ_MOV[VALOR LÍQUIDO],LANÇ_MOV[RECEITA OU DESPESA],"Despesa",LANÇ_MOV[CONTAS],$C932,LANÇ_MOV[PLANO DE CONTAS],REL_DRE_FINANCEIRO!$B$855,LANÇ_MOV[ANO PAGAMENTO],$B$4,LANÇ_MOV[MÊS PAGAMENTO CORRESPONDENTE],I$6,LANÇ_MOV[EMPRESA],$C$4,LANÇ_MOV[CENTRO DE CUSTOS],$D$4)</f>
        <v>0</v>
      </c>
      <c r="J932" s="206">
        <f>SUMIFS(LANÇ_MOV[VALOR LÍQUIDO],LANÇ_MOV[RECEITA OU DESPESA],"Despesa",LANÇ_MOV[CONTAS],$C932,LANÇ_MOV[PLANO DE CONTAS],REL_DRE_FINANCEIRO!$B$855,LANÇ_MOV[ANO PAGAMENTO],$B$4,LANÇ_MOV[MÊS PAGAMENTO CORRESPONDENTE],J$6,LANÇ_MOV[EMPRESA],$C$4,LANÇ_MOV[CENTRO DE CUSTOS],$D$4)</f>
        <v>0</v>
      </c>
      <c r="K932" s="206">
        <f>SUMIFS(LANÇ_MOV[VALOR LÍQUIDO],LANÇ_MOV[RECEITA OU DESPESA],"Despesa",LANÇ_MOV[CONTAS],$C932,LANÇ_MOV[PLANO DE CONTAS],REL_DRE_FINANCEIRO!$B$855,LANÇ_MOV[ANO PAGAMENTO],$B$4,LANÇ_MOV[MÊS PAGAMENTO CORRESPONDENTE],K$6,LANÇ_MOV[EMPRESA],$C$4,LANÇ_MOV[CENTRO DE CUSTOS],$D$4)</f>
        <v>0</v>
      </c>
      <c r="L932" s="206">
        <f>SUMIFS(LANÇ_MOV[VALOR LÍQUIDO],LANÇ_MOV[RECEITA OU DESPESA],"Despesa",LANÇ_MOV[CONTAS],$C932,LANÇ_MOV[PLANO DE CONTAS],REL_DRE_FINANCEIRO!$B$855,LANÇ_MOV[ANO PAGAMENTO],$B$4,LANÇ_MOV[MÊS PAGAMENTO CORRESPONDENTE],L$6,LANÇ_MOV[EMPRESA],$C$4,LANÇ_MOV[CENTRO DE CUSTOS],$D$4)</f>
        <v>0</v>
      </c>
      <c r="M932" s="206">
        <f>SUMIFS(LANÇ_MOV[VALOR LÍQUIDO],LANÇ_MOV[RECEITA OU DESPESA],"Despesa",LANÇ_MOV[CONTAS],$C932,LANÇ_MOV[PLANO DE CONTAS],REL_DRE_FINANCEIRO!$B$855,LANÇ_MOV[ANO PAGAMENTO],$B$4,LANÇ_MOV[MÊS PAGAMENTO CORRESPONDENTE],M$6,LANÇ_MOV[EMPRESA],$C$4,LANÇ_MOV[CENTRO DE CUSTOS],$D$4)</f>
        <v>0</v>
      </c>
      <c r="N932" s="206">
        <f>SUMIFS(LANÇ_MOV[VALOR LÍQUIDO],LANÇ_MOV[RECEITA OU DESPESA],"Despesa",LANÇ_MOV[CONTAS],$C932,LANÇ_MOV[PLANO DE CONTAS],REL_DRE_FINANCEIRO!$B$855,LANÇ_MOV[ANO PAGAMENTO],$B$4,LANÇ_MOV[MÊS PAGAMENTO CORRESPONDENTE],N$6,LANÇ_MOV[EMPRESA],$C$4,LANÇ_MOV[CENTRO DE CUSTOS],$D$4)</f>
        <v>0</v>
      </c>
      <c r="O932" s="206">
        <f>SUMIFS(LANÇ_MOV[VALOR LÍQUIDO],LANÇ_MOV[RECEITA OU DESPESA],"Despesa",LANÇ_MOV[CONTAS],$C932,LANÇ_MOV[PLANO DE CONTAS],REL_DRE_FINANCEIRO!$B$855,LANÇ_MOV[ANO PAGAMENTO],$B$4,LANÇ_MOV[MÊS PAGAMENTO CORRESPONDENTE],O$6,LANÇ_MOV[EMPRESA],$C$4,LANÇ_MOV[CENTRO DE CUSTOS],$D$4)</f>
        <v>0</v>
      </c>
      <c r="P932" s="207">
        <f t="shared" si="116"/>
        <v>0</v>
      </c>
      <c r="Q932" s="329">
        <v>2.3999999999999999E-6</v>
      </c>
      <c r="R932" s="346">
        <f t="shared" si="117"/>
        <v>2.3999999999999999E-6</v>
      </c>
      <c r="S932" s="347" t="str">
        <f t="shared" si="118"/>
        <v>-</v>
      </c>
      <c r="T932" s="347">
        <f t="shared" si="119"/>
        <v>0</v>
      </c>
      <c r="U932" s="347">
        <f>HLOOKUP(Apoio!$P$12,$D$854:$P$955,X932,FALSE)+Q932</f>
        <v>2.3999999999999999E-6</v>
      </c>
      <c r="V932" s="447" t="str">
        <f t="shared" si="120"/>
        <v>-</v>
      </c>
      <c r="W932" s="448">
        <f>HLOOKUP(Apoio!$P$12,$D$854:$P$955,X932,FALSE)</f>
        <v>0</v>
      </c>
      <c r="X932" s="329">
        <v>79</v>
      </c>
    </row>
    <row r="933" spans="2:24" ht="30.05" customHeight="1" x14ac:dyDescent="0.35">
      <c r="B933" s="204" t="str">
        <f>'CAD_PL_REC-DESP'!AC82</f>
        <v>2.7.78</v>
      </c>
      <c r="C933" s="205" t="str">
        <f>IF('CAD_PL_REC-DESP'!AD82="","-",'CAD_PL_REC-DESP'!AD82)</f>
        <v>-</v>
      </c>
      <c r="D933" s="206">
        <f>SUMIFS(LANÇ_MOV[VALOR LÍQUIDO],LANÇ_MOV[RECEITA OU DESPESA],"Despesa",LANÇ_MOV[CONTAS],$C933,LANÇ_MOV[PLANO DE CONTAS],REL_DRE_FINANCEIRO!$B$855,LANÇ_MOV[ANO PAGAMENTO],$B$4,LANÇ_MOV[MÊS PAGAMENTO CORRESPONDENTE],D$6,LANÇ_MOV[EMPRESA],$C$4,LANÇ_MOV[CENTRO DE CUSTOS],$D$4)</f>
        <v>0</v>
      </c>
      <c r="E933" s="206">
        <f>SUMIFS(LANÇ_MOV[VALOR LÍQUIDO],LANÇ_MOV[RECEITA OU DESPESA],"Despesa",LANÇ_MOV[CONTAS],$C933,LANÇ_MOV[PLANO DE CONTAS],REL_DRE_FINANCEIRO!$B$855,LANÇ_MOV[ANO PAGAMENTO],$B$4,LANÇ_MOV[MÊS PAGAMENTO CORRESPONDENTE],E$6,LANÇ_MOV[EMPRESA],$C$4,LANÇ_MOV[CENTRO DE CUSTOS],$D$4)</f>
        <v>0</v>
      </c>
      <c r="F933" s="206">
        <f>SUMIFS(LANÇ_MOV[VALOR LÍQUIDO],LANÇ_MOV[RECEITA OU DESPESA],"Despesa",LANÇ_MOV[CONTAS],$C933,LANÇ_MOV[PLANO DE CONTAS],REL_DRE_FINANCEIRO!$B$855,LANÇ_MOV[ANO PAGAMENTO],$B$4,LANÇ_MOV[MÊS PAGAMENTO CORRESPONDENTE],F$6,LANÇ_MOV[EMPRESA],$C$4,LANÇ_MOV[CENTRO DE CUSTOS],$D$4)</f>
        <v>0</v>
      </c>
      <c r="G933" s="206">
        <f>SUMIFS(LANÇ_MOV[VALOR LÍQUIDO],LANÇ_MOV[RECEITA OU DESPESA],"Despesa",LANÇ_MOV[CONTAS],$C933,LANÇ_MOV[PLANO DE CONTAS],REL_DRE_FINANCEIRO!$B$855,LANÇ_MOV[ANO PAGAMENTO],$B$4,LANÇ_MOV[MÊS PAGAMENTO CORRESPONDENTE],G$6,LANÇ_MOV[EMPRESA],$C$4,LANÇ_MOV[CENTRO DE CUSTOS],$D$4)</f>
        <v>0</v>
      </c>
      <c r="H933" s="206">
        <f>SUMIFS(LANÇ_MOV[VALOR LÍQUIDO],LANÇ_MOV[RECEITA OU DESPESA],"Despesa",LANÇ_MOV[CONTAS],$C933,LANÇ_MOV[PLANO DE CONTAS],REL_DRE_FINANCEIRO!$B$855,LANÇ_MOV[ANO PAGAMENTO],$B$4,LANÇ_MOV[MÊS PAGAMENTO CORRESPONDENTE],H$6,LANÇ_MOV[EMPRESA],$C$4,LANÇ_MOV[CENTRO DE CUSTOS],$D$4)</f>
        <v>0</v>
      </c>
      <c r="I933" s="206">
        <f>SUMIFS(LANÇ_MOV[VALOR LÍQUIDO],LANÇ_MOV[RECEITA OU DESPESA],"Despesa",LANÇ_MOV[CONTAS],$C933,LANÇ_MOV[PLANO DE CONTAS],REL_DRE_FINANCEIRO!$B$855,LANÇ_MOV[ANO PAGAMENTO],$B$4,LANÇ_MOV[MÊS PAGAMENTO CORRESPONDENTE],I$6,LANÇ_MOV[EMPRESA],$C$4,LANÇ_MOV[CENTRO DE CUSTOS],$D$4)</f>
        <v>0</v>
      </c>
      <c r="J933" s="206">
        <f>SUMIFS(LANÇ_MOV[VALOR LÍQUIDO],LANÇ_MOV[RECEITA OU DESPESA],"Despesa",LANÇ_MOV[CONTAS],$C933,LANÇ_MOV[PLANO DE CONTAS],REL_DRE_FINANCEIRO!$B$855,LANÇ_MOV[ANO PAGAMENTO],$B$4,LANÇ_MOV[MÊS PAGAMENTO CORRESPONDENTE],J$6,LANÇ_MOV[EMPRESA],$C$4,LANÇ_MOV[CENTRO DE CUSTOS],$D$4)</f>
        <v>0</v>
      </c>
      <c r="K933" s="206">
        <f>SUMIFS(LANÇ_MOV[VALOR LÍQUIDO],LANÇ_MOV[RECEITA OU DESPESA],"Despesa",LANÇ_MOV[CONTAS],$C933,LANÇ_MOV[PLANO DE CONTAS],REL_DRE_FINANCEIRO!$B$855,LANÇ_MOV[ANO PAGAMENTO],$B$4,LANÇ_MOV[MÊS PAGAMENTO CORRESPONDENTE],K$6,LANÇ_MOV[EMPRESA],$C$4,LANÇ_MOV[CENTRO DE CUSTOS],$D$4)</f>
        <v>0</v>
      </c>
      <c r="L933" s="206">
        <f>SUMIFS(LANÇ_MOV[VALOR LÍQUIDO],LANÇ_MOV[RECEITA OU DESPESA],"Despesa",LANÇ_MOV[CONTAS],$C933,LANÇ_MOV[PLANO DE CONTAS],REL_DRE_FINANCEIRO!$B$855,LANÇ_MOV[ANO PAGAMENTO],$B$4,LANÇ_MOV[MÊS PAGAMENTO CORRESPONDENTE],L$6,LANÇ_MOV[EMPRESA],$C$4,LANÇ_MOV[CENTRO DE CUSTOS],$D$4)</f>
        <v>0</v>
      </c>
      <c r="M933" s="206">
        <f>SUMIFS(LANÇ_MOV[VALOR LÍQUIDO],LANÇ_MOV[RECEITA OU DESPESA],"Despesa",LANÇ_MOV[CONTAS],$C933,LANÇ_MOV[PLANO DE CONTAS],REL_DRE_FINANCEIRO!$B$855,LANÇ_MOV[ANO PAGAMENTO],$B$4,LANÇ_MOV[MÊS PAGAMENTO CORRESPONDENTE],M$6,LANÇ_MOV[EMPRESA],$C$4,LANÇ_MOV[CENTRO DE CUSTOS],$D$4)</f>
        <v>0</v>
      </c>
      <c r="N933" s="206">
        <f>SUMIFS(LANÇ_MOV[VALOR LÍQUIDO],LANÇ_MOV[RECEITA OU DESPESA],"Despesa",LANÇ_MOV[CONTAS],$C933,LANÇ_MOV[PLANO DE CONTAS],REL_DRE_FINANCEIRO!$B$855,LANÇ_MOV[ANO PAGAMENTO],$B$4,LANÇ_MOV[MÊS PAGAMENTO CORRESPONDENTE],N$6,LANÇ_MOV[EMPRESA],$C$4,LANÇ_MOV[CENTRO DE CUSTOS],$D$4)</f>
        <v>0</v>
      </c>
      <c r="O933" s="206">
        <f>SUMIFS(LANÇ_MOV[VALOR LÍQUIDO],LANÇ_MOV[RECEITA OU DESPESA],"Despesa",LANÇ_MOV[CONTAS],$C933,LANÇ_MOV[PLANO DE CONTAS],REL_DRE_FINANCEIRO!$B$855,LANÇ_MOV[ANO PAGAMENTO],$B$4,LANÇ_MOV[MÊS PAGAMENTO CORRESPONDENTE],O$6,LANÇ_MOV[EMPRESA],$C$4,LANÇ_MOV[CENTRO DE CUSTOS],$D$4)</f>
        <v>0</v>
      </c>
      <c r="P933" s="207">
        <f t="shared" si="116"/>
        <v>0</v>
      </c>
      <c r="Q933" s="329">
        <v>2.3E-6</v>
      </c>
      <c r="R933" s="346">
        <f t="shared" si="117"/>
        <v>2.3E-6</v>
      </c>
      <c r="S933" s="347" t="str">
        <f t="shared" si="118"/>
        <v>-</v>
      </c>
      <c r="T933" s="347">
        <f t="shared" si="119"/>
        <v>0</v>
      </c>
      <c r="U933" s="347">
        <f>HLOOKUP(Apoio!$P$12,$D$854:$P$955,X933,FALSE)+Q933</f>
        <v>2.3E-6</v>
      </c>
      <c r="V933" s="447" t="str">
        <f t="shared" si="120"/>
        <v>-</v>
      </c>
      <c r="W933" s="448">
        <f>HLOOKUP(Apoio!$P$12,$D$854:$P$955,X933,FALSE)</f>
        <v>0</v>
      </c>
      <c r="X933" s="329">
        <v>80</v>
      </c>
    </row>
    <row r="934" spans="2:24" ht="30.05" customHeight="1" x14ac:dyDescent="0.35">
      <c r="B934" s="204" t="str">
        <f>'CAD_PL_REC-DESP'!AC83</f>
        <v>2.7.79</v>
      </c>
      <c r="C934" s="205" t="str">
        <f>IF('CAD_PL_REC-DESP'!AD83="","-",'CAD_PL_REC-DESP'!AD83)</f>
        <v>-</v>
      </c>
      <c r="D934" s="206">
        <f>SUMIFS(LANÇ_MOV[VALOR LÍQUIDO],LANÇ_MOV[RECEITA OU DESPESA],"Despesa",LANÇ_MOV[CONTAS],$C934,LANÇ_MOV[PLANO DE CONTAS],REL_DRE_FINANCEIRO!$B$855,LANÇ_MOV[ANO PAGAMENTO],$B$4,LANÇ_MOV[MÊS PAGAMENTO CORRESPONDENTE],D$6,LANÇ_MOV[EMPRESA],$C$4,LANÇ_MOV[CENTRO DE CUSTOS],$D$4)</f>
        <v>0</v>
      </c>
      <c r="E934" s="206">
        <f>SUMIFS(LANÇ_MOV[VALOR LÍQUIDO],LANÇ_MOV[RECEITA OU DESPESA],"Despesa",LANÇ_MOV[CONTAS],$C934,LANÇ_MOV[PLANO DE CONTAS],REL_DRE_FINANCEIRO!$B$855,LANÇ_MOV[ANO PAGAMENTO],$B$4,LANÇ_MOV[MÊS PAGAMENTO CORRESPONDENTE],E$6,LANÇ_MOV[EMPRESA],$C$4,LANÇ_MOV[CENTRO DE CUSTOS],$D$4)</f>
        <v>0</v>
      </c>
      <c r="F934" s="206">
        <f>SUMIFS(LANÇ_MOV[VALOR LÍQUIDO],LANÇ_MOV[RECEITA OU DESPESA],"Despesa",LANÇ_MOV[CONTAS],$C934,LANÇ_MOV[PLANO DE CONTAS],REL_DRE_FINANCEIRO!$B$855,LANÇ_MOV[ANO PAGAMENTO],$B$4,LANÇ_MOV[MÊS PAGAMENTO CORRESPONDENTE],F$6,LANÇ_MOV[EMPRESA],$C$4,LANÇ_MOV[CENTRO DE CUSTOS],$D$4)</f>
        <v>0</v>
      </c>
      <c r="G934" s="206">
        <f>SUMIFS(LANÇ_MOV[VALOR LÍQUIDO],LANÇ_MOV[RECEITA OU DESPESA],"Despesa",LANÇ_MOV[CONTAS],$C934,LANÇ_MOV[PLANO DE CONTAS],REL_DRE_FINANCEIRO!$B$855,LANÇ_MOV[ANO PAGAMENTO],$B$4,LANÇ_MOV[MÊS PAGAMENTO CORRESPONDENTE],G$6,LANÇ_MOV[EMPRESA],$C$4,LANÇ_MOV[CENTRO DE CUSTOS],$D$4)</f>
        <v>0</v>
      </c>
      <c r="H934" s="206">
        <f>SUMIFS(LANÇ_MOV[VALOR LÍQUIDO],LANÇ_MOV[RECEITA OU DESPESA],"Despesa",LANÇ_MOV[CONTAS],$C934,LANÇ_MOV[PLANO DE CONTAS],REL_DRE_FINANCEIRO!$B$855,LANÇ_MOV[ANO PAGAMENTO],$B$4,LANÇ_MOV[MÊS PAGAMENTO CORRESPONDENTE],H$6,LANÇ_MOV[EMPRESA],$C$4,LANÇ_MOV[CENTRO DE CUSTOS],$D$4)</f>
        <v>0</v>
      </c>
      <c r="I934" s="206">
        <f>SUMIFS(LANÇ_MOV[VALOR LÍQUIDO],LANÇ_MOV[RECEITA OU DESPESA],"Despesa",LANÇ_MOV[CONTAS],$C934,LANÇ_MOV[PLANO DE CONTAS],REL_DRE_FINANCEIRO!$B$855,LANÇ_MOV[ANO PAGAMENTO],$B$4,LANÇ_MOV[MÊS PAGAMENTO CORRESPONDENTE],I$6,LANÇ_MOV[EMPRESA],$C$4,LANÇ_MOV[CENTRO DE CUSTOS],$D$4)</f>
        <v>0</v>
      </c>
      <c r="J934" s="206">
        <f>SUMIFS(LANÇ_MOV[VALOR LÍQUIDO],LANÇ_MOV[RECEITA OU DESPESA],"Despesa",LANÇ_MOV[CONTAS],$C934,LANÇ_MOV[PLANO DE CONTAS],REL_DRE_FINANCEIRO!$B$855,LANÇ_MOV[ANO PAGAMENTO],$B$4,LANÇ_MOV[MÊS PAGAMENTO CORRESPONDENTE],J$6,LANÇ_MOV[EMPRESA],$C$4,LANÇ_MOV[CENTRO DE CUSTOS],$D$4)</f>
        <v>0</v>
      </c>
      <c r="K934" s="206">
        <f>SUMIFS(LANÇ_MOV[VALOR LÍQUIDO],LANÇ_MOV[RECEITA OU DESPESA],"Despesa",LANÇ_MOV[CONTAS],$C934,LANÇ_MOV[PLANO DE CONTAS],REL_DRE_FINANCEIRO!$B$855,LANÇ_MOV[ANO PAGAMENTO],$B$4,LANÇ_MOV[MÊS PAGAMENTO CORRESPONDENTE],K$6,LANÇ_MOV[EMPRESA],$C$4,LANÇ_MOV[CENTRO DE CUSTOS],$D$4)</f>
        <v>0</v>
      </c>
      <c r="L934" s="206">
        <f>SUMIFS(LANÇ_MOV[VALOR LÍQUIDO],LANÇ_MOV[RECEITA OU DESPESA],"Despesa",LANÇ_MOV[CONTAS],$C934,LANÇ_MOV[PLANO DE CONTAS],REL_DRE_FINANCEIRO!$B$855,LANÇ_MOV[ANO PAGAMENTO],$B$4,LANÇ_MOV[MÊS PAGAMENTO CORRESPONDENTE],L$6,LANÇ_MOV[EMPRESA],$C$4,LANÇ_MOV[CENTRO DE CUSTOS],$D$4)</f>
        <v>0</v>
      </c>
      <c r="M934" s="206">
        <f>SUMIFS(LANÇ_MOV[VALOR LÍQUIDO],LANÇ_MOV[RECEITA OU DESPESA],"Despesa",LANÇ_MOV[CONTAS],$C934,LANÇ_MOV[PLANO DE CONTAS],REL_DRE_FINANCEIRO!$B$855,LANÇ_MOV[ANO PAGAMENTO],$B$4,LANÇ_MOV[MÊS PAGAMENTO CORRESPONDENTE],M$6,LANÇ_MOV[EMPRESA],$C$4,LANÇ_MOV[CENTRO DE CUSTOS],$D$4)</f>
        <v>0</v>
      </c>
      <c r="N934" s="206">
        <f>SUMIFS(LANÇ_MOV[VALOR LÍQUIDO],LANÇ_MOV[RECEITA OU DESPESA],"Despesa",LANÇ_MOV[CONTAS],$C934,LANÇ_MOV[PLANO DE CONTAS],REL_DRE_FINANCEIRO!$B$855,LANÇ_MOV[ANO PAGAMENTO],$B$4,LANÇ_MOV[MÊS PAGAMENTO CORRESPONDENTE],N$6,LANÇ_MOV[EMPRESA],$C$4,LANÇ_MOV[CENTRO DE CUSTOS],$D$4)</f>
        <v>0</v>
      </c>
      <c r="O934" s="206">
        <f>SUMIFS(LANÇ_MOV[VALOR LÍQUIDO],LANÇ_MOV[RECEITA OU DESPESA],"Despesa",LANÇ_MOV[CONTAS],$C934,LANÇ_MOV[PLANO DE CONTAS],REL_DRE_FINANCEIRO!$B$855,LANÇ_MOV[ANO PAGAMENTO],$B$4,LANÇ_MOV[MÊS PAGAMENTO CORRESPONDENTE],O$6,LANÇ_MOV[EMPRESA],$C$4,LANÇ_MOV[CENTRO DE CUSTOS],$D$4)</f>
        <v>0</v>
      </c>
      <c r="P934" s="207">
        <f t="shared" si="116"/>
        <v>0</v>
      </c>
      <c r="Q934" s="329">
        <v>2.2000000000000001E-6</v>
      </c>
      <c r="R934" s="346">
        <f t="shared" si="117"/>
        <v>2.2000000000000001E-6</v>
      </c>
      <c r="S934" s="347" t="str">
        <f t="shared" si="118"/>
        <v>-</v>
      </c>
      <c r="T934" s="347">
        <f t="shared" si="119"/>
        <v>0</v>
      </c>
      <c r="U934" s="347">
        <f>HLOOKUP(Apoio!$P$12,$D$854:$P$955,X934,FALSE)+Q934</f>
        <v>2.2000000000000001E-6</v>
      </c>
      <c r="V934" s="447" t="str">
        <f t="shared" si="120"/>
        <v>-</v>
      </c>
      <c r="W934" s="448">
        <f>HLOOKUP(Apoio!$P$12,$D$854:$P$955,X934,FALSE)</f>
        <v>0</v>
      </c>
      <c r="X934" s="329">
        <v>81</v>
      </c>
    </row>
    <row r="935" spans="2:24" ht="30.05" customHeight="1" x14ac:dyDescent="0.35">
      <c r="B935" s="204" t="str">
        <f>'CAD_PL_REC-DESP'!AC84</f>
        <v>2.7.80</v>
      </c>
      <c r="C935" s="205" t="str">
        <f>IF('CAD_PL_REC-DESP'!AD84="","-",'CAD_PL_REC-DESP'!AD84)</f>
        <v>-</v>
      </c>
      <c r="D935" s="206">
        <f>SUMIFS(LANÇ_MOV[VALOR LÍQUIDO],LANÇ_MOV[RECEITA OU DESPESA],"Despesa",LANÇ_MOV[CONTAS],$C935,LANÇ_MOV[PLANO DE CONTAS],REL_DRE_FINANCEIRO!$B$855,LANÇ_MOV[ANO PAGAMENTO],$B$4,LANÇ_MOV[MÊS PAGAMENTO CORRESPONDENTE],D$6,LANÇ_MOV[EMPRESA],$C$4,LANÇ_MOV[CENTRO DE CUSTOS],$D$4)</f>
        <v>0</v>
      </c>
      <c r="E935" s="206">
        <f>SUMIFS(LANÇ_MOV[VALOR LÍQUIDO],LANÇ_MOV[RECEITA OU DESPESA],"Despesa",LANÇ_MOV[CONTAS],$C935,LANÇ_MOV[PLANO DE CONTAS],REL_DRE_FINANCEIRO!$B$855,LANÇ_MOV[ANO PAGAMENTO],$B$4,LANÇ_MOV[MÊS PAGAMENTO CORRESPONDENTE],E$6,LANÇ_MOV[EMPRESA],$C$4,LANÇ_MOV[CENTRO DE CUSTOS],$D$4)</f>
        <v>0</v>
      </c>
      <c r="F935" s="206">
        <f>SUMIFS(LANÇ_MOV[VALOR LÍQUIDO],LANÇ_MOV[RECEITA OU DESPESA],"Despesa",LANÇ_MOV[CONTAS],$C935,LANÇ_MOV[PLANO DE CONTAS],REL_DRE_FINANCEIRO!$B$855,LANÇ_MOV[ANO PAGAMENTO],$B$4,LANÇ_MOV[MÊS PAGAMENTO CORRESPONDENTE],F$6,LANÇ_MOV[EMPRESA],$C$4,LANÇ_MOV[CENTRO DE CUSTOS],$D$4)</f>
        <v>0</v>
      </c>
      <c r="G935" s="206">
        <f>SUMIFS(LANÇ_MOV[VALOR LÍQUIDO],LANÇ_MOV[RECEITA OU DESPESA],"Despesa",LANÇ_MOV[CONTAS],$C935,LANÇ_MOV[PLANO DE CONTAS],REL_DRE_FINANCEIRO!$B$855,LANÇ_MOV[ANO PAGAMENTO],$B$4,LANÇ_MOV[MÊS PAGAMENTO CORRESPONDENTE],G$6,LANÇ_MOV[EMPRESA],$C$4,LANÇ_MOV[CENTRO DE CUSTOS],$D$4)</f>
        <v>0</v>
      </c>
      <c r="H935" s="206">
        <f>SUMIFS(LANÇ_MOV[VALOR LÍQUIDO],LANÇ_MOV[RECEITA OU DESPESA],"Despesa",LANÇ_MOV[CONTAS],$C935,LANÇ_MOV[PLANO DE CONTAS],REL_DRE_FINANCEIRO!$B$855,LANÇ_MOV[ANO PAGAMENTO],$B$4,LANÇ_MOV[MÊS PAGAMENTO CORRESPONDENTE],H$6,LANÇ_MOV[EMPRESA],$C$4,LANÇ_MOV[CENTRO DE CUSTOS],$D$4)</f>
        <v>0</v>
      </c>
      <c r="I935" s="206">
        <f>SUMIFS(LANÇ_MOV[VALOR LÍQUIDO],LANÇ_MOV[RECEITA OU DESPESA],"Despesa",LANÇ_MOV[CONTAS],$C935,LANÇ_MOV[PLANO DE CONTAS],REL_DRE_FINANCEIRO!$B$855,LANÇ_MOV[ANO PAGAMENTO],$B$4,LANÇ_MOV[MÊS PAGAMENTO CORRESPONDENTE],I$6,LANÇ_MOV[EMPRESA],$C$4,LANÇ_MOV[CENTRO DE CUSTOS],$D$4)</f>
        <v>0</v>
      </c>
      <c r="J935" s="206">
        <f>SUMIFS(LANÇ_MOV[VALOR LÍQUIDO],LANÇ_MOV[RECEITA OU DESPESA],"Despesa",LANÇ_MOV[CONTAS],$C935,LANÇ_MOV[PLANO DE CONTAS],REL_DRE_FINANCEIRO!$B$855,LANÇ_MOV[ANO PAGAMENTO],$B$4,LANÇ_MOV[MÊS PAGAMENTO CORRESPONDENTE],J$6,LANÇ_MOV[EMPRESA],$C$4,LANÇ_MOV[CENTRO DE CUSTOS],$D$4)</f>
        <v>0</v>
      </c>
      <c r="K935" s="206">
        <f>SUMIFS(LANÇ_MOV[VALOR LÍQUIDO],LANÇ_MOV[RECEITA OU DESPESA],"Despesa",LANÇ_MOV[CONTAS],$C935,LANÇ_MOV[PLANO DE CONTAS],REL_DRE_FINANCEIRO!$B$855,LANÇ_MOV[ANO PAGAMENTO],$B$4,LANÇ_MOV[MÊS PAGAMENTO CORRESPONDENTE],K$6,LANÇ_MOV[EMPRESA],$C$4,LANÇ_MOV[CENTRO DE CUSTOS],$D$4)</f>
        <v>0</v>
      </c>
      <c r="L935" s="206">
        <f>SUMIFS(LANÇ_MOV[VALOR LÍQUIDO],LANÇ_MOV[RECEITA OU DESPESA],"Despesa",LANÇ_MOV[CONTAS],$C935,LANÇ_MOV[PLANO DE CONTAS],REL_DRE_FINANCEIRO!$B$855,LANÇ_MOV[ANO PAGAMENTO],$B$4,LANÇ_MOV[MÊS PAGAMENTO CORRESPONDENTE],L$6,LANÇ_MOV[EMPRESA],$C$4,LANÇ_MOV[CENTRO DE CUSTOS],$D$4)</f>
        <v>0</v>
      </c>
      <c r="M935" s="206">
        <f>SUMIFS(LANÇ_MOV[VALOR LÍQUIDO],LANÇ_MOV[RECEITA OU DESPESA],"Despesa",LANÇ_MOV[CONTAS],$C935,LANÇ_MOV[PLANO DE CONTAS],REL_DRE_FINANCEIRO!$B$855,LANÇ_MOV[ANO PAGAMENTO],$B$4,LANÇ_MOV[MÊS PAGAMENTO CORRESPONDENTE],M$6,LANÇ_MOV[EMPRESA],$C$4,LANÇ_MOV[CENTRO DE CUSTOS],$D$4)</f>
        <v>0</v>
      </c>
      <c r="N935" s="206">
        <f>SUMIFS(LANÇ_MOV[VALOR LÍQUIDO],LANÇ_MOV[RECEITA OU DESPESA],"Despesa",LANÇ_MOV[CONTAS],$C935,LANÇ_MOV[PLANO DE CONTAS],REL_DRE_FINANCEIRO!$B$855,LANÇ_MOV[ANO PAGAMENTO],$B$4,LANÇ_MOV[MÊS PAGAMENTO CORRESPONDENTE],N$6,LANÇ_MOV[EMPRESA],$C$4,LANÇ_MOV[CENTRO DE CUSTOS],$D$4)</f>
        <v>0</v>
      </c>
      <c r="O935" s="206">
        <f>SUMIFS(LANÇ_MOV[VALOR LÍQUIDO],LANÇ_MOV[RECEITA OU DESPESA],"Despesa",LANÇ_MOV[CONTAS],$C935,LANÇ_MOV[PLANO DE CONTAS],REL_DRE_FINANCEIRO!$B$855,LANÇ_MOV[ANO PAGAMENTO],$B$4,LANÇ_MOV[MÊS PAGAMENTO CORRESPONDENTE],O$6,LANÇ_MOV[EMPRESA],$C$4,LANÇ_MOV[CENTRO DE CUSTOS],$D$4)</f>
        <v>0</v>
      </c>
      <c r="P935" s="207">
        <f t="shared" si="116"/>
        <v>0</v>
      </c>
      <c r="Q935" s="329">
        <v>2.0999999999999998E-6</v>
      </c>
      <c r="R935" s="346">
        <f t="shared" si="117"/>
        <v>2.0999999999999998E-6</v>
      </c>
      <c r="S935" s="347" t="str">
        <f t="shared" si="118"/>
        <v>-</v>
      </c>
      <c r="T935" s="347">
        <f t="shared" si="119"/>
        <v>0</v>
      </c>
      <c r="U935" s="347">
        <f>HLOOKUP(Apoio!$P$12,$D$854:$P$955,X935,FALSE)+Q935</f>
        <v>2.0999999999999998E-6</v>
      </c>
      <c r="V935" s="447" t="str">
        <f t="shared" si="120"/>
        <v>-</v>
      </c>
      <c r="W935" s="448">
        <f>HLOOKUP(Apoio!$P$12,$D$854:$P$955,X935,FALSE)</f>
        <v>0</v>
      </c>
      <c r="X935" s="329">
        <v>82</v>
      </c>
    </row>
    <row r="936" spans="2:24" ht="30.05" customHeight="1" x14ac:dyDescent="0.35">
      <c r="B936" s="204" t="str">
        <f>'CAD_PL_REC-DESP'!AC85</f>
        <v>2.7.81</v>
      </c>
      <c r="C936" s="205" t="str">
        <f>IF('CAD_PL_REC-DESP'!AD85="","-",'CAD_PL_REC-DESP'!AD85)</f>
        <v>-</v>
      </c>
      <c r="D936" s="206">
        <f>SUMIFS(LANÇ_MOV[VALOR LÍQUIDO],LANÇ_MOV[RECEITA OU DESPESA],"Despesa",LANÇ_MOV[CONTAS],$C936,LANÇ_MOV[PLANO DE CONTAS],REL_DRE_FINANCEIRO!$B$855,LANÇ_MOV[ANO PAGAMENTO],$B$4,LANÇ_MOV[MÊS PAGAMENTO CORRESPONDENTE],D$6,LANÇ_MOV[EMPRESA],$C$4,LANÇ_MOV[CENTRO DE CUSTOS],$D$4)</f>
        <v>0</v>
      </c>
      <c r="E936" s="206">
        <f>SUMIFS(LANÇ_MOV[VALOR LÍQUIDO],LANÇ_MOV[RECEITA OU DESPESA],"Despesa",LANÇ_MOV[CONTAS],$C936,LANÇ_MOV[PLANO DE CONTAS],REL_DRE_FINANCEIRO!$B$855,LANÇ_MOV[ANO PAGAMENTO],$B$4,LANÇ_MOV[MÊS PAGAMENTO CORRESPONDENTE],E$6,LANÇ_MOV[EMPRESA],$C$4,LANÇ_MOV[CENTRO DE CUSTOS],$D$4)</f>
        <v>0</v>
      </c>
      <c r="F936" s="206">
        <f>SUMIFS(LANÇ_MOV[VALOR LÍQUIDO],LANÇ_MOV[RECEITA OU DESPESA],"Despesa",LANÇ_MOV[CONTAS],$C936,LANÇ_MOV[PLANO DE CONTAS],REL_DRE_FINANCEIRO!$B$855,LANÇ_MOV[ANO PAGAMENTO],$B$4,LANÇ_MOV[MÊS PAGAMENTO CORRESPONDENTE],F$6,LANÇ_MOV[EMPRESA],$C$4,LANÇ_MOV[CENTRO DE CUSTOS],$D$4)</f>
        <v>0</v>
      </c>
      <c r="G936" s="206">
        <f>SUMIFS(LANÇ_MOV[VALOR LÍQUIDO],LANÇ_MOV[RECEITA OU DESPESA],"Despesa",LANÇ_MOV[CONTAS],$C936,LANÇ_MOV[PLANO DE CONTAS],REL_DRE_FINANCEIRO!$B$855,LANÇ_MOV[ANO PAGAMENTO],$B$4,LANÇ_MOV[MÊS PAGAMENTO CORRESPONDENTE],G$6,LANÇ_MOV[EMPRESA],$C$4,LANÇ_MOV[CENTRO DE CUSTOS],$D$4)</f>
        <v>0</v>
      </c>
      <c r="H936" s="206">
        <f>SUMIFS(LANÇ_MOV[VALOR LÍQUIDO],LANÇ_MOV[RECEITA OU DESPESA],"Despesa",LANÇ_MOV[CONTAS],$C936,LANÇ_MOV[PLANO DE CONTAS],REL_DRE_FINANCEIRO!$B$855,LANÇ_MOV[ANO PAGAMENTO],$B$4,LANÇ_MOV[MÊS PAGAMENTO CORRESPONDENTE],H$6,LANÇ_MOV[EMPRESA],$C$4,LANÇ_MOV[CENTRO DE CUSTOS],$D$4)</f>
        <v>0</v>
      </c>
      <c r="I936" s="206">
        <f>SUMIFS(LANÇ_MOV[VALOR LÍQUIDO],LANÇ_MOV[RECEITA OU DESPESA],"Despesa",LANÇ_MOV[CONTAS],$C936,LANÇ_MOV[PLANO DE CONTAS],REL_DRE_FINANCEIRO!$B$855,LANÇ_MOV[ANO PAGAMENTO],$B$4,LANÇ_MOV[MÊS PAGAMENTO CORRESPONDENTE],I$6,LANÇ_MOV[EMPRESA],$C$4,LANÇ_MOV[CENTRO DE CUSTOS],$D$4)</f>
        <v>0</v>
      </c>
      <c r="J936" s="206">
        <f>SUMIFS(LANÇ_MOV[VALOR LÍQUIDO],LANÇ_MOV[RECEITA OU DESPESA],"Despesa",LANÇ_MOV[CONTAS],$C936,LANÇ_MOV[PLANO DE CONTAS],REL_DRE_FINANCEIRO!$B$855,LANÇ_MOV[ANO PAGAMENTO],$B$4,LANÇ_MOV[MÊS PAGAMENTO CORRESPONDENTE],J$6,LANÇ_MOV[EMPRESA],$C$4,LANÇ_MOV[CENTRO DE CUSTOS],$D$4)</f>
        <v>0</v>
      </c>
      <c r="K936" s="206">
        <f>SUMIFS(LANÇ_MOV[VALOR LÍQUIDO],LANÇ_MOV[RECEITA OU DESPESA],"Despesa",LANÇ_MOV[CONTAS],$C936,LANÇ_MOV[PLANO DE CONTAS],REL_DRE_FINANCEIRO!$B$855,LANÇ_MOV[ANO PAGAMENTO],$B$4,LANÇ_MOV[MÊS PAGAMENTO CORRESPONDENTE],K$6,LANÇ_MOV[EMPRESA],$C$4,LANÇ_MOV[CENTRO DE CUSTOS],$D$4)</f>
        <v>0</v>
      </c>
      <c r="L936" s="206">
        <f>SUMIFS(LANÇ_MOV[VALOR LÍQUIDO],LANÇ_MOV[RECEITA OU DESPESA],"Despesa",LANÇ_MOV[CONTAS],$C936,LANÇ_MOV[PLANO DE CONTAS],REL_DRE_FINANCEIRO!$B$855,LANÇ_MOV[ANO PAGAMENTO],$B$4,LANÇ_MOV[MÊS PAGAMENTO CORRESPONDENTE],L$6,LANÇ_MOV[EMPRESA],$C$4,LANÇ_MOV[CENTRO DE CUSTOS],$D$4)</f>
        <v>0</v>
      </c>
      <c r="M936" s="206">
        <f>SUMIFS(LANÇ_MOV[VALOR LÍQUIDO],LANÇ_MOV[RECEITA OU DESPESA],"Despesa",LANÇ_MOV[CONTAS],$C936,LANÇ_MOV[PLANO DE CONTAS],REL_DRE_FINANCEIRO!$B$855,LANÇ_MOV[ANO PAGAMENTO],$B$4,LANÇ_MOV[MÊS PAGAMENTO CORRESPONDENTE],M$6,LANÇ_MOV[EMPRESA],$C$4,LANÇ_MOV[CENTRO DE CUSTOS],$D$4)</f>
        <v>0</v>
      </c>
      <c r="N936" s="206">
        <f>SUMIFS(LANÇ_MOV[VALOR LÍQUIDO],LANÇ_MOV[RECEITA OU DESPESA],"Despesa",LANÇ_MOV[CONTAS],$C936,LANÇ_MOV[PLANO DE CONTAS],REL_DRE_FINANCEIRO!$B$855,LANÇ_MOV[ANO PAGAMENTO],$B$4,LANÇ_MOV[MÊS PAGAMENTO CORRESPONDENTE],N$6,LANÇ_MOV[EMPRESA],$C$4,LANÇ_MOV[CENTRO DE CUSTOS],$D$4)</f>
        <v>0</v>
      </c>
      <c r="O936" s="206">
        <f>SUMIFS(LANÇ_MOV[VALOR LÍQUIDO],LANÇ_MOV[RECEITA OU DESPESA],"Despesa",LANÇ_MOV[CONTAS],$C936,LANÇ_MOV[PLANO DE CONTAS],REL_DRE_FINANCEIRO!$B$855,LANÇ_MOV[ANO PAGAMENTO],$B$4,LANÇ_MOV[MÊS PAGAMENTO CORRESPONDENTE],O$6,LANÇ_MOV[EMPRESA],$C$4,LANÇ_MOV[CENTRO DE CUSTOS],$D$4)</f>
        <v>0</v>
      </c>
      <c r="P936" s="207">
        <f t="shared" si="116"/>
        <v>0</v>
      </c>
      <c r="Q936" s="329">
        <v>1.9999999999999999E-6</v>
      </c>
      <c r="R936" s="346">
        <f t="shared" si="117"/>
        <v>1.9999999999999999E-6</v>
      </c>
      <c r="S936" s="347" t="str">
        <f t="shared" si="118"/>
        <v>-</v>
      </c>
      <c r="T936" s="347">
        <f t="shared" si="119"/>
        <v>0</v>
      </c>
      <c r="U936" s="347">
        <f>HLOOKUP(Apoio!$P$12,$D$854:$P$955,X936,FALSE)+Q936</f>
        <v>1.9999999999999999E-6</v>
      </c>
      <c r="V936" s="447" t="str">
        <f t="shared" si="120"/>
        <v>-</v>
      </c>
      <c r="W936" s="448">
        <f>HLOOKUP(Apoio!$P$12,$D$854:$P$955,X936,FALSE)</f>
        <v>0</v>
      </c>
      <c r="X936" s="329">
        <v>83</v>
      </c>
    </row>
    <row r="937" spans="2:24" ht="30.05" customHeight="1" x14ac:dyDescent="0.35">
      <c r="B937" s="204" t="str">
        <f>'CAD_PL_REC-DESP'!AC86</f>
        <v>2.7.82</v>
      </c>
      <c r="C937" s="205" t="str">
        <f>IF('CAD_PL_REC-DESP'!AD86="","-",'CAD_PL_REC-DESP'!AD86)</f>
        <v>-</v>
      </c>
      <c r="D937" s="206">
        <f>SUMIFS(LANÇ_MOV[VALOR LÍQUIDO],LANÇ_MOV[RECEITA OU DESPESA],"Despesa",LANÇ_MOV[CONTAS],$C937,LANÇ_MOV[PLANO DE CONTAS],REL_DRE_FINANCEIRO!$B$855,LANÇ_MOV[ANO PAGAMENTO],$B$4,LANÇ_MOV[MÊS PAGAMENTO CORRESPONDENTE],D$6,LANÇ_MOV[EMPRESA],$C$4,LANÇ_MOV[CENTRO DE CUSTOS],$D$4)</f>
        <v>0</v>
      </c>
      <c r="E937" s="206">
        <f>SUMIFS(LANÇ_MOV[VALOR LÍQUIDO],LANÇ_MOV[RECEITA OU DESPESA],"Despesa",LANÇ_MOV[CONTAS],$C937,LANÇ_MOV[PLANO DE CONTAS],REL_DRE_FINANCEIRO!$B$855,LANÇ_MOV[ANO PAGAMENTO],$B$4,LANÇ_MOV[MÊS PAGAMENTO CORRESPONDENTE],E$6,LANÇ_MOV[EMPRESA],$C$4,LANÇ_MOV[CENTRO DE CUSTOS],$D$4)</f>
        <v>0</v>
      </c>
      <c r="F937" s="206">
        <f>SUMIFS(LANÇ_MOV[VALOR LÍQUIDO],LANÇ_MOV[RECEITA OU DESPESA],"Despesa",LANÇ_MOV[CONTAS],$C937,LANÇ_MOV[PLANO DE CONTAS],REL_DRE_FINANCEIRO!$B$855,LANÇ_MOV[ANO PAGAMENTO],$B$4,LANÇ_MOV[MÊS PAGAMENTO CORRESPONDENTE],F$6,LANÇ_MOV[EMPRESA],$C$4,LANÇ_MOV[CENTRO DE CUSTOS],$D$4)</f>
        <v>0</v>
      </c>
      <c r="G937" s="206">
        <f>SUMIFS(LANÇ_MOV[VALOR LÍQUIDO],LANÇ_MOV[RECEITA OU DESPESA],"Despesa",LANÇ_MOV[CONTAS],$C937,LANÇ_MOV[PLANO DE CONTAS],REL_DRE_FINANCEIRO!$B$855,LANÇ_MOV[ANO PAGAMENTO],$B$4,LANÇ_MOV[MÊS PAGAMENTO CORRESPONDENTE],G$6,LANÇ_MOV[EMPRESA],$C$4,LANÇ_MOV[CENTRO DE CUSTOS],$D$4)</f>
        <v>0</v>
      </c>
      <c r="H937" s="206">
        <f>SUMIFS(LANÇ_MOV[VALOR LÍQUIDO],LANÇ_MOV[RECEITA OU DESPESA],"Despesa",LANÇ_MOV[CONTAS],$C937,LANÇ_MOV[PLANO DE CONTAS],REL_DRE_FINANCEIRO!$B$855,LANÇ_MOV[ANO PAGAMENTO],$B$4,LANÇ_MOV[MÊS PAGAMENTO CORRESPONDENTE],H$6,LANÇ_MOV[EMPRESA],$C$4,LANÇ_MOV[CENTRO DE CUSTOS],$D$4)</f>
        <v>0</v>
      </c>
      <c r="I937" s="206">
        <f>SUMIFS(LANÇ_MOV[VALOR LÍQUIDO],LANÇ_MOV[RECEITA OU DESPESA],"Despesa",LANÇ_MOV[CONTAS],$C937,LANÇ_MOV[PLANO DE CONTAS],REL_DRE_FINANCEIRO!$B$855,LANÇ_MOV[ANO PAGAMENTO],$B$4,LANÇ_MOV[MÊS PAGAMENTO CORRESPONDENTE],I$6,LANÇ_MOV[EMPRESA],$C$4,LANÇ_MOV[CENTRO DE CUSTOS],$D$4)</f>
        <v>0</v>
      </c>
      <c r="J937" s="206">
        <f>SUMIFS(LANÇ_MOV[VALOR LÍQUIDO],LANÇ_MOV[RECEITA OU DESPESA],"Despesa",LANÇ_MOV[CONTAS],$C937,LANÇ_MOV[PLANO DE CONTAS],REL_DRE_FINANCEIRO!$B$855,LANÇ_MOV[ANO PAGAMENTO],$B$4,LANÇ_MOV[MÊS PAGAMENTO CORRESPONDENTE],J$6,LANÇ_MOV[EMPRESA],$C$4,LANÇ_MOV[CENTRO DE CUSTOS],$D$4)</f>
        <v>0</v>
      </c>
      <c r="K937" s="206">
        <f>SUMIFS(LANÇ_MOV[VALOR LÍQUIDO],LANÇ_MOV[RECEITA OU DESPESA],"Despesa",LANÇ_MOV[CONTAS],$C937,LANÇ_MOV[PLANO DE CONTAS],REL_DRE_FINANCEIRO!$B$855,LANÇ_MOV[ANO PAGAMENTO],$B$4,LANÇ_MOV[MÊS PAGAMENTO CORRESPONDENTE],K$6,LANÇ_MOV[EMPRESA],$C$4,LANÇ_MOV[CENTRO DE CUSTOS],$D$4)</f>
        <v>0</v>
      </c>
      <c r="L937" s="206">
        <f>SUMIFS(LANÇ_MOV[VALOR LÍQUIDO],LANÇ_MOV[RECEITA OU DESPESA],"Despesa",LANÇ_MOV[CONTAS],$C937,LANÇ_MOV[PLANO DE CONTAS],REL_DRE_FINANCEIRO!$B$855,LANÇ_MOV[ANO PAGAMENTO],$B$4,LANÇ_MOV[MÊS PAGAMENTO CORRESPONDENTE],L$6,LANÇ_MOV[EMPRESA],$C$4,LANÇ_MOV[CENTRO DE CUSTOS],$D$4)</f>
        <v>0</v>
      </c>
      <c r="M937" s="206">
        <f>SUMIFS(LANÇ_MOV[VALOR LÍQUIDO],LANÇ_MOV[RECEITA OU DESPESA],"Despesa",LANÇ_MOV[CONTAS],$C937,LANÇ_MOV[PLANO DE CONTAS],REL_DRE_FINANCEIRO!$B$855,LANÇ_MOV[ANO PAGAMENTO],$B$4,LANÇ_MOV[MÊS PAGAMENTO CORRESPONDENTE],M$6,LANÇ_MOV[EMPRESA],$C$4,LANÇ_MOV[CENTRO DE CUSTOS],$D$4)</f>
        <v>0</v>
      </c>
      <c r="N937" s="206">
        <f>SUMIFS(LANÇ_MOV[VALOR LÍQUIDO],LANÇ_MOV[RECEITA OU DESPESA],"Despesa",LANÇ_MOV[CONTAS],$C937,LANÇ_MOV[PLANO DE CONTAS],REL_DRE_FINANCEIRO!$B$855,LANÇ_MOV[ANO PAGAMENTO],$B$4,LANÇ_MOV[MÊS PAGAMENTO CORRESPONDENTE],N$6,LANÇ_MOV[EMPRESA],$C$4,LANÇ_MOV[CENTRO DE CUSTOS],$D$4)</f>
        <v>0</v>
      </c>
      <c r="O937" s="206">
        <f>SUMIFS(LANÇ_MOV[VALOR LÍQUIDO],LANÇ_MOV[RECEITA OU DESPESA],"Despesa",LANÇ_MOV[CONTAS],$C937,LANÇ_MOV[PLANO DE CONTAS],REL_DRE_FINANCEIRO!$B$855,LANÇ_MOV[ANO PAGAMENTO],$B$4,LANÇ_MOV[MÊS PAGAMENTO CORRESPONDENTE],O$6,LANÇ_MOV[EMPRESA],$C$4,LANÇ_MOV[CENTRO DE CUSTOS],$D$4)</f>
        <v>0</v>
      </c>
      <c r="P937" s="207">
        <f t="shared" si="116"/>
        <v>0</v>
      </c>
      <c r="Q937" s="329">
        <v>1.9E-6</v>
      </c>
      <c r="R937" s="346">
        <f t="shared" si="117"/>
        <v>1.9E-6</v>
      </c>
      <c r="S937" s="347" t="str">
        <f t="shared" si="118"/>
        <v>-</v>
      </c>
      <c r="T937" s="347">
        <f t="shared" si="119"/>
        <v>0</v>
      </c>
      <c r="U937" s="347">
        <f>HLOOKUP(Apoio!$P$12,$D$854:$P$955,X937,FALSE)+Q937</f>
        <v>1.9E-6</v>
      </c>
      <c r="V937" s="447" t="str">
        <f t="shared" si="120"/>
        <v>-</v>
      </c>
      <c r="W937" s="448">
        <f>HLOOKUP(Apoio!$P$12,$D$854:$P$955,X937,FALSE)</f>
        <v>0</v>
      </c>
      <c r="X937" s="329">
        <v>84</v>
      </c>
    </row>
    <row r="938" spans="2:24" ht="30.05" customHeight="1" x14ac:dyDescent="0.35">
      <c r="B938" s="204" t="str">
        <f>'CAD_PL_REC-DESP'!AC87</f>
        <v>2.7.83</v>
      </c>
      <c r="C938" s="205" t="str">
        <f>IF('CAD_PL_REC-DESP'!AD87="","-",'CAD_PL_REC-DESP'!AD87)</f>
        <v>-</v>
      </c>
      <c r="D938" s="206">
        <f>SUMIFS(LANÇ_MOV[VALOR LÍQUIDO],LANÇ_MOV[RECEITA OU DESPESA],"Despesa",LANÇ_MOV[CONTAS],$C938,LANÇ_MOV[PLANO DE CONTAS],REL_DRE_FINANCEIRO!$B$855,LANÇ_MOV[ANO PAGAMENTO],$B$4,LANÇ_MOV[MÊS PAGAMENTO CORRESPONDENTE],D$6,LANÇ_MOV[EMPRESA],$C$4,LANÇ_MOV[CENTRO DE CUSTOS],$D$4)</f>
        <v>0</v>
      </c>
      <c r="E938" s="206">
        <f>SUMIFS(LANÇ_MOV[VALOR LÍQUIDO],LANÇ_MOV[RECEITA OU DESPESA],"Despesa",LANÇ_MOV[CONTAS],$C938,LANÇ_MOV[PLANO DE CONTAS],REL_DRE_FINANCEIRO!$B$855,LANÇ_MOV[ANO PAGAMENTO],$B$4,LANÇ_MOV[MÊS PAGAMENTO CORRESPONDENTE],E$6,LANÇ_MOV[EMPRESA],$C$4,LANÇ_MOV[CENTRO DE CUSTOS],$D$4)</f>
        <v>0</v>
      </c>
      <c r="F938" s="206">
        <f>SUMIFS(LANÇ_MOV[VALOR LÍQUIDO],LANÇ_MOV[RECEITA OU DESPESA],"Despesa",LANÇ_MOV[CONTAS],$C938,LANÇ_MOV[PLANO DE CONTAS],REL_DRE_FINANCEIRO!$B$855,LANÇ_MOV[ANO PAGAMENTO],$B$4,LANÇ_MOV[MÊS PAGAMENTO CORRESPONDENTE],F$6,LANÇ_MOV[EMPRESA],$C$4,LANÇ_MOV[CENTRO DE CUSTOS],$D$4)</f>
        <v>0</v>
      </c>
      <c r="G938" s="206">
        <f>SUMIFS(LANÇ_MOV[VALOR LÍQUIDO],LANÇ_MOV[RECEITA OU DESPESA],"Despesa",LANÇ_MOV[CONTAS],$C938,LANÇ_MOV[PLANO DE CONTAS],REL_DRE_FINANCEIRO!$B$855,LANÇ_MOV[ANO PAGAMENTO],$B$4,LANÇ_MOV[MÊS PAGAMENTO CORRESPONDENTE],G$6,LANÇ_MOV[EMPRESA],$C$4,LANÇ_MOV[CENTRO DE CUSTOS],$D$4)</f>
        <v>0</v>
      </c>
      <c r="H938" s="206">
        <f>SUMIFS(LANÇ_MOV[VALOR LÍQUIDO],LANÇ_MOV[RECEITA OU DESPESA],"Despesa",LANÇ_MOV[CONTAS],$C938,LANÇ_MOV[PLANO DE CONTAS],REL_DRE_FINANCEIRO!$B$855,LANÇ_MOV[ANO PAGAMENTO],$B$4,LANÇ_MOV[MÊS PAGAMENTO CORRESPONDENTE],H$6,LANÇ_MOV[EMPRESA],$C$4,LANÇ_MOV[CENTRO DE CUSTOS],$D$4)</f>
        <v>0</v>
      </c>
      <c r="I938" s="206">
        <f>SUMIFS(LANÇ_MOV[VALOR LÍQUIDO],LANÇ_MOV[RECEITA OU DESPESA],"Despesa",LANÇ_MOV[CONTAS],$C938,LANÇ_MOV[PLANO DE CONTAS],REL_DRE_FINANCEIRO!$B$855,LANÇ_MOV[ANO PAGAMENTO],$B$4,LANÇ_MOV[MÊS PAGAMENTO CORRESPONDENTE],I$6,LANÇ_MOV[EMPRESA],$C$4,LANÇ_MOV[CENTRO DE CUSTOS],$D$4)</f>
        <v>0</v>
      </c>
      <c r="J938" s="206">
        <f>SUMIFS(LANÇ_MOV[VALOR LÍQUIDO],LANÇ_MOV[RECEITA OU DESPESA],"Despesa",LANÇ_MOV[CONTAS],$C938,LANÇ_MOV[PLANO DE CONTAS],REL_DRE_FINANCEIRO!$B$855,LANÇ_MOV[ANO PAGAMENTO],$B$4,LANÇ_MOV[MÊS PAGAMENTO CORRESPONDENTE],J$6,LANÇ_MOV[EMPRESA],$C$4,LANÇ_MOV[CENTRO DE CUSTOS],$D$4)</f>
        <v>0</v>
      </c>
      <c r="K938" s="206">
        <f>SUMIFS(LANÇ_MOV[VALOR LÍQUIDO],LANÇ_MOV[RECEITA OU DESPESA],"Despesa",LANÇ_MOV[CONTAS],$C938,LANÇ_MOV[PLANO DE CONTAS],REL_DRE_FINANCEIRO!$B$855,LANÇ_MOV[ANO PAGAMENTO],$B$4,LANÇ_MOV[MÊS PAGAMENTO CORRESPONDENTE],K$6,LANÇ_MOV[EMPRESA],$C$4,LANÇ_MOV[CENTRO DE CUSTOS],$D$4)</f>
        <v>0</v>
      </c>
      <c r="L938" s="206">
        <f>SUMIFS(LANÇ_MOV[VALOR LÍQUIDO],LANÇ_MOV[RECEITA OU DESPESA],"Despesa",LANÇ_MOV[CONTAS],$C938,LANÇ_MOV[PLANO DE CONTAS],REL_DRE_FINANCEIRO!$B$855,LANÇ_MOV[ANO PAGAMENTO],$B$4,LANÇ_MOV[MÊS PAGAMENTO CORRESPONDENTE],L$6,LANÇ_MOV[EMPRESA],$C$4,LANÇ_MOV[CENTRO DE CUSTOS],$D$4)</f>
        <v>0</v>
      </c>
      <c r="M938" s="206">
        <f>SUMIFS(LANÇ_MOV[VALOR LÍQUIDO],LANÇ_MOV[RECEITA OU DESPESA],"Despesa",LANÇ_MOV[CONTAS],$C938,LANÇ_MOV[PLANO DE CONTAS],REL_DRE_FINANCEIRO!$B$855,LANÇ_MOV[ANO PAGAMENTO],$B$4,LANÇ_MOV[MÊS PAGAMENTO CORRESPONDENTE],M$6,LANÇ_MOV[EMPRESA],$C$4,LANÇ_MOV[CENTRO DE CUSTOS],$D$4)</f>
        <v>0</v>
      </c>
      <c r="N938" s="206">
        <f>SUMIFS(LANÇ_MOV[VALOR LÍQUIDO],LANÇ_MOV[RECEITA OU DESPESA],"Despesa",LANÇ_MOV[CONTAS],$C938,LANÇ_MOV[PLANO DE CONTAS],REL_DRE_FINANCEIRO!$B$855,LANÇ_MOV[ANO PAGAMENTO],$B$4,LANÇ_MOV[MÊS PAGAMENTO CORRESPONDENTE],N$6,LANÇ_MOV[EMPRESA],$C$4,LANÇ_MOV[CENTRO DE CUSTOS],$D$4)</f>
        <v>0</v>
      </c>
      <c r="O938" s="206">
        <f>SUMIFS(LANÇ_MOV[VALOR LÍQUIDO],LANÇ_MOV[RECEITA OU DESPESA],"Despesa",LANÇ_MOV[CONTAS],$C938,LANÇ_MOV[PLANO DE CONTAS],REL_DRE_FINANCEIRO!$B$855,LANÇ_MOV[ANO PAGAMENTO],$B$4,LANÇ_MOV[MÊS PAGAMENTO CORRESPONDENTE],O$6,LANÇ_MOV[EMPRESA],$C$4,LANÇ_MOV[CENTRO DE CUSTOS],$D$4)</f>
        <v>0</v>
      </c>
      <c r="P938" s="207">
        <f t="shared" si="116"/>
        <v>0</v>
      </c>
      <c r="Q938" s="329">
        <v>1.7999999999999999E-6</v>
      </c>
      <c r="R938" s="346">
        <f t="shared" si="117"/>
        <v>1.7999999999999999E-6</v>
      </c>
      <c r="S938" s="347" t="str">
        <f t="shared" si="118"/>
        <v>-</v>
      </c>
      <c r="T938" s="347">
        <f t="shared" si="119"/>
        <v>0</v>
      </c>
      <c r="U938" s="347">
        <f>HLOOKUP(Apoio!$P$12,$D$854:$P$955,X938,FALSE)+Q938</f>
        <v>1.7999999999999999E-6</v>
      </c>
      <c r="V938" s="447" t="str">
        <f t="shared" si="120"/>
        <v>-</v>
      </c>
      <c r="W938" s="448">
        <f>HLOOKUP(Apoio!$P$12,$D$854:$P$955,X938,FALSE)</f>
        <v>0</v>
      </c>
      <c r="X938" s="329">
        <v>85</v>
      </c>
    </row>
    <row r="939" spans="2:24" ht="30.05" customHeight="1" x14ac:dyDescent="0.35">
      <c r="B939" s="204" t="str">
        <f>'CAD_PL_REC-DESP'!AC88</f>
        <v>2.7.84</v>
      </c>
      <c r="C939" s="205" t="str">
        <f>IF('CAD_PL_REC-DESP'!AD88="","-",'CAD_PL_REC-DESP'!AD88)</f>
        <v>-</v>
      </c>
      <c r="D939" s="206">
        <f>SUMIFS(LANÇ_MOV[VALOR LÍQUIDO],LANÇ_MOV[RECEITA OU DESPESA],"Despesa",LANÇ_MOV[CONTAS],$C939,LANÇ_MOV[PLANO DE CONTAS],REL_DRE_FINANCEIRO!$B$855,LANÇ_MOV[ANO PAGAMENTO],$B$4,LANÇ_MOV[MÊS PAGAMENTO CORRESPONDENTE],D$6,LANÇ_MOV[EMPRESA],$C$4,LANÇ_MOV[CENTRO DE CUSTOS],$D$4)</f>
        <v>0</v>
      </c>
      <c r="E939" s="206">
        <f>SUMIFS(LANÇ_MOV[VALOR LÍQUIDO],LANÇ_MOV[RECEITA OU DESPESA],"Despesa",LANÇ_MOV[CONTAS],$C939,LANÇ_MOV[PLANO DE CONTAS],REL_DRE_FINANCEIRO!$B$855,LANÇ_MOV[ANO PAGAMENTO],$B$4,LANÇ_MOV[MÊS PAGAMENTO CORRESPONDENTE],E$6,LANÇ_MOV[EMPRESA],$C$4,LANÇ_MOV[CENTRO DE CUSTOS],$D$4)</f>
        <v>0</v>
      </c>
      <c r="F939" s="206">
        <f>SUMIFS(LANÇ_MOV[VALOR LÍQUIDO],LANÇ_MOV[RECEITA OU DESPESA],"Despesa",LANÇ_MOV[CONTAS],$C939,LANÇ_MOV[PLANO DE CONTAS],REL_DRE_FINANCEIRO!$B$855,LANÇ_MOV[ANO PAGAMENTO],$B$4,LANÇ_MOV[MÊS PAGAMENTO CORRESPONDENTE],F$6,LANÇ_MOV[EMPRESA],$C$4,LANÇ_MOV[CENTRO DE CUSTOS],$D$4)</f>
        <v>0</v>
      </c>
      <c r="G939" s="206">
        <f>SUMIFS(LANÇ_MOV[VALOR LÍQUIDO],LANÇ_MOV[RECEITA OU DESPESA],"Despesa",LANÇ_MOV[CONTAS],$C939,LANÇ_MOV[PLANO DE CONTAS],REL_DRE_FINANCEIRO!$B$855,LANÇ_MOV[ANO PAGAMENTO],$B$4,LANÇ_MOV[MÊS PAGAMENTO CORRESPONDENTE],G$6,LANÇ_MOV[EMPRESA],$C$4,LANÇ_MOV[CENTRO DE CUSTOS],$D$4)</f>
        <v>0</v>
      </c>
      <c r="H939" s="206">
        <f>SUMIFS(LANÇ_MOV[VALOR LÍQUIDO],LANÇ_MOV[RECEITA OU DESPESA],"Despesa",LANÇ_MOV[CONTAS],$C939,LANÇ_MOV[PLANO DE CONTAS],REL_DRE_FINANCEIRO!$B$855,LANÇ_MOV[ANO PAGAMENTO],$B$4,LANÇ_MOV[MÊS PAGAMENTO CORRESPONDENTE],H$6,LANÇ_MOV[EMPRESA],$C$4,LANÇ_MOV[CENTRO DE CUSTOS],$D$4)</f>
        <v>0</v>
      </c>
      <c r="I939" s="206">
        <f>SUMIFS(LANÇ_MOV[VALOR LÍQUIDO],LANÇ_MOV[RECEITA OU DESPESA],"Despesa",LANÇ_MOV[CONTAS],$C939,LANÇ_MOV[PLANO DE CONTAS],REL_DRE_FINANCEIRO!$B$855,LANÇ_MOV[ANO PAGAMENTO],$B$4,LANÇ_MOV[MÊS PAGAMENTO CORRESPONDENTE],I$6,LANÇ_MOV[EMPRESA],$C$4,LANÇ_MOV[CENTRO DE CUSTOS],$D$4)</f>
        <v>0</v>
      </c>
      <c r="J939" s="206">
        <f>SUMIFS(LANÇ_MOV[VALOR LÍQUIDO],LANÇ_MOV[RECEITA OU DESPESA],"Despesa",LANÇ_MOV[CONTAS],$C939,LANÇ_MOV[PLANO DE CONTAS],REL_DRE_FINANCEIRO!$B$855,LANÇ_MOV[ANO PAGAMENTO],$B$4,LANÇ_MOV[MÊS PAGAMENTO CORRESPONDENTE],J$6,LANÇ_MOV[EMPRESA],$C$4,LANÇ_MOV[CENTRO DE CUSTOS],$D$4)</f>
        <v>0</v>
      </c>
      <c r="K939" s="206">
        <f>SUMIFS(LANÇ_MOV[VALOR LÍQUIDO],LANÇ_MOV[RECEITA OU DESPESA],"Despesa",LANÇ_MOV[CONTAS],$C939,LANÇ_MOV[PLANO DE CONTAS],REL_DRE_FINANCEIRO!$B$855,LANÇ_MOV[ANO PAGAMENTO],$B$4,LANÇ_MOV[MÊS PAGAMENTO CORRESPONDENTE],K$6,LANÇ_MOV[EMPRESA],$C$4,LANÇ_MOV[CENTRO DE CUSTOS],$D$4)</f>
        <v>0</v>
      </c>
      <c r="L939" s="206">
        <f>SUMIFS(LANÇ_MOV[VALOR LÍQUIDO],LANÇ_MOV[RECEITA OU DESPESA],"Despesa",LANÇ_MOV[CONTAS],$C939,LANÇ_MOV[PLANO DE CONTAS],REL_DRE_FINANCEIRO!$B$855,LANÇ_MOV[ANO PAGAMENTO],$B$4,LANÇ_MOV[MÊS PAGAMENTO CORRESPONDENTE],L$6,LANÇ_MOV[EMPRESA],$C$4,LANÇ_MOV[CENTRO DE CUSTOS],$D$4)</f>
        <v>0</v>
      </c>
      <c r="M939" s="206">
        <f>SUMIFS(LANÇ_MOV[VALOR LÍQUIDO],LANÇ_MOV[RECEITA OU DESPESA],"Despesa",LANÇ_MOV[CONTAS],$C939,LANÇ_MOV[PLANO DE CONTAS],REL_DRE_FINANCEIRO!$B$855,LANÇ_MOV[ANO PAGAMENTO],$B$4,LANÇ_MOV[MÊS PAGAMENTO CORRESPONDENTE],M$6,LANÇ_MOV[EMPRESA],$C$4,LANÇ_MOV[CENTRO DE CUSTOS],$D$4)</f>
        <v>0</v>
      </c>
      <c r="N939" s="206">
        <f>SUMIFS(LANÇ_MOV[VALOR LÍQUIDO],LANÇ_MOV[RECEITA OU DESPESA],"Despesa",LANÇ_MOV[CONTAS],$C939,LANÇ_MOV[PLANO DE CONTAS],REL_DRE_FINANCEIRO!$B$855,LANÇ_MOV[ANO PAGAMENTO],$B$4,LANÇ_MOV[MÊS PAGAMENTO CORRESPONDENTE],N$6,LANÇ_MOV[EMPRESA],$C$4,LANÇ_MOV[CENTRO DE CUSTOS],$D$4)</f>
        <v>0</v>
      </c>
      <c r="O939" s="206">
        <f>SUMIFS(LANÇ_MOV[VALOR LÍQUIDO],LANÇ_MOV[RECEITA OU DESPESA],"Despesa",LANÇ_MOV[CONTAS],$C939,LANÇ_MOV[PLANO DE CONTAS],REL_DRE_FINANCEIRO!$B$855,LANÇ_MOV[ANO PAGAMENTO],$B$4,LANÇ_MOV[MÊS PAGAMENTO CORRESPONDENTE],O$6,LANÇ_MOV[EMPRESA],$C$4,LANÇ_MOV[CENTRO DE CUSTOS],$D$4)</f>
        <v>0</v>
      </c>
      <c r="P939" s="207">
        <f t="shared" si="116"/>
        <v>0</v>
      </c>
      <c r="Q939" s="329">
        <v>1.7E-6</v>
      </c>
      <c r="R939" s="346">
        <f t="shared" si="117"/>
        <v>1.7E-6</v>
      </c>
      <c r="S939" s="347" t="str">
        <f t="shared" si="118"/>
        <v>-</v>
      </c>
      <c r="T939" s="347">
        <f t="shared" si="119"/>
        <v>0</v>
      </c>
      <c r="U939" s="347">
        <f>HLOOKUP(Apoio!$P$12,$D$854:$P$955,X939,FALSE)+Q939</f>
        <v>1.7E-6</v>
      </c>
      <c r="V939" s="447" t="str">
        <f t="shared" si="120"/>
        <v>-</v>
      </c>
      <c r="W939" s="448">
        <f>HLOOKUP(Apoio!$P$12,$D$854:$P$955,X939,FALSE)</f>
        <v>0</v>
      </c>
      <c r="X939" s="329">
        <v>86</v>
      </c>
    </row>
    <row r="940" spans="2:24" ht="30.05" customHeight="1" x14ac:dyDescent="0.35">
      <c r="B940" s="204" t="str">
        <f>'CAD_PL_REC-DESP'!AC89</f>
        <v>2.7.85</v>
      </c>
      <c r="C940" s="205" t="str">
        <f>IF('CAD_PL_REC-DESP'!AD89="","-",'CAD_PL_REC-DESP'!AD89)</f>
        <v>-</v>
      </c>
      <c r="D940" s="206">
        <f>SUMIFS(LANÇ_MOV[VALOR LÍQUIDO],LANÇ_MOV[RECEITA OU DESPESA],"Despesa",LANÇ_MOV[CONTAS],$C940,LANÇ_MOV[PLANO DE CONTAS],REL_DRE_FINANCEIRO!$B$855,LANÇ_MOV[ANO PAGAMENTO],$B$4,LANÇ_MOV[MÊS PAGAMENTO CORRESPONDENTE],D$6,LANÇ_MOV[EMPRESA],$C$4,LANÇ_MOV[CENTRO DE CUSTOS],$D$4)</f>
        <v>0</v>
      </c>
      <c r="E940" s="206">
        <f>SUMIFS(LANÇ_MOV[VALOR LÍQUIDO],LANÇ_MOV[RECEITA OU DESPESA],"Despesa",LANÇ_MOV[CONTAS],$C940,LANÇ_MOV[PLANO DE CONTAS],REL_DRE_FINANCEIRO!$B$855,LANÇ_MOV[ANO PAGAMENTO],$B$4,LANÇ_MOV[MÊS PAGAMENTO CORRESPONDENTE],E$6,LANÇ_MOV[EMPRESA],$C$4,LANÇ_MOV[CENTRO DE CUSTOS],$D$4)</f>
        <v>0</v>
      </c>
      <c r="F940" s="206">
        <f>SUMIFS(LANÇ_MOV[VALOR LÍQUIDO],LANÇ_MOV[RECEITA OU DESPESA],"Despesa",LANÇ_MOV[CONTAS],$C940,LANÇ_MOV[PLANO DE CONTAS],REL_DRE_FINANCEIRO!$B$855,LANÇ_MOV[ANO PAGAMENTO],$B$4,LANÇ_MOV[MÊS PAGAMENTO CORRESPONDENTE],F$6,LANÇ_MOV[EMPRESA],$C$4,LANÇ_MOV[CENTRO DE CUSTOS],$D$4)</f>
        <v>0</v>
      </c>
      <c r="G940" s="206">
        <f>SUMIFS(LANÇ_MOV[VALOR LÍQUIDO],LANÇ_MOV[RECEITA OU DESPESA],"Despesa",LANÇ_MOV[CONTAS],$C940,LANÇ_MOV[PLANO DE CONTAS],REL_DRE_FINANCEIRO!$B$855,LANÇ_MOV[ANO PAGAMENTO],$B$4,LANÇ_MOV[MÊS PAGAMENTO CORRESPONDENTE],G$6,LANÇ_MOV[EMPRESA],$C$4,LANÇ_MOV[CENTRO DE CUSTOS],$D$4)</f>
        <v>0</v>
      </c>
      <c r="H940" s="206">
        <f>SUMIFS(LANÇ_MOV[VALOR LÍQUIDO],LANÇ_MOV[RECEITA OU DESPESA],"Despesa",LANÇ_MOV[CONTAS],$C940,LANÇ_MOV[PLANO DE CONTAS],REL_DRE_FINANCEIRO!$B$855,LANÇ_MOV[ANO PAGAMENTO],$B$4,LANÇ_MOV[MÊS PAGAMENTO CORRESPONDENTE],H$6,LANÇ_MOV[EMPRESA],$C$4,LANÇ_MOV[CENTRO DE CUSTOS],$D$4)</f>
        <v>0</v>
      </c>
      <c r="I940" s="206">
        <f>SUMIFS(LANÇ_MOV[VALOR LÍQUIDO],LANÇ_MOV[RECEITA OU DESPESA],"Despesa",LANÇ_MOV[CONTAS],$C940,LANÇ_MOV[PLANO DE CONTAS],REL_DRE_FINANCEIRO!$B$855,LANÇ_MOV[ANO PAGAMENTO],$B$4,LANÇ_MOV[MÊS PAGAMENTO CORRESPONDENTE],I$6,LANÇ_MOV[EMPRESA],$C$4,LANÇ_MOV[CENTRO DE CUSTOS],$D$4)</f>
        <v>0</v>
      </c>
      <c r="J940" s="206">
        <f>SUMIFS(LANÇ_MOV[VALOR LÍQUIDO],LANÇ_MOV[RECEITA OU DESPESA],"Despesa",LANÇ_MOV[CONTAS],$C940,LANÇ_MOV[PLANO DE CONTAS],REL_DRE_FINANCEIRO!$B$855,LANÇ_MOV[ANO PAGAMENTO],$B$4,LANÇ_MOV[MÊS PAGAMENTO CORRESPONDENTE],J$6,LANÇ_MOV[EMPRESA],$C$4,LANÇ_MOV[CENTRO DE CUSTOS],$D$4)</f>
        <v>0</v>
      </c>
      <c r="K940" s="206">
        <f>SUMIFS(LANÇ_MOV[VALOR LÍQUIDO],LANÇ_MOV[RECEITA OU DESPESA],"Despesa",LANÇ_MOV[CONTAS],$C940,LANÇ_MOV[PLANO DE CONTAS],REL_DRE_FINANCEIRO!$B$855,LANÇ_MOV[ANO PAGAMENTO],$B$4,LANÇ_MOV[MÊS PAGAMENTO CORRESPONDENTE],K$6,LANÇ_MOV[EMPRESA],$C$4,LANÇ_MOV[CENTRO DE CUSTOS],$D$4)</f>
        <v>0</v>
      </c>
      <c r="L940" s="206">
        <f>SUMIFS(LANÇ_MOV[VALOR LÍQUIDO],LANÇ_MOV[RECEITA OU DESPESA],"Despesa",LANÇ_MOV[CONTAS],$C940,LANÇ_MOV[PLANO DE CONTAS],REL_DRE_FINANCEIRO!$B$855,LANÇ_MOV[ANO PAGAMENTO],$B$4,LANÇ_MOV[MÊS PAGAMENTO CORRESPONDENTE],L$6,LANÇ_MOV[EMPRESA],$C$4,LANÇ_MOV[CENTRO DE CUSTOS],$D$4)</f>
        <v>0</v>
      </c>
      <c r="M940" s="206">
        <f>SUMIFS(LANÇ_MOV[VALOR LÍQUIDO],LANÇ_MOV[RECEITA OU DESPESA],"Despesa",LANÇ_MOV[CONTAS],$C940,LANÇ_MOV[PLANO DE CONTAS],REL_DRE_FINANCEIRO!$B$855,LANÇ_MOV[ANO PAGAMENTO],$B$4,LANÇ_MOV[MÊS PAGAMENTO CORRESPONDENTE],M$6,LANÇ_MOV[EMPRESA],$C$4,LANÇ_MOV[CENTRO DE CUSTOS],$D$4)</f>
        <v>0</v>
      </c>
      <c r="N940" s="206">
        <f>SUMIFS(LANÇ_MOV[VALOR LÍQUIDO],LANÇ_MOV[RECEITA OU DESPESA],"Despesa",LANÇ_MOV[CONTAS],$C940,LANÇ_MOV[PLANO DE CONTAS],REL_DRE_FINANCEIRO!$B$855,LANÇ_MOV[ANO PAGAMENTO],$B$4,LANÇ_MOV[MÊS PAGAMENTO CORRESPONDENTE],N$6,LANÇ_MOV[EMPRESA],$C$4,LANÇ_MOV[CENTRO DE CUSTOS],$D$4)</f>
        <v>0</v>
      </c>
      <c r="O940" s="206">
        <f>SUMIFS(LANÇ_MOV[VALOR LÍQUIDO],LANÇ_MOV[RECEITA OU DESPESA],"Despesa",LANÇ_MOV[CONTAS],$C940,LANÇ_MOV[PLANO DE CONTAS],REL_DRE_FINANCEIRO!$B$855,LANÇ_MOV[ANO PAGAMENTO],$B$4,LANÇ_MOV[MÊS PAGAMENTO CORRESPONDENTE],O$6,LANÇ_MOV[EMPRESA],$C$4,LANÇ_MOV[CENTRO DE CUSTOS],$D$4)</f>
        <v>0</v>
      </c>
      <c r="P940" s="207">
        <f t="shared" si="116"/>
        <v>0</v>
      </c>
      <c r="Q940" s="329">
        <v>1.5999999999999999E-6</v>
      </c>
      <c r="R940" s="346">
        <f t="shared" si="117"/>
        <v>1.5999999999999999E-6</v>
      </c>
      <c r="S940" s="347" t="str">
        <f t="shared" si="118"/>
        <v>-</v>
      </c>
      <c r="T940" s="347">
        <f t="shared" si="119"/>
        <v>0</v>
      </c>
      <c r="U940" s="347">
        <f>HLOOKUP(Apoio!$P$12,$D$854:$P$955,X940,FALSE)+Q940</f>
        <v>1.5999999999999999E-6</v>
      </c>
      <c r="V940" s="447" t="str">
        <f t="shared" si="120"/>
        <v>-</v>
      </c>
      <c r="W940" s="448">
        <f>HLOOKUP(Apoio!$P$12,$D$854:$P$955,X940,FALSE)</f>
        <v>0</v>
      </c>
      <c r="X940" s="329">
        <v>87</v>
      </c>
    </row>
    <row r="941" spans="2:24" ht="30.05" customHeight="1" x14ac:dyDescent="0.35">
      <c r="B941" s="204" t="str">
        <f>'CAD_PL_REC-DESP'!AC90</f>
        <v>2.7.86</v>
      </c>
      <c r="C941" s="205" t="str">
        <f>IF('CAD_PL_REC-DESP'!AD90="","-",'CAD_PL_REC-DESP'!AD90)</f>
        <v>-</v>
      </c>
      <c r="D941" s="206">
        <f>SUMIFS(LANÇ_MOV[VALOR LÍQUIDO],LANÇ_MOV[RECEITA OU DESPESA],"Despesa",LANÇ_MOV[CONTAS],$C941,LANÇ_MOV[PLANO DE CONTAS],REL_DRE_FINANCEIRO!$B$855,LANÇ_MOV[ANO PAGAMENTO],$B$4,LANÇ_MOV[MÊS PAGAMENTO CORRESPONDENTE],D$6,LANÇ_MOV[EMPRESA],$C$4,LANÇ_MOV[CENTRO DE CUSTOS],$D$4)</f>
        <v>0</v>
      </c>
      <c r="E941" s="206">
        <f>SUMIFS(LANÇ_MOV[VALOR LÍQUIDO],LANÇ_MOV[RECEITA OU DESPESA],"Despesa",LANÇ_MOV[CONTAS],$C941,LANÇ_MOV[PLANO DE CONTAS],REL_DRE_FINANCEIRO!$B$855,LANÇ_MOV[ANO PAGAMENTO],$B$4,LANÇ_MOV[MÊS PAGAMENTO CORRESPONDENTE],E$6,LANÇ_MOV[EMPRESA],$C$4,LANÇ_MOV[CENTRO DE CUSTOS],$D$4)</f>
        <v>0</v>
      </c>
      <c r="F941" s="206">
        <f>SUMIFS(LANÇ_MOV[VALOR LÍQUIDO],LANÇ_MOV[RECEITA OU DESPESA],"Despesa",LANÇ_MOV[CONTAS],$C941,LANÇ_MOV[PLANO DE CONTAS],REL_DRE_FINANCEIRO!$B$855,LANÇ_MOV[ANO PAGAMENTO],$B$4,LANÇ_MOV[MÊS PAGAMENTO CORRESPONDENTE],F$6,LANÇ_MOV[EMPRESA],$C$4,LANÇ_MOV[CENTRO DE CUSTOS],$D$4)</f>
        <v>0</v>
      </c>
      <c r="G941" s="206">
        <f>SUMIFS(LANÇ_MOV[VALOR LÍQUIDO],LANÇ_MOV[RECEITA OU DESPESA],"Despesa",LANÇ_MOV[CONTAS],$C941,LANÇ_MOV[PLANO DE CONTAS],REL_DRE_FINANCEIRO!$B$855,LANÇ_MOV[ANO PAGAMENTO],$B$4,LANÇ_MOV[MÊS PAGAMENTO CORRESPONDENTE],G$6,LANÇ_MOV[EMPRESA],$C$4,LANÇ_MOV[CENTRO DE CUSTOS],$D$4)</f>
        <v>0</v>
      </c>
      <c r="H941" s="206">
        <f>SUMIFS(LANÇ_MOV[VALOR LÍQUIDO],LANÇ_MOV[RECEITA OU DESPESA],"Despesa",LANÇ_MOV[CONTAS],$C941,LANÇ_MOV[PLANO DE CONTAS],REL_DRE_FINANCEIRO!$B$855,LANÇ_MOV[ANO PAGAMENTO],$B$4,LANÇ_MOV[MÊS PAGAMENTO CORRESPONDENTE],H$6,LANÇ_MOV[EMPRESA],$C$4,LANÇ_MOV[CENTRO DE CUSTOS],$D$4)</f>
        <v>0</v>
      </c>
      <c r="I941" s="206">
        <f>SUMIFS(LANÇ_MOV[VALOR LÍQUIDO],LANÇ_MOV[RECEITA OU DESPESA],"Despesa",LANÇ_MOV[CONTAS],$C941,LANÇ_MOV[PLANO DE CONTAS],REL_DRE_FINANCEIRO!$B$855,LANÇ_MOV[ANO PAGAMENTO],$B$4,LANÇ_MOV[MÊS PAGAMENTO CORRESPONDENTE],I$6,LANÇ_MOV[EMPRESA],$C$4,LANÇ_MOV[CENTRO DE CUSTOS],$D$4)</f>
        <v>0</v>
      </c>
      <c r="J941" s="206">
        <f>SUMIFS(LANÇ_MOV[VALOR LÍQUIDO],LANÇ_MOV[RECEITA OU DESPESA],"Despesa",LANÇ_MOV[CONTAS],$C941,LANÇ_MOV[PLANO DE CONTAS],REL_DRE_FINANCEIRO!$B$855,LANÇ_MOV[ANO PAGAMENTO],$B$4,LANÇ_MOV[MÊS PAGAMENTO CORRESPONDENTE],J$6,LANÇ_MOV[EMPRESA],$C$4,LANÇ_MOV[CENTRO DE CUSTOS],$D$4)</f>
        <v>0</v>
      </c>
      <c r="K941" s="206">
        <f>SUMIFS(LANÇ_MOV[VALOR LÍQUIDO],LANÇ_MOV[RECEITA OU DESPESA],"Despesa",LANÇ_MOV[CONTAS],$C941,LANÇ_MOV[PLANO DE CONTAS],REL_DRE_FINANCEIRO!$B$855,LANÇ_MOV[ANO PAGAMENTO],$B$4,LANÇ_MOV[MÊS PAGAMENTO CORRESPONDENTE],K$6,LANÇ_MOV[EMPRESA],$C$4,LANÇ_MOV[CENTRO DE CUSTOS],$D$4)</f>
        <v>0</v>
      </c>
      <c r="L941" s="206">
        <f>SUMIFS(LANÇ_MOV[VALOR LÍQUIDO],LANÇ_MOV[RECEITA OU DESPESA],"Despesa",LANÇ_MOV[CONTAS],$C941,LANÇ_MOV[PLANO DE CONTAS],REL_DRE_FINANCEIRO!$B$855,LANÇ_MOV[ANO PAGAMENTO],$B$4,LANÇ_MOV[MÊS PAGAMENTO CORRESPONDENTE],L$6,LANÇ_MOV[EMPRESA],$C$4,LANÇ_MOV[CENTRO DE CUSTOS],$D$4)</f>
        <v>0</v>
      </c>
      <c r="M941" s="206">
        <f>SUMIFS(LANÇ_MOV[VALOR LÍQUIDO],LANÇ_MOV[RECEITA OU DESPESA],"Despesa",LANÇ_MOV[CONTAS],$C941,LANÇ_MOV[PLANO DE CONTAS],REL_DRE_FINANCEIRO!$B$855,LANÇ_MOV[ANO PAGAMENTO],$B$4,LANÇ_MOV[MÊS PAGAMENTO CORRESPONDENTE],M$6,LANÇ_MOV[EMPRESA],$C$4,LANÇ_MOV[CENTRO DE CUSTOS],$D$4)</f>
        <v>0</v>
      </c>
      <c r="N941" s="206">
        <f>SUMIFS(LANÇ_MOV[VALOR LÍQUIDO],LANÇ_MOV[RECEITA OU DESPESA],"Despesa",LANÇ_MOV[CONTAS],$C941,LANÇ_MOV[PLANO DE CONTAS],REL_DRE_FINANCEIRO!$B$855,LANÇ_MOV[ANO PAGAMENTO],$B$4,LANÇ_MOV[MÊS PAGAMENTO CORRESPONDENTE],N$6,LANÇ_MOV[EMPRESA],$C$4,LANÇ_MOV[CENTRO DE CUSTOS],$D$4)</f>
        <v>0</v>
      </c>
      <c r="O941" s="206">
        <f>SUMIFS(LANÇ_MOV[VALOR LÍQUIDO],LANÇ_MOV[RECEITA OU DESPESA],"Despesa",LANÇ_MOV[CONTAS],$C941,LANÇ_MOV[PLANO DE CONTAS],REL_DRE_FINANCEIRO!$B$855,LANÇ_MOV[ANO PAGAMENTO],$B$4,LANÇ_MOV[MÊS PAGAMENTO CORRESPONDENTE],O$6,LANÇ_MOV[EMPRESA],$C$4,LANÇ_MOV[CENTRO DE CUSTOS],$D$4)</f>
        <v>0</v>
      </c>
      <c r="P941" s="207">
        <f t="shared" si="116"/>
        <v>0</v>
      </c>
      <c r="Q941" s="329">
        <v>1.5E-6</v>
      </c>
      <c r="R941" s="346">
        <f t="shared" si="117"/>
        <v>1.5E-6</v>
      </c>
      <c r="S941" s="347" t="str">
        <f t="shared" si="118"/>
        <v>-</v>
      </c>
      <c r="T941" s="347">
        <f t="shared" si="119"/>
        <v>0</v>
      </c>
      <c r="U941" s="347">
        <f>HLOOKUP(Apoio!$P$12,$D$854:$P$955,X941,FALSE)+Q941</f>
        <v>1.5E-6</v>
      </c>
      <c r="V941" s="447" t="str">
        <f t="shared" si="120"/>
        <v>-</v>
      </c>
      <c r="W941" s="448">
        <f>HLOOKUP(Apoio!$P$12,$D$854:$P$955,X941,FALSE)</f>
        <v>0</v>
      </c>
      <c r="X941" s="329">
        <v>88</v>
      </c>
    </row>
    <row r="942" spans="2:24" ht="30.05" customHeight="1" x14ac:dyDescent="0.35">
      <c r="B942" s="204" t="str">
        <f>'CAD_PL_REC-DESP'!AC91</f>
        <v>2.7.87</v>
      </c>
      <c r="C942" s="205" t="str">
        <f>IF('CAD_PL_REC-DESP'!AD91="","-",'CAD_PL_REC-DESP'!AD91)</f>
        <v>-</v>
      </c>
      <c r="D942" s="206">
        <f>SUMIFS(LANÇ_MOV[VALOR LÍQUIDO],LANÇ_MOV[RECEITA OU DESPESA],"Despesa",LANÇ_MOV[CONTAS],$C942,LANÇ_MOV[PLANO DE CONTAS],REL_DRE_FINANCEIRO!$B$855,LANÇ_MOV[ANO PAGAMENTO],$B$4,LANÇ_MOV[MÊS PAGAMENTO CORRESPONDENTE],D$6,LANÇ_MOV[EMPRESA],$C$4,LANÇ_MOV[CENTRO DE CUSTOS],$D$4)</f>
        <v>0</v>
      </c>
      <c r="E942" s="206">
        <f>SUMIFS(LANÇ_MOV[VALOR LÍQUIDO],LANÇ_MOV[RECEITA OU DESPESA],"Despesa",LANÇ_MOV[CONTAS],$C942,LANÇ_MOV[PLANO DE CONTAS],REL_DRE_FINANCEIRO!$B$855,LANÇ_MOV[ANO PAGAMENTO],$B$4,LANÇ_MOV[MÊS PAGAMENTO CORRESPONDENTE],E$6,LANÇ_MOV[EMPRESA],$C$4,LANÇ_MOV[CENTRO DE CUSTOS],$D$4)</f>
        <v>0</v>
      </c>
      <c r="F942" s="206">
        <f>SUMIFS(LANÇ_MOV[VALOR LÍQUIDO],LANÇ_MOV[RECEITA OU DESPESA],"Despesa",LANÇ_MOV[CONTAS],$C942,LANÇ_MOV[PLANO DE CONTAS],REL_DRE_FINANCEIRO!$B$855,LANÇ_MOV[ANO PAGAMENTO],$B$4,LANÇ_MOV[MÊS PAGAMENTO CORRESPONDENTE],F$6,LANÇ_MOV[EMPRESA],$C$4,LANÇ_MOV[CENTRO DE CUSTOS],$D$4)</f>
        <v>0</v>
      </c>
      <c r="G942" s="206">
        <f>SUMIFS(LANÇ_MOV[VALOR LÍQUIDO],LANÇ_MOV[RECEITA OU DESPESA],"Despesa",LANÇ_MOV[CONTAS],$C942,LANÇ_MOV[PLANO DE CONTAS],REL_DRE_FINANCEIRO!$B$855,LANÇ_MOV[ANO PAGAMENTO],$B$4,LANÇ_MOV[MÊS PAGAMENTO CORRESPONDENTE],G$6,LANÇ_MOV[EMPRESA],$C$4,LANÇ_MOV[CENTRO DE CUSTOS],$D$4)</f>
        <v>0</v>
      </c>
      <c r="H942" s="206">
        <f>SUMIFS(LANÇ_MOV[VALOR LÍQUIDO],LANÇ_MOV[RECEITA OU DESPESA],"Despesa",LANÇ_MOV[CONTAS],$C942,LANÇ_MOV[PLANO DE CONTAS],REL_DRE_FINANCEIRO!$B$855,LANÇ_MOV[ANO PAGAMENTO],$B$4,LANÇ_MOV[MÊS PAGAMENTO CORRESPONDENTE],H$6,LANÇ_MOV[EMPRESA],$C$4,LANÇ_MOV[CENTRO DE CUSTOS],$D$4)</f>
        <v>0</v>
      </c>
      <c r="I942" s="206">
        <f>SUMIFS(LANÇ_MOV[VALOR LÍQUIDO],LANÇ_MOV[RECEITA OU DESPESA],"Despesa",LANÇ_MOV[CONTAS],$C942,LANÇ_MOV[PLANO DE CONTAS],REL_DRE_FINANCEIRO!$B$855,LANÇ_MOV[ANO PAGAMENTO],$B$4,LANÇ_MOV[MÊS PAGAMENTO CORRESPONDENTE],I$6,LANÇ_MOV[EMPRESA],$C$4,LANÇ_MOV[CENTRO DE CUSTOS],$D$4)</f>
        <v>0</v>
      </c>
      <c r="J942" s="206">
        <f>SUMIFS(LANÇ_MOV[VALOR LÍQUIDO],LANÇ_MOV[RECEITA OU DESPESA],"Despesa",LANÇ_MOV[CONTAS],$C942,LANÇ_MOV[PLANO DE CONTAS],REL_DRE_FINANCEIRO!$B$855,LANÇ_MOV[ANO PAGAMENTO],$B$4,LANÇ_MOV[MÊS PAGAMENTO CORRESPONDENTE],J$6,LANÇ_MOV[EMPRESA],$C$4,LANÇ_MOV[CENTRO DE CUSTOS],$D$4)</f>
        <v>0</v>
      </c>
      <c r="K942" s="206">
        <f>SUMIFS(LANÇ_MOV[VALOR LÍQUIDO],LANÇ_MOV[RECEITA OU DESPESA],"Despesa",LANÇ_MOV[CONTAS],$C942,LANÇ_MOV[PLANO DE CONTAS],REL_DRE_FINANCEIRO!$B$855,LANÇ_MOV[ANO PAGAMENTO],$B$4,LANÇ_MOV[MÊS PAGAMENTO CORRESPONDENTE],K$6,LANÇ_MOV[EMPRESA],$C$4,LANÇ_MOV[CENTRO DE CUSTOS],$D$4)</f>
        <v>0</v>
      </c>
      <c r="L942" s="206">
        <f>SUMIFS(LANÇ_MOV[VALOR LÍQUIDO],LANÇ_MOV[RECEITA OU DESPESA],"Despesa",LANÇ_MOV[CONTAS],$C942,LANÇ_MOV[PLANO DE CONTAS],REL_DRE_FINANCEIRO!$B$855,LANÇ_MOV[ANO PAGAMENTO],$B$4,LANÇ_MOV[MÊS PAGAMENTO CORRESPONDENTE],L$6,LANÇ_MOV[EMPRESA],$C$4,LANÇ_MOV[CENTRO DE CUSTOS],$D$4)</f>
        <v>0</v>
      </c>
      <c r="M942" s="206">
        <f>SUMIFS(LANÇ_MOV[VALOR LÍQUIDO],LANÇ_MOV[RECEITA OU DESPESA],"Despesa",LANÇ_MOV[CONTAS],$C942,LANÇ_MOV[PLANO DE CONTAS],REL_DRE_FINANCEIRO!$B$855,LANÇ_MOV[ANO PAGAMENTO],$B$4,LANÇ_MOV[MÊS PAGAMENTO CORRESPONDENTE],M$6,LANÇ_MOV[EMPRESA],$C$4,LANÇ_MOV[CENTRO DE CUSTOS],$D$4)</f>
        <v>0</v>
      </c>
      <c r="N942" s="206">
        <f>SUMIFS(LANÇ_MOV[VALOR LÍQUIDO],LANÇ_MOV[RECEITA OU DESPESA],"Despesa",LANÇ_MOV[CONTAS],$C942,LANÇ_MOV[PLANO DE CONTAS],REL_DRE_FINANCEIRO!$B$855,LANÇ_MOV[ANO PAGAMENTO],$B$4,LANÇ_MOV[MÊS PAGAMENTO CORRESPONDENTE],N$6,LANÇ_MOV[EMPRESA],$C$4,LANÇ_MOV[CENTRO DE CUSTOS],$D$4)</f>
        <v>0</v>
      </c>
      <c r="O942" s="206">
        <f>SUMIFS(LANÇ_MOV[VALOR LÍQUIDO],LANÇ_MOV[RECEITA OU DESPESA],"Despesa",LANÇ_MOV[CONTAS],$C942,LANÇ_MOV[PLANO DE CONTAS],REL_DRE_FINANCEIRO!$B$855,LANÇ_MOV[ANO PAGAMENTO],$B$4,LANÇ_MOV[MÊS PAGAMENTO CORRESPONDENTE],O$6,LANÇ_MOV[EMPRESA],$C$4,LANÇ_MOV[CENTRO DE CUSTOS],$D$4)</f>
        <v>0</v>
      </c>
      <c r="P942" s="207">
        <f t="shared" si="116"/>
        <v>0</v>
      </c>
      <c r="Q942" s="329">
        <v>1.3999999999999999E-6</v>
      </c>
      <c r="R942" s="346">
        <f t="shared" si="117"/>
        <v>1.3999999999999999E-6</v>
      </c>
      <c r="S942" s="347" t="str">
        <f t="shared" si="118"/>
        <v>-</v>
      </c>
      <c r="T942" s="347">
        <f t="shared" si="119"/>
        <v>0</v>
      </c>
      <c r="U942" s="347">
        <f>HLOOKUP(Apoio!$P$12,$D$854:$P$955,X942,FALSE)+Q942</f>
        <v>1.3999999999999999E-6</v>
      </c>
      <c r="V942" s="447" t="str">
        <f t="shared" si="120"/>
        <v>-</v>
      </c>
      <c r="W942" s="448">
        <f>HLOOKUP(Apoio!$P$12,$D$854:$P$955,X942,FALSE)</f>
        <v>0</v>
      </c>
      <c r="X942" s="329">
        <v>89</v>
      </c>
    </row>
    <row r="943" spans="2:24" ht="30.05" customHeight="1" x14ac:dyDescent="0.35">
      <c r="B943" s="204" t="str">
        <f>'CAD_PL_REC-DESP'!AC92</f>
        <v>2.7.88</v>
      </c>
      <c r="C943" s="205" t="str">
        <f>IF('CAD_PL_REC-DESP'!AD92="","-",'CAD_PL_REC-DESP'!AD92)</f>
        <v>-</v>
      </c>
      <c r="D943" s="206">
        <f>SUMIFS(LANÇ_MOV[VALOR LÍQUIDO],LANÇ_MOV[RECEITA OU DESPESA],"Despesa",LANÇ_MOV[CONTAS],$C943,LANÇ_MOV[PLANO DE CONTAS],REL_DRE_FINANCEIRO!$B$855,LANÇ_MOV[ANO PAGAMENTO],$B$4,LANÇ_MOV[MÊS PAGAMENTO CORRESPONDENTE],D$6,LANÇ_MOV[EMPRESA],$C$4,LANÇ_MOV[CENTRO DE CUSTOS],$D$4)</f>
        <v>0</v>
      </c>
      <c r="E943" s="206">
        <f>SUMIFS(LANÇ_MOV[VALOR LÍQUIDO],LANÇ_MOV[RECEITA OU DESPESA],"Despesa",LANÇ_MOV[CONTAS],$C943,LANÇ_MOV[PLANO DE CONTAS],REL_DRE_FINANCEIRO!$B$855,LANÇ_MOV[ANO PAGAMENTO],$B$4,LANÇ_MOV[MÊS PAGAMENTO CORRESPONDENTE],E$6,LANÇ_MOV[EMPRESA],$C$4,LANÇ_MOV[CENTRO DE CUSTOS],$D$4)</f>
        <v>0</v>
      </c>
      <c r="F943" s="206">
        <f>SUMIFS(LANÇ_MOV[VALOR LÍQUIDO],LANÇ_MOV[RECEITA OU DESPESA],"Despesa",LANÇ_MOV[CONTAS],$C943,LANÇ_MOV[PLANO DE CONTAS],REL_DRE_FINANCEIRO!$B$855,LANÇ_MOV[ANO PAGAMENTO],$B$4,LANÇ_MOV[MÊS PAGAMENTO CORRESPONDENTE],F$6,LANÇ_MOV[EMPRESA],$C$4,LANÇ_MOV[CENTRO DE CUSTOS],$D$4)</f>
        <v>0</v>
      </c>
      <c r="G943" s="206">
        <f>SUMIFS(LANÇ_MOV[VALOR LÍQUIDO],LANÇ_MOV[RECEITA OU DESPESA],"Despesa",LANÇ_MOV[CONTAS],$C943,LANÇ_MOV[PLANO DE CONTAS],REL_DRE_FINANCEIRO!$B$855,LANÇ_MOV[ANO PAGAMENTO],$B$4,LANÇ_MOV[MÊS PAGAMENTO CORRESPONDENTE],G$6,LANÇ_MOV[EMPRESA],$C$4,LANÇ_MOV[CENTRO DE CUSTOS],$D$4)</f>
        <v>0</v>
      </c>
      <c r="H943" s="206">
        <f>SUMIFS(LANÇ_MOV[VALOR LÍQUIDO],LANÇ_MOV[RECEITA OU DESPESA],"Despesa",LANÇ_MOV[CONTAS],$C943,LANÇ_MOV[PLANO DE CONTAS],REL_DRE_FINANCEIRO!$B$855,LANÇ_MOV[ANO PAGAMENTO],$B$4,LANÇ_MOV[MÊS PAGAMENTO CORRESPONDENTE],H$6,LANÇ_MOV[EMPRESA],$C$4,LANÇ_MOV[CENTRO DE CUSTOS],$D$4)</f>
        <v>0</v>
      </c>
      <c r="I943" s="206">
        <f>SUMIFS(LANÇ_MOV[VALOR LÍQUIDO],LANÇ_MOV[RECEITA OU DESPESA],"Despesa",LANÇ_MOV[CONTAS],$C943,LANÇ_MOV[PLANO DE CONTAS],REL_DRE_FINANCEIRO!$B$855,LANÇ_MOV[ANO PAGAMENTO],$B$4,LANÇ_MOV[MÊS PAGAMENTO CORRESPONDENTE],I$6,LANÇ_MOV[EMPRESA],$C$4,LANÇ_MOV[CENTRO DE CUSTOS],$D$4)</f>
        <v>0</v>
      </c>
      <c r="J943" s="206">
        <f>SUMIFS(LANÇ_MOV[VALOR LÍQUIDO],LANÇ_MOV[RECEITA OU DESPESA],"Despesa",LANÇ_MOV[CONTAS],$C943,LANÇ_MOV[PLANO DE CONTAS],REL_DRE_FINANCEIRO!$B$855,LANÇ_MOV[ANO PAGAMENTO],$B$4,LANÇ_MOV[MÊS PAGAMENTO CORRESPONDENTE],J$6,LANÇ_MOV[EMPRESA],$C$4,LANÇ_MOV[CENTRO DE CUSTOS],$D$4)</f>
        <v>0</v>
      </c>
      <c r="K943" s="206">
        <f>SUMIFS(LANÇ_MOV[VALOR LÍQUIDO],LANÇ_MOV[RECEITA OU DESPESA],"Despesa",LANÇ_MOV[CONTAS],$C943,LANÇ_MOV[PLANO DE CONTAS],REL_DRE_FINANCEIRO!$B$855,LANÇ_MOV[ANO PAGAMENTO],$B$4,LANÇ_MOV[MÊS PAGAMENTO CORRESPONDENTE],K$6,LANÇ_MOV[EMPRESA],$C$4,LANÇ_MOV[CENTRO DE CUSTOS],$D$4)</f>
        <v>0</v>
      </c>
      <c r="L943" s="206">
        <f>SUMIFS(LANÇ_MOV[VALOR LÍQUIDO],LANÇ_MOV[RECEITA OU DESPESA],"Despesa",LANÇ_MOV[CONTAS],$C943,LANÇ_MOV[PLANO DE CONTAS],REL_DRE_FINANCEIRO!$B$855,LANÇ_MOV[ANO PAGAMENTO],$B$4,LANÇ_MOV[MÊS PAGAMENTO CORRESPONDENTE],L$6,LANÇ_MOV[EMPRESA],$C$4,LANÇ_MOV[CENTRO DE CUSTOS],$D$4)</f>
        <v>0</v>
      </c>
      <c r="M943" s="206">
        <f>SUMIFS(LANÇ_MOV[VALOR LÍQUIDO],LANÇ_MOV[RECEITA OU DESPESA],"Despesa",LANÇ_MOV[CONTAS],$C943,LANÇ_MOV[PLANO DE CONTAS],REL_DRE_FINANCEIRO!$B$855,LANÇ_MOV[ANO PAGAMENTO],$B$4,LANÇ_MOV[MÊS PAGAMENTO CORRESPONDENTE],M$6,LANÇ_MOV[EMPRESA],$C$4,LANÇ_MOV[CENTRO DE CUSTOS],$D$4)</f>
        <v>0</v>
      </c>
      <c r="N943" s="206">
        <f>SUMIFS(LANÇ_MOV[VALOR LÍQUIDO],LANÇ_MOV[RECEITA OU DESPESA],"Despesa",LANÇ_MOV[CONTAS],$C943,LANÇ_MOV[PLANO DE CONTAS],REL_DRE_FINANCEIRO!$B$855,LANÇ_MOV[ANO PAGAMENTO],$B$4,LANÇ_MOV[MÊS PAGAMENTO CORRESPONDENTE],N$6,LANÇ_MOV[EMPRESA],$C$4,LANÇ_MOV[CENTRO DE CUSTOS],$D$4)</f>
        <v>0</v>
      </c>
      <c r="O943" s="206">
        <f>SUMIFS(LANÇ_MOV[VALOR LÍQUIDO],LANÇ_MOV[RECEITA OU DESPESA],"Despesa",LANÇ_MOV[CONTAS],$C943,LANÇ_MOV[PLANO DE CONTAS],REL_DRE_FINANCEIRO!$B$855,LANÇ_MOV[ANO PAGAMENTO],$B$4,LANÇ_MOV[MÊS PAGAMENTO CORRESPONDENTE],O$6,LANÇ_MOV[EMPRESA],$C$4,LANÇ_MOV[CENTRO DE CUSTOS],$D$4)</f>
        <v>0</v>
      </c>
      <c r="P943" s="207">
        <f t="shared" si="116"/>
        <v>0</v>
      </c>
      <c r="Q943" s="329">
        <v>1.3E-6</v>
      </c>
      <c r="R943" s="346">
        <f t="shared" si="117"/>
        <v>1.3E-6</v>
      </c>
      <c r="S943" s="347" t="str">
        <f t="shared" si="118"/>
        <v>-</v>
      </c>
      <c r="T943" s="347">
        <f t="shared" si="119"/>
        <v>0</v>
      </c>
      <c r="U943" s="347">
        <f>HLOOKUP(Apoio!$P$12,$D$854:$P$955,X943,FALSE)+Q943</f>
        <v>1.3E-6</v>
      </c>
      <c r="V943" s="447" t="str">
        <f t="shared" si="120"/>
        <v>-</v>
      </c>
      <c r="W943" s="448">
        <f>HLOOKUP(Apoio!$P$12,$D$854:$P$955,X943,FALSE)</f>
        <v>0</v>
      </c>
      <c r="X943" s="329">
        <v>90</v>
      </c>
    </row>
    <row r="944" spans="2:24" ht="30.05" customHeight="1" x14ac:dyDescent="0.35">
      <c r="B944" s="204" t="str">
        <f>'CAD_PL_REC-DESP'!AC93</f>
        <v>2.7.89</v>
      </c>
      <c r="C944" s="205" t="str">
        <f>IF('CAD_PL_REC-DESP'!AD93="","-",'CAD_PL_REC-DESP'!AD93)</f>
        <v>-</v>
      </c>
      <c r="D944" s="206">
        <f>SUMIFS(LANÇ_MOV[VALOR LÍQUIDO],LANÇ_MOV[RECEITA OU DESPESA],"Despesa",LANÇ_MOV[CONTAS],$C944,LANÇ_MOV[PLANO DE CONTAS],REL_DRE_FINANCEIRO!$B$855,LANÇ_MOV[ANO PAGAMENTO],$B$4,LANÇ_MOV[MÊS PAGAMENTO CORRESPONDENTE],D$6,LANÇ_MOV[EMPRESA],$C$4,LANÇ_MOV[CENTRO DE CUSTOS],$D$4)</f>
        <v>0</v>
      </c>
      <c r="E944" s="206">
        <f>SUMIFS(LANÇ_MOV[VALOR LÍQUIDO],LANÇ_MOV[RECEITA OU DESPESA],"Despesa",LANÇ_MOV[CONTAS],$C944,LANÇ_MOV[PLANO DE CONTAS],REL_DRE_FINANCEIRO!$B$855,LANÇ_MOV[ANO PAGAMENTO],$B$4,LANÇ_MOV[MÊS PAGAMENTO CORRESPONDENTE],E$6,LANÇ_MOV[EMPRESA],$C$4,LANÇ_MOV[CENTRO DE CUSTOS],$D$4)</f>
        <v>0</v>
      </c>
      <c r="F944" s="206">
        <f>SUMIFS(LANÇ_MOV[VALOR LÍQUIDO],LANÇ_MOV[RECEITA OU DESPESA],"Despesa",LANÇ_MOV[CONTAS],$C944,LANÇ_MOV[PLANO DE CONTAS],REL_DRE_FINANCEIRO!$B$855,LANÇ_MOV[ANO PAGAMENTO],$B$4,LANÇ_MOV[MÊS PAGAMENTO CORRESPONDENTE],F$6,LANÇ_MOV[EMPRESA],$C$4,LANÇ_MOV[CENTRO DE CUSTOS],$D$4)</f>
        <v>0</v>
      </c>
      <c r="G944" s="206">
        <f>SUMIFS(LANÇ_MOV[VALOR LÍQUIDO],LANÇ_MOV[RECEITA OU DESPESA],"Despesa",LANÇ_MOV[CONTAS],$C944,LANÇ_MOV[PLANO DE CONTAS],REL_DRE_FINANCEIRO!$B$855,LANÇ_MOV[ANO PAGAMENTO],$B$4,LANÇ_MOV[MÊS PAGAMENTO CORRESPONDENTE],G$6,LANÇ_MOV[EMPRESA],$C$4,LANÇ_MOV[CENTRO DE CUSTOS],$D$4)</f>
        <v>0</v>
      </c>
      <c r="H944" s="206">
        <f>SUMIFS(LANÇ_MOV[VALOR LÍQUIDO],LANÇ_MOV[RECEITA OU DESPESA],"Despesa",LANÇ_MOV[CONTAS],$C944,LANÇ_MOV[PLANO DE CONTAS],REL_DRE_FINANCEIRO!$B$855,LANÇ_MOV[ANO PAGAMENTO],$B$4,LANÇ_MOV[MÊS PAGAMENTO CORRESPONDENTE],H$6,LANÇ_MOV[EMPRESA],$C$4,LANÇ_MOV[CENTRO DE CUSTOS],$D$4)</f>
        <v>0</v>
      </c>
      <c r="I944" s="206">
        <f>SUMIFS(LANÇ_MOV[VALOR LÍQUIDO],LANÇ_MOV[RECEITA OU DESPESA],"Despesa",LANÇ_MOV[CONTAS],$C944,LANÇ_MOV[PLANO DE CONTAS],REL_DRE_FINANCEIRO!$B$855,LANÇ_MOV[ANO PAGAMENTO],$B$4,LANÇ_MOV[MÊS PAGAMENTO CORRESPONDENTE],I$6,LANÇ_MOV[EMPRESA],$C$4,LANÇ_MOV[CENTRO DE CUSTOS],$D$4)</f>
        <v>0</v>
      </c>
      <c r="J944" s="206">
        <f>SUMIFS(LANÇ_MOV[VALOR LÍQUIDO],LANÇ_MOV[RECEITA OU DESPESA],"Despesa",LANÇ_MOV[CONTAS],$C944,LANÇ_MOV[PLANO DE CONTAS],REL_DRE_FINANCEIRO!$B$855,LANÇ_MOV[ANO PAGAMENTO],$B$4,LANÇ_MOV[MÊS PAGAMENTO CORRESPONDENTE],J$6,LANÇ_MOV[EMPRESA],$C$4,LANÇ_MOV[CENTRO DE CUSTOS],$D$4)</f>
        <v>0</v>
      </c>
      <c r="K944" s="206">
        <f>SUMIFS(LANÇ_MOV[VALOR LÍQUIDO],LANÇ_MOV[RECEITA OU DESPESA],"Despesa",LANÇ_MOV[CONTAS],$C944,LANÇ_MOV[PLANO DE CONTAS],REL_DRE_FINANCEIRO!$B$855,LANÇ_MOV[ANO PAGAMENTO],$B$4,LANÇ_MOV[MÊS PAGAMENTO CORRESPONDENTE],K$6,LANÇ_MOV[EMPRESA],$C$4,LANÇ_MOV[CENTRO DE CUSTOS],$D$4)</f>
        <v>0</v>
      </c>
      <c r="L944" s="206">
        <f>SUMIFS(LANÇ_MOV[VALOR LÍQUIDO],LANÇ_MOV[RECEITA OU DESPESA],"Despesa",LANÇ_MOV[CONTAS],$C944,LANÇ_MOV[PLANO DE CONTAS],REL_DRE_FINANCEIRO!$B$855,LANÇ_MOV[ANO PAGAMENTO],$B$4,LANÇ_MOV[MÊS PAGAMENTO CORRESPONDENTE],L$6,LANÇ_MOV[EMPRESA],$C$4,LANÇ_MOV[CENTRO DE CUSTOS],$D$4)</f>
        <v>0</v>
      </c>
      <c r="M944" s="206">
        <f>SUMIFS(LANÇ_MOV[VALOR LÍQUIDO],LANÇ_MOV[RECEITA OU DESPESA],"Despesa",LANÇ_MOV[CONTAS],$C944,LANÇ_MOV[PLANO DE CONTAS],REL_DRE_FINANCEIRO!$B$855,LANÇ_MOV[ANO PAGAMENTO],$B$4,LANÇ_MOV[MÊS PAGAMENTO CORRESPONDENTE],M$6,LANÇ_MOV[EMPRESA],$C$4,LANÇ_MOV[CENTRO DE CUSTOS],$D$4)</f>
        <v>0</v>
      </c>
      <c r="N944" s="206">
        <f>SUMIFS(LANÇ_MOV[VALOR LÍQUIDO],LANÇ_MOV[RECEITA OU DESPESA],"Despesa",LANÇ_MOV[CONTAS],$C944,LANÇ_MOV[PLANO DE CONTAS],REL_DRE_FINANCEIRO!$B$855,LANÇ_MOV[ANO PAGAMENTO],$B$4,LANÇ_MOV[MÊS PAGAMENTO CORRESPONDENTE],N$6,LANÇ_MOV[EMPRESA],$C$4,LANÇ_MOV[CENTRO DE CUSTOS],$D$4)</f>
        <v>0</v>
      </c>
      <c r="O944" s="206">
        <f>SUMIFS(LANÇ_MOV[VALOR LÍQUIDO],LANÇ_MOV[RECEITA OU DESPESA],"Despesa",LANÇ_MOV[CONTAS],$C944,LANÇ_MOV[PLANO DE CONTAS],REL_DRE_FINANCEIRO!$B$855,LANÇ_MOV[ANO PAGAMENTO],$B$4,LANÇ_MOV[MÊS PAGAMENTO CORRESPONDENTE],O$6,LANÇ_MOV[EMPRESA],$C$4,LANÇ_MOV[CENTRO DE CUSTOS],$D$4)</f>
        <v>0</v>
      </c>
      <c r="P944" s="207">
        <f t="shared" si="116"/>
        <v>0</v>
      </c>
      <c r="Q944" s="329">
        <v>1.1999999999999999E-6</v>
      </c>
      <c r="R944" s="346">
        <f t="shared" si="117"/>
        <v>1.1999999999999999E-6</v>
      </c>
      <c r="S944" s="347" t="str">
        <f t="shared" si="118"/>
        <v>-</v>
      </c>
      <c r="T944" s="347">
        <f t="shared" si="119"/>
        <v>0</v>
      </c>
      <c r="U944" s="347">
        <f>HLOOKUP(Apoio!$P$12,$D$854:$P$955,X944,FALSE)+Q944</f>
        <v>1.1999999999999999E-6</v>
      </c>
      <c r="V944" s="447" t="str">
        <f t="shared" si="120"/>
        <v>-</v>
      </c>
      <c r="W944" s="448">
        <f>HLOOKUP(Apoio!$P$12,$D$854:$P$955,X944,FALSE)</f>
        <v>0</v>
      </c>
      <c r="X944" s="329">
        <v>91</v>
      </c>
    </row>
    <row r="945" spans="2:50" ht="30.05" customHeight="1" x14ac:dyDescent="0.35">
      <c r="B945" s="204" t="str">
        <f>'CAD_PL_REC-DESP'!AC94</f>
        <v>2.7.90</v>
      </c>
      <c r="C945" s="205" t="str">
        <f>IF('CAD_PL_REC-DESP'!AD94="","-",'CAD_PL_REC-DESP'!AD94)</f>
        <v>-</v>
      </c>
      <c r="D945" s="206">
        <f>SUMIFS(LANÇ_MOV[VALOR LÍQUIDO],LANÇ_MOV[RECEITA OU DESPESA],"Despesa",LANÇ_MOV[CONTAS],$C945,LANÇ_MOV[PLANO DE CONTAS],REL_DRE_FINANCEIRO!$B$855,LANÇ_MOV[ANO PAGAMENTO],$B$4,LANÇ_MOV[MÊS PAGAMENTO CORRESPONDENTE],D$6,LANÇ_MOV[EMPRESA],$C$4,LANÇ_MOV[CENTRO DE CUSTOS],$D$4)</f>
        <v>0</v>
      </c>
      <c r="E945" s="206">
        <f>SUMIFS(LANÇ_MOV[VALOR LÍQUIDO],LANÇ_MOV[RECEITA OU DESPESA],"Despesa",LANÇ_MOV[CONTAS],$C945,LANÇ_MOV[PLANO DE CONTAS],REL_DRE_FINANCEIRO!$B$855,LANÇ_MOV[ANO PAGAMENTO],$B$4,LANÇ_MOV[MÊS PAGAMENTO CORRESPONDENTE],E$6,LANÇ_MOV[EMPRESA],$C$4,LANÇ_MOV[CENTRO DE CUSTOS],$D$4)</f>
        <v>0</v>
      </c>
      <c r="F945" s="206">
        <f>SUMIFS(LANÇ_MOV[VALOR LÍQUIDO],LANÇ_MOV[RECEITA OU DESPESA],"Despesa",LANÇ_MOV[CONTAS],$C945,LANÇ_MOV[PLANO DE CONTAS],REL_DRE_FINANCEIRO!$B$855,LANÇ_MOV[ANO PAGAMENTO],$B$4,LANÇ_MOV[MÊS PAGAMENTO CORRESPONDENTE],F$6,LANÇ_MOV[EMPRESA],$C$4,LANÇ_MOV[CENTRO DE CUSTOS],$D$4)</f>
        <v>0</v>
      </c>
      <c r="G945" s="206">
        <f>SUMIFS(LANÇ_MOV[VALOR LÍQUIDO],LANÇ_MOV[RECEITA OU DESPESA],"Despesa",LANÇ_MOV[CONTAS],$C945,LANÇ_MOV[PLANO DE CONTAS],REL_DRE_FINANCEIRO!$B$855,LANÇ_MOV[ANO PAGAMENTO],$B$4,LANÇ_MOV[MÊS PAGAMENTO CORRESPONDENTE],G$6,LANÇ_MOV[EMPRESA],$C$4,LANÇ_MOV[CENTRO DE CUSTOS],$D$4)</f>
        <v>0</v>
      </c>
      <c r="H945" s="206">
        <f>SUMIFS(LANÇ_MOV[VALOR LÍQUIDO],LANÇ_MOV[RECEITA OU DESPESA],"Despesa",LANÇ_MOV[CONTAS],$C945,LANÇ_MOV[PLANO DE CONTAS],REL_DRE_FINANCEIRO!$B$855,LANÇ_MOV[ANO PAGAMENTO],$B$4,LANÇ_MOV[MÊS PAGAMENTO CORRESPONDENTE],H$6,LANÇ_MOV[EMPRESA],$C$4,LANÇ_MOV[CENTRO DE CUSTOS],$D$4)</f>
        <v>0</v>
      </c>
      <c r="I945" s="206">
        <f>SUMIFS(LANÇ_MOV[VALOR LÍQUIDO],LANÇ_MOV[RECEITA OU DESPESA],"Despesa",LANÇ_MOV[CONTAS],$C945,LANÇ_MOV[PLANO DE CONTAS],REL_DRE_FINANCEIRO!$B$855,LANÇ_MOV[ANO PAGAMENTO],$B$4,LANÇ_MOV[MÊS PAGAMENTO CORRESPONDENTE],I$6,LANÇ_MOV[EMPRESA],$C$4,LANÇ_MOV[CENTRO DE CUSTOS],$D$4)</f>
        <v>0</v>
      </c>
      <c r="J945" s="206">
        <f>SUMIFS(LANÇ_MOV[VALOR LÍQUIDO],LANÇ_MOV[RECEITA OU DESPESA],"Despesa",LANÇ_MOV[CONTAS],$C945,LANÇ_MOV[PLANO DE CONTAS],REL_DRE_FINANCEIRO!$B$855,LANÇ_MOV[ANO PAGAMENTO],$B$4,LANÇ_MOV[MÊS PAGAMENTO CORRESPONDENTE],J$6,LANÇ_MOV[EMPRESA],$C$4,LANÇ_MOV[CENTRO DE CUSTOS],$D$4)</f>
        <v>0</v>
      </c>
      <c r="K945" s="206">
        <f>SUMIFS(LANÇ_MOV[VALOR LÍQUIDO],LANÇ_MOV[RECEITA OU DESPESA],"Despesa",LANÇ_MOV[CONTAS],$C945,LANÇ_MOV[PLANO DE CONTAS],REL_DRE_FINANCEIRO!$B$855,LANÇ_MOV[ANO PAGAMENTO],$B$4,LANÇ_MOV[MÊS PAGAMENTO CORRESPONDENTE],K$6,LANÇ_MOV[EMPRESA],$C$4,LANÇ_MOV[CENTRO DE CUSTOS],$D$4)</f>
        <v>0</v>
      </c>
      <c r="L945" s="206">
        <f>SUMIFS(LANÇ_MOV[VALOR LÍQUIDO],LANÇ_MOV[RECEITA OU DESPESA],"Despesa",LANÇ_MOV[CONTAS],$C945,LANÇ_MOV[PLANO DE CONTAS],REL_DRE_FINANCEIRO!$B$855,LANÇ_MOV[ANO PAGAMENTO],$B$4,LANÇ_MOV[MÊS PAGAMENTO CORRESPONDENTE],L$6,LANÇ_MOV[EMPRESA],$C$4,LANÇ_MOV[CENTRO DE CUSTOS],$D$4)</f>
        <v>0</v>
      </c>
      <c r="M945" s="206">
        <f>SUMIFS(LANÇ_MOV[VALOR LÍQUIDO],LANÇ_MOV[RECEITA OU DESPESA],"Despesa",LANÇ_MOV[CONTAS],$C945,LANÇ_MOV[PLANO DE CONTAS],REL_DRE_FINANCEIRO!$B$855,LANÇ_MOV[ANO PAGAMENTO],$B$4,LANÇ_MOV[MÊS PAGAMENTO CORRESPONDENTE],M$6,LANÇ_MOV[EMPRESA],$C$4,LANÇ_MOV[CENTRO DE CUSTOS],$D$4)</f>
        <v>0</v>
      </c>
      <c r="N945" s="206">
        <f>SUMIFS(LANÇ_MOV[VALOR LÍQUIDO],LANÇ_MOV[RECEITA OU DESPESA],"Despesa",LANÇ_MOV[CONTAS],$C945,LANÇ_MOV[PLANO DE CONTAS],REL_DRE_FINANCEIRO!$B$855,LANÇ_MOV[ANO PAGAMENTO],$B$4,LANÇ_MOV[MÊS PAGAMENTO CORRESPONDENTE],N$6,LANÇ_MOV[EMPRESA],$C$4,LANÇ_MOV[CENTRO DE CUSTOS],$D$4)</f>
        <v>0</v>
      </c>
      <c r="O945" s="206">
        <f>SUMIFS(LANÇ_MOV[VALOR LÍQUIDO],LANÇ_MOV[RECEITA OU DESPESA],"Despesa",LANÇ_MOV[CONTAS],$C945,LANÇ_MOV[PLANO DE CONTAS],REL_DRE_FINANCEIRO!$B$855,LANÇ_MOV[ANO PAGAMENTO],$B$4,LANÇ_MOV[MÊS PAGAMENTO CORRESPONDENTE],O$6,LANÇ_MOV[EMPRESA],$C$4,LANÇ_MOV[CENTRO DE CUSTOS],$D$4)</f>
        <v>0</v>
      </c>
      <c r="P945" s="207">
        <f t="shared" si="116"/>
        <v>0</v>
      </c>
      <c r="Q945" s="329">
        <v>1.1000000000000001E-6</v>
      </c>
      <c r="R945" s="346">
        <f t="shared" si="117"/>
        <v>1.1000000000000001E-6</v>
      </c>
      <c r="S945" s="347" t="str">
        <f t="shared" si="118"/>
        <v>-</v>
      </c>
      <c r="T945" s="347">
        <f t="shared" si="119"/>
        <v>0</v>
      </c>
      <c r="U945" s="347">
        <f>HLOOKUP(Apoio!$P$12,$D$854:$P$955,X945,FALSE)+Q945</f>
        <v>1.1000000000000001E-6</v>
      </c>
      <c r="V945" s="447" t="str">
        <f t="shared" si="120"/>
        <v>-</v>
      </c>
      <c r="W945" s="448">
        <f>HLOOKUP(Apoio!$P$12,$D$854:$P$955,X945,FALSE)</f>
        <v>0</v>
      </c>
      <c r="X945" s="329">
        <v>92</v>
      </c>
    </row>
    <row r="946" spans="2:50" ht="30.05" customHeight="1" x14ac:dyDescent="0.35">
      <c r="B946" s="204" t="str">
        <f>'CAD_PL_REC-DESP'!AC95</f>
        <v>2.7.91</v>
      </c>
      <c r="C946" s="205" t="str">
        <f>IF('CAD_PL_REC-DESP'!AD95="","-",'CAD_PL_REC-DESP'!AD95)</f>
        <v>-</v>
      </c>
      <c r="D946" s="206">
        <f>SUMIFS(LANÇ_MOV[VALOR LÍQUIDO],LANÇ_MOV[RECEITA OU DESPESA],"Despesa",LANÇ_MOV[CONTAS],$C946,LANÇ_MOV[PLANO DE CONTAS],REL_DRE_FINANCEIRO!$B$855,LANÇ_MOV[ANO PAGAMENTO],$B$4,LANÇ_MOV[MÊS PAGAMENTO CORRESPONDENTE],D$6,LANÇ_MOV[EMPRESA],$C$4,LANÇ_MOV[CENTRO DE CUSTOS],$D$4)</f>
        <v>0</v>
      </c>
      <c r="E946" s="206">
        <f>SUMIFS(LANÇ_MOV[VALOR LÍQUIDO],LANÇ_MOV[RECEITA OU DESPESA],"Despesa",LANÇ_MOV[CONTAS],$C946,LANÇ_MOV[PLANO DE CONTAS],REL_DRE_FINANCEIRO!$B$855,LANÇ_MOV[ANO PAGAMENTO],$B$4,LANÇ_MOV[MÊS PAGAMENTO CORRESPONDENTE],E$6,LANÇ_MOV[EMPRESA],$C$4,LANÇ_MOV[CENTRO DE CUSTOS],$D$4)</f>
        <v>0</v>
      </c>
      <c r="F946" s="206">
        <f>SUMIFS(LANÇ_MOV[VALOR LÍQUIDO],LANÇ_MOV[RECEITA OU DESPESA],"Despesa",LANÇ_MOV[CONTAS],$C946,LANÇ_MOV[PLANO DE CONTAS],REL_DRE_FINANCEIRO!$B$855,LANÇ_MOV[ANO PAGAMENTO],$B$4,LANÇ_MOV[MÊS PAGAMENTO CORRESPONDENTE],F$6,LANÇ_MOV[EMPRESA],$C$4,LANÇ_MOV[CENTRO DE CUSTOS],$D$4)</f>
        <v>0</v>
      </c>
      <c r="G946" s="206">
        <f>SUMIFS(LANÇ_MOV[VALOR LÍQUIDO],LANÇ_MOV[RECEITA OU DESPESA],"Despesa",LANÇ_MOV[CONTAS],$C946,LANÇ_MOV[PLANO DE CONTAS],REL_DRE_FINANCEIRO!$B$855,LANÇ_MOV[ANO PAGAMENTO],$B$4,LANÇ_MOV[MÊS PAGAMENTO CORRESPONDENTE],G$6,LANÇ_MOV[EMPRESA],$C$4,LANÇ_MOV[CENTRO DE CUSTOS],$D$4)</f>
        <v>0</v>
      </c>
      <c r="H946" s="206">
        <f>SUMIFS(LANÇ_MOV[VALOR LÍQUIDO],LANÇ_MOV[RECEITA OU DESPESA],"Despesa",LANÇ_MOV[CONTAS],$C946,LANÇ_MOV[PLANO DE CONTAS],REL_DRE_FINANCEIRO!$B$855,LANÇ_MOV[ANO PAGAMENTO],$B$4,LANÇ_MOV[MÊS PAGAMENTO CORRESPONDENTE],H$6,LANÇ_MOV[EMPRESA],$C$4,LANÇ_MOV[CENTRO DE CUSTOS],$D$4)</f>
        <v>0</v>
      </c>
      <c r="I946" s="206">
        <f>SUMIFS(LANÇ_MOV[VALOR LÍQUIDO],LANÇ_MOV[RECEITA OU DESPESA],"Despesa",LANÇ_MOV[CONTAS],$C946,LANÇ_MOV[PLANO DE CONTAS],REL_DRE_FINANCEIRO!$B$855,LANÇ_MOV[ANO PAGAMENTO],$B$4,LANÇ_MOV[MÊS PAGAMENTO CORRESPONDENTE],I$6,LANÇ_MOV[EMPRESA],$C$4,LANÇ_MOV[CENTRO DE CUSTOS],$D$4)</f>
        <v>0</v>
      </c>
      <c r="J946" s="206">
        <f>SUMIFS(LANÇ_MOV[VALOR LÍQUIDO],LANÇ_MOV[RECEITA OU DESPESA],"Despesa",LANÇ_MOV[CONTAS],$C946,LANÇ_MOV[PLANO DE CONTAS],REL_DRE_FINANCEIRO!$B$855,LANÇ_MOV[ANO PAGAMENTO],$B$4,LANÇ_MOV[MÊS PAGAMENTO CORRESPONDENTE],J$6,LANÇ_MOV[EMPRESA],$C$4,LANÇ_MOV[CENTRO DE CUSTOS],$D$4)</f>
        <v>0</v>
      </c>
      <c r="K946" s="206">
        <f>SUMIFS(LANÇ_MOV[VALOR LÍQUIDO],LANÇ_MOV[RECEITA OU DESPESA],"Despesa",LANÇ_MOV[CONTAS],$C946,LANÇ_MOV[PLANO DE CONTAS],REL_DRE_FINANCEIRO!$B$855,LANÇ_MOV[ANO PAGAMENTO],$B$4,LANÇ_MOV[MÊS PAGAMENTO CORRESPONDENTE],K$6,LANÇ_MOV[EMPRESA],$C$4,LANÇ_MOV[CENTRO DE CUSTOS],$D$4)</f>
        <v>0</v>
      </c>
      <c r="L946" s="206">
        <f>SUMIFS(LANÇ_MOV[VALOR LÍQUIDO],LANÇ_MOV[RECEITA OU DESPESA],"Despesa",LANÇ_MOV[CONTAS],$C946,LANÇ_MOV[PLANO DE CONTAS],REL_DRE_FINANCEIRO!$B$855,LANÇ_MOV[ANO PAGAMENTO],$B$4,LANÇ_MOV[MÊS PAGAMENTO CORRESPONDENTE],L$6,LANÇ_MOV[EMPRESA],$C$4,LANÇ_MOV[CENTRO DE CUSTOS],$D$4)</f>
        <v>0</v>
      </c>
      <c r="M946" s="206">
        <f>SUMIFS(LANÇ_MOV[VALOR LÍQUIDO],LANÇ_MOV[RECEITA OU DESPESA],"Despesa",LANÇ_MOV[CONTAS],$C946,LANÇ_MOV[PLANO DE CONTAS],REL_DRE_FINANCEIRO!$B$855,LANÇ_MOV[ANO PAGAMENTO],$B$4,LANÇ_MOV[MÊS PAGAMENTO CORRESPONDENTE],M$6,LANÇ_MOV[EMPRESA],$C$4,LANÇ_MOV[CENTRO DE CUSTOS],$D$4)</f>
        <v>0</v>
      </c>
      <c r="N946" s="206">
        <f>SUMIFS(LANÇ_MOV[VALOR LÍQUIDO],LANÇ_MOV[RECEITA OU DESPESA],"Despesa",LANÇ_MOV[CONTAS],$C946,LANÇ_MOV[PLANO DE CONTAS],REL_DRE_FINANCEIRO!$B$855,LANÇ_MOV[ANO PAGAMENTO],$B$4,LANÇ_MOV[MÊS PAGAMENTO CORRESPONDENTE],N$6,LANÇ_MOV[EMPRESA],$C$4,LANÇ_MOV[CENTRO DE CUSTOS],$D$4)</f>
        <v>0</v>
      </c>
      <c r="O946" s="206">
        <f>SUMIFS(LANÇ_MOV[VALOR LÍQUIDO],LANÇ_MOV[RECEITA OU DESPESA],"Despesa",LANÇ_MOV[CONTAS],$C946,LANÇ_MOV[PLANO DE CONTAS],REL_DRE_FINANCEIRO!$B$855,LANÇ_MOV[ANO PAGAMENTO],$B$4,LANÇ_MOV[MÊS PAGAMENTO CORRESPONDENTE],O$6,LANÇ_MOV[EMPRESA],$C$4,LANÇ_MOV[CENTRO DE CUSTOS],$D$4)</f>
        <v>0</v>
      </c>
      <c r="P946" s="207">
        <f t="shared" si="116"/>
        <v>0</v>
      </c>
      <c r="Q946" s="329">
        <v>9.9999999999999995E-7</v>
      </c>
      <c r="R946" s="346">
        <f t="shared" si="117"/>
        <v>9.9999999999999995E-7</v>
      </c>
      <c r="S946" s="347" t="str">
        <f t="shared" si="118"/>
        <v>-</v>
      </c>
      <c r="T946" s="347">
        <f t="shared" si="119"/>
        <v>0</v>
      </c>
      <c r="U946" s="347">
        <f>HLOOKUP(Apoio!$P$12,$D$854:$P$955,X946,FALSE)+Q946</f>
        <v>9.9999999999999995E-7</v>
      </c>
      <c r="V946" s="447" t="str">
        <f t="shared" si="120"/>
        <v>-</v>
      </c>
      <c r="W946" s="448">
        <f>HLOOKUP(Apoio!$P$12,$D$854:$P$955,X946,FALSE)</f>
        <v>0</v>
      </c>
      <c r="X946" s="329">
        <v>93</v>
      </c>
    </row>
    <row r="947" spans="2:50" ht="30.05" customHeight="1" x14ac:dyDescent="0.35">
      <c r="B947" s="204" t="str">
        <f>'CAD_PL_REC-DESP'!AC96</f>
        <v>2.7.92</v>
      </c>
      <c r="C947" s="205" t="str">
        <f>IF('CAD_PL_REC-DESP'!AD96="","-",'CAD_PL_REC-DESP'!AD96)</f>
        <v>-</v>
      </c>
      <c r="D947" s="206">
        <f>SUMIFS(LANÇ_MOV[VALOR LÍQUIDO],LANÇ_MOV[RECEITA OU DESPESA],"Despesa",LANÇ_MOV[CONTAS],$C947,LANÇ_MOV[PLANO DE CONTAS],REL_DRE_FINANCEIRO!$B$855,LANÇ_MOV[ANO PAGAMENTO],$B$4,LANÇ_MOV[MÊS PAGAMENTO CORRESPONDENTE],D$6,LANÇ_MOV[EMPRESA],$C$4,LANÇ_MOV[CENTRO DE CUSTOS],$D$4)</f>
        <v>0</v>
      </c>
      <c r="E947" s="206">
        <f>SUMIFS(LANÇ_MOV[VALOR LÍQUIDO],LANÇ_MOV[RECEITA OU DESPESA],"Despesa",LANÇ_MOV[CONTAS],$C947,LANÇ_MOV[PLANO DE CONTAS],REL_DRE_FINANCEIRO!$B$855,LANÇ_MOV[ANO PAGAMENTO],$B$4,LANÇ_MOV[MÊS PAGAMENTO CORRESPONDENTE],E$6,LANÇ_MOV[EMPRESA],$C$4,LANÇ_MOV[CENTRO DE CUSTOS],$D$4)</f>
        <v>0</v>
      </c>
      <c r="F947" s="206">
        <f>SUMIFS(LANÇ_MOV[VALOR LÍQUIDO],LANÇ_MOV[RECEITA OU DESPESA],"Despesa",LANÇ_MOV[CONTAS],$C947,LANÇ_MOV[PLANO DE CONTAS],REL_DRE_FINANCEIRO!$B$855,LANÇ_MOV[ANO PAGAMENTO],$B$4,LANÇ_MOV[MÊS PAGAMENTO CORRESPONDENTE],F$6,LANÇ_MOV[EMPRESA],$C$4,LANÇ_MOV[CENTRO DE CUSTOS],$D$4)</f>
        <v>0</v>
      </c>
      <c r="G947" s="206">
        <f>SUMIFS(LANÇ_MOV[VALOR LÍQUIDO],LANÇ_MOV[RECEITA OU DESPESA],"Despesa",LANÇ_MOV[CONTAS],$C947,LANÇ_MOV[PLANO DE CONTAS],REL_DRE_FINANCEIRO!$B$855,LANÇ_MOV[ANO PAGAMENTO],$B$4,LANÇ_MOV[MÊS PAGAMENTO CORRESPONDENTE],G$6,LANÇ_MOV[EMPRESA],$C$4,LANÇ_MOV[CENTRO DE CUSTOS],$D$4)</f>
        <v>0</v>
      </c>
      <c r="H947" s="206">
        <f>SUMIFS(LANÇ_MOV[VALOR LÍQUIDO],LANÇ_MOV[RECEITA OU DESPESA],"Despesa",LANÇ_MOV[CONTAS],$C947,LANÇ_MOV[PLANO DE CONTAS],REL_DRE_FINANCEIRO!$B$855,LANÇ_MOV[ANO PAGAMENTO],$B$4,LANÇ_MOV[MÊS PAGAMENTO CORRESPONDENTE],H$6,LANÇ_MOV[EMPRESA],$C$4,LANÇ_MOV[CENTRO DE CUSTOS],$D$4)</f>
        <v>0</v>
      </c>
      <c r="I947" s="206">
        <f>SUMIFS(LANÇ_MOV[VALOR LÍQUIDO],LANÇ_MOV[RECEITA OU DESPESA],"Despesa",LANÇ_MOV[CONTAS],$C947,LANÇ_MOV[PLANO DE CONTAS],REL_DRE_FINANCEIRO!$B$855,LANÇ_MOV[ANO PAGAMENTO],$B$4,LANÇ_MOV[MÊS PAGAMENTO CORRESPONDENTE],I$6,LANÇ_MOV[EMPRESA],$C$4,LANÇ_MOV[CENTRO DE CUSTOS],$D$4)</f>
        <v>0</v>
      </c>
      <c r="J947" s="206">
        <f>SUMIFS(LANÇ_MOV[VALOR LÍQUIDO],LANÇ_MOV[RECEITA OU DESPESA],"Despesa",LANÇ_MOV[CONTAS],$C947,LANÇ_MOV[PLANO DE CONTAS],REL_DRE_FINANCEIRO!$B$855,LANÇ_MOV[ANO PAGAMENTO],$B$4,LANÇ_MOV[MÊS PAGAMENTO CORRESPONDENTE],J$6,LANÇ_MOV[EMPRESA],$C$4,LANÇ_MOV[CENTRO DE CUSTOS],$D$4)</f>
        <v>0</v>
      </c>
      <c r="K947" s="206">
        <f>SUMIFS(LANÇ_MOV[VALOR LÍQUIDO],LANÇ_MOV[RECEITA OU DESPESA],"Despesa",LANÇ_MOV[CONTAS],$C947,LANÇ_MOV[PLANO DE CONTAS],REL_DRE_FINANCEIRO!$B$855,LANÇ_MOV[ANO PAGAMENTO],$B$4,LANÇ_MOV[MÊS PAGAMENTO CORRESPONDENTE],K$6,LANÇ_MOV[EMPRESA],$C$4,LANÇ_MOV[CENTRO DE CUSTOS],$D$4)</f>
        <v>0</v>
      </c>
      <c r="L947" s="206">
        <f>SUMIFS(LANÇ_MOV[VALOR LÍQUIDO],LANÇ_MOV[RECEITA OU DESPESA],"Despesa",LANÇ_MOV[CONTAS],$C947,LANÇ_MOV[PLANO DE CONTAS],REL_DRE_FINANCEIRO!$B$855,LANÇ_MOV[ANO PAGAMENTO],$B$4,LANÇ_MOV[MÊS PAGAMENTO CORRESPONDENTE],L$6,LANÇ_MOV[EMPRESA],$C$4,LANÇ_MOV[CENTRO DE CUSTOS],$D$4)</f>
        <v>0</v>
      </c>
      <c r="M947" s="206">
        <f>SUMIFS(LANÇ_MOV[VALOR LÍQUIDO],LANÇ_MOV[RECEITA OU DESPESA],"Despesa",LANÇ_MOV[CONTAS],$C947,LANÇ_MOV[PLANO DE CONTAS],REL_DRE_FINANCEIRO!$B$855,LANÇ_MOV[ANO PAGAMENTO],$B$4,LANÇ_MOV[MÊS PAGAMENTO CORRESPONDENTE],M$6,LANÇ_MOV[EMPRESA],$C$4,LANÇ_MOV[CENTRO DE CUSTOS],$D$4)</f>
        <v>0</v>
      </c>
      <c r="N947" s="206">
        <f>SUMIFS(LANÇ_MOV[VALOR LÍQUIDO],LANÇ_MOV[RECEITA OU DESPESA],"Despesa",LANÇ_MOV[CONTAS],$C947,LANÇ_MOV[PLANO DE CONTAS],REL_DRE_FINANCEIRO!$B$855,LANÇ_MOV[ANO PAGAMENTO],$B$4,LANÇ_MOV[MÊS PAGAMENTO CORRESPONDENTE],N$6,LANÇ_MOV[EMPRESA],$C$4,LANÇ_MOV[CENTRO DE CUSTOS],$D$4)</f>
        <v>0</v>
      </c>
      <c r="O947" s="206">
        <f>SUMIFS(LANÇ_MOV[VALOR LÍQUIDO],LANÇ_MOV[RECEITA OU DESPESA],"Despesa",LANÇ_MOV[CONTAS],$C947,LANÇ_MOV[PLANO DE CONTAS],REL_DRE_FINANCEIRO!$B$855,LANÇ_MOV[ANO PAGAMENTO],$B$4,LANÇ_MOV[MÊS PAGAMENTO CORRESPONDENTE],O$6,LANÇ_MOV[EMPRESA],$C$4,LANÇ_MOV[CENTRO DE CUSTOS],$D$4)</f>
        <v>0</v>
      </c>
      <c r="P947" s="207">
        <f t="shared" si="116"/>
        <v>0</v>
      </c>
      <c r="Q947" s="329">
        <v>8.9999999999999996E-7</v>
      </c>
      <c r="R947" s="346">
        <f t="shared" si="117"/>
        <v>8.9999999999999996E-7</v>
      </c>
      <c r="S947" s="347" t="str">
        <f t="shared" si="118"/>
        <v>-</v>
      </c>
      <c r="T947" s="347">
        <f t="shared" si="119"/>
        <v>0</v>
      </c>
      <c r="U947" s="347">
        <f>HLOOKUP(Apoio!$P$12,$D$854:$P$955,X947,FALSE)+Q947</f>
        <v>8.9999999999999996E-7</v>
      </c>
      <c r="V947" s="447" t="str">
        <f t="shared" si="120"/>
        <v>-</v>
      </c>
      <c r="W947" s="448">
        <f>HLOOKUP(Apoio!$P$12,$D$854:$P$955,X947,FALSE)</f>
        <v>0</v>
      </c>
      <c r="X947" s="329">
        <v>94</v>
      </c>
    </row>
    <row r="948" spans="2:50" ht="30.05" customHeight="1" x14ac:dyDescent="0.35">
      <c r="B948" s="204" t="str">
        <f>'CAD_PL_REC-DESP'!AC97</f>
        <v>2.7.93</v>
      </c>
      <c r="C948" s="205" t="str">
        <f>IF('CAD_PL_REC-DESP'!AD97="","-",'CAD_PL_REC-DESP'!AD97)</f>
        <v>-</v>
      </c>
      <c r="D948" s="206">
        <f>SUMIFS(LANÇ_MOV[VALOR LÍQUIDO],LANÇ_MOV[RECEITA OU DESPESA],"Despesa",LANÇ_MOV[CONTAS],$C948,LANÇ_MOV[PLANO DE CONTAS],REL_DRE_FINANCEIRO!$B$855,LANÇ_MOV[ANO PAGAMENTO],$B$4,LANÇ_MOV[MÊS PAGAMENTO CORRESPONDENTE],D$6,LANÇ_MOV[EMPRESA],$C$4,LANÇ_MOV[CENTRO DE CUSTOS],$D$4)</f>
        <v>0</v>
      </c>
      <c r="E948" s="206">
        <f>SUMIFS(LANÇ_MOV[VALOR LÍQUIDO],LANÇ_MOV[RECEITA OU DESPESA],"Despesa",LANÇ_MOV[CONTAS],$C948,LANÇ_MOV[PLANO DE CONTAS],REL_DRE_FINANCEIRO!$B$855,LANÇ_MOV[ANO PAGAMENTO],$B$4,LANÇ_MOV[MÊS PAGAMENTO CORRESPONDENTE],E$6,LANÇ_MOV[EMPRESA],$C$4,LANÇ_MOV[CENTRO DE CUSTOS],$D$4)</f>
        <v>0</v>
      </c>
      <c r="F948" s="206">
        <f>SUMIFS(LANÇ_MOV[VALOR LÍQUIDO],LANÇ_MOV[RECEITA OU DESPESA],"Despesa",LANÇ_MOV[CONTAS],$C948,LANÇ_MOV[PLANO DE CONTAS],REL_DRE_FINANCEIRO!$B$855,LANÇ_MOV[ANO PAGAMENTO],$B$4,LANÇ_MOV[MÊS PAGAMENTO CORRESPONDENTE],F$6,LANÇ_MOV[EMPRESA],$C$4,LANÇ_MOV[CENTRO DE CUSTOS],$D$4)</f>
        <v>0</v>
      </c>
      <c r="G948" s="206">
        <f>SUMIFS(LANÇ_MOV[VALOR LÍQUIDO],LANÇ_MOV[RECEITA OU DESPESA],"Despesa",LANÇ_MOV[CONTAS],$C948,LANÇ_MOV[PLANO DE CONTAS],REL_DRE_FINANCEIRO!$B$855,LANÇ_MOV[ANO PAGAMENTO],$B$4,LANÇ_MOV[MÊS PAGAMENTO CORRESPONDENTE],G$6,LANÇ_MOV[EMPRESA],$C$4,LANÇ_MOV[CENTRO DE CUSTOS],$D$4)</f>
        <v>0</v>
      </c>
      <c r="H948" s="206">
        <f>SUMIFS(LANÇ_MOV[VALOR LÍQUIDO],LANÇ_MOV[RECEITA OU DESPESA],"Despesa",LANÇ_MOV[CONTAS],$C948,LANÇ_MOV[PLANO DE CONTAS],REL_DRE_FINANCEIRO!$B$855,LANÇ_MOV[ANO PAGAMENTO],$B$4,LANÇ_MOV[MÊS PAGAMENTO CORRESPONDENTE],H$6,LANÇ_MOV[EMPRESA],$C$4,LANÇ_MOV[CENTRO DE CUSTOS],$D$4)</f>
        <v>0</v>
      </c>
      <c r="I948" s="206">
        <f>SUMIFS(LANÇ_MOV[VALOR LÍQUIDO],LANÇ_MOV[RECEITA OU DESPESA],"Despesa",LANÇ_MOV[CONTAS],$C948,LANÇ_MOV[PLANO DE CONTAS],REL_DRE_FINANCEIRO!$B$855,LANÇ_MOV[ANO PAGAMENTO],$B$4,LANÇ_MOV[MÊS PAGAMENTO CORRESPONDENTE],I$6,LANÇ_MOV[EMPRESA],$C$4,LANÇ_MOV[CENTRO DE CUSTOS],$D$4)</f>
        <v>0</v>
      </c>
      <c r="J948" s="206">
        <f>SUMIFS(LANÇ_MOV[VALOR LÍQUIDO],LANÇ_MOV[RECEITA OU DESPESA],"Despesa",LANÇ_MOV[CONTAS],$C948,LANÇ_MOV[PLANO DE CONTAS],REL_DRE_FINANCEIRO!$B$855,LANÇ_MOV[ANO PAGAMENTO],$B$4,LANÇ_MOV[MÊS PAGAMENTO CORRESPONDENTE],J$6,LANÇ_MOV[EMPRESA],$C$4,LANÇ_MOV[CENTRO DE CUSTOS],$D$4)</f>
        <v>0</v>
      </c>
      <c r="K948" s="206">
        <f>SUMIFS(LANÇ_MOV[VALOR LÍQUIDO],LANÇ_MOV[RECEITA OU DESPESA],"Despesa",LANÇ_MOV[CONTAS],$C948,LANÇ_MOV[PLANO DE CONTAS],REL_DRE_FINANCEIRO!$B$855,LANÇ_MOV[ANO PAGAMENTO],$B$4,LANÇ_MOV[MÊS PAGAMENTO CORRESPONDENTE],K$6,LANÇ_MOV[EMPRESA],$C$4,LANÇ_MOV[CENTRO DE CUSTOS],$D$4)</f>
        <v>0</v>
      </c>
      <c r="L948" s="206">
        <f>SUMIFS(LANÇ_MOV[VALOR LÍQUIDO],LANÇ_MOV[RECEITA OU DESPESA],"Despesa",LANÇ_MOV[CONTAS],$C948,LANÇ_MOV[PLANO DE CONTAS],REL_DRE_FINANCEIRO!$B$855,LANÇ_MOV[ANO PAGAMENTO],$B$4,LANÇ_MOV[MÊS PAGAMENTO CORRESPONDENTE],L$6,LANÇ_MOV[EMPRESA],$C$4,LANÇ_MOV[CENTRO DE CUSTOS],$D$4)</f>
        <v>0</v>
      </c>
      <c r="M948" s="206">
        <f>SUMIFS(LANÇ_MOV[VALOR LÍQUIDO],LANÇ_MOV[RECEITA OU DESPESA],"Despesa",LANÇ_MOV[CONTAS],$C948,LANÇ_MOV[PLANO DE CONTAS],REL_DRE_FINANCEIRO!$B$855,LANÇ_MOV[ANO PAGAMENTO],$B$4,LANÇ_MOV[MÊS PAGAMENTO CORRESPONDENTE],M$6,LANÇ_MOV[EMPRESA],$C$4,LANÇ_MOV[CENTRO DE CUSTOS],$D$4)</f>
        <v>0</v>
      </c>
      <c r="N948" s="206">
        <f>SUMIFS(LANÇ_MOV[VALOR LÍQUIDO],LANÇ_MOV[RECEITA OU DESPESA],"Despesa",LANÇ_MOV[CONTAS],$C948,LANÇ_MOV[PLANO DE CONTAS],REL_DRE_FINANCEIRO!$B$855,LANÇ_MOV[ANO PAGAMENTO],$B$4,LANÇ_MOV[MÊS PAGAMENTO CORRESPONDENTE],N$6,LANÇ_MOV[EMPRESA],$C$4,LANÇ_MOV[CENTRO DE CUSTOS],$D$4)</f>
        <v>0</v>
      </c>
      <c r="O948" s="206">
        <f>SUMIFS(LANÇ_MOV[VALOR LÍQUIDO],LANÇ_MOV[RECEITA OU DESPESA],"Despesa",LANÇ_MOV[CONTAS],$C948,LANÇ_MOV[PLANO DE CONTAS],REL_DRE_FINANCEIRO!$B$855,LANÇ_MOV[ANO PAGAMENTO],$B$4,LANÇ_MOV[MÊS PAGAMENTO CORRESPONDENTE],O$6,LANÇ_MOV[EMPRESA],$C$4,LANÇ_MOV[CENTRO DE CUSTOS],$D$4)</f>
        <v>0</v>
      </c>
      <c r="P948" s="207">
        <f t="shared" si="116"/>
        <v>0</v>
      </c>
      <c r="Q948" s="329">
        <v>7.9999999999999996E-7</v>
      </c>
      <c r="R948" s="346">
        <f t="shared" si="117"/>
        <v>7.9999999999999996E-7</v>
      </c>
      <c r="S948" s="347" t="str">
        <f t="shared" si="118"/>
        <v>-</v>
      </c>
      <c r="T948" s="347">
        <f t="shared" si="119"/>
        <v>0</v>
      </c>
      <c r="U948" s="347">
        <f>HLOOKUP(Apoio!$P$12,$D$854:$P$955,X948,FALSE)+Q948</f>
        <v>7.9999999999999996E-7</v>
      </c>
      <c r="V948" s="447" t="str">
        <f t="shared" si="120"/>
        <v>-</v>
      </c>
      <c r="W948" s="448">
        <f>HLOOKUP(Apoio!$P$12,$D$854:$P$955,X948,FALSE)</f>
        <v>0</v>
      </c>
      <c r="X948" s="329">
        <v>95</v>
      </c>
    </row>
    <row r="949" spans="2:50" ht="30.05" customHeight="1" x14ac:dyDescent="0.35">
      <c r="B949" s="204" t="str">
        <f>'CAD_PL_REC-DESP'!AC98</f>
        <v>2.7.94</v>
      </c>
      <c r="C949" s="205" t="str">
        <f>IF('CAD_PL_REC-DESP'!AD98="","-",'CAD_PL_REC-DESP'!AD98)</f>
        <v>-</v>
      </c>
      <c r="D949" s="206">
        <f>SUMIFS(LANÇ_MOV[VALOR LÍQUIDO],LANÇ_MOV[RECEITA OU DESPESA],"Despesa",LANÇ_MOV[CONTAS],$C949,LANÇ_MOV[PLANO DE CONTAS],REL_DRE_FINANCEIRO!$B$855,LANÇ_MOV[ANO PAGAMENTO],$B$4,LANÇ_MOV[MÊS PAGAMENTO CORRESPONDENTE],D$6,LANÇ_MOV[EMPRESA],$C$4,LANÇ_MOV[CENTRO DE CUSTOS],$D$4)</f>
        <v>0</v>
      </c>
      <c r="E949" s="206">
        <f>SUMIFS(LANÇ_MOV[VALOR LÍQUIDO],LANÇ_MOV[RECEITA OU DESPESA],"Despesa",LANÇ_MOV[CONTAS],$C949,LANÇ_MOV[PLANO DE CONTAS],REL_DRE_FINANCEIRO!$B$855,LANÇ_MOV[ANO PAGAMENTO],$B$4,LANÇ_MOV[MÊS PAGAMENTO CORRESPONDENTE],E$6,LANÇ_MOV[EMPRESA],$C$4,LANÇ_MOV[CENTRO DE CUSTOS],$D$4)</f>
        <v>0</v>
      </c>
      <c r="F949" s="206">
        <f>SUMIFS(LANÇ_MOV[VALOR LÍQUIDO],LANÇ_MOV[RECEITA OU DESPESA],"Despesa",LANÇ_MOV[CONTAS],$C949,LANÇ_MOV[PLANO DE CONTAS],REL_DRE_FINANCEIRO!$B$855,LANÇ_MOV[ANO PAGAMENTO],$B$4,LANÇ_MOV[MÊS PAGAMENTO CORRESPONDENTE],F$6,LANÇ_MOV[EMPRESA],$C$4,LANÇ_MOV[CENTRO DE CUSTOS],$D$4)</f>
        <v>0</v>
      </c>
      <c r="G949" s="206">
        <f>SUMIFS(LANÇ_MOV[VALOR LÍQUIDO],LANÇ_MOV[RECEITA OU DESPESA],"Despesa",LANÇ_MOV[CONTAS],$C949,LANÇ_MOV[PLANO DE CONTAS],REL_DRE_FINANCEIRO!$B$855,LANÇ_MOV[ANO PAGAMENTO],$B$4,LANÇ_MOV[MÊS PAGAMENTO CORRESPONDENTE],G$6,LANÇ_MOV[EMPRESA],$C$4,LANÇ_MOV[CENTRO DE CUSTOS],$D$4)</f>
        <v>0</v>
      </c>
      <c r="H949" s="206">
        <f>SUMIFS(LANÇ_MOV[VALOR LÍQUIDO],LANÇ_MOV[RECEITA OU DESPESA],"Despesa",LANÇ_MOV[CONTAS],$C949,LANÇ_MOV[PLANO DE CONTAS],REL_DRE_FINANCEIRO!$B$855,LANÇ_MOV[ANO PAGAMENTO],$B$4,LANÇ_MOV[MÊS PAGAMENTO CORRESPONDENTE],H$6,LANÇ_MOV[EMPRESA],$C$4,LANÇ_MOV[CENTRO DE CUSTOS],$D$4)</f>
        <v>0</v>
      </c>
      <c r="I949" s="206">
        <f>SUMIFS(LANÇ_MOV[VALOR LÍQUIDO],LANÇ_MOV[RECEITA OU DESPESA],"Despesa",LANÇ_MOV[CONTAS],$C949,LANÇ_MOV[PLANO DE CONTAS],REL_DRE_FINANCEIRO!$B$855,LANÇ_MOV[ANO PAGAMENTO],$B$4,LANÇ_MOV[MÊS PAGAMENTO CORRESPONDENTE],I$6,LANÇ_MOV[EMPRESA],$C$4,LANÇ_MOV[CENTRO DE CUSTOS],$D$4)</f>
        <v>0</v>
      </c>
      <c r="J949" s="206">
        <f>SUMIFS(LANÇ_MOV[VALOR LÍQUIDO],LANÇ_MOV[RECEITA OU DESPESA],"Despesa",LANÇ_MOV[CONTAS],$C949,LANÇ_MOV[PLANO DE CONTAS],REL_DRE_FINANCEIRO!$B$855,LANÇ_MOV[ANO PAGAMENTO],$B$4,LANÇ_MOV[MÊS PAGAMENTO CORRESPONDENTE],J$6,LANÇ_MOV[EMPRESA],$C$4,LANÇ_MOV[CENTRO DE CUSTOS],$D$4)</f>
        <v>0</v>
      </c>
      <c r="K949" s="206">
        <f>SUMIFS(LANÇ_MOV[VALOR LÍQUIDO],LANÇ_MOV[RECEITA OU DESPESA],"Despesa",LANÇ_MOV[CONTAS],$C949,LANÇ_MOV[PLANO DE CONTAS],REL_DRE_FINANCEIRO!$B$855,LANÇ_MOV[ANO PAGAMENTO],$B$4,LANÇ_MOV[MÊS PAGAMENTO CORRESPONDENTE],K$6,LANÇ_MOV[EMPRESA],$C$4,LANÇ_MOV[CENTRO DE CUSTOS],$D$4)</f>
        <v>0</v>
      </c>
      <c r="L949" s="206">
        <f>SUMIFS(LANÇ_MOV[VALOR LÍQUIDO],LANÇ_MOV[RECEITA OU DESPESA],"Despesa",LANÇ_MOV[CONTAS],$C949,LANÇ_MOV[PLANO DE CONTAS],REL_DRE_FINANCEIRO!$B$855,LANÇ_MOV[ANO PAGAMENTO],$B$4,LANÇ_MOV[MÊS PAGAMENTO CORRESPONDENTE],L$6,LANÇ_MOV[EMPRESA],$C$4,LANÇ_MOV[CENTRO DE CUSTOS],$D$4)</f>
        <v>0</v>
      </c>
      <c r="M949" s="206">
        <f>SUMIFS(LANÇ_MOV[VALOR LÍQUIDO],LANÇ_MOV[RECEITA OU DESPESA],"Despesa",LANÇ_MOV[CONTAS],$C949,LANÇ_MOV[PLANO DE CONTAS],REL_DRE_FINANCEIRO!$B$855,LANÇ_MOV[ANO PAGAMENTO],$B$4,LANÇ_MOV[MÊS PAGAMENTO CORRESPONDENTE],M$6,LANÇ_MOV[EMPRESA],$C$4,LANÇ_MOV[CENTRO DE CUSTOS],$D$4)</f>
        <v>0</v>
      </c>
      <c r="N949" s="206">
        <f>SUMIFS(LANÇ_MOV[VALOR LÍQUIDO],LANÇ_MOV[RECEITA OU DESPESA],"Despesa",LANÇ_MOV[CONTAS],$C949,LANÇ_MOV[PLANO DE CONTAS],REL_DRE_FINANCEIRO!$B$855,LANÇ_MOV[ANO PAGAMENTO],$B$4,LANÇ_MOV[MÊS PAGAMENTO CORRESPONDENTE],N$6,LANÇ_MOV[EMPRESA],$C$4,LANÇ_MOV[CENTRO DE CUSTOS],$D$4)</f>
        <v>0</v>
      </c>
      <c r="O949" s="206">
        <f>SUMIFS(LANÇ_MOV[VALOR LÍQUIDO],LANÇ_MOV[RECEITA OU DESPESA],"Despesa",LANÇ_MOV[CONTAS],$C949,LANÇ_MOV[PLANO DE CONTAS],REL_DRE_FINANCEIRO!$B$855,LANÇ_MOV[ANO PAGAMENTO],$B$4,LANÇ_MOV[MÊS PAGAMENTO CORRESPONDENTE],O$6,LANÇ_MOV[EMPRESA],$C$4,LANÇ_MOV[CENTRO DE CUSTOS],$D$4)</f>
        <v>0</v>
      </c>
      <c r="P949" s="207">
        <f t="shared" si="116"/>
        <v>0</v>
      </c>
      <c r="Q949" s="329">
        <v>6.9999999999999997E-7</v>
      </c>
      <c r="R949" s="346">
        <f t="shared" si="117"/>
        <v>6.9999999999999997E-7</v>
      </c>
      <c r="S949" s="347" t="str">
        <f t="shared" si="118"/>
        <v>-</v>
      </c>
      <c r="T949" s="347">
        <f t="shared" si="119"/>
        <v>0</v>
      </c>
      <c r="U949" s="347">
        <f>HLOOKUP(Apoio!$P$12,$D$854:$P$955,X949,FALSE)+Q949</f>
        <v>6.9999999999999997E-7</v>
      </c>
      <c r="V949" s="447" t="str">
        <f t="shared" si="120"/>
        <v>-</v>
      </c>
      <c r="W949" s="448">
        <f>HLOOKUP(Apoio!$P$12,$D$854:$P$955,X949,FALSE)</f>
        <v>0</v>
      </c>
      <c r="X949" s="329">
        <v>96</v>
      </c>
    </row>
    <row r="950" spans="2:50" ht="30.05" customHeight="1" x14ac:dyDescent="0.35">
      <c r="B950" s="204" t="str">
        <f>'CAD_PL_REC-DESP'!AC99</f>
        <v>2.7.95</v>
      </c>
      <c r="C950" s="205" t="str">
        <f>IF('CAD_PL_REC-DESP'!AD99="","-",'CAD_PL_REC-DESP'!AD99)</f>
        <v>-</v>
      </c>
      <c r="D950" s="206">
        <f>SUMIFS(LANÇ_MOV[VALOR LÍQUIDO],LANÇ_MOV[RECEITA OU DESPESA],"Despesa",LANÇ_MOV[CONTAS],$C950,LANÇ_MOV[PLANO DE CONTAS],REL_DRE_FINANCEIRO!$B$855,LANÇ_MOV[ANO PAGAMENTO],$B$4,LANÇ_MOV[MÊS PAGAMENTO CORRESPONDENTE],D$6,LANÇ_MOV[EMPRESA],$C$4,LANÇ_MOV[CENTRO DE CUSTOS],$D$4)</f>
        <v>0</v>
      </c>
      <c r="E950" s="206">
        <f>SUMIFS(LANÇ_MOV[VALOR LÍQUIDO],LANÇ_MOV[RECEITA OU DESPESA],"Despesa",LANÇ_MOV[CONTAS],$C950,LANÇ_MOV[PLANO DE CONTAS],REL_DRE_FINANCEIRO!$B$855,LANÇ_MOV[ANO PAGAMENTO],$B$4,LANÇ_MOV[MÊS PAGAMENTO CORRESPONDENTE],E$6,LANÇ_MOV[EMPRESA],$C$4,LANÇ_MOV[CENTRO DE CUSTOS],$D$4)</f>
        <v>0</v>
      </c>
      <c r="F950" s="206">
        <f>SUMIFS(LANÇ_MOV[VALOR LÍQUIDO],LANÇ_MOV[RECEITA OU DESPESA],"Despesa",LANÇ_MOV[CONTAS],$C950,LANÇ_MOV[PLANO DE CONTAS],REL_DRE_FINANCEIRO!$B$855,LANÇ_MOV[ANO PAGAMENTO],$B$4,LANÇ_MOV[MÊS PAGAMENTO CORRESPONDENTE],F$6,LANÇ_MOV[EMPRESA],$C$4,LANÇ_MOV[CENTRO DE CUSTOS],$D$4)</f>
        <v>0</v>
      </c>
      <c r="G950" s="206">
        <f>SUMIFS(LANÇ_MOV[VALOR LÍQUIDO],LANÇ_MOV[RECEITA OU DESPESA],"Despesa",LANÇ_MOV[CONTAS],$C950,LANÇ_MOV[PLANO DE CONTAS],REL_DRE_FINANCEIRO!$B$855,LANÇ_MOV[ANO PAGAMENTO],$B$4,LANÇ_MOV[MÊS PAGAMENTO CORRESPONDENTE],G$6,LANÇ_MOV[EMPRESA],$C$4,LANÇ_MOV[CENTRO DE CUSTOS],$D$4)</f>
        <v>0</v>
      </c>
      <c r="H950" s="206">
        <f>SUMIFS(LANÇ_MOV[VALOR LÍQUIDO],LANÇ_MOV[RECEITA OU DESPESA],"Despesa",LANÇ_MOV[CONTAS],$C950,LANÇ_MOV[PLANO DE CONTAS],REL_DRE_FINANCEIRO!$B$855,LANÇ_MOV[ANO PAGAMENTO],$B$4,LANÇ_MOV[MÊS PAGAMENTO CORRESPONDENTE],H$6,LANÇ_MOV[EMPRESA],$C$4,LANÇ_MOV[CENTRO DE CUSTOS],$D$4)</f>
        <v>0</v>
      </c>
      <c r="I950" s="206">
        <f>SUMIFS(LANÇ_MOV[VALOR LÍQUIDO],LANÇ_MOV[RECEITA OU DESPESA],"Despesa",LANÇ_MOV[CONTAS],$C950,LANÇ_MOV[PLANO DE CONTAS],REL_DRE_FINANCEIRO!$B$855,LANÇ_MOV[ANO PAGAMENTO],$B$4,LANÇ_MOV[MÊS PAGAMENTO CORRESPONDENTE],I$6,LANÇ_MOV[EMPRESA],$C$4,LANÇ_MOV[CENTRO DE CUSTOS],$D$4)</f>
        <v>0</v>
      </c>
      <c r="J950" s="206">
        <f>SUMIFS(LANÇ_MOV[VALOR LÍQUIDO],LANÇ_MOV[RECEITA OU DESPESA],"Despesa",LANÇ_MOV[CONTAS],$C950,LANÇ_MOV[PLANO DE CONTAS],REL_DRE_FINANCEIRO!$B$855,LANÇ_MOV[ANO PAGAMENTO],$B$4,LANÇ_MOV[MÊS PAGAMENTO CORRESPONDENTE],J$6,LANÇ_MOV[EMPRESA],$C$4,LANÇ_MOV[CENTRO DE CUSTOS],$D$4)</f>
        <v>0</v>
      </c>
      <c r="K950" s="206">
        <f>SUMIFS(LANÇ_MOV[VALOR LÍQUIDO],LANÇ_MOV[RECEITA OU DESPESA],"Despesa",LANÇ_MOV[CONTAS],$C950,LANÇ_MOV[PLANO DE CONTAS],REL_DRE_FINANCEIRO!$B$855,LANÇ_MOV[ANO PAGAMENTO],$B$4,LANÇ_MOV[MÊS PAGAMENTO CORRESPONDENTE],K$6,LANÇ_MOV[EMPRESA],$C$4,LANÇ_MOV[CENTRO DE CUSTOS],$D$4)</f>
        <v>0</v>
      </c>
      <c r="L950" s="206">
        <f>SUMIFS(LANÇ_MOV[VALOR LÍQUIDO],LANÇ_MOV[RECEITA OU DESPESA],"Despesa",LANÇ_MOV[CONTAS],$C950,LANÇ_MOV[PLANO DE CONTAS],REL_DRE_FINANCEIRO!$B$855,LANÇ_MOV[ANO PAGAMENTO],$B$4,LANÇ_MOV[MÊS PAGAMENTO CORRESPONDENTE],L$6,LANÇ_MOV[EMPRESA],$C$4,LANÇ_MOV[CENTRO DE CUSTOS],$D$4)</f>
        <v>0</v>
      </c>
      <c r="M950" s="206">
        <f>SUMIFS(LANÇ_MOV[VALOR LÍQUIDO],LANÇ_MOV[RECEITA OU DESPESA],"Despesa",LANÇ_MOV[CONTAS],$C950,LANÇ_MOV[PLANO DE CONTAS],REL_DRE_FINANCEIRO!$B$855,LANÇ_MOV[ANO PAGAMENTO],$B$4,LANÇ_MOV[MÊS PAGAMENTO CORRESPONDENTE],M$6,LANÇ_MOV[EMPRESA],$C$4,LANÇ_MOV[CENTRO DE CUSTOS],$D$4)</f>
        <v>0</v>
      </c>
      <c r="N950" s="206">
        <f>SUMIFS(LANÇ_MOV[VALOR LÍQUIDO],LANÇ_MOV[RECEITA OU DESPESA],"Despesa",LANÇ_MOV[CONTAS],$C950,LANÇ_MOV[PLANO DE CONTAS],REL_DRE_FINANCEIRO!$B$855,LANÇ_MOV[ANO PAGAMENTO],$B$4,LANÇ_MOV[MÊS PAGAMENTO CORRESPONDENTE],N$6,LANÇ_MOV[EMPRESA],$C$4,LANÇ_MOV[CENTRO DE CUSTOS],$D$4)</f>
        <v>0</v>
      </c>
      <c r="O950" s="206">
        <f>SUMIFS(LANÇ_MOV[VALOR LÍQUIDO],LANÇ_MOV[RECEITA OU DESPESA],"Despesa",LANÇ_MOV[CONTAS],$C950,LANÇ_MOV[PLANO DE CONTAS],REL_DRE_FINANCEIRO!$B$855,LANÇ_MOV[ANO PAGAMENTO],$B$4,LANÇ_MOV[MÊS PAGAMENTO CORRESPONDENTE],O$6,LANÇ_MOV[EMPRESA],$C$4,LANÇ_MOV[CENTRO DE CUSTOS],$D$4)</f>
        <v>0</v>
      </c>
      <c r="P950" s="207">
        <f t="shared" si="116"/>
        <v>0</v>
      </c>
      <c r="Q950" s="329">
        <v>5.9999999999999997E-7</v>
      </c>
      <c r="R950" s="346">
        <f t="shared" si="117"/>
        <v>5.9999999999999997E-7</v>
      </c>
      <c r="S950" s="347" t="str">
        <f t="shared" si="118"/>
        <v>-</v>
      </c>
      <c r="T950" s="347">
        <f t="shared" si="119"/>
        <v>0</v>
      </c>
      <c r="U950" s="347">
        <f>HLOOKUP(Apoio!$P$12,$D$854:$P$955,X950,FALSE)+Q950</f>
        <v>5.9999999999999997E-7</v>
      </c>
      <c r="V950" s="447" t="str">
        <f t="shared" si="120"/>
        <v>-</v>
      </c>
      <c r="W950" s="448">
        <f>HLOOKUP(Apoio!$P$12,$D$854:$P$955,X950,FALSE)</f>
        <v>0</v>
      </c>
      <c r="X950" s="329">
        <v>97</v>
      </c>
    </row>
    <row r="951" spans="2:50" ht="30.05" customHeight="1" x14ac:dyDescent="0.35">
      <c r="B951" s="204" t="str">
        <f>'CAD_PL_REC-DESP'!AC100</f>
        <v>2.7.96</v>
      </c>
      <c r="C951" s="205" t="str">
        <f>IF('CAD_PL_REC-DESP'!AD100="","-",'CAD_PL_REC-DESP'!AD100)</f>
        <v>-</v>
      </c>
      <c r="D951" s="206">
        <f>SUMIFS(LANÇ_MOV[VALOR LÍQUIDO],LANÇ_MOV[RECEITA OU DESPESA],"Despesa",LANÇ_MOV[CONTAS],$C951,LANÇ_MOV[PLANO DE CONTAS],REL_DRE_FINANCEIRO!$B$855,LANÇ_MOV[ANO PAGAMENTO],$B$4,LANÇ_MOV[MÊS PAGAMENTO CORRESPONDENTE],D$6,LANÇ_MOV[EMPRESA],$C$4,LANÇ_MOV[CENTRO DE CUSTOS],$D$4)</f>
        <v>0</v>
      </c>
      <c r="E951" s="206">
        <f>SUMIFS(LANÇ_MOV[VALOR LÍQUIDO],LANÇ_MOV[RECEITA OU DESPESA],"Despesa",LANÇ_MOV[CONTAS],$C951,LANÇ_MOV[PLANO DE CONTAS],REL_DRE_FINANCEIRO!$B$855,LANÇ_MOV[ANO PAGAMENTO],$B$4,LANÇ_MOV[MÊS PAGAMENTO CORRESPONDENTE],E$6,LANÇ_MOV[EMPRESA],$C$4,LANÇ_MOV[CENTRO DE CUSTOS],$D$4)</f>
        <v>0</v>
      </c>
      <c r="F951" s="206">
        <f>SUMIFS(LANÇ_MOV[VALOR LÍQUIDO],LANÇ_MOV[RECEITA OU DESPESA],"Despesa",LANÇ_MOV[CONTAS],$C951,LANÇ_MOV[PLANO DE CONTAS],REL_DRE_FINANCEIRO!$B$855,LANÇ_MOV[ANO PAGAMENTO],$B$4,LANÇ_MOV[MÊS PAGAMENTO CORRESPONDENTE],F$6,LANÇ_MOV[EMPRESA],$C$4,LANÇ_MOV[CENTRO DE CUSTOS],$D$4)</f>
        <v>0</v>
      </c>
      <c r="G951" s="206">
        <f>SUMIFS(LANÇ_MOV[VALOR LÍQUIDO],LANÇ_MOV[RECEITA OU DESPESA],"Despesa",LANÇ_MOV[CONTAS],$C951,LANÇ_MOV[PLANO DE CONTAS],REL_DRE_FINANCEIRO!$B$855,LANÇ_MOV[ANO PAGAMENTO],$B$4,LANÇ_MOV[MÊS PAGAMENTO CORRESPONDENTE],G$6,LANÇ_MOV[EMPRESA],$C$4,LANÇ_MOV[CENTRO DE CUSTOS],$D$4)</f>
        <v>0</v>
      </c>
      <c r="H951" s="206">
        <f>SUMIFS(LANÇ_MOV[VALOR LÍQUIDO],LANÇ_MOV[RECEITA OU DESPESA],"Despesa",LANÇ_MOV[CONTAS],$C951,LANÇ_MOV[PLANO DE CONTAS],REL_DRE_FINANCEIRO!$B$855,LANÇ_MOV[ANO PAGAMENTO],$B$4,LANÇ_MOV[MÊS PAGAMENTO CORRESPONDENTE],H$6,LANÇ_MOV[EMPRESA],$C$4,LANÇ_MOV[CENTRO DE CUSTOS],$D$4)</f>
        <v>0</v>
      </c>
      <c r="I951" s="206">
        <f>SUMIFS(LANÇ_MOV[VALOR LÍQUIDO],LANÇ_MOV[RECEITA OU DESPESA],"Despesa",LANÇ_MOV[CONTAS],$C951,LANÇ_MOV[PLANO DE CONTAS],REL_DRE_FINANCEIRO!$B$855,LANÇ_MOV[ANO PAGAMENTO],$B$4,LANÇ_MOV[MÊS PAGAMENTO CORRESPONDENTE],I$6,LANÇ_MOV[EMPRESA],$C$4,LANÇ_MOV[CENTRO DE CUSTOS],$D$4)</f>
        <v>0</v>
      </c>
      <c r="J951" s="206">
        <f>SUMIFS(LANÇ_MOV[VALOR LÍQUIDO],LANÇ_MOV[RECEITA OU DESPESA],"Despesa",LANÇ_MOV[CONTAS],$C951,LANÇ_MOV[PLANO DE CONTAS],REL_DRE_FINANCEIRO!$B$855,LANÇ_MOV[ANO PAGAMENTO],$B$4,LANÇ_MOV[MÊS PAGAMENTO CORRESPONDENTE],J$6,LANÇ_MOV[EMPRESA],$C$4,LANÇ_MOV[CENTRO DE CUSTOS],$D$4)</f>
        <v>0</v>
      </c>
      <c r="K951" s="206">
        <f>SUMIFS(LANÇ_MOV[VALOR LÍQUIDO],LANÇ_MOV[RECEITA OU DESPESA],"Despesa",LANÇ_MOV[CONTAS],$C951,LANÇ_MOV[PLANO DE CONTAS],REL_DRE_FINANCEIRO!$B$855,LANÇ_MOV[ANO PAGAMENTO],$B$4,LANÇ_MOV[MÊS PAGAMENTO CORRESPONDENTE],K$6,LANÇ_MOV[EMPRESA],$C$4,LANÇ_MOV[CENTRO DE CUSTOS],$D$4)</f>
        <v>0</v>
      </c>
      <c r="L951" s="206">
        <f>SUMIFS(LANÇ_MOV[VALOR LÍQUIDO],LANÇ_MOV[RECEITA OU DESPESA],"Despesa",LANÇ_MOV[CONTAS],$C951,LANÇ_MOV[PLANO DE CONTAS],REL_DRE_FINANCEIRO!$B$855,LANÇ_MOV[ANO PAGAMENTO],$B$4,LANÇ_MOV[MÊS PAGAMENTO CORRESPONDENTE],L$6,LANÇ_MOV[EMPRESA],$C$4,LANÇ_MOV[CENTRO DE CUSTOS],$D$4)</f>
        <v>0</v>
      </c>
      <c r="M951" s="206">
        <f>SUMIFS(LANÇ_MOV[VALOR LÍQUIDO],LANÇ_MOV[RECEITA OU DESPESA],"Despesa",LANÇ_MOV[CONTAS],$C951,LANÇ_MOV[PLANO DE CONTAS],REL_DRE_FINANCEIRO!$B$855,LANÇ_MOV[ANO PAGAMENTO],$B$4,LANÇ_MOV[MÊS PAGAMENTO CORRESPONDENTE],M$6,LANÇ_MOV[EMPRESA],$C$4,LANÇ_MOV[CENTRO DE CUSTOS],$D$4)</f>
        <v>0</v>
      </c>
      <c r="N951" s="206">
        <f>SUMIFS(LANÇ_MOV[VALOR LÍQUIDO],LANÇ_MOV[RECEITA OU DESPESA],"Despesa",LANÇ_MOV[CONTAS],$C951,LANÇ_MOV[PLANO DE CONTAS],REL_DRE_FINANCEIRO!$B$855,LANÇ_MOV[ANO PAGAMENTO],$B$4,LANÇ_MOV[MÊS PAGAMENTO CORRESPONDENTE],N$6,LANÇ_MOV[EMPRESA],$C$4,LANÇ_MOV[CENTRO DE CUSTOS],$D$4)</f>
        <v>0</v>
      </c>
      <c r="O951" s="206">
        <f>SUMIFS(LANÇ_MOV[VALOR LÍQUIDO],LANÇ_MOV[RECEITA OU DESPESA],"Despesa",LANÇ_MOV[CONTAS],$C951,LANÇ_MOV[PLANO DE CONTAS],REL_DRE_FINANCEIRO!$B$855,LANÇ_MOV[ANO PAGAMENTO],$B$4,LANÇ_MOV[MÊS PAGAMENTO CORRESPONDENTE],O$6,LANÇ_MOV[EMPRESA],$C$4,LANÇ_MOV[CENTRO DE CUSTOS],$D$4)</f>
        <v>0</v>
      </c>
      <c r="P951" s="207">
        <f t="shared" si="116"/>
        <v>0</v>
      </c>
      <c r="Q951" s="329">
        <v>4.9999999999999998E-7</v>
      </c>
      <c r="R951" s="346">
        <f t="shared" si="117"/>
        <v>4.9999999999999998E-7</v>
      </c>
      <c r="S951" s="347" t="str">
        <f t="shared" si="118"/>
        <v>-</v>
      </c>
      <c r="T951" s="347">
        <f t="shared" si="119"/>
        <v>0</v>
      </c>
      <c r="U951" s="347">
        <f>HLOOKUP(Apoio!$P$12,$D$854:$P$955,X951,FALSE)+Q951</f>
        <v>4.9999999999999998E-7</v>
      </c>
      <c r="V951" s="447" t="str">
        <f t="shared" si="120"/>
        <v>-</v>
      </c>
      <c r="W951" s="448">
        <f>HLOOKUP(Apoio!$P$12,$D$854:$P$955,X951,FALSE)</f>
        <v>0</v>
      </c>
      <c r="X951" s="329">
        <v>98</v>
      </c>
    </row>
    <row r="952" spans="2:50" ht="30.05" customHeight="1" x14ac:dyDescent="0.35">
      <c r="B952" s="204" t="str">
        <f>'CAD_PL_REC-DESP'!AC101</f>
        <v>2.7.97</v>
      </c>
      <c r="C952" s="205" t="str">
        <f>IF('CAD_PL_REC-DESP'!AD101="","-",'CAD_PL_REC-DESP'!AD101)</f>
        <v>-</v>
      </c>
      <c r="D952" s="206">
        <f>SUMIFS(LANÇ_MOV[VALOR LÍQUIDO],LANÇ_MOV[RECEITA OU DESPESA],"Despesa",LANÇ_MOV[CONTAS],$C952,LANÇ_MOV[PLANO DE CONTAS],REL_DRE_FINANCEIRO!$B$855,LANÇ_MOV[ANO PAGAMENTO],$B$4,LANÇ_MOV[MÊS PAGAMENTO CORRESPONDENTE],D$6,LANÇ_MOV[EMPRESA],$C$4,LANÇ_MOV[CENTRO DE CUSTOS],$D$4)</f>
        <v>0</v>
      </c>
      <c r="E952" s="206">
        <f>SUMIFS(LANÇ_MOV[VALOR LÍQUIDO],LANÇ_MOV[RECEITA OU DESPESA],"Despesa",LANÇ_MOV[CONTAS],$C952,LANÇ_MOV[PLANO DE CONTAS],REL_DRE_FINANCEIRO!$B$855,LANÇ_MOV[ANO PAGAMENTO],$B$4,LANÇ_MOV[MÊS PAGAMENTO CORRESPONDENTE],E$6,LANÇ_MOV[EMPRESA],$C$4,LANÇ_MOV[CENTRO DE CUSTOS],$D$4)</f>
        <v>0</v>
      </c>
      <c r="F952" s="206">
        <f>SUMIFS(LANÇ_MOV[VALOR LÍQUIDO],LANÇ_MOV[RECEITA OU DESPESA],"Despesa",LANÇ_MOV[CONTAS],$C952,LANÇ_MOV[PLANO DE CONTAS],REL_DRE_FINANCEIRO!$B$855,LANÇ_MOV[ANO PAGAMENTO],$B$4,LANÇ_MOV[MÊS PAGAMENTO CORRESPONDENTE],F$6,LANÇ_MOV[EMPRESA],$C$4,LANÇ_MOV[CENTRO DE CUSTOS],$D$4)</f>
        <v>0</v>
      </c>
      <c r="G952" s="206">
        <f>SUMIFS(LANÇ_MOV[VALOR LÍQUIDO],LANÇ_MOV[RECEITA OU DESPESA],"Despesa",LANÇ_MOV[CONTAS],$C952,LANÇ_MOV[PLANO DE CONTAS],REL_DRE_FINANCEIRO!$B$855,LANÇ_MOV[ANO PAGAMENTO],$B$4,LANÇ_MOV[MÊS PAGAMENTO CORRESPONDENTE],G$6,LANÇ_MOV[EMPRESA],$C$4,LANÇ_MOV[CENTRO DE CUSTOS],$D$4)</f>
        <v>0</v>
      </c>
      <c r="H952" s="206">
        <f>SUMIFS(LANÇ_MOV[VALOR LÍQUIDO],LANÇ_MOV[RECEITA OU DESPESA],"Despesa",LANÇ_MOV[CONTAS],$C952,LANÇ_MOV[PLANO DE CONTAS],REL_DRE_FINANCEIRO!$B$855,LANÇ_MOV[ANO PAGAMENTO],$B$4,LANÇ_MOV[MÊS PAGAMENTO CORRESPONDENTE],H$6,LANÇ_MOV[EMPRESA],$C$4,LANÇ_MOV[CENTRO DE CUSTOS],$D$4)</f>
        <v>0</v>
      </c>
      <c r="I952" s="206">
        <f>SUMIFS(LANÇ_MOV[VALOR LÍQUIDO],LANÇ_MOV[RECEITA OU DESPESA],"Despesa",LANÇ_MOV[CONTAS],$C952,LANÇ_MOV[PLANO DE CONTAS],REL_DRE_FINANCEIRO!$B$855,LANÇ_MOV[ANO PAGAMENTO],$B$4,LANÇ_MOV[MÊS PAGAMENTO CORRESPONDENTE],I$6,LANÇ_MOV[EMPRESA],$C$4,LANÇ_MOV[CENTRO DE CUSTOS],$D$4)</f>
        <v>0</v>
      </c>
      <c r="J952" s="206">
        <f>SUMIFS(LANÇ_MOV[VALOR LÍQUIDO],LANÇ_MOV[RECEITA OU DESPESA],"Despesa",LANÇ_MOV[CONTAS],$C952,LANÇ_MOV[PLANO DE CONTAS],REL_DRE_FINANCEIRO!$B$855,LANÇ_MOV[ANO PAGAMENTO],$B$4,LANÇ_MOV[MÊS PAGAMENTO CORRESPONDENTE],J$6,LANÇ_MOV[EMPRESA],$C$4,LANÇ_MOV[CENTRO DE CUSTOS],$D$4)</f>
        <v>0</v>
      </c>
      <c r="K952" s="206">
        <f>SUMIFS(LANÇ_MOV[VALOR LÍQUIDO],LANÇ_MOV[RECEITA OU DESPESA],"Despesa",LANÇ_MOV[CONTAS],$C952,LANÇ_MOV[PLANO DE CONTAS],REL_DRE_FINANCEIRO!$B$855,LANÇ_MOV[ANO PAGAMENTO],$B$4,LANÇ_MOV[MÊS PAGAMENTO CORRESPONDENTE],K$6,LANÇ_MOV[EMPRESA],$C$4,LANÇ_MOV[CENTRO DE CUSTOS],$D$4)</f>
        <v>0</v>
      </c>
      <c r="L952" s="206">
        <f>SUMIFS(LANÇ_MOV[VALOR LÍQUIDO],LANÇ_MOV[RECEITA OU DESPESA],"Despesa",LANÇ_MOV[CONTAS],$C952,LANÇ_MOV[PLANO DE CONTAS],REL_DRE_FINANCEIRO!$B$855,LANÇ_MOV[ANO PAGAMENTO],$B$4,LANÇ_MOV[MÊS PAGAMENTO CORRESPONDENTE],L$6,LANÇ_MOV[EMPRESA],$C$4,LANÇ_MOV[CENTRO DE CUSTOS],$D$4)</f>
        <v>0</v>
      </c>
      <c r="M952" s="206">
        <f>SUMIFS(LANÇ_MOV[VALOR LÍQUIDO],LANÇ_MOV[RECEITA OU DESPESA],"Despesa",LANÇ_MOV[CONTAS],$C952,LANÇ_MOV[PLANO DE CONTAS],REL_DRE_FINANCEIRO!$B$855,LANÇ_MOV[ANO PAGAMENTO],$B$4,LANÇ_MOV[MÊS PAGAMENTO CORRESPONDENTE],M$6,LANÇ_MOV[EMPRESA],$C$4,LANÇ_MOV[CENTRO DE CUSTOS],$D$4)</f>
        <v>0</v>
      </c>
      <c r="N952" s="206">
        <f>SUMIFS(LANÇ_MOV[VALOR LÍQUIDO],LANÇ_MOV[RECEITA OU DESPESA],"Despesa",LANÇ_MOV[CONTAS],$C952,LANÇ_MOV[PLANO DE CONTAS],REL_DRE_FINANCEIRO!$B$855,LANÇ_MOV[ANO PAGAMENTO],$B$4,LANÇ_MOV[MÊS PAGAMENTO CORRESPONDENTE],N$6,LANÇ_MOV[EMPRESA],$C$4,LANÇ_MOV[CENTRO DE CUSTOS],$D$4)</f>
        <v>0</v>
      </c>
      <c r="O952" s="206">
        <f>SUMIFS(LANÇ_MOV[VALOR LÍQUIDO],LANÇ_MOV[RECEITA OU DESPESA],"Despesa",LANÇ_MOV[CONTAS],$C952,LANÇ_MOV[PLANO DE CONTAS],REL_DRE_FINANCEIRO!$B$855,LANÇ_MOV[ANO PAGAMENTO],$B$4,LANÇ_MOV[MÊS PAGAMENTO CORRESPONDENTE],O$6,LANÇ_MOV[EMPRESA],$C$4,LANÇ_MOV[CENTRO DE CUSTOS],$D$4)</f>
        <v>0</v>
      </c>
      <c r="P952" s="207">
        <f t="shared" si="116"/>
        <v>0</v>
      </c>
      <c r="Q952" s="329">
        <v>3.9999999999999998E-7</v>
      </c>
      <c r="R952" s="346">
        <f t="shared" si="117"/>
        <v>3.9999999999999998E-7</v>
      </c>
      <c r="S952" s="347" t="str">
        <f t="shared" si="118"/>
        <v>-</v>
      </c>
      <c r="T952" s="347">
        <f t="shared" si="119"/>
        <v>0</v>
      </c>
      <c r="U952" s="347">
        <f>HLOOKUP(Apoio!$P$12,$D$854:$P$955,X952,FALSE)+Q952</f>
        <v>3.9999999999999998E-7</v>
      </c>
      <c r="V952" s="447" t="str">
        <f t="shared" si="120"/>
        <v>-</v>
      </c>
      <c r="W952" s="448">
        <f>HLOOKUP(Apoio!$P$12,$D$854:$P$955,X952,FALSE)</f>
        <v>0</v>
      </c>
      <c r="X952" s="329">
        <v>99</v>
      </c>
    </row>
    <row r="953" spans="2:50" ht="30.05" customHeight="1" x14ac:dyDescent="0.35">
      <c r="B953" s="204" t="str">
        <f>'CAD_PL_REC-DESP'!AC102</f>
        <v>2.7.98</v>
      </c>
      <c r="C953" s="205" t="str">
        <f>IF('CAD_PL_REC-DESP'!AD102="","-",'CAD_PL_REC-DESP'!AD102)</f>
        <v>-</v>
      </c>
      <c r="D953" s="206">
        <f>SUMIFS(LANÇ_MOV[VALOR LÍQUIDO],LANÇ_MOV[RECEITA OU DESPESA],"Despesa",LANÇ_MOV[CONTAS],$C953,LANÇ_MOV[PLANO DE CONTAS],REL_DRE_FINANCEIRO!$B$855,LANÇ_MOV[ANO PAGAMENTO],$B$4,LANÇ_MOV[MÊS PAGAMENTO CORRESPONDENTE],D$6,LANÇ_MOV[EMPRESA],$C$4,LANÇ_MOV[CENTRO DE CUSTOS],$D$4)</f>
        <v>0</v>
      </c>
      <c r="E953" s="206">
        <f>SUMIFS(LANÇ_MOV[VALOR LÍQUIDO],LANÇ_MOV[RECEITA OU DESPESA],"Despesa",LANÇ_MOV[CONTAS],$C953,LANÇ_MOV[PLANO DE CONTAS],REL_DRE_FINANCEIRO!$B$855,LANÇ_MOV[ANO PAGAMENTO],$B$4,LANÇ_MOV[MÊS PAGAMENTO CORRESPONDENTE],E$6,LANÇ_MOV[EMPRESA],$C$4,LANÇ_MOV[CENTRO DE CUSTOS],$D$4)</f>
        <v>0</v>
      </c>
      <c r="F953" s="206">
        <f>SUMIFS(LANÇ_MOV[VALOR LÍQUIDO],LANÇ_MOV[RECEITA OU DESPESA],"Despesa",LANÇ_MOV[CONTAS],$C953,LANÇ_MOV[PLANO DE CONTAS],REL_DRE_FINANCEIRO!$B$855,LANÇ_MOV[ANO PAGAMENTO],$B$4,LANÇ_MOV[MÊS PAGAMENTO CORRESPONDENTE],F$6,LANÇ_MOV[EMPRESA],$C$4,LANÇ_MOV[CENTRO DE CUSTOS],$D$4)</f>
        <v>0</v>
      </c>
      <c r="G953" s="206">
        <f>SUMIFS(LANÇ_MOV[VALOR LÍQUIDO],LANÇ_MOV[RECEITA OU DESPESA],"Despesa",LANÇ_MOV[CONTAS],$C953,LANÇ_MOV[PLANO DE CONTAS],REL_DRE_FINANCEIRO!$B$855,LANÇ_MOV[ANO PAGAMENTO],$B$4,LANÇ_MOV[MÊS PAGAMENTO CORRESPONDENTE],G$6,LANÇ_MOV[EMPRESA],$C$4,LANÇ_MOV[CENTRO DE CUSTOS],$D$4)</f>
        <v>0</v>
      </c>
      <c r="H953" s="206">
        <f>SUMIFS(LANÇ_MOV[VALOR LÍQUIDO],LANÇ_MOV[RECEITA OU DESPESA],"Despesa",LANÇ_MOV[CONTAS],$C953,LANÇ_MOV[PLANO DE CONTAS],REL_DRE_FINANCEIRO!$B$855,LANÇ_MOV[ANO PAGAMENTO],$B$4,LANÇ_MOV[MÊS PAGAMENTO CORRESPONDENTE],H$6,LANÇ_MOV[EMPRESA],$C$4,LANÇ_MOV[CENTRO DE CUSTOS],$D$4)</f>
        <v>0</v>
      </c>
      <c r="I953" s="206">
        <f>SUMIFS(LANÇ_MOV[VALOR LÍQUIDO],LANÇ_MOV[RECEITA OU DESPESA],"Despesa",LANÇ_MOV[CONTAS],$C953,LANÇ_MOV[PLANO DE CONTAS],REL_DRE_FINANCEIRO!$B$855,LANÇ_MOV[ANO PAGAMENTO],$B$4,LANÇ_MOV[MÊS PAGAMENTO CORRESPONDENTE],I$6,LANÇ_MOV[EMPRESA],$C$4,LANÇ_MOV[CENTRO DE CUSTOS],$D$4)</f>
        <v>0</v>
      </c>
      <c r="J953" s="206">
        <f>SUMIFS(LANÇ_MOV[VALOR LÍQUIDO],LANÇ_MOV[RECEITA OU DESPESA],"Despesa",LANÇ_MOV[CONTAS],$C953,LANÇ_MOV[PLANO DE CONTAS],REL_DRE_FINANCEIRO!$B$855,LANÇ_MOV[ANO PAGAMENTO],$B$4,LANÇ_MOV[MÊS PAGAMENTO CORRESPONDENTE],J$6,LANÇ_MOV[EMPRESA],$C$4,LANÇ_MOV[CENTRO DE CUSTOS],$D$4)</f>
        <v>0</v>
      </c>
      <c r="K953" s="206">
        <f>SUMIFS(LANÇ_MOV[VALOR LÍQUIDO],LANÇ_MOV[RECEITA OU DESPESA],"Despesa",LANÇ_MOV[CONTAS],$C953,LANÇ_MOV[PLANO DE CONTAS],REL_DRE_FINANCEIRO!$B$855,LANÇ_MOV[ANO PAGAMENTO],$B$4,LANÇ_MOV[MÊS PAGAMENTO CORRESPONDENTE],K$6,LANÇ_MOV[EMPRESA],$C$4,LANÇ_MOV[CENTRO DE CUSTOS],$D$4)</f>
        <v>0</v>
      </c>
      <c r="L953" s="206">
        <f>SUMIFS(LANÇ_MOV[VALOR LÍQUIDO],LANÇ_MOV[RECEITA OU DESPESA],"Despesa",LANÇ_MOV[CONTAS],$C953,LANÇ_MOV[PLANO DE CONTAS],REL_DRE_FINANCEIRO!$B$855,LANÇ_MOV[ANO PAGAMENTO],$B$4,LANÇ_MOV[MÊS PAGAMENTO CORRESPONDENTE],L$6,LANÇ_MOV[EMPRESA],$C$4,LANÇ_MOV[CENTRO DE CUSTOS],$D$4)</f>
        <v>0</v>
      </c>
      <c r="M953" s="206">
        <f>SUMIFS(LANÇ_MOV[VALOR LÍQUIDO],LANÇ_MOV[RECEITA OU DESPESA],"Despesa",LANÇ_MOV[CONTAS],$C953,LANÇ_MOV[PLANO DE CONTAS],REL_DRE_FINANCEIRO!$B$855,LANÇ_MOV[ANO PAGAMENTO],$B$4,LANÇ_MOV[MÊS PAGAMENTO CORRESPONDENTE],M$6,LANÇ_MOV[EMPRESA],$C$4,LANÇ_MOV[CENTRO DE CUSTOS],$D$4)</f>
        <v>0</v>
      </c>
      <c r="N953" s="206">
        <f>SUMIFS(LANÇ_MOV[VALOR LÍQUIDO],LANÇ_MOV[RECEITA OU DESPESA],"Despesa",LANÇ_MOV[CONTAS],$C953,LANÇ_MOV[PLANO DE CONTAS],REL_DRE_FINANCEIRO!$B$855,LANÇ_MOV[ANO PAGAMENTO],$B$4,LANÇ_MOV[MÊS PAGAMENTO CORRESPONDENTE],N$6,LANÇ_MOV[EMPRESA],$C$4,LANÇ_MOV[CENTRO DE CUSTOS],$D$4)</f>
        <v>0</v>
      </c>
      <c r="O953" s="206">
        <f>SUMIFS(LANÇ_MOV[VALOR LÍQUIDO],LANÇ_MOV[RECEITA OU DESPESA],"Despesa",LANÇ_MOV[CONTAS],$C953,LANÇ_MOV[PLANO DE CONTAS],REL_DRE_FINANCEIRO!$B$855,LANÇ_MOV[ANO PAGAMENTO],$B$4,LANÇ_MOV[MÊS PAGAMENTO CORRESPONDENTE],O$6,LANÇ_MOV[EMPRESA],$C$4,LANÇ_MOV[CENTRO DE CUSTOS],$D$4)</f>
        <v>0</v>
      </c>
      <c r="P953" s="207">
        <f t="shared" si="116"/>
        <v>0</v>
      </c>
      <c r="Q953" s="329">
        <v>2.9999999999999999E-7</v>
      </c>
      <c r="R953" s="346">
        <f t="shared" si="117"/>
        <v>2.9999999999999999E-7</v>
      </c>
      <c r="S953" s="347" t="str">
        <f t="shared" si="118"/>
        <v>-</v>
      </c>
      <c r="T953" s="347">
        <f t="shared" si="119"/>
        <v>0</v>
      </c>
      <c r="U953" s="347">
        <f>HLOOKUP(Apoio!$P$12,$D$854:$P$955,X953,FALSE)+Q953</f>
        <v>2.9999999999999999E-7</v>
      </c>
      <c r="V953" s="447" t="str">
        <f t="shared" si="120"/>
        <v>-</v>
      </c>
      <c r="W953" s="448">
        <f>HLOOKUP(Apoio!$P$12,$D$854:$P$955,X953,FALSE)</f>
        <v>0</v>
      </c>
      <c r="X953" s="329">
        <v>100</v>
      </c>
    </row>
    <row r="954" spans="2:50" ht="30.05" customHeight="1" x14ac:dyDescent="0.35">
      <c r="B954" s="204" t="str">
        <f>'CAD_PL_REC-DESP'!AC103</f>
        <v>2.7.99</v>
      </c>
      <c r="C954" s="205" t="str">
        <f>IF('CAD_PL_REC-DESP'!AD103="","-",'CAD_PL_REC-DESP'!AD103)</f>
        <v>-</v>
      </c>
      <c r="D954" s="206">
        <f>SUMIFS(LANÇ_MOV[VALOR LÍQUIDO],LANÇ_MOV[RECEITA OU DESPESA],"Despesa",LANÇ_MOV[CONTAS],$C954,LANÇ_MOV[PLANO DE CONTAS],REL_DRE_FINANCEIRO!$B$855,LANÇ_MOV[ANO PAGAMENTO],$B$4,LANÇ_MOV[MÊS PAGAMENTO CORRESPONDENTE],D$6,LANÇ_MOV[EMPRESA],$C$4,LANÇ_MOV[CENTRO DE CUSTOS],$D$4)</f>
        <v>0</v>
      </c>
      <c r="E954" s="206">
        <f>SUMIFS(LANÇ_MOV[VALOR LÍQUIDO],LANÇ_MOV[RECEITA OU DESPESA],"Despesa",LANÇ_MOV[CONTAS],$C954,LANÇ_MOV[PLANO DE CONTAS],REL_DRE_FINANCEIRO!$B$855,LANÇ_MOV[ANO PAGAMENTO],$B$4,LANÇ_MOV[MÊS PAGAMENTO CORRESPONDENTE],E$6,LANÇ_MOV[EMPRESA],$C$4,LANÇ_MOV[CENTRO DE CUSTOS],$D$4)</f>
        <v>0</v>
      </c>
      <c r="F954" s="206">
        <f>SUMIFS(LANÇ_MOV[VALOR LÍQUIDO],LANÇ_MOV[RECEITA OU DESPESA],"Despesa",LANÇ_MOV[CONTAS],$C954,LANÇ_MOV[PLANO DE CONTAS],REL_DRE_FINANCEIRO!$B$855,LANÇ_MOV[ANO PAGAMENTO],$B$4,LANÇ_MOV[MÊS PAGAMENTO CORRESPONDENTE],F$6,LANÇ_MOV[EMPRESA],$C$4,LANÇ_MOV[CENTRO DE CUSTOS],$D$4)</f>
        <v>0</v>
      </c>
      <c r="G954" s="206">
        <f>SUMIFS(LANÇ_MOV[VALOR LÍQUIDO],LANÇ_MOV[RECEITA OU DESPESA],"Despesa",LANÇ_MOV[CONTAS],$C954,LANÇ_MOV[PLANO DE CONTAS],REL_DRE_FINANCEIRO!$B$855,LANÇ_MOV[ANO PAGAMENTO],$B$4,LANÇ_MOV[MÊS PAGAMENTO CORRESPONDENTE],G$6,LANÇ_MOV[EMPRESA],$C$4,LANÇ_MOV[CENTRO DE CUSTOS],$D$4)</f>
        <v>0</v>
      </c>
      <c r="H954" s="206">
        <f>SUMIFS(LANÇ_MOV[VALOR LÍQUIDO],LANÇ_MOV[RECEITA OU DESPESA],"Despesa",LANÇ_MOV[CONTAS],$C954,LANÇ_MOV[PLANO DE CONTAS],REL_DRE_FINANCEIRO!$B$855,LANÇ_MOV[ANO PAGAMENTO],$B$4,LANÇ_MOV[MÊS PAGAMENTO CORRESPONDENTE],H$6,LANÇ_MOV[EMPRESA],$C$4,LANÇ_MOV[CENTRO DE CUSTOS],$D$4)</f>
        <v>0</v>
      </c>
      <c r="I954" s="206">
        <f>SUMIFS(LANÇ_MOV[VALOR LÍQUIDO],LANÇ_MOV[RECEITA OU DESPESA],"Despesa",LANÇ_MOV[CONTAS],$C954,LANÇ_MOV[PLANO DE CONTAS],REL_DRE_FINANCEIRO!$B$855,LANÇ_MOV[ANO PAGAMENTO],$B$4,LANÇ_MOV[MÊS PAGAMENTO CORRESPONDENTE],I$6,LANÇ_MOV[EMPRESA],$C$4,LANÇ_MOV[CENTRO DE CUSTOS],$D$4)</f>
        <v>0</v>
      </c>
      <c r="J954" s="206">
        <f>SUMIFS(LANÇ_MOV[VALOR LÍQUIDO],LANÇ_MOV[RECEITA OU DESPESA],"Despesa",LANÇ_MOV[CONTAS],$C954,LANÇ_MOV[PLANO DE CONTAS],REL_DRE_FINANCEIRO!$B$855,LANÇ_MOV[ANO PAGAMENTO],$B$4,LANÇ_MOV[MÊS PAGAMENTO CORRESPONDENTE],J$6,LANÇ_MOV[EMPRESA],$C$4,LANÇ_MOV[CENTRO DE CUSTOS],$D$4)</f>
        <v>0</v>
      </c>
      <c r="K954" s="206">
        <f>SUMIFS(LANÇ_MOV[VALOR LÍQUIDO],LANÇ_MOV[RECEITA OU DESPESA],"Despesa",LANÇ_MOV[CONTAS],$C954,LANÇ_MOV[PLANO DE CONTAS],REL_DRE_FINANCEIRO!$B$855,LANÇ_MOV[ANO PAGAMENTO],$B$4,LANÇ_MOV[MÊS PAGAMENTO CORRESPONDENTE],K$6,LANÇ_MOV[EMPRESA],$C$4,LANÇ_MOV[CENTRO DE CUSTOS],$D$4)</f>
        <v>0</v>
      </c>
      <c r="L954" s="206">
        <f>SUMIFS(LANÇ_MOV[VALOR LÍQUIDO],LANÇ_MOV[RECEITA OU DESPESA],"Despesa",LANÇ_MOV[CONTAS],$C954,LANÇ_MOV[PLANO DE CONTAS],REL_DRE_FINANCEIRO!$B$855,LANÇ_MOV[ANO PAGAMENTO],$B$4,LANÇ_MOV[MÊS PAGAMENTO CORRESPONDENTE],L$6,LANÇ_MOV[EMPRESA],$C$4,LANÇ_MOV[CENTRO DE CUSTOS],$D$4)</f>
        <v>0</v>
      </c>
      <c r="M954" s="206">
        <f>SUMIFS(LANÇ_MOV[VALOR LÍQUIDO],LANÇ_MOV[RECEITA OU DESPESA],"Despesa",LANÇ_MOV[CONTAS],$C954,LANÇ_MOV[PLANO DE CONTAS],REL_DRE_FINANCEIRO!$B$855,LANÇ_MOV[ANO PAGAMENTO],$B$4,LANÇ_MOV[MÊS PAGAMENTO CORRESPONDENTE],M$6,LANÇ_MOV[EMPRESA],$C$4,LANÇ_MOV[CENTRO DE CUSTOS],$D$4)</f>
        <v>0</v>
      </c>
      <c r="N954" s="206">
        <f>SUMIFS(LANÇ_MOV[VALOR LÍQUIDO],LANÇ_MOV[RECEITA OU DESPESA],"Despesa",LANÇ_MOV[CONTAS],$C954,LANÇ_MOV[PLANO DE CONTAS],REL_DRE_FINANCEIRO!$B$855,LANÇ_MOV[ANO PAGAMENTO],$B$4,LANÇ_MOV[MÊS PAGAMENTO CORRESPONDENTE],N$6,LANÇ_MOV[EMPRESA],$C$4,LANÇ_MOV[CENTRO DE CUSTOS],$D$4)</f>
        <v>0</v>
      </c>
      <c r="O954" s="206">
        <f>SUMIFS(LANÇ_MOV[VALOR LÍQUIDO],LANÇ_MOV[RECEITA OU DESPESA],"Despesa",LANÇ_MOV[CONTAS],$C954,LANÇ_MOV[PLANO DE CONTAS],REL_DRE_FINANCEIRO!$B$855,LANÇ_MOV[ANO PAGAMENTO],$B$4,LANÇ_MOV[MÊS PAGAMENTO CORRESPONDENTE],O$6,LANÇ_MOV[EMPRESA],$C$4,LANÇ_MOV[CENTRO DE CUSTOS],$D$4)</f>
        <v>0</v>
      </c>
      <c r="P954" s="207">
        <f t="shared" si="116"/>
        <v>0</v>
      </c>
      <c r="Q954" s="329">
        <v>1.9999999999999999E-7</v>
      </c>
      <c r="R954" s="346">
        <f t="shared" si="117"/>
        <v>1.9999999999999999E-7</v>
      </c>
      <c r="S954" s="347" t="str">
        <f t="shared" si="118"/>
        <v>-</v>
      </c>
      <c r="T954" s="347">
        <f t="shared" si="119"/>
        <v>0</v>
      </c>
      <c r="U954" s="347">
        <f>HLOOKUP(Apoio!$P$12,$D$854:$P$955,X954,FALSE)+Q954</f>
        <v>1.9999999999999999E-7</v>
      </c>
      <c r="V954" s="447" t="str">
        <f t="shared" si="120"/>
        <v>-</v>
      </c>
      <c r="W954" s="448">
        <f>HLOOKUP(Apoio!$P$12,$D$854:$P$955,X954,FALSE)</f>
        <v>0</v>
      </c>
      <c r="X954" s="329">
        <v>101</v>
      </c>
    </row>
    <row r="955" spans="2:50" ht="30.05" customHeight="1" x14ac:dyDescent="0.35">
      <c r="B955" s="204" t="str">
        <f>'CAD_PL_REC-DESP'!AC104</f>
        <v>2.7.100</v>
      </c>
      <c r="C955" s="205" t="str">
        <f>IF('CAD_PL_REC-DESP'!AD104="","-",'CAD_PL_REC-DESP'!AD104)</f>
        <v>-</v>
      </c>
      <c r="D955" s="206">
        <f>SUMIFS(LANÇ_MOV[VALOR LÍQUIDO],LANÇ_MOV[RECEITA OU DESPESA],"Despesa",LANÇ_MOV[CONTAS],$C955,LANÇ_MOV[PLANO DE CONTAS],REL_DRE_FINANCEIRO!$B$855,LANÇ_MOV[ANO PAGAMENTO],$B$4,LANÇ_MOV[MÊS PAGAMENTO CORRESPONDENTE],D$6,LANÇ_MOV[EMPRESA],$C$4,LANÇ_MOV[CENTRO DE CUSTOS],$D$4)</f>
        <v>0</v>
      </c>
      <c r="E955" s="206">
        <f>SUMIFS(LANÇ_MOV[VALOR LÍQUIDO],LANÇ_MOV[RECEITA OU DESPESA],"Despesa",LANÇ_MOV[CONTAS],$C955,LANÇ_MOV[PLANO DE CONTAS],REL_DRE_FINANCEIRO!$B$855,LANÇ_MOV[ANO PAGAMENTO],$B$4,LANÇ_MOV[MÊS PAGAMENTO CORRESPONDENTE],E$6,LANÇ_MOV[EMPRESA],$C$4,LANÇ_MOV[CENTRO DE CUSTOS],$D$4)</f>
        <v>0</v>
      </c>
      <c r="F955" s="206">
        <f>SUMIFS(LANÇ_MOV[VALOR LÍQUIDO],LANÇ_MOV[RECEITA OU DESPESA],"Despesa",LANÇ_MOV[CONTAS],$C955,LANÇ_MOV[PLANO DE CONTAS],REL_DRE_FINANCEIRO!$B$855,LANÇ_MOV[ANO PAGAMENTO],$B$4,LANÇ_MOV[MÊS PAGAMENTO CORRESPONDENTE],F$6,LANÇ_MOV[EMPRESA],$C$4,LANÇ_MOV[CENTRO DE CUSTOS],$D$4)</f>
        <v>0</v>
      </c>
      <c r="G955" s="206">
        <f>SUMIFS(LANÇ_MOV[VALOR LÍQUIDO],LANÇ_MOV[RECEITA OU DESPESA],"Despesa",LANÇ_MOV[CONTAS],$C955,LANÇ_MOV[PLANO DE CONTAS],REL_DRE_FINANCEIRO!$B$855,LANÇ_MOV[ANO PAGAMENTO],$B$4,LANÇ_MOV[MÊS PAGAMENTO CORRESPONDENTE],G$6,LANÇ_MOV[EMPRESA],$C$4,LANÇ_MOV[CENTRO DE CUSTOS],$D$4)</f>
        <v>0</v>
      </c>
      <c r="H955" s="206">
        <f>SUMIFS(LANÇ_MOV[VALOR LÍQUIDO],LANÇ_MOV[RECEITA OU DESPESA],"Despesa",LANÇ_MOV[CONTAS],$C955,LANÇ_MOV[PLANO DE CONTAS],REL_DRE_FINANCEIRO!$B$855,LANÇ_MOV[ANO PAGAMENTO],$B$4,LANÇ_MOV[MÊS PAGAMENTO CORRESPONDENTE],H$6,LANÇ_MOV[EMPRESA],$C$4,LANÇ_MOV[CENTRO DE CUSTOS],$D$4)</f>
        <v>0</v>
      </c>
      <c r="I955" s="206">
        <f>SUMIFS(LANÇ_MOV[VALOR LÍQUIDO],LANÇ_MOV[RECEITA OU DESPESA],"Despesa",LANÇ_MOV[CONTAS],$C955,LANÇ_MOV[PLANO DE CONTAS],REL_DRE_FINANCEIRO!$B$855,LANÇ_MOV[ANO PAGAMENTO],$B$4,LANÇ_MOV[MÊS PAGAMENTO CORRESPONDENTE],I$6,LANÇ_MOV[EMPRESA],$C$4,LANÇ_MOV[CENTRO DE CUSTOS],$D$4)</f>
        <v>0</v>
      </c>
      <c r="J955" s="206">
        <f>SUMIFS(LANÇ_MOV[VALOR LÍQUIDO],LANÇ_MOV[RECEITA OU DESPESA],"Despesa",LANÇ_MOV[CONTAS],$C955,LANÇ_MOV[PLANO DE CONTAS],REL_DRE_FINANCEIRO!$B$855,LANÇ_MOV[ANO PAGAMENTO],$B$4,LANÇ_MOV[MÊS PAGAMENTO CORRESPONDENTE],J$6,LANÇ_MOV[EMPRESA],$C$4,LANÇ_MOV[CENTRO DE CUSTOS],$D$4)</f>
        <v>0</v>
      </c>
      <c r="K955" s="206">
        <f>SUMIFS(LANÇ_MOV[VALOR LÍQUIDO],LANÇ_MOV[RECEITA OU DESPESA],"Despesa",LANÇ_MOV[CONTAS],$C955,LANÇ_MOV[PLANO DE CONTAS],REL_DRE_FINANCEIRO!$B$855,LANÇ_MOV[ANO PAGAMENTO],$B$4,LANÇ_MOV[MÊS PAGAMENTO CORRESPONDENTE],K$6,LANÇ_MOV[EMPRESA],$C$4,LANÇ_MOV[CENTRO DE CUSTOS],$D$4)</f>
        <v>0</v>
      </c>
      <c r="L955" s="206">
        <f>SUMIFS(LANÇ_MOV[VALOR LÍQUIDO],LANÇ_MOV[RECEITA OU DESPESA],"Despesa",LANÇ_MOV[CONTAS],$C955,LANÇ_MOV[PLANO DE CONTAS],REL_DRE_FINANCEIRO!$B$855,LANÇ_MOV[ANO PAGAMENTO],$B$4,LANÇ_MOV[MÊS PAGAMENTO CORRESPONDENTE],L$6,LANÇ_MOV[EMPRESA],$C$4,LANÇ_MOV[CENTRO DE CUSTOS],$D$4)</f>
        <v>0</v>
      </c>
      <c r="M955" s="206">
        <f>SUMIFS(LANÇ_MOV[VALOR LÍQUIDO],LANÇ_MOV[RECEITA OU DESPESA],"Despesa",LANÇ_MOV[CONTAS],$C955,LANÇ_MOV[PLANO DE CONTAS],REL_DRE_FINANCEIRO!$B$855,LANÇ_MOV[ANO PAGAMENTO],$B$4,LANÇ_MOV[MÊS PAGAMENTO CORRESPONDENTE],M$6,LANÇ_MOV[EMPRESA],$C$4,LANÇ_MOV[CENTRO DE CUSTOS],$D$4)</f>
        <v>0</v>
      </c>
      <c r="N955" s="206">
        <f>SUMIFS(LANÇ_MOV[VALOR LÍQUIDO],LANÇ_MOV[RECEITA OU DESPESA],"Despesa",LANÇ_MOV[CONTAS],$C955,LANÇ_MOV[PLANO DE CONTAS],REL_DRE_FINANCEIRO!$B$855,LANÇ_MOV[ANO PAGAMENTO],$B$4,LANÇ_MOV[MÊS PAGAMENTO CORRESPONDENTE],N$6,LANÇ_MOV[EMPRESA],$C$4,LANÇ_MOV[CENTRO DE CUSTOS],$D$4)</f>
        <v>0</v>
      </c>
      <c r="O955" s="206">
        <f>SUMIFS(LANÇ_MOV[VALOR LÍQUIDO],LANÇ_MOV[RECEITA OU DESPESA],"Despesa",LANÇ_MOV[CONTAS],$C955,LANÇ_MOV[PLANO DE CONTAS],REL_DRE_FINANCEIRO!$B$855,LANÇ_MOV[ANO PAGAMENTO],$B$4,LANÇ_MOV[MÊS PAGAMENTO CORRESPONDENTE],O$6,LANÇ_MOV[EMPRESA],$C$4,LANÇ_MOV[CENTRO DE CUSTOS],$D$4)</f>
        <v>0</v>
      </c>
      <c r="P955" s="207">
        <f t="shared" si="116"/>
        <v>0</v>
      </c>
      <c r="Q955" s="329">
        <v>9.9999999999999995E-8</v>
      </c>
      <c r="R955" s="346">
        <f t="shared" si="117"/>
        <v>9.9999999999999995E-8</v>
      </c>
      <c r="S955" s="347" t="str">
        <f t="shared" si="118"/>
        <v>-</v>
      </c>
      <c r="T955" s="347">
        <f t="shared" si="119"/>
        <v>0</v>
      </c>
      <c r="U955" s="347">
        <f>HLOOKUP(Apoio!$P$12,$D$854:$P$955,X955,FALSE)+Q955</f>
        <v>9.9999999999999995E-8</v>
      </c>
      <c r="V955" s="447" t="str">
        <f t="shared" si="120"/>
        <v>-</v>
      </c>
      <c r="W955" s="448">
        <f>HLOOKUP(Apoio!$P$12,$D$854:$P$955,X955,FALSE)</f>
        <v>0</v>
      </c>
      <c r="X955" s="329">
        <v>102</v>
      </c>
    </row>
    <row r="956" spans="2:50" s="110" customFormat="1" ht="6.75" customHeight="1" thickBot="1" x14ac:dyDescent="0.4">
      <c r="B956" s="111"/>
      <c r="C956" s="111"/>
      <c r="D956" s="25" t="s">
        <v>1044</v>
      </c>
      <c r="E956" s="25" t="s">
        <v>1045</v>
      </c>
      <c r="F956" s="25" t="s">
        <v>1046</v>
      </c>
      <c r="G956" s="25" t="s">
        <v>1047</v>
      </c>
      <c r="H956" s="25" t="s">
        <v>1048</v>
      </c>
      <c r="I956" s="25" t="s">
        <v>1049</v>
      </c>
      <c r="J956" s="25" t="s">
        <v>1050</v>
      </c>
      <c r="K956" s="25" t="s">
        <v>1051</v>
      </c>
      <c r="L956" s="25" t="s">
        <v>1052</v>
      </c>
      <c r="M956" s="25" t="s">
        <v>1053</v>
      </c>
      <c r="N956" s="25" t="s">
        <v>1054</v>
      </c>
      <c r="O956" s="25" t="s">
        <v>1055</v>
      </c>
      <c r="P956" s="135" t="s">
        <v>1198</v>
      </c>
      <c r="Q956" s="329"/>
      <c r="R956" s="346"/>
      <c r="S956" s="347"/>
      <c r="T956" s="347"/>
      <c r="U956" s="347"/>
      <c r="V956" s="447"/>
      <c r="W956" s="448"/>
      <c r="X956" s="346"/>
      <c r="Y956" s="329"/>
      <c r="Z956" s="340"/>
      <c r="AA956" s="340"/>
      <c r="AB956" s="340"/>
      <c r="AC956" s="437"/>
      <c r="AD956" s="340"/>
      <c r="AE956" s="340"/>
      <c r="AF956" s="25"/>
      <c r="AG956" s="25"/>
      <c r="AH956" s="25"/>
      <c r="AI956" s="25"/>
      <c r="AJ956" s="25"/>
      <c r="AK956" s="25"/>
      <c r="AL956" s="25"/>
      <c r="AM956" s="25"/>
      <c r="AN956" s="25"/>
      <c r="AO956" s="25"/>
      <c r="AP956" s="25"/>
      <c r="AQ956" s="25"/>
      <c r="AR956" s="25"/>
      <c r="AS956" s="25"/>
      <c r="AT956" s="25"/>
      <c r="AU956" s="25"/>
      <c r="AV956" s="25"/>
      <c r="AW956" s="25"/>
      <c r="AX956" s="25"/>
    </row>
    <row r="957" spans="2:50" ht="30.05" customHeight="1" thickTop="1" x14ac:dyDescent="0.35">
      <c r="B957" s="601" t="str">
        <f>'CAD_PL_REC-DESP'!AG4</f>
        <v>ENDIVIDAMENTOS</v>
      </c>
      <c r="C957" s="602"/>
      <c r="D957" s="203">
        <f>SUM(D958:D1057)</f>
        <v>0</v>
      </c>
      <c r="E957" s="203">
        <f t="shared" ref="E957:O957" si="121">SUM(E958:E1057)</f>
        <v>0</v>
      </c>
      <c r="F957" s="203">
        <f t="shared" si="121"/>
        <v>0</v>
      </c>
      <c r="G957" s="203">
        <f t="shared" si="121"/>
        <v>0</v>
      </c>
      <c r="H957" s="203">
        <f t="shared" si="121"/>
        <v>0</v>
      </c>
      <c r="I957" s="203">
        <f t="shared" si="121"/>
        <v>0</v>
      </c>
      <c r="J957" s="203">
        <f t="shared" si="121"/>
        <v>0</v>
      </c>
      <c r="K957" s="203">
        <f t="shared" si="121"/>
        <v>0</v>
      </c>
      <c r="L957" s="203">
        <f t="shared" si="121"/>
        <v>0</v>
      </c>
      <c r="M957" s="203">
        <f t="shared" si="121"/>
        <v>0</v>
      </c>
      <c r="N957" s="203">
        <f t="shared" si="121"/>
        <v>0</v>
      </c>
      <c r="O957" s="203">
        <f t="shared" si="121"/>
        <v>0</v>
      </c>
      <c r="P957" s="203">
        <f>SUM(D957:O957)</f>
        <v>0</v>
      </c>
      <c r="R957" s="346"/>
      <c r="S957" s="347"/>
      <c r="T957" s="347"/>
      <c r="U957" s="347"/>
      <c r="V957" s="447"/>
      <c r="W957" s="448"/>
      <c r="X957" s="346"/>
    </row>
    <row r="958" spans="2:50" ht="30.05" customHeight="1" x14ac:dyDescent="0.35">
      <c r="B958" s="204" t="str">
        <f>'CAD_PL_REC-DESP'!AF5</f>
        <v>2.8.1</v>
      </c>
      <c r="C958" s="205" t="str">
        <f>IF('CAD_PL_REC-DESP'!AG5="","-",'CAD_PL_REC-DESP'!AG5)</f>
        <v>CLT</v>
      </c>
      <c r="D958" s="206">
        <f>SUMIFS(LANÇ_MOV[VALOR LÍQUIDO],LANÇ_MOV[RECEITA OU DESPESA],"Despesa",LANÇ_MOV[CONTAS],$C958,LANÇ_MOV[PLANO DE CONTAS],REL_DRE_FINANCEIRO!$B$957,LANÇ_MOV[ANO PAGAMENTO],$B$4,LANÇ_MOV[MÊS PAGAMENTO CORRESPONDENTE],D$6,LANÇ_MOV[EMPRESA],$C$4,LANÇ_MOV[CENTRO DE CUSTOS],$D$4)</f>
        <v>0</v>
      </c>
      <c r="E958" s="206">
        <f>SUMIFS(LANÇ_MOV[VALOR LÍQUIDO],LANÇ_MOV[RECEITA OU DESPESA],"Despesa",LANÇ_MOV[CONTAS],$C958,LANÇ_MOV[PLANO DE CONTAS],REL_DRE_FINANCEIRO!$B$957,LANÇ_MOV[ANO PAGAMENTO],$B$4,LANÇ_MOV[MÊS PAGAMENTO CORRESPONDENTE],E$6,LANÇ_MOV[EMPRESA],$C$4,LANÇ_MOV[CENTRO DE CUSTOS],$D$4)</f>
        <v>0</v>
      </c>
      <c r="F958" s="206">
        <f>SUMIFS(LANÇ_MOV[VALOR LÍQUIDO],LANÇ_MOV[RECEITA OU DESPESA],"Despesa",LANÇ_MOV[CONTAS],$C958,LANÇ_MOV[PLANO DE CONTAS],REL_DRE_FINANCEIRO!$B$957,LANÇ_MOV[ANO PAGAMENTO],$B$4,LANÇ_MOV[MÊS PAGAMENTO CORRESPONDENTE],F$6,LANÇ_MOV[EMPRESA],$C$4,LANÇ_MOV[CENTRO DE CUSTOS],$D$4)</f>
        <v>0</v>
      </c>
      <c r="G958" s="206">
        <f>SUMIFS(LANÇ_MOV[VALOR LÍQUIDO],LANÇ_MOV[RECEITA OU DESPESA],"Despesa",LANÇ_MOV[CONTAS],$C958,LANÇ_MOV[PLANO DE CONTAS],REL_DRE_FINANCEIRO!$B$957,LANÇ_MOV[ANO PAGAMENTO],$B$4,LANÇ_MOV[MÊS PAGAMENTO CORRESPONDENTE],G$6,LANÇ_MOV[EMPRESA],$C$4,LANÇ_MOV[CENTRO DE CUSTOS],$D$4)</f>
        <v>0</v>
      </c>
      <c r="H958" s="206">
        <f>SUMIFS(LANÇ_MOV[VALOR LÍQUIDO],LANÇ_MOV[RECEITA OU DESPESA],"Despesa",LANÇ_MOV[CONTAS],$C958,LANÇ_MOV[PLANO DE CONTAS],REL_DRE_FINANCEIRO!$B$957,LANÇ_MOV[ANO PAGAMENTO],$B$4,LANÇ_MOV[MÊS PAGAMENTO CORRESPONDENTE],H$6,LANÇ_MOV[EMPRESA],$C$4,LANÇ_MOV[CENTRO DE CUSTOS],$D$4)</f>
        <v>0</v>
      </c>
      <c r="I958" s="206">
        <f>SUMIFS(LANÇ_MOV[VALOR LÍQUIDO],LANÇ_MOV[RECEITA OU DESPESA],"Despesa",LANÇ_MOV[CONTAS],$C958,LANÇ_MOV[PLANO DE CONTAS],REL_DRE_FINANCEIRO!$B$957,LANÇ_MOV[ANO PAGAMENTO],$B$4,LANÇ_MOV[MÊS PAGAMENTO CORRESPONDENTE],I$6,LANÇ_MOV[EMPRESA],$C$4,LANÇ_MOV[CENTRO DE CUSTOS],$D$4)</f>
        <v>0</v>
      </c>
      <c r="J958" s="206">
        <f>SUMIFS(LANÇ_MOV[VALOR LÍQUIDO],LANÇ_MOV[RECEITA OU DESPESA],"Despesa",LANÇ_MOV[CONTAS],$C958,LANÇ_MOV[PLANO DE CONTAS],REL_DRE_FINANCEIRO!$B$957,LANÇ_MOV[ANO PAGAMENTO],$B$4,LANÇ_MOV[MÊS PAGAMENTO CORRESPONDENTE],J$6,LANÇ_MOV[EMPRESA],$C$4,LANÇ_MOV[CENTRO DE CUSTOS],$D$4)</f>
        <v>0</v>
      </c>
      <c r="K958" s="206">
        <f>SUMIFS(LANÇ_MOV[VALOR LÍQUIDO],LANÇ_MOV[RECEITA OU DESPESA],"Despesa",LANÇ_MOV[CONTAS],$C958,LANÇ_MOV[PLANO DE CONTAS],REL_DRE_FINANCEIRO!$B$957,LANÇ_MOV[ANO PAGAMENTO],$B$4,LANÇ_MOV[MÊS PAGAMENTO CORRESPONDENTE],K$6,LANÇ_MOV[EMPRESA],$C$4,LANÇ_MOV[CENTRO DE CUSTOS],$D$4)</f>
        <v>0</v>
      </c>
      <c r="L958" s="206">
        <f>SUMIFS(LANÇ_MOV[VALOR LÍQUIDO],LANÇ_MOV[RECEITA OU DESPESA],"Despesa",LANÇ_MOV[CONTAS],$C958,LANÇ_MOV[PLANO DE CONTAS],REL_DRE_FINANCEIRO!$B$957,LANÇ_MOV[ANO PAGAMENTO],$B$4,LANÇ_MOV[MÊS PAGAMENTO CORRESPONDENTE],L$6,LANÇ_MOV[EMPRESA],$C$4,LANÇ_MOV[CENTRO DE CUSTOS],$D$4)</f>
        <v>0</v>
      </c>
      <c r="M958" s="206">
        <f>SUMIFS(LANÇ_MOV[VALOR LÍQUIDO],LANÇ_MOV[RECEITA OU DESPESA],"Despesa",LANÇ_MOV[CONTAS],$C958,LANÇ_MOV[PLANO DE CONTAS],REL_DRE_FINANCEIRO!$B$957,LANÇ_MOV[ANO PAGAMENTO],$B$4,LANÇ_MOV[MÊS PAGAMENTO CORRESPONDENTE],M$6,LANÇ_MOV[EMPRESA],$C$4,LANÇ_MOV[CENTRO DE CUSTOS],$D$4)</f>
        <v>0</v>
      </c>
      <c r="N958" s="206">
        <f>SUMIFS(LANÇ_MOV[VALOR LÍQUIDO],LANÇ_MOV[RECEITA OU DESPESA],"Despesa",LANÇ_MOV[CONTAS],$C958,LANÇ_MOV[PLANO DE CONTAS],REL_DRE_FINANCEIRO!$B$957,LANÇ_MOV[ANO PAGAMENTO],$B$4,LANÇ_MOV[MÊS PAGAMENTO CORRESPONDENTE],N$6,LANÇ_MOV[EMPRESA],$C$4,LANÇ_MOV[CENTRO DE CUSTOS],$D$4)</f>
        <v>0</v>
      </c>
      <c r="O958" s="206">
        <f>SUMIFS(LANÇ_MOV[VALOR LÍQUIDO],LANÇ_MOV[RECEITA OU DESPESA],"Despesa",LANÇ_MOV[CONTAS],$C958,LANÇ_MOV[PLANO DE CONTAS],REL_DRE_FINANCEIRO!$B$957,LANÇ_MOV[ANO PAGAMENTO],$B$4,LANÇ_MOV[MÊS PAGAMENTO CORRESPONDENTE],O$6,LANÇ_MOV[EMPRESA],$C$4,LANÇ_MOV[CENTRO DE CUSTOS],$D$4)</f>
        <v>0</v>
      </c>
      <c r="P958" s="207">
        <f t="shared" ref="P958:P1021" si="122">SUM(D958:O958)</f>
        <v>0</v>
      </c>
      <c r="Q958" s="329">
        <v>1.0000000000000001E-5</v>
      </c>
      <c r="R958" s="346">
        <f t="shared" ref="R958:R1021" si="123">P958+Q958</f>
        <v>1.0000000000000001E-5</v>
      </c>
      <c r="S958" s="347" t="str">
        <f t="shared" ref="S958:S1021" si="124">C958</f>
        <v>CLT</v>
      </c>
      <c r="T958" s="347">
        <f t="shared" ref="T958:T1021" si="125">P958</f>
        <v>0</v>
      </c>
      <c r="U958" s="347">
        <f>HLOOKUP(Apoio!$P$12,$D$956:$P$1057,X958,FALSE)+Q958</f>
        <v>1.0000000000000001E-5</v>
      </c>
      <c r="V958" s="447" t="str">
        <f t="shared" ref="V958:V1021" si="126">S958</f>
        <v>CLT</v>
      </c>
      <c r="W958" s="448">
        <f>HLOOKUP(Apoio!$P$12,$D$956:$P$1057,X958,FALSE)</f>
        <v>0</v>
      </c>
      <c r="X958" s="329">
        <v>3</v>
      </c>
      <c r="Y958" s="329">
        <v>1</v>
      </c>
      <c r="Z958" s="340" t="str">
        <f>VLOOKUP(LARGE($R$958:$R$1057,Y958),$R$958:$S$1057,2,FALSE)</f>
        <v>CLT</v>
      </c>
      <c r="AA958" s="340">
        <f>VLOOKUP(Z958,$S$958:$T$1057,2,FALSE)</f>
        <v>0</v>
      </c>
    </row>
    <row r="959" spans="2:50" ht="30.05" customHeight="1" x14ac:dyDescent="0.35">
      <c r="B959" s="204" t="str">
        <f>'CAD_PL_REC-DESP'!AF6</f>
        <v>2.8.2</v>
      </c>
      <c r="C959" s="205" t="str">
        <f>IF('CAD_PL_REC-DESP'!AG6="","-",'CAD_PL_REC-DESP'!AG6)</f>
        <v>COFINS</v>
      </c>
      <c r="D959" s="206">
        <f>SUMIFS(LANÇ_MOV[VALOR LÍQUIDO],LANÇ_MOV[RECEITA OU DESPESA],"Despesa",LANÇ_MOV[CONTAS],$C959,LANÇ_MOV[PLANO DE CONTAS],REL_DRE_FINANCEIRO!$B$957,LANÇ_MOV[ANO PAGAMENTO],$B$4,LANÇ_MOV[MÊS PAGAMENTO CORRESPONDENTE],D$6,LANÇ_MOV[EMPRESA],$C$4,LANÇ_MOV[CENTRO DE CUSTOS],$D$4)</f>
        <v>0</v>
      </c>
      <c r="E959" s="206">
        <f>SUMIFS(LANÇ_MOV[VALOR LÍQUIDO],LANÇ_MOV[RECEITA OU DESPESA],"Despesa",LANÇ_MOV[CONTAS],$C959,LANÇ_MOV[PLANO DE CONTAS],REL_DRE_FINANCEIRO!$B$957,LANÇ_MOV[ANO PAGAMENTO],$B$4,LANÇ_MOV[MÊS PAGAMENTO CORRESPONDENTE],E$6,LANÇ_MOV[EMPRESA],$C$4,LANÇ_MOV[CENTRO DE CUSTOS],$D$4)</f>
        <v>0</v>
      </c>
      <c r="F959" s="206">
        <f>SUMIFS(LANÇ_MOV[VALOR LÍQUIDO],LANÇ_MOV[RECEITA OU DESPESA],"Despesa",LANÇ_MOV[CONTAS],$C959,LANÇ_MOV[PLANO DE CONTAS],REL_DRE_FINANCEIRO!$B$957,LANÇ_MOV[ANO PAGAMENTO],$B$4,LANÇ_MOV[MÊS PAGAMENTO CORRESPONDENTE],F$6,LANÇ_MOV[EMPRESA],$C$4,LANÇ_MOV[CENTRO DE CUSTOS],$D$4)</f>
        <v>0</v>
      </c>
      <c r="G959" s="206">
        <f>SUMIFS(LANÇ_MOV[VALOR LÍQUIDO],LANÇ_MOV[RECEITA OU DESPESA],"Despesa",LANÇ_MOV[CONTAS],$C959,LANÇ_MOV[PLANO DE CONTAS],REL_DRE_FINANCEIRO!$B$957,LANÇ_MOV[ANO PAGAMENTO],$B$4,LANÇ_MOV[MÊS PAGAMENTO CORRESPONDENTE],G$6,LANÇ_MOV[EMPRESA],$C$4,LANÇ_MOV[CENTRO DE CUSTOS],$D$4)</f>
        <v>0</v>
      </c>
      <c r="H959" s="206">
        <f>SUMIFS(LANÇ_MOV[VALOR LÍQUIDO],LANÇ_MOV[RECEITA OU DESPESA],"Despesa",LANÇ_MOV[CONTAS],$C959,LANÇ_MOV[PLANO DE CONTAS],REL_DRE_FINANCEIRO!$B$957,LANÇ_MOV[ANO PAGAMENTO],$B$4,LANÇ_MOV[MÊS PAGAMENTO CORRESPONDENTE],H$6,LANÇ_MOV[EMPRESA],$C$4,LANÇ_MOV[CENTRO DE CUSTOS],$D$4)</f>
        <v>0</v>
      </c>
      <c r="I959" s="206">
        <f>SUMIFS(LANÇ_MOV[VALOR LÍQUIDO],LANÇ_MOV[RECEITA OU DESPESA],"Despesa",LANÇ_MOV[CONTAS],$C959,LANÇ_MOV[PLANO DE CONTAS],REL_DRE_FINANCEIRO!$B$957,LANÇ_MOV[ANO PAGAMENTO],$B$4,LANÇ_MOV[MÊS PAGAMENTO CORRESPONDENTE],I$6,LANÇ_MOV[EMPRESA],$C$4,LANÇ_MOV[CENTRO DE CUSTOS],$D$4)</f>
        <v>0</v>
      </c>
      <c r="J959" s="206">
        <f>SUMIFS(LANÇ_MOV[VALOR LÍQUIDO],LANÇ_MOV[RECEITA OU DESPESA],"Despesa",LANÇ_MOV[CONTAS],$C959,LANÇ_MOV[PLANO DE CONTAS],REL_DRE_FINANCEIRO!$B$957,LANÇ_MOV[ANO PAGAMENTO],$B$4,LANÇ_MOV[MÊS PAGAMENTO CORRESPONDENTE],J$6,LANÇ_MOV[EMPRESA],$C$4,LANÇ_MOV[CENTRO DE CUSTOS],$D$4)</f>
        <v>0</v>
      </c>
      <c r="K959" s="206">
        <f>SUMIFS(LANÇ_MOV[VALOR LÍQUIDO],LANÇ_MOV[RECEITA OU DESPESA],"Despesa",LANÇ_MOV[CONTAS],$C959,LANÇ_MOV[PLANO DE CONTAS],REL_DRE_FINANCEIRO!$B$957,LANÇ_MOV[ANO PAGAMENTO],$B$4,LANÇ_MOV[MÊS PAGAMENTO CORRESPONDENTE],K$6,LANÇ_MOV[EMPRESA],$C$4,LANÇ_MOV[CENTRO DE CUSTOS],$D$4)</f>
        <v>0</v>
      </c>
      <c r="L959" s="206">
        <f>SUMIFS(LANÇ_MOV[VALOR LÍQUIDO],LANÇ_MOV[RECEITA OU DESPESA],"Despesa",LANÇ_MOV[CONTAS],$C959,LANÇ_MOV[PLANO DE CONTAS],REL_DRE_FINANCEIRO!$B$957,LANÇ_MOV[ANO PAGAMENTO],$B$4,LANÇ_MOV[MÊS PAGAMENTO CORRESPONDENTE],L$6,LANÇ_MOV[EMPRESA],$C$4,LANÇ_MOV[CENTRO DE CUSTOS],$D$4)</f>
        <v>0</v>
      </c>
      <c r="M959" s="206">
        <f>SUMIFS(LANÇ_MOV[VALOR LÍQUIDO],LANÇ_MOV[RECEITA OU DESPESA],"Despesa",LANÇ_MOV[CONTAS],$C959,LANÇ_MOV[PLANO DE CONTAS],REL_DRE_FINANCEIRO!$B$957,LANÇ_MOV[ANO PAGAMENTO],$B$4,LANÇ_MOV[MÊS PAGAMENTO CORRESPONDENTE],M$6,LANÇ_MOV[EMPRESA],$C$4,LANÇ_MOV[CENTRO DE CUSTOS],$D$4)</f>
        <v>0</v>
      </c>
      <c r="N959" s="206">
        <f>SUMIFS(LANÇ_MOV[VALOR LÍQUIDO],LANÇ_MOV[RECEITA OU DESPESA],"Despesa",LANÇ_MOV[CONTAS],$C959,LANÇ_MOV[PLANO DE CONTAS],REL_DRE_FINANCEIRO!$B$957,LANÇ_MOV[ANO PAGAMENTO],$B$4,LANÇ_MOV[MÊS PAGAMENTO CORRESPONDENTE],N$6,LANÇ_MOV[EMPRESA],$C$4,LANÇ_MOV[CENTRO DE CUSTOS],$D$4)</f>
        <v>0</v>
      </c>
      <c r="O959" s="206">
        <f>SUMIFS(LANÇ_MOV[VALOR LÍQUIDO],LANÇ_MOV[RECEITA OU DESPESA],"Despesa",LANÇ_MOV[CONTAS],$C959,LANÇ_MOV[PLANO DE CONTAS],REL_DRE_FINANCEIRO!$B$957,LANÇ_MOV[ANO PAGAMENTO],$B$4,LANÇ_MOV[MÊS PAGAMENTO CORRESPONDENTE],O$6,LANÇ_MOV[EMPRESA],$C$4,LANÇ_MOV[CENTRO DE CUSTOS],$D$4)</f>
        <v>0</v>
      </c>
      <c r="P959" s="207">
        <f t="shared" si="122"/>
        <v>0</v>
      </c>
      <c r="Q959" s="329">
        <v>9.9000000000000001E-6</v>
      </c>
      <c r="R959" s="346">
        <f t="shared" si="123"/>
        <v>9.9000000000000001E-6</v>
      </c>
      <c r="S959" s="347" t="str">
        <f t="shared" si="124"/>
        <v>COFINS</v>
      </c>
      <c r="T959" s="347">
        <f t="shared" si="125"/>
        <v>0</v>
      </c>
      <c r="U959" s="347">
        <f>HLOOKUP(Apoio!$P$12,$D$956:$P$1057,X959,FALSE)+Q959</f>
        <v>9.9000000000000001E-6</v>
      </c>
      <c r="V959" s="447" t="str">
        <f t="shared" si="126"/>
        <v>COFINS</v>
      </c>
      <c r="W959" s="448">
        <f>HLOOKUP(Apoio!$P$12,$D$956:$P$1057,X959,FALSE)</f>
        <v>0</v>
      </c>
      <c r="X959" s="329">
        <v>4</v>
      </c>
      <c r="Y959" s="329">
        <v>2</v>
      </c>
      <c r="Z959" s="340" t="str">
        <f>VLOOKUP(LARGE($R$958:$R$1057,Y959),$R$958:$S$1057,2,FALSE)</f>
        <v>COFINS</v>
      </c>
      <c r="AA959" s="340">
        <f>VLOOKUP(Z959,$S$958:$T$1057,2,FALSE)</f>
        <v>0</v>
      </c>
    </row>
    <row r="960" spans="2:50" ht="30.05" customHeight="1" x14ac:dyDescent="0.35">
      <c r="B960" s="204" t="str">
        <f>'CAD_PL_REC-DESP'!AF7</f>
        <v>2.8.3</v>
      </c>
      <c r="C960" s="205" t="str">
        <f>IF('CAD_PL_REC-DESP'!AG7="","-",'CAD_PL_REC-DESP'!AG7)</f>
        <v>CONTRIBUIÇÃO EMPREGADOR</v>
      </c>
      <c r="D960" s="206">
        <f>SUMIFS(LANÇ_MOV[VALOR LÍQUIDO],LANÇ_MOV[RECEITA OU DESPESA],"Despesa",LANÇ_MOV[CONTAS],$C960,LANÇ_MOV[PLANO DE CONTAS],REL_DRE_FINANCEIRO!$B$957,LANÇ_MOV[ANO PAGAMENTO],$B$4,LANÇ_MOV[MÊS PAGAMENTO CORRESPONDENTE],D$6,LANÇ_MOV[EMPRESA],$C$4,LANÇ_MOV[CENTRO DE CUSTOS],$D$4)</f>
        <v>0</v>
      </c>
      <c r="E960" s="206">
        <f>SUMIFS(LANÇ_MOV[VALOR LÍQUIDO],LANÇ_MOV[RECEITA OU DESPESA],"Despesa",LANÇ_MOV[CONTAS],$C960,LANÇ_MOV[PLANO DE CONTAS],REL_DRE_FINANCEIRO!$B$957,LANÇ_MOV[ANO PAGAMENTO],$B$4,LANÇ_MOV[MÊS PAGAMENTO CORRESPONDENTE],E$6,LANÇ_MOV[EMPRESA],$C$4,LANÇ_MOV[CENTRO DE CUSTOS],$D$4)</f>
        <v>0</v>
      </c>
      <c r="F960" s="206">
        <f>SUMIFS(LANÇ_MOV[VALOR LÍQUIDO],LANÇ_MOV[RECEITA OU DESPESA],"Despesa",LANÇ_MOV[CONTAS],$C960,LANÇ_MOV[PLANO DE CONTAS],REL_DRE_FINANCEIRO!$B$957,LANÇ_MOV[ANO PAGAMENTO],$B$4,LANÇ_MOV[MÊS PAGAMENTO CORRESPONDENTE],F$6,LANÇ_MOV[EMPRESA],$C$4,LANÇ_MOV[CENTRO DE CUSTOS],$D$4)</f>
        <v>0</v>
      </c>
      <c r="G960" s="206">
        <f>SUMIFS(LANÇ_MOV[VALOR LÍQUIDO],LANÇ_MOV[RECEITA OU DESPESA],"Despesa",LANÇ_MOV[CONTAS],$C960,LANÇ_MOV[PLANO DE CONTAS],REL_DRE_FINANCEIRO!$B$957,LANÇ_MOV[ANO PAGAMENTO],$B$4,LANÇ_MOV[MÊS PAGAMENTO CORRESPONDENTE],G$6,LANÇ_MOV[EMPRESA],$C$4,LANÇ_MOV[CENTRO DE CUSTOS],$D$4)</f>
        <v>0</v>
      </c>
      <c r="H960" s="206">
        <f>SUMIFS(LANÇ_MOV[VALOR LÍQUIDO],LANÇ_MOV[RECEITA OU DESPESA],"Despesa",LANÇ_MOV[CONTAS],$C960,LANÇ_MOV[PLANO DE CONTAS],REL_DRE_FINANCEIRO!$B$957,LANÇ_MOV[ANO PAGAMENTO],$B$4,LANÇ_MOV[MÊS PAGAMENTO CORRESPONDENTE],H$6,LANÇ_MOV[EMPRESA],$C$4,LANÇ_MOV[CENTRO DE CUSTOS],$D$4)</f>
        <v>0</v>
      </c>
      <c r="I960" s="206">
        <f>SUMIFS(LANÇ_MOV[VALOR LÍQUIDO],LANÇ_MOV[RECEITA OU DESPESA],"Despesa",LANÇ_MOV[CONTAS],$C960,LANÇ_MOV[PLANO DE CONTAS],REL_DRE_FINANCEIRO!$B$957,LANÇ_MOV[ANO PAGAMENTO],$B$4,LANÇ_MOV[MÊS PAGAMENTO CORRESPONDENTE],I$6,LANÇ_MOV[EMPRESA],$C$4,LANÇ_MOV[CENTRO DE CUSTOS],$D$4)</f>
        <v>0</v>
      </c>
      <c r="J960" s="206">
        <f>SUMIFS(LANÇ_MOV[VALOR LÍQUIDO],LANÇ_MOV[RECEITA OU DESPESA],"Despesa",LANÇ_MOV[CONTAS],$C960,LANÇ_MOV[PLANO DE CONTAS],REL_DRE_FINANCEIRO!$B$957,LANÇ_MOV[ANO PAGAMENTO],$B$4,LANÇ_MOV[MÊS PAGAMENTO CORRESPONDENTE],J$6,LANÇ_MOV[EMPRESA],$C$4,LANÇ_MOV[CENTRO DE CUSTOS],$D$4)</f>
        <v>0</v>
      </c>
      <c r="K960" s="206">
        <f>SUMIFS(LANÇ_MOV[VALOR LÍQUIDO],LANÇ_MOV[RECEITA OU DESPESA],"Despesa",LANÇ_MOV[CONTAS],$C960,LANÇ_MOV[PLANO DE CONTAS],REL_DRE_FINANCEIRO!$B$957,LANÇ_MOV[ANO PAGAMENTO],$B$4,LANÇ_MOV[MÊS PAGAMENTO CORRESPONDENTE],K$6,LANÇ_MOV[EMPRESA],$C$4,LANÇ_MOV[CENTRO DE CUSTOS],$D$4)</f>
        <v>0</v>
      </c>
      <c r="L960" s="206">
        <f>SUMIFS(LANÇ_MOV[VALOR LÍQUIDO],LANÇ_MOV[RECEITA OU DESPESA],"Despesa",LANÇ_MOV[CONTAS],$C960,LANÇ_MOV[PLANO DE CONTAS],REL_DRE_FINANCEIRO!$B$957,LANÇ_MOV[ANO PAGAMENTO],$B$4,LANÇ_MOV[MÊS PAGAMENTO CORRESPONDENTE],L$6,LANÇ_MOV[EMPRESA],$C$4,LANÇ_MOV[CENTRO DE CUSTOS],$D$4)</f>
        <v>0</v>
      </c>
      <c r="M960" s="206">
        <f>SUMIFS(LANÇ_MOV[VALOR LÍQUIDO],LANÇ_MOV[RECEITA OU DESPESA],"Despesa",LANÇ_MOV[CONTAS],$C960,LANÇ_MOV[PLANO DE CONTAS],REL_DRE_FINANCEIRO!$B$957,LANÇ_MOV[ANO PAGAMENTO],$B$4,LANÇ_MOV[MÊS PAGAMENTO CORRESPONDENTE],M$6,LANÇ_MOV[EMPRESA],$C$4,LANÇ_MOV[CENTRO DE CUSTOS],$D$4)</f>
        <v>0</v>
      </c>
      <c r="N960" s="206">
        <f>SUMIFS(LANÇ_MOV[VALOR LÍQUIDO],LANÇ_MOV[RECEITA OU DESPESA],"Despesa",LANÇ_MOV[CONTAS],$C960,LANÇ_MOV[PLANO DE CONTAS],REL_DRE_FINANCEIRO!$B$957,LANÇ_MOV[ANO PAGAMENTO],$B$4,LANÇ_MOV[MÊS PAGAMENTO CORRESPONDENTE],N$6,LANÇ_MOV[EMPRESA],$C$4,LANÇ_MOV[CENTRO DE CUSTOS],$D$4)</f>
        <v>0</v>
      </c>
      <c r="O960" s="206">
        <f>SUMIFS(LANÇ_MOV[VALOR LÍQUIDO],LANÇ_MOV[RECEITA OU DESPESA],"Despesa",LANÇ_MOV[CONTAS],$C960,LANÇ_MOV[PLANO DE CONTAS],REL_DRE_FINANCEIRO!$B$957,LANÇ_MOV[ANO PAGAMENTO],$B$4,LANÇ_MOV[MÊS PAGAMENTO CORRESPONDENTE],O$6,LANÇ_MOV[EMPRESA],$C$4,LANÇ_MOV[CENTRO DE CUSTOS],$D$4)</f>
        <v>0</v>
      </c>
      <c r="P960" s="207">
        <f t="shared" si="122"/>
        <v>0</v>
      </c>
      <c r="Q960" s="329">
        <v>9.7999999999999993E-6</v>
      </c>
      <c r="R960" s="346">
        <f t="shared" si="123"/>
        <v>9.7999999999999993E-6</v>
      </c>
      <c r="S960" s="347" t="str">
        <f t="shared" si="124"/>
        <v>CONTRIBUIÇÃO EMPREGADOR</v>
      </c>
      <c r="T960" s="347">
        <f t="shared" si="125"/>
        <v>0</v>
      </c>
      <c r="U960" s="347">
        <f>HLOOKUP(Apoio!$P$12,$D$956:$P$1057,X960,FALSE)+Q960</f>
        <v>9.7999999999999993E-6</v>
      </c>
      <c r="V960" s="447" t="str">
        <f t="shared" si="126"/>
        <v>CONTRIBUIÇÃO EMPREGADOR</v>
      </c>
      <c r="W960" s="448">
        <f>HLOOKUP(Apoio!$P$12,$D$956:$P$1057,X960,FALSE)</f>
        <v>0</v>
      </c>
      <c r="X960" s="329">
        <v>5</v>
      </c>
      <c r="Y960" s="329">
        <v>3</v>
      </c>
      <c r="Z960" s="340" t="str">
        <f>VLOOKUP(LARGE($R$958:$R$1057,Y960),$R$958:$S$1057,2,FALSE)</f>
        <v>CONTRIBUIÇÃO EMPREGADOR</v>
      </c>
      <c r="AA960" s="340">
        <f>VLOOKUP(Z960,$S$958:$T$1057,2,FALSE)</f>
        <v>0</v>
      </c>
    </row>
    <row r="961" spans="2:27" ht="30.05" customHeight="1" x14ac:dyDescent="0.35">
      <c r="B961" s="204" t="str">
        <f>'CAD_PL_REC-DESP'!AF8</f>
        <v>2.8.4</v>
      </c>
      <c r="C961" s="205" t="str">
        <f>IF('CAD_PL_REC-DESP'!AG8="","-",'CAD_PL_REC-DESP'!AG8)</f>
        <v>CONTRIBUIÇÃO INCRA</v>
      </c>
      <c r="D961" s="206">
        <f>SUMIFS(LANÇ_MOV[VALOR LÍQUIDO],LANÇ_MOV[RECEITA OU DESPESA],"Despesa",LANÇ_MOV[CONTAS],$C961,LANÇ_MOV[PLANO DE CONTAS],REL_DRE_FINANCEIRO!$B$957,LANÇ_MOV[ANO PAGAMENTO],$B$4,LANÇ_MOV[MÊS PAGAMENTO CORRESPONDENTE],D$6,LANÇ_MOV[EMPRESA],$C$4,LANÇ_MOV[CENTRO DE CUSTOS],$D$4)</f>
        <v>0</v>
      </c>
      <c r="E961" s="206">
        <f>SUMIFS(LANÇ_MOV[VALOR LÍQUIDO],LANÇ_MOV[RECEITA OU DESPESA],"Despesa",LANÇ_MOV[CONTAS],$C961,LANÇ_MOV[PLANO DE CONTAS],REL_DRE_FINANCEIRO!$B$957,LANÇ_MOV[ANO PAGAMENTO],$B$4,LANÇ_MOV[MÊS PAGAMENTO CORRESPONDENTE],E$6,LANÇ_MOV[EMPRESA],$C$4,LANÇ_MOV[CENTRO DE CUSTOS],$D$4)</f>
        <v>0</v>
      </c>
      <c r="F961" s="206">
        <f>SUMIFS(LANÇ_MOV[VALOR LÍQUIDO],LANÇ_MOV[RECEITA OU DESPESA],"Despesa",LANÇ_MOV[CONTAS],$C961,LANÇ_MOV[PLANO DE CONTAS],REL_DRE_FINANCEIRO!$B$957,LANÇ_MOV[ANO PAGAMENTO],$B$4,LANÇ_MOV[MÊS PAGAMENTO CORRESPONDENTE],F$6,LANÇ_MOV[EMPRESA],$C$4,LANÇ_MOV[CENTRO DE CUSTOS],$D$4)</f>
        <v>0</v>
      </c>
      <c r="G961" s="206">
        <f>SUMIFS(LANÇ_MOV[VALOR LÍQUIDO],LANÇ_MOV[RECEITA OU DESPESA],"Despesa",LANÇ_MOV[CONTAS],$C961,LANÇ_MOV[PLANO DE CONTAS],REL_DRE_FINANCEIRO!$B$957,LANÇ_MOV[ANO PAGAMENTO],$B$4,LANÇ_MOV[MÊS PAGAMENTO CORRESPONDENTE],G$6,LANÇ_MOV[EMPRESA],$C$4,LANÇ_MOV[CENTRO DE CUSTOS],$D$4)</f>
        <v>0</v>
      </c>
      <c r="H961" s="206">
        <f>SUMIFS(LANÇ_MOV[VALOR LÍQUIDO],LANÇ_MOV[RECEITA OU DESPESA],"Despesa",LANÇ_MOV[CONTAS],$C961,LANÇ_MOV[PLANO DE CONTAS],REL_DRE_FINANCEIRO!$B$957,LANÇ_MOV[ANO PAGAMENTO],$B$4,LANÇ_MOV[MÊS PAGAMENTO CORRESPONDENTE],H$6,LANÇ_MOV[EMPRESA],$C$4,LANÇ_MOV[CENTRO DE CUSTOS],$D$4)</f>
        <v>0</v>
      </c>
      <c r="I961" s="206">
        <f>SUMIFS(LANÇ_MOV[VALOR LÍQUIDO],LANÇ_MOV[RECEITA OU DESPESA],"Despesa",LANÇ_MOV[CONTAS],$C961,LANÇ_MOV[PLANO DE CONTAS],REL_DRE_FINANCEIRO!$B$957,LANÇ_MOV[ANO PAGAMENTO],$B$4,LANÇ_MOV[MÊS PAGAMENTO CORRESPONDENTE],I$6,LANÇ_MOV[EMPRESA],$C$4,LANÇ_MOV[CENTRO DE CUSTOS],$D$4)</f>
        <v>0</v>
      </c>
      <c r="J961" s="206">
        <f>SUMIFS(LANÇ_MOV[VALOR LÍQUIDO],LANÇ_MOV[RECEITA OU DESPESA],"Despesa",LANÇ_MOV[CONTAS],$C961,LANÇ_MOV[PLANO DE CONTAS],REL_DRE_FINANCEIRO!$B$957,LANÇ_MOV[ANO PAGAMENTO],$B$4,LANÇ_MOV[MÊS PAGAMENTO CORRESPONDENTE],J$6,LANÇ_MOV[EMPRESA],$C$4,LANÇ_MOV[CENTRO DE CUSTOS],$D$4)</f>
        <v>0</v>
      </c>
      <c r="K961" s="206">
        <f>SUMIFS(LANÇ_MOV[VALOR LÍQUIDO],LANÇ_MOV[RECEITA OU DESPESA],"Despesa",LANÇ_MOV[CONTAS],$C961,LANÇ_MOV[PLANO DE CONTAS],REL_DRE_FINANCEIRO!$B$957,LANÇ_MOV[ANO PAGAMENTO],$B$4,LANÇ_MOV[MÊS PAGAMENTO CORRESPONDENTE],K$6,LANÇ_MOV[EMPRESA],$C$4,LANÇ_MOV[CENTRO DE CUSTOS],$D$4)</f>
        <v>0</v>
      </c>
      <c r="L961" s="206">
        <f>SUMIFS(LANÇ_MOV[VALOR LÍQUIDO],LANÇ_MOV[RECEITA OU DESPESA],"Despesa",LANÇ_MOV[CONTAS],$C961,LANÇ_MOV[PLANO DE CONTAS],REL_DRE_FINANCEIRO!$B$957,LANÇ_MOV[ANO PAGAMENTO],$B$4,LANÇ_MOV[MÊS PAGAMENTO CORRESPONDENTE],L$6,LANÇ_MOV[EMPRESA],$C$4,LANÇ_MOV[CENTRO DE CUSTOS],$D$4)</f>
        <v>0</v>
      </c>
      <c r="M961" s="206">
        <f>SUMIFS(LANÇ_MOV[VALOR LÍQUIDO],LANÇ_MOV[RECEITA OU DESPESA],"Despesa",LANÇ_MOV[CONTAS],$C961,LANÇ_MOV[PLANO DE CONTAS],REL_DRE_FINANCEIRO!$B$957,LANÇ_MOV[ANO PAGAMENTO],$B$4,LANÇ_MOV[MÊS PAGAMENTO CORRESPONDENTE],M$6,LANÇ_MOV[EMPRESA],$C$4,LANÇ_MOV[CENTRO DE CUSTOS],$D$4)</f>
        <v>0</v>
      </c>
      <c r="N961" s="206">
        <f>SUMIFS(LANÇ_MOV[VALOR LÍQUIDO],LANÇ_MOV[RECEITA OU DESPESA],"Despesa",LANÇ_MOV[CONTAS],$C961,LANÇ_MOV[PLANO DE CONTAS],REL_DRE_FINANCEIRO!$B$957,LANÇ_MOV[ANO PAGAMENTO],$B$4,LANÇ_MOV[MÊS PAGAMENTO CORRESPONDENTE],N$6,LANÇ_MOV[EMPRESA],$C$4,LANÇ_MOV[CENTRO DE CUSTOS],$D$4)</f>
        <v>0</v>
      </c>
      <c r="O961" s="206">
        <f>SUMIFS(LANÇ_MOV[VALOR LÍQUIDO],LANÇ_MOV[RECEITA OU DESPESA],"Despesa",LANÇ_MOV[CONTAS],$C961,LANÇ_MOV[PLANO DE CONTAS],REL_DRE_FINANCEIRO!$B$957,LANÇ_MOV[ANO PAGAMENTO],$B$4,LANÇ_MOV[MÊS PAGAMENTO CORRESPONDENTE],O$6,LANÇ_MOV[EMPRESA],$C$4,LANÇ_MOV[CENTRO DE CUSTOS],$D$4)</f>
        <v>0</v>
      </c>
      <c r="P961" s="207">
        <f t="shared" si="122"/>
        <v>0</v>
      </c>
      <c r="Q961" s="329">
        <v>9.7000000000000003E-6</v>
      </c>
      <c r="R961" s="346">
        <f t="shared" si="123"/>
        <v>9.7000000000000003E-6</v>
      </c>
      <c r="S961" s="347" t="str">
        <f t="shared" si="124"/>
        <v>CONTRIBUIÇÃO INCRA</v>
      </c>
      <c r="T961" s="347">
        <f t="shared" si="125"/>
        <v>0</v>
      </c>
      <c r="U961" s="347">
        <f>HLOOKUP(Apoio!$P$12,$D$956:$P$1057,X961,FALSE)+Q961</f>
        <v>9.7000000000000003E-6</v>
      </c>
      <c r="V961" s="447" t="str">
        <f t="shared" si="126"/>
        <v>CONTRIBUIÇÃO INCRA</v>
      </c>
      <c r="W961" s="448">
        <f>HLOOKUP(Apoio!$P$12,$D$956:$P$1057,X961,FALSE)</f>
        <v>0</v>
      </c>
      <c r="X961" s="329">
        <v>6</v>
      </c>
      <c r="Y961" s="329">
        <v>4</v>
      </c>
      <c r="Z961" s="340" t="str">
        <f>VLOOKUP(LARGE($R$958:$R$1057,Y961),$R$958:$S$1057,2,FALSE)</f>
        <v>CONTRIBUIÇÃO INCRA</v>
      </c>
      <c r="AA961" s="340">
        <f>VLOOKUP(Z961,$S$958:$T$1057,2,FALSE)</f>
        <v>0</v>
      </c>
    </row>
    <row r="962" spans="2:27" ht="30.05" customHeight="1" x14ac:dyDescent="0.35">
      <c r="B962" s="204" t="str">
        <f>'CAD_PL_REC-DESP'!AF9</f>
        <v>2.8.5</v>
      </c>
      <c r="C962" s="205" t="str">
        <f>IF('CAD_PL_REC-DESP'!AG9="","-",'CAD_PL_REC-DESP'!AG9)</f>
        <v>CONTRIBUIÇÃO SALÁRIO EDUCAÇÃO</v>
      </c>
      <c r="D962" s="206">
        <f>SUMIFS(LANÇ_MOV[VALOR LÍQUIDO],LANÇ_MOV[RECEITA OU DESPESA],"Despesa",LANÇ_MOV[CONTAS],$C962,LANÇ_MOV[PLANO DE CONTAS],REL_DRE_FINANCEIRO!$B$957,LANÇ_MOV[ANO PAGAMENTO],$B$4,LANÇ_MOV[MÊS PAGAMENTO CORRESPONDENTE],D$6,LANÇ_MOV[EMPRESA],$C$4,LANÇ_MOV[CENTRO DE CUSTOS],$D$4)</f>
        <v>0</v>
      </c>
      <c r="E962" s="206">
        <f>SUMIFS(LANÇ_MOV[VALOR LÍQUIDO],LANÇ_MOV[RECEITA OU DESPESA],"Despesa",LANÇ_MOV[CONTAS],$C962,LANÇ_MOV[PLANO DE CONTAS],REL_DRE_FINANCEIRO!$B$957,LANÇ_MOV[ANO PAGAMENTO],$B$4,LANÇ_MOV[MÊS PAGAMENTO CORRESPONDENTE],E$6,LANÇ_MOV[EMPRESA],$C$4,LANÇ_MOV[CENTRO DE CUSTOS],$D$4)</f>
        <v>0</v>
      </c>
      <c r="F962" s="206">
        <f>SUMIFS(LANÇ_MOV[VALOR LÍQUIDO],LANÇ_MOV[RECEITA OU DESPESA],"Despesa",LANÇ_MOV[CONTAS],$C962,LANÇ_MOV[PLANO DE CONTAS],REL_DRE_FINANCEIRO!$B$957,LANÇ_MOV[ANO PAGAMENTO],$B$4,LANÇ_MOV[MÊS PAGAMENTO CORRESPONDENTE],F$6,LANÇ_MOV[EMPRESA],$C$4,LANÇ_MOV[CENTRO DE CUSTOS],$D$4)</f>
        <v>0</v>
      </c>
      <c r="G962" s="206">
        <f>SUMIFS(LANÇ_MOV[VALOR LÍQUIDO],LANÇ_MOV[RECEITA OU DESPESA],"Despesa",LANÇ_MOV[CONTAS],$C962,LANÇ_MOV[PLANO DE CONTAS],REL_DRE_FINANCEIRO!$B$957,LANÇ_MOV[ANO PAGAMENTO],$B$4,LANÇ_MOV[MÊS PAGAMENTO CORRESPONDENTE],G$6,LANÇ_MOV[EMPRESA],$C$4,LANÇ_MOV[CENTRO DE CUSTOS],$D$4)</f>
        <v>0</v>
      </c>
      <c r="H962" s="206">
        <f>SUMIFS(LANÇ_MOV[VALOR LÍQUIDO],LANÇ_MOV[RECEITA OU DESPESA],"Despesa",LANÇ_MOV[CONTAS],$C962,LANÇ_MOV[PLANO DE CONTAS],REL_DRE_FINANCEIRO!$B$957,LANÇ_MOV[ANO PAGAMENTO],$B$4,LANÇ_MOV[MÊS PAGAMENTO CORRESPONDENTE],H$6,LANÇ_MOV[EMPRESA],$C$4,LANÇ_MOV[CENTRO DE CUSTOS],$D$4)</f>
        <v>0</v>
      </c>
      <c r="I962" s="206">
        <f>SUMIFS(LANÇ_MOV[VALOR LÍQUIDO],LANÇ_MOV[RECEITA OU DESPESA],"Despesa",LANÇ_MOV[CONTAS],$C962,LANÇ_MOV[PLANO DE CONTAS],REL_DRE_FINANCEIRO!$B$957,LANÇ_MOV[ANO PAGAMENTO],$B$4,LANÇ_MOV[MÊS PAGAMENTO CORRESPONDENTE],I$6,LANÇ_MOV[EMPRESA],$C$4,LANÇ_MOV[CENTRO DE CUSTOS],$D$4)</f>
        <v>0</v>
      </c>
      <c r="J962" s="206">
        <f>SUMIFS(LANÇ_MOV[VALOR LÍQUIDO],LANÇ_MOV[RECEITA OU DESPESA],"Despesa",LANÇ_MOV[CONTAS],$C962,LANÇ_MOV[PLANO DE CONTAS],REL_DRE_FINANCEIRO!$B$957,LANÇ_MOV[ANO PAGAMENTO],$B$4,LANÇ_MOV[MÊS PAGAMENTO CORRESPONDENTE],J$6,LANÇ_MOV[EMPRESA],$C$4,LANÇ_MOV[CENTRO DE CUSTOS],$D$4)</f>
        <v>0</v>
      </c>
      <c r="K962" s="206">
        <f>SUMIFS(LANÇ_MOV[VALOR LÍQUIDO],LANÇ_MOV[RECEITA OU DESPESA],"Despesa",LANÇ_MOV[CONTAS],$C962,LANÇ_MOV[PLANO DE CONTAS],REL_DRE_FINANCEIRO!$B$957,LANÇ_MOV[ANO PAGAMENTO],$B$4,LANÇ_MOV[MÊS PAGAMENTO CORRESPONDENTE],K$6,LANÇ_MOV[EMPRESA],$C$4,LANÇ_MOV[CENTRO DE CUSTOS],$D$4)</f>
        <v>0</v>
      </c>
      <c r="L962" s="206">
        <f>SUMIFS(LANÇ_MOV[VALOR LÍQUIDO],LANÇ_MOV[RECEITA OU DESPESA],"Despesa",LANÇ_MOV[CONTAS],$C962,LANÇ_MOV[PLANO DE CONTAS],REL_DRE_FINANCEIRO!$B$957,LANÇ_MOV[ANO PAGAMENTO],$B$4,LANÇ_MOV[MÊS PAGAMENTO CORRESPONDENTE],L$6,LANÇ_MOV[EMPRESA],$C$4,LANÇ_MOV[CENTRO DE CUSTOS],$D$4)</f>
        <v>0</v>
      </c>
      <c r="M962" s="206">
        <f>SUMIFS(LANÇ_MOV[VALOR LÍQUIDO],LANÇ_MOV[RECEITA OU DESPESA],"Despesa",LANÇ_MOV[CONTAS],$C962,LANÇ_MOV[PLANO DE CONTAS],REL_DRE_FINANCEIRO!$B$957,LANÇ_MOV[ANO PAGAMENTO],$B$4,LANÇ_MOV[MÊS PAGAMENTO CORRESPONDENTE],M$6,LANÇ_MOV[EMPRESA],$C$4,LANÇ_MOV[CENTRO DE CUSTOS],$D$4)</f>
        <v>0</v>
      </c>
      <c r="N962" s="206">
        <f>SUMIFS(LANÇ_MOV[VALOR LÍQUIDO],LANÇ_MOV[RECEITA OU DESPESA],"Despesa",LANÇ_MOV[CONTAS],$C962,LANÇ_MOV[PLANO DE CONTAS],REL_DRE_FINANCEIRO!$B$957,LANÇ_MOV[ANO PAGAMENTO],$B$4,LANÇ_MOV[MÊS PAGAMENTO CORRESPONDENTE],N$6,LANÇ_MOV[EMPRESA],$C$4,LANÇ_MOV[CENTRO DE CUSTOS],$D$4)</f>
        <v>0</v>
      </c>
      <c r="O962" s="206">
        <f>SUMIFS(LANÇ_MOV[VALOR LÍQUIDO],LANÇ_MOV[RECEITA OU DESPESA],"Despesa",LANÇ_MOV[CONTAS],$C962,LANÇ_MOV[PLANO DE CONTAS],REL_DRE_FINANCEIRO!$B$957,LANÇ_MOV[ANO PAGAMENTO],$B$4,LANÇ_MOV[MÊS PAGAMENTO CORRESPONDENTE],O$6,LANÇ_MOV[EMPRESA],$C$4,LANÇ_MOV[CENTRO DE CUSTOS],$D$4)</f>
        <v>0</v>
      </c>
      <c r="P962" s="207">
        <f t="shared" si="122"/>
        <v>0</v>
      </c>
      <c r="Q962" s="329">
        <v>9.5999999999999996E-6</v>
      </c>
      <c r="R962" s="346">
        <f t="shared" si="123"/>
        <v>9.5999999999999996E-6</v>
      </c>
      <c r="S962" s="347" t="str">
        <f t="shared" si="124"/>
        <v>CONTRIBUIÇÃO SALÁRIO EDUCAÇÃO</v>
      </c>
      <c r="T962" s="347">
        <f t="shared" si="125"/>
        <v>0</v>
      </c>
      <c r="U962" s="347">
        <f>HLOOKUP(Apoio!$P$12,$D$956:$P$1057,X962,FALSE)+Q962</f>
        <v>9.5999999999999996E-6</v>
      </c>
      <c r="V962" s="447" t="str">
        <f t="shared" si="126"/>
        <v>CONTRIBUIÇÃO SALÁRIO EDUCAÇÃO</v>
      </c>
      <c r="W962" s="448">
        <f>HLOOKUP(Apoio!$P$12,$D$956:$P$1057,X962,FALSE)</f>
        <v>0</v>
      </c>
      <c r="X962" s="329">
        <v>7</v>
      </c>
      <c r="Y962" s="329">
        <v>5</v>
      </c>
      <c r="Z962" s="340" t="str">
        <f>VLOOKUP(LARGE($R$958:$R$1057,Y962),$R$958:$S$1057,2,FALSE)</f>
        <v>CONTRIBUIÇÃO SALÁRIO EDUCAÇÃO</v>
      </c>
      <c r="AA962" s="340">
        <f>VLOOKUP(Z962,$S$958:$T$1057,2,FALSE)</f>
        <v>0</v>
      </c>
    </row>
    <row r="963" spans="2:27" ht="30.05" customHeight="1" x14ac:dyDescent="0.35">
      <c r="B963" s="204" t="str">
        <f>'CAD_PL_REC-DESP'!AF10</f>
        <v>2.8.6</v>
      </c>
      <c r="C963" s="205" t="str">
        <f>IF('CAD_PL_REC-DESP'!AG10="","-",'CAD_PL_REC-DESP'!AG10)</f>
        <v>CONTRIBUIÇÃO SEBRAE</v>
      </c>
      <c r="D963" s="206">
        <f>SUMIFS(LANÇ_MOV[VALOR LÍQUIDO],LANÇ_MOV[RECEITA OU DESPESA],"Despesa",LANÇ_MOV[CONTAS],$C963,LANÇ_MOV[PLANO DE CONTAS],REL_DRE_FINANCEIRO!$B$957,LANÇ_MOV[ANO PAGAMENTO],$B$4,LANÇ_MOV[MÊS PAGAMENTO CORRESPONDENTE],D$6,LANÇ_MOV[EMPRESA],$C$4,LANÇ_MOV[CENTRO DE CUSTOS],$D$4)</f>
        <v>0</v>
      </c>
      <c r="E963" s="206">
        <f>SUMIFS(LANÇ_MOV[VALOR LÍQUIDO],LANÇ_MOV[RECEITA OU DESPESA],"Despesa",LANÇ_MOV[CONTAS],$C963,LANÇ_MOV[PLANO DE CONTAS],REL_DRE_FINANCEIRO!$B$957,LANÇ_MOV[ANO PAGAMENTO],$B$4,LANÇ_MOV[MÊS PAGAMENTO CORRESPONDENTE],E$6,LANÇ_MOV[EMPRESA],$C$4,LANÇ_MOV[CENTRO DE CUSTOS],$D$4)</f>
        <v>0</v>
      </c>
      <c r="F963" s="206">
        <f>SUMIFS(LANÇ_MOV[VALOR LÍQUIDO],LANÇ_MOV[RECEITA OU DESPESA],"Despesa",LANÇ_MOV[CONTAS],$C963,LANÇ_MOV[PLANO DE CONTAS],REL_DRE_FINANCEIRO!$B$957,LANÇ_MOV[ANO PAGAMENTO],$B$4,LANÇ_MOV[MÊS PAGAMENTO CORRESPONDENTE],F$6,LANÇ_MOV[EMPRESA],$C$4,LANÇ_MOV[CENTRO DE CUSTOS],$D$4)</f>
        <v>0</v>
      </c>
      <c r="G963" s="206">
        <f>SUMIFS(LANÇ_MOV[VALOR LÍQUIDO],LANÇ_MOV[RECEITA OU DESPESA],"Despesa",LANÇ_MOV[CONTAS],$C963,LANÇ_MOV[PLANO DE CONTAS],REL_DRE_FINANCEIRO!$B$957,LANÇ_MOV[ANO PAGAMENTO],$B$4,LANÇ_MOV[MÊS PAGAMENTO CORRESPONDENTE],G$6,LANÇ_MOV[EMPRESA],$C$4,LANÇ_MOV[CENTRO DE CUSTOS],$D$4)</f>
        <v>0</v>
      </c>
      <c r="H963" s="206">
        <f>SUMIFS(LANÇ_MOV[VALOR LÍQUIDO],LANÇ_MOV[RECEITA OU DESPESA],"Despesa",LANÇ_MOV[CONTAS],$C963,LANÇ_MOV[PLANO DE CONTAS],REL_DRE_FINANCEIRO!$B$957,LANÇ_MOV[ANO PAGAMENTO],$B$4,LANÇ_MOV[MÊS PAGAMENTO CORRESPONDENTE],H$6,LANÇ_MOV[EMPRESA],$C$4,LANÇ_MOV[CENTRO DE CUSTOS],$D$4)</f>
        <v>0</v>
      </c>
      <c r="I963" s="206">
        <f>SUMIFS(LANÇ_MOV[VALOR LÍQUIDO],LANÇ_MOV[RECEITA OU DESPESA],"Despesa",LANÇ_MOV[CONTAS],$C963,LANÇ_MOV[PLANO DE CONTAS],REL_DRE_FINANCEIRO!$B$957,LANÇ_MOV[ANO PAGAMENTO],$B$4,LANÇ_MOV[MÊS PAGAMENTO CORRESPONDENTE],I$6,LANÇ_MOV[EMPRESA],$C$4,LANÇ_MOV[CENTRO DE CUSTOS],$D$4)</f>
        <v>0</v>
      </c>
      <c r="J963" s="206">
        <f>SUMIFS(LANÇ_MOV[VALOR LÍQUIDO],LANÇ_MOV[RECEITA OU DESPESA],"Despesa",LANÇ_MOV[CONTAS],$C963,LANÇ_MOV[PLANO DE CONTAS],REL_DRE_FINANCEIRO!$B$957,LANÇ_MOV[ANO PAGAMENTO],$B$4,LANÇ_MOV[MÊS PAGAMENTO CORRESPONDENTE],J$6,LANÇ_MOV[EMPRESA],$C$4,LANÇ_MOV[CENTRO DE CUSTOS],$D$4)</f>
        <v>0</v>
      </c>
      <c r="K963" s="206">
        <f>SUMIFS(LANÇ_MOV[VALOR LÍQUIDO],LANÇ_MOV[RECEITA OU DESPESA],"Despesa",LANÇ_MOV[CONTAS],$C963,LANÇ_MOV[PLANO DE CONTAS],REL_DRE_FINANCEIRO!$B$957,LANÇ_MOV[ANO PAGAMENTO],$B$4,LANÇ_MOV[MÊS PAGAMENTO CORRESPONDENTE],K$6,LANÇ_MOV[EMPRESA],$C$4,LANÇ_MOV[CENTRO DE CUSTOS],$D$4)</f>
        <v>0</v>
      </c>
      <c r="L963" s="206">
        <f>SUMIFS(LANÇ_MOV[VALOR LÍQUIDO],LANÇ_MOV[RECEITA OU DESPESA],"Despesa",LANÇ_MOV[CONTAS],$C963,LANÇ_MOV[PLANO DE CONTAS],REL_DRE_FINANCEIRO!$B$957,LANÇ_MOV[ANO PAGAMENTO],$B$4,LANÇ_MOV[MÊS PAGAMENTO CORRESPONDENTE],L$6,LANÇ_MOV[EMPRESA],$C$4,LANÇ_MOV[CENTRO DE CUSTOS],$D$4)</f>
        <v>0</v>
      </c>
      <c r="M963" s="206">
        <f>SUMIFS(LANÇ_MOV[VALOR LÍQUIDO],LANÇ_MOV[RECEITA OU DESPESA],"Despesa",LANÇ_MOV[CONTAS],$C963,LANÇ_MOV[PLANO DE CONTAS],REL_DRE_FINANCEIRO!$B$957,LANÇ_MOV[ANO PAGAMENTO],$B$4,LANÇ_MOV[MÊS PAGAMENTO CORRESPONDENTE],M$6,LANÇ_MOV[EMPRESA],$C$4,LANÇ_MOV[CENTRO DE CUSTOS],$D$4)</f>
        <v>0</v>
      </c>
      <c r="N963" s="206">
        <f>SUMIFS(LANÇ_MOV[VALOR LÍQUIDO],LANÇ_MOV[RECEITA OU DESPESA],"Despesa",LANÇ_MOV[CONTAS],$C963,LANÇ_MOV[PLANO DE CONTAS],REL_DRE_FINANCEIRO!$B$957,LANÇ_MOV[ANO PAGAMENTO],$B$4,LANÇ_MOV[MÊS PAGAMENTO CORRESPONDENTE],N$6,LANÇ_MOV[EMPRESA],$C$4,LANÇ_MOV[CENTRO DE CUSTOS],$D$4)</f>
        <v>0</v>
      </c>
      <c r="O963" s="206">
        <f>SUMIFS(LANÇ_MOV[VALOR LÍQUIDO],LANÇ_MOV[RECEITA OU DESPESA],"Despesa",LANÇ_MOV[CONTAS],$C963,LANÇ_MOV[PLANO DE CONTAS],REL_DRE_FINANCEIRO!$B$957,LANÇ_MOV[ANO PAGAMENTO],$B$4,LANÇ_MOV[MÊS PAGAMENTO CORRESPONDENTE],O$6,LANÇ_MOV[EMPRESA],$C$4,LANÇ_MOV[CENTRO DE CUSTOS],$D$4)</f>
        <v>0</v>
      </c>
      <c r="P963" s="207">
        <f t="shared" si="122"/>
        <v>0</v>
      </c>
      <c r="Q963" s="329">
        <v>9.5000000000000005E-6</v>
      </c>
      <c r="R963" s="346">
        <f t="shared" si="123"/>
        <v>9.5000000000000005E-6</v>
      </c>
      <c r="S963" s="347" t="str">
        <f t="shared" si="124"/>
        <v>CONTRIBUIÇÃO SEBRAE</v>
      </c>
      <c r="T963" s="347">
        <f t="shared" si="125"/>
        <v>0</v>
      </c>
      <c r="U963" s="347">
        <f>HLOOKUP(Apoio!$P$12,$D$956:$P$1057,X963,FALSE)+Q963</f>
        <v>9.5000000000000005E-6</v>
      </c>
      <c r="V963" s="447" t="str">
        <f t="shared" si="126"/>
        <v>CONTRIBUIÇÃO SEBRAE</v>
      </c>
      <c r="W963" s="448">
        <f>HLOOKUP(Apoio!$P$12,$D$956:$P$1057,X963,FALSE)</f>
        <v>0</v>
      </c>
      <c r="X963" s="329">
        <v>8</v>
      </c>
      <c r="Z963" s="340" t="s">
        <v>1121</v>
      </c>
      <c r="AA963" s="340" t="s">
        <v>1123</v>
      </c>
    </row>
    <row r="964" spans="2:27" ht="30.05" customHeight="1" x14ac:dyDescent="0.35">
      <c r="B964" s="204" t="str">
        <f>'CAD_PL_REC-DESP'!AF11</f>
        <v>2.8.7</v>
      </c>
      <c r="C964" s="205" t="str">
        <f>IF('CAD_PL_REC-DESP'!AG11="","-",'CAD_PL_REC-DESP'!AG11)</f>
        <v>CONTRIBUIÇÃO SEBRAE</v>
      </c>
      <c r="D964" s="206">
        <f>SUMIFS(LANÇ_MOV[VALOR LÍQUIDO],LANÇ_MOV[RECEITA OU DESPESA],"Despesa",LANÇ_MOV[CONTAS],$C964,LANÇ_MOV[PLANO DE CONTAS],REL_DRE_FINANCEIRO!$B$957,LANÇ_MOV[ANO PAGAMENTO],$B$4,LANÇ_MOV[MÊS PAGAMENTO CORRESPONDENTE],D$6,LANÇ_MOV[EMPRESA],$C$4,LANÇ_MOV[CENTRO DE CUSTOS],$D$4)</f>
        <v>0</v>
      </c>
      <c r="E964" s="206">
        <f>SUMIFS(LANÇ_MOV[VALOR LÍQUIDO],LANÇ_MOV[RECEITA OU DESPESA],"Despesa",LANÇ_MOV[CONTAS],$C964,LANÇ_MOV[PLANO DE CONTAS],REL_DRE_FINANCEIRO!$B$957,LANÇ_MOV[ANO PAGAMENTO],$B$4,LANÇ_MOV[MÊS PAGAMENTO CORRESPONDENTE],E$6,LANÇ_MOV[EMPRESA],$C$4,LANÇ_MOV[CENTRO DE CUSTOS],$D$4)</f>
        <v>0</v>
      </c>
      <c r="F964" s="206">
        <f>SUMIFS(LANÇ_MOV[VALOR LÍQUIDO],LANÇ_MOV[RECEITA OU DESPESA],"Despesa",LANÇ_MOV[CONTAS],$C964,LANÇ_MOV[PLANO DE CONTAS],REL_DRE_FINANCEIRO!$B$957,LANÇ_MOV[ANO PAGAMENTO],$B$4,LANÇ_MOV[MÊS PAGAMENTO CORRESPONDENTE],F$6,LANÇ_MOV[EMPRESA],$C$4,LANÇ_MOV[CENTRO DE CUSTOS],$D$4)</f>
        <v>0</v>
      </c>
      <c r="G964" s="206">
        <f>SUMIFS(LANÇ_MOV[VALOR LÍQUIDO],LANÇ_MOV[RECEITA OU DESPESA],"Despesa",LANÇ_MOV[CONTAS],$C964,LANÇ_MOV[PLANO DE CONTAS],REL_DRE_FINANCEIRO!$B$957,LANÇ_MOV[ANO PAGAMENTO],$B$4,LANÇ_MOV[MÊS PAGAMENTO CORRESPONDENTE],G$6,LANÇ_MOV[EMPRESA],$C$4,LANÇ_MOV[CENTRO DE CUSTOS],$D$4)</f>
        <v>0</v>
      </c>
      <c r="H964" s="206">
        <f>SUMIFS(LANÇ_MOV[VALOR LÍQUIDO],LANÇ_MOV[RECEITA OU DESPESA],"Despesa",LANÇ_MOV[CONTAS],$C964,LANÇ_MOV[PLANO DE CONTAS],REL_DRE_FINANCEIRO!$B$957,LANÇ_MOV[ANO PAGAMENTO],$B$4,LANÇ_MOV[MÊS PAGAMENTO CORRESPONDENTE],H$6,LANÇ_MOV[EMPRESA],$C$4,LANÇ_MOV[CENTRO DE CUSTOS],$D$4)</f>
        <v>0</v>
      </c>
      <c r="I964" s="206">
        <f>SUMIFS(LANÇ_MOV[VALOR LÍQUIDO],LANÇ_MOV[RECEITA OU DESPESA],"Despesa",LANÇ_MOV[CONTAS],$C964,LANÇ_MOV[PLANO DE CONTAS],REL_DRE_FINANCEIRO!$B$957,LANÇ_MOV[ANO PAGAMENTO],$B$4,LANÇ_MOV[MÊS PAGAMENTO CORRESPONDENTE],I$6,LANÇ_MOV[EMPRESA],$C$4,LANÇ_MOV[CENTRO DE CUSTOS],$D$4)</f>
        <v>0</v>
      </c>
      <c r="J964" s="206">
        <f>SUMIFS(LANÇ_MOV[VALOR LÍQUIDO],LANÇ_MOV[RECEITA OU DESPESA],"Despesa",LANÇ_MOV[CONTAS],$C964,LANÇ_MOV[PLANO DE CONTAS],REL_DRE_FINANCEIRO!$B$957,LANÇ_MOV[ANO PAGAMENTO],$B$4,LANÇ_MOV[MÊS PAGAMENTO CORRESPONDENTE],J$6,LANÇ_MOV[EMPRESA],$C$4,LANÇ_MOV[CENTRO DE CUSTOS],$D$4)</f>
        <v>0</v>
      </c>
      <c r="K964" s="206">
        <f>SUMIFS(LANÇ_MOV[VALOR LÍQUIDO],LANÇ_MOV[RECEITA OU DESPESA],"Despesa",LANÇ_MOV[CONTAS],$C964,LANÇ_MOV[PLANO DE CONTAS],REL_DRE_FINANCEIRO!$B$957,LANÇ_MOV[ANO PAGAMENTO],$B$4,LANÇ_MOV[MÊS PAGAMENTO CORRESPONDENTE],K$6,LANÇ_MOV[EMPRESA],$C$4,LANÇ_MOV[CENTRO DE CUSTOS],$D$4)</f>
        <v>0</v>
      </c>
      <c r="L964" s="206">
        <f>SUMIFS(LANÇ_MOV[VALOR LÍQUIDO],LANÇ_MOV[RECEITA OU DESPESA],"Despesa",LANÇ_MOV[CONTAS],$C964,LANÇ_MOV[PLANO DE CONTAS],REL_DRE_FINANCEIRO!$B$957,LANÇ_MOV[ANO PAGAMENTO],$B$4,LANÇ_MOV[MÊS PAGAMENTO CORRESPONDENTE],L$6,LANÇ_MOV[EMPRESA],$C$4,LANÇ_MOV[CENTRO DE CUSTOS],$D$4)</f>
        <v>0</v>
      </c>
      <c r="M964" s="206">
        <f>SUMIFS(LANÇ_MOV[VALOR LÍQUIDO],LANÇ_MOV[RECEITA OU DESPESA],"Despesa",LANÇ_MOV[CONTAS],$C964,LANÇ_MOV[PLANO DE CONTAS],REL_DRE_FINANCEIRO!$B$957,LANÇ_MOV[ANO PAGAMENTO],$B$4,LANÇ_MOV[MÊS PAGAMENTO CORRESPONDENTE],M$6,LANÇ_MOV[EMPRESA],$C$4,LANÇ_MOV[CENTRO DE CUSTOS],$D$4)</f>
        <v>0</v>
      </c>
      <c r="N964" s="206">
        <f>SUMIFS(LANÇ_MOV[VALOR LÍQUIDO],LANÇ_MOV[RECEITA OU DESPESA],"Despesa",LANÇ_MOV[CONTAS],$C964,LANÇ_MOV[PLANO DE CONTAS],REL_DRE_FINANCEIRO!$B$957,LANÇ_MOV[ANO PAGAMENTO],$B$4,LANÇ_MOV[MÊS PAGAMENTO CORRESPONDENTE],N$6,LANÇ_MOV[EMPRESA],$C$4,LANÇ_MOV[CENTRO DE CUSTOS],$D$4)</f>
        <v>0</v>
      </c>
      <c r="O964" s="206">
        <f>SUMIFS(LANÇ_MOV[VALOR LÍQUIDO],LANÇ_MOV[RECEITA OU DESPESA],"Despesa",LANÇ_MOV[CONTAS],$C964,LANÇ_MOV[PLANO DE CONTAS],REL_DRE_FINANCEIRO!$B$957,LANÇ_MOV[ANO PAGAMENTO],$B$4,LANÇ_MOV[MÊS PAGAMENTO CORRESPONDENTE],O$6,LANÇ_MOV[EMPRESA],$C$4,LANÇ_MOV[CENTRO DE CUSTOS],$D$4)</f>
        <v>0</v>
      </c>
      <c r="P964" s="207">
        <f t="shared" si="122"/>
        <v>0</v>
      </c>
      <c r="Q964" s="329">
        <v>9.3999999999999998E-6</v>
      </c>
      <c r="R964" s="346">
        <f t="shared" si="123"/>
        <v>9.3999999999999998E-6</v>
      </c>
      <c r="S964" s="347" t="str">
        <f t="shared" si="124"/>
        <v>CONTRIBUIÇÃO SEBRAE</v>
      </c>
      <c r="T964" s="347">
        <f t="shared" si="125"/>
        <v>0</v>
      </c>
      <c r="U964" s="347">
        <f>HLOOKUP(Apoio!$P$12,$D$956:$P$1057,X964,FALSE)+Q964</f>
        <v>9.3999999999999998E-6</v>
      </c>
      <c r="V964" s="447" t="str">
        <f t="shared" si="126"/>
        <v>CONTRIBUIÇÃO SEBRAE</v>
      </c>
      <c r="W964" s="448">
        <f>HLOOKUP(Apoio!$P$12,$D$956:$P$1057,X964,FALSE)</f>
        <v>0</v>
      </c>
      <c r="X964" s="329">
        <v>9</v>
      </c>
      <c r="Y964" s="329">
        <v>1</v>
      </c>
      <c r="Z964" s="340" t="str">
        <f>VLOOKUP(LARGE($U$958:$U$1057,Y964),$U$958:$V$1057,2,FALSE)</f>
        <v>CLT</v>
      </c>
      <c r="AA964" s="340">
        <f>VLOOKUP(Z964,$V$958:$W$1057,2,FALSE)</f>
        <v>0</v>
      </c>
    </row>
    <row r="965" spans="2:27" ht="30.05" customHeight="1" x14ac:dyDescent="0.35">
      <c r="B965" s="204" t="str">
        <f>'CAD_PL_REC-DESP'!AF12</f>
        <v>2.8.8</v>
      </c>
      <c r="C965" s="205" t="str">
        <f>IF('CAD_PL_REC-DESP'!AG12="","-",'CAD_PL_REC-DESP'!AG12)</f>
        <v>CONTRIBUIÇÃO SEGURADOS</v>
      </c>
      <c r="D965" s="206">
        <f>SUMIFS(LANÇ_MOV[VALOR LÍQUIDO],LANÇ_MOV[RECEITA OU DESPESA],"Despesa",LANÇ_MOV[CONTAS],$C965,LANÇ_MOV[PLANO DE CONTAS],REL_DRE_FINANCEIRO!$B$957,LANÇ_MOV[ANO PAGAMENTO],$B$4,LANÇ_MOV[MÊS PAGAMENTO CORRESPONDENTE],D$6,LANÇ_MOV[EMPRESA],$C$4,LANÇ_MOV[CENTRO DE CUSTOS],$D$4)</f>
        <v>0</v>
      </c>
      <c r="E965" s="206">
        <f>SUMIFS(LANÇ_MOV[VALOR LÍQUIDO],LANÇ_MOV[RECEITA OU DESPESA],"Despesa",LANÇ_MOV[CONTAS],$C965,LANÇ_MOV[PLANO DE CONTAS],REL_DRE_FINANCEIRO!$B$957,LANÇ_MOV[ANO PAGAMENTO],$B$4,LANÇ_MOV[MÊS PAGAMENTO CORRESPONDENTE],E$6,LANÇ_MOV[EMPRESA],$C$4,LANÇ_MOV[CENTRO DE CUSTOS],$D$4)</f>
        <v>0</v>
      </c>
      <c r="F965" s="206">
        <f>SUMIFS(LANÇ_MOV[VALOR LÍQUIDO],LANÇ_MOV[RECEITA OU DESPESA],"Despesa",LANÇ_MOV[CONTAS],$C965,LANÇ_MOV[PLANO DE CONTAS],REL_DRE_FINANCEIRO!$B$957,LANÇ_MOV[ANO PAGAMENTO],$B$4,LANÇ_MOV[MÊS PAGAMENTO CORRESPONDENTE],F$6,LANÇ_MOV[EMPRESA],$C$4,LANÇ_MOV[CENTRO DE CUSTOS],$D$4)</f>
        <v>0</v>
      </c>
      <c r="G965" s="206">
        <f>SUMIFS(LANÇ_MOV[VALOR LÍQUIDO],LANÇ_MOV[RECEITA OU DESPESA],"Despesa",LANÇ_MOV[CONTAS],$C965,LANÇ_MOV[PLANO DE CONTAS],REL_DRE_FINANCEIRO!$B$957,LANÇ_MOV[ANO PAGAMENTO],$B$4,LANÇ_MOV[MÊS PAGAMENTO CORRESPONDENTE],G$6,LANÇ_MOV[EMPRESA],$C$4,LANÇ_MOV[CENTRO DE CUSTOS],$D$4)</f>
        <v>0</v>
      </c>
      <c r="H965" s="206">
        <f>SUMIFS(LANÇ_MOV[VALOR LÍQUIDO],LANÇ_MOV[RECEITA OU DESPESA],"Despesa",LANÇ_MOV[CONTAS],$C965,LANÇ_MOV[PLANO DE CONTAS],REL_DRE_FINANCEIRO!$B$957,LANÇ_MOV[ANO PAGAMENTO],$B$4,LANÇ_MOV[MÊS PAGAMENTO CORRESPONDENTE],H$6,LANÇ_MOV[EMPRESA],$C$4,LANÇ_MOV[CENTRO DE CUSTOS],$D$4)</f>
        <v>0</v>
      </c>
      <c r="I965" s="206">
        <f>SUMIFS(LANÇ_MOV[VALOR LÍQUIDO],LANÇ_MOV[RECEITA OU DESPESA],"Despesa",LANÇ_MOV[CONTAS],$C965,LANÇ_MOV[PLANO DE CONTAS],REL_DRE_FINANCEIRO!$B$957,LANÇ_MOV[ANO PAGAMENTO],$B$4,LANÇ_MOV[MÊS PAGAMENTO CORRESPONDENTE],I$6,LANÇ_MOV[EMPRESA],$C$4,LANÇ_MOV[CENTRO DE CUSTOS],$D$4)</f>
        <v>0</v>
      </c>
      <c r="J965" s="206">
        <f>SUMIFS(LANÇ_MOV[VALOR LÍQUIDO],LANÇ_MOV[RECEITA OU DESPESA],"Despesa",LANÇ_MOV[CONTAS],$C965,LANÇ_MOV[PLANO DE CONTAS],REL_DRE_FINANCEIRO!$B$957,LANÇ_MOV[ANO PAGAMENTO],$B$4,LANÇ_MOV[MÊS PAGAMENTO CORRESPONDENTE],J$6,LANÇ_MOV[EMPRESA],$C$4,LANÇ_MOV[CENTRO DE CUSTOS],$D$4)</f>
        <v>0</v>
      </c>
      <c r="K965" s="206">
        <f>SUMIFS(LANÇ_MOV[VALOR LÍQUIDO],LANÇ_MOV[RECEITA OU DESPESA],"Despesa",LANÇ_MOV[CONTAS],$C965,LANÇ_MOV[PLANO DE CONTAS],REL_DRE_FINANCEIRO!$B$957,LANÇ_MOV[ANO PAGAMENTO],$B$4,LANÇ_MOV[MÊS PAGAMENTO CORRESPONDENTE],K$6,LANÇ_MOV[EMPRESA],$C$4,LANÇ_MOV[CENTRO DE CUSTOS],$D$4)</f>
        <v>0</v>
      </c>
      <c r="L965" s="206">
        <f>SUMIFS(LANÇ_MOV[VALOR LÍQUIDO],LANÇ_MOV[RECEITA OU DESPESA],"Despesa",LANÇ_MOV[CONTAS],$C965,LANÇ_MOV[PLANO DE CONTAS],REL_DRE_FINANCEIRO!$B$957,LANÇ_MOV[ANO PAGAMENTO],$B$4,LANÇ_MOV[MÊS PAGAMENTO CORRESPONDENTE],L$6,LANÇ_MOV[EMPRESA],$C$4,LANÇ_MOV[CENTRO DE CUSTOS],$D$4)</f>
        <v>0</v>
      </c>
      <c r="M965" s="206">
        <f>SUMIFS(LANÇ_MOV[VALOR LÍQUIDO],LANÇ_MOV[RECEITA OU DESPESA],"Despesa",LANÇ_MOV[CONTAS],$C965,LANÇ_MOV[PLANO DE CONTAS],REL_DRE_FINANCEIRO!$B$957,LANÇ_MOV[ANO PAGAMENTO],$B$4,LANÇ_MOV[MÊS PAGAMENTO CORRESPONDENTE],M$6,LANÇ_MOV[EMPRESA],$C$4,LANÇ_MOV[CENTRO DE CUSTOS],$D$4)</f>
        <v>0</v>
      </c>
      <c r="N965" s="206">
        <f>SUMIFS(LANÇ_MOV[VALOR LÍQUIDO],LANÇ_MOV[RECEITA OU DESPESA],"Despesa",LANÇ_MOV[CONTAS],$C965,LANÇ_MOV[PLANO DE CONTAS],REL_DRE_FINANCEIRO!$B$957,LANÇ_MOV[ANO PAGAMENTO],$B$4,LANÇ_MOV[MÊS PAGAMENTO CORRESPONDENTE],N$6,LANÇ_MOV[EMPRESA],$C$4,LANÇ_MOV[CENTRO DE CUSTOS],$D$4)</f>
        <v>0</v>
      </c>
      <c r="O965" s="206">
        <f>SUMIFS(LANÇ_MOV[VALOR LÍQUIDO],LANÇ_MOV[RECEITA OU DESPESA],"Despesa",LANÇ_MOV[CONTAS],$C965,LANÇ_MOV[PLANO DE CONTAS],REL_DRE_FINANCEIRO!$B$957,LANÇ_MOV[ANO PAGAMENTO],$B$4,LANÇ_MOV[MÊS PAGAMENTO CORRESPONDENTE],O$6,LANÇ_MOV[EMPRESA],$C$4,LANÇ_MOV[CENTRO DE CUSTOS],$D$4)</f>
        <v>0</v>
      </c>
      <c r="P965" s="207">
        <f t="shared" si="122"/>
        <v>0</v>
      </c>
      <c r="Q965" s="329">
        <v>9.3000000000000007E-6</v>
      </c>
      <c r="R965" s="346">
        <f t="shared" si="123"/>
        <v>9.3000000000000007E-6</v>
      </c>
      <c r="S965" s="347" t="str">
        <f t="shared" si="124"/>
        <v>CONTRIBUIÇÃO SEGURADOS</v>
      </c>
      <c r="T965" s="347">
        <f t="shared" si="125"/>
        <v>0</v>
      </c>
      <c r="U965" s="347">
        <f>HLOOKUP(Apoio!$P$12,$D$956:$P$1057,X965,FALSE)+Q965</f>
        <v>9.3000000000000007E-6</v>
      </c>
      <c r="V965" s="447" t="str">
        <f t="shared" si="126"/>
        <v>CONTRIBUIÇÃO SEGURADOS</v>
      </c>
      <c r="W965" s="448">
        <f>HLOOKUP(Apoio!$P$12,$D$956:$P$1057,X965,FALSE)</f>
        <v>0</v>
      </c>
      <c r="X965" s="329">
        <v>10</v>
      </c>
      <c r="Y965" s="329">
        <v>2</v>
      </c>
      <c r="Z965" s="340" t="str">
        <f>VLOOKUP(LARGE($U$958:$U$1057,Y965),$U$958:$V$1057,2,FALSE)</f>
        <v>COFINS</v>
      </c>
      <c r="AA965" s="340">
        <f>VLOOKUP(Z965,$V$958:$W$1057,2,FALSE)</f>
        <v>0</v>
      </c>
    </row>
    <row r="966" spans="2:27" ht="30.05" customHeight="1" x14ac:dyDescent="0.35">
      <c r="B966" s="204" t="str">
        <f>'CAD_PL_REC-DESP'!AF13</f>
        <v>2.8.9</v>
      </c>
      <c r="C966" s="205" t="str">
        <f>IF('CAD_PL_REC-DESP'!AG13="","-",'CAD_PL_REC-DESP'!AG13)</f>
        <v>CONTRIBUIÇÃO SESC</v>
      </c>
      <c r="D966" s="206">
        <f>SUMIFS(LANÇ_MOV[VALOR LÍQUIDO],LANÇ_MOV[RECEITA OU DESPESA],"Despesa",LANÇ_MOV[CONTAS],$C966,LANÇ_MOV[PLANO DE CONTAS],REL_DRE_FINANCEIRO!$B$957,LANÇ_MOV[ANO PAGAMENTO],$B$4,LANÇ_MOV[MÊS PAGAMENTO CORRESPONDENTE],D$6,LANÇ_MOV[EMPRESA],$C$4,LANÇ_MOV[CENTRO DE CUSTOS],$D$4)</f>
        <v>0</v>
      </c>
      <c r="E966" s="206">
        <f>SUMIFS(LANÇ_MOV[VALOR LÍQUIDO],LANÇ_MOV[RECEITA OU DESPESA],"Despesa",LANÇ_MOV[CONTAS],$C966,LANÇ_MOV[PLANO DE CONTAS],REL_DRE_FINANCEIRO!$B$957,LANÇ_MOV[ANO PAGAMENTO],$B$4,LANÇ_MOV[MÊS PAGAMENTO CORRESPONDENTE],E$6,LANÇ_MOV[EMPRESA],$C$4,LANÇ_MOV[CENTRO DE CUSTOS],$D$4)</f>
        <v>0</v>
      </c>
      <c r="F966" s="206">
        <f>SUMIFS(LANÇ_MOV[VALOR LÍQUIDO],LANÇ_MOV[RECEITA OU DESPESA],"Despesa",LANÇ_MOV[CONTAS],$C966,LANÇ_MOV[PLANO DE CONTAS],REL_DRE_FINANCEIRO!$B$957,LANÇ_MOV[ANO PAGAMENTO],$B$4,LANÇ_MOV[MÊS PAGAMENTO CORRESPONDENTE],F$6,LANÇ_MOV[EMPRESA],$C$4,LANÇ_MOV[CENTRO DE CUSTOS],$D$4)</f>
        <v>0</v>
      </c>
      <c r="G966" s="206">
        <f>SUMIFS(LANÇ_MOV[VALOR LÍQUIDO],LANÇ_MOV[RECEITA OU DESPESA],"Despesa",LANÇ_MOV[CONTAS],$C966,LANÇ_MOV[PLANO DE CONTAS],REL_DRE_FINANCEIRO!$B$957,LANÇ_MOV[ANO PAGAMENTO],$B$4,LANÇ_MOV[MÊS PAGAMENTO CORRESPONDENTE],G$6,LANÇ_MOV[EMPRESA],$C$4,LANÇ_MOV[CENTRO DE CUSTOS],$D$4)</f>
        <v>0</v>
      </c>
      <c r="H966" s="206">
        <f>SUMIFS(LANÇ_MOV[VALOR LÍQUIDO],LANÇ_MOV[RECEITA OU DESPESA],"Despesa",LANÇ_MOV[CONTAS],$C966,LANÇ_MOV[PLANO DE CONTAS],REL_DRE_FINANCEIRO!$B$957,LANÇ_MOV[ANO PAGAMENTO],$B$4,LANÇ_MOV[MÊS PAGAMENTO CORRESPONDENTE],H$6,LANÇ_MOV[EMPRESA],$C$4,LANÇ_MOV[CENTRO DE CUSTOS],$D$4)</f>
        <v>0</v>
      </c>
      <c r="I966" s="206">
        <f>SUMIFS(LANÇ_MOV[VALOR LÍQUIDO],LANÇ_MOV[RECEITA OU DESPESA],"Despesa",LANÇ_MOV[CONTAS],$C966,LANÇ_MOV[PLANO DE CONTAS],REL_DRE_FINANCEIRO!$B$957,LANÇ_MOV[ANO PAGAMENTO],$B$4,LANÇ_MOV[MÊS PAGAMENTO CORRESPONDENTE],I$6,LANÇ_MOV[EMPRESA],$C$4,LANÇ_MOV[CENTRO DE CUSTOS],$D$4)</f>
        <v>0</v>
      </c>
      <c r="J966" s="206">
        <f>SUMIFS(LANÇ_MOV[VALOR LÍQUIDO],LANÇ_MOV[RECEITA OU DESPESA],"Despesa",LANÇ_MOV[CONTAS],$C966,LANÇ_MOV[PLANO DE CONTAS],REL_DRE_FINANCEIRO!$B$957,LANÇ_MOV[ANO PAGAMENTO],$B$4,LANÇ_MOV[MÊS PAGAMENTO CORRESPONDENTE],J$6,LANÇ_MOV[EMPRESA],$C$4,LANÇ_MOV[CENTRO DE CUSTOS],$D$4)</f>
        <v>0</v>
      </c>
      <c r="K966" s="206">
        <f>SUMIFS(LANÇ_MOV[VALOR LÍQUIDO],LANÇ_MOV[RECEITA OU DESPESA],"Despesa",LANÇ_MOV[CONTAS],$C966,LANÇ_MOV[PLANO DE CONTAS],REL_DRE_FINANCEIRO!$B$957,LANÇ_MOV[ANO PAGAMENTO],$B$4,LANÇ_MOV[MÊS PAGAMENTO CORRESPONDENTE],K$6,LANÇ_MOV[EMPRESA],$C$4,LANÇ_MOV[CENTRO DE CUSTOS],$D$4)</f>
        <v>0</v>
      </c>
      <c r="L966" s="206">
        <f>SUMIFS(LANÇ_MOV[VALOR LÍQUIDO],LANÇ_MOV[RECEITA OU DESPESA],"Despesa",LANÇ_MOV[CONTAS],$C966,LANÇ_MOV[PLANO DE CONTAS],REL_DRE_FINANCEIRO!$B$957,LANÇ_MOV[ANO PAGAMENTO],$B$4,LANÇ_MOV[MÊS PAGAMENTO CORRESPONDENTE],L$6,LANÇ_MOV[EMPRESA],$C$4,LANÇ_MOV[CENTRO DE CUSTOS],$D$4)</f>
        <v>0</v>
      </c>
      <c r="M966" s="206">
        <f>SUMIFS(LANÇ_MOV[VALOR LÍQUIDO],LANÇ_MOV[RECEITA OU DESPESA],"Despesa",LANÇ_MOV[CONTAS],$C966,LANÇ_MOV[PLANO DE CONTAS],REL_DRE_FINANCEIRO!$B$957,LANÇ_MOV[ANO PAGAMENTO],$B$4,LANÇ_MOV[MÊS PAGAMENTO CORRESPONDENTE],M$6,LANÇ_MOV[EMPRESA],$C$4,LANÇ_MOV[CENTRO DE CUSTOS],$D$4)</f>
        <v>0</v>
      </c>
      <c r="N966" s="206">
        <f>SUMIFS(LANÇ_MOV[VALOR LÍQUIDO],LANÇ_MOV[RECEITA OU DESPESA],"Despesa",LANÇ_MOV[CONTAS],$C966,LANÇ_MOV[PLANO DE CONTAS],REL_DRE_FINANCEIRO!$B$957,LANÇ_MOV[ANO PAGAMENTO],$B$4,LANÇ_MOV[MÊS PAGAMENTO CORRESPONDENTE],N$6,LANÇ_MOV[EMPRESA],$C$4,LANÇ_MOV[CENTRO DE CUSTOS],$D$4)</f>
        <v>0</v>
      </c>
      <c r="O966" s="206">
        <f>SUMIFS(LANÇ_MOV[VALOR LÍQUIDO],LANÇ_MOV[RECEITA OU DESPESA],"Despesa",LANÇ_MOV[CONTAS],$C966,LANÇ_MOV[PLANO DE CONTAS],REL_DRE_FINANCEIRO!$B$957,LANÇ_MOV[ANO PAGAMENTO],$B$4,LANÇ_MOV[MÊS PAGAMENTO CORRESPONDENTE],O$6,LANÇ_MOV[EMPRESA],$C$4,LANÇ_MOV[CENTRO DE CUSTOS],$D$4)</f>
        <v>0</v>
      </c>
      <c r="P966" s="207">
        <f t="shared" si="122"/>
        <v>0</v>
      </c>
      <c r="Q966" s="329">
        <v>9.2E-6</v>
      </c>
      <c r="R966" s="346">
        <f t="shared" si="123"/>
        <v>9.2E-6</v>
      </c>
      <c r="S966" s="347" t="str">
        <f t="shared" si="124"/>
        <v>CONTRIBUIÇÃO SESC</v>
      </c>
      <c r="T966" s="347">
        <f t="shared" si="125"/>
        <v>0</v>
      </c>
      <c r="U966" s="347">
        <f>HLOOKUP(Apoio!$P$12,$D$956:$P$1057,X966,FALSE)+Q966</f>
        <v>9.2E-6</v>
      </c>
      <c r="V966" s="447" t="str">
        <f t="shared" si="126"/>
        <v>CONTRIBUIÇÃO SESC</v>
      </c>
      <c r="W966" s="448">
        <f>HLOOKUP(Apoio!$P$12,$D$956:$P$1057,X966,FALSE)</f>
        <v>0</v>
      </c>
      <c r="X966" s="329">
        <v>11</v>
      </c>
      <c r="Y966" s="329">
        <v>3</v>
      </c>
      <c r="Z966" s="340" t="str">
        <f>VLOOKUP(LARGE($U$958:$U$1057,Y966),$U$958:$V$1057,2,FALSE)</f>
        <v>CONTRIBUIÇÃO EMPREGADOR</v>
      </c>
      <c r="AA966" s="340">
        <f>VLOOKUP(Z966,$V$958:$W$1057,2,FALSE)</f>
        <v>0</v>
      </c>
    </row>
    <row r="967" spans="2:27" ht="30.05" customHeight="1" x14ac:dyDescent="0.35">
      <c r="B967" s="204" t="str">
        <f>'CAD_PL_REC-DESP'!AF14</f>
        <v>2.8.10</v>
      </c>
      <c r="C967" s="205" t="str">
        <f>IF('CAD_PL_REC-DESP'!AG14="","-",'CAD_PL_REC-DESP'!AG14)</f>
        <v>CP - PATRONAL</v>
      </c>
      <c r="D967" s="206">
        <f>SUMIFS(LANÇ_MOV[VALOR LÍQUIDO],LANÇ_MOV[RECEITA OU DESPESA],"Despesa",LANÇ_MOV[CONTAS],$C967,LANÇ_MOV[PLANO DE CONTAS],REL_DRE_FINANCEIRO!$B$957,LANÇ_MOV[ANO PAGAMENTO],$B$4,LANÇ_MOV[MÊS PAGAMENTO CORRESPONDENTE],D$6,LANÇ_MOV[EMPRESA],$C$4,LANÇ_MOV[CENTRO DE CUSTOS],$D$4)</f>
        <v>0</v>
      </c>
      <c r="E967" s="206">
        <f>SUMIFS(LANÇ_MOV[VALOR LÍQUIDO],LANÇ_MOV[RECEITA OU DESPESA],"Despesa",LANÇ_MOV[CONTAS],$C967,LANÇ_MOV[PLANO DE CONTAS],REL_DRE_FINANCEIRO!$B$957,LANÇ_MOV[ANO PAGAMENTO],$B$4,LANÇ_MOV[MÊS PAGAMENTO CORRESPONDENTE],E$6,LANÇ_MOV[EMPRESA],$C$4,LANÇ_MOV[CENTRO DE CUSTOS],$D$4)</f>
        <v>0</v>
      </c>
      <c r="F967" s="206">
        <f>SUMIFS(LANÇ_MOV[VALOR LÍQUIDO],LANÇ_MOV[RECEITA OU DESPESA],"Despesa",LANÇ_MOV[CONTAS],$C967,LANÇ_MOV[PLANO DE CONTAS],REL_DRE_FINANCEIRO!$B$957,LANÇ_MOV[ANO PAGAMENTO],$B$4,LANÇ_MOV[MÊS PAGAMENTO CORRESPONDENTE],F$6,LANÇ_MOV[EMPRESA],$C$4,LANÇ_MOV[CENTRO DE CUSTOS],$D$4)</f>
        <v>0</v>
      </c>
      <c r="G967" s="206">
        <f>SUMIFS(LANÇ_MOV[VALOR LÍQUIDO],LANÇ_MOV[RECEITA OU DESPESA],"Despesa",LANÇ_MOV[CONTAS],$C967,LANÇ_MOV[PLANO DE CONTAS],REL_DRE_FINANCEIRO!$B$957,LANÇ_MOV[ANO PAGAMENTO],$B$4,LANÇ_MOV[MÊS PAGAMENTO CORRESPONDENTE],G$6,LANÇ_MOV[EMPRESA],$C$4,LANÇ_MOV[CENTRO DE CUSTOS],$D$4)</f>
        <v>0</v>
      </c>
      <c r="H967" s="206">
        <f>SUMIFS(LANÇ_MOV[VALOR LÍQUIDO],LANÇ_MOV[RECEITA OU DESPESA],"Despesa",LANÇ_MOV[CONTAS],$C967,LANÇ_MOV[PLANO DE CONTAS],REL_DRE_FINANCEIRO!$B$957,LANÇ_MOV[ANO PAGAMENTO],$B$4,LANÇ_MOV[MÊS PAGAMENTO CORRESPONDENTE],H$6,LANÇ_MOV[EMPRESA],$C$4,LANÇ_MOV[CENTRO DE CUSTOS],$D$4)</f>
        <v>0</v>
      </c>
      <c r="I967" s="206">
        <f>SUMIFS(LANÇ_MOV[VALOR LÍQUIDO],LANÇ_MOV[RECEITA OU DESPESA],"Despesa",LANÇ_MOV[CONTAS],$C967,LANÇ_MOV[PLANO DE CONTAS],REL_DRE_FINANCEIRO!$B$957,LANÇ_MOV[ANO PAGAMENTO],$B$4,LANÇ_MOV[MÊS PAGAMENTO CORRESPONDENTE],I$6,LANÇ_MOV[EMPRESA],$C$4,LANÇ_MOV[CENTRO DE CUSTOS],$D$4)</f>
        <v>0</v>
      </c>
      <c r="J967" s="206">
        <f>SUMIFS(LANÇ_MOV[VALOR LÍQUIDO],LANÇ_MOV[RECEITA OU DESPESA],"Despesa",LANÇ_MOV[CONTAS],$C967,LANÇ_MOV[PLANO DE CONTAS],REL_DRE_FINANCEIRO!$B$957,LANÇ_MOV[ANO PAGAMENTO],$B$4,LANÇ_MOV[MÊS PAGAMENTO CORRESPONDENTE],J$6,LANÇ_MOV[EMPRESA],$C$4,LANÇ_MOV[CENTRO DE CUSTOS],$D$4)</f>
        <v>0</v>
      </c>
      <c r="K967" s="206">
        <f>SUMIFS(LANÇ_MOV[VALOR LÍQUIDO],LANÇ_MOV[RECEITA OU DESPESA],"Despesa",LANÇ_MOV[CONTAS],$C967,LANÇ_MOV[PLANO DE CONTAS],REL_DRE_FINANCEIRO!$B$957,LANÇ_MOV[ANO PAGAMENTO],$B$4,LANÇ_MOV[MÊS PAGAMENTO CORRESPONDENTE],K$6,LANÇ_MOV[EMPRESA],$C$4,LANÇ_MOV[CENTRO DE CUSTOS],$D$4)</f>
        <v>0</v>
      </c>
      <c r="L967" s="206">
        <f>SUMIFS(LANÇ_MOV[VALOR LÍQUIDO],LANÇ_MOV[RECEITA OU DESPESA],"Despesa",LANÇ_MOV[CONTAS],$C967,LANÇ_MOV[PLANO DE CONTAS],REL_DRE_FINANCEIRO!$B$957,LANÇ_MOV[ANO PAGAMENTO],$B$4,LANÇ_MOV[MÊS PAGAMENTO CORRESPONDENTE],L$6,LANÇ_MOV[EMPRESA],$C$4,LANÇ_MOV[CENTRO DE CUSTOS],$D$4)</f>
        <v>0</v>
      </c>
      <c r="M967" s="206">
        <f>SUMIFS(LANÇ_MOV[VALOR LÍQUIDO],LANÇ_MOV[RECEITA OU DESPESA],"Despesa",LANÇ_MOV[CONTAS],$C967,LANÇ_MOV[PLANO DE CONTAS],REL_DRE_FINANCEIRO!$B$957,LANÇ_MOV[ANO PAGAMENTO],$B$4,LANÇ_MOV[MÊS PAGAMENTO CORRESPONDENTE],M$6,LANÇ_MOV[EMPRESA],$C$4,LANÇ_MOV[CENTRO DE CUSTOS],$D$4)</f>
        <v>0</v>
      </c>
      <c r="N967" s="206">
        <f>SUMIFS(LANÇ_MOV[VALOR LÍQUIDO],LANÇ_MOV[RECEITA OU DESPESA],"Despesa",LANÇ_MOV[CONTAS],$C967,LANÇ_MOV[PLANO DE CONTAS],REL_DRE_FINANCEIRO!$B$957,LANÇ_MOV[ANO PAGAMENTO],$B$4,LANÇ_MOV[MÊS PAGAMENTO CORRESPONDENTE],N$6,LANÇ_MOV[EMPRESA],$C$4,LANÇ_MOV[CENTRO DE CUSTOS],$D$4)</f>
        <v>0</v>
      </c>
      <c r="O967" s="206">
        <f>SUMIFS(LANÇ_MOV[VALOR LÍQUIDO],LANÇ_MOV[RECEITA OU DESPESA],"Despesa",LANÇ_MOV[CONTAS],$C967,LANÇ_MOV[PLANO DE CONTAS],REL_DRE_FINANCEIRO!$B$957,LANÇ_MOV[ANO PAGAMENTO],$B$4,LANÇ_MOV[MÊS PAGAMENTO CORRESPONDENTE],O$6,LANÇ_MOV[EMPRESA],$C$4,LANÇ_MOV[CENTRO DE CUSTOS],$D$4)</f>
        <v>0</v>
      </c>
      <c r="P967" s="207">
        <f t="shared" si="122"/>
        <v>0</v>
      </c>
      <c r="Q967" s="329">
        <v>9.0999999999999993E-6</v>
      </c>
      <c r="R967" s="346">
        <f t="shared" si="123"/>
        <v>9.0999999999999993E-6</v>
      </c>
      <c r="S967" s="347" t="str">
        <f t="shared" si="124"/>
        <v>CP - PATRONAL</v>
      </c>
      <c r="T967" s="347">
        <f t="shared" si="125"/>
        <v>0</v>
      </c>
      <c r="U967" s="347">
        <f>HLOOKUP(Apoio!$P$12,$D$956:$P$1057,X967,FALSE)+Q967</f>
        <v>9.0999999999999993E-6</v>
      </c>
      <c r="V967" s="447" t="str">
        <f t="shared" si="126"/>
        <v>CP - PATRONAL</v>
      </c>
      <c r="W967" s="448">
        <f>HLOOKUP(Apoio!$P$12,$D$956:$P$1057,X967,FALSE)</f>
        <v>0</v>
      </c>
      <c r="X967" s="329">
        <v>12</v>
      </c>
      <c r="Y967" s="329">
        <v>4</v>
      </c>
      <c r="Z967" s="340" t="str">
        <f>VLOOKUP(LARGE($U$958:$U$1057,Y967),$U$958:$V$1057,2,FALSE)</f>
        <v>CONTRIBUIÇÃO INCRA</v>
      </c>
      <c r="AA967" s="340">
        <f>VLOOKUP(Z967,$V$958:$W$1057,2,FALSE)</f>
        <v>0</v>
      </c>
    </row>
    <row r="968" spans="2:27" ht="30.05" customHeight="1" x14ac:dyDescent="0.35">
      <c r="B968" s="204" t="str">
        <f>'CAD_PL_REC-DESP'!AF15</f>
        <v>2.8.11</v>
      </c>
      <c r="C968" s="205" t="str">
        <f>IF('CAD_PL_REC-DESP'!AG15="","-",'CAD_PL_REC-DESP'!AG15)</f>
        <v>CP - SEGUROS</v>
      </c>
      <c r="D968" s="206">
        <f>SUMIFS(LANÇ_MOV[VALOR LÍQUIDO],LANÇ_MOV[RECEITA OU DESPESA],"Despesa",LANÇ_MOV[CONTAS],$C968,LANÇ_MOV[PLANO DE CONTAS],REL_DRE_FINANCEIRO!$B$957,LANÇ_MOV[ANO PAGAMENTO],$B$4,LANÇ_MOV[MÊS PAGAMENTO CORRESPONDENTE],D$6,LANÇ_MOV[EMPRESA],$C$4,LANÇ_MOV[CENTRO DE CUSTOS],$D$4)</f>
        <v>0</v>
      </c>
      <c r="E968" s="206">
        <f>SUMIFS(LANÇ_MOV[VALOR LÍQUIDO],LANÇ_MOV[RECEITA OU DESPESA],"Despesa",LANÇ_MOV[CONTAS],$C968,LANÇ_MOV[PLANO DE CONTAS],REL_DRE_FINANCEIRO!$B$957,LANÇ_MOV[ANO PAGAMENTO],$B$4,LANÇ_MOV[MÊS PAGAMENTO CORRESPONDENTE],E$6,LANÇ_MOV[EMPRESA],$C$4,LANÇ_MOV[CENTRO DE CUSTOS],$D$4)</f>
        <v>0</v>
      </c>
      <c r="F968" s="206">
        <f>SUMIFS(LANÇ_MOV[VALOR LÍQUIDO],LANÇ_MOV[RECEITA OU DESPESA],"Despesa",LANÇ_MOV[CONTAS],$C968,LANÇ_MOV[PLANO DE CONTAS],REL_DRE_FINANCEIRO!$B$957,LANÇ_MOV[ANO PAGAMENTO],$B$4,LANÇ_MOV[MÊS PAGAMENTO CORRESPONDENTE],F$6,LANÇ_MOV[EMPRESA],$C$4,LANÇ_MOV[CENTRO DE CUSTOS],$D$4)</f>
        <v>0</v>
      </c>
      <c r="G968" s="206">
        <f>SUMIFS(LANÇ_MOV[VALOR LÍQUIDO],LANÇ_MOV[RECEITA OU DESPESA],"Despesa",LANÇ_MOV[CONTAS],$C968,LANÇ_MOV[PLANO DE CONTAS],REL_DRE_FINANCEIRO!$B$957,LANÇ_MOV[ANO PAGAMENTO],$B$4,LANÇ_MOV[MÊS PAGAMENTO CORRESPONDENTE],G$6,LANÇ_MOV[EMPRESA],$C$4,LANÇ_MOV[CENTRO DE CUSTOS],$D$4)</f>
        <v>0</v>
      </c>
      <c r="H968" s="206">
        <f>SUMIFS(LANÇ_MOV[VALOR LÍQUIDO],LANÇ_MOV[RECEITA OU DESPESA],"Despesa",LANÇ_MOV[CONTAS],$C968,LANÇ_MOV[PLANO DE CONTAS],REL_DRE_FINANCEIRO!$B$957,LANÇ_MOV[ANO PAGAMENTO],$B$4,LANÇ_MOV[MÊS PAGAMENTO CORRESPONDENTE],H$6,LANÇ_MOV[EMPRESA],$C$4,LANÇ_MOV[CENTRO DE CUSTOS],$D$4)</f>
        <v>0</v>
      </c>
      <c r="I968" s="206">
        <f>SUMIFS(LANÇ_MOV[VALOR LÍQUIDO],LANÇ_MOV[RECEITA OU DESPESA],"Despesa",LANÇ_MOV[CONTAS],$C968,LANÇ_MOV[PLANO DE CONTAS],REL_DRE_FINANCEIRO!$B$957,LANÇ_MOV[ANO PAGAMENTO],$B$4,LANÇ_MOV[MÊS PAGAMENTO CORRESPONDENTE],I$6,LANÇ_MOV[EMPRESA],$C$4,LANÇ_MOV[CENTRO DE CUSTOS],$D$4)</f>
        <v>0</v>
      </c>
      <c r="J968" s="206">
        <f>SUMIFS(LANÇ_MOV[VALOR LÍQUIDO],LANÇ_MOV[RECEITA OU DESPESA],"Despesa",LANÇ_MOV[CONTAS],$C968,LANÇ_MOV[PLANO DE CONTAS],REL_DRE_FINANCEIRO!$B$957,LANÇ_MOV[ANO PAGAMENTO],$B$4,LANÇ_MOV[MÊS PAGAMENTO CORRESPONDENTE],J$6,LANÇ_MOV[EMPRESA],$C$4,LANÇ_MOV[CENTRO DE CUSTOS],$D$4)</f>
        <v>0</v>
      </c>
      <c r="K968" s="206">
        <f>SUMIFS(LANÇ_MOV[VALOR LÍQUIDO],LANÇ_MOV[RECEITA OU DESPESA],"Despesa",LANÇ_MOV[CONTAS],$C968,LANÇ_MOV[PLANO DE CONTAS],REL_DRE_FINANCEIRO!$B$957,LANÇ_MOV[ANO PAGAMENTO],$B$4,LANÇ_MOV[MÊS PAGAMENTO CORRESPONDENTE],K$6,LANÇ_MOV[EMPRESA],$C$4,LANÇ_MOV[CENTRO DE CUSTOS],$D$4)</f>
        <v>0</v>
      </c>
      <c r="L968" s="206">
        <f>SUMIFS(LANÇ_MOV[VALOR LÍQUIDO],LANÇ_MOV[RECEITA OU DESPESA],"Despesa",LANÇ_MOV[CONTAS],$C968,LANÇ_MOV[PLANO DE CONTAS],REL_DRE_FINANCEIRO!$B$957,LANÇ_MOV[ANO PAGAMENTO],$B$4,LANÇ_MOV[MÊS PAGAMENTO CORRESPONDENTE],L$6,LANÇ_MOV[EMPRESA],$C$4,LANÇ_MOV[CENTRO DE CUSTOS],$D$4)</f>
        <v>0</v>
      </c>
      <c r="M968" s="206">
        <f>SUMIFS(LANÇ_MOV[VALOR LÍQUIDO],LANÇ_MOV[RECEITA OU DESPESA],"Despesa",LANÇ_MOV[CONTAS],$C968,LANÇ_MOV[PLANO DE CONTAS],REL_DRE_FINANCEIRO!$B$957,LANÇ_MOV[ANO PAGAMENTO],$B$4,LANÇ_MOV[MÊS PAGAMENTO CORRESPONDENTE],M$6,LANÇ_MOV[EMPRESA],$C$4,LANÇ_MOV[CENTRO DE CUSTOS],$D$4)</f>
        <v>0</v>
      </c>
      <c r="N968" s="206">
        <f>SUMIFS(LANÇ_MOV[VALOR LÍQUIDO],LANÇ_MOV[RECEITA OU DESPESA],"Despesa",LANÇ_MOV[CONTAS],$C968,LANÇ_MOV[PLANO DE CONTAS],REL_DRE_FINANCEIRO!$B$957,LANÇ_MOV[ANO PAGAMENTO],$B$4,LANÇ_MOV[MÊS PAGAMENTO CORRESPONDENTE],N$6,LANÇ_MOV[EMPRESA],$C$4,LANÇ_MOV[CENTRO DE CUSTOS],$D$4)</f>
        <v>0</v>
      </c>
      <c r="O968" s="206">
        <f>SUMIFS(LANÇ_MOV[VALOR LÍQUIDO],LANÇ_MOV[RECEITA OU DESPESA],"Despesa",LANÇ_MOV[CONTAS],$C968,LANÇ_MOV[PLANO DE CONTAS],REL_DRE_FINANCEIRO!$B$957,LANÇ_MOV[ANO PAGAMENTO],$B$4,LANÇ_MOV[MÊS PAGAMENTO CORRESPONDENTE],O$6,LANÇ_MOV[EMPRESA],$C$4,LANÇ_MOV[CENTRO DE CUSTOS],$D$4)</f>
        <v>0</v>
      </c>
      <c r="P968" s="207">
        <f t="shared" si="122"/>
        <v>0</v>
      </c>
      <c r="Q968" s="329">
        <v>9.0000000000000002E-6</v>
      </c>
      <c r="R968" s="346">
        <f t="shared" si="123"/>
        <v>9.0000000000000002E-6</v>
      </c>
      <c r="S968" s="347" t="str">
        <f t="shared" si="124"/>
        <v>CP - SEGUROS</v>
      </c>
      <c r="T968" s="347">
        <f t="shared" si="125"/>
        <v>0</v>
      </c>
      <c r="U968" s="347">
        <f>HLOOKUP(Apoio!$P$12,$D$956:$P$1057,X968,FALSE)+Q968</f>
        <v>9.0000000000000002E-6</v>
      </c>
      <c r="V968" s="447" t="str">
        <f t="shared" si="126"/>
        <v>CP - SEGUROS</v>
      </c>
      <c r="W968" s="448">
        <f>HLOOKUP(Apoio!$P$12,$D$956:$P$1057,X968,FALSE)</f>
        <v>0</v>
      </c>
      <c r="X968" s="329">
        <v>13</v>
      </c>
      <c r="Y968" s="329">
        <v>5</v>
      </c>
      <c r="Z968" s="340" t="str">
        <f>VLOOKUP(LARGE($U$958:$U$1057,Y968),$U$958:$V$1057,2,FALSE)</f>
        <v>CONTRIBUIÇÃO SALÁRIO EDUCAÇÃO</v>
      </c>
      <c r="AA968" s="340">
        <f>VLOOKUP(Z968,$V$958:$W$1057,2,FALSE)</f>
        <v>0</v>
      </c>
    </row>
    <row r="969" spans="2:27" ht="30.05" customHeight="1" x14ac:dyDescent="0.35">
      <c r="B969" s="204" t="str">
        <f>'CAD_PL_REC-DESP'!AF16</f>
        <v>2.8.12</v>
      </c>
      <c r="C969" s="205" t="str">
        <f>IF('CAD_PL_REC-DESP'!AG16="","-",'CAD_PL_REC-DESP'!AG16)</f>
        <v>CP - TERCEIROS</v>
      </c>
      <c r="D969" s="206">
        <f>SUMIFS(LANÇ_MOV[VALOR LÍQUIDO],LANÇ_MOV[RECEITA OU DESPESA],"Despesa",LANÇ_MOV[CONTAS],$C969,LANÇ_MOV[PLANO DE CONTAS],REL_DRE_FINANCEIRO!$B$957,LANÇ_MOV[ANO PAGAMENTO],$B$4,LANÇ_MOV[MÊS PAGAMENTO CORRESPONDENTE],D$6,LANÇ_MOV[EMPRESA],$C$4,LANÇ_MOV[CENTRO DE CUSTOS],$D$4)</f>
        <v>0</v>
      </c>
      <c r="E969" s="206">
        <f>SUMIFS(LANÇ_MOV[VALOR LÍQUIDO],LANÇ_MOV[RECEITA OU DESPESA],"Despesa",LANÇ_MOV[CONTAS],$C969,LANÇ_MOV[PLANO DE CONTAS],REL_DRE_FINANCEIRO!$B$957,LANÇ_MOV[ANO PAGAMENTO],$B$4,LANÇ_MOV[MÊS PAGAMENTO CORRESPONDENTE],E$6,LANÇ_MOV[EMPRESA],$C$4,LANÇ_MOV[CENTRO DE CUSTOS],$D$4)</f>
        <v>0</v>
      </c>
      <c r="F969" s="206">
        <f>SUMIFS(LANÇ_MOV[VALOR LÍQUIDO],LANÇ_MOV[RECEITA OU DESPESA],"Despesa",LANÇ_MOV[CONTAS],$C969,LANÇ_MOV[PLANO DE CONTAS],REL_DRE_FINANCEIRO!$B$957,LANÇ_MOV[ANO PAGAMENTO],$B$4,LANÇ_MOV[MÊS PAGAMENTO CORRESPONDENTE],F$6,LANÇ_MOV[EMPRESA],$C$4,LANÇ_MOV[CENTRO DE CUSTOS],$D$4)</f>
        <v>0</v>
      </c>
      <c r="G969" s="206">
        <f>SUMIFS(LANÇ_MOV[VALOR LÍQUIDO],LANÇ_MOV[RECEITA OU DESPESA],"Despesa",LANÇ_MOV[CONTAS],$C969,LANÇ_MOV[PLANO DE CONTAS],REL_DRE_FINANCEIRO!$B$957,LANÇ_MOV[ANO PAGAMENTO],$B$4,LANÇ_MOV[MÊS PAGAMENTO CORRESPONDENTE],G$6,LANÇ_MOV[EMPRESA],$C$4,LANÇ_MOV[CENTRO DE CUSTOS],$D$4)</f>
        <v>0</v>
      </c>
      <c r="H969" s="206">
        <f>SUMIFS(LANÇ_MOV[VALOR LÍQUIDO],LANÇ_MOV[RECEITA OU DESPESA],"Despesa",LANÇ_MOV[CONTAS],$C969,LANÇ_MOV[PLANO DE CONTAS],REL_DRE_FINANCEIRO!$B$957,LANÇ_MOV[ANO PAGAMENTO],$B$4,LANÇ_MOV[MÊS PAGAMENTO CORRESPONDENTE],H$6,LANÇ_MOV[EMPRESA],$C$4,LANÇ_MOV[CENTRO DE CUSTOS],$D$4)</f>
        <v>0</v>
      </c>
      <c r="I969" s="206">
        <f>SUMIFS(LANÇ_MOV[VALOR LÍQUIDO],LANÇ_MOV[RECEITA OU DESPESA],"Despesa",LANÇ_MOV[CONTAS],$C969,LANÇ_MOV[PLANO DE CONTAS],REL_DRE_FINANCEIRO!$B$957,LANÇ_MOV[ANO PAGAMENTO],$B$4,LANÇ_MOV[MÊS PAGAMENTO CORRESPONDENTE],I$6,LANÇ_MOV[EMPRESA],$C$4,LANÇ_MOV[CENTRO DE CUSTOS],$D$4)</f>
        <v>0</v>
      </c>
      <c r="J969" s="206">
        <f>SUMIFS(LANÇ_MOV[VALOR LÍQUIDO],LANÇ_MOV[RECEITA OU DESPESA],"Despesa",LANÇ_MOV[CONTAS],$C969,LANÇ_MOV[PLANO DE CONTAS],REL_DRE_FINANCEIRO!$B$957,LANÇ_MOV[ANO PAGAMENTO],$B$4,LANÇ_MOV[MÊS PAGAMENTO CORRESPONDENTE],J$6,LANÇ_MOV[EMPRESA],$C$4,LANÇ_MOV[CENTRO DE CUSTOS],$D$4)</f>
        <v>0</v>
      </c>
      <c r="K969" s="206">
        <f>SUMIFS(LANÇ_MOV[VALOR LÍQUIDO],LANÇ_MOV[RECEITA OU DESPESA],"Despesa",LANÇ_MOV[CONTAS],$C969,LANÇ_MOV[PLANO DE CONTAS],REL_DRE_FINANCEIRO!$B$957,LANÇ_MOV[ANO PAGAMENTO],$B$4,LANÇ_MOV[MÊS PAGAMENTO CORRESPONDENTE],K$6,LANÇ_MOV[EMPRESA],$C$4,LANÇ_MOV[CENTRO DE CUSTOS],$D$4)</f>
        <v>0</v>
      </c>
      <c r="L969" s="206">
        <f>SUMIFS(LANÇ_MOV[VALOR LÍQUIDO],LANÇ_MOV[RECEITA OU DESPESA],"Despesa",LANÇ_MOV[CONTAS],$C969,LANÇ_MOV[PLANO DE CONTAS],REL_DRE_FINANCEIRO!$B$957,LANÇ_MOV[ANO PAGAMENTO],$B$4,LANÇ_MOV[MÊS PAGAMENTO CORRESPONDENTE],L$6,LANÇ_MOV[EMPRESA],$C$4,LANÇ_MOV[CENTRO DE CUSTOS],$D$4)</f>
        <v>0</v>
      </c>
      <c r="M969" s="206">
        <f>SUMIFS(LANÇ_MOV[VALOR LÍQUIDO],LANÇ_MOV[RECEITA OU DESPESA],"Despesa",LANÇ_MOV[CONTAS],$C969,LANÇ_MOV[PLANO DE CONTAS],REL_DRE_FINANCEIRO!$B$957,LANÇ_MOV[ANO PAGAMENTO],$B$4,LANÇ_MOV[MÊS PAGAMENTO CORRESPONDENTE],M$6,LANÇ_MOV[EMPRESA],$C$4,LANÇ_MOV[CENTRO DE CUSTOS],$D$4)</f>
        <v>0</v>
      </c>
      <c r="N969" s="206">
        <f>SUMIFS(LANÇ_MOV[VALOR LÍQUIDO],LANÇ_MOV[RECEITA OU DESPESA],"Despesa",LANÇ_MOV[CONTAS],$C969,LANÇ_MOV[PLANO DE CONTAS],REL_DRE_FINANCEIRO!$B$957,LANÇ_MOV[ANO PAGAMENTO],$B$4,LANÇ_MOV[MÊS PAGAMENTO CORRESPONDENTE],N$6,LANÇ_MOV[EMPRESA],$C$4,LANÇ_MOV[CENTRO DE CUSTOS],$D$4)</f>
        <v>0</v>
      </c>
      <c r="O969" s="206">
        <f>SUMIFS(LANÇ_MOV[VALOR LÍQUIDO],LANÇ_MOV[RECEITA OU DESPESA],"Despesa",LANÇ_MOV[CONTAS],$C969,LANÇ_MOV[PLANO DE CONTAS],REL_DRE_FINANCEIRO!$B$957,LANÇ_MOV[ANO PAGAMENTO],$B$4,LANÇ_MOV[MÊS PAGAMENTO CORRESPONDENTE],O$6,LANÇ_MOV[EMPRESA],$C$4,LANÇ_MOV[CENTRO DE CUSTOS],$D$4)</f>
        <v>0</v>
      </c>
      <c r="P969" s="207">
        <f t="shared" si="122"/>
        <v>0</v>
      </c>
      <c r="Q969" s="329">
        <v>8.8999999999999995E-6</v>
      </c>
      <c r="R969" s="346">
        <f t="shared" si="123"/>
        <v>8.8999999999999995E-6</v>
      </c>
      <c r="S969" s="347" t="str">
        <f t="shared" si="124"/>
        <v>CP - TERCEIROS</v>
      </c>
      <c r="T969" s="347">
        <f t="shared" si="125"/>
        <v>0</v>
      </c>
      <c r="U969" s="347">
        <f>HLOOKUP(Apoio!$P$12,$D$956:$P$1057,X969,FALSE)+Q969</f>
        <v>8.8999999999999995E-6</v>
      </c>
      <c r="V969" s="447" t="str">
        <f t="shared" si="126"/>
        <v>CP - TERCEIROS</v>
      </c>
      <c r="W969" s="448">
        <f>HLOOKUP(Apoio!$P$12,$D$956:$P$1057,X969,FALSE)</f>
        <v>0</v>
      </c>
      <c r="X969" s="329">
        <v>14</v>
      </c>
      <c r="AA969" s="340">
        <f>SUM(AA964:AA968)</f>
        <v>0</v>
      </c>
    </row>
    <row r="970" spans="2:27" ht="30.05" customHeight="1" x14ac:dyDescent="0.35">
      <c r="B970" s="204" t="str">
        <f>'CAD_PL_REC-DESP'!AF17</f>
        <v>2.8.13</v>
      </c>
      <c r="C970" s="205" t="str">
        <f>IF('CAD_PL_REC-DESP'!AG17="","-",'CAD_PL_REC-DESP'!AG17)</f>
        <v>DARF</v>
      </c>
      <c r="D970" s="206">
        <f>SUMIFS(LANÇ_MOV[VALOR LÍQUIDO],LANÇ_MOV[RECEITA OU DESPESA],"Despesa",LANÇ_MOV[CONTAS],$C970,LANÇ_MOV[PLANO DE CONTAS],REL_DRE_FINANCEIRO!$B$957,LANÇ_MOV[ANO PAGAMENTO],$B$4,LANÇ_MOV[MÊS PAGAMENTO CORRESPONDENTE],D$6,LANÇ_MOV[EMPRESA],$C$4,LANÇ_MOV[CENTRO DE CUSTOS],$D$4)</f>
        <v>0</v>
      </c>
      <c r="E970" s="206">
        <f>SUMIFS(LANÇ_MOV[VALOR LÍQUIDO],LANÇ_MOV[RECEITA OU DESPESA],"Despesa",LANÇ_MOV[CONTAS],$C970,LANÇ_MOV[PLANO DE CONTAS],REL_DRE_FINANCEIRO!$B$957,LANÇ_MOV[ANO PAGAMENTO],$B$4,LANÇ_MOV[MÊS PAGAMENTO CORRESPONDENTE],E$6,LANÇ_MOV[EMPRESA],$C$4,LANÇ_MOV[CENTRO DE CUSTOS],$D$4)</f>
        <v>0</v>
      </c>
      <c r="F970" s="206">
        <f>SUMIFS(LANÇ_MOV[VALOR LÍQUIDO],LANÇ_MOV[RECEITA OU DESPESA],"Despesa",LANÇ_MOV[CONTAS],$C970,LANÇ_MOV[PLANO DE CONTAS],REL_DRE_FINANCEIRO!$B$957,LANÇ_MOV[ANO PAGAMENTO],$B$4,LANÇ_MOV[MÊS PAGAMENTO CORRESPONDENTE],F$6,LANÇ_MOV[EMPRESA],$C$4,LANÇ_MOV[CENTRO DE CUSTOS],$D$4)</f>
        <v>0</v>
      </c>
      <c r="G970" s="206">
        <f>SUMIFS(LANÇ_MOV[VALOR LÍQUIDO],LANÇ_MOV[RECEITA OU DESPESA],"Despesa",LANÇ_MOV[CONTAS],$C970,LANÇ_MOV[PLANO DE CONTAS],REL_DRE_FINANCEIRO!$B$957,LANÇ_MOV[ANO PAGAMENTO],$B$4,LANÇ_MOV[MÊS PAGAMENTO CORRESPONDENTE],G$6,LANÇ_MOV[EMPRESA],$C$4,LANÇ_MOV[CENTRO DE CUSTOS],$D$4)</f>
        <v>0</v>
      </c>
      <c r="H970" s="206">
        <f>SUMIFS(LANÇ_MOV[VALOR LÍQUIDO],LANÇ_MOV[RECEITA OU DESPESA],"Despesa",LANÇ_MOV[CONTAS],$C970,LANÇ_MOV[PLANO DE CONTAS],REL_DRE_FINANCEIRO!$B$957,LANÇ_MOV[ANO PAGAMENTO],$B$4,LANÇ_MOV[MÊS PAGAMENTO CORRESPONDENTE],H$6,LANÇ_MOV[EMPRESA],$C$4,LANÇ_MOV[CENTRO DE CUSTOS],$D$4)</f>
        <v>0</v>
      </c>
      <c r="I970" s="206">
        <f>SUMIFS(LANÇ_MOV[VALOR LÍQUIDO],LANÇ_MOV[RECEITA OU DESPESA],"Despesa",LANÇ_MOV[CONTAS],$C970,LANÇ_MOV[PLANO DE CONTAS],REL_DRE_FINANCEIRO!$B$957,LANÇ_MOV[ANO PAGAMENTO],$B$4,LANÇ_MOV[MÊS PAGAMENTO CORRESPONDENTE],I$6,LANÇ_MOV[EMPRESA],$C$4,LANÇ_MOV[CENTRO DE CUSTOS],$D$4)</f>
        <v>0</v>
      </c>
      <c r="J970" s="206">
        <f>SUMIFS(LANÇ_MOV[VALOR LÍQUIDO],LANÇ_MOV[RECEITA OU DESPESA],"Despesa",LANÇ_MOV[CONTAS],$C970,LANÇ_MOV[PLANO DE CONTAS],REL_DRE_FINANCEIRO!$B$957,LANÇ_MOV[ANO PAGAMENTO],$B$4,LANÇ_MOV[MÊS PAGAMENTO CORRESPONDENTE],J$6,LANÇ_MOV[EMPRESA],$C$4,LANÇ_MOV[CENTRO DE CUSTOS],$D$4)</f>
        <v>0</v>
      </c>
      <c r="K970" s="206">
        <f>SUMIFS(LANÇ_MOV[VALOR LÍQUIDO],LANÇ_MOV[RECEITA OU DESPESA],"Despesa",LANÇ_MOV[CONTAS],$C970,LANÇ_MOV[PLANO DE CONTAS],REL_DRE_FINANCEIRO!$B$957,LANÇ_MOV[ANO PAGAMENTO],$B$4,LANÇ_MOV[MÊS PAGAMENTO CORRESPONDENTE],K$6,LANÇ_MOV[EMPRESA],$C$4,LANÇ_MOV[CENTRO DE CUSTOS],$D$4)</f>
        <v>0</v>
      </c>
      <c r="L970" s="206">
        <f>SUMIFS(LANÇ_MOV[VALOR LÍQUIDO],LANÇ_MOV[RECEITA OU DESPESA],"Despesa",LANÇ_MOV[CONTAS],$C970,LANÇ_MOV[PLANO DE CONTAS],REL_DRE_FINANCEIRO!$B$957,LANÇ_MOV[ANO PAGAMENTO],$B$4,LANÇ_MOV[MÊS PAGAMENTO CORRESPONDENTE],L$6,LANÇ_MOV[EMPRESA],$C$4,LANÇ_MOV[CENTRO DE CUSTOS],$D$4)</f>
        <v>0</v>
      </c>
      <c r="M970" s="206">
        <f>SUMIFS(LANÇ_MOV[VALOR LÍQUIDO],LANÇ_MOV[RECEITA OU DESPESA],"Despesa",LANÇ_MOV[CONTAS],$C970,LANÇ_MOV[PLANO DE CONTAS],REL_DRE_FINANCEIRO!$B$957,LANÇ_MOV[ANO PAGAMENTO],$B$4,LANÇ_MOV[MÊS PAGAMENTO CORRESPONDENTE],M$6,LANÇ_MOV[EMPRESA],$C$4,LANÇ_MOV[CENTRO DE CUSTOS],$D$4)</f>
        <v>0</v>
      </c>
      <c r="N970" s="206">
        <f>SUMIFS(LANÇ_MOV[VALOR LÍQUIDO],LANÇ_MOV[RECEITA OU DESPESA],"Despesa",LANÇ_MOV[CONTAS],$C970,LANÇ_MOV[PLANO DE CONTAS],REL_DRE_FINANCEIRO!$B$957,LANÇ_MOV[ANO PAGAMENTO],$B$4,LANÇ_MOV[MÊS PAGAMENTO CORRESPONDENTE],N$6,LANÇ_MOV[EMPRESA],$C$4,LANÇ_MOV[CENTRO DE CUSTOS],$D$4)</f>
        <v>0</v>
      </c>
      <c r="O970" s="206">
        <f>SUMIFS(LANÇ_MOV[VALOR LÍQUIDO],LANÇ_MOV[RECEITA OU DESPESA],"Despesa",LANÇ_MOV[CONTAS],$C970,LANÇ_MOV[PLANO DE CONTAS],REL_DRE_FINANCEIRO!$B$957,LANÇ_MOV[ANO PAGAMENTO],$B$4,LANÇ_MOV[MÊS PAGAMENTO CORRESPONDENTE],O$6,LANÇ_MOV[EMPRESA],$C$4,LANÇ_MOV[CENTRO DE CUSTOS],$D$4)</f>
        <v>0</v>
      </c>
      <c r="P970" s="207">
        <f t="shared" si="122"/>
        <v>0</v>
      </c>
      <c r="Q970" s="329">
        <v>8.8000000000000004E-6</v>
      </c>
      <c r="R970" s="346">
        <f t="shared" si="123"/>
        <v>8.8000000000000004E-6</v>
      </c>
      <c r="S970" s="347" t="str">
        <f t="shared" si="124"/>
        <v>DARF</v>
      </c>
      <c r="T970" s="347">
        <f t="shared" si="125"/>
        <v>0</v>
      </c>
      <c r="U970" s="347">
        <f>HLOOKUP(Apoio!$P$12,$D$956:$P$1057,X970,FALSE)+Q970</f>
        <v>8.8000000000000004E-6</v>
      </c>
      <c r="V970" s="447" t="str">
        <f t="shared" si="126"/>
        <v>DARF</v>
      </c>
      <c r="W970" s="448">
        <f>HLOOKUP(Apoio!$P$12,$D$956:$P$1057,X970,FALSE)</f>
        <v>0</v>
      </c>
      <c r="X970" s="329">
        <v>15</v>
      </c>
    </row>
    <row r="971" spans="2:27" ht="30.05" customHeight="1" x14ac:dyDescent="0.35">
      <c r="B971" s="204" t="str">
        <f>'CAD_PL_REC-DESP'!AF18</f>
        <v>2.8.14</v>
      </c>
      <c r="C971" s="205" t="str">
        <f>IF('CAD_PL_REC-DESP'!AG18="","-",'CAD_PL_REC-DESP'!AG18)</f>
        <v>DCTF - WEB</v>
      </c>
      <c r="D971" s="206">
        <f>SUMIFS(LANÇ_MOV[VALOR LÍQUIDO],LANÇ_MOV[RECEITA OU DESPESA],"Despesa",LANÇ_MOV[CONTAS],$C971,LANÇ_MOV[PLANO DE CONTAS],REL_DRE_FINANCEIRO!$B$957,LANÇ_MOV[ANO PAGAMENTO],$B$4,LANÇ_MOV[MÊS PAGAMENTO CORRESPONDENTE],D$6,LANÇ_MOV[EMPRESA],$C$4,LANÇ_MOV[CENTRO DE CUSTOS],$D$4)</f>
        <v>0</v>
      </c>
      <c r="E971" s="206">
        <f>SUMIFS(LANÇ_MOV[VALOR LÍQUIDO],LANÇ_MOV[RECEITA OU DESPESA],"Despesa",LANÇ_MOV[CONTAS],$C971,LANÇ_MOV[PLANO DE CONTAS],REL_DRE_FINANCEIRO!$B$957,LANÇ_MOV[ANO PAGAMENTO],$B$4,LANÇ_MOV[MÊS PAGAMENTO CORRESPONDENTE],E$6,LANÇ_MOV[EMPRESA],$C$4,LANÇ_MOV[CENTRO DE CUSTOS],$D$4)</f>
        <v>0</v>
      </c>
      <c r="F971" s="206">
        <f>SUMIFS(LANÇ_MOV[VALOR LÍQUIDO],LANÇ_MOV[RECEITA OU DESPESA],"Despesa",LANÇ_MOV[CONTAS],$C971,LANÇ_MOV[PLANO DE CONTAS],REL_DRE_FINANCEIRO!$B$957,LANÇ_MOV[ANO PAGAMENTO],$B$4,LANÇ_MOV[MÊS PAGAMENTO CORRESPONDENTE],F$6,LANÇ_MOV[EMPRESA],$C$4,LANÇ_MOV[CENTRO DE CUSTOS],$D$4)</f>
        <v>0</v>
      </c>
      <c r="G971" s="206">
        <f>SUMIFS(LANÇ_MOV[VALOR LÍQUIDO],LANÇ_MOV[RECEITA OU DESPESA],"Despesa",LANÇ_MOV[CONTAS],$C971,LANÇ_MOV[PLANO DE CONTAS],REL_DRE_FINANCEIRO!$B$957,LANÇ_MOV[ANO PAGAMENTO],$B$4,LANÇ_MOV[MÊS PAGAMENTO CORRESPONDENTE],G$6,LANÇ_MOV[EMPRESA],$C$4,LANÇ_MOV[CENTRO DE CUSTOS],$D$4)</f>
        <v>0</v>
      </c>
      <c r="H971" s="206">
        <f>SUMIFS(LANÇ_MOV[VALOR LÍQUIDO],LANÇ_MOV[RECEITA OU DESPESA],"Despesa",LANÇ_MOV[CONTAS],$C971,LANÇ_MOV[PLANO DE CONTAS],REL_DRE_FINANCEIRO!$B$957,LANÇ_MOV[ANO PAGAMENTO],$B$4,LANÇ_MOV[MÊS PAGAMENTO CORRESPONDENTE],H$6,LANÇ_MOV[EMPRESA],$C$4,LANÇ_MOV[CENTRO DE CUSTOS],$D$4)</f>
        <v>0</v>
      </c>
      <c r="I971" s="206">
        <f>SUMIFS(LANÇ_MOV[VALOR LÍQUIDO],LANÇ_MOV[RECEITA OU DESPESA],"Despesa",LANÇ_MOV[CONTAS],$C971,LANÇ_MOV[PLANO DE CONTAS],REL_DRE_FINANCEIRO!$B$957,LANÇ_MOV[ANO PAGAMENTO],$B$4,LANÇ_MOV[MÊS PAGAMENTO CORRESPONDENTE],I$6,LANÇ_MOV[EMPRESA],$C$4,LANÇ_MOV[CENTRO DE CUSTOS],$D$4)</f>
        <v>0</v>
      </c>
      <c r="J971" s="206">
        <f>SUMIFS(LANÇ_MOV[VALOR LÍQUIDO],LANÇ_MOV[RECEITA OU DESPESA],"Despesa",LANÇ_MOV[CONTAS],$C971,LANÇ_MOV[PLANO DE CONTAS],REL_DRE_FINANCEIRO!$B$957,LANÇ_MOV[ANO PAGAMENTO],$B$4,LANÇ_MOV[MÊS PAGAMENTO CORRESPONDENTE],J$6,LANÇ_MOV[EMPRESA],$C$4,LANÇ_MOV[CENTRO DE CUSTOS],$D$4)</f>
        <v>0</v>
      </c>
      <c r="K971" s="206">
        <f>SUMIFS(LANÇ_MOV[VALOR LÍQUIDO],LANÇ_MOV[RECEITA OU DESPESA],"Despesa",LANÇ_MOV[CONTAS],$C971,LANÇ_MOV[PLANO DE CONTAS],REL_DRE_FINANCEIRO!$B$957,LANÇ_MOV[ANO PAGAMENTO],$B$4,LANÇ_MOV[MÊS PAGAMENTO CORRESPONDENTE],K$6,LANÇ_MOV[EMPRESA],$C$4,LANÇ_MOV[CENTRO DE CUSTOS],$D$4)</f>
        <v>0</v>
      </c>
      <c r="L971" s="206">
        <f>SUMIFS(LANÇ_MOV[VALOR LÍQUIDO],LANÇ_MOV[RECEITA OU DESPESA],"Despesa",LANÇ_MOV[CONTAS],$C971,LANÇ_MOV[PLANO DE CONTAS],REL_DRE_FINANCEIRO!$B$957,LANÇ_MOV[ANO PAGAMENTO],$B$4,LANÇ_MOV[MÊS PAGAMENTO CORRESPONDENTE],L$6,LANÇ_MOV[EMPRESA],$C$4,LANÇ_MOV[CENTRO DE CUSTOS],$D$4)</f>
        <v>0</v>
      </c>
      <c r="M971" s="206">
        <f>SUMIFS(LANÇ_MOV[VALOR LÍQUIDO],LANÇ_MOV[RECEITA OU DESPESA],"Despesa",LANÇ_MOV[CONTAS],$C971,LANÇ_MOV[PLANO DE CONTAS],REL_DRE_FINANCEIRO!$B$957,LANÇ_MOV[ANO PAGAMENTO],$B$4,LANÇ_MOV[MÊS PAGAMENTO CORRESPONDENTE],M$6,LANÇ_MOV[EMPRESA],$C$4,LANÇ_MOV[CENTRO DE CUSTOS],$D$4)</f>
        <v>0</v>
      </c>
      <c r="N971" s="206">
        <f>SUMIFS(LANÇ_MOV[VALOR LÍQUIDO],LANÇ_MOV[RECEITA OU DESPESA],"Despesa",LANÇ_MOV[CONTAS],$C971,LANÇ_MOV[PLANO DE CONTAS],REL_DRE_FINANCEIRO!$B$957,LANÇ_MOV[ANO PAGAMENTO],$B$4,LANÇ_MOV[MÊS PAGAMENTO CORRESPONDENTE],N$6,LANÇ_MOV[EMPRESA],$C$4,LANÇ_MOV[CENTRO DE CUSTOS],$D$4)</f>
        <v>0</v>
      </c>
      <c r="O971" s="206">
        <f>SUMIFS(LANÇ_MOV[VALOR LÍQUIDO],LANÇ_MOV[RECEITA OU DESPESA],"Despesa",LANÇ_MOV[CONTAS],$C971,LANÇ_MOV[PLANO DE CONTAS],REL_DRE_FINANCEIRO!$B$957,LANÇ_MOV[ANO PAGAMENTO],$B$4,LANÇ_MOV[MÊS PAGAMENTO CORRESPONDENTE],O$6,LANÇ_MOV[EMPRESA],$C$4,LANÇ_MOV[CENTRO DE CUSTOS],$D$4)</f>
        <v>0</v>
      </c>
      <c r="P971" s="207">
        <f t="shared" si="122"/>
        <v>0</v>
      </c>
      <c r="Q971" s="329">
        <v>8.6999999999999997E-6</v>
      </c>
      <c r="R971" s="346">
        <f t="shared" si="123"/>
        <v>8.6999999999999997E-6</v>
      </c>
      <c r="S971" s="347" t="str">
        <f t="shared" si="124"/>
        <v>DCTF - WEB</v>
      </c>
      <c r="T971" s="347">
        <f t="shared" si="125"/>
        <v>0</v>
      </c>
      <c r="U971" s="347">
        <f>HLOOKUP(Apoio!$P$12,$D$956:$P$1057,X971,FALSE)+Q971</f>
        <v>8.6999999999999997E-6</v>
      </c>
      <c r="V971" s="447" t="str">
        <f t="shared" si="126"/>
        <v>DCTF - WEB</v>
      </c>
      <c r="W971" s="448">
        <f>HLOOKUP(Apoio!$P$12,$D$956:$P$1057,X971,FALSE)</f>
        <v>0</v>
      </c>
      <c r="X971" s="329">
        <v>16</v>
      </c>
    </row>
    <row r="972" spans="2:27" ht="30.05" customHeight="1" x14ac:dyDescent="0.35">
      <c r="B972" s="204" t="str">
        <f>'CAD_PL_REC-DESP'!AF19</f>
        <v>2.8.15</v>
      </c>
      <c r="C972" s="205" t="str">
        <f>IF('CAD_PL_REC-DESP'!AG19="","-",'CAD_PL_REC-DESP'!AG19)</f>
        <v>EMPRÉSTIMOS</v>
      </c>
      <c r="D972" s="206">
        <f>SUMIFS(LANÇ_MOV[VALOR LÍQUIDO],LANÇ_MOV[RECEITA OU DESPESA],"Despesa",LANÇ_MOV[CONTAS],$C972,LANÇ_MOV[PLANO DE CONTAS],REL_DRE_FINANCEIRO!$B$957,LANÇ_MOV[ANO PAGAMENTO],$B$4,LANÇ_MOV[MÊS PAGAMENTO CORRESPONDENTE],D$6,LANÇ_MOV[EMPRESA],$C$4,LANÇ_MOV[CENTRO DE CUSTOS],$D$4)</f>
        <v>0</v>
      </c>
      <c r="E972" s="206">
        <f>SUMIFS(LANÇ_MOV[VALOR LÍQUIDO],LANÇ_MOV[RECEITA OU DESPESA],"Despesa",LANÇ_MOV[CONTAS],$C972,LANÇ_MOV[PLANO DE CONTAS],REL_DRE_FINANCEIRO!$B$957,LANÇ_MOV[ANO PAGAMENTO],$B$4,LANÇ_MOV[MÊS PAGAMENTO CORRESPONDENTE],E$6,LANÇ_MOV[EMPRESA],$C$4,LANÇ_MOV[CENTRO DE CUSTOS],$D$4)</f>
        <v>0</v>
      </c>
      <c r="F972" s="206">
        <f>SUMIFS(LANÇ_MOV[VALOR LÍQUIDO],LANÇ_MOV[RECEITA OU DESPESA],"Despesa",LANÇ_MOV[CONTAS],$C972,LANÇ_MOV[PLANO DE CONTAS],REL_DRE_FINANCEIRO!$B$957,LANÇ_MOV[ANO PAGAMENTO],$B$4,LANÇ_MOV[MÊS PAGAMENTO CORRESPONDENTE],F$6,LANÇ_MOV[EMPRESA],$C$4,LANÇ_MOV[CENTRO DE CUSTOS],$D$4)</f>
        <v>0</v>
      </c>
      <c r="G972" s="206">
        <f>SUMIFS(LANÇ_MOV[VALOR LÍQUIDO],LANÇ_MOV[RECEITA OU DESPESA],"Despesa",LANÇ_MOV[CONTAS],$C972,LANÇ_MOV[PLANO DE CONTAS],REL_DRE_FINANCEIRO!$B$957,LANÇ_MOV[ANO PAGAMENTO],$B$4,LANÇ_MOV[MÊS PAGAMENTO CORRESPONDENTE],G$6,LANÇ_MOV[EMPRESA],$C$4,LANÇ_MOV[CENTRO DE CUSTOS],$D$4)</f>
        <v>0</v>
      </c>
      <c r="H972" s="206">
        <f>SUMIFS(LANÇ_MOV[VALOR LÍQUIDO],LANÇ_MOV[RECEITA OU DESPESA],"Despesa",LANÇ_MOV[CONTAS],$C972,LANÇ_MOV[PLANO DE CONTAS],REL_DRE_FINANCEIRO!$B$957,LANÇ_MOV[ANO PAGAMENTO],$B$4,LANÇ_MOV[MÊS PAGAMENTO CORRESPONDENTE],H$6,LANÇ_MOV[EMPRESA],$C$4,LANÇ_MOV[CENTRO DE CUSTOS],$D$4)</f>
        <v>0</v>
      </c>
      <c r="I972" s="206">
        <f>SUMIFS(LANÇ_MOV[VALOR LÍQUIDO],LANÇ_MOV[RECEITA OU DESPESA],"Despesa",LANÇ_MOV[CONTAS],$C972,LANÇ_MOV[PLANO DE CONTAS],REL_DRE_FINANCEIRO!$B$957,LANÇ_MOV[ANO PAGAMENTO],$B$4,LANÇ_MOV[MÊS PAGAMENTO CORRESPONDENTE],I$6,LANÇ_MOV[EMPRESA],$C$4,LANÇ_MOV[CENTRO DE CUSTOS],$D$4)</f>
        <v>0</v>
      </c>
      <c r="J972" s="206">
        <f>SUMIFS(LANÇ_MOV[VALOR LÍQUIDO],LANÇ_MOV[RECEITA OU DESPESA],"Despesa",LANÇ_MOV[CONTAS],$C972,LANÇ_MOV[PLANO DE CONTAS],REL_DRE_FINANCEIRO!$B$957,LANÇ_MOV[ANO PAGAMENTO],$B$4,LANÇ_MOV[MÊS PAGAMENTO CORRESPONDENTE],J$6,LANÇ_MOV[EMPRESA],$C$4,LANÇ_MOV[CENTRO DE CUSTOS],$D$4)</f>
        <v>0</v>
      </c>
      <c r="K972" s="206">
        <f>SUMIFS(LANÇ_MOV[VALOR LÍQUIDO],LANÇ_MOV[RECEITA OU DESPESA],"Despesa",LANÇ_MOV[CONTAS],$C972,LANÇ_MOV[PLANO DE CONTAS],REL_DRE_FINANCEIRO!$B$957,LANÇ_MOV[ANO PAGAMENTO],$B$4,LANÇ_MOV[MÊS PAGAMENTO CORRESPONDENTE],K$6,LANÇ_MOV[EMPRESA],$C$4,LANÇ_MOV[CENTRO DE CUSTOS],$D$4)</f>
        <v>0</v>
      </c>
      <c r="L972" s="206">
        <f>SUMIFS(LANÇ_MOV[VALOR LÍQUIDO],LANÇ_MOV[RECEITA OU DESPESA],"Despesa",LANÇ_MOV[CONTAS],$C972,LANÇ_MOV[PLANO DE CONTAS],REL_DRE_FINANCEIRO!$B$957,LANÇ_MOV[ANO PAGAMENTO],$B$4,LANÇ_MOV[MÊS PAGAMENTO CORRESPONDENTE],L$6,LANÇ_MOV[EMPRESA],$C$4,LANÇ_MOV[CENTRO DE CUSTOS],$D$4)</f>
        <v>0</v>
      </c>
      <c r="M972" s="206">
        <f>SUMIFS(LANÇ_MOV[VALOR LÍQUIDO],LANÇ_MOV[RECEITA OU DESPESA],"Despesa",LANÇ_MOV[CONTAS],$C972,LANÇ_MOV[PLANO DE CONTAS],REL_DRE_FINANCEIRO!$B$957,LANÇ_MOV[ANO PAGAMENTO],$B$4,LANÇ_MOV[MÊS PAGAMENTO CORRESPONDENTE],M$6,LANÇ_MOV[EMPRESA],$C$4,LANÇ_MOV[CENTRO DE CUSTOS],$D$4)</f>
        <v>0</v>
      </c>
      <c r="N972" s="206">
        <f>SUMIFS(LANÇ_MOV[VALOR LÍQUIDO],LANÇ_MOV[RECEITA OU DESPESA],"Despesa",LANÇ_MOV[CONTAS],$C972,LANÇ_MOV[PLANO DE CONTAS],REL_DRE_FINANCEIRO!$B$957,LANÇ_MOV[ANO PAGAMENTO],$B$4,LANÇ_MOV[MÊS PAGAMENTO CORRESPONDENTE],N$6,LANÇ_MOV[EMPRESA],$C$4,LANÇ_MOV[CENTRO DE CUSTOS],$D$4)</f>
        <v>0</v>
      </c>
      <c r="O972" s="206">
        <f>SUMIFS(LANÇ_MOV[VALOR LÍQUIDO],LANÇ_MOV[RECEITA OU DESPESA],"Despesa",LANÇ_MOV[CONTAS],$C972,LANÇ_MOV[PLANO DE CONTAS],REL_DRE_FINANCEIRO!$B$957,LANÇ_MOV[ANO PAGAMENTO],$B$4,LANÇ_MOV[MÊS PAGAMENTO CORRESPONDENTE],O$6,LANÇ_MOV[EMPRESA],$C$4,LANÇ_MOV[CENTRO DE CUSTOS],$D$4)</f>
        <v>0</v>
      </c>
      <c r="P972" s="207">
        <f t="shared" si="122"/>
        <v>0</v>
      </c>
      <c r="Q972" s="329">
        <v>8.6000000000000007E-6</v>
      </c>
      <c r="R972" s="346">
        <f t="shared" si="123"/>
        <v>8.6000000000000007E-6</v>
      </c>
      <c r="S972" s="347" t="str">
        <f t="shared" si="124"/>
        <v>EMPRÉSTIMOS</v>
      </c>
      <c r="T972" s="347">
        <f t="shared" si="125"/>
        <v>0</v>
      </c>
      <c r="U972" s="347">
        <f>HLOOKUP(Apoio!$P$12,$D$956:$P$1057,X972,FALSE)+Q972</f>
        <v>8.6000000000000007E-6</v>
      </c>
      <c r="V972" s="447" t="str">
        <f t="shared" si="126"/>
        <v>EMPRÉSTIMOS</v>
      </c>
      <c r="W972" s="448">
        <f>HLOOKUP(Apoio!$P$12,$D$956:$P$1057,X972,FALSE)</f>
        <v>0</v>
      </c>
      <c r="X972" s="329">
        <v>17</v>
      </c>
    </row>
    <row r="973" spans="2:27" ht="30.05" customHeight="1" x14ac:dyDescent="0.35">
      <c r="B973" s="204" t="str">
        <f>'CAD_PL_REC-DESP'!AF20</f>
        <v>2.8.16</v>
      </c>
      <c r="C973" s="205" t="str">
        <f>IF('CAD_PL_REC-DESP'!AG20="","-",'CAD_PL_REC-DESP'!AG20)</f>
        <v>EMPRÉSTIMOS BANCÁRIOS</v>
      </c>
      <c r="D973" s="206">
        <f>SUMIFS(LANÇ_MOV[VALOR LÍQUIDO],LANÇ_MOV[RECEITA OU DESPESA],"Despesa",LANÇ_MOV[CONTAS],$C973,LANÇ_MOV[PLANO DE CONTAS],REL_DRE_FINANCEIRO!$B$957,LANÇ_MOV[ANO PAGAMENTO],$B$4,LANÇ_MOV[MÊS PAGAMENTO CORRESPONDENTE],D$6,LANÇ_MOV[EMPRESA],$C$4,LANÇ_MOV[CENTRO DE CUSTOS],$D$4)</f>
        <v>0</v>
      </c>
      <c r="E973" s="206">
        <f>SUMIFS(LANÇ_MOV[VALOR LÍQUIDO],LANÇ_MOV[RECEITA OU DESPESA],"Despesa",LANÇ_MOV[CONTAS],$C973,LANÇ_MOV[PLANO DE CONTAS],REL_DRE_FINANCEIRO!$B$957,LANÇ_MOV[ANO PAGAMENTO],$B$4,LANÇ_MOV[MÊS PAGAMENTO CORRESPONDENTE],E$6,LANÇ_MOV[EMPRESA],$C$4,LANÇ_MOV[CENTRO DE CUSTOS],$D$4)</f>
        <v>0</v>
      </c>
      <c r="F973" s="206">
        <f>SUMIFS(LANÇ_MOV[VALOR LÍQUIDO],LANÇ_MOV[RECEITA OU DESPESA],"Despesa",LANÇ_MOV[CONTAS],$C973,LANÇ_MOV[PLANO DE CONTAS],REL_DRE_FINANCEIRO!$B$957,LANÇ_MOV[ANO PAGAMENTO],$B$4,LANÇ_MOV[MÊS PAGAMENTO CORRESPONDENTE],F$6,LANÇ_MOV[EMPRESA],$C$4,LANÇ_MOV[CENTRO DE CUSTOS],$D$4)</f>
        <v>0</v>
      </c>
      <c r="G973" s="206">
        <f>SUMIFS(LANÇ_MOV[VALOR LÍQUIDO],LANÇ_MOV[RECEITA OU DESPESA],"Despesa",LANÇ_MOV[CONTAS],$C973,LANÇ_MOV[PLANO DE CONTAS],REL_DRE_FINANCEIRO!$B$957,LANÇ_MOV[ANO PAGAMENTO],$B$4,LANÇ_MOV[MÊS PAGAMENTO CORRESPONDENTE],G$6,LANÇ_MOV[EMPRESA],$C$4,LANÇ_MOV[CENTRO DE CUSTOS],$D$4)</f>
        <v>0</v>
      </c>
      <c r="H973" s="206">
        <f>SUMIFS(LANÇ_MOV[VALOR LÍQUIDO],LANÇ_MOV[RECEITA OU DESPESA],"Despesa",LANÇ_MOV[CONTAS],$C973,LANÇ_MOV[PLANO DE CONTAS],REL_DRE_FINANCEIRO!$B$957,LANÇ_MOV[ANO PAGAMENTO],$B$4,LANÇ_MOV[MÊS PAGAMENTO CORRESPONDENTE],H$6,LANÇ_MOV[EMPRESA],$C$4,LANÇ_MOV[CENTRO DE CUSTOS],$D$4)</f>
        <v>0</v>
      </c>
      <c r="I973" s="206">
        <f>SUMIFS(LANÇ_MOV[VALOR LÍQUIDO],LANÇ_MOV[RECEITA OU DESPESA],"Despesa",LANÇ_MOV[CONTAS],$C973,LANÇ_MOV[PLANO DE CONTAS],REL_DRE_FINANCEIRO!$B$957,LANÇ_MOV[ANO PAGAMENTO],$B$4,LANÇ_MOV[MÊS PAGAMENTO CORRESPONDENTE],I$6,LANÇ_MOV[EMPRESA],$C$4,LANÇ_MOV[CENTRO DE CUSTOS],$D$4)</f>
        <v>0</v>
      </c>
      <c r="J973" s="206">
        <f>SUMIFS(LANÇ_MOV[VALOR LÍQUIDO],LANÇ_MOV[RECEITA OU DESPESA],"Despesa",LANÇ_MOV[CONTAS],$C973,LANÇ_MOV[PLANO DE CONTAS],REL_DRE_FINANCEIRO!$B$957,LANÇ_MOV[ANO PAGAMENTO],$B$4,LANÇ_MOV[MÊS PAGAMENTO CORRESPONDENTE],J$6,LANÇ_MOV[EMPRESA],$C$4,LANÇ_MOV[CENTRO DE CUSTOS],$D$4)</f>
        <v>0</v>
      </c>
      <c r="K973" s="206">
        <f>SUMIFS(LANÇ_MOV[VALOR LÍQUIDO],LANÇ_MOV[RECEITA OU DESPESA],"Despesa",LANÇ_MOV[CONTAS],$C973,LANÇ_MOV[PLANO DE CONTAS],REL_DRE_FINANCEIRO!$B$957,LANÇ_MOV[ANO PAGAMENTO],$B$4,LANÇ_MOV[MÊS PAGAMENTO CORRESPONDENTE],K$6,LANÇ_MOV[EMPRESA],$C$4,LANÇ_MOV[CENTRO DE CUSTOS],$D$4)</f>
        <v>0</v>
      </c>
      <c r="L973" s="206">
        <f>SUMIFS(LANÇ_MOV[VALOR LÍQUIDO],LANÇ_MOV[RECEITA OU DESPESA],"Despesa",LANÇ_MOV[CONTAS],$C973,LANÇ_MOV[PLANO DE CONTAS],REL_DRE_FINANCEIRO!$B$957,LANÇ_MOV[ANO PAGAMENTO],$B$4,LANÇ_MOV[MÊS PAGAMENTO CORRESPONDENTE],L$6,LANÇ_MOV[EMPRESA],$C$4,LANÇ_MOV[CENTRO DE CUSTOS],$D$4)</f>
        <v>0</v>
      </c>
      <c r="M973" s="206">
        <f>SUMIFS(LANÇ_MOV[VALOR LÍQUIDO],LANÇ_MOV[RECEITA OU DESPESA],"Despesa",LANÇ_MOV[CONTAS],$C973,LANÇ_MOV[PLANO DE CONTAS],REL_DRE_FINANCEIRO!$B$957,LANÇ_MOV[ANO PAGAMENTO],$B$4,LANÇ_MOV[MÊS PAGAMENTO CORRESPONDENTE],M$6,LANÇ_MOV[EMPRESA],$C$4,LANÇ_MOV[CENTRO DE CUSTOS],$D$4)</f>
        <v>0</v>
      </c>
      <c r="N973" s="206">
        <f>SUMIFS(LANÇ_MOV[VALOR LÍQUIDO],LANÇ_MOV[RECEITA OU DESPESA],"Despesa",LANÇ_MOV[CONTAS],$C973,LANÇ_MOV[PLANO DE CONTAS],REL_DRE_FINANCEIRO!$B$957,LANÇ_MOV[ANO PAGAMENTO],$B$4,LANÇ_MOV[MÊS PAGAMENTO CORRESPONDENTE],N$6,LANÇ_MOV[EMPRESA],$C$4,LANÇ_MOV[CENTRO DE CUSTOS],$D$4)</f>
        <v>0</v>
      </c>
      <c r="O973" s="206">
        <f>SUMIFS(LANÇ_MOV[VALOR LÍQUIDO],LANÇ_MOV[RECEITA OU DESPESA],"Despesa",LANÇ_MOV[CONTAS],$C973,LANÇ_MOV[PLANO DE CONTAS],REL_DRE_FINANCEIRO!$B$957,LANÇ_MOV[ANO PAGAMENTO],$B$4,LANÇ_MOV[MÊS PAGAMENTO CORRESPONDENTE],O$6,LANÇ_MOV[EMPRESA],$C$4,LANÇ_MOV[CENTRO DE CUSTOS],$D$4)</f>
        <v>0</v>
      </c>
      <c r="P973" s="207">
        <f t="shared" si="122"/>
        <v>0</v>
      </c>
      <c r="Q973" s="329">
        <v>8.4999999999999999E-6</v>
      </c>
      <c r="R973" s="346">
        <f t="shared" si="123"/>
        <v>8.4999999999999999E-6</v>
      </c>
      <c r="S973" s="347" t="str">
        <f t="shared" si="124"/>
        <v>EMPRÉSTIMOS BANCÁRIOS</v>
      </c>
      <c r="T973" s="347">
        <f t="shared" si="125"/>
        <v>0</v>
      </c>
      <c r="U973" s="347">
        <f>HLOOKUP(Apoio!$P$12,$D$956:$P$1057,X973,FALSE)+Q973</f>
        <v>8.4999999999999999E-6</v>
      </c>
      <c r="V973" s="447" t="str">
        <f t="shared" si="126"/>
        <v>EMPRÉSTIMOS BANCÁRIOS</v>
      </c>
      <c r="W973" s="448">
        <f>HLOOKUP(Apoio!$P$12,$D$956:$P$1057,X973,FALSE)</f>
        <v>0</v>
      </c>
      <c r="X973" s="329">
        <v>18</v>
      </c>
    </row>
    <row r="974" spans="2:27" ht="30.05" customHeight="1" x14ac:dyDescent="0.35">
      <c r="B974" s="204" t="str">
        <f>'CAD_PL_REC-DESP'!AF21</f>
        <v>2.8.17</v>
      </c>
      <c r="C974" s="205" t="str">
        <f>IF('CAD_PL_REC-DESP'!AG21="","-",'CAD_PL_REC-DESP'!AG21)</f>
        <v>IPTU</v>
      </c>
      <c r="D974" s="206">
        <f>SUMIFS(LANÇ_MOV[VALOR LÍQUIDO],LANÇ_MOV[RECEITA OU DESPESA],"Despesa",LANÇ_MOV[CONTAS],$C974,LANÇ_MOV[PLANO DE CONTAS],REL_DRE_FINANCEIRO!$B$957,LANÇ_MOV[ANO PAGAMENTO],$B$4,LANÇ_MOV[MÊS PAGAMENTO CORRESPONDENTE],D$6,LANÇ_MOV[EMPRESA],$C$4,LANÇ_MOV[CENTRO DE CUSTOS],$D$4)</f>
        <v>0</v>
      </c>
      <c r="E974" s="206">
        <f>SUMIFS(LANÇ_MOV[VALOR LÍQUIDO],LANÇ_MOV[RECEITA OU DESPESA],"Despesa",LANÇ_MOV[CONTAS],$C974,LANÇ_MOV[PLANO DE CONTAS],REL_DRE_FINANCEIRO!$B$957,LANÇ_MOV[ANO PAGAMENTO],$B$4,LANÇ_MOV[MÊS PAGAMENTO CORRESPONDENTE],E$6,LANÇ_MOV[EMPRESA],$C$4,LANÇ_MOV[CENTRO DE CUSTOS],$D$4)</f>
        <v>0</v>
      </c>
      <c r="F974" s="206">
        <f>SUMIFS(LANÇ_MOV[VALOR LÍQUIDO],LANÇ_MOV[RECEITA OU DESPESA],"Despesa",LANÇ_MOV[CONTAS],$C974,LANÇ_MOV[PLANO DE CONTAS],REL_DRE_FINANCEIRO!$B$957,LANÇ_MOV[ANO PAGAMENTO],$B$4,LANÇ_MOV[MÊS PAGAMENTO CORRESPONDENTE],F$6,LANÇ_MOV[EMPRESA],$C$4,LANÇ_MOV[CENTRO DE CUSTOS],$D$4)</f>
        <v>0</v>
      </c>
      <c r="G974" s="206">
        <f>SUMIFS(LANÇ_MOV[VALOR LÍQUIDO],LANÇ_MOV[RECEITA OU DESPESA],"Despesa",LANÇ_MOV[CONTAS],$C974,LANÇ_MOV[PLANO DE CONTAS],REL_DRE_FINANCEIRO!$B$957,LANÇ_MOV[ANO PAGAMENTO],$B$4,LANÇ_MOV[MÊS PAGAMENTO CORRESPONDENTE],G$6,LANÇ_MOV[EMPRESA],$C$4,LANÇ_MOV[CENTRO DE CUSTOS],$D$4)</f>
        <v>0</v>
      </c>
      <c r="H974" s="206">
        <f>SUMIFS(LANÇ_MOV[VALOR LÍQUIDO],LANÇ_MOV[RECEITA OU DESPESA],"Despesa",LANÇ_MOV[CONTAS],$C974,LANÇ_MOV[PLANO DE CONTAS],REL_DRE_FINANCEIRO!$B$957,LANÇ_MOV[ANO PAGAMENTO],$B$4,LANÇ_MOV[MÊS PAGAMENTO CORRESPONDENTE],H$6,LANÇ_MOV[EMPRESA],$C$4,LANÇ_MOV[CENTRO DE CUSTOS],$D$4)</f>
        <v>0</v>
      </c>
      <c r="I974" s="206">
        <f>SUMIFS(LANÇ_MOV[VALOR LÍQUIDO],LANÇ_MOV[RECEITA OU DESPESA],"Despesa",LANÇ_MOV[CONTAS],$C974,LANÇ_MOV[PLANO DE CONTAS],REL_DRE_FINANCEIRO!$B$957,LANÇ_MOV[ANO PAGAMENTO],$B$4,LANÇ_MOV[MÊS PAGAMENTO CORRESPONDENTE],I$6,LANÇ_MOV[EMPRESA],$C$4,LANÇ_MOV[CENTRO DE CUSTOS],$D$4)</f>
        <v>0</v>
      </c>
      <c r="J974" s="206">
        <f>SUMIFS(LANÇ_MOV[VALOR LÍQUIDO],LANÇ_MOV[RECEITA OU DESPESA],"Despesa",LANÇ_MOV[CONTAS],$C974,LANÇ_MOV[PLANO DE CONTAS],REL_DRE_FINANCEIRO!$B$957,LANÇ_MOV[ANO PAGAMENTO],$B$4,LANÇ_MOV[MÊS PAGAMENTO CORRESPONDENTE],J$6,LANÇ_MOV[EMPRESA],$C$4,LANÇ_MOV[CENTRO DE CUSTOS],$D$4)</f>
        <v>0</v>
      </c>
      <c r="K974" s="206">
        <f>SUMIFS(LANÇ_MOV[VALOR LÍQUIDO],LANÇ_MOV[RECEITA OU DESPESA],"Despesa",LANÇ_MOV[CONTAS],$C974,LANÇ_MOV[PLANO DE CONTAS],REL_DRE_FINANCEIRO!$B$957,LANÇ_MOV[ANO PAGAMENTO],$B$4,LANÇ_MOV[MÊS PAGAMENTO CORRESPONDENTE],K$6,LANÇ_MOV[EMPRESA],$C$4,LANÇ_MOV[CENTRO DE CUSTOS],$D$4)</f>
        <v>0</v>
      </c>
      <c r="L974" s="206">
        <f>SUMIFS(LANÇ_MOV[VALOR LÍQUIDO],LANÇ_MOV[RECEITA OU DESPESA],"Despesa",LANÇ_MOV[CONTAS],$C974,LANÇ_MOV[PLANO DE CONTAS],REL_DRE_FINANCEIRO!$B$957,LANÇ_MOV[ANO PAGAMENTO],$B$4,LANÇ_MOV[MÊS PAGAMENTO CORRESPONDENTE],L$6,LANÇ_MOV[EMPRESA],$C$4,LANÇ_MOV[CENTRO DE CUSTOS],$D$4)</f>
        <v>0</v>
      </c>
      <c r="M974" s="206">
        <f>SUMIFS(LANÇ_MOV[VALOR LÍQUIDO],LANÇ_MOV[RECEITA OU DESPESA],"Despesa",LANÇ_MOV[CONTAS],$C974,LANÇ_MOV[PLANO DE CONTAS],REL_DRE_FINANCEIRO!$B$957,LANÇ_MOV[ANO PAGAMENTO],$B$4,LANÇ_MOV[MÊS PAGAMENTO CORRESPONDENTE],M$6,LANÇ_MOV[EMPRESA],$C$4,LANÇ_MOV[CENTRO DE CUSTOS],$D$4)</f>
        <v>0</v>
      </c>
      <c r="N974" s="206">
        <f>SUMIFS(LANÇ_MOV[VALOR LÍQUIDO],LANÇ_MOV[RECEITA OU DESPESA],"Despesa",LANÇ_MOV[CONTAS],$C974,LANÇ_MOV[PLANO DE CONTAS],REL_DRE_FINANCEIRO!$B$957,LANÇ_MOV[ANO PAGAMENTO],$B$4,LANÇ_MOV[MÊS PAGAMENTO CORRESPONDENTE],N$6,LANÇ_MOV[EMPRESA],$C$4,LANÇ_MOV[CENTRO DE CUSTOS],$D$4)</f>
        <v>0</v>
      </c>
      <c r="O974" s="206">
        <f>SUMIFS(LANÇ_MOV[VALOR LÍQUIDO],LANÇ_MOV[RECEITA OU DESPESA],"Despesa",LANÇ_MOV[CONTAS],$C974,LANÇ_MOV[PLANO DE CONTAS],REL_DRE_FINANCEIRO!$B$957,LANÇ_MOV[ANO PAGAMENTO],$B$4,LANÇ_MOV[MÊS PAGAMENTO CORRESPONDENTE],O$6,LANÇ_MOV[EMPRESA],$C$4,LANÇ_MOV[CENTRO DE CUSTOS],$D$4)</f>
        <v>0</v>
      </c>
      <c r="P974" s="207">
        <f t="shared" si="122"/>
        <v>0</v>
      </c>
      <c r="Q974" s="329">
        <v>8.3999999999999992E-6</v>
      </c>
      <c r="R974" s="346">
        <f t="shared" si="123"/>
        <v>8.3999999999999992E-6</v>
      </c>
      <c r="S974" s="347" t="str">
        <f t="shared" si="124"/>
        <v>IPTU</v>
      </c>
      <c r="T974" s="347">
        <f t="shared" si="125"/>
        <v>0</v>
      </c>
      <c r="U974" s="347">
        <f>HLOOKUP(Apoio!$P$12,$D$956:$P$1057,X974,FALSE)+Q974</f>
        <v>8.3999999999999992E-6</v>
      </c>
      <c r="V974" s="447" t="str">
        <f t="shared" si="126"/>
        <v>IPTU</v>
      </c>
      <c r="W974" s="448">
        <f>HLOOKUP(Apoio!$P$12,$D$956:$P$1057,X974,FALSE)</f>
        <v>0</v>
      </c>
      <c r="X974" s="329">
        <v>19</v>
      </c>
    </row>
    <row r="975" spans="2:27" ht="30.05" customHeight="1" x14ac:dyDescent="0.35">
      <c r="B975" s="204" t="str">
        <f>'CAD_PL_REC-DESP'!AF22</f>
        <v>2.8.18</v>
      </c>
      <c r="C975" s="205" t="str">
        <f>IF('CAD_PL_REC-DESP'!AG22="","-",'CAD_PL_REC-DESP'!AG22)</f>
        <v>IRFF - DARF</v>
      </c>
      <c r="D975" s="206">
        <f>SUMIFS(LANÇ_MOV[VALOR LÍQUIDO],LANÇ_MOV[RECEITA OU DESPESA],"Despesa",LANÇ_MOV[CONTAS],$C975,LANÇ_MOV[PLANO DE CONTAS],REL_DRE_FINANCEIRO!$B$957,LANÇ_MOV[ANO PAGAMENTO],$B$4,LANÇ_MOV[MÊS PAGAMENTO CORRESPONDENTE],D$6,LANÇ_MOV[EMPRESA],$C$4,LANÇ_MOV[CENTRO DE CUSTOS],$D$4)</f>
        <v>0</v>
      </c>
      <c r="E975" s="206">
        <f>SUMIFS(LANÇ_MOV[VALOR LÍQUIDO],LANÇ_MOV[RECEITA OU DESPESA],"Despesa",LANÇ_MOV[CONTAS],$C975,LANÇ_MOV[PLANO DE CONTAS],REL_DRE_FINANCEIRO!$B$957,LANÇ_MOV[ANO PAGAMENTO],$B$4,LANÇ_MOV[MÊS PAGAMENTO CORRESPONDENTE],E$6,LANÇ_MOV[EMPRESA],$C$4,LANÇ_MOV[CENTRO DE CUSTOS],$D$4)</f>
        <v>0</v>
      </c>
      <c r="F975" s="206">
        <f>SUMIFS(LANÇ_MOV[VALOR LÍQUIDO],LANÇ_MOV[RECEITA OU DESPESA],"Despesa",LANÇ_MOV[CONTAS],$C975,LANÇ_MOV[PLANO DE CONTAS],REL_DRE_FINANCEIRO!$B$957,LANÇ_MOV[ANO PAGAMENTO],$B$4,LANÇ_MOV[MÊS PAGAMENTO CORRESPONDENTE],F$6,LANÇ_MOV[EMPRESA],$C$4,LANÇ_MOV[CENTRO DE CUSTOS],$D$4)</f>
        <v>0</v>
      </c>
      <c r="G975" s="206">
        <f>SUMIFS(LANÇ_MOV[VALOR LÍQUIDO],LANÇ_MOV[RECEITA OU DESPESA],"Despesa",LANÇ_MOV[CONTAS],$C975,LANÇ_MOV[PLANO DE CONTAS],REL_DRE_FINANCEIRO!$B$957,LANÇ_MOV[ANO PAGAMENTO],$B$4,LANÇ_MOV[MÊS PAGAMENTO CORRESPONDENTE],G$6,LANÇ_MOV[EMPRESA],$C$4,LANÇ_MOV[CENTRO DE CUSTOS],$D$4)</f>
        <v>0</v>
      </c>
      <c r="H975" s="206">
        <f>SUMIFS(LANÇ_MOV[VALOR LÍQUIDO],LANÇ_MOV[RECEITA OU DESPESA],"Despesa",LANÇ_MOV[CONTAS],$C975,LANÇ_MOV[PLANO DE CONTAS],REL_DRE_FINANCEIRO!$B$957,LANÇ_MOV[ANO PAGAMENTO],$B$4,LANÇ_MOV[MÊS PAGAMENTO CORRESPONDENTE],H$6,LANÇ_MOV[EMPRESA],$C$4,LANÇ_MOV[CENTRO DE CUSTOS],$D$4)</f>
        <v>0</v>
      </c>
      <c r="I975" s="206">
        <f>SUMIFS(LANÇ_MOV[VALOR LÍQUIDO],LANÇ_MOV[RECEITA OU DESPESA],"Despesa",LANÇ_MOV[CONTAS],$C975,LANÇ_MOV[PLANO DE CONTAS],REL_DRE_FINANCEIRO!$B$957,LANÇ_MOV[ANO PAGAMENTO],$B$4,LANÇ_MOV[MÊS PAGAMENTO CORRESPONDENTE],I$6,LANÇ_MOV[EMPRESA],$C$4,LANÇ_MOV[CENTRO DE CUSTOS],$D$4)</f>
        <v>0</v>
      </c>
      <c r="J975" s="206">
        <f>SUMIFS(LANÇ_MOV[VALOR LÍQUIDO],LANÇ_MOV[RECEITA OU DESPESA],"Despesa",LANÇ_MOV[CONTAS],$C975,LANÇ_MOV[PLANO DE CONTAS],REL_DRE_FINANCEIRO!$B$957,LANÇ_MOV[ANO PAGAMENTO],$B$4,LANÇ_MOV[MÊS PAGAMENTO CORRESPONDENTE],J$6,LANÇ_MOV[EMPRESA],$C$4,LANÇ_MOV[CENTRO DE CUSTOS],$D$4)</f>
        <v>0</v>
      </c>
      <c r="K975" s="206">
        <f>SUMIFS(LANÇ_MOV[VALOR LÍQUIDO],LANÇ_MOV[RECEITA OU DESPESA],"Despesa",LANÇ_MOV[CONTAS],$C975,LANÇ_MOV[PLANO DE CONTAS],REL_DRE_FINANCEIRO!$B$957,LANÇ_MOV[ANO PAGAMENTO],$B$4,LANÇ_MOV[MÊS PAGAMENTO CORRESPONDENTE],K$6,LANÇ_MOV[EMPRESA],$C$4,LANÇ_MOV[CENTRO DE CUSTOS],$D$4)</f>
        <v>0</v>
      </c>
      <c r="L975" s="206">
        <f>SUMIFS(LANÇ_MOV[VALOR LÍQUIDO],LANÇ_MOV[RECEITA OU DESPESA],"Despesa",LANÇ_MOV[CONTAS],$C975,LANÇ_MOV[PLANO DE CONTAS],REL_DRE_FINANCEIRO!$B$957,LANÇ_MOV[ANO PAGAMENTO],$B$4,LANÇ_MOV[MÊS PAGAMENTO CORRESPONDENTE],L$6,LANÇ_MOV[EMPRESA],$C$4,LANÇ_MOV[CENTRO DE CUSTOS],$D$4)</f>
        <v>0</v>
      </c>
      <c r="M975" s="206">
        <f>SUMIFS(LANÇ_MOV[VALOR LÍQUIDO],LANÇ_MOV[RECEITA OU DESPESA],"Despesa",LANÇ_MOV[CONTAS],$C975,LANÇ_MOV[PLANO DE CONTAS],REL_DRE_FINANCEIRO!$B$957,LANÇ_MOV[ANO PAGAMENTO],$B$4,LANÇ_MOV[MÊS PAGAMENTO CORRESPONDENTE],M$6,LANÇ_MOV[EMPRESA],$C$4,LANÇ_MOV[CENTRO DE CUSTOS],$D$4)</f>
        <v>0</v>
      </c>
      <c r="N975" s="206">
        <f>SUMIFS(LANÇ_MOV[VALOR LÍQUIDO],LANÇ_MOV[RECEITA OU DESPESA],"Despesa",LANÇ_MOV[CONTAS],$C975,LANÇ_MOV[PLANO DE CONTAS],REL_DRE_FINANCEIRO!$B$957,LANÇ_MOV[ANO PAGAMENTO],$B$4,LANÇ_MOV[MÊS PAGAMENTO CORRESPONDENTE],N$6,LANÇ_MOV[EMPRESA],$C$4,LANÇ_MOV[CENTRO DE CUSTOS],$D$4)</f>
        <v>0</v>
      </c>
      <c r="O975" s="206">
        <f>SUMIFS(LANÇ_MOV[VALOR LÍQUIDO],LANÇ_MOV[RECEITA OU DESPESA],"Despesa",LANÇ_MOV[CONTAS],$C975,LANÇ_MOV[PLANO DE CONTAS],REL_DRE_FINANCEIRO!$B$957,LANÇ_MOV[ANO PAGAMENTO],$B$4,LANÇ_MOV[MÊS PAGAMENTO CORRESPONDENTE],O$6,LANÇ_MOV[EMPRESA],$C$4,LANÇ_MOV[CENTRO DE CUSTOS],$D$4)</f>
        <v>0</v>
      </c>
      <c r="P975" s="207">
        <f t="shared" si="122"/>
        <v>0</v>
      </c>
      <c r="Q975" s="329">
        <v>8.3000000000000002E-6</v>
      </c>
      <c r="R975" s="346">
        <f t="shared" si="123"/>
        <v>8.3000000000000002E-6</v>
      </c>
      <c r="S975" s="347" t="str">
        <f t="shared" si="124"/>
        <v>IRFF - DARF</v>
      </c>
      <c r="T975" s="347">
        <f t="shared" si="125"/>
        <v>0</v>
      </c>
      <c r="U975" s="347">
        <f>HLOOKUP(Apoio!$P$12,$D$956:$P$1057,X975,FALSE)+Q975</f>
        <v>8.3000000000000002E-6</v>
      </c>
      <c r="V975" s="447" t="str">
        <f t="shared" si="126"/>
        <v>IRFF - DARF</v>
      </c>
      <c r="W975" s="448">
        <f>HLOOKUP(Apoio!$P$12,$D$956:$P$1057,X975,FALSE)</f>
        <v>0</v>
      </c>
      <c r="X975" s="329">
        <v>20</v>
      </c>
    </row>
    <row r="976" spans="2:27" ht="30.05" customHeight="1" x14ac:dyDescent="0.35">
      <c r="B976" s="204" t="str">
        <f>'CAD_PL_REC-DESP'!AF23</f>
        <v>2.8.19</v>
      </c>
      <c r="C976" s="205" t="str">
        <f>IF('CAD_PL_REC-DESP'!AG23="","-",'CAD_PL_REC-DESP'!AG23)</f>
        <v>IRPF</v>
      </c>
      <c r="D976" s="206">
        <f>SUMIFS(LANÇ_MOV[VALOR LÍQUIDO],LANÇ_MOV[RECEITA OU DESPESA],"Despesa",LANÇ_MOV[CONTAS],$C976,LANÇ_MOV[PLANO DE CONTAS],REL_DRE_FINANCEIRO!$B$957,LANÇ_MOV[ANO PAGAMENTO],$B$4,LANÇ_MOV[MÊS PAGAMENTO CORRESPONDENTE],D$6,LANÇ_MOV[EMPRESA],$C$4,LANÇ_MOV[CENTRO DE CUSTOS],$D$4)</f>
        <v>0</v>
      </c>
      <c r="E976" s="206">
        <f>SUMIFS(LANÇ_MOV[VALOR LÍQUIDO],LANÇ_MOV[RECEITA OU DESPESA],"Despesa",LANÇ_MOV[CONTAS],$C976,LANÇ_MOV[PLANO DE CONTAS],REL_DRE_FINANCEIRO!$B$957,LANÇ_MOV[ANO PAGAMENTO],$B$4,LANÇ_MOV[MÊS PAGAMENTO CORRESPONDENTE],E$6,LANÇ_MOV[EMPRESA],$C$4,LANÇ_MOV[CENTRO DE CUSTOS],$D$4)</f>
        <v>0</v>
      </c>
      <c r="F976" s="206">
        <f>SUMIFS(LANÇ_MOV[VALOR LÍQUIDO],LANÇ_MOV[RECEITA OU DESPESA],"Despesa",LANÇ_MOV[CONTAS],$C976,LANÇ_MOV[PLANO DE CONTAS],REL_DRE_FINANCEIRO!$B$957,LANÇ_MOV[ANO PAGAMENTO],$B$4,LANÇ_MOV[MÊS PAGAMENTO CORRESPONDENTE],F$6,LANÇ_MOV[EMPRESA],$C$4,LANÇ_MOV[CENTRO DE CUSTOS],$D$4)</f>
        <v>0</v>
      </c>
      <c r="G976" s="206">
        <f>SUMIFS(LANÇ_MOV[VALOR LÍQUIDO],LANÇ_MOV[RECEITA OU DESPESA],"Despesa",LANÇ_MOV[CONTAS],$C976,LANÇ_MOV[PLANO DE CONTAS],REL_DRE_FINANCEIRO!$B$957,LANÇ_MOV[ANO PAGAMENTO],$B$4,LANÇ_MOV[MÊS PAGAMENTO CORRESPONDENTE],G$6,LANÇ_MOV[EMPRESA],$C$4,LANÇ_MOV[CENTRO DE CUSTOS],$D$4)</f>
        <v>0</v>
      </c>
      <c r="H976" s="206">
        <f>SUMIFS(LANÇ_MOV[VALOR LÍQUIDO],LANÇ_MOV[RECEITA OU DESPESA],"Despesa",LANÇ_MOV[CONTAS],$C976,LANÇ_MOV[PLANO DE CONTAS],REL_DRE_FINANCEIRO!$B$957,LANÇ_MOV[ANO PAGAMENTO],$B$4,LANÇ_MOV[MÊS PAGAMENTO CORRESPONDENTE],H$6,LANÇ_MOV[EMPRESA],$C$4,LANÇ_MOV[CENTRO DE CUSTOS],$D$4)</f>
        <v>0</v>
      </c>
      <c r="I976" s="206">
        <f>SUMIFS(LANÇ_MOV[VALOR LÍQUIDO],LANÇ_MOV[RECEITA OU DESPESA],"Despesa",LANÇ_MOV[CONTAS],$C976,LANÇ_MOV[PLANO DE CONTAS],REL_DRE_FINANCEIRO!$B$957,LANÇ_MOV[ANO PAGAMENTO],$B$4,LANÇ_MOV[MÊS PAGAMENTO CORRESPONDENTE],I$6,LANÇ_MOV[EMPRESA],$C$4,LANÇ_MOV[CENTRO DE CUSTOS],$D$4)</f>
        <v>0</v>
      </c>
      <c r="J976" s="206">
        <f>SUMIFS(LANÇ_MOV[VALOR LÍQUIDO],LANÇ_MOV[RECEITA OU DESPESA],"Despesa",LANÇ_MOV[CONTAS],$C976,LANÇ_MOV[PLANO DE CONTAS],REL_DRE_FINANCEIRO!$B$957,LANÇ_MOV[ANO PAGAMENTO],$B$4,LANÇ_MOV[MÊS PAGAMENTO CORRESPONDENTE],J$6,LANÇ_MOV[EMPRESA],$C$4,LANÇ_MOV[CENTRO DE CUSTOS],$D$4)</f>
        <v>0</v>
      </c>
      <c r="K976" s="206">
        <f>SUMIFS(LANÇ_MOV[VALOR LÍQUIDO],LANÇ_MOV[RECEITA OU DESPESA],"Despesa",LANÇ_MOV[CONTAS],$C976,LANÇ_MOV[PLANO DE CONTAS],REL_DRE_FINANCEIRO!$B$957,LANÇ_MOV[ANO PAGAMENTO],$B$4,LANÇ_MOV[MÊS PAGAMENTO CORRESPONDENTE],K$6,LANÇ_MOV[EMPRESA],$C$4,LANÇ_MOV[CENTRO DE CUSTOS],$D$4)</f>
        <v>0</v>
      </c>
      <c r="L976" s="206">
        <f>SUMIFS(LANÇ_MOV[VALOR LÍQUIDO],LANÇ_MOV[RECEITA OU DESPESA],"Despesa",LANÇ_MOV[CONTAS],$C976,LANÇ_MOV[PLANO DE CONTAS],REL_DRE_FINANCEIRO!$B$957,LANÇ_MOV[ANO PAGAMENTO],$B$4,LANÇ_MOV[MÊS PAGAMENTO CORRESPONDENTE],L$6,LANÇ_MOV[EMPRESA],$C$4,LANÇ_MOV[CENTRO DE CUSTOS],$D$4)</f>
        <v>0</v>
      </c>
      <c r="M976" s="206">
        <f>SUMIFS(LANÇ_MOV[VALOR LÍQUIDO],LANÇ_MOV[RECEITA OU DESPESA],"Despesa",LANÇ_MOV[CONTAS],$C976,LANÇ_MOV[PLANO DE CONTAS],REL_DRE_FINANCEIRO!$B$957,LANÇ_MOV[ANO PAGAMENTO],$B$4,LANÇ_MOV[MÊS PAGAMENTO CORRESPONDENTE],M$6,LANÇ_MOV[EMPRESA],$C$4,LANÇ_MOV[CENTRO DE CUSTOS],$D$4)</f>
        <v>0</v>
      </c>
      <c r="N976" s="206">
        <f>SUMIFS(LANÇ_MOV[VALOR LÍQUIDO],LANÇ_MOV[RECEITA OU DESPESA],"Despesa",LANÇ_MOV[CONTAS],$C976,LANÇ_MOV[PLANO DE CONTAS],REL_DRE_FINANCEIRO!$B$957,LANÇ_MOV[ANO PAGAMENTO],$B$4,LANÇ_MOV[MÊS PAGAMENTO CORRESPONDENTE],N$6,LANÇ_MOV[EMPRESA],$C$4,LANÇ_MOV[CENTRO DE CUSTOS],$D$4)</f>
        <v>0</v>
      </c>
      <c r="O976" s="206">
        <f>SUMIFS(LANÇ_MOV[VALOR LÍQUIDO],LANÇ_MOV[RECEITA OU DESPESA],"Despesa",LANÇ_MOV[CONTAS],$C976,LANÇ_MOV[PLANO DE CONTAS],REL_DRE_FINANCEIRO!$B$957,LANÇ_MOV[ANO PAGAMENTO],$B$4,LANÇ_MOV[MÊS PAGAMENTO CORRESPONDENTE],O$6,LANÇ_MOV[EMPRESA],$C$4,LANÇ_MOV[CENTRO DE CUSTOS],$D$4)</f>
        <v>0</v>
      </c>
      <c r="P976" s="207">
        <f t="shared" si="122"/>
        <v>0</v>
      </c>
      <c r="Q976" s="329">
        <v>8.1999999999999994E-6</v>
      </c>
      <c r="R976" s="346">
        <f t="shared" si="123"/>
        <v>8.1999999999999994E-6</v>
      </c>
      <c r="S976" s="347" t="str">
        <f t="shared" si="124"/>
        <v>IRPF</v>
      </c>
      <c r="T976" s="347">
        <f t="shared" si="125"/>
        <v>0</v>
      </c>
      <c r="U976" s="347">
        <f>HLOOKUP(Apoio!$P$12,$D$956:$P$1057,X976,FALSE)+Q976</f>
        <v>8.1999999999999994E-6</v>
      </c>
      <c r="V976" s="447" t="str">
        <f t="shared" si="126"/>
        <v>IRPF</v>
      </c>
      <c r="W976" s="448">
        <f>HLOOKUP(Apoio!$P$12,$D$956:$P$1057,X976,FALSE)</f>
        <v>0</v>
      </c>
      <c r="X976" s="329">
        <v>21</v>
      </c>
    </row>
    <row r="977" spans="2:24" ht="30.05" customHeight="1" x14ac:dyDescent="0.35">
      <c r="B977" s="204" t="str">
        <f>'CAD_PL_REC-DESP'!AF24</f>
        <v>2.8.20</v>
      </c>
      <c r="C977" s="205" t="str">
        <f>IF('CAD_PL_REC-DESP'!AG24="","-",'CAD_PL_REC-DESP'!AG24)</f>
        <v>IRPJ - FONTE</v>
      </c>
      <c r="D977" s="206">
        <f>SUMIFS(LANÇ_MOV[VALOR LÍQUIDO],LANÇ_MOV[RECEITA OU DESPESA],"Despesa",LANÇ_MOV[CONTAS],$C977,LANÇ_MOV[PLANO DE CONTAS],REL_DRE_FINANCEIRO!$B$957,LANÇ_MOV[ANO PAGAMENTO],$B$4,LANÇ_MOV[MÊS PAGAMENTO CORRESPONDENTE],D$6,LANÇ_MOV[EMPRESA],$C$4,LANÇ_MOV[CENTRO DE CUSTOS],$D$4)</f>
        <v>0</v>
      </c>
      <c r="E977" s="206">
        <f>SUMIFS(LANÇ_MOV[VALOR LÍQUIDO],LANÇ_MOV[RECEITA OU DESPESA],"Despesa",LANÇ_MOV[CONTAS],$C977,LANÇ_MOV[PLANO DE CONTAS],REL_DRE_FINANCEIRO!$B$957,LANÇ_MOV[ANO PAGAMENTO],$B$4,LANÇ_MOV[MÊS PAGAMENTO CORRESPONDENTE],E$6,LANÇ_MOV[EMPRESA],$C$4,LANÇ_MOV[CENTRO DE CUSTOS],$D$4)</f>
        <v>0</v>
      </c>
      <c r="F977" s="206">
        <f>SUMIFS(LANÇ_MOV[VALOR LÍQUIDO],LANÇ_MOV[RECEITA OU DESPESA],"Despesa",LANÇ_MOV[CONTAS],$C977,LANÇ_MOV[PLANO DE CONTAS],REL_DRE_FINANCEIRO!$B$957,LANÇ_MOV[ANO PAGAMENTO],$B$4,LANÇ_MOV[MÊS PAGAMENTO CORRESPONDENTE],F$6,LANÇ_MOV[EMPRESA],$C$4,LANÇ_MOV[CENTRO DE CUSTOS],$D$4)</f>
        <v>0</v>
      </c>
      <c r="G977" s="206">
        <f>SUMIFS(LANÇ_MOV[VALOR LÍQUIDO],LANÇ_MOV[RECEITA OU DESPESA],"Despesa",LANÇ_MOV[CONTAS],$C977,LANÇ_MOV[PLANO DE CONTAS],REL_DRE_FINANCEIRO!$B$957,LANÇ_MOV[ANO PAGAMENTO],$B$4,LANÇ_MOV[MÊS PAGAMENTO CORRESPONDENTE],G$6,LANÇ_MOV[EMPRESA],$C$4,LANÇ_MOV[CENTRO DE CUSTOS],$D$4)</f>
        <v>0</v>
      </c>
      <c r="H977" s="206">
        <f>SUMIFS(LANÇ_MOV[VALOR LÍQUIDO],LANÇ_MOV[RECEITA OU DESPESA],"Despesa",LANÇ_MOV[CONTAS],$C977,LANÇ_MOV[PLANO DE CONTAS],REL_DRE_FINANCEIRO!$B$957,LANÇ_MOV[ANO PAGAMENTO],$B$4,LANÇ_MOV[MÊS PAGAMENTO CORRESPONDENTE],H$6,LANÇ_MOV[EMPRESA],$C$4,LANÇ_MOV[CENTRO DE CUSTOS],$D$4)</f>
        <v>0</v>
      </c>
      <c r="I977" s="206">
        <f>SUMIFS(LANÇ_MOV[VALOR LÍQUIDO],LANÇ_MOV[RECEITA OU DESPESA],"Despesa",LANÇ_MOV[CONTAS],$C977,LANÇ_MOV[PLANO DE CONTAS],REL_DRE_FINANCEIRO!$B$957,LANÇ_MOV[ANO PAGAMENTO],$B$4,LANÇ_MOV[MÊS PAGAMENTO CORRESPONDENTE],I$6,LANÇ_MOV[EMPRESA],$C$4,LANÇ_MOV[CENTRO DE CUSTOS],$D$4)</f>
        <v>0</v>
      </c>
      <c r="J977" s="206">
        <f>SUMIFS(LANÇ_MOV[VALOR LÍQUIDO],LANÇ_MOV[RECEITA OU DESPESA],"Despesa",LANÇ_MOV[CONTAS],$C977,LANÇ_MOV[PLANO DE CONTAS],REL_DRE_FINANCEIRO!$B$957,LANÇ_MOV[ANO PAGAMENTO],$B$4,LANÇ_MOV[MÊS PAGAMENTO CORRESPONDENTE],J$6,LANÇ_MOV[EMPRESA],$C$4,LANÇ_MOV[CENTRO DE CUSTOS],$D$4)</f>
        <v>0</v>
      </c>
      <c r="K977" s="206">
        <f>SUMIFS(LANÇ_MOV[VALOR LÍQUIDO],LANÇ_MOV[RECEITA OU DESPESA],"Despesa",LANÇ_MOV[CONTAS],$C977,LANÇ_MOV[PLANO DE CONTAS],REL_DRE_FINANCEIRO!$B$957,LANÇ_MOV[ANO PAGAMENTO],$B$4,LANÇ_MOV[MÊS PAGAMENTO CORRESPONDENTE],K$6,LANÇ_MOV[EMPRESA],$C$4,LANÇ_MOV[CENTRO DE CUSTOS],$D$4)</f>
        <v>0</v>
      </c>
      <c r="L977" s="206">
        <f>SUMIFS(LANÇ_MOV[VALOR LÍQUIDO],LANÇ_MOV[RECEITA OU DESPESA],"Despesa",LANÇ_MOV[CONTAS],$C977,LANÇ_MOV[PLANO DE CONTAS],REL_DRE_FINANCEIRO!$B$957,LANÇ_MOV[ANO PAGAMENTO],$B$4,LANÇ_MOV[MÊS PAGAMENTO CORRESPONDENTE],L$6,LANÇ_MOV[EMPRESA],$C$4,LANÇ_MOV[CENTRO DE CUSTOS],$D$4)</f>
        <v>0</v>
      </c>
      <c r="M977" s="206">
        <f>SUMIFS(LANÇ_MOV[VALOR LÍQUIDO],LANÇ_MOV[RECEITA OU DESPESA],"Despesa",LANÇ_MOV[CONTAS],$C977,LANÇ_MOV[PLANO DE CONTAS],REL_DRE_FINANCEIRO!$B$957,LANÇ_MOV[ANO PAGAMENTO],$B$4,LANÇ_MOV[MÊS PAGAMENTO CORRESPONDENTE],M$6,LANÇ_MOV[EMPRESA],$C$4,LANÇ_MOV[CENTRO DE CUSTOS],$D$4)</f>
        <v>0</v>
      </c>
      <c r="N977" s="206">
        <f>SUMIFS(LANÇ_MOV[VALOR LÍQUIDO],LANÇ_MOV[RECEITA OU DESPESA],"Despesa",LANÇ_MOV[CONTAS],$C977,LANÇ_MOV[PLANO DE CONTAS],REL_DRE_FINANCEIRO!$B$957,LANÇ_MOV[ANO PAGAMENTO],$B$4,LANÇ_MOV[MÊS PAGAMENTO CORRESPONDENTE],N$6,LANÇ_MOV[EMPRESA],$C$4,LANÇ_MOV[CENTRO DE CUSTOS],$D$4)</f>
        <v>0</v>
      </c>
      <c r="O977" s="206">
        <f>SUMIFS(LANÇ_MOV[VALOR LÍQUIDO],LANÇ_MOV[RECEITA OU DESPESA],"Despesa",LANÇ_MOV[CONTAS],$C977,LANÇ_MOV[PLANO DE CONTAS],REL_DRE_FINANCEIRO!$B$957,LANÇ_MOV[ANO PAGAMENTO],$B$4,LANÇ_MOV[MÊS PAGAMENTO CORRESPONDENTE],O$6,LANÇ_MOV[EMPRESA],$C$4,LANÇ_MOV[CENTRO DE CUSTOS],$D$4)</f>
        <v>0</v>
      </c>
      <c r="P977" s="207">
        <f t="shared" si="122"/>
        <v>0</v>
      </c>
      <c r="Q977" s="329">
        <v>8.1000000000000004E-6</v>
      </c>
      <c r="R977" s="346">
        <f t="shared" si="123"/>
        <v>8.1000000000000004E-6</v>
      </c>
      <c r="S977" s="347" t="str">
        <f t="shared" si="124"/>
        <v>IRPJ - FONTE</v>
      </c>
      <c r="T977" s="347">
        <f t="shared" si="125"/>
        <v>0</v>
      </c>
      <c r="U977" s="347">
        <f>HLOOKUP(Apoio!$P$12,$D$956:$P$1057,X977,FALSE)+Q977</f>
        <v>8.1000000000000004E-6</v>
      </c>
      <c r="V977" s="447" t="str">
        <f t="shared" si="126"/>
        <v>IRPJ - FONTE</v>
      </c>
      <c r="W977" s="448">
        <f>HLOOKUP(Apoio!$P$12,$D$956:$P$1057,X977,FALSE)</f>
        <v>0</v>
      </c>
      <c r="X977" s="329">
        <v>22</v>
      </c>
    </row>
    <row r="978" spans="2:24" ht="30.05" customHeight="1" x14ac:dyDescent="0.35">
      <c r="B978" s="204" t="str">
        <f>'CAD_PL_REC-DESP'!AF25</f>
        <v>2.8.21</v>
      </c>
      <c r="C978" s="205" t="str">
        <f>IF('CAD_PL_REC-DESP'!AG25="","-",'CAD_PL_REC-DESP'!AG25)</f>
        <v>ISS - RETIDO NA FONTE</v>
      </c>
      <c r="D978" s="206">
        <f>SUMIFS(LANÇ_MOV[VALOR LÍQUIDO],LANÇ_MOV[RECEITA OU DESPESA],"Despesa",LANÇ_MOV[CONTAS],$C978,LANÇ_MOV[PLANO DE CONTAS],REL_DRE_FINANCEIRO!$B$957,LANÇ_MOV[ANO PAGAMENTO],$B$4,LANÇ_MOV[MÊS PAGAMENTO CORRESPONDENTE],D$6,LANÇ_MOV[EMPRESA],$C$4,LANÇ_MOV[CENTRO DE CUSTOS],$D$4)</f>
        <v>0</v>
      </c>
      <c r="E978" s="206">
        <f>SUMIFS(LANÇ_MOV[VALOR LÍQUIDO],LANÇ_MOV[RECEITA OU DESPESA],"Despesa",LANÇ_MOV[CONTAS],$C978,LANÇ_MOV[PLANO DE CONTAS],REL_DRE_FINANCEIRO!$B$957,LANÇ_MOV[ANO PAGAMENTO],$B$4,LANÇ_MOV[MÊS PAGAMENTO CORRESPONDENTE],E$6,LANÇ_MOV[EMPRESA],$C$4,LANÇ_MOV[CENTRO DE CUSTOS],$D$4)</f>
        <v>0</v>
      </c>
      <c r="F978" s="206">
        <f>SUMIFS(LANÇ_MOV[VALOR LÍQUIDO],LANÇ_MOV[RECEITA OU DESPESA],"Despesa",LANÇ_MOV[CONTAS],$C978,LANÇ_MOV[PLANO DE CONTAS],REL_DRE_FINANCEIRO!$B$957,LANÇ_MOV[ANO PAGAMENTO],$B$4,LANÇ_MOV[MÊS PAGAMENTO CORRESPONDENTE],F$6,LANÇ_MOV[EMPRESA],$C$4,LANÇ_MOV[CENTRO DE CUSTOS],$D$4)</f>
        <v>0</v>
      </c>
      <c r="G978" s="206">
        <f>SUMIFS(LANÇ_MOV[VALOR LÍQUIDO],LANÇ_MOV[RECEITA OU DESPESA],"Despesa",LANÇ_MOV[CONTAS],$C978,LANÇ_MOV[PLANO DE CONTAS],REL_DRE_FINANCEIRO!$B$957,LANÇ_MOV[ANO PAGAMENTO],$B$4,LANÇ_MOV[MÊS PAGAMENTO CORRESPONDENTE],G$6,LANÇ_MOV[EMPRESA],$C$4,LANÇ_MOV[CENTRO DE CUSTOS],$D$4)</f>
        <v>0</v>
      </c>
      <c r="H978" s="206">
        <f>SUMIFS(LANÇ_MOV[VALOR LÍQUIDO],LANÇ_MOV[RECEITA OU DESPESA],"Despesa",LANÇ_MOV[CONTAS],$C978,LANÇ_MOV[PLANO DE CONTAS],REL_DRE_FINANCEIRO!$B$957,LANÇ_MOV[ANO PAGAMENTO],$B$4,LANÇ_MOV[MÊS PAGAMENTO CORRESPONDENTE],H$6,LANÇ_MOV[EMPRESA],$C$4,LANÇ_MOV[CENTRO DE CUSTOS],$D$4)</f>
        <v>0</v>
      </c>
      <c r="I978" s="206">
        <f>SUMIFS(LANÇ_MOV[VALOR LÍQUIDO],LANÇ_MOV[RECEITA OU DESPESA],"Despesa",LANÇ_MOV[CONTAS],$C978,LANÇ_MOV[PLANO DE CONTAS],REL_DRE_FINANCEIRO!$B$957,LANÇ_MOV[ANO PAGAMENTO],$B$4,LANÇ_MOV[MÊS PAGAMENTO CORRESPONDENTE],I$6,LANÇ_MOV[EMPRESA],$C$4,LANÇ_MOV[CENTRO DE CUSTOS],$D$4)</f>
        <v>0</v>
      </c>
      <c r="J978" s="206">
        <f>SUMIFS(LANÇ_MOV[VALOR LÍQUIDO],LANÇ_MOV[RECEITA OU DESPESA],"Despesa",LANÇ_MOV[CONTAS],$C978,LANÇ_MOV[PLANO DE CONTAS],REL_DRE_FINANCEIRO!$B$957,LANÇ_MOV[ANO PAGAMENTO],$B$4,LANÇ_MOV[MÊS PAGAMENTO CORRESPONDENTE],J$6,LANÇ_MOV[EMPRESA],$C$4,LANÇ_MOV[CENTRO DE CUSTOS],$D$4)</f>
        <v>0</v>
      </c>
      <c r="K978" s="206">
        <f>SUMIFS(LANÇ_MOV[VALOR LÍQUIDO],LANÇ_MOV[RECEITA OU DESPESA],"Despesa",LANÇ_MOV[CONTAS],$C978,LANÇ_MOV[PLANO DE CONTAS],REL_DRE_FINANCEIRO!$B$957,LANÇ_MOV[ANO PAGAMENTO],$B$4,LANÇ_MOV[MÊS PAGAMENTO CORRESPONDENTE],K$6,LANÇ_MOV[EMPRESA],$C$4,LANÇ_MOV[CENTRO DE CUSTOS],$D$4)</f>
        <v>0</v>
      </c>
      <c r="L978" s="206">
        <f>SUMIFS(LANÇ_MOV[VALOR LÍQUIDO],LANÇ_MOV[RECEITA OU DESPESA],"Despesa",LANÇ_MOV[CONTAS],$C978,LANÇ_MOV[PLANO DE CONTAS],REL_DRE_FINANCEIRO!$B$957,LANÇ_MOV[ANO PAGAMENTO],$B$4,LANÇ_MOV[MÊS PAGAMENTO CORRESPONDENTE],L$6,LANÇ_MOV[EMPRESA],$C$4,LANÇ_MOV[CENTRO DE CUSTOS],$D$4)</f>
        <v>0</v>
      </c>
      <c r="M978" s="206">
        <f>SUMIFS(LANÇ_MOV[VALOR LÍQUIDO],LANÇ_MOV[RECEITA OU DESPESA],"Despesa",LANÇ_MOV[CONTAS],$C978,LANÇ_MOV[PLANO DE CONTAS],REL_DRE_FINANCEIRO!$B$957,LANÇ_MOV[ANO PAGAMENTO],$B$4,LANÇ_MOV[MÊS PAGAMENTO CORRESPONDENTE],M$6,LANÇ_MOV[EMPRESA],$C$4,LANÇ_MOV[CENTRO DE CUSTOS],$D$4)</f>
        <v>0</v>
      </c>
      <c r="N978" s="206">
        <f>SUMIFS(LANÇ_MOV[VALOR LÍQUIDO],LANÇ_MOV[RECEITA OU DESPESA],"Despesa",LANÇ_MOV[CONTAS],$C978,LANÇ_MOV[PLANO DE CONTAS],REL_DRE_FINANCEIRO!$B$957,LANÇ_MOV[ANO PAGAMENTO],$B$4,LANÇ_MOV[MÊS PAGAMENTO CORRESPONDENTE],N$6,LANÇ_MOV[EMPRESA],$C$4,LANÇ_MOV[CENTRO DE CUSTOS],$D$4)</f>
        <v>0</v>
      </c>
      <c r="O978" s="206">
        <f>SUMIFS(LANÇ_MOV[VALOR LÍQUIDO],LANÇ_MOV[RECEITA OU DESPESA],"Despesa",LANÇ_MOV[CONTAS],$C978,LANÇ_MOV[PLANO DE CONTAS],REL_DRE_FINANCEIRO!$B$957,LANÇ_MOV[ANO PAGAMENTO],$B$4,LANÇ_MOV[MÊS PAGAMENTO CORRESPONDENTE],O$6,LANÇ_MOV[EMPRESA],$C$4,LANÇ_MOV[CENTRO DE CUSTOS],$D$4)</f>
        <v>0</v>
      </c>
      <c r="P978" s="207">
        <f t="shared" si="122"/>
        <v>0</v>
      </c>
      <c r="Q978" s="329">
        <v>7.9999999999999996E-6</v>
      </c>
      <c r="R978" s="346">
        <f t="shared" si="123"/>
        <v>7.9999999999999996E-6</v>
      </c>
      <c r="S978" s="347" t="str">
        <f t="shared" si="124"/>
        <v>ISS - RETIDO NA FONTE</v>
      </c>
      <c r="T978" s="347">
        <f t="shared" si="125"/>
        <v>0</v>
      </c>
      <c r="U978" s="347">
        <f>HLOOKUP(Apoio!$P$12,$D$956:$P$1057,X978,FALSE)+Q978</f>
        <v>7.9999999999999996E-6</v>
      </c>
      <c r="V978" s="447" t="str">
        <f t="shared" si="126"/>
        <v>ISS - RETIDO NA FONTE</v>
      </c>
      <c r="W978" s="448">
        <f>HLOOKUP(Apoio!$P$12,$D$956:$P$1057,X978,FALSE)</f>
        <v>0</v>
      </c>
      <c r="X978" s="329">
        <v>23</v>
      </c>
    </row>
    <row r="979" spans="2:24" ht="30.05" customHeight="1" x14ac:dyDescent="0.35">
      <c r="B979" s="204" t="str">
        <f>'CAD_PL_REC-DESP'!AF26</f>
        <v>2.8.22</v>
      </c>
      <c r="C979" s="205" t="str">
        <f>IF('CAD_PL_REC-DESP'!AG26="","-",'CAD_PL_REC-DESP'!AG26)</f>
        <v>OUTROS ENDIVIDAMENTOS</v>
      </c>
      <c r="D979" s="206">
        <f>SUMIFS(LANÇ_MOV[VALOR LÍQUIDO],LANÇ_MOV[RECEITA OU DESPESA],"Despesa",LANÇ_MOV[CONTAS],$C979,LANÇ_MOV[PLANO DE CONTAS],REL_DRE_FINANCEIRO!$B$957,LANÇ_MOV[ANO PAGAMENTO],$B$4,LANÇ_MOV[MÊS PAGAMENTO CORRESPONDENTE],D$6,LANÇ_MOV[EMPRESA],$C$4,LANÇ_MOV[CENTRO DE CUSTOS],$D$4)</f>
        <v>0</v>
      </c>
      <c r="E979" s="206">
        <f>SUMIFS(LANÇ_MOV[VALOR LÍQUIDO],LANÇ_MOV[RECEITA OU DESPESA],"Despesa",LANÇ_MOV[CONTAS],$C979,LANÇ_MOV[PLANO DE CONTAS],REL_DRE_FINANCEIRO!$B$957,LANÇ_MOV[ANO PAGAMENTO],$B$4,LANÇ_MOV[MÊS PAGAMENTO CORRESPONDENTE],E$6,LANÇ_MOV[EMPRESA],$C$4,LANÇ_MOV[CENTRO DE CUSTOS],$D$4)</f>
        <v>0</v>
      </c>
      <c r="F979" s="206">
        <f>SUMIFS(LANÇ_MOV[VALOR LÍQUIDO],LANÇ_MOV[RECEITA OU DESPESA],"Despesa",LANÇ_MOV[CONTAS],$C979,LANÇ_MOV[PLANO DE CONTAS],REL_DRE_FINANCEIRO!$B$957,LANÇ_MOV[ANO PAGAMENTO],$B$4,LANÇ_MOV[MÊS PAGAMENTO CORRESPONDENTE],F$6,LANÇ_MOV[EMPRESA],$C$4,LANÇ_MOV[CENTRO DE CUSTOS],$D$4)</f>
        <v>0</v>
      </c>
      <c r="G979" s="206">
        <f>SUMIFS(LANÇ_MOV[VALOR LÍQUIDO],LANÇ_MOV[RECEITA OU DESPESA],"Despesa",LANÇ_MOV[CONTAS],$C979,LANÇ_MOV[PLANO DE CONTAS],REL_DRE_FINANCEIRO!$B$957,LANÇ_MOV[ANO PAGAMENTO],$B$4,LANÇ_MOV[MÊS PAGAMENTO CORRESPONDENTE],G$6,LANÇ_MOV[EMPRESA],$C$4,LANÇ_MOV[CENTRO DE CUSTOS],$D$4)</f>
        <v>0</v>
      </c>
      <c r="H979" s="206">
        <f>SUMIFS(LANÇ_MOV[VALOR LÍQUIDO],LANÇ_MOV[RECEITA OU DESPESA],"Despesa",LANÇ_MOV[CONTAS],$C979,LANÇ_MOV[PLANO DE CONTAS],REL_DRE_FINANCEIRO!$B$957,LANÇ_MOV[ANO PAGAMENTO],$B$4,LANÇ_MOV[MÊS PAGAMENTO CORRESPONDENTE],H$6,LANÇ_MOV[EMPRESA],$C$4,LANÇ_MOV[CENTRO DE CUSTOS],$D$4)</f>
        <v>0</v>
      </c>
      <c r="I979" s="206">
        <f>SUMIFS(LANÇ_MOV[VALOR LÍQUIDO],LANÇ_MOV[RECEITA OU DESPESA],"Despesa",LANÇ_MOV[CONTAS],$C979,LANÇ_MOV[PLANO DE CONTAS],REL_DRE_FINANCEIRO!$B$957,LANÇ_MOV[ANO PAGAMENTO],$B$4,LANÇ_MOV[MÊS PAGAMENTO CORRESPONDENTE],I$6,LANÇ_MOV[EMPRESA],$C$4,LANÇ_MOV[CENTRO DE CUSTOS],$D$4)</f>
        <v>0</v>
      </c>
      <c r="J979" s="206">
        <f>SUMIFS(LANÇ_MOV[VALOR LÍQUIDO],LANÇ_MOV[RECEITA OU DESPESA],"Despesa",LANÇ_MOV[CONTAS],$C979,LANÇ_MOV[PLANO DE CONTAS],REL_DRE_FINANCEIRO!$B$957,LANÇ_MOV[ANO PAGAMENTO],$B$4,LANÇ_MOV[MÊS PAGAMENTO CORRESPONDENTE],J$6,LANÇ_MOV[EMPRESA],$C$4,LANÇ_MOV[CENTRO DE CUSTOS],$D$4)</f>
        <v>0</v>
      </c>
      <c r="K979" s="206">
        <f>SUMIFS(LANÇ_MOV[VALOR LÍQUIDO],LANÇ_MOV[RECEITA OU DESPESA],"Despesa",LANÇ_MOV[CONTAS],$C979,LANÇ_MOV[PLANO DE CONTAS],REL_DRE_FINANCEIRO!$B$957,LANÇ_MOV[ANO PAGAMENTO],$B$4,LANÇ_MOV[MÊS PAGAMENTO CORRESPONDENTE],K$6,LANÇ_MOV[EMPRESA],$C$4,LANÇ_MOV[CENTRO DE CUSTOS],$D$4)</f>
        <v>0</v>
      </c>
      <c r="L979" s="206">
        <f>SUMIFS(LANÇ_MOV[VALOR LÍQUIDO],LANÇ_MOV[RECEITA OU DESPESA],"Despesa",LANÇ_MOV[CONTAS],$C979,LANÇ_MOV[PLANO DE CONTAS],REL_DRE_FINANCEIRO!$B$957,LANÇ_MOV[ANO PAGAMENTO],$B$4,LANÇ_MOV[MÊS PAGAMENTO CORRESPONDENTE],L$6,LANÇ_MOV[EMPRESA],$C$4,LANÇ_MOV[CENTRO DE CUSTOS],$D$4)</f>
        <v>0</v>
      </c>
      <c r="M979" s="206">
        <f>SUMIFS(LANÇ_MOV[VALOR LÍQUIDO],LANÇ_MOV[RECEITA OU DESPESA],"Despesa",LANÇ_MOV[CONTAS],$C979,LANÇ_MOV[PLANO DE CONTAS],REL_DRE_FINANCEIRO!$B$957,LANÇ_MOV[ANO PAGAMENTO],$B$4,LANÇ_MOV[MÊS PAGAMENTO CORRESPONDENTE],M$6,LANÇ_MOV[EMPRESA],$C$4,LANÇ_MOV[CENTRO DE CUSTOS],$D$4)</f>
        <v>0</v>
      </c>
      <c r="N979" s="206">
        <f>SUMIFS(LANÇ_MOV[VALOR LÍQUIDO],LANÇ_MOV[RECEITA OU DESPESA],"Despesa",LANÇ_MOV[CONTAS],$C979,LANÇ_MOV[PLANO DE CONTAS],REL_DRE_FINANCEIRO!$B$957,LANÇ_MOV[ANO PAGAMENTO],$B$4,LANÇ_MOV[MÊS PAGAMENTO CORRESPONDENTE],N$6,LANÇ_MOV[EMPRESA],$C$4,LANÇ_MOV[CENTRO DE CUSTOS],$D$4)</f>
        <v>0</v>
      </c>
      <c r="O979" s="206">
        <f>SUMIFS(LANÇ_MOV[VALOR LÍQUIDO],LANÇ_MOV[RECEITA OU DESPESA],"Despesa",LANÇ_MOV[CONTAS],$C979,LANÇ_MOV[PLANO DE CONTAS],REL_DRE_FINANCEIRO!$B$957,LANÇ_MOV[ANO PAGAMENTO],$B$4,LANÇ_MOV[MÊS PAGAMENTO CORRESPONDENTE],O$6,LANÇ_MOV[EMPRESA],$C$4,LANÇ_MOV[CENTRO DE CUSTOS],$D$4)</f>
        <v>0</v>
      </c>
      <c r="P979" s="207">
        <f t="shared" si="122"/>
        <v>0</v>
      </c>
      <c r="Q979" s="329">
        <v>7.9000000000000006E-6</v>
      </c>
      <c r="R979" s="346">
        <f t="shared" si="123"/>
        <v>7.9000000000000006E-6</v>
      </c>
      <c r="S979" s="347" t="str">
        <f t="shared" si="124"/>
        <v>OUTROS ENDIVIDAMENTOS</v>
      </c>
      <c r="T979" s="347">
        <f t="shared" si="125"/>
        <v>0</v>
      </c>
      <c r="U979" s="347">
        <f>HLOOKUP(Apoio!$P$12,$D$956:$P$1057,X979,FALSE)+Q979</f>
        <v>7.9000000000000006E-6</v>
      </c>
      <c r="V979" s="447" t="str">
        <f t="shared" si="126"/>
        <v>OUTROS ENDIVIDAMENTOS</v>
      </c>
      <c r="W979" s="448">
        <f>HLOOKUP(Apoio!$P$12,$D$956:$P$1057,X979,FALSE)</f>
        <v>0</v>
      </c>
      <c r="X979" s="329">
        <v>24</v>
      </c>
    </row>
    <row r="980" spans="2:24" ht="30.05" customHeight="1" x14ac:dyDescent="0.35">
      <c r="B980" s="204" t="str">
        <f>'CAD_PL_REC-DESP'!AF27</f>
        <v>2.8.23</v>
      </c>
      <c r="C980" s="205" t="str">
        <f>IF('CAD_PL_REC-DESP'!AG27="","-",'CAD_PL_REC-DESP'!AG27)</f>
        <v>PIS</v>
      </c>
      <c r="D980" s="206">
        <f>SUMIFS(LANÇ_MOV[VALOR LÍQUIDO],LANÇ_MOV[RECEITA OU DESPESA],"Despesa",LANÇ_MOV[CONTAS],$C980,LANÇ_MOV[PLANO DE CONTAS],REL_DRE_FINANCEIRO!$B$957,LANÇ_MOV[ANO PAGAMENTO],$B$4,LANÇ_MOV[MÊS PAGAMENTO CORRESPONDENTE],D$6,LANÇ_MOV[EMPRESA],$C$4,LANÇ_MOV[CENTRO DE CUSTOS],$D$4)</f>
        <v>0</v>
      </c>
      <c r="E980" s="206">
        <f>SUMIFS(LANÇ_MOV[VALOR LÍQUIDO],LANÇ_MOV[RECEITA OU DESPESA],"Despesa",LANÇ_MOV[CONTAS],$C980,LANÇ_MOV[PLANO DE CONTAS],REL_DRE_FINANCEIRO!$B$957,LANÇ_MOV[ANO PAGAMENTO],$B$4,LANÇ_MOV[MÊS PAGAMENTO CORRESPONDENTE],E$6,LANÇ_MOV[EMPRESA],$C$4,LANÇ_MOV[CENTRO DE CUSTOS],$D$4)</f>
        <v>0</v>
      </c>
      <c r="F980" s="206">
        <f>SUMIFS(LANÇ_MOV[VALOR LÍQUIDO],LANÇ_MOV[RECEITA OU DESPESA],"Despesa",LANÇ_MOV[CONTAS],$C980,LANÇ_MOV[PLANO DE CONTAS],REL_DRE_FINANCEIRO!$B$957,LANÇ_MOV[ANO PAGAMENTO],$B$4,LANÇ_MOV[MÊS PAGAMENTO CORRESPONDENTE],F$6,LANÇ_MOV[EMPRESA],$C$4,LANÇ_MOV[CENTRO DE CUSTOS],$D$4)</f>
        <v>0</v>
      </c>
      <c r="G980" s="206">
        <f>SUMIFS(LANÇ_MOV[VALOR LÍQUIDO],LANÇ_MOV[RECEITA OU DESPESA],"Despesa",LANÇ_MOV[CONTAS],$C980,LANÇ_MOV[PLANO DE CONTAS],REL_DRE_FINANCEIRO!$B$957,LANÇ_MOV[ANO PAGAMENTO],$B$4,LANÇ_MOV[MÊS PAGAMENTO CORRESPONDENTE],G$6,LANÇ_MOV[EMPRESA],$C$4,LANÇ_MOV[CENTRO DE CUSTOS],$D$4)</f>
        <v>0</v>
      </c>
      <c r="H980" s="206">
        <f>SUMIFS(LANÇ_MOV[VALOR LÍQUIDO],LANÇ_MOV[RECEITA OU DESPESA],"Despesa",LANÇ_MOV[CONTAS],$C980,LANÇ_MOV[PLANO DE CONTAS],REL_DRE_FINANCEIRO!$B$957,LANÇ_MOV[ANO PAGAMENTO],$B$4,LANÇ_MOV[MÊS PAGAMENTO CORRESPONDENTE],H$6,LANÇ_MOV[EMPRESA],$C$4,LANÇ_MOV[CENTRO DE CUSTOS],$D$4)</f>
        <v>0</v>
      </c>
      <c r="I980" s="206">
        <f>SUMIFS(LANÇ_MOV[VALOR LÍQUIDO],LANÇ_MOV[RECEITA OU DESPESA],"Despesa",LANÇ_MOV[CONTAS],$C980,LANÇ_MOV[PLANO DE CONTAS],REL_DRE_FINANCEIRO!$B$957,LANÇ_MOV[ANO PAGAMENTO],$B$4,LANÇ_MOV[MÊS PAGAMENTO CORRESPONDENTE],I$6,LANÇ_MOV[EMPRESA],$C$4,LANÇ_MOV[CENTRO DE CUSTOS],$D$4)</f>
        <v>0</v>
      </c>
      <c r="J980" s="206">
        <f>SUMIFS(LANÇ_MOV[VALOR LÍQUIDO],LANÇ_MOV[RECEITA OU DESPESA],"Despesa",LANÇ_MOV[CONTAS],$C980,LANÇ_MOV[PLANO DE CONTAS],REL_DRE_FINANCEIRO!$B$957,LANÇ_MOV[ANO PAGAMENTO],$B$4,LANÇ_MOV[MÊS PAGAMENTO CORRESPONDENTE],J$6,LANÇ_MOV[EMPRESA],$C$4,LANÇ_MOV[CENTRO DE CUSTOS],$D$4)</f>
        <v>0</v>
      </c>
      <c r="K980" s="206">
        <f>SUMIFS(LANÇ_MOV[VALOR LÍQUIDO],LANÇ_MOV[RECEITA OU DESPESA],"Despesa",LANÇ_MOV[CONTAS],$C980,LANÇ_MOV[PLANO DE CONTAS],REL_DRE_FINANCEIRO!$B$957,LANÇ_MOV[ANO PAGAMENTO],$B$4,LANÇ_MOV[MÊS PAGAMENTO CORRESPONDENTE],K$6,LANÇ_MOV[EMPRESA],$C$4,LANÇ_MOV[CENTRO DE CUSTOS],$D$4)</f>
        <v>0</v>
      </c>
      <c r="L980" s="206">
        <f>SUMIFS(LANÇ_MOV[VALOR LÍQUIDO],LANÇ_MOV[RECEITA OU DESPESA],"Despesa",LANÇ_MOV[CONTAS],$C980,LANÇ_MOV[PLANO DE CONTAS],REL_DRE_FINANCEIRO!$B$957,LANÇ_MOV[ANO PAGAMENTO],$B$4,LANÇ_MOV[MÊS PAGAMENTO CORRESPONDENTE],L$6,LANÇ_MOV[EMPRESA],$C$4,LANÇ_MOV[CENTRO DE CUSTOS],$D$4)</f>
        <v>0</v>
      </c>
      <c r="M980" s="206">
        <f>SUMIFS(LANÇ_MOV[VALOR LÍQUIDO],LANÇ_MOV[RECEITA OU DESPESA],"Despesa",LANÇ_MOV[CONTAS],$C980,LANÇ_MOV[PLANO DE CONTAS],REL_DRE_FINANCEIRO!$B$957,LANÇ_MOV[ANO PAGAMENTO],$B$4,LANÇ_MOV[MÊS PAGAMENTO CORRESPONDENTE],M$6,LANÇ_MOV[EMPRESA],$C$4,LANÇ_MOV[CENTRO DE CUSTOS],$D$4)</f>
        <v>0</v>
      </c>
      <c r="N980" s="206">
        <f>SUMIFS(LANÇ_MOV[VALOR LÍQUIDO],LANÇ_MOV[RECEITA OU DESPESA],"Despesa",LANÇ_MOV[CONTAS],$C980,LANÇ_MOV[PLANO DE CONTAS],REL_DRE_FINANCEIRO!$B$957,LANÇ_MOV[ANO PAGAMENTO],$B$4,LANÇ_MOV[MÊS PAGAMENTO CORRESPONDENTE],N$6,LANÇ_MOV[EMPRESA],$C$4,LANÇ_MOV[CENTRO DE CUSTOS],$D$4)</f>
        <v>0</v>
      </c>
      <c r="O980" s="206">
        <f>SUMIFS(LANÇ_MOV[VALOR LÍQUIDO],LANÇ_MOV[RECEITA OU DESPESA],"Despesa",LANÇ_MOV[CONTAS],$C980,LANÇ_MOV[PLANO DE CONTAS],REL_DRE_FINANCEIRO!$B$957,LANÇ_MOV[ANO PAGAMENTO],$B$4,LANÇ_MOV[MÊS PAGAMENTO CORRESPONDENTE],O$6,LANÇ_MOV[EMPRESA],$C$4,LANÇ_MOV[CENTRO DE CUSTOS],$D$4)</f>
        <v>0</v>
      </c>
      <c r="P980" s="207">
        <f t="shared" si="122"/>
        <v>0</v>
      </c>
      <c r="Q980" s="329">
        <v>7.7999999999999999E-6</v>
      </c>
      <c r="R980" s="346">
        <f t="shared" si="123"/>
        <v>7.7999999999999999E-6</v>
      </c>
      <c r="S980" s="347" t="str">
        <f t="shared" si="124"/>
        <v>PIS</v>
      </c>
      <c r="T980" s="347">
        <f t="shared" si="125"/>
        <v>0</v>
      </c>
      <c r="U980" s="347">
        <f>HLOOKUP(Apoio!$P$12,$D$956:$P$1057,X980,FALSE)+Q980</f>
        <v>7.7999999999999999E-6</v>
      </c>
      <c r="V980" s="447" t="str">
        <f t="shared" si="126"/>
        <v>PIS</v>
      </c>
      <c r="W980" s="448">
        <f>HLOOKUP(Apoio!$P$12,$D$956:$P$1057,X980,FALSE)</f>
        <v>0</v>
      </c>
      <c r="X980" s="329">
        <v>25</v>
      </c>
    </row>
    <row r="981" spans="2:24" ht="30.05" customHeight="1" x14ac:dyDescent="0.35">
      <c r="B981" s="204" t="str">
        <f>'CAD_PL_REC-DESP'!AF28</f>
        <v>2.8.24</v>
      </c>
      <c r="C981" s="205" t="str">
        <f>IF('CAD_PL_REC-DESP'!AG28="","-",'CAD_PL_REC-DESP'!AG28)</f>
        <v>PROTESTO</v>
      </c>
      <c r="D981" s="206">
        <f>SUMIFS(LANÇ_MOV[VALOR LÍQUIDO],LANÇ_MOV[RECEITA OU DESPESA],"Despesa",LANÇ_MOV[CONTAS],$C981,LANÇ_MOV[PLANO DE CONTAS],REL_DRE_FINANCEIRO!$B$957,LANÇ_MOV[ANO PAGAMENTO],$B$4,LANÇ_MOV[MÊS PAGAMENTO CORRESPONDENTE],D$6,LANÇ_MOV[EMPRESA],$C$4,LANÇ_MOV[CENTRO DE CUSTOS],$D$4)</f>
        <v>0</v>
      </c>
      <c r="E981" s="206">
        <f>SUMIFS(LANÇ_MOV[VALOR LÍQUIDO],LANÇ_MOV[RECEITA OU DESPESA],"Despesa",LANÇ_MOV[CONTAS],$C981,LANÇ_MOV[PLANO DE CONTAS],REL_DRE_FINANCEIRO!$B$957,LANÇ_MOV[ANO PAGAMENTO],$B$4,LANÇ_MOV[MÊS PAGAMENTO CORRESPONDENTE],E$6,LANÇ_MOV[EMPRESA],$C$4,LANÇ_MOV[CENTRO DE CUSTOS],$D$4)</f>
        <v>0</v>
      </c>
      <c r="F981" s="206">
        <f>SUMIFS(LANÇ_MOV[VALOR LÍQUIDO],LANÇ_MOV[RECEITA OU DESPESA],"Despesa",LANÇ_MOV[CONTAS],$C981,LANÇ_MOV[PLANO DE CONTAS],REL_DRE_FINANCEIRO!$B$957,LANÇ_MOV[ANO PAGAMENTO],$B$4,LANÇ_MOV[MÊS PAGAMENTO CORRESPONDENTE],F$6,LANÇ_MOV[EMPRESA],$C$4,LANÇ_MOV[CENTRO DE CUSTOS],$D$4)</f>
        <v>0</v>
      </c>
      <c r="G981" s="206">
        <f>SUMIFS(LANÇ_MOV[VALOR LÍQUIDO],LANÇ_MOV[RECEITA OU DESPESA],"Despesa",LANÇ_MOV[CONTAS],$C981,LANÇ_MOV[PLANO DE CONTAS],REL_DRE_FINANCEIRO!$B$957,LANÇ_MOV[ANO PAGAMENTO],$B$4,LANÇ_MOV[MÊS PAGAMENTO CORRESPONDENTE],G$6,LANÇ_MOV[EMPRESA],$C$4,LANÇ_MOV[CENTRO DE CUSTOS],$D$4)</f>
        <v>0</v>
      </c>
      <c r="H981" s="206">
        <f>SUMIFS(LANÇ_MOV[VALOR LÍQUIDO],LANÇ_MOV[RECEITA OU DESPESA],"Despesa",LANÇ_MOV[CONTAS],$C981,LANÇ_MOV[PLANO DE CONTAS],REL_DRE_FINANCEIRO!$B$957,LANÇ_MOV[ANO PAGAMENTO],$B$4,LANÇ_MOV[MÊS PAGAMENTO CORRESPONDENTE],H$6,LANÇ_MOV[EMPRESA],$C$4,LANÇ_MOV[CENTRO DE CUSTOS],$D$4)</f>
        <v>0</v>
      </c>
      <c r="I981" s="206">
        <f>SUMIFS(LANÇ_MOV[VALOR LÍQUIDO],LANÇ_MOV[RECEITA OU DESPESA],"Despesa",LANÇ_MOV[CONTAS],$C981,LANÇ_MOV[PLANO DE CONTAS],REL_DRE_FINANCEIRO!$B$957,LANÇ_MOV[ANO PAGAMENTO],$B$4,LANÇ_MOV[MÊS PAGAMENTO CORRESPONDENTE],I$6,LANÇ_MOV[EMPRESA],$C$4,LANÇ_MOV[CENTRO DE CUSTOS],$D$4)</f>
        <v>0</v>
      </c>
      <c r="J981" s="206">
        <f>SUMIFS(LANÇ_MOV[VALOR LÍQUIDO],LANÇ_MOV[RECEITA OU DESPESA],"Despesa",LANÇ_MOV[CONTAS],$C981,LANÇ_MOV[PLANO DE CONTAS],REL_DRE_FINANCEIRO!$B$957,LANÇ_MOV[ANO PAGAMENTO],$B$4,LANÇ_MOV[MÊS PAGAMENTO CORRESPONDENTE],J$6,LANÇ_MOV[EMPRESA],$C$4,LANÇ_MOV[CENTRO DE CUSTOS],$D$4)</f>
        <v>0</v>
      </c>
      <c r="K981" s="206">
        <f>SUMIFS(LANÇ_MOV[VALOR LÍQUIDO],LANÇ_MOV[RECEITA OU DESPESA],"Despesa",LANÇ_MOV[CONTAS],$C981,LANÇ_MOV[PLANO DE CONTAS],REL_DRE_FINANCEIRO!$B$957,LANÇ_MOV[ANO PAGAMENTO],$B$4,LANÇ_MOV[MÊS PAGAMENTO CORRESPONDENTE],K$6,LANÇ_MOV[EMPRESA],$C$4,LANÇ_MOV[CENTRO DE CUSTOS],$D$4)</f>
        <v>0</v>
      </c>
      <c r="L981" s="206">
        <f>SUMIFS(LANÇ_MOV[VALOR LÍQUIDO],LANÇ_MOV[RECEITA OU DESPESA],"Despesa",LANÇ_MOV[CONTAS],$C981,LANÇ_MOV[PLANO DE CONTAS],REL_DRE_FINANCEIRO!$B$957,LANÇ_MOV[ANO PAGAMENTO],$B$4,LANÇ_MOV[MÊS PAGAMENTO CORRESPONDENTE],L$6,LANÇ_MOV[EMPRESA],$C$4,LANÇ_MOV[CENTRO DE CUSTOS],$D$4)</f>
        <v>0</v>
      </c>
      <c r="M981" s="206">
        <f>SUMIFS(LANÇ_MOV[VALOR LÍQUIDO],LANÇ_MOV[RECEITA OU DESPESA],"Despesa",LANÇ_MOV[CONTAS],$C981,LANÇ_MOV[PLANO DE CONTAS],REL_DRE_FINANCEIRO!$B$957,LANÇ_MOV[ANO PAGAMENTO],$B$4,LANÇ_MOV[MÊS PAGAMENTO CORRESPONDENTE],M$6,LANÇ_MOV[EMPRESA],$C$4,LANÇ_MOV[CENTRO DE CUSTOS],$D$4)</f>
        <v>0</v>
      </c>
      <c r="N981" s="206">
        <f>SUMIFS(LANÇ_MOV[VALOR LÍQUIDO],LANÇ_MOV[RECEITA OU DESPESA],"Despesa",LANÇ_MOV[CONTAS],$C981,LANÇ_MOV[PLANO DE CONTAS],REL_DRE_FINANCEIRO!$B$957,LANÇ_MOV[ANO PAGAMENTO],$B$4,LANÇ_MOV[MÊS PAGAMENTO CORRESPONDENTE],N$6,LANÇ_MOV[EMPRESA],$C$4,LANÇ_MOV[CENTRO DE CUSTOS],$D$4)</f>
        <v>0</v>
      </c>
      <c r="O981" s="206">
        <f>SUMIFS(LANÇ_MOV[VALOR LÍQUIDO],LANÇ_MOV[RECEITA OU DESPESA],"Despesa",LANÇ_MOV[CONTAS],$C981,LANÇ_MOV[PLANO DE CONTAS],REL_DRE_FINANCEIRO!$B$957,LANÇ_MOV[ANO PAGAMENTO],$B$4,LANÇ_MOV[MÊS PAGAMENTO CORRESPONDENTE],O$6,LANÇ_MOV[EMPRESA],$C$4,LANÇ_MOV[CENTRO DE CUSTOS],$D$4)</f>
        <v>0</v>
      </c>
      <c r="P981" s="207">
        <f t="shared" si="122"/>
        <v>0</v>
      </c>
      <c r="Q981" s="329">
        <v>7.7000000000000008E-6</v>
      </c>
      <c r="R981" s="346">
        <f t="shared" si="123"/>
        <v>7.7000000000000008E-6</v>
      </c>
      <c r="S981" s="347" t="str">
        <f t="shared" si="124"/>
        <v>PROTESTO</v>
      </c>
      <c r="T981" s="347">
        <f t="shared" si="125"/>
        <v>0</v>
      </c>
      <c r="U981" s="347">
        <f>HLOOKUP(Apoio!$P$12,$D$956:$P$1057,X981,FALSE)+Q981</f>
        <v>7.7000000000000008E-6</v>
      </c>
      <c r="V981" s="447" t="str">
        <f t="shared" si="126"/>
        <v>PROTESTO</v>
      </c>
      <c r="W981" s="448">
        <f>HLOOKUP(Apoio!$P$12,$D$956:$P$1057,X981,FALSE)</f>
        <v>0</v>
      </c>
      <c r="X981" s="329">
        <v>26</v>
      </c>
    </row>
    <row r="982" spans="2:24" ht="30.05" customHeight="1" x14ac:dyDescent="0.35">
      <c r="B982" s="204" t="str">
        <f>'CAD_PL_REC-DESP'!AF29</f>
        <v>2.8.25</v>
      </c>
      <c r="C982" s="205" t="str">
        <f>IF('CAD_PL_REC-DESP'!AG29="","-",'CAD_PL_REC-DESP'!AG29)</f>
        <v>RISCOS AMBIENTAIS - APOSENTADORIA ESPECIAL</v>
      </c>
      <c r="D982" s="206">
        <f>SUMIFS(LANÇ_MOV[VALOR LÍQUIDO],LANÇ_MOV[RECEITA OU DESPESA],"Despesa",LANÇ_MOV[CONTAS],$C982,LANÇ_MOV[PLANO DE CONTAS],REL_DRE_FINANCEIRO!$B$957,LANÇ_MOV[ANO PAGAMENTO],$B$4,LANÇ_MOV[MÊS PAGAMENTO CORRESPONDENTE],D$6,LANÇ_MOV[EMPRESA],$C$4,LANÇ_MOV[CENTRO DE CUSTOS],$D$4)</f>
        <v>0</v>
      </c>
      <c r="E982" s="206">
        <f>SUMIFS(LANÇ_MOV[VALOR LÍQUIDO],LANÇ_MOV[RECEITA OU DESPESA],"Despesa",LANÇ_MOV[CONTAS],$C982,LANÇ_MOV[PLANO DE CONTAS],REL_DRE_FINANCEIRO!$B$957,LANÇ_MOV[ANO PAGAMENTO],$B$4,LANÇ_MOV[MÊS PAGAMENTO CORRESPONDENTE],E$6,LANÇ_MOV[EMPRESA],$C$4,LANÇ_MOV[CENTRO DE CUSTOS],$D$4)</f>
        <v>0</v>
      </c>
      <c r="F982" s="206">
        <f>SUMIFS(LANÇ_MOV[VALOR LÍQUIDO],LANÇ_MOV[RECEITA OU DESPESA],"Despesa",LANÇ_MOV[CONTAS],$C982,LANÇ_MOV[PLANO DE CONTAS],REL_DRE_FINANCEIRO!$B$957,LANÇ_MOV[ANO PAGAMENTO],$B$4,LANÇ_MOV[MÊS PAGAMENTO CORRESPONDENTE],F$6,LANÇ_MOV[EMPRESA],$C$4,LANÇ_MOV[CENTRO DE CUSTOS],$D$4)</f>
        <v>0</v>
      </c>
      <c r="G982" s="206">
        <f>SUMIFS(LANÇ_MOV[VALOR LÍQUIDO],LANÇ_MOV[RECEITA OU DESPESA],"Despesa",LANÇ_MOV[CONTAS],$C982,LANÇ_MOV[PLANO DE CONTAS],REL_DRE_FINANCEIRO!$B$957,LANÇ_MOV[ANO PAGAMENTO],$B$4,LANÇ_MOV[MÊS PAGAMENTO CORRESPONDENTE],G$6,LANÇ_MOV[EMPRESA],$C$4,LANÇ_MOV[CENTRO DE CUSTOS],$D$4)</f>
        <v>0</v>
      </c>
      <c r="H982" s="206">
        <f>SUMIFS(LANÇ_MOV[VALOR LÍQUIDO],LANÇ_MOV[RECEITA OU DESPESA],"Despesa",LANÇ_MOV[CONTAS],$C982,LANÇ_MOV[PLANO DE CONTAS],REL_DRE_FINANCEIRO!$B$957,LANÇ_MOV[ANO PAGAMENTO],$B$4,LANÇ_MOV[MÊS PAGAMENTO CORRESPONDENTE],H$6,LANÇ_MOV[EMPRESA],$C$4,LANÇ_MOV[CENTRO DE CUSTOS],$D$4)</f>
        <v>0</v>
      </c>
      <c r="I982" s="206">
        <f>SUMIFS(LANÇ_MOV[VALOR LÍQUIDO],LANÇ_MOV[RECEITA OU DESPESA],"Despesa",LANÇ_MOV[CONTAS],$C982,LANÇ_MOV[PLANO DE CONTAS],REL_DRE_FINANCEIRO!$B$957,LANÇ_MOV[ANO PAGAMENTO],$B$4,LANÇ_MOV[MÊS PAGAMENTO CORRESPONDENTE],I$6,LANÇ_MOV[EMPRESA],$C$4,LANÇ_MOV[CENTRO DE CUSTOS],$D$4)</f>
        <v>0</v>
      </c>
      <c r="J982" s="206">
        <f>SUMIFS(LANÇ_MOV[VALOR LÍQUIDO],LANÇ_MOV[RECEITA OU DESPESA],"Despesa",LANÇ_MOV[CONTAS],$C982,LANÇ_MOV[PLANO DE CONTAS],REL_DRE_FINANCEIRO!$B$957,LANÇ_MOV[ANO PAGAMENTO],$B$4,LANÇ_MOV[MÊS PAGAMENTO CORRESPONDENTE],J$6,LANÇ_MOV[EMPRESA],$C$4,LANÇ_MOV[CENTRO DE CUSTOS],$D$4)</f>
        <v>0</v>
      </c>
      <c r="K982" s="206">
        <f>SUMIFS(LANÇ_MOV[VALOR LÍQUIDO],LANÇ_MOV[RECEITA OU DESPESA],"Despesa",LANÇ_MOV[CONTAS],$C982,LANÇ_MOV[PLANO DE CONTAS],REL_DRE_FINANCEIRO!$B$957,LANÇ_MOV[ANO PAGAMENTO],$B$4,LANÇ_MOV[MÊS PAGAMENTO CORRESPONDENTE],K$6,LANÇ_MOV[EMPRESA],$C$4,LANÇ_MOV[CENTRO DE CUSTOS],$D$4)</f>
        <v>0</v>
      </c>
      <c r="L982" s="206">
        <f>SUMIFS(LANÇ_MOV[VALOR LÍQUIDO],LANÇ_MOV[RECEITA OU DESPESA],"Despesa",LANÇ_MOV[CONTAS],$C982,LANÇ_MOV[PLANO DE CONTAS],REL_DRE_FINANCEIRO!$B$957,LANÇ_MOV[ANO PAGAMENTO],$B$4,LANÇ_MOV[MÊS PAGAMENTO CORRESPONDENTE],L$6,LANÇ_MOV[EMPRESA],$C$4,LANÇ_MOV[CENTRO DE CUSTOS],$D$4)</f>
        <v>0</v>
      </c>
      <c r="M982" s="206">
        <f>SUMIFS(LANÇ_MOV[VALOR LÍQUIDO],LANÇ_MOV[RECEITA OU DESPESA],"Despesa",LANÇ_MOV[CONTAS],$C982,LANÇ_MOV[PLANO DE CONTAS],REL_DRE_FINANCEIRO!$B$957,LANÇ_MOV[ANO PAGAMENTO],$B$4,LANÇ_MOV[MÊS PAGAMENTO CORRESPONDENTE],M$6,LANÇ_MOV[EMPRESA],$C$4,LANÇ_MOV[CENTRO DE CUSTOS],$D$4)</f>
        <v>0</v>
      </c>
      <c r="N982" s="206">
        <f>SUMIFS(LANÇ_MOV[VALOR LÍQUIDO],LANÇ_MOV[RECEITA OU DESPESA],"Despesa",LANÇ_MOV[CONTAS],$C982,LANÇ_MOV[PLANO DE CONTAS],REL_DRE_FINANCEIRO!$B$957,LANÇ_MOV[ANO PAGAMENTO],$B$4,LANÇ_MOV[MÊS PAGAMENTO CORRESPONDENTE],N$6,LANÇ_MOV[EMPRESA],$C$4,LANÇ_MOV[CENTRO DE CUSTOS],$D$4)</f>
        <v>0</v>
      </c>
      <c r="O982" s="206">
        <f>SUMIFS(LANÇ_MOV[VALOR LÍQUIDO],LANÇ_MOV[RECEITA OU DESPESA],"Despesa",LANÇ_MOV[CONTAS],$C982,LANÇ_MOV[PLANO DE CONTAS],REL_DRE_FINANCEIRO!$B$957,LANÇ_MOV[ANO PAGAMENTO],$B$4,LANÇ_MOV[MÊS PAGAMENTO CORRESPONDENTE],O$6,LANÇ_MOV[EMPRESA],$C$4,LANÇ_MOV[CENTRO DE CUSTOS],$D$4)</f>
        <v>0</v>
      </c>
      <c r="P982" s="207">
        <f t="shared" si="122"/>
        <v>0</v>
      </c>
      <c r="Q982" s="329">
        <v>7.6000000000000001E-6</v>
      </c>
      <c r="R982" s="346">
        <f t="shared" si="123"/>
        <v>7.6000000000000001E-6</v>
      </c>
      <c r="S982" s="347" t="str">
        <f t="shared" si="124"/>
        <v>RISCOS AMBIENTAIS - APOSENTADORIA ESPECIAL</v>
      </c>
      <c r="T982" s="347">
        <f t="shared" si="125"/>
        <v>0</v>
      </c>
      <c r="U982" s="347">
        <f>HLOOKUP(Apoio!$P$12,$D$956:$P$1057,X982,FALSE)+Q982</f>
        <v>7.6000000000000001E-6</v>
      </c>
      <c r="V982" s="447" t="str">
        <f t="shared" si="126"/>
        <v>RISCOS AMBIENTAIS - APOSENTADORIA ESPECIAL</v>
      </c>
      <c r="W982" s="448">
        <f>HLOOKUP(Apoio!$P$12,$D$956:$P$1057,X982,FALSE)</f>
        <v>0</v>
      </c>
      <c r="X982" s="329">
        <v>27</v>
      </c>
    </row>
    <row r="983" spans="2:24" ht="30.05" customHeight="1" x14ac:dyDescent="0.35">
      <c r="B983" s="204" t="str">
        <f>'CAD_PL_REC-DESP'!AF30</f>
        <v>2.8.26</v>
      </c>
      <c r="C983" s="205" t="str">
        <f>IF('CAD_PL_REC-DESP'!AG30="","-",'CAD_PL_REC-DESP'!AG30)</f>
        <v>SPC / SERASA</v>
      </c>
      <c r="D983" s="206">
        <f>SUMIFS(LANÇ_MOV[VALOR LÍQUIDO],LANÇ_MOV[RECEITA OU DESPESA],"Despesa",LANÇ_MOV[CONTAS],$C983,LANÇ_MOV[PLANO DE CONTAS],REL_DRE_FINANCEIRO!$B$957,LANÇ_MOV[ANO PAGAMENTO],$B$4,LANÇ_MOV[MÊS PAGAMENTO CORRESPONDENTE],D$6,LANÇ_MOV[EMPRESA],$C$4,LANÇ_MOV[CENTRO DE CUSTOS],$D$4)</f>
        <v>0</v>
      </c>
      <c r="E983" s="206">
        <f>SUMIFS(LANÇ_MOV[VALOR LÍQUIDO],LANÇ_MOV[RECEITA OU DESPESA],"Despesa",LANÇ_MOV[CONTAS],$C983,LANÇ_MOV[PLANO DE CONTAS],REL_DRE_FINANCEIRO!$B$957,LANÇ_MOV[ANO PAGAMENTO],$B$4,LANÇ_MOV[MÊS PAGAMENTO CORRESPONDENTE],E$6,LANÇ_MOV[EMPRESA],$C$4,LANÇ_MOV[CENTRO DE CUSTOS],$D$4)</f>
        <v>0</v>
      </c>
      <c r="F983" s="206">
        <f>SUMIFS(LANÇ_MOV[VALOR LÍQUIDO],LANÇ_MOV[RECEITA OU DESPESA],"Despesa",LANÇ_MOV[CONTAS],$C983,LANÇ_MOV[PLANO DE CONTAS],REL_DRE_FINANCEIRO!$B$957,LANÇ_MOV[ANO PAGAMENTO],$B$4,LANÇ_MOV[MÊS PAGAMENTO CORRESPONDENTE],F$6,LANÇ_MOV[EMPRESA],$C$4,LANÇ_MOV[CENTRO DE CUSTOS],$D$4)</f>
        <v>0</v>
      </c>
      <c r="G983" s="206">
        <f>SUMIFS(LANÇ_MOV[VALOR LÍQUIDO],LANÇ_MOV[RECEITA OU DESPESA],"Despesa",LANÇ_MOV[CONTAS],$C983,LANÇ_MOV[PLANO DE CONTAS],REL_DRE_FINANCEIRO!$B$957,LANÇ_MOV[ANO PAGAMENTO],$B$4,LANÇ_MOV[MÊS PAGAMENTO CORRESPONDENTE],G$6,LANÇ_MOV[EMPRESA],$C$4,LANÇ_MOV[CENTRO DE CUSTOS],$D$4)</f>
        <v>0</v>
      </c>
      <c r="H983" s="206">
        <f>SUMIFS(LANÇ_MOV[VALOR LÍQUIDO],LANÇ_MOV[RECEITA OU DESPESA],"Despesa",LANÇ_MOV[CONTAS],$C983,LANÇ_MOV[PLANO DE CONTAS],REL_DRE_FINANCEIRO!$B$957,LANÇ_MOV[ANO PAGAMENTO],$B$4,LANÇ_MOV[MÊS PAGAMENTO CORRESPONDENTE],H$6,LANÇ_MOV[EMPRESA],$C$4,LANÇ_MOV[CENTRO DE CUSTOS],$D$4)</f>
        <v>0</v>
      </c>
      <c r="I983" s="206">
        <f>SUMIFS(LANÇ_MOV[VALOR LÍQUIDO],LANÇ_MOV[RECEITA OU DESPESA],"Despesa",LANÇ_MOV[CONTAS],$C983,LANÇ_MOV[PLANO DE CONTAS],REL_DRE_FINANCEIRO!$B$957,LANÇ_MOV[ANO PAGAMENTO],$B$4,LANÇ_MOV[MÊS PAGAMENTO CORRESPONDENTE],I$6,LANÇ_MOV[EMPRESA],$C$4,LANÇ_MOV[CENTRO DE CUSTOS],$D$4)</f>
        <v>0</v>
      </c>
      <c r="J983" s="206">
        <f>SUMIFS(LANÇ_MOV[VALOR LÍQUIDO],LANÇ_MOV[RECEITA OU DESPESA],"Despesa",LANÇ_MOV[CONTAS],$C983,LANÇ_MOV[PLANO DE CONTAS],REL_DRE_FINANCEIRO!$B$957,LANÇ_MOV[ANO PAGAMENTO],$B$4,LANÇ_MOV[MÊS PAGAMENTO CORRESPONDENTE],J$6,LANÇ_MOV[EMPRESA],$C$4,LANÇ_MOV[CENTRO DE CUSTOS],$D$4)</f>
        <v>0</v>
      </c>
      <c r="K983" s="206">
        <f>SUMIFS(LANÇ_MOV[VALOR LÍQUIDO],LANÇ_MOV[RECEITA OU DESPESA],"Despesa",LANÇ_MOV[CONTAS],$C983,LANÇ_MOV[PLANO DE CONTAS],REL_DRE_FINANCEIRO!$B$957,LANÇ_MOV[ANO PAGAMENTO],$B$4,LANÇ_MOV[MÊS PAGAMENTO CORRESPONDENTE],K$6,LANÇ_MOV[EMPRESA],$C$4,LANÇ_MOV[CENTRO DE CUSTOS],$D$4)</f>
        <v>0</v>
      </c>
      <c r="L983" s="206">
        <f>SUMIFS(LANÇ_MOV[VALOR LÍQUIDO],LANÇ_MOV[RECEITA OU DESPESA],"Despesa",LANÇ_MOV[CONTAS],$C983,LANÇ_MOV[PLANO DE CONTAS],REL_DRE_FINANCEIRO!$B$957,LANÇ_MOV[ANO PAGAMENTO],$B$4,LANÇ_MOV[MÊS PAGAMENTO CORRESPONDENTE],L$6,LANÇ_MOV[EMPRESA],$C$4,LANÇ_MOV[CENTRO DE CUSTOS],$D$4)</f>
        <v>0</v>
      </c>
      <c r="M983" s="206">
        <f>SUMIFS(LANÇ_MOV[VALOR LÍQUIDO],LANÇ_MOV[RECEITA OU DESPESA],"Despesa",LANÇ_MOV[CONTAS],$C983,LANÇ_MOV[PLANO DE CONTAS],REL_DRE_FINANCEIRO!$B$957,LANÇ_MOV[ANO PAGAMENTO],$B$4,LANÇ_MOV[MÊS PAGAMENTO CORRESPONDENTE],M$6,LANÇ_MOV[EMPRESA],$C$4,LANÇ_MOV[CENTRO DE CUSTOS],$D$4)</f>
        <v>0</v>
      </c>
      <c r="N983" s="206">
        <f>SUMIFS(LANÇ_MOV[VALOR LÍQUIDO],LANÇ_MOV[RECEITA OU DESPESA],"Despesa",LANÇ_MOV[CONTAS],$C983,LANÇ_MOV[PLANO DE CONTAS],REL_DRE_FINANCEIRO!$B$957,LANÇ_MOV[ANO PAGAMENTO],$B$4,LANÇ_MOV[MÊS PAGAMENTO CORRESPONDENTE],N$6,LANÇ_MOV[EMPRESA],$C$4,LANÇ_MOV[CENTRO DE CUSTOS],$D$4)</f>
        <v>0</v>
      </c>
      <c r="O983" s="206">
        <f>SUMIFS(LANÇ_MOV[VALOR LÍQUIDO],LANÇ_MOV[RECEITA OU DESPESA],"Despesa",LANÇ_MOV[CONTAS],$C983,LANÇ_MOV[PLANO DE CONTAS],REL_DRE_FINANCEIRO!$B$957,LANÇ_MOV[ANO PAGAMENTO],$B$4,LANÇ_MOV[MÊS PAGAMENTO CORRESPONDENTE],O$6,LANÇ_MOV[EMPRESA],$C$4,LANÇ_MOV[CENTRO DE CUSTOS],$D$4)</f>
        <v>0</v>
      </c>
      <c r="P983" s="207">
        <f t="shared" si="122"/>
        <v>0</v>
      </c>
      <c r="Q983" s="329">
        <v>7.5000000000000002E-6</v>
      </c>
      <c r="R983" s="346">
        <f t="shared" si="123"/>
        <v>7.5000000000000002E-6</v>
      </c>
      <c r="S983" s="347" t="str">
        <f t="shared" si="124"/>
        <v>SPC / SERASA</v>
      </c>
      <c r="T983" s="347">
        <f t="shared" si="125"/>
        <v>0</v>
      </c>
      <c r="U983" s="347">
        <f>HLOOKUP(Apoio!$P$12,$D$956:$P$1057,X983,FALSE)+Q983</f>
        <v>7.5000000000000002E-6</v>
      </c>
      <c r="V983" s="447" t="str">
        <f t="shared" si="126"/>
        <v>SPC / SERASA</v>
      </c>
      <c r="W983" s="448">
        <f>HLOOKUP(Apoio!$P$12,$D$956:$P$1057,X983,FALSE)</f>
        <v>0</v>
      </c>
      <c r="X983" s="329">
        <v>28</v>
      </c>
    </row>
    <row r="984" spans="2:24" ht="30.05" customHeight="1" x14ac:dyDescent="0.35">
      <c r="B984" s="204" t="str">
        <f>'CAD_PL_REC-DESP'!AF31</f>
        <v>2.8.27</v>
      </c>
      <c r="C984" s="205" t="str">
        <f>IF('CAD_PL_REC-DESP'!AG31="","-",'CAD_PL_REC-DESP'!AG31)</f>
        <v>TAXA DE LICENÇA PARA FUNCIONAMENTO</v>
      </c>
      <c r="D984" s="206">
        <f>SUMIFS(LANÇ_MOV[VALOR LÍQUIDO],LANÇ_MOV[RECEITA OU DESPESA],"Despesa",LANÇ_MOV[CONTAS],$C984,LANÇ_MOV[PLANO DE CONTAS],REL_DRE_FINANCEIRO!$B$957,LANÇ_MOV[ANO PAGAMENTO],$B$4,LANÇ_MOV[MÊS PAGAMENTO CORRESPONDENTE],D$6,LANÇ_MOV[EMPRESA],$C$4,LANÇ_MOV[CENTRO DE CUSTOS],$D$4)</f>
        <v>0</v>
      </c>
      <c r="E984" s="206">
        <f>SUMIFS(LANÇ_MOV[VALOR LÍQUIDO],LANÇ_MOV[RECEITA OU DESPESA],"Despesa",LANÇ_MOV[CONTAS],$C984,LANÇ_MOV[PLANO DE CONTAS],REL_DRE_FINANCEIRO!$B$957,LANÇ_MOV[ANO PAGAMENTO],$B$4,LANÇ_MOV[MÊS PAGAMENTO CORRESPONDENTE],E$6,LANÇ_MOV[EMPRESA],$C$4,LANÇ_MOV[CENTRO DE CUSTOS],$D$4)</f>
        <v>0</v>
      </c>
      <c r="F984" s="206">
        <f>SUMIFS(LANÇ_MOV[VALOR LÍQUIDO],LANÇ_MOV[RECEITA OU DESPESA],"Despesa",LANÇ_MOV[CONTAS],$C984,LANÇ_MOV[PLANO DE CONTAS],REL_DRE_FINANCEIRO!$B$957,LANÇ_MOV[ANO PAGAMENTO],$B$4,LANÇ_MOV[MÊS PAGAMENTO CORRESPONDENTE],F$6,LANÇ_MOV[EMPRESA],$C$4,LANÇ_MOV[CENTRO DE CUSTOS],$D$4)</f>
        <v>0</v>
      </c>
      <c r="G984" s="206">
        <f>SUMIFS(LANÇ_MOV[VALOR LÍQUIDO],LANÇ_MOV[RECEITA OU DESPESA],"Despesa",LANÇ_MOV[CONTAS],$C984,LANÇ_MOV[PLANO DE CONTAS],REL_DRE_FINANCEIRO!$B$957,LANÇ_MOV[ANO PAGAMENTO],$B$4,LANÇ_MOV[MÊS PAGAMENTO CORRESPONDENTE],G$6,LANÇ_MOV[EMPRESA],$C$4,LANÇ_MOV[CENTRO DE CUSTOS],$D$4)</f>
        <v>0</v>
      </c>
      <c r="H984" s="206">
        <f>SUMIFS(LANÇ_MOV[VALOR LÍQUIDO],LANÇ_MOV[RECEITA OU DESPESA],"Despesa",LANÇ_MOV[CONTAS],$C984,LANÇ_MOV[PLANO DE CONTAS],REL_DRE_FINANCEIRO!$B$957,LANÇ_MOV[ANO PAGAMENTO],$B$4,LANÇ_MOV[MÊS PAGAMENTO CORRESPONDENTE],H$6,LANÇ_MOV[EMPRESA],$C$4,LANÇ_MOV[CENTRO DE CUSTOS],$D$4)</f>
        <v>0</v>
      </c>
      <c r="I984" s="206">
        <f>SUMIFS(LANÇ_MOV[VALOR LÍQUIDO],LANÇ_MOV[RECEITA OU DESPESA],"Despesa",LANÇ_MOV[CONTAS],$C984,LANÇ_MOV[PLANO DE CONTAS],REL_DRE_FINANCEIRO!$B$957,LANÇ_MOV[ANO PAGAMENTO],$B$4,LANÇ_MOV[MÊS PAGAMENTO CORRESPONDENTE],I$6,LANÇ_MOV[EMPRESA],$C$4,LANÇ_MOV[CENTRO DE CUSTOS],$D$4)</f>
        <v>0</v>
      </c>
      <c r="J984" s="206">
        <f>SUMIFS(LANÇ_MOV[VALOR LÍQUIDO],LANÇ_MOV[RECEITA OU DESPESA],"Despesa",LANÇ_MOV[CONTAS],$C984,LANÇ_MOV[PLANO DE CONTAS],REL_DRE_FINANCEIRO!$B$957,LANÇ_MOV[ANO PAGAMENTO],$B$4,LANÇ_MOV[MÊS PAGAMENTO CORRESPONDENTE],J$6,LANÇ_MOV[EMPRESA],$C$4,LANÇ_MOV[CENTRO DE CUSTOS],$D$4)</f>
        <v>0</v>
      </c>
      <c r="K984" s="206">
        <f>SUMIFS(LANÇ_MOV[VALOR LÍQUIDO],LANÇ_MOV[RECEITA OU DESPESA],"Despesa",LANÇ_MOV[CONTAS],$C984,LANÇ_MOV[PLANO DE CONTAS],REL_DRE_FINANCEIRO!$B$957,LANÇ_MOV[ANO PAGAMENTO],$B$4,LANÇ_MOV[MÊS PAGAMENTO CORRESPONDENTE],K$6,LANÇ_MOV[EMPRESA],$C$4,LANÇ_MOV[CENTRO DE CUSTOS],$D$4)</f>
        <v>0</v>
      </c>
      <c r="L984" s="206">
        <f>SUMIFS(LANÇ_MOV[VALOR LÍQUIDO],LANÇ_MOV[RECEITA OU DESPESA],"Despesa",LANÇ_MOV[CONTAS],$C984,LANÇ_MOV[PLANO DE CONTAS],REL_DRE_FINANCEIRO!$B$957,LANÇ_MOV[ANO PAGAMENTO],$B$4,LANÇ_MOV[MÊS PAGAMENTO CORRESPONDENTE],L$6,LANÇ_MOV[EMPRESA],$C$4,LANÇ_MOV[CENTRO DE CUSTOS],$D$4)</f>
        <v>0</v>
      </c>
      <c r="M984" s="206">
        <f>SUMIFS(LANÇ_MOV[VALOR LÍQUIDO],LANÇ_MOV[RECEITA OU DESPESA],"Despesa",LANÇ_MOV[CONTAS],$C984,LANÇ_MOV[PLANO DE CONTAS],REL_DRE_FINANCEIRO!$B$957,LANÇ_MOV[ANO PAGAMENTO],$B$4,LANÇ_MOV[MÊS PAGAMENTO CORRESPONDENTE],M$6,LANÇ_MOV[EMPRESA],$C$4,LANÇ_MOV[CENTRO DE CUSTOS],$D$4)</f>
        <v>0</v>
      </c>
      <c r="N984" s="206">
        <f>SUMIFS(LANÇ_MOV[VALOR LÍQUIDO],LANÇ_MOV[RECEITA OU DESPESA],"Despesa",LANÇ_MOV[CONTAS],$C984,LANÇ_MOV[PLANO DE CONTAS],REL_DRE_FINANCEIRO!$B$957,LANÇ_MOV[ANO PAGAMENTO],$B$4,LANÇ_MOV[MÊS PAGAMENTO CORRESPONDENTE],N$6,LANÇ_MOV[EMPRESA],$C$4,LANÇ_MOV[CENTRO DE CUSTOS],$D$4)</f>
        <v>0</v>
      </c>
      <c r="O984" s="206">
        <f>SUMIFS(LANÇ_MOV[VALOR LÍQUIDO],LANÇ_MOV[RECEITA OU DESPESA],"Despesa",LANÇ_MOV[CONTAS],$C984,LANÇ_MOV[PLANO DE CONTAS],REL_DRE_FINANCEIRO!$B$957,LANÇ_MOV[ANO PAGAMENTO],$B$4,LANÇ_MOV[MÊS PAGAMENTO CORRESPONDENTE],O$6,LANÇ_MOV[EMPRESA],$C$4,LANÇ_MOV[CENTRO DE CUSTOS],$D$4)</f>
        <v>0</v>
      </c>
      <c r="P984" s="207">
        <f t="shared" si="122"/>
        <v>0</v>
      </c>
      <c r="Q984" s="329">
        <v>7.4000000000000003E-6</v>
      </c>
      <c r="R984" s="346">
        <f t="shared" si="123"/>
        <v>7.4000000000000003E-6</v>
      </c>
      <c r="S984" s="347" t="str">
        <f t="shared" si="124"/>
        <v>TAXA DE LICENÇA PARA FUNCIONAMENTO</v>
      </c>
      <c r="T984" s="347">
        <f t="shared" si="125"/>
        <v>0</v>
      </c>
      <c r="U984" s="347">
        <f>HLOOKUP(Apoio!$P$12,$D$956:$P$1057,X984,FALSE)+Q984</f>
        <v>7.4000000000000003E-6</v>
      </c>
      <c r="V984" s="447" t="str">
        <f t="shared" si="126"/>
        <v>TAXA DE LICENÇA PARA FUNCIONAMENTO</v>
      </c>
      <c r="W984" s="448">
        <f>HLOOKUP(Apoio!$P$12,$D$956:$P$1057,X984,FALSE)</f>
        <v>0</v>
      </c>
      <c r="X984" s="329">
        <v>29</v>
      </c>
    </row>
    <row r="985" spans="2:24" ht="30.05" customHeight="1" x14ac:dyDescent="0.35">
      <c r="B985" s="204" t="str">
        <f>'CAD_PL_REC-DESP'!AF32</f>
        <v>2.8.28</v>
      </c>
      <c r="C985" s="205" t="str">
        <f>IF('CAD_PL_REC-DESP'!AG32="","-",'CAD_PL_REC-DESP'!AG32)</f>
        <v>TAXA DE LICENÇA PARA EXPL. DE MEIOS PUBLICITÁRIOS</v>
      </c>
      <c r="D985" s="206">
        <f>SUMIFS(LANÇ_MOV[VALOR LÍQUIDO],LANÇ_MOV[RECEITA OU DESPESA],"Despesa",LANÇ_MOV[CONTAS],$C985,LANÇ_MOV[PLANO DE CONTAS],REL_DRE_FINANCEIRO!$B$957,LANÇ_MOV[ANO PAGAMENTO],$B$4,LANÇ_MOV[MÊS PAGAMENTO CORRESPONDENTE],D$6,LANÇ_MOV[EMPRESA],$C$4,LANÇ_MOV[CENTRO DE CUSTOS],$D$4)</f>
        <v>0</v>
      </c>
      <c r="E985" s="206">
        <f>SUMIFS(LANÇ_MOV[VALOR LÍQUIDO],LANÇ_MOV[RECEITA OU DESPESA],"Despesa",LANÇ_MOV[CONTAS],$C985,LANÇ_MOV[PLANO DE CONTAS],REL_DRE_FINANCEIRO!$B$957,LANÇ_MOV[ANO PAGAMENTO],$B$4,LANÇ_MOV[MÊS PAGAMENTO CORRESPONDENTE],E$6,LANÇ_MOV[EMPRESA],$C$4,LANÇ_MOV[CENTRO DE CUSTOS],$D$4)</f>
        <v>0</v>
      </c>
      <c r="F985" s="206">
        <f>SUMIFS(LANÇ_MOV[VALOR LÍQUIDO],LANÇ_MOV[RECEITA OU DESPESA],"Despesa",LANÇ_MOV[CONTAS],$C985,LANÇ_MOV[PLANO DE CONTAS],REL_DRE_FINANCEIRO!$B$957,LANÇ_MOV[ANO PAGAMENTO],$B$4,LANÇ_MOV[MÊS PAGAMENTO CORRESPONDENTE],F$6,LANÇ_MOV[EMPRESA],$C$4,LANÇ_MOV[CENTRO DE CUSTOS],$D$4)</f>
        <v>0</v>
      </c>
      <c r="G985" s="206">
        <f>SUMIFS(LANÇ_MOV[VALOR LÍQUIDO],LANÇ_MOV[RECEITA OU DESPESA],"Despesa",LANÇ_MOV[CONTAS],$C985,LANÇ_MOV[PLANO DE CONTAS],REL_DRE_FINANCEIRO!$B$957,LANÇ_MOV[ANO PAGAMENTO],$B$4,LANÇ_MOV[MÊS PAGAMENTO CORRESPONDENTE],G$6,LANÇ_MOV[EMPRESA],$C$4,LANÇ_MOV[CENTRO DE CUSTOS],$D$4)</f>
        <v>0</v>
      </c>
      <c r="H985" s="206">
        <f>SUMIFS(LANÇ_MOV[VALOR LÍQUIDO],LANÇ_MOV[RECEITA OU DESPESA],"Despesa",LANÇ_MOV[CONTAS],$C985,LANÇ_MOV[PLANO DE CONTAS],REL_DRE_FINANCEIRO!$B$957,LANÇ_MOV[ANO PAGAMENTO],$B$4,LANÇ_MOV[MÊS PAGAMENTO CORRESPONDENTE],H$6,LANÇ_MOV[EMPRESA],$C$4,LANÇ_MOV[CENTRO DE CUSTOS],$D$4)</f>
        <v>0</v>
      </c>
      <c r="I985" s="206">
        <f>SUMIFS(LANÇ_MOV[VALOR LÍQUIDO],LANÇ_MOV[RECEITA OU DESPESA],"Despesa",LANÇ_MOV[CONTAS],$C985,LANÇ_MOV[PLANO DE CONTAS],REL_DRE_FINANCEIRO!$B$957,LANÇ_MOV[ANO PAGAMENTO],$B$4,LANÇ_MOV[MÊS PAGAMENTO CORRESPONDENTE],I$6,LANÇ_MOV[EMPRESA],$C$4,LANÇ_MOV[CENTRO DE CUSTOS],$D$4)</f>
        <v>0</v>
      </c>
      <c r="J985" s="206">
        <f>SUMIFS(LANÇ_MOV[VALOR LÍQUIDO],LANÇ_MOV[RECEITA OU DESPESA],"Despesa",LANÇ_MOV[CONTAS],$C985,LANÇ_MOV[PLANO DE CONTAS],REL_DRE_FINANCEIRO!$B$957,LANÇ_MOV[ANO PAGAMENTO],$B$4,LANÇ_MOV[MÊS PAGAMENTO CORRESPONDENTE],J$6,LANÇ_MOV[EMPRESA],$C$4,LANÇ_MOV[CENTRO DE CUSTOS],$D$4)</f>
        <v>0</v>
      </c>
      <c r="K985" s="206">
        <f>SUMIFS(LANÇ_MOV[VALOR LÍQUIDO],LANÇ_MOV[RECEITA OU DESPESA],"Despesa",LANÇ_MOV[CONTAS],$C985,LANÇ_MOV[PLANO DE CONTAS],REL_DRE_FINANCEIRO!$B$957,LANÇ_MOV[ANO PAGAMENTO],$B$4,LANÇ_MOV[MÊS PAGAMENTO CORRESPONDENTE],K$6,LANÇ_MOV[EMPRESA],$C$4,LANÇ_MOV[CENTRO DE CUSTOS],$D$4)</f>
        <v>0</v>
      </c>
      <c r="L985" s="206">
        <f>SUMIFS(LANÇ_MOV[VALOR LÍQUIDO],LANÇ_MOV[RECEITA OU DESPESA],"Despesa",LANÇ_MOV[CONTAS],$C985,LANÇ_MOV[PLANO DE CONTAS],REL_DRE_FINANCEIRO!$B$957,LANÇ_MOV[ANO PAGAMENTO],$B$4,LANÇ_MOV[MÊS PAGAMENTO CORRESPONDENTE],L$6,LANÇ_MOV[EMPRESA],$C$4,LANÇ_MOV[CENTRO DE CUSTOS],$D$4)</f>
        <v>0</v>
      </c>
      <c r="M985" s="206">
        <f>SUMIFS(LANÇ_MOV[VALOR LÍQUIDO],LANÇ_MOV[RECEITA OU DESPESA],"Despesa",LANÇ_MOV[CONTAS],$C985,LANÇ_MOV[PLANO DE CONTAS],REL_DRE_FINANCEIRO!$B$957,LANÇ_MOV[ANO PAGAMENTO],$B$4,LANÇ_MOV[MÊS PAGAMENTO CORRESPONDENTE],M$6,LANÇ_MOV[EMPRESA],$C$4,LANÇ_MOV[CENTRO DE CUSTOS],$D$4)</f>
        <v>0</v>
      </c>
      <c r="N985" s="206">
        <f>SUMIFS(LANÇ_MOV[VALOR LÍQUIDO],LANÇ_MOV[RECEITA OU DESPESA],"Despesa",LANÇ_MOV[CONTAS],$C985,LANÇ_MOV[PLANO DE CONTAS],REL_DRE_FINANCEIRO!$B$957,LANÇ_MOV[ANO PAGAMENTO],$B$4,LANÇ_MOV[MÊS PAGAMENTO CORRESPONDENTE],N$6,LANÇ_MOV[EMPRESA],$C$4,LANÇ_MOV[CENTRO DE CUSTOS],$D$4)</f>
        <v>0</v>
      </c>
      <c r="O985" s="206">
        <f>SUMIFS(LANÇ_MOV[VALOR LÍQUIDO],LANÇ_MOV[RECEITA OU DESPESA],"Despesa",LANÇ_MOV[CONTAS],$C985,LANÇ_MOV[PLANO DE CONTAS],REL_DRE_FINANCEIRO!$B$957,LANÇ_MOV[ANO PAGAMENTO],$B$4,LANÇ_MOV[MÊS PAGAMENTO CORRESPONDENTE],O$6,LANÇ_MOV[EMPRESA],$C$4,LANÇ_MOV[CENTRO DE CUSTOS],$D$4)</f>
        <v>0</v>
      </c>
      <c r="P985" s="207">
        <f t="shared" si="122"/>
        <v>0</v>
      </c>
      <c r="Q985" s="329">
        <v>7.3000000000000004E-6</v>
      </c>
      <c r="R985" s="346">
        <f t="shared" si="123"/>
        <v>7.3000000000000004E-6</v>
      </c>
      <c r="S985" s="347" t="str">
        <f t="shared" si="124"/>
        <v>TAXA DE LICENÇA PARA EXPL. DE MEIOS PUBLICITÁRIOS</v>
      </c>
      <c r="T985" s="347">
        <f t="shared" si="125"/>
        <v>0</v>
      </c>
      <c r="U985" s="347">
        <f>HLOOKUP(Apoio!$P$12,$D$956:$P$1057,X985,FALSE)+Q985</f>
        <v>7.3000000000000004E-6</v>
      </c>
      <c r="V985" s="447" t="str">
        <f t="shared" si="126"/>
        <v>TAXA DE LICENÇA PARA EXPL. DE MEIOS PUBLICITÁRIOS</v>
      </c>
      <c r="W985" s="448">
        <f>HLOOKUP(Apoio!$P$12,$D$956:$P$1057,X985,FALSE)</f>
        <v>0</v>
      </c>
      <c r="X985" s="329">
        <v>30</v>
      </c>
    </row>
    <row r="986" spans="2:24" ht="30.05" customHeight="1" x14ac:dyDescent="0.35">
      <c r="B986" s="204" t="str">
        <f>'CAD_PL_REC-DESP'!AF33</f>
        <v>2.8.29</v>
      </c>
      <c r="C986" s="205" t="str">
        <f>IF('CAD_PL_REC-DESP'!AG33="","-",'CAD_PL_REC-DESP'!AG33)</f>
        <v>TAXA DE EXPEDIENTE DE SERVIÇOS DIVERSOS</v>
      </c>
      <c r="D986" s="206">
        <f>SUMIFS(LANÇ_MOV[VALOR LÍQUIDO],LANÇ_MOV[RECEITA OU DESPESA],"Despesa",LANÇ_MOV[CONTAS],$C986,LANÇ_MOV[PLANO DE CONTAS],REL_DRE_FINANCEIRO!$B$957,LANÇ_MOV[ANO PAGAMENTO],$B$4,LANÇ_MOV[MÊS PAGAMENTO CORRESPONDENTE],D$6,LANÇ_MOV[EMPRESA],$C$4,LANÇ_MOV[CENTRO DE CUSTOS],$D$4)</f>
        <v>0</v>
      </c>
      <c r="E986" s="206">
        <f>SUMIFS(LANÇ_MOV[VALOR LÍQUIDO],LANÇ_MOV[RECEITA OU DESPESA],"Despesa",LANÇ_MOV[CONTAS],$C986,LANÇ_MOV[PLANO DE CONTAS],REL_DRE_FINANCEIRO!$B$957,LANÇ_MOV[ANO PAGAMENTO],$B$4,LANÇ_MOV[MÊS PAGAMENTO CORRESPONDENTE],E$6,LANÇ_MOV[EMPRESA],$C$4,LANÇ_MOV[CENTRO DE CUSTOS],$D$4)</f>
        <v>0</v>
      </c>
      <c r="F986" s="206">
        <f>SUMIFS(LANÇ_MOV[VALOR LÍQUIDO],LANÇ_MOV[RECEITA OU DESPESA],"Despesa",LANÇ_MOV[CONTAS],$C986,LANÇ_MOV[PLANO DE CONTAS],REL_DRE_FINANCEIRO!$B$957,LANÇ_MOV[ANO PAGAMENTO],$B$4,LANÇ_MOV[MÊS PAGAMENTO CORRESPONDENTE],F$6,LANÇ_MOV[EMPRESA],$C$4,LANÇ_MOV[CENTRO DE CUSTOS],$D$4)</f>
        <v>0</v>
      </c>
      <c r="G986" s="206">
        <f>SUMIFS(LANÇ_MOV[VALOR LÍQUIDO],LANÇ_MOV[RECEITA OU DESPESA],"Despesa",LANÇ_MOV[CONTAS],$C986,LANÇ_MOV[PLANO DE CONTAS],REL_DRE_FINANCEIRO!$B$957,LANÇ_MOV[ANO PAGAMENTO],$B$4,LANÇ_MOV[MÊS PAGAMENTO CORRESPONDENTE],G$6,LANÇ_MOV[EMPRESA],$C$4,LANÇ_MOV[CENTRO DE CUSTOS],$D$4)</f>
        <v>0</v>
      </c>
      <c r="H986" s="206">
        <f>SUMIFS(LANÇ_MOV[VALOR LÍQUIDO],LANÇ_MOV[RECEITA OU DESPESA],"Despesa",LANÇ_MOV[CONTAS],$C986,LANÇ_MOV[PLANO DE CONTAS],REL_DRE_FINANCEIRO!$B$957,LANÇ_MOV[ANO PAGAMENTO],$B$4,LANÇ_MOV[MÊS PAGAMENTO CORRESPONDENTE],H$6,LANÇ_MOV[EMPRESA],$C$4,LANÇ_MOV[CENTRO DE CUSTOS],$D$4)</f>
        <v>0</v>
      </c>
      <c r="I986" s="206">
        <f>SUMIFS(LANÇ_MOV[VALOR LÍQUIDO],LANÇ_MOV[RECEITA OU DESPESA],"Despesa",LANÇ_MOV[CONTAS],$C986,LANÇ_MOV[PLANO DE CONTAS],REL_DRE_FINANCEIRO!$B$957,LANÇ_MOV[ANO PAGAMENTO],$B$4,LANÇ_MOV[MÊS PAGAMENTO CORRESPONDENTE],I$6,LANÇ_MOV[EMPRESA],$C$4,LANÇ_MOV[CENTRO DE CUSTOS],$D$4)</f>
        <v>0</v>
      </c>
      <c r="J986" s="206">
        <f>SUMIFS(LANÇ_MOV[VALOR LÍQUIDO],LANÇ_MOV[RECEITA OU DESPESA],"Despesa",LANÇ_MOV[CONTAS],$C986,LANÇ_MOV[PLANO DE CONTAS],REL_DRE_FINANCEIRO!$B$957,LANÇ_MOV[ANO PAGAMENTO],$B$4,LANÇ_MOV[MÊS PAGAMENTO CORRESPONDENTE],J$6,LANÇ_MOV[EMPRESA],$C$4,LANÇ_MOV[CENTRO DE CUSTOS],$D$4)</f>
        <v>0</v>
      </c>
      <c r="K986" s="206">
        <f>SUMIFS(LANÇ_MOV[VALOR LÍQUIDO],LANÇ_MOV[RECEITA OU DESPESA],"Despesa",LANÇ_MOV[CONTAS],$C986,LANÇ_MOV[PLANO DE CONTAS],REL_DRE_FINANCEIRO!$B$957,LANÇ_MOV[ANO PAGAMENTO],$B$4,LANÇ_MOV[MÊS PAGAMENTO CORRESPONDENTE],K$6,LANÇ_MOV[EMPRESA],$C$4,LANÇ_MOV[CENTRO DE CUSTOS],$D$4)</f>
        <v>0</v>
      </c>
      <c r="L986" s="206">
        <f>SUMIFS(LANÇ_MOV[VALOR LÍQUIDO],LANÇ_MOV[RECEITA OU DESPESA],"Despesa",LANÇ_MOV[CONTAS],$C986,LANÇ_MOV[PLANO DE CONTAS],REL_DRE_FINANCEIRO!$B$957,LANÇ_MOV[ANO PAGAMENTO],$B$4,LANÇ_MOV[MÊS PAGAMENTO CORRESPONDENTE],L$6,LANÇ_MOV[EMPRESA],$C$4,LANÇ_MOV[CENTRO DE CUSTOS],$D$4)</f>
        <v>0</v>
      </c>
      <c r="M986" s="206">
        <f>SUMIFS(LANÇ_MOV[VALOR LÍQUIDO],LANÇ_MOV[RECEITA OU DESPESA],"Despesa",LANÇ_MOV[CONTAS],$C986,LANÇ_MOV[PLANO DE CONTAS],REL_DRE_FINANCEIRO!$B$957,LANÇ_MOV[ANO PAGAMENTO],$B$4,LANÇ_MOV[MÊS PAGAMENTO CORRESPONDENTE],M$6,LANÇ_MOV[EMPRESA],$C$4,LANÇ_MOV[CENTRO DE CUSTOS],$D$4)</f>
        <v>0</v>
      </c>
      <c r="N986" s="206">
        <f>SUMIFS(LANÇ_MOV[VALOR LÍQUIDO],LANÇ_MOV[RECEITA OU DESPESA],"Despesa",LANÇ_MOV[CONTAS],$C986,LANÇ_MOV[PLANO DE CONTAS],REL_DRE_FINANCEIRO!$B$957,LANÇ_MOV[ANO PAGAMENTO],$B$4,LANÇ_MOV[MÊS PAGAMENTO CORRESPONDENTE],N$6,LANÇ_MOV[EMPRESA],$C$4,LANÇ_MOV[CENTRO DE CUSTOS],$D$4)</f>
        <v>0</v>
      </c>
      <c r="O986" s="206">
        <f>SUMIFS(LANÇ_MOV[VALOR LÍQUIDO],LANÇ_MOV[RECEITA OU DESPESA],"Despesa",LANÇ_MOV[CONTAS],$C986,LANÇ_MOV[PLANO DE CONTAS],REL_DRE_FINANCEIRO!$B$957,LANÇ_MOV[ANO PAGAMENTO],$B$4,LANÇ_MOV[MÊS PAGAMENTO CORRESPONDENTE],O$6,LANÇ_MOV[EMPRESA],$C$4,LANÇ_MOV[CENTRO DE CUSTOS],$D$4)</f>
        <v>0</v>
      </c>
      <c r="P986" s="207">
        <f t="shared" si="122"/>
        <v>0</v>
      </c>
      <c r="Q986" s="329">
        <v>7.1999999999999997E-6</v>
      </c>
      <c r="R986" s="346">
        <f t="shared" si="123"/>
        <v>7.1999999999999997E-6</v>
      </c>
      <c r="S986" s="347" t="str">
        <f t="shared" si="124"/>
        <v>TAXA DE EXPEDIENTE DE SERVIÇOS DIVERSOS</v>
      </c>
      <c r="T986" s="347">
        <f t="shared" si="125"/>
        <v>0</v>
      </c>
      <c r="U986" s="347">
        <f>HLOOKUP(Apoio!$P$12,$D$956:$P$1057,X986,FALSE)+Q986</f>
        <v>7.1999999999999997E-6</v>
      </c>
      <c r="V986" s="447" t="str">
        <f t="shared" si="126"/>
        <v>TAXA DE EXPEDIENTE DE SERVIÇOS DIVERSOS</v>
      </c>
      <c r="W986" s="448">
        <f>HLOOKUP(Apoio!$P$12,$D$956:$P$1057,X986,FALSE)</f>
        <v>0</v>
      </c>
      <c r="X986" s="329">
        <v>31</v>
      </c>
    </row>
    <row r="987" spans="2:24" ht="30.05" customHeight="1" x14ac:dyDescent="0.35">
      <c r="B987" s="204" t="str">
        <f>'CAD_PL_REC-DESP'!AF34</f>
        <v>2.8.30</v>
      </c>
      <c r="C987" s="205" t="str">
        <f>IF('CAD_PL_REC-DESP'!AG34="","-",'CAD_PL_REC-DESP'!AG34)</f>
        <v>MULTA FORMAL</v>
      </c>
      <c r="D987" s="206">
        <f>SUMIFS(LANÇ_MOV[VALOR LÍQUIDO],LANÇ_MOV[RECEITA OU DESPESA],"Despesa",LANÇ_MOV[CONTAS],$C987,LANÇ_MOV[PLANO DE CONTAS],REL_DRE_FINANCEIRO!$B$957,LANÇ_MOV[ANO PAGAMENTO],$B$4,LANÇ_MOV[MÊS PAGAMENTO CORRESPONDENTE],D$6,LANÇ_MOV[EMPRESA],$C$4,LANÇ_MOV[CENTRO DE CUSTOS],$D$4)</f>
        <v>0</v>
      </c>
      <c r="E987" s="206">
        <f>SUMIFS(LANÇ_MOV[VALOR LÍQUIDO],LANÇ_MOV[RECEITA OU DESPESA],"Despesa",LANÇ_MOV[CONTAS],$C987,LANÇ_MOV[PLANO DE CONTAS],REL_DRE_FINANCEIRO!$B$957,LANÇ_MOV[ANO PAGAMENTO],$B$4,LANÇ_MOV[MÊS PAGAMENTO CORRESPONDENTE],E$6,LANÇ_MOV[EMPRESA],$C$4,LANÇ_MOV[CENTRO DE CUSTOS],$D$4)</f>
        <v>0</v>
      </c>
      <c r="F987" s="206">
        <f>SUMIFS(LANÇ_MOV[VALOR LÍQUIDO],LANÇ_MOV[RECEITA OU DESPESA],"Despesa",LANÇ_MOV[CONTAS],$C987,LANÇ_MOV[PLANO DE CONTAS],REL_DRE_FINANCEIRO!$B$957,LANÇ_MOV[ANO PAGAMENTO],$B$4,LANÇ_MOV[MÊS PAGAMENTO CORRESPONDENTE],F$6,LANÇ_MOV[EMPRESA],$C$4,LANÇ_MOV[CENTRO DE CUSTOS],$D$4)</f>
        <v>0</v>
      </c>
      <c r="G987" s="206">
        <f>SUMIFS(LANÇ_MOV[VALOR LÍQUIDO],LANÇ_MOV[RECEITA OU DESPESA],"Despesa",LANÇ_MOV[CONTAS],$C987,LANÇ_MOV[PLANO DE CONTAS],REL_DRE_FINANCEIRO!$B$957,LANÇ_MOV[ANO PAGAMENTO],$B$4,LANÇ_MOV[MÊS PAGAMENTO CORRESPONDENTE],G$6,LANÇ_MOV[EMPRESA],$C$4,LANÇ_MOV[CENTRO DE CUSTOS],$D$4)</f>
        <v>0</v>
      </c>
      <c r="H987" s="206">
        <f>SUMIFS(LANÇ_MOV[VALOR LÍQUIDO],LANÇ_MOV[RECEITA OU DESPESA],"Despesa",LANÇ_MOV[CONTAS],$C987,LANÇ_MOV[PLANO DE CONTAS],REL_DRE_FINANCEIRO!$B$957,LANÇ_MOV[ANO PAGAMENTO],$B$4,LANÇ_MOV[MÊS PAGAMENTO CORRESPONDENTE],H$6,LANÇ_MOV[EMPRESA],$C$4,LANÇ_MOV[CENTRO DE CUSTOS],$D$4)</f>
        <v>0</v>
      </c>
      <c r="I987" s="206">
        <f>SUMIFS(LANÇ_MOV[VALOR LÍQUIDO],LANÇ_MOV[RECEITA OU DESPESA],"Despesa",LANÇ_MOV[CONTAS],$C987,LANÇ_MOV[PLANO DE CONTAS],REL_DRE_FINANCEIRO!$B$957,LANÇ_MOV[ANO PAGAMENTO],$B$4,LANÇ_MOV[MÊS PAGAMENTO CORRESPONDENTE],I$6,LANÇ_MOV[EMPRESA],$C$4,LANÇ_MOV[CENTRO DE CUSTOS],$D$4)</f>
        <v>0</v>
      </c>
      <c r="J987" s="206">
        <f>SUMIFS(LANÇ_MOV[VALOR LÍQUIDO],LANÇ_MOV[RECEITA OU DESPESA],"Despesa",LANÇ_MOV[CONTAS],$C987,LANÇ_MOV[PLANO DE CONTAS],REL_DRE_FINANCEIRO!$B$957,LANÇ_MOV[ANO PAGAMENTO],$B$4,LANÇ_MOV[MÊS PAGAMENTO CORRESPONDENTE],J$6,LANÇ_MOV[EMPRESA],$C$4,LANÇ_MOV[CENTRO DE CUSTOS],$D$4)</f>
        <v>0</v>
      </c>
      <c r="K987" s="206">
        <f>SUMIFS(LANÇ_MOV[VALOR LÍQUIDO],LANÇ_MOV[RECEITA OU DESPESA],"Despesa",LANÇ_MOV[CONTAS],$C987,LANÇ_MOV[PLANO DE CONTAS],REL_DRE_FINANCEIRO!$B$957,LANÇ_MOV[ANO PAGAMENTO],$B$4,LANÇ_MOV[MÊS PAGAMENTO CORRESPONDENTE],K$6,LANÇ_MOV[EMPRESA],$C$4,LANÇ_MOV[CENTRO DE CUSTOS],$D$4)</f>
        <v>0</v>
      </c>
      <c r="L987" s="206">
        <f>SUMIFS(LANÇ_MOV[VALOR LÍQUIDO],LANÇ_MOV[RECEITA OU DESPESA],"Despesa",LANÇ_MOV[CONTAS],$C987,LANÇ_MOV[PLANO DE CONTAS],REL_DRE_FINANCEIRO!$B$957,LANÇ_MOV[ANO PAGAMENTO],$B$4,LANÇ_MOV[MÊS PAGAMENTO CORRESPONDENTE],L$6,LANÇ_MOV[EMPRESA],$C$4,LANÇ_MOV[CENTRO DE CUSTOS],$D$4)</f>
        <v>0</v>
      </c>
      <c r="M987" s="206">
        <f>SUMIFS(LANÇ_MOV[VALOR LÍQUIDO],LANÇ_MOV[RECEITA OU DESPESA],"Despesa",LANÇ_MOV[CONTAS],$C987,LANÇ_MOV[PLANO DE CONTAS],REL_DRE_FINANCEIRO!$B$957,LANÇ_MOV[ANO PAGAMENTO],$B$4,LANÇ_MOV[MÊS PAGAMENTO CORRESPONDENTE],M$6,LANÇ_MOV[EMPRESA],$C$4,LANÇ_MOV[CENTRO DE CUSTOS],$D$4)</f>
        <v>0</v>
      </c>
      <c r="N987" s="206">
        <f>SUMIFS(LANÇ_MOV[VALOR LÍQUIDO],LANÇ_MOV[RECEITA OU DESPESA],"Despesa",LANÇ_MOV[CONTAS],$C987,LANÇ_MOV[PLANO DE CONTAS],REL_DRE_FINANCEIRO!$B$957,LANÇ_MOV[ANO PAGAMENTO],$B$4,LANÇ_MOV[MÊS PAGAMENTO CORRESPONDENTE],N$6,LANÇ_MOV[EMPRESA],$C$4,LANÇ_MOV[CENTRO DE CUSTOS],$D$4)</f>
        <v>0</v>
      </c>
      <c r="O987" s="206">
        <f>SUMIFS(LANÇ_MOV[VALOR LÍQUIDO],LANÇ_MOV[RECEITA OU DESPESA],"Despesa",LANÇ_MOV[CONTAS],$C987,LANÇ_MOV[PLANO DE CONTAS],REL_DRE_FINANCEIRO!$B$957,LANÇ_MOV[ANO PAGAMENTO],$B$4,LANÇ_MOV[MÊS PAGAMENTO CORRESPONDENTE],O$6,LANÇ_MOV[EMPRESA],$C$4,LANÇ_MOV[CENTRO DE CUSTOS],$D$4)</f>
        <v>0</v>
      </c>
      <c r="P987" s="207">
        <f t="shared" si="122"/>
        <v>0</v>
      </c>
      <c r="Q987" s="329">
        <v>7.0999999999999998E-6</v>
      </c>
      <c r="R987" s="346">
        <f t="shared" si="123"/>
        <v>7.0999999999999998E-6</v>
      </c>
      <c r="S987" s="347" t="str">
        <f t="shared" si="124"/>
        <v>MULTA FORMAL</v>
      </c>
      <c r="T987" s="347">
        <f t="shared" si="125"/>
        <v>0</v>
      </c>
      <c r="U987" s="347">
        <f>HLOOKUP(Apoio!$P$12,$D$956:$P$1057,X987,FALSE)+Q987</f>
        <v>7.0999999999999998E-6</v>
      </c>
      <c r="V987" s="447" t="str">
        <f t="shared" si="126"/>
        <v>MULTA FORMAL</v>
      </c>
      <c r="W987" s="448">
        <f>HLOOKUP(Apoio!$P$12,$D$956:$P$1057,X987,FALSE)</f>
        <v>0</v>
      </c>
      <c r="X987" s="329">
        <v>32</v>
      </c>
    </row>
    <row r="988" spans="2:24" ht="30.05" customHeight="1" x14ac:dyDescent="0.35">
      <c r="B988" s="204" t="str">
        <f>'CAD_PL_REC-DESP'!AF35</f>
        <v>2.8.31</v>
      </c>
      <c r="C988" s="205" t="str">
        <f>IF('CAD_PL_REC-DESP'!AG35="","-",'CAD_PL_REC-DESP'!AG35)</f>
        <v>IPTU</v>
      </c>
      <c r="D988" s="206">
        <f>SUMIFS(LANÇ_MOV[VALOR LÍQUIDO],LANÇ_MOV[RECEITA OU DESPESA],"Despesa",LANÇ_MOV[CONTAS],$C988,LANÇ_MOV[PLANO DE CONTAS],REL_DRE_FINANCEIRO!$B$957,LANÇ_MOV[ANO PAGAMENTO],$B$4,LANÇ_MOV[MÊS PAGAMENTO CORRESPONDENTE],D$6,LANÇ_MOV[EMPRESA],$C$4,LANÇ_MOV[CENTRO DE CUSTOS],$D$4)</f>
        <v>0</v>
      </c>
      <c r="E988" s="206">
        <f>SUMIFS(LANÇ_MOV[VALOR LÍQUIDO],LANÇ_MOV[RECEITA OU DESPESA],"Despesa",LANÇ_MOV[CONTAS],$C988,LANÇ_MOV[PLANO DE CONTAS],REL_DRE_FINANCEIRO!$B$957,LANÇ_MOV[ANO PAGAMENTO],$B$4,LANÇ_MOV[MÊS PAGAMENTO CORRESPONDENTE],E$6,LANÇ_MOV[EMPRESA],$C$4,LANÇ_MOV[CENTRO DE CUSTOS],$D$4)</f>
        <v>0</v>
      </c>
      <c r="F988" s="206">
        <f>SUMIFS(LANÇ_MOV[VALOR LÍQUIDO],LANÇ_MOV[RECEITA OU DESPESA],"Despesa",LANÇ_MOV[CONTAS],$C988,LANÇ_MOV[PLANO DE CONTAS],REL_DRE_FINANCEIRO!$B$957,LANÇ_MOV[ANO PAGAMENTO],$B$4,LANÇ_MOV[MÊS PAGAMENTO CORRESPONDENTE],F$6,LANÇ_MOV[EMPRESA],$C$4,LANÇ_MOV[CENTRO DE CUSTOS],$D$4)</f>
        <v>0</v>
      </c>
      <c r="G988" s="206">
        <f>SUMIFS(LANÇ_MOV[VALOR LÍQUIDO],LANÇ_MOV[RECEITA OU DESPESA],"Despesa",LANÇ_MOV[CONTAS],$C988,LANÇ_MOV[PLANO DE CONTAS],REL_DRE_FINANCEIRO!$B$957,LANÇ_MOV[ANO PAGAMENTO],$B$4,LANÇ_MOV[MÊS PAGAMENTO CORRESPONDENTE],G$6,LANÇ_MOV[EMPRESA],$C$4,LANÇ_MOV[CENTRO DE CUSTOS],$D$4)</f>
        <v>0</v>
      </c>
      <c r="H988" s="206">
        <f>SUMIFS(LANÇ_MOV[VALOR LÍQUIDO],LANÇ_MOV[RECEITA OU DESPESA],"Despesa",LANÇ_MOV[CONTAS],$C988,LANÇ_MOV[PLANO DE CONTAS],REL_DRE_FINANCEIRO!$B$957,LANÇ_MOV[ANO PAGAMENTO],$B$4,LANÇ_MOV[MÊS PAGAMENTO CORRESPONDENTE],H$6,LANÇ_MOV[EMPRESA],$C$4,LANÇ_MOV[CENTRO DE CUSTOS],$D$4)</f>
        <v>0</v>
      </c>
      <c r="I988" s="206">
        <f>SUMIFS(LANÇ_MOV[VALOR LÍQUIDO],LANÇ_MOV[RECEITA OU DESPESA],"Despesa",LANÇ_MOV[CONTAS],$C988,LANÇ_MOV[PLANO DE CONTAS],REL_DRE_FINANCEIRO!$B$957,LANÇ_MOV[ANO PAGAMENTO],$B$4,LANÇ_MOV[MÊS PAGAMENTO CORRESPONDENTE],I$6,LANÇ_MOV[EMPRESA],$C$4,LANÇ_MOV[CENTRO DE CUSTOS],$D$4)</f>
        <v>0</v>
      </c>
      <c r="J988" s="206">
        <f>SUMIFS(LANÇ_MOV[VALOR LÍQUIDO],LANÇ_MOV[RECEITA OU DESPESA],"Despesa",LANÇ_MOV[CONTAS],$C988,LANÇ_MOV[PLANO DE CONTAS],REL_DRE_FINANCEIRO!$B$957,LANÇ_MOV[ANO PAGAMENTO],$B$4,LANÇ_MOV[MÊS PAGAMENTO CORRESPONDENTE],J$6,LANÇ_MOV[EMPRESA],$C$4,LANÇ_MOV[CENTRO DE CUSTOS],$D$4)</f>
        <v>0</v>
      </c>
      <c r="K988" s="206">
        <f>SUMIFS(LANÇ_MOV[VALOR LÍQUIDO],LANÇ_MOV[RECEITA OU DESPESA],"Despesa",LANÇ_MOV[CONTAS],$C988,LANÇ_MOV[PLANO DE CONTAS],REL_DRE_FINANCEIRO!$B$957,LANÇ_MOV[ANO PAGAMENTO],$B$4,LANÇ_MOV[MÊS PAGAMENTO CORRESPONDENTE],K$6,LANÇ_MOV[EMPRESA],$C$4,LANÇ_MOV[CENTRO DE CUSTOS],$D$4)</f>
        <v>0</v>
      </c>
      <c r="L988" s="206">
        <f>SUMIFS(LANÇ_MOV[VALOR LÍQUIDO],LANÇ_MOV[RECEITA OU DESPESA],"Despesa",LANÇ_MOV[CONTAS],$C988,LANÇ_MOV[PLANO DE CONTAS],REL_DRE_FINANCEIRO!$B$957,LANÇ_MOV[ANO PAGAMENTO],$B$4,LANÇ_MOV[MÊS PAGAMENTO CORRESPONDENTE],L$6,LANÇ_MOV[EMPRESA],$C$4,LANÇ_MOV[CENTRO DE CUSTOS],$D$4)</f>
        <v>0</v>
      </c>
      <c r="M988" s="206">
        <f>SUMIFS(LANÇ_MOV[VALOR LÍQUIDO],LANÇ_MOV[RECEITA OU DESPESA],"Despesa",LANÇ_MOV[CONTAS],$C988,LANÇ_MOV[PLANO DE CONTAS],REL_DRE_FINANCEIRO!$B$957,LANÇ_MOV[ANO PAGAMENTO],$B$4,LANÇ_MOV[MÊS PAGAMENTO CORRESPONDENTE],M$6,LANÇ_MOV[EMPRESA],$C$4,LANÇ_MOV[CENTRO DE CUSTOS],$D$4)</f>
        <v>0</v>
      </c>
      <c r="N988" s="206">
        <f>SUMIFS(LANÇ_MOV[VALOR LÍQUIDO],LANÇ_MOV[RECEITA OU DESPESA],"Despesa",LANÇ_MOV[CONTAS],$C988,LANÇ_MOV[PLANO DE CONTAS],REL_DRE_FINANCEIRO!$B$957,LANÇ_MOV[ANO PAGAMENTO],$B$4,LANÇ_MOV[MÊS PAGAMENTO CORRESPONDENTE],N$6,LANÇ_MOV[EMPRESA],$C$4,LANÇ_MOV[CENTRO DE CUSTOS],$D$4)</f>
        <v>0</v>
      </c>
      <c r="O988" s="206">
        <f>SUMIFS(LANÇ_MOV[VALOR LÍQUIDO],LANÇ_MOV[RECEITA OU DESPESA],"Despesa",LANÇ_MOV[CONTAS],$C988,LANÇ_MOV[PLANO DE CONTAS],REL_DRE_FINANCEIRO!$B$957,LANÇ_MOV[ANO PAGAMENTO],$B$4,LANÇ_MOV[MÊS PAGAMENTO CORRESPONDENTE],O$6,LANÇ_MOV[EMPRESA],$C$4,LANÇ_MOV[CENTRO DE CUSTOS],$D$4)</f>
        <v>0</v>
      </c>
      <c r="P988" s="207">
        <f t="shared" si="122"/>
        <v>0</v>
      </c>
      <c r="Q988" s="329">
        <v>6.9999999999999999E-6</v>
      </c>
      <c r="R988" s="346">
        <f t="shared" si="123"/>
        <v>6.9999999999999999E-6</v>
      </c>
      <c r="S988" s="347" t="str">
        <f t="shared" si="124"/>
        <v>IPTU</v>
      </c>
      <c r="T988" s="347">
        <f t="shared" si="125"/>
        <v>0</v>
      </c>
      <c r="U988" s="347">
        <f>HLOOKUP(Apoio!$P$12,$D$956:$P$1057,X988,FALSE)+Q988</f>
        <v>6.9999999999999999E-6</v>
      </c>
      <c r="V988" s="447" t="str">
        <f t="shared" si="126"/>
        <v>IPTU</v>
      </c>
      <c r="W988" s="448">
        <f>HLOOKUP(Apoio!$P$12,$D$956:$P$1057,X988,FALSE)</f>
        <v>0</v>
      </c>
      <c r="X988" s="329">
        <v>33</v>
      </c>
    </row>
    <row r="989" spans="2:24" ht="30.05" customHeight="1" x14ac:dyDescent="0.35">
      <c r="B989" s="204" t="str">
        <f>'CAD_PL_REC-DESP'!AF36</f>
        <v>2.8.32</v>
      </c>
      <c r="C989" s="205" t="str">
        <f>IF('CAD_PL_REC-DESP'!AG36="","-",'CAD_PL_REC-DESP'!AG36)</f>
        <v>-</v>
      </c>
      <c r="D989" s="206">
        <f>SUMIFS(LANÇ_MOV[VALOR LÍQUIDO],LANÇ_MOV[RECEITA OU DESPESA],"Despesa",LANÇ_MOV[CONTAS],$C989,LANÇ_MOV[PLANO DE CONTAS],REL_DRE_FINANCEIRO!$B$957,LANÇ_MOV[ANO PAGAMENTO],$B$4,LANÇ_MOV[MÊS PAGAMENTO CORRESPONDENTE],D$6,LANÇ_MOV[EMPRESA],$C$4,LANÇ_MOV[CENTRO DE CUSTOS],$D$4)</f>
        <v>0</v>
      </c>
      <c r="E989" s="206">
        <f>SUMIFS(LANÇ_MOV[VALOR LÍQUIDO],LANÇ_MOV[RECEITA OU DESPESA],"Despesa",LANÇ_MOV[CONTAS],$C989,LANÇ_MOV[PLANO DE CONTAS],REL_DRE_FINANCEIRO!$B$957,LANÇ_MOV[ANO PAGAMENTO],$B$4,LANÇ_MOV[MÊS PAGAMENTO CORRESPONDENTE],E$6,LANÇ_MOV[EMPRESA],$C$4,LANÇ_MOV[CENTRO DE CUSTOS],$D$4)</f>
        <v>0</v>
      </c>
      <c r="F989" s="206">
        <f>SUMIFS(LANÇ_MOV[VALOR LÍQUIDO],LANÇ_MOV[RECEITA OU DESPESA],"Despesa",LANÇ_MOV[CONTAS],$C989,LANÇ_MOV[PLANO DE CONTAS],REL_DRE_FINANCEIRO!$B$957,LANÇ_MOV[ANO PAGAMENTO],$B$4,LANÇ_MOV[MÊS PAGAMENTO CORRESPONDENTE],F$6,LANÇ_MOV[EMPRESA],$C$4,LANÇ_MOV[CENTRO DE CUSTOS],$D$4)</f>
        <v>0</v>
      </c>
      <c r="G989" s="206">
        <f>SUMIFS(LANÇ_MOV[VALOR LÍQUIDO],LANÇ_MOV[RECEITA OU DESPESA],"Despesa",LANÇ_MOV[CONTAS],$C989,LANÇ_MOV[PLANO DE CONTAS],REL_DRE_FINANCEIRO!$B$957,LANÇ_MOV[ANO PAGAMENTO],$B$4,LANÇ_MOV[MÊS PAGAMENTO CORRESPONDENTE],G$6,LANÇ_MOV[EMPRESA],$C$4,LANÇ_MOV[CENTRO DE CUSTOS],$D$4)</f>
        <v>0</v>
      </c>
      <c r="H989" s="206">
        <f>SUMIFS(LANÇ_MOV[VALOR LÍQUIDO],LANÇ_MOV[RECEITA OU DESPESA],"Despesa",LANÇ_MOV[CONTAS],$C989,LANÇ_MOV[PLANO DE CONTAS],REL_DRE_FINANCEIRO!$B$957,LANÇ_MOV[ANO PAGAMENTO],$B$4,LANÇ_MOV[MÊS PAGAMENTO CORRESPONDENTE],H$6,LANÇ_MOV[EMPRESA],$C$4,LANÇ_MOV[CENTRO DE CUSTOS],$D$4)</f>
        <v>0</v>
      </c>
      <c r="I989" s="206">
        <f>SUMIFS(LANÇ_MOV[VALOR LÍQUIDO],LANÇ_MOV[RECEITA OU DESPESA],"Despesa",LANÇ_MOV[CONTAS],$C989,LANÇ_MOV[PLANO DE CONTAS],REL_DRE_FINANCEIRO!$B$957,LANÇ_MOV[ANO PAGAMENTO],$B$4,LANÇ_MOV[MÊS PAGAMENTO CORRESPONDENTE],I$6,LANÇ_MOV[EMPRESA],$C$4,LANÇ_MOV[CENTRO DE CUSTOS],$D$4)</f>
        <v>0</v>
      </c>
      <c r="J989" s="206">
        <f>SUMIFS(LANÇ_MOV[VALOR LÍQUIDO],LANÇ_MOV[RECEITA OU DESPESA],"Despesa",LANÇ_MOV[CONTAS],$C989,LANÇ_MOV[PLANO DE CONTAS],REL_DRE_FINANCEIRO!$B$957,LANÇ_MOV[ANO PAGAMENTO],$B$4,LANÇ_MOV[MÊS PAGAMENTO CORRESPONDENTE],J$6,LANÇ_MOV[EMPRESA],$C$4,LANÇ_MOV[CENTRO DE CUSTOS],$D$4)</f>
        <v>0</v>
      </c>
      <c r="K989" s="206">
        <f>SUMIFS(LANÇ_MOV[VALOR LÍQUIDO],LANÇ_MOV[RECEITA OU DESPESA],"Despesa",LANÇ_MOV[CONTAS],$C989,LANÇ_MOV[PLANO DE CONTAS],REL_DRE_FINANCEIRO!$B$957,LANÇ_MOV[ANO PAGAMENTO],$B$4,LANÇ_MOV[MÊS PAGAMENTO CORRESPONDENTE],K$6,LANÇ_MOV[EMPRESA],$C$4,LANÇ_MOV[CENTRO DE CUSTOS],$D$4)</f>
        <v>0</v>
      </c>
      <c r="L989" s="206">
        <f>SUMIFS(LANÇ_MOV[VALOR LÍQUIDO],LANÇ_MOV[RECEITA OU DESPESA],"Despesa",LANÇ_MOV[CONTAS],$C989,LANÇ_MOV[PLANO DE CONTAS],REL_DRE_FINANCEIRO!$B$957,LANÇ_MOV[ANO PAGAMENTO],$B$4,LANÇ_MOV[MÊS PAGAMENTO CORRESPONDENTE],L$6,LANÇ_MOV[EMPRESA],$C$4,LANÇ_MOV[CENTRO DE CUSTOS],$D$4)</f>
        <v>0</v>
      </c>
      <c r="M989" s="206">
        <f>SUMIFS(LANÇ_MOV[VALOR LÍQUIDO],LANÇ_MOV[RECEITA OU DESPESA],"Despesa",LANÇ_MOV[CONTAS],$C989,LANÇ_MOV[PLANO DE CONTAS],REL_DRE_FINANCEIRO!$B$957,LANÇ_MOV[ANO PAGAMENTO],$B$4,LANÇ_MOV[MÊS PAGAMENTO CORRESPONDENTE],M$6,LANÇ_MOV[EMPRESA],$C$4,LANÇ_MOV[CENTRO DE CUSTOS],$D$4)</f>
        <v>0</v>
      </c>
      <c r="N989" s="206">
        <f>SUMIFS(LANÇ_MOV[VALOR LÍQUIDO],LANÇ_MOV[RECEITA OU DESPESA],"Despesa",LANÇ_MOV[CONTAS],$C989,LANÇ_MOV[PLANO DE CONTAS],REL_DRE_FINANCEIRO!$B$957,LANÇ_MOV[ANO PAGAMENTO],$B$4,LANÇ_MOV[MÊS PAGAMENTO CORRESPONDENTE],N$6,LANÇ_MOV[EMPRESA],$C$4,LANÇ_MOV[CENTRO DE CUSTOS],$D$4)</f>
        <v>0</v>
      </c>
      <c r="O989" s="206">
        <f>SUMIFS(LANÇ_MOV[VALOR LÍQUIDO],LANÇ_MOV[RECEITA OU DESPESA],"Despesa",LANÇ_MOV[CONTAS],$C989,LANÇ_MOV[PLANO DE CONTAS],REL_DRE_FINANCEIRO!$B$957,LANÇ_MOV[ANO PAGAMENTO],$B$4,LANÇ_MOV[MÊS PAGAMENTO CORRESPONDENTE],O$6,LANÇ_MOV[EMPRESA],$C$4,LANÇ_MOV[CENTRO DE CUSTOS],$D$4)</f>
        <v>0</v>
      </c>
      <c r="P989" s="207">
        <f t="shared" si="122"/>
        <v>0</v>
      </c>
      <c r="Q989" s="329">
        <v>6.9E-6</v>
      </c>
      <c r="R989" s="346">
        <f t="shared" si="123"/>
        <v>6.9E-6</v>
      </c>
      <c r="S989" s="347" t="str">
        <f t="shared" si="124"/>
        <v>-</v>
      </c>
      <c r="T989" s="347">
        <f t="shared" si="125"/>
        <v>0</v>
      </c>
      <c r="U989" s="347">
        <f>HLOOKUP(Apoio!$P$12,$D$956:$P$1057,X989,FALSE)+Q989</f>
        <v>6.9E-6</v>
      </c>
      <c r="V989" s="447" t="str">
        <f t="shared" si="126"/>
        <v>-</v>
      </c>
      <c r="W989" s="448">
        <f>HLOOKUP(Apoio!$P$12,$D$956:$P$1057,X989,FALSE)</f>
        <v>0</v>
      </c>
      <c r="X989" s="329">
        <v>34</v>
      </c>
    </row>
    <row r="990" spans="2:24" ht="30.05" customHeight="1" x14ac:dyDescent="0.35">
      <c r="B990" s="204" t="str">
        <f>'CAD_PL_REC-DESP'!AF37</f>
        <v>2.8.33</v>
      </c>
      <c r="C990" s="205" t="str">
        <f>IF('CAD_PL_REC-DESP'!AG37="","-",'CAD_PL_REC-DESP'!AG37)</f>
        <v>-</v>
      </c>
      <c r="D990" s="206">
        <f>SUMIFS(LANÇ_MOV[VALOR LÍQUIDO],LANÇ_MOV[RECEITA OU DESPESA],"Despesa",LANÇ_MOV[CONTAS],$C990,LANÇ_MOV[PLANO DE CONTAS],REL_DRE_FINANCEIRO!$B$957,LANÇ_MOV[ANO PAGAMENTO],$B$4,LANÇ_MOV[MÊS PAGAMENTO CORRESPONDENTE],D$6,LANÇ_MOV[EMPRESA],$C$4,LANÇ_MOV[CENTRO DE CUSTOS],$D$4)</f>
        <v>0</v>
      </c>
      <c r="E990" s="206">
        <f>SUMIFS(LANÇ_MOV[VALOR LÍQUIDO],LANÇ_MOV[RECEITA OU DESPESA],"Despesa",LANÇ_MOV[CONTAS],$C990,LANÇ_MOV[PLANO DE CONTAS],REL_DRE_FINANCEIRO!$B$957,LANÇ_MOV[ANO PAGAMENTO],$B$4,LANÇ_MOV[MÊS PAGAMENTO CORRESPONDENTE],E$6,LANÇ_MOV[EMPRESA],$C$4,LANÇ_MOV[CENTRO DE CUSTOS],$D$4)</f>
        <v>0</v>
      </c>
      <c r="F990" s="206">
        <f>SUMIFS(LANÇ_MOV[VALOR LÍQUIDO],LANÇ_MOV[RECEITA OU DESPESA],"Despesa",LANÇ_MOV[CONTAS],$C990,LANÇ_MOV[PLANO DE CONTAS],REL_DRE_FINANCEIRO!$B$957,LANÇ_MOV[ANO PAGAMENTO],$B$4,LANÇ_MOV[MÊS PAGAMENTO CORRESPONDENTE],F$6,LANÇ_MOV[EMPRESA],$C$4,LANÇ_MOV[CENTRO DE CUSTOS],$D$4)</f>
        <v>0</v>
      </c>
      <c r="G990" s="206">
        <f>SUMIFS(LANÇ_MOV[VALOR LÍQUIDO],LANÇ_MOV[RECEITA OU DESPESA],"Despesa",LANÇ_MOV[CONTAS],$C990,LANÇ_MOV[PLANO DE CONTAS],REL_DRE_FINANCEIRO!$B$957,LANÇ_MOV[ANO PAGAMENTO],$B$4,LANÇ_MOV[MÊS PAGAMENTO CORRESPONDENTE],G$6,LANÇ_MOV[EMPRESA],$C$4,LANÇ_MOV[CENTRO DE CUSTOS],$D$4)</f>
        <v>0</v>
      </c>
      <c r="H990" s="206">
        <f>SUMIFS(LANÇ_MOV[VALOR LÍQUIDO],LANÇ_MOV[RECEITA OU DESPESA],"Despesa",LANÇ_MOV[CONTAS],$C990,LANÇ_MOV[PLANO DE CONTAS],REL_DRE_FINANCEIRO!$B$957,LANÇ_MOV[ANO PAGAMENTO],$B$4,LANÇ_MOV[MÊS PAGAMENTO CORRESPONDENTE],H$6,LANÇ_MOV[EMPRESA],$C$4,LANÇ_MOV[CENTRO DE CUSTOS],$D$4)</f>
        <v>0</v>
      </c>
      <c r="I990" s="206">
        <f>SUMIFS(LANÇ_MOV[VALOR LÍQUIDO],LANÇ_MOV[RECEITA OU DESPESA],"Despesa",LANÇ_MOV[CONTAS],$C990,LANÇ_MOV[PLANO DE CONTAS],REL_DRE_FINANCEIRO!$B$957,LANÇ_MOV[ANO PAGAMENTO],$B$4,LANÇ_MOV[MÊS PAGAMENTO CORRESPONDENTE],I$6,LANÇ_MOV[EMPRESA],$C$4,LANÇ_MOV[CENTRO DE CUSTOS],$D$4)</f>
        <v>0</v>
      </c>
      <c r="J990" s="206">
        <f>SUMIFS(LANÇ_MOV[VALOR LÍQUIDO],LANÇ_MOV[RECEITA OU DESPESA],"Despesa",LANÇ_MOV[CONTAS],$C990,LANÇ_MOV[PLANO DE CONTAS],REL_DRE_FINANCEIRO!$B$957,LANÇ_MOV[ANO PAGAMENTO],$B$4,LANÇ_MOV[MÊS PAGAMENTO CORRESPONDENTE],J$6,LANÇ_MOV[EMPRESA],$C$4,LANÇ_MOV[CENTRO DE CUSTOS],$D$4)</f>
        <v>0</v>
      </c>
      <c r="K990" s="206">
        <f>SUMIFS(LANÇ_MOV[VALOR LÍQUIDO],LANÇ_MOV[RECEITA OU DESPESA],"Despesa",LANÇ_MOV[CONTAS],$C990,LANÇ_MOV[PLANO DE CONTAS],REL_DRE_FINANCEIRO!$B$957,LANÇ_MOV[ANO PAGAMENTO],$B$4,LANÇ_MOV[MÊS PAGAMENTO CORRESPONDENTE],K$6,LANÇ_MOV[EMPRESA],$C$4,LANÇ_MOV[CENTRO DE CUSTOS],$D$4)</f>
        <v>0</v>
      </c>
      <c r="L990" s="206">
        <f>SUMIFS(LANÇ_MOV[VALOR LÍQUIDO],LANÇ_MOV[RECEITA OU DESPESA],"Despesa",LANÇ_MOV[CONTAS],$C990,LANÇ_MOV[PLANO DE CONTAS],REL_DRE_FINANCEIRO!$B$957,LANÇ_MOV[ANO PAGAMENTO],$B$4,LANÇ_MOV[MÊS PAGAMENTO CORRESPONDENTE],L$6,LANÇ_MOV[EMPRESA],$C$4,LANÇ_MOV[CENTRO DE CUSTOS],$D$4)</f>
        <v>0</v>
      </c>
      <c r="M990" s="206">
        <f>SUMIFS(LANÇ_MOV[VALOR LÍQUIDO],LANÇ_MOV[RECEITA OU DESPESA],"Despesa",LANÇ_MOV[CONTAS],$C990,LANÇ_MOV[PLANO DE CONTAS],REL_DRE_FINANCEIRO!$B$957,LANÇ_MOV[ANO PAGAMENTO],$B$4,LANÇ_MOV[MÊS PAGAMENTO CORRESPONDENTE],M$6,LANÇ_MOV[EMPRESA],$C$4,LANÇ_MOV[CENTRO DE CUSTOS],$D$4)</f>
        <v>0</v>
      </c>
      <c r="N990" s="206">
        <f>SUMIFS(LANÇ_MOV[VALOR LÍQUIDO],LANÇ_MOV[RECEITA OU DESPESA],"Despesa",LANÇ_MOV[CONTAS],$C990,LANÇ_MOV[PLANO DE CONTAS],REL_DRE_FINANCEIRO!$B$957,LANÇ_MOV[ANO PAGAMENTO],$B$4,LANÇ_MOV[MÊS PAGAMENTO CORRESPONDENTE],N$6,LANÇ_MOV[EMPRESA],$C$4,LANÇ_MOV[CENTRO DE CUSTOS],$D$4)</f>
        <v>0</v>
      </c>
      <c r="O990" s="206">
        <f>SUMIFS(LANÇ_MOV[VALOR LÍQUIDO],LANÇ_MOV[RECEITA OU DESPESA],"Despesa",LANÇ_MOV[CONTAS],$C990,LANÇ_MOV[PLANO DE CONTAS],REL_DRE_FINANCEIRO!$B$957,LANÇ_MOV[ANO PAGAMENTO],$B$4,LANÇ_MOV[MÊS PAGAMENTO CORRESPONDENTE],O$6,LANÇ_MOV[EMPRESA],$C$4,LANÇ_MOV[CENTRO DE CUSTOS],$D$4)</f>
        <v>0</v>
      </c>
      <c r="P990" s="207">
        <f t="shared" si="122"/>
        <v>0</v>
      </c>
      <c r="Q990" s="329">
        <v>6.8000000000000001E-6</v>
      </c>
      <c r="R990" s="346">
        <f t="shared" si="123"/>
        <v>6.8000000000000001E-6</v>
      </c>
      <c r="S990" s="347" t="str">
        <f t="shared" si="124"/>
        <v>-</v>
      </c>
      <c r="T990" s="347">
        <f t="shared" si="125"/>
        <v>0</v>
      </c>
      <c r="U990" s="347">
        <f>HLOOKUP(Apoio!$P$12,$D$956:$P$1057,X990,FALSE)+Q990</f>
        <v>6.8000000000000001E-6</v>
      </c>
      <c r="V990" s="447" t="str">
        <f t="shared" si="126"/>
        <v>-</v>
      </c>
      <c r="W990" s="448">
        <f>HLOOKUP(Apoio!$P$12,$D$956:$P$1057,X990,FALSE)</f>
        <v>0</v>
      </c>
      <c r="X990" s="329">
        <v>35</v>
      </c>
    </row>
    <row r="991" spans="2:24" ht="30.05" customHeight="1" x14ac:dyDescent="0.35">
      <c r="B991" s="204" t="str">
        <f>'CAD_PL_REC-DESP'!AF38</f>
        <v>2.8.34</v>
      </c>
      <c r="C991" s="205" t="str">
        <f>IF('CAD_PL_REC-DESP'!AG38="","-",'CAD_PL_REC-DESP'!AG38)</f>
        <v>-</v>
      </c>
      <c r="D991" s="206">
        <f>SUMIFS(LANÇ_MOV[VALOR LÍQUIDO],LANÇ_MOV[RECEITA OU DESPESA],"Despesa",LANÇ_MOV[CONTAS],$C991,LANÇ_MOV[PLANO DE CONTAS],REL_DRE_FINANCEIRO!$B$957,LANÇ_MOV[ANO PAGAMENTO],$B$4,LANÇ_MOV[MÊS PAGAMENTO CORRESPONDENTE],D$6,LANÇ_MOV[EMPRESA],$C$4,LANÇ_MOV[CENTRO DE CUSTOS],$D$4)</f>
        <v>0</v>
      </c>
      <c r="E991" s="206">
        <f>SUMIFS(LANÇ_MOV[VALOR LÍQUIDO],LANÇ_MOV[RECEITA OU DESPESA],"Despesa",LANÇ_MOV[CONTAS],$C991,LANÇ_MOV[PLANO DE CONTAS],REL_DRE_FINANCEIRO!$B$957,LANÇ_MOV[ANO PAGAMENTO],$B$4,LANÇ_MOV[MÊS PAGAMENTO CORRESPONDENTE],E$6,LANÇ_MOV[EMPRESA],$C$4,LANÇ_MOV[CENTRO DE CUSTOS],$D$4)</f>
        <v>0</v>
      </c>
      <c r="F991" s="206">
        <f>SUMIFS(LANÇ_MOV[VALOR LÍQUIDO],LANÇ_MOV[RECEITA OU DESPESA],"Despesa",LANÇ_MOV[CONTAS],$C991,LANÇ_MOV[PLANO DE CONTAS],REL_DRE_FINANCEIRO!$B$957,LANÇ_MOV[ANO PAGAMENTO],$B$4,LANÇ_MOV[MÊS PAGAMENTO CORRESPONDENTE],F$6,LANÇ_MOV[EMPRESA],$C$4,LANÇ_MOV[CENTRO DE CUSTOS],$D$4)</f>
        <v>0</v>
      </c>
      <c r="G991" s="206">
        <f>SUMIFS(LANÇ_MOV[VALOR LÍQUIDO],LANÇ_MOV[RECEITA OU DESPESA],"Despesa",LANÇ_MOV[CONTAS],$C991,LANÇ_MOV[PLANO DE CONTAS],REL_DRE_FINANCEIRO!$B$957,LANÇ_MOV[ANO PAGAMENTO],$B$4,LANÇ_MOV[MÊS PAGAMENTO CORRESPONDENTE],G$6,LANÇ_MOV[EMPRESA],$C$4,LANÇ_MOV[CENTRO DE CUSTOS],$D$4)</f>
        <v>0</v>
      </c>
      <c r="H991" s="206">
        <f>SUMIFS(LANÇ_MOV[VALOR LÍQUIDO],LANÇ_MOV[RECEITA OU DESPESA],"Despesa",LANÇ_MOV[CONTAS],$C991,LANÇ_MOV[PLANO DE CONTAS],REL_DRE_FINANCEIRO!$B$957,LANÇ_MOV[ANO PAGAMENTO],$B$4,LANÇ_MOV[MÊS PAGAMENTO CORRESPONDENTE],H$6,LANÇ_MOV[EMPRESA],$C$4,LANÇ_MOV[CENTRO DE CUSTOS],$D$4)</f>
        <v>0</v>
      </c>
      <c r="I991" s="206">
        <f>SUMIFS(LANÇ_MOV[VALOR LÍQUIDO],LANÇ_MOV[RECEITA OU DESPESA],"Despesa",LANÇ_MOV[CONTAS],$C991,LANÇ_MOV[PLANO DE CONTAS],REL_DRE_FINANCEIRO!$B$957,LANÇ_MOV[ANO PAGAMENTO],$B$4,LANÇ_MOV[MÊS PAGAMENTO CORRESPONDENTE],I$6,LANÇ_MOV[EMPRESA],$C$4,LANÇ_MOV[CENTRO DE CUSTOS],$D$4)</f>
        <v>0</v>
      </c>
      <c r="J991" s="206">
        <f>SUMIFS(LANÇ_MOV[VALOR LÍQUIDO],LANÇ_MOV[RECEITA OU DESPESA],"Despesa",LANÇ_MOV[CONTAS],$C991,LANÇ_MOV[PLANO DE CONTAS],REL_DRE_FINANCEIRO!$B$957,LANÇ_MOV[ANO PAGAMENTO],$B$4,LANÇ_MOV[MÊS PAGAMENTO CORRESPONDENTE],J$6,LANÇ_MOV[EMPRESA],$C$4,LANÇ_MOV[CENTRO DE CUSTOS],$D$4)</f>
        <v>0</v>
      </c>
      <c r="K991" s="206">
        <f>SUMIFS(LANÇ_MOV[VALOR LÍQUIDO],LANÇ_MOV[RECEITA OU DESPESA],"Despesa",LANÇ_MOV[CONTAS],$C991,LANÇ_MOV[PLANO DE CONTAS],REL_DRE_FINANCEIRO!$B$957,LANÇ_MOV[ANO PAGAMENTO],$B$4,LANÇ_MOV[MÊS PAGAMENTO CORRESPONDENTE],K$6,LANÇ_MOV[EMPRESA],$C$4,LANÇ_MOV[CENTRO DE CUSTOS],$D$4)</f>
        <v>0</v>
      </c>
      <c r="L991" s="206">
        <f>SUMIFS(LANÇ_MOV[VALOR LÍQUIDO],LANÇ_MOV[RECEITA OU DESPESA],"Despesa",LANÇ_MOV[CONTAS],$C991,LANÇ_MOV[PLANO DE CONTAS],REL_DRE_FINANCEIRO!$B$957,LANÇ_MOV[ANO PAGAMENTO],$B$4,LANÇ_MOV[MÊS PAGAMENTO CORRESPONDENTE],L$6,LANÇ_MOV[EMPRESA],$C$4,LANÇ_MOV[CENTRO DE CUSTOS],$D$4)</f>
        <v>0</v>
      </c>
      <c r="M991" s="206">
        <f>SUMIFS(LANÇ_MOV[VALOR LÍQUIDO],LANÇ_MOV[RECEITA OU DESPESA],"Despesa",LANÇ_MOV[CONTAS],$C991,LANÇ_MOV[PLANO DE CONTAS],REL_DRE_FINANCEIRO!$B$957,LANÇ_MOV[ANO PAGAMENTO],$B$4,LANÇ_MOV[MÊS PAGAMENTO CORRESPONDENTE],M$6,LANÇ_MOV[EMPRESA],$C$4,LANÇ_MOV[CENTRO DE CUSTOS],$D$4)</f>
        <v>0</v>
      </c>
      <c r="N991" s="206">
        <f>SUMIFS(LANÇ_MOV[VALOR LÍQUIDO],LANÇ_MOV[RECEITA OU DESPESA],"Despesa",LANÇ_MOV[CONTAS],$C991,LANÇ_MOV[PLANO DE CONTAS],REL_DRE_FINANCEIRO!$B$957,LANÇ_MOV[ANO PAGAMENTO],$B$4,LANÇ_MOV[MÊS PAGAMENTO CORRESPONDENTE],N$6,LANÇ_MOV[EMPRESA],$C$4,LANÇ_MOV[CENTRO DE CUSTOS],$D$4)</f>
        <v>0</v>
      </c>
      <c r="O991" s="206">
        <f>SUMIFS(LANÇ_MOV[VALOR LÍQUIDO],LANÇ_MOV[RECEITA OU DESPESA],"Despesa",LANÇ_MOV[CONTAS],$C991,LANÇ_MOV[PLANO DE CONTAS],REL_DRE_FINANCEIRO!$B$957,LANÇ_MOV[ANO PAGAMENTO],$B$4,LANÇ_MOV[MÊS PAGAMENTO CORRESPONDENTE],O$6,LANÇ_MOV[EMPRESA],$C$4,LANÇ_MOV[CENTRO DE CUSTOS],$D$4)</f>
        <v>0</v>
      </c>
      <c r="P991" s="207">
        <f t="shared" si="122"/>
        <v>0</v>
      </c>
      <c r="Q991" s="329">
        <v>6.7000000000000002E-6</v>
      </c>
      <c r="R991" s="346">
        <f t="shared" si="123"/>
        <v>6.7000000000000002E-6</v>
      </c>
      <c r="S991" s="347" t="str">
        <f t="shared" si="124"/>
        <v>-</v>
      </c>
      <c r="T991" s="347">
        <f t="shared" si="125"/>
        <v>0</v>
      </c>
      <c r="U991" s="347">
        <f>HLOOKUP(Apoio!$P$12,$D$956:$P$1057,X991,FALSE)+Q991</f>
        <v>6.7000000000000002E-6</v>
      </c>
      <c r="V991" s="447" t="str">
        <f t="shared" si="126"/>
        <v>-</v>
      </c>
      <c r="W991" s="448">
        <f>HLOOKUP(Apoio!$P$12,$D$956:$P$1057,X991,FALSE)</f>
        <v>0</v>
      </c>
      <c r="X991" s="329">
        <v>36</v>
      </c>
    </row>
    <row r="992" spans="2:24" ht="30.05" customHeight="1" x14ac:dyDescent="0.35">
      <c r="B992" s="204" t="str">
        <f>'CAD_PL_REC-DESP'!AF39</f>
        <v>2.8.35</v>
      </c>
      <c r="C992" s="205" t="str">
        <f>IF('CAD_PL_REC-DESP'!AG39="","-",'CAD_PL_REC-DESP'!AG39)</f>
        <v>-</v>
      </c>
      <c r="D992" s="206">
        <f>SUMIFS(LANÇ_MOV[VALOR LÍQUIDO],LANÇ_MOV[RECEITA OU DESPESA],"Despesa",LANÇ_MOV[CONTAS],$C992,LANÇ_MOV[PLANO DE CONTAS],REL_DRE_FINANCEIRO!$B$957,LANÇ_MOV[ANO PAGAMENTO],$B$4,LANÇ_MOV[MÊS PAGAMENTO CORRESPONDENTE],D$6,LANÇ_MOV[EMPRESA],$C$4,LANÇ_MOV[CENTRO DE CUSTOS],$D$4)</f>
        <v>0</v>
      </c>
      <c r="E992" s="206">
        <f>SUMIFS(LANÇ_MOV[VALOR LÍQUIDO],LANÇ_MOV[RECEITA OU DESPESA],"Despesa",LANÇ_MOV[CONTAS],$C992,LANÇ_MOV[PLANO DE CONTAS],REL_DRE_FINANCEIRO!$B$957,LANÇ_MOV[ANO PAGAMENTO],$B$4,LANÇ_MOV[MÊS PAGAMENTO CORRESPONDENTE],E$6,LANÇ_MOV[EMPRESA],$C$4,LANÇ_MOV[CENTRO DE CUSTOS],$D$4)</f>
        <v>0</v>
      </c>
      <c r="F992" s="206">
        <f>SUMIFS(LANÇ_MOV[VALOR LÍQUIDO],LANÇ_MOV[RECEITA OU DESPESA],"Despesa",LANÇ_MOV[CONTAS],$C992,LANÇ_MOV[PLANO DE CONTAS],REL_DRE_FINANCEIRO!$B$957,LANÇ_MOV[ANO PAGAMENTO],$B$4,LANÇ_MOV[MÊS PAGAMENTO CORRESPONDENTE],F$6,LANÇ_MOV[EMPRESA],$C$4,LANÇ_MOV[CENTRO DE CUSTOS],$D$4)</f>
        <v>0</v>
      </c>
      <c r="G992" s="206">
        <f>SUMIFS(LANÇ_MOV[VALOR LÍQUIDO],LANÇ_MOV[RECEITA OU DESPESA],"Despesa",LANÇ_MOV[CONTAS],$C992,LANÇ_MOV[PLANO DE CONTAS],REL_DRE_FINANCEIRO!$B$957,LANÇ_MOV[ANO PAGAMENTO],$B$4,LANÇ_MOV[MÊS PAGAMENTO CORRESPONDENTE],G$6,LANÇ_MOV[EMPRESA],$C$4,LANÇ_MOV[CENTRO DE CUSTOS],$D$4)</f>
        <v>0</v>
      </c>
      <c r="H992" s="206">
        <f>SUMIFS(LANÇ_MOV[VALOR LÍQUIDO],LANÇ_MOV[RECEITA OU DESPESA],"Despesa",LANÇ_MOV[CONTAS],$C992,LANÇ_MOV[PLANO DE CONTAS],REL_DRE_FINANCEIRO!$B$957,LANÇ_MOV[ANO PAGAMENTO],$B$4,LANÇ_MOV[MÊS PAGAMENTO CORRESPONDENTE],H$6,LANÇ_MOV[EMPRESA],$C$4,LANÇ_MOV[CENTRO DE CUSTOS],$D$4)</f>
        <v>0</v>
      </c>
      <c r="I992" s="206">
        <f>SUMIFS(LANÇ_MOV[VALOR LÍQUIDO],LANÇ_MOV[RECEITA OU DESPESA],"Despesa",LANÇ_MOV[CONTAS],$C992,LANÇ_MOV[PLANO DE CONTAS],REL_DRE_FINANCEIRO!$B$957,LANÇ_MOV[ANO PAGAMENTO],$B$4,LANÇ_MOV[MÊS PAGAMENTO CORRESPONDENTE],I$6,LANÇ_MOV[EMPRESA],$C$4,LANÇ_MOV[CENTRO DE CUSTOS],$D$4)</f>
        <v>0</v>
      </c>
      <c r="J992" s="206">
        <f>SUMIFS(LANÇ_MOV[VALOR LÍQUIDO],LANÇ_MOV[RECEITA OU DESPESA],"Despesa",LANÇ_MOV[CONTAS],$C992,LANÇ_MOV[PLANO DE CONTAS],REL_DRE_FINANCEIRO!$B$957,LANÇ_MOV[ANO PAGAMENTO],$B$4,LANÇ_MOV[MÊS PAGAMENTO CORRESPONDENTE],J$6,LANÇ_MOV[EMPRESA],$C$4,LANÇ_MOV[CENTRO DE CUSTOS],$D$4)</f>
        <v>0</v>
      </c>
      <c r="K992" s="206">
        <f>SUMIFS(LANÇ_MOV[VALOR LÍQUIDO],LANÇ_MOV[RECEITA OU DESPESA],"Despesa",LANÇ_MOV[CONTAS],$C992,LANÇ_MOV[PLANO DE CONTAS],REL_DRE_FINANCEIRO!$B$957,LANÇ_MOV[ANO PAGAMENTO],$B$4,LANÇ_MOV[MÊS PAGAMENTO CORRESPONDENTE],K$6,LANÇ_MOV[EMPRESA],$C$4,LANÇ_MOV[CENTRO DE CUSTOS],$D$4)</f>
        <v>0</v>
      </c>
      <c r="L992" s="206">
        <f>SUMIFS(LANÇ_MOV[VALOR LÍQUIDO],LANÇ_MOV[RECEITA OU DESPESA],"Despesa",LANÇ_MOV[CONTAS],$C992,LANÇ_MOV[PLANO DE CONTAS],REL_DRE_FINANCEIRO!$B$957,LANÇ_MOV[ANO PAGAMENTO],$B$4,LANÇ_MOV[MÊS PAGAMENTO CORRESPONDENTE],L$6,LANÇ_MOV[EMPRESA],$C$4,LANÇ_MOV[CENTRO DE CUSTOS],$D$4)</f>
        <v>0</v>
      </c>
      <c r="M992" s="206">
        <f>SUMIFS(LANÇ_MOV[VALOR LÍQUIDO],LANÇ_MOV[RECEITA OU DESPESA],"Despesa",LANÇ_MOV[CONTAS],$C992,LANÇ_MOV[PLANO DE CONTAS],REL_DRE_FINANCEIRO!$B$957,LANÇ_MOV[ANO PAGAMENTO],$B$4,LANÇ_MOV[MÊS PAGAMENTO CORRESPONDENTE],M$6,LANÇ_MOV[EMPRESA],$C$4,LANÇ_MOV[CENTRO DE CUSTOS],$D$4)</f>
        <v>0</v>
      </c>
      <c r="N992" s="206">
        <f>SUMIFS(LANÇ_MOV[VALOR LÍQUIDO],LANÇ_MOV[RECEITA OU DESPESA],"Despesa",LANÇ_MOV[CONTAS],$C992,LANÇ_MOV[PLANO DE CONTAS],REL_DRE_FINANCEIRO!$B$957,LANÇ_MOV[ANO PAGAMENTO],$B$4,LANÇ_MOV[MÊS PAGAMENTO CORRESPONDENTE],N$6,LANÇ_MOV[EMPRESA],$C$4,LANÇ_MOV[CENTRO DE CUSTOS],$D$4)</f>
        <v>0</v>
      </c>
      <c r="O992" s="206">
        <f>SUMIFS(LANÇ_MOV[VALOR LÍQUIDO],LANÇ_MOV[RECEITA OU DESPESA],"Despesa",LANÇ_MOV[CONTAS],$C992,LANÇ_MOV[PLANO DE CONTAS],REL_DRE_FINANCEIRO!$B$957,LANÇ_MOV[ANO PAGAMENTO],$B$4,LANÇ_MOV[MÊS PAGAMENTO CORRESPONDENTE],O$6,LANÇ_MOV[EMPRESA],$C$4,LANÇ_MOV[CENTRO DE CUSTOS],$D$4)</f>
        <v>0</v>
      </c>
      <c r="P992" s="207">
        <f t="shared" si="122"/>
        <v>0</v>
      </c>
      <c r="Q992" s="329">
        <v>6.6000000000000003E-6</v>
      </c>
      <c r="R992" s="346">
        <f t="shared" si="123"/>
        <v>6.6000000000000003E-6</v>
      </c>
      <c r="S992" s="347" t="str">
        <f t="shared" si="124"/>
        <v>-</v>
      </c>
      <c r="T992" s="347">
        <f t="shared" si="125"/>
        <v>0</v>
      </c>
      <c r="U992" s="347">
        <f>HLOOKUP(Apoio!$P$12,$D$956:$P$1057,X992,FALSE)+Q992</f>
        <v>6.6000000000000003E-6</v>
      </c>
      <c r="V992" s="447" t="str">
        <f t="shared" si="126"/>
        <v>-</v>
      </c>
      <c r="W992" s="448">
        <f>HLOOKUP(Apoio!$P$12,$D$956:$P$1057,X992,FALSE)</f>
        <v>0</v>
      </c>
      <c r="X992" s="329">
        <v>37</v>
      </c>
    </row>
    <row r="993" spans="2:24" ht="30.05" customHeight="1" x14ac:dyDescent="0.35">
      <c r="B993" s="204" t="str">
        <f>'CAD_PL_REC-DESP'!AF40</f>
        <v>2.8.36</v>
      </c>
      <c r="C993" s="205" t="str">
        <f>IF('CAD_PL_REC-DESP'!AG40="","-",'CAD_PL_REC-DESP'!AG40)</f>
        <v>-</v>
      </c>
      <c r="D993" s="206">
        <f>SUMIFS(LANÇ_MOV[VALOR LÍQUIDO],LANÇ_MOV[RECEITA OU DESPESA],"Despesa",LANÇ_MOV[CONTAS],$C993,LANÇ_MOV[PLANO DE CONTAS],REL_DRE_FINANCEIRO!$B$957,LANÇ_MOV[ANO PAGAMENTO],$B$4,LANÇ_MOV[MÊS PAGAMENTO CORRESPONDENTE],D$6,LANÇ_MOV[EMPRESA],$C$4,LANÇ_MOV[CENTRO DE CUSTOS],$D$4)</f>
        <v>0</v>
      </c>
      <c r="E993" s="206">
        <f>SUMIFS(LANÇ_MOV[VALOR LÍQUIDO],LANÇ_MOV[RECEITA OU DESPESA],"Despesa",LANÇ_MOV[CONTAS],$C993,LANÇ_MOV[PLANO DE CONTAS],REL_DRE_FINANCEIRO!$B$957,LANÇ_MOV[ANO PAGAMENTO],$B$4,LANÇ_MOV[MÊS PAGAMENTO CORRESPONDENTE],E$6,LANÇ_MOV[EMPRESA],$C$4,LANÇ_MOV[CENTRO DE CUSTOS],$D$4)</f>
        <v>0</v>
      </c>
      <c r="F993" s="206">
        <f>SUMIFS(LANÇ_MOV[VALOR LÍQUIDO],LANÇ_MOV[RECEITA OU DESPESA],"Despesa",LANÇ_MOV[CONTAS],$C993,LANÇ_MOV[PLANO DE CONTAS],REL_DRE_FINANCEIRO!$B$957,LANÇ_MOV[ANO PAGAMENTO],$B$4,LANÇ_MOV[MÊS PAGAMENTO CORRESPONDENTE],F$6,LANÇ_MOV[EMPRESA],$C$4,LANÇ_MOV[CENTRO DE CUSTOS],$D$4)</f>
        <v>0</v>
      </c>
      <c r="G993" s="206">
        <f>SUMIFS(LANÇ_MOV[VALOR LÍQUIDO],LANÇ_MOV[RECEITA OU DESPESA],"Despesa",LANÇ_MOV[CONTAS],$C993,LANÇ_MOV[PLANO DE CONTAS],REL_DRE_FINANCEIRO!$B$957,LANÇ_MOV[ANO PAGAMENTO],$B$4,LANÇ_MOV[MÊS PAGAMENTO CORRESPONDENTE],G$6,LANÇ_MOV[EMPRESA],$C$4,LANÇ_MOV[CENTRO DE CUSTOS],$D$4)</f>
        <v>0</v>
      </c>
      <c r="H993" s="206">
        <f>SUMIFS(LANÇ_MOV[VALOR LÍQUIDO],LANÇ_MOV[RECEITA OU DESPESA],"Despesa",LANÇ_MOV[CONTAS],$C993,LANÇ_MOV[PLANO DE CONTAS],REL_DRE_FINANCEIRO!$B$957,LANÇ_MOV[ANO PAGAMENTO],$B$4,LANÇ_MOV[MÊS PAGAMENTO CORRESPONDENTE],H$6,LANÇ_MOV[EMPRESA],$C$4,LANÇ_MOV[CENTRO DE CUSTOS],$D$4)</f>
        <v>0</v>
      </c>
      <c r="I993" s="206">
        <f>SUMIFS(LANÇ_MOV[VALOR LÍQUIDO],LANÇ_MOV[RECEITA OU DESPESA],"Despesa",LANÇ_MOV[CONTAS],$C993,LANÇ_MOV[PLANO DE CONTAS],REL_DRE_FINANCEIRO!$B$957,LANÇ_MOV[ANO PAGAMENTO],$B$4,LANÇ_MOV[MÊS PAGAMENTO CORRESPONDENTE],I$6,LANÇ_MOV[EMPRESA],$C$4,LANÇ_MOV[CENTRO DE CUSTOS],$D$4)</f>
        <v>0</v>
      </c>
      <c r="J993" s="206">
        <f>SUMIFS(LANÇ_MOV[VALOR LÍQUIDO],LANÇ_MOV[RECEITA OU DESPESA],"Despesa",LANÇ_MOV[CONTAS],$C993,LANÇ_MOV[PLANO DE CONTAS],REL_DRE_FINANCEIRO!$B$957,LANÇ_MOV[ANO PAGAMENTO],$B$4,LANÇ_MOV[MÊS PAGAMENTO CORRESPONDENTE],J$6,LANÇ_MOV[EMPRESA],$C$4,LANÇ_MOV[CENTRO DE CUSTOS],$D$4)</f>
        <v>0</v>
      </c>
      <c r="K993" s="206">
        <f>SUMIFS(LANÇ_MOV[VALOR LÍQUIDO],LANÇ_MOV[RECEITA OU DESPESA],"Despesa",LANÇ_MOV[CONTAS],$C993,LANÇ_MOV[PLANO DE CONTAS],REL_DRE_FINANCEIRO!$B$957,LANÇ_MOV[ANO PAGAMENTO],$B$4,LANÇ_MOV[MÊS PAGAMENTO CORRESPONDENTE],K$6,LANÇ_MOV[EMPRESA],$C$4,LANÇ_MOV[CENTRO DE CUSTOS],$D$4)</f>
        <v>0</v>
      </c>
      <c r="L993" s="206">
        <f>SUMIFS(LANÇ_MOV[VALOR LÍQUIDO],LANÇ_MOV[RECEITA OU DESPESA],"Despesa",LANÇ_MOV[CONTAS],$C993,LANÇ_MOV[PLANO DE CONTAS],REL_DRE_FINANCEIRO!$B$957,LANÇ_MOV[ANO PAGAMENTO],$B$4,LANÇ_MOV[MÊS PAGAMENTO CORRESPONDENTE],L$6,LANÇ_MOV[EMPRESA],$C$4,LANÇ_MOV[CENTRO DE CUSTOS],$D$4)</f>
        <v>0</v>
      </c>
      <c r="M993" s="206">
        <f>SUMIFS(LANÇ_MOV[VALOR LÍQUIDO],LANÇ_MOV[RECEITA OU DESPESA],"Despesa",LANÇ_MOV[CONTAS],$C993,LANÇ_MOV[PLANO DE CONTAS],REL_DRE_FINANCEIRO!$B$957,LANÇ_MOV[ANO PAGAMENTO],$B$4,LANÇ_MOV[MÊS PAGAMENTO CORRESPONDENTE],M$6,LANÇ_MOV[EMPRESA],$C$4,LANÇ_MOV[CENTRO DE CUSTOS],$D$4)</f>
        <v>0</v>
      </c>
      <c r="N993" s="206">
        <f>SUMIFS(LANÇ_MOV[VALOR LÍQUIDO],LANÇ_MOV[RECEITA OU DESPESA],"Despesa",LANÇ_MOV[CONTAS],$C993,LANÇ_MOV[PLANO DE CONTAS],REL_DRE_FINANCEIRO!$B$957,LANÇ_MOV[ANO PAGAMENTO],$B$4,LANÇ_MOV[MÊS PAGAMENTO CORRESPONDENTE],N$6,LANÇ_MOV[EMPRESA],$C$4,LANÇ_MOV[CENTRO DE CUSTOS],$D$4)</f>
        <v>0</v>
      </c>
      <c r="O993" s="206">
        <f>SUMIFS(LANÇ_MOV[VALOR LÍQUIDO],LANÇ_MOV[RECEITA OU DESPESA],"Despesa",LANÇ_MOV[CONTAS],$C993,LANÇ_MOV[PLANO DE CONTAS],REL_DRE_FINANCEIRO!$B$957,LANÇ_MOV[ANO PAGAMENTO],$B$4,LANÇ_MOV[MÊS PAGAMENTO CORRESPONDENTE],O$6,LANÇ_MOV[EMPRESA],$C$4,LANÇ_MOV[CENTRO DE CUSTOS],$D$4)</f>
        <v>0</v>
      </c>
      <c r="P993" s="207">
        <f t="shared" si="122"/>
        <v>0</v>
      </c>
      <c r="Q993" s="329">
        <v>6.4999999999999996E-6</v>
      </c>
      <c r="R993" s="346">
        <f t="shared" si="123"/>
        <v>6.4999999999999996E-6</v>
      </c>
      <c r="S993" s="347" t="str">
        <f t="shared" si="124"/>
        <v>-</v>
      </c>
      <c r="T993" s="347">
        <f t="shared" si="125"/>
        <v>0</v>
      </c>
      <c r="U993" s="347">
        <f>HLOOKUP(Apoio!$P$12,$D$956:$P$1057,X993,FALSE)+Q993</f>
        <v>6.4999999999999996E-6</v>
      </c>
      <c r="V993" s="447" t="str">
        <f t="shared" si="126"/>
        <v>-</v>
      </c>
      <c r="W993" s="448">
        <f>HLOOKUP(Apoio!$P$12,$D$956:$P$1057,X993,FALSE)</f>
        <v>0</v>
      </c>
      <c r="X993" s="329">
        <v>38</v>
      </c>
    </row>
    <row r="994" spans="2:24" ht="30.05" customHeight="1" x14ac:dyDescent="0.35">
      <c r="B994" s="204" t="str">
        <f>'CAD_PL_REC-DESP'!AF41</f>
        <v>2.8.37</v>
      </c>
      <c r="C994" s="205" t="str">
        <f>IF('CAD_PL_REC-DESP'!AG41="","-",'CAD_PL_REC-DESP'!AG41)</f>
        <v>-</v>
      </c>
      <c r="D994" s="206">
        <f>SUMIFS(LANÇ_MOV[VALOR LÍQUIDO],LANÇ_MOV[RECEITA OU DESPESA],"Despesa",LANÇ_MOV[CONTAS],$C994,LANÇ_MOV[PLANO DE CONTAS],REL_DRE_FINANCEIRO!$B$957,LANÇ_MOV[ANO PAGAMENTO],$B$4,LANÇ_MOV[MÊS PAGAMENTO CORRESPONDENTE],D$6,LANÇ_MOV[EMPRESA],$C$4,LANÇ_MOV[CENTRO DE CUSTOS],$D$4)</f>
        <v>0</v>
      </c>
      <c r="E994" s="206">
        <f>SUMIFS(LANÇ_MOV[VALOR LÍQUIDO],LANÇ_MOV[RECEITA OU DESPESA],"Despesa",LANÇ_MOV[CONTAS],$C994,LANÇ_MOV[PLANO DE CONTAS],REL_DRE_FINANCEIRO!$B$957,LANÇ_MOV[ANO PAGAMENTO],$B$4,LANÇ_MOV[MÊS PAGAMENTO CORRESPONDENTE],E$6,LANÇ_MOV[EMPRESA],$C$4,LANÇ_MOV[CENTRO DE CUSTOS],$D$4)</f>
        <v>0</v>
      </c>
      <c r="F994" s="206">
        <f>SUMIFS(LANÇ_MOV[VALOR LÍQUIDO],LANÇ_MOV[RECEITA OU DESPESA],"Despesa",LANÇ_MOV[CONTAS],$C994,LANÇ_MOV[PLANO DE CONTAS],REL_DRE_FINANCEIRO!$B$957,LANÇ_MOV[ANO PAGAMENTO],$B$4,LANÇ_MOV[MÊS PAGAMENTO CORRESPONDENTE],F$6,LANÇ_MOV[EMPRESA],$C$4,LANÇ_MOV[CENTRO DE CUSTOS],$D$4)</f>
        <v>0</v>
      </c>
      <c r="G994" s="206">
        <f>SUMIFS(LANÇ_MOV[VALOR LÍQUIDO],LANÇ_MOV[RECEITA OU DESPESA],"Despesa",LANÇ_MOV[CONTAS],$C994,LANÇ_MOV[PLANO DE CONTAS],REL_DRE_FINANCEIRO!$B$957,LANÇ_MOV[ANO PAGAMENTO],$B$4,LANÇ_MOV[MÊS PAGAMENTO CORRESPONDENTE],G$6,LANÇ_MOV[EMPRESA],$C$4,LANÇ_MOV[CENTRO DE CUSTOS],$D$4)</f>
        <v>0</v>
      </c>
      <c r="H994" s="206">
        <f>SUMIFS(LANÇ_MOV[VALOR LÍQUIDO],LANÇ_MOV[RECEITA OU DESPESA],"Despesa",LANÇ_MOV[CONTAS],$C994,LANÇ_MOV[PLANO DE CONTAS],REL_DRE_FINANCEIRO!$B$957,LANÇ_MOV[ANO PAGAMENTO],$B$4,LANÇ_MOV[MÊS PAGAMENTO CORRESPONDENTE],H$6,LANÇ_MOV[EMPRESA],$C$4,LANÇ_MOV[CENTRO DE CUSTOS],$D$4)</f>
        <v>0</v>
      </c>
      <c r="I994" s="206">
        <f>SUMIFS(LANÇ_MOV[VALOR LÍQUIDO],LANÇ_MOV[RECEITA OU DESPESA],"Despesa",LANÇ_MOV[CONTAS],$C994,LANÇ_MOV[PLANO DE CONTAS],REL_DRE_FINANCEIRO!$B$957,LANÇ_MOV[ANO PAGAMENTO],$B$4,LANÇ_MOV[MÊS PAGAMENTO CORRESPONDENTE],I$6,LANÇ_MOV[EMPRESA],$C$4,LANÇ_MOV[CENTRO DE CUSTOS],$D$4)</f>
        <v>0</v>
      </c>
      <c r="J994" s="206">
        <f>SUMIFS(LANÇ_MOV[VALOR LÍQUIDO],LANÇ_MOV[RECEITA OU DESPESA],"Despesa",LANÇ_MOV[CONTAS],$C994,LANÇ_MOV[PLANO DE CONTAS],REL_DRE_FINANCEIRO!$B$957,LANÇ_MOV[ANO PAGAMENTO],$B$4,LANÇ_MOV[MÊS PAGAMENTO CORRESPONDENTE],J$6,LANÇ_MOV[EMPRESA],$C$4,LANÇ_MOV[CENTRO DE CUSTOS],$D$4)</f>
        <v>0</v>
      </c>
      <c r="K994" s="206">
        <f>SUMIFS(LANÇ_MOV[VALOR LÍQUIDO],LANÇ_MOV[RECEITA OU DESPESA],"Despesa",LANÇ_MOV[CONTAS],$C994,LANÇ_MOV[PLANO DE CONTAS],REL_DRE_FINANCEIRO!$B$957,LANÇ_MOV[ANO PAGAMENTO],$B$4,LANÇ_MOV[MÊS PAGAMENTO CORRESPONDENTE],K$6,LANÇ_MOV[EMPRESA],$C$4,LANÇ_MOV[CENTRO DE CUSTOS],$D$4)</f>
        <v>0</v>
      </c>
      <c r="L994" s="206">
        <f>SUMIFS(LANÇ_MOV[VALOR LÍQUIDO],LANÇ_MOV[RECEITA OU DESPESA],"Despesa",LANÇ_MOV[CONTAS],$C994,LANÇ_MOV[PLANO DE CONTAS],REL_DRE_FINANCEIRO!$B$957,LANÇ_MOV[ANO PAGAMENTO],$B$4,LANÇ_MOV[MÊS PAGAMENTO CORRESPONDENTE],L$6,LANÇ_MOV[EMPRESA],$C$4,LANÇ_MOV[CENTRO DE CUSTOS],$D$4)</f>
        <v>0</v>
      </c>
      <c r="M994" s="206">
        <f>SUMIFS(LANÇ_MOV[VALOR LÍQUIDO],LANÇ_MOV[RECEITA OU DESPESA],"Despesa",LANÇ_MOV[CONTAS],$C994,LANÇ_MOV[PLANO DE CONTAS],REL_DRE_FINANCEIRO!$B$957,LANÇ_MOV[ANO PAGAMENTO],$B$4,LANÇ_MOV[MÊS PAGAMENTO CORRESPONDENTE],M$6,LANÇ_MOV[EMPRESA],$C$4,LANÇ_MOV[CENTRO DE CUSTOS],$D$4)</f>
        <v>0</v>
      </c>
      <c r="N994" s="206">
        <f>SUMIFS(LANÇ_MOV[VALOR LÍQUIDO],LANÇ_MOV[RECEITA OU DESPESA],"Despesa",LANÇ_MOV[CONTAS],$C994,LANÇ_MOV[PLANO DE CONTAS],REL_DRE_FINANCEIRO!$B$957,LANÇ_MOV[ANO PAGAMENTO],$B$4,LANÇ_MOV[MÊS PAGAMENTO CORRESPONDENTE],N$6,LANÇ_MOV[EMPRESA],$C$4,LANÇ_MOV[CENTRO DE CUSTOS],$D$4)</f>
        <v>0</v>
      </c>
      <c r="O994" s="206">
        <f>SUMIFS(LANÇ_MOV[VALOR LÍQUIDO],LANÇ_MOV[RECEITA OU DESPESA],"Despesa",LANÇ_MOV[CONTAS],$C994,LANÇ_MOV[PLANO DE CONTAS],REL_DRE_FINANCEIRO!$B$957,LANÇ_MOV[ANO PAGAMENTO],$B$4,LANÇ_MOV[MÊS PAGAMENTO CORRESPONDENTE],O$6,LANÇ_MOV[EMPRESA],$C$4,LANÇ_MOV[CENTRO DE CUSTOS],$D$4)</f>
        <v>0</v>
      </c>
      <c r="P994" s="207">
        <f t="shared" si="122"/>
        <v>0</v>
      </c>
      <c r="Q994" s="329">
        <v>6.3999999999999997E-6</v>
      </c>
      <c r="R994" s="346">
        <f t="shared" si="123"/>
        <v>6.3999999999999997E-6</v>
      </c>
      <c r="S994" s="347" t="str">
        <f t="shared" si="124"/>
        <v>-</v>
      </c>
      <c r="T994" s="347">
        <f t="shared" si="125"/>
        <v>0</v>
      </c>
      <c r="U994" s="347">
        <f>HLOOKUP(Apoio!$P$12,$D$956:$P$1057,X994,FALSE)+Q994</f>
        <v>6.3999999999999997E-6</v>
      </c>
      <c r="V994" s="447" t="str">
        <f t="shared" si="126"/>
        <v>-</v>
      </c>
      <c r="W994" s="448">
        <f>HLOOKUP(Apoio!$P$12,$D$956:$P$1057,X994,FALSE)</f>
        <v>0</v>
      </c>
      <c r="X994" s="329">
        <v>39</v>
      </c>
    </row>
    <row r="995" spans="2:24" ht="30.05" customHeight="1" x14ac:dyDescent="0.35">
      <c r="B995" s="204" t="str">
        <f>'CAD_PL_REC-DESP'!AF42</f>
        <v>2.8.38</v>
      </c>
      <c r="C995" s="205" t="str">
        <f>IF('CAD_PL_REC-DESP'!AG42="","-",'CAD_PL_REC-DESP'!AG42)</f>
        <v>-</v>
      </c>
      <c r="D995" s="206">
        <f>SUMIFS(LANÇ_MOV[VALOR LÍQUIDO],LANÇ_MOV[RECEITA OU DESPESA],"Despesa",LANÇ_MOV[CONTAS],$C995,LANÇ_MOV[PLANO DE CONTAS],REL_DRE_FINANCEIRO!$B$957,LANÇ_MOV[ANO PAGAMENTO],$B$4,LANÇ_MOV[MÊS PAGAMENTO CORRESPONDENTE],D$6,LANÇ_MOV[EMPRESA],$C$4,LANÇ_MOV[CENTRO DE CUSTOS],$D$4)</f>
        <v>0</v>
      </c>
      <c r="E995" s="206">
        <f>SUMIFS(LANÇ_MOV[VALOR LÍQUIDO],LANÇ_MOV[RECEITA OU DESPESA],"Despesa",LANÇ_MOV[CONTAS],$C995,LANÇ_MOV[PLANO DE CONTAS],REL_DRE_FINANCEIRO!$B$957,LANÇ_MOV[ANO PAGAMENTO],$B$4,LANÇ_MOV[MÊS PAGAMENTO CORRESPONDENTE],E$6,LANÇ_MOV[EMPRESA],$C$4,LANÇ_MOV[CENTRO DE CUSTOS],$D$4)</f>
        <v>0</v>
      </c>
      <c r="F995" s="206">
        <f>SUMIFS(LANÇ_MOV[VALOR LÍQUIDO],LANÇ_MOV[RECEITA OU DESPESA],"Despesa",LANÇ_MOV[CONTAS],$C995,LANÇ_MOV[PLANO DE CONTAS],REL_DRE_FINANCEIRO!$B$957,LANÇ_MOV[ANO PAGAMENTO],$B$4,LANÇ_MOV[MÊS PAGAMENTO CORRESPONDENTE],F$6,LANÇ_MOV[EMPRESA],$C$4,LANÇ_MOV[CENTRO DE CUSTOS],$D$4)</f>
        <v>0</v>
      </c>
      <c r="G995" s="206">
        <f>SUMIFS(LANÇ_MOV[VALOR LÍQUIDO],LANÇ_MOV[RECEITA OU DESPESA],"Despesa",LANÇ_MOV[CONTAS],$C995,LANÇ_MOV[PLANO DE CONTAS],REL_DRE_FINANCEIRO!$B$957,LANÇ_MOV[ANO PAGAMENTO],$B$4,LANÇ_MOV[MÊS PAGAMENTO CORRESPONDENTE],G$6,LANÇ_MOV[EMPRESA],$C$4,LANÇ_MOV[CENTRO DE CUSTOS],$D$4)</f>
        <v>0</v>
      </c>
      <c r="H995" s="206">
        <f>SUMIFS(LANÇ_MOV[VALOR LÍQUIDO],LANÇ_MOV[RECEITA OU DESPESA],"Despesa",LANÇ_MOV[CONTAS],$C995,LANÇ_MOV[PLANO DE CONTAS],REL_DRE_FINANCEIRO!$B$957,LANÇ_MOV[ANO PAGAMENTO],$B$4,LANÇ_MOV[MÊS PAGAMENTO CORRESPONDENTE],H$6,LANÇ_MOV[EMPRESA],$C$4,LANÇ_MOV[CENTRO DE CUSTOS],$D$4)</f>
        <v>0</v>
      </c>
      <c r="I995" s="206">
        <f>SUMIFS(LANÇ_MOV[VALOR LÍQUIDO],LANÇ_MOV[RECEITA OU DESPESA],"Despesa",LANÇ_MOV[CONTAS],$C995,LANÇ_MOV[PLANO DE CONTAS],REL_DRE_FINANCEIRO!$B$957,LANÇ_MOV[ANO PAGAMENTO],$B$4,LANÇ_MOV[MÊS PAGAMENTO CORRESPONDENTE],I$6,LANÇ_MOV[EMPRESA],$C$4,LANÇ_MOV[CENTRO DE CUSTOS],$D$4)</f>
        <v>0</v>
      </c>
      <c r="J995" s="206">
        <f>SUMIFS(LANÇ_MOV[VALOR LÍQUIDO],LANÇ_MOV[RECEITA OU DESPESA],"Despesa",LANÇ_MOV[CONTAS],$C995,LANÇ_MOV[PLANO DE CONTAS],REL_DRE_FINANCEIRO!$B$957,LANÇ_MOV[ANO PAGAMENTO],$B$4,LANÇ_MOV[MÊS PAGAMENTO CORRESPONDENTE],J$6,LANÇ_MOV[EMPRESA],$C$4,LANÇ_MOV[CENTRO DE CUSTOS],$D$4)</f>
        <v>0</v>
      </c>
      <c r="K995" s="206">
        <f>SUMIFS(LANÇ_MOV[VALOR LÍQUIDO],LANÇ_MOV[RECEITA OU DESPESA],"Despesa",LANÇ_MOV[CONTAS],$C995,LANÇ_MOV[PLANO DE CONTAS],REL_DRE_FINANCEIRO!$B$957,LANÇ_MOV[ANO PAGAMENTO],$B$4,LANÇ_MOV[MÊS PAGAMENTO CORRESPONDENTE],K$6,LANÇ_MOV[EMPRESA],$C$4,LANÇ_MOV[CENTRO DE CUSTOS],$D$4)</f>
        <v>0</v>
      </c>
      <c r="L995" s="206">
        <f>SUMIFS(LANÇ_MOV[VALOR LÍQUIDO],LANÇ_MOV[RECEITA OU DESPESA],"Despesa",LANÇ_MOV[CONTAS],$C995,LANÇ_MOV[PLANO DE CONTAS],REL_DRE_FINANCEIRO!$B$957,LANÇ_MOV[ANO PAGAMENTO],$B$4,LANÇ_MOV[MÊS PAGAMENTO CORRESPONDENTE],L$6,LANÇ_MOV[EMPRESA],$C$4,LANÇ_MOV[CENTRO DE CUSTOS],$D$4)</f>
        <v>0</v>
      </c>
      <c r="M995" s="206">
        <f>SUMIFS(LANÇ_MOV[VALOR LÍQUIDO],LANÇ_MOV[RECEITA OU DESPESA],"Despesa",LANÇ_MOV[CONTAS],$C995,LANÇ_MOV[PLANO DE CONTAS],REL_DRE_FINANCEIRO!$B$957,LANÇ_MOV[ANO PAGAMENTO],$B$4,LANÇ_MOV[MÊS PAGAMENTO CORRESPONDENTE],M$6,LANÇ_MOV[EMPRESA],$C$4,LANÇ_MOV[CENTRO DE CUSTOS],$D$4)</f>
        <v>0</v>
      </c>
      <c r="N995" s="206">
        <f>SUMIFS(LANÇ_MOV[VALOR LÍQUIDO],LANÇ_MOV[RECEITA OU DESPESA],"Despesa",LANÇ_MOV[CONTAS],$C995,LANÇ_MOV[PLANO DE CONTAS],REL_DRE_FINANCEIRO!$B$957,LANÇ_MOV[ANO PAGAMENTO],$B$4,LANÇ_MOV[MÊS PAGAMENTO CORRESPONDENTE],N$6,LANÇ_MOV[EMPRESA],$C$4,LANÇ_MOV[CENTRO DE CUSTOS],$D$4)</f>
        <v>0</v>
      </c>
      <c r="O995" s="206">
        <f>SUMIFS(LANÇ_MOV[VALOR LÍQUIDO],LANÇ_MOV[RECEITA OU DESPESA],"Despesa",LANÇ_MOV[CONTAS],$C995,LANÇ_MOV[PLANO DE CONTAS],REL_DRE_FINANCEIRO!$B$957,LANÇ_MOV[ANO PAGAMENTO],$B$4,LANÇ_MOV[MÊS PAGAMENTO CORRESPONDENTE],O$6,LANÇ_MOV[EMPRESA],$C$4,LANÇ_MOV[CENTRO DE CUSTOS],$D$4)</f>
        <v>0</v>
      </c>
      <c r="P995" s="207">
        <f t="shared" si="122"/>
        <v>0</v>
      </c>
      <c r="Q995" s="329">
        <v>6.2999999999999998E-6</v>
      </c>
      <c r="R995" s="346">
        <f t="shared" si="123"/>
        <v>6.2999999999999998E-6</v>
      </c>
      <c r="S995" s="347" t="str">
        <f t="shared" si="124"/>
        <v>-</v>
      </c>
      <c r="T995" s="347">
        <f t="shared" si="125"/>
        <v>0</v>
      </c>
      <c r="U995" s="347">
        <f>HLOOKUP(Apoio!$P$12,$D$956:$P$1057,X995,FALSE)+Q995</f>
        <v>6.2999999999999998E-6</v>
      </c>
      <c r="V995" s="447" t="str">
        <f t="shared" si="126"/>
        <v>-</v>
      </c>
      <c r="W995" s="448">
        <f>HLOOKUP(Apoio!$P$12,$D$956:$P$1057,X995,FALSE)</f>
        <v>0</v>
      </c>
      <c r="X995" s="329">
        <v>40</v>
      </c>
    </row>
    <row r="996" spans="2:24" ht="30.05" customHeight="1" x14ac:dyDescent="0.35">
      <c r="B996" s="204" t="str">
        <f>'CAD_PL_REC-DESP'!AF43</f>
        <v>2.8.39</v>
      </c>
      <c r="C996" s="205" t="str">
        <f>IF('CAD_PL_REC-DESP'!AG43="","-",'CAD_PL_REC-DESP'!AG43)</f>
        <v>-</v>
      </c>
      <c r="D996" s="206">
        <f>SUMIFS(LANÇ_MOV[VALOR LÍQUIDO],LANÇ_MOV[RECEITA OU DESPESA],"Despesa",LANÇ_MOV[CONTAS],$C996,LANÇ_MOV[PLANO DE CONTAS],REL_DRE_FINANCEIRO!$B$957,LANÇ_MOV[ANO PAGAMENTO],$B$4,LANÇ_MOV[MÊS PAGAMENTO CORRESPONDENTE],D$6,LANÇ_MOV[EMPRESA],$C$4,LANÇ_MOV[CENTRO DE CUSTOS],$D$4)</f>
        <v>0</v>
      </c>
      <c r="E996" s="206">
        <f>SUMIFS(LANÇ_MOV[VALOR LÍQUIDO],LANÇ_MOV[RECEITA OU DESPESA],"Despesa",LANÇ_MOV[CONTAS],$C996,LANÇ_MOV[PLANO DE CONTAS],REL_DRE_FINANCEIRO!$B$957,LANÇ_MOV[ANO PAGAMENTO],$B$4,LANÇ_MOV[MÊS PAGAMENTO CORRESPONDENTE],E$6,LANÇ_MOV[EMPRESA],$C$4,LANÇ_MOV[CENTRO DE CUSTOS],$D$4)</f>
        <v>0</v>
      </c>
      <c r="F996" s="206">
        <f>SUMIFS(LANÇ_MOV[VALOR LÍQUIDO],LANÇ_MOV[RECEITA OU DESPESA],"Despesa",LANÇ_MOV[CONTAS],$C996,LANÇ_MOV[PLANO DE CONTAS],REL_DRE_FINANCEIRO!$B$957,LANÇ_MOV[ANO PAGAMENTO],$B$4,LANÇ_MOV[MÊS PAGAMENTO CORRESPONDENTE],F$6,LANÇ_MOV[EMPRESA],$C$4,LANÇ_MOV[CENTRO DE CUSTOS],$D$4)</f>
        <v>0</v>
      </c>
      <c r="G996" s="206">
        <f>SUMIFS(LANÇ_MOV[VALOR LÍQUIDO],LANÇ_MOV[RECEITA OU DESPESA],"Despesa",LANÇ_MOV[CONTAS],$C996,LANÇ_MOV[PLANO DE CONTAS],REL_DRE_FINANCEIRO!$B$957,LANÇ_MOV[ANO PAGAMENTO],$B$4,LANÇ_MOV[MÊS PAGAMENTO CORRESPONDENTE],G$6,LANÇ_MOV[EMPRESA],$C$4,LANÇ_MOV[CENTRO DE CUSTOS],$D$4)</f>
        <v>0</v>
      </c>
      <c r="H996" s="206">
        <f>SUMIFS(LANÇ_MOV[VALOR LÍQUIDO],LANÇ_MOV[RECEITA OU DESPESA],"Despesa",LANÇ_MOV[CONTAS],$C996,LANÇ_MOV[PLANO DE CONTAS],REL_DRE_FINANCEIRO!$B$957,LANÇ_MOV[ANO PAGAMENTO],$B$4,LANÇ_MOV[MÊS PAGAMENTO CORRESPONDENTE],H$6,LANÇ_MOV[EMPRESA],$C$4,LANÇ_MOV[CENTRO DE CUSTOS],$D$4)</f>
        <v>0</v>
      </c>
      <c r="I996" s="206">
        <f>SUMIFS(LANÇ_MOV[VALOR LÍQUIDO],LANÇ_MOV[RECEITA OU DESPESA],"Despesa",LANÇ_MOV[CONTAS],$C996,LANÇ_MOV[PLANO DE CONTAS],REL_DRE_FINANCEIRO!$B$957,LANÇ_MOV[ANO PAGAMENTO],$B$4,LANÇ_MOV[MÊS PAGAMENTO CORRESPONDENTE],I$6,LANÇ_MOV[EMPRESA],$C$4,LANÇ_MOV[CENTRO DE CUSTOS],$D$4)</f>
        <v>0</v>
      </c>
      <c r="J996" s="206">
        <f>SUMIFS(LANÇ_MOV[VALOR LÍQUIDO],LANÇ_MOV[RECEITA OU DESPESA],"Despesa",LANÇ_MOV[CONTAS],$C996,LANÇ_MOV[PLANO DE CONTAS],REL_DRE_FINANCEIRO!$B$957,LANÇ_MOV[ANO PAGAMENTO],$B$4,LANÇ_MOV[MÊS PAGAMENTO CORRESPONDENTE],J$6,LANÇ_MOV[EMPRESA],$C$4,LANÇ_MOV[CENTRO DE CUSTOS],$D$4)</f>
        <v>0</v>
      </c>
      <c r="K996" s="206">
        <f>SUMIFS(LANÇ_MOV[VALOR LÍQUIDO],LANÇ_MOV[RECEITA OU DESPESA],"Despesa",LANÇ_MOV[CONTAS],$C996,LANÇ_MOV[PLANO DE CONTAS],REL_DRE_FINANCEIRO!$B$957,LANÇ_MOV[ANO PAGAMENTO],$B$4,LANÇ_MOV[MÊS PAGAMENTO CORRESPONDENTE],K$6,LANÇ_MOV[EMPRESA],$C$4,LANÇ_MOV[CENTRO DE CUSTOS],$D$4)</f>
        <v>0</v>
      </c>
      <c r="L996" s="206">
        <f>SUMIFS(LANÇ_MOV[VALOR LÍQUIDO],LANÇ_MOV[RECEITA OU DESPESA],"Despesa",LANÇ_MOV[CONTAS],$C996,LANÇ_MOV[PLANO DE CONTAS],REL_DRE_FINANCEIRO!$B$957,LANÇ_MOV[ANO PAGAMENTO],$B$4,LANÇ_MOV[MÊS PAGAMENTO CORRESPONDENTE],L$6,LANÇ_MOV[EMPRESA],$C$4,LANÇ_MOV[CENTRO DE CUSTOS],$D$4)</f>
        <v>0</v>
      </c>
      <c r="M996" s="206">
        <f>SUMIFS(LANÇ_MOV[VALOR LÍQUIDO],LANÇ_MOV[RECEITA OU DESPESA],"Despesa",LANÇ_MOV[CONTAS],$C996,LANÇ_MOV[PLANO DE CONTAS],REL_DRE_FINANCEIRO!$B$957,LANÇ_MOV[ANO PAGAMENTO],$B$4,LANÇ_MOV[MÊS PAGAMENTO CORRESPONDENTE],M$6,LANÇ_MOV[EMPRESA],$C$4,LANÇ_MOV[CENTRO DE CUSTOS],$D$4)</f>
        <v>0</v>
      </c>
      <c r="N996" s="206">
        <f>SUMIFS(LANÇ_MOV[VALOR LÍQUIDO],LANÇ_MOV[RECEITA OU DESPESA],"Despesa",LANÇ_MOV[CONTAS],$C996,LANÇ_MOV[PLANO DE CONTAS],REL_DRE_FINANCEIRO!$B$957,LANÇ_MOV[ANO PAGAMENTO],$B$4,LANÇ_MOV[MÊS PAGAMENTO CORRESPONDENTE],N$6,LANÇ_MOV[EMPRESA],$C$4,LANÇ_MOV[CENTRO DE CUSTOS],$D$4)</f>
        <v>0</v>
      </c>
      <c r="O996" s="206">
        <f>SUMIFS(LANÇ_MOV[VALOR LÍQUIDO],LANÇ_MOV[RECEITA OU DESPESA],"Despesa",LANÇ_MOV[CONTAS],$C996,LANÇ_MOV[PLANO DE CONTAS],REL_DRE_FINANCEIRO!$B$957,LANÇ_MOV[ANO PAGAMENTO],$B$4,LANÇ_MOV[MÊS PAGAMENTO CORRESPONDENTE],O$6,LANÇ_MOV[EMPRESA],$C$4,LANÇ_MOV[CENTRO DE CUSTOS],$D$4)</f>
        <v>0</v>
      </c>
      <c r="P996" s="207">
        <f t="shared" si="122"/>
        <v>0</v>
      </c>
      <c r="Q996" s="329">
        <v>6.1999999999999999E-6</v>
      </c>
      <c r="R996" s="346">
        <f t="shared" si="123"/>
        <v>6.1999999999999999E-6</v>
      </c>
      <c r="S996" s="347" t="str">
        <f t="shared" si="124"/>
        <v>-</v>
      </c>
      <c r="T996" s="347">
        <f t="shared" si="125"/>
        <v>0</v>
      </c>
      <c r="U996" s="347">
        <f>HLOOKUP(Apoio!$P$12,$D$956:$P$1057,X996,FALSE)+Q996</f>
        <v>6.1999999999999999E-6</v>
      </c>
      <c r="V996" s="447" t="str">
        <f t="shared" si="126"/>
        <v>-</v>
      </c>
      <c r="W996" s="448">
        <f>HLOOKUP(Apoio!$P$12,$D$956:$P$1057,X996,FALSE)</f>
        <v>0</v>
      </c>
      <c r="X996" s="329">
        <v>41</v>
      </c>
    </row>
    <row r="997" spans="2:24" ht="30.05" customHeight="1" x14ac:dyDescent="0.35">
      <c r="B997" s="204" t="str">
        <f>'CAD_PL_REC-DESP'!AF44</f>
        <v>2.8.40</v>
      </c>
      <c r="C997" s="205" t="str">
        <f>IF('CAD_PL_REC-DESP'!AG44="","-",'CAD_PL_REC-DESP'!AG44)</f>
        <v>-</v>
      </c>
      <c r="D997" s="206">
        <f>SUMIFS(LANÇ_MOV[VALOR LÍQUIDO],LANÇ_MOV[RECEITA OU DESPESA],"Despesa",LANÇ_MOV[CONTAS],$C997,LANÇ_MOV[PLANO DE CONTAS],REL_DRE_FINANCEIRO!$B$957,LANÇ_MOV[ANO PAGAMENTO],$B$4,LANÇ_MOV[MÊS PAGAMENTO CORRESPONDENTE],D$6,LANÇ_MOV[EMPRESA],$C$4,LANÇ_MOV[CENTRO DE CUSTOS],$D$4)</f>
        <v>0</v>
      </c>
      <c r="E997" s="206">
        <f>SUMIFS(LANÇ_MOV[VALOR LÍQUIDO],LANÇ_MOV[RECEITA OU DESPESA],"Despesa",LANÇ_MOV[CONTAS],$C997,LANÇ_MOV[PLANO DE CONTAS],REL_DRE_FINANCEIRO!$B$957,LANÇ_MOV[ANO PAGAMENTO],$B$4,LANÇ_MOV[MÊS PAGAMENTO CORRESPONDENTE],E$6,LANÇ_MOV[EMPRESA],$C$4,LANÇ_MOV[CENTRO DE CUSTOS],$D$4)</f>
        <v>0</v>
      </c>
      <c r="F997" s="206">
        <f>SUMIFS(LANÇ_MOV[VALOR LÍQUIDO],LANÇ_MOV[RECEITA OU DESPESA],"Despesa",LANÇ_MOV[CONTAS],$C997,LANÇ_MOV[PLANO DE CONTAS],REL_DRE_FINANCEIRO!$B$957,LANÇ_MOV[ANO PAGAMENTO],$B$4,LANÇ_MOV[MÊS PAGAMENTO CORRESPONDENTE],F$6,LANÇ_MOV[EMPRESA],$C$4,LANÇ_MOV[CENTRO DE CUSTOS],$D$4)</f>
        <v>0</v>
      </c>
      <c r="G997" s="206">
        <f>SUMIFS(LANÇ_MOV[VALOR LÍQUIDO],LANÇ_MOV[RECEITA OU DESPESA],"Despesa",LANÇ_MOV[CONTAS],$C997,LANÇ_MOV[PLANO DE CONTAS],REL_DRE_FINANCEIRO!$B$957,LANÇ_MOV[ANO PAGAMENTO],$B$4,LANÇ_MOV[MÊS PAGAMENTO CORRESPONDENTE],G$6,LANÇ_MOV[EMPRESA],$C$4,LANÇ_MOV[CENTRO DE CUSTOS],$D$4)</f>
        <v>0</v>
      </c>
      <c r="H997" s="206">
        <f>SUMIFS(LANÇ_MOV[VALOR LÍQUIDO],LANÇ_MOV[RECEITA OU DESPESA],"Despesa",LANÇ_MOV[CONTAS],$C997,LANÇ_MOV[PLANO DE CONTAS],REL_DRE_FINANCEIRO!$B$957,LANÇ_MOV[ANO PAGAMENTO],$B$4,LANÇ_MOV[MÊS PAGAMENTO CORRESPONDENTE],H$6,LANÇ_MOV[EMPRESA],$C$4,LANÇ_MOV[CENTRO DE CUSTOS],$D$4)</f>
        <v>0</v>
      </c>
      <c r="I997" s="206">
        <f>SUMIFS(LANÇ_MOV[VALOR LÍQUIDO],LANÇ_MOV[RECEITA OU DESPESA],"Despesa",LANÇ_MOV[CONTAS],$C997,LANÇ_MOV[PLANO DE CONTAS],REL_DRE_FINANCEIRO!$B$957,LANÇ_MOV[ANO PAGAMENTO],$B$4,LANÇ_MOV[MÊS PAGAMENTO CORRESPONDENTE],I$6,LANÇ_MOV[EMPRESA],$C$4,LANÇ_MOV[CENTRO DE CUSTOS],$D$4)</f>
        <v>0</v>
      </c>
      <c r="J997" s="206">
        <f>SUMIFS(LANÇ_MOV[VALOR LÍQUIDO],LANÇ_MOV[RECEITA OU DESPESA],"Despesa",LANÇ_MOV[CONTAS],$C997,LANÇ_MOV[PLANO DE CONTAS],REL_DRE_FINANCEIRO!$B$957,LANÇ_MOV[ANO PAGAMENTO],$B$4,LANÇ_MOV[MÊS PAGAMENTO CORRESPONDENTE],J$6,LANÇ_MOV[EMPRESA],$C$4,LANÇ_MOV[CENTRO DE CUSTOS],$D$4)</f>
        <v>0</v>
      </c>
      <c r="K997" s="206">
        <f>SUMIFS(LANÇ_MOV[VALOR LÍQUIDO],LANÇ_MOV[RECEITA OU DESPESA],"Despesa",LANÇ_MOV[CONTAS],$C997,LANÇ_MOV[PLANO DE CONTAS],REL_DRE_FINANCEIRO!$B$957,LANÇ_MOV[ANO PAGAMENTO],$B$4,LANÇ_MOV[MÊS PAGAMENTO CORRESPONDENTE],K$6,LANÇ_MOV[EMPRESA],$C$4,LANÇ_MOV[CENTRO DE CUSTOS],$D$4)</f>
        <v>0</v>
      </c>
      <c r="L997" s="206">
        <f>SUMIFS(LANÇ_MOV[VALOR LÍQUIDO],LANÇ_MOV[RECEITA OU DESPESA],"Despesa",LANÇ_MOV[CONTAS],$C997,LANÇ_MOV[PLANO DE CONTAS],REL_DRE_FINANCEIRO!$B$957,LANÇ_MOV[ANO PAGAMENTO],$B$4,LANÇ_MOV[MÊS PAGAMENTO CORRESPONDENTE],L$6,LANÇ_MOV[EMPRESA],$C$4,LANÇ_MOV[CENTRO DE CUSTOS],$D$4)</f>
        <v>0</v>
      </c>
      <c r="M997" s="206">
        <f>SUMIFS(LANÇ_MOV[VALOR LÍQUIDO],LANÇ_MOV[RECEITA OU DESPESA],"Despesa",LANÇ_MOV[CONTAS],$C997,LANÇ_MOV[PLANO DE CONTAS],REL_DRE_FINANCEIRO!$B$957,LANÇ_MOV[ANO PAGAMENTO],$B$4,LANÇ_MOV[MÊS PAGAMENTO CORRESPONDENTE],M$6,LANÇ_MOV[EMPRESA],$C$4,LANÇ_MOV[CENTRO DE CUSTOS],$D$4)</f>
        <v>0</v>
      </c>
      <c r="N997" s="206">
        <f>SUMIFS(LANÇ_MOV[VALOR LÍQUIDO],LANÇ_MOV[RECEITA OU DESPESA],"Despesa",LANÇ_MOV[CONTAS],$C997,LANÇ_MOV[PLANO DE CONTAS],REL_DRE_FINANCEIRO!$B$957,LANÇ_MOV[ANO PAGAMENTO],$B$4,LANÇ_MOV[MÊS PAGAMENTO CORRESPONDENTE],N$6,LANÇ_MOV[EMPRESA],$C$4,LANÇ_MOV[CENTRO DE CUSTOS],$D$4)</f>
        <v>0</v>
      </c>
      <c r="O997" s="206">
        <f>SUMIFS(LANÇ_MOV[VALOR LÍQUIDO],LANÇ_MOV[RECEITA OU DESPESA],"Despesa",LANÇ_MOV[CONTAS],$C997,LANÇ_MOV[PLANO DE CONTAS],REL_DRE_FINANCEIRO!$B$957,LANÇ_MOV[ANO PAGAMENTO],$B$4,LANÇ_MOV[MÊS PAGAMENTO CORRESPONDENTE],O$6,LANÇ_MOV[EMPRESA],$C$4,LANÇ_MOV[CENTRO DE CUSTOS],$D$4)</f>
        <v>0</v>
      </c>
      <c r="P997" s="207">
        <f t="shared" si="122"/>
        <v>0</v>
      </c>
      <c r="Q997" s="329">
        <v>6.1E-6</v>
      </c>
      <c r="R997" s="346">
        <f t="shared" si="123"/>
        <v>6.1E-6</v>
      </c>
      <c r="S997" s="347" t="str">
        <f t="shared" si="124"/>
        <v>-</v>
      </c>
      <c r="T997" s="347">
        <f t="shared" si="125"/>
        <v>0</v>
      </c>
      <c r="U997" s="347">
        <f>HLOOKUP(Apoio!$P$12,$D$956:$P$1057,X997,FALSE)+Q997</f>
        <v>6.1E-6</v>
      </c>
      <c r="V997" s="447" t="str">
        <f t="shared" si="126"/>
        <v>-</v>
      </c>
      <c r="W997" s="448">
        <f>HLOOKUP(Apoio!$P$12,$D$956:$P$1057,X997,FALSE)</f>
        <v>0</v>
      </c>
      <c r="X997" s="329">
        <v>42</v>
      </c>
    </row>
    <row r="998" spans="2:24" ht="30.05" customHeight="1" x14ac:dyDescent="0.35">
      <c r="B998" s="204" t="str">
        <f>'CAD_PL_REC-DESP'!AF45</f>
        <v>2.8.41</v>
      </c>
      <c r="C998" s="205" t="str">
        <f>IF('CAD_PL_REC-DESP'!AG45="","-",'CAD_PL_REC-DESP'!AG45)</f>
        <v>-</v>
      </c>
      <c r="D998" s="206">
        <f>SUMIFS(LANÇ_MOV[VALOR LÍQUIDO],LANÇ_MOV[RECEITA OU DESPESA],"Despesa",LANÇ_MOV[CONTAS],$C998,LANÇ_MOV[PLANO DE CONTAS],REL_DRE_FINANCEIRO!$B$957,LANÇ_MOV[ANO PAGAMENTO],$B$4,LANÇ_MOV[MÊS PAGAMENTO CORRESPONDENTE],D$6,LANÇ_MOV[EMPRESA],$C$4,LANÇ_MOV[CENTRO DE CUSTOS],$D$4)</f>
        <v>0</v>
      </c>
      <c r="E998" s="206">
        <f>SUMIFS(LANÇ_MOV[VALOR LÍQUIDO],LANÇ_MOV[RECEITA OU DESPESA],"Despesa",LANÇ_MOV[CONTAS],$C998,LANÇ_MOV[PLANO DE CONTAS],REL_DRE_FINANCEIRO!$B$957,LANÇ_MOV[ANO PAGAMENTO],$B$4,LANÇ_MOV[MÊS PAGAMENTO CORRESPONDENTE],E$6,LANÇ_MOV[EMPRESA],$C$4,LANÇ_MOV[CENTRO DE CUSTOS],$D$4)</f>
        <v>0</v>
      </c>
      <c r="F998" s="206">
        <f>SUMIFS(LANÇ_MOV[VALOR LÍQUIDO],LANÇ_MOV[RECEITA OU DESPESA],"Despesa",LANÇ_MOV[CONTAS],$C998,LANÇ_MOV[PLANO DE CONTAS],REL_DRE_FINANCEIRO!$B$957,LANÇ_MOV[ANO PAGAMENTO],$B$4,LANÇ_MOV[MÊS PAGAMENTO CORRESPONDENTE],F$6,LANÇ_MOV[EMPRESA],$C$4,LANÇ_MOV[CENTRO DE CUSTOS],$D$4)</f>
        <v>0</v>
      </c>
      <c r="G998" s="206">
        <f>SUMIFS(LANÇ_MOV[VALOR LÍQUIDO],LANÇ_MOV[RECEITA OU DESPESA],"Despesa",LANÇ_MOV[CONTAS],$C998,LANÇ_MOV[PLANO DE CONTAS],REL_DRE_FINANCEIRO!$B$957,LANÇ_MOV[ANO PAGAMENTO],$B$4,LANÇ_MOV[MÊS PAGAMENTO CORRESPONDENTE],G$6,LANÇ_MOV[EMPRESA],$C$4,LANÇ_MOV[CENTRO DE CUSTOS],$D$4)</f>
        <v>0</v>
      </c>
      <c r="H998" s="206">
        <f>SUMIFS(LANÇ_MOV[VALOR LÍQUIDO],LANÇ_MOV[RECEITA OU DESPESA],"Despesa",LANÇ_MOV[CONTAS],$C998,LANÇ_MOV[PLANO DE CONTAS],REL_DRE_FINANCEIRO!$B$957,LANÇ_MOV[ANO PAGAMENTO],$B$4,LANÇ_MOV[MÊS PAGAMENTO CORRESPONDENTE],H$6,LANÇ_MOV[EMPRESA],$C$4,LANÇ_MOV[CENTRO DE CUSTOS],$D$4)</f>
        <v>0</v>
      </c>
      <c r="I998" s="206">
        <f>SUMIFS(LANÇ_MOV[VALOR LÍQUIDO],LANÇ_MOV[RECEITA OU DESPESA],"Despesa",LANÇ_MOV[CONTAS],$C998,LANÇ_MOV[PLANO DE CONTAS],REL_DRE_FINANCEIRO!$B$957,LANÇ_MOV[ANO PAGAMENTO],$B$4,LANÇ_MOV[MÊS PAGAMENTO CORRESPONDENTE],I$6,LANÇ_MOV[EMPRESA],$C$4,LANÇ_MOV[CENTRO DE CUSTOS],$D$4)</f>
        <v>0</v>
      </c>
      <c r="J998" s="206">
        <f>SUMIFS(LANÇ_MOV[VALOR LÍQUIDO],LANÇ_MOV[RECEITA OU DESPESA],"Despesa",LANÇ_MOV[CONTAS],$C998,LANÇ_MOV[PLANO DE CONTAS],REL_DRE_FINANCEIRO!$B$957,LANÇ_MOV[ANO PAGAMENTO],$B$4,LANÇ_MOV[MÊS PAGAMENTO CORRESPONDENTE],J$6,LANÇ_MOV[EMPRESA],$C$4,LANÇ_MOV[CENTRO DE CUSTOS],$D$4)</f>
        <v>0</v>
      </c>
      <c r="K998" s="206">
        <f>SUMIFS(LANÇ_MOV[VALOR LÍQUIDO],LANÇ_MOV[RECEITA OU DESPESA],"Despesa",LANÇ_MOV[CONTAS],$C998,LANÇ_MOV[PLANO DE CONTAS],REL_DRE_FINANCEIRO!$B$957,LANÇ_MOV[ANO PAGAMENTO],$B$4,LANÇ_MOV[MÊS PAGAMENTO CORRESPONDENTE],K$6,LANÇ_MOV[EMPRESA],$C$4,LANÇ_MOV[CENTRO DE CUSTOS],$D$4)</f>
        <v>0</v>
      </c>
      <c r="L998" s="206">
        <f>SUMIFS(LANÇ_MOV[VALOR LÍQUIDO],LANÇ_MOV[RECEITA OU DESPESA],"Despesa",LANÇ_MOV[CONTAS],$C998,LANÇ_MOV[PLANO DE CONTAS],REL_DRE_FINANCEIRO!$B$957,LANÇ_MOV[ANO PAGAMENTO],$B$4,LANÇ_MOV[MÊS PAGAMENTO CORRESPONDENTE],L$6,LANÇ_MOV[EMPRESA],$C$4,LANÇ_MOV[CENTRO DE CUSTOS],$D$4)</f>
        <v>0</v>
      </c>
      <c r="M998" s="206">
        <f>SUMIFS(LANÇ_MOV[VALOR LÍQUIDO],LANÇ_MOV[RECEITA OU DESPESA],"Despesa",LANÇ_MOV[CONTAS],$C998,LANÇ_MOV[PLANO DE CONTAS],REL_DRE_FINANCEIRO!$B$957,LANÇ_MOV[ANO PAGAMENTO],$B$4,LANÇ_MOV[MÊS PAGAMENTO CORRESPONDENTE],M$6,LANÇ_MOV[EMPRESA],$C$4,LANÇ_MOV[CENTRO DE CUSTOS],$D$4)</f>
        <v>0</v>
      </c>
      <c r="N998" s="206">
        <f>SUMIFS(LANÇ_MOV[VALOR LÍQUIDO],LANÇ_MOV[RECEITA OU DESPESA],"Despesa",LANÇ_MOV[CONTAS],$C998,LANÇ_MOV[PLANO DE CONTAS],REL_DRE_FINANCEIRO!$B$957,LANÇ_MOV[ANO PAGAMENTO],$B$4,LANÇ_MOV[MÊS PAGAMENTO CORRESPONDENTE],N$6,LANÇ_MOV[EMPRESA],$C$4,LANÇ_MOV[CENTRO DE CUSTOS],$D$4)</f>
        <v>0</v>
      </c>
      <c r="O998" s="206">
        <f>SUMIFS(LANÇ_MOV[VALOR LÍQUIDO],LANÇ_MOV[RECEITA OU DESPESA],"Despesa",LANÇ_MOV[CONTAS],$C998,LANÇ_MOV[PLANO DE CONTAS],REL_DRE_FINANCEIRO!$B$957,LANÇ_MOV[ANO PAGAMENTO],$B$4,LANÇ_MOV[MÊS PAGAMENTO CORRESPONDENTE],O$6,LANÇ_MOV[EMPRESA],$C$4,LANÇ_MOV[CENTRO DE CUSTOS],$D$4)</f>
        <v>0</v>
      </c>
      <c r="P998" s="207">
        <f t="shared" si="122"/>
        <v>0</v>
      </c>
      <c r="Q998" s="329">
        <v>6.0000000000000002E-6</v>
      </c>
      <c r="R998" s="346">
        <f t="shared" si="123"/>
        <v>6.0000000000000002E-6</v>
      </c>
      <c r="S998" s="347" t="str">
        <f t="shared" si="124"/>
        <v>-</v>
      </c>
      <c r="T998" s="347">
        <f t="shared" si="125"/>
        <v>0</v>
      </c>
      <c r="U998" s="347">
        <f>HLOOKUP(Apoio!$P$12,$D$956:$P$1057,X998,FALSE)+Q998</f>
        <v>6.0000000000000002E-6</v>
      </c>
      <c r="V998" s="447" t="str">
        <f t="shared" si="126"/>
        <v>-</v>
      </c>
      <c r="W998" s="448">
        <f>HLOOKUP(Apoio!$P$12,$D$956:$P$1057,X998,FALSE)</f>
        <v>0</v>
      </c>
      <c r="X998" s="329">
        <v>43</v>
      </c>
    </row>
    <row r="999" spans="2:24" ht="30.05" customHeight="1" x14ac:dyDescent="0.35">
      <c r="B999" s="204" t="str">
        <f>'CAD_PL_REC-DESP'!AF46</f>
        <v>2.8.42</v>
      </c>
      <c r="C999" s="205" t="str">
        <f>IF('CAD_PL_REC-DESP'!AG46="","-",'CAD_PL_REC-DESP'!AG46)</f>
        <v>-</v>
      </c>
      <c r="D999" s="206">
        <f>SUMIFS(LANÇ_MOV[VALOR LÍQUIDO],LANÇ_MOV[RECEITA OU DESPESA],"Despesa",LANÇ_MOV[CONTAS],$C999,LANÇ_MOV[PLANO DE CONTAS],REL_DRE_FINANCEIRO!$B$957,LANÇ_MOV[ANO PAGAMENTO],$B$4,LANÇ_MOV[MÊS PAGAMENTO CORRESPONDENTE],D$6,LANÇ_MOV[EMPRESA],$C$4,LANÇ_MOV[CENTRO DE CUSTOS],$D$4)</f>
        <v>0</v>
      </c>
      <c r="E999" s="206">
        <f>SUMIFS(LANÇ_MOV[VALOR LÍQUIDO],LANÇ_MOV[RECEITA OU DESPESA],"Despesa",LANÇ_MOV[CONTAS],$C999,LANÇ_MOV[PLANO DE CONTAS],REL_DRE_FINANCEIRO!$B$957,LANÇ_MOV[ANO PAGAMENTO],$B$4,LANÇ_MOV[MÊS PAGAMENTO CORRESPONDENTE],E$6,LANÇ_MOV[EMPRESA],$C$4,LANÇ_MOV[CENTRO DE CUSTOS],$D$4)</f>
        <v>0</v>
      </c>
      <c r="F999" s="206">
        <f>SUMIFS(LANÇ_MOV[VALOR LÍQUIDO],LANÇ_MOV[RECEITA OU DESPESA],"Despesa",LANÇ_MOV[CONTAS],$C999,LANÇ_MOV[PLANO DE CONTAS],REL_DRE_FINANCEIRO!$B$957,LANÇ_MOV[ANO PAGAMENTO],$B$4,LANÇ_MOV[MÊS PAGAMENTO CORRESPONDENTE],F$6,LANÇ_MOV[EMPRESA],$C$4,LANÇ_MOV[CENTRO DE CUSTOS],$D$4)</f>
        <v>0</v>
      </c>
      <c r="G999" s="206">
        <f>SUMIFS(LANÇ_MOV[VALOR LÍQUIDO],LANÇ_MOV[RECEITA OU DESPESA],"Despesa",LANÇ_MOV[CONTAS],$C999,LANÇ_MOV[PLANO DE CONTAS],REL_DRE_FINANCEIRO!$B$957,LANÇ_MOV[ANO PAGAMENTO],$B$4,LANÇ_MOV[MÊS PAGAMENTO CORRESPONDENTE],G$6,LANÇ_MOV[EMPRESA],$C$4,LANÇ_MOV[CENTRO DE CUSTOS],$D$4)</f>
        <v>0</v>
      </c>
      <c r="H999" s="206">
        <f>SUMIFS(LANÇ_MOV[VALOR LÍQUIDO],LANÇ_MOV[RECEITA OU DESPESA],"Despesa",LANÇ_MOV[CONTAS],$C999,LANÇ_MOV[PLANO DE CONTAS],REL_DRE_FINANCEIRO!$B$957,LANÇ_MOV[ANO PAGAMENTO],$B$4,LANÇ_MOV[MÊS PAGAMENTO CORRESPONDENTE],H$6,LANÇ_MOV[EMPRESA],$C$4,LANÇ_MOV[CENTRO DE CUSTOS],$D$4)</f>
        <v>0</v>
      </c>
      <c r="I999" s="206">
        <f>SUMIFS(LANÇ_MOV[VALOR LÍQUIDO],LANÇ_MOV[RECEITA OU DESPESA],"Despesa",LANÇ_MOV[CONTAS],$C999,LANÇ_MOV[PLANO DE CONTAS],REL_DRE_FINANCEIRO!$B$957,LANÇ_MOV[ANO PAGAMENTO],$B$4,LANÇ_MOV[MÊS PAGAMENTO CORRESPONDENTE],I$6,LANÇ_MOV[EMPRESA],$C$4,LANÇ_MOV[CENTRO DE CUSTOS],$D$4)</f>
        <v>0</v>
      </c>
      <c r="J999" s="206">
        <f>SUMIFS(LANÇ_MOV[VALOR LÍQUIDO],LANÇ_MOV[RECEITA OU DESPESA],"Despesa",LANÇ_MOV[CONTAS],$C999,LANÇ_MOV[PLANO DE CONTAS],REL_DRE_FINANCEIRO!$B$957,LANÇ_MOV[ANO PAGAMENTO],$B$4,LANÇ_MOV[MÊS PAGAMENTO CORRESPONDENTE],J$6,LANÇ_MOV[EMPRESA],$C$4,LANÇ_MOV[CENTRO DE CUSTOS],$D$4)</f>
        <v>0</v>
      </c>
      <c r="K999" s="206">
        <f>SUMIFS(LANÇ_MOV[VALOR LÍQUIDO],LANÇ_MOV[RECEITA OU DESPESA],"Despesa",LANÇ_MOV[CONTAS],$C999,LANÇ_MOV[PLANO DE CONTAS],REL_DRE_FINANCEIRO!$B$957,LANÇ_MOV[ANO PAGAMENTO],$B$4,LANÇ_MOV[MÊS PAGAMENTO CORRESPONDENTE],K$6,LANÇ_MOV[EMPRESA],$C$4,LANÇ_MOV[CENTRO DE CUSTOS],$D$4)</f>
        <v>0</v>
      </c>
      <c r="L999" s="206">
        <f>SUMIFS(LANÇ_MOV[VALOR LÍQUIDO],LANÇ_MOV[RECEITA OU DESPESA],"Despesa",LANÇ_MOV[CONTAS],$C999,LANÇ_MOV[PLANO DE CONTAS],REL_DRE_FINANCEIRO!$B$957,LANÇ_MOV[ANO PAGAMENTO],$B$4,LANÇ_MOV[MÊS PAGAMENTO CORRESPONDENTE],L$6,LANÇ_MOV[EMPRESA],$C$4,LANÇ_MOV[CENTRO DE CUSTOS],$D$4)</f>
        <v>0</v>
      </c>
      <c r="M999" s="206">
        <f>SUMIFS(LANÇ_MOV[VALOR LÍQUIDO],LANÇ_MOV[RECEITA OU DESPESA],"Despesa",LANÇ_MOV[CONTAS],$C999,LANÇ_MOV[PLANO DE CONTAS],REL_DRE_FINANCEIRO!$B$957,LANÇ_MOV[ANO PAGAMENTO],$B$4,LANÇ_MOV[MÊS PAGAMENTO CORRESPONDENTE],M$6,LANÇ_MOV[EMPRESA],$C$4,LANÇ_MOV[CENTRO DE CUSTOS],$D$4)</f>
        <v>0</v>
      </c>
      <c r="N999" s="206">
        <f>SUMIFS(LANÇ_MOV[VALOR LÍQUIDO],LANÇ_MOV[RECEITA OU DESPESA],"Despesa",LANÇ_MOV[CONTAS],$C999,LANÇ_MOV[PLANO DE CONTAS],REL_DRE_FINANCEIRO!$B$957,LANÇ_MOV[ANO PAGAMENTO],$B$4,LANÇ_MOV[MÊS PAGAMENTO CORRESPONDENTE],N$6,LANÇ_MOV[EMPRESA],$C$4,LANÇ_MOV[CENTRO DE CUSTOS],$D$4)</f>
        <v>0</v>
      </c>
      <c r="O999" s="206">
        <f>SUMIFS(LANÇ_MOV[VALOR LÍQUIDO],LANÇ_MOV[RECEITA OU DESPESA],"Despesa",LANÇ_MOV[CONTAS],$C999,LANÇ_MOV[PLANO DE CONTAS],REL_DRE_FINANCEIRO!$B$957,LANÇ_MOV[ANO PAGAMENTO],$B$4,LANÇ_MOV[MÊS PAGAMENTO CORRESPONDENTE],O$6,LANÇ_MOV[EMPRESA],$C$4,LANÇ_MOV[CENTRO DE CUSTOS],$D$4)</f>
        <v>0</v>
      </c>
      <c r="P999" s="207">
        <f t="shared" si="122"/>
        <v>0</v>
      </c>
      <c r="Q999" s="329">
        <v>5.9000000000000003E-6</v>
      </c>
      <c r="R999" s="346">
        <f t="shared" si="123"/>
        <v>5.9000000000000003E-6</v>
      </c>
      <c r="S999" s="347" t="str">
        <f t="shared" si="124"/>
        <v>-</v>
      </c>
      <c r="T999" s="347">
        <f t="shared" si="125"/>
        <v>0</v>
      </c>
      <c r="U999" s="347">
        <f>HLOOKUP(Apoio!$P$12,$D$956:$P$1057,X999,FALSE)+Q999</f>
        <v>5.9000000000000003E-6</v>
      </c>
      <c r="V999" s="447" t="str">
        <f t="shared" si="126"/>
        <v>-</v>
      </c>
      <c r="W999" s="448">
        <f>HLOOKUP(Apoio!$P$12,$D$956:$P$1057,X999,FALSE)</f>
        <v>0</v>
      </c>
      <c r="X999" s="329">
        <v>44</v>
      </c>
    </row>
    <row r="1000" spans="2:24" ht="30.05" customHeight="1" x14ac:dyDescent="0.35">
      <c r="B1000" s="204" t="str">
        <f>'CAD_PL_REC-DESP'!AF47</f>
        <v>2.8.43</v>
      </c>
      <c r="C1000" s="205" t="str">
        <f>IF('CAD_PL_REC-DESP'!AG47="","-",'CAD_PL_REC-DESP'!AG47)</f>
        <v>-</v>
      </c>
      <c r="D1000" s="206">
        <f>SUMIFS(LANÇ_MOV[VALOR LÍQUIDO],LANÇ_MOV[RECEITA OU DESPESA],"Despesa",LANÇ_MOV[CONTAS],$C1000,LANÇ_MOV[PLANO DE CONTAS],REL_DRE_FINANCEIRO!$B$957,LANÇ_MOV[ANO PAGAMENTO],$B$4,LANÇ_MOV[MÊS PAGAMENTO CORRESPONDENTE],D$6,LANÇ_MOV[EMPRESA],$C$4,LANÇ_MOV[CENTRO DE CUSTOS],$D$4)</f>
        <v>0</v>
      </c>
      <c r="E1000" s="206">
        <f>SUMIFS(LANÇ_MOV[VALOR LÍQUIDO],LANÇ_MOV[RECEITA OU DESPESA],"Despesa",LANÇ_MOV[CONTAS],$C1000,LANÇ_MOV[PLANO DE CONTAS],REL_DRE_FINANCEIRO!$B$957,LANÇ_MOV[ANO PAGAMENTO],$B$4,LANÇ_MOV[MÊS PAGAMENTO CORRESPONDENTE],E$6,LANÇ_MOV[EMPRESA],$C$4,LANÇ_MOV[CENTRO DE CUSTOS],$D$4)</f>
        <v>0</v>
      </c>
      <c r="F1000" s="206">
        <f>SUMIFS(LANÇ_MOV[VALOR LÍQUIDO],LANÇ_MOV[RECEITA OU DESPESA],"Despesa",LANÇ_MOV[CONTAS],$C1000,LANÇ_MOV[PLANO DE CONTAS],REL_DRE_FINANCEIRO!$B$957,LANÇ_MOV[ANO PAGAMENTO],$B$4,LANÇ_MOV[MÊS PAGAMENTO CORRESPONDENTE],F$6,LANÇ_MOV[EMPRESA],$C$4,LANÇ_MOV[CENTRO DE CUSTOS],$D$4)</f>
        <v>0</v>
      </c>
      <c r="G1000" s="206">
        <f>SUMIFS(LANÇ_MOV[VALOR LÍQUIDO],LANÇ_MOV[RECEITA OU DESPESA],"Despesa",LANÇ_MOV[CONTAS],$C1000,LANÇ_MOV[PLANO DE CONTAS],REL_DRE_FINANCEIRO!$B$957,LANÇ_MOV[ANO PAGAMENTO],$B$4,LANÇ_MOV[MÊS PAGAMENTO CORRESPONDENTE],G$6,LANÇ_MOV[EMPRESA],$C$4,LANÇ_MOV[CENTRO DE CUSTOS],$D$4)</f>
        <v>0</v>
      </c>
      <c r="H1000" s="206">
        <f>SUMIFS(LANÇ_MOV[VALOR LÍQUIDO],LANÇ_MOV[RECEITA OU DESPESA],"Despesa",LANÇ_MOV[CONTAS],$C1000,LANÇ_MOV[PLANO DE CONTAS],REL_DRE_FINANCEIRO!$B$957,LANÇ_MOV[ANO PAGAMENTO],$B$4,LANÇ_MOV[MÊS PAGAMENTO CORRESPONDENTE],H$6,LANÇ_MOV[EMPRESA],$C$4,LANÇ_MOV[CENTRO DE CUSTOS],$D$4)</f>
        <v>0</v>
      </c>
      <c r="I1000" s="206">
        <f>SUMIFS(LANÇ_MOV[VALOR LÍQUIDO],LANÇ_MOV[RECEITA OU DESPESA],"Despesa",LANÇ_MOV[CONTAS],$C1000,LANÇ_MOV[PLANO DE CONTAS],REL_DRE_FINANCEIRO!$B$957,LANÇ_MOV[ANO PAGAMENTO],$B$4,LANÇ_MOV[MÊS PAGAMENTO CORRESPONDENTE],I$6,LANÇ_MOV[EMPRESA],$C$4,LANÇ_MOV[CENTRO DE CUSTOS],$D$4)</f>
        <v>0</v>
      </c>
      <c r="J1000" s="206">
        <f>SUMIFS(LANÇ_MOV[VALOR LÍQUIDO],LANÇ_MOV[RECEITA OU DESPESA],"Despesa",LANÇ_MOV[CONTAS],$C1000,LANÇ_MOV[PLANO DE CONTAS],REL_DRE_FINANCEIRO!$B$957,LANÇ_MOV[ANO PAGAMENTO],$B$4,LANÇ_MOV[MÊS PAGAMENTO CORRESPONDENTE],J$6,LANÇ_MOV[EMPRESA],$C$4,LANÇ_MOV[CENTRO DE CUSTOS],$D$4)</f>
        <v>0</v>
      </c>
      <c r="K1000" s="206">
        <f>SUMIFS(LANÇ_MOV[VALOR LÍQUIDO],LANÇ_MOV[RECEITA OU DESPESA],"Despesa",LANÇ_MOV[CONTAS],$C1000,LANÇ_MOV[PLANO DE CONTAS],REL_DRE_FINANCEIRO!$B$957,LANÇ_MOV[ANO PAGAMENTO],$B$4,LANÇ_MOV[MÊS PAGAMENTO CORRESPONDENTE],K$6,LANÇ_MOV[EMPRESA],$C$4,LANÇ_MOV[CENTRO DE CUSTOS],$D$4)</f>
        <v>0</v>
      </c>
      <c r="L1000" s="206">
        <f>SUMIFS(LANÇ_MOV[VALOR LÍQUIDO],LANÇ_MOV[RECEITA OU DESPESA],"Despesa",LANÇ_MOV[CONTAS],$C1000,LANÇ_MOV[PLANO DE CONTAS],REL_DRE_FINANCEIRO!$B$957,LANÇ_MOV[ANO PAGAMENTO],$B$4,LANÇ_MOV[MÊS PAGAMENTO CORRESPONDENTE],L$6,LANÇ_MOV[EMPRESA],$C$4,LANÇ_MOV[CENTRO DE CUSTOS],$D$4)</f>
        <v>0</v>
      </c>
      <c r="M1000" s="206">
        <f>SUMIFS(LANÇ_MOV[VALOR LÍQUIDO],LANÇ_MOV[RECEITA OU DESPESA],"Despesa",LANÇ_MOV[CONTAS],$C1000,LANÇ_MOV[PLANO DE CONTAS],REL_DRE_FINANCEIRO!$B$957,LANÇ_MOV[ANO PAGAMENTO],$B$4,LANÇ_MOV[MÊS PAGAMENTO CORRESPONDENTE],M$6,LANÇ_MOV[EMPRESA],$C$4,LANÇ_MOV[CENTRO DE CUSTOS],$D$4)</f>
        <v>0</v>
      </c>
      <c r="N1000" s="206">
        <f>SUMIFS(LANÇ_MOV[VALOR LÍQUIDO],LANÇ_MOV[RECEITA OU DESPESA],"Despesa",LANÇ_MOV[CONTAS],$C1000,LANÇ_MOV[PLANO DE CONTAS],REL_DRE_FINANCEIRO!$B$957,LANÇ_MOV[ANO PAGAMENTO],$B$4,LANÇ_MOV[MÊS PAGAMENTO CORRESPONDENTE],N$6,LANÇ_MOV[EMPRESA],$C$4,LANÇ_MOV[CENTRO DE CUSTOS],$D$4)</f>
        <v>0</v>
      </c>
      <c r="O1000" s="206">
        <f>SUMIFS(LANÇ_MOV[VALOR LÍQUIDO],LANÇ_MOV[RECEITA OU DESPESA],"Despesa",LANÇ_MOV[CONTAS],$C1000,LANÇ_MOV[PLANO DE CONTAS],REL_DRE_FINANCEIRO!$B$957,LANÇ_MOV[ANO PAGAMENTO],$B$4,LANÇ_MOV[MÊS PAGAMENTO CORRESPONDENTE],O$6,LANÇ_MOV[EMPRESA],$C$4,LANÇ_MOV[CENTRO DE CUSTOS],$D$4)</f>
        <v>0</v>
      </c>
      <c r="P1000" s="207">
        <f t="shared" si="122"/>
        <v>0</v>
      </c>
      <c r="Q1000" s="329">
        <v>5.8000000000000004E-6</v>
      </c>
      <c r="R1000" s="346">
        <f t="shared" si="123"/>
        <v>5.8000000000000004E-6</v>
      </c>
      <c r="S1000" s="347" t="str">
        <f t="shared" si="124"/>
        <v>-</v>
      </c>
      <c r="T1000" s="347">
        <f t="shared" si="125"/>
        <v>0</v>
      </c>
      <c r="U1000" s="347">
        <f>HLOOKUP(Apoio!$P$12,$D$956:$P$1057,X1000,FALSE)+Q1000</f>
        <v>5.8000000000000004E-6</v>
      </c>
      <c r="V1000" s="447" t="str">
        <f t="shared" si="126"/>
        <v>-</v>
      </c>
      <c r="W1000" s="448">
        <f>HLOOKUP(Apoio!$P$12,$D$956:$P$1057,X1000,FALSE)</f>
        <v>0</v>
      </c>
      <c r="X1000" s="329">
        <v>45</v>
      </c>
    </row>
    <row r="1001" spans="2:24" ht="30.05" customHeight="1" x14ac:dyDescent="0.35">
      <c r="B1001" s="204" t="str">
        <f>'CAD_PL_REC-DESP'!AF48</f>
        <v>2.8.44</v>
      </c>
      <c r="C1001" s="205" t="str">
        <f>IF('CAD_PL_REC-DESP'!AG48="","-",'CAD_PL_REC-DESP'!AG48)</f>
        <v>-</v>
      </c>
      <c r="D1001" s="206">
        <f>SUMIFS(LANÇ_MOV[VALOR LÍQUIDO],LANÇ_MOV[RECEITA OU DESPESA],"Despesa",LANÇ_MOV[CONTAS],$C1001,LANÇ_MOV[PLANO DE CONTAS],REL_DRE_FINANCEIRO!$B$957,LANÇ_MOV[ANO PAGAMENTO],$B$4,LANÇ_MOV[MÊS PAGAMENTO CORRESPONDENTE],D$6,LANÇ_MOV[EMPRESA],$C$4,LANÇ_MOV[CENTRO DE CUSTOS],$D$4)</f>
        <v>0</v>
      </c>
      <c r="E1001" s="206">
        <f>SUMIFS(LANÇ_MOV[VALOR LÍQUIDO],LANÇ_MOV[RECEITA OU DESPESA],"Despesa",LANÇ_MOV[CONTAS],$C1001,LANÇ_MOV[PLANO DE CONTAS],REL_DRE_FINANCEIRO!$B$957,LANÇ_MOV[ANO PAGAMENTO],$B$4,LANÇ_MOV[MÊS PAGAMENTO CORRESPONDENTE],E$6,LANÇ_MOV[EMPRESA],$C$4,LANÇ_MOV[CENTRO DE CUSTOS],$D$4)</f>
        <v>0</v>
      </c>
      <c r="F1001" s="206">
        <f>SUMIFS(LANÇ_MOV[VALOR LÍQUIDO],LANÇ_MOV[RECEITA OU DESPESA],"Despesa",LANÇ_MOV[CONTAS],$C1001,LANÇ_MOV[PLANO DE CONTAS],REL_DRE_FINANCEIRO!$B$957,LANÇ_MOV[ANO PAGAMENTO],$B$4,LANÇ_MOV[MÊS PAGAMENTO CORRESPONDENTE],F$6,LANÇ_MOV[EMPRESA],$C$4,LANÇ_MOV[CENTRO DE CUSTOS],$D$4)</f>
        <v>0</v>
      </c>
      <c r="G1001" s="206">
        <f>SUMIFS(LANÇ_MOV[VALOR LÍQUIDO],LANÇ_MOV[RECEITA OU DESPESA],"Despesa",LANÇ_MOV[CONTAS],$C1001,LANÇ_MOV[PLANO DE CONTAS],REL_DRE_FINANCEIRO!$B$957,LANÇ_MOV[ANO PAGAMENTO],$B$4,LANÇ_MOV[MÊS PAGAMENTO CORRESPONDENTE],G$6,LANÇ_MOV[EMPRESA],$C$4,LANÇ_MOV[CENTRO DE CUSTOS],$D$4)</f>
        <v>0</v>
      </c>
      <c r="H1001" s="206">
        <f>SUMIFS(LANÇ_MOV[VALOR LÍQUIDO],LANÇ_MOV[RECEITA OU DESPESA],"Despesa",LANÇ_MOV[CONTAS],$C1001,LANÇ_MOV[PLANO DE CONTAS],REL_DRE_FINANCEIRO!$B$957,LANÇ_MOV[ANO PAGAMENTO],$B$4,LANÇ_MOV[MÊS PAGAMENTO CORRESPONDENTE],H$6,LANÇ_MOV[EMPRESA],$C$4,LANÇ_MOV[CENTRO DE CUSTOS],$D$4)</f>
        <v>0</v>
      </c>
      <c r="I1001" s="206">
        <f>SUMIFS(LANÇ_MOV[VALOR LÍQUIDO],LANÇ_MOV[RECEITA OU DESPESA],"Despesa",LANÇ_MOV[CONTAS],$C1001,LANÇ_MOV[PLANO DE CONTAS],REL_DRE_FINANCEIRO!$B$957,LANÇ_MOV[ANO PAGAMENTO],$B$4,LANÇ_MOV[MÊS PAGAMENTO CORRESPONDENTE],I$6,LANÇ_MOV[EMPRESA],$C$4,LANÇ_MOV[CENTRO DE CUSTOS],$D$4)</f>
        <v>0</v>
      </c>
      <c r="J1001" s="206">
        <f>SUMIFS(LANÇ_MOV[VALOR LÍQUIDO],LANÇ_MOV[RECEITA OU DESPESA],"Despesa",LANÇ_MOV[CONTAS],$C1001,LANÇ_MOV[PLANO DE CONTAS],REL_DRE_FINANCEIRO!$B$957,LANÇ_MOV[ANO PAGAMENTO],$B$4,LANÇ_MOV[MÊS PAGAMENTO CORRESPONDENTE],J$6,LANÇ_MOV[EMPRESA],$C$4,LANÇ_MOV[CENTRO DE CUSTOS],$D$4)</f>
        <v>0</v>
      </c>
      <c r="K1001" s="206">
        <f>SUMIFS(LANÇ_MOV[VALOR LÍQUIDO],LANÇ_MOV[RECEITA OU DESPESA],"Despesa",LANÇ_MOV[CONTAS],$C1001,LANÇ_MOV[PLANO DE CONTAS],REL_DRE_FINANCEIRO!$B$957,LANÇ_MOV[ANO PAGAMENTO],$B$4,LANÇ_MOV[MÊS PAGAMENTO CORRESPONDENTE],K$6,LANÇ_MOV[EMPRESA],$C$4,LANÇ_MOV[CENTRO DE CUSTOS],$D$4)</f>
        <v>0</v>
      </c>
      <c r="L1001" s="206">
        <f>SUMIFS(LANÇ_MOV[VALOR LÍQUIDO],LANÇ_MOV[RECEITA OU DESPESA],"Despesa",LANÇ_MOV[CONTAS],$C1001,LANÇ_MOV[PLANO DE CONTAS],REL_DRE_FINANCEIRO!$B$957,LANÇ_MOV[ANO PAGAMENTO],$B$4,LANÇ_MOV[MÊS PAGAMENTO CORRESPONDENTE],L$6,LANÇ_MOV[EMPRESA],$C$4,LANÇ_MOV[CENTRO DE CUSTOS],$D$4)</f>
        <v>0</v>
      </c>
      <c r="M1001" s="206">
        <f>SUMIFS(LANÇ_MOV[VALOR LÍQUIDO],LANÇ_MOV[RECEITA OU DESPESA],"Despesa",LANÇ_MOV[CONTAS],$C1001,LANÇ_MOV[PLANO DE CONTAS],REL_DRE_FINANCEIRO!$B$957,LANÇ_MOV[ANO PAGAMENTO],$B$4,LANÇ_MOV[MÊS PAGAMENTO CORRESPONDENTE],M$6,LANÇ_MOV[EMPRESA],$C$4,LANÇ_MOV[CENTRO DE CUSTOS],$D$4)</f>
        <v>0</v>
      </c>
      <c r="N1001" s="206">
        <f>SUMIFS(LANÇ_MOV[VALOR LÍQUIDO],LANÇ_MOV[RECEITA OU DESPESA],"Despesa",LANÇ_MOV[CONTAS],$C1001,LANÇ_MOV[PLANO DE CONTAS],REL_DRE_FINANCEIRO!$B$957,LANÇ_MOV[ANO PAGAMENTO],$B$4,LANÇ_MOV[MÊS PAGAMENTO CORRESPONDENTE],N$6,LANÇ_MOV[EMPRESA],$C$4,LANÇ_MOV[CENTRO DE CUSTOS],$D$4)</f>
        <v>0</v>
      </c>
      <c r="O1001" s="206">
        <f>SUMIFS(LANÇ_MOV[VALOR LÍQUIDO],LANÇ_MOV[RECEITA OU DESPESA],"Despesa",LANÇ_MOV[CONTAS],$C1001,LANÇ_MOV[PLANO DE CONTAS],REL_DRE_FINANCEIRO!$B$957,LANÇ_MOV[ANO PAGAMENTO],$B$4,LANÇ_MOV[MÊS PAGAMENTO CORRESPONDENTE],O$6,LANÇ_MOV[EMPRESA],$C$4,LANÇ_MOV[CENTRO DE CUSTOS],$D$4)</f>
        <v>0</v>
      </c>
      <c r="P1001" s="207">
        <f t="shared" si="122"/>
        <v>0</v>
      </c>
      <c r="Q1001" s="329">
        <v>5.6999999999999996E-6</v>
      </c>
      <c r="R1001" s="346">
        <f t="shared" si="123"/>
        <v>5.6999999999999996E-6</v>
      </c>
      <c r="S1001" s="347" t="str">
        <f t="shared" si="124"/>
        <v>-</v>
      </c>
      <c r="T1001" s="347">
        <f t="shared" si="125"/>
        <v>0</v>
      </c>
      <c r="U1001" s="347">
        <f>HLOOKUP(Apoio!$P$12,$D$956:$P$1057,X1001,FALSE)+Q1001</f>
        <v>5.6999999999999996E-6</v>
      </c>
      <c r="V1001" s="447" t="str">
        <f t="shared" si="126"/>
        <v>-</v>
      </c>
      <c r="W1001" s="448">
        <f>HLOOKUP(Apoio!$P$12,$D$956:$P$1057,X1001,FALSE)</f>
        <v>0</v>
      </c>
      <c r="X1001" s="329">
        <v>46</v>
      </c>
    </row>
    <row r="1002" spans="2:24" ht="30.05" customHeight="1" x14ac:dyDescent="0.35">
      <c r="B1002" s="204" t="str">
        <f>'CAD_PL_REC-DESP'!AF49</f>
        <v>2.8.45</v>
      </c>
      <c r="C1002" s="205" t="str">
        <f>IF('CAD_PL_REC-DESP'!AG49="","-",'CAD_PL_REC-DESP'!AG49)</f>
        <v>-</v>
      </c>
      <c r="D1002" s="206">
        <f>SUMIFS(LANÇ_MOV[VALOR LÍQUIDO],LANÇ_MOV[RECEITA OU DESPESA],"Despesa",LANÇ_MOV[CONTAS],$C1002,LANÇ_MOV[PLANO DE CONTAS],REL_DRE_FINANCEIRO!$B$957,LANÇ_MOV[ANO PAGAMENTO],$B$4,LANÇ_MOV[MÊS PAGAMENTO CORRESPONDENTE],D$6,LANÇ_MOV[EMPRESA],$C$4,LANÇ_MOV[CENTRO DE CUSTOS],$D$4)</f>
        <v>0</v>
      </c>
      <c r="E1002" s="206">
        <f>SUMIFS(LANÇ_MOV[VALOR LÍQUIDO],LANÇ_MOV[RECEITA OU DESPESA],"Despesa",LANÇ_MOV[CONTAS],$C1002,LANÇ_MOV[PLANO DE CONTAS],REL_DRE_FINANCEIRO!$B$957,LANÇ_MOV[ANO PAGAMENTO],$B$4,LANÇ_MOV[MÊS PAGAMENTO CORRESPONDENTE],E$6,LANÇ_MOV[EMPRESA],$C$4,LANÇ_MOV[CENTRO DE CUSTOS],$D$4)</f>
        <v>0</v>
      </c>
      <c r="F1002" s="206">
        <f>SUMIFS(LANÇ_MOV[VALOR LÍQUIDO],LANÇ_MOV[RECEITA OU DESPESA],"Despesa",LANÇ_MOV[CONTAS],$C1002,LANÇ_MOV[PLANO DE CONTAS],REL_DRE_FINANCEIRO!$B$957,LANÇ_MOV[ANO PAGAMENTO],$B$4,LANÇ_MOV[MÊS PAGAMENTO CORRESPONDENTE],F$6,LANÇ_MOV[EMPRESA],$C$4,LANÇ_MOV[CENTRO DE CUSTOS],$D$4)</f>
        <v>0</v>
      </c>
      <c r="G1002" s="206">
        <f>SUMIFS(LANÇ_MOV[VALOR LÍQUIDO],LANÇ_MOV[RECEITA OU DESPESA],"Despesa",LANÇ_MOV[CONTAS],$C1002,LANÇ_MOV[PLANO DE CONTAS],REL_DRE_FINANCEIRO!$B$957,LANÇ_MOV[ANO PAGAMENTO],$B$4,LANÇ_MOV[MÊS PAGAMENTO CORRESPONDENTE],G$6,LANÇ_MOV[EMPRESA],$C$4,LANÇ_MOV[CENTRO DE CUSTOS],$D$4)</f>
        <v>0</v>
      </c>
      <c r="H1002" s="206">
        <f>SUMIFS(LANÇ_MOV[VALOR LÍQUIDO],LANÇ_MOV[RECEITA OU DESPESA],"Despesa",LANÇ_MOV[CONTAS],$C1002,LANÇ_MOV[PLANO DE CONTAS],REL_DRE_FINANCEIRO!$B$957,LANÇ_MOV[ANO PAGAMENTO],$B$4,LANÇ_MOV[MÊS PAGAMENTO CORRESPONDENTE],H$6,LANÇ_MOV[EMPRESA],$C$4,LANÇ_MOV[CENTRO DE CUSTOS],$D$4)</f>
        <v>0</v>
      </c>
      <c r="I1002" s="206">
        <f>SUMIFS(LANÇ_MOV[VALOR LÍQUIDO],LANÇ_MOV[RECEITA OU DESPESA],"Despesa",LANÇ_MOV[CONTAS],$C1002,LANÇ_MOV[PLANO DE CONTAS],REL_DRE_FINANCEIRO!$B$957,LANÇ_MOV[ANO PAGAMENTO],$B$4,LANÇ_MOV[MÊS PAGAMENTO CORRESPONDENTE],I$6,LANÇ_MOV[EMPRESA],$C$4,LANÇ_MOV[CENTRO DE CUSTOS],$D$4)</f>
        <v>0</v>
      </c>
      <c r="J1002" s="206">
        <f>SUMIFS(LANÇ_MOV[VALOR LÍQUIDO],LANÇ_MOV[RECEITA OU DESPESA],"Despesa",LANÇ_MOV[CONTAS],$C1002,LANÇ_MOV[PLANO DE CONTAS],REL_DRE_FINANCEIRO!$B$957,LANÇ_MOV[ANO PAGAMENTO],$B$4,LANÇ_MOV[MÊS PAGAMENTO CORRESPONDENTE],J$6,LANÇ_MOV[EMPRESA],$C$4,LANÇ_MOV[CENTRO DE CUSTOS],$D$4)</f>
        <v>0</v>
      </c>
      <c r="K1002" s="206">
        <f>SUMIFS(LANÇ_MOV[VALOR LÍQUIDO],LANÇ_MOV[RECEITA OU DESPESA],"Despesa",LANÇ_MOV[CONTAS],$C1002,LANÇ_MOV[PLANO DE CONTAS],REL_DRE_FINANCEIRO!$B$957,LANÇ_MOV[ANO PAGAMENTO],$B$4,LANÇ_MOV[MÊS PAGAMENTO CORRESPONDENTE],K$6,LANÇ_MOV[EMPRESA],$C$4,LANÇ_MOV[CENTRO DE CUSTOS],$D$4)</f>
        <v>0</v>
      </c>
      <c r="L1002" s="206">
        <f>SUMIFS(LANÇ_MOV[VALOR LÍQUIDO],LANÇ_MOV[RECEITA OU DESPESA],"Despesa",LANÇ_MOV[CONTAS],$C1002,LANÇ_MOV[PLANO DE CONTAS],REL_DRE_FINANCEIRO!$B$957,LANÇ_MOV[ANO PAGAMENTO],$B$4,LANÇ_MOV[MÊS PAGAMENTO CORRESPONDENTE],L$6,LANÇ_MOV[EMPRESA],$C$4,LANÇ_MOV[CENTRO DE CUSTOS],$D$4)</f>
        <v>0</v>
      </c>
      <c r="M1002" s="206">
        <f>SUMIFS(LANÇ_MOV[VALOR LÍQUIDO],LANÇ_MOV[RECEITA OU DESPESA],"Despesa",LANÇ_MOV[CONTAS],$C1002,LANÇ_MOV[PLANO DE CONTAS],REL_DRE_FINANCEIRO!$B$957,LANÇ_MOV[ANO PAGAMENTO],$B$4,LANÇ_MOV[MÊS PAGAMENTO CORRESPONDENTE],M$6,LANÇ_MOV[EMPRESA],$C$4,LANÇ_MOV[CENTRO DE CUSTOS],$D$4)</f>
        <v>0</v>
      </c>
      <c r="N1002" s="206">
        <f>SUMIFS(LANÇ_MOV[VALOR LÍQUIDO],LANÇ_MOV[RECEITA OU DESPESA],"Despesa",LANÇ_MOV[CONTAS],$C1002,LANÇ_MOV[PLANO DE CONTAS],REL_DRE_FINANCEIRO!$B$957,LANÇ_MOV[ANO PAGAMENTO],$B$4,LANÇ_MOV[MÊS PAGAMENTO CORRESPONDENTE],N$6,LANÇ_MOV[EMPRESA],$C$4,LANÇ_MOV[CENTRO DE CUSTOS],$D$4)</f>
        <v>0</v>
      </c>
      <c r="O1002" s="206">
        <f>SUMIFS(LANÇ_MOV[VALOR LÍQUIDO],LANÇ_MOV[RECEITA OU DESPESA],"Despesa",LANÇ_MOV[CONTAS],$C1002,LANÇ_MOV[PLANO DE CONTAS],REL_DRE_FINANCEIRO!$B$957,LANÇ_MOV[ANO PAGAMENTO],$B$4,LANÇ_MOV[MÊS PAGAMENTO CORRESPONDENTE],O$6,LANÇ_MOV[EMPRESA],$C$4,LANÇ_MOV[CENTRO DE CUSTOS],$D$4)</f>
        <v>0</v>
      </c>
      <c r="P1002" s="207">
        <f t="shared" si="122"/>
        <v>0</v>
      </c>
      <c r="Q1002" s="329">
        <v>5.5999999999999997E-6</v>
      </c>
      <c r="R1002" s="346">
        <f t="shared" si="123"/>
        <v>5.5999999999999997E-6</v>
      </c>
      <c r="S1002" s="347" t="str">
        <f t="shared" si="124"/>
        <v>-</v>
      </c>
      <c r="T1002" s="347">
        <f t="shared" si="125"/>
        <v>0</v>
      </c>
      <c r="U1002" s="347">
        <f>HLOOKUP(Apoio!$P$12,$D$956:$P$1057,X1002,FALSE)+Q1002</f>
        <v>5.5999999999999997E-6</v>
      </c>
      <c r="V1002" s="447" t="str">
        <f t="shared" si="126"/>
        <v>-</v>
      </c>
      <c r="W1002" s="448">
        <f>HLOOKUP(Apoio!$P$12,$D$956:$P$1057,X1002,FALSE)</f>
        <v>0</v>
      </c>
      <c r="X1002" s="329">
        <v>47</v>
      </c>
    </row>
    <row r="1003" spans="2:24" ht="30.05" customHeight="1" x14ac:dyDescent="0.35">
      <c r="B1003" s="204" t="str">
        <f>'CAD_PL_REC-DESP'!AF50</f>
        <v>2.8.46</v>
      </c>
      <c r="C1003" s="205" t="str">
        <f>IF('CAD_PL_REC-DESP'!AG50="","-",'CAD_PL_REC-DESP'!AG50)</f>
        <v>-</v>
      </c>
      <c r="D1003" s="206">
        <f>SUMIFS(LANÇ_MOV[VALOR LÍQUIDO],LANÇ_MOV[RECEITA OU DESPESA],"Despesa",LANÇ_MOV[CONTAS],$C1003,LANÇ_MOV[PLANO DE CONTAS],REL_DRE_FINANCEIRO!$B$957,LANÇ_MOV[ANO PAGAMENTO],$B$4,LANÇ_MOV[MÊS PAGAMENTO CORRESPONDENTE],D$6,LANÇ_MOV[EMPRESA],$C$4,LANÇ_MOV[CENTRO DE CUSTOS],$D$4)</f>
        <v>0</v>
      </c>
      <c r="E1003" s="206">
        <f>SUMIFS(LANÇ_MOV[VALOR LÍQUIDO],LANÇ_MOV[RECEITA OU DESPESA],"Despesa",LANÇ_MOV[CONTAS],$C1003,LANÇ_MOV[PLANO DE CONTAS],REL_DRE_FINANCEIRO!$B$957,LANÇ_MOV[ANO PAGAMENTO],$B$4,LANÇ_MOV[MÊS PAGAMENTO CORRESPONDENTE],E$6,LANÇ_MOV[EMPRESA],$C$4,LANÇ_MOV[CENTRO DE CUSTOS],$D$4)</f>
        <v>0</v>
      </c>
      <c r="F1003" s="206">
        <f>SUMIFS(LANÇ_MOV[VALOR LÍQUIDO],LANÇ_MOV[RECEITA OU DESPESA],"Despesa",LANÇ_MOV[CONTAS],$C1003,LANÇ_MOV[PLANO DE CONTAS],REL_DRE_FINANCEIRO!$B$957,LANÇ_MOV[ANO PAGAMENTO],$B$4,LANÇ_MOV[MÊS PAGAMENTO CORRESPONDENTE],F$6,LANÇ_MOV[EMPRESA],$C$4,LANÇ_MOV[CENTRO DE CUSTOS],$D$4)</f>
        <v>0</v>
      </c>
      <c r="G1003" s="206">
        <f>SUMIFS(LANÇ_MOV[VALOR LÍQUIDO],LANÇ_MOV[RECEITA OU DESPESA],"Despesa",LANÇ_MOV[CONTAS],$C1003,LANÇ_MOV[PLANO DE CONTAS],REL_DRE_FINANCEIRO!$B$957,LANÇ_MOV[ANO PAGAMENTO],$B$4,LANÇ_MOV[MÊS PAGAMENTO CORRESPONDENTE],G$6,LANÇ_MOV[EMPRESA],$C$4,LANÇ_MOV[CENTRO DE CUSTOS],$D$4)</f>
        <v>0</v>
      </c>
      <c r="H1003" s="206">
        <f>SUMIFS(LANÇ_MOV[VALOR LÍQUIDO],LANÇ_MOV[RECEITA OU DESPESA],"Despesa",LANÇ_MOV[CONTAS],$C1003,LANÇ_MOV[PLANO DE CONTAS],REL_DRE_FINANCEIRO!$B$957,LANÇ_MOV[ANO PAGAMENTO],$B$4,LANÇ_MOV[MÊS PAGAMENTO CORRESPONDENTE],H$6,LANÇ_MOV[EMPRESA],$C$4,LANÇ_MOV[CENTRO DE CUSTOS],$D$4)</f>
        <v>0</v>
      </c>
      <c r="I1003" s="206">
        <f>SUMIFS(LANÇ_MOV[VALOR LÍQUIDO],LANÇ_MOV[RECEITA OU DESPESA],"Despesa",LANÇ_MOV[CONTAS],$C1003,LANÇ_MOV[PLANO DE CONTAS],REL_DRE_FINANCEIRO!$B$957,LANÇ_MOV[ANO PAGAMENTO],$B$4,LANÇ_MOV[MÊS PAGAMENTO CORRESPONDENTE],I$6,LANÇ_MOV[EMPRESA],$C$4,LANÇ_MOV[CENTRO DE CUSTOS],$D$4)</f>
        <v>0</v>
      </c>
      <c r="J1003" s="206">
        <f>SUMIFS(LANÇ_MOV[VALOR LÍQUIDO],LANÇ_MOV[RECEITA OU DESPESA],"Despesa",LANÇ_MOV[CONTAS],$C1003,LANÇ_MOV[PLANO DE CONTAS],REL_DRE_FINANCEIRO!$B$957,LANÇ_MOV[ANO PAGAMENTO],$B$4,LANÇ_MOV[MÊS PAGAMENTO CORRESPONDENTE],J$6,LANÇ_MOV[EMPRESA],$C$4,LANÇ_MOV[CENTRO DE CUSTOS],$D$4)</f>
        <v>0</v>
      </c>
      <c r="K1003" s="206">
        <f>SUMIFS(LANÇ_MOV[VALOR LÍQUIDO],LANÇ_MOV[RECEITA OU DESPESA],"Despesa",LANÇ_MOV[CONTAS],$C1003,LANÇ_MOV[PLANO DE CONTAS],REL_DRE_FINANCEIRO!$B$957,LANÇ_MOV[ANO PAGAMENTO],$B$4,LANÇ_MOV[MÊS PAGAMENTO CORRESPONDENTE],K$6,LANÇ_MOV[EMPRESA],$C$4,LANÇ_MOV[CENTRO DE CUSTOS],$D$4)</f>
        <v>0</v>
      </c>
      <c r="L1003" s="206">
        <f>SUMIFS(LANÇ_MOV[VALOR LÍQUIDO],LANÇ_MOV[RECEITA OU DESPESA],"Despesa",LANÇ_MOV[CONTAS],$C1003,LANÇ_MOV[PLANO DE CONTAS],REL_DRE_FINANCEIRO!$B$957,LANÇ_MOV[ANO PAGAMENTO],$B$4,LANÇ_MOV[MÊS PAGAMENTO CORRESPONDENTE],L$6,LANÇ_MOV[EMPRESA],$C$4,LANÇ_MOV[CENTRO DE CUSTOS],$D$4)</f>
        <v>0</v>
      </c>
      <c r="M1003" s="206">
        <f>SUMIFS(LANÇ_MOV[VALOR LÍQUIDO],LANÇ_MOV[RECEITA OU DESPESA],"Despesa",LANÇ_MOV[CONTAS],$C1003,LANÇ_MOV[PLANO DE CONTAS],REL_DRE_FINANCEIRO!$B$957,LANÇ_MOV[ANO PAGAMENTO],$B$4,LANÇ_MOV[MÊS PAGAMENTO CORRESPONDENTE],M$6,LANÇ_MOV[EMPRESA],$C$4,LANÇ_MOV[CENTRO DE CUSTOS],$D$4)</f>
        <v>0</v>
      </c>
      <c r="N1003" s="206">
        <f>SUMIFS(LANÇ_MOV[VALOR LÍQUIDO],LANÇ_MOV[RECEITA OU DESPESA],"Despesa",LANÇ_MOV[CONTAS],$C1003,LANÇ_MOV[PLANO DE CONTAS],REL_DRE_FINANCEIRO!$B$957,LANÇ_MOV[ANO PAGAMENTO],$B$4,LANÇ_MOV[MÊS PAGAMENTO CORRESPONDENTE],N$6,LANÇ_MOV[EMPRESA],$C$4,LANÇ_MOV[CENTRO DE CUSTOS],$D$4)</f>
        <v>0</v>
      </c>
      <c r="O1003" s="206">
        <f>SUMIFS(LANÇ_MOV[VALOR LÍQUIDO],LANÇ_MOV[RECEITA OU DESPESA],"Despesa",LANÇ_MOV[CONTAS],$C1003,LANÇ_MOV[PLANO DE CONTAS],REL_DRE_FINANCEIRO!$B$957,LANÇ_MOV[ANO PAGAMENTO],$B$4,LANÇ_MOV[MÊS PAGAMENTO CORRESPONDENTE],O$6,LANÇ_MOV[EMPRESA],$C$4,LANÇ_MOV[CENTRO DE CUSTOS],$D$4)</f>
        <v>0</v>
      </c>
      <c r="P1003" s="207">
        <f t="shared" si="122"/>
        <v>0</v>
      </c>
      <c r="Q1003" s="329">
        <v>5.4999999999999999E-6</v>
      </c>
      <c r="R1003" s="346">
        <f t="shared" si="123"/>
        <v>5.4999999999999999E-6</v>
      </c>
      <c r="S1003" s="347" t="str">
        <f t="shared" si="124"/>
        <v>-</v>
      </c>
      <c r="T1003" s="347">
        <f t="shared" si="125"/>
        <v>0</v>
      </c>
      <c r="U1003" s="347">
        <f>HLOOKUP(Apoio!$P$12,$D$956:$P$1057,X1003,FALSE)+Q1003</f>
        <v>5.4999999999999999E-6</v>
      </c>
      <c r="V1003" s="447" t="str">
        <f t="shared" si="126"/>
        <v>-</v>
      </c>
      <c r="W1003" s="448">
        <f>HLOOKUP(Apoio!$P$12,$D$956:$P$1057,X1003,FALSE)</f>
        <v>0</v>
      </c>
      <c r="X1003" s="329">
        <v>48</v>
      </c>
    </row>
    <row r="1004" spans="2:24" ht="30.05" customHeight="1" x14ac:dyDescent="0.35">
      <c r="B1004" s="204" t="str">
        <f>'CAD_PL_REC-DESP'!AF51</f>
        <v>2.8.47</v>
      </c>
      <c r="C1004" s="205" t="str">
        <f>IF('CAD_PL_REC-DESP'!AG51="","-",'CAD_PL_REC-DESP'!AG51)</f>
        <v>-</v>
      </c>
      <c r="D1004" s="206">
        <f>SUMIFS(LANÇ_MOV[VALOR LÍQUIDO],LANÇ_MOV[RECEITA OU DESPESA],"Despesa",LANÇ_MOV[CONTAS],$C1004,LANÇ_MOV[PLANO DE CONTAS],REL_DRE_FINANCEIRO!$B$957,LANÇ_MOV[ANO PAGAMENTO],$B$4,LANÇ_MOV[MÊS PAGAMENTO CORRESPONDENTE],D$6,LANÇ_MOV[EMPRESA],$C$4,LANÇ_MOV[CENTRO DE CUSTOS],$D$4)</f>
        <v>0</v>
      </c>
      <c r="E1004" s="206">
        <f>SUMIFS(LANÇ_MOV[VALOR LÍQUIDO],LANÇ_MOV[RECEITA OU DESPESA],"Despesa",LANÇ_MOV[CONTAS],$C1004,LANÇ_MOV[PLANO DE CONTAS],REL_DRE_FINANCEIRO!$B$957,LANÇ_MOV[ANO PAGAMENTO],$B$4,LANÇ_MOV[MÊS PAGAMENTO CORRESPONDENTE],E$6,LANÇ_MOV[EMPRESA],$C$4,LANÇ_MOV[CENTRO DE CUSTOS],$D$4)</f>
        <v>0</v>
      </c>
      <c r="F1004" s="206">
        <f>SUMIFS(LANÇ_MOV[VALOR LÍQUIDO],LANÇ_MOV[RECEITA OU DESPESA],"Despesa",LANÇ_MOV[CONTAS],$C1004,LANÇ_MOV[PLANO DE CONTAS],REL_DRE_FINANCEIRO!$B$957,LANÇ_MOV[ANO PAGAMENTO],$B$4,LANÇ_MOV[MÊS PAGAMENTO CORRESPONDENTE],F$6,LANÇ_MOV[EMPRESA],$C$4,LANÇ_MOV[CENTRO DE CUSTOS],$D$4)</f>
        <v>0</v>
      </c>
      <c r="G1004" s="206">
        <f>SUMIFS(LANÇ_MOV[VALOR LÍQUIDO],LANÇ_MOV[RECEITA OU DESPESA],"Despesa",LANÇ_MOV[CONTAS],$C1004,LANÇ_MOV[PLANO DE CONTAS],REL_DRE_FINANCEIRO!$B$957,LANÇ_MOV[ANO PAGAMENTO],$B$4,LANÇ_MOV[MÊS PAGAMENTO CORRESPONDENTE],G$6,LANÇ_MOV[EMPRESA],$C$4,LANÇ_MOV[CENTRO DE CUSTOS],$D$4)</f>
        <v>0</v>
      </c>
      <c r="H1004" s="206">
        <f>SUMIFS(LANÇ_MOV[VALOR LÍQUIDO],LANÇ_MOV[RECEITA OU DESPESA],"Despesa",LANÇ_MOV[CONTAS],$C1004,LANÇ_MOV[PLANO DE CONTAS],REL_DRE_FINANCEIRO!$B$957,LANÇ_MOV[ANO PAGAMENTO],$B$4,LANÇ_MOV[MÊS PAGAMENTO CORRESPONDENTE],H$6,LANÇ_MOV[EMPRESA],$C$4,LANÇ_MOV[CENTRO DE CUSTOS],$D$4)</f>
        <v>0</v>
      </c>
      <c r="I1004" s="206">
        <f>SUMIFS(LANÇ_MOV[VALOR LÍQUIDO],LANÇ_MOV[RECEITA OU DESPESA],"Despesa",LANÇ_MOV[CONTAS],$C1004,LANÇ_MOV[PLANO DE CONTAS],REL_DRE_FINANCEIRO!$B$957,LANÇ_MOV[ANO PAGAMENTO],$B$4,LANÇ_MOV[MÊS PAGAMENTO CORRESPONDENTE],I$6,LANÇ_MOV[EMPRESA],$C$4,LANÇ_MOV[CENTRO DE CUSTOS],$D$4)</f>
        <v>0</v>
      </c>
      <c r="J1004" s="206">
        <f>SUMIFS(LANÇ_MOV[VALOR LÍQUIDO],LANÇ_MOV[RECEITA OU DESPESA],"Despesa",LANÇ_MOV[CONTAS],$C1004,LANÇ_MOV[PLANO DE CONTAS],REL_DRE_FINANCEIRO!$B$957,LANÇ_MOV[ANO PAGAMENTO],$B$4,LANÇ_MOV[MÊS PAGAMENTO CORRESPONDENTE],J$6,LANÇ_MOV[EMPRESA],$C$4,LANÇ_MOV[CENTRO DE CUSTOS],$D$4)</f>
        <v>0</v>
      </c>
      <c r="K1004" s="206">
        <f>SUMIFS(LANÇ_MOV[VALOR LÍQUIDO],LANÇ_MOV[RECEITA OU DESPESA],"Despesa",LANÇ_MOV[CONTAS],$C1004,LANÇ_MOV[PLANO DE CONTAS],REL_DRE_FINANCEIRO!$B$957,LANÇ_MOV[ANO PAGAMENTO],$B$4,LANÇ_MOV[MÊS PAGAMENTO CORRESPONDENTE],K$6,LANÇ_MOV[EMPRESA],$C$4,LANÇ_MOV[CENTRO DE CUSTOS],$D$4)</f>
        <v>0</v>
      </c>
      <c r="L1004" s="206">
        <f>SUMIFS(LANÇ_MOV[VALOR LÍQUIDO],LANÇ_MOV[RECEITA OU DESPESA],"Despesa",LANÇ_MOV[CONTAS],$C1004,LANÇ_MOV[PLANO DE CONTAS],REL_DRE_FINANCEIRO!$B$957,LANÇ_MOV[ANO PAGAMENTO],$B$4,LANÇ_MOV[MÊS PAGAMENTO CORRESPONDENTE],L$6,LANÇ_MOV[EMPRESA],$C$4,LANÇ_MOV[CENTRO DE CUSTOS],$D$4)</f>
        <v>0</v>
      </c>
      <c r="M1004" s="206">
        <f>SUMIFS(LANÇ_MOV[VALOR LÍQUIDO],LANÇ_MOV[RECEITA OU DESPESA],"Despesa",LANÇ_MOV[CONTAS],$C1004,LANÇ_MOV[PLANO DE CONTAS],REL_DRE_FINANCEIRO!$B$957,LANÇ_MOV[ANO PAGAMENTO],$B$4,LANÇ_MOV[MÊS PAGAMENTO CORRESPONDENTE],M$6,LANÇ_MOV[EMPRESA],$C$4,LANÇ_MOV[CENTRO DE CUSTOS],$D$4)</f>
        <v>0</v>
      </c>
      <c r="N1004" s="206">
        <f>SUMIFS(LANÇ_MOV[VALOR LÍQUIDO],LANÇ_MOV[RECEITA OU DESPESA],"Despesa",LANÇ_MOV[CONTAS],$C1004,LANÇ_MOV[PLANO DE CONTAS],REL_DRE_FINANCEIRO!$B$957,LANÇ_MOV[ANO PAGAMENTO],$B$4,LANÇ_MOV[MÊS PAGAMENTO CORRESPONDENTE],N$6,LANÇ_MOV[EMPRESA],$C$4,LANÇ_MOV[CENTRO DE CUSTOS],$D$4)</f>
        <v>0</v>
      </c>
      <c r="O1004" s="206">
        <f>SUMIFS(LANÇ_MOV[VALOR LÍQUIDO],LANÇ_MOV[RECEITA OU DESPESA],"Despesa",LANÇ_MOV[CONTAS],$C1004,LANÇ_MOV[PLANO DE CONTAS],REL_DRE_FINANCEIRO!$B$957,LANÇ_MOV[ANO PAGAMENTO],$B$4,LANÇ_MOV[MÊS PAGAMENTO CORRESPONDENTE],O$6,LANÇ_MOV[EMPRESA],$C$4,LANÇ_MOV[CENTRO DE CUSTOS],$D$4)</f>
        <v>0</v>
      </c>
      <c r="P1004" s="207">
        <f t="shared" si="122"/>
        <v>0</v>
      </c>
      <c r="Q1004" s="329">
        <v>5.4E-6</v>
      </c>
      <c r="R1004" s="346">
        <f t="shared" si="123"/>
        <v>5.4E-6</v>
      </c>
      <c r="S1004" s="347" t="str">
        <f t="shared" si="124"/>
        <v>-</v>
      </c>
      <c r="T1004" s="347">
        <f t="shared" si="125"/>
        <v>0</v>
      </c>
      <c r="U1004" s="347">
        <f>HLOOKUP(Apoio!$P$12,$D$956:$P$1057,X1004,FALSE)+Q1004</f>
        <v>5.4E-6</v>
      </c>
      <c r="V1004" s="447" t="str">
        <f t="shared" si="126"/>
        <v>-</v>
      </c>
      <c r="W1004" s="448">
        <f>HLOOKUP(Apoio!$P$12,$D$956:$P$1057,X1004,FALSE)</f>
        <v>0</v>
      </c>
      <c r="X1004" s="329">
        <v>49</v>
      </c>
    </row>
    <row r="1005" spans="2:24" ht="30.05" customHeight="1" x14ac:dyDescent="0.35">
      <c r="B1005" s="204" t="str">
        <f>'CAD_PL_REC-DESP'!AF52</f>
        <v>2.8.48</v>
      </c>
      <c r="C1005" s="205" t="str">
        <f>IF('CAD_PL_REC-DESP'!AG52="","-",'CAD_PL_REC-DESP'!AG52)</f>
        <v>-</v>
      </c>
      <c r="D1005" s="206">
        <f>SUMIFS(LANÇ_MOV[VALOR LÍQUIDO],LANÇ_MOV[RECEITA OU DESPESA],"Despesa",LANÇ_MOV[CONTAS],$C1005,LANÇ_MOV[PLANO DE CONTAS],REL_DRE_FINANCEIRO!$B$957,LANÇ_MOV[ANO PAGAMENTO],$B$4,LANÇ_MOV[MÊS PAGAMENTO CORRESPONDENTE],D$6,LANÇ_MOV[EMPRESA],$C$4,LANÇ_MOV[CENTRO DE CUSTOS],$D$4)</f>
        <v>0</v>
      </c>
      <c r="E1005" s="206">
        <f>SUMIFS(LANÇ_MOV[VALOR LÍQUIDO],LANÇ_MOV[RECEITA OU DESPESA],"Despesa",LANÇ_MOV[CONTAS],$C1005,LANÇ_MOV[PLANO DE CONTAS],REL_DRE_FINANCEIRO!$B$957,LANÇ_MOV[ANO PAGAMENTO],$B$4,LANÇ_MOV[MÊS PAGAMENTO CORRESPONDENTE],E$6,LANÇ_MOV[EMPRESA],$C$4,LANÇ_MOV[CENTRO DE CUSTOS],$D$4)</f>
        <v>0</v>
      </c>
      <c r="F1005" s="206">
        <f>SUMIFS(LANÇ_MOV[VALOR LÍQUIDO],LANÇ_MOV[RECEITA OU DESPESA],"Despesa",LANÇ_MOV[CONTAS],$C1005,LANÇ_MOV[PLANO DE CONTAS],REL_DRE_FINANCEIRO!$B$957,LANÇ_MOV[ANO PAGAMENTO],$B$4,LANÇ_MOV[MÊS PAGAMENTO CORRESPONDENTE],F$6,LANÇ_MOV[EMPRESA],$C$4,LANÇ_MOV[CENTRO DE CUSTOS],$D$4)</f>
        <v>0</v>
      </c>
      <c r="G1005" s="206">
        <f>SUMIFS(LANÇ_MOV[VALOR LÍQUIDO],LANÇ_MOV[RECEITA OU DESPESA],"Despesa",LANÇ_MOV[CONTAS],$C1005,LANÇ_MOV[PLANO DE CONTAS],REL_DRE_FINANCEIRO!$B$957,LANÇ_MOV[ANO PAGAMENTO],$B$4,LANÇ_MOV[MÊS PAGAMENTO CORRESPONDENTE],G$6,LANÇ_MOV[EMPRESA],$C$4,LANÇ_MOV[CENTRO DE CUSTOS],$D$4)</f>
        <v>0</v>
      </c>
      <c r="H1005" s="206">
        <f>SUMIFS(LANÇ_MOV[VALOR LÍQUIDO],LANÇ_MOV[RECEITA OU DESPESA],"Despesa",LANÇ_MOV[CONTAS],$C1005,LANÇ_MOV[PLANO DE CONTAS],REL_DRE_FINANCEIRO!$B$957,LANÇ_MOV[ANO PAGAMENTO],$B$4,LANÇ_MOV[MÊS PAGAMENTO CORRESPONDENTE],H$6,LANÇ_MOV[EMPRESA],$C$4,LANÇ_MOV[CENTRO DE CUSTOS],$D$4)</f>
        <v>0</v>
      </c>
      <c r="I1005" s="206">
        <f>SUMIFS(LANÇ_MOV[VALOR LÍQUIDO],LANÇ_MOV[RECEITA OU DESPESA],"Despesa",LANÇ_MOV[CONTAS],$C1005,LANÇ_MOV[PLANO DE CONTAS],REL_DRE_FINANCEIRO!$B$957,LANÇ_MOV[ANO PAGAMENTO],$B$4,LANÇ_MOV[MÊS PAGAMENTO CORRESPONDENTE],I$6,LANÇ_MOV[EMPRESA],$C$4,LANÇ_MOV[CENTRO DE CUSTOS],$D$4)</f>
        <v>0</v>
      </c>
      <c r="J1005" s="206">
        <f>SUMIFS(LANÇ_MOV[VALOR LÍQUIDO],LANÇ_MOV[RECEITA OU DESPESA],"Despesa",LANÇ_MOV[CONTAS],$C1005,LANÇ_MOV[PLANO DE CONTAS],REL_DRE_FINANCEIRO!$B$957,LANÇ_MOV[ANO PAGAMENTO],$B$4,LANÇ_MOV[MÊS PAGAMENTO CORRESPONDENTE],J$6,LANÇ_MOV[EMPRESA],$C$4,LANÇ_MOV[CENTRO DE CUSTOS],$D$4)</f>
        <v>0</v>
      </c>
      <c r="K1005" s="206">
        <f>SUMIFS(LANÇ_MOV[VALOR LÍQUIDO],LANÇ_MOV[RECEITA OU DESPESA],"Despesa",LANÇ_MOV[CONTAS],$C1005,LANÇ_MOV[PLANO DE CONTAS],REL_DRE_FINANCEIRO!$B$957,LANÇ_MOV[ANO PAGAMENTO],$B$4,LANÇ_MOV[MÊS PAGAMENTO CORRESPONDENTE],K$6,LANÇ_MOV[EMPRESA],$C$4,LANÇ_MOV[CENTRO DE CUSTOS],$D$4)</f>
        <v>0</v>
      </c>
      <c r="L1005" s="206">
        <f>SUMIFS(LANÇ_MOV[VALOR LÍQUIDO],LANÇ_MOV[RECEITA OU DESPESA],"Despesa",LANÇ_MOV[CONTAS],$C1005,LANÇ_MOV[PLANO DE CONTAS],REL_DRE_FINANCEIRO!$B$957,LANÇ_MOV[ANO PAGAMENTO],$B$4,LANÇ_MOV[MÊS PAGAMENTO CORRESPONDENTE],L$6,LANÇ_MOV[EMPRESA],$C$4,LANÇ_MOV[CENTRO DE CUSTOS],$D$4)</f>
        <v>0</v>
      </c>
      <c r="M1005" s="206">
        <f>SUMIFS(LANÇ_MOV[VALOR LÍQUIDO],LANÇ_MOV[RECEITA OU DESPESA],"Despesa",LANÇ_MOV[CONTAS],$C1005,LANÇ_MOV[PLANO DE CONTAS],REL_DRE_FINANCEIRO!$B$957,LANÇ_MOV[ANO PAGAMENTO],$B$4,LANÇ_MOV[MÊS PAGAMENTO CORRESPONDENTE],M$6,LANÇ_MOV[EMPRESA],$C$4,LANÇ_MOV[CENTRO DE CUSTOS],$D$4)</f>
        <v>0</v>
      </c>
      <c r="N1005" s="206">
        <f>SUMIFS(LANÇ_MOV[VALOR LÍQUIDO],LANÇ_MOV[RECEITA OU DESPESA],"Despesa",LANÇ_MOV[CONTAS],$C1005,LANÇ_MOV[PLANO DE CONTAS],REL_DRE_FINANCEIRO!$B$957,LANÇ_MOV[ANO PAGAMENTO],$B$4,LANÇ_MOV[MÊS PAGAMENTO CORRESPONDENTE],N$6,LANÇ_MOV[EMPRESA],$C$4,LANÇ_MOV[CENTRO DE CUSTOS],$D$4)</f>
        <v>0</v>
      </c>
      <c r="O1005" s="206">
        <f>SUMIFS(LANÇ_MOV[VALOR LÍQUIDO],LANÇ_MOV[RECEITA OU DESPESA],"Despesa",LANÇ_MOV[CONTAS],$C1005,LANÇ_MOV[PLANO DE CONTAS],REL_DRE_FINANCEIRO!$B$957,LANÇ_MOV[ANO PAGAMENTO],$B$4,LANÇ_MOV[MÊS PAGAMENTO CORRESPONDENTE],O$6,LANÇ_MOV[EMPRESA],$C$4,LANÇ_MOV[CENTRO DE CUSTOS],$D$4)</f>
        <v>0</v>
      </c>
      <c r="P1005" s="207">
        <f t="shared" si="122"/>
        <v>0</v>
      </c>
      <c r="Q1005" s="329">
        <v>5.3000000000000001E-6</v>
      </c>
      <c r="R1005" s="346">
        <f t="shared" si="123"/>
        <v>5.3000000000000001E-6</v>
      </c>
      <c r="S1005" s="347" t="str">
        <f t="shared" si="124"/>
        <v>-</v>
      </c>
      <c r="T1005" s="347">
        <f t="shared" si="125"/>
        <v>0</v>
      </c>
      <c r="U1005" s="347">
        <f>HLOOKUP(Apoio!$P$12,$D$956:$P$1057,X1005,FALSE)+Q1005</f>
        <v>5.3000000000000001E-6</v>
      </c>
      <c r="V1005" s="447" t="str">
        <f t="shared" si="126"/>
        <v>-</v>
      </c>
      <c r="W1005" s="448">
        <f>HLOOKUP(Apoio!$P$12,$D$956:$P$1057,X1005,FALSE)</f>
        <v>0</v>
      </c>
      <c r="X1005" s="329">
        <v>50</v>
      </c>
    </row>
    <row r="1006" spans="2:24" ht="30.05" customHeight="1" x14ac:dyDescent="0.35">
      <c r="B1006" s="204" t="str">
        <f>'CAD_PL_REC-DESP'!AF53</f>
        <v>2.8.49</v>
      </c>
      <c r="C1006" s="205" t="str">
        <f>IF('CAD_PL_REC-DESP'!AG53="","-",'CAD_PL_REC-DESP'!AG53)</f>
        <v>-</v>
      </c>
      <c r="D1006" s="206">
        <f>SUMIFS(LANÇ_MOV[VALOR LÍQUIDO],LANÇ_MOV[RECEITA OU DESPESA],"Despesa",LANÇ_MOV[CONTAS],$C1006,LANÇ_MOV[PLANO DE CONTAS],REL_DRE_FINANCEIRO!$B$957,LANÇ_MOV[ANO PAGAMENTO],$B$4,LANÇ_MOV[MÊS PAGAMENTO CORRESPONDENTE],D$6,LANÇ_MOV[EMPRESA],$C$4,LANÇ_MOV[CENTRO DE CUSTOS],$D$4)</f>
        <v>0</v>
      </c>
      <c r="E1006" s="206">
        <f>SUMIFS(LANÇ_MOV[VALOR LÍQUIDO],LANÇ_MOV[RECEITA OU DESPESA],"Despesa",LANÇ_MOV[CONTAS],$C1006,LANÇ_MOV[PLANO DE CONTAS],REL_DRE_FINANCEIRO!$B$957,LANÇ_MOV[ANO PAGAMENTO],$B$4,LANÇ_MOV[MÊS PAGAMENTO CORRESPONDENTE],E$6,LANÇ_MOV[EMPRESA],$C$4,LANÇ_MOV[CENTRO DE CUSTOS],$D$4)</f>
        <v>0</v>
      </c>
      <c r="F1006" s="206">
        <f>SUMIFS(LANÇ_MOV[VALOR LÍQUIDO],LANÇ_MOV[RECEITA OU DESPESA],"Despesa",LANÇ_MOV[CONTAS],$C1006,LANÇ_MOV[PLANO DE CONTAS],REL_DRE_FINANCEIRO!$B$957,LANÇ_MOV[ANO PAGAMENTO],$B$4,LANÇ_MOV[MÊS PAGAMENTO CORRESPONDENTE],F$6,LANÇ_MOV[EMPRESA],$C$4,LANÇ_MOV[CENTRO DE CUSTOS],$D$4)</f>
        <v>0</v>
      </c>
      <c r="G1006" s="206">
        <f>SUMIFS(LANÇ_MOV[VALOR LÍQUIDO],LANÇ_MOV[RECEITA OU DESPESA],"Despesa",LANÇ_MOV[CONTAS],$C1006,LANÇ_MOV[PLANO DE CONTAS],REL_DRE_FINANCEIRO!$B$957,LANÇ_MOV[ANO PAGAMENTO],$B$4,LANÇ_MOV[MÊS PAGAMENTO CORRESPONDENTE],G$6,LANÇ_MOV[EMPRESA],$C$4,LANÇ_MOV[CENTRO DE CUSTOS],$D$4)</f>
        <v>0</v>
      </c>
      <c r="H1006" s="206">
        <f>SUMIFS(LANÇ_MOV[VALOR LÍQUIDO],LANÇ_MOV[RECEITA OU DESPESA],"Despesa",LANÇ_MOV[CONTAS],$C1006,LANÇ_MOV[PLANO DE CONTAS],REL_DRE_FINANCEIRO!$B$957,LANÇ_MOV[ANO PAGAMENTO],$B$4,LANÇ_MOV[MÊS PAGAMENTO CORRESPONDENTE],H$6,LANÇ_MOV[EMPRESA],$C$4,LANÇ_MOV[CENTRO DE CUSTOS],$D$4)</f>
        <v>0</v>
      </c>
      <c r="I1006" s="206">
        <f>SUMIFS(LANÇ_MOV[VALOR LÍQUIDO],LANÇ_MOV[RECEITA OU DESPESA],"Despesa",LANÇ_MOV[CONTAS],$C1006,LANÇ_MOV[PLANO DE CONTAS],REL_DRE_FINANCEIRO!$B$957,LANÇ_MOV[ANO PAGAMENTO],$B$4,LANÇ_MOV[MÊS PAGAMENTO CORRESPONDENTE],I$6,LANÇ_MOV[EMPRESA],$C$4,LANÇ_MOV[CENTRO DE CUSTOS],$D$4)</f>
        <v>0</v>
      </c>
      <c r="J1006" s="206">
        <f>SUMIFS(LANÇ_MOV[VALOR LÍQUIDO],LANÇ_MOV[RECEITA OU DESPESA],"Despesa",LANÇ_MOV[CONTAS],$C1006,LANÇ_MOV[PLANO DE CONTAS],REL_DRE_FINANCEIRO!$B$957,LANÇ_MOV[ANO PAGAMENTO],$B$4,LANÇ_MOV[MÊS PAGAMENTO CORRESPONDENTE],J$6,LANÇ_MOV[EMPRESA],$C$4,LANÇ_MOV[CENTRO DE CUSTOS],$D$4)</f>
        <v>0</v>
      </c>
      <c r="K1006" s="206">
        <f>SUMIFS(LANÇ_MOV[VALOR LÍQUIDO],LANÇ_MOV[RECEITA OU DESPESA],"Despesa",LANÇ_MOV[CONTAS],$C1006,LANÇ_MOV[PLANO DE CONTAS],REL_DRE_FINANCEIRO!$B$957,LANÇ_MOV[ANO PAGAMENTO],$B$4,LANÇ_MOV[MÊS PAGAMENTO CORRESPONDENTE],K$6,LANÇ_MOV[EMPRESA],$C$4,LANÇ_MOV[CENTRO DE CUSTOS],$D$4)</f>
        <v>0</v>
      </c>
      <c r="L1006" s="206">
        <f>SUMIFS(LANÇ_MOV[VALOR LÍQUIDO],LANÇ_MOV[RECEITA OU DESPESA],"Despesa",LANÇ_MOV[CONTAS],$C1006,LANÇ_MOV[PLANO DE CONTAS],REL_DRE_FINANCEIRO!$B$957,LANÇ_MOV[ANO PAGAMENTO],$B$4,LANÇ_MOV[MÊS PAGAMENTO CORRESPONDENTE],L$6,LANÇ_MOV[EMPRESA],$C$4,LANÇ_MOV[CENTRO DE CUSTOS],$D$4)</f>
        <v>0</v>
      </c>
      <c r="M1006" s="206">
        <f>SUMIFS(LANÇ_MOV[VALOR LÍQUIDO],LANÇ_MOV[RECEITA OU DESPESA],"Despesa",LANÇ_MOV[CONTAS],$C1006,LANÇ_MOV[PLANO DE CONTAS],REL_DRE_FINANCEIRO!$B$957,LANÇ_MOV[ANO PAGAMENTO],$B$4,LANÇ_MOV[MÊS PAGAMENTO CORRESPONDENTE],M$6,LANÇ_MOV[EMPRESA],$C$4,LANÇ_MOV[CENTRO DE CUSTOS],$D$4)</f>
        <v>0</v>
      </c>
      <c r="N1006" s="206">
        <f>SUMIFS(LANÇ_MOV[VALOR LÍQUIDO],LANÇ_MOV[RECEITA OU DESPESA],"Despesa",LANÇ_MOV[CONTAS],$C1006,LANÇ_MOV[PLANO DE CONTAS],REL_DRE_FINANCEIRO!$B$957,LANÇ_MOV[ANO PAGAMENTO],$B$4,LANÇ_MOV[MÊS PAGAMENTO CORRESPONDENTE],N$6,LANÇ_MOV[EMPRESA],$C$4,LANÇ_MOV[CENTRO DE CUSTOS],$D$4)</f>
        <v>0</v>
      </c>
      <c r="O1006" s="206">
        <f>SUMIFS(LANÇ_MOV[VALOR LÍQUIDO],LANÇ_MOV[RECEITA OU DESPESA],"Despesa",LANÇ_MOV[CONTAS],$C1006,LANÇ_MOV[PLANO DE CONTAS],REL_DRE_FINANCEIRO!$B$957,LANÇ_MOV[ANO PAGAMENTO],$B$4,LANÇ_MOV[MÊS PAGAMENTO CORRESPONDENTE],O$6,LANÇ_MOV[EMPRESA],$C$4,LANÇ_MOV[CENTRO DE CUSTOS],$D$4)</f>
        <v>0</v>
      </c>
      <c r="P1006" s="207">
        <f t="shared" si="122"/>
        <v>0</v>
      </c>
      <c r="Q1006" s="329">
        <v>5.2000000000000002E-6</v>
      </c>
      <c r="R1006" s="346">
        <f t="shared" si="123"/>
        <v>5.2000000000000002E-6</v>
      </c>
      <c r="S1006" s="347" t="str">
        <f t="shared" si="124"/>
        <v>-</v>
      </c>
      <c r="T1006" s="347">
        <f t="shared" si="125"/>
        <v>0</v>
      </c>
      <c r="U1006" s="347">
        <f>HLOOKUP(Apoio!$P$12,$D$956:$P$1057,X1006,FALSE)+Q1006</f>
        <v>5.2000000000000002E-6</v>
      </c>
      <c r="V1006" s="447" t="str">
        <f t="shared" si="126"/>
        <v>-</v>
      </c>
      <c r="W1006" s="448">
        <f>HLOOKUP(Apoio!$P$12,$D$956:$P$1057,X1006,FALSE)</f>
        <v>0</v>
      </c>
      <c r="X1006" s="329">
        <v>51</v>
      </c>
    </row>
    <row r="1007" spans="2:24" ht="30.05" customHeight="1" x14ac:dyDescent="0.35">
      <c r="B1007" s="204" t="str">
        <f>'CAD_PL_REC-DESP'!AF54</f>
        <v>2.8.50</v>
      </c>
      <c r="C1007" s="205" t="str">
        <f>IF('CAD_PL_REC-DESP'!AG54="","-",'CAD_PL_REC-DESP'!AG54)</f>
        <v>-</v>
      </c>
      <c r="D1007" s="206">
        <f>SUMIFS(LANÇ_MOV[VALOR LÍQUIDO],LANÇ_MOV[RECEITA OU DESPESA],"Despesa",LANÇ_MOV[CONTAS],$C1007,LANÇ_MOV[PLANO DE CONTAS],REL_DRE_FINANCEIRO!$B$957,LANÇ_MOV[ANO PAGAMENTO],$B$4,LANÇ_MOV[MÊS PAGAMENTO CORRESPONDENTE],D$6,LANÇ_MOV[EMPRESA],$C$4,LANÇ_MOV[CENTRO DE CUSTOS],$D$4)</f>
        <v>0</v>
      </c>
      <c r="E1007" s="206">
        <f>SUMIFS(LANÇ_MOV[VALOR LÍQUIDO],LANÇ_MOV[RECEITA OU DESPESA],"Despesa",LANÇ_MOV[CONTAS],$C1007,LANÇ_MOV[PLANO DE CONTAS],REL_DRE_FINANCEIRO!$B$957,LANÇ_MOV[ANO PAGAMENTO],$B$4,LANÇ_MOV[MÊS PAGAMENTO CORRESPONDENTE],E$6,LANÇ_MOV[EMPRESA],$C$4,LANÇ_MOV[CENTRO DE CUSTOS],$D$4)</f>
        <v>0</v>
      </c>
      <c r="F1007" s="206">
        <f>SUMIFS(LANÇ_MOV[VALOR LÍQUIDO],LANÇ_MOV[RECEITA OU DESPESA],"Despesa",LANÇ_MOV[CONTAS],$C1007,LANÇ_MOV[PLANO DE CONTAS],REL_DRE_FINANCEIRO!$B$957,LANÇ_MOV[ANO PAGAMENTO],$B$4,LANÇ_MOV[MÊS PAGAMENTO CORRESPONDENTE],F$6,LANÇ_MOV[EMPRESA],$C$4,LANÇ_MOV[CENTRO DE CUSTOS],$D$4)</f>
        <v>0</v>
      </c>
      <c r="G1007" s="206">
        <f>SUMIFS(LANÇ_MOV[VALOR LÍQUIDO],LANÇ_MOV[RECEITA OU DESPESA],"Despesa",LANÇ_MOV[CONTAS],$C1007,LANÇ_MOV[PLANO DE CONTAS],REL_DRE_FINANCEIRO!$B$957,LANÇ_MOV[ANO PAGAMENTO],$B$4,LANÇ_MOV[MÊS PAGAMENTO CORRESPONDENTE],G$6,LANÇ_MOV[EMPRESA],$C$4,LANÇ_MOV[CENTRO DE CUSTOS],$D$4)</f>
        <v>0</v>
      </c>
      <c r="H1007" s="206">
        <f>SUMIFS(LANÇ_MOV[VALOR LÍQUIDO],LANÇ_MOV[RECEITA OU DESPESA],"Despesa",LANÇ_MOV[CONTAS],$C1007,LANÇ_MOV[PLANO DE CONTAS],REL_DRE_FINANCEIRO!$B$957,LANÇ_MOV[ANO PAGAMENTO],$B$4,LANÇ_MOV[MÊS PAGAMENTO CORRESPONDENTE],H$6,LANÇ_MOV[EMPRESA],$C$4,LANÇ_MOV[CENTRO DE CUSTOS],$D$4)</f>
        <v>0</v>
      </c>
      <c r="I1007" s="206">
        <f>SUMIFS(LANÇ_MOV[VALOR LÍQUIDO],LANÇ_MOV[RECEITA OU DESPESA],"Despesa",LANÇ_MOV[CONTAS],$C1007,LANÇ_MOV[PLANO DE CONTAS],REL_DRE_FINANCEIRO!$B$957,LANÇ_MOV[ANO PAGAMENTO],$B$4,LANÇ_MOV[MÊS PAGAMENTO CORRESPONDENTE],I$6,LANÇ_MOV[EMPRESA],$C$4,LANÇ_MOV[CENTRO DE CUSTOS],$D$4)</f>
        <v>0</v>
      </c>
      <c r="J1007" s="206">
        <f>SUMIFS(LANÇ_MOV[VALOR LÍQUIDO],LANÇ_MOV[RECEITA OU DESPESA],"Despesa",LANÇ_MOV[CONTAS],$C1007,LANÇ_MOV[PLANO DE CONTAS],REL_DRE_FINANCEIRO!$B$957,LANÇ_MOV[ANO PAGAMENTO],$B$4,LANÇ_MOV[MÊS PAGAMENTO CORRESPONDENTE],J$6,LANÇ_MOV[EMPRESA],$C$4,LANÇ_MOV[CENTRO DE CUSTOS],$D$4)</f>
        <v>0</v>
      </c>
      <c r="K1007" s="206">
        <f>SUMIFS(LANÇ_MOV[VALOR LÍQUIDO],LANÇ_MOV[RECEITA OU DESPESA],"Despesa",LANÇ_MOV[CONTAS],$C1007,LANÇ_MOV[PLANO DE CONTAS],REL_DRE_FINANCEIRO!$B$957,LANÇ_MOV[ANO PAGAMENTO],$B$4,LANÇ_MOV[MÊS PAGAMENTO CORRESPONDENTE],K$6,LANÇ_MOV[EMPRESA],$C$4,LANÇ_MOV[CENTRO DE CUSTOS],$D$4)</f>
        <v>0</v>
      </c>
      <c r="L1007" s="206">
        <f>SUMIFS(LANÇ_MOV[VALOR LÍQUIDO],LANÇ_MOV[RECEITA OU DESPESA],"Despesa",LANÇ_MOV[CONTAS],$C1007,LANÇ_MOV[PLANO DE CONTAS],REL_DRE_FINANCEIRO!$B$957,LANÇ_MOV[ANO PAGAMENTO],$B$4,LANÇ_MOV[MÊS PAGAMENTO CORRESPONDENTE],L$6,LANÇ_MOV[EMPRESA],$C$4,LANÇ_MOV[CENTRO DE CUSTOS],$D$4)</f>
        <v>0</v>
      </c>
      <c r="M1007" s="206">
        <f>SUMIFS(LANÇ_MOV[VALOR LÍQUIDO],LANÇ_MOV[RECEITA OU DESPESA],"Despesa",LANÇ_MOV[CONTAS],$C1007,LANÇ_MOV[PLANO DE CONTAS],REL_DRE_FINANCEIRO!$B$957,LANÇ_MOV[ANO PAGAMENTO],$B$4,LANÇ_MOV[MÊS PAGAMENTO CORRESPONDENTE],M$6,LANÇ_MOV[EMPRESA],$C$4,LANÇ_MOV[CENTRO DE CUSTOS],$D$4)</f>
        <v>0</v>
      </c>
      <c r="N1007" s="206">
        <f>SUMIFS(LANÇ_MOV[VALOR LÍQUIDO],LANÇ_MOV[RECEITA OU DESPESA],"Despesa",LANÇ_MOV[CONTAS],$C1007,LANÇ_MOV[PLANO DE CONTAS],REL_DRE_FINANCEIRO!$B$957,LANÇ_MOV[ANO PAGAMENTO],$B$4,LANÇ_MOV[MÊS PAGAMENTO CORRESPONDENTE],N$6,LANÇ_MOV[EMPRESA],$C$4,LANÇ_MOV[CENTRO DE CUSTOS],$D$4)</f>
        <v>0</v>
      </c>
      <c r="O1007" s="206">
        <f>SUMIFS(LANÇ_MOV[VALOR LÍQUIDO],LANÇ_MOV[RECEITA OU DESPESA],"Despesa",LANÇ_MOV[CONTAS],$C1007,LANÇ_MOV[PLANO DE CONTAS],REL_DRE_FINANCEIRO!$B$957,LANÇ_MOV[ANO PAGAMENTO],$B$4,LANÇ_MOV[MÊS PAGAMENTO CORRESPONDENTE],O$6,LANÇ_MOV[EMPRESA],$C$4,LANÇ_MOV[CENTRO DE CUSTOS],$D$4)</f>
        <v>0</v>
      </c>
      <c r="P1007" s="207">
        <f t="shared" si="122"/>
        <v>0</v>
      </c>
      <c r="Q1007" s="329">
        <v>5.1000000000000003E-6</v>
      </c>
      <c r="R1007" s="346">
        <f t="shared" si="123"/>
        <v>5.1000000000000003E-6</v>
      </c>
      <c r="S1007" s="347" t="str">
        <f t="shared" si="124"/>
        <v>-</v>
      </c>
      <c r="T1007" s="347">
        <f t="shared" si="125"/>
        <v>0</v>
      </c>
      <c r="U1007" s="347">
        <f>HLOOKUP(Apoio!$P$12,$D$956:$P$1057,X1007,FALSE)+Q1007</f>
        <v>5.1000000000000003E-6</v>
      </c>
      <c r="V1007" s="447" t="str">
        <f t="shared" si="126"/>
        <v>-</v>
      </c>
      <c r="W1007" s="448">
        <f>HLOOKUP(Apoio!$P$12,$D$956:$P$1057,X1007,FALSE)</f>
        <v>0</v>
      </c>
      <c r="X1007" s="329">
        <v>52</v>
      </c>
    </row>
    <row r="1008" spans="2:24" ht="30.05" customHeight="1" x14ac:dyDescent="0.35">
      <c r="B1008" s="204" t="str">
        <f>'CAD_PL_REC-DESP'!AF55</f>
        <v>2.8.51</v>
      </c>
      <c r="C1008" s="205" t="str">
        <f>IF('CAD_PL_REC-DESP'!AG55="","-",'CAD_PL_REC-DESP'!AG55)</f>
        <v>-</v>
      </c>
      <c r="D1008" s="206">
        <f>SUMIFS(LANÇ_MOV[VALOR LÍQUIDO],LANÇ_MOV[RECEITA OU DESPESA],"Despesa",LANÇ_MOV[CONTAS],$C1008,LANÇ_MOV[PLANO DE CONTAS],REL_DRE_FINANCEIRO!$B$957,LANÇ_MOV[ANO PAGAMENTO],$B$4,LANÇ_MOV[MÊS PAGAMENTO CORRESPONDENTE],D$6,LANÇ_MOV[EMPRESA],$C$4,LANÇ_MOV[CENTRO DE CUSTOS],$D$4)</f>
        <v>0</v>
      </c>
      <c r="E1008" s="206">
        <f>SUMIFS(LANÇ_MOV[VALOR LÍQUIDO],LANÇ_MOV[RECEITA OU DESPESA],"Despesa",LANÇ_MOV[CONTAS],$C1008,LANÇ_MOV[PLANO DE CONTAS],REL_DRE_FINANCEIRO!$B$957,LANÇ_MOV[ANO PAGAMENTO],$B$4,LANÇ_MOV[MÊS PAGAMENTO CORRESPONDENTE],E$6,LANÇ_MOV[EMPRESA],$C$4,LANÇ_MOV[CENTRO DE CUSTOS],$D$4)</f>
        <v>0</v>
      </c>
      <c r="F1008" s="206">
        <f>SUMIFS(LANÇ_MOV[VALOR LÍQUIDO],LANÇ_MOV[RECEITA OU DESPESA],"Despesa",LANÇ_MOV[CONTAS],$C1008,LANÇ_MOV[PLANO DE CONTAS],REL_DRE_FINANCEIRO!$B$957,LANÇ_MOV[ANO PAGAMENTO],$B$4,LANÇ_MOV[MÊS PAGAMENTO CORRESPONDENTE],F$6,LANÇ_MOV[EMPRESA],$C$4,LANÇ_MOV[CENTRO DE CUSTOS],$D$4)</f>
        <v>0</v>
      </c>
      <c r="G1008" s="206">
        <f>SUMIFS(LANÇ_MOV[VALOR LÍQUIDO],LANÇ_MOV[RECEITA OU DESPESA],"Despesa",LANÇ_MOV[CONTAS],$C1008,LANÇ_MOV[PLANO DE CONTAS],REL_DRE_FINANCEIRO!$B$957,LANÇ_MOV[ANO PAGAMENTO],$B$4,LANÇ_MOV[MÊS PAGAMENTO CORRESPONDENTE],G$6,LANÇ_MOV[EMPRESA],$C$4,LANÇ_MOV[CENTRO DE CUSTOS],$D$4)</f>
        <v>0</v>
      </c>
      <c r="H1008" s="206">
        <f>SUMIFS(LANÇ_MOV[VALOR LÍQUIDO],LANÇ_MOV[RECEITA OU DESPESA],"Despesa",LANÇ_MOV[CONTAS],$C1008,LANÇ_MOV[PLANO DE CONTAS],REL_DRE_FINANCEIRO!$B$957,LANÇ_MOV[ANO PAGAMENTO],$B$4,LANÇ_MOV[MÊS PAGAMENTO CORRESPONDENTE],H$6,LANÇ_MOV[EMPRESA],$C$4,LANÇ_MOV[CENTRO DE CUSTOS],$D$4)</f>
        <v>0</v>
      </c>
      <c r="I1008" s="206">
        <f>SUMIFS(LANÇ_MOV[VALOR LÍQUIDO],LANÇ_MOV[RECEITA OU DESPESA],"Despesa",LANÇ_MOV[CONTAS],$C1008,LANÇ_MOV[PLANO DE CONTAS],REL_DRE_FINANCEIRO!$B$957,LANÇ_MOV[ANO PAGAMENTO],$B$4,LANÇ_MOV[MÊS PAGAMENTO CORRESPONDENTE],I$6,LANÇ_MOV[EMPRESA],$C$4,LANÇ_MOV[CENTRO DE CUSTOS],$D$4)</f>
        <v>0</v>
      </c>
      <c r="J1008" s="206">
        <f>SUMIFS(LANÇ_MOV[VALOR LÍQUIDO],LANÇ_MOV[RECEITA OU DESPESA],"Despesa",LANÇ_MOV[CONTAS],$C1008,LANÇ_MOV[PLANO DE CONTAS],REL_DRE_FINANCEIRO!$B$957,LANÇ_MOV[ANO PAGAMENTO],$B$4,LANÇ_MOV[MÊS PAGAMENTO CORRESPONDENTE],J$6,LANÇ_MOV[EMPRESA],$C$4,LANÇ_MOV[CENTRO DE CUSTOS],$D$4)</f>
        <v>0</v>
      </c>
      <c r="K1008" s="206">
        <f>SUMIFS(LANÇ_MOV[VALOR LÍQUIDO],LANÇ_MOV[RECEITA OU DESPESA],"Despesa",LANÇ_MOV[CONTAS],$C1008,LANÇ_MOV[PLANO DE CONTAS],REL_DRE_FINANCEIRO!$B$957,LANÇ_MOV[ANO PAGAMENTO],$B$4,LANÇ_MOV[MÊS PAGAMENTO CORRESPONDENTE],K$6,LANÇ_MOV[EMPRESA],$C$4,LANÇ_MOV[CENTRO DE CUSTOS],$D$4)</f>
        <v>0</v>
      </c>
      <c r="L1008" s="206">
        <f>SUMIFS(LANÇ_MOV[VALOR LÍQUIDO],LANÇ_MOV[RECEITA OU DESPESA],"Despesa",LANÇ_MOV[CONTAS],$C1008,LANÇ_MOV[PLANO DE CONTAS],REL_DRE_FINANCEIRO!$B$957,LANÇ_MOV[ANO PAGAMENTO],$B$4,LANÇ_MOV[MÊS PAGAMENTO CORRESPONDENTE],L$6,LANÇ_MOV[EMPRESA],$C$4,LANÇ_MOV[CENTRO DE CUSTOS],$D$4)</f>
        <v>0</v>
      </c>
      <c r="M1008" s="206">
        <f>SUMIFS(LANÇ_MOV[VALOR LÍQUIDO],LANÇ_MOV[RECEITA OU DESPESA],"Despesa",LANÇ_MOV[CONTAS],$C1008,LANÇ_MOV[PLANO DE CONTAS],REL_DRE_FINANCEIRO!$B$957,LANÇ_MOV[ANO PAGAMENTO],$B$4,LANÇ_MOV[MÊS PAGAMENTO CORRESPONDENTE],M$6,LANÇ_MOV[EMPRESA],$C$4,LANÇ_MOV[CENTRO DE CUSTOS],$D$4)</f>
        <v>0</v>
      </c>
      <c r="N1008" s="206">
        <f>SUMIFS(LANÇ_MOV[VALOR LÍQUIDO],LANÇ_MOV[RECEITA OU DESPESA],"Despesa",LANÇ_MOV[CONTAS],$C1008,LANÇ_MOV[PLANO DE CONTAS],REL_DRE_FINANCEIRO!$B$957,LANÇ_MOV[ANO PAGAMENTO],$B$4,LANÇ_MOV[MÊS PAGAMENTO CORRESPONDENTE],N$6,LANÇ_MOV[EMPRESA],$C$4,LANÇ_MOV[CENTRO DE CUSTOS],$D$4)</f>
        <v>0</v>
      </c>
      <c r="O1008" s="206">
        <f>SUMIFS(LANÇ_MOV[VALOR LÍQUIDO],LANÇ_MOV[RECEITA OU DESPESA],"Despesa",LANÇ_MOV[CONTAS],$C1008,LANÇ_MOV[PLANO DE CONTAS],REL_DRE_FINANCEIRO!$B$957,LANÇ_MOV[ANO PAGAMENTO],$B$4,LANÇ_MOV[MÊS PAGAMENTO CORRESPONDENTE],O$6,LANÇ_MOV[EMPRESA],$C$4,LANÇ_MOV[CENTRO DE CUSTOS],$D$4)</f>
        <v>0</v>
      </c>
      <c r="P1008" s="207">
        <f t="shared" si="122"/>
        <v>0</v>
      </c>
      <c r="Q1008" s="329">
        <v>5.0000000000000004E-6</v>
      </c>
      <c r="R1008" s="346">
        <f t="shared" si="123"/>
        <v>5.0000000000000004E-6</v>
      </c>
      <c r="S1008" s="347" t="str">
        <f t="shared" si="124"/>
        <v>-</v>
      </c>
      <c r="T1008" s="347">
        <f t="shared" si="125"/>
        <v>0</v>
      </c>
      <c r="U1008" s="347">
        <f>HLOOKUP(Apoio!$P$12,$D$956:$P$1057,X1008,FALSE)+Q1008</f>
        <v>5.0000000000000004E-6</v>
      </c>
      <c r="V1008" s="447" t="str">
        <f t="shared" si="126"/>
        <v>-</v>
      </c>
      <c r="W1008" s="448">
        <f>HLOOKUP(Apoio!$P$12,$D$956:$P$1057,X1008,FALSE)</f>
        <v>0</v>
      </c>
      <c r="X1008" s="329">
        <v>53</v>
      </c>
    </row>
    <row r="1009" spans="2:24" ht="30.05" customHeight="1" x14ac:dyDescent="0.35">
      <c r="B1009" s="204" t="str">
        <f>'CAD_PL_REC-DESP'!AF56</f>
        <v>2.8.52</v>
      </c>
      <c r="C1009" s="205" t="str">
        <f>IF('CAD_PL_REC-DESP'!AG56="","-",'CAD_PL_REC-DESP'!AG56)</f>
        <v>-</v>
      </c>
      <c r="D1009" s="206">
        <f>SUMIFS(LANÇ_MOV[VALOR LÍQUIDO],LANÇ_MOV[RECEITA OU DESPESA],"Despesa",LANÇ_MOV[CONTAS],$C1009,LANÇ_MOV[PLANO DE CONTAS],REL_DRE_FINANCEIRO!$B$957,LANÇ_MOV[ANO PAGAMENTO],$B$4,LANÇ_MOV[MÊS PAGAMENTO CORRESPONDENTE],D$6,LANÇ_MOV[EMPRESA],$C$4,LANÇ_MOV[CENTRO DE CUSTOS],$D$4)</f>
        <v>0</v>
      </c>
      <c r="E1009" s="206">
        <f>SUMIFS(LANÇ_MOV[VALOR LÍQUIDO],LANÇ_MOV[RECEITA OU DESPESA],"Despesa",LANÇ_MOV[CONTAS],$C1009,LANÇ_MOV[PLANO DE CONTAS],REL_DRE_FINANCEIRO!$B$957,LANÇ_MOV[ANO PAGAMENTO],$B$4,LANÇ_MOV[MÊS PAGAMENTO CORRESPONDENTE],E$6,LANÇ_MOV[EMPRESA],$C$4,LANÇ_MOV[CENTRO DE CUSTOS],$D$4)</f>
        <v>0</v>
      </c>
      <c r="F1009" s="206">
        <f>SUMIFS(LANÇ_MOV[VALOR LÍQUIDO],LANÇ_MOV[RECEITA OU DESPESA],"Despesa",LANÇ_MOV[CONTAS],$C1009,LANÇ_MOV[PLANO DE CONTAS],REL_DRE_FINANCEIRO!$B$957,LANÇ_MOV[ANO PAGAMENTO],$B$4,LANÇ_MOV[MÊS PAGAMENTO CORRESPONDENTE],F$6,LANÇ_MOV[EMPRESA],$C$4,LANÇ_MOV[CENTRO DE CUSTOS],$D$4)</f>
        <v>0</v>
      </c>
      <c r="G1009" s="206">
        <f>SUMIFS(LANÇ_MOV[VALOR LÍQUIDO],LANÇ_MOV[RECEITA OU DESPESA],"Despesa",LANÇ_MOV[CONTAS],$C1009,LANÇ_MOV[PLANO DE CONTAS],REL_DRE_FINANCEIRO!$B$957,LANÇ_MOV[ANO PAGAMENTO],$B$4,LANÇ_MOV[MÊS PAGAMENTO CORRESPONDENTE],G$6,LANÇ_MOV[EMPRESA],$C$4,LANÇ_MOV[CENTRO DE CUSTOS],$D$4)</f>
        <v>0</v>
      </c>
      <c r="H1009" s="206">
        <f>SUMIFS(LANÇ_MOV[VALOR LÍQUIDO],LANÇ_MOV[RECEITA OU DESPESA],"Despesa",LANÇ_MOV[CONTAS],$C1009,LANÇ_MOV[PLANO DE CONTAS],REL_DRE_FINANCEIRO!$B$957,LANÇ_MOV[ANO PAGAMENTO],$B$4,LANÇ_MOV[MÊS PAGAMENTO CORRESPONDENTE],H$6,LANÇ_MOV[EMPRESA],$C$4,LANÇ_MOV[CENTRO DE CUSTOS],$D$4)</f>
        <v>0</v>
      </c>
      <c r="I1009" s="206">
        <f>SUMIFS(LANÇ_MOV[VALOR LÍQUIDO],LANÇ_MOV[RECEITA OU DESPESA],"Despesa",LANÇ_MOV[CONTAS],$C1009,LANÇ_MOV[PLANO DE CONTAS],REL_DRE_FINANCEIRO!$B$957,LANÇ_MOV[ANO PAGAMENTO],$B$4,LANÇ_MOV[MÊS PAGAMENTO CORRESPONDENTE],I$6,LANÇ_MOV[EMPRESA],$C$4,LANÇ_MOV[CENTRO DE CUSTOS],$D$4)</f>
        <v>0</v>
      </c>
      <c r="J1009" s="206">
        <f>SUMIFS(LANÇ_MOV[VALOR LÍQUIDO],LANÇ_MOV[RECEITA OU DESPESA],"Despesa",LANÇ_MOV[CONTAS],$C1009,LANÇ_MOV[PLANO DE CONTAS],REL_DRE_FINANCEIRO!$B$957,LANÇ_MOV[ANO PAGAMENTO],$B$4,LANÇ_MOV[MÊS PAGAMENTO CORRESPONDENTE],J$6,LANÇ_MOV[EMPRESA],$C$4,LANÇ_MOV[CENTRO DE CUSTOS],$D$4)</f>
        <v>0</v>
      </c>
      <c r="K1009" s="206">
        <f>SUMIFS(LANÇ_MOV[VALOR LÍQUIDO],LANÇ_MOV[RECEITA OU DESPESA],"Despesa",LANÇ_MOV[CONTAS],$C1009,LANÇ_MOV[PLANO DE CONTAS],REL_DRE_FINANCEIRO!$B$957,LANÇ_MOV[ANO PAGAMENTO],$B$4,LANÇ_MOV[MÊS PAGAMENTO CORRESPONDENTE],K$6,LANÇ_MOV[EMPRESA],$C$4,LANÇ_MOV[CENTRO DE CUSTOS],$D$4)</f>
        <v>0</v>
      </c>
      <c r="L1009" s="206">
        <f>SUMIFS(LANÇ_MOV[VALOR LÍQUIDO],LANÇ_MOV[RECEITA OU DESPESA],"Despesa",LANÇ_MOV[CONTAS],$C1009,LANÇ_MOV[PLANO DE CONTAS],REL_DRE_FINANCEIRO!$B$957,LANÇ_MOV[ANO PAGAMENTO],$B$4,LANÇ_MOV[MÊS PAGAMENTO CORRESPONDENTE],L$6,LANÇ_MOV[EMPRESA],$C$4,LANÇ_MOV[CENTRO DE CUSTOS],$D$4)</f>
        <v>0</v>
      </c>
      <c r="M1009" s="206">
        <f>SUMIFS(LANÇ_MOV[VALOR LÍQUIDO],LANÇ_MOV[RECEITA OU DESPESA],"Despesa",LANÇ_MOV[CONTAS],$C1009,LANÇ_MOV[PLANO DE CONTAS],REL_DRE_FINANCEIRO!$B$957,LANÇ_MOV[ANO PAGAMENTO],$B$4,LANÇ_MOV[MÊS PAGAMENTO CORRESPONDENTE],M$6,LANÇ_MOV[EMPRESA],$C$4,LANÇ_MOV[CENTRO DE CUSTOS],$D$4)</f>
        <v>0</v>
      </c>
      <c r="N1009" s="206">
        <f>SUMIFS(LANÇ_MOV[VALOR LÍQUIDO],LANÇ_MOV[RECEITA OU DESPESA],"Despesa",LANÇ_MOV[CONTAS],$C1009,LANÇ_MOV[PLANO DE CONTAS],REL_DRE_FINANCEIRO!$B$957,LANÇ_MOV[ANO PAGAMENTO],$B$4,LANÇ_MOV[MÊS PAGAMENTO CORRESPONDENTE],N$6,LANÇ_MOV[EMPRESA],$C$4,LANÇ_MOV[CENTRO DE CUSTOS],$D$4)</f>
        <v>0</v>
      </c>
      <c r="O1009" s="206">
        <f>SUMIFS(LANÇ_MOV[VALOR LÍQUIDO],LANÇ_MOV[RECEITA OU DESPESA],"Despesa",LANÇ_MOV[CONTAS],$C1009,LANÇ_MOV[PLANO DE CONTAS],REL_DRE_FINANCEIRO!$B$957,LANÇ_MOV[ANO PAGAMENTO],$B$4,LANÇ_MOV[MÊS PAGAMENTO CORRESPONDENTE],O$6,LANÇ_MOV[EMPRESA],$C$4,LANÇ_MOV[CENTRO DE CUSTOS],$D$4)</f>
        <v>0</v>
      </c>
      <c r="P1009" s="207">
        <f t="shared" si="122"/>
        <v>0</v>
      </c>
      <c r="Q1009" s="329">
        <v>4.8999999999999997E-6</v>
      </c>
      <c r="R1009" s="346">
        <f t="shared" si="123"/>
        <v>4.8999999999999997E-6</v>
      </c>
      <c r="S1009" s="347" t="str">
        <f t="shared" si="124"/>
        <v>-</v>
      </c>
      <c r="T1009" s="347">
        <f t="shared" si="125"/>
        <v>0</v>
      </c>
      <c r="U1009" s="347">
        <f>HLOOKUP(Apoio!$P$12,$D$956:$P$1057,X1009,FALSE)+Q1009</f>
        <v>4.8999999999999997E-6</v>
      </c>
      <c r="V1009" s="447" t="str">
        <f t="shared" si="126"/>
        <v>-</v>
      </c>
      <c r="W1009" s="448">
        <f>HLOOKUP(Apoio!$P$12,$D$956:$P$1057,X1009,FALSE)</f>
        <v>0</v>
      </c>
      <c r="X1009" s="329">
        <v>54</v>
      </c>
    </row>
    <row r="1010" spans="2:24" ht="30.05" customHeight="1" x14ac:dyDescent="0.35">
      <c r="B1010" s="204" t="str">
        <f>'CAD_PL_REC-DESP'!AF57</f>
        <v>2.8.53</v>
      </c>
      <c r="C1010" s="205" t="str">
        <f>IF('CAD_PL_REC-DESP'!AG57="","-",'CAD_PL_REC-DESP'!AG57)</f>
        <v>-</v>
      </c>
      <c r="D1010" s="206">
        <f>SUMIFS(LANÇ_MOV[VALOR LÍQUIDO],LANÇ_MOV[RECEITA OU DESPESA],"Despesa",LANÇ_MOV[CONTAS],$C1010,LANÇ_MOV[PLANO DE CONTAS],REL_DRE_FINANCEIRO!$B$957,LANÇ_MOV[ANO PAGAMENTO],$B$4,LANÇ_MOV[MÊS PAGAMENTO CORRESPONDENTE],D$6,LANÇ_MOV[EMPRESA],$C$4,LANÇ_MOV[CENTRO DE CUSTOS],$D$4)</f>
        <v>0</v>
      </c>
      <c r="E1010" s="206">
        <f>SUMIFS(LANÇ_MOV[VALOR LÍQUIDO],LANÇ_MOV[RECEITA OU DESPESA],"Despesa",LANÇ_MOV[CONTAS],$C1010,LANÇ_MOV[PLANO DE CONTAS],REL_DRE_FINANCEIRO!$B$957,LANÇ_MOV[ANO PAGAMENTO],$B$4,LANÇ_MOV[MÊS PAGAMENTO CORRESPONDENTE],E$6,LANÇ_MOV[EMPRESA],$C$4,LANÇ_MOV[CENTRO DE CUSTOS],$D$4)</f>
        <v>0</v>
      </c>
      <c r="F1010" s="206">
        <f>SUMIFS(LANÇ_MOV[VALOR LÍQUIDO],LANÇ_MOV[RECEITA OU DESPESA],"Despesa",LANÇ_MOV[CONTAS],$C1010,LANÇ_MOV[PLANO DE CONTAS],REL_DRE_FINANCEIRO!$B$957,LANÇ_MOV[ANO PAGAMENTO],$B$4,LANÇ_MOV[MÊS PAGAMENTO CORRESPONDENTE],F$6,LANÇ_MOV[EMPRESA],$C$4,LANÇ_MOV[CENTRO DE CUSTOS],$D$4)</f>
        <v>0</v>
      </c>
      <c r="G1010" s="206">
        <f>SUMIFS(LANÇ_MOV[VALOR LÍQUIDO],LANÇ_MOV[RECEITA OU DESPESA],"Despesa",LANÇ_MOV[CONTAS],$C1010,LANÇ_MOV[PLANO DE CONTAS],REL_DRE_FINANCEIRO!$B$957,LANÇ_MOV[ANO PAGAMENTO],$B$4,LANÇ_MOV[MÊS PAGAMENTO CORRESPONDENTE],G$6,LANÇ_MOV[EMPRESA],$C$4,LANÇ_MOV[CENTRO DE CUSTOS],$D$4)</f>
        <v>0</v>
      </c>
      <c r="H1010" s="206">
        <f>SUMIFS(LANÇ_MOV[VALOR LÍQUIDO],LANÇ_MOV[RECEITA OU DESPESA],"Despesa",LANÇ_MOV[CONTAS],$C1010,LANÇ_MOV[PLANO DE CONTAS],REL_DRE_FINANCEIRO!$B$957,LANÇ_MOV[ANO PAGAMENTO],$B$4,LANÇ_MOV[MÊS PAGAMENTO CORRESPONDENTE],H$6,LANÇ_MOV[EMPRESA],$C$4,LANÇ_MOV[CENTRO DE CUSTOS],$D$4)</f>
        <v>0</v>
      </c>
      <c r="I1010" s="206">
        <f>SUMIFS(LANÇ_MOV[VALOR LÍQUIDO],LANÇ_MOV[RECEITA OU DESPESA],"Despesa",LANÇ_MOV[CONTAS],$C1010,LANÇ_MOV[PLANO DE CONTAS],REL_DRE_FINANCEIRO!$B$957,LANÇ_MOV[ANO PAGAMENTO],$B$4,LANÇ_MOV[MÊS PAGAMENTO CORRESPONDENTE],I$6,LANÇ_MOV[EMPRESA],$C$4,LANÇ_MOV[CENTRO DE CUSTOS],$D$4)</f>
        <v>0</v>
      </c>
      <c r="J1010" s="206">
        <f>SUMIFS(LANÇ_MOV[VALOR LÍQUIDO],LANÇ_MOV[RECEITA OU DESPESA],"Despesa",LANÇ_MOV[CONTAS],$C1010,LANÇ_MOV[PLANO DE CONTAS],REL_DRE_FINANCEIRO!$B$957,LANÇ_MOV[ANO PAGAMENTO],$B$4,LANÇ_MOV[MÊS PAGAMENTO CORRESPONDENTE],J$6,LANÇ_MOV[EMPRESA],$C$4,LANÇ_MOV[CENTRO DE CUSTOS],$D$4)</f>
        <v>0</v>
      </c>
      <c r="K1010" s="206">
        <f>SUMIFS(LANÇ_MOV[VALOR LÍQUIDO],LANÇ_MOV[RECEITA OU DESPESA],"Despesa",LANÇ_MOV[CONTAS],$C1010,LANÇ_MOV[PLANO DE CONTAS],REL_DRE_FINANCEIRO!$B$957,LANÇ_MOV[ANO PAGAMENTO],$B$4,LANÇ_MOV[MÊS PAGAMENTO CORRESPONDENTE],K$6,LANÇ_MOV[EMPRESA],$C$4,LANÇ_MOV[CENTRO DE CUSTOS],$D$4)</f>
        <v>0</v>
      </c>
      <c r="L1010" s="206">
        <f>SUMIFS(LANÇ_MOV[VALOR LÍQUIDO],LANÇ_MOV[RECEITA OU DESPESA],"Despesa",LANÇ_MOV[CONTAS],$C1010,LANÇ_MOV[PLANO DE CONTAS],REL_DRE_FINANCEIRO!$B$957,LANÇ_MOV[ANO PAGAMENTO],$B$4,LANÇ_MOV[MÊS PAGAMENTO CORRESPONDENTE],L$6,LANÇ_MOV[EMPRESA],$C$4,LANÇ_MOV[CENTRO DE CUSTOS],$D$4)</f>
        <v>0</v>
      </c>
      <c r="M1010" s="206">
        <f>SUMIFS(LANÇ_MOV[VALOR LÍQUIDO],LANÇ_MOV[RECEITA OU DESPESA],"Despesa",LANÇ_MOV[CONTAS],$C1010,LANÇ_MOV[PLANO DE CONTAS],REL_DRE_FINANCEIRO!$B$957,LANÇ_MOV[ANO PAGAMENTO],$B$4,LANÇ_MOV[MÊS PAGAMENTO CORRESPONDENTE],M$6,LANÇ_MOV[EMPRESA],$C$4,LANÇ_MOV[CENTRO DE CUSTOS],$D$4)</f>
        <v>0</v>
      </c>
      <c r="N1010" s="206">
        <f>SUMIFS(LANÇ_MOV[VALOR LÍQUIDO],LANÇ_MOV[RECEITA OU DESPESA],"Despesa",LANÇ_MOV[CONTAS],$C1010,LANÇ_MOV[PLANO DE CONTAS],REL_DRE_FINANCEIRO!$B$957,LANÇ_MOV[ANO PAGAMENTO],$B$4,LANÇ_MOV[MÊS PAGAMENTO CORRESPONDENTE],N$6,LANÇ_MOV[EMPRESA],$C$4,LANÇ_MOV[CENTRO DE CUSTOS],$D$4)</f>
        <v>0</v>
      </c>
      <c r="O1010" s="206">
        <f>SUMIFS(LANÇ_MOV[VALOR LÍQUIDO],LANÇ_MOV[RECEITA OU DESPESA],"Despesa",LANÇ_MOV[CONTAS],$C1010,LANÇ_MOV[PLANO DE CONTAS],REL_DRE_FINANCEIRO!$B$957,LANÇ_MOV[ANO PAGAMENTO],$B$4,LANÇ_MOV[MÊS PAGAMENTO CORRESPONDENTE],O$6,LANÇ_MOV[EMPRESA],$C$4,LANÇ_MOV[CENTRO DE CUSTOS],$D$4)</f>
        <v>0</v>
      </c>
      <c r="P1010" s="207">
        <f t="shared" si="122"/>
        <v>0</v>
      </c>
      <c r="Q1010" s="329">
        <v>4.7999999999999998E-6</v>
      </c>
      <c r="R1010" s="346">
        <f t="shared" si="123"/>
        <v>4.7999999999999998E-6</v>
      </c>
      <c r="S1010" s="347" t="str">
        <f t="shared" si="124"/>
        <v>-</v>
      </c>
      <c r="T1010" s="347">
        <f t="shared" si="125"/>
        <v>0</v>
      </c>
      <c r="U1010" s="347">
        <f>HLOOKUP(Apoio!$P$12,$D$956:$P$1057,X1010,FALSE)+Q1010</f>
        <v>4.7999999999999998E-6</v>
      </c>
      <c r="V1010" s="447" t="str">
        <f t="shared" si="126"/>
        <v>-</v>
      </c>
      <c r="W1010" s="448">
        <f>HLOOKUP(Apoio!$P$12,$D$956:$P$1057,X1010,FALSE)</f>
        <v>0</v>
      </c>
      <c r="X1010" s="329">
        <v>55</v>
      </c>
    </row>
    <row r="1011" spans="2:24" ht="30.05" customHeight="1" x14ac:dyDescent="0.35">
      <c r="B1011" s="204" t="str">
        <f>'CAD_PL_REC-DESP'!AF58</f>
        <v>2.8.54</v>
      </c>
      <c r="C1011" s="205" t="str">
        <f>IF('CAD_PL_REC-DESP'!AG58="","-",'CAD_PL_REC-DESP'!AG58)</f>
        <v>-</v>
      </c>
      <c r="D1011" s="206">
        <f>SUMIFS(LANÇ_MOV[VALOR LÍQUIDO],LANÇ_MOV[RECEITA OU DESPESA],"Despesa",LANÇ_MOV[CONTAS],$C1011,LANÇ_MOV[PLANO DE CONTAS],REL_DRE_FINANCEIRO!$B$957,LANÇ_MOV[ANO PAGAMENTO],$B$4,LANÇ_MOV[MÊS PAGAMENTO CORRESPONDENTE],D$6,LANÇ_MOV[EMPRESA],$C$4,LANÇ_MOV[CENTRO DE CUSTOS],$D$4)</f>
        <v>0</v>
      </c>
      <c r="E1011" s="206">
        <f>SUMIFS(LANÇ_MOV[VALOR LÍQUIDO],LANÇ_MOV[RECEITA OU DESPESA],"Despesa",LANÇ_MOV[CONTAS],$C1011,LANÇ_MOV[PLANO DE CONTAS],REL_DRE_FINANCEIRO!$B$957,LANÇ_MOV[ANO PAGAMENTO],$B$4,LANÇ_MOV[MÊS PAGAMENTO CORRESPONDENTE],E$6,LANÇ_MOV[EMPRESA],$C$4,LANÇ_MOV[CENTRO DE CUSTOS],$D$4)</f>
        <v>0</v>
      </c>
      <c r="F1011" s="206">
        <f>SUMIFS(LANÇ_MOV[VALOR LÍQUIDO],LANÇ_MOV[RECEITA OU DESPESA],"Despesa",LANÇ_MOV[CONTAS],$C1011,LANÇ_MOV[PLANO DE CONTAS],REL_DRE_FINANCEIRO!$B$957,LANÇ_MOV[ANO PAGAMENTO],$B$4,LANÇ_MOV[MÊS PAGAMENTO CORRESPONDENTE],F$6,LANÇ_MOV[EMPRESA],$C$4,LANÇ_MOV[CENTRO DE CUSTOS],$D$4)</f>
        <v>0</v>
      </c>
      <c r="G1011" s="206">
        <f>SUMIFS(LANÇ_MOV[VALOR LÍQUIDO],LANÇ_MOV[RECEITA OU DESPESA],"Despesa",LANÇ_MOV[CONTAS],$C1011,LANÇ_MOV[PLANO DE CONTAS],REL_DRE_FINANCEIRO!$B$957,LANÇ_MOV[ANO PAGAMENTO],$B$4,LANÇ_MOV[MÊS PAGAMENTO CORRESPONDENTE],G$6,LANÇ_MOV[EMPRESA],$C$4,LANÇ_MOV[CENTRO DE CUSTOS],$D$4)</f>
        <v>0</v>
      </c>
      <c r="H1011" s="206">
        <f>SUMIFS(LANÇ_MOV[VALOR LÍQUIDO],LANÇ_MOV[RECEITA OU DESPESA],"Despesa",LANÇ_MOV[CONTAS],$C1011,LANÇ_MOV[PLANO DE CONTAS],REL_DRE_FINANCEIRO!$B$957,LANÇ_MOV[ANO PAGAMENTO],$B$4,LANÇ_MOV[MÊS PAGAMENTO CORRESPONDENTE],H$6,LANÇ_MOV[EMPRESA],$C$4,LANÇ_MOV[CENTRO DE CUSTOS],$D$4)</f>
        <v>0</v>
      </c>
      <c r="I1011" s="206">
        <f>SUMIFS(LANÇ_MOV[VALOR LÍQUIDO],LANÇ_MOV[RECEITA OU DESPESA],"Despesa",LANÇ_MOV[CONTAS],$C1011,LANÇ_MOV[PLANO DE CONTAS],REL_DRE_FINANCEIRO!$B$957,LANÇ_MOV[ANO PAGAMENTO],$B$4,LANÇ_MOV[MÊS PAGAMENTO CORRESPONDENTE],I$6,LANÇ_MOV[EMPRESA],$C$4,LANÇ_MOV[CENTRO DE CUSTOS],$D$4)</f>
        <v>0</v>
      </c>
      <c r="J1011" s="206">
        <f>SUMIFS(LANÇ_MOV[VALOR LÍQUIDO],LANÇ_MOV[RECEITA OU DESPESA],"Despesa",LANÇ_MOV[CONTAS],$C1011,LANÇ_MOV[PLANO DE CONTAS],REL_DRE_FINANCEIRO!$B$957,LANÇ_MOV[ANO PAGAMENTO],$B$4,LANÇ_MOV[MÊS PAGAMENTO CORRESPONDENTE],J$6,LANÇ_MOV[EMPRESA],$C$4,LANÇ_MOV[CENTRO DE CUSTOS],$D$4)</f>
        <v>0</v>
      </c>
      <c r="K1011" s="206">
        <f>SUMIFS(LANÇ_MOV[VALOR LÍQUIDO],LANÇ_MOV[RECEITA OU DESPESA],"Despesa",LANÇ_MOV[CONTAS],$C1011,LANÇ_MOV[PLANO DE CONTAS],REL_DRE_FINANCEIRO!$B$957,LANÇ_MOV[ANO PAGAMENTO],$B$4,LANÇ_MOV[MÊS PAGAMENTO CORRESPONDENTE],K$6,LANÇ_MOV[EMPRESA],$C$4,LANÇ_MOV[CENTRO DE CUSTOS],$D$4)</f>
        <v>0</v>
      </c>
      <c r="L1011" s="206">
        <f>SUMIFS(LANÇ_MOV[VALOR LÍQUIDO],LANÇ_MOV[RECEITA OU DESPESA],"Despesa",LANÇ_MOV[CONTAS],$C1011,LANÇ_MOV[PLANO DE CONTAS],REL_DRE_FINANCEIRO!$B$957,LANÇ_MOV[ANO PAGAMENTO],$B$4,LANÇ_MOV[MÊS PAGAMENTO CORRESPONDENTE],L$6,LANÇ_MOV[EMPRESA],$C$4,LANÇ_MOV[CENTRO DE CUSTOS],$D$4)</f>
        <v>0</v>
      </c>
      <c r="M1011" s="206">
        <f>SUMIFS(LANÇ_MOV[VALOR LÍQUIDO],LANÇ_MOV[RECEITA OU DESPESA],"Despesa",LANÇ_MOV[CONTAS],$C1011,LANÇ_MOV[PLANO DE CONTAS],REL_DRE_FINANCEIRO!$B$957,LANÇ_MOV[ANO PAGAMENTO],$B$4,LANÇ_MOV[MÊS PAGAMENTO CORRESPONDENTE],M$6,LANÇ_MOV[EMPRESA],$C$4,LANÇ_MOV[CENTRO DE CUSTOS],$D$4)</f>
        <v>0</v>
      </c>
      <c r="N1011" s="206">
        <f>SUMIFS(LANÇ_MOV[VALOR LÍQUIDO],LANÇ_MOV[RECEITA OU DESPESA],"Despesa",LANÇ_MOV[CONTAS],$C1011,LANÇ_MOV[PLANO DE CONTAS],REL_DRE_FINANCEIRO!$B$957,LANÇ_MOV[ANO PAGAMENTO],$B$4,LANÇ_MOV[MÊS PAGAMENTO CORRESPONDENTE],N$6,LANÇ_MOV[EMPRESA],$C$4,LANÇ_MOV[CENTRO DE CUSTOS],$D$4)</f>
        <v>0</v>
      </c>
      <c r="O1011" s="206">
        <f>SUMIFS(LANÇ_MOV[VALOR LÍQUIDO],LANÇ_MOV[RECEITA OU DESPESA],"Despesa",LANÇ_MOV[CONTAS],$C1011,LANÇ_MOV[PLANO DE CONTAS],REL_DRE_FINANCEIRO!$B$957,LANÇ_MOV[ANO PAGAMENTO],$B$4,LANÇ_MOV[MÊS PAGAMENTO CORRESPONDENTE],O$6,LANÇ_MOV[EMPRESA],$C$4,LANÇ_MOV[CENTRO DE CUSTOS],$D$4)</f>
        <v>0</v>
      </c>
      <c r="P1011" s="207">
        <f t="shared" si="122"/>
        <v>0</v>
      </c>
      <c r="Q1011" s="329">
        <v>4.6999999999999999E-6</v>
      </c>
      <c r="R1011" s="346">
        <f t="shared" si="123"/>
        <v>4.6999999999999999E-6</v>
      </c>
      <c r="S1011" s="347" t="str">
        <f t="shared" si="124"/>
        <v>-</v>
      </c>
      <c r="T1011" s="347">
        <f t="shared" si="125"/>
        <v>0</v>
      </c>
      <c r="U1011" s="347">
        <f>HLOOKUP(Apoio!$P$12,$D$956:$P$1057,X1011,FALSE)+Q1011</f>
        <v>4.6999999999999999E-6</v>
      </c>
      <c r="V1011" s="447" t="str">
        <f t="shared" si="126"/>
        <v>-</v>
      </c>
      <c r="W1011" s="448">
        <f>HLOOKUP(Apoio!$P$12,$D$956:$P$1057,X1011,FALSE)</f>
        <v>0</v>
      </c>
      <c r="X1011" s="329">
        <v>56</v>
      </c>
    </row>
    <row r="1012" spans="2:24" ht="30.05" customHeight="1" x14ac:dyDescent="0.35">
      <c r="B1012" s="204" t="str">
        <f>'CAD_PL_REC-DESP'!AF59</f>
        <v>2.8.55</v>
      </c>
      <c r="C1012" s="205" t="str">
        <f>IF('CAD_PL_REC-DESP'!AG59="","-",'CAD_PL_REC-DESP'!AG59)</f>
        <v>-</v>
      </c>
      <c r="D1012" s="206">
        <f>SUMIFS(LANÇ_MOV[VALOR LÍQUIDO],LANÇ_MOV[RECEITA OU DESPESA],"Despesa",LANÇ_MOV[CONTAS],$C1012,LANÇ_MOV[PLANO DE CONTAS],REL_DRE_FINANCEIRO!$B$957,LANÇ_MOV[ANO PAGAMENTO],$B$4,LANÇ_MOV[MÊS PAGAMENTO CORRESPONDENTE],D$6,LANÇ_MOV[EMPRESA],$C$4,LANÇ_MOV[CENTRO DE CUSTOS],$D$4)</f>
        <v>0</v>
      </c>
      <c r="E1012" s="206">
        <f>SUMIFS(LANÇ_MOV[VALOR LÍQUIDO],LANÇ_MOV[RECEITA OU DESPESA],"Despesa",LANÇ_MOV[CONTAS],$C1012,LANÇ_MOV[PLANO DE CONTAS],REL_DRE_FINANCEIRO!$B$957,LANÇ_MOV[ANO PAGAMENTO],$B$4,LANÇ_MOV[MÊS PAGAMENTO CORRESPONDENTE],E$6,LANÇ_MOV[EMPRESA],$C$4,LANÇ_MOV[CENTRO DE CUSTOS],$D$4)</f>
        <v>0</v>
      </c>
      <c r="F1012" s="206">
        <f>SUMIFS(LANÇ_MOV[VALOR LÍQUIDO],LANÇ_MOV[RECEITA OU DESPESA],"Despesa",LANÇ_MOV[CONTAS],$C1012,LANÇ_MOV[PLANO DE CONTAS],REL_DRE_FINANCEIRO!$B$957,LANÇ_MOV[ANO PAGAMENTO],$B$4,LANÇ_MOV[MÊS PAGAMENTO CORRESPONDENTE],F$6,LANÇ_MOV[EMPRESA],$C$4,LANÇ_MOV[CENTRO DE CUSTOS],$D$4)</f>
        <v>0</v>
      </c>
      <c r="G1012" s="206">
        <f>SUMIFS(LANÇ_MOV[VALOR LÍQUIDO],LANÇ_MOV[RECEITA OU DESPESA],"Despesa",LANÇ_MOV[CONTAS],$C1012,LANÇ_MOV[PLANO DE CONTAS],REL_DRE_FINANCEIRO!$B$957,LANÇ_MOV[ANO PAGAMENTO],$B$4,LANÇ_MOV[MÊS PAGAMENTO CORRESPONDENTE],G$6,LANÇ_MOV[EMPRESA],$C$4,LANÇ_MOV[CENTRO DE CUSTOS],$D$4)</f>
        <v>0</v>
      </c>
      <c r="H1012" s="206">
        <f>SUMIFS(LANÇ_MOV[VALOR LÍQUIDO],LANÇ_MOV[RECEITA OU DESPESA],"Despesa",LANÇ_MOV[CONTAS],$C1012,LANÇ_MOV[PLANO DE CONTAS],REL_DRE_FINANCEIRO!$B$957,LANÇ_MOV[ANO PAGAMENTO],$B$4,LANÇ_MOV[MÊS PAGAMENTO CORRESPONDENTE],H$6,LANÇ_MOV[EMPRESA],$C$4,LANÇ_MOV[CENTRO DE CUSTOS],$D$4)</f>
        <v>0</v>
      </c>
      <c r="I1012" s="206">
        <f>SUMIFS(LANÇ_MOV[VALOR LÍQUIDO],LANÇ_MOV[RECEITA OU DESPESA],"Despesa",LANÇ_MOV[CONTAS],$C1012,LANÇ_MOV[PLANO DE CONTAS],REL_DRE_FINANCEIRO!$B$957,LANÇ_MOV[ANO PAGAMENTO],$B$4,LANÇ_MOV[MÊS PAGAMENTO CORRESPONDENTE],I$6,LANÇ_MOV[EMPRESA],$C$4,LANÇ_MOV[CENTRO DE CUSTOS],$D$4)</f>
        <v>0</v>
      </c>
      <c r="J1012" s="206">
        <f>SUMIFS(LANÇ_MOV[VALOR LÍQUIDO],LANÇ_MOV[RECEITA OU DESPESA],"Despesa",LANÇ_MOV[CONTAS],$C1012,LANÇ_MOV[PLANO DE CONTAS],REL_DRE_FINANCEIRO!$B$957,LANÇ_MOV[ANO PAGAMENTO],$B$4,LANÇ_MOV[MÊS PAGAMENTO CORRESPONDENTE],J$6,LANÇ_MOV[EMPRESA],$C$4,LANÇ_MOV[CENTRO DE CUSTOS],$D$4)</f>
        <v>0</v>
      </c>
      <c r="K1012" s="206">
        <f>SUMIFS(LANÇ_MOV[VALOR LÍQUIDO],LANÇ_MOV[RECEITA OU DESPESA],"Despesa",LANÇ_MOV[CONTAS],$C1012,LANÇ_MOV[PLANO DE CONTAS],REL_DRE_FINANCEIRO!$B$957,LANÇ_MOV[ANO PAGAMENTO],$B$4,LANÇ_MOV[MÊS PAGAMENTO CORRESPONDENTE],K$6,LANÇ_MOV[EMPRESA],$C$4,LANÇ_MOV[CENTRO DE CUSTOS],$D$4)</f>
        <v>0</v>
      </c>
      <c r="L1012" s="206">
        <f>SUMIFS(LANÇ_MOV[VALOR LÍQUIDO],LANÇ_MOV[RECEITA OU DESPESA],"Despesa",LANÇ_MOV[CONTAS],$C1012,LANÇ_MOV[PLANO DE CONTAS],REL_DRE_FINANCEIRO!$B$957,LANÇ_MOV[ANO PAGAMENTO],$B$4,LANÇ_MOV[MÊS PAGAMENTO CORRESPONDENTE],L$6,LANÇ_MOV[EMPRESA],$C$4,LANÇ_MOV[CENTRO DE CUSTOS],$D$4)</f>
        <v>0</v>
      </c>
      <c r="M1012" s="206">
        <f>SUMIFS(LANÇ_MOV[VALOR LÍQUIDO],LANÇ_MOV[RECEITA OU DESPESA],"Despesa",LANÇ_MOV[CONTAS],$C1012,LANÇ_MOV[PLANO DE CONTAS],REL_DRE_FINANCEIRO!$B$957,LANÇ_MOV[ANO PAGAMENTO],$B$4,LANÇ_MOV[MÊS PAGAMENTO CORRESPONDENTE],M$6,LANÇ_MOV[EMPRESA],$C$4,LANÇ_MOV[CENTRO DE CUSTOS],$D$4)</f>
        <v>0</v>
      </c>
      <c r="N1012" s="206">
        <f>SUMIFS(LANÇ_MOV[VALOR LÍQUIDO],LANÇ_MOV[RECEITA OU DESPESA],"Despesa",LANÇ_MOV[CONTAS],$C1012,LANÇ_MOV[PLANO DE CONTAS],REL_DRE_FINANCEIRO!$B$957,LANÇ_MOV[ANO PAGAMENTO],$B$4,LANÇ_MOV[MÊS PAGAMENTO CORRESPONDENTE],N$6,LANÇ_MOV[EMPRESA],$C$4,LANÇ_MOV[CENTRO DE CUSTOS],$D$4)</f>
        <v>0</v>
      </c>
      <c r="O1012" s="206">
        <f>SUMIFS(LANÇ_MOV[VALOR LÍQUIDO],LANÇ_MOV[RECEITA OU DESPESA],"Despesa",LANÇ_MOV[CONTAS],$C1012,LANÇ_MOV[PLANO DE CONTAS],REL_DRE_FINANCEIRO!$B$957,LANÇ_MOV[ANO PAGAMENTO],$B$4,LANÇ_MOV[MÊS PAGAMENTO CORRESPONDENTE],O$6,LANÇ_MOV[EMPRESA],$C$4,LANÇ_MOV[CENTRO DE CUSTOS],$D$4)</f>
        <v>0</v>
      </c>
      <c r="P1012" s="207">
        <f t="shared" si="122"/>
        <v>0</v>
      </c>
      <c r="Q1012" s="329">
        <v>4.6E-6</v>
      </c>
      <c r="R1012" s="346">
        <f t="shared" si="123"/>
        <v>4.6E-6</v>
      </c>
      <c r="S1012" s="347" t="str">
        <f t="shared" si="124"/>
        <v>-</v>
      </c>
      <c r="T1012" s="347">
        <f t="shared" si="125"/>
        <v>0</v>
      </c>
      <c r="U1012" s="347">
        <f>HLOOKUP(Apoio!$P$12,$D$956:$P$1057,X1012,FALSE)+Q1012</f>
        <v>4.6E-6</v>
      </c>
      <c r="V1012" s="447" t="str">
        <f t="shared" si="126"/>
        <v>-</v>
      </c>
      <c r="W1012" s="448">
        <f>HLOOKUP(Apoio!$P$12,$D$956:$P$1057,X1012,FALSE)</f>
        <v>0</v>
      </c>
      <c r="X1012" s="329">
        <v>57</v>
      </c>
    </row>
    <row r="1013" spans="2:24" ht="30.05" customHeight="1" x14ac:dyDescent="0.35">
      <c r="B1013" s="204" t="str">
        <f>'CAD_PL_REC-DESP'!AF60</f>
        <v>2.8.56</v>
      </c>
      <c r="C1013" s="205" t="str">
        <f>IF('CAD_PL_REC-DESP'!AG60="","-",'CAD_PL_REC-DESP'!AG60)</f>
        <v>-</v>
      </c>
      <c r="D1013" s="206">
        <f>SUMIFS(LANÇ_MOV[VALOR LÍQUIDO],LANÇ_MOV[RECEITA OU DESPESA],"Despesa",LANÇ_MOV[CONTAS],$C1013,LANÇ_MOV[PLANO DE CONTAS],REL_DRE_FINANCEIRO!$B$957,LANÇ_MOV[ANO PAGAMENTO],$B$4,LANÇ_MOV[MÊS PAGAMENTO CORRESPONDENTE],D$6,LANÇ_MOV[EMPRESA],$C$4,LANÇ_MOV[CENTRO DE CUSTOS],$D$4)</f>
        <v>0</v>
      </c>
      <c r="E1013" s="206">
        <f>SUMIFS(LANÇ_MOV[VALOR LÍQUIDO],LANÇ_MOV[RECEITA OU DESPESA],"Despesa",LANÇ_MOV[CONTAS],$C1013,LANÇ_MOV[PLANO DE CONTAS],REL_DRE_FINANCEIRO!$B$957,LANÇ_MOV[ANO PAGAMENTO],$B$4,LANÇ_MOV[MÊS PAGAMENTO CORRESPONDENTE],E$6,LANÇ_MOV[EMPRESA],$C$4,LANÇ_MOV[CENTRO DE CUSTOS],$D$4)</f>
        <v>0</v>
      </c>
      <c r="F1013" s="206">
        <f>SUMIFS(LANÇ_MOV[VALOR LÍQUIDO],LANÇ_MOV[RECEITA OU DESPESA],"Despesa",LANÇ_MOV[CONTAS],$C1013,LANÇ_MOV[PLANO DE CONTAS],REL_DRE_FINANCEIRO!$B$957,LANÇ_MOV[ANO PAGAMENTO],$B$4,LANÇ_MOV[MÊS PAGAMENTO CORRESPONDENTE],F$6,LANÇ_MOV[EMPRESA],$C$4,LANÇ_MOV[CENTRO DE CUSTOS],$D$4)</f>
        <v>0</v>
      </c>
      <c r="G1013" s="206">
        <f>SUMIFS(LANÇ_MOV[VALOR LÍQUIDO],LANÇ_MOV[RECEITA OU DESPESA],"Despesa",LANÇ_MOV[CONTAS],$C1013,LANÇ_MOV[PLANO DE CONTAS],REL_DRE_FINANCEIRO!$B$957,LANÇ_MOV[ANO PAGAMENTO],$B$4,LANÇ_MOV[MÊS PAGAMENTO CORRESPONDENTE],G$6,LANÇ_MOV[EMPRESA],$C$4,LANÇ_MOV[CENTRO DE CUSTOS],$D$4)</f>
        <v>0</v>
      </c>
      <c r="H1013" s="206">
        <f>SUMIFS(LANÇ_MOV[VALOR LÍQUIDO],LANÇ_MOV[RECEITA OU DESPESA],"Despesa",LANÇ_MOV[CONTAS],$C1013,LANÇ_MOV[PLANO DE CONTAS],REL_DRE_FINANCEIRO!$B$957,LANÇ_MOV[ANO PAGAMENTO],$B$4,LANÇ_MOV[MÊS PAGAMENTO CORRESPONDENTE],H$6,LANÇ_MOV[EMPRESA],$C$4,LANÇ_MOV[CENTRO DE CUSTOS],$D$4)</f>
        <v>0</v>
      </c>
      <c r="I1013" s="206">
        <f>SUMIFS(LANÇ_MOV[VALOR LÍQUIDO],LANÇ_MOV[RECEITA OU DESPESA],"Despesa",LANÇ_MOV[CONTAS],$C1013,LANÇ_MOV[PLANO DE CONTAS],REL_DRE_FINANCEIRO!$B$957,LANÇ_MOV[ANO PAGAMENTO],$B$4,LANÇ_MOV[MÊS PAGAMENTO CORRESPONDENTE],I$6,LANÇ_MOV[EMPRESA],$C$4,LANÇ_MOV[CENTRO DE CUSTOS],$D$4)</f>
        <v>0</v>
      </c>
      <c r="J1013" s="206">
        <f>SUMIFS(LANÇ_MOV[VALOR LÍQUIDO],LANÇ_MOV[RECEITA OU DESPESA],"Despesa",LANÇ_MOV[CONTAS],$C1013,LANÇ_MOV[PLANO DE CONTAS],REL_DRE_FINANCEIRO!$B$957,LANÇ_MOV[ANO PAGAMENTO],$B$4,LANÇ_MOV[MÊS PAGAMENTO CORRESPONDENTE],J$6,LANÇ_MOV[EMPRESA],$C$4,LANÇ_MOV[CENTRO DE CUSTOS],$D$4)</f>
        <v>0</v>
      </c>
      <c r="K1013" s="206">
        <f>SUMIFS(LANÇ_MOV[VALOR LÍQUIDO],LANÇ_MOV[RECEITA OU DESPESA],"Despesa",LANÇ_MOV[CONTAS],$C1013,LANÇ_MOV[PLANO DE CONTAS],REL_DRE_FINANCEIRO!$B$957,LANÇ_MOV[ANO PAGAMENTO],$B$4,LANÇ_MOV[MÊS PAGAMENTO CORRESPONDENTE],K$6,LANÇ_MOV[EMPRESA],$C$4,LANÇ_MOV[CENTRO DE CUSTOS],$D$4)</f>
        <v>0</v>
      </c>
      <c r="L1013" s="206">
        <f>SUMIFS(LANÇ_MOV[VALOR LÍQUIDO],LANÇ_MOV[RECEITA OU DESPESA],"Despesa",LANÇ_MOV[CONTAS],$C1013,LANÇ_MOV[PLANO DE CONTAS],REL_DRE_FINANCEIRO!$B$957,LANÇ_MOV[ANO PAGAMENTO],$B$4,LANÇ_MOV[MÊS PAGAMENTO CORRESPONDENTE],L$6,LANÇ_MOV[EMPRESA],$C$4,LANÇ_MOV[CENTRO DE CUSTOS],$D$4)</f>
        <v>0</v>
      </c>
      <c r="M1013" s="206">
        <f>SUMIFS(LANÇ_MOV[VALOR LÍQUIDO],LANÇ_MOV[RECEITA OU DESPESA],"Despesa",LANÇ_MOV[CONTAS],$C1013,LANÇ_MOV[PLANO DE CONTAS],REL_DRE_FINANCEIRO!$B$957,LANÇ_MOV[ANO PAGAMENTO],$B$4,LANÇ_MOV[MÊS PAGAMENTO CORRESPONDENTE],M$6,LANÇ_MOV[EMPRESA],$C$4,LANÇ_MOV[CENTRO DE CUSTOS],$D$4)</f>
        <v>0</v>
      </c>
      <c r="N1013" s="206">
        <f>SUMIFS(LANÇ_MOV[VALOR LÍQUIDO],LANÇ_MOV[RECEITA OU DESPESA],"Despesa",LANÇ_MOV[CONTAS],$C1013,LANÇ_MOV[PLANO DE CONTAS],REL_DRE_FINANCEIRO!$B$957,LANÇ_MOV[ANO PAGAMENTO],$B$4,LANÇ_MOV[MÊS PAGAMENTO CORRESPONDENTE],N$6,LANÇ_MOV[EMPRESA],$C$4,LANÇ_MOV[CENTRO DE CUSTOS],$D$4)</f>
        <v>0</v>
      </c>
      <c r="O1013" s="206">
        <f>SUMIFS(LANÇ_MOV[VALOR LÍQUIDO],LANÇ_MOV[RECEITA OU DESPESA],"Despesa",LANÇ_MOV[CONTAS],$C1013,LANÇ_MOV[PLANO DE CONTAS],REL_DRE_FINANCEIRO!$B$957,LANÇ_MOV[ANO PAGAMENTO],$B$4,LANÇ_MOV[MÊS PAGAMENTO CORRESPONDENTE],O$6,LANÇ_MOV[EMPRESA],$C$4,LANÇ_MOV[CENTRO DE CUSTOS],$D$4)</f>
        <v>0</v>
      </c>
      <c r="P1013" s="207">
        <f t="shared" si="122"/>
        <v>0</v>
      </c>
      <c r="Q1013" s="329">
        <v>4.5000000000000001E-6</v>
      </c>
      <c r="R1013" s="346">
        <f t="shared" si="123"/>
        <v>4.5000000000000001E-6</v>
      </c>
      <c r="S1013" s="347" t="str">
        <f t="shared" si="124"/>
        <v>-</v>
      </c>
      <c r="T1013" s="347">
        <f t="shared" si="125"/>
        <v>0</v>
      </c>
      <c r="U1013" s="347">
        <f>HLOOKUP(Apoio!$P$12,$D$956:$P$1057,X1013,FALSE)+Q1013</f>
        <v>4.5000000000000001E-6</v>
      </c>
      <c r="V1013" s="447" t="str">
        <f t="shared" si="126"/>
        <v>-</v>
      </c>
      <c r="W1013" s="448">
        <f>HLOOKUP(Apoio!$P$12,$D$956:$P$1057,X1013,FALSE)</f>
        <v>0</v>
      </c>
      <c r="X1013" s="329">
        <v>58</v>
      </c>
    </row>
    <row r="1014" spans="2:24" ht="30.05" customHeight="1" x14ac:dyDescent="0.35">
      <c r="B1014" s="204" t="str">
        <f>'CAD_PL_REC-DESP'!AF61</f>
        <v>2.8.57</v>
      </c>
      <c r="C1014" s="205" t="str">
        <f>IF('CAD_PL_REC-DESP'!AG61="","-",'CAD_PL_REC-DESP'!AG61)</f>
        <v>-</v>
      </c>
      <c r="D1014" s="206">
        <f>SUMIFS(LANÇ_MOV[VALOR LÍQUIDO],LANÇ_MOV[RECEITA OU DESPESA],"Despesa",LANÇ_MOV[CONTAS],$C1014,LANÇ_MOV[PLANO DE CONTAS],REL_DRE_FINANCEIRO!$B$957,LANÇ_MOV[ANO PAGAMENTO],$B$4,LANÇ_MOV[MÊS PAGAMENTO CORRESPONDENTE],D$6,LANÇ_MOV[EMPRESA],$C$4,LANÇ_MOV[CENTRO DE CUSTOS],$D$4)</f>
        <v>0</v>
      </c>
      <c r="E1014" s="206">
        <f>SUMIFS(LANÇ_MOV[VALOR LÍQUIDO],LANÇ_MOV[RECEITA OU DESPESA],"Despesa",LANÇ_MOV[CONTAS],$C1014,LANÇ_MOV[PLANO DE CONTAS],REL_DRE_FINANCEIRO!$B$957,LANÇ_MOV[ANO PAGAMENTO],$B$4,LANÇ_MOV[MÊS PAGAMENTO CORRESPONDENTE],E$6,LANÇ_MOV[EMPRESA],$C$4,LANÇ_MOV[CENTRO DE CUSTOS],$D$4)</f>
        <v>0</v>
      </c>
      <c r="F1014" s="206">
        <f>SUMIFS(LANÇ_MOV[VALOR LÍQUIDO],LANÇ_MOV[RECEITA OU DESPESA],"Despesa",LANÇ_MOV[CONTAS],$C1014,LANÇ_MOV[PLANO DE CONTAS],REL_DRE_FINANCEIRO!$B$957,LANÇ_MOV[ANO PAGAMENTO],$B$4,LANÇ_MOV[MÊS PAGAMENTO CORRESPONDENTE],F$6,LANÇ_MOV[EMPRESA],$C$4,LANÇ_MOV[CENTRO DE CUSTOS],$D$4)</f>
        <v>0</v>
      </c>
      <c r="G1014" s="206">
        <f>SUMIFS(LANÇ_MOV[VALOR LÍQUIDO],LANÇ_MOV[RECEITA OU DESPESA],"Despesa",LANÇ_MOV[CONTAS],$C1014,LANÇ_MOV[PLANO DE CONTAS],REL_DRE_FINANCEIRO!$B$957,LANÇ_MOV[ANO PAGAMENTO],$B$4,LANÇ_MOV[MÊS PAGAMENTO CORRESPONDENTE],G$6,LANÇ_MOV[EMPRESA],$C$4,LANÇ_MOV[CENTRO DE CUSTOS],$D$4)</f>
        <v>0</v>
      </c>
      <c r="H1014" s="206">
        <f>SUMIFS(LANÇ_MOV[VALOR LÍQUIDO],LANÇ_MOV[RECEITA OU DESPESA],"Despesa",LANÇ_MOV[CONTAS],$C1014,LANÇ_MOV[PLANO DE CONTAS],REL_DRE_FINANCEIRO!$B$957,LANÇ_MOV[ANO PAGAMENTO],$B$4,LANÇ_MOV[MÊS PAGAMENTO CORRESPONDENTE],H$6,LANÇ_MOV[EMPRESA],$C$4,LANÇ_MOV[CENTRO DE CUSTOS],$D$4)</f>
        <v>0</v>
      </c>
      <c r="I1014" s="206">
        <f>SUMIFS(LANÇ_MOV[VALOR LÍQUIDO],LANÇ_MOV[RECEITA OU DESPESA],"Despesa",LANÇ_MOV[CONTAS],$C1014,LANÇ_MOV[PLANO DE CONTAS],REL_DRE_FINANCEIRO!$B$957,LANÇ_MOV[ANO PAGAMENTO],$B$4,LANÇ_MOV[MÊS PAGAMENTO CORRESPONDENTE],I$6,LANÇ_MOV[EMPRESA],$C$4,LANÇ_MOV[CENTRO DE CUSTOS],$D$4)</f>
        <v>0</v>
      </c>
      <c r="J1014" s="206">
        <f>SUMIFS(LANÇ_MOV[VALOR LÍQUIDO],LANÇ_MOV[RECEITA OU DESPESA],"Despesa",LANÇ_MOV[CONTAS],$C1014,LANÇ_MOV[PLANO DE CONTAS],REL_DRE_FINANCEIRO!$B$957,LANÇ_MOV[ANO PAGAMENTO],$B$4,LANÇ_MOV[MÊS PAGAMENTO CORRESPONDENTE],J$6,LANÇ_MOV[EMPRESA],$C$4,LANÇ_MOV[CENTRO DE CUSTOS],$D$4)</f>
        <v>0</v>
      </c>
      <c r="K1014" s="206">
        <f>SUMIFS(LANÇ_MOV[VALOR LÍQUIDO],LANÇ_MOV[RECEITA OU DESPESA],"Despesa",LANÇ_MOV[CONTAS],$C1014,LANÇ_MOV[PLANO DE CONTAS],REL_DRE_FINANCEIRO!$B$957,LANÇ_MOV[ANO PAGAMENTO],$B$4,LANÇ_MOV[MÊS PAGAMENTO CORRESPONDENTE],K$6,LANÇ_MOV[EMPRESA],$C$4,LANÇ_MOV[CENTRO DE CUSTOS],$D$4)</f>
        <v>0</v>
      </c>
      <c r="L1014" s="206">
        <f>SUMIFS(LANÇ_MOV[VALOR LÍQUIDO],LANÇ_MOV[RECEITA OU DESPESA],"Despesa",LANÇ_MOV[CONTAS],$C1014,LANÇ_MOV[PLANO DE CONTAS],REL_DRE_FINANCEIRO!$B$957,LANÇ_MOV[ANO PAGAMENTO],$B$4,LANÇ_MOV[MÊS PAGAMENTO CORRESPONDENTE],L$6,LANÇ_MOV[EMPRESA],$C$4,LANÇ_MOV[CENTRO DE CUSTOS],$D$4)</f>
        <v>0</v>
      </c>
      <c r="M1014" s="206">
        <f>SUMIFS(LANÇ_MOV[VALOR LÍQUIDO],LANÇ_MOV[RECEITA OU DESPESA],"Despesa",LANÇ_MOV[CONTAS],$C1014,LANÇ_MOV[PLANO DE CONTAS],REL_DRE_FINANCEIRO!$B$957,LANÇ_MOV[ANO PAGAMENTO],$B$4,LANÇ_MOV[MÊS PAGAMENTO CORRESPONDENTE],M$6,LANÇ_MOV[EMPRESA],$C$4,LANÇ_MOV[CENTRO DE CUSTOS],$D$4)</f>
        <v>0</v>
      </c>
      <c r="N1014" s="206">
        <f>SUMIFS(LANÇ_MOV[VALOR LÍQUIDO],LANÇ_MOV[RECEITA OU DESPESA],"Despesa",LANÇ_MOV[CONTAS],$C1014,LANÇ_MOV[PLANO DE CONTAS],REL_DRE_FINANCEIRO!$B$957,LANÇ_MOV[ANO PAGAMENTO],$B$4,LANÇ_MOV[MÊS PAGAMENTO CORRESPONDENTE],N$6,LANÇ_MOV[EMPRESA],$C$4,LANÇ_MOV[CENTRO DE CUSTOS],$D$4)</f>
        <v>0</v>
      </c>
      <c r="O1014" s="206">
        <f>SUMIFS(LANÇ_MOV[VALOR LÍQUIDO],LANÇ_MOV[RECEITA OU DESPESA],"Despesa",LANÇ_MOV[CONTAS],$C1014,LANÇ_MOV[PLANO DE CONTAS],REL_DRE_FINANCEIRO!$B$957,LANÇ_MOV[ANO PAGAMENTO],$B$4,LANÇ_MOV[MÊS PAGAMENTO CORRESPONDENTE],O$6,LANÇ_MOV[EMPRESA],$C$4,LANÇ_MOV[CENTRO DE CUSTOS],$D$4)</f>
        <v>0</v>
      </c>
      <c r="P1014" s="207">
        <f t="shared" si="122"/>
        <v>0</v>
      </c>
      <c r="Q1014" s="329">
        <v>4.4000000000000002E-6</v>
      </c>
      <c r="R1014" s="346">
        <f t="shared" si="123"/>
        <v>4.4000000000000002E-6</v>
      </c>
      <c r="S1014" s="347" t="str">
        <f t="shared" si="124"/>
        <v>-</v>
      </c>
      <c r="T1014" s="347">
        <f t="shared" si="125"/>
        <v>0</v>
      </c>
      <c r="U1014" s="347">
        <f>HLOOKUP(Apoio!$P$12,$D$956:$P$1057,X1014,FALSE)+Q1014</f>
        <v>4.4000000000000002E-6</v>
      </c>
      <c r="V1014" s="447" t="str">
        <f t="shared" si="126"/>
        <v>-</v>
      </c>
      <c r="W1014" s="448">
        <f>HLOOKUP(Apoio!$P$12,$D$956:$P$1057,X1014,FALSE)</f>
        <v>0</v>
      </c>
      <c r="X1014" s="329">
        <v>59</v>
      </c>
    </row>
    <row r="1015" spans="2:24" ht="30.05" customHeight="1" x14ac:dyDescent="0.35">
      <c r="B1015" s="204" t="str">
        <f>'CAD_PL_REC-DESP'!AF62</f>
        <v>2.8.58</v>
      </c>
      <c r="C1015" s="205" t="str">
        <f>IF('CAD_PL_REC-DESP'!AG62="","-",'CAD_PL_REC-DESP'!AG62)</f>
        <v>-</v>
      </c>
      <c r="D1015" s="206">
        <f>SUMIFS(LANÇ_MOV[VALOR LÍQUIDO],LANÇ_MOV[RECEITA OU DESPESA],"Despesa",LANÇ_MOV[CONTAS],$C1015,LANÇ_MOV[PLANO DE CONTAS],REL_DRE_FINANCEIRO!$B$957,LANÇ_MOV[ANO PAGAMENTO],$B$4,LANÇ_MOV[MÊS PAGAMENTO CORRESPONDENTE],D$6,LANÇ_MOV[EMPRESA],$C$4,LANÇ_MOV[CENTRO DE CUSTOS],$D$4)</f>
        <v>0</v>
      </c>
      <c r="E1015" s="206">
        <f>SUMIFS(LANÇ_MOV[VALOR LÍQUIDO],LANÇ_MOV[RECEITA OU DESPESA],"Despesa",LANÇ_MOV[CONTAS],$C1015,LANÇ_MOV[PLANO DE CONTAS],REL_DRE_FINANCEIRO!$B$957,LANÇ_MOV[ANO PAGAMENTO],$B$4,LANÇ_MOV[MÊS PAGAMENTO CORRESPONDENTE],E$6,LANÇ_MOV[EMPRESA],$C$4,LANÇ_MOV[CENTRO DE CUSTOS],$D$4)</f>
        <v>0</v>
      </c>
      <c r="F1015" s="206">
        <f>SUMIFS(LANÇ_MOV[VALOR LÍQUIDO],LANÇ_MOV[RECEITA OU DESPESA],"Despesa",LANÇ_MOV[CONTAS],$C1015,LANÇ_MOV[PLANO DE CONTAS],REL_DRE_FINANCEIRO!$B$957,LANÇ_MOV[ANO PAGAMENTO],$B$4,LANÇ_MOV[MÊS PAGAMENTO CORRESPONDENTE],F$6,LANÇ_MOV[EMPRESA],$C$4,LANÇ_MOV[CENTRO DE CUSTOS],$D$4)</f>
        <v>0</v>
      </c>
      <c r="G1015" s="206">
        <f>SUMIFS(LANÇ_MOV[VALOR LÍQUIDO],LANÇ_MOV[RECEITA OU DESPESA],"Despesa",LANÇ_MOV[CONTAS],$C1015,LANÇ_MOV[PLANO DE CONTAS],REL_DRE_FINANCEIRO!$B$957,LANÇ_MOV[ANO PAGAMENTO],$B$4,LANÇ_MOV[MÊS PAGAMENTO CORRESPONDENTE],G$6,LANÇ_MOV[EMPRESA],$C$4,LANÇ_MOV[CENTRO DE CUSTOS],$D$4)</f>
        <v>0</v>
      </c>
      <c r="H1015" s="206">
        <f>SUMIFS(LANÇ_MOV[VALOR LÍQUIDO],LANÇ_MOV[RECEITA OU DESPESA],"Despesa",LANÇ_MOV[CONTAS],$C1015,LANÇ_MOV[PLANO DE CONTAS],REL_DRE_FINANCEIRO!$B$957,LANÇ_MOV[ANO PAGAMENTO],$B$4,LANÇ_MOV[MÊS PAGAMENTO CORRESPONDENTE],H$6,LANÇ_MOV[EMPRESA],$C$4,LANÇ_MOV[CENTRO DE CUSTOS],$D$4)</f>
        <v>0</v>
      </c>
      <c r="I1015" s="206">
        <f>SUMIFS(LANÇ_MOV[VALOR LÍQUIDO],LANÇ_MOV[RECEITA OU DESPESA],"Despesa",LANÇ_MOV[CONTAS],$C1015,LANÇ_MOV[PLANO DE CONTAS],REL_DRE_FINANCEIRO!$B$957,LANÇ_MOV[ANO PAGAMENTO],$B$4,LANÇ_MOV[MÊS PAGAMENTO CORRESPONDENTE],I$6,LANÇ_MOV[EMPRESA],$C$4,LANÇ_MOV[CENTRO DE CUSTOS],$D$4)</f>
        <v>0</v>
      </c>
      <c r="J1015" s="206">
        <f>SUMIFS(LANÇ_MOV[VALOR LÍQUIDO],LANÇ_MOV[RECEITA OU DESPESA],"Despesa",LANÇ_MOV[CONTAS],$C1015,LANÇ_MOV[PLANO DE CONTAS],REL_DRE_FINANCEIRO!$B$957,LANÇ_MOV[ANO PAGAMENTO],$B$4,LANÇ_MOV[MÊS PAGAMENTO CORRESPONDENTE],J$6,LANÇ_MOV[EMPRESA],$C$4,LANÇ_MOV[CENTRO DE CUSTOS],$D$4)</f>
        <v>0</v>
      </c>
      <c r="K1015" s="206">
        <f>SUMIFS(LANÇ_MOV[VALOR LÍQUIDO],LANÇ_MOV[RECEITA OU DESPESA],"Despesa",LANÇ_MOV[CONTAS],$C1015,LANÇ_MOV[PLANO DE CONTAS],REL_DRE_FINANCEIRO!$B$957,LANÇ_MOV[ANO PAGAMENTO],$B$4,LANÇ_MOV[MÊS PAGAMENTO CORRESPONDENTE],K$6,LANÇ_MOV[EMPRESA],$C$4,LANÇ_MOV[CENTRO DE CUSTOS],$D$4)</f>
        <v>0</v>
      </c>
      <c r="L1015" s="206">
        <f>SUMIFS(LANÇ_MOV[VALOR LÍQUIDO],LANÇ_MOV[RECEITA OU DESPESA],"Despesa",LANÇ_MOV[CONTAS],$C1015,LANÇ_MOV[PLANO DE CONTAS],REL_DRE_FINANCEIRO!$B$957,LANÇ_MOV[ANO PAGAMENTO],$B$4,LANÇ_MOV[MÊS PAGAMENTO CORRESPONDENTE],L$6,LANÇ_MOV[EMPRESA],$C$4,LANÇ_MOV[CENTRO DE CUSTOS],$D$4)</f>
        <v>0</v>
      </c>
      <c r="M1015" s="206">
        <f>SUMIFS(LANÇ_MOV[VALOR LÍQUIDO],LANÇ_MOV[RECEITA OU DESPESA],"Despesa",LANÇ_MOV[CONTAS],$C1015,LANÇ_MOV[PLANO DE CONTAS],REL_DRE_FINANCEIRO!$B$957,LANÇ_MOV[ANO PAGAMENTO],$B$4,LANÇ_MOV[MÊS PAGAMENTO CORRESPONDENTE],M$6,LANÇ_MOV[EMPRESA],$C$4,LANÇ_MOV[CENTRO DE CUSTOS],$D$4)</f>
        <v>0</v>
      </c>
      <c r="N1015" s="206">
        <f>SUMIFS(LANÇ_MOV[VALOR LÍQUIDO],LANÇ_MOV[RECEITA OU DESPESA],"Despesa",LANÇ_MOV[CONTAS],$C1015,LANÇ_MOV[PLANO DE CONTAS],REL_DRE_FINANCEIRO!$B$957,LANÇ_MOV[ANO PAGAMENTO],$B$4,LANÇ_MOV[MÊS PAGAMENTO CORRESPONDENTE],N$6,LANÇ_MOV[EMPRESA],$C$4,LANÇ_MOV[CENTRO DE CUSTOS],$D$4)</f>
        <v>0</v>
      </c>
      <c r="O1015" s="206">
        <f>SUMIFS(LANÇ_MOV[VALOR LÍQUIDO],LANÇ_MOV[RECEITA OU DESPESA],"Despesa",LANÇ_MOV[CONTAS],$C1015,LANÇ_MOV[PLANO DE CONTAS],REL_DRE_FINANCEIRO!$B$957,LANÇ_MOV[ANO PAGAMENTO],$B$4,LANÇ_MOV[MÊS PAGAMENTO CORRESPONDENTE],O$6,LANÇ_MOV[EMPRESA],$C$4,LANÇ_MOV[CENTRO DE CUSTOS],$D$4)</f>
        <v>0</v>
      </c>
      <c r="P1015" s="207">
        <f t="shared" si="122"/>
        <v>0</v>
      </c>
      <c r="Q1015" s="329">
        <v>4.3000000000000003E-6</v>
      </c>
      <c r="R1015" s="346">
        <f t="shared" si="123"/>
        <v>4.3000000000000003E-6</v>
      </c>
      <c r="S1015" s="347" t="str">
        <f t="shared" si="124"/>
        <v>-</v>
      </c>
      <c r="T1015" s="347">
        <f t="shared" si="125"/>
        <v>0</v>
      </c>
      <c r="U1015" s="347">
        <f>HLOOKUP(Apoio!$P$12,$D$956:$P$1057,X1015,FALSE)+Q1015</f>
        <v>4.3000000000000003E-6</v>
      </c>
      <c r="V1015" s="447" t="str">
        <f t="shared" si="126"/>
        <v>-</v>
      </c>
      <c r="W1015" s="448">
        <f>HLOOKUP(Apoio!$P$12,$D$956:$P$1057,X1015,FALSE)</f>
        <v>0</v>
      </c>
      <c r="X1015" s="329">
        <v>60</v>
      </c>
    </row>
    <row r="1016" spans="2:24" ht="30.05" customHeight="1" x14ac:dyDescent="0.35">
      <c r="B1016" s="204" t="str">
        <f>'CAD_PL_REC-DESP'!AF63</f>
        <v>2.8.59</v>
      </c>
      <c r="C1016" s="205" t="str">
        <f>IF('CAD_PL_REC-DESP'!AG63="","-",'CAD_PL_REC-DESP'!AG63)</f>
        <v>-</v>
      </c>
      <c r="D1016" s="206">
        <f>SUMIFS(LANÇ_MOV[VALOR LÍQUIDO],LANÇ_MOV[RECEITA OU DESPESA],"Despesa",LANÇ_MOV[CONTAS],$C1016,LANÇ_MOV[PLANO DE CONTAS],REL_DRE_FINANCEIRO!$B$957,LANÇ_MOV[ANO PAGAMENTO],$B$4,LANÇ_MOV[MÊS PAGAMENTO CORRESPONDENTE],D$6,LANÇ_MOV[EMPRESA],$C$4,LANÇ_MOV[CENTRO DE CUSTOS],$D$4)</f>
        <v>0</v>
      </c>
      <c r="E1016" s="206">
        <f>SUMIFS(LANÇ_MOV[VALOR LÍQUIDO],LANÇ_MOV[RECEITA OU DESPESA],"Despesa",LANÇ_MOV[CONTAS],$C1016,LANÇ_MOV[PLANO DE CONTAS],REL_DRE_FINANCEIRO!$B$957,LANÇ_MOV[ANO PAGAMENTO],$B$4,LANÇ_MOV[MÊS PAGAMENTO CORRESPONDENTE],E$6,LANÇ_MOV[EMPRESA],$C$4,LANÇ_MOV[CENTRO DE CUSTOS],$D$4)</f>
        <v>0</v>
      </c>
      <c r="F1016" s="206">
        <f>SUMIFS(LANÇ_MOV[VALOR LÍQUIDO],LANÇ_MOV[RECEITA OU DESPESA],"Despesa",LANÇ_MOV[CONTAS],$C1016,LANÇ_MOV[PLANO DE CONTAS],REL_DRE_FINANCEIRO!$B$957,LANÇ_MOV[ANO PAGAMENTO],$B$4,LANÇ_MOV[MÊS PAGAMENTO CORRESPONDENTE],F$6,LANÇ_MOV[EMPRESA],$C$4,LANÇ_MOV[CENTRO DE CUSTOS],$D$4)</f>
        <v>0</v>
      </c>
      <c r="G1016" s="206">
        <f>SUMIFS(LANÇ_MOV[VALOR LÍQUIDO],LANÇ_MOV[RECEITA OU DESPESA],"Despesa",LANÇ_MOV[CONTAS],$C1016,LANÇ_MOV[PLANO DE CONTAS],REL_DRE_FINANCEIRO!$B$957,LANÇ_MOV[ANO PAGAMENTO],$B$4,LANÇ_MOV[MÊS PAGAMENTO CORRESPONDENTE],G$6,LANÇ_MOV[EMPRESA],$C$4,LANÇ_MOV[CENTRO DE CUSTOS],$D$4)</f>
        <v>0</v>
      </c>
      <c r="H1016" s="206">
        <f>SUMIFS(LANÇ_MOV[VALOR LÍQUIDO],LANÇ_MOV[RECEITA OU DESPESA],"Despesa",LANÇ_MOV[CONTAS],$C1016,LANÇ_MOV[PLANO DE CONTAS],REL_DRE_FINANCEIRO!$B$957,LANÇ_MOV[ANO PAGAMENTO],$B$4,LANÇ_MOV[MÊS PAGAMENTO CORRESPONDENTE],H$6,LANÇ_MOV[EMPRESA],$C$4,LANÇ_MOV[CENTRO DE CUSTOS],$D$4)</f>
        <v>0</v>
      </c>
      <c r="I1016" s="206">
        <f>SUMIFS(LANÇ_MOV[VALOR LÍQUIDO],LANÇ_MOV[RECEITA OU DESPESA],"Despesa",LANÇ_MOV[CONTAS],$C1016,LANÇ_MOV[PLANO DE CONTAS],REL_DRE_FINANCEIRO!$B$957,LANÇ_MOV[ANO PAGAMENTO],$B$4,LANÇ_MOV[MÊS PAGAMENTO CORRESPONDENTE],I$6,LANÇ_MOV[EMPRESA],$C$4,LANÇ_MOV[CENTRO DE CUSTOS],$D$4)</f>
        <v>0</v>
      </c>
      <c r="J1016" s="206">
        <f>SUMIFS(LANÇ_MOV[VALOR LÍQUIDO],LANÇ_MOV[RECEITA OU DESPESA],"Despesa",LANÇ_MOV[CONTAS],$C1016,LANÇ_MOV[PLANO DE CONTAS],REL_DRE_FINANCEIRO!$B$957,LANÇ_MOV[ANO PAGAMENTO],$B$4,LANÇ_MOV[MÊS PAGAMENTO CORRESPONDENTE],J$6,LANÇ_MOV[EMPRESA],$C$4,LANÇ_MOV[CENTRO DE CUSTOS],$D$4)</f>
        <v>0</v>
      </c>
      <c r="K1016" s="206">
        <f>SUMIFS(LANÇ_MOV[VALOR LÍQUIDO],LANÇ_MOV[RECEITA OU DESPESA],"Despesa",LANÇ_MOV[CONTAS],$C1016,LANÇ_MOV[PLANO DE CONTAS],REL_DRE_FINANCEIRO!$B$957,LANÇ_MOV[ANO PAGAMENTO],$B$4,LANÇ_MOV[MÊS PAGAMENTO CORRESPONDENTE],K$6,LANÇ_MOV[EMPRESA],$C$4,LANÇ_MOV[CENTRO DE CUSTOS],$D$4)</f>
        <v>0</v>
      </c>
      <c r="L1016" s="206">
        <f>SUMIFS(LANÇ_MOV[VALOR LÍQUIDO],LANÇ_MOV[RECEITA OU DESPESA],"Despesa",LANÇ_MOV[CONTAS],$C1016,LANÇ_MOV[PLANO DE CONTAS],REL_DRE_FINANCEIRO!$B$957,LANÇ_MOV[ANO PAGAMENTO],$B$4,LANÇ_MOV[MÊS PAGAMENTO CORRESPONDENTE],L$6,LANÇ_MOV[EMPRESA],$C$4,LANÇ_MOV[CENTRO DE CUSTOS],$D$4)</f>
        <v>0</v>
      </c>
      <c r="M1016" s="206">
        <f>SUMIFS(LANÇ_MOV[VALOR LÍQUIDO],LANÇ_MOV[RECEITA OU DESPESA],"Despesa",LANÇ_MOV[CONTAS],$C1016,LANÇ_MOV[PLANO DE CONTAS],REL_DRE_FINANCEIRO!$B$957,LANÇ_MOV[ANO PAGAMENTO],$B$4,LANÇ_MOV[MÊS PAGAMENTO CORRESPONDENTE],M$6,LANÇ_MOV[EMPRESA],$C$4,LANÇ_MOV[CENTRO DE CUSTOS],$D$4)</f>
        <v>0</v>
      </c>
      <c r="N1016" s="206">
        <f>SUMIFS(LANÇ_MOV[VALOR LÍQUIDO],LANÇ_MOV[RECEITA OU DESPESA],"Despesa",LANÇ_MOV[CONTAS],$C1016,LANÇ_MOV[PLANO DE CONTAS],REL_DRE_FINANCEIRO!$B$957,LANÇ_MOV[ANO PAGAMENTO],$B$4,LANÇ_MOV[MÊS PAGAMENTO CORRESPONDENTE],N$6,LANÇ_MOV[EMPRESA],$C$4,LANÇ_MOV[CENTRO DE CUSTOS],$D$4)</f>
        <v>0</v>
      </c>
      <c r="O1016" s="206">
        <f>SUMIFS(LANÇ_MOV[VALOR LÍQUIDO],LANÇ_MOV[RECEITA OU DESPESA],"Despesa",LANÇ_MOV[CONTAS],$C1016,LANÇ_MOV[PLANO DE CONTAS],REL_DRE_FINANCEIRO!$B$957,LANÇ_MOV[ANO PAGAMENTO],$B$4,LANÇ_MOV[MÊS PAGAMENTO CORRESPONDENTE],O$6,LANÇ_MOV[EMPRESA],$C$4,LANÇ_MOV[CENTRO DE CUSTOS],$D$4)</f>
        <v>0</v>
      </c>
      <c r="P1016" s="207">
        <f t="shared" si="122"/>
        <v>0</v>
      </c>
      <c r="Q1016" s="329">
        <v>4.1999999999999996E-6</v>
      </c>
      <c r="R1016" s="346">
        <f t="shared" si="123"/>
        <v>4.1999999999999996E-6</v>
      </c>
      <c r="S1016" s="347" t="str">
        <f t="shared" si="124"/>
        <v>-</v>
      </c>
      <c r="T1016" s="347">
        <f t="shared" si="125"/>
        <v>0</v>
      </c>
      <c r="U1016" s="347">
        <f>HLOOKUP(Apoio!$P$12,$D$956:$P$1057,X1016,FALSE)+Q1016</f>
        <v>4.1999999999999996E-6</v>
      </c>
      <c r="V1016" s="447" t="str">
        <f t="shared" si="126"/>
        <v>-</v>
      </c>
      <c r="W1016" s="448">
        <f>HLOOKUP(Apoio!$P$12,$D$956:$P$1057,X1016,FALSE)</f>
        <v>0</v>
      </c>
      <c r="X1016" s="329">
        <v>61</v>
      </c>
    </row>
    <row r="1017" spans="2:24" ht="30.05" customHeight="1" x14ac:dyDescent="0.35">
      <c r="B1017" s="204" t="str">
        <f>'CAD_PL_REC-DESP'!AF64</f>
        <v>2.8.60</v>
      </c>
      <c r="C1017" s="205" t="str">
        <f>IF('CAD_PL_REC-DESP'!AG64="","-",'CAD_PL_REC-DESP'!AG64)</f>
        <v>-</v>
      </c>
      <c r="D1017" s="206">
        <f>SUMIFS(LANÇ_MOV[VALOR LÍQUIDO],LANÇ_MOV[RECEITA OU DESPESA],"Despesa",LANÇ_MOV[CONTAS],$C1017,LANÇ_MOV[PLANO DE CONTAS],REL_DRE_FINANCEIRO!$B$957,LANÇ_MOV[ANO PAGAMENTO],$B$4,LANÇ_MOV[MÊS PAGAMENTO CORRESPONDENTE],D$6,LANÇ_MOV[EMPRESA],$C$4,LANÇ_MOV[CENTRO DE CUSTOS],$D$4)</f>
        <v>0</v>
      </c>
      <c r="E1017" s="206">
        <f>SUMIFS(LANÇ_MOV[VALOR LÍQUIDO],LANÇ_MOV[RECEITA OU DESPESA],"Despesa",LANÇ_MOV[CONTAS],$C1017,LANÇ_MOV[PLANO DE CONTAS],REL_DRE_FINANCEIRO!$B$957,LANÇ_MOV[ANO PAGAMENTO],$B$4,LANÇ_MOV[MÊS PAGAMENTO CORRESPONDENTE],E$6,LANÇ_MOV[EMPRESA],$C$4,LANÇ_MOV[CENTRO DE CUSTOS],$D$4)</f>
        <v>0</v>
      </c>
      <c r="F1017" s="206">
        <f>SUMIFS(LANÇ_MOV[VALOR LÍQUIDO],LANÇ_MOV[RECEITA OU DESPESA],"Despesa",LANÇ_MOV[CONTAS],$C1017,LANÇ_MOV[PLANO DE CONTAS],REL_DRE_FINANCEIRO!$B$957,LANÇ_MOV[ANO PAGAMENTO],$B$4,LANÇ_MOV[MÊS PAGAMENTO CORRESPONDENTE],F$6,LANÇ_MOV[EMPRESA],$C$4,LANÇ_MOV[CENTRO DE CUSTOS],$D$4)</f>
        <v>0</v>
      </c>
      <c r="G1017" s="206">
        <f>SUMIFS(LANÇ_MOV[VALOR LÍQUIDO],LANÇ_MOV[RECEITA OU DESPESA],"Despesa",LANÇ_MOV[CONTAS],$C1017,LANÇ_MOV[PLANO DE CONTAS],REL_DRE_FINANCEIRO!$B$957,LANÇ_MOV[ANO PAGAMENTO],$B$4,LANÇ_MOV[MÊS PAGAMENTO CORRESPONDENTE],G$6,LANÇ_MOV[EMPRESA],$C$4,LANÇ_MOV[CENTRO DE CUSTOS],$D$4)</f>
        <v>0</v>
      </c>
      <c r="H1017" s="206">
        <f>SUMIFS(LANÇ_MOV[VALOR LÍQUIDO],LANÇ_MOV[RECEITA OU DESPESA],"Despesa",LANÇ_MOV[CONTAS],$C1017,LANÇ_MOV[PLANO DE CONTAS],REL_DRE_FINANCEIRO!$B$957,LANÇ_MOV[ANO PAGAMENTO],$B$4,LANÇ_MOV[MÊS PAGAMENTO CORRESPONDENTE],H$6,LANÇ_MOV[EMPRESA],$C$4,LANÇ_MOV[CENTRO DE CUSTOS],$D$4)</f>
        <v>0</v>
      </c>
      <c r="I1017" s="206">
        <f>SUMIFS(LANÇ_MOV[VALOR LÍQUIDO],LANÇ_MOV[RECEITA OU DESPESA],"Despesa",LANÇ_MOV[CONTAS],$C1017,LANÇ_MOV[PLANO DE CONTAS],REL_DRE_FINANCEIRO!$B$957,LANÇ_MOV[ANO PAGAMENTO],$B$4,LANÇ_MOV[MÊS PAGAMENTO CORRESPONDENTE],I$6,LANÇ_MOV[EMPRESA],$C$4,LANÇ_MOV[CENTRO DE CUSTOS],$D$4)</f>
        <v>0</v>
      </c>
      <c r="J1017" s="206">
        <f>SUMIFS(LANÇ_MOV[VALOR LÍQUIDO],LANÇ_MOV[RECEITA OU DESPESA],"Despesa",LANÇ_MOV[CONTAS],$C1017,LANÇ_MOV[PLANO DE CONTAS],REL_DRE_FINANCEIRO!$B$957,LANÇ_MOV[ANO PAGAMENTO],$B$4,LANÇ_MOV[MÊS PAGAMENTO CORRESPONDENTE],J$6,LANÇ_MOV[EMPRESA],$C$4,LANÇ_MOV[CENTRO DE CUSTOS],$D$4)</f>
        <v>0</v>
      </c>
      <c r="K1017" s="206">
        <f>SUMIFS(LANÇ_MOV[VALOR LÍQUIDO],LANÇ_MOV[RECEITA OU DESPESA],"Despesa",LANÇ_MOV[CONTAS],$C1017,LANÇ_MOV[PLANO DE CONTAS],REL_DRE_FINANCEIRO!$B$957,LANÇ_MOV[ANO PAGAMENTO],$B$4,LANÇ_MOV[MÊS PAGAMENTO CORRESPONDENTE],K$6,LANÇ_MOV[EMPRESA],$C$4,LANÇ_MOV[CENTRO DE CUSTOS],$D$4)</f>
        <v>0</v>
      </c>
      <c r="L1017" s="206">
        <f>SUMIFS(LANÇ_MOV[VALOR LÍQUIDO],LANÇ_MOV[RECEITA OU DESPESA],"Despesa",LANÇ_MOV[CONTAS],$C1017,LANÇ_MOV[PLANO DE CONTAS],REL_DRE_FINANCEIRO!$B$957,LANÇ_MOV[ANO PAGAMENTO],$B$4,LANÇ_MOV[MÊS PAGAMENTO CORRESPONDENTE],L$6,LANÇ_MOV[EMPRESA],$C$4,LANÇ_MOV[CENTRO DE CUSTOS],$D$4)</f>
        <v>0</v>
      </c>
      <c r="M1017" s="206">
        <f>SUMIFS(LANÇ_MOV[VALOR LÍQUIDO],LANÇ_MOV[RECEITA OU DESPESA],"Despesa",LANÇ_MOV[CONTAS],$C1017,LANÇ_MOV[PLANO DE CONTAS],REL_DRE_FINANCEIRO!$B$957,LANÇ_MOV[ANO PAGAMENTO],$B$4,LANÇ_MOV[MÊS PAGAMENTO CORRESPONDENTE],M$6,LANÇ_MOV[EMPRESA],$C$4,LANÇ_MOV[CENTRO DE CUSTOS],$D$4)</f>
        <v>0</v>
      </c>
      <c r="N1017" s="206">
        <f>SUMIFS(LANÇ_MOV[VALOR LÍQUIDO],LANÇ_MOV[RECEITA OU DESPESA],"Despesa",LANÇ_MOV[CONTAS],$C1017,LANÇ_MOV[PLANO DE CONTAS],REL_DRE_FINANCEIRO!$B$957,LANÇ_MOV[ANO PAGAMENTO],$B$4,LANÇ_MOV[MÊS PAGAMENTO CORRESPONDENTE],N$6,LANÇ_MOV[EMPRESA],$C$4,LANÇ_MOV[CENTRO DE CUSTOS],$D$4)</f>
        <v>0</v>
      </c>
      <c r="O1017" s="206">
        <f>SUMIFS(LANÇ_MOV[VALOR LÍQUIDO],LANÇ_MOV[RECEITA OU DESPESA],"Despesa",LANÇ_MOV[CONTAS],$C1017,LANÇ_MOV[PLANO DE CONTAS],REL_DRE_FINANCEIRO!$B$957,LANÇ_MOV[ANO PAGAMENTO],$B$4,LANÇ_MOV[MÊS PAGAMENTO CORRESPONDENTE],O$6,LANÇ_MOV[EMPRESA],$C$4,LANÇ_MOV[CENTRO DE CUSTOS],$D$4)</f>
        <v>0</v>
      </c>
      <c r="P1017" s="207">
        <f t="shared" si="122"/>
        <v>0</v>
      </c>
      <c r="Q1017" s="329">
        <v>4.0999999999999997E-6</v>
      </c>
      <c r="R1017" s="346">
        <f t="shared" si="123"/>
        <v>4.0999999999999997E-6</v>
      </c>
      <c r="S1017" s="347" t="str">
        <f t="shared" si="124"/>
        <v>-</v>
      </c>
      <c r="T1017" s="347">
        <f t="shared" si="125"/>
        <v>0</v>
      </c>
      <c r="U1017" s="347">
        <f>HLOOKUP(Apoio!$P$12,$D$956:$P$1057,X1017,FALSE)+Q1017</f>
        <v>4.0999999999999997E-6</v>
      </c>
      <c r="V1017" s="447" t="str">
        <f t="shared" si="126"/>
        <v>-</v>
      </c>
      <c r="W1017" s="448">
        <f>HLOOKUP(Apoio!$P$12,$D$956:$P$1057,X1017,FALSE)</f>
        <v>0</v>
      </c>
      <c r="X1017" s="329">
        <v>62</v>
      </c>
    </row>
    <row r="1018" spans="2:24" ht="30.05" customHeight="1" x14ac:dyDescent="0.35">
      <c r="B1018" s="204" t="str">
        <f>'CAD_PL_REC-DESP'!AF65</f>
        <v>2.8.61</v>
      </c>
      <c r="C1018" s="205" t="str">
        <f>IF('CAD_PL_REC-DESP'!AG65="","-",'CAD_PL_REC-DESP'!AG65)</f>
        <v>-</v>
      </c>
      <c r="D1018" s="206">
        <f>SUMIFS(LANÇ_MOV[VALOR LÍQUIDO],LANÇ_MOV[RECEITA OU DESPESA],"Despesa",LANÇ_MOV[CONTAS],$C1018,LANÇ_MOV[PLANO DE CONTAS],REL_DRE_FINANCEIRO!$B$957,LANÇ_MOV[ANO PAGAMENTO],$B$4,LANÇ_MOV[MÊS PAGAMENTO CORRESPONDENTE],D$6,LANÇ_MOV[EMPRESA],$C$4,LANÇ_MOV[CENTRO DE CUSTOS],$D$4)</f>
        <v>0</v>
      </c>
      <c r="E1018" s="206">
        <f>SUMIFS(LANÇ_MOV[VALOR LÍQUIDO],LANÇ_MOV[RECEITA OU DESPESA],"Despesa",LANÇ_MOV[CONTAS],$C1018,LANÇ_MOV[PLANO DE CONTAS],REL_DRE_FINANCEIRO!$B$957,LANÇ_MOV[ANO PAGAMENTO],$B$4,LANÇ_MOV[MÊS PAGAMENTO CORRESPONDENTE],E$6,LANÇ_MOV[EMPRESA],$C$4,LANÇ_MOV[CENTRO DE CUSTOS],$D$4)</f>
        <v>0</v>
      </c>
      <c r="F1018" s="206">
        <f>SUMIFS(LANÇ_MOV[VALOR LÍQUIDO],LANÇ_MOV[RECEITA OU DESPESA],"Despesa",LANÇ_MOV[CONTAS],$C1018,LANÇ_MOV[PLANO DE CONTAS],REL_DRE_FINANCEIRO!$B$957,LANÇ_MOV[ANO PAGAMENTO],$B$4,LANÇ_MOV[MÊS PAGAMENTO CORRESPONDENTE],F$6,LANÇ_MOV[EMPRESA],$C$4,LANÇ_MOV[CENTRO DE CUSTOS],$D$4)</f>
        <v>0</v>
      </c>
      <c r="G1018" s="206">
        <f>SUMIFS(LANÇ_MOV[VALOR LÍQUIDO],LANÇ_MOV[RECEITA OU DESPESA],"Despesa",LANÇ_MOV[CONTAS],$C1018,LANÇ_MOV[PLANO DE CONTAS],REL_DRE_FINANCEIRO!$B$957,LANÇ_MOV[ANO PAGAMENTO],$B$4,LANÇ_MOV[MÊS PAGAMENTO CORRESPONDENTE],G$6,LANÇ_MOV[EMPRESA],$C$4,LANÇ_MOV[CENTRO DE CUSTOS],$D$4)</f>
        <v>0</v>
      </c>
      <c r="H1018" s="206">
        <f>SUMIFS(LANÇ_MOV[VALOR LÍQUIDO],LANÇ_MOV[RECEITA OU DESPESA],"Despesa",LANÇ_MOV[CONTAS],$C1018,LANÇ_MOV[PLANO DE CONTAS],REL_DRE_FINANCEIRO!$B$957,LANÇ_MOV[ANO PAGAMENTO],$B$4,LANÇ_MOV[MÊS PAGAMENTO CORRESPONDENTE],H$6,LANÇ_MOV[EMPRESA],$C$4,LANÇ_MOV[CENTRO DE CUSTOS],$D$4)</f>
        <v>0</v>
      </c>
      <c r="I1018" s="206">
        <f>SUMIFS(LANÇ_MOV[VALOR LÍQUIDO],LANÇ_MOV[RECEITA OU DESPESA],"Despesa",LANÇ_MOV[CONTAS],$C1018,LANÇ_MOV[PLANO DE CONTAS],REL_DRE_FINANCEIRO!$B$957,LANÇ_MOV[ANO PAGAMENTO],$B$4,LANÇ_MOV[MÊS PAGAMENTO CORRESPONDENTE],I$6,LANÇ_MOV[EMPRESA],$C$4,LANÇ_MOV[CENTRO DE CUSTOS],$D$4)</f>
        <v>0</v>
      </c>
      <c r="J1018" s="206">
        <f>SUMIFS(LANÇ_MOV[VALOR LÍQUIDO],LANÇ_MOV[RECEITA OU DESPESA],"Despesa",LANÇ_MOV[CONTAS],$C1018,LANÇ_MOV[PLANO DE CONTAS],REL_DRE_FINANCEIRO!$B$957,LANÇ_MOV[ANO PAGAMENTO],$B$4,LANÇ_MOV[MÊS PAGAMENTO CORRESPONDENTE],J$6,LANÇ_MOV[EMPRESA],$C$4,LANÇ_MOV[CENTRO DE CUSTOS],$D$4)</f>
        <v>0</v>
      </c>
      <c r="K1018" s="206">
        <f>SUMIFS(LANÇ_MOV[VALOR LÍQUIDO],LANÇ_MOV[RECEITA OU DESPESA],"Despesa",LANÇ_MOV[CONTAS],$C1018,LANÇ_MOV[PLANO DE CONTAS],REL_DRE_FINANCEIRO!$B$957,LANÇ_MOV[ANO PAGAMENTO],$B$4,LANÇ_MOV[MÊS PAGAMENTO CORRESPONDENTE],K$6,LANÇ_MOV[EMPRESA],$C$4,LANÇ_MOV[CENTRO DE CUSTOS],$D$4)</f>
        <v>0</v>
      </c>
      <c r="L1018" s="206">
        <f>SUMIFS(LANÇ_MOV[VALOR LÍQUIDO],LANÇ_MOV[RECEITA OU DESPESA],"Despesa",LANÇ_MOV[CONTAS],$C1018,LANÇ_MOV[PLANO DE CONTAS],REL_DRE_FINANCEIRO!$B$957,LANÇ_MOV[ANO PAGAMENTO],$B$4,LANÇ_MOV[MÊS PAGAMENTO CORRESPONDENTE],L$6,LANÇ_MOV[EMPRESA],$C$4,LANÇ_MOV[CENTRO DE CUSTOS],$D$4)</f>
        <v>0</v>
      </c>
      <c r="M1018" s="206">
        <f>SUMIFS(LANÇ_MOV[VALOR LÍQUIDO],LANÇ_MOV[RECEITA OU DESPESA],"Despesa",LANÇ_MOV[CONTAS],$C1018,LANÇ_MOV[PLANO DE CONTAS],REL_DRE_FINANCEIRO!$B$957,LANÇ_MOV[ANO PAGAMENTO],$B$4,LANÇ_MOV[MÊS PAGAMENTO CORRESPONDENTE],M$6,LANÇ_MOV[EMPRESA],$C$4,LANÇ_MOV[CENTRO DE CUSTOS],$D$4)</f>
        <v>0</v>
      </c>
      <c r="N1018" s="206">
        <f>SUMIFS(LANÇ_MOV[VALOR LÍQUIDO],LANÇ_MOV[RECEITA OU DESPESA],"Despesa",LANÇ_MOV[CONTAS],$C1018,LANÇ_MOV[PLANO DE CONTAS],REL_DRE_FINANCEIRO!$B$957,LANÇ_MOV[ANO PAGAMENTO],$B$4,LANÇ_MOV[MÊS PAGAMENTO CORRESPONDENTE],N$6,LANÇ_MOV[EMPRESA],$C$4,LANÇ_MOV[CENTRO DE CUSTOS],$D$4)</f>
        <v>0</v>
      </c>
      <c r="O1018" s="206">
        <f>SUMIFS(LANÇ_MOV[VALOR LÍQUIDO],LANÇ_MOV[RECEITA OU DESPESA],"Despesa",LANÇ_MOV[CONTAS],$C1018,LANÇ_MOV[PLANO DE CONTAS],REL_DRE_FINANCEIRO!$B$957,LANÇ_MOV[ANO PAGAMENTO],$B$4,LANÇ_MOV[MÊS PAGAMENTO CORRESPONDENTE],O$6,LANÇ_MOV[EMPRESA],$C$4,LANÇ_MOV[CENTRO DE CUSTOS],$D$4)</f>
        <v>0</v>
      </c>
      <c r="P1018" s="207">
        <f t="shared" si="122"/>
        <v>0</v>
      </c>
      <c r="Q1018" s="329">
        <v>3.9999999999999998E-6</v>
      </c>
      <c r="R1018" s="346">
        <f t="shared" si="123"/>
        <v>3.9999999999999998E-6</v>
      </c>
      <c r="S1018" s="347" t="str">
        <f t="shared" si="124"/>
        <v>-</v>
      </c>
      <c r="T1018" s="347">
        <f t="shared" si="125"/>
        <v>0</v>
      </c>
      <c r="U1018" s="347">
        <f>HLOOKUP(Apoio!$P$12,$D$956:$P$1057,X1018,FALSE)+Q1018</f>
        <v>3.9999999999999998E-6</v>
      </c>
      <c r="V1018" s="447" t="str">
        <f t="shared" si="126"/>
        <v>-</v>
      </c>
      <c r="W1018" s="448">
        <f>HLOOKUP(Apoio!$P$12,$D$956:$P$1057,X1018,FALSE)</f>
        <v>0</v>
      </c>
      <c r="X1018" s="329">
        <v>63</v>
      </c>
    </row>
    <row r="1019" spans="2:24" ht="30.05" customHeight="1" x14ac:dyDescent="0.35">
      <c r="B1019" s="204" t="str">
        <f>'CAD_PL_REC-DESP'!AF66</f>
        <v>2.8.62</v>
      </c>
      <c r="C1019" s="205" t="str">
        <f>IF('CAD_PL_REC-DESP'!AG66="","-",'CAD_PL_REC-DESP'!AG66)</f>
        <v>-</v>
      </c>
      <c r="D1019" s="206">
        <f>SUMIFS(LANÇ_MOV[VALOR LÍQUIDO],LANÇ_MOV[RECEITA OU DESPESA],"Despesa",LANÇ_MOV[CONTAS],$C1019,LANÇ_MOV[PLANO DE CONTAS],REL_DRE_FINANCEIRO!$B$957,LANÇ_MOV[ANO PAGAMENTO],$B$4,LANÇ_MOV[MÊS PAGAMENTO CORRESPONDENTE],D$6,LANÇ_MOV[EMPRESA],$C$4,LANÇ_MOV[CENTRO DE CUSTOS],$D$4)</f>
        <v>0</v>
      </c>
      <c r="E1019" s="206">
        <f>SUMIFS(LANÇ_MOV[VALOR LÍQUIDO],LANÇ_MOV[RECEITA OU DESPESA],"Despesa",LANÇ_MOV[CONTAS],$C1019,LANÇ_MOV[PLANO DE CONTAS],REL_DRE_FINANCEIRO!$B$957,LANÇ_MOV[ANO PAGAMENTO],$B$4,LANÇ_MOV[MÊS PAGAMENTO CORRESPONDENTE],E$6,LANÇ_MOV[EMPRESA],$C$4,LANÇ_MOV[CENTRO DE CUSTOS],$D$4)</f>
        <v>0</v>
      </c>
      <c r="F1019" s="206">
        <f>SUMIFS(LANÇ_MOV[VALOR LÍQUIDO],LANÇ_MOV[RECEITA OU DESPESA],"Despesa",LANÇ_MOV[CONTAS],$C1019,LANÇ_MOV[PLANO DE CONTAS],REL_DRE_FINANCEIRO!$B$957,LANÇ_MOV[ANO PAGAMENTO],$B$4,LANÇ_MOV[MÊS PAGAMENTO CORRESPONDENTE],F$6,LANÇ_MOV[EMPRESA],$C$4,LANÇ_MOV[CENTRO DE CUSTOS],$D$4)</f>
        <v>0</v>
      </c>
      <c r="G1019" s="206">
        <f>SUMIFS(LANÇ_MOV[VALOR LÍQUIDO],LANÇ_MOV[RECEITA OU DESPESA],"Despesa",LANÇ_MOV[CONTAS],$C1019,LANÇ_MOV[PLANO DE CONTAS],REL_DRE_FINANCEIRO!$B$957,LANÇ_MOV[ANO PAGAMENTO],$B$4,LANÇ_MOV[MÊS PAGAMENTO CORRESPONDENTE],G$6,LANÇ_MOV[EMPRESA],$C$4,LANÇ_MOV[CENTRO DE CUSTOS],$D$4)</f>
        <v>0</v>
      </c>
      <c r="H1019" s="206">
        <f>SUMIFS(LANÇ_MOV[VALOR LÍQUIDO],LANÇ_MOV[RECEITA OU DESPESA],"Despesa",LANÇ_MOV[CONTAS],$C1019,LANÇ_MOV[PLANO DE CONTAS],REL_DRE_FINANCEIRO!$B$957,LANÇ_MOV[ANO PAGAMENTO],$B$4,LANÇ_MOV[MÊS PAGAMENTO CORRESPONDENTE],H$6,LANÇ_MOV[EMPRESA],$C$4,LANÇ_MOV[CENTRO DE CUSTOS],$D$4)</f>
        <v>0</v>
      </c>
      <c r="I1019" s="206">
        <f>SUMIFS(LANÇ_MOV[VALOR LÍQUIDO],LANÇ_MOV[RECEITA OU DESPESA],"Despesa",LANÇ_MOV[CONTAS],$C1019,LANÇ_MOV[PLANO DE CONTAS],REL_DRE_FINANCEIRO!$B$957,LANÇ_MOV[ANO PAGAMENTO],$B$4,LANÇ_MOV[MÊS PAGAMENTO CORRESPONDENTE],I$6,LANÇ_MOV[EMPRESA],$C$4,LANÇ_MOV[CENTRO DE CUSTOS],$D$4)</f>
        <v>0</v>
      </c>
      <c r="J1019" s="206">
        <f>SUMIFS(LANÇ_MOV[VALOR LÍQUIDO],LANÇ_MOV[RECEITA OU DESPESA],"Despesa",LANÇ_MOV[CONTAS],$C1019,LANÇ_MOV[PLANO DE CONTAS],REL_DRE_FINANCEIRO!$B$957,LANÇ_MOV[ANO PAGAMENTO],$B$4,LANÇ_MOV[MÊS PAGAMENTO CORRESPONDENTE],J$6,LANÇ_MOV[EMPRESA],$C$4,LANÇ_MOV[CENTRO DE CUSTOS],$D$4)</f>
        <v>0</v>
      </c>
      <c r="K1019" s="206">
        <f>SUMIFS(LANÇ_MOV[VALOR LÍQUIDO],LANÇ_MOV[RECEITA OU DESPESA],"Despesa",LANÇ_MOV[CONTAS],$C1019,LANÇ_MOV[PLANO DE CONTAS],REL_DRE_FINANCEIRO!$B$957,LANÇ_MOV[ANO PAGAMENTO],$B$4,LANÇ_MOV[MÊS PAGAMENTO CORRESPONDENTE],K$6,LANÇ_MOV[EMPRESA],$C$4,LANÇ_MOV[CENTRO DE CUSTOS],$D$4)</f>
        <v>0</v>
      </c>
      <c r="L1019" s="206">
        <f>SUMIFS(LANÇ_MOV[VALOR LÍQUIDO],LANÇ_MOV[RECEITA OU DESPESA],"Despesa",LANÇ_MOV[CONTAS],$C1019,LANÇ_MOV[PLANO DE CONTAS],REL_DRE_FINANCEIRO!$B$957,LANÇ_MOV[ANO PAGAMENTO],$B$4,LANÇ_MOV[MÊS PAGAMENTO CORRESPONDENTE],L$6,LANÇ_MOV[EMPRESA],$C$4,LANÇ_MOV[CENTRO DE CUSTOS],$D$4)</f>
        <v>0</v>
      </c>
      <c r="M1019" s="206">
        <f>SUMIFS(LANÇ_MOV[VALOR LÍQUIDO],LANÇ_MOV[RECEITA OU DESPESA],"Despesa",LANÇ_MOV[CONTAS],$C1019,LANÇ_MOV[PLANO DE CONTAS],REL_DRE_FINANCEIRO!$B$957,LANÇ_MOV[ANO PAGAMENTO],$B$4,LANÇ_MOV[MÊS PAGAMENTO CORRESPONDENTE],M$6,LANÇ_MOV[EMPRESA],$C$4,LANÇ_MOV[CENTRO DE CUSTOS],$D$4)</f>
        <v>0</v>
      </c>
      <c r="N1019" s="206">
        <f>SUMIFS(LANÇ_MOV[VALOR LÍQUIDO],LANÇ_MOV[RECEITA OU DESPESA],"Despesa",LANÇ_MOV[CONTAS],$C1019,LANÇ_MOV[PLANO DE CONTAS],REL_DRE_FINANCEIRO!$B$957,LANÇ_MOV[ANO PAGAMENTO],$B$4,LANÇ_MOV[MÊS PAGAMENTO CORRESPONDENTE],N$6,LANÇ_MOV[EMPRESA],$C$4,LANÇ_MOV[CENTRO DE CUSTOS],$D$4)</f>
        <v>0</v>
      </c>
      <c r="O1019" s="206">
        <f>SUMIFS(LANÇ_MOV[VALOR LÍQUIDO],LANÇ_MOV[RECEITA OU DESPESA],"Despesa",LANÇ_MOV[CONTAS],$C1019,LANÇ_MOV[PLANO DE CONTAS],REL_DRE_FINANCEIRO!$B$957,LANÇ_MOV[ANO PAGAMENTO],$B$4,LANÇ_MOV[MÊS PAGAMENTO CORRESPONDENTE],O$6,LANÇ_MOV[EMPRESA],$C$4,LANÇ_MOV[CENTRO DE CUSTOS],$D$4)</f>
        <v>0</v>
      </c>
      <c r="P1019" s="207">
        <f t="shared" si="122"/>
        <v>0</v>
      </c>
      <c r="Q1019" s="329">
        <v>3.8999999999999999E-6</v>
      </c>
      <c r="R1019" s="346">
        <f t="shared" si="123"/>
        <v>3.8999999999999999E-6</v>
      </c>
      <c r="S1019" s="347" t="str">
        <f t="shared" si="124"/>
        <v>-</v>
      </c>
      <c r="T1019" s="347">
        <f t="shared" si="125"/>
        <v>0</v>
      </c>
      <c r="U1019" s="347">
        <f>HLOOKUP(Apoio!$P$12,$D$956:$P$1057,X1019,FALSE)+Q1019</f>
        <v>3.8999999999999999E-6</v>
      </c>
      <c r="V1019" s="447" t="str">
        <f t="shared" si="126"/>
        <v>-</v>
      </c>
      <c r="W1019" s="448">
        <f>HLOOKUP(Apoio!$P$12,$D$956:$P$1057,X1019,FALSE)</f>
        <v>0</v>
      </c>
      <c r="X1019" s="329">
        <v>64</v>
      </c>
    </row>
    <row r="1020" spans="2:24" ht="30.05" customHeight="1" x14ac:dyDescent="0.35">
      <c r="B1020" s="204" t="str">
        <f>'CAD_PL_REC-DESP'!AF67</f>
        <v>2.8.63</v>
      </c>
      <c r="C1020" s="205" t="str">
        <f>IF('CAD_PL_REC-DESP'!AG67="","-",'CAD_PL_REC-DESP'!AG67)</f>
        <v>-</v>
      </c>
      <c r="D1020" s="206">
        <f>SUMIFS(LANÇ_MOV[VALOR LÍQUIDO],LANÇ_MOV[RECEITA OU DESPESA],"Despesa",LANÇ_MOV[CONTAS],$C1020,LANÇ_MOV[PLANO DE CONTAS],REL_DRE_FINANCEIRO!$B$957,LANÇ_MOV[ANO PAGAMENTO],$B$4,LANÇ_MOV[MÊS PAGAMENTO CORRESPONDENTE],D$6,LANÇ_MOV[EMPRESA],$C$4,LANÇ_MOV[CENTRO DE CUSTOS],$D$4)</f>
        <v>0</v>
      </c>
      <c r="E1020" s="206">
        <f>SUMIFS(LANÇ_MOV[VALOR LÍQUIDO],LANÇ_MOV[RECEITA OU DESPESA],"Despesa",LANÇ_MOV[CONTAS],$C1020,LANÇ_MOV[PLANO DE CONTAS],REL_DRE_FINANCEIRO!$B$957,LANÇ_MOV[ANO PAGAMENTO],$B$4,LANÇ_MOV[MÊS PAGAMENTO CORRESPONDENTE],E$6,LANÇ_MOV[EMPRESA],$C$4,LANÇ_MOV[CENTRO DE CUSTOS],$D$4)</f>
        <v>0</v>
      </c>
      <c r="F1020" s="206">
        <f>SUMIFS(LANÇ_MOV[VALOR LÍQUIDO],LANÇ_MOV[RECEITA OU DESPESA],"Despesa",LANÇ_MOV[CONTAS],$C1020,LANÇ_MOV[PLANO DE CONTAS],REL_DRE_FINANCEIRO!$B$957,LANÇ_MOV[ANO PAGAMENTO],$B$4,LANÇ_MOV[MÊS PAGAMENTO CORRESPONDENTE],F$6,LANÇ_MOV[EMPRESA],$C$4,LANÇ_MOV[CENTRO DE CUSTOS],$D$4)</f>
        <v>0</v>
      </c>
      <c r="G1020" s="206">
        <f>SUMIFS(LANÇ_MOV[VALOR LÍQUIDO],LANÇ_MOV[RECEITA OU DESPESA],"Despesa",LANÇ_MOV[CONTAS],$C1020,LANÇ_MOV[PLANO DE CONTAS],REL_DRE_FINANCEIRO!$B$957,LANÇ_MOV[ANO PAGAMENTO],$B$4,LANÇ_MOV[MÊS PAGAMENTO CORRESPONDENTE],G$6,LANÇ_MOV[EMPRESA],$C$4,LANÇ_MOV[CENTRO DE CUSTOS],$D$4)</f>
        <v>0</v>
      </c>
      <c r="H1020" s="206">
        <f>SUMIFS(LANÇ_MOV[VALOR LÍQUIDO],LANÇ_MOV[RECEITA OU DESPESA],"Despesa",LANÇ_MOV[CONTAS],$C1020,LANÇ_MOV[PLANO DE CONTAS],REL_DRE_FINANCEIRO!$B$957,LANÇ_MOV[ANO PAGAMENTO],$B$4,LANÇ_MOV[MÊS PAGAMENTO CORRESPONDENTE],H$6,LANÇ_MOV[EMPRESA],$C$4,LANÇ_MOV[CENTRO DE CUSTOS],$D$4)</f>
        <v>0</v>
      </c>
      <c r="I1020" s="206">
        <f>SUMIFS(LANÇ_MOV[VALOR LÍQUIDO],LANÇ_MOV[RECEITA OU DESPESA],"Despesa",LANÇ_MOV[CONTAS],$C1020,LANÇ_MOV[PLANO DE CONTAS],REL_DRE_FINANCEIRO!$B$957,LANÇ_MOV[ANO PAGAMENTO],$B$4,LANÇ_MOV[MÊS PAGAMENTO CORRESPONDENTE],I$6,LANÇ_MOV[EMPRESA],$C$4,LANÇ_MOV[CENTRO DE CUSTOS],$D$4)</f>
        <v>0</v>
      </c>
      <c r="J1020" s="206">
        <f>SUMIFS(LANÇ_MOV[VALOR LÍQUIDO],LANÇ_MOV[RECEITA OU DESPESA],"Despesa",LANÇ_MOV[CONTAS],$C1020,LANÇ_MOV[PLANO DE CONTAS],REL_DRE_FINANCEIRO!$B$957,LANÇ_MOV[ANO PAGAMENTO],$B$4,LANÇ_MOV[MÊS PAGAMENTO CORRESPONDENTE],J$6,LANÇ_MOV[EMPRESA],$C$4,LANÇ_MOV[CENTRO DE CUSTOS],$D$4)</f>
        <v>0</v>
      </c>
      <c r="K1020" s="206">
        <f>SUMIFS(LANÇ_MOV[VALOR LÍQUIDO],LANÇ_MOV[RECEITA OU DESPESA],"Despesa",LANÇ_MOV[CONTAS],$C1020,LANÇ_MOV[PLANO DE CONTAS],REL_DRE_FINANCEIRO!$B$957,LANÇ_MOV[ANO PAGAMENTO],$B$4,LANÇ_MOV[MÊS PAGAMENTO CORRESPONDENTE],K$6,LANÇ_MOV[EMPRESA],$C$4,LANÇ_MOV[CENTRO DE CUSTOS],$D$4)</f>
        <v>0</v>
      </c>
      <c r="L1020" s="206">
        <f>SUMIFS(LANÇ_MOV[VALOR LÍQUIDO],LANÇ_MOV[RECEITA OU DESPESA],"Despesa",LANÇ_MOV[CONTAS],$C1020,LANÇ_MOV[PLANO DE CONTAS],REL_DRE_FINANCEIRO!$B$957,LANÇ_MOV[ANO PAGAMENTO],$B$4,LANÇ_MOV[MÊS PAGAMENTO CORRESPONDENTE],L$6,LANÇ_MOV[EMPRESA],$C$4,LANÇ_MOV[CENTRO DE CUSTOS],$D$4)</f>
        <v>0</v>
      </c>
      <c r="M1020" s="206">
        <f>SUMIFS(LANÇ_MOV[VALOR LÍQUIDO],LANÇ_MOV[RECEITA OU DESPESA],"Despesa",LANÇ_MOV[CONTAS],$C1020,LANÇ_MOV[PLANO DE CONTAS],REL_DRE_FINANCEIRO!$B$957,LANÇ_MOV[ANO PAGAMENTO],$B$4,LANÇ_MOV[MÊS PAGAMENTO CORRESPONDENTE],M$6,LANÇ_MOV[EMPRESA],$C$4,LANÇ_MOV[CENTRO DE CUSTOS],$D$4)</f>
        <v>0</v>
      </c>
      <c r="N1020" s="206">
        <f>SUMIFS(LANÇ_MOV[VALOR LÍQUIDO],LANÇ_MOV[RECEITA OU DESPESA],"Despesa",LANÇ_MOV[CONTAS],$C1020,LANÇ_MOV[PLANO DE CONTAS],REL_DRE_FINANCEIRO!$B$957,LANÇ_MOV[ANO PAGAMENTO],$B$4,LANÇ_MOV[MÊS PAGAMENTO CORRESPONDENTE],N$6,LANÇ_MOV[EMPRESA],$C$4,LANÇ_MOV[CENTRO DE CUSTOS],$D$4)</f>
        <v>0</v>
      </c>
      <c r="O1020" s="206">
        <f>SUMIFS(LANÇ_MOV[VALOR LÍQUIDO],LANÇ_MOV[RECEITA OU DESPESA],"Despesa",LANÇ_MOV[CONTAS],$C1020,LANÇ_MOV[PLANO DE CONTAS],REL_DRE_FINANCEIRO!$B$957,LANÇ_MOV[ANO PAGAMENTO],$B$4,LANÇ_MOV[MÊS PAGAMENTO CORRESPONDENTE],O$6,LANÇ_MOV[EMPRESA],$C$4,LANÇ_MOV[CENTRO DE CUSTOS],$D$4)</f>
        <v>0</v>
      </c>
      <c r="P1020" s="207">
        <f t="shared" si="122"/>
        <v>0</v>
      </c>
      <c r="Q1020" s="329">
        <v>3.8E-6</v>
      </c>
      <c r="R1020" s="346">
        <f t="shared" si="123"/>
        <v>3.8E-6</v>
      </c>
      <c r="S1020" s="347" t="str">
        <f t="shared" si="124"/>
        <v>-</v>
      </c>
      <c r="T1020" s="347">
        <f t="shared" si="125"/>
        <v>0</v>
      </c>
      <c r="U1020" s="347">
        <f>HLOOKUP(Apoio!$P$12,$D$956:$P$1057,X1020,FALSE)+Q1020</f>
        <v>3.8E-6</v>
      </c>
      <c r="V1020" s="447" t="str">
        <f t="shared" si="126"/>
        <v>-</v>
      </c>
      <c r="W1020" s="448">
        <f>HLOOKUP(Apoio!$P$12,$D$956:$P$1057,X1020,FALSE)</f>
        <v>0</v>
      </c>
      <c r="X1020" s="329">
        <v>65</v>
      </c>
    </row>
    <row r="1021" spans="2:24" ht="30.05" customHeight="1" x14ac:dyDescent="0.35">
      <c r="B1021" s="204" t="str">
        <f>'CAD_PL_REC-DESP'!AF68</f>
        <v>2.8.64</v>
      </c>
      <c r="C1021" s="205" t="str">
        <f>IF('CAD_PL_REC-DESP'!AG68="","-",'CAD_PL_REC-DESP'!AG68)</f>
        <v>-</v>
      </c>
      <c r="D1021" s="206">
        <f>SUMIFS(LANÇ_MOV[VALOR LÍQUIDO],LANÇ_MOV[RECEITA OU DESPESA],"Despesa",LANÇ_MOV[CONTAS],$C1021,LANÇ_MOV[PLANO DE CONTAS],REL_DRE_FINANCEIRO!$B$957,LANÇ_MOV[ANO PAGAMENTO],$B$4,LANÇ_MOV[MÊS PAGAMENTO CORRESPONDENTE],D$6,LANÇ_MOV[EMPRESA],$C$4,LANÇ_MOV[CENTRO DE CUSTOS],$D$4)</f>
        <v>0</v>
      </c>
      <c r="E1021" s="206">
        <f>SUMIFS(LANÇ_MOV[VALOR LÍQUIDO],LANÇ_MOV[RECEITA OU DESPESA],"Despesa",LANÇ_MOV[CONTAS],$C1021,LANÇ_MOV[PLANO DE CONTAS],REL_DRE_FINANCEIRO!$B$957,LANÇ_MOV[ANO PAGAMENTO],$B$4,LANÇ_MOV[MÊS PAGAMENTO CORRESPONDENTE],E$6,LANÇ_MOV[EMPRESA],$C$4,LANÇ_MOV[CENTRO DE CUSTOS],$D$4)</f>
        <v>0</v>
      </c>
      <c r="F1021" s="206">
        <f>SUMIFS(LANÇ_MOV[VALOR LÍQUIDO],LANÇ_MOV[RECEITA OU DESPESA],"Despesa",LANÇ_MOV[CONTAS],$C1021,LANÇ_MOV[PLANO DE CONTAS],REL_DRE_FINANCEIRO!$B$957,LANÇ_MOV[ANO PAGAMENTO],$B$4,LANÇ_MOV[MÊS PAGAMENTO CORRESPONDENTE],F$6,LANÇ_MOV[EMPRESA],$C$4,LANÇ_MOV[CENTRO DE CUSTOS],$D$4)</f>
        <v>0</v>
      </c>
      <c r="G1021" s="206">
        <f>SUMIFS(LANÇ_MOV[VALOR LÍQUIDO],LANÇ_MOV[RECEITA OU DESPESA],"Despesa",LANÇ_MOV[CONTAS],$C1021,LANÇ_MOV[PLANO DE CONTAS],REL_DRE_FINANCEIRO!$B$957,LANÇ_MOV[ANO PAGAMENTO],$B$4,LANÇ_MOV[MÊS PAGAMENTO CORRESPONDENTE],G$6,LANÇ_MOV[EMPRESA],$C$4,LANÇ_MOV[CENTRO DE CUSTOS],$D$4)</f>
        <v>0</v>
      </c>
      <c r="H1021" s="206">
        <f>SUMIFS(LANÇ_MOV[VALOR LÍQUIDO],LANÇ_MOV[RECEITA OU DESPESA],"Despesa",LANÇ_MOV[CONTAS],$C1021,LANÇ_MOV[PLANO DE CONTAS],REL_DRE_FINANCEIRO!$B$957,LANÇ_MOV[ANO PAGAMENTO],$B$4,LANÇ_MOV[MÊS PAGAMENTO CORRESPONDENTE],H$6,LANÇ_MOV[EMPRESA],$C$4,LANÇ_MOV[CENTRO DE CUSTOS],$D$4)</f>
        <v>0</v>
      </c>
      <c r="I1021" s="206">
        <f>SUMIFS(LANÇ_MOV[VALOR LÍQUIDO],LANÇ_MOV[RECEITA OU DESPESA],"Despesa",LANÇ_MOV[CONTAS],$C1021,LANÇ_MOV[PLANO DE CONTAS],REL_DRE_FINANCEIRO!$B$957,LANÇ_MOV[ANO PAGAMENTO],$B$4,LANÇ_MOV[MÊS PAGAMENTO CORRESPONDENTE],I$6,LANÇ_MOV[EMPRESA],$C$4,LANÇ_MOV[CENTRO DE CUSTOS],$D$4)</f>
        <v>0</v>
      </c>
      <c r="J1021" s="206">
        <f>SUMIFS(LANÇ_MOV[VALOR LÍQUIDO],LANÇ_MOV[RECEITA OU DESPESA],"Despesa",LANÇ_MOV[CONTAS],$C1021,LANÇ_MOV[PLANO DE CONTAS],REL_DRE_FINANCEIRO!$B$957,LANÇ_MOV[ANO PAGAMENTO],$B$4,LANÇ_MOV[MÊS PAGAMENTO CORRESPONDENTE],J$6,LANÇ_MOV[EMPRESA],$C$4,LANÇ_MOV[CENTRO DE CUSTOS],$D$4)</f>
        <v>0</v>
      </c>
      <c r="K1021" s="206">
        <f>SUMIFS(LANÇ_MOV[VALOR LÍQUIDO],LANÇ_MOV[RECEITA OU DESPESA],"Despesa",LANÇ_MOV[CONTAS],$C1021,LANÇ_MOV[PLANO DE CONTAS],REL_DRE_FINANCEIRO!$B$957,LANÇ_MOV[ANO PAGAMENTO],$B$4,LANÇ_MOV[MÊS PAGAMENTO CORRESPONDENTE],K$6,LANÇ_MOV[EMPRESA],$C$4,LANÇ_MOV[CENTRO DE CUSTOS],$D$4)</f>
        <v>0</v>
      </c>
      <c r="L1021" s="206">
        <f>SUMIFS(LANÇ_MOV[VALOR LÍQUIDO],LANÇ_MOV[RECEITA OU DESPESA],"Despesa",LANÇ_MOV[CONTAS],$C1021,LANÇ_MOV[PLANO DE CONTAS],REL_DRE_FINANCEIRO!$B$957,LANÇ_MOV[ANO PAGAMENTO],$B$4,LANÇ_MOV[MÊS PAGAMENTO CORRESPONDENTE],L$6,LANÇ_MOV[EMPRESA],$C$4,LANÇ_MOV[CENTRO DE CUSTOS],$D$4)</f>
        <v>0</v>
      </c>
      <c r="M1021" s="206">
        <f>SUMIFS(LANÇ_MOV[VALOR LÍQUIDO],LANÇ_MOV[RECEITA OU DESPESA],"Despesa",LANÇ_MOV[CONTAS],$C1021,LANÇ_MOV[PLANO DE CONTAS],REL_DRE_FINANCEIRO!$B$957,LANÇ_MOV[ANO PAGAMENTO],$B$4,LANÇ_MOV[MÊS PAGAMENTO CORRESPONDENTE],M$6,LANÇ_MOV[EMPRESA],$C$4,LANÇ_MOV[CENTRO DE CUSTOS],$D$4)</f>
        <v>0</v>
      </c>
      <c r="N1021" s="206">
        <f>SUMIFS(LANÇ_MOV[VALOR LÍQUIDO],LANÇ_MOV[RECEITA OU DESPESA],"Despesa",LANÇ_MOV[CONTAS],$C1021,LANÇ_MOV[PLANO DE CONTAS],REL_DRE_FINANCEIRO!$B$957,LANÇ_MOV[ANO PAGAMENTO],$B$4,LANÇ_MOV[MÊS PAGAMENTO CORRESPONDENTE],N$6,LANÇ_MOV[EMPRESA],$C$4,LANÇ_MOV[CENTRO DE CUSTOS],$D$4)</f>
        <v>0</v>
      </c>
      <c r="O1021" s="206">
        <f>SUMIFS(LANÇ_MOV[VALOR LÍQUIDO],LANÇ_MOV[RECEITA OU DESPESA],"Despesa",LANÇ_MOV[CONTAS],$C1021,LANÇ_MOV[PLANO DE CONTAS],REL_DRE_FINANCEIRO!$B$957,LANÇ_MOV[ANO PAGAMENTO],$B$4,LANÇ_MOV[MÊS PAGAMENTO CORRESPONDENTE],O$6,LANÇ_MOV[EMPRESA],$C$4,LANÇ_MOV[CENTRO DE CUSTOS],$D$4)</f>
        <v>0</v>
      </c>
      <c r="P1021" s="207">
        <f t="shared" si="122"/>
        <v>0</v>
      </c>
      <c r="Q1021" s="329">
        <v>3.7000000000000002E-6</v>
      </c>
      <c r="R1021" s="346">
        <f t="shared" si="123"/>
        <v>3.7000000000000002E-6</v>
      </c>
      <c r="S1021" s="347" t="str">
        <f t="shared" si="124"/>
        <v>-</v>
      </c>
      <c r="T1021" s="347">
        <f t="shared" si="125"/>
        <v>0</v>
      </c>
      <c r="U1021" s="347">
        <f>HLOOKUP(Apoio!$P$12,$D$956:$P$1057,X1021,FALSE)+Q1021</f>
        <v>3.7000000000000002E-6</v>
      </c>
      <c r="V1021" s="447" t="str">
        <f t="shared" si="126"/>
        <v>-</v>
      </c>
      <c r="W1021" s="448">
        <f>HLOOKUP(Apoio!$P$12,$D$956:$P$1057,X1021,FALSE)</f>
        <v>0</v>
      </c>
      <c r="X1021" s="329">
        <v>66</v>
      </c>
    </row>
    <row r="1022" spans="2:24" ht="30.05" customHeight="1" x14ac:dyDescent="0.35">
      <c r="B1022" s="204" t="str">
        <f>'CAD_PL_REC-DESP'!AF69</f>
        <v>2.8.65</v>
      </c>
      <c r="C1022" s="205" t="str">
        <f>IF('CAD_PL_REC-DESP'!AG69="","-",'CAD_PL_REC-DESP'!AG69)</f>
        <v>-</v>
      </c>
      <c r="D1022" s="206">
        <f>SUMIFS(LANÇ_MOV[VALOR LÍQUIDO],LANÇ_MOV[RECEITA OU DESPESA],"Despesa",LANÇ_MOV[CONTAS],$C1022,LANÇ_MOV[PLANO DE CONTAS],REL_DRE_FINANCEIRO!$B$957,LANÇ_MOV[ANO PAGAMENTO],$B$4,LANÇ_MOV[MÊS PAGAMENTO CORRESPONDENTE],D$6,LANÇ_MOV[EMPRESA],$C$4,LANÇ_MOV[CENTRO DE CUSTOS],$D$4)</f>
        <v>0</v>
      </c>
      <c r="E1022" s="206">
        <f>SUMIFS(LANÇ_MOV[VALOR LÍQUIDO],LANÇ_MOV[RECEITA OU DESPESA],"Despesa",LANÇ_MOV[CONTAS],$C1022,LANÇ_MOV[PLANO DE CONTAS],REL_DRE_FINANCEIRO!$B$957,LANÇ_MOV[ANO PAGAMENTO],$B$4,LANÇ_MOV[MÊS PAGAMENTO CORRESPONDENTE],E$6,LANÇ_MOV[EMPRESA],$C$4,LANÇ_MOV[CENTRO DE CUSTOS],$D$4)</f>
        <v>0</v>
      </c>
      <c r="F1022" s="206">
        <f>SUMIFS(LANÇ_MOV[VALOR LÍQUIDO],LANÇ_MOV[RECEITA OU DESPESA],"Despesa",LANÇ_MOV[CONTAS],$C1022,LANÇ_MOV[PLANO DE CONTAS],REL_DRE_FINANCEIRO!$B$957,LANÇ_MOV[ANO PAGAMENTO],$B$4,LANÇ_MOV[MÊS PAGAMENTO CORRESPONDENTE],F$6,LANÇ_MOV[EMPRESA],$C$4,LANÇ_MOV[CENTRO DE CUSTOS],$D$4)</f>
        <v>0</v>
      </c>
      <c r="G1022" s="206">
        <f>SUMIFS(LANÇ_MOV[VALOR LÍQUIDO],LANÇ_MOV[RECEITA OU DESPESA],"Despesa",LANÇ_MOV[CONTAS],$C1022,LANÇ_MOV[PLANO DE CONTAS],REL_DRE_FINANCEIRO!$B$957,LANÇ_MOV[ANO PAGAMENTO],$B$4,LANÇ_MOV[MÊS PAGAMENTO CORRESPONDENTE],G$6,LANÇ_MOV[EMPRESA],$C$4,LANÇ_MOV[CENTRO DE CUSTOS],$D$4)</f>
        <v>0</v>
      </c>
      <c r="H1022" s="206">
        <f>SUMIFS(LANÇ_MOV[VALOR LÍQUIDO],LANÇ_MOV[RECEITA OU DESPESA],"Despesa",LANÇ_MOV[CONTAS],$C1022,LANÇ_MOV[PLANO DE CONTAS],REL_DRE_FINANCEIRO!$B$957,LANÇ_MOV[ANO PAGAMENTO],$B$4,LANÇ_MOV[MÊS PAGAMENTO CORRESPONDENTE],H$6,LANÇ_MOV[EMPRESA],$C$4,LANÇ_MOV[CENTRO DE CUSTOS],$D$4)</f>
        <v>0</v>
      </c>
      <c r="I1022" s="206">
        <f>SUMIFS(LANÇ_MOV[VALOR LÍQUIDO],LANÇ_MOV[RECEITA OU DESPESA],"Despesa",LANÇ_MOV[CONTAS],$C1022,LANÇ_MOV[PLANO DE CONTAS],REL_DRE_FINANCEIRO!$B$957,LANÇ_MOV[ANO PAGAMENTO],$B$4,LANÇ_MOV[MÊS PAGAMENTO CORRESPONDENTE],I$6,LANÇ_MOV[EMPRESA],$C$4,LANÇ_MOV[CENTRO DE CUSTOS],$D$4)</f>
        <v>0</v>
      </c>
      <c r="J1022" s="206">
        <f>SUMIFS(LANÇ_MOV[VALOR LÍQUIDO],LANÇ_MOV[RECEITA OU DESPESA],"Despesa",LANÇ_MOV[CONTAS],$C1022,LANÇ_MOV[PLANO DE CONTAS],REL_DRE_FINANCEIRO!$B$957,LANÇ_MOV[ANO PAGAMENTO],$B$4,LANÇ_MOV[MÊS PAGAMENTO CORRESPONDENTE],J$6,LANÇ_MOV[EMPRESA],$C$4,LANÇ_MOV[CENTRO DE CUSTOS],$D$4)</f>
        <v>0</v>
      </c>
      <c r="K1022" s="206">
        <f>SUMIFS(LANÇ_MOV[VALOR LÍQUIDO],LANÇ_MOV[RECEITA OU DESPESA],"Despesa",LANÇ_MOV[CONTAS],$C1022,LANÇ_MOV[PLANO DE CONTAS],REL_DRE_FINANCEIRO!$B$957,LANÇ_MOV[ANO PAGAMENTO],$B$4,LANÇ_MOV[MÊS PAGAMENTO CORRESPONDENTE],K$6,LANÇ_MOV[EMPRESA],$C$4,LANÇ_MOV[CENTRO DE CUSTOS],$D$4)</f>
        <v>0</v>
      </c>
      <c r="L1022" s="206">
        <f>SUMIFS(LANÇ_MOV[VALOR LÍQUIDO],LANÇ_MOV[RECEITA OU DESPESA],"Despesa",LANÇ_MOV[CONTAS],$C1022,LANÇ_MOV[PLANO DE CONTAS],REL_DRE_FINANCEIRO!$B$957,LANÇ_MOV[ANO PAGAMENTO],$B$4,LANÇ_MOV[MÊS PAGAMENTO CORRESPONDENTE],L$6,LANÇ_MOV[EMPRESA],$C$4,LANÇ_MOV[CENTRO DE CUSTOS],$D$4)</f>
        <v>0</v>
      </c>
      <c r="M1022" s="206">
        <f>SUMIFS(LANÇ_MOV[VALOR LÍQUIDO],LANÇ_MOV[RECEITA OU DESPESA],"Despesa",LANÇ_MOV[CONTAS],$C1022,LANÇ_MOV[PLANO DE CONTAS],REL_DRE_FINANCEIRO!$B$957,LANÇ_MOV[ANO PAGAMENTO],$B$4,LANÇ_MOV[MÊS PAGAMENTO CORRESPONDENTE],M$6,LANÇ_MOV[EMPRESA],$C$4,LANÇ_MOV[CENTRO DE CUSTOS],$D$4)</f>
        <v>0</v>
      </c>
      <c r="N1022" s="206">
        <f>SUMIFS(LANÇ_MOV[VALOR LÍQUIDO],LANÇ_MOV[RECEITA OU DESPESA],"Despesa",LANÇ_MOV[CONTAS],$C1022,LANÇ_MOV[PLANO DE CONTAS],REL_DRE_FINANCEIRO!$B$957,LANÇ_MOV[ANO PAGAMENTO],$B$4,LANÇ_MOV[MÊS PAGAMENTO CORRESPONDENTE],N$6,LANÇ_MOV[EMPRESA],$C$4,LANÇ_MOV[CENTRO DE CUSTOS],$D$4)</f>
        <v>0</v>
      </c>
      <c r="O1022" s="206">
        <f>SUMIFS(LANÇ_MOV[VALOR LÍQUIDO],LANÇ_MOV[RECEITA OU DESPESA],"Despesa",LANÇ_MOV[CONTAS],$C1022,LANÇ_MOV[PLANO DE CONTAS],REL_DRE_FINANCEIRO!$B$957,LANÇ_MOV[ANO PAGAMENTO],$B$4,LANÇ_MOV[MÊS PAGAMENTO CORRESPONDENTE],O$6,LANÇ_MOV[EMPRESA],$C$4,LANÇ_MOV[CENTRO DE CUSTOS],$D$4)</f>
        <v>0</v>
      </c>
      <c r="P1022" s="207">
        <f t="shared" ref="P1022:P1057" si="127">SUM(D1022:O1022)</f>
        <v>0</v>
      </c>
      <c r="Q1022" s="329">
        <v>3.5999999999999998E-6</v>
      </c>
      <c r="R1022" s="346">
        <f t="shared" ref="R1022:R1057" si="128">P1022+Q1022</f>
        <v>3.5999999999999998E-6</v>
      </c>
      <c r="S1022" s="347" t="str">
        <f t="shared" ref="S1022:S1057" si="129">C1022</f>
        <v>-</v>
      </c>
      <c r="T1022" s="347">
        <f t="shared" ref="T1022:T1057" si="130">P1022</f>
        <v>0</v>
      </c>
      <c r="U1022" s="347">
        <f>HLOOKUP(Apoio!$P$12,$D$956:$P$1057,X1022,FALSE)+Q1022</f>
        <v>3.5999999999999998E-6</v>
      </c>
      <c r="V1022" s="447" t="str">
        <f t="shared" ref="V1022:V1057" si="131">S1022</f>
        <v>-</v>
      </c>
      <c r="W1022" s="448">
        <f>HLOOKUP(Apoio!$P$12,$D$956:$P$1057,X1022,FALSE)</f>
        <v>0</v>
      </c>
      <c r="X1022" s="329">
        <v>67</v>
      </c>
    </row>
    <row r="1023" spans="2:24" ht="30.05" customHeight="1" x14ac:dyDescent="0.35">
      <c r="B1023" s="204" t="str">
        <f>'CAD_PL_REC-DESP'!AF70</f>
        <v>2.8.66</v>
      </c>
      <c r="C1023" s="205" t="str">
        <f>IF('CAD_PL_REC-DESP'!AG70="","-",'CAD_PL_REC-DESP'!AG70)</f>
        <v>-</v>
      </c>
      <c r="D1023" s="206">
        <f>SUMIFS(LANÇ_MOV[VALOR LÍQUIDO],LANÇ_MOV[RECEITA OU DESPESA],"Despesa",LANÇ_MOV[CONTAS],$C1023,LANÇ_MOV[PLANO DE CONTAS],REL_DRE_FINANCEIRO!$B$957,LANÇ_MOV[ANO PAGAMENTO],$B$4,LANÇ_MOV[MÊS PAGAMENTO CORRESPONDENTE],D$6,LANÇ_MOV[EMPRESA],$C$4,LANÇ_MOV[CENTRO DE CUSTOS],$D$4)</f>
        <v>0</v>
      </c>
      <c r="E1023" s="206">
        <f>SUMIFS(LANÇ_MOV[VALOR LÍQUIDO],LANÇ_MOV[RECEITA OU DESPESA],"Despesa",LANÇ_MOV[CONTAS],$C1023,LANÇ_MOV[PLANO DE CONTAS],REL_DRE_FINANCEIRO!$B$957,LANÇ_MOV[ANO PAGAMENTO],$B$4,LANÇ_MOV[MÊS PAGAMENTO CORRESPONDENTE],E$6,LANÇ_MOV[EMPRESA],$C$4,LANÇ_MOV[CENTRO DE CUSTOS],$D$4)</f>
        <v>0</v>
      </c>
      <c r="F1023" s="206">
        <f>SUMIFS(LANÇ_MOV[VALOR LÍQUIDO],LANÇ_MOV[RECEITA OU DESPESA],"Despesa",LANÇ_MOV[CONTAS],$C1023,LANÇ_MOV[PLANO DE CONTAS],REL_DRE_FINANCEIRO!$B$957,LANÇ_MOV[ANO PAGAMENTO],$B$4,LANÇ_MOV[MÊS PAGAMENTO CORRESPONDENTE],F$6,LANÇ_MOV[EMPRESA],$C$4,LANÇ_MOV[CENTRO DE CUSTOS],$D$4)</f>
        <v>0</v>
      </c>
      <c r="G1023" s="206">
        <f>SUMIFS(LANÇ_MOV[VALOR LÍQUIDO],LANÇ_MOV[RECEITA OU DESPESA],"Despesa",LANÇ_MOV[CONTAS],$C1023,LANÇ_MOV[PLANO DE CONTAS],REL_DRE_FINANCEIRO!$B$957,LANÇ_MOV[ANO PAGAMENTO],$B$4,LANÇ_MOV[MÊS PAGAMENTO CORRESPONDENTE],G$6,LANÇ_MOV[EMPRESA],$C$4,LANÇ_MOV[CENTRO DE CUSTOS],$D$4)</f>
        <v>0</v>
      </c>
      <c r="H1023" s="206">
        <f>SUMIFS(LANÇ_MOV[VALOR LÍQUIDO],LANÇ_MOV[RECEITA OU DESPESA],"Despesa",LANÇ_MOV[CONTAS],$C1023,LANÇ_MOV[PLANO DE CONTAS],REL_DRE_FINANCEIRO!$B$957,LANÇ_MOV[ANO PAGAMENTO],$B$4,LANÇ_MOV[MÊS PAGAMENTO CORRESPONDENTE],H$6,LANÇ_MOV[EMPRESA],$C$4,LANÇ_MOV[CENTRO DE CUSTOS],$D$4)</f>
        <v>0</v>
      </c>
      <c r="I1023" s="206">
        <f>SUMIFS(LANÇ_MOV[VALOR LÍQUIDO],LANÇ_MOV[RECEITA OU DESPESA],"Despesa",LANÇ_MOV[CONTAS],$C1023,LANÇ_MOV[PLANO DE CONTAS],REL_DRE_FINANCEIRO!$B$957,LANÇ_MOV[ANO PAGAMENTO],$B$4,LANÇ_MOV[MÊS PAGAMENTO CORRESPONDENTE],I$6,LANÇ_MOV[EMPRESA],$C$4,LANÇ_MOV[CENTRO DE CUSTOS],$D$4)</f>
        <v>0</v>
      </c>
      <c r="J1023" s="206">
        <f>SUMIFS(LANÇ_MOV[VALOR LÍQUIDO],LANÇ_MOV[RECEITA OU DESPESA],"Despesa",LANÇ_MOV[CONTAS],$C1023,LANÇ_MOV[PLANO DE CONTAS],REL_DRE_FINANCEIRO!$B$957,LANÇ_MOV[ANO PAGAMENTO],$B$4,LANÇ_MOV[MÊS PAGAMENTO CORRESPONDENTE],J$6,LANÇ_MOV[EMPRESA],$C$4,LANÇ_MOV[CENTRO DE CUSTOS],$D$4)</f>
        <v>0</v>
      </c>
      <c r="K1023" s="206">
        <f>SUMIFS(LANÇ_MOV[VALOR LÍQUIDO],LANÇ_MOV[RECEITA OU DESPESA],"Despesa",LANÇ_MOV[CONTAS],$C1023,LANÇ_MOV[PLANO DE CONTAS],REL_DRE_FINANCEIRO!$B$957,LANÇ_MOV[ANO PAGAMENTO],$B$4,LANÇ_MOV[MÊS PAGAMENTO CORRESPONDENTE],K$6,LANÇ_MOV[EMPRESA],$C$4,LANÇ_MOV[CENTRO DE CUSTOS],$D$4)</f>
        <v>0</v>
      </c>
      <c r="L1023" s="206">
        <f>SUMIFS(LANÇ_MOV[VALOR LÍQUIDO],LANÇ_MOV[RECEITA OU DESPESA],"Despesa",LANÇ_MOV[CONTAS],$C1023,LANÇ_MOV[PLANO DE CONTAS],REL_DRE_FINANCEIRO!$B$957,LANÇ_MOV[ANO PAGAMENTO],$B$4,LANÇ_MOV[MÊS PAGAMENTO CORRESPONDENTE],L$6,LANÇ_MOV[EMPRESA],$C$4,LANÇ_MOV[CENTRO DE CUSTOS],$D$4)</f>
        <v>0</v>
      </c>
      <c r="M1023" s="206">
        <f>SUMIFS(LANÇ_MOV[VALOR LÍQUIDO],LANÇ_MOV[RECEITA OU DESPESA],"Despesa",LANÇ_MOV[CONTAS],$C1023,LANÇ_MOV[PLANO DE CONTAS],REL_DRE_FINANCEIRO!$B$957,LANÇ_MOV[ANO PAGAMENTO],$B$4,LANÇ_MOV[MÊS PAGAMENTO CORRESPONDENTE],M$6,LANÇ_MOV[EMPRESA],$C$4,LANÇ_MOV[CENTRO DE CUSTOS],$D$4)</f>
        <v>0</v>
      </c>
      <c r="N1023" s="206">
        <f>SUMIFS(LANÇ_MOV[VALOR LÍQUIDO],LANÇ_MOV[RECEITA OU DESPESA],"Despesa",LANÇ_MOV[CONTAS],$C1023,LANÇ_MOV[PLANO DE CONTAS],REL_DRE_FINANCEIRO!$B$957,LANÇ_MOV[ANO PAGAMENTO],$B$4,LANÇ_MOV[MÊS PAGAMENTO CORRESPONDENTE],N$6,LANÇ_MOV[EMPRESA],$C$4,LANÇ_MOV[CENTRO DE CUSTOS],$D$4)</f>
        <v>0</v>
      </c>
      <c r="O1023" s="206">
        <f>SUMIFS(LANÇ_MOV[VALOR LÍQUIDO],LANÇ_MOV[RECEITA OU DESPESA],"Despesa",LANÇ_MOV[CONTAS],$C1023,LANÇ_MOV[PLANO DE CONTAS],REL_DRE_FINANCEIRO!$B$957,LANÇ_MOV[ANO PAGAMENTO],$B$4,LANÇ_MOV[MÊS PAGAMENTO CORRESPONDENTE],O$6,LANÇ_MOV[EMPRESA],$C$4,LANÇ_MOV[CENTRO DE CUSTOS],$D$4)</f>
        <v>0</v>
      </c>
      <c r="P1023" s="207">
        <f t="shared" si="127"/>
        <v>0</v>
      </c>
      <c r="Q1023" s="329">
        <v>3.4999999999999999E-6</v>
      </c>
      <c r="R1023" s="346">
        <f t="shared" si="128"/>
        <v>3.4999999999999999E-6</v>
      </c>
      <c r="S1023" s="347" t="str">
        <f t="shared" si="129"/>
        <v>-</v>
      </c>
      <c r="T1023" s="347">
        <f t="shared" si="130"/>
        <v>0</v>
      </c>
      <c r="U1023" s="347">
        <f>HLOOKUP(Apoio!$P$12,$D$956:$P$1057,X1023,FALSE)+Q1023</f>
        <v>3.4999999999999999E-6</v>
      </c>
      <c r="V1023" s="447" t="str">
        <f t="shared" si="131"/>
        <v>-</v>
      </c>
      <c r="W1023" s="448">
        <f>HLOOKUP(Apoio!$P$12,$D$956:$P$1057,X1023,FALSE)</f>
        <v>0</v>
      </c>
      <c r="X1023" s="329">
        <v>68</v>
      </c>
    </row>
    <row r="1024" spans="2:24" ht="30.05" customHeight="1" x14ac:dyDescent="0.35">
      <c r="B1024" s="204" t="str">
        <f>'CAD_PL_REC-DESP'!AF71</f>
        <v>2.8.67</v>
      </c>
      <c r="C1024" s="205" t="str">
        <f>IF('CAD_PL_REC-DESP'!AG71="","-",'CAD_PL_REC-DESP'!AG71)</f>
        <v>-</v>
      </c>
      <c r="D1024" s="206">
        <f>SUMIFS(LANÇ_MOV[VALOR LÍQUIDO],LANÇ_MOV[RECEITA OU DESPESA],"Despesa",LANÇ_MOV[CONTAS],$C1024,LANÇ_MOV[PLANO DE CONTAS],REL_DRE_FINANCEIRO!$B$957,LANÇ_MOV[ANO PAGAMENTO],$B$4,LANÇ_MOV[MÊS PAGAMENTO CORRESPONDENTE],D$6,LANÇ_MOV[EMPRESA],$C$4,LANÇ_MOV[CENTRO DE CUSTOS],$D$4)</f>
        <v>0</v>
      </c>
      <c r="E1024" s="206">
        <f>SUMIFS(LANÇ_MOV[VALOR LÍQUIDO],LANÇ_MOV[RECEITA OU DESPESA],"Despesa",LANÇ_MOV[CONTAS],$C1024,LANÇ_MOV[PLANO DE CONTAS],REL_DRE_FINANCEIRO!$B$957,LANÇ_MOV[ANO PAGAMENTO],$B$4,LANÇ_MOV[MÊS PAGAMENTO CORRESPONDENTE],E$6,LANÇ_MOV[EMPRESA],$C$4,LANÇ_MOV[CENTRO DE CUSTOS],$D$4)</f>
        <v>0</v>
      </c>
      <c r="F1024" s="206">
        <f>SUMIFS(LANÇ_MOV[VALOR LÍQUIDO],LANÇ_MOV[RECEITA OU DESPESA],"Despesa",LANÇ_MOV[CONTAS],$C1024,LANÇ_MOV[PLANO DE CONTAS],REL_DRE_FINANCEIRO!$B$957,LANÇ_MOV[ANO PAGAMENTO],$B$4,LANÇ_MOV[MÊS PAGAMENTO CORRESPONDENTE],F$6,LANÇ_MOV[EMPRESA],$C$4,LANÇ_MOV[CENTRO DE CUSTOS],$D$4)</f>
        <v>0</v>
      </c>
      <c r="G1024" s="206">
        <f>SUMIFS(LANÇ_MOV[VALOR LÍQUIDO],LANÇ_MOV[RECEITA OU DESPESA],"Despesa",LANÇ_MOV[CONTAS],$C1024,LANÇ_MOV[PLANO DE CONTAS],REL_DRE_FINANCEIRO!$B$957,LANÇ_MOV[ANO PAGAMENTO],$B$4,LANÇ_MOV[MÊS PAGAMENTO CORRESPONDENTE],G$6,LANÇ_MOV[EMPRESA],$C$4,LANÇ_MOV[CENTRO DE CUSTOS],$D$4)</f>
        <v>0</v>
      </c>
      <c r="H1024" s="206">
        <f>SUMIFS(LANÇ_MOV[VALOR LÍQUIDO],LANÇ_MOV[RECEITA OU DESPESA],"Despesa",LANÇ_MOV[CONTAS],$C1024,LANÇ_MOV[PLANO DE CONTAS],REL_DRE_FINANCEIRO!$B$957,LANÇ_MOV[ANO PAGAMENTO],$B$4,LANÇ_MOV[MÊS PAGAMENTO CORRESPONDENTE],H$6,LANÇ_MOV[EMPRESA],$C$4,LANÇ_MOV[CENTRO DE CUSTOS],$D$4)</f>
        <v>0</v>
      </c>
      <c r="I1024" s="206">
        <f>SUMIFS(LANÇ_MOV[VALOR LÍQUIDO],LANÇ_MOV[RECEITA OU DESPESA],"Despesa",LANÇ_MOV[CONTAS],$C1024,LANÇ_MOV[PLANO DE CONTAS],REL_DRE_FINANCEIRO!$B$957,LANÇ_MOV[ANO PAGAMENTO],$B$4,LANÇ_MOV[MÊS PAGAMENTO CORRESPONDENTE],I$6,LANÇ_MOV[EMPRESA],$C$4,LANÇ_MOV[CENTRO DE CUSTOS],$D$4)</f>
        <v>0</v>
      </c>
      <c r="J1024" s="206">
        <f>SUMIFS(LANÇ_MOV[VALOR LÍQUIDO],LANÇ_MOV[RECEITA OU DESPESA],"Despesa",LANÇ_MOV[CONTAS],$C1024,LANÇ_MOV[PLANO DE CONTAS],REL_DRE_FINANCEIRO!$B$957,LANÇ_MOV[ANO PAGAMENTO],$B$4,LANÇ_MOV[MÊS PAGAMENTO CORRESPONDENTE],J$6,LANÇ_MOV[EMPRESA],$C$4,LANÇ_MOV[CENTRO DE CUSTOS],$D$4)</f>
        <v>0</v>
      </c>
      <c r="K1024" s="206">
        <f>SUMIFS(LANÇ_MOV[VALOR LÍQUIDO],LANÇ_MOV[RECEITA OU DESPESA],"Despesa",LANÇ_MOV[CONTAS],$C1024,LANÇ_MOV[PLANO DE CONTAS],REL_DRE_FINANCEIRO!$B$957,LANÇ_MOV[ANO PAGAMENTO],$B$4,LANÇ_MOV[MÊS PAGAMENTO CORRESPONDENTE],K$6,LANÇ_MOV[EMPRESA],$C$4,LANÇ_MOV[CENTRO DE CUSTOS],$D$4)</f>
        <v>0</v>
      </c>
      <c r="L1024" s="206">
        <f>SUMIFS(LANÇ_MOV[VALOR LÍQUIDO],LANÇ_MOV[RECEITA OU DESPESA],"Despesa",LANÇ_MOV[CONTAS],$C1024,LANÇ_MOV[PLANO DE CONTAS],REL_DRE_FINANCEIRO!$B$957,LANÇ_MOV[ANO PAGAMENTO],$B$4,LANÇ_MOV[MÊS PAGAMENTO CORRESPONDENTE],L$6,LANÇ_MOV[EMPRESA],$C$4,LANÇ_MOV[CENTRO DE CUSTOS],$D$4)</f>
        <v>0</v>
      </c>
      <c r="M1024" s="206">
        <f>SUMIFS(LANÇ_MOV[VALOR LÍQUIDO],LANÇ_MOV[RECEITA OU DESPESA],"Despesa",LANÇ_MOV[CONTAS],$C1024,LANÇ_MOV[PLANO DE CONTAS],REL_DRE_FINANCEIRO!$B$957,LANÇ_MOV[ANO PAGAMENTO],$B$4,LANÇ_MOV[MÊS PAGAMENTO CORRESPONDENTE],M$6,LANÇ_MOV[EMPRESA],$C$4,LANÇ_MOV[CENTRO DE CUSTOS],$D$4)</f>
        <v>0</v>
      </c>
      <c r="N1024" s="206">
        <f>SUMIFS(LANÇ_MOV[VALOR LÍQUIDO],LANÇ_MOV[RECEITA OU DESPESA],"Despesa",LANÇ_MOV[CONTAS],$C1024,LANÇ_MOV[PLANO DE CONTAS],REL_DRE_FINANCEIRO!$B$957,LANÇ_MOV[ANO PAGAMENTO],$B$4,LANÇ_MOV[MÊS PAGAMENTO CORRESPONDENTE],N$6,LANÇ_MOV[EMPRESA],$C$4,LANÇ_MOV[CENTRO DE CUSTOS],$D$4)</f>
        <v>0</v>
      </c>
      <c r="O1024" s="206">
        <f>SUMIFS(LANÇ_MOV[VALOR LÍQUIDO],LANÇ_MOV[RECEITA OU DESPESA],"Despesa",LANÇ_MOV[CONTAS],$C1024,LANÇ_MOV[PLANO DE CONTAS],REL_DRE_FINANCEIRO!$B$957,LANÇ_MOV[ANO PAGAMENTO],$B$4,LANÇ_MOV[MÊS PAGAMENTO CORRESPONDENTE],O$6,LANÇ_MOV[EMPRESA],$C$4,LANÇ_MOV[CENTRO DE CUSTOS],$D$4)</f>
        <v>0</v>
      </c>
      <c r="P1024" s="207">
        <f t="shared" si="127"/>
        <v>0</v>
      </c>
      <c r="Q1024" s="329">
        <v>3.4000000000000001E-6</v>
      </c>
      <c r="R1024" s="346">
        <f t="shared" si="128"/>
        <v>3.4000000000000001E-6</v>
      </c>
      <c r="S1024" s="347" t="str">
        <f t="shared" si="129"/>
        <v>-</v>
      </c>
      <c r="T1024" s="347">
        <f t="shared" si="130"/>
        <v>0</v>
      </c>
      <c r="U1024" s="347">
        <f>HLOOKUP(Apoio!$P$12,$D$956:$P$1057,X1024,FALSE)+Q1024</f>
        <v>3.4000000000000001E-6</v>
      </c>
      <c r="V1024" s="447" t="str">
        <f t="shared" si="131"/>
        <v>-</v>
      </c>
      <c r="W1024" s="448">
        <f>HLOOKUP(Apoio!$P$12,$D$956:$P$1057,X1024,FALSE)</f>
        <v>0</v>
      </c>
      <c r="X1024" s="329">
        <v>69</v>
      </c>
    </row>
    <row r="1025" spans="2:24" ht="30.05" customHeight="1" x14ac:dyDescent="0.35">
      <c r="B1025" s="204" t="str">
        <f>'CAD_PL_REC-DESP'!AF72</f>
        <v>2.8.68</v>
      </c>
      <c r="C1025" s="205" t="str">
        <f>IF('CAD_PL_REC-DESP'!AG72="","-",'CAD_PL_REC-DESP'!AG72)</f>
        <v>-</v>
      </c>
      <c r="D1025" s="206">
        <f>SUMIFS(LANÇ_MOV[VALOR LÍQUIDO],LANÇ_MOV[RECEITA OU DESPESA],"Despesa",LANÇ_MOV[CONTAS],$C1025,LANÇ_MOV[PLANO DE CONTAS],REL_DRE_FINANCEIRO!$B$957,LANÇ_MOV[ANO PAGAMENTO],$B$4,LANÇ_MOV[MÊS PAGAMENTO CORRESPONDENTE],D$6,LANÇ_MOV[EMPRESA],$C$4,LANÇ_MOV[CENTRO DE CUSTOS],$D$4)</f>
        <v>0</v>
      </c>
      <c r="E1025" s="206">
        <f>SUMIFS(LANÇ_MOV[VALOR LÍQUIDO],LANÇ_MOV[RECEITA OU DESPESA],"Despesa",LANÇ_MOV[CONTAS],$C1025,LANÇ_MOV[PLANO DE CONTAS],REL_DRE_FINANCEIRO!$B$957,LANÇ_MOV[ANO PAGAMENTO],$B$4,LANÇ_MOV[MÊS PAGAMENTO CORRESPONDENTE],E$6,LANÇ_MOV[EMPRESA],$C$4,LANÇ_MOV[CENTRO DE CUSTOS],$D$4)</f>
        <v>0</v>
      </c>
      <c r="F1025" s="206">
        <f>SUMIFS(LANÇ_MOV[VALOR LÍQUIDO],LANÇ_MOV[RECEITA OU DESPESA],"Despesa",LANÇ_MOV[CONTAS],$C1025,LANÇ_MOV[PLANO DE CONTAS],REL_DRE_FINANCEIRO!$B$957,LANÇ_MOV[ANO PAGAMENTO],$B$4,LANÇ_MOV[MÊS PAGAMENTO CORRESPONDENTE],F$6,LANÇ_MOV[EMPRESA],$C$4,LANÇ_MOV[CENTRO DE CUSTOS],$D$4)</f>
        <v>0</v>
      </c>
      <c r="G1025" s="206">
        <f>SUMIFS(LANÇ_MOV[VALOR LÍQUIDO],LANÇ_MOV[RECEITA OU DESPESA],"Despesa",LANÇ_MOV[CONTAS],$C1025,LANÇ_MOV[PLANO DE CONTAS],REL_DRE_FINANCEIRO!$B$957,LANÇ_MOV[ANO PAGAMENTO],$B$4,LANÇ_MOV[MÊS PAGAMENTO CORRESPONDENTE],G$6,LANÇ_MOV[EMPRESA],$C$4,LANÇ_MOV[CENTRO DE CUSTOS],$D$4)</f>
        <v>0</v>
      </c>
      <c r="H1025" s="206">
        <f>SUMIFS(LANÇ_MOV[VALOR LÍQUIDO],LANÇ_MOV[RECEITA OU DESPESA],"Despesa",LANÇ_MOV[CONTAS],$C1025,LANÇ_MOV[PLANO DE CONTAS],REL_DRE_FINANCEIRO!$B$957,LANÇ_MOV[ANO PAGAMENTO],$B$4,LANÇ_MOV[MÊS PAGAMENTO CORRESPONDENTE],H$6,LANÇ_MOV[EMPRESA],$C$4,LANÇ_MOV[CENTRO DE CUSTOS],$D$4)</f>
        <v>0</v>
      </c>
      <c r="I1025" s="206">
        <f>SUMIFS(LANÇ_MOV[VALOR LÍQUIDO],LANÇ_MOV[RECEITA OU DESPESA],"Despesa",LANÇ_MOV[CONTAS],$C1025,LANÇ_MOV[PLANO DE CONTAS],REL_DRE_FINANCEIRO!$B$957,LANÇ_MOV[ANO PAGAMENTO],$B$4,LANÇ_MOV[MÊS PAGAMENTO CORRESPONDENTE],I$6,LANÇ_MOV[EMPRESA],$C$4,LANÇ_MOV[CENTRO DE CUSTOS],$D$4)</f>
        <v>0</v>
      </c>
      <c r="J1025" s="206">
        <f>SUMIFS(LANÇ_MOV[VALOR LÍQUIDO],LANÇ_MOV[RECEITA OU DESPESA],"Despesa",LANÇ_MOV[CONTAS],$C1025,LANÇ_MOV[PLANO DE CONTAS],REL_DRE_FINANCEIRO!$B$957,LANÇ_MOV[ANO PAGAMENTO],$B$4,LANÇ_MOV[MÊS PAGAMENTO CORRESPONDENTE],J$6,LANÇ_MOV[EMPRESA],$C$4,LANÇ_MOV[CENTRO DE CUSTOS],$D$4)</f>
        <v>0</v>
      </c>
      <c r="K1025" s="206">
        <f>SUMIFS(LANÇ_MOV[VALOR LÍQUIDO],LANÇ_MOV[RECEITA OU DESPESA],"Despesa",LANÇ_MOV[CONTAS],$C1025,LANÇ_MOV[PLANO DE CONTAS],REL_DRE_FINANCEIRO!$B$957,LANÇ_MOV[ANO PAGAMENTO],$B$4,LANÇ_MOV[MÊS PAGAMENTO CORRESPONDENTE],K$6,LANÇ_MOV[EMPRESA],$C$4,LANÇ_MOV[CENTRO DE CUSTOS],$D$4)</f>
        <v>0</v>
      </c>
      <c r="L1025" s="206">
        <f>SUMIFS(LANÇ_MOV[VALOR LÍQUIDO],LANÇ_MOV[RECEITA OU DESPESA],"Despesa",LANÇ_MOV[CONTAS],$C1025,LANÇ_MOV[PLANO DE CONTAS],REL_DRE_FINANCEIRO!$B$957,LANÇ_MOV[ANO PAGAMENTO],$B$4,LANÇ_MOV[MÊS PAGAMENTO CORRESPONDENTE],L$6,LANÇ_MOV[EMPRESA],$C$4,LANÇ_MOV[CENTRO DE CUSTOS],$D$4)</f>
        <v>0</v>
      </c>
      <c r="M1025" s="206">
        <f>SUMIFS(LANÇ_MOV[VALOR LÍQUIDO],LANÇ_MOV[RECEITA OU DESPESA],"Despesa",LANÇ_MOV[CONTAS],$C1025,LANÇ_MOV[PLANO DE CONTAS],REL_DRE_FINANCEIRO!$B$957,LANÇ_MOV[ANO PAGAMENTO],$B$4,LANÇ_MOV[MÊS PAGAMENTO CORRESPONDENTE],M$6,LANÇ_MOV[EMPRESA],$C$4,LANÇ_MOV[CENTRO DE CUSTOS],$D$4)</f>
        <v>0</v>
      </c>
      <c r="N1025" s="206">
        <f>SUMIFS(LANÇ_MOV[VALOR LÍQUIDO],LANÇ_MOV[RECEITA OU DESPESA],"Despesa",LANÇ_MOV[CONTAS],$C1025,LANÇ_MOV[PLANO DE CONTAS],REL_DRE_FINANCEIRO!$B$957,LANÇ_MOV[ANO PAGAMENTO],$B$4,LANÇ_MOV[MÊS PAGAMENTO CORRESPONDENTE],N$6,LANÇ_MOV[EMPRESA],$C$4,LANÇ_MOV[CENTRO DE CUSTOS],$D$4)</f>
        <v>0</v>
      </c>
      <c r="O1025" s="206">
        <f>SUMIFS(LANÇ_MOV[VALOR LÍQUIDO],LANÇ_MOV[RECEITA OU DESPESA],"Despesa",LANÇ_MOV[CONTAS],$C1025,LANÇ_MOV[PLANO DE CONTAS],REL_DRE_FINANCEIRO!$B$957,LANÇ_MOV[ANO PAGAMENTO],$B$4,LANÇ_MOV[MÊS PAGAMENTO CORRESPONDENTE],O$6,LANÇ_MOV[EMPRESA],$C$4,LANÇ_MOV[CENTRO DE CUSTOS],$D$4)</f>
        <v>0</v>
      </c>
      <c r="P1025" s="207">
        <f t="shared" si="127"/>
        <v>0</v>
      </c>
      <c r="Q1025" s="329">
        <v>3.3000000000000002E-6</v>
      </c>
      <c r="R1025" s="346">
        <f t="shared" si="128"/>
        <v>3.3000000000000002E-6</v>
      </c>
      <c r="S1025" s="347" t="str">
        <f t="shared" si="129"/>
        <v>-</v>
      </c>
      <c r="T1025" s="347">
        <f t="shared" si="130"/>
        <v>0</v>
      </c>
      <c r="U1025" s="347">
        <f>HLOOKUP(Apoio!$P$12,$D$956:$P$1057,X1025,FALSE)+Q1025</f>
        <v>3.3000000000000002E-6</v>
      </c>
      <c r="V1025" s="447" t="str">
        <f t="shared" si="131"/>
        <v>-</v>
      </c>
      <c r="W1025" s="448">
        <f>HLOOKUP(Apoio!$P$12,$D$956:$P$1057,X1025,FALSE)</f>
        <v>0</v>
      </c>
      <c r="X1025" s="329">
        <v>70</v>
      </c>
    </row>
    <row r="1026" spans="2:24" ht="30.05" customHeight="1" x14ac:dyDescent="0.35">
      <c r="B1026" s="204" t="str">
        <f>'CAD_PL_REC-DESP'!AF73</f>
        <v>2.8.69</v>
      </c>
      <c r="C1026" s="205" t="str">
        <f>IF('CAD_PL_REC-DESP'!AG73="","-",'CAD_PL_REC-DESP'!AG73)</f>
        <v>-</v>
      </c>
      <c r="D1026" s="206">
        <f>SUMIFS(LANÇ_MOV[VALOR LÍQUIDO],LANÇ_MOV[RECEITA OU DESPESA],"Despesa",LANÇ_MOV[CONTAS],$C1026,LANÇ_MOV[PLANO DE CONTAS],REL_DRE_FINANCEIRO!$B$957,LANÇ_MOV[ANO PAGAMENTO],$B$4,LANÇ_MOV[MÊS PAGAMENTO CORRESPONDENTE],D$6,LANÇ_MOV[EMPRESA],$C$4,LANÇ_MOV[CENTRO DE CUSTOS],$D$4)</f>
        <v>0</v>
      </c>
      <c r="E1026" s="206">
        <f>SUMIFS(LANÇ_MOV[VALOR LÍQUIDO],LANÇ_MOV[RECEITA OU DESPESA],"Despesa",LANÇ_MOV[CONTAS],$C1026,LANÇ_MOV[PLANO DE CONTAS],REL_DRE_FINANCEIRO!$B$957,LANÇ_MOV[ANO PAGAMENTO],$B$4,LANÇ_MOV[MÊS PAGAMENTO CORRESPONDENTE],E$6,LANÇ_MOV[EMPRESA],$C$4,LANÇ_MOV[CENTRO DE CUSTOS],$D$4)</f>
        <v>0</v>
      </c>
      <c r="F1026" s="206">
        <f>SUMIFS(LANÇ_MOV[VALOR LÍQUIDO],LANÇ_MOV[RECEITA OU DESPESA],"Despesa",LANÇ_MOV[CONTAS],$C1026,LANÇ_MOV[PLANO DE CONTAS],REL_DRE_FINANCEIRO!$B$957,LANÇ_MOV[ANO PAGAMENTO],$B$4,LANÇ_MOV[MÊS PAGAMENTO CORRESPONDENTE],F$6,LANÇ_MOV[EMPRESA],$C$4,LANÇ_MOV[CENTRO DE CUSTOS],$D$4)</f>
        <v>0</v>
      </c>
      <c r="G1026" s="206">
        <f>SUMIFS(LANÇ_MOV[VALOR LÍQUIDO],LANÇ_MOV[RECEITA OU DESPESA],"Despesa",LANÇ_MOV[CONTAS],$C1026,LANÇ_MOV[PLANO DE CONTAS],REL_DRE_FINANCEIRO!$B$957,LANÇ_MOV[ANO PAGAMENTO],$B$4,LANÇ_MOV[MÊS PAGAMENTO CORRESPONDENTE],G$6,LANÇ_MOV[EMPRESA],$C$4,LANÇ_MOV[CENTRO DE CUSTOS],$D$4)</f>
        <v>0</v>
      </c>
      <c r="H1026" s="206">
        <f>SUMIFS(LANÇ_MOV[VALOR LÍQUIDO],LANÇ_MOV[RECEITA OU DESPESA],"Despesa",LANÇ_MOV[CONTAS],$C1026,LANÇ_MOV[PLANO DE CONTAS],REL_DRE_FINANCEIRO!$B$957,LANÇ_MOV[ANO PAGAMENTO],$B$4,LANÇ_MOV[MÊS PAGAMENTO CORRESPONDENTE],H$6,LANÇ_MOV[EMPRESA],$C$4,LANÇ_MOV[CENTRO DE CUSTOS],$D$4)</f>
        <v>0</v>
      </c>
      <c r="I1026" s="206">
        <f>SUMIFS(LANÇ_MOV[VALOR LÍQUIDO],LANÇ_MOV[RECEITA OU DESPESA],"Despesa",LANÇ_MOV[CONTAS],$C1026,LANÇ_MOV[PLANO DE CONTAS],REL_DRE_FINANCEIRO!$B$957,LANÇ_MOV[ANO PAGAMENTO],$B$4,LANÇ_MOV[MÊS PAGAMENTO CORRESPONDENTE],I$6,LANÇ_MOV[EMPRESA],$C$4,LANÇ_MOV[CENTRO DE CUSTOS],$D$4)</f>
        <v>0</v>
      </c>
      <c r="J1026" s="206">
        <f>SUMIFS(LANÇ_MOV[VALOR LÍQUIDO],LANÇ_MOV[RECEITA OU DESPESA],"Despesa",LANÇ_MOV[CONTAS],$C1026,LANÇ_MOV[PLANO DE CONTAS],REL_DRE_FINANCEIRO!$B$957,LANÇ_MOV[ANO PAGAMENTO],$B$4,LANÇ_MOV[MÊS PAGAMENTO CORRESPONDENTE],J$6,LANÇ_MOV[EMPRESA],$C$4,LANÇ_MOV[CENTRO DE CUSTOS],$D$4)</f>
        <v>0</v>
      </c>
      <c r="K1026" s="206">
        <f>SUMIFS(LANÇ_MOV[VALOR LÍQUIDO],LANÇ_MOV[RECEITA OU DESPESA],"Despesa",LANÇ_MOV[CONTAS],$C1026,LANÇ_MOV[PLANO DE CONTAS],REL_DRE_FINANCEIRO!$B$957,LANÇ_MOV[ANO PAGAMENTO],$B$4,LANÇ_MOV[MÊS PAGAMENTO CORRESPONDENTE],K$6,LANÇ_MOV[EMPRESA],$C$4,LANÇ_MOV[CENTRO DE CUSTOS],$D$4)</f>
        <v>0</v>
      </c>
      <c r="L1026" s="206">
        <f>SUMIFS(LANÇ_MOV[VALOR LÍQUIDO],LANÇ_MOV[RECEITA OU DESPESA],"Despesa",LANÇ_MOV[CONTAS],$C1026,LANÇ_MOV[PLANO DE CONTAS],REL_DRE_FINANCEIRO!$B$957,LANÇ_MOV[ANO PAGAMENTO],$B$4,LANÇ_MOV[MÊS PAGAMENTO CORRESPONDENTE],L$6,LANÇ_MOV[EMPRESA],$C$4,LANÇ_MOV[CENTRO DE CUSTOS],$D$4)</f>
        <v>0</v>
      </c>
      <c r="M1026" s="206">
        <f>SUMIFS(LANÇ_MOV[VALOR LÍQUIDO],LANÇ_MOV[RECEITA OU DESPESA],"Despesa",LANÇ_MOV[CONTAS],$C1026,LANÇ_MOV[PLANO DE CONTAS],REL_DRE_FINANCEIRO!$B$957,LANÇ_MOV[ANO PAGAMENTO],$B$4,LANÇ_MOV[MÊS PAGAMENTO CORRESPONDENTE],M$6,LANÇ_MOV[EMPRESA],$C$4,LANÇ_MOV[CENTRO DE CUSTOS],$D$4)</f>
        <v>0</v>
      </c>
      <c r="N1026" s="206">
        <f>SUMIFS(LANÇ_MOV[VALOR LÍQUIDO],LANÇ_MOV[RECEITA OU DESPESA],"Despesa",LANÇ_MOV[CONTAS],$C1026,LANÇ_MOV[PLANO DE CONTAS],REL_DRE_FINANCEIRO!$B$957,LANÇ_MOV[ANO PAGAMENTO],$B$4,LANÇ_MOV[MÊS PAGAMENTO CORRESPONDENTE],N$6,LANÇ_MOV[EMPRESA],$C$4,LANÇ_MOV[CENTRO DE CUSTOS],$D$4)</f>
        <v>0</v>
      </c>
      <c r="O1026" s="206">
        <f>SUMIFS(LANÇ_MOV[VALOR LÍQUIDO],LANÇ_MOV[RECEITA OU DESPESA],"Despesa",LANÇ_MOV[CONTAS],$C1026,LANÇ_MOV[PLANO DE CONTAS],REL_DRE_FINANCEIRO!$B$957,LANÇ_MOV[ANO PAGAMENTO],$B$4,LANÇ_MOV[MÊS PAGAMENTO CORRESPONDENTE],O$6,LANÇ_MOV[EMPRESA],$C$4,LANÇ_MOV[CENTRO DE CUSTOS],$D$4)</f>
        <v>0</v>
      </c>
      <c r="P1026" s="207">
        <f t="shared" si="127"/>
        <v>0</v>
      </c>
      <c r="Q1026" s="329">
        <v>3.1999999999999999E-6</v>
      </c>
      <c r="R1026" s="346">
        <f t="shared" si="128"/>
        <v>3.1999999999999999E-6</v>
      </c>
      <c r="S1026" s="347" t="str">
        <f t="shared" si="129"/>
        <v>-</v>
      </c>
      <c r="T1026" s="347">
        <f t="shared" si="130"/>
        <v>0</v>
      </c>
      <c r="U1026" s="347">
        <f>HLOOKUP(Apoio!$P$12,$D$956:$P$1057,X1026,FALSE)+Q1026</f>
        <v>3.1999999999999999E-6</v>
      </c>
      <c r="V1026" s="447" t="str">
        <f t="shared" si="131"/>
        <v>-</v>
      </c>
      <c r="W1026" s="448">
        <f>HLOOKUP(Apoio!$P$12,$D$956:$P$1057,X1026,FALSE)</f>
        <v>0</v>
      </c>
      <c r="X1026" s="329">
        <v>71</v>
      </c>
    </row>
    <row r="1027" spans="2:24" ht="30.05" customHeight="1" x14ac:dyDescent="0.35">
      <c r="B1027" s="204" t="str">
        <f>'CAD_PL_REC-DESP'!AF74</f>
        <v>2.8.70</v>
      </c>
      <c r="C1027" s="205" t="str">
        <f>IF('CAD_PL_REC-DESP'!AG74="","-",'CAD_PL_REC-DESP'!AG74)</f>
        <v>-</v>
      </c>
      <c r="D1027" s="206">
        <f>SUMIFS(LANÇ_MOV[VALOR LÍQUIDO],LANÇ_MOV[RECEITA OU DESPESA],"Despesa",LANÇ_MOV[CONTAS],$C1027,LANÇ_MOV[PLANO DE CONTAS],REL_DRE_FINANCEIRO!$B$957,LANÇ_MOV[ANO PAGAMENTO],$B$4,LANÇ_MOV[MÊS PAGAMENTO CORRESPONDENTE],D$6,LANÇ_MOV[EMPRESA],$C$4,LANÇ_MOV[CENTRO DE CUSTOS],$D$4)</f>
        <v>0</v>
      </c>
      <c r="E1027" s="206">
        <f>SUMIFS(LANÇ_MOV[VALOR LÍQUIDO],LANÇ_MOV[RECEITA OU DESPESA],"Despesa",LANÇ_MOV[CONTAS],$C1027,LANÇ_MOV[PLANO DE CONTAS],REL_DRE_FINANCEIRO!$B$957,LANÇ_MOV[ANO PAGAMENTO],$B$4,LANÇ_MOV[MÊS PAGAMENTO CORRESPONDENTE],E$6,LANÇ_MOV[EMPRESA],$C$4,LANÇ_MOV[CENTRO DE CUSTOS],$D$4)</f>
        <v>0</v>
      </c>
      <c r="F1027" s="206">
        <f>SUMIFS(LANÇ_MOV[VALOR LÍQUIDO],LANÇ_MOV[RECEITA OU DESPESA],"Despesa",LANÇ_MOV[CONTAS],$C1027,LANÇ_MOV[PLANO DE CONTAS],REL_DRE_FINANCEIRO!$B$957,LANÇ_MOV[ANO PAGAMENTO],$B$4,LANÇ_MOV[MÊS PAGAMENTO CORRESPONDENTE],F$6,LANÇ_MOV[EMPRESA],$C$4,LANÇ_MOV[CENTRO DE CUSTOS],$D$4)</f>
        <v>0</v>
      </c>
      <c r="G1027" s="206">
        <f>SUMIFS(LANÇ_MOV[VALOR LÍQUIDO],LANÇ_MOV[RECEITA OU DESPESA],"Despesa",LANÇ_MOV[CONTAS],$C1027,LANÇ_MOV[PLANO DE CONTAS],REL_DRE_FINANCEIRO!$B$957,LANÇ_MOV[ANO PAGAMENTO],$B$4,LANÇ_MOV[MÊS PAGAMENTO CORRESPONDENTE],G$6,LANÇ_MOV[EMPRESA],$C$4,LANÇ_MOV[CENTRO DE CUSTOS],$D$4)</f>
        <v>0</v>
      </c>
      <c r="H1027" s="206">
        <f>SUMIFS(LANÇ_MOV[VALOR LÍQUIDO],LANÇ_MOV[RECEITA OU DESPESA],"Despesa",LANÇ_MOV[CONTAS],$C1027,LANÇ_MOV[PLANO DE CONTAS],REL_DRE_FINANCEIRO!$B$957,LANÇ_MOV[ANO PAGAMENTO],$B$4,LANÇ_MOV[MÊS PAGAMENTO CORRESPONDENTE],H$6,LANÇ_MOV[EMPRESA],$C$4,LANÇ_MOV[CENTRO DE CUSTOS],$D$4)</f>
        <v>0</v>
      </c>
      <c r="I1027" s="206">
        <f>SUMIFS(LANÇ_MOV[VALOR LÍQUIDO],LANÇ_MOV[RECEITA OU DESPESA],"Despesa",LANÇ_MOV[CONTAS],$C1027,LANÇ_MOV[PLANO DE CONTAS],REL_DRE_FINANCEIRO!$B$957,LANÇ_MOV[ANO PAGAMENTO],$B$4,LANÇ_MOV[MÊS PAGAMENTO CORRESPONDENTE],I$6,LANÇ_MOV[EMPRESA],$C$4,LANÇ_MOV[CENTRO DE CUSTOS],$D$4)</f>
        <v>0</v>
      </c>
      <c r="J1027" s="206">
        <f>SUMIFS(LANÇ_MOV[VALOR LÍQUIDO],LANÇ_MOV[RECEITA OU DESPESA],"Despesa",LANÇ_MOV[CONTAS],$C1027,LANÇ_MOV[PLANO DE CONTAS],REL_DRE_FINANCEIRO!$B$957,LANÇ_MOV[ANO PAGAMENTO],$B$4,LANÇ_MOV[MÊS PAGAMENTO CORRESPONDENTE],J$6,LANÇ_MOV[EMPRESA],$C$4,LANÇ_MOV[CENTRO DE CUSTOS],$D$4)</f>
        <v>0</v>
      </c>
      <c r="K1027" s="206">
        <f>SUMIFS(LANÇ_MOV[VALOR LÍQUIDO],LANÇ_MOV[RECEITA OU DESPESA],"Despesa",LANÇ_MOV[CONTAS],$C1027,LANÇ_MOV[PLANO DE CONTAS],REL_DRE_FINANCEIRO!$B$957,LANÇ_MOV[ANO PAGAMENTO],$B$4,LANÇ_MOV[MÊS PAGAMENTO CORRESPONDENTE],K$6,LANÇ_MOV[EMPRESA],$C$4,LANÇ_MOV[CENTRO DE CUSTOS],$D$4)</f>
        <v>0</v>
      </c>
      <c r="L1027" s="206">
        <f>SUMIFS(LANÇ_MOV[VALOR LÍQUIDO],LANÇ_MOV[RECEITA OU DESPESA],"Despesa",LANÇ_MOV[CONTAS],$C1027,LANÇ_MOV[PLANO DE CONTAS],REL_DRE_FINANCEIRO!$B$957,LANÇ_MOV[ANO PAGAMENTO],$B$4,LANÇ_MOV[MÊS PAGAMENTO CORRESPONDENTE],L$6,LANÇ_MOV[EMPRESA],$C$4,LANÇ_MOV[CENTRO DE CUSTOS],$D$4)</f>
        <v>0</v>
      </c>
      <c r="M1027" s="206">
        <f>SUMIFS(LANÇ_MOV[VALOR LÍQUIDO],LANÇ_MOV[RECEITA OU DESPESA],"Despesa",LANÇ_MOV[CONTAS],$C1027,LANÇ_MOV[PLANO DE CONTAS],REL_DRE_FINANCEIRO!$B$957,LANÇ_MOV[ANO PAGAMENTO],$B$4,LANÇ_MOV[MÊS PAGAMENTO CORRESPONDENTE],M$6,LANÇ_MOV[EMPRESA],$C$4,LANÇ_MOV[CENTRO DE CUSTOS],$D$4)</f>
        <v>0</v>
      </c>
      <c r="N1027" s="206">
        <f>SUMIFS(LANÇ_MOV[VALOR LÍQUIDO],LANÇ_MOV[RECEITA OU DESPESA],"Despesa",LANÇ_MOV[CONTAS],$C1027,LANÇ_MOV[PLANO DE CONTAS],REL_DRE_FINANCEIRO!$B$957,LANÇ_MOV[ANO PAGAMENTO],$B$4,LANÇ_MOV[MÊS PAGAMENTO CORRESPONDENTE],N$6,LANÇ_MOV[EMPRESA],$C$4,LANÇ_MOV[CENTRO DE CUSTOS],$D$4)</f>
        <v>0</v>
      </c>
      <c r="O1027" s="206">
        <f>SUMIFS(LANÇ_MOV[VALOR LÍQUIDO],LANÇ_MOV[RECEITA OU DESPESA],"Despesa",LANÇ_MOV[CONTAS],$C1027,LANÇ_MOV[PLANO DE CONTAS],REL_DRE_FINANCEIRO!$B$957,LANÇ_MOV[ANO PAGAMENTO],$B$4,LANÇ_MOV[MÊS PAGAMENTO CORRESPONDENTE],O$6,LANÇ_MOV[EMPRESA],$C$4,LANÇ_MOV[CENTRO DE CUSTOS],$D$4)</f>
        <v>0</v>
      </c>
      <c r="P1027" s="207">
        <f t="shared" si="127"/>
        <v>0</v>
      </c>
      <c r="Q1027" s="329">
        <v>3.1E-6</v>
      </c>
      <c r="R1027" s="346">
        <f t="shared" si="128"/>
        <v>3.1E-6</v>
      </c>
      <c r="S1027" s="347" t="str">
        <f t="shared" si="129"/>
        <v>-</v>
      </c>
      <c r="T1027" s="347">
        <f t="shared" si="130"/>
        <v>0</v>
      </c>
      <c r="U1027" s="347">
        <f>HLOOKUP(Apoio!$P$12,$D$956:$P$1057,X1027,FALSE)+Q1027</f>
        <v>3.1E-6</v>
      </c>
      <c r="V1027" s="447" t="str">
        <f t="shared" si="131"/>
        <v>-</v>
      </c>
      <c r="W1027" s="448">
        <f>HLOOKUP(Apoio!$P$12,$D$956:$P$1057,X1027,FALSE)</f>
        <v>0</v>
      </c>
      <c r="X1027" s="329">
        <v>72</v>
      </c>
    </row>
    <row r="1028" spans="2:24" ht="30.05" customHeight="1" x14ac:dyDescent="0.35">
      <c r="B1028" s="204" t="str">
        <f>'CAD_PL_REC-DESP'!AF75</f>
        <v>2.8.71</v>
      </c>
      <c r="C1028" s="205" t="str">
        <f>IF('CAD_PL_REC-DESP'!AG75="","-",'CAD_PL_REC-DESP'!AG75)</f>
        <v>-</v>
      </c>
      <c r="D1028" s="206">
        <f>SUMIFS(LANÇ_MOV[VALOR LÍQUIDO],LANÇ_MOV[RECEITA OU DESPESA],"Despesa",LANÇ_MOV[CONTAS],$C1028,LANÇ_MOV[PLANO DE CONTAS],REL_DRE_FINANCEIRO!$B$957,LANÇ_MOV[ANO PAGAMENTO],$B$4,LANÇ_MOV[MÊS PAGAMENTO CORRESPONDENTE],D$6,LANÇ_MOV[EMPRESA],$C$4,LANÇ_MOV[CENTRO DE CUSTOS],$D$4)</f>
        <v>0</v>
      </c>
      <c r="E1028" s="206">
        <f>SUMIFS(LANÇ_MOV[VALOR LÍQUIDO],LANÇ_MOV[RECEITA OU DESPESA],"Despesa",LANÇ_MOV[CONTAS],$C1028,LANÇ_MOV[PLANO DE CONTAS],REL_DRE_FINANCEIRO!$B$957,LANÇ_MOV[ANO PAGAMENTO],$B$4,LANÇ_MOV[MÊS PAGAMENTO CORRESPONDENTE],E$6,LANÇ_MOV[EMPRESA],$C$4,LANÇ_MOV[CENTRO DE CUSTOS],$D$4)</f>
        <v>0</v>
      </c>
      <c r="F1028" s="206">
        <f>SUMIFS(LANÇ_MOV[VALOR LÍQUIDO],LANÇ_MOV[RECEITA OU DESPESA],"Despesa",LANÇ_MOV[CONTAS],$C1028,LANÇ_MOV[PLANO DE CONTAS],REL_DRE_FINANCEIRO!$B$957,LANÇ_MOV[ANO PAGAMENTO],$B$4,LANÇ_MOV[MÊS PAGAMENTO CORRESPONDENTE],F$6,LANÇ_MOV[EMPRESA],$C$4,LANÇ_MOV[CENTRO DE CUSTOS],$D$4)</f>
        <v>0</v>
      </c>
      <c r="G1028" s="206">
        <f>SUMIFS(LANÇ_MOV[VALOR LÍQUIDO],LANÇ_MOV[RECEITA OU DESPESA],"Despesa",LANÇ_MOV[CONTAS],$C1028,LANÇ_MOV[PLANO DE CONTAS],REL_DRE_FINANCEIRO!$B$957,LANÇ_MOV[ANO PAGAMENTO],$B$4,LANÇ_MOV[MÊS PAGAMENTO CORRESPONDENTE],G$6,LANÇ_MOV[EMPRESA],$C$4,LANÇ_MOV[CENTRO DE CUSTOS],$D$4)</f>
        <v>0</v>
      </c>
      <c r="H1028" s="206">
        <f>SUMIFS(LANÇ_MOV[VALOR LÍQUIDO],LANÇ_MOV[RECEITA OU DESPESA],"Despesa",LANÇ_MOV[CONTAS],$C1028,LANÇ_MOV[PLANO DE CONTAS],REL_DRE_FINANCEIRO!$B$957,LANÇ_MOV[ANO PAGAMENTO],$B$4,LANÇ_MOV[MÊS PAGAMENTO CORRESPONDENTE],H$6,LANÇ_MOV[EMPRESA],$C$4,LANÇ_MOV[CENTRO DE CUSTOS],$D$4)</f>
        <v>0</v>
      </c>
      <c r="I1028" s="206">
        <f>SUMIFS(LANÇ_MOV[VALOR LÍQUIDO],LANÇ_MOV[RECEITA OU DESPESA],"Despesa",LANÇ_MOV[CONTAS],$C1028,LANÇ_MOV[PLANO DE CONTAS],REL_DRE_FINANCEIRO!$B$957,LANÇ_MOV[ANO PAGAMENTO],$B$4,LANÇ_MOV[MÊS PAGAMENTO CORRESPONDENTE],I$6,LANÇ_MOV[EMPRESA],$C$4,LANÇ_MOV[CENTRO DE CUSTOS],$D$4)</f>
        <v>0</v>
      </c>
      <c r="J1028" s="206">
        <f>SUMIFS(LANÇ_MOV[VALOR LÍQUIDO],LANÇ_MOV[RECEITA OU DESPESA],"Despesa",LANÇ_MOV[CONTAS],$C1028,LANÇ_MOV[PLANO DE CONTAS],REL_DRE_FINANCEIRO!$B$957,LANÇ_MOV[ANO PAGAMENTO],$B$4,LANÇ_MOV[MÊS PAGAMENTO CORRESPONDENTE],J$6,LANÇ_MOV[EMPRESA],$C$4,LANÇ_MOV[CENTRO DE CUSTOS],$D$4)</f>
        <v>0</v>
      </c>
      <c r="K1028" s="206">
        <f>SUMIFS(LANÇ_MOV[VALOR LÍQUIDO],LANÇ_MOV[RECEITA OU DESPESA],"Despesa",LANÇ_MOV[CONTAS],$C1028,LANÇ_MOV[PLANO DE CONTAS],REL_DRE_FINANCEIRO!$B$957,LANÇ_MOV[ANO PAGAMENTO],$B$4,LANÇ_MOV[MÊS PAGAMENTO CORRESPONDENTE],K$6,LANÇ_MOV[EMPRESA],$C$4,LANÇ_MOV[CENTRO DE CUSTOS],$D$4)</f>
        <v>0</v>
      </c>
      <c r="L1028" s="206">
        <f>SUMIFS(LANÇ_MOV[VALOR LÍQUIDO],LANÇ_MOV[RECEITA OU DESPESA],"Despesa",LANÇ_MOV[CONTAS],$C1028,LANÇ_MOV[PLANO DE CONTAS],REL_DRE_FINANCEIRO!$B$957,LANÇ_MOV[ANO PAGAMENTO],$B$4,LANÇ_MOV[MÊS PAGAMENTO CORRESPONDENTE],L$6,LANÇ_MOV[EMPRESA],$C$4,LANÇ_MOV[CENTRO DE CUSTOS],$D$4)</f>
        <v>0</v>
      </c>
      <c r="M1028" s="206">
        <f>SUMIFS(LANÇ_MOV[VALOR LÍQUIDO],LANÇ_MOV[RECEITA OU DESPESA],"Despesa",LANÇ_MOV[CONTAS],$C1028,LANÇ_MOV[PLANO DE CONTAS],REL_DRE_FINANCEIRO!$B$957,LANÇ_MOV[ANO PAGAMENTO],$B$4,LANÇ_MOV[MÊS PAGAMENTO CORRESPONDENTE],M$6,LANÇ_MOV[EMPRESA],$C$4,LANÇ_MOV[CENTRO DE CUSTOS],$D$4)</f>
        <v>0</v>
      </c>
      <c r="N1028" s="206">
        <f>SUMIFS(LANÇ_MOV[VALOR LÍQUIDO],LANÇ_MOV[RECEITA OU DESPESA],"Despesa",LANÇ_MOV[CONTAS],$C1028,LANÇ_MOV[PLANO DE CONTAS],REL_DRE_FINANCEIRO!$B$957,LANÇ_MOV[ANO PAGAMENTO],$B$4,LANÇ_MOV[MÊS PAGAMENTO CORRESPONDENTE],N$6,LANÇ_MOV[EMPRESA],$C$4,LANÇ_MOV[CENTRO DE CUSTOS],$D$4)</f>
        <v>0</v>
      </c>
      <c r="O1028" s="206">
        <f>SUMIFS(LANÇ_MOV[VALOR LÍQUIDO],LANÇ_MOV[RECEITA OU DESPESA],"Despesa",LANÇ_MOV[CONTAS],$C1028,LANÇ_MOV[PLANO DE CONTAS],REL_DRE_FINANCEIRO!$B$957,LANÇ_MOV[ANO PAGAMENTO],$B$4,LANÇ_MOV[MÊS PAGAMENTO CORRESPONDENTE],O$6,LANÇ_MOV[EMPRESA],$C$4,LANÇ_MOV[CENTRO DE CUSTOS],$D$4)</f>
        <v>0</v>
      </c>
      <c r="P1028" s="207">
        <f t="shared" si="127"/>
        <v>0</v>
      </c>
      <c r="Q1028" s="329">
        <v>3.0000000000000001E-6</v>
      </c>
      <c r="R1028" s="346">
        <f t="shared" si="128"/>
        <v>3.0000000000000001E-6</v>
      </c>
      <c r="S1028" s="347" t="str">
        <f t="shared" si="129"/>
        <v>-</v>
      </c>
      <c r="T1028" s="347">
        <f t="shared" si="130"/>
        <v>0</v>
      </c>
      <c r="U1028" s="347">
        <f>HLOOKUP(Apoio!$P$12,$D$956:$P$1057,X1028,FALSE)+Q1028</f>
        <v>3.0000000000000001E-6</v>
      </c>
      <c r="V1028" s="447" t="str">
        <f t="shared" si="131"/>
        <v>-</v>
      </c>
      <c r="W1028" s="448">
        <f>HLOOKUP(Apoio!$P$12,$D$956:$P$1057,X1028,FALSE)</f>
        <v>0</v>
      </c>
      <c r="X1028" s="329">
        <v>73</v>
      </c>
    </row>
    <row r="1029" spans="2:24" ht="30.05" customHeight="1" x14ac:dyDescent="0.35">
      <c r="B1029" s="204" t="str">
        <f>'CAD_PL_REC-DESP'!AF76</f>
        <v>2.8.72</v>
      </c>
      <c r="C1029" s="205" t="str">
        <f>IF('CAD_PL_REC-DESP'!AG76="","-",'CAD_PL_REC-DESP'!AG76)</f>
        <v>-</v>
      </c>
      <c r="D1029" s="206">
        <f>SUMIFS(LANÇ_MOV[VALOR LÍQUIDO],LANÇ_MOV[RECEITA OU DESPESA],"Despesa",LANÇ_MOV[CONTAS],$C1029,LANÇ_MOV[PLANO DE CONTAS],REL_DRE_FINANCEIRO!$B$957,LANÇ_MOV[ANO PAGAMENTO],$B$4,LANÇ_MOV[MÊS PAGAMENTO CORRESPONDENTE],D$6,LANÇ_MOV[EMPRESA],$C$4,LANÇ_MOV[CENTRO DE CUSTOS],$D$4)</f>
        <v>0</v>
      </c>
      <c r="E1029" s="206">
        <f>SUMIFS(LANÇ_MOV[VALOR LÍQUIDO],LANÇ_MOV[RECEITA OU DESPESA],"Despesa",LANÇ_MOV[CONTAS],$C1029,LANÇ_MOV[PLANO DE CONTAS],REL_DRE_FINANCEIRO!$B$957,LANÇ_MOV[ANO PAGAMENTO],$B$4,LANÇ_MOV[MÊS PAGAMENTO CORRESPONDENTE],E$6,LANÇ_MOV[EMPRESA],$C$4,LANÇ_MOV[CENTRO DE CUSTOS],$D$4)</f>
        <v>0</v>
      </c>
      <c r="F1029" s="206">
        <f>SUMIFS(LANÇ_MOV[VALOR LÍQUIDO],LANÇ_MOV[RECEITA OU DESPESA],"Despesa",LANÇ_MOV[CONTAS],$C1029,LANÇ_MOV[PLANO DE CONTAS],REL_DRE_FINANCEIRO!$B$957,LANÇ_MOV[ANO PAGAMENTO],$B$4,LANÇ_MOV[MÊS PAGAMENTO CORRESPONDENTE],F$6,LANÇ_MOV[EMPRESA],$C$4,LANÇ_MOV[CENTRO DE CUSTOS],$D$4)</f>
        <v>0</v>
      </c>
      <c r="G1029" s="206">
        <f>SUMIFS(LANÇ_MOV[VALOR LÍQUIDO],LANÇ_MOV[RECEITA OU DESPESA],"Despesa",LANÇ_MOV[CONTAS],$C1029,LANÇ_MOV[PLANO DE CONTAS],REL_DRE_FINANCEIRO!$B$957,LANÇ_MOV[ANO PAGAMENTO],$B$4,LANÇ_MOV[MÊS PAGAMENTO CORRESPONDENTE],G$6,LANÇ_MOV[EMPRESA],$C$4,LANÇ_MOV[CENTRO DE CUSTOS],$D$4)</f>
        <v>0</v>
      </c>
      <c r="H1029" s="206">
        <f>SUMIFS(LANÇ_MOV[VALOR LÍQUIDO],LANÇ_MOV[RECEITA OU DESPESA],"Despesa",LANÇ_MOV[CONTAS],$C1029,LANÇ_MOV[PLANO DE CONTAS],REL_DRE_FINANCEIRO!$B$957,LANÇ_MOV[ANO PAGAMENTO],$B$4,LANÇ_MOV[MÊS PAGAMENTO CORRESPONDENTE],H$6,LANÇ_MOV[EMPRESA],$C$4,LANÇ_MOV[CENTRO DE CUSTOS],$D$4)</f>
        <v>0</v>
      </c>
      <c r="I1029" s="206">
        <f>SUMIFS(LANÇ_MOV[VALOR LÍQUIDO],LANÇ_MOV[RECEITA OU DESPESA],"Despesa",LANÇ_MOV[CONTAS],$C1029,LANÇ_MOV[PLANO DE CONTAS],REL_DRE_FINANCEIRO!$B$957,LANÇ_MOV[ANO PAGAMENTO],$B$4,LANÇ_MOV[MÊS PAGAMENTO CORRESPONDENTE],I$6,LANÇ_MOV[EMPRESA],$C$4,LANÇ_MOV[CENTRO DE CUSTOS],$D$4)</f>
        <v>0</v>
      </c>
      <c r="J1029" s="206">
        <f>SUMIFS(LANÇ_MOV[VALOR LÍQUIDO],LANÇ_MOV[RECEITA OU DESPESA],"Despesa",LANÇ_MOV[CONTAS],$C1029,LANÇ_MOV[PLANO DE CONTAS],REL_DRE_FINANCEIRO!$B$957,LANÇ_MOV[ANO PAGAMENTO],$B$4,LANÇ_MOV[MÊS PAGAMENTO CORRESPONDENTE],J$6,LANÇ_MOV[EMPRESA],$C$4,LANÇ_MOV[CENTRO DE CUSTOS],$D$4)</f>
        <v>0</v>
      </c>
      <c r="K1029" s="206">
        <f>SUMIFS(LANÇ_MOV[VALOR LÍQUIDO],LANÇ_MOV[RECEITA OU DESPESA],"Despesa",LANÇ_MOV[CONTAS],$C1029,LANÇ_MOV[PLANO DE CONTAS],REL_DRE_FINANCEIRO!$B$957,LANÇ_MOV[ANO PAGAMENTO],$B$4,LANÇ_MOV[MÊS PAGAMENTO CORRESPONDENTE],K$6,LANÇ_MOV[EMPRESA],$C$4,LANÇ_MOV[CENTRO DE CUSTOS],$D$4)</f>
        <v>0</v>
      </c>
      <c r="L1029" s="206">
        <f>SUMIFS(LANÇ_MOV[VALOR LÍQUIDO],LANÇ_MOV[RECEITA OU DESPESA],"Despesa",LANÇ_MOV[CONTAS],$C1029,LANÇ_MOV[PLANO DE CONTAS],REL_DRE_FINANCEIRO!$B$957,LANÇ_MOV[ANO PAGAMENTO],$B$4,LANÇ_MOV[MÊS PAGAMENTO CORRESPONDENTE],L$6,LANÇ_MOV[EMPRESA],$C$4,LANÇ_MOV[CENTRO DE CUSTOS],$D$4)</f>
        <v>0</v>
      </c>
      <c r="M1029" s="206">
        <f>SUMIFS(LANÇ_MOV[VALOR LÍQUIDO],LANÇ_MOV[RECEITA OU DESPESA],"Despesa",LANÇ_MOV[CONTAS],$C1029,LANÇ_MOV[PLANO DE CONTAS],REL_DRE_FINANCEIRO!$B$957,LANÇ_MOV[ANO PAGAMENTO],$B$4,LANÇ_MOV[MÊS PAGAMENTO CORRESPONDENTE],M$6,LANÇ_MOV[EMPRESA],$C$4,LANÇ_MOV[CENTRO DE CUSTOS],$D$4)</f>
        <v>0</v>
      </c>
      <c r="N1029" s="206">
        <f>SUMIFS(LANÇ_MOV[VALOR LÍQUIDO],LANÇ_MOV[RECEITA OU DESPESA],"Despesa",LANÇ_MOV[CONTAS],$C1029,LANÇ_MOV[PLANO DE CONTAS],REL_DRE_FINANCEIRO!$B$957,LANÇ_MOV[ANO PAGAMENTO],$B$4,LANÇ_MOV[MÊS PAGAMENTO CORRESPONDENTE],N$6,LANÇ_MOV[EMPRESA],$C$4,LANÇ_MOV[CENTRO DE CUSTOS],$D$4)</f>
        <v>0</v>
      </c>
      <c r="O1029" s="206">
        <f>SUMIFS(LANÇ_MOV[VALOR LÍQUIDO],LANÇ_MOV[RECEITA OU DESPESA],"Despesa",LANÇ_MOV[CONTAS],$C1029,LANÇ_MOV[PLANO DE CONTAS],REL_DRE_FINANCEIRO!$B$957,LANÇ_MOV[ANO PAGAMENTO],$B$4,LANÇ_MOV[MÊS PAGAMENTO CORRESPONDENTE],O$6,LANÇ_MOV[EMPRESA],$C$4,LANÇ_MOV[CENTRO DE CUSTOS],$D$4)</f>
        <v>0</v>
      </c>
      <c r="P1029" s="207">
        <f t="shared" si="127"/>
        <v>0</v>
      </c>
      <c r="Q1029" s="329">
        <v>2.9000000000000002E-6</v>
      </c>
      <c r="R1029" s="346">
        <f t="shared" si="128"/>
        <v>2.9000000000000002E-6</v>
      </c>
      <c r="S1029" s="347" t="str">
        <f t="shared" si="129"/>
        <v>-</v>
      </c>
      <c r="T1029" s="347">
        <f t="shared" si="130"/>
        <v>0</v>
      </c>
      <c r="U1029" s="347">
        <f>HLOOKUP(Apoio!$P$12,$D$956:$P$1057,X1029,FALSE)+Q1029</f>
        <v>2.9000000000000002E-6</v>
      </c>
      <c r="V1029" s="447" t="str">
        <f t="shared" si="131"/>
        <v>-</v>
      </c>
      <c r="W1029" s="448">
        <f>HLOOKUP(Apoio!$P$12,$D$956:$P$1057,X1029,FALSE)</f>
        <v>0</v>
      </c>
      <c r="X1029" s="329">
        <v>74</v>
      </c>
    </row>
    <row r="1030" spans="2:24" ht="30.05" customHeight="1" x14ac:dyDescent="0.35">
      <c r="B1030" s="204" t="str">
        <f>'CAD_PL_REC-DESP'!AF77</f>
        <v>2.8.73</v>
      </c>
      <c r="C1030" s="205" t="str">
        <f>IF('CAD_PL_REC-DESP'!AG77="","-",'CAD_PL_REC-DESP'!AG77)</f>
        <v>-</v>
      </c>
      <c r="D1030" s="206">
        <f>SUMIFS(LANÇ_MOV[VALOR LÍQUIDO],LANÇ_MOV[RECEITA OU DESPESA],"Despesa",LANÇ_MOV[CONTAS],$C1030,LANÇ_MOV[PLANO DE CONTAS],REL_DRE_FINANCEIRO!$B$957,LANÇ_MOV[ANO PAGAMENTO],$B$4,LANÇ_MOV[MÊS PAGAMENTO CORRESPONDENTE],D$6,LANÇ_MOV[EMPRESA],$C$4,LANÇ_MOV[CENTRO DE CUSTOS],$D$4)</f>
        <v>0</v>
      </c>
      <c r="E1030" s="206">
        <f>SUMIFS(LANÇ_MOV[VALOR LÍQUIDO],LANÇ_MOV[RECEITA OU DESPESA],"Despesa",LANÇ_MOV[CONTAS],$C1030,LANÇ_MOV[PLANO DE CONTAS],REL_DRE_FINANCEIRO!$B$957,LANÇ_MOV[ANO PAGAMENTO],$B$4,LANÇ_MOV[MÊS PAGAMENTO CORRESPONDENTE],E$6,LANÇ_MOV[EMPRESA],$C$4,LANÇ_MOV[CENTRO DE CUSTOS],$D$4)</f>
        <v>0</v>
      </c>
      <c r="F1030" s="206">
        <f>SUMIFS(LANÇ_MOV[VALOR LÍQUIDO],LANÇ_MOV[RECEITA OU DESPESA],"Despesa",LANÇ_MOV[CONTAS],$C1030,LANÇ_MOV[PLANO DE CONTAS],REL_DRE_FINANCEIRO!$B$957,LANÇ_MOV[ANO PAGAMENTO],$B$4,LANÇ_MOV[MÊS PAGAMENTO CORRESPONDENTE],F$6,LANÇ_MOV[EMPRESA],$C$4,LANÇ_MOV[CENTRO DE CUSTOS],$D$4)</f>
        <v>0</v>
      </c>
      <c r="G1030" s="206">
        <f>SUMIFS(LANÇ_MOV[VALOR LÍQUIDO],LANÇ_MOV[RECEITA OU DESPESA],"Despesa",LANÇ_MOV[CONTAS],$C1030,LANÇ_MOV[PLANO DE CONTAS],REL_DRE_FINANCEIRO!$B$957,LANÇ_MOV[ANO PAGAMENTO],$B$4,LANÇ_MOV[MÊS PAGAMENTO CORRESPONDENTE],G$6,LANÇ_MOV[EMPRESA],$C$4,LANÇ_MOV[CENTRO DE CUSTOS],$D$4)</f>
        <v>0</v>
      </c>
      <c r="H1030" s="206">
        <f>SUMIFS(LANÇ_MOV[VALOR LÍQUIDO],LANÇ_MOV[RECEITA OU DESPESA],"Despesa",LANÇ_MOV[CONTAS],$C1030,LANÇ_MOV[PLANO DE CONTAS],REL_DRE_FINANCEIRO!$B$957,LANÇ_MOV[ANO PAGAMENTO],$B$4,LANÇ_MOV[MÊS PAGAMENTO CORRESPONDENTE],H$6,LANÇ_MOV[EMPRESA],$C$4,LANÇ_MOV[CENTRO DE CUSTOS],$D$4)</f>
        <v>0</v>
      </c>
      <c r="I1030" s="206">
        <f>SUMIFS(LANÇ_MOV[VALOR LÍQUIDO],LANÇ_MOV[RECEITA OU DESPESA],"Despesa",LANÇ_MOV[CONTAS],$C1030,LANÇ_MOV[PLANO DE CONTAS],REL_DRE_FINANCEIRO!$B$957,LANÇ_MOV[ANO PAGAMENTO],$B$4,LANÇ_MOV[MÊS PAGAMENTO CORRESPONDENTE],I$6,LANÇ_MOV[EMPRESA],$C$4,LANÇ_MOV[CENTRO DE CUSTOS],$D$4)</f>
        <v>0</v>
      </c>
      <c r="J1030" s="206">
        <f>SUMIFS(LANÇ_MOV[VALOR LÍQUIDO],LANÇ_MOV[RECEITA OU DESPESA],"Despesa",LANÇ_MOV[CONTAS],$C1030,LANÇ_MOV[PLANO DE CONTAS],REL_DRE_FINANCEIRO!$B$957,LANÇ_MOV[ANO PAGAMENTO],$B$4,LANÇ_MOV[MÊS PAGAMENTO CORRESPONDENTE],J$6,LANÇ_MOV[EMPRESA],$C$4,LANÇ_MOV[CENTRO DE CUSTOS],$D$4)</f>
        <v>0</v>
      </c>
      <c r="K1030" s="206">
        <f>SUMIFS(LANÇ_MOV[VALOR LÍQUIDO],LANÇ_MOV[RECEITA OU DESPESA],"Despesa",LANÇ_MOV[CONTAS],$C1030,LANÇ_MOV[PLANO DE CONTAS],REL_DRE_FINANCEIRO!$B$957,LANÇ_MOV[ANO PAGAMENTO],$B$4,LANÇ_MOV[MÊS PAGAMENTO CORRESPONDENTE],K$6,LANÇ_MOV[EMPRESA],$C$4,LANÇ_MOV[CENTRO DE CUSTOS],$D$4)</f>
        <v>0</v>
      </c>
      <c r="L1030" s="206">
        <f>SUMIFS(LANÇ_MOV[VALOR LÍQUIDO],LANÇ_MOV[RECEITA OU DESPESA],"Despesa",LANÇ_MOV[CONTAS],$C1030,LANÇ_MOV[PLANO DE CONTAS],REL_DRE_FINANCEIRO!$B$957,LANÇ_MOV[ANO PAGAMENTO],$B$4,LANÇ_MOV[MÊS PAGAMENTO CORRESPONDENTE],L$6,LANÇ_MOV[EMPRESA],$C$4,LANÇ_MOV[CENTRO DE CUSTOS],$D$4)</f>
        <v>0</v>
      </c>
      <c r="M1030" s="206">
        <f>SUMIFS(LANÇ_MOV[VALOR LÍQUIDO],LANÇ_MOV[RECEITA OU DESPESA],"Despesa",LANÇ_MOV[CONTAS],$C1030,LANÇ_MOV[PLANO DE CONTAS],REL_DRE_FINANCEIRO!$B$957,LANÇ_MOV[ANO PAGAMENTO],$B$4,LANÇ_MOV[MÊS PAGAMENTO CORRESPONDENTE],M$6,LANÇ_MOV[EMPRESA],$C$4,LANÇ_MOV[CENTRO DE CUSTOS],$D$4)</f>
        <v>0</v>
      </c>
      <c r="N1030" s="206">
        <f>SUMIFS(LANÇ_MOV[VALOR LÍQUIDO],LANÇ_MOV[RECEITA OU DESPESA],"Despesa",LANÇ_MOV[CONTAS],$C1030,LANÇ_MOV[PLANO DE CONTAS],REL_DRE_FINANCEIRO!$B$957,LANÇ_MOV[ANO PAGAMENTO],$B$4,LANÇ_MOV[MÊS PAGAMENTO CORRESPONDENTE],N$6,LANÇ_MOV[EMPRESA],$C$4,LANÇ_MOV[CENTRO DE CUSTOS],$D$4)</f>
        <v>0</v>
      </c>
      <c r="O1030" s="206">
        <f>SUMIFS(LANÇ_MOV[VALOR LÍQUIDO],LANÇ_MOV[RECEITA OU DESPESA],"Despesa",LANÇ_MOV[CONTAS],$C1030,LANÇ_MOV[PLANO DE CONTAS],REL_DRE_FINANCEIRO!$B$957,LANÇ_MOV[ANO PAGAMENTO],$B$4,LANÇ_MOV[MÊS PAGAMENTO CORRESPONDENTE],O$6,LANÇ_MOV[EMPRESA],$C$4,LANÇ_MOV[CENTRO DE CUSTOS],$D$4)</f>
        <v>0</v>
      </c>
      <c r="P1030" s="207">
        <f t="shared" si="127"/>
        <v>0</v>
      </c>
      <c r="Q1030" s="329">
        <v>2.7999999999999999E-6</v>
      </c>
      <c r="R1030" s="346">
        <f t="shared" si="128"/>
        <v>2.7999999999999999E-6</v>
      </c>
      <c r="S1030" s="347" t="str">
        <f t="shared" si="129"/>
        <v>-</v>
      </c>
      <c r="T1030" s="347">
        <f t="shared" si="130"/>
        <v>0</v>
      </c>
      <c r="U1030" s="347">
        <f>HLOOKUP(Apoio!$P$12,$D$956:$P$1057,X1030,FALSE)+Q1030</f>
        <v>2.7999999999999999E-6</v>
      </c>
      <c r="V1030" s="447" t="str">
        <f t="shared" si="131"/>
        <v>-</v>
      </c>
      <c r="W1030" s="448">
        <f>HLOOKUP(Apoio!$P$12,$D$956:$P$1057,X1030,FALSE)</f>
        <v>0</v>
      </c>
      <c r="X1030" s="329">
        <v>75</v>
      </c>
    </row>
    <row r="1031" spans="2:24" ht="30.05" customHeight="1" x14ac:dyDescent="0.35">
      <c r="B1031" s="204" t="str">
        <f>'CAD_PL_REC-DESP'!AF78</f>
        <v>2.8.74</v>
      </c>
      <c r="C1031" s="205" t="str">
        <f>IF('CAD_PL_REC-DESP'!AG78="","-",'CAD_PL_REC-DESP'!AG78)</f>
        <v>-</v>
      </c>
      <c r="D1031" s="206">
        <f>SUMIFS(LANÇ_MOV[VALOR LÍQUIDO],LANÇ_MOV[RECEITA OU DESPESA],"Despesa",LANÇ_MOV[CONTAS],$C1031,LANÇ_MOV[PLANO DE CONTAS],REL_DRE_FINANCEIRO!$B$957,LANÇ_MOV[ANO PAGAMENTO],$B$4,LANÇ_MOV[MÊS PAGAMENTO CORRESPONDENTE],D$6,LANÇ_MOV[EMPRESA],$C$4,LANÇ_MOV[CENTRO DE CUSTOS],$D$4)</f>
        <v>0</v>
      </c>
      <c r="E1031" s="206">
        <f>SUMIFS(LANÇ_MOV[VALOR LÍQUIDO],LANÇ_MOV[RECEITA OU DESPESA],"Despesa",LANÇ_MOV[CONTAS],$C1031,LANÇ_MOV[PLANO DE CONTAS],REL_DRE_FINANCEIRO!$B$957,LANÇ_MOV[ANO PAGAMENTO],$B$4,LANÇ_MOV[MÊS PAGAMENTO CORRESPONDENTE],E$6,LANÇ_MOV[EMPRESA],$C$4,LANÇ_MOV[CENTRO DE CUSTOS],$D$4)</f>
        <v>0</v>
      </c>
      <c r="F1031" s="206">
        <f>SUMIFS(LANÇ_MOV[VALOR LÍQUIDO],LANÇ_MOV[RECEITA OU DESPESA],"Despesa",LANÇ_MOV[CONTAS],$C1031,LANÇ_MOV[PLANO DE CONTAS],REL_DRE_FINANCEIRO!$B$957,LANÇ_MOV[ANO PAGAMENTO],$B$4,LANÇ_MOV[MÊS PAGAMENTO CORRESPONDENTE],F$6,LANÇ_MOV[EMPRESA],$C$4,LANÇ_MOV[CENTRO DE CUSTOS],$D$4)</f>
        <v>0</v>
      </c>
      <c r="G1031" s="206">
        <f>SUMIFS(LANÇ_MOV[VALOR LÍQUIDO],LANÇ_MOV[RECEITA OU DESPESA],"Despesa",LANÇ_MOV[CONTAS],$C1031,LANÇ_MOV[PLANO DE CONTAS],REL_DRE_FINANCEIRO!$B$957,LANÇ_MOV[ANO PAGAMENTO],$B$4,LANÇ_MOV[MÊS PAGAMENTO CORRESPONDENTE],G$6,LANÇ_MOV[EMPRESA],$C$4,LANÇ_MOV[CENTRO DE CUSTOS],$D$4)</f>
        <v>0</v>
      </c>
      <c r="H1031" s="206">
        <f>SUMIFS(LANÇ_MOV[VALOR LÍQUIDO],LANÇ_MOV[RECEITA OU DESPESA],"Despesa",LANÇ_MOV[CONTAS],$C1031,LANÇ_MOV[PLANO DE CONTAS],REL_DRE_FINANCEIRO!$B$957,LANÇ_MOV[ANO PAGAMENTO],$B$4,LANÇ_MOV[MÊS PAGAMENTO CORRESPONDENTE],H$6,LANÇ_MOV[EMPRESA],$C$4,LANÇ_MOV[CENTRO DE CUSTOS],$D$4)</f>
        <v>0</v>
      </c>
      <c r="I1031" s="206">
        <f>SUMIFS(LANÇ_MOV[VALOR LÍQUIDO],LANÇ_MOV[RECEITA OU DESPESA],"Despesa",LANÇ_MOV[CONTAS],$C1031,LANÇ_MOV[PLANO DE CONTAS],REL_DRE_FINANCEIRO!$B$957,LANÇ_MOV[ANO PAGAMENTO],$B$4,LANÇ_MOV[MÊS PAGAMENTO CORRESPONDENTE],I$6,LANÇ_MOV[EMPRESA],$C$4,LANÇ_MOV[CENTRO DE CUSTOS],$D$4)</f>
        <v>0</v>
      </c>
      <c r="J1031" s="206">
        <f>SUMIFS(LANÇ_MOV[VALOR LÍQUIDO],LANÇ_MOV[RECEITA OU DESPESA],"Despesa",LANÇ_MOV[CONTAS],$C1031,LANÇ_MOV[PLANO DE CONTAS],REL_DRE_FINANCEIRO!$B$957,LANÇ_MOV[ANO PAGAMENTO],$B$4,LANÇ_MOV[MÊS PAGAMENTO CORRESPONDENTE],J$6,LANÇ_MOV[EMPRESA],$C$4,LANÇ_MOV[CENTRO DE CUSTOS],$D$4)</f>
        <v>0</v>
      </c>
      <c r="K1031" s="206">
        <f>SUMIFS(LANÇ_MOV[VALOR LÍQUIDO],LANÇ_MOV[RECEITA OU DESPESA],"Despesa",LANÇ_MOV[CONTAS],$C1031,LANÇ_MOV[PLANO DE CONTAS],REL_DRE_FINANCEIRO!$B$957,LANÇ_MOV[ANO PAGAMENTO],$B$4,LANÇ_MOV[MÊS PAGAMENTO CORRESPONDENTE],K$6,LANÇ_MOV[EMPRESA],$C$4,LANÇ_MOV[CENTRO DE CUSTOS],$D$4)</f>
        <v>0</v>
      </c>
      <c r="L1031" s="206">
        <f>SUMIFS(LANÇ_MOV[VALOR LÍQUIDO],LANÇ_MOV[RECEITA OU DESPESA],"Despesa",LANÇ_MOV[CONTAS],$C1031,LANÇ_MOV[PLANO DE CONTAS],REL_DRE_FINANCEIRO!$B$957,LANÇ_MOV[ANO PAGAMENTO],$B$4,LANÇ_MOV[MÊS PAGAMENTO CORRESPONDENTE],L$6,LANÇ_MOV[EMPRESA],$C$4,LANÇ_MOV[CENTRO DE CUSTOS],$D$4)</f>
        <v>0</v>
      </c>
      <c r="M1031" s="206">
        <f>SUMIFS(LANÇ_MOV[VALOR LÍQUIDO],LANÇ_MOV[RECEITA OU DESPESA],"Despesa",LANÇ_MOV[CONTAS],$C1031,LANÇ_MOV[PLANO DE CONTAS],REL_DRE_FINANCEIRO!$B$957,LANÇ_MOV[ANO PAGAMENTO],$B$4,LANÇ_MOV[MÊS PAGAMENTO CORRESPONDENTE],M$6,LANÇ_MOV[EMPRESA],$C$4,LANÇ_MOV[CENTRO DE CUSTOS],$D$4)</f>
        <v>0</v>
      </c>
      <c r="N1031" s="206">
        <f>SUMIFS(LANÇ_MOV[VALOR LÍQUIDO],LANÇ_MOV[RECEITA OU DESPESA],"Despesa",LANÇ_MOV[CONTAS],$C1031,LANÇ_MOV[PLANO DE CONTAS],REL_DRE_FINANCEIRO!$B$957,LANÇ_MOV[ANO PAGAMENTO],$B$4,LANÇ_MOV[MÊS PAGAMENTO CORRESPONDENTE],N$6,LANÇ_MOV[EMPRESA],$C$4,LANÇ_MOV[CENTRO DE CUSTOS],$D$4)</f>
        <v>0</v>
      </c>
      <c r="O1031" s="206">
        <f>SUMIFS(LANÇ_MOV[VALOR LÍQUIDO],LANÇ_MOV[RECEITA OU DESPESA],"Despesa",LANÇ_MOV[CONTAS],$C1031,LANÇ_MOV[PLANO DE CONTAS],REL_DRE_FINANCEIRO!$B$957,LANÇ_MOV[ANO PAGAMENTO],$B$4,LANÇ_MOV[MÊS PAGAMENTO CORRESPONDENTE],O$6,LANÇ_MOV[EMPRESA],$C$4,LANÇ_MOV[CENTRO DE CUSTOS],$D$4)</f>
        <v>0</v>
      </c>
      <c r="P1031" s="207">
        <f t="shared" si="127"/>
        <v>0</v>
      </c>
      <c r="Q1031" s="329">
        <v>2.7E-6</v>
      </c>
      <c r="R1031" s="346">
        <f t="shared" si="128"/>
        <v>2.7E-6</v>
      </c>
      <c r="S1031" s="347" t="str">
        <f t="shared" si="129"/>
        <v>-</v>
      </c>
      <c r="T1031" s="347">
        <f t="shared" si="130"/>
        <v>0</v>
      </c>
      <c r="U1031" s="347">
        <f>HLOOKUP(Apoio!$P$12,$D$956:$P$1057,X1031,FALSE)+Q1031</f>
        <v>2.7E-6</v>
      </c>
      <c r="V1031" s="447" t="str">
        <f t="shared" si="131"/>
        <v>-</v>
      </c>
      <c r="W1031" s="448">
        <f>HLOOKUP(Apoio!$P$12,$D$956:$P$1057,X1031,FALSE)</f>
        <v>0</v>
      </c>
      <c r="X1031" s="329">
        <v>76</v>
      </c>
    </row>
    <row r="1032" spans="2:24" ht="30.05" customHeight="1" x14ac:dyDescent="0.35">
      <c r="B1032" s="204" t="str">
        <f>'CAD_PL_REC-DESP'!AF79</f>
        <v>2.8.75</v>
      </c>
      <c r="C1032" s="205" t="str">
        <f>IF('CAD_PL_REC-DESP'!AG79="","-",'CAD_PL_REC-DESP'!AG79)</f>
        <v>-</v>
      </c>
      <c r="D1032" s="206">
        <f>SUMIFS(LANÇ_MOV[VALOR LÍQUIDO],LANÇ_MOV[RECEITA OU DESPESA],"Despesa",LANÇ_MOV[CONTAS],$C1032,LANÇ_MOV[PLANO DE CONTAS],REL_DRE_FINANCEIRO!$B$957,LANÇ_MOV[ANO PAGAMENTO],$B$4,LANÇ_MOV[MÊS PAGAMENTO CORRESPONDENTE],D$6,LANÇ_MOV[EMPRESA],$C$4,LANÇ_MOV[CENTRO DE CUSTOS],$D$4)</f>
        <v>0</v>
      </c>
      <c r="E1032" s="206">
        <f>SUMIFS(LANÇ_MOV[VALOR LÍQUIDO],LANÇ_MOV[RECEITA OU DESPESA],"Despesa",LANÇ_MOV[CONTAS],$C1032,LANÇ_MOV[PLANO DE CONTAS],REL_DRE_FINANCEIRO!$B$957,LANÇ_MOV[ANO PAGAMENTO],$B$4,LANÇ_MOV[MÊS PAGAMENTO CORRESPONDENTE],E$6,LANÇ_MOV[EMPRESA],$C$4,LANÇ_MOV[CENTRO DE CUSTOS],$D$4)</f>
        <v>0</v>
      </c>
      <c r="F1032" s="206">
        <f>SUMIFS(LANÇ_MOV[VALOR LÍQUIDO],LANÇ_MOV[RECEITA OU DESPESA],"Despesa",LANÇ_MOV[CONTAS],$C1032,LANÇ_MOV[PLANO DE CONTAS],REL_DRE_FINANCEIRO!$B$957,LANÇ_MOV[ANO PAGAMENTO],$B$4,LANÇ_MOV[MÊS PAGAMENTO CORRESPONDENTE],F$6,LANÇ_MOV[EMPRESA],$C$4,LANÇ_MOV[CENTRO DE CUSTOS],$D$4)</f>
        <v>0</v>
      </c>
      <c r="G1032" s="206">
        <f>SUMIFS(LANÇ_MOV[VALOR LÍQUIDO],LANÇ_MOV[RECEITA OU DESPESA],"Despesa",LANÇ_MOV[CONTAS],$C1032,LANÇ_MOV[PLANO DE CONTAS],REL_DRE_FINANCEIRO!$B$957,LANÇ_MOV[ANO PAGAMENTO],$B$4,LANÇ_MOV[MÊS PAGAMENTO CORRESPONDENTE],G$6,LANÇ_MOV[EMPRESA],$C$4,LANÇ_MOV[CENTRO DE CUSTOS],$D$4)</f>
        <v>0</v>
      </c>
      <c r="H1032" s="206">
        <f>SUMIFS(LANÇ_MOV[VALOR LÍQUIDO],LANÇ_MOV[RECEITA OU DESPESA],"Despesa",LANÇ_MOV[CONTAS],$C1032,LANÇ_MOV[PLANO DE CONTAS],REL_DRE_FINANCEIRO!$B$957,LANÇ_MOV[ANO PAGAMENTO],$B$4,LANÇ_MOV[MÊS PAGAMENTO CORRESPONDENTE],H$6,LANÇ_MOV[EMPRESA],$C$4,LANÇ_MOV[CENTRO DE CUSTOS],$D$4)</f>
        <v>0</v>
      </c>
      <c r="I1032" s="206">
        <f>SUMIFS(LANÇ_MOV[VALOR LÍQUIDO],LANÇ_MOV[RECEITA OU DESPESA],"Despesa",LANÇ_MOV[CONTAS],$C1032,LANÇ_MOV[PLANO DE CONTAS],REL_DRE_FINANCEIRO!$B$957,LANÇ_MOV[ANO PAGAMENTO],$B$4,LANÇ_MOV[MÊS PAGAMENTO CORRESPONDENTE],I$6,LANÇ_MOV[EMPRESA],$C$4,LANÇ_MOV[CENTRO DE CUSTOS],$D$4)</f>
        <v>0</v>
      </c>
      <c r="J1032" s="206">
        <f>SUMIFS(LANÇ_MOV[VALOR LÍQUIDO],LANÇ_MOV[RECEITA OU DESPESA],"Despesa",LANÇ_MOV[CONTAS],$C1032,LANÇ_MOV[PLANO DE CONTAS],REL_DRE_FINANCEIRO!$B$957,LANÇ_MOV[ANO PAGAMENTO],$B$4,LANÇ_MOV[MÊS PAGAMENTO CORRESPONDENTE],J$6,LANÇ_MOV[EMPRESA],$C$4,LANÇ_MOV[CENTRO DE CUSTOS],$D$4)</f>
        <v>0</v>
      </c>
      <c r="K1032" s="206">
        <f>SUMIFS(LANÇ_MOV[VALOR LÍQUIDO],LANÇ_MOV[RECEITA OU DESPESA],"Despesa",LANÇ_MOV[CONTAS],$C1032,LANÇ_MOV[PLANO DE CONTAS],REL_DRE_FINANCEIRO!$B$957,LANÇ_MOV[ANO PAGAMENTO],$B$4,LANÇ_MOV[MÊS PAGAMENTO CORRESPONDENTE],K$6,LANÇ_MOV[EMPRESA],$C$4,LANÇ_MOV[CENTRO DE CUSTOS],$D$4)</f>
        <v>0</v>
      </c>
      <c r="L1032" s="206">
        <f>SUMIFS(LANÇ_MOV[VALOR LÍQUIDO],LANÇ_MOV[RECEITA OU DESPESA],"Despesa",LANÇ_MOV[CONTAS],$C1032,LANÇ_MOV[PLANO DE CONTAS],REL_DRE_FINANCEIRO!$B$957,LANÇ_MOV[ANO PAGAMENTO],$B$4,LANÇ_MOV[MÊS PAGAMENTO CORRESPONDENTE],L$6,LANÇ_MOV[EMPRESA],$C$4,LANÇ_MOV[CENTRO DE CUSTOS],$D$4)</f>
        <v>0</v>
      </c>
      <c r="M1032" s="206">
        <f>SUMIFS(LANÇ_MOV[VALOR LÍQUIDO],LANÇ_MOV[RECEITA OU DESPESA],"Despesa",LANÇ_MOV[CONTAS],$C1032,LANÇ_MOV[PLANO DE CONTAS],REL_DRE_FINANCEIRO!$B$957,LANÇ_MOV[ANO PAGAMENTO],$B$4,LANÇ_MOV[MÊS PAGAMENTO CORRESPONDENTE],M$6,LANÇ_MOV[EMPRESA],$C$4,LANÇ_MOV[CENTRO DE CUSTOS],$D$4)</f>
        <v>0</v>
      </c>
      <c r="N1032" s="206">
        <f>SUMIFS(LANÇ_MOV[VALOR LÍQUIDO],LANÇ_MOV[RECEITA OU DESPESA],"Despesa",LANÇ_MOV[CONTAS],$C1032,LANÇ_MOV[PLANO DE CONTAS],REL_DRE_FINANCEIRO!$B$957,LANÇ_MOV[ANO PAGAMENTO],$B$4,LANÇ_MOV[MÊS PAGAMENTO CORRESPONDENTE],N$6,LANÇ_MOV[EMPRESA],$C$4,LANÇ_MOV[CENTRO DE CUSTOS],$D$4)</f>
        <v>0</v>
      </c>
      <c r="O1032" s="206">
        <f>SUMIFS(LANÇ_MOV[VALOR LÍQUIDO],LANÇ_MOV[RECEITA OU DESPESA],"Despesa",LANÇ_MOV[CONTAS],$C1032,LANÇ_MOV[PLANO DE CONTAS],REL_DRE_FINANCEIRO!$B$957,LANÇ_MOV[ANO PAGAMENTO],$B$4,LANÇ_MOV[MÊS PAGAMENTO CORRESPONDENTE],O$6,LANÇ_MOV[EMPRESA],$C$4,LANÇ_MOV[CENTRO DE CUSTOS],$D$4)</f>
        <v>0</v>
      </c>
      <c r="P1032" s="207">
        <f t="shared" si="127"/>
        <v>0</v>
      </c>
      <c r="Q1032" s="329">
        <v>2.6000000000000001E-6</v>
      </c>
      <c r="R1032" s="346">
        <f t="shared" si="128"/>
        <v>2.6000000000000001E-6</v>
      </c>
      <c r="S1032" s="347" t="str">
        <f t="shared" si="129"/>
        <v>-</v>
      </c>
      <c r="T1032" s="347">
        <f t="shared" si="130"/>
        <v>0</v>
      </c>
      <c r="U1032" s="347">
        <f>HLOOKUP(Apoio!$P$12,$D$956:$P$1057,X1032,FALSE)+Q1032</f>
        <v>2.6000000000000001E-6</v>
      </c>
      <c r="V1032" s="447" t="str">
        <f t="shared" si="131"/>
        <v>-</v>
      </c>
      <c r="W1032" s="448">
        <f>HLOOKUP(Apoio!$P$12,$D$956:$P$1057,X1032,FALSE)</f>
        <v>0</v>
      </c>
      <c r="X1032" s="329">
        <v>77</v>
      </c>
    </row>
    <row r="1033" spans="2:24" ht="30.05" customHeight="1" x14ac:dyDescent="0.35">
      <c r="B1033" s="204" t="str">
        <f>'CAD_PL_REC-DESP'!AF80</f>
        <v>2.8.76</v>
      </c>
      <c r="C1033" s="205" t="str">
        <f>IF('CAD_PL_REC-DESP'!AG80="","-",'CAD_PL_REC-DESP'!AG80)</f>
        <v>-</v>
      </c>
      <c r="D1033" s="206">
        <f>SUMIFS(LANÇ_MOV[VALOR LÍQUIDO],LANÇ_MOV[RECEITA OU DESPESA],"Despesa",LANÇ_MOV[CONTAS],$C1033,LANÇ_MOV[PLANO DE CONTAS],REL_DRE_FINANCEIRO!$B$957,LANÇ_MOV[ANO PAGAMENTO],$B$4,LANÇ_MOV[MÊS PAGAMENTO CORRESPONDENTE],D$6,LANÇ_MOV[EMPRESA],$C$4,LANÇ_MOV[CENTRO DE CUSTOS],$D$4)</f>
        <v>0</v>
      </c>
      <c r="E1033" s="206">
        <f>SUMIFS(LANÇ_MOV[VALOR LÍQUIDO],LANÇ_MOV[RECEITA OU DESPESA],"Despesa",LANÇ_MOV[CONTAS],$C1033,LANÇ_MOV[PLANO DE CONTAS],REL_DRE_FINANCEIRO!$B$957,LANÇ_MOV[ANO PAGAMENTO],$B$4,LANÇ_MOV[MÊS PAGAMENTO CORRESPONDENTE],E$6,LANÇ_MOV[EMPRESA],$C$4,LANÇ_MOV[CENTRO DE CUSTOS],$D$4)</f>
        <v>0</v>
      </c>
      <c r="F1033" s="206">
        <f>SUMIFS(LANÇ_MOV[VALOR LÍQUIDO],LANÇ_MOV[RECEITA OU DESPESA],"Despesa",LANÇ_MOV[CONTAS],$C1033,LANÇ_MOV[PLANO DE CONTAS],REL_DRE_FINANCEIRO!$B$957,LANÇ_MOV[ANO PAGAMENTO],$B$4,LANÇ_MOV[MÊS PAGAMENTO CORRESPONDENTE],F$6,LANÇ_MOV[EMPRESA],$C$4,LANÇ_MOV[CENTRO DE CUSTOS],$D$4)</f>
        <v>0</v>
      </c>
      <c r="G1033" s="206">
        <f>SUMIFS(LANÇ_MOV[VALOR LÍQUIDO],LANÇ_MOV[RECEITA OU DESPESA],"Despesa",LANÇ_MOV[CONTAS],$C1033,LANÇ_MOV[PLANO DE CONTAS],REL_DRE_FINANCEIRO!$B$957,LANÇ_MOV[ANO PAGAMENTO],$B$4,LANÇ_MOV[MÊS PAGAMENTO CORRESPONDENTE],G$6,LANÇ_MOV[EMPRESA],$C$4,LANÇ_MOV[CENTRO DE CUSTOS],$D$4)</f>
        <v>0</v>
      </c>
      <c r="H1033" s="206">
        <f>SUMIFS(LANÇ_MOV[VALOR LÍQUIDO],LANÇ_MOV[RECEITA OU DESPESA],"Despesa",LANÇ_MOV[CONTAS],$C1033,LANÇ_MOV[PLANO DE CONTAS],REL_DRE_FINANCEIRO!$B$957,LANÇ_MOV[ANO PAGAMENTO],$B$4,LANÇ_MOV[MÊS PAGAMENTO CORRESPONDENTE],H$6,LANÇ_MOV[EMPRESA],$C$4,LANÇ_MOV[CENTRO DE CUSTOS],$D$4)</f>
        <v>0</v>
      </c>
      <c r="I1033" s="206">
        <f>SUMIFS(LANÇ_MOV[VALOR LÍQUIDO],LANÇ_MOV[RECEITA OU DESPESA],"Despesa",LANÇ_MOV[CONTAS],$C1033,LANÇ_MOV[PLANO DE CONTAS],REL_DRE_FINANCEIRO!$B$957,LANÇ_MOV[ANO PAGAMENTO],$B$4,LANÇ_MOV[MÊS PAGAMENTO CORRESPONDENTE],I$6,LANÇ_MOV[EMPRESA],$C$4,LANÇ_MOV[CENTRO DE CUSTOS],$D$4)</f>
        <v>0</v>
      </c>
      <c r="J1033" s="206">
        <f>SUMIFS(LANÇ_MOV[VALOR LÍQUIDO],LANÇ_MOV[RECEITA OU DESPESA],"Despesa",LANÇ_MOV[CONTAS],$C1033,LANÇ_MOV[PLANO DE CONTAS],REL_DRE_FINANCEIRO!$B$957,LANÇ_MOV[ANO PAGAMENTO],$B$4,LANÇ_MOV[MÊS PAGAMENTO CORRESPONDENTE],J$6,LANÇ_MOV[EMPRESA],$C$4,LANÇ_MOV[CENTRO DE CUSTOS],$D$4)</f>
        <v>0</v>
      </c>
      <c r="K1033" s="206">
        <f>SUMIFS(LANÇ_MOV[VALOR LÍQUIDO],LANÇ_MOV[RECEITA OU DESPESA],"Despesa",LANÇ_MOV[CONTAS],$C1033,LANÇ_MOV[PLANO DE CONTAS],REL_DRE_FINANCEIRO!$B$957,LANÇ_MOV[ANO PAGAMENTO],$B$4,LANÇ_MOV[MÊS PAGAMENTO CORRESPONDENTE],K$6,LANÇ_MOV[EMPRESA],$C$4,LANÇ_MOV[CENTRO DE CUSTOS],$D$4)</f>
        <v>0</v>
      </c>
      <c r="L1033" s="206">
        <f>SUMIFS(LANÇ_MOV[VALOR LÍQUIDO],LANÇ_MOV[RECEITA OU DESPESA],"Despesa",LANÇ_MOV[CONTAS],$C1033,LANÇ_MOV[PLANO DE CONTAS],REL_DRE_FINANCEIRO!$B$957,LANÇ_MOV[ANO PAGAMENTO],$B$4,LANÇ_MOV[MÊS PAGAMENTO CORRESPONDENTE],L$6,LANÇ_MOV[EMPRESA],$C$4,LANÇ_MOV[CENTRO DE CUSTOS],$D$4)</f>
        <v>0</v>
      </c>
      <c r="M1033" s="206">
        <f>SUMIFS(LANÇ_MOV[VALOR LÍQUIDO],LANÇ_MOV[RECEITA OU DESPESA],"Despesa",LANÇ_MOV[CONTAS],$C1033,LANÇ_MOV[PLANO DE CONTAS],REL_DRE_FINANCEIRO!$B$957,LANÇ_MOV[ANO PAGAMENTO],$B$4,LANÇ_MOV[MÊS PAGAMENTO CORRESPONDENTE],M$6,LANÇ_MOV[EMPRESA],$C$4,LANÇ_MOV[CENTRO DE CUSTOS],$D$4)</f>
        <v>0</v>
      </c>
      <c r="N1033" s="206">
        <f>SUMIFS(LANÇ_MOV[VALOR LÍQUIDO],LANÇ_MOV[RECEITA OU DESPESA],"Despesa",LANÇ_MOV[CONTAS],$C1033,LANÇ_MOV[PLANO DE CONTAS],REL_DRE_FINANCEIRO!$B$957,LANÇ_MOV[ANO PAGAMENTO],$B$4,LANÇ_MOV[MÊS PAGAMENTO CORRESPONDENTE],N$6,LANÇ_MOV[EMPRESA],$C$4,LANÇ_MOV[CENTRO DE CUSTOS],$D$4)</f>
        <v>0</v>
      </c>
      <c r="O1033" s="206">
        <f>SUMIFS(LANÇ_MOV[VALOR LÍQUIDO],LANÇ_MOV[RECEITA OU DESPESA],"Despesa",LANÇ_MOV[CONTAS],$C1033,LANÇ_MOV[PLANO DE CONTAS],REL_DRE_FINANCEIRO!$B$957,LANÇ_MOV[ANO PAGAMENTO],$B$4,LANÇ_MOV[MÊS PAGAMENTO CORRESPONDENTE],O$6,LANÇ_MOV[EMPRESA],$C$4,LANÇ_MOV[CENTRO DE CUSTOS],$D$4)</f>
        <v>0</v>
      </c>
      <c r="P1033" s="207">
        <f t="shared" si="127"/>
        <v>0</v>
      </c>
      <c r="Q1033" s="329">
        <v>2.5000000000000002E-6</v>
      </c>
      <c r="R1033" s="346">
        <f t="shared" si="128"/>
        <v>2.5000000000000002E-6</v>
      </c>
      <c r="S1033" s="347" t="str">
        <f t="shared" si="129"/>
        <v>-</v>
      </c>
      <c r="T1033" s="347">
        <f t="shared" si="130"/>
        <v>0</v>
      </c>
      <c r="U1033" s="347">
        <f>HLOOKUP(Apoio!$P$12,$D$956:$P$1057,X1033,FALSE)+Q1033</f>
        <v>2.5000000000000002E-6</v>
      </c>
      <c r="V1033" s="447" t="str">
        <f t="shared" si="131"/>
        <v>-</v>
      </c>
      <c r="W1033" s="448">
        <f>HLOOKUP(Apoio!$P$12,$D$956:$P$1057,X1033,FALSE)</f>
        <v>0</v>
      </c>
      <c r="X1033" s="329">
        <v>78</v>
      </c>
    </row>
    <row r="1034" spans="2:24" ht="30.05" customHeight="1" x14ac:dyDescent="0.35">
      <c r="B1034" s="204" t="str">
        <f>'CAD_PL_REC-DESP'!AF81</f>
        <v>2.8.77</v>
      </c>
      <c r="C1034" s="205" t="str">
        <f>IF('CAD_PL_REC-DESP'!AG81="","-",'CAD_PL_REC-DESP'!AG81)</f>
        <v>-</v>
      </c>
      <c r="D1034" s="206">
        <f>SUMIFS(LANÇ_MOV[VALOR LÍQUIDO],LANÇ_MOV[RECEITA OU DESPESA],"Despesa",LANÇ_MOV[CONTAS],$C1034,LANÇ_MOV[PLANO DE CONTAS],REL_DRE_FINANCEIRO!$B$957,LANÇ_MOV[ANO PAGAMENTO],$B$4,LANÇ_MOV[MÊS PAGAMENTO CORRESPONDENTE],D$6,LANÇ_MOV[EMPRESA],$C$4,LANÇ_MOV[CENTRO DE CUSTOS],$D$4)</f>
        <v>0</v>
      </c>
      <c r="E1034" s="206">
        <f>SUMIFS(LANÇ_MOV[VALOR LÍQUIDO],LANÇ_MOV[RECEITA OU DESPESA],"Despesa",LANÇ_MOV[CONTAS],$C1034,LANÇ_MOV[PLANO DE CONTAS],REL_DRE_FINANCEIRO!$B$957,LANÇ_MOV[ANO PAGAMENTO],$B$4,LANÇ_MOV[MÊS PAGAMENTO CORRESPONDENTE],E$6,LANÇ_MOV[EMPRESA],$C$4,LANÇ_MOV[CENTRO DE CUSTOS],$D$4)</f>
        <v>0</v>
      </c>
      <c r="F1034" s="206">
        <f>SUMIFS(LANÇ_MOV[VALOR LÍQUIDO],LANÇ_MOV[RECEITA OU DESPESA],"Despesa",LANÇ_MOV[CONTAS],$C1034,LANÇ_MOV[PLANO DE CONTAS],REL_DRE_FINANCEIRO!$B$957,LANÇ_MOV[ANO PAGAMENTO],$B$4,LANÇ_MOV[MÊS PAGAMENTO CORRESPONDENTE],F$6,LANÇ_MOV[EMPRESA],$C$4,LANÇ_MOV[CENTRO DE CUSTOS],$D$4)</f>
        <v>0</v>
      </c>
      <c r="G1034" s="206">
        <f>SUMIFS(LANÇ_MOV[VALOR LÍQUIDO],LANÇ_MOV[RECEITA OU DESPESA],"Despesa",LANÇ_MOV[CONTAS],$C1034,LANÇ_MOV[PLANO DE CONTAS],REL_DRE_FINANCEIRO!$B$957,LANÇ_MOV[ANO PAGAMENTO],$B$4,LANÇ_MOV[MÊS PAGAMENTO CORRESPONDENTE],G$6,LANÇ_MOV[EMPRESA],$C$4,LANÇ_MOV[CENTRO DE CUSTOS],$D$4)</f>
        <v>0</v>
      </c>
      <c r="H1034" s="206">
        <f>SUMIFS(LANÇ_MOV[VALOR LÍQUIDO],LANÇ_MOV[RECEITA OU DESPESA],"Despesa",LANÇ_MOV[CONTAS],$C1034,LANÇ_MOV[PLANO DE CONTAS],REL_DRE_FINANCEIRO!$B$957,LANÇ_MOV[ANO PAGAMENTO],$B$4,LANÇ_MOV[MÊS PAGAMENTO CORRESPONDENTE],H$6,LANÇ_MOV[EMPRESA],$C$4,LANÇ_MOV[CENTRO DE CUSTOS],$D$4)</f>
        <v>0</v>
      </c>
      <c r="I1034" s="206">
        <f>SUMIFS(LANÇ_MOV[VALOR LÍQUIDO],LANÇ_MOV[RECEITA OU DESPESA],"Despesa",LANÇ_MOV[CONTAS],$C1034,LANÇ_MOV[PLANO DE CONTAS],REL_DRE_FINANCEIRO!$B$957,LANÇ_MOV[ANO PAGAMENTO],$B$4,LANÇ_MOV[MÊS PAGAMENTO CORRESPONDENTE],I$6,LANÇ_MOV[EMPRESA],$C$4,LANÇ_MOV[CENTRO DE CUSTOS],$D$4)</f>
        <v>0</v>
      </c>
      <c r="J1034" s="206">
        <f>SUMIFS(LANÇ_MOV[VALOR LÍQUIDO],LANÇ_MOV[RECEITA OU DESPESA],"Despesa",LANÇ_MOV[CONTAS],$C1034,LANÇ_MOV[PLANO DE CONTAS],REL_DRE_FINANCEIRO!$B$957,LANÇ_MOV[ANO PAGAMENTO],$B$4,LANÇ_MOV[MÊS PAGAMENTO CORRESPONDENTE],J$6,LANÇ_MOV[EMPRESA],$C$4,LANÇ_MOV[CENTRO DE CUSTOS],$D$4)</f>
        <v>0</v>
      </c>
      <c r="K1034" s="206">
        <f>SUMIFS(LANÇ_MOV[VALOR LÍQUIDO],LANÇ_MOV[RECEITA OU DESPESA],"Despesa",LANÇ_MOV[CONTAS],$C1034,LANÇ_MOV[PLANO DE CONTAS],REL_DRE_FINANCEIRO!$B$957,LANÇ_MOV[ANO PAGAMENTO],$B$4,LANÇ_MOV[MÊS PAGAMENTO CORRESPONDENTE],K$6,LANÇ_MOV[EMPRESA],$C$4,LANÇ_MOV[CENTRO DE CUSTOS],$D$4)</f>
        <v>0</v>
      </c>
      <c r="L1034" s="206">
        <f>SUMIFS(LANÇ_MOV[VALOR LÍQUIDO],LANÇ_MOV[RECEITA OU DESPESA],"Despesa",LANÇ_MOV[CONTAS],$C1034,LANÇ_MOV[PLANO DE CONTAS],REL_DRE_FINANCEIRO!$B$957,LANÇ_MOV[ANO PAGAMENTO],$B$4,LANÇ_MOV[MÊS PAGAMENTO CORRESPONDENTE],L$6,LANÇ_MOV[EMPRESA],$C$4,LANÇ_MOV[CENTRO DE CUSTOS],$D$4)</f>
        <v>0</v>
      </c>
      <c r="M1034" s="206">
        <f>SUMIFS(LANÇ_MOV[VALOR LÍQUIDO],LANÇ_MOV[RECEITA OU DESPESA],"Despesa",LANÇ_MOV[CONTAS],$C1034,LANÇ_MOV[PLANO DE CONTAS],REL_DRE_FINANCEIRO!$B$957,LANÇ_MOV[ANO PAGAMENTO],$B$4,LANÇ_MOV[MÊS PAGAMENTO CORRESPONDENTE],M$6,LANÇ_MOV[EMPRESA],$C$4,LANÇ_MOV[CENTRO DE CUSTOS],$D$4)</f>
        <v>0</v>
      </c>
      <c r="N1034" s="206">
        <f>SUMIFS(LANÇ_MOV[VALOR LÍQUIDO],LANÇ_MOV[RECEITA OU DESPESA],"Despesa",LANÇ_MOV[CONTAS],$C1034,LANÇ_MOV[PLANO DE CONTAS],REL_DRE_FINANCEIRO!$B$957,LANÇ_MOV[ANO PAGAMENTO],$B$4,LANÇ_MOV[MÊS PAGAMENTO CORRESPONDENTE],N$6,LANÇ_MOV[EMPRESA],$C$4,LANÇ_MOV[CENTRO DE CUSTOS],$D$4)</f>
        <v>0</v>
      </c>
      <c r="O1034" s="206">
        <f>SUMIFS(LANÇ_MOV[VALOR LÍQUIDO],LANÇ_MOV[RECEITA OU DESPESA],"Despesa",LANÇ_MOV[CONTAS],$C1034,LANÇ_MOV[PLANO DE CONTAS],REL_DRE_FINANCEIRO!$B$957,LANÇ_MOV[ANO PAGAMENTO],$B$4,LANÇ_MOV[MÊS PAGAMENTO CORRESPONDENTE],O$6,LANÇ_MOV[EMPRESA],$C$4,LANÇ_MOV[CENTRO DE CUSTOS],$D$4)</f>
        <v>0</v>
      </c>
      <c r="P1034" s="207">
        <f t="shared" si="127"/>
        <v>0</v>
      </c>
      <c r="Q1034" s="329">
        <v>2.3999999999999999E-6</v>
      </c>
      <c r="R1034" s="346">
        <f t="shared" si="128"/>
        <v>2.3999999999999999E-6</v>
      </c>
      <c r="S1034" s="347" t="str">
        <f t="shared" si="129"/>
        <v>-</v>
      </c>
      <c r="T1034" s="347">
        <f t="shared" si="130"/>
        <v>0</v>
      </c>
      <c r="U1034" s="347">
        <f>HLOOKUP(Apoio!$P$12,$D$956:$P$1057,X1034,FALSE)+Q1034</f>
        <v>2.3999999999999999E-6</v>
      </c>
      <c r="V1034" s="447" t="str">
        <f t="shared" si="131"/>
        <v>-</v>
      </c>
      <c r="W1034" s="448">
        <f>HLOOKUP(Apoio!$P$12,$D$956:$P$1057,X1034,FALSE)</f>
        <v>0</v>
      </c>
      <c r="X1034" s="329">
        <v>79</v>
      </c>
    </row>
    <row r="1035" spans="2:24" ht="30.05" customHeight="1" x14ac:dyDescent="0.35">
      <c r="B1035" s="204" t="str">
        <f>'CAD_PL_REC-DESP'!AF82</f>
        <v>2.8.78</v>
      </c>
      <c r="C1035" s="205" t="str">
        <f>IF('CAD_PL_REC-DESP'!AG82="","-",'CAD_PL_REC-DESP'!AG82)</f>
        <v>-</v>
      </c>
      <c r="D1035" s="206">
        <f>SUMIFS(LANÇ_MOV[VALOR LÍQUIDO],LANÇ_MOV[RECEITA OU DESPESA],"Despesa",LANÇ_MOV[CONTAS],$C1035,LANÇ_MOV[PLANO DE CONTAS],REL_DRE_FINANCEIRO!$B$957,LANÇ_MOV[ANO PAGAMENTO],$B$4,LANÇ_MOV[MÊS PAGAMENTO CORRESPONDENTE],D$6,LANÇ_MOV[EMPRESA],$C$4,LANÇ_MOV[CENTRO DE CUSTOS],$D$4)</f>
        <v>0</v>
      </c>
      <c r="E1035" s="206">
        <f>SUMIFS(LANÇ_MOV[VALOR LÍQUIDO],LANÇ_MOV[RECEITA OU DESPESA],"Despesa",LANÇ_MOV[CONTAS],$C1035,LANÇ_MOV[PLANO DE CONTAS],REL_DRE_FINANCEIRO!$B$957,LANÇ_MOV[ANO PAGAMENTO],$B$4,LANÇ_MOV[MÊS PAGAMENTO CORRESPONDENTE],E$6,LANÇ_MOV[EMPRESA],$C$4,LANÇ_MOV[CENTRO DE CUSTOS],$D$4)</f>
        <v>0</v>
      </c>
      <c r="F1035" s="206">
        <f>SUMIFS(LANÇ_MOV[VALOR LÍQUIDO],LANÇ_MOV[RECEITA OU DESPESA],"Despesa",LANÇ_MOV[CONTAS],$C1035,LANÇ_MOV[PLANO DE CONTAS],REL_DRE_FINANCEIRO!$B$957,LANÇ_MOV[ANO PAGAMENTO],$B$4,LANÇ_MOV[MÊS PAGAMENTO CORRESPONDENTE],F$6,LANÇ_MOV[EMPRESA],$C$4,LANÇ_MOV[CENTRO DE CUSTOS],$D$4)</f>
        <v>0</v>
      </c>
      <c r="G1035" s="206">
        <f>SUMIFS(LANÇ_MOV[VALOR LÍQUIDO],LANÇ_MOV[RECEITA OU DESPESA],"Despesa",LANÇ_MOV[CONTAS],$C1035,LANÇ_MOV[PLANO DE CONTAS],REL_DRE_FINANCEIRO!$B$957,LANÇ_MOV[ANO PAGAMENTO],$B$4,LANÇ_MOV[MÊS PAGAMENTO CORRESPONDENTE],G$6,LANÇ_MOV[EMPRESA],$C$4,LANÇ_MOV[CENTRO DE CUSTOS],$D$4)</f>
        <v>0</v>
      </c>
      <c r="H1035" s="206">
        <f>SUMIFS(LANÇ_MOV[VALOR LÍQUIDO],LANÇ_MOV[RECEITA OU DESPESA],"Despesa",LANÇ_MOV[CONTAS],$C1035,LANÇ_MOV[PLANO DE CONTAS],REL_DRE_FINANCEIRO!$B$957,LANÇ_MOV[ANO PAGAMENTO],$B$4,LANÇ_MOV[MÊS PAGAMENTO CORRESPONDENTE],H$6,LANÇ_MOV[EMPRESA],$C$4,LANÇ_MOV[CENTRO DE CUSTOS],$D$4)</f>
        <v>0</v>
      </c>
      <c r="I1035" s="206">
        <f>SUMIFS(LANÇ_MOV[VALOR LÍQUIDO],LANÇ_MOV[RECEITA OU DESPESA],"Despesa",LANÇ_MOV[CONTAS],$C1035,LANÇ_MOV[PLANO DE CONTAS],REL_DRE_FINANCEIRO!$B$957,LANÇ_MOV[ANO PAGAMENTO],$B$4,LANÇ_MOV[MÊS PAGAMENTO CORRESPONDENTE],I$6,LANÇ_MOV[EMPRESA],$C$4,LANÇ_MOV[CENTRO DE CUSTOS],$D$4)</f>
        <v>0</v>
      </c>
      <c r="J1035" s="206">
        <f>SUMIFS(LANÇ_MOV[VALOR LÍQUIDO],LANÇ_MOV[RECEITA OU DESPESA],"Despesa",LANÇ_MOV[CONTAS],$C1035,LANÇ_MOV[PLANO DE CONTAS],REL_DRE_FINANCEIRO!$B$957,LANÇ_MOV[ANO PAGAMENTO],$B$4,LANÇ_MOV[MÊS PAGAMENTO CORRESPONDENTE],J$6,LANÇ_MOV[EMPRESA],$C$4,LANÇ_MOV[CENTRO DE CUSTOS],$D$4)</f>
        <v>0</v>
      </c>
      <c r="K1035" s="206">
        <f>SUMIFS(LANÇ_MOV[VALOR LÍQUIDO],LANÇ_MOV[RECEITA OU DESPESA],"Despesa",LANÇ_MOV[CONTAS],$C1035,LANÇ_MOV[PLANO DE CONTAS],REL_DRE_FINANCEIRO!$B$957,LANÇ_MOV[ANO PAGAMENTO],$B$4,LANÇ_MOV[MÊS PAGAMENTO CORRESPONDENTE],K$6,LANÇ_MOV[EMPRESA],$C$4,LANÇ_MOV[CENTRO DE CUSTOS],$D$4)</f>
        <v>0</v>
      </c>
      <c r="L1035" s="206">
        <f>SUMIFS(LANÇ_MOV[VALOR LÍQUIDO],LANÇ_MOV[RECEITA OU DESPESA],"Despesa",LANÇ_MOV[CONTAS],$C1035,LANÇ_MOV[PLANO DE CONTAS],REL_DRE_FINANCEIRO!$B$957,LANÇ_MOV[ANO PAGAMENTO],$B$4,LANÇ_MOV[MÊS PAGAMENTO CORRESPONDENTE],L$6,LANÇ_MOV[EMPRESA],$C$4,LANÇ_MOV[CENTRO DE CUSTOS],$D$4)</f>
        <v>0</v>
      </c>
      <c r="M1035" s="206">
        <f>SUMIFS(LANÇ_MOV[VALOR LÍQUIDO],LANÇ_MOV[RECEITA OU DESPESA],"Despesa",LANÇ_MOV[CONTAS],$C1035,LANÇ_MOV[PLANO DE CONTAS],REL_DRE_FINANCEIRO!$B$957,LANÇ_MOV[ANO PAGAMENTO],$B$4,LANÇ_MOV[MÊS PAGAMENTO CORRESPONDENTE],M$6,LANÇ_MOV[EMPRESA],$C$4,LANÇ_MOV[CENTRO DE CUSTOS],$D$4)</f>
        <v>0</v>
      </c>
      <c r="N1035" s="206">
        <f>SUMIFS(LANÇ_MOV[VALOR LÍQUIDO],LANÇ_MOV[RECEITA OU DESPESA],"Despesa",LANÇ_MOV[CONTAS],$C1035,LANÇ_MOV[PLANO DE CONTAS],REL_DRE_FINANCEIRO!$B$957,LANÇ_MOV[ANO PAGAMENTO],$B$4,LANÇ_MOV[MÊS PAGAMENTO CORRESPONDENTE],N$6,LANÇ_MOV[EMPRESA],$C$4,LANÇ_MOV[CENTRO DE CUSTOS],$D$4)</f>
        <v>0</v>
      </c>
      <c r="O1035" s="206">
        <f>SUMIFS(LANÇ_MOV[VALOR LÍQUIDO],LANÇ_MOV[RECEITA OU DESPESA],"Despesa",LANÇ_MOV[CONTAS],$C1035,LANÇ_MOV[PLANO DE CONTAS],REL_DRE_FINANCEIRO!$B$957,LANÇ_MOV[ANO PAGAMENTO],$B$4,LANÇ_MOV[MÊS PAGAMENTO CORRESPONDENTE],O$6,LANÇ_MOV[EMPRESA],$C$4,LANÇ_MOV[CENTRO DE CUSTOS],$D$4)</f>
        <v>0</v>
      </c>
      <c r="P1035" s="207">
        <f t="shared" si="127"/>
        <v>0</v>
      </c>
      <c r="Q1035" s="329">
        <v>2.3E-6</v>
      </c>
      <c r="R1035" s="346">
        <f t="shared" si="128"/>
        <v>2.3E-6</v>
      </c>
      <c r="S1035" s="347" t="str">
        <f t="shared" si="129"/>
        <v>-</v>
      </c>
      <c r="T1035" s="347">
        <f t="shared" si="130"/>
        <v>0</v>
      </c>
      <c r="U1035" s="347">
        <f>HLOOKUP(Apoio!$P$12,$D$956:$P$1057,X1035,FALSE)+Q1035</f>
        <v>2.3E-6</v>
      </c>
      <c r="V1035" s="447" t="str">
        <f t="shared" si="131"/>
        <v>-</v>
      </c>
      <c r="W1035" s="448">
        <f>HLOOKUP(Apoio!$P$12,$D$956:$P$1057,X1035,FALSE)</f>
        <v>0</v>
      </c>
      <c r="X1035" s="329">
        <v>80</v>
      </c>
    </row>
    <row r="1036" spans="2:24" ht="30.05" customHeight="1" x14ac:dyDescent="0.35">
      <c r="B1036" s="204" t="str">
        <f>'CAD_PL_REC-DESP'!AF83</f>
        <v>2.8.79</v>
      </c>
      <c r="C1036" s="205" t="str">
        <f>IF('CAD_PL_REC-DESP'!AG83="","-",'CAD_PL_REC-DESP'!AG83)</f>
        <v>-</v>
      </c>
      <c r="D1036" s="206">
        <f>SUMIFS(LANÇ_MOV[VALOR LÍQUIDO],LANÇ_MOV[RECEITA OU DESPESA],"Despesa",LANÇ_MOV[CONTAS],$C1036,LANÇ_MOV[PLANO DE CONTAS],REL_DRE_FINANCEIRO!$B$957,LANÇ_MOV[ANO PAGAMENTO],$B$4,LANÇ_MOV[MÊS PAGAMENTO CORRESPONDENTE],D$6,LANÇ_MOV[EMPRESA],$C$4,LANÇ_MOV[CENTRO DE CUSTOS],$D$4)</f>
        <v>0</v>
      </c>
      <c r="E1036" s="206">
        <f>SUMIFS(LANÇ_MOV[VALOR LÍQUIDO],LANÇ_MOV[RECEITA OU DESPESA],"Despesa",LANÇ_MOV[CONTAS],$C1036,LANÇ_MOV[PLANO DE CONTAS],REL_DRE_FINANCEIRO!$B$957,LANÇ_MOV[ANO PAGAMENTO],$B$4,LANÇ_MOV[MÊS PAGAMENTO CORRESPONDENTE],E$6,LANÇ_MOV[EMPRESA],$C$4,LANÇ_MOV[CENTRO DE CUSTOS],$D$4)</f>
        <v>0</v>
      </c>
      <c r="F1036" s="206">
        <f>SUMIFS(LANÇ_MOV[VALOR LÍQUIDO],LANÇ_MOV[RECEITA OU DESPESA],"Despesa",LANÇ_MOV[CONTAS],$C1036,LANÇ_MOV[PLANO DE CONTAS],REL_DRE_FINANCEIRO!$B$957,LANÇ_MOV[ANO PAGAMENTO],$B$4,LANÇ_MOV[MÊS PAGAMENTO CORRESPONDENTE],F$6,LANÇ_MOV[EMPRESA],$C$4,LANÇ_MOV[CENTRO DE CUSTOS],$D$4)</f>
        <v>0</v>
      </c>
      <c r="G1036" s="206">
        <f>SUMIFS(LANÇ_MOV[VALOR LÍQUIDO],LANÇ_MOV[RECEITA OU DESPESA],"Despesa",LANÇ_MOV[CONTAS],$C1036,LANÇ_MOV[PLANO DE CONTAS],REL_DRE_FINANCEIRO!$B$957,LANÇ_MOV[ANO PAGAMENTO],$B$4,LANÇ_MOV[MÊS PAGAMENTO CORRESPONDENTE],G$6,LANÇ_MOV[EMPRESA],$C$4,LANÇ_MOV[CENTRO DE CUSTOS],$D$4)</f>
        <v>0</v>
      </c>
      <c r="H1036" s="206">
        <f>SUMIFS(LANÇ_MOV[VALOR LÍQUIDO],LANÇ_MOV[RECEITA OU DESPESA],"Despesa",LANÇ_MOV[CONTAS],$C1036,LANÇ_MOV[PLANO DE CONTAS],REL_DRE_FINANCEIRO!$B$957,LANÇ_MOV[ANO PAGAMENTO],$B$4,LANÇ_MOV[MÊS PAGAMENTO CORRESPONDENTE],H$6,LANÇ_MOV[EMPRESA],$C$4,LANÇ_MOV[CENTRO DE CUSTOS],$D$4)</f>
        <v>0</v>
      </c>
      <c r="I1036" s="206">
        <f>SUMIFS(LANÇ_MOV[VALOR LÍQUIDO],LANÇ_MOV[RECEITA OU DESPESA],"Despesa",LANÇ_MOV[CONTAS],$C1036,LANÇ_MOV[PLANO DE CONTAS],REL_DRE_FINANCEIRO!$B$957,LANÇ_MOV[ANO PAGAMENTO],$B$4,LANÇ_MOV[MÊS PAGAMENTO CORRESPONDENTE],I$6,LANÇ_MOV[EMPRESA],$C$4,LANÇ_MOV[CENTRO DE CUSTOS],$D$4)</f>
        <v>0</v>
      </c>
      <c r="J1036" s="206">
        <f>SUMIFS(LANÇ_MOV[VALOR LÍQUIDO],LANÇ_MOV[RECEITA OU DESPESA],"Despesa",LANÇ_MOV[CONTAS],$C1036,LANÇ_MOV[PLANO DE CONTAS],REL_DRE_FINANCEIRO!$B$957,LANÇ_MOV[ANO PAGAMENTO],$B$4,LANÇ_MOV[MÊS PAGAMENTO CORRESPONDENTE],J$6,LANÇ_MOV[EMPRESA],$C$4,LANÇ_MOV[CENTRO DE CUSTOS],$D$4)</f>
        <v>0</v>
      </c>
      <c r="K1036" s="206">
        <f>SUMIFS(LANÇ_MOV[VALOR LÍQUIDO],LANÇ_MOV[RECEITA OU DESPESA],"Despesa",LANÇ_MOV[CONTAS],$C1036,LANÇ_MOV[PLANO DE CONTAS],REL_DRE_FINANCEIRO!$B$957,LANÇ_MOV[ANO PAGAMENTO],$B$4,LANÇ_MOV[MÊS PAGAMENTO CORRESPONDENTE],K$6,LANÇ_MOV[EMPRESA],$C$4,LANÇ_MOV[CENTRO DE CUSTOS],$D$4)</f>
        <v>0</v>
      </c>
      <c r="L1036" s="206">
        <f>SUMIFS(LANÇ_MOV[VALOR LÍQUIDO],LANÇ_MOV[RECEITA OU DESPESA],"Despesa",LANÇ_MOV[CONTAS],$C1036,LANÇ_MOV[PLANO DE CONTAS],REL_DRE_FINANCEIRO!$B$957,LANÇ_MOV[ANO PAGAMENTO],$B$4,LANÇ_MOV[MÊS PAGAMENTO CORRESPONDENTE],L$6,LANÇ_MOV[EMPRESA],$C$4,LANÇ_MOV[CENTRO DE CUSTOS],$D$4)</f>
        <v>0</v>
      </c>
      <c r="M1036" s="206">
        <f>SUMIFS(LANÇ_MOV[VALOR LÍQUIDO],LANÇ_MOV[RECEITA OU DESPESA],"Despesa",LANÇ_MOV[CONTAS],$C1036,LANÇ_MOV[PLANO DE CONTAS],REL_DRE_FINANCEIRO!$B$957,LANÇ_MOV[ANO PAGAMENTO],$B$4,LANÇ_MOV[MÊS PAGAMENTO CORRESPONDENTE],M$6,LANÇ_MOV[EMPRESA],$C$4,LANÇ_MOV[CENTRO DE CUSTOS],$D$4)</f>
        <v>0</v>
      </c>
      <c r="N1036" s="206">
        <f>SUMIFS(LANÇ_MOV[VALOR LÍQUIDO],LANÇ_MOV[RECEITA OU DESPESA],"Despesa",LANÇ_MOV[CONTAS],$C1036,LANÇ_MOV[PLANO DE CONTAS],REL_DRE_FINANCEIRO!$B$957,LANÇ_MOV[ANO PAGAMENTO],$B$4,LANÇ_MOV[MÊS PAGAMENTO CORRESPONDENTE],N$6,LANÇ_MOV[EMPRESA],$C$4,LANÇ_MOV[CENTRO DE CUSTOS],$D$4)</f>
        <v>0</v>
      </c>
      <c r="O1036" s="206">
        <f>SUMIFS(LANÇ_MOV[VALOR LÍQUIDO],LANÇ_MOV[RECEITA OU DESPESA],"Despesa",LANÇ_MOV[CONTAS],$C1036,LANÇ_MOV[PLANO DE CONTAS],REL_DRE_FINANCEIRO!$B$957,LANÇ_MOV[ANO PAGAMENTO],$B$4,LANÇ_MOV[MÊS PAGAMENTO CORRESPONDENTE],O$6,LANÇ_MOV[EMPRESA],$C$4,LANÇ_MOV[CENTRO DE CUSTOS],$D$4)</f>
        <v>0</v>
      </c>
      <c r="P1036" s="207">
        <f t="shared" si="127"/>
        <v>0</v>
      </c>
      <c r="Q1036" s="329">
        <v>2.2000000000000001E-6</v>
      </c>
      <c r="R1036" s="346">
        <f t="shared" si="128"/>
        <v>2.2000000000000001E-6</v>
      </c>
      <c r="S1036" s="347" t="str">
        <f t="shared" si="129"/>
        <v>-</v>
      </c>
      <c r="T1036" s="347">
        <f t="shared" si="130"/>
        <v>0</v>
      </c>
      <c r="U1036" s="347">
        <f>HLOOKUP(Apoio!$P$12,$D$956:$P$1057,X1036,FALSE)+Q1036</f>
        <v>2.2000000000000001E-6</v>
      </c>
      <c r="V1036" s="447" t="str">
        <f t="shared" si="131"/>
        <v>-</v>
      </c>
      <c r="W1036" s="448">
        <f>HLOOKUP(Apoio!$P$12,$D$956:$P$1057,X1036,FALSE)</f>
        <v>0</v>
      </c>
      <c r="X1036" s="329">
        <v>81</v>
      </c>
    </row>
    <row r="1037" spans="2:24" ht="30.05" customHeight="1" x14ac:dyDescent="0.35">
      <c r="B1037" s="204" t="str">
        <f>'CAD_PL_REC-DESP'!AF84</f>
        <v>2.8.80</v>
      </c>
      <c r="C1037" s="205" t="str">
        <f>IF('CAD_PL_REC-DESP'!AG84="","-",'CAD_PL_REC-DESP'!AG84)</f>
        <v>-</v>
      </c>
      <c r="D1037" s="206">
        <f>SUMIFS(LANÇ_MOV[VALOR LÍQUIDO],LANÇ_MOV[RECEITA OU DESPESA],"Despesa",LANÇ_MOV[CONTAS],$C1037,LANÇ_MOV[PLANO DE CONTAS],REL_DRE_FINANCEIRO!$B$957,LANÇ_MOV[ANO PAGAMENTO],$B$4,LANÇ_MOV[MÊS PAGAMENTO CORRESPONDENTE],D$6,LANÇ_MOV[EMPRESA],$C$4,LANÇ_MOV[CENTRO DE CUSTOS],$D$4)</f>
        <v>0</v>
      </c>
      <c r="E1037" s="206">
        <f>SUMIFS(LANÇ_MOV[VALOR LÍQUIDO],LANÇ_MOV[RECEITA OU DESPESA],"Despesa",LANÇ_MOV[CONTAS],$C1037,LANÇ_MOV[PLANO DE CONTAS],REL_DRE_FINANCEIRO!$B$957,LANÇ_MOV[ANO PAGAMENTO],$B$4,LANÇ_MOV[MÊS PAGAMENTO CORRESPONDENTE],E$6,LANÇ_MOV[EMPRESA],$C$4,LANÇ_MOV[CENTRO DE CUSTOS],$D$4)</f>
        <v>0</v>
      </c>
      <c r="F1037" s="206">
        <f>SUMIFS(LANÇ_MOV[VALOR LÍQUIDO],LANÇ_MOV[RECEITA OU DESPESA],"Despesa",LANÇ_MOV[CONTAS],$C1037,LANÇ_MOV[PLANO DE CONTAS],REL_DRE_FINANCEIRO!$B$957,LANÇ_MOV[ANO PAGAMENTO],$B$4,LANÇ_MOV[MÊS PAGAMENTO CORRESPONDENTE],F$6,LANÇ_MOV[EMPRESA],$C$4,LANÇ_MOV[CENTRO DE CUSTOS],$D$4)</f>
        <v>0</v>
      </c>
      <c r="G1037" s="206">
        <f>SUMIFS(LANÇ_MOV[VALOR LÍQUIDO],LANÇ_MOV[RECEITA OU DESPESA],"Despesa",LANÇ_MOV[CONTAS],$C1037,LANÇ_MOV[PLANO DE CONTAS],REL_DRE_FINANCEIRO!$B$957,LANÇ_MOV[ANO PAGAMENTO],$B$4,LANÇ_MOV[MÊS PAGAMENTO CORRESPONDENTE],G$6,LANÇ_MOV[EMPRESA],$C$4,LANÇ_MOV[CENTRO DE CUSTOS],$D$4)</f>
        <v>0</v>
      </c>
      <c r="H1037" s="206">
        <f>SUMIFS(LANÇ_MOV[VALOR LÍQUIDO],LANÇ_MOV[RECEITA OU DESPESA],"Despesa",LANÇ_MOV[CONTAS],$C1037,LANÇ_MOV[PLANO DE CONTAS],REL_DRE_FINANCEIRO!$B$957,LANÇ_MOV[ANO PAGAMENTO],$B$4,LANÇ_MOV[MÊS PAGAMENTO CORRESPONDENTE],H$6,LANÇ_MOV[EMPRESA],$C$4,LANÇ_MOV[CENTRO DE CUSTOS],$D$4)</f>
        <v>0</v>
      </c>
      <c r="I1037" s="206">
        <f>SUMIFS(LANÇ_MOV[VALOR LÍQUIDO],LANÇ_MOV[RECEITA OU DESPESA],"Despesa",LANÇ_MOV[CONTAS],$C1037,LANÇ_MOV[PLANO DE CONTAS],REL_DRE_FINANCEIRO!$B$957,LANÇ_MOV[ANO PAGAMENTO],$B$4,LANÇ_MOV[MÊS PAGAMENTO CORRESPONDENTE],I$6,LANÇ_MOV[EMPRESA],$C$4,LANÇ_MOV[CENTRO DE CUSTOS],$D$4)</f>
        <v>0</v>
      </c>
      <c r="J1037" s="206">
        <f>SUMIFS(LANÇ_MOV[VALOR LÍQUIDO],LANÇ_MOV[RECEITA OU DESPESA],"Despesa",LANÇ_MOV[CONTAS],$C1037,LANÇ_MOV[PLANO DE CONTAS],REL_DRE_FINANCEIRO!$B$957,LANÇ_MOV[ANO PAGAMENTO],$B$4,LANÇ_MOV[MÊS PAGAMENTO CORRESPONDENTE],J$6,LANÇ_MOV[EMPRESA],$C$4,LANÇ_MOV[CENTRO DE CUSTOS],$D$4)</f>
        <v>0</v>
      </c>
      <c r="K1037" s="206">
        <f>SUMIFS(LANÇ_MOV[VALOR LÍQUIDO],LANÇ_MOV[RECEITA OU DESPESA],"Despesa",LANÇ_MOV[CONTAS],$C1037,LANÇ_MOV[PLANO DE CONTAS],REL_DRE_FINANCEIRO!$B$957,LANÇ_MOV[ANO PAGAMENTO],$B$4,LANÇ_MOV[MÊS PAGAMENTO CORRESPONDENTE],K$6,LANÇ_MOV[EMPRESA],$C$4,LANÇ_MOV[CENTRO DE CUSTOS],$D$4)</f>
        <v>0</v>
      </c>
      <c r="L1037" s="206">
        <f>SUMIFS(LANÇ_MOV[VALOR LÍQUIDO],LANÇ_MOV[RECEITA OU DESPESA],"Despesa",LANÇ_MOV[CONTAS],$C1037,LANÇ_MOV[PLANO DE CONTAS],REL_DRE_FINANCEIRO!$B$957,LANÇ_MOV[ANO PAGAMENTO],$B$4,LANÇ_MOV[MÊS PAGAMENTO CORRESPONDENTE],L$6,LANÇ_MOV[EMPRESA],$C$4,LANÇ_MOV[CENTRO DE CUSTOS],$D$4)</f>
        <v>0</v>
      </c>
      <c r="M1037" s="206">
        <f>SUMIFS(LANÇ_MOV[VALOR LÍQUIDO],LANÇ_MOV[RECEITA OU DESPESA],"Despesa",LANÇ_MOV[CONTAS],$C1037,LANÇ_MOV[PLANO DE CONTAS],REL_DRE_FINANCEIRO!$B$957,LANÇ_MOV[ANO PAGAMENTO],$B$4,LANÇ_MOV[MÊS PAGAMENTO CORRESPONDENTE],M$6,LANÇ_MOV[EMPRESA],$C$4,LANÇ_MOV[CENTRO DE CUSTOS],$D$4)</f>
        <v>0</v>
      </c>
      <c r="N1037" s="206">
        <f>SUMIFS(LANÇ_MOV[VALOR LÍQUIDO],LANÇ_MOV[RECEITA OU DESPESA],"Despesa",LANÇ_MOV[CONTAS],$C1037,LANÇ_MOV[PLANO DE CONTAS],REL_DRE_FINANCEIRO!$B$957,LANÇ_MOV[ANO PAGAMENTO],$B$4,LANÇ_MOV[MÊS PAGAMENTO CORRESPONDENTE],N$6,LANÇ_MOV[EMPRESA],$C$4,LANÇ_MOV[CENTRO DE CUSTOS],$D$4)</f>
        <v>0</v>
      </c>
      <c r="O1037" s="206">
        <f>SUMIFS(LANÇ_MOV[VALOR LÍQUIDO],LANÇ_MOV[RECEITA OU DESPESA],"Despesa",LANÇ_MOV[CONTAS],$C1037,LANÇ_MOV[PLANO DE CONTAS],REL_DRE_FINANCEIRO!$B$957,LANÇ_MOV[ANO PAGAMENTO],$B$4,LANÇ_MOV[MÊS PAGAMENTO CORRESPONDENTE],O$6,LANÇ_MOV[EMPRESA],$C$4,LANÇ_MOV[CENTRO DE CUSTOS],$D$4)</f>
        <v>0</v>
      </c>
      <c r="P1037" s="207">
        <f t="shared" si="127"/>
        <v>0</v>
      </c>
      <c r="Q1037" s="329">
        <v>2.0999999999999998E-6</v>
      </c>
      <c r="R1037" s="346">
        <f t="shared" si="128"/>
        <v>2.0999999999999998E-6</v>
      </c>
      <c r="S1037" s="347" t="str">
        <f t="shared" si="129"/>
        <v>-</v>
      </c>
      <c r="T1037" s="347">
        <f t="shared" si="130"/>
        <v>0</v>
      </c>
      <c r="U1037" s="347">
        <f>HLOOKUP(Apoio!$P$12,$D$956:$P$1057,X1037,FALSE)+Q1037</f>
        <v>2.0999999999999998E-6</v>
      </c>
      <c r="V1037" s="447" t="str">
        <f t="shared" si="131"/>
        <v>-</v>
      </c>
      <c r="W1037" s="448">
        <f>HLOOKUP(Apoio!$P$12,$D$956:$P$1057,X1037,FALSE)</f>
        <v>0</v>
      </c>
      <c r="X1037" s="329">
        <v>82</v>
      </c>
    </row>
    <row r="1038" spans="2:24" ht="30.05" customHeight="1" x14ac:dyDescent="0.35">
      <c r="B1038" s="204" t="str">
        <f>'CAD_PL_REC-DESP'!AF85</f>
        <v>2.8.81</v>
      </c>
      <c r="C1038" s="205" t="str">
        <f>IF('CAD_PL_REC-DESP'!AG85="","-",'CAD_PL_REC-DESP'!AG85)</f>
        <v>-</v>
      </c>
      <c r="D1038" s="206">
        <f>SUMIFS(LANÇ_MOV[VALOR LÍQUIDO],LANÇ_MOV[RECEITA OU DESPESA],"Despesa",LANÇ_MOV[CONTAS],$C1038,LANÇ_MOV[PLANO DE CONTAS],REL_DRE_FINANCEIRO!$B$957,LANÇ_MOV[ANO PAGAMENTO],$B$4,LANÇ_MOV[MÊS PAGAMENTO CORRESPONDENTE],D$6,LANÇ_MOV[EMPRESA],$C$4,LANÇ_MOV[CENTRO DE CUSTOS],$D$4)</f>
        <v>0</v>
      </c>
      <c r="E1038" s="206">
        <f>SUMIFS(LANÇ_MOV[VALOR LÍQUIDO],LANÇ_MOV[RECEITA OU DESPESA],"Despesa",LANÇ_MOV[CONTAS],$C1038,LANÇ_MOV[PLANO DE CONTAS],REL_DRE_FINANCEIRO!$B$957,LANÇ_MOV[ANO PAGAMENTO],$B$4,LANÇ_MOV[MÊS PAGAMENTO CORRESPONDENTE],E$6,LANÇ_MOV[EMPRESA],$C$4,LANÇ_MOV[CENTRO DE CUSTOS],$D$4)</f>
        <v>0</v>
      </c>
      <c r="F1038" s="206">
        <f>SUMIFS(LANÇ_MOV[VALOR LÍQUIDO],LANÇ_MOV[RECEITA OU DESPESA],"Despesa",LANÇ_MOV[CONTAS],$C1038,LANÇ_MOV[PLANO DE CONTAS],REL_DRE_FINANCEIRO!$B$957,LANÇ_MOV[ANO PAGAMENTO],$B$4,LANÇ_MOV[MÊS PAGAMENTO CORRESPONDENTE],F$6,LANÇ_MOV[EMPRESA],$C$4,LANÇ_MOV[CENTRO DE CUSTOS],$D$4)</f>
        <v>0</v>
      </c>
      <c r="G1038" s="206">
        <f>SUMIFS(LANÇ_MOV[VALOR LÍQUIDO],LANÇ_MOV[RECEITA OU DESPESA],"Despesa",LANÇ_MOV[CONTAS],$C1038,LANÇ_MOV[PLANO DE CONTAS],REL_DRE_FINANCEIRO!$B$957,LANÇ_MOV[ANO PAGAMENTO],$B$4,LANÇ_MOV[MÊS PAGAMENTO CORRESPONDENTE],G$6,LANÇ_MOV[EMPRESA],$C$4,LANÇ_MOV[CENTRO DE CUSTOS],$D$4)</f>
        <v>0</v>
      </c>
      <c r="H1038" s="206">
        <f>SUMIFS(LANÇ_MOV[VALOR LÍQUIDO],LANÇ_MOV[RECEITA OU DESPESA],"Despesa",LANÇ_MOV[CONTAS],$C1038,LANÇ_MOV[PLANO DE CONTAS],REL_DRE_FINANCEIRO!$B$957,LANÇ_MOV[ANO PAGAMENTO],$B$4,LANÇ_MOV[MÊS PAGAMENTO CORRESPONDENTE],H$6,LANÇ_MOV[EMPRESA],$C$4,LANÇ_MOV[CENTRO DE CUSTOS],$D$4)</f>
        <v>0</v>
      </c>
      <c r="I1038" s="206">
        <f>SUMIFS(LANÇ_MOV[VALOR LÍQUIDO],LANÇ_MOV[RECEITA OU DESPESA],"Despesa",LANÇ_MOV[CONTAS],$C1038,LANÇ_MOV[PLANO DE CONTAS],REL_DRE_FINANCEIRO!$B$957,LANÇ_MOV[ANO PAGAMENTO],$B$4,LANÇ_MOV[MÊS PAGAMENTO CORRESPONDENTE],I$6,LANÇ_MOV[EMPRESA],$C$4,LANÇ_MOV[CENTRO DE CUSTOS],$D$4)</f>
        <v>0</v>
      </c>
      <c r="J1038" s="206">
        <f>SUMIFS(LANÇ_MOV[VALOR LÍQUIDO],LANÇ_MOV[RECEITA OU DESPESA],"Despesa",LANÇ_MOV[CONTAS],$C1038,LANÇ_MOV[PLANO DE CONTAS],REL_DRE_FINANCEIRO!$B$957,LANÇ_MOV[ANO PAGAMENTO],$B$4,LANÇ_MOV[MÊS PAGAMENTO CORRESPONDENTE],J$6,LANÇ_MOV[EMPRESA],$C$4,LANÇ_MOV[CENTRO DE CUSTOS],$D$4)</f>
        <v>0</v>
      </c>
      <c r="K1038" s="206">
        <f>SUMIFS(LANÇ_MOV[VALOR LÍQUIDO],LANÇ_MOV[RECEITA OU DESPESA],"Despesa",LANÇ_MOV[CONTAS],$C1038,LANÇ_MOV[PLANO DE CONTAS],REL_DRE_FINANCEIRO!$B$957,LANÇ_MOV[ANO PAGAMENTO],$B$4,LANÇ_MOV[MÊS PAGAMENTO CORRESPONDENTE],K$6,LANÇ_MOV[EMPRESA],$C$4,LANÇ_MOV[CENTRO DE CUSTOS],$D$4)</f>
        <v>0</v>
      </c>
      <c r="L1038" s="206">
        <f>SUMIFS(LANÇ_MOV[VALOR LÍQUIDO],LANÇ_MOV[RECEITA OU DESPESA],"Despesa",LANÇ_MOV[CONTAS],$C1038,LANÇ_MOV[PLANO DE CONTAS],REL_DRE_FINANCEIRO!$B$957,LANÇ_MOV[ANO PAGAMENTO],$B$4,LANÇ_MOV[MÊS PAGAMENTO CORRESPONDENTE],L$6,LANÇ_MOV[EMPRESA],$C$4,LANÇ_MOV[CENTRO DE CUSTOS],$D$4)</f>
        <v>0</v>
      </c>
      <c r="M1038" s="206">
        <f>SUMIFS(LANÇ_MOV[VALOR LÍQUIDO],LANÇ_MOV[RECEITA OU DESPESA],"Despesa",LANÇ_MOV[CONTAS],$C1038,LANÇ_MOV[PLANO DE CONTAS],REL_DRE_FINANCEIRO!$B$957,LANÇ_MOV[ANO PAGAMENTO],$B$4,LANÇ_MOV[MÊS PAGAMENTO CORRESPONDENTE],M$6,LANÇ_MOV[EMPRESA],$C$4,LANÇ_MOV[CENTRO DE CUSTOS],$D$4)</f>
        <v>0</v>
      </c>
      <c r="N1038" s="206">
        <f>SUMIFS(LANÇ_MOV[VALOR LÍQUIDO],LANÇ_MOV[RECEITA OU DESPESA],"Despesa",LANÇ_MOV[CONTAS],$C1038,LANÇ_MOV[PLANO DE CONTAS],REL_DRE_FINANCEIRO!$B$957,LANÇ_MOV[ANO PAGAMENTO],$B$4,LANÇ_MOV[MÊS PAGAMENTO CORRESPONDENTE],N$6,LANÇ_MOV[EMPRESA],$C$4,LANÇ_MOV[CENTRO DE CUSTOS],$D$4)</f>
        <v>0</v>
      </c>
      <c r="O1038" s="206">
        <f>SUMIFS(LANÇ_MOV[VALOR LÍQUIDO],LANÇ_MOV[RECEITA OU DESPESA],"Despesa",LANÇ_MOV[CONTAS],$C1038,LANÇ_MOV[PLANO DE CONTAS],REL_DRE_FINANCEIRO!$B$957,LANÇ_MOV[ANO PAGAMENTO],$B$4,LANÇ_MOV[MÊS PAGAMENTO CORRESPONDENTE],O$6,LANÇ_MOV[EMPRESA],$C$4,LANÇ_MOV[CENTRO DE CUSTOS],$D$4)</f>
        <v>0</v>
      </c>
      <c r="P1038" s="207">
        <f t="shared" si="127"/>
        <v>0</v>
      </c>
      <c r="Q1038" s="329">
        <v>1.9999999999999999E-6</v>
      </c>
      <c r="R1038" s="346">
        <f t="shared" si="128"/>
        <v>1.9999999999999999E-6</v>
      </c>
      <c r="S1038" s="347" t="str">
        <f t="shared" si="129"/>
        <v>-</v>
      </c>
      <c r="T1038" s="347">
        <f t="shared" si="130"/>
        <v>0</v>
      </c>
      <c r="U1038" s="347">
        <f>HLOOKUP(Apoio!$P$12,$D$956:$P$1057,X1038,FALSE)+Q1038</f>
        <v>1.9999999999999999E-6</v>
      </c>
      <c r="V1038" s="447" t="str">
        <f t="shared" si="131"/>
        <v>-</v>
      </c>
      <c r="W1038" s="448">
        <f>HLOOKUP(Apoio!$P$12,$D$956:$P$1057,X1038,FALSE)</f>
        <v>0</v>
      </c>
      <c r="X1038" s="329">
        <v>83</v>
      </c>
    </row>
    <row r="1039" spans="2:24" ht="30.05" customHeight="1" x14ac:dyDescent="0.35">
      <c r="B1039" s="204" t="str">
        <f>'CAD_PL_REC-DESP'!AF86</f>
        <v>2.8.82</v>
      </c>
      <c r="C1039" s="205" t="str">
        <f>IF('CAD_PL_REC-DESP'!AG86="","-",'CAD_PL_REC-DESP'!AG86)</f>
        <v>-</v>
      </c>
      <c r="D1039" s="206">
        <f>SUMIFS(LANÇ_MOV[VALOR LÍQUIDO],LANÇ_MOV[RECEITA OU DESPESA],"Despesa",LANÇ_MOV[CONTAS],$C1039,LANÇ_MOV[PLANO DE CONTAS],REL_DRE_FINANCEIRO!$B$957,LANÇ_MOV[ANO PAGAMENTO],$B$4,LANÇ_MOV[MÊS PAGAMENTO CORRESPONDENTE],D$6,LANÇ_MOV[EMPRESA],$C$4,LANÇ_MOV[CENTRO DE CUSTOS],$D$4)</f>
        <v>0</v>
      </c>
      <c r="E1039" s="206">
        <f>SUMIFS(LANÇ_MOV[VALOR LÍQUIDO],LANÇ_MOV[RECEITA OU DESPESA],"Despesa",LANÇ_MOV[CONTAS],$C1039,LANÇ_MOV[PLANO DE CONTAS],REL_DRE_FINANCEIRO!$B$957,LANÇ_MOV[ANO PAGAMENTO],$B$4,LANÇ_MOV[MÊS PAGAMENTO CORRESPONDENTE],E$6,LANÇ_MOV[EMPRESA],$C$4,LANÇ_MOV[CENTRO DE CUSTOS],$D$4)</f>
        <v>0</v>
      </c>
      <c r="F1039" s="206">
        <f>SUMIFS(LANÇ_MOV[VALOR LÍQUIDO],LANÇ_MOV[RECEITA OU DESPESA],"Despesa",LANÇ_MOV[CONTAS],$C1039,LANÇ_MOV[PLANO DE CONTAS],REL_DRE_FINANCEIRO!$B$957,LANÇ_MOV[ANO PAGAMENTO],$B$4,LANÇ_MOV[MÊS PAGAMENTO CORRESPONDENTE],F$6,LANÇ_MOV[EMPRESA],$C$4,LANÇ_MOV[CENTRO DE CUSTOS],$D$4)</f>
        <v>0</v>
      </c>
      <c r="G1039" s="206">
        <f>SUMIFS(LANÇ_MOV[VALOR LÍQUIDO],LANÇ_MOV[RECEITA OU DESPESA],"Despesa",LANÇ_MOV[CONTAS],$C1039,LANÇ_MOV[PLANO DE CONTAS],REL_DRE_FINANCEIRO!$B$957,LANÇ_MOV[ANO PAGAMENTO],$B$4,LANÇ_MOV[MÊS PAGAMENTO CORRESPONDENTE],G$6,LANÇ_MOV[EMPRESA],$C$4,LANÇ_MOV[CENTRO DE CUSTOS],$D$4)</f>
        <v>0</v>
      </c>
      <c r="H1039" s="206">
        <f>SUMIFS(LANÇ_MOV[VALOR LÍQUIDO],LANÇ_MOV[RECEITA OU DESPESA],"Despesa",LANÇ_MOV[CONTAS],$C1039,LANÇ_MOV[PLANO DE CONTAS],REL_DRE_FINANCEIRO!$B$957,LANÇ_MOV[ANO PAGAMENTO],$B$4,LANÇ_MOV[MÊS PAGAMENTO CORRESPONDENTE],H$6,LANÇ_MOV[EMPRESA],$C$4,LANÇ_MOV[CENTRO DE CUSTOS],$D$4)</f>
        <v>0</v>
      </c>
      <c r="I1039" s="206">
        <f>SUMIFS(LANÇ_MOV[VALOR LÍQUIDO],LANÇ_MOV[RECEITA OU DESPESA],"Despesa",LANÇ_MOV[CONTAS],$C1039,LANÇ_MOV[PLANO DE CONTAS],REL_DRE_FINANCEIRO!$B$957,LANÇ_MOV[ANO PAGAMENTO],$B$4,LANÇ_MOV[MÊS PAGAMENTO CORRESPONDENTE],I$6,LANÇ_MOV[EMPRESA],$C$4,LANÇ_MOV[CENTRO DE CUSTOS],$D$4)</f>
        <v>0</v>
      </c>
      <c r="J1039" s="206">
        <f>SUMIFS(LANÇ_MOV[VALOR LÍQUIDO],LANÇ_MOV[RECEITA OU DESPESA],"Despesa",LANÇ_MOV[CONTAS],$C1039,LANÇ_MOV[PLANO DE CONTAS],REL_DRE_FINANCEIRO!$B$957,LANÇ_MOV[ANO PAGAMENTO],$B$4,LANÇ_MOV[MÊS PAGAMENTO CORRESPONDENTE],J$6,LANÇ_MOV[EMPRESA],$C$4,LANÇ_MOV[CENTRO DE CUSTOS],$D$4)</f>
        <v>0</v>
      </c>
      <c r="K1039" s="206">
        <f>SUMIFS(LANÇ_MOV[VALOR LÍQUIDO],LANÇ_MOV[RECEITA OU DESPESA],"Despesa",LANÇ_MOV[CONTAS],$C1039,LANÇ_MOV[PLANO DE CONTAS],REL_DRE_FINANCEIRO!$B$957,LANÇ_MOV[ANO PAGAMENTO],$B$4,LANÇ_MOV[MÊS PAGAMENTO CORRESPONDENTE],K$6,LANÇ_MOV[EMPRESA],$C$4,LANÇ_MOV[CENTRO DE CUSTOS],$D$4)</f>
        <v>0</v>
      </c>
      <c r="L1039" s="206">
        <f>SUMIFS(LANÇ_MOV[VALOR LÍQUIDO],LANÇ_MOV[RECEITA OU DESPESA],"Despesa",LANÇ_MOV[CONTAS],$C1039,LANÇ_MOV[PLANO DE CONTAS],REL_DRE_FINANCEIRO!$B$957,LANÇ_MOV[ANO PAGAMENTO],$B$4,LANÇ_MOV[MÊS PAGAMENTO CORRESPONDENTE],L$6,LANÇ_MOV[EMPRESA],$C$4,LANÇ_MOV[CENTRO DE CUSTOS],$D$4)</f>
        <v>0</v>
      </c>
      <c r="M1039" s="206">
        <f>SUMIFS(LANÇ_MOV[VALOR LÍQUIDO],LANÇ_MOV[RECEITA OU DESPESA],"Despesa",LANÇ_MOV[CONTAS],$C1039,LANÇ_MOV[PLANO DE CONTAS],REL_DRE_FINANCEIRO!$B$957,LANÇ_MOV[ANO PAGAMENTO],$B$4,LANÇ_MOV[MÊS PAGAMENTO CORRESPONDENTE],M$6,LANÇ_MOV[EMPRESA],$C$4,LANÇ_MOV[CENTRO DE CUSTOS],$D$4)</f>
        <v>0</v>
      </c>
      <c r="N1039" s="206">
        <f>SUMIFS(LANÇ_MOV[VALOR LÍQUIDO],LANÇ_MOV[RECEITA OU DESPESA],"Despesa",LANÇ_MOV[CONTAS],$C1039,LANÇ_MOV[PLANO DE CONTAS],REL_DRE_FINANCEIRO!$B$957,LANÇ_MOV[ANO PAGAMENTO],$B$4,LANÇ_MOV[MÊS PAGAMENTO CORRESPONDENTE],N$6,LANÇ_MOV[EMPRESA],$C$4,LANÇ_MOV[CENTRO DE CUSTOS],$D$4)</f>
        <v>0</v>
      </c>
      <c r="O1039" s="206">
        <f>SUMIFS(LANÇ_MOV[VALOR LÍQUIDO],LANÇ_MOV[RECEITA OU DESPESA],"Despesa",LANÇ_MOV[CONTAS],$C1039,LANÇ_MOV[PLANO DE CONTAS],REL_DRE_FINANCEIRO!$B$957,LANÇ_MOV[ANO PAGAMENTO],$B$4,LANÇ_MOV[MÊS PAGAMENTO CORRESPONDENTE],O$6,LANÇ_MOV[EMPRESA],$C$4,LANÇ_MOV[CENTRO DE CUSTOS],$D$4)</f>
        <v>0</v>
      </c>
      <c r="P1039" s="207">
        <f t="shared" si="127"/>
        <v>0</v>
      </c>
      <c r="Q1039" s="329">
        <v>1.9E-6</v>
      </c>
      <c r="R1039" s="346">
        <f t="shared" si="128"/>
        <v>1.9E-6</v>
      </c>
      <c r="S1039" s="347" t="str">
        <f t="shared" si="129"/>
        <v>-</v>
      </c>
      <c r="T1039" s="347">
        <f t="shared" si="130"/>
        <v>0</v>
      </c>
      <c r="U1039" s="347">
        <f>HLOOKUP(Apoio!$P$12,$D$956:$P$1057,X1039,FALSE)+Q1039</f>
        <v>1.9E-6</v>
      </c>
      <c r="V1039" s="447" t="str">
        <f t="shared" si="131"/>
        <v>-</v>
      </c>
      <c r="W1039" s="448">
        <f>HLOOKUP(Apoio!$P$12,$D$956:$P$1057,X1039,FALSE)</f>
        <v>0</v>
      </c>
      <c r="X1039" s="329">
        <v>84</v>
      </c>
    </row>
    <row r="1040" spans="2:24" ht="30.05" customHeight="1" x14ac:dyDescent="0.35">
      <c r="B1040" s="204" t="str">
        <f>'CAD_PL_REC-DESP'!AF87</f>
        <v>2.8.83</v>
      </c>
      <c r="C1040" s="205" t="str">
        <f>IF('CAD_PL_REC-DESP'!AG87="","-",'CAD_PL_REC-DESP'!AG87)</f>
        <v>-</v>
      </c>
      <c r="D1040" s="206">
        <f>SUMIFS(LANÇ_MOV[VALOR LÍQUIDO],LANÇ_MOV[RECEITA OU DESPESA],"Despesa",LANÇ_MOV[CONTAS],$C1040,LANÇ_MOV[PLANO DE CONTAS],REL_DRE_FINANCEIRO!$B$957,LANÇ_MOV[ANO PAGAMENTO],$B$4,LANÇ_MOV[MÊS PAGAMENTO CORRESPONDENTE],D$6,LANÇ_MOV[EMPRESA],$C$4,LANÇ_MOV[CENTRO DE CUSTOS],$D$4)</f>
        <v>0</v>
      </c>
      <c r="E1040" s="206">
        <f>SUMIFS(LANÇ_MOV[VALOR LÍQUIDO],LANÇ_MOV[RECEITA OU DESPESA],"Despesa",LANÇ_MOV[CONTAS],$C1040,LANÇ_MOV[PLANO DE CONTAS],REL_DRE_FINANCEIRO!$B$957,LANÇ_MOV[ANO PAGAMENTO],$B$4,LANÇ_MOV[MÊS PAGAMENTO CORRESPONDENTE],E$6,LANÇ_MOV[EMPRESA],$C$4,LANÇ_MOV[CENTRO DE CUSTOS],$D$4)</f>
        <v>0</v>
      </c>
      <c r="F1040" s="206">
        <f>SUMIFS(LANÇ_MOV[VALOR LÍQUIDO],LANÇ_MOV[RECEITA OU DESPESA],"Despesa",LANÇ_MOV[CONTAS],$C1040,LANÇ_MOV[PLANO DE CONTAS],REL_DRE_FINANCEIRO!$B$957,LANÇ_MOV[ANO PAGAMENTO],$B$4,LANÇ_MOV[MÊS PAGAMENTO CORRESPONDENTE],F$6,LANÇ_MOV[EMPRESA],$C$4,LANÇ_MOV[CENTRO DE CUSTOS],$D$4)</f>
        <v>0</v>
      </c>
      <c r="G1040" s="206">
        <f>SUMIFS(LANÇ_MOV[VALOR LÍQUIDO],LANÇ_MOV[RECEITA OU DESPESA],"Despesa",LANÇ_MOV[CONTAS],$C1040,LANÇ_MOV[PLANO DE CONTAS],REL_DRE_FINANCEIRO!$B$957,LANÇ_MOV[ANO PAGAMENTO],$B$4,LANÇ_MOV[MÊS PAGAMENTO CORRESPONDENTE],G$6,LANÇ_MOV[EMPRESA],$C$4,LANÇ_MOV[CENTRO DE CUSTOS],$D$4)</f>
        <v>0</v>
      </c>
      <c r="H1040" s="206">
        <f>SUMIFS(LANÇ_MOV[VALOR LÍQUIDO],LANÇ_MOV[RECEITA OU DESPESA],"Despesa",LANÇ_MOV[CONTAS],$C1040,LANÇ_MOV[PLANO DE CONTAS],REL_DRE_FINANCEIRO!$B$957,LANÇ_MOV[ANO PAGAMENTO],$B$4,LANÇ_MOV[MÊS PAGAMENTO CORRESPONDENTE],H$6,LANÇ_MOV[EMPRESA],$C$4,LANÇ_MOV[CENTRO DE CUSTOS],$D$4)</f>
        <v>0</v>
      </c>
      <c r="I1040" s="206">
        <f>SUMIFS(LANÇ_MOV[VALOR LÍQUIDO],LANÇ_MOV[RECEITA OU DESPESA],"Despesa",LANÇ_MOV[CONTAS],$C1040,LANÇ_MOV[PLANO DE CONTAS],REL_DRE_FINANCEIRO!$B$957,LANÇ_MOV[ANO PAGAMENTO],$B$4,LANÇ_MOV[MÊS PAGAMENTO CORRESPONDENTE],I$6,LANÇ_MOV[EMPRESA],$C$4,LANÇ_MOV[CENTRO DE CUSTOS],$D$4)</f>
        <v>0</v>
      </c>
      <c r="J1040" s="206">
        <f>SUMIFS(LANÇ_MOV[VALOR LÍQUIDO],LANÇ_MOV[RECEITA OU DESPESA],"Despesa",LANÇ_MOV[CONTAS],$C1040,LANÇ_MOV[PLANO DE CONTAS],REL_DRE_FINANCEIRO!$B$957,LANÇ_MOV[ANO PAGAMENTO],$B$4,LANÇ_MOV[MÊS PAGAMENTO CORRESPONDENTE],J$6,LANÇ_MOV[EMPRESA],$C$4,LANÇ_MOV[CENTRO DE CUSTOS],$D$4)</f>
        <v>0</v>
      </c>
      <c r="K1040" s="206">
        <f>SUMIFS(LANÇ_MOV[VALOR LÍQUIDO],LANÇ_MOV[RECEITA OU DESPESA],"Despesa",LANÇ_MOV[CONTAS],$C1040,LANÇ_MOV[PLANO DE CONTAS],REL_DRE_FINANCEIRO!$B$957,LANÇ_MOV[ANO PAGAMENTO],$B$4,LANÇ_MOV[MÊS PAGAMENTO CORRESPONDENTE],K$6,LANÇ_MOV[EMPRESA],$C$4,LANÇ_MOV[CENTRO DE CUSTOS],$D$4)</f>
        <v>0</v>
      </c>
      <c r="L1040" s="206">
        <f>SUMIFS(LANÇ_MOV[VALOR LÍQUIDO],LANÇ_MOV[RECEITA OU DESPESA],"Despesa",LANÇ_MOV[CONTAS],$C1040,LANÇ_MOV[PLANO DE CONTAS],REL_DRE_FINANCEIRO!$B$957,LANÇ_MOV[ANO PAGAMENTO],$B$4,LANÇ_MOV[MÊS PAGAMENTO CORRESPONDENTE],L$6,LANÇ_MOV[EMPRESA],$C$4,LANÇ_MOV[CENTRO DE CUSTOS],$D$4)</f>
        <v>0</v>
      </c>
      <c r="M1040" s="206">
        <f>SUMIFS(LANÇ_MOV[VALOR LÍQUIDO],LANÇ_MOV[RECEITA OU DESPESA],"Despesa",LANÇ_MOV[CONTAS],$C1040,LANÇ_MOV[PLANO DE CONTAS],REL_DRE_FINANCEIRO!$B$957,LANÇ_MOV[ANO PAGAMENTO],$B$4,LANÇ_MOV[MÊS PAGAMENTO CORRESPONDENTE],M$6,LANÇ_MOV[EMPRESA],$C$4,LANÇ_MOV[CENTRO DE CUSTOS],$D$4)</f>
        <v>0</v>
      </c>
      <c r="N1040" s="206">
        <f>SUMIFS(LANÇ_MOV[VALOR LÍQUIDO],LANÇ_MOV[RECEITA OU DESPESA],"Despesa",LANÇ_MOV[CONTAS],$C1040,LANÇ_MOV[PLANO DE CONTAS],REL_DRE_FINANCEIRO!$B$957,LANÇ_MOV[ANO PAGAMENTO],$B$4,LANÇ_MOV[MÊS PAGAMENTO CORRESPONDENTE],N$6,LANÇ_MOV[EMPRESA],$C$4,LANÇ_MOV[CENTRO DE CUSTOS],$D$4)</f>
        <v>0</v>
      </c>
      <c r="O1040" s="206">
        <f>SUMIFS(LANÇ_MOV[VALOR LÍQUIDO],LANÇ_MOV[RECEITA OU DESPESA],"Despesa",LANÇ_MOV[CONTAS],$C1040,LANÇ_MOV[PLANO DE CONTAS],REL_DRE_FINANCEIRO!$B$957,LANÇ_MOV[ANO PAGAMENTO],$B$4,LANÇ_MOV[MÊS PAGAMENTO CORRESPONDENTE],O$6,LANÇ_MOV[EMPRESA],$C$4,LANÇ_MOV[CENTRO DE CUSTOS],$D$4)</f>
        <v>0</v>
      </c>
      <c r="P1040" s="207">
        <f t="shared" si="127"/>
        <v>0</v>
      </c>
      <c r="Q1040" s="329">
        <v>1.7999999999999999E-6</v>
      </c>
      <c r="R1040" s="346">
        <f t="shared" si="128"/>
        <v>1.7999999999999999E-6</v>
      </c>
      <c r="S1040" s="347" t="str">
        <f t="shared" si="129"/>
        <v>-</v>
      </c>
      <c r="T1040" s="347">
        <f t="shared" si="130"/>
        <v>0</v>
      </c>
      <c r="U1040" s="347">
        <f>HLOOKUP(Apoio!$P$12,$D$956:$P$1057,X1040,FALSE)+Q1040</f>
        <v>1.7999999999999999E-6</v>
      </c>
      <c r="V1040" s="447" t="str">
        <f t="shared" si="131"/>
        <v>-</v>
      </c>
      <c r="W1040" s="448">
        <f>HLOOKUP(Apoio!$P$12,$D$956:$P$1057,X1040,FALSE)</f>
        <v>0</v>
      </c>
      <c r="X1040" s="329">
        <v>85</v>
      </c>
    </row>
    <row r="1041" spans="2:24" ht="30.05" customHeight="1" x14ac:dyDescent="0.35">
      <c r="B1041" s="204" t="str">
        <f>'CAD_PL_REC-DESP'!AF88</f>
        <v>2.8.84</v>
      </c>
      <c r="C1041" s="205" t="str">
        <f>IF('CAD_PL_REC-DESP'!AG88="","-",'CAD_PL_REC-DESP'!AG88)</f>
        <v>-</v>
      </c>
      <c r="D1041" s="206">
        <f>SUMIFS(LANÇ_MOV[VALOR LÍQUIDO],LANÇ_MOV[RECEITA OU DESPESA],"Despesa",LANÇ_MOV[CONTAS],$C1041,LANÇ_MOV[PLANO DE CONTAS],REL_DRE_FINANCEIRO!$B$957,LANÇ_MOV[ANO PAGAMENTO],$B$4,LANÇ_MOV[MÊS PAGAMENTO CORRESPONDENTE],D$6,LANÇ_MOV[EMPRESA],$C$4,LANÇ_MOV[CENTRO DE CUSTOS],$D$4)</f>
        <v>0</v>
      </c>
      <c r="E1041" s="206">
        <f>SUMIFS(LANÇ_MOV[VALOR LÍQUIDO],LANÇ_MOV[RECEITA OU DESPESA],"Despesa",LANÇ_MOV[CONTAS],$C1041,LANÇ_MOV[PLANO DE CONTAS],REL_DRE_FINANCEIRO!$B$957,LANÇ_MOV[ANO PAGAMENTO],$B$4,LANÇ_MOV[MÊS PAGAMENTO CORRESPONDENTE],E$6,LANÇ_MOV[EMPRESA],$C$4,LANÇ_MOV[CENTRO DE CUSTOS],$D$4)</f>
        <v>0</v>
      </c>
      <c r="F1041" s="206">
        <f>SUMIFS(LANÇ_MOV[VALOR LÍQUIDO],LANÇ_MOV[RECEITA OU DESPESA],"Despesa",LANÇ_MOV[CONTAS],$C1041,LANÇ_MOV[PLANO DE CONTAS],REL_DRE_FINANCEIRO!$B$957,LANÇ_MOV[ANO PAGAMENTO],$B$4,LANÇ_MOV[MÊS PAGAMENTO CORRESPONDENTE],F$6,LANÇ_MOV[EMPRESA],$C$4,LANÇ_MOV[CENTRO DE CUSTOS],$D$4)</f>
        <v>0</v>
      </c>
      <c r="G1041" s="206">
        <f>SUMIFS(LANÇ_MOV[VALOR LÍQUIDO],LANÇ_MOV[RECEITA OU DESPESA],"Despesa",LANÇ_MOV[CONTAS],$C1041,LANÇ_MOV[PLANO DE CONTAS],REL_DRE_FINANCEIRO!$B$957,LANÇ_MOV[ANO PAGAMENTO],$B$4,LANÇ_MOV[MÊS PAGAMENTO CORRESPONDENTE],G$6,LANÇ_MOV[EMPRESA],$C$4,LANÇ_MOV[CENTRO DE CUSTOS],$D$4)</f>
        <v>0</v>
      </c>
      <c r="H1041" s="206">
        <f>SUMIFS(LANÇ_MOV[VALOR LÍQUIDO],LANÇ_MOV[RECEITA OU DESPESA],"Despesa",LANÇ_MOV[CONTAS],$C1041,LANÇ_MOV[PLANO DE CONTAS],REL_DRE_FINANCEIRO!$B$957,LANÇ_MOV[ANO PAGAMENTO],$B$4,LANÇ_MOV[MÊS PAGAMENTO CORRESPONDENTE],H$6,LANÇ_MOV[EMPRESA],$C$4,LANÇ_MOV[CENTRO DE CUSTOS],$D$4)</f>
        <v>0</v>
      </c>
      <c r="I1041" s="206">
        <f>SUMIFS(LANÇ_MOV[VALOR LÍQUIDO],LANÇ_MOV[RECEITA OU DESPESA],"Despesa",LANÇ_MOV[CONTAS],$C1041,LANÇ_MOV[PLANO DE CONTAS],REL_DRE_FINANCEIRO!$B$957,LANÇ_MOV[ANO PAGAMENTO],$B$4,LANÇ_MOV[MÊS PAGAMENTO CORRESPONDENTE],I$6,LANÇ_MOV[EMPRESA],$C$4,LANÇ_MOV[CENTRO DE CUSTOS],$D$4)</f>
        <v>0</v>
      </c>
      <c r="J1041" s="206">
        <f>SUMIFS(LANÇ_MOV[VALOR LÍQUIDO],LANÇ_MOV[RECEITA OU DESPESA],"Despesa",LANÇ_MOV[CONTAS],$C1041,LANÇ_MOV[PLANO DE CONTAS],REL_DRE_FINANCEIRO!$B$957,LANÇ_MOV[ANO PAGAMENTO],$B$4,LANÇ_MOV[MÊS PAGAMENTO CORRESPONDENTE],J$6,LANÇ_MOV[EMPRESA],$C$4,LANÇ_MOV[CENTRO DE CUSTOS],$D$4)</f>
        <v>0</v>
      </c>
      <c r="K1041" s="206">
        <f>SUMIFS(LANÇ_MOV[VALOR LÍQUIDO],LANÇ_MOV[RECEITA OU DESPESA],"Despesa",LANÇ_MOV[CONTAS],$C1041,LANÇ_MOV[PLANO DE CONTAS],REL_DRE_FINANCEIRO!$B$957,LANÇ_MOV[ANO PAGAMENTO],$B$4,LANÇ_MOV[MÊS PAGAMENTO CORRESPONDENTE],K$6,LANÇ_MOV[EMPRESA],$C$4,LANÇ_MOV[CENTRO DE CUSTOS],$D$4)</f>
        <v>0</v>
      </c>
      <c r="L1041" s="206">
        <f>SUMIFS(LANÇ_MOV[VALOR LÍQUIDO],LANÇ_MOV[RECEITA OU DESPESA],"Despesa",LANÇ_MOV[CONTAS],$C1041,LANÇ_MOV[PLANO DE CONTAS],REL_DRE_FINANCEIRO!$B$957,LANÇ_MOV[ANO PAGAMENTO],$B$4,LANÇ_MOV[MÊS PAGAMENTO CORRESPONDENTE],L$6,LANÇ_MOV[EMPRESA],$C$4,LANÇ_MOV[CENTRO DE CUSTOS],$D$4)</f>
        <v>0</v>
      </c>
      <c r="M1041" s="206">
        <f>SUMIFS(LANÇ_MOV[VALOR LÍQUIDO],LANÇ_MOV[RECEITA OU DESPESA],"Despesa",LANÇ_MOV[CONTAS],$C1041,LANÇ_MOV[PLANO DE CONTAS],REL_DRE_FINANCEIRO!$B$957,LANÇ_MOV[ANO PAGAMENTO],$B$4,LANÇ_MOV[MÊS PAGAMENTO CORRESPONDENTE],M$6,LANÇ_MOV[EMPRESA],$C$4,LANÇ_MOV[CENTRO DE CUSTOS],$D$4)</f>
        <v>0</v>
      </c>
      <c r="N1041" s="206">
        <f>SUMIFS(LANÇ_MOV[VALOR LÍQUIDO],LANÇ_MOV[RECEITA OU DESPESA],"Despesa",LANÇ_MOV[CONTAS],$C1041,LANÇ_MOV[PLANO DE CONTAS],REL_DRE_FINANCEIRO!$B$957,LANÇ_MOV[ANO PAGAMENTO],$B$4,LANÇ_MOV[MÊS PAGAMENTO CORRESPONDENTE],N$6,LANÇ_MOV[EMPRESA],$C$4,LANÇ_MOV[CENTRO DE CUSTOS],$D$4)</f>
        <v>0</v>
      </c>
      <c r="O1041" s="206">
        <f>SUMIFS(LANÇ_MOV[VALOR LÍQUIDO],LANÇ_MOV[RECEITA OU DESPESA],"Despesa",LANÇ_MOV[CONTAS],$C1041,LANÇ_MOV[PLANO DE CONTAS],REL_DRE_FINANCEIRO!$B$957,LANÇ_MOV[ANO PAGAMENTO],$B$4,LANÇ_MOV[MÊS PAGAMENTO CORRESPONDENTE],O$6,LANÇ_MOV[EMPRESA],$C$4,LANÇ_MOV[CENTRO DE CUSTOS],$D$4)</f>
        <v>0</v>
      </c>
      <c r="P1041" s="207">
        <f t="shared" si="127"/>
        <v>0</v>
      </c>
      <c r="Q1041" s="329">
        <v>1.7E-6</v>
      </c>
      <c r="R1041" s="346">
        <f t="shared" si="128"/>
        <v>1.7E-6</v>
      </c>
      <c r="S1041" s="347" t="str">
        <f t="shared" si="129"/>
        <v>-</v>
      </c>
      <c r="T1041" s="347">
        <f t="shared" si="130"/>
        <v>0</v>
      </c>
      <c r="U1041" s="347">
        <f>HLOOKUP(Apoio!$P$12,$D$956:$P$1057,X1041,FALSE)+Q1041</f>
        <v>1.7E-6</v>
      </c>
      <c r="V1041" s="447" t="str">
        <f t="shared" si="131"/>
        <v>-</v>
      </c>
      <c r="W1041" s="448">
        <f>HLOOKUP(Apoio!$P$12,$D$956:$P$1057,X1041,FALSE)</f>
        <v>0</v>
      </c>
      <c r="X1041" s="329">
        <v>86</v>
      </c>
    </row>
    <row r="1042" spans="2:24" ht="30.05" customHeight="1" x14ac:dyDescent="0.35">
      <c r="B1042" s="204" t="str">
        <f>'CAD_PL_REC-DESP'!AF89</f>
        <v>2.8.85</v>
      </c>
      <c r="C1042" s="205" t="str">
        <f>IF('CAD_PL_REC-DESP'!AG89="","-",'CAD_PL_REC-DESP'!AG89)</f>
        <v>-</v>
      </c>
      <c r="D1042" s="206">
        <f>SUMIFS(LANÇ_MOV[VALOR LÍQUIDO],LANÇ_MOV[RECEITA OU DESPESA],"Despesa",LANÇ_MOV[CONTAS],$C1042,LANÇ_MOV[PLANO DE CONTAS],REL_DRE_FINANCEIRO!$B$957,LANÇ_MOV[ANO PAGAMENTO],$B$4,LANÇ_MOV[MÊS PAGAMENTO CORRESPONDENTE],D$6,LANÇ_MOV[EMPRESA],$C$4,LANÇ_MOV[CENTRO DE CUSTOS],$D$4)</f>
        <v>0</v>
      </c>
      <c r="E1042" s="206">
        <f>SUMIFS(LANÇ_MOV[VALOR LÍQUIDO],LANÇ_MOV[RECEITA OU DESPESA],"Despesa",LANÇ_MOV[CONTAS],$C1042,LANÇ_MOV[PLANO DE CONTAS],REL_DRE_FINANCEIRO!$B$957,LANÇ_MOV[ANO PAGAMENTO],$B$4,LANÇ_MOV[MÊS PAGAMENTO CORRESPONDENTE],E$6,LANÇ_MOV[EMPRESA],$C$4,LANÇ_MOV[CENTRO DE CUSTOS],$D$4)</f>
        <v>0</v>
      </c>
      <c r="F1042" s="206">
        <f>SUMIFS(LANÇ_MOV[VALOR LÍQUIDO],LANÇ_MOV[RECEITA OU DESPESA],"Despesa",LANÇ_MOV[CONTAS],$C1042,LANÇ_MOV[PLANO DE CONTAS],REL_DRE_FINANCEIRO!$B$957,LANÇ_MOV[ANO PAGAMENTO],$B$4,LANÇ_MOV[MÊS PAGAMENTO CORRESPONDENTE],F$6,LANÇ_MOV[EMPRESA],$C$4,LANÇ_MOV[CENTRO DE CUSTOS],$D$4)</f>
        <v>0</v>
      </c>
      <c r="G1042" s="206">
        <f>SUMIFS(LANÇ_MOV[VALOR LÍQUIDO],LANÇ_MOV[RECEITA OU DESPESA],"Despesa",LANÇ_MOV[CONTAS],$C1042,LANÇ_MOV[PLANO DE CONTAS],REL_DRE_FINANCEIRO!$B$957,LANÇ_MOV[ANO PAGAMENTO],$B$4,LANÇ_MOV[MÊS PAGAMENTO CORRESPONDENTE],G$6,LANÇ_MOV[EMPRESA],$C$4,LANÇ_MOV[CENTRO DE CUSTOS],$D$4)</f>
        <v>0</v>
      </c>
      <c r="H1042" s="206">
        <f>SUMIFS(LANÇ_MOV[VALOR LÍQUIDO],LANÇ_MOV[RECEITA OU DESPESA],"Despesa",LANÇ_MOV[CONTAS],$C1042,LANÇ_MOV[PLANO DE CONTAS],REL_DRE_FINANCEIRO!$B$957,LANÇ_MOV[ANO PAGAMENTO],$B$4,LANÇ_MOV[MÊS PAGAMENTO CORRESPONDENTE],H$6,LANÇ_MOV[EMPRESA],$C$4,LANÇ_MOV[CENTRO DE CUSTOS],$D$4)</f>
        <v>0</v>
      </c>
      <c r="I1042" s="206">
        <f>SUMIFS(LANÇ_MOV[VALOR LÍQUIDO],LANÇ_MOV[RECEITA OU DESPESA],"Despesa",LANÇ_MOV[CONTAS],$C1042,LANÇ_MOV[PLANO DE CONTAS],REL_DRE_FINANCEIRO!$B$957,LANÇ_MOV[ANO PAGAMENTO],$B$4,LANÇ_MOV[MÊS PAGAMENTO CORRESPONDENTE],I$6,LANÇ_MOV[EMPRESA],$C$4,LANÇ_MOV[CENTRO DE CUSTOS],$D$4)</f>
        <v>0</v>
      </c>
      <c r="J1042" s="206">
        <f>SUMIFS(LANÇ_MOV[VALOR LÍQUIDO],LANÇ_MOV[RECEITA OU DESPESA],"Despesa",LANÇ_MOV[CONTAS],$C1042,LANÇ_MOV[PLANO DE CONTAS],REL_DRE_FINANCEIRO!$B$957,LANÇ_MOV[ANO PAGAMENTO],$B$4,LANÇ_MOV[MÊS PAGAMENTO CORRESPONDENTE],J$6,LANÇ_MOV[EMPRESA],$C$4,LANÇ_MOV[CENTRO DE CUSTOS],$D$4)</f>
        <v>0</v>
      </c>
      <c r="K1042" s="206">
        <f>SUMIFS(LANÇ_MOV[VALOR LÍQUIDO],LANÇ_MOV[RECEITA OU DESPESA],"Despesa",LANÇ_MOV[CONTAS],$C1042,LANÇ_MOV[PLANO DE CONTAS],REL_DRE_FINANCEIRO!$B$957,LANÇ_MOV[ANO PAGAMENTO],$B$4,LANÇ_MOV[MÊS PAGAMENTO CORRESPONDENTE],K$6,LANÇ_MOV[EMPRESA],$C$4,LANÇ_MOV[CENTRO DE CUSTOS],$D$4)</f>
        <v>0</v>
      </c>
      <c r="L1042" s="206">
        <f>SUMIFS(LANÇ_MOV[VALOR LÍQUIDO],LANÇ_MOV[RECEITA OU DESPESA],"Despesa",LANÇ_MOV[CONTAS],$C1042,LANÇ_MOV[PLANO DE CONTAS],REL_DRE_FINANCEIRO!$B$957,LANÇ_MOV[ANO PAGAMENTO],$B$4,LANÇ_MOV[MÊS PAGAMENTO CORRESPONDENTE],L$6,LANÇ_MOV[EMPRESA],$C$4,LANÇ_MOV[CENTRO DE CUSTOS],$D$4)</f>
        <v>0</v>
      </c>
      <c r="M1042" s="206">
        <f>SUMIFS(LANÇ_MOV[VALOR LÍQUIDO],LANÇ_MOV[RECEITA OU DESPESA],"Despesa",LANÇ_MOV[CONTAS],$C1042,LANÇ_MOV[PLANO DE CONTAS],REL_DRE_FINANCEIRO!$B$957,LANÇ_MOV[ANO PAGAMENTO],$B$4,LANÇ_MOV[MÊS PAGAMENTO CORRESPONDENTE],M$6,LANÇ_MOV[EMPRESA],$C$4,LANÇ_MOV[CENTRO DE CUSTOS],$D$4)</f>
        <v>0</v>
      </c>
      <c r="N1042" s="206">
        <f>SUMIFS(LANÇ_MOV[VALOR LÍQUIDO],LANÇ_MOV[RECEITA OU DESPESA],"Despesa",LANÇ_MOV[CONTAS],$C1042,LANÇ_MOV[PLANO DE CONTAS],REL_DRE_FINANCEIRO!$B$957,LANÇ_MOV[ANO PAGAMENTO],$B$4,LANÇ_MOV[MÊS PAGAMENTO CORRESPONDENTE],N$6,LANÇ_MOV[EMPRESA],$C$4,LANÇ_MOV[CENTRO DE CUSTOS],$D$4)</f>
        <v>0</v>
      </c>
      <c r="O1042" s="206">
        <f>SUMIFS(LANÇ_MOV[VALOR LÍQUIDO],LANÇ_MOV[RECEITA OU DESPESA],"Despesa",LANÇ_MOV[CONTAS],$C1042,LANÇ_MOV[PLANO DE CONTAS],REL_DRE_FINANCEIRO!$B$957,LANÇ_MOV[ANO PAGAMENTO],$B$4,LANÇ_MOV[MÊS PAGAMENTO CORRESPONDENTE],O$6,LANÇ_MOV[EMPRESA],$C$4,LANÇ_MOV[CENTRO DE CUSTOS],$D$4)</f>
        <v>0</v>
      </c>
      <c r="P1042" s="207">
        <f t="shared" si="127"/>
        <v>0</v>
      </c>
      <c r="Q1042" s="329">
        <v>1.5999999999999999E-6</v>
      </c>
      <c r="R1042" s="346">
        <f t="shared" si="128"/>
        <v>1.5999999999999999E-6</v>
      </c>
      <c r="S1042" s="347" t="str">
        <f t="shared" si="129"/>
        <v>-</v>
      </c>
      <c r="T1042" s="347">
        <f t="shared" si="130"/>
        <v>0</v>
      </c>
      <c r="U1042" s="347">
        <f>HLOOKUP(Apoio!$P$12,$D$956:$P$1057,X1042,FALSE)+Q1042</f>
        <v>1.5999999999999999E-6</v>
      </c>
      <c r="V1042" s="447" t="str">
        <f t="shared" si="131"/>
        <v>-</v>
      </c>
      <c r="W1042" s="448">
        <f>HLOOKUP(Apoio!$P$12,$D$956:$P$1057,X1042,FALSE)</f>
        <v>0</v>
      </c>
      <c r="X1042" s="329">
        <v>87</v>
      </c>
    </row>
    <row r="1043" spans="2:24" ht="30.05" customHeight="1" x14ac:dyDescent="0.35">
      <c r="B1043" s="204" t="str">
        <f>'CAD_PL_REC-DESP'!AF90</f>
        <v>2.8.86</v>
      </c>
      <c r="C1043" s="205" t="str">
        <f>IF('CAD_PL_REC-DESP'!AG90="","-",'CAD_PL_REC-DESP'!AG90)</f>
        <v>-</v>
      </c>
      <c r="D1043" s="206">
        <f>SUMIFS(LANÇ_MOV[VALOR LÍQUIDO],LANÇ_MOV[RECEITA OU DESPESA],"Despesa",LANÇ_MOV[CONTAS],$C1043,LANÇ_MOV[PLANO DE CONTAS],REL_DRE_FINANCEIRO!$B$957,LANÇ_MOV[ANO PAGAMENTO],$B$4,LANÇ_MOV[MÊS PAGAMENTO CORRESPONDENTE],D$6,LANÇ_MOV[EMPRESA],$C$4,LANÇ_MOV[CENTRO DE CUSTOS],$D$4)</f>
        <v>0</v>
      </c>
      <c r="E1043" s="206">
        <f>SUMIFS(LANÇ_MOV[VALOR LÍQUIDO],LANÇ_MOV[RECEITA OU DESPESA],"Despesa",LANÇ_MOV[CONTAS],$C1043,LANÇ_MOV[PLANO DE CONTAS],REL_DRE_FINANCEIRO!$B$957,LANÇ_MOV[ANO PAGAMENTO],$B$4,LANÇ_MOV[MÊS PAGAMENTO CORRESPONDENTE],E$6,LANÇ_MOV[EMPRESA],$C$4,LANÇ_MOV[CENTRO DE CUSTOS],$D$4)</f>
        <v>0</v>
      </c>
      <c r="F1043" s="206">
        <f>SUMIFS(LANÇ_MOV[VALOR LÍQUIDO],LANÇ_MOV[RECEITA OU DESPESA],"Despesa",LANÇ_MOV[CONTAS],$C1043,LANÇ_MOV[PLANO DE CONTAS],REL_DRE_FINANCEIRO!$B$957,LANÇ_MOV[ANO PAGAMENTO],$B$4,LANÇ_MOV[MÊS PAGAMENTO CORRESPONDENTE],F$6,LANÇ_MOV[EMPRESA],$C$4,LANÇ_MOV[CENTRO DE CUSTOS],$D$4)</f>
        <v>0</v>
      </c>
      <c r="G1043" s="206">
        <f>SUMIFS(LANÇ_MOV[VALOR LÍQUIDO],LANÇ_MOV[RECEITA OU DESPESA],"Despesa",LANÇ_MOV[CONTAS],$C1043,LANÇ_MOV[PLANO DE CONTAS],REL_DRE_FINANCEIRO!$B$957,LANÇ_MOV[ANO PAGAMENTO],$B$4,LANÇ_MOV[MÊS PAGAMENTO CORRESPONDENTE],G$6,LANÇ_MOV[EMPRESA],$C$4,LANÇ_MOV[CENTRO DE CUSTOS],$D$4)</f>
        <v>0</v>
      </c>
      <c r="H1043" s="206">
        <f>SUMIFS(LANÇ_MOV[VALOR LÍQUIDO],LANÇ_MOV[RECEITA OU DESPESA],"Despesa",LANÇ_MOV[CONTAS],$C1043,LANÇ_MOV[PLANO DE CONTAS],REL_DRE_FINANCEIRO!$B$957,LANÇ_MOV[ANO PAGAMENTO],$B$4,LANÇ_MOV[MÊS PAGAMENTO CORRESPONDENTE],H$6,LANÇ_MOV[EMPRESA],$C$4,LANÇ_MOV[CENTRO DE CUSTOS],$D$4)</f>
        <v>0</v>
      </c>
      <c r="I1043" s="206">
        <f>SUMIFS(LANÇ_MOV[VALOR LÍQUIDO],LANÇ_MOV[RECEITA OU DESPESA],"Despesa",LANÇ_MOV[CONTAS],$C1043,LANÇ_MOV[PLANO DE CONTAS],REL_DRE_FINANCEIRO!$B$957,LANÇ_MOV[ANO PAGAMENTO],$B$4,LANÇ_MOV[MÊS PAGAMENTO CORRESPONDENTE],I$6,LANÇ_MOV[EMPRESA],$C$4,LANÇ_MOV[CENTRO DE CUSTOS],$D$4)</f>
        <v>0</v>
      </c>
      <c r="J1043" s="206">
        <f>SUMIFS(LANÇ_MOV[VALOR LÍQUIDO],LANÇ_MOV[RECEITA OU DESPESA],"Despesa",LANÇ_MOV[CONTAS],$C1043,LANÇ_MOV[PLANO DE CONTAS],REL_DRE_FINANCEIRO!$B$957,LANÇ_MOV[ANO PAGAMENTO],$B$4,LANÇ_MOV[MÊS PAGAMENTO CORRESPONDENTE],J$6,LANÇ_MOV[EMPRESA],$C$4,LANÇ_MOV[CENTRO DE CUSTOS],$D$4)</f>
        <v>0</v>
      </c>
      <c r="K1043" s="206">
        <f>SUMIFS(LANÇ_MOV[VALOR LÍQUIDO],LANÇ_MOV[RECEITA OU DESPESA],"Despesa",LANÇ_MOV[CONTAS],$C1043,LANÇ_MOV[PLANO DE CONTAS],REL_DRE_FINANCEIRO!$B$957,LANÇ_MOV[ANO PAGAMENTO],$B$4,LANÇ_MOV[MÊS PAGAMENTO CORRESPONDENTE],K$6,LANÇ_MOV[EMPRESA],$C$4,LANÇ_MOV[CENTRO DE CUSTOS],$D$4)</f>
        <v>0</v>
      </c>
      <c r="L1043" s="206">
        <f>SUMIFS(LANÇ_MOV[VALOR LÍQUIDO],LANÇ_MOV[RECEITA OU DESPESA],"Despesa",LANÇ_MOV[CONTAS],$C1043,LANÇ_MOV[PLANO DE CONTAS],REL_DRE_FINANCEIRO!$B$957,LANÇ_MOV[ANO PAGAMENTO],$B$4,LANÇ_MOV[MÊS PAGAMENTO CORRESPONDENTE],L$6,LANÇ_MOV[EMPRESA],$C$4,LANÇ_MOV[CENTRO DE CUSTOS],$D$4)</f>
        <v>0</v>
      </c>
      <c r="M1043" s="206">
        <f>SUMIFS(LANÇ_MOV[VALOR LÍQUIDO],LANÇ_MOV[RECEITA OU DESPESA],"Despesa",LANÇ_MOV[CONTAS],$C1043,LANÇ_MOV[PLANO DE CONTAS],REL_DRE_FINANCEIRO!$B$957,LANÇ_MOV[ANO PAGAMENTO],$B$4,LANÇ_MOV[MÊS PAGAMENTO CORRESPONDENTE],M$6,LANÇ_MOV[EMPRESA],$C$4,LANÇ_MOV[CENTRO DE CUSTOS],$D$4)</f>
        <v>0</v>
      </c>
      <c r="N1043" s="206">
        <f>SUMIFS(LANÇ_MOV[VALOR LÍQUIDO],LANÇ_MOV[RECEITA OU DESPESA],"Despesa",LANÇ_MOV[CONTAS],$C1043,LANÇ_MOV[PLANO DE CONTAS],REL_DRE_FINANCEIRO!$B$957,LANÇ_MOV[ANO PAGAMENTO],$B$4,LANÇ_MOV[MÊS PAGAMENTO CORRESPONDENTE],N$6,LANÇ_MOV[EMPRESA],$C$4,LANÇ_MOV[CENTRO DE CUSTOS],$D$4)</f>
        <v>0</v>
      </c>
      <c r="O1043" s="206">
        <f>SUMIFS(LANÇ_MOV[VALOR LÍQUIDO],LANÇ_MOV[RECEITA OU DESPESA],"Despesa",LANÇ_MOV[CONTAS],$C1043,LANÇ_MOV[PLANO DE CONTAS],REL_DRE_FINANCEIRO!$B$957,LANÇ_MOV[ANO PAGAMENTO],$B$4,LANÇ_MOV[MÊS PAGAMENTO CORRESPONDENTE],O$6,LANÇ_MOV[EMPRESA],$C$4,LANÇ_MOV[CENTRO DE CUSTOS],$D$4)</f>
        <v>0</v>
      </c>
      <c r="P1043" s="207">
        <f t="shared" si="127"/>
        <v>0</v>
      </c>
      <c r="Q1043" s="329">
        <v>1.5E-6</v>
      </c>
      <c r="R1043" s="346">
        <f t="shared" si="128"/>
        <v>1.5E-6</v>
      </c>
      <c r="S1043" s="347" t="str">
        <f t="shared" si="129"/>
        <v>-</v>
      </c>
      <c r="T1043" s="347">
        <f t="shared" si="130"/>
        <v>0</v>
      </c>
      <c r="U1043" s="347">
        <f>HLOOKUP(Apoio!$P$12,$D$956:$P$1057,X1043,FALSE)+Q1043</f>
        <v>1.5E-6</v>
      </c>
      <c r="V1043" s="447" t="str">
        <f t="shared" si="131"/>
        <v>-</v>
      </c>
      <c r="W1043" s="448">
        <f>HLOOKUP(Apoio!$P$12,$D$956:$P$1057,X1043,FALSE)</f>
        <v>0</v>
      </c>
      <c r="X1043" s="329">
        <v>88</v>
      </c>
    </row>
    <row r="1044" spans="2:24" ht="30.05" customHeight="1" x14ac:dyDescent="0.35">
      <c r="B1044" s="204" t="str">
        <f>'CAD_PL_REC-DESP'!AF91</f>
        <v>2.8.87</v>
      </c>
      <c r="C1044" s="205" t="str">
        <f>IF('CAD_PL_REC-DESP'!AG91="","-",'CAD_PL_REC-DESP'!AG91)</f>
        <v>-</v>
      </c>
      <c r="D1044" s="206">
        <f>SUMIFS(LANÇ_MOV[VALOR LÍQUIDO],LANÇ_MOV[RECEITA OU DESPESA],"Despesa",LANÇ_MOV[CONTAS],$C1044,LANÇ_MOV[PLANO DE CONTAS],REL_DRE_FINANCEIRO!$B$957,LANÇ_MOV[ANO PAGAMENTO],$B$4,LANÇ_MOV[MÊS PAGAMENTO CORRESPONDENTE],D$6,LANÇ_MOV[EMPRESA],$C$4,LANÇ_MOV[CENTRO DE CUSTOS],$D$4)</f>
        <v>0</v>
      </c>
      <c r="E1044" s="206">
        <f>SUMIFS(LANÇ_MOV[VALOR LÍQUIDO],LANÇ_MOV[RECEITA OU DESPESA],"Despesa",LANÇ_MOV[CONTAS],$C1044,LANÇ_MOV[PLANO DE CONTAS],REL_DRE_FINANCEIRO!$B$957,LANÇ_MOV[ANO PAGAMENTO],$B$4,LANÇ_MOV[MÊS PAGAMENTO CORRESPONDENTE],E$6,LANÇ_MOV[EMPRESA],$C$4,LANÇ_MOV[CENTRO DE CUSTOS],$D$4)</f>
        <v>0</v>
      </c>
      <c r="F1044" s="206">
        <f>SUMIFS(LANÇ_MOV[VALOR LÍQUIDO],LANÇ_MOV[RECEITA OU DESPESA],"Despesa",LANÇ_MOV[CONTAS],$C1044,LANÇ_MOV[PLANO DE CONTAS],REL_DRE_FINANCEIRO!$B$957,LANÇ_MOV[ANO PAGAMENTO],$B$4,LANÇ_MOV[MÊS PAGAMENTO CORRESPONDENTE],F$6,LANÇ_MOV[EMPRESA],$C$4,LANÇ_MOV[CENTRO DE CUSTOS],$D$4)</f>
        <v>0</v>
      </c>
      <c r="G1044" s="206">
        <f>SUMIFS(LANÇ_MOV[VALOR LÍQUIDO],LANÇ_MOV[RECEITA OU DESPESA],"Despesa",LANÇ_MOV[CONTAS],$C1044,LANÇ_MOV[PLANO DE CONTAS],REL_DRE_FINANCEIRO!$B$957,LANÇ_MOV[ANO PAGAMENTO],$B$4,LANÇ_MOV[MÊS PAGAMENTO CORRESPONDENTE],G$6,LANÇ_MOV[EMPRESA],$C$4,LANÇ_MOV[CENTRO DE CUSTOS],$D$4)</f>
        <v>0</v>
      </c>
      <c r="H1044" s="206">
        <f>SUMIFS(LANÇ_MOV[VALOR LÍQUIDO],LANÇ_MOV[RECEITA OU DESPESA],"Despesa",LANÇ_MOV[CONTAS],$C1044,LANÇ_MOV[PLANO DE CONTAS],REL_DRE_FINANCEIRO!$B$957,LANÇ_MOV[ANO PAGAMENTO],$B$4,LANÇ_MOV[MÊS PAGAMENTO CORRESPONDENTE],H$6,LANÇ_MOV[EMPRESA],$C$4,LANÇ_MOV[CENTRO DE CUSTOS],$D$4)</f>
        <v>0</v>
      </c>
      <c r="I1044" s="206">
        <f>SUMIFS(LANÇ_MOV[VALOR LÍQUIDO],LANÇ_MOV[RECEITA OU DESPESA],"Despesa",LANÇ_MOV[CONTAS],$C1044,LANÇ_MOV[PLANO DE CONTAS],REL_DRE_FINANCEIRO!$B$957,LANÇ_MOV[ANO PAGAMENTO],$B$4,LANÇ_MOV[MÊS PAGAMENTO CORRESPONDENTE],I$6,LANÇ_MOV[EMPRESA],$C$4,LANÇ_MOV[CENTRO DE CUSTOS],$D$4)</f>
        <v>0</v>
      </c>
      <c r="J1044" s="206">
        <f>SUMIFS(LANÇ_MOV[VALOR LÍQUIDO],LANÇ_MOV[RECEITA OU DESPESA],"Despesa",LANÇ_MOV[CONTAS],$C1044,LANÇ_MOV[PLANO DE CONTAS],REL_DRE_FINANCEIRO!$B$957,LANÇ_MOV[ANO PAGAMENTO],$B$4,LANÇ_MOV[MÊS PAGAMENTO CORRESPONDENTE],J$6,LANÇ_MOV[EMPRESA],$C$4,LANÇ_MOV[CENTRO DE CUSTOS],$D$4)</f>
        <v>0</v>
      </c>
      <c r="K1044" s="206">
        <f>SUMIFS(LANÇ_MOV[VALOR LÍQUIDO],LANÇ_MOV[RECEITA OU DESPESA],"Despesa",LANÇ_MOV[CONTAS],$C1044,LANÇ_MOV[PLANO DE CONTAS],REL_DRE_FINANCEIRO!$B$957,LANÇ_MOV[ANO PAGAMENTO],$B$4,LANÇ_MOV[MÊS PAGAMENTO CORRESPONDENTE],K$6,LANÇ_MOV[EMPRESA],$C$4,LANÇ_MOV[CENTRO DE CUSTOS],$D$4)</f>
        <v>0</v>
      </c>
      <c r="L1044" s="206">
        <f>SUMIFS(LANÇ_MOV[VALOR LÍQUIDO],LANÇ_MOV[RECEITA OU DESPESA],"Despesa",LANÇ_MOV[CONTAS],$C1044,LANÇ_MOV[PLANO DE CONTAS],REL_DRE_FINANCEIRO!$B$957,LANÇ_MOV[ANO PAGAMENTO],$B$4,LANÇ_MOV[MÊS PAGAMENTO CORRESPONDENTE],L$6,LANÇ_MOV[EMPRESA],$C$4,LANÇ_MOV[CENTRO DE CUSTOS],$D$4)</f>
        <v>0</v>
      </c>
      <c r="M1044" s="206">
        <f>SUMIFS(LANÇ_MOV[VALOR LÍQUIDO],LANÇ_MOV[RECEITA OU DESPESA],"Despesa",LANÇ_MOV[CONTAS],$C1044,LANÇ_MOV[PLANO DE CONTAS],REL_DRE_FINANCEIRO!$B$957,LANÇ_MOV[ANO PAGAMENTO],$B$4,LANÇ_MOV[MÊS PAGAMENTO CORRESPONDENTE],M$6,LANÇ_MOV[EMPRESA],$C$4,LANÇ_MOV[CENTRO DE CUSTOS],$D$4)</f>
        <v>0</v>
      </c>
      <c r="N1044" s="206">
        <f>SUMIFS(LANÇ_MOV[VALOR LÍQUIDO],LANÇ_MOV[RECEITA OU DESPESA],"Despesa",LANÇ_MOV[CONTAS],$C1044,LANÇ_MOV[PLANO DE CONTAS],REL_DRE_FINANCEIRO!$B$957,LANÇ_MOV[ANO PAGAMENTO],$B$4,LANÇ_MOV[MÊS PAGAMENTO CORRESPONDENTE],N$6,LANÇ_MOV[EMPRESA],$C$4,LANÇ_MOV[CENTRO DE CUSTOS],$D$4)</f>
        <v>0</v>
      </c>
      <c r="O1044" s="206">
        <f>SUMIFS(LANÇ_MOV[VALOR LÍQUIDO],LANÇ_MOV[RECEITA OU DESPESA],"Despesa",LANÇ_MOV[CONTAS],$C1044,LANÇ_MOV[PLANO DE CONTAS],REL_DRE_FINANCEIRO!$B$957,LANÇ_MOV[ANO PAGAMENTO],$B$4,LANÇ_MOV[MÊS PAGAMENTO CORRESPONDENTE],O$6,LANÇ_MOV[EMPRESA],$C$4,LANÇ_MOV[CENTRO DE CUSTOS],$D$4)</f>
        <v>0</v>
      </c>
      <c r="P1044" s="207">
        <f t="shared" si="127"/>
        <v>0</v>
      </c>
      <c r="Q1044" s="329">
        <v>1.3999999999999999E-6</v>
      </c>
      <c r="R1044" s="346">
        <f t="shared" si="128"/>
        <v>1.3999999999999999E-6</v>
      </c>
      <c r="S1044" s="347" t="str">
        <f t="shared" si="129"/>
        <v>-</v>
      </c>
      <c r="T1044" s="347">
        <f t="shared" si="130"/>
        <v>0</v>
      </c>
      <c r="U1044" s="347">
        <f>HLOOKUP(Apoio!$P$12,$D$956:$P$1057,X1044,FALSE)+Q1044</f>
        <v>1.3999999999999999E-6</v>
      </c>
      <c r="V1044" s="447" t="str">
        <f t="shared" si="131"/>
        <v>-</v>
      </c>
      <c r="W1044" s="448">
        <f>HLOOKUP(Apoio!$P$12,$D$956:$P$1057,X1044,FALSE)</f>
        <v>0</v>
      </c>
      <c r="X1044" s="329">
        <v>89</v>
      </c>
    </row>
    <row r="1045" spans="2:24" ht="30.05" customHeight="1" x14ac:dyDescent="0.35">
      <c r="B1045" s="204" t="str">
        <f>'CAD_PL_REC-DESP'!AF92</f>
        <v>2.8.88</v>
      </c>
      <c r="C1045" s="205" t="str">
        <f>IF('CAD_PL_REC-DESP'!AG92="","-",'CAD_PL_REC-DESP'!AG92)</f>
        <v>-</v>
      </c>
      <c r="D1045" s="206">
        <f>SUMIFS(LANÇ_MOV[VALOR LÍQUIDO],LANÇ_MOV[RECEITA OU DESPESA],"Despesa",LANÇ_MOV[CONTAS],$C1045,LANÇ_MOV[PLANO DE CONTAS],REL_DRE_FINANCEIRO!$B$957,LANÇ_MOV[ANO PAGAMENTO],$B$4,LANÇ_MOV[MÊS PAGAMENTO CORRESPONDENTE],D$6,LANÇ_MOV[EMPRESA],$C$4,LANÇ_MOV[CENTRO DE CUSTOS],$D$4)</f>
        <v>0</v>
      </c>
      <c r="E1045" s="206">
        <f>SUMIFS(LANÇ_MOV[VALOR LÍQUIDO],LANÇ_MOV[RECEITA OU DESPESA],"Despesa",LANÇ_MOV[CONTAS],$C1045,LANÇ_MOV[PLANO DE CONTAS],REL_DRE_FINANCEIRO!$B$957,LANÇ_MOV[ANO PAGAMENTO],$B$4,LANÇ_MOV[MÊS PAGAMENTO CORRESPONDENTE],E$6,LANÇ_MOV[EMPRESA],$C$4,LANÇ_MOV[CENTRO DE CUSTOS],$D$4)</f>
        <v>0</v>
      </c>
      <c r="F1045" s="206">
        <f>SUMIFS(LANÇ_MOV[VALOR LÍQUIDO],LANÇ_MOV[RECEITA OU DESPESA],"Despesa",LANÇ_MOV[CONTAS],$C1045,LANÇ_MOV[PLANO DE CONTAS],REL_DRE_FINANCEIRO!$B$957,LANÇ_MOV[ANO PAGAMENTO],$B$4,LANÇ_MOV[MÊS PAGAMENTO CORRESPONDENTE],F$6,LANÇ_MOV[EMPRESA],$C$4,LANÇ_MOV[CENTRO DE CUSTOS],$D$4)</f>
        <v>0</v>
      </c>
      <c r="G1045" s="206">
        <f>SUMIFS(LANÇ_MOV[VALOR LÍQUIDO],LANÇ_MOV[RECEITA OU DESPESA],"Despesa",LANÇ_MOV[CONTAS],$C1045,LANÇ_MOV[PLANO DE CONTAS],REL_DRE_FINANCEIRO!$B$957,LANÇ_MOV[ANO PAGAMENTO],$B$4,LANÇ_MOV[MÊS PAGAMENTO CORRESPONDENTE],G$6,LANÇ_MOV[EMPRESA],$C$4,LANÇ_MOV[CENTRO DE CUSTOS],$D$4)</f>
        <v>0</v>
      </c>
      <c r="H1045" s="206">
        <f>SUMIFS(LANÇ_MOV[VALOR LÍQUIDO],LANÇ_MOV[RECEITA OU DESPESA],"Despesa",LANÇ_MOV[CONTAS],$C1045,LANÇ_MOV[PLANO DE CONTAS],REL_DRE_FINANCEIRO!$B$957,LANÇ_MOV[ANO PAGAMENTO],$B$4,LANÇ_MOV[MÊS PAGAMENTO CORRESPONDENTE],H$6,LANÇ_MOV[EMPRESA],$C$4,LANÇ_MOV[CENTRO DE CUSTOS],$D$4)</f>
        <v>0</v>
      </c>
      <c r="I1045" s="206">
        <f>SUMIFS(LANÇ_MOV[VALOR LÍQUIDO],LANÇ_MOV[RECEITA OU DESPESA],"Despesa",LANÇ_MOV[CONTAS],$C1045,LANÇ_MOV[PLANO DE CONTAS],REL_DRE_FINANCEIRO!$B$957,LANÇ_MOV[ANO PAGAMENTO],$B$4,LANÇ_MOV[MÊS PAGAMENTO CORRESPONDENTE],I$6,LANÇ_MOV[EMPRESA],$C$4,LANÇ_MOV[CENTRO DE CUSTOS],$D$4)</f>
        <v>0</v>
      </c>
      <c r="J1045" s="206">
        <f>SUMIFS(LANÇ_MOV[VALOR LÍQUIDO],LANÇ_MOV[RECEITA OU DESPESA],"Despesa",LANÇ_MOV[CONTAS],$C1045,LANÇ_MOV[PLANO DE CONTAS],REL_DRE_FINANCEIRO!$B$957,LANÇ_MOV[ANO PAGAMENTO],$B$4,LANÇ_MOV[MÊS PAGAMENTO CORRESPONDENTE],J$6,LANÇ_MOV[EMPRESA],$C$4,LANÇ_MOV[CENTRO DE CUSTOS],$D$4)</f>
        <v>0</v>
      </c>
      <c r="K1045" s="206">
        <f>SUMIFS(LANÇ_MOV[VALOR LÍQUIDO],LANÇ_MOV[RECEITA OU DESPESA],"Despesa",LANÇ_MOV[CONTAS],$C1045,LANÇ_MOV[PLANO DE CONTAS],REL_DRE_FINANCEIRO!$B$957,LANÇ_MOV[ANO PAGAMENTO],$B$4,LANÇ_MOV[MÊS PAGAMENTO CORRESPONDENTE],K$6,LANÇ_MOV[EMPRESA],$C$4,LANÇ_MOV[CENTRO DE CUSTOS],$D$4)</f>
        <v>0</v>
      </c>
      <c r="L1045" s="206">
        <f>SUMIFS(LANÇ_MOV[VALOR LÍQUIDO],LANÇ_MOV[RECEITA OU DESPESA],"Despesa",LANÇ_MOV[CONTAS],$C1045,LANÇ_MOV[PLANO DE CONTAS],REL_DRE_FINANCEIRO!$B$957,LANÇ_MOV[ANO PAGAMENTO],$B$4,LANÇ_MOV[MÊS PAGAMENTO CORRESPONDENTE],L$6,LANÇ_MOV[EMPRESA],$C$4,LANÇ_MOV[CENTRO DE CUSTOS],$D$4)</f>
        <v>0</v>
      </c>
      <c r="M1045" s="206">
        <f>SUMIFS(LANÇ_MOV[VALOR LÍQUIDO],LANÇ_MOV[RECEITA OU DESPESA],"Despesa",LANÇ_MOV[CONTAS],$C1045,LANÇ_MOV[PLANO DE CONTAS],REL_DRE_FINANCEIRO!$B$957,LANÇ_MOV[ANO PAGAMENTO],$B$4,LANÇ_MOV[MÊS PAGAMENTO CORRESPONDENTE],M$6,LANÇ_MOV[EMPRESA],$C$4,LANÇ_MOV[CENTRO DE CUSTOS],$D$4)</f>
        <v>0</v>
      </c>
      <c r="N1045" s="206">
        <f>SUMIFS(LANÇ_MOV[VALOR LÍQUIDO],LANÇ_MOV[RECEITA OU DESPESA],"Despesa",LANÇ_MOV[CONTAS],$C1045,LANÇ_MOV[PLANO DE CONTAS],REL_DRE_FINANCEIRO!$B$957,LANÇ_MOV[ANO PAGAMENTO],$B$4,LANÇ_MOV[MÊS PAGAMENTO CORRESPONDENTE],N$6,LANÇ_MOV[EMPRESA],$C$4,LANÇ_MOV[CENTRO DE CUSTOS],$D$4)</f>
        <v>0</v>
      </c>
      <c r="O1045" s="206">
        <f>SUMIFS(LANÇ_MOV[VALOR LÍQUIDO],LANÇ_MOV[RECEITA OU DESPESA],"Despesa",LANÇ_MOV[CONTAS],$C1045,LANÇ_MOV[PLANO DE CONTAS],REL_DRE_FINANCEIRO!$B$957,LANÇ_MOV[ANO PAGAMENTO],$B$4,LANÇ_MOV[MÊS PAGAMENTO CORRESPONDENTE],O$6,LANÇ_MOV[EMPRESA],$C$4,LANÇ_MOV[CENTRO DE CUSTOS],$D$4)</f>
        <v>0</v>
      </c>
      <c r="P1045" s="207">
        <f t="shared" si="127"/>
        <v>0</v>
      </c>
      <c r="Q1045" s="329">
        <v>1.3E-6</v>
      </c>
      <c r="R1045" s="346">
        <f t="shared" si="128"/>
        <v>1.3E-6</v>
      </c>
      <c r="S1045" s="347" t="str">
        <f t="shared" si="129"/>
        <v>-</v>
      </c>
      <c r="T1045" s="347">
        <f t="shared" si="130"/>
        <v>0</v>
      </c>
      <c r="U1045" s="347">
        <f>HLOOKUP(Apoio!$P$12,$D$956:$P$1057,X1045,FALSE)+Q1045</f>
        <v>1.3E-6</v>
      </c>
      <c r="V1045" s="447" t="str">
        <f t="shared" si="131"/>
        <v>-</v>
      </c>
      <c r="W1045" s="448">
        <f>HLOOKUP(Apoio!$P$12,$D$956:$P$1057,X1045,FALSE)</f>
        <v>0</v>
      </c>
      <c r="X1045" s="329">
        <v>90</v>
      </c>
    </row>
    <row r="1046" spans="2:24" ht="30.05" customHeight="1" x14ac:dyDescent="0.35">
      <c r="B1046" s="204" t="str">
        <f>'CAD_PL_REC-DESP'!AF93</f>
        <v>2.8.89</v>
      </c>
      <c r="C1046" s="205" t="str">
        <f>IF('CAD_PL_REC-DESP'!AG93="","-",'CAD_PL_REC-DESP'!AG93)</f>
        <v>-</v>
      </c>
      <c r="D1046" s="206">
        <f>SUMIFS(LANÇ_MOV[VALOR LÍQUIDO],LANÇ_MOV[RECEITA OU DESPESA],"Despesa",LANÇ_MOV[CONTAS],$C1046,LANÇ_MOV[PLANO DE CONTAS],REL_DRE_FINANCEIRO!$B$957,LANÇ_MOV[ANO PAGAMENTO],$B$4,LANÇ_MOV[MÊS PAGAMENTO CORRESPONDENTE],D$6,LANÇ_MOV[EMPRESA],$C$4,LANÇ_MOV[CENTRO DE CUSTOS],$D$4)</f>
        <v>0</v>
      </c>
      <c r="E1046" s="206">
        <f>SUMIFS(LANÇ_MOV[VALOR LÍQUIDO],LANÇ_MOV[RECEITA OU DESPESA],"Despesa",LANÇ_MOV[CONTAS],$C1046,LANÇ_MOV[PLANO DE CONTAS],REL_DRE_FINANCEIRO!$B$957,LANÇ_MOV[ANO PAGAMENTO],$B$4,LANÇ_MOV[MÊS PAGAMENTO CORRESPONDENTE],E$6,LANÇ_MOV[EMPRESA],$C$4,LANÇ_MOV[CENTRO DE CUSTOS],$D$4)</f>
        <v>0</v>
      </c>
      <c r="F1046" s="206">
        <f>SUMIFS(LANÇ_MOV[VALOR LÍQUIDO],LANÇ_MOV[RECEITA OU DESPESA],"Despesa",LANÇ_MOV[CONTAS],$C1046,LANÇ_MOV[PLANO DE CONTAS],REL_DRE_FINANCEIRO!$B$957,LANÇ_MOV[ANO PAGAMENTO],$B$4,LANÇ_MOV[MÊS PAGAMENTO CORRESPONDENTE],F$6,LANÇ_MOV[EMPRESA],$C$4,LANÇ_MOV[CENTRO DE CUSTOS],$D$4)</f>
        <v>0</v>
      </c>
      <c r="G1046" s="206">
        <f>SUMIFS(LANÇ_MOV[VALOR LÍQUIDO],LANÇ_MOV[RECEITA OU DESPESA],"Despesa",LANÇ_MOV[CONTAS],$C1046,LANÇ_MOV[PLANO DE CONTAS],REL_DRE_FINANCEIRO!$B$957,LANÇ_MOV[ANO PAGAMENTO],$B$4,LANÇ_MOV[MÊS PAGAMENTO CORRESPONDENTE],G$6,LANÇ_MOV[EMPRESA],$C$4,LANÇ_MOV[CENTRO DE CUSTOS],$D$4)</f>
        <v>0</v>
      </c>
      <c r="H1046" s="206">
        <f>SUMIFS(LANÇ_MOV[VALOR LÍQUIDO],LANÇ_MOV[RECEITA OU DESPESA],"Despesa",LANÇ_MOV[CONTAS],$C1046,LANÇ_MOV[PLANO DE CONTAS],REL_DRE_FINANCEIRO!$B$957,LANÇ_MOV[ANO PAGAMENTO],$B$4,LANÇ_MOV[MÊS PAGAMENTO CORRESPONDENTE],H$6,LANÇ_MOV[EMPRESA],$C$4,LANÇ_MOV[CENTRO DE CUSTOS],$D$4)</f>
        <v>0</v>
      </c>
      <c r="I1046" s="206">
        <f>SUMIFS(LANÇ_MOV[VALOR LÍQUIDO],LANÇ_MOV[RECEITA OU DESPESA],"Despesa",LANÇ_MOV[CONTAS],$C1046,LANÇ_MOV[PLANO DE CONTAS],REL_DRE_FINANCEIRO!$B$957,LANÇ_MOV[ANO PAGAMENTO],$B$4,LANÇ_MOV[MÊS PAGAMENTO CORRESPONDENTE],I$6,LANÇ_MOV[EMPRESA],$C$4,LANÇ_MOV[CENTRO DE CUSTOS],$D$4)</f>
        <v>0</v>
      </c>
      <c r="J1046" s="206">
        <f>SUMIFS(LANÇ_MOV[VALOR LÍQUIDO],LANÇ_MOV[RECEITA OU DESPESA],"Despesa",LANÇ_MOV[CONTAS],$C1046,LANÇ_MOV[PLANO DE CONTAS],REL_DRE_FINANCEIRO!$B$957,LANÇ_MOV[ANO PAGAMENTO],$B$4,LANÇ_MOV[MÊS PAGAMENTO CORRESPONDENTE],J$6,LANÇ_MOV[EMPRESA],$C$4,LANÇ_MOV[CENTRO DE CUSTOS],$D$4)</f>
        <v>0</v>
      </c>
      <c r="K1046" s="206">
        <f>SUMIFS(LANÇ_MOV[VALOR LÍQUIDO],LANÇ_MOV[RECEITA OU DESPESA],"Despesa",LANÇ_MOV[CONTAS],$C1046,LANÇ_MOV[PLANO DE CONTAS],REL_DRE_FINANCEIRO!$B$957,LANÇ_MOV[ANO PAGAMENTO],$B$4,LANÇ_MOV[MÊS PAGAMENTO CORRESPONDENTE],K$6,LANÇ_MOV[EMPRESA],$C$4,LANÇ_MOV[CENTRO DE CUSTOS],$D$4)</f>
        <v>0</v>
      </c>
      <c r="L1046" s="206">
        <f>SUMIFS(LANÇ_MOV[VALOR LÍQUIDO],LANÇ_MOV[RECEITA OU DESPESA],"Despesa",LANÇ_MOV[CONTAS],$C1046,LANÇ_MOV[PLANO DE CONTAS],REL_DRE_FINANCEIRO!$B$957,LANÇ_MOV[ANO PAGAMENTO],$B$4,LANÇ_MOV[MÊS PAGAMENTO CORRESPONDENTE],L$6,LANÇ_MOV[EMPRESA],$C$4,LANÇ_MOV[CENTRO DE CUSTOS],$D$4)</f>
        <v>0</v>
      </c>
      <c r="M1046" s="206">
        <f>SUMIFS(LANÇ_MOV[VALOR LÍQUIDO],LANÇ_MOV[RECEITA OU DESPESA],"Despesa",LANÇ_MOV[CONTAS],$C1046,LANÇ_MOV[PLANO DE CONTAS],REL_DRE_FINANCEIRO!$B$957,LANÇ_MOV[ANO PAGAMENTO],$B$4,LANÇ_MOV[MÊS PAGAMENTO CORRESPONDENTE],M$6,LANÇ_MOV[EMPRESA],$C$4,LANÇ_MOV[CENTRO DE CUSTOS],$D$4)</f>
        <v>0</v>
      </c>
      <c r="N1046" s="206">
        <f>SUMIFS(LANÇ_MOV[VALOR LÍQUIDO],LANÇ_MOV[RECEITA OU DESPESA],"Despesa",LANÇ_MOV[CONTAS],$C1046,LANÇ_MOV[PLANO DE CONTAS],REL_DRE_FINANCEIRO!$B$957,LANÇ_MOV[ANO PAGAMENTO],$B$4,LANÇ_MOV[MÊS PAGAMENTO CORRESPONDENTE],N$6,LANÇ_MOV[EMPRESA],$C$4,LANÇ_MOV[CENTRO DE CUSTOS],$D$4)</f>
        <v>0</v>
      </c>
      <c r="O1046" s="206">
        <f>SUMIFS(LANÇ_MOV[VALOR LÍQUIDO],LANÇ_MOV[RECEITA OU DESPESA],"Despesa",LANÇ_MOV[CONTAS],$C1046,LANÇ_MOV[PLANO DE CONTAS],REL_DRE_FINANCEIRO!$B$957,LANÇ_MOV[ANO PAGAMENTO],$B$4,LANÇ_MOV[MÊS PAGAMENTO CORRESPONDENTE],O$6,LANÇ_MOV[EMPRESA],$C$4,LANÇ_MOV[CENTRO DE CUSTOS],$D$4)</f>
        <v>0</v>
      </c>
      <c r="P1046" s="207">
        <f t="shared" si="127"/>
        <v>0</v>
      </c>
      <c r="Q1046" s="329">
        <v>1.1999999999999999E-6</v>
      </c>
      <c r="R1046" s="346">
        <f t="shared" si="128"/>
        <v>1.1999999999999999E-6</v>
      </c>
      <c r="S1046" s="347" t="str">
        <f t="shared" si="129"/>
        <v>-</v>
      </c>
      <c r="T1046" s="347">
        <f t="shared" si="130"/>
        <v>0</v>
      </c>
      <c r="U1046" s="347">
        <f>HLOOKUP(Apoio!$P$12,$D$956:$P$1057,X1046,FALSE)+Q1046</f>
        <v>1.1999999999999999E-6</v>
      </c>
      <c r="V1046" s="447" t="str">
        <f t="shared" si="131"/>
        <v>-</v>
      </c>
      <c r="W1046" s="448">
        <f>HLOOKUP(Apoio!$P$12,$D$956:$P$1057,X1046,FALSE)</f>
        <v>0</v>
      </c>
      <c r="X1046" s="329">
        <v>91</v>
      </c>
    </row>
    <row r="1047" spans="2:24" ht="30.05" customHeight="1" x14ac:dyDescent="0.35">
      <c r="B1047" s="204" t="str">
        <f>'CAD_PL_REC-DESP'!AF94</f>
        <v>2.8.90</v>
      </c>
      <c r="C1047" s="205" t="str">
        <f>IF('CAD_PL_REC-DESP'!AG94="","-",'CAD_PL_REC-DESP'!AG94)</f>
        <v>-</v>
      </c>
      <c r="D1047" s="206">
        <f>SUMIFS(LANÇ_MOV[VALOR LÍQUIDO],LANÇ_MOV[RECEITA OU DESPESA],"Despesa",LANÇ_MOV[CONTAS],$C1047,LANÇ_MOV[PLANO DE CONTAS],REL_DRE_FINANCEIRO!$B$957,LANÇ_MOV[ANO PAGAMENTO],$B$4,LANÇ_MOV[MÊS PAGAMENTO CORRESPONDENTE],D$6,LANÇ_MOV[EMPRESA],$C$4,LANÇ_MOV[CENTRO DE CUSTOS],$D$4)</f>
        <v>0</v>
      </c>
      <c r="E1047" s="206">
        <f>SUMIFS(LANÇ_MOV[VALOR LÍQUIDO],LANÇ_MOV[RECEITA OU DESPESA],"Despesa",LANÇ_MOV[CONTAS],$C1047,LANÇ_MOV[PLANO DE CONTAS],REL_DRE_FINANCEIRO!$B$957,LANÇ_MOV[ANO PAGAMENTO],$B$4,LANÇ_MOV[MÊS PAGAMENTO CORRESPONDENTE],E$6,LANÇ_MOV[EMPRESA],$C$4,LANÇ_MOV[CENTRO DE CUSTOS],$D$4)</f>
        <v>0</v>
      </c>
      <c r="F1047" s="206">
        <f>SUMIFS(LANÇ_MOV[VALOR LÍQUIDO],LANÇ_MOV[RECEITA OU DESPESA],"Despesa",LANÇ_MOV[CONTAS],$C1047,LANÇ_MOV[PLANO DE CONTAS],REL_DRE_FINANCEIRO!$B$957,LANÇ_MOV[ANO PAGAMENTO],$B$4,LANÇ_MOV[MÊS PAGAMENTO CORRESPONDENTE],F$6,LANÇ_MOV[EMPRESA],$C$4,LANÇ_MOV[CENTRO DE CUSTOS],$D$4)</f>
        <v>0</v>
      </c>
      <c r="G1047" s="206">
        <f>SUMIFS(LANÇ_MOV[VALOR LÍQUIDO],LANÇ_MOV[RECEITA OU DESPESA],"Despesa",LANÇ_MOV[CONTAS],$C1047,LANÇ_MOV[PLANO DE CONTAS],REL_DRE_FINANCEIRO!$B$957,LANÇ_MOV[ANO PAGAMENTO],$B$4,LANÇ_MOV[MÊS PAGAMENTO CORRESPONDENTE],G$6,LANÇ_MOV[EMPRESA],$C$4,LANÇ_MOV[CENTRO DE CUSTOS],$D$4)</f>
        <v>0</v>
      </c>
      <c r="H1047" s="206">
        <f>SUMIFS(LANÇ_MOV[VALOR LÍQUIDO],LANÇ_MOV[RECEITA OU DESPESA],"Despesa",LANÇ_MOV[CONTAS],$C1047,LANÇ_MOV[PLANO DE CONTAS],REL_DRE_FINANCEIRO!$B$957,LANÇ_MOV[ANO PAGAMENTO],$B$4,LANÇ_MOV[MÊS PAGAMENTO CORRESPONDENTE],H$6,LANÇ_MOV[EMPRESA],$C$4,LANÇ_MOV[CENTRO DE CUSTOS],$D$4)</f>
        <v>0</v>
      </c>
      <c r="I1047" s="206">
        <f>SUMIFS(LANÇ_MOV[VALOR LÍQUIDO],LANÇ_MOV[RECEITA OU DESPESA],"Despesa",LANÇ_MOV[CONTAS],$C1047,LANÇ_MOV[PLANO DE CONTAS],REL_DRE_FINANCEIRO!$B$957,LANÇ_MOV[ANO PAGAMENTO],$B$4,LANÇ_MOV[MÊS PAGAMENTO CORRESPONDENTE],I$6,LANÇ_MOV[EMPRESA],$C$4,LANÇ_MOV[CENTRO DE CUSTOS],$D$4)</f>
        <v>0</v>
      </c>
      <c r="J1047" s="206">
        <f>SUMIFS(LANÇ_MOV[VALOR LÍQUIDO],LANÇ_MOV[RECEITA OU DESPESA],"Despesa",LANÇ_MOV[CONTAS],$C1047,LANÇ_MOV[PLANO DE CONTAS],REL_DRE_FINANCEIRO!$B$957,LANÇ_MOV[ANO PAGAMENTO],$B$4,LANÇ_MOV[MÊS PAGAMENTO CORRESPONDENTE],J$6,LANÇ_MOV[EMPRESA],$C$4,LANÇ_MOV[CENTRO DE CUSTOS],$D$4)</f>
        <v>0</v>
      </c>
      <c r="K1047" s="206">
        <f>SUMIFS(LANÇ_MOV[VALOR LÍQUIDO],LANÇ_MOV[RECEITA OU DESPESA],"Despesa",LANÇ_MOV[CONTAS],$C1047,LANÇ_MOV[PLANO DE CONTAS],REL_DRE_FINANCEIRO!$B$957,LANÇ_MOV[ANO PAGAMENTO],$B$4,LANÇ_MOV[MÊS PAGAMENTO CORRESPONDENTE],K$6,LANÇ_MOV[EMPRESA],$C$4,LANÇ_MOV[CENTRO DE CUSTOS],$D$4)</f>
        <v>0</v>
      </c>
      <c r="L1047" s="206">
        <f>SUMIFS(LANÇ_MOV[VALOR LÍQUIDO],LANÇ_MOV[RECEITA OU DESPESA],"Despesa",LANÇ_MOV[CONTAS],$C1047,LANÇ_MOV[PLANO DE CONTAS],REL_DRE_FINANCEIRO!$B$957,LANÇ_MOV[ANO PAGAMENTO],$B$4,LANÇ_MOV[MÊS PAGAMENTO CORRESPONDENTE],L$6,LANÇ_MOV[EMPRESA],$C$4,LANÇ_MOV[CENTRO DE CUSTOS],$D$4)</f>
        <v>0</v>
      </c>
      <c r="M1047" s="206">
        <f>SUMIFS(LANÇ_MOV[VALOR LÍQUIDO],LANÇ_MOV[RECEITA OU DESPESA],"Despesa",LANÇ_MOV[CONTAS],$C1047,LANÇ_MOV[PLANO DE CONTAS],REL_DRE_FINANCEIRO!$B$957,LANÇ_MOV[ANO PAGAMENTO],$B$4,LANÇ_MOV[MÊS PAGAMENTO CORRESPONDENTE],M$6,LANÇ_MOV[EMPRESA],$C$4,LANÇ_MOV[CENTRO DE CUSTOS],$D$4)</f>
        <v>0</v>
      </c>
      <c r="N1047" s="206">
        <f>SUMIFS(LANÇ_MOV[VALOR LÍQUIDO],LANÇ_MOV[RECEITA OU DESPESA],"Despesa",LANÇ_MOV[CONTAS],$C1047,LANÇ_MOV[PLANO DE CONTAS],REL_DRE_FINANCEIRO!$B$957,LANÇ_MOV[ANO PAGAMENTO],$B$4,LANÇ_MOV[MÊS PAGAMENTO CORRESPONDENTE],N$6,LANÇ_MOV[EMPRESA],$C$4,LANÇ_MOV[CENTRO DE CUSTOS],$D$4)</f>
        <v>0</v>
      </c>
      <c r="O1047" s="206">
        <f>SUMIFS(LANÇ_MOV[VALOR LÍQUIDO],LANÇ_MOV[RECEITA OU DESPESA],"Despesa",LANÇ_MOV[CONTAS],$C1047,LANÇ_MOV[PLANO DE CONTAS],REL_DRE_FINANCEIRO!$B$957,LANÇ_MOV[ANO PAGAMENTO],$B$4,LANÇ_MOV[MÊS PAGAMENTO CORRESPONDENTE],O$6,LANÇ_MOV[EMPRESA],$C$4,LANÇ_MOV[CENTRO DE CUSTOS],$D$4)</f>
        <v>0</v>
      </c>
      <c r="P1047" s="207">
        <f t="shared" si="127"/>
        <v>0</v>
      </c>
      <c r="Q1047" s="329">
        <v>1.1000000000000001E-6</v>
      </c>
      <c r="R1047" s="346">
        <f t="shared" si="128"/>
        <v>1.1000000000000001E-6</v>
      </c>
      <c r="S1047" s="347" t="str">
        <f t="shared" si="129"/>
        <v>-</v>
      </c>
      <c r="T1047" s="347">
        <f t="shared" si="130"/>
        <v>0</v>
      </c>
      <c r="U1047" s="347">
        <f>HLOOKUP(Apoio!$P$12,$D$956:$P$1057,X1047,FALSE)+Q1047</f>
        <v>1.1000000000000001E-6</v>
      </c>
      <c r="V1047" s="447" t="str">
        <f t="shared" si="131"/>
        <v>-</v>
      </c>
      <c r="W1047" s="448">
        <f>HLOOKUP(Apoio!$P$12,$D$956:$P$1057,X1047,FALSE)</f>
        <v>0</v>
      </c>
      <c r="X1047" s="329">
        <v>92</v>
      </c>
    </row>
    <row r="1048" spans="2:24" ht="30.05" customHeight="1" x14ac:dyDescent="0.35">
      <c r="B1048" s="204" t="str">
        <f>'CAD_PL_REC-DESP'!AF95</f>
        <v>2.8.91</v>
      </c>
      <c r="C1048" s="205" t="str">
        <f>IF('CAD_PL_REC-DESP'!AG95="","-",'CAD_PL_REC-DESP'!AG95)</f>
        <v>-</v>
      </c>
      <c r="D1048" s="206">
        <f>SUMIFS(LANÇ_MOV[VALOR LÍQUIDO],LANÇ_MOV[RECEITA OU DESPESA],"Despesa",LANÇ_MOV[CONTAS],$C1048,LANÇ_MOV[PLANO DE CONTAS],REL_DRE_FINANCEIRO!$B$957,LANÇ_MOV[ANO PAGAMENTO],$B$4,LANÇ_MOV[MÊS PAGAMENTO CORRESPONDENTE],D$6,LANÇ_MOV[EMPRESA],$C$4,LANÇ_MOV[CENTRO DE CUSTOS],$D$4)</f>
        <v>0</v>
      </c>
      <c r="E1048" s="206">
        <f>SUMIFS(LANÇ_MOV[VALOR LÍQUIDO],LANÇ_MOV[RECEITA OU DESPESA],"Despesa",LANÇ_MOV[CONTAS],$C1048,LANÇ_MOV[PLANO DE CONTAS],REL_DRE_FINANCEIRO!$B$957,LANÇ_MOV[ANO PAGAMENTO],$B$4,LANÇ_MOV[MÊS PAGAMENTO CORRESPONDENTE],E$6,LANÇ_MOV[EMPRESA],$C$4,LANÇ_MOV[CENTRO DE CUSTOS],$D$4)</f>
        <v>0</v>
      </c>
      <c r="F1048" s="206">
        <f>SUMIFS(LANÇ_MOV[VALOR LÍQUIDO],LANÇ_MOV[RECEITA OU DESPESA],"Despesa",LANÇ_MOV[CONTAS],$C1048,LANÇ_MOV[PLANO DE CONTAS],REL_DRE_FINANCEIRO!$B$957,LANÇ_MOV[ANO PAGAMENTO],$B$4,LANÇ_MOV[MÊS PAGAMENTO CORRESPONDENTE],F$6,LANÇ_MOV[EMPRESA],$C$4,LANÇ_MOV[CENTRO DE CUSTOS],$D$4)</f>
        <v>0</v>
      </c>
      <c r="G1048" s="206">
        <f>SUMIFS(LANÇ_MOV[VALOR LÍQUIDO],LANÇ_MOV[RECEITA OU DESPESA],"Despesa",LANÇ_MOV[CONTAS],$C1048,LANÇ_MOV[PLANO DE CONTAS],REL_DRE_FINANCEIRO!$B$957,LANÇ_MOV[ANO PAGAMENTO],$B$4,LANÇ_MOV[MÊS PAGAMENTO CORRESPONDENTE],G$6,LANÇ_MOV[EMPRESA],$C$4,LANÇ_MOV[CENTRO DE CUSTOS],$D$4)</f>
        <v>0</v>
      </c>
      <c r="H1048" s="206">
        <f>SUMIFS(LANÇ_MOV[VALOR LÍQUIDO],LANÇ_MOV[RECEITA OU DESPESA],"Despesa",LANÇ_MOV[CONTAS],$C1048,LANÇ_MOV[PLANO DE CONTAS],REL_DRE_FINANCEIRO!$B$957,LANÇ_MOV[ANO PAGAMENTO],$B$4,LANÇ_MOV[MÊS PAGAMENTO CORRESPONDENTE],H$6,LANÇ_MOV[EMPRESA],$C$4,LANÇ_MOV[CENTRO DE CUSTOS],$D$4)</f>
        <v>0</v>
      </c>
      <c r="I1048" s="206">
        <f>SUMIFS(LANÇ_MOV[VALOR LÍQUIDO],LANÇ_MOV[RECEITA OU DESPESA],"Despesa",LANÇ_MOV[CONTAS],$C1048,LANÇ_MOV[PLANO DE CONTAS],REL_DRE_FINANCEIRO!$B$957,LANÇ_MOV[ANO PAGAMENTO],$B$4,LANÇ_MOV[MÊS PAGAMENTO CORRESPONDENTE],I$6,LANÇ_MOV[EMPRESA],$C$4,LANÇ_MOV[CENTRO DE CUSTOS],$D$4)</f>
        <v>0</v>
      </c>
      <c r="J1048" s="206">
        <f>SUMIFS(LANÇ_MOV[VALOR LÍQUIDO],LANÇ_MOV[RECEITA OU DESPESA],"Despesa",LANÇ_MOV[CONTAS],$C1048,LANÇ_MOV[PLANO DE CONTAS],REL_DRE_FINANCEIRO!$B$957,LANÇ_MOV[ANO PAGAMENTO],$B$4,LANÇ_MOV[MÊS PAGAMENTO CORRESPONDENTE],J$6,LANÇ_MOV[EMPRESA],$C$4,LANÇ_MOV[CENTRO DE CUSTOS],$D$4)</f>
        <v>0</v>
      </c>
      <c r="K1048" s="206">
        <f>SUMIFS(LANÇ_MOV[VALOR LÍQUIDO],LANÇ_MOV[RECEITA OU DESPESA],"Despesa",LANÇ_MOV[CONTAS],$C1048,LANÇ_MOV[PLANO DE CONTAS],REL_DRE_FINANCEIRO!$B$957,LANÇ_MOV[ANO PAGAMENTO],$B$4,LANÇ_MOV[MÊS PAGAMENTO CORRESPONDENTE],K$6,LANÇ_MOV[EMPRESA],$C$4,LANÇ_MOV[CENTRO DE CUSTOS],$D$4)</f>
        <v>0</v>
      </c>
      <c r="L1048" s="206">
        <f>SUMIFS(LANÇ_MOV[VALOR LÍQUIDO],LANÇ_MOV[RECEITA OU DESPESA],"Despesa",LANÇ_MOV[CONTAS],$C1048,LANÇ_MOV[PLANO DE CONTAS],REL_DRE_FINANCEIRO!$B$957,LANÇ_MOV[ANO PAGAMENTO],$B$4,LANÇ_MOV[MÊS PAGAMENTO CORRESPONDENTE],L$6,LANÇ_MOV[EMPRESA],$C$4,LANÇ_MOV[CENTRO DE CUSTOS],$D$4)</f>
        <v>0</v>
      </c>
      <c r="M1048" s="206">
        <f>SUMIFS(LANÇ_MOV[VALOR LÍQUIDO],LANÇ_MOV[RECEITA OU DESPESA],"Despesa",LANÇ_MOV[CONTAS],$C1048,LANÇ_MOV[PLANO DE CONTAS],REL_DRE_FINANCEIRO!$B$957,LANÇ_MOV[ANO PAGAMENTO],$B$4,LANÇ_MOV[MÊS PAGAMENTO CORRESPONDENTE],M$6,LANÇ_MOV[EMPRESA],$C$4,LANÇ_MOV[CENTRO DE CUSTOS],$D$4)</f>
        <v>0</v>
      </c>
      <c r="N1048" s="206">
        <f>SUMIFS(LANÇ_MOV[VALOR LÍQUIDO],LANÇ_MOV[RECEITA OU DESPESA],"Despesa",LANÇ_MOV[CONTAS],$C1048,LANÇ_MOV[PLANO DE CONTAS],REL_DRE_FINANCEIRO!$B$957,LANÇ_MOV[ANO PAGAMENTO],$B$4,LANÇ_MOV[MÊS PAGAMENTO CORRESPONDENTE],N$6,LANÇ_MOV[EMPRESA],$C$4,LANÇ_MOV[CENTRO DE CUSTOS],$D$4)</f>
        <v>0</v>
      </c>
      <c r="O1048" s="206">
        <f>SUMIFS(LANÇ_MOV[VALOR LÍQUIDO],LANÇ_MOV[RECEITA OU DESPESA],"Despesa",LANÇ_MOV[CONTAS],$C1048,LANÇ_MOV[PLANO DE CONTAS],REL_DRE_FINANCEIRO!$B$957,LANÇ_MOV[ANO PAGAMENTO],$B$4,LANÇ_MOV[MÊS PAGAMENTO CORRESPONDENTE],O$6,LANÇ_MOV[EMPRESA],$C$4,LANÇ_MOV[CENTRO DE CUSTOS],$D$4)</f>
        <v>0</v>
      </c>
      <c r="P1048" s="207">
        <f t="shared" si="127"/>
        <v>0</v>
      </c>
      <c r="Q1048" s="329">
        <v>9.9999999999999995E-7</v>
      </c>
      <c r="R1048" s="346">
        <f t="shared" si="128"/>
        <v>9.9999999999999995E-7</v>
      </c>
      <c r="S1048" s="347" t="str">
        <f t="shared" si="129"/>
        <v>-</v>
      </c>
      <c r="T1048" s="347">
        <f t="shared" si="130"/>
        <v>0</v>
      </c>
      <c r="U1048" s="347">
        <f>HLOOKUP(Apoio!$P$12,$D$956:$P$1057,X1048,FALSE)+Q1048</f>
        <v>9.9999999999999995E-7</v>
      </c>
      <c r="V1048" s="447" t="str">
        <f t="shared" si="131"/>
        <v>-</v>
      </c>
      <c r="W1048" s="448">
        <f>HLOOKUP(Apoio!$P$12,$D$956:$P$1057,X1048,FALSE)</f>
        <v>0</v>
      </c>
      <c r="X1048" s="329">
        <v>93</v>
      </c>
    </row>
    <row r="1049" spans="2:24" ht="30.05" customHeight="1" x14ac:dyDescent="0.35">
      <c r="B1049" s="204" t="str">
        <f>'CAD_PL_REC-DESP'!AF96</f>
        <v>2.8.92</v>
      </c>
      <c r="C1049" s="205" t="str">
        <f>IF('CAD_PL_REC-DESP'!AG96="","-",'CAD_PL_REC-DESP'!AG96)</f>
        <v>-</v>
      </c>
      <c r="D1049" s="206">
        <f>SUMIFS(LANÇ_MOV[VALOR LÍQUIDO],LANÇ_MOV[RECEITA OU DESPESA],"Despesa",LANÇ_MOV[CONTAS],$C1049,LANÇ_MOV[PLANO DE CONTAS],REL_DRE_FINANCEIRO!$B$957,LANÇ_MOV[ANO PAGAMENTO],$B$4,LANÇ_MOV[MÊS PAGAMENTO CORRESPONDENTE],D$6,LANÇ_MOV[EMPRESA],$C$4,LANÇ_MOV[CENTRO DE CUSTOS],$D$4)</f>
        <v>0</v>
      </c>
      <c r="E1049" s="206">
        <f>SUMIFS(LANÇ_MOV[VALOR LÍQUIDO],LANÇ_MOV[RECEITA OU DESPESA],"Despesa",LANÇ_MOV[CONTAS],$C1049,LANÇ_MOV[PLANO DE CONTAS],REL_DRE_FINANCEIRO!$B$957,LANÇ_MOV[ANO PAGAMENTO],$B$4,LANÇ_MOV[MÊS PAGAMENTO CORRESPONDENTE],E$6,LANÇ_MOV[EMPRESA],$C$4,LANÇ_MOV[CENTRO DE CUSTOS],$D$4)</f>
        <v>0</v>
      </c>
      <c r="F1049" s="206">
        <f>SUMIFS(LANÇ_MOV[VALOR LÍQUIDO],LANÇ_MOV[RECEITA OU DESPESA],"Despesa",LANÇ_MOV[CONTAS],$C1049,LANÇ_MOV[PLANO DE CONTAS],REL_DRE_FINANCEIRO!$B$957,LANÇ_MOV[ANO PAGAMENTO],$B$4,LANÇ_MOV[MÊS PAGAMENTO CORRESPONDENTE],F$6,LANÇ_MOV[EMPRESA],$C$4,LANÇ_MOV[CENTRO DE CUSTOS],$D$4)</f>
        <v>0</v>
      </c>
      <c r="G1049" s="206">
        <f>SUMIFS(LANÇ_MOV[VALOR LÍQUIDO],LANÇ_MOV[RECEITA OU DESPESA],"Despesa",LANÇ_MOV[CONTAS],$C1049,LANÇ_MOV[PLANO DE CONTAS],REL_DRE_FINANCEIRO!$B$957,LANÇ_MOV[ANO PAGAMENTO],$B$4,LANÇ_MOV[MÊS PAGAMENTO CORRESPONDENTE],G$6,LANÇ_MOV[EMPRESA],$C$4,LANÇ_MOV[CENTRO DE CUSTOS],$D$4)</f>
        <v>0</v>
      </c>
      <c r="H1049" s="206">
        <f>SUMIFS(LANÇ_MOV[VALOR LÍQUIDO],LANÇ_MOV[RECEITA OU DESPESA],"Despesa",LANÇ_MOV[CONTAS],$C1049,LANÇ_MOV[PLANO DE CONTAS],REL_DRE_FINANCEIRO!$B$957,LANÇ_MOV[ANO PAGAMENTO],$B$4,LANÇ_MOV[MÊS PAGAMENTO CORRESPONDENTE],H$6,LANÇ_MOV[EMPRESA],$C$4,LANÇ_MOV[CENTRO DE CUSTOS],$D$4)</f>
        <v>0</v>
      </c>
      <c r="I1049" s="206">
        <f>SUMIFS(LANÇ_MOV[VALOR LÍQUIDO],LANÇ_MOV[RECEITA OU DESPESA],"Despesa",LANÇ_MOV[CONTAS],$C1049,LANÇ_MOV[PLANO DE CONTAS],REL_DRE_FINANCEIRO!$B$957,LANÇ_MOV[ANO PAGAMENTO],$B$4,LANÇ_MOV[MÊS PAGAMENTO CORRESPONDENTE],I$6,LANÇ_MOV[EMPRESA],$C$4,LANÇ_MOV[CENTRO DE CUSTOS],$D$4)</f>
        <v>0</v>
      </c>
      <c r="J1049" s="206">
        <f>SUMIFS(LANÇ_MOV[VALOR LÍQUIDO],LANÇ_MOV[RECEITA OU DESPESA],"Despesa",LANÇ_MOV[CONTAS],$C1049,LANÇ_MOV[PLANO DE CONTAS],REL_DRE_FINANCEIRO!$B$957,LANÇ_MOV[ANO PAGAMENTO],$B$4,LANÇ_MOV[MÊS PAGAMENTO CORRESPONDENTE],J$6,LANÇ_MOV[EMPRESA],$C$4,LANÇ_MOV[CENTRO DE CUSTOS],$D$4)</f>
        <v>0</v>
      </c>
      <c r="K1049" s="206">
        <f>SUMIFS(LANÇ_MOV[VALOR LÍQUIDO],LANÇ_MOV[RECEITA OU DESPESA],"Despesa",LANÇ_MOV[CONTAS],$C1049,LANÇ_MOV[PLANO DE CONTAS],REL_DRE_FINANCEIRO!$B$957,LANÇ_MOV[ANO PAGAMENTO],$B$4,LANÇ_MOV[MÊS PAGAMENTO CORRESPONDENTE],K$6,LANÇ_MOV[EMPRESA],$C$4,LANÇ_MOV[CENTRO DE CUSTOS],$D$4)</f>
        <v>0</v>
      </c>
      <c r="L1049" s="206">
        <f>SUMIFS(LANÇ_MOV[VALOR LÍQUIDO],LANÇ_MOV[RECEITA OU DESPESA],"Despesa",LANÇ_MOV[CONTAS],$C1049,LANÇ_MOV[PLANO DE CONTAS],REL_DRE_FINANCEIRO!$B$957,LANÇ_MOV[ANO PAGAMENTO],$B$4,LANÇ_MOV[MÊS PAGAMENTO CORRESPONDENTE],L$6,LANÇ_MOV[EMPRESA],$C$4,LANÇ_MOV[CENTRO DE CUSTOS],$D$4)</f>
        <v>0</v>
      </c>
      <c r="M1049" s="206">
        <f>SUMIFS(LANÇ_MOV[VALOR LÍQUIDO],LANÇ_MOV[RECEITA OU DESPESA],"Despesa",LANÇ_MOV[CONTAS],$C1049,LANÇ_MOV[PLANO DE CONTAS],REL_DRE_FINANCEIRO!$B$957,LANÇ_MOV[ANO PAGAMENTO],$B$4,LANÇ_MOV[MÊS PAGAMENTO CORRESPONDENTE],M$6,LANÇ_MOV[EMPRESA],$C$4,LANÇ_MOV[CENTRO DE CUSTOS],$D$4)</f>
        <v>0</v>
      </c>
      <c r="N1049" s="206">
        <f>SUMIFS(LANÇ_MOV[VALOR LÍQUIDO],LANÇ_MOV[RECEITA OU DESPESA],"Despesa",LANÇ_MOV[CONTAS],$C1049,LANÇ_MOV[PLANO DE CONTAS],REL_DRE_FINANCEIRO!$B$957,LANÇ_MOV[ANO PAGAMENTO],$B$4,LANÇ_MOV[MÊS PAGAMENTO CORRESPONDENTE],N$6,LANÇ_MOV[EMPRESA],$C$4,LANÇ_MOV[CENTRO DE CUSTOS],$D$4)</f>
        <v>0</v>
      </c>
      <c r="O1049" s="206">
        <f>SUMIFS(LANÇ_MOV[VALOR LÍQUIDO],LANÇ_MOV[RECEITA OU DESPESA],"Despesa",LANÇ_MOV[CONTAS],$C1049,LANÇ_MOV[PLANO DE CONTAS],REL_DRE_FINANCEIRO!$B$957,LANÇ_MOV[ANO PAGAMENTO],$B$4,LANÇ_MOV[MÊS PAGAMENTO CORRESPONDENTE],O$6,LANÇ_MOV[EMPRESA],$C$4,LANÇ_MOV[CENTRO DE CUSTOS],$D$4)</f>
        <v>0</v>
      </c>
      <c r="P1049" s="207">
        <f t="shared" si="127"/>
        <v>0</v>
      </c>
      <c r="Q1049" s="329">
        <v>8.9999999999999996E-7</v>
      </c>
      <c r="R1049" s="346">
        <f t="shared" si="128"/>
        <v>8.9999999999999996E-7</v>
      </c>
      <c r="S1049" s="347" t="str">
        <f t="shared" si="129"/>
        <v>-</v>
      </c>
      <c r="T1049" s="347">
        <f t="shared" si="130"/>
        <v>0</v>
      </c>
      <c r="U1049" s="347">
        <f>HLOOKUP(Apoio!$P$12,$D$956:$P$1057,X1049,FALSE)+Q1049</f>
        <v>8.9999999999999996E-7</v>
      </c>
      <c r="V1049" s="447" t="str">
        <f t="shared" si="131"/>
        <v>-</v>
      </c>
      <c r="W1049" s="448">
        <f>HLOOKUP(Apoio!$P$12,$D$956:$P$1057,X1049,FALSE)</f>
        <v>0</v>
      </c>
      <c r="X1049" s="329">
        <v>94</v>
      </c>
    </row>
    <row r="1050" spans="2:24" ht="30.05" customHeight="1" x14ac:dyDescent="0.35">
      <c r="B1050" s="204" t="str">
        <f>'CAD_PL_REC-DESP'!AF97</f>
        <v>2.8.93</v>
      </c>
      <c r="C1050" s="205" t="str">
        <f>IF('CAD_PL_REC-DESP'!AG97="","-",'CAD_PL_REC-DESP'!AG97)</f>
        <v>-</v>
      </c>
      <c r="D1050" s="206">
        <f>SUMIFS(LANÇ_MOV[VALOR LÍQUIDO],LANÇ_MOV[RECEITA OU DESPESA],"Despesa",LANÇ_MOV[CONTAS],$C1050,LANÇ_MOV[PLANO DE CONTAS],REL_DRE_FINANCEIRO!$B$957,LANÇ_MOV[ANO PAGAMENTO],$B$4,LANÇ_MOV[MÊS PAGAMENTO CORRESPONDENTE],D$6,LANÇ_MOV[EMPRESA],$C$4,LANÇ_MOV[CENTRO DE CUSTOS],$D$4)</f>
        <v>0</v>
      </c>
      <c r="E1050" s="206">
        <f>SUMIFS(LANÇ_MOV[VALOR LÍQUIDO],LANÇ_MOV[RECEITA OU DESPESA],"Despesa",LANÇ_MOV[CONTAS],$C1050,LANÇ_MOV[PLANO DE CONTAS],REL_DRE_FINANCEIRO!$B$957,LANÇ_MOV[ANO PAGAMENTO],$B$4,LANÇ_MOV[MÊS PAGAMENTO CORRESPONDENTE],E$6,LANÇ_MOV[EMPRESA],$C$4,LANÇ_MOV[CENTRO DE CUSTOS],$D$4)</f>
        <v>0</v>
      </c>
      <c r="F1050" s="206">
        <f>SUMIFS(LANÇ_MOV[VALOR LÍQUIDO],LANÇ_MOV[RECEITA OU DESPESA],"Despesa",LANÇ_MOV[CONTAS],$C1050,LANÇ_MOV[PLANO DE CONTAS],REL_DRE_FINANCEIRO!$B$957,LANÇ_MOV[ANO PAGAMENTO],$B$4,LANÇ_MOV[MÊS PAGAMENTO CORRESPONDENTE],F$6,LANÇ_MOV[EMPRESA],$C$4,LANÇ_MOV[CENTRO DE CUSTOS],$D$4)</f>
        <v>0</v>
      </c>
      <c r="G1050" s="206">
        <f>SUMIFS(LANÇ_MOV[VALOR LÍQUIDO],LANÇ_MOV[RECEITA OU DESPESA],"Despesa",LANÇ_MOV[CONTAS],$C1050,LANÇ_MOV[PLANO DE CONTAS],REL_DRE_FINANCEIRO!$B$957,LANÇ_MOV[ANO PAGAMENTO],$B$4,LANÇ_MOV[MÊS PAGAMENTO CORRESPONDENTE],G$6,LANÇ_MOV[EMPRESA],$C$4,LANÇ_MOV[CENTRO DE CUSTOS],$D$4)</f>
        <v>0</v>
      </c>
      <c r="H1050" s="206">
        <f>SUMIFS(LANÇ_MOV[VALOR LÍQUIDO],LANÇ_MOV[RECEITA OU DESPESA],"Despesa",LANÇ_MOV[CONTAS],$C1050,LANÇ_MOV[PLANO DE CONTAS],REL_DRE_FINANCEIRO!$B$957,LANÇ_MOV[ANO PAGAMENTO],$B$4,LANÇ_MOV[MÊS PAGAMENTO CORRESPONDENTE],H$6,LANÇ_MOV[EMPRESA],$C$4,LANÇ_MOV[CENTRO DE CUSTOS],$D$4)</f>
        <v>0</v>
      </c>
      <c r="I1050" s="206">
        <f>SUMIFS(LANÇ_MOV[VALOR LÍQUIDO],LANÇ_MOV[RECEITA OU DESPESA],"Despesa",LANÇ_MOV[CONTAS],$C1050,LANÇ_MOV[PLANO DE CONTAS],REL_DRE_FINANCEIRO!$B$957,LANÇ_MOV[ANO PAGAMENTO],$B$4,LANÇ_MOV[MÊS PAGAMENTO CORRESPONDENTE],I$6,LANÇ_MOV[EMPRESA],$C$4,LANÇ_MOV[CENTRO DE CUSTOS],$D$4)</f>
        <v>0</v>
      </c>
      <c r="J1050" s="206">
        <f>SUMIFS(LANÇ_MOV[VALOR LÍQUIDO],LANÇ_MOV[RECEITA OU DESPESA],"Despesa",LANÇ_MOV[CONTAS],$C1050,LANÇ_MOV[PLANO DE CONTAS],REL_DRE_FINANCEIRO!$B$957,LANÇ_MOV[ANO PAGAMENTO],$B$4,LANÇ_MOV[MÊS PAGAMENTO CORRESPONDENTE],J$6,LANÇ_MOV[EMPRESA],$C$4,LANÇ_MOV[CENTRO DE CUSTOS],$D$4)</f>
        <v>0</v>
      </c>
      <c r="K1050" s="206">
        <f>SUMIFS(LANÇ_MOV[VALOR LÍQUIDO],LANÇ_MOV[RECEITA OU DESPESA],"Despesa",LANÇ_MOV[CONTAS],$C1050,LANÇ_MOV[PLANO DE CONTAS],REL_DRE_FINANCEIRO!$B$957,LANÇ_MOV[ANO PAGAMENTO],$B$4,LANÇ_MOV[MÊS PAGAMENTO CORRESPONDENTE],K$6,LANÇ_MOV[EMPRESA],$C$4,LANÇ_MOV[CENTRO DE CUSTOS],$D$4)</f>
        <v>0</v>
      </c>
      <c r="L1050" s="206">
        <f>SUMIFS(LANÇ_MOV[VALOR LÍQUIDO],LANÇ_MOV[RECEITA OU DESPESA],"Despesa",LANÇ_MOV[CONTAS],$C1050,LANÇ_MOV[PLANO DE CONTAS],REL_DRE_FINANCEIRO!$B$957,LANÇ_MOV[ANO PAGAMENTO],$B$4,LANÇ_MOV[MÊS PAGAMENTO CORRESPONDENTE],L$6,LANÇ_MOV[EMPRESA],$C$4,LANÇ_MOV[CENTRO DE CUSTOS],$D$4)</f>
        <v>0</v>
      </c>
      <c r="M1050" s="206">
        <f>SUMIFS(LANÇ_MOV[VALOR LÍQUIDO],LANÇ_MOV[RECEITA OU DESPESA],"Despesa",LANÇ_MOV[CONTAS],$C1050,LANÇ_MOV[PLANO DE CONTAS],REL_DRE_FINANCEIRO!$B$957,LANÇ_MOV[ANO PAGAMENTO],$B$4,LANÇ_MOV[MÊS PAGAMENTO CORRESPONDENTE],M$6,LANÇ_MOV[EMPRESA],$C$4,LANÇ_MOV[CENTRO DE CUSTOS],$D$4)</f>
        <v>0</v>
      </c>
      <c r="N1050" s="206">
        <f>SUMIFS(LANÇ_MOV[VALOR LÍQUIDO],LANÇ_MOV[RECEITA OU DESPESA],"Despesa",LANÇ_MOV[CONTAS],$C1050,LANÇ_MOV[PLANO DE CONTAS],REL_DRE_FINANCEIRO!$B$957,LANÇ_MOV[ANO PAGAMENTO],$B$4,LANÇ_MOV[MÊS PAGAMENTO CORRESPONDENTE],N$6,LANÇ_MOV[EMPRESA],$C$4,LANÇ_MOV[CENTRO DE CUSTOS],$D$4)</f>
        <v>0</v>
      </c>
      <c r="O1050" s="206">
        <f>SUMIFS(LANÇ_MOV[VALOR LÍQUIDO],LANÇ_MOV[RECEITA OU DESPESA],"Despesa",LANÇ_MOV[CONTAS],$C1050,LANÇ_MOV[PLANO DE CONTAS],REL_DRE_FINANCEIRO!$B$957,LANÇ_MOV[ANO PAGAMENTO],$B$4,LANÇ_MOV[MÊS PAGAMENTO CORRESPONDENTE],O$6,LANÇ_MOV[EMPRESA],$C$4,LANÇ_MOV[CENTRO DE CUSTOS],$D$4)</f>
        <v>0</v>
      </c>
      <c r="P1050" s="207">
        <f t="shared" si="127"/>
        <v>0</v>
      </c>
      <c r="Q1050" s="329">
        <v>7.9999999999999996E-7</v>
      </c>
      <c r="R1050" s="346">
        <f t="shared" si="128"/>
        <v>7.9999999999999996E-7</v>
      </c>
      <c r="S1050" s="347" t="str">
        <f t="shared" si="129"/>
        <v>-</v>
      </c>
      <c r="T1050" s="347">
        <f t="shared" si="130"/>
        <v>0</v>
      </c>
      <c r="U1050" s="347">
        <f>HLOOKUP(Apoio!$P$12,$D$956:$P$1057,X1050,FALSE)+Q1050</f>
        <v>7.9999999999999996E-7</v>
      </c>
      <c r="V1050" s="447" t="str">
        <f t="shared" si="131"/>
        <v>-</v>
      </c>
      <c r="W1050" s="448">
        <f>HLOOKUP(Apoio!$P$12,$D$956:$P$1057,X1050,FALSE)</f>
        <v>0</v>
      </c>
      <c r="X1050" s="329">
        <v>95</v>
      </c>
    </row>
    <row r="1051" spans="2:24" ht="30.05" customHeight="1" x14ac:dyDescent="0.35">
      <c r="B1051" s="204" t="str">
        <f>'CAD_PL_REC-DESP'!AF98</f>
        <v>2.8.94</v>
      </c>
      <c r="C1051" s="205" t="str">
        <f>IF('CAD_PL_REC-DESP'!AG98="","-",'CAD_PL_REC-DESP'!AG98)</f>
        <v>-</v>
      </c>
      <c r="D1051" s="206">
        <f>SUMIFS(LANÇ_MOV[VALOR LÍQUIDO],LANÇ_MOV[RECEITA OU DESPESA],"Despesa",LANÇ_MOV[CONTAS],$C1051,LANÇ_MOV[PLANO DE CONTAS],REL_DRE_FINANCEIRO!$B$957,LANÇ_MOV[ANO PAGAMENTO],$B$4,LANÇ_MOV[MÊS PAGAMENTO CORRESPONDENTE],D$6,LANÇ_MOV[EMPRESA],$C$4,LANÇ_MOV[CENTRO DE CUSTOS],$D$4)</f>
        <v>0</v>
      </c>
      <c r="E1051" s="206">
        <f>SUMIFS(LANÇ_MOV[VALOR LÍQUIDO],LANÇ_MOV[RECEITA OU DESPESA],"Despesa",LANÇ_MOV[CONTAS],$C1051,LANÇ_MOV[PLANO DE CONTAS],REL_DRE_FINANCEIRO!$B$957,LANÇ_MOV[ANO PAGAMENTO],$B$4,LANÇ_MOV[MÊS PAGAMENTO CORRESPONDENTE],E$6,LANÇ_MOV[EMPRESA],$C$4,LANÇ_MOV[CENTRO DE CUSTOS],$D$4)</f>
        <v>0</v>
      </c>
      <c r="F1051" s="206">
        <f>SUMIFS(LANÇ_MOV[VALOR LÍQUIDO],LANÇ_MOV[RECEITA OU DESPESA],"Despesa",LANÇ_MOV[CONTAS],$C1051,LANÇ_MOV[PLANO DE CONTAS],REL_DRE_FINANCEIRO!$B$957,LANÇ_MOV[ANO PAGAMENTO],$B$4,LANÇ_MOV[MÊS PAGAMENTO CORRESPONDENTE],F$6,LANÇ_MOV[EMPRESA],$C$4,LANÇ_MOV[CENTRO DE CUSTOS],$D$4)</f>
        <v>0</v>
      </c>
      <c r="G1051" s="206">
        <f>SUMIFS(LANÇ_MOV[VALOR LÍQUIDO],LANÇ_MOV[RECEITA OU DESPESA],"Despesa",LANÇ_MOV[CONTAS],$C1051,LANÇ_MOV[PLANO DE CONTAS],REL_DRE_FINANCEIRO!$B$957,LANÇ_MOV[ANO PAGAMENTO],$B$4,LANÇ_MOV[MÊS PAGAMENTO CORRESPONDENTE],G$6,LANÇ_MOV[EMPRESA],$C$4,LANÇ_MOV[CENTRO DE CUSTOS],$D$4)</f>
        <v>0</v>
      </c>
      <c r="H1051" s="206">
        <f>SUMIFS(LANÇ_MOV[VALOR LÍQUIDO],LANÇ_MOV[RECEITA OU DESPESA],"Despesa",LANÇ_MOV[CONTAS],$C1051,LANÇ_MOV[PLANO DE CONTAS],REL_DRE_FINANCEIRO!$B$957,LANÇ_MOV[ANO PAGAMENTO],$B$4,LANÇ_MOV[MÊS PAGAMENTO CORRESPONDENTE],H$6,LANÇ_MOV[EMPRESA],$C$4,LANÇ_MOV[CENTRO DE CUSTOS],$D$4)</f>
        <v>0</v>
      </c>
      <c r="I1051" s="206">
        <f>SUMIFS(LANÇ_MOV[VALOR LÍQUIDO],LANÇ_MOV[RECEITA OU DESPESA],"Despesa",LANÇ_MOV[CONTAS],$C1051,LANÇ_MOV[PLANO DE CONTAS],REL_DRE_FINANCEIRO!$B$957,LANÇ_MOV[ANO PAGAMENTO],$B$4,LANÇ_MOV[MÊS PAGAMENTO CORRESPONDENTE],I$6,LANÇ_MOV[EMPRESA],$C$4,LANÇ_MOV[CENTRO DE CUSTOS],$D$4)</f>
        <v>0</v>
      </c>
      <c r="J1051" s="206">
        <f>SUMIFS(LANÇ_MOV[VALOR LÍQUIDO],LANÇ_MOV[RECEITA OU DESPESA],"Despesa",LANÇ_MOV[CONTAS],$C1051,LANÇ_MOV[PLANO DE CONTAS],REL_DRE_FINANCEIRO!$B$957,LANÇ_MOV[ANO PAGAMENTO],$B$4,LANÇ_MOV[MÊS PAGAMENTO CORRESPONDENTE],J$6,LANÇ_MOV[EMPRESA],$C$4,LANÇ_MOV[CENTRO DE CUSTOS],$D$4)</f>
        <v>0</v>
      </c>
      <c r="K1051" s="206">
        <f>SUMIFS(LANÇ_MOV[VALOR LÍQUIDO],LANÇ_MOV[RECEITA OU DESPESA],"Despesa",LANÇ_MOV[CONTAS],$C1051,LANÇ_MOV[PLANO DE CONTAS],REL_DRE_FINANCEIRO!$B$957,LANÇ_MOV[ANO PAGAMENTO],$B$4,LANÇ_MOV[MÊS PAGAMENTO CORRESPONDENTE],K$6,LANÇ_MOV[EMPRESA],$C$4,LANÇ_MOV[CENTRO DE CUSTOS],$D$4)</f>
        <v>0</v>
      </c>
      <c r="L1051" s="206">
        <f>SUMIFS(LANÇ_MOV[VALOR LÍQUIDO],LANÇ_MOV[RECEITA OU DESPESA],"Despesa",LANÇ_MOV[CONTAS],$C1051,LANÇ_MOV[PLANO DE CONTAS],REL_DRE_FINANCEIRO!$B$957,LANÇ_MOV[ANO PAGAMENTO],$B$4,LANÇ_MOV[MÊS PAGAMENTO CORRESPONDENTE],L$6,LANÇ_MOV[EMPRESA],$C$4,LANÇ_MOV[CENTRO DE CUSTOS],$D$4)</f>
        <v>0</v>
      </c>
      <c r="M1051" s="206">
        <f>SUMIFS(LANÇ_MOV[VALOR LÍQUIDO],LANÇ_MOV[RECEITA OU DESPESA],"Despesa",LANÇ_MOV[CONTAS],$C1051,LANÇ_MOV[PLANO DE CONTAS],REL_DRE_FINANCEIRO!$B$957,LANÇ_MOV[ANO PAGAMENTO],$B$4,LANÇ_MOV[MÊS PAGAMENTO CORRESPONDENTE],M$6,LANÇ_MOV[EMPRESA],$C$4,LANÇ_MOV[CENTRO DE CUSTOS],$D$4)</f>
        <v>0</v>
      </c>
      <c r="N1051" s="206">
        <f>SUMIFS(LANÇ_MOV[VALOR LÍQUIDO],LANÇ_MOV[RECEITA OU DESPESA],"Despesa",LANÇ_MOV[CONTAS],$C1051,LANÇ_MOV[PLANO DE CONTAS],REL_DRE_FINANCEIRO!$B$957,LANÇ_MOV[ANO PAGAMENTO],$B$4,LANÇ_MOV[MÊS PAGAMENTO CORRESPONDENTE],N$6,LANÇ_MOV[EMPRESA],$C$4,LANÇ_MOV[CENTRO DE CUSTOS],$D$4)</f>
        <v>0</v>
      </c>
      <c r="O1051" s="206">
        <f>SUMIFS(LANÇ_MOV[VALOR LÍQUIDO],LANÇ_MOV[RECEITA OU DESPESA],"Despesa",LANÇ_MOV[CONTAS],$C1051,LANÇ_MOV[PLANO DE CONTAS],REL_DRE_FINANCEIRO!$B$957,LANÇ_MOV[ANO PAGAMENTO],$B$4,LANÇ_MOV[MÊS PAGAMENTO CORRESPONDENTE],O$6,LANÇ_MOV[EMPRESA],$C$4,LANÇ_MOV[CENTRO DE CUSTOS],$D$4)</f>
        <v>0</v>
      </c>
      <c r="P1051" s="207">
        <f t="shared" si="127"/>
        <v>0</v>
      </c>
      <c r="Q1051" s="329">
        <v>6.9999999999999997E-7</v>
      </c>
      <c r="R1051" s="346">
        <f t="shared" si="128"/>
        <v>6.9999999999999997E-7</v>
      </c>
      <c r="S1051" s="347" t="str">
        <f t="shared" si="129"/>
        <v>-</v>
      </c>
      <c r="T1051" s="347">
        <f t="shared" si="130"/>
        <v>0</v>
      </c>
      <c r="U1051" s="347">
        <f>HLOOKUP(Apoio!$P$12,$D$956:$P$1057,X1051,FALSE)+Q1051</f>
        <v>6.9999999999999997E-7</v>
      </c>
      <c r="V1051" s="447" t="str">
        <f t="shared" si="131"/>
        <v>-</v>
      </c>
      <c r="W1051" s="448">
        <f>HLOOKUP(Apoio!$P$12,$D$956:$P$1057,X1051,FALSE)</f>
        <v>0</v>
      </c>
      <c r="X1051" s="329">
        <v>96</v>
      </c>
    </row>
    <row r="1052" spans="2:24" ht="30.05" customHeight="1" x14ac:dyDescent="0.35">
      <c r="B1052" s="204" t="str">
        <f>'CAD_PL_REC-DESP'!AF99</f>
        <v>2.8.95</v>
      </c>
      <c r="C1052" s="205" t="str">
        <f>IF('CAD_PL_REC-DESP'!AG99="","-",'CAD_PL_REC-DESP'!AG99)</f>
        <v>-</v>
      </c>
      <c r="D1052" s="206">
        <f>SUMIFS(LANÇ_MOV[VALOR LÍQUIDO],LANÇ_MOV[RECEITA OU DESPESA],"Despesa",LANÇ_MOV[CONTAS],$C1052,LANÇ_MOV[PLANO DE CONTAS],REL_DRE_FINANCEIRO!$B$957,LANÇ_MOV[ANO PAGAMENTO],$B$4,LANÇ_MOV[MÊS PAGAMENTO CORRESPONDENTE],D$6,LANÇ_MOV[EMPRESA],$C$4,LANÇ_MOV[CENTRO DE CUSTOS],$D$4)</f>
        <v>0</v>
      </c>
      <c r="E1052" s="206">
        <f>SUMIFS(LANÇ_MOV[VALOR LÍQUIDO],LANÇ_MOV[RECEITA OU DESPESA],"Despesa",LANÇ_MOV[CONTAS],$C1052,LANÇ_MOV[PLANO DE CONTAS],REL_DRE_FINANCEIRO!$B$957,LANÇ_MOV[ANO PAGAMENTO],$B$4,LANÇ_MOV[MÊS PAGAMENTO CORRESPONDENTE],E$6,LANÇ_MOV[EMPRESA],$C$4,LANÇ_MOV[CENTRO DE CUSTOS],$D$4)</f>
        <v>0</v>
      </c>
      <c r="F1052" s="206">
        <f>SUMIFS(LANÇ_MOV[VALOR LÍQUIDO],LANÇ_MOV[RECEITA OU DESPESA],"Despesa",LANÇ_MOV[CONTAS],$C1052,LANÇ_MOV[PLANO DE CONTAS],REL_DRE_FINANCEIRO!$B$957,LANÇ_MOV[ANO PAGAMENTO],$B$4,LANÇ_MOV[MÊS PAGAMENTO CORRESPONDENTE],F$6,LANÇ_MOV[EMPRESA],$C$4,LANÇ_MOV[CENTRO DE CUSTOS],$D$4)</f>
        <v>0</v>
      </c>
      <c r="G1052" s="206">
        <f>SUMIFS(LANÇ_MOV[VALOR LÍQUIDO],LANÇ_MOV[RECEITA OU DESPESA],"Despesa",LANÇ_MOV[CONTAS],$C1052,LANÇ_MOV[PLANO DE CONTAS],REL_DRE_FINANCEIRO!$B$957,LANÇ_MOV[ANO PAGAMENTO],$B$4,LANÇ_MOV[MÊS PAGAMENTO CORRESPONDENTE],G$6,LANÇ_MOV[EMPRESA],$C$4,LANÇ_MOV[CENTRO DE CUSTOS],$D$4)</f>
        <v>0</v>
      </c>
      <c r="H1052" s="206">
        <f>SUMIFS(LANÇ_MOV[VALOR LÍQUIDO],LANÇ_MOV[RECEITA OU DESPESA],"Despesa",LANÇ_MOV[CONTAS],$C1052,LANÇ_MOV[PLANO DE CONTAS],REL_DRE_FINANCEIRO!$B$957,LANÇ_MOV[ANO PAGAMENTO],$B$4,LANÇ_MOV[MÊS PAGAMENTO CORRESPONDENTE],H$6,LANÇ_MOV[EMPRESA],$C$4,LANÇ_MOV[CENTRO DE CUSTOS],$D$4)</f>
        <v>0</v>
      </c>
      <c r="I1052" s="206">
        <f>SUMIFS(LANÇ_MOV[VALOR LÍQUIDO],LANÇ_MOV[RECEITA OU DESPESA],"Despesa",LANÇ_MOV[CONTAS],$C1052,LANÇ_MOV[PLANO DE CONTAS],REL_DRE_FINANCEIRO!$B$957,LANÇ_MOV[ANO PAGAMENTO],$B$4,LANÇ_MOV[MÊS PAGAMENTO CORRESPONDENTE],I$6,LANÇ_MOV[EMPRESA],$C$4,LANÇ_MOV[CENTRO DE CUSTOS],$D$4)</f>
        <v>0</v>
      </c>
      <c r="J1052" s="206">
        <f>SUMIFS(LANÇ_MOV[VALOR LÍQUIDO],LANÇ_MOV[RECEITA OU DESPESA],"Despesa",LANÇ_MOV[CONTAS],$C1052,LANÇ_MOV[PLANO DE CONTAS],REL_DRE_FINANCEIRO!$B$957,LANÇ_MOV[ANO PAGAMENTO],$B$4,LANÇ_MOV[MÊS PAGAMENTO CORRESPONDENTE],J$6,LANÇ_MOV[EMPRESA],$C$4,LANÇ_MOV[CENTRO DE CUSTOS],$D$4)</f>
        <v>0</v>
      </c>
      <c r="K1052" s="206">
        <f>SUMIFS(LANÇ_MOV[VALOR LÍQUIDO],LANÇ_MOV[RECEITA OU DESPESA],"Despesa",LANÇ_MOV[CONTAS],$C1052,LANÇ_MOV[PLANO DE CONTAS],REL_DRE_FINANCEIRO!$B$957,LANÇ_MOV[ANO PAGAMENTO],$B$4,LANÇ_MOV[MÊS PAGAMENTO CORRESPONDENTE],K$6,LANÇ_MOV[EMPRESA],$C$4,LANÇ_MOV[CENTRO DE CUSTOS],$D$4)</f>
        <v>0</v>
      </c>
      <c r="L1052" s="206">
        <f>SUMIFS(LANÇ_MOV[VALOR LÍQUIDO],LANÇ_MOV[RECEITA OU DESPESA],"Despesa",LANÇ_MOV[CONTAS],$C1052,LANÇ_MOV[PLANO DE CONTAS],REL_DRE_FINANCEIRO!$B$957,LANÇ_MOV[ANO PAGAMENTO],$B$4,LANÇ_MOV[MÊS PAGAMENTO CORRESPONDENTE],L$6,LANÇ_MOV[EMPRESA],$C$4,LANÇ_MOV[CENTRO DE CUSTOS],$D$4)</f>
        <v>0</v>
      </c>
      <c r="M1052" s="206">
        <f>SUMIFS(LANÇ_MOV[VALOR LÍQUIDO],LANÇ_MOV[RECEITA OU DESPESA],"Despesa",LANÇ_MOV[CONTAS],$C1052,LANÇ_MOV[PLANO DE CONTAS],REL_DRE_FINANCEIRO!$B$957,LANÇ_MOV[ANO PAGAMENTO],$B$4,LANÇ_MOV[MÊS PAGAMENTO CORRESPONDENTE],M$6,LANÇ_MOV[EMPRESA],$C$4,LANÇ_MOV[CENTRO DE CUSTOS],$D$4)</f>
        <v>0</v>
      </c>
      <c r="N1052" s="206">
        <f>SUMIFS(LANÇ_MOV[VALOR LÍQUIDO],LANÇ_MOV[RECEITA OU DESPESA],"Despesa",LANÇ_MOV[CONTAS],$C1052,LANÇ_MOV[PLANO DE CONTAS],REL_DRE_FINANCEIRO!$B$957,LANÇ_MOV[ANO PAGAMENTO],$B$4,LANÇ_MOV[MÊS PAGAMENTO CORRESPONDENTE],N$6,LANÇ_MOV[EMPRESA],$C$4,LANÇ_MOV[CENTRO DE CUSTOS],$D$4)</f>
        <v>0</v>
      </c>
      <c r="O1052" s="206">
        <f>SUMIFS(LANÇ_MOV[VALOR LÍQUIDO],LANÇ_MOV[RECEITA OU DESPESA],"Despesa",LANÇ_MOV[CONTAS],$C1052,LANÇ_MOV[PLANO DE CONTAS],REL_DRE_FINANCEIRO!$B$957,LANÇ_MOV[ANO PAGAMENTO],$B$4,LANÇ_MOV[MÊS PAGAMENTO CORRESPONDENTE],O$6,LANÇ_MOV[EMPRESA],$C$4,LANÇ_MOV[CENTRO DE CUSTOS],$D$4)</f>
        <v>0</v>
      </c>
      <c r="P1052" s="207">
        <f t="shared" si="127"/>
        <v>0</v>
      </c>
      <c r="Q1052" s="329">
        <v>5.9999999999999997E-7</v>
      </c>
      <c r="R1052" s="346">
        <f t="shared" si="128"/>
        <v>5.9999999999999997E-7</v>
      </c>
      <c r="S1052" s="347" t="str">
        <f t="shared" si="129"/>
        <v>-</v>
      </c>
      <c r="T1052" s="347">
        <f t="shared" si="130"/>
        <v>0</v>
      </c>
      <c r="U1052" s="347">
        <f>HLOOKUP(Apoio!$P$12,$D$956:$P$1057,X1052,FALSE)+Q1052</f>
        <v>5.9999999999999997E-7</v>
      </c>
      <c r="V1052" s="447" t="str">
        <f t="shared" si="131"/>
        <v>-</v>
      </c>
      <c r="W1052" s="448">
        <f>HLOOKUP(Apoio!$P$12,$D$956:$P$1057,X1052,FALSE)</f>
        <v>0</v>
      </c>
      <c r="X1052" s="329">
        <v>97</v>
      </c>
    </row>
    <row r="1053" spans="2:24" ht="30.05" customHeight="1" x14ac:dyDescent="0.35">
      <c r="B1053" s="204" t="str">
        <f>'CAD_PL_REC-DESP'!AF100</f>
        <v>2.8.96</v>
      </c>
      <c r="C1053" s="205" t="str">
        <f>IF('CAD_PL_REC-DESP'!AG100="","-",'CAD_PL_REC-DESP'!AG100)</f>
        <v>-</v>
      </c>
      <c r="D1053" s="206">
        <f>SUMIFS(LANÇ_MOV[VALOR LÍQUIDO],LANÇ_MOV[RECEITA OU DESPESA],"Despesa",LANÇ_MOV[CONTAS],$C1053,LANÇ_MOV[PLANO DE CONTAS],REL_DRE_FINANCEIRO!$B$957,LANÇ_MOV[ANO PAGAMENTO],$B$4,LANÇ_MOV[MÊS PAGAMENTO CORRESPONDENTE],D$6,LANÇ_MOV[EMPRESA],$C$4,LANÇ_MOV[CENTRO DE CUSTOS],$D$4)</f>
        <v>0</v>
      </c>
      <c r="E1053" s="206">
        <f>SUMIFS(LANÇ_MOV[VALOR LÍQUIDO],LANÇ_MOV[RECEITA OU DESPESA],"Despesa",LANÇ_MOV[CONTAS],$C1053,LANÇ_MOV[PLANO DE CONTAS],REL_DRE_FINANCEIRO!$B$957,LANÇ_MOV[ANO PAGAMENTO],$B$4,LANÇ_MOV[MÊS PAGAMENTO CORRESPONDENTE],E$6,LANÇ_MOV[EMPRESA],$C$4,LANÇ_MOV[CENTRO DE CUSTOS],$D$4)</f>
        <v>0</v>
      </c>
      <c r="F1053" s="206">
        <f>SUMIFS(LANÇ_MOV[VALOR LÍQUIDO],LANÇ_MOV[RECEITA OU DESPESA],"Despesa",LANÇ_MOV[CONTAS],$C1053,LANÇ_MOV[PLANO DE CONTAS],REL_DRE_FINANCEIRO!$B$957,LANÇ_MOV[ANO PAGAMENTO],$B$4,LANÇ_MOV[MÊS PAGAMENTO CORRESPONDENTE],F$6,LANÇ_MOV[EMPRESA],$C$4,LANÇ_MOV[CENTRO DE CUSTOS],$D$4)</f>
        <v>0</v>
      </c>
      <c r="G1053" s="206">
        <f>SUMIFS(LANÇ_MOV[VALOR LÍQUIDO],LANÇ_MOV[RECEITA OU DESPESA],"Despesa",LANÇ_MOV[CONTAS],$C1053,LANÇ_MOV[PLANO DE CONTAS],REL_DRE_FINANCEIRO!$B$957,LANÇ_MOV[ANO PAGAMENTO],$B$4,LANÇ_MOV[MÊS PAGAMENTO CORRESPONDENTE],G$6,LANÇ_MOV[EMPRESA],$C$4,LANÇ_MOV[CENTRO DE CUSTOS],$D$4)</f>
        <v>0</v>
      </c>
      <c r="H1053" s="206">
        <f>SUMIFS(LANÇ_MOV[VALOR LÍQUIDO],LANÇ_MOV[RECEITA OU DESPESA],"Despesa",LANÇ_MOV[CONTAS],$C1053,LANÇ_MOV[PLANO DE CONTAS],REL_DRE_FINANCEIRO!$B$957,LANÇ_MOV[ANO PAGAMENTO],$B$4,LANÇ_MOV[MÊS PAGAMENTO CORRESPONDENTE],H$6,LANÇ_MOV[EMPRESA],$C$4,LANÇ_MOV[CENTRO DE CUSTOS],$D$4)</f>
        <v>0</v>
      </c>
      <c r="I1053" s="206">
        <f>SUMIFS(LANÇ_MOV[VALOR LÍQUIDO],LANÇ_MOV[RECEITA OU DESPESA],"Despesa",LANÇ_MOV[CONTAS],$C1053,LANÇ_MOV[PLANO DE CONTAS],REL_DRE_FINANCEIRO!$B$957,LANÇ_MOV[ANO PAGAMENTO],$B$4,LANÇ_MOV[MÊS PAGAMENTO CORRESPONDENTE],I$6,LANÇ_MOV[EMPRESA],$C$4,LANÇ_MOV[CENTRO DE CUSTOS],$D$4)</f>
        <v>0</v>
      </c>
      <c r="J1053" s="206">
        <f>SUMIFS(LANÇ_MOV[VALOR LÍQUIDO],LANÇ_MOV[RECEITA OU DESPESA],"Despesa",LANÇ_MOV[CONTAS],$C1053,LANÇ_MOV[PLANO DE CONTAS],REL_DRE_FINANCEIRO!$B$957,LANÇ_MOV[ANO PAGAMENTO],$B$4,LANÇ_MOV[MÊS PAGAMENTO CORRESPONDENTE],J$6,LANÇ_MOV[EMPRESA],$C$4,LANÇ_MOV[CENTRO DE CUSTOS],$D$4)</f>
        <v>0</v>
      </c>
      <c r="K1053" s="206">
        <f>SUMIFS(LANÇ_MOV[VALOR LÍQUIDO],LANÇ_MOV[RECEITA OU DESPESA],"Despesa",LANÇ_MOV[CONTAS],$C1053,LANÇ_MOV[PLANO DE CONTAS],REL_DRE_FINANCEIRO!$B$957,LANÇ_MOV[ANO PAGAMENTO],$B$4,LANÇ_MOV[MÊS PAGAMENTO CORRESPONDENTE],K$6,LANÇ_MOV[EMPRESA],$C$4,LANÇ_MOV[CENTRO DE CUSTOS],$D$4)</f>
        <v>0</v>
      </c>
      <c r="L1053" s="206">
        <f>SUMIFS(LANÇ_MOV[VALOR LÍQUIDO],LANÇ_MOV[RECEITA OU DESPESA],"Despesa",LANÇ_MOV[CONTAS],$C1053,LANÇ_MOV[PLANO DE CONTAS],REL_DRE_FINANCEIRO!$B$957,LANÇ_MOV[ANO PAGAMENTO],$B$4,LANÇ_MOV[MÊS PAGAMENTO CORRESPONDENTE],L$6,LANÇ_MOV[EMPRESA],$C$4,LANÇ_MOV[CENTRO DE CUSTOS],$D$4)</f>
        <v>0</v>
      </c>
      <c r="M1053" s="206">
        <f>SUMIFS(LANÇ_MOV[VALOR LÍQUIDO],LANÇ_MOV[RECEITA OU DESPESA],"Despesa",LANÇ_MOV[CONTAS],$C1053,LANÇ_MOV[PLANO DE CONTAS],REL_DRE_FINANCEIRO!$B$957,LANÇ_MOV[ANO PAGAMENTO],$B$4,LANÇ_MOV[MÊS PAGAMENTO CORRESPONDENTE],M$6,LANÇ_MOV[EMPRESA],$C$4,LANÇ_MOV[CENTRO DE CUSTOS],$D$4)</f>
        <v>0</v>
      </c>
      <c r="N1053" s="206">
        <f>SUMIFS(LANÇ_MOV[VALOR LÍQUIDO],LANÇ_MOV[RECEITA OU DESPESA],"Despesa",LANÇ_MOV[CONTAS],$C1053,LANÇ_MOV[PLANO DE CONTAS],REL_DRE_FINANCEIRO!$B$957,LANÇ_MOV[ANO PAGAMENTO],$B$4,LANÇ_MOV[MÊS PAGAMENTO CORRESPONDENTE],N$6,LANÇ_MOV[EMPRESA],$C$4,LANÇ_MOV[CENTRO DE CUSTOS],$D$4)</f>
        <v>0</v>
      </c>
      <c r="O1053" s="206">
        <f>SUMIFS(LANÇ_MOV[VALOR LÍQUIDO],LANÇ_MOV[RECEITA OU DESPESA],"Despesa",LANÇ_MOV[CONTAS],$C1053,LANÇ_MOV[PLANO DE CONTAS],REL_DRE_FINANCEIRO!$B$957,LANÇ_MOV[ANO PAGAMENTO],$B$4,LANÇ_MOV[MÊS PAGAMENTO CORRESPONDENTE],O$6,LANÇ_MOV[EMPRESA],$C$4,LANÇ_MOV[CENTRO DE CUSTOS],$D$4)</f>
        <v>0</v>
      </c>
      <c r="P1053" s="207">
        <f t="shared" si="127"/>
        <v>0</v>
      </c>
      <c r="Q1053" s="329">
        <v>4.9999999999999998E-7</v>
      </c>
      <c r="R1053" s="346">
        <f t="shared" si="128"/>
        <v>4.9999999999999998E-7</v>
      </c>
      <c r="S1053" s="347" t="str">
        <f t="shared" si="129"/>
        <v>-</v>
      </c>
      <c r="T1053" s="347">
        <f t="shared" si="130"/>
        <v>0</v>
      </c>
      <c r="U1053" s="347">
        <f>HLOOKUP(Apoio!$P$12,$D$956:$P$1057,X1053,FALSE)+Q1053</f>
        <v>4.9999999999999998E-7</v>
      </c>
      <c r="V1053" s="447" t="str">
        <f t="shared" si="131"/>
        <v>-</v>
      </c>
      <c r="W1053" s="448">
        <f>HLOOKUP(Apoio!$P$12,$D$956:$P$1057,X1053,FALSE)</f>
        <v>0</v>
      </c>
      <c r="X1053" s="329">
        <v>98</v>
      </c>
    </row>
    <row r="1054" spans="2:24" ht="30.05" customHeight="1" x14ac:dyDescent="0.35">
      <c r="B1054" s="204" t="str">
        <f>'CAD_PL_REC-DESP'!AF101</f>
        <v>2.8.97</v>
      </c>
      <c r="C1054" s="205" t="str">
        <f>IF('CAD_PL_REC-DESP'!AG101="","-",'CAD_PL_REC-DESP'!AG101)</f>
        <v>-</v>
      </c>
      <c r="D1054" s="206">
        <f>SUMIFS(LANÇ_MOV[VALOR LÍQUIDO],LANÇ_MOV[RECEITA OU DESPESA],"Despesa",LANÇ_MOV[CONTAS],$C1054,LANÇ_MOV[PLANO DE CONTAS],REL_DRE_FINANCEIRO!$B$957,LANÇ_MOV[ANO PAGAMENTO],$B$4,LANÇ_MOV[MÊS PAGAMENTO CORRESPONDENTE],D$6,LANÇ_MOV[EMPRESA],$C$4,LANÇ_MOV[CENTRO DE CUSTOS],$D$4)</f>
        <v>0</v>
      </c>
      <c r="E1054" s="206">
        <f>SUMIFS(LANÇ_MOV[VALOR LÍQUIDO],LANÇ_MOV[RECEITA OU DESPESA],"Despesa",LANÇ_MOV[CONTAS],$C1054,LANÇ_MOV[PLANO DE CONTAS],REL_DRE_FINANCEIRO!$B$957,LANÇ_MOV[ANO PAGAMENTO],$B$4,LANÇ_MOV[MÊS PAGAMENTO CORRESPONDENTE],E$6,LANÇ_MOV[EMPRESA],$C$4,LANÇ_MOV[CENTRO DE CUSTOS],$D$4)</f>
        <v>0</v>
      </c>
      <c r="F1054" s="206">
        <f>SUMIFS(LANÇ_MOV[VALOR LÍQUIDO],LANÇ_MOV[RECEITA OU DESPESA],"Despesa",LANÇ_MOV[CONTAS],$C1054,LANÇ_MOV[PLANO DE CONTAS],REL_DRE_FINANCEIRO!$B$957,LANÇ_MOV[ANO PAGAMENTO],$B$4,LANÇ_MOV[MÊS PAGAMENTO CORRESPONDENTE],F$6,LANÇ_MOV[EMPRESA],$C$4,LANÇ_MOV[CENTRO DE CUSTOS],$D$4)</f>
        <v>0</v>
      </c>
      <c r="G1054" s="206">
        <f>SUMIFS(LANÇ_MOV[VALOR LÍQUIDO],LANÇ_MOV[RECEITA OU DESPESA],"Despesa",LANÇ_MOV[CONTAS],$C1054,LANÇ_MOV[PLANO DE CONTAS],REL_DRE_FINANCEIRO!$B$957,LANÇ_MOV[ANO PAGAMENTO],$B$4,LANÇ_MOV[MÊS PAGAMENTO CORRESPONDENTE],G$6,LANÇ_MOV[EMPRESA],$C$4,LANÇ_MOV[CENTRO DE CUSTOS],$D$4)</f>
        <v>0</v>
      </c>
      <c r="H1054" s="206">
        <f>SUMIFS(LANÇ_MOV[VALOR LÍQUIDO],LANÇ_MOV[RECEITA OU DESPESA],"Despesa",LANÇ_MOV[CONTAS],$C1054,LANÇ_MOV[PLANO DE CONTAS],REL_DRE_FINANCEIRO!$B$957,LANÇ_MOV[ANO PAGAMENTO],$B$4,LANÇ_MOV[MÊS PAGAMENTO CORRESPONDENTE],H$6,LANÇ_MOV[EMPRESA],$C$4,LANÇ_MOV[CENTRO DE CUSTOS],$D$4)</f>
        <v>0</v>
      </c>
      <c r="I1054" s="206">
        <f>SUMIFS(LANÇ_MOV[VALOR LÍQUIDO],LANÇ_MOV[RECEITA OU DESPESA],"Despesa",LANÇ_MOV[CONTAS],$C1054,LANÇ_MOV[PLANO DE CONTAS],REL_DRE_FINANCEIRO!$B$957,LANÇ_MOV[ANO PAGAMENTO],$B$4,LANÇ_MOV[MÊS PAGAMENTO CORRESPONDENTE],I$6,LANÇ_MOV[EMPRESA],$C$4,LANÇ_MOV[CENTRO DE CUSTOS],$D$4)</f>
        <v>0</v>
      </c>
      <c r="J1054" s="206">
        <f>SUMIFS(LANÇ_MOV[VALOR LÍQUIDO],LANÇ_MOV[RECEITA OU DESPESA],"Despesa",LANÇ_MOV[CONTAS],$C1054,LANÇ_MOV[PLANO DE CONTAS],REL_DRE_FINANCEIRO!$B$957,LANÇ_MOV[ANO PAGAMENTO],$B$4,LANÇ_MOV[MÊS PAGAMENTO CORRESPONDENTE],J$6,LANÇ_MOV[EMPRESA],$C$4,LANÇ_MOV[CENTRO DE CUSTOS],$D$4)</f>
        <v>0</v>
      </c>
      <c r="K1054" s="206">
        <f>SUMIFS(LANÇ_MOV[VALOR LÍQUIDO],LANÇ_MOV[RECEITA OU DESPESA],"Despesa",LANÇ_MOV[CONTAS],$C1054,LANÇ_MOV[PLANO DE CONTAS],REL_DRE_FINANCEIRO!$B$957,LANÇ_MOV[ANO PAGAMENTO],$B$4,LANÇ_MOV[MÊS PAGAMENTO CORRESPONDENTE],K$6,LANÇ_MOV[EMPRESA],$C$4,LANÇ_MOV[CENTRO DE CUSTOS],$D$4)</f>
        <v>0</v>
      </c>
      <c r="L1054" s="206">
        <f>SUMIFS(LANÇ_MOV[VALOR LÍQUIDO],LANÇ_MOV[RECEITA OU DESPESA],"Despesa",LANÇ_MOV[CONTAS],$C1054,LANÇ_MOV[PLANO DE CONTAS],REL_DRE_FINANCEIRO!$B$957,LANÇ_MOV[ANO PAGAMENTO],$B$4,LANÇ_MOV[MÊS PAGAMENTO CORRESPONDENTE],L$6,LANÇ_MOV[EMPRESA],$C$4,LANÇ_MOV[CENTRO DE CUSTOS],$D$4)</f>
        <v>0</v>
      </c>
      <c r="M1054" s="206">
        <f>SUMIFS(LANÇ_MOV[VALOR LÍQUIDO],LANÇ_MOV[RECEITA OU DESPESA],"Despesa",LANÇ_MOV[CONTAS],$C1054,LANÇ_MOV[PLANO DE CONTAS],REL_DRE_FINANCEIRO!$B$957,LANÇ_MOV[ANO PAGAMENTO],$B$4,LANÇ_MOV[MÊS PAGAMENTO CORRESPONDENTE],M$6,LANÇ_MOV[EMPRESA],$C$4,LANÇ_MOV[CENTRO DE CUSTOS],$D$4)</f>
        <v>0</v>
      </c>
      <c r="N1054" s="206">
        <f>SUMIFS(LANÇ_MOV[VALOR LÍQUIDO],LANÇ_MOV[RECEITA OU DESPESA],"Despesa",LANÇ_MOV[CONTAS],$C1054,LANÇ_MOV[PLANO DE CONTAS],REL_DRE_FINANCEIRO!$B$957,LANÇ_MOV[ANO PAGAMENTO],$B$4,LANÇ_MOV[MÊS PAGAMENTO CORRESPONDENTE],N$6,LANÇ_MOV[EMPRESA],$C$4,LANÇ_MOV[CENTRO DE CUSTOS],$D$4)</f>
        <v>0</v>
      </c>
      <c r="O1054" s="206">
        <f>SUMIFS(LANÇ_MOV[VALOR LÍQUIDO],LANÇ_MOV[RECEITA OU DESPESA],"Despesa",LANÇ_MOV[CONTAS],$C1054,LANÇ_MOV[PLANO DE CONTAS],REL_DRE_FINANCEIRO!$B$957,LANÇ_MOV[ANO PAGAMENTO],$B$4,LANÇ_MOV[MÊS PAGAMENTO CORRESPONDENTE],O$6,LANÇ_MOV[EMPRESA],$C$4,LANÇ_MOV[CENTRO DE CUSTOS],$D$4)</f>
        <v>0</v>
      </c>
      <c r="P1054" s="207">
        <f t="shared" si="127"/>
        <v>0</v>
      </c>
      <c r="Q1054" s="329">
        <v>3.9999999999999998E-7</v>
      </c>
      <c r="R1054" s="346">
        <f t="shared" si="128"/>
        <v>3.9999999999999998E-7</v>
      </c>
      <c r="S1054" s="347" t="str">
        <f t="shared" si="129"/>
        <v>-</v>
      </c>
      <c r="T1054" s="347">
        <f t="shared" si="130"/>
        <v>0</v>
      </c>
      <c r="U1054" s="347">
        <f>HLOOKUP(Apoio!$P$12,$D$956:$P$1057,X1054,FALSE)+Q1054</f>
        <v>3.9999999999999998E-7</v>
      </c>
      <c r="V1054" s="447" t="str">
        <f t="shared" si="131"/>
        <v>-</v>
      </c>
      <c r="W1054" s="448">
        <f>HLOOKUP(Apoio!$P$12,$D$956:$P$1057,X1054,FALSE)</f>
        <v>0</v>
      </c>
      <c r="X1054" s="329">
        <v>99</v>
      </c>
    </row>
    <row r="1055" spans="2:24" ht="30.05" customHeight="1" x14ac:dyDescent="0.35">
      <c r="B1055" s="204" t="str">
        <f>'CAD_PL_REC-DESP'!AF102</f>
        <v>2.8.98</v>
      </c>
      <c r="C1055" s="205" t="str">
        <f>IF('CAD_PL_REC-DESP'!AG102="","-",'CAD_PL_REC-DESP'!AG102)</f>
        <v>-</v>
      </c>
      <c r="D1055" s="206">
        <f>SUMIFS(LANÇ_MOV[VALOR LÍQUIDO],LANÇ_MOV[RECEITA OU DESPESA],"Despesa",LANÇ_MOV[CONTAS],$C1055,LANÇ_MOV[PLANO DE CONTAS],REL_DRE_FINANCEIRO!$B$957,LANÇ_MOV[ANO PAGAMENTO],$B$4,LANÇ_MOV[MÊS PAGAMENTO CORRESPONDENTE],D$6,LANÇ_MOV[EMPRESA],$C$4,LANÇ_MOV[CENTRO DE CUSTOS],$D$4)</f>
        <v>0</v>
      </c>
      <c r="E1055" s="206">
        <f>SUMIFS(LANÇ_MOV[VALOR LÍQUIDO],LANÇ_MOV[RECEITA OU DESPESA],"Despesa",LANÇ_MOV[CONTAS],$C1055,LANÇ_MOV[PLANO DE CONTAS],REL_DRE_FINANCEIRO!$B$957,LANÇ_MOV[ANO PAGAMENTO],$B$4,LANÇ_MOV[MÊS PAGAMENTO CORRESPONDENTE],E$6,LANÇ_MOV[EMPRESA],$C$4,LANÇ_MOV[CENTRO DE CUSTOS],$D$4)</f>
        <v>0</v>
      </c>
      <c r="F1055" s="206">
        <f>SUMIFS(LANÇ_MOV[VALOR LÍQUIDO],LANÇ_MOV[RECEITA OU DESPESA],"Despesa",LANÇ_MOV[CONTAS],$C1055,LANÇ_MOV[PLANO DE CONTAS],REL_DRE_FINANCEIRO!$B$957,LANÇ_MOV[ANO PAGAMENTO],$B$4,LANÇ_MOV[MÊS PAGAMENTO CORRESPONDENTE],F$6,LANÇ_MOV[EMPRESA],$C$4,LANÇ_MOV[CENTRO DE CUSTOS],$D$4)</f>
        <v>0</v>
      </c>
      <c r="G1055" s="206">
        <f>SUMIFS(LANÇ_MOV[VALOR LÍQUIDO],LANÇ_MOV[RECEITA OU DESPESA],"Despesa",LANÇ_MOV[CONTAS],$C1055,LANÇ_MOV[PLANO DE CONTAS],REL_DRE_FINANCEIRO!$B$957,LANÇ_MOV[ANO PAGAMENTO],$B$4,LANÇ_MOV[MÊS PAGAMENTO CORRESPONDENTE],G$6,LANÇ_MOV[EMPRESA],$C$4,LANÇ_MOV[CENTRO DE CUSTOS],$D$4)</f>
        <v>0</v>
      </c>
      <c r="H1055" s="206">
        <f>SUMIFS(LANÇ_MOV[VALOR LÍQUIDO],LANÇ_MOV[RECEITA OU DESPESA],"Despesa",LANÇ_MOV[CONTAS],$C1055,LANÇ_MOV[PLANO DE CONTAS],REL_DRE_FINANCEIRO!$B$957,LANÇ_MOV[ANO PAGAMENTO],$B$4,LANÇ_MOV[MÊS PAGAMENTO CORRESPONDENTE],H$6,LANÇ_MOV[EMPRESA],$C$4,LANÇ_MOV[CENTRO DE CUSTOS],$D$4)</f>
        <v>0</v>
      </c>
      <c r="I1055" s="206">
        <f>SUMIFS(LANÇ_MOV[VALOR LÍQUIDO],LANÇ_MOV[RECEITA OU DESPESA],"Despesa",LANÇ_MOV[CONTAS],$C1055,LANÇ_MOV[PLANO DE CONTAS],REL_DRE_FINANCEIRO!$B$957,LANÇ_MOV[ANO PAGAMENTO],$B$4,LANÇ_MOV[MÊS PAGAMENTO CORRESPONDENTE],I$6,LANÇ_MOV[EMPRESA],$C$4,LANÇ_MOV[CENTRO DE CUSTOS],$D$4)</f>
        <v>0</v>
      </c>
      <c r="J1055" s="206">
        <f>SUMIFS(LANÇ_MOV[VALOR LÍQUIDO],LANÇ_MOV[RECEITA OU DESPESA],"Despesa",LANÇ_MOV[CONTAS],$C1055,LANÇ_MOV[PLANO DE CONTAS],REL_DRE_FINANCEIRO!$B$957,LANÇ_MOV[ANO PAGAMENTO],$B$4,LANÇ_MOV[MÊS PAGAMENTO CORRESPONDENTE],J$6,LANÇ_MOV[EMPRESA],$C$4,LANÇ_MOV[CENTRO DE CUSTOS],$D$4)</f>
        <v>0</v>
      </c>
      <c r="K1055" s="206">
        <f>SUMIFS(LANÇ_MOV[VALOR LÍQUIDO],LANÇ_MOV[RECEITA OU DESPESA],"Despesa",LANÇ_MOV[CONTAS],$C1055,LANÇ_MOV[PLANO DE CONTAS],REL_DRE_FINANCEIRO!$B$957,LANÇ_MOV[ANO PAGAMENTO],$B$4,LANÇ_MOV[MÊS PAGAMENTO CORRESPONDENTE],K$6,LANÇ_MOV[EMPRESA],$C$4,LANÇ_MOV[CENTRO DE CUSTOS],$D$4)</f>
        <v>0</v>
      </c>
      <c r="L1055" s="206">
        <f>SUMIFS(LANÇ_MOV[VALOR LÍQUIDO],LANÇ_MOV[RECEITA OU DESPESA],"Despesa",LANÇ_MOV[CONTAS],$C1055,LANÇ_MOV[PLANO DE CONTAS],REL_DRE_FINANCEIRO!$B$957,LANÇ_MOV[ANO PAGAMENTO],$B$4,LANÇ_MOV[MÊS PAGAMENTO CORRESPONDENTE],L$6,LANÇ_MOV[EMPRESA],$C$4,LANÇ_MOV[CENTRO DE CUSTOS],$D$4)</f>
        <v>0</v>
      </c>
      <c r="M1055" s="206">
        <f>SUMIFS(LANÇ_MOV[VALOR LÍQUIDO],LANÇ_MOV[RECEITA OU DESPESA],"Despesa",LANÇ_MOV[CONTAS],$C1055,LANÇ_MOV[PLANO DE CONTAS],REL_DRE_FINANCEIRO!$B$957,LANÇ_MOV[ANO PAGAMENTO],$B$4,LANÇ_MOV[MÊS PAGAMENTO CORRESPONDENTE],M$6,LANÇ_MOV[EMPRESA],$C$4,LANÇ_MOV[CENTRO DE CUSTOS],$D$4)</f>
        <v>0</v>
      </c>
      <c r="N1055" s="206">
        <f>SUMIFS(LANÇ_MOV[VALOR LÍQUIDO],LANÇ_MOV[RECEITA OU DESPESA],"Despesa",LANÇ_MOV[CONTAS],$C1055,LANÇ_MOV[PLANO DE CONTAS],REL_DRE_FINANCEIRO!$B$957,LANÇ_MOV[ANO PAGAMENTO],$B$4,LANÇ_MOV[MÊS PAGAMENTO CORRESPONDENTE],N$6,LANÇ_MOV[EMPRESA],$C$4,LANÇ_MOV[CENTRO DE CUSTOS],$D$4)</f>
        <v>0</v>
      </c>
      <c r="O1055" s="206">
        <f>SUMIFS(LANÇ_MOV[VALOR LÍQUIDO],LANÇ_MOV[RECEITA OU DESPESA],"Despesa",LANÇ_MOV[CONTAS],$C1055,LANÇ_MOV[PLANO DE CONTAS],REL_DRE_FINANCEIRO!$B$957,LANÇ_MOV[ANO PAGAMENTO],$B$4,LANÇ_MOV[MÊS PAGAMENTO CORRESPONDENTE],O$6,LANÇ_MOV[EMPRESA],$C$4,LANÇ_MOV[CENTRO DE CUSTOS],$D$4)</f>
        <v>0</v>
      </c>
      <c r="P1055" s="207">
        <f t="shared" si="127"/>
        <v>0</v>
      </c>
      <c r="Q1055" s="329">
        <v>2.9999999999999999E-7</v>
      </c>
      <c r="R1055" s="346">
        <f t="shared" si="128"/>
        <v>2.9999999999999999E-7</v>
      </c>
      <c r="S1055" s="347" t="str">
        <f t="shared" si="129"/>
        <v>-</v>
      </c>
      <c r="T1055" s="347">
        <f t="shared" si="130"/>
        <v>0</v>
      </c>
      <c r="U1055" s="347">
        <f>HLOOKUP(Apoio!$P$12,$D$956:$P$1057,X1055,FALSE)+Q1055</f>
        <v>2.9999999999999999E-7</v>
      </c>
      <c r="V1055" s="447" t="str">
        <f t="shared" si="131"/>
        <v>-</v>
      </c>
      <c r="W1055" s="448">
        <f>HLOOKUP(Apoio!$P$12,$D$956:$P$1057,X1055,FALSE)</f>
        <v>0</v>
      </c>
      <c r="X1055" s="329">
        <v>100</v>
      </c>
    </row>
    <row r="1056" spans="2:24" ht="30.05" customHeight="1" x14ac:dyDescent="0.35">
      <c r="B1056" s="204" t="str">
        <f>'CAD_PL_REC-DESP'!AF103</f>
        <v>2.8.99</v>
      </c>
      <c r="C1056" s="205" t="str">
        <f>IF('CAD_PL_REC-DESP'!AG103="","-",'CAD_PL_REC-DESP'!AG103)</f>
        <v>-</v>
      </c>
      <c r="D1056" s="206">
        <f>SUMIFS(LANÇ_MOV[VALOR LÍQUIDO],LANÇ_MOV[RECEITA OU DESPESA],"Despesa",LANÇ_MOV[CONTAS],$C1056,LANÇ_MOV[PLANO DE CONTAS],REL_DRE_FINANCEIRO!$B$957,LANÇ_MOV[ANO PAGAMENTO],$B$4,LANÇ_MOV[MÊS PAGAMENTO CORRESPONDENTE],D$6,LANÇ_MOV[EMPRESA],$C$4,LANÇ_MOV[CENTRO DE CUSTOS],$D$4)</f>
        <v>0</v>
      </c>
      <c r="E1056" s="206">
        <f>SUMIFS(LANÇ_MOV[VALOR LÍQUIDO],LANÇ_MOV[RECEITA OU DESPESA],"Despesa",LANÇ_MOV[CONTAS],$C1056,LANÇ_MOV[PLANO DE CONTAS],REL_DRE_FINANCEIRO!$B$957,LANÇ_MOV[ANO PAGAMENTO],$B$4,LANÇ_MOV[MÊS PAGAMENTO CORRESPONDENTE],E$6,LANÇ_MOV[EMPRESA],$C$4,LANÇ_MOV[CENTRO DE CUSTOS],$D$4)</f>
        <v>0</v>
      </c>
      <c r="F1056" s="206">
        <f>SUMIFS(LANÇ_MOV[VALOR LÍQUIDO],LANÇ_MOV[RECEITA OU DESPESA],"Despesa",LANÇ_MOV[CONTAS],$C1056,LANÇ_MOV[PLANO DE CONTAS],REL_DRE_FINANCEIRO!$B$957,LANÇ_MOV[ANO PAGAMENTO],$B$4,LANÇ_MOV[MÊS PAGAMENTO CORRESPONDENTE],F$6,LANÇ_MOV[EMPRESA],$C$4,LANÇ_MOV[CENTRO DE CUSTOS],$D$4)</f>
        <v>0</v>
      </c>
      <c r="G1056" s="206">
        <f>SUMIFS(LANÇ_MOV[VALOR LÍQUIDO],LANÇ_MOV[RECEITA OU DESPESA],"Despesa",LANÇ_MOV[CONTAS],$C1056,LANÇ_MOV[PLANO DE CONTAS],REL_DRE_FINANCEIRO!$B$957,LANÇ_MOV[ANO PAGAMENTO],$B$4,LANÇ_MOV[MÊS PAGAMENTO CORRESPONDENTE],G$6,LANÇ_MOV[EMPRESA],$C$4,LANÇ_MOV[CENTRO DE CUSTOS],$D$4)</f>
        <v>0</v>
      </c>
      <c r="H1056" s="206">
        <f>SUMIFS(LANÇ_MOV[VALOR LÍQUIDO],LANÇ_MOV[RECEITA OU DESPESA],"Despesa",LANÇ_MOV[CONTAS],$C1056,LANÇ_MOV[PLANO DE CONTAS],REL_DRE_FINANCEIRO!$B$957,LANÇ_MOV[ANO PAGAMENTO],$B$4,LANÇ_MOV[MÊS PAGAMENTO CORRESPONDENTE],H$6,LANÇ_MOV[EMPRESA],$C$4,LANÇ_MOV[CENTRO DE CUSTOS],$D$4)</f>
        <v>0</v>
      </c>
      <c r="I1056" s="206">
        <f>SUMIFS(LANÇ_MOV[VALOR LÍQUIDO],LANÇ_MOV[RECEITA OU DESPESA],"Despesa",LANÇ_MOV[CONTAS],$C1056,LANÇ_MOV[PLANO DE CONTAS],REL_DRE_FINANCEIRO!$B$957,LANÇ_MOV[ANO PAGAMENTO],$B$4,LANÇ_MOV[MÊS PAGAMENTO CORRESPONDENTE],I$6,LANÇ_MOV[EMPRESA],$C$4,LANÇ_MOV[CENTRO DE CUSTOS],$D$4)</f>
        <v>0</v>
      </c>
      <c r="J1056" s="206">
        <f>SUMIFS(LANÇ_MOV[VALOR LÍQUIDO],LANÇ_MOV[RECEITA OU DESPESA],"Despesa",LANÇ_MOV[CONTAS],$C1056,LANÇ_MOV[PLANO DE CONTAS],REL_DRE_FINANCEIRO!$B$957,LANÇ_MOV[ANO PAGAMENTO],$B$4,LANÇ_MOV[MÊS PAGAMENTO CORRESPONDENTE],J$6,LANÇ_MOV[EMPRESA],$C$4,LANÇ_MOV[CENTRO DE CUSTOS],$D$4)</f>
        <v>0</v>
      </c>
      <c r="K1056" s="206">
        <f>SUMIFS(LANÇ_MOV[VALOR LÍQUIDO],LANÇ_MOV[RECEITA OU DESPESA],"Despesa",LANÇ_MOV[CONTAS],$C1056,LANÇ_MOV[PLANO DE CONTAS],REL_DRE_FINANCEIRO!$B$957,LANÇ_MOV[ANO PAGAMENTO],$B$4,LANÇ_MOV[MÊS PAGAMENTO CORRESPONDENTE],K$6,LANÇ_MOV[EMPRESA],$C$4,LANÇ_MOV[CENTRO DE CUSTOS],$D$4)</f>
        <v>0</v>
      </c>
      <c r="L1056" s="206">
        <f>SUMIFS(LANÇ_MOV[VALOR LÍQUIDO],LANÇ_MOV[RECEITA OU DESPESA],"Despesa",LANÇ_MOV[CONTAS],$C1056,LANÇ_MOV[PLANO DE CONTAS],REL_DRE_FINANCEIRO!$B$957,LANÇ_MOV[ANO PAGAMENTO],$B$4,LANÇ_MOV[MÊS PAGAMENTO CORRESPONDENTE],L$6,LANÇ_MOV[EMPRESA],$C$4,LANÇ_MOV[CENTRO DE CUSTOS],$D$4)</f>
        <v>0</v>
      </c>
      <c r="M1056" s="206">
        <f>SUMIFS(LANÇ_MOV[VALOR LÍQUIDO],LANÇ_MOV[RECEITA OU DESPESA],"Despesa",LANÇ_MOV[CONTAS],$C1056,LANÇ_MOV[PLANO DE CONTAS],REL_DRE_FINANCEIRO!$B$957,LANÇ_MOV[ANO PAGAMENTO],$B$4,LANÇ_MOV[MÊS PAGAMENTO CORRESPONDENTE],M$6,LANÇ_MOV[EMPRESA],$C$4,LANÇ_MOV[CENTRO DE CUSTOS],$D$4)</f>
        <v>0</v>
      </c>
      <c r="N1056" s="206">
        <f>SUMIFS(LANÇ_MOV[VALOR LÍQUIDO],LANÇ_MOV[RECEITA OU DESPESA],"Despesa",LANÇ_MOV[CONTAS],$C1056,LANÇ_MOV[PLANO DE CONTAS],REL_DRE_FINANCEIRO!$B$957,LANÇ_MOV[ANO PAGAMENTO],$B$4,LANÇ_MOV[MÊS PAGAMENTO CORRESPONDENTE],N$6,LANÇ_MOV[EMPRESA],$C$4,LANÇ_MOV[CENTRO DE CUSTOS],$D$4)</f>
        <v>0</v>
      </c>
      <c r="O1056" s="206">
        <f>SUMIFS(LANÇ_MOV[VALOR LÍQUIDO],LANÇ_MOV[RECEITA OU DESPESA],"Despesa",LANÇ_MOV[CONTAS],$C1056,LANÇ_MOV[PLANO DE CONTAS],REL_DRE_FINANCEIRO!$B$957,LANÇ_MOV[ANO PAGAMENTO],$B$4,LANÇ_MOV[MÊS PAGAMENTO CORRESPONDENTE],O$6,LANÇ_MOV[EMPRESA],$C$4,LANÇ_MOV[CENTRO DE CUSTOS],$D$4)</f>
        <v>0</v>
      </c>
      <c r="P1056" s="207">
        <f t="shared" si="127"/>
        <v>0</v>
      </c>
      <c r="Q1056" s="329">
        <v>1.9999999999999999E-7</v>
      </c>
      <c r="R1056" s="346">
        <f t="shared" si="128"/>
        <v>1.9999999999999999E-7</v>
      </c>
      <c r="S1056" s="347" t="str">
        <f t="shared" si="129"/>
        <v>-</v>
      </c>
      <c r="T1056" s="347">
        <f t="shared" si="130"/>
        <v>0</v>
      </c>
      <c r="U1056" s="347">
        <f>HLOOKUP(Apoio!$P$12,$D$956:$P$1057,X1056,FALSE)+Q1056</f>
        <v>1.9999999999999999E-7</v>
      </c>
      <c r="V1056" s="447" t="str">
        <f t="shared" si="131"/>
        <v>-</v>
      </c>
      <c r="W1056" s="448">
        <f>HLOOKUP(Apoio!$P$12,$D$956:$P$1057,X1056,FALSE)</f>
        <v>0</v>
      </c>
      <c r="X1056" s="329">
        <v>101</v>
      </c>
    </row>
    <row r="1057" spans="2:50" ht="30.05" customHeight="1" x14ac:dyDescent="0.35">
      <c r="B1057" s="204" t="str">
        <f>'CAD_PL_REC-DESP'!AF104</f>
        <v>2.8.100</v>
      </c>
      <c r="C1057" s="205" t="str">
        <f>IF('CAD_PL_REC-DESP'!AG104="","-",'CAD_PL_REC-DESP'!AG104)</f>
        <v>-</v>
      </c>
      <c r="D1057" s="206">
        <f>SUMIFS(LANÇ_MOV[VALOR LÍQUIDO],LANÇ_MOV[RECEITA OU DESPESA],"Despesa",LANÇ_MOV[CONTAS],$C1057,LANÇ_MOV[PLANO DE CONTAS],REL_DRE_FINANCEIRO!$B$957,LANÇ_MOV[ANO PAGAMENTO],$B$4,LANÇ_MOV[MÊS PAGAMENTO CORRESPONDENTE],D$6,LANÇ_MOV[EMPRESA],$C$4,LANÇ_MOV[CENTRO DE CUSTOS],$D$4)</f>
        <v>0</v>
      </c>
      <c r="E1057" s="206">
        <f>SUMIFS(LANÇ_MOV[VALOR LÍQUIDO],LANÇ_MOV[RECEITA OU DESPESA],"Despesa",LANÇ_MOV[CONTAS],$C1057,LANÇ_MOV[PLANO DE CONTAS],REL_DRE_FINANCEIRO!$B$957,LANÇ_MOV[ANO PAGAMENTO],$B$4,LANÇ_MOV[MÊS PAGAMENTO CORRESPONDENTE],E$6,LANÇ_MOV[EMPRESA],$C$4,LANÇ_MOV[CENTRO DE CUSTOS],$D$4)</f>
        <v>0</v>
      </c>
      <c r="F1057" s="206">
        <f>SUMIFS(LANÇ_MOV[VALOR LÍQUIDO],LANÇ_MOV[RECEITA OU DESPESA],"Despesa",LANÇ_MOV[CONTAS],$C1057,LANÇ_MOV[PLANO DE CONTAS],REL_DRE_FINANCEIRO!$B$957,LANÇ_MOV[ANO PAGAMENTO],$B$4,LANÇ_MOV[MÊS PAGAMENTO CORRESPONDENTE],F$6,LANÇ_MOV[EMPRESA],$C$4,LANÇ_MOV[CENTRO DE CUSTOS],$D$4)</f>
        <v>0</v>
      </c>
      <c r="G1057" s="206">
        <f>SUMIFS(LANÇ_MOV[VALOR LÍQUIDO],LANÇ_MOV[RECEITA OU DESPESA],"Despesa",LANÇ_MOV[CONTAS],$C1057,LANÇ_MOV[PLANO DE CONTAS],REL_DRE_FINANCEIRO!$B$957,LANÇ_MOV[ANO PAGAMENTO],$B$4,LANÇ_MOV[MÊS PAGAMENTO CORRESPONDENTE],G$6,LANÇ_MOV[EMPRESA],$C$4,LANÇ_MOV[CENTRO DE CUSTOS],$D$4)</f>
        <v>0</v>
      </c>
      <c r="H1057" s="206">
        <f>SUMIFS(LANÇ_MOV[VALOR LÍQUIDO],LANÇ_MOV[RECEITA OU DESPESA],"Despesa",LANÇ_MOV[CONTAS],$C1057,LANÇ_MOV[PLANO DE CONTAS],REL_DRE_FINANCEIRO!$B$957,LANÇ_MOV[ANO PAGAMENTO],$B$4,LANÇ_MOV[MÊS PAGAMENTO CORRESPONDENTE],H$6,LANÇ_MOV[EMPRESA],$C$4,LANÇ_MOV[CENTRO DE CUSTOS],$D$4)</f>
        <v>0</v>
      </c>
      <c r="I1057" s="206">
        <f>SUMIFS(LANÇ_MOV[VALOR LÍQUIDO],LANÇ_MOV[RECEITA OU DESPESA],"Despesa",LANÇ_MOV[CONTAS],$C1057,LANÇ_MOV[PLANO DE CONTAS],REL_DRE_FINANCEIRO!$B$957,LANÇ_MOV[ANO PAGAMENTO],$B$4,LANÇ_MOV[MÊS PAGAMENTO CORRESPONDENTE],I$6,LANÇ_MOV[EMPRESA],$C$4,LANÇ_MOV[CENTRO DE CUSTOS],$D$4)</f>
        <v>0</v>
      </c>
      <c r="J1057" s="206">
        <f>SUMIFS(LANÇ_MOV[VALOR LÍQUIDO],LANÇ_MOV[RECEITA OU DESPESA],"Despesa",LANÇ_MOV[CONTAS],$C1057,LANÇ_MOV[PLANO DE CONTAS],REL_DRE_FINANCEIRO!$B$957,LANÇ_MOV[ANO PAGAMENTO],$B$4,LANÇ_MOV[MÊS PAGAMENTO CORRESPONDENTE],J$6,LANÇ_MOV[EMPRESA],$C$4,LANÇ_MOV[CENTRO DE CUSTOS],$D$4)</f>
        <v>0</v>
      </c>
      <c r="K1057" s="206">
        <f>SUMIFS(LANÇ_MOV[VALOR LÍQUIDO],LANÇ_MOV[RECEITA OU DESPESA],"Despesa",LANÇ_MOV[CONTAS],$C1057,LANÇ_MOV[PLANO DE CONTAS],REL_DRE_FINANCEIRO!$B$957,LANÇ_MOV[ANO PAGAMENTO],$B$4,LANÇ_MOV[MÊS PAGAMENTO CORRESPONDENTE],K$6,LANÇ_MOV[EMPRESA],$C$4,LANÇ_MOV[CENTRO DE CUSTOS],$D$4)</f>
        <v>0</v>
      </c>
      <c r="L1057" s="206">
        <f>SUMIFS(LANÇ_MOV[VALOR LÍQUIDO],LANÇ_MOV[RECEITA OU DESPESA],"Despesa",LANÇ_MOV[CONTAS],$C1057,LANÇ_MOV[PLANO DE CONTAS],REL_DRE_FINANCEIRO!$B$957,LANÇ_MOV[ANO PAGAMENTO],$B$4,LANÇ_MOV[MÊS PAGAMENTO CORRESPONDENTE],L$6,LANÇ_MOV[EMPRESA],$C$4,LANÇ_MOV[CENTRO DE CUSTOS],$D$4)</f>
        <v>0</v>
      </c>
      <c r="M1057" s="206">
        <f>SUMIFS(LANÇ_MOV[VALOR LÍQUIDO],LANÇ_MOV[RECEITA OU DESPESA],"Despesa",LANÇ_MOV[CONTAS],$C1057,LANÇ_MOV[PLANO DE CONTAS],REL_DRE_FINANCEIRO!$B$957,LANÇ_MOV[ANO PAGAMENTO],$B$4,LANÇ_MOV[MÊS PAGAMENTO CORRESPONDENTE],M$6,LANÇ_MOV[EMPRESA],$C$4,LANÇ_MOV[CENTRO DE CUSTOS],$D$4)</f>
        <v>0</v>
      </c>
      <c r="N1057" s="206">
        <f>SUMIFS(LANÇ_MOV[VALOR LÍQUIDO],LANÇ_MOV[RECEITA OU DESPESA],"Despesa",LANÇ_MOV[CONTAS],$C1057,LANÇ_MOV[PLANO DE CONTAS],REL_DRE_FINANCEIRO!$B$957,LANÇ_MOV[ANO PAGAMENTO],$B$4,LANÇ_MOV[MÊS PAGAMENTO CORRESPONDENTE],N$6,LANÇ_MOV[EMPRESA],$C$4,LANÇ_MOV[CENTRO DE CUSTOS],$D$4)</f>
        <v>0</v>
      </c>
      <c r="O1057" s="206">
        <f>SUMIFS(LANÇ_MOV[VALOR LÍQUIDO],LANÇ_MOV[RECEITA OU DESPESA],"Despesa",LANÇ_MOV[CONTAS],$C1057,LANÇ_MOV[PLANO DE CONTAS],REL_DRE_FINANCEIRO!$B$957,LANÇ_MOV[ANO PAGAMENTO],$B$4,LANÇ_MOV[MÊS PAGAMENTO CORRESPONDENTE],O$6,LANÇ_MOV[EMPRESA],$C$4,LANÇ_MOV[CENTRO DE CUSTOS],$D$4)</f>
        <v>0</v>
      </c>
      <c r="P1057" s="207">
        <f t="shared" si="127"/>
        <v>0</v>
      </c>
      <c r="Q1057" s="329">
        <v>9.9999999999999995E-8</v>
      </c>
      <c r="R1057" s="346">
        <f t="shared" si="128"/>
        <v>9.9999999999999995E-8</v>
      </c>
      <c r="S1057" s="347" t="str">
        <f t="shared" si="129"/>
        <v>-</v>
      </c>
      <c r="T1057" s="347">
        <f t="shared" si="130"/>
        <v>0</v>
      </c>
      <c r="U1057" s="347">
        <f>HLOOKUP(Apoio!$P$12,$D$956:$P$1057,X1057,FALSE)+Q1057</f>
        <v>9.9999999999999995E-8</v>
      </c>
      <c r="V1057" s="447" t="str">
        <f t="shared" si="131"/>
        <v>-</v>
      </c>
      <c r="W1057" s="448">
        <f>HLOOKUP(Apoio!$P$12,$D$956:$P$1057,X1057,FALSE)</f>
        <v>0</v>
      </c>
      <c r="X1057" s="329">
        <v>102</v>
      </c>
    </row>
    <row r="1058" spans="2:50" ht="6.75" customHeight="1" thickBot="1" x14ac:dyDescent="0.4"/>
    <row r="1059" spans="2:50" s="208" customFormat="1" ht="30.05" customHeight="1" thickTop="1" thickBot="1" x14ac:dyDescent="0.35">
      <c r="B1059" s="603" t="s">
        <v>1108</v>
      </c>
      <c r="C1059" s="604"/>
      <c r="D1059" s="132">
        <f>D237-D239+D547-D753-D855-D957</f>
        <v>0</v>
      </c>
      <c r="E1059" s="132">
        <f t="shared" ref="E1059:P1059" si="132">E237-E239+E547-E753-E855-E957</f>
        <v>0</v>
      </c>
      <c r="F1059" s="132">
        <f t="shared" si="132"/>
        <v>0</v>
      </c>
      <c r="G1059" s="132">
        <f t="shared" si="132"/>
        <v>0</v>
      </c>
      <c r="H1059" s="132">
        <f t="shared" si="132"/>
        <v>0</v>
      </c>
      <c r="I1059" s="132">
        <f t="shared" si="132"/>
        <v>0</v>
      </c>
      <c r="J1059" s="132">
        <f t="shared" si="132"/>
        <v>0</v>
      </c>
      <c r="K1059" s="132">
        <f t="shared" si="132"/>
        <v>0</v>
      </c>
      <c r="L1059" s="132">
        <f t="shared" si="132"/>
        <v>0</v>
      </c>
      <c r="M1059" s="132">
        <f t="shared" si="132"/>
        <v>-1306.2000000000007</v>
      </c>
      <c r="N1059" s="132">
        <f t="shared" si="132"/>
        <v>2053.59</v>
      </c>
      <c r="O1059" s="132">
        <f t="shared" si="132"/>
        <v>0</v>
      </c>
      <c r="P1059" s="132">
        <f t="shared" si="132"/>
        <v>747.38999999999942</v>
      </c>
      <c r="Q1059" s="334"/>
      <c r="R1059" s="334"/>
      <c r="S1059" s="351"/>
      <c r="T1059" s="351"/>
      <c r="U1059" s="351"/>
      <c r="V1059" s="442"/>
      <c r="W1059" s="451"/>
      <c r="X1059" s="334"/>
      <c r="Y1059" s="334"/>
      <c r="Z1059" s="351"/>
      <c r="AA1059" s="351"/>
      <c r="AB1059" s="351"/>
      <c r="AC1059" s="442"/>
      <c r="AD1059" s="351"/>
      <c r="AE1059" s="351"/>
      <c r="AF1059" s="135"/>
      <c r="AG1059" s="135"/>
      <c r="AH1059" s="135"/>
      <c r="AI1059" s="135"/>
      <c r="AJ1059" s="135"/>
      <c r="AK1059" s="135"/>
      <c r="AL1059" s="135"/>
      <c r="AM1059" s="135"/>
      <c r="AN1059" s="135"/>
      <c r="AO1059" s="135"/>
      <c r="AP1059" s="135"/>
      <c r="AQ1059" s="135"/>
      <c r="AR1059" s="135"/>
      <c r="AS1059" s="135"/>
      <c r="AT1059" s="133"/>
      <c r="AU1059" s="133"/>
      <c r="AV1059" s="133"/>
      <c r="AW1059" s="133"/>
      <c r="AX1059" s="133"/>
    </row>
    <row r="1060" spans="2:50" ht="6.75" customHeight="1" thickTop="1" x14ac:dyDescent="0.35"/>
    <row r="1061" spans="2:50" ht="30.05" customHeight="1" thickBot="1" x14ac:dyDescent="0.4">
      <c r="D1061" s="25" t="s">
        <v>1044</v>
      </c>
      <c r="E1061" s="25" t="s">
        <v>1045</v>
      </c>
      <c r="F1061" s="25" t="s">
        <v>1046</v>
      </c>
      <c r="G1061" s="25" t="s">
        <v>1047</v>
      </c>
      <c r="H1061" s="25" t="s">
        <v>1048</v>
      </c>
      <c r="I1061" s="25" t="s">
        <v>1049</v>
      </c>
      <c r="J1061" s="25" t="s">
        <v>1050</v>
      </c>
      <c r="K1061" s="25" t="s">
        <v>1051</v>
      </c>
      <c r="L1061" s="25" t="s">
        <v>1052</v>
      </c>
      <c r="M1061" s="25" t="s">
        <v>1053</v>
      </c>
      <c r="N1061" s="25" t="s">
        <v>1054</v>
      </c>
      <c r="O1061" s="25" t="s">
        <v>1055</v>
      </c>
      <c r="P1061" s="135" t="s">
        <v>1198</v>
      </c>
    </row>
    <row r="1062" spans="2:50" ht="30.05" customHeight="1" thickTop="1" x14ac:dyDescent="0.35">
      <c r="B1062" s="601" t="str">
        <f>'CAD_PL_REC-DESP'!I4</f>
        <v>OUTROS CRÉDITOS (NÃO ENTRA NA DRE)</v>
      </c>
      <c r="C1062" s="602"/>
      <c r="D1062" s="203">
        <f>SUM(D1063:D1162)</f>
        <v>0</v>
      </c>
      <c r="E1062" s="203">
        <f t="shared" ref="E1062:O1062" si="133">SUM(E1063:E1162)</f>
        <v>0</v>
      </c>
      <c r="F1062" s="203">
        <f t="shared" si="133"/>
        <v>0</v>
      </c>
      <c r="G1062" s="203">
        <f t="shared" si="133"/>
        <v>0</v>
      </c>
      <c r="H1062" s="203">
        <f t="shared" si="133"/>
        <v>0</v>
      </c>
      <c r="I1062" s="203">
        <f t="shared" si="133"/>
        <v>0</v>
      </c>
      <c r="J1062" s="203">
        <f t="shared" si="133"/>
        <v>0</v>
      </c>
      <c r="K1062" s="203">
        <f t="shared" si="133"/>
        <v>0</v>
      </c>
      <c r="L1062" s="203">
        <f t="shared" si="133"/>
        <v>0</v>
      </c>
      <c r="M1062" s="203">
        <f t="shared" si="133"/>
        <v>657.12999999999988</v>
      </c>
      <c r="N1062" s="203">
        <f t="shared" si="133"/>
        <v>321.31</v>
      </c>
      <c r="O1062" s="203">
        <f t="shared" si="133"/>
        <v>0</v>
      </c>
      <c r="P1062" s="203">
        <f>SUM(D1062:O1062)</f>
        <v>978.43999999999983</v>
      </c>
      <c r="R1062" s="346"/>
      <c r="S1062" s="347"/>
      <c r="T1062" s="347"/>
      <c r="U1062" s="347"/>
      <c r="V1062" s="447"/>
      <c r="W1062" s="448"/>
      <c r="X1062" s="346"/>
    </row>
    <row r="1063" spans="2:50" ht="30.05" customHeight="1" x14ac:dyDescent="0.35">
      <c r="B1063" s="204" t="str">
        <f>'CAD_PL_REC-DESP'!H5</f>
        <v>1.3.1</v>
      </c>
      <c r="C1063" s="205" t="str">
        <f>IF('CAD_PL_REC-DESP'!I5="","-",'CAD_PL_REC-DESP'!I5)</f>
        <v>APLICAÇÃO</v>
      </c>
      <c r="D1063" s="206">
        <f>SUMIFS(LANÇ_MOV[VALOR LÍQUIDO],LANÇ_MOV[RECEITA OU DESPESA],"Receita",LANÇ_MOV[CONTAS],$C1063,LANÇ_MOV[PLANO DE CONTAS],REL_DRE_FINANCEIRO!$B$1062,LANÇ_MOV[ANO PAGAMENTO],$B$4,LANÇ_MOV[MÊS PAGAMENTO CORRESPONDENTE],D$6,LANÇ_MOV[EMPRESA],$C$4,LANÇ_MOV[CENTRO DE CUSTOS],$D$4)</f>
        <v>0</v>
      </c>
      <c r="E1063" s="206">
        <f>SUMIFS(LANÇ_MOV[VALOR LÍQUIDO],LANÇ_MOV[RECEITA OU DESPESA],"Receita",LANÇ_MOV[CONTAS],$C1063,LANÇ_MOV[PLANO DE CONTAS],REL_DRE_FINANCEIRO!$B$1062,LANÇ_MOV[ANO PAGAMENTO],$B$4,LANÇ_MOV[MÊS PAGAMENTO CORRESPONDENTE],E$6,LANÇ_MOV[EMPRESA],$C$4,LANÇ_MOV[CENTRO DE CUSTOS],$D$4)</f>
        <v>0</v>
      </c>
      <c r="F1063" s="206">
        <f>SUMIFS(LANÇ_MOV[VALOR LÍQUIDO],LANÇ_MOV[RECEITA OU DESPESA],"Receita",LANÇ_MOV[CONTAS],$C1063,LANÇ_MOV[PLANO DE CONTAS],REL_DRE_FINANCEIRO!$B$1062,LANÇ_MOV[ANO PAGAMENTO],$B$4,LANÇ_MOV[MÊS PAGAMENTO CORRESPONDENTE],F$6,LANÇ_MOV[EMPRESA],$C$4,LANÇ_MOV[CENTRO DE CUSTOS],$D$4)</f>
        <v>0</v>
      </c>
      <c r="G1063" s="206">
        <f>SUMIFS(LANÇ_MOV[VALOR LÍQUIDO],LANÇ_MOV[RECEITA OU DESPESA],"Receita",LANÇ_MOV[CONTAS],$C1063,LANÇ_MOV[PLANO DE CONTAS],REL_DRE_FINANCEIRO!$B$1062,LANÇ_MOV[ANO PAGAMENTO],$B$4,LANÇ_MOV[MÊS PAGAMENTO CORRESPONDENTE],G$6,LANÇ_MOV[EMPRESA],$C$4,LANÇ_MOV[CENTRO DE CUSTOS],$D$4)</f>
        <v>0</v>
      </c>
      <c r="H1063" s="206">
        <f>SUMIFS(LANÇ_MOV[VALOR LÍQUIDO],LANÇ_MOV[RECEITA OU DESPESA],"Receita",LANÇ_MOV[CONTAS],$C1063,LANÇ_MOV[PLANO DE CONTAS],REL_DRE_FINANCEIRO!$B$1062,LANÇ_MOV[ANO PAGAMENTO],$B$4,LANÇ_MOV[MÊS PAGAMENTO CORRESPONDENTE],H$6,LANÇ_MOV[EMPRESA],$C$4,LANÇ_MOV[CENTRO DE CUSTOS],$D$4)</f>
        <v>0</v>
      </c>
      <c r="I1063" s="206">
        <f>SUMIFS(LANÇ_MOV[VALOR LÍQUIDO],LANÇ_MOV[RECEITA OU DESPESA],"Receita",LANÇ_MOV[CONTAS],$C1063,LANÇ_MOV[PLANO DE CONTAS],REL_DRE_FINANCEIRO!$B$1062,LANÇ_MOV[ANO PAGAMENTO],$B$4,LANÇ_MOV[MÊS PAGAMENTO CORRESPONDENTE],I$6,LANÇ_MOV[EMPRESA],$C$4,LANÇ_MOV[CENTRO DE CUSTOS],$D$4)</f>
        <v>0</v>
      </c>
      <c r="J1063" s="206">
        <f>SUMIFS(LANÇ_MOV[VALOR LÍQUIDO],LANÇ_MOV[RECEITA OU DESPESA],"Receita",LANÇ_MOV[CONTAS],$C1063,LANÇ_MOV[PLANO DE CONTAS],REL_DRE_FINANCEIRO!$B$1062,LANÇ_MOV[ANO PAGAMENTO],$B$4,LANÇ_MOV[MÊS PAGAMENTO CORRESPONDENTE],J$6,LANÇ_MOV[EMPRESA],$C$4,LANÇ_MOV[CENTRO DE CUSTOS],$D$4)</f>
        <v>0</v>
      </c>
      <c r="K1063" s="206">
        <f>SUMIFS(LANÇ_MOV[VALOR LÍQUIDO],LANÇ_MOV[RECEITA OU DESPESA],"Receita",LANÇ_MOV[CONTAS],$C1063,LANÇ_MOV[PLANO DE CONTAS],REL_DRE_FINANCEIRO!$B$1062,LANÇ_MOV[ANO PAGAMENTO],$B$4,LANÇ_MOV[MÊS PAGAMENTO CORRESPONDENTE],K$6,LANÇ_MOV[EMPRESA],$C$4,LANÇ_MOV[CENTRO DE CUSTOS],$D$4)</f>
        <v>0</v>
      </c>
      <c r="L1063" s="206">
        <f>SUMIFS(LANÇ_MOV[VALOR LÍQUIDO],LANÇ_MOV[RECEITA OU DESPESA],"Receita",LANÇ_MOV[CONTAS],$C1063,LANÇ_MOV[PLANO DE CONTAS],REL_DRE_FINANCEIRO!$B$1062,LANÇ_MOV[ANO PAGAMENTO],$B$4,LANÇ_MOV[MÊS PAGAMENTO CORRESPONDENTE],L$6,LANÇ_MOV[EMPRESA],$C$4,LANÇ_MOV[CENTRO DE CUSTOS],$D$4)</f>
        <v>0</v>
      </c>
      <c r="M1063" s="206">
        <f>SUMIFS(LANÇ_MOV[VALOR LÍQUIDO],LANÇ_MOV[RECEITA OU DESPESA],"Receita",LANÇ_MOV[CONTAS],$C1063,LANÇ_MOV[PLANO DE CONTAS],REL_DRE_FINANCEIRO!$B$1062,LANÇ_MOV[ANO PAGAMENTO],$B$4,LANÇ_MOV[MÊS PAGAMENTO CORRESPONDENTE],M$6,LANÇ_MOV[EMPRESA],$C$4,LANÇ_MOV[CENTRO DE CUSTOS],$D$4)</f>
        <v>0</v>
      </c>
      <c r="N1063" s="206">
        <f>SUMIFS(LANÇ_MOV[VALOR LÍQUIDO],LANÇ_MOV[RECEITA OU DESPESA],"Receita",LANÇ_MOV[CONTAS],$C1063,LANÇ_MOV[PLANO DE CONTAS],REL_DRE_FINANCEIRO!$B$1062,LANÇ_MOV[ANO PAGAMENTO],$B$4,LANÇ_MOV[MÊS PAGAMENTO CORRESPONDENTE],N$6,LANÇ_MOV[EMPRESA],$C$4,LANÇ_MOV[CENTRO DE CUSTOS],$D$4)</f>
        <v>0</v>
      </c>
      <c r="O1063" s="206">
        <f>SUMIFS(LANÇ_MOV[VALOR LÍQUIDO],LANÇ_MOV[RECEITA OU DESPESA],"Receita",LANÇ_MOV[CONTAS],$C1063,LANÇ_MOV[PLANO DE CONTAS],REL_DRE_FINANCEIRO!$B$1062,LANÇ_MOV[ANO PAGAMENTO],$B$4,LANÇ_MOV[MÊS PAGAMENTO CORRESPONDENTE],O$6,LANÇ_MOV[EMPRESA],$C$4,LANÇ_MOV[CENTRO DE CUSTOS],$D$4)</f>
        <v>0</v>
      </c>
      <c r="P1063" s="207">
        <f t="shared" ref="P1063:P1126" si="134">SUM(D1063:O1063)</f>
        <v>0</v>
      </c>
      <c r="Q1063" s="329">
        <v>1.0000000000000001E-5</v>
      </c>
      <c r="R1063" s="346">
        <f t="shared" ref="R1063:R1126" si="135">P1063+Q1063</f>
        <v>1.0000000000000001E-5</v>
      </c>
      <c r="S1063" s="347" t="str">
        <f t="shared" ref="S1063:S1126" si="136">C1063</f>
        <v>APLICAÇÃO</v>
      </c>
      <c r="T1063" s="347">
        <f t="shared" ref="T1063:T1126" si="137">P1063</f>
        <v>0</v>
      </c>
      <c r="U1063" s="347">
        <f>HLOOKUP(Apoio!$P$12,$D$1061:$P$1162,X1063,FALSE)+Q1063</f>
        <v>1.0000000000000001E-5</v>
      </c>
      <c r="V1063" s="447" t="str">
        <f t="shared" ref="V1063:V1126" si="138">S1063</f>
        <v>APLICAÇÃO</v>
      </c>
      <c r="W1063" s="448">
        <f>HLOOKUP(Apoio!$P$12,$D$1061:$P$1162,X1063,FALSE)</f>
        <v>0</v>
      </c>
      <c r="X1063" s="329">
        <v>3</v>
      </c>
      <c r="Y1063" s="329">
        <v>1</v>
      </c>
      <c r="Z1063" s="340" t="str">
        <f>VLOOKUP(LARGE($R$1061:$R$1162,Y1063),$R$1061:$S$1162,2,FALSE)</f>
        <v>OUTROS CRÉDITOS</v>
      </c>
      <c r="AA1063" s="340">
        <f>VLOOKUP(Z1063,$S$1061:$T$1162,2,FALSE)</f>
        <v>978.37999999999988</v>
      </c>
    </row>
    <row r="1064" spans="2:50" ht="30.05" customHeight="1" x14ac:dyDescent="0.35">
      <c r="B1064" s="204" t="str">
        <f>'CAD_PL_REC-DESP'!H6</f>
        <v>1.3.2</v>
      </c>
      <c r="C1064" s="205" t="str">
        <f>IF('CAD_PL_REC-DESP'!I6="","-",'CAD_PL_REC-DESP'!I6)</f>
        <v>CAPITAL DE GIRO</v>
      </c>
      <c r="D1064" s="206">
        <f>SUMIFS(LANÇ_MOV[VALOR LÍQUIDO],LANÇ_MOV[RECEITA OU DESPESA],"Receita",LANÇ_MOV[CONTAS],$C1064,LANÇ_MOV[PLANO DE CONTAS],REL_DRE_FINANCEIRO!$B$1062,LANÇ_MOV[ANO PAGAMENTO],$B$4,LANÇ_MOV[MÊS PAGAMENTO CORRESPONDENTE],D$6,LANÇ_MOV[EMPRESA],$C$4,LANÇ_MOV[CENTRO DE CUSTOS],$D$4)</f>
        <v>0</v>
      </c>
      <c r="E1064" s="206">
        <f>SUMIFS(LANÇ_MOV[VALOR LÍQUIDO],LANÇ_MOV[RECEITA OU DESPESA],"Receita",LANÇ_MOV[CONTAS],$C1064,LANÇ_MOV[PLANO DE CONTAS],REL_DRE_FINANCEIRO!$B$1062,LANÇ_MOV[ANO PAGAMENTO],$B$4,LANÇ_MOV[MÊS PAGAMENTO CORRESPONDENTE],E$6,LANÇ_MOV[EMPRESA],$C$4,LANÇ_MOV[CENTRO DE CUSTOS],$D$4)</f>
        <v>0</v>
      </c>
      <c r="F1064" s="206">
        <f>SUMIFS(LANÇ_MOV[VALOR LÍQUIDO],LANÇ_MOV[RECEITA OU DESPESA],"Receita",LANÇ_MOV[CONTAS],$C1064,LANÇ_MOV[PLANO DE CONTAS],REL_DRE_FINANCEIRO!$B$1062,LANÇ_MOV[ANO PAGAMENTO],$B$4,LANÇ_MOV[MÊS PAGAMENTO CORRESPONDENTE],F$6,LANÇ_MOV[EMPRESA],$C$4,LANÇ_MOV[CENTRO DE CUSTOS],$D$4)</f>
        <v>0</v>
      </c>
      <c r="G1064" s="206">
        <f>SUMIFS(LANÇ_MOV[VALOR LÍQUIDO],LANÇ_MOV[RECEITA OU DESPESA],"Receita",LANÇ_MOV[CONTAS],$C1064,LANÇ_MOV[PLANO DE CONTAS],REL_DRE_FINANCEIRO!$B$1062,LANÇ_MOV[ANO PAGAMENTO],$B$4,LANÇ_MOV[MÊS PAGAMENTO CORRESPONDENTE],G$6,LANÇ_MOV[EMPRESA],$C$4,LANÇ_MOV[CENTRO DE CUSTOS],$D$4)</f>
        <v>0</v>
      </c>
      <c r="H1064" s="206">
        <f>SUMIFS(LANÇ_MOV[VALOR LÍQUIDO],LANÇ_MOV[RECEITA OU DESPESA],"Receita",LANÇ_MOV[CONTAS],$C1064,LANÇ_MOV[PLANO DE CONTAS],REL_DRE_FINANCEIRO!$B$1062,LANÇ_MOV[ANO PAGAMENTO],$B$4,LANÇ_MOV[MÊS PAGAMENTO CORRESPONDENTE],H$6,LANÇ_MOV[EMPRESA],$C$4,LANÇ_MOV[CENTRO DE CUSTOS],$D$4)</f>
        <v>0</v>
      </c>
      <c r="I1064" s="206">
        <f>SUMIFS(LANÇ_MOV[VALOR LÍQUIDO],LANÇ_MOV[RECEITA OU DESPESA],"Receita",LANÇ_MOV[CONTAS],$C1064,LANÇ_MOV[PLANO DE CONTAS],REL_DRE_FINANCEIRO!$B$1062,LANÇ_MOV[ANO PAGAMENTO],$B$4,LANÇ_MOV[MÊS PAGAMENTO CORRESPONDENTE],I$6,LANÇ_MOV[EMPRESA],$C$4,LANÇ_MOV[CENTRO DE CUSTOS],$D$4)</f>
        <v>0</v>
      </c>
      <c r="J1064" s="206">
        <f>SUMIFS(LANÇ_MOV[VALOR LÍQUIDO],LANÇ_MOV[RECEITA OU DESPESA],"Receita",LANÇ_MOV[CONTAS],$C1064,LANÇ_MOV[PLANO DE CONTAS],REL_DRE_FINANCEIRO!$B$1062,LANÇ_MOV[ANO PAGAMENTO],$B$4,LANÇ_MOV[MÊS PAGAMENTO CORRESPONDENTE],J$6,LANÇ_MOV[EMPRESA],$C$4,LANÇ_MOV[CENTRO DE CUSTOS],$D$4)</f>
        <v>0</v>
      </c>
      <c r="K1064" s="206">
        <f>SUMIFS(LANÇ_MOV[VALOR LÍQUIDO],LANÇ_MOV[RECEITA OU DESPESA],"Receita",LANÇ_MOV[CONTAS],$C1064,LANÇ_MOV[PLANO DE CONTAS],REL_DRE_FINANCEIRO!$B$1062,LANÇ_MOV[ANO PAGAMENTO],$B$4,LANÇ_MOV[MÊS PAGAMENTO CORRESPONDENTE],K$6,LANÇ_MOV[EMPRESA],$C$4,LANÇ_MOV[CENTRO DE CUSTOS],$D$4)</f>
        <v>0</v>
      </c>
      <c r="L1064" s="206">
        <f>SUMIFS(LANÇ_MOV[VALOR LÍQUIDO],LANÇ_MOV[RECEITA OU DESPESA],"Receita",LANÇ_MOV[CONTAS],$C1064,LANÇ_MOV[PLANO DE CONTAS],REL_DRE_FINANCEIRO!$B$1062,LANÇ_MOV[ANO PAGAMENTO],$B$4,LANÇ_MOV[MÊS PAGAMENTO CORRESPONDENTE],L$6,LANÇ_MOV[EMPRESA],$C$4,LANÇ_MOV[CENTRO DE CUSTOS],$D$4)</f>
        <v>0</v>
      </c>
      <c r="M1064" s="206">
        <f>SUMIFS(LANÇ_MOV[VALOR LÍQUIDO],LANÇ_MOV[RECEITA OU DESPESA],"Receita",LANÇ_MOV[CONTAS],$C1064,LANÇ_MOV[PLANO DE CONTAS],REL_DRE_FINANCEIRO!$B$1062,LANÇ_MOV[ANO PAGAMENTO],$B$4,LANÇ_MOV[MÊS PAGAMENTO CORRESPONDENTE],M$6,LANÇ_MOV[EMPRESA],$C$4,LANÇ_MOV[CENTRO DE CUSTOS],$D$4)</f>
        <v>0</v>
      </c>
      <c r="N1064" s="206">
        <f>SUMIFS(LANÇ_MOV[VALOR LÍQUIDO],LANÇ_MOV[RECEITA OU DESPESA],"Receita",LANÇ_MOV[CONTAS],$C1064,LANÇ_MOV[PLANO DE CONTAS],REL_DRE_FINANCEIRO!$B$1062,LANÇ_MOV[ANO PAGAMENTO],$B$4,LANÇ_MOV[MÊS PAGAMENTO CORRESPONDENTE],N$6,LANÇ_MOV[EMPRESA],$C$4,LANÇ_MOV[CENTRO DE CUSTOS],$D$4)</f>
        <v>0</v>
      </c>
      <c r="O1064" s="206">
        <f>SUMIFS(LANÇ_MOV[VALOR LÍQUIDO],LANÇ_MOV[RECEITA OU DESPESA],"Receita",LANÇ_MOV[CONTAS],$C1064,LANÇ_MOV[PLANO DE CONTAS],REL_DRE_FINANCEIRO!$B$1062,LANÇ_MOV[ANO PAGAMENTO],$B$4,LANÇ_MOV[MÊS PAGAMENTO CORRESPONDENTE],O$6,LANÇ_MOV[EMPRESA],$C$4,LANÇ_MOV[CENTRO DE CUSTOS],$D$4)</f>
        <v>0</v>
      </c>
      <c r="P1064" s="207">
        <f t="shared" si="134"/>
        <v>0</v>
      </c>
      <c r="Q1064" s="329">
        <v>9.9000000000000001E-6</v>
      </c>
      <c r="R1064" s="346">
        <f t="shared" si="135"/>
        <v>9.9000000000000001E-6</v>
      </c>
      <c r="S1064" s="347" t="str">
        <f t="shared" si="136"/>
        <v>CAPITAL DE GIRO</v>
      </c>
      <c r="T1064" s="347">
        <f t="shared" si="137"/>
        <v>0</v>
      </c>
      <c r="U1064" s="347">
        <f>HLOOKUP(Apoio!$P$12,$D$1061:$P$1162,X1064,FALSE)+Q1064</f>
        <v>9.9000000000000001E-6</v>
      </c>
      <c r="V1064" s="447" t="str">
        <f t="shared" si="138"/>
        <v>CAPITAL DE GIRO</v>
      </c>
      <c r="W1064" s="448">
        <f>HLOOKUP(Apoio!$P$12,$D$1061:$P$1162,X1064,FALSE)</f>
        <v>0</v>
      </c>
      <c r="X1064" s="329">
        <v>4</v>
      </c>
      <c r="Y1064" s="329">
        <v>2</v>
      </c>
      <c r="Z1064" s="340" t="str">
        <f>VLOOKUP(LARGE($R$1061:$R$1162,Y1064),$R$1061:$S$1162,2,FALSE)</f>
        <v>RENDIMENTO</v>
      </c>
      <c r="AA1064" s="340">
        <f>VLOOKUP(Z1064,$S$1061:$T$1162,2,FALSE)</f>
        <v>0.06</v>
      </c>
    </row>
    <row r="1065" spans="2:50" ht="30.05" customHeight="1" x14ac:dyDescent="0.35">
      <c r="B1065" s="204" t="str">
        <f>'CAD_PL_REC-DESP'!H7</f>
        <v>1.3.3</v>
      </c>
      <c r="C1065" s="205" t="str">
        <f>IF('CAD_PL_REC-DESP'!I7="","-",'CAD_PL_REC-DESP'!I7)</f>
        <v>DEVOLUÇÃO SÓCIOS</v>
      </c>
      <c r="D1065" s="206">
        <f>SUMIFS(LANÇ_MOV[VALOR LÍQUIDO],LANÇ_MOV[RECEITA OU DESPESA],"Receita",LANÇ_MOV[CONTAS],$C1065,LANÇ_MOV[PLANO DE CONTAS],REL_DRE_FINANCEIRO!$B$1062,LANÇ_MOV[ANO PAGAMENTO],$B$4,LANÇ_MOV[MÊS PAGAMENTO CORRESPONDENTE],D$6,LANÇ_MOV[EMPRESA],$C$4,LANÇ_MOV[CENTRO DE CUSTOS],$D$4)</f>
        <v>0</v>
      </c>
      <c r="E1065" s="206">
        <f>SUMIFS(LANÇ_MOV[VALOR LÍQUIDO],LANÇ_MOV[RECEITA OU DESPESA],"Receita",LANÇ_MOV[CONTAS],$C1065,LANÇ_MOV[PLANO DE CONTAS],REL_DRE_FINANCEIRO!$B$1062,LANÇ_MOV[ANO PAGAMENTO],$B$4,LANÇ_MOV[MÊS PAGAMENTO CORRESPONDENTE],E$6,LANÇ_MOV[EMPRESA],$C$4,LANÇ_MOV[CENTRO DE CUSTOS],$D$4)</f>
        <v>0</v>
      </c>
      <c r="F1065" s="206">
        <f>SUMIFS(LANÇ_MOV[VALOR LÍQUIDO],LANÇ_MOV[RECEITA OU DESPESA],"Receita",LANÇ_MOV[CONTAS],$C1065,LANÇ_MOV[PLANO DE CONTAS],REL_DRE_FINANCEIRO!$B$1062,LANÇ_MOV[ANO PAGAMENTO],$B$4,LANÇ_MOV[MÊS PAGAMENTO CORRESPONDENTE],F$6,LANÇ_MOV[EMPRESA],$C$4,LANÇ_MOV[CENTRO DE CUSTOS],$D$4)</f>
        <v>0</v>
      </c>
      <c r="G1065" s="206">
        <f>SUMIFS(LANÇ_MOV[VALOR LÍQUIDO],LANÇ_MOV[RECEITA OU DESPESA],"Receita",LANÇ_MOV[CONTAS],$C1065,LANÇ_MOV[PLANO DE CONTAS],REL_DRE_FINANCEIRO!$B$1062,LANÇ_MOV[ANO PAGAMENTO],$B$4,LANÇ_MOV[MÊS PAGAMENTO CORRESPONDENTE],G$6,LANÇ_MOV[EMPRESA],$C$4,LANÇ_MOV[CENTRO DE CUSTOS],$D$4)</f>
        <v>0</v>
      </c>
      <c r="H1065" s="206">
        <f>SUMIFS(LANÇ_MOV[VALOR LÍQUIDO],LANÇ_MOV[RECEITA OU DESPESA],"Receita",LANÇ_MOV[CONTAS],$C1065,LANÇ_MOV[PLANO DE CONTAS],REL_DRE_FINANCEIRO!$B$1062,LANÇ_MOV[ANO PAGAMENTO],$B$4,LANÇ_MOV[MÊS PAGAMENTO CORRESPONDENTE],H$6,LANÇ_MOV[EMPRESA],$C$4,LANÇ_MOV[CENTRO DE CUSTOS],$D$4)</f>
        <v>0</v>
      </c>
      <c r="I1065" s="206">
        <f>SUMIFS(LANÇ_MOV[VALOR LÍQUIDO],LANÇ_MOV[RECEITA OU DESPESA],"Receita",LANÇ_MOV[CONTAS],$C1065,LANÇ_MOV[PLANO DE CONTAS],REL_DRE_FINANCEIRO!$B$1062,LANÇ_MOV[ANO PAGAMENTO],$B$4,LANÇ_MOV[MÊS PAGAMENTO CORRESPONDENTE],I$6,LANÇ_MOV[EMPRESA],$C$4,LANÇ_MOV[CENTRO DE CUSTOS],$D$4)</f>
        <v>0</v>
      </c>
      <c r="J1065" s="206">
        <f>SUMIFS(LANÇ_MOV[VALOR LÍQUIDO],LANÇ_MOV[RECEITA OU DESPESA],"Receita",LANÇ_MOV[CONTAS],$C1065,LANÇ_MOV[PLANO DE CONTAS],REL_DRE_FINANCEIRO!$B$1062,LANÇ_MOV[ANO PAGAMENTO],$B$4,LANÇ_MOV[MÊS PAGAMENTO CORRESPONDENTE],J$6,LANÇ_MOV[EMPRESA],$C$4,LANÇ_MOV[CENTRO DE CUSTOS],$D$4)</f>
        <v>0</v>
      </c>
      <c r="K1065" s="206">
        <f>SUMIFS(LANÇ_MOV[VALOR LÍQUIDO],LANÇ_MOV[RECEITA OU DESPESA],"Receita",LANÇ_MOV[CONTAS],$C1065,LANÇ_MOV[PLANO DE CONTAS],REL_DRE_FINANCEIRO!$B$1062,LANÇ_MOV[ANO PAGAMENTO],$B$4,LANÇ_MOV[MÊS PAGAMENTO CORRESPONDENTE],K$6,LANÇ_MOV[EMPRESA],$C$4,LANÇ_MOV[CENTRO DE CUSTOS],$D$4)</f>
        <v>0</v>
      </c>
      <c r="L1065" s="206">
        <f>SUMIFS(LANÇ_MOV[VALOR LÍQUIDO],LANÇ_MOV[RECEITA OU DESPESA],"Receita",LANÇ_MOV[CONTAS],$C1065,LANÇ_MOV[PLANO DE CONTAS],REL_DRE_FINANCEIRO!$B$1062,LANÇ_MOV[ANO PAGAMENTO],$B$4,LANÇ_MOV[MÊS PAGAMENTO CORRESPONDENTE],L$6,LANÇ_MOV[EMPRESA],$C$4,LANÇ_MOV[CENTRO DE CUSTOS],$D$4)</f>
        <v>0</v>
      </c>
      <c r="M1065" s="206">
        <f>SUMIFS(LANÇ_MOV[VALOR LÍQUIDO],LANÇ_MOV[RECEITA OU DESPESA],"Receita",LANÇ_MOV[CONTAS],$C1065,LANÇ_MOV[PLANO DE CONTAS],REL_DRE_FINANCEIRO!$B$1062,LANÇ_MOV[ANO PAGAMENTO],$B$4,LANÇ_MOV[MÊS PAGAMENTO CORRESPONDENTE],M$6,LANÇ_MOV[EMPRESA],$C$4,LANÇ_MOV[CENTRO DE CUSTOS],$D$4)</f>
        <v>0</v>
      </c>
      <c r="N1065" s="206">
        <f>SUMIFS(LANÇ_MOV[VALOR LÍQUIDO],LANÇ_MOV[RECEITA OU DESPESA],"Receita",LANÇ_MOV[CONTAS],$C1065,LANÇ_MOV[PLANO DE CONTAS],REL_DRE_FINANCEIRO!$B$1062,LANÇ_MOV[ANO PAGAMENTO],$B$4,LANÇ_MOV[MÊS PAGAMENTO CORRESPONDENTE],N$6,LANÇ_MOV[EMPRESA],$C$4,LANÇ_MOV[CENTRO DE CUSTOS],$D$4)</f>
        <v>0</v>
      </c>
      <c r="O1065" s="206">
        <f>SUMIFS(LANÇ_MOV[VALOR LÍQUIDO],LANÇ_MOV[RECEITA OU DESPESA],"Receita",LANÇ_MOV[CONTAS],$C1065,LANÇ_MOV[PLANO DE CONTAS],REL_DRE_FINANCEIRO!$B$1062,LANÇ_MOV[ANO PAGAMENTO],$B$4,LANÇ_MOV[MÊS PAGAMENTO CORRESPONDENTE],O$6,LANÇ_MOV[EMPRESA],$C$4,LANÇ_MOV[CENTRO DE CUSTOS],$D$4)</f>
        <v>0</v>
      </c>
      <c r="P1065" s="207">
        <f t="shared" si="134"/>
        <v>0</v>
      </c>
      <c r="Q1065" s="329">
        <v>9.7999999999999993E-6</v>
      </c>
      <c r="R1065" s="346">
        <f t="shared" si="135"/>
        <v>9.7999999999999993E-6</v>
      </c>
      <c r="S1065" s="347" t="str">
        <f t="shared" si="136"/>
        <v>DEVOLUÇÃO SÓCIOS</v>
      </c>
      <c r="T1065" s="347">
        <f t="shared" si="137"/>
        <v>0</v>
      </c>
      <c r="U1065" s="347">
        <f>HLOOKUP(Apoio!$P$12,$D$1061:$P$1162,X1065,FALSE)+Q1065</f>
        <v>9.7999999999999993E-6</v>
      </c>
      <c r="V1065" s="447" t="str">
        <f t="shared" si="138"/>
        <v>DEVOLUÇÃO SÓCIOS</v>
      </c>
      <c r="W1065" s="448">
        <f>HLOOKUP(Apoio!$P$12,$D$1061:$P$1162,X1065,FALSE)</f>
        <v>0</v>
      </c>
      <c r="X1065" s="329">
        <v>5</v>
      </c>
      <c r="Y1065" s="329">
        <v>3</v>
      </c>
      <c r="Z1065" s="340" t="str">
        <f>VLOOKUP(LARGE($R$1061:$R$1162,Y1065),$R$1061:$S$1162,2,FALSE)</f>
        <v>APLICAÇÃO</v>
      </c>
      <c r="AA1065" s="340">
        <f>VLOOKUP(Z1065,$S$1061:$T$1162,2,FALSE)</f>
        <v>0</v>
      </c>
    </row>
    <row r="1066" spans="2:50" ht="30.05" customHeight="1" x14ac:dyDescent="0.35">
      <c r="B1066" s="204" t="str">
        <f>'CAD_PL_REC-DESP'!H8</f>
        <v>1.3.4</v>
      </c>
      <c r="C1066" s="205" t="str">
        <f>IF('CAD_PL_REC-DESP'!I8="","-",'CAD_PL_REC-DESP'!I8)</f>
        <v>DINHEIRO (SAQUE)</v>
      </c>
      <c r="D1066" s="206">
        <f>SUMIFS(LANÇ_MOV[VALOR LÍQUIDO],LANÇ_MOV[RECEITA OU DESPESA],"Receita",LANÇ_MOV[CONTAS],$C1066,LANÇ_MOV[PLANO DE CONTAS],REL_DRE_FINANCEIRO!$B$1062,LANÇ_MOV[ANO PAGAMENTO],$B$4,LANÇ_MOV[MÊS PAGAMENTO CORRESPONDENTE],D$6,LANÇ_MOV[EMPRESA],$C$4,LANÇ_MOV[CENTRO DE CUSTOS],$D$4)</f>
        <v>0</v>
      </c>
      <c r="E1066" s="206">
        <f>SUMIFS(LANÇ_MOV[VALOR LÍQUIDO],LANÇ_MOV[RECEITA OU DESPESA],"Receita",LANÇ_MOV[CONTAS],$C1066,LANÇ_MOV[PLANO DE CONTAS],REL_DRE_FINANCEIRO!$B$1062,LANÇ_MOV[ANO PAGAMENTO],$B$4,LANÇ_MOV[MÊS PAGAMENTO CORRESPONDENTE],E$6,LANÇ_MOV[EMPRESA],$C$4,LANÇ_MOV[CENTRO DE CUSTOS],$D$4)</f>
        <v>0</v>
      </c>
      <c r="F1066" s="206">
        <f>SUMIFS(LANÇ_MOV[VALOR LÍQUIDO],LANÇ_MOV[RECEITA OU DESPESA],"Receita",LANÇ_MOV[CONTAS],$C1066,LANÇ_MOV[PLANO DE CONTAS],REL_DRE_FINANCEIRO!$B$1062,LANÇ_MOV[ANO PAGAMENTO],$B$4,LANÇ_MOV[MÊS PAGAMENTO CORRESPONDENTE],F$6,LANÇ_MOV[EMPRESA],$C$4,LANÇ_MOV[CENTRO DE CUSTOS],$D$4)</f>
        <v>0</v>
      </c>
      <c r="G1066" s="206">
        <f>SUMIFS(LANÇ_MOV[VALOR LÍQUIDO],LANÇ_MOV[RECEITA OU DESPESA],"Receita",LANÇ_MOV[CONTAS],$C1066,LANÇ_MOV[PLANO DE CONTAS],REL_DRE_FINANCEIRO!$B$1062,LANÇ_MOV[ANO PAGAMENTO],$B$4,LANÇ_MOV[MÊS PAGAMENTO CORRESPONDENTE],G$6,LANÇ_MOV[EMPRESA],$C$4,LANÇ_MOV[CENTRO DE CUSTOS],$D$4)</f>
        <v>0</v>
      </c>
      <c r="H1066" s="206">
        <f>SUMIFS(LANÇ_MOV[VALOR LÍQUIDO],LANÇ_MOV[RECEITA OU DESPESA],"Receita",LANÇ_MOV[CONTAS],$C1066,LANÇ_MOV[PLANO DE CONTAS],REL_DRE_FINANCEIRO!$B$1062,LANÇ_MOV[ANO PAGAMENTO],$B$4,LANÇ_MOV[MÊS PAGAMENTO CORRESPONDENTE],H$6,LANÇ_MOV[EMPRESA],$C$4,LANÇ_MOV[CENTRO DE CUSTOS],$D$4)</f>
        <v>0</v>
      </c>
      <c r="I1066" s="206">
        <f>SUMIFS(LANÇ_MOV[VALOR LÍQUIDO],LANÇ_MOV[RECEITA OU DESPESA],"Receita",LANÇ_MOV[CONTAS],$C1066,LANÇ_MOV[PLANO DE CONTAS],REL_DRE_FINANCEIRO!$B$1062,LANÇ_MOV[ANO PAGAMENTO],$B$4,LANÇ_MOV[MÊS PAGAMENTO CORRESPONDENTE],I$6,LANÇ_MOV[EMPRESA],$C$4,LANÇ_MOV[CENTRO DE CUSTOS],$D$4)</f>
        <v>0</v>
      </c>
      <c r="J1066" s="206">
        <f>SUMIFS(LANÇ_MOV[VALOR LÍQUIDO],LANÇ_MOV[RECEITA OU DESPESA],"Receita",LANÇ_MOV[CONTAS],$C1066,LANÇ_MOV[PLANO DE CONTAS],REL_DRE_FINANCEIRO!$B$1062,LANÇ_MOV[ANO PAGAMENTO],$B$4,LANÇ_MOV[MÊS PAGAMENTO CORRESPONDENTE],J$6,LANÇ_MOV[EMPRESA],$C$4,LANÇ_MOV[CENTRO DE CUSTOS],$D$4)</f>
        <v>0</v>
      </c>
      <c r="K1066" s="206">
        <f>SUMIFS(LANÇ_MOV[VALOR LÍQUIDO],LANÇ_MOV[RECEITA OU DESPESA],"Receita",LANÇ_MOV[CONTAS],$C1066,LANÇ_MOV[PLANO DE CONTAS],REL_DRE_FINANCEIRO!$B$1062,LANÇ_MOV[ANO PAGAMENTO],$B$4,LANÇ_MOV[MÊS PAGAMENTO CORRESPONDENTE],K$6,LANÇ_MOV[EMPRESA],$C$4,LANÇ_MOV[CENTRO DE CUSTOS],$D$4)</f>
        <v>0</v>
      </c>
      <c r="L1066" s="206">
        <f>SUMIFS(LANÇ_MOV[VALOR LÍQUIDO],LANÇ_MOV[RECEITA OU DESPESA],"Receita",LANÇ_MOV[CONTAS],$C1066,LANÇ_MOV[PLANO DE CONTAS],REL_DRE_FINANCEIRO!$B$1062,LANÇ_MOV[ANO PAGAMENTO],$B$4,LANÇ_MOV[MÊS PAGAMENTO CORRESPONDENTE],L$6,LANÇ_MOV[EMPRESA],$C$4,LANÇ_MOV[CENTRO DE CUSTOS],$D$4)</f>
        <v>0</v>
      </c>
      <c r="M1066" s="206">
        <f>SUMIFS(LANÇ_MOV[VALOR LÍQUIDO],LANÇ_MOV[RECEITA OU DESPESA],"Receita",LANÇ_MOV[CONTAS],$C1066,LANÇ_MOV[PLANO DE CONTAS],REL_DRE_FINANCEIRO!$B$1062,LANÇ_MOV[ANO PAGAMENTO],$B$4,LANÇ_MOV[MÊS PAGAMENTO CORRESPONDENTE],M$6,LANÇ_MOV[EMPRESA],$C$4,LANÇ_MOV[CENTRO DE CUSTOS],$D$4)</f>
        <v>0</v>
      </c>
      <c r="N1066" s="206">
        <f>SUMIFS(LANÇ_MOV[VALOR LÍQUIDO],LANÇ_MOV[RECEITA OU DESPESA],"Receita",LANÇ_MOV[CONTAS],$C1066,LANÇ_MOV[PLANO DE CONTAS],REL_DRE_FINANCEIRO!$B$1062,LANÇ_MOV[ANO PAGAMENTO],$B$4,LANÇ_MOV[MÊS PAGAMENTO CORRESPONDENTE],N$6,LANÇ_MOV[EMPRESA],$C$4,LANÇ_MOV[CENTRO DE CUSTOS],$D$4)</f>
        <v>0</v>
      </c>
      <c r="O1066" s="206">
        <f>SUMIFS(LANÇ_MOV[VALOR LÍQUIDO],LANÇ_MOV[RECEITA OU DESPESA],"Receita",LANÇ_MOV[CONTAS],$C1066,LANÇ_MOV[PLANO DE CONTAS],REL_DRE_FINANCEIRO!$B$1062,LANÇ_MOV[ANO PAGAMENTO],$B$4,LANÇ_MOV[MÊS PAGAMENTO CORRESPONDENTE],O$6,LANÇ_MOV[EMPRESA],$C$4,LANÇ_MOV[CENTRO DE CUSTOS],$D$4)</f>
        <v>0</v>
      </c>
      <c r="P1066" s="207">
        <f t="shared" si="134"/>
        <v>0</v>
      </c>
      <c r="Q1066" s="329">
        <v>9.7000000000000003E-6</v>
      </c>
      <c r="R1066" s="346">
        <f t="shared" si="135"/>
        <v>9.7000000000000003E-6</v>
      </c>
      <c r="S1066" s="347" t="str">
        <f t="shared" si="136"/>
        <v>DINHEIRO (SAQUE)</v>
      </c>
      <c r="T1066" s="347">
        <f t="shared" si="137"/>
        <v>0</v>
      </c>
      <c r="U1066" s="347">
        <f>HLOOKUP(Apoio!$P$12,$D$1061:$P$1162,X1066,FALSE)+Q1066</f>
        <v>9.7000000000000003E-6</v>
      </c>
      <c r="V1066" s="447" t="str">
        <f t="shared" si="138"/>
        <v>DINHEIRO (SAQUE)</v>
      </c>
      <c r="W1066" s="448">
        <f>HLOOKUP(Apoio!$P$12,$D$1061:$P$1162,X1066,FALSE)</f>
        <v>0</v>
      </c>
      <c r="X1066" s="329">
        <v>6</v>
      </c>
      <c r="Y1066" s="329">
        <v>4</v>
      </c>
      <c r="Z1066" s="340" t="str">
        <f>VLOOKUP(LARGE($R$1061:$R$1162,Y1066),$R$1061:$S$1162,2,FALSE)</f>
        <v>CAPITAL DE GIRO</v>
      </c>
      <c r="AA1066" s="340">
        <f>VLOOKUP(Z1066,$S$1061:$T$1162,2,FALSE)</f>
        <v>0</v>
      </c>
    </row>
    <row r="1067" spans="2:50" ht="30.05" customHeight="1" x14ac:dyDescent="0.35">
      <c r="B1067" s="204" t="str">
        <f>'CAD_PL_REC-DESP'!H9</f>
        <v>1.3.5</v>
      </c>
      <c r="C1067" s="205" t="str">
        <f>IF('CAD_PL_REC-DESP'!I9="","-",'CAD_PL_REC-DESP'!I9)</f>
        <v>EMPRÉSTIMOS</v>
      </c>
      <c r="D1067" s="206">
        <f>SUMIFS(LANÇ_MOV[VALOR LÍQUIDO],LANÇ_MOV[RECEITA OU DESPESA],"Receita",LANÇ_MOV[CONTAS],$C1067,LANÇ_MOV[PLANO DE CONTAS],REL_DRE_FINANCEIRO!$B$1062,LANÇ_MOV[ANO PAGAMENTO],$B$4,LANÇ_MOV[MÊS PAGAMENTO CORRESPONDENTE],D$6,LANÇ_MOV[EMPRESA],$C$4,LANÇ_MOV[CENTRO DE CUSTOS],$D$4)</f>
        <v>0</v>
      </c>
      <c r="E1067" s="206">
        <f>SUMIFS(LANÇ_MOV[VALOR LÍQUIDO],LANÇ_MOV[RECEITA OU DESPESA],"Receita",LANÇ_MOV[CONTAS],$C1067,LANÇ_MOV[PLANO DE CONTAS],REL_DRE_FINANCEIRO!$B$1062,LANÇ_MOV[ANO PAGAMENTO],$B$4,LANÇ_MOV[MÊS PAGAMENTO CORRESPONDENTE],E$6,LANÇ_MOV[EMPRESA],$C$4,LANÇ_MOV[CENTRO DE CUSTOS],$D$4)</f>
        <v>0</v>
      </c>
      <c r="F1067" s="206">
        <f>SUMIFS(LANÇ_MOV[VALOR LÍQUIDO],LANÇ_MOV[RECEITA OU DESPESA],"Receita",LANÇ_MOV[CONTAS],$C1067,LANÇ_MOV[PLANO DE CONTAS],REL_DRE_FINANCEIRO!$B$1062,LANÇ_MOV[ANO PAGAMENTO],$B$4,LANÇ_MOV[MÊS PAGAMENTO CORRESPONDENTE],F$6,LANÇ_MOV[EMPRESA],$C$4,LANÇ_MOV[CENTRO DE CUSTOS],$D$4)</f>
        <v>0</v>
      </c>
      <c r="G1067" s="206">
        <f>SUMIFS(LANÇ_MOV[VALOR LÍQUIDO],LANÇ_MOV[RECEITA OU DESPESA],"Receita",LANÇ_MOV[CONTAS],$C1067,LANÇ_MOV[PLANO DE CONTAS],REL_DRE_FINANCEIRO!$B$1062,LANÇ_MOV[ANO PAGAMENTO],$B$4,LANÇ_MOV[MÊS PAGAMENTO CORRESPONDENTE],G$6,LANÇ_MOV[EMPRESA],$C$4,LANÇ_MOV[CENTRO DE CUSTOS],$D$4)</f>
        <v>0</v>
      </c>
      <c r="H1067" s="206">
        <f>SUMIFS(LANÇ_MOV[VALOR LÍQUIDO],LANÇ_MOV[RECEITA OU DESPESA],"Receita",LANÇ_MOV[CONTAS],$C1067,LANÇ_MOV[PLANO DE CONTAS],REL_DRE_FINANCEIRO!$B$1062,LANÇ_MOV[ANO PAGAMENTO],$B$4,LANÇ_MOV[MÊS PAGAMENTO CORRESPONDENTE],H$6,LANÇ_MOV[EMPRESA],$C$4,LANÇ_MOV[CENTRO DE CUSTOS],$D$4)</f>
        <v>0</v>
      </c>
      <c r="I1067" s="206">
        <f>SUMIFS(LANÇ_MOV[VALOR LÍQUIDO],LANÇ_MOV[RECEITA OU DESPESA],"Receita",LANÇ_MOV[CONTAS],$C1067,LANÇ_MOV[PLANO DE CONTAS],REL_DRE_FINANCEIRO!$B$1062,LANÇ_MOV[ANO PAGAMENTO],$B$4,LANÇ_MOV[MÊS PAGAMENTO CORRESPONDENTE],I$6,LANÇ_MOV[EMPRESA],$C$4,LANÇ_MOV[CENTRO DE CUSTOS],$D$4)</f>
        <v>0</v>
      </c>
      <c r="J1067" s="206">
        <f>SUMIFS(LANÇ_MOV[VALOR LÍQUIDO],LANÇ_MOV[RECEITA OU DESPESA],"Receita",LANÇ_MOV[CONTAS],$C1067,LANÇ_MOV[PLANO DE CONTAS],REL_DRE_FINANCEIRO!$B$1062,LANÇ_MOV[ANO PAGAMENTO],$B$4,LANÇ_MOV[MÊS PAGAMENTO CORRESPONDENTE],J$6,LANÇ_MOV[EMPRESA],$C$4,LANÇ_MOV[CENTRO DE CUSTOS],$D$4)</f>
        <v>0</v>
      </c>
      <c r="K1067" s="206">
        <f>SUMIFS(LANÇ_MOV[VALOR LÍQUIDO],LANÇ_MOV[RECEITA OU DESPESA],"Receita",LANÇ_MOV[CONTAS],$C1067,LANÇ_MOV[PLANO DE CONTAS],REL_DRE_FINANCEIRO!$B$1062,LANÇ_MOV[ANO PAGAMENTO],$B$4,LANÇ_MOV[MÊS PAGAMENTO CORRESPONDENTE],K$6,LANÇ_MOV[EMPRESA],$C$4,LANÇ_MOV[CENTRO DE CUSTOS],$D$4)</f>
        <v>0</v>
      </c>
      <c r="L1067" s="206">
        <f>SUMIFS(LANÇ_MOV[VALOR LÍQUIDO],LANÇ_MOV[RECEITA OU DESPESA],"Receita",LANÇ_MOV[CONTAS],$C1067,LANÇ_MOV[PLANO DE CONTAS],REL_DRE_FINANCEIRO!$B$1062,LANÇ_MOV[ANO PAGAMENTO],$B$4,LANÇ_MOV[MÊS PAGAMENTO CORRESPONDENTE],L$6,LANÇ_MOV[EMPRESA],$C$4,LANÇ_MOV[CENTRO DE CUSTOS],$D$4)</f>
        <v>0</v>
      </c>
      <c r="M1067" s="206">
        <f>SUMIFS(LANÇ_MOV[VALOR LÍQUIDO],LANÇ_MOV[RECEITA OU DESPESA],"Receita",LANÇ_MOV[CONTAS],$C1067,LANÇ_MOV[PLANO DE CONTAS],REL_DRE_FINANCEIRO!$B$1062,LANÇ_MOV[ANO PAGAMENTO],$B$4,LANÇ_MOV[MÊS PAGAMENTO CORRESPONDENTE],M$6,LANÇ_MOV[EMPRESA],$C$4,LANÇ_MOV[CENTRO DE CUSTOS],$D$4)</f>
        <v>0</v>
      </c>
      <c r="N1067" s="206">
        <f>SUMIFS(LANÇ_MOV[VALOR LÍQUIDO],LANÇ_MOV[RECEITA OU DESPESA],"Receita",LANÇ_MOV[CONTAS],$C1067,LANÇ_MOV[PLANO DE CONTAS],REL_DRE_FINANCEIRO!$B$1062,LANÇ_MOV[ANO PAGAMENTO],$B$4,LANÇ_MOV[MÊS PAGAMENTO CORRESPONDENTE],N$6,LANÇ_MOV[EMPRESA],$C$4,LANÇ_MOV[CENTRO DE CUSTOS],$D$4)</f>
        <v>0</v>
      </c>
      <c r="O1067" s="206">
        <f>SUMIFS(LANÇ_MOV[VALOR LÍQUIDO],LANÇ_MOV[RECEITA OU DESPESA],"Receita",LANÇ_MOV[CONTAS],$C1067,LANÇ_MOV[PLANO DE CONTAS],REL_DRE_FINANCEIRO!$B$1062,LANÇ_MOV[ANO PAGAMENTO],$B$4,LANÇ_MOV[MÊS PAGAMENTO CORRESPONDENTE],O$6,LANÇ_MOV[EMPRESA],$C$4,LANÇ_MOV[CENTRO DE CUSTOS],$D$4)</f>
        <v>0</v>
      </c>
      <c r="P1067" s="207">
        <f t="shared" si="134"/>
        <v>0</v>
      </c>
      <c r="Q1067" s="329">
        <v>9.5999999999999996E-6</v>
      </c>
      <c r="R1067" s="346">
        <f t="shared" si="135"/>
        <v>9.5999999999999996E-6</v>
      </c>
      <c r="S1067" s="347" t="str">
        <f t="shared" si="136"/>
        <v>EMPRÉSTIMOS</v>
      </c>
      <c r="T1067" s="347">
        <f t="shared" si="137"/>
        <v>0</v>
      </c>
      <c r="U1067" s="347">
        <f>HLOOKUP(Apoio!$P$12,$D$1061:$P$1162,X1067,FALSE)+Q1067</f>
        <v>9.5999999999999996E-6</v>
      </c>
      <c r="V1067" s="447" t="str">
        <f t="shared" si="138"/>
        <v>EMPRÉSTIMOS</v>
      </c>
      <c r="W1067" s="448">
        <f>HLOOKUP(Apoio!$P$12,$D$1061:$P$1162,X1067,FALSE)</f>
        <v>0</v>
      </c>
      <c r="X1067" s="329">
        <v>7</v>
      </c>
      <c r="Y1067" s="329">
        <v>5</v>
      </c>
      <c r="Z1067" s="340" t="str">
        <f>VLOOKUP(LARGE($R$1061:$R$1162,Y1067),$R$1061:$S$1162,2,FALSE)</f>
        <v>DEVOLUÇÃO SÓCIOS</v>
      </c>
      <c r="AA1067" s="340">
        <f>VLOOKUP(Z1067,$S$1061:$T$1162,2,FALSE)</f>
        <v>0</v>
      </c>
    </row>
    <row r="1068" spans="2:50" ht="30.05" customHeight="1" x14ac:dyDescent="0.35">
      <c r="B1068" s="204" t="str">
        <f>'CAD_PL_REC-DESP'!H10</f>
        <v>1.3.6</v>
      </c>
      <c r="C1068" s="205" t="str">
        <f>IF('CAD_PL_REC-DESP'!I10="","-",'CAD_PL_REC-DESP'!I10)</f>
        <v>EMPRÉSTIMOS SÓCIOS</v>
      </c>
      <c r="D1068" s="206">
        <f>SUMIFS(LANÇ_MOV[VALOR LÍQUIDO],LANÇ_MOV[RECEITA OU DESPESA],"Receita",LANÇ_MOV[CONTAS],$C1068,LANÇ_MOV[PLANO DE CONTAS],REL_DRE_FINANCEIRO!$B$1062,LANÇ_MOV[ANO PAGAMENTO],$B$4,LANÇ_MOV[MÊS PAGAMENTO CORRESPONDENTE],D$6,LANÇ_MOV[EMPRESA],$C$4,LANÇ_MOV[CENTRO DE CUSTOS],$D$4)</f>
        <v>0</v>
      </c>
      <c r="E1068" s="206">
        <f>SUMIFS(LANÇ_MOV[VALOR LÍQUIDO],LANÇ_MOV[RECEITA OU DESPESA],"Receita",LANÇ_MOV[CONTAS],$C1068,LANÇ_MOV[PLANO DE CONTAS],REL_DRE_FINANCEIRO!$B$1062,LANÇ_MOV[ANO PAGAMENTO],$B$4,LANÇ_MOV[MÊS PAGAMENTO CORRESPONDENTE],E$6,LANÇ_MOV[EMPRESA],$C$4,LANÇ_MOV[CENTRO DE CUSTOS],$D$4)</f>
        <v>0</v>
      </c>
      <c r="F1068" s="206">
        <f>SUMIFS(LANÇ_MOV[VALOR LÍQUIDO],LANÇ_MOV[RECEITA OU DESPESA],"Receita",LANÇ_MOV[CONTAS],$C1068,LANÇ_MOV[PLANO DE CONTAS],REL_DRE_FINANCEIRO!$B$1062,LANÇ_MOV[ANO PAGAMENTO],$B$4,LANÇ_MOV[MÊS PAGAMENTO CORRESPONDENTE],F$6,LANÇ_MOV[EMPRESA],$C$4,LANÇ_MOV[CENTRO DE CUSTOS],$D$4)</f>
        <v>0</v>
      </c>
      <c r="G1068" s="206">
        <f>SUMIFS(LANÇ_MOV[VALOR LÍQUIDO],LANÇ_MOV[RECEITA OU DESPESA],"Receita",LANÇ_MOV[CONTAS],$C1068,LANÇ_MOV[PLANO DE CONTAS],REL_DRE_FINANCEIRO!$B$1062,LANÇ_MOV[ANO PAGAMENTO],$B$4,LANÇ_MOV[MÊS PAGAMENTO CORRESPONDENTE],G$6,LANÇ_MOV[EMPRESA],$C$4,LANÇ_MOV[CENTRO DE CUSTOS],$D$4)</f>
        <v>0</v>
      </c>
      <c r="H1068" s="206">
        <f>SUMIFS(LANÇ_MOV[VALOR LÍQUIDO],LANÇ_MOV[RECEITA OU DESPESA],"Receita",LANÇ_MOV[CONTAS],$C1068,LANÇ_MOV[PLANO DE CONTAS],REL_DRE_FINANCEIRO!$B$1062,LANÇ_MOV[ANO PAGAMENTO],$B$4,LANÇ_MOV[MÊS PAGAMENTO CORRESPONDENTE],H$6,LANÇ_MOV[EMPRESA],$C$4,LANÇ_MOV[CENTRO DE CUSTOS],$D$4)</f>
        <v>0</v>
      </c>
      <c r="I1068" s="206">
        <f>SUMIFS(LANÇ_MOV[VALOR LÍQUIDO],LANÇ_MOV[RECEITA OU DESPESA],"Receita",LANÇ_MOV[CONTAS],$C1068,LANÇ_MOV[PLANO DE CONTAS],REL_DRE_FINANCEIRO!$B$1062,LANÇ_MOV[ANO PAGAMENTO],$B$4,LANÇ_MOV[MÊS PAGAMENTO CORRESPONDENTE],I$6,LANÇ_MOV[EMPRESA],$C$4,LANÇ_MOV[CENTRO DE CUSTOS],$D$4)</f>
        <v>0</v>
      </c>
      <c r="J1068" s="206">
        <f>SUMIFS(LANÇ_MOV[VALOR LÍQUIDO],LANÇ_MOV[RECEITA OU DESPESA],"Receita",LANÇ_MOV[CONTAS],$C1068,LANÇ_MOV[PLANO DE CONTAS],REL_DRE_FINANCEIRO!$B$1062,LANÇ_MOV[ANO PAGAMENTO],$B$4,LANÇ_MOV[MÊS PAGAMENTO CORRESPONDENTE],J$6,LANÇ_MOV[EMPRESA],$C$4,LANÇ_MOV[CENTRO DE CUSTOS],$D$4)</f>
        <v>0</v>
      </c>
      <c r="K1068" s="206">
        <f>SUMIFS(LANÇ_MOV[VALOR LÍQUIDO],LANÇ_MOV[RECEITA OU DESPESA],"Receita",LANÇ_MOV[CONTAS],$C1068,LANÇ_MOV[PLANO DE CONTAS],REL_DRE_FINANCEIRO!$B$1062,LANÇ_MOV[ANO PAGAMENTO],$B$4,LANÇ_MOV[MÊS PAGAMENTO CORRESPONDENTE],K$6,LANÇ_MOV[EMPRESA],$C$4,LANÇ_MOV[CENTRO DE CUSTOS],$D$4)</f>
        <v>0</v>
      </c>
      <c r="L1068" s="206">
        <f>SUMIFS(LANÇ_MOV[VALOR LÍQUIDO],LANÇ_MOV[RECEITA OU DESPESA],"Receita",LANÇ_MOV[CONTAS],$C1068,LANÇ_MOV[PLANO DE CONTAS],REL_DRE_FINANCEIRO!$B$1062,LANÇ_MOV[ANO PAGAMENTO],$B$4,LANÇ_MOV[MÊS PAGAMENTO CORRESPONDENTE],L$6,LANÇ_MOV[EMPRESA],$C$4,LANÇ_MOV[CENTRO DE CUSTOS],$D$4)</f>
        <v>0</v>
      </c>
      <c r="M1068" s="206">
        <f>SUMIFS(LANÇ_MOV[VALOR LÍQUIDO],LANÇ_MOV[RECEITA OU DESPESA],"Receita",LANÇ_MOV[CONTAS],$C1068,LANÇ_MOV[PLANO DE CONTAS],REL_DRE_FINANCEIRO!$B$1062,LANÇ_MOV[ANO PAGAMENTO],$B$4,LANÇ_MOV[MÊS PAGAMENTO CORRESPONDENTE],M$6,LANÇ_MOV[EMPRESA],$C$4,LANÇ_MOV[CENTRO DE CUSTOS],$D$4)</f>
        <v>0</v>
      </c>
      <c r="N1068" s="206">
        <f>SUMIFS(LANÇ_MOV[VALOR LÍQUIDO],LANÇ_MOV[RECEITA OU DESPESA],"Receita",LANÇ_MOV[CONTAS],$C1068,LANÇ_MOV[PLANO DE CONTAS],REL_DRE_FINANCEIRO!$B$1062,LANÇ_MOV[ANO PAGAMENTO],$B$4,LANÇ_MOV[MÊS PAGAMENTO CORRESPONDENTE],N$6,LANÇ_MOV[EMPRESA],$C$4,LANÇ_MOV[CENTRO DE CUSTOS],$D$4)</f>
        <v>0</v>
      </c>
      <c r="O1068" s="206">
        <f>SUMIFS(LANÇ_MOV[VALOR LÍQUIDO],LANÇ_MOV[RECEITA OU DESPESA],"Receita",LANÇ_MOV[CONTAS],$C1068,LANÇ_MOV[PLANO DE CONTAS],REL_DRE_FINANCEIRO!$B$1062,LANÇ_MOV[ANO PAGAMENTO],$B$4,LANÇ_MOV[MÊS PAGAMENTO CORRESPONDENTE],O$6,LANÇ_MOV[EMPRESA],$C$4,LANÇ_MOV[CENTRO DE CUSTOS],$D$4)</f>
        <v>0</v>
      </c>
      <c r="P1068" s="207">
        <f t="shared" si="134"/>
        <v>0</v>
      </c>
      <c r="Q1068" s="329">
        <v>9.5000000000000005E-6</v>
      </c>
      <c r="R1068" s="346">
        <f t="shared" si="135"/>
        <v>9.5000000000000005E-6</v>
      </c>
      <c r="S1068" s="347" t="str">
        <f t="shared" si="136"/>
        <v>EMPRÉSTIMOS SÓCIOS</v>
      </c>
      <c r="T1068" s="347">
        <f t="shared" si="137"/>
        <v>0</v>
      </c>
      <c r="U1068" s="347">
        <f>HLOOKUP(Apoio!$P$12,$D$1061:$P$1162,X1068,FALSE)+Q1068</f>
        <v>9.5000000000000005E-6</v>
      </c>
      <c r="V1068" s="447" t="str">
        <f t="shared" si="138"/>
        <v>EMPRÉSTIMOS SÓCIOS</v>
      </c>
      <c r="W1068" s="448">
        <f>HLOOKUP(Apoio!$P$12,$D$1061:$P$1162,X1068,FALSE)</f>
        <v>0</v>
      </c>
      <c r="X1068" s="329">
        <v>8</v>
      </c>
      <c r="Z1068" s="340" t="s">
        <v>1121</v>
      </c>
      <c r="AA1068" s="340" t="s">
        <v>1123</v>
      </c>
    </row>
    <row r="1069" spans="2:50" ht="30.05" customHeight="1" x14ac:dyDescent="0.35">
      <c r="B1069" s="204" t="str">
        <f>'CAD_PL_REC-DESP'!H11</f>
        <v>1.3.7</v>
      </c>
      <c r="C1069" s="205" t="str">
        <f>IF('CAD_PL_REC-DESP'!I11="","-",'CAD_PL_REC-DESP'!I11)</f>
        <v>OUTROS CRÉDITOS</v>
      </c>
      <c r="D1069" s="206">
        <f>SUMIFS(LANÇ_MOV[VALOR LÍQUIDO],LANÇ_MOV[RECEITA OU DESPESA],"Receita",LANÇ_MOV[CONTAS],$C1069,LANÇ_MOV[PLANO DE CONTAS],REL_DRE_FINANCEIRO!$B$1062,LANÇ_MOV[ANO PAGAMENTO],$B$4,LANÇ_MOV[MÊS PAGAMENTO CORRESPONDENTE],D$6,LANÇ_MOV[EMPRESA],$C$4,LANÇ_MOV[CENTRO DE CUSTOS],$D$4)</f>
        <v>0</v>
      </c>
      <c r="E1069" s="206">
        <f>SUMIFS(LANÇ_MOV[VALOR LÍQUIDO],LANÇ_MOV[RECEITA OU DESPESA],"Receita",LANÇ_MOV[CONTAS],$C1069,LANÇ_MOV[PLANO DE CONTAS],REL_DRE_FINANCEIRO!$B$1062,LANÇ_MOV[ANO PAGAMENTO],$B$4,LANÇ_MOV[MÊS PAGAMENTO CORRESPONDENTE],E$6,LANÇ_MOV[EMPRESA],$C$4,LANÇ_MOV[CENTRO DE CUSTOS],$D$4)</f>
        <v>0</v>
      </c>
      <c r="F1069" s="206">
        <f>SUMIFS(LANÇ_MOV[VALOR LÍQUIDO],LANÇ_MOV[RECEITA OU DESPESA],"Receita",LANÇ_MOV[CONTAS],$C1069,LANÇ_MOV[PLANO DE CONTAS],REL_DRE_FINANCEIRO!$B$1062,LANÇ_MOV[ANO PAGAMENTO],$B$4,LANÇ_MOV[MÊS PAGAMENTO CORRESPONDENTE],F$6,LANÇ_MOV[EMPRESA],$C$4,LANÇ_MOV[CENTRO DE CUSTOS],$D$4)</f>
        <v>0</v>
      </c>
      <c r="G1069" s="206">
        <f>SUMIFS(LANÇ_MOV[VALOR LÍQUIDO],LANÇ_MOV[RECEITA OU DESPESA],"Receita",LANÇ_MOV[CONTAS],$C1069,LANÇ_MOV[PLANO DE CONTAS],REL_DRE_FINANCEIRO!$B$1062,LANÇ_MOV[ANO PAGAMENTO],$B$4,LANÇ_MOV[MÊS PAGAMENTO CORRESPONDENTE],G$6,LANÇ_MOV[EMPRESA],$C$4,LANÇ_MOV[CENTRO DE CUSTOS],$D$4)</f>
        <v>0</v>
      </c>
      <c r="H1069" s="206">
        <f>SUMIFS(LANÇ_MOV[VALOR LÍQUIDO],LANÇ_MOV[RECEITA OU DESPESA],"Receita",LANÇ_MOV[CONTAS],$C1069,LANÇ_MOV[PLANO DE CONTAS],REL_DRE_FINANCEIRO!$B$1062,LANÇ_MOV[ANO PAGAMENTO],$B$4,LANÇ_MOV[MÊS PAGAMENTO CORRESPONDENTE],H$6,LANÇ_MOV[EMPRESA],$C$4,LANÇ_MOV[CENTRO DE CUSTOS],$D$4)</f>
        <v>0</v>
      </c>
      <c r="I1069" s="206">
        <f>SUMIFS(LANÇ_MOV[VALOR LÍQUIDO],LANÇ_MOV[RECEITA OU DESPESA],"Receita",LANÇ_MOV[CONTAS],$C1069,LANÇ_MOV[PLANO DE CONTAS],REL_DRE_FINANCEIRO!$B$1062,LANÇ_MOV[ANO PAGAMENTO],$B$4,LANÇ_MOV[MÊS PAGAMENTO CORRESPONDENTE],I$6,LANÇ_MOV[EMPRESA],$C$4,LANÇ_MOV[CENTRO DE CUSTOS],$D$4)</f>
        <v>0</v>
      </c>
      <c r="J1069" s="206">
        <f>SUMIFS(LANÇ_MOV[VALOR LÍQUIDO],LANÇ_MOV[RECEITA OU DESPESA],"Receita",LANÇ_MOV[CONTAS],$C1069,LANÇ_MOV[PLANO DE CONTAS],REL_DRE_FINANCEIRO!$B$1062,LANÇ_MOV[ANO PAGAMENTO],$B$4,LANÇ_MOV[MÊS PAGAMENTO CORRESPONDENTE],J$6,LANÇ_MOV[EMPRESA],$C$4,LANÇ_MOV[CENTRO DE CUSTOS],$D$4)</f>
        <v>0</v>
      </c>
      <c r="K1069" s="206">
        <f>SUMIFS(LANÇ_MOV[VALOR LÍQUIDO],LANÇ_MOV[RECEITA OU DESPESA],"Receita",LANÇ_MOV[CONTAS],$C1069,LANÇ_MOV[PLANO DE CONTAS],REL_DRE_FINANCEIRO!$B$1062,LANÇ_MOV[ANO PAGAMENTO],$B$4,LANÇ_MOV[MÊS PAGAMENTO CORRESPONDENTE],K$6,LANÇ_MOV[EMPRESA],$C$4,LANÇ_MOV[CENTRO DE CUSTOS],$D$4)</f>
        <v>0</v>
      </c>
      <c r="L1069" s="206">
        <f>SUMIFS(LANÇ_MOV[VALOR LÍQUIDO],LANÇ_MOV[RECEITA OU DESPESA],"Receita",LANÇ_MOV[CONTAS],$C1069,LANÇ_MOV[PLANO DE CONTAS],REL_DRE_FINANCEIRO!$B$1062,LANÇ_MOV[ANO PAGAMENTO],$B$4,LANÇ_MOV[MÊS PAGAMENTO CORRESPONDENTE],L$6,LANÇ_MOV[EMPRESA],$C$4,LANÇ_MOV[CENTRO DE CUSTOS],$D$4)</f>
        <v>0</v>
      </c>
      <c r="M1069" s="206">
        <f>SUMIFS(LANÇ_MOV[VALOR LÍQUIDO],LANÇ_MOV[RECEITA OU DESPESA],"Receita",LANÇ_MOV[CONTAS],$C1069,LANÇ_MOV[PLANO DE CONTAS],REL_DRE_FINANCEIRO!$B$1062,LANÇ_MOV[ANO PAGAMENTO],$B$4,LANÇ_MOV[MÊS PAGAMENTO CORRESPONDENTE],M$6,LANÇ_MOV[EMPRESA],$C$4,LANÇ_MOV[CENTRO DE CUSTOS],$D$4)</f>
        <v>657.1099999999999</v>
      </c>
      <c r="N1069" s="206">
        <f>SUMIFS(LANÇ_MOV[VALOR LÍQUIDO],LANÇ_MOV[RECEITA OU DESPESA],"Receita",LANÇ_MOV[CONTAS],$C1069,LANÇ_MOV[PLANO DE CONTAS],REL_DRE_FINANCEIRO!$B$1062,LANÇ_MOV[ANO PAGAMENTO],$B$4,LANÇ_MOV[MÊS PAGAMENTO CORRESPONDENTE],N$6,LANÇ_MOV[EMPRESA],$C$4,LANÇ_MOV[CENTRO DE CUSTOS],$D$4)</f>
        <v>321.27</v>
      </c>
      <c r="O1069" s="206">
        <f>SUMIFS(LANÇ_MOV[VALOR LÍQUIDO],LANÇ_MOV[RECEITA OU DESPESA],"Receita",LANÇ_MOV[CONTAS],$C1069,LANÇ_MOV[PLANO DE CONTAS],REL_DRE_FINANCEIRO!$B$1062,LANÇ_MOV[ANO PAGAMENTO],$B$4,LANÇ_MOV[MÊS PAGAMENTO CORRESPONDENTE],O$6,LANÇ_MOV[EMPRESA],$C$4,LANÇ_MOV[CENTRO DE CUSTOS],$D$4)</f>
        <v>0</v>
      </c>
      <c r="P1069" s="207">
        <f t="shared" si="134"/>
        <v>978.37999999999988</v>
      </c>
      <c r="Q1069" s="329">
        <v>9.3999999999999998E-6</v>
      </c>
      <c r="R1069" s="346">
        <f t="shared" si="135"/>
        <v>978.38000939999984</v>
      </c>
      <c r="S1069" s="347" t="str">
        <f t="shared" si="136"/>
        <v>OUTROS CRÉDITOS</v>
      </c>
      <c r="T1069" s="347">
        <f t="shared" si="137"/>
        <v>978.37999999999988</v>
      </c>
      <c r="U1069" s="347">
        <f>HLOOKUP(Apoio!$P$12,$D$1061:$P$1162,X1069,FALSE)+Q1069</f>
        <v>978.38000939999984</v>
      </c>
      <c r="V1069" s="447" t="str">
        <f t="shared" si="138"/>
        <v>OUTROS CRÉDITOS</v>
      </c>
      <c r="W1069" s="448">
        <f>HLOOKUP(Apoio!$P$12,$D$1061:$P$1162,X1069,FALSE)</f>
        <v>978.37999999999988</v>
      </c>
      <c r="X1069" s="329">
        <v>9</v>
      </c>
      <c r="Y1069" s="329">
        <v>1</v>
      </c>
      <c r="Z1069" s="340" t="str">
        <f>VLOOKUP(LARGE($U$1061:$U$1162,Y1069),$U$1061:$V$1162,2,FALSE)</f>
        <v>OUTROS CRÉDITOS</v>
      </c>
      <c r="AA1069" s="340">
        <f>VLOOKUP(Z1069,$V$1061:$W$1162,2,FALSE)</f>
        <v>978.37999999999988</v>
      </c>
    </row>
    <row r="1070" spans="2:50" ht="30.05" customHeight="1" x14ac:dyDescent="0.35">
      <c r="B1070" s="204" t="str">
        <f>'CAD_PL_REC-DESP'!H12</f>
        <v>1.3.8</v>
      </c>
      <c r="C1070" s="205" t="str">
        <f>IF('CAD_PL_REC-DESP'!I12="","-",'CAD_PL_REC-DESP'!I12)</f>
        <v>PAGAMENTO EMPRÉSTIMOS SÓCIOS</v>
      </c>
      <c r="D1070" s="206">
        <f>SUMIFS(LANÇ_MOV[VALOR LÍQUIDO],LANÇ_MOV[RECEITA OU DESPESA],"Receita",LANÇ_MOV[CONTAS],$C1070,LANÇ_MOV[PLANO DE CONTAS],REL_DRE_FINANCEIRO!$B$1062,LANÇ_MOV[ANO PAGAMENTO],$B$4,LANÇ_MOV[MÊS PAGAMENTO CORRESPONDENTE],D$6,LANÇ_MOV[EMPRESA],$C$4,LANÇ_MOV[CENTRO DE CUSTOS],$D$4)</f>
        <v>0</v>
      </c>
      <c r="E1070" s="206">
        <f>SUMIFS(LANÇ_MOV[VALOR LÍQUIDO],LANÇ_MOV[RECEITA OU DESPESA],"Receita",LANÇ_MOV[CONTAS],$C1070,LANÇ_MOV[PLANO DE CONTAS],REL_DRE_FINANCEIRO!$B$1062,LANÇ_MOV[ANO PAGAMENTO],$B$4,LANÇ_MOV[MÊS PAGAMENTO CORRESPONDENTE],E$6,LANÇ_MOV[EMPRESA],$C$4,LANÇ_MOV[CENTRO DE CUSTOS],$D$4)</f>
        <v>0</v>
      </c>
      <c r="F1070" s="206">
        <f>SUMIFS(LANÇ_MOV[VALOR LÍQUIDO],LANÇ_MOV[RECEITA OU DESPESA],"Receita",LANÇ_MOV[CONTAS],$C1070,LANÇ_MOV[PLANO DE CONTAS],REL_DRE_FINANCEIRO!$B$1062,LANÇ_MOV[ANO PAGAMENTO],$B$4,LANÇ_MOV[MÊS PAGAMENTO CORRESPONDENTE],F$6,LANÇ_MOV[EMPRESA],$C$4,LANÇ_MOV[CENTRO DE CUSTOS],$D$4)</f>
        <v>0</v>
      </c>
      <c r="G1070" s="206">
        <f>SUMIFS(LANÇ_MOV[VALOR LÍQUIDO],LANÇ_MOV[RECEITA OU DESPESA],"Receita",LANÇ_MOV[CONTAS],$C1070,LANÇ_MOV[PLANO DE CONTAS],REL_DRE_FINANCEIRO!$B$1062,LANÇ_MOV[ANO PAGAMENTO],$B$4,LANÇ_MOV[MÊS PAGAMENTO CORRESPONDENTE],G$6,LANÇ_MOV[EMPRESA],$C$4,LANÇ_MOV[CENTRO DE CUSTOS],$D$4)</f>
        <v>0</v>
      </c>
      <c r="H1070" s="206">
        <f>SUMIFS(LANÇ_MOV[VALOR LÍQUIDO],LANÇ_MOV[RECEITA OU DESPESA],"Receita",LANÇ_MOV[CONTAS],$C1070,LANÇ_MOV[PLANO DE CONTAS],REL_DRE_FINANCEIRO!$B$1062,LANÇ_MOV[ANO PAGAMENTO],$B$4,LANÇ_MOV[MÊS PAGAMENTO CORRESPONDENTE],H$6,LANÇ_MOV[EMPRESA],$C$4,LANÇ_MOV[CENTRO DE CUSTOS],$D$4)</f>
        <v>0</v>
      </c>
      <c r="I1070" s="206">
        <f>SUMIFS(LANÇ_MOV[VALOR LÍQUIDO],LANÇ_MOV[RECEITA OU DESPESA],"Receita",LANÇ_MOV[CONTAS],$C1070,LANÇ_MOV[PLANO DE CONTAS],REL_DRE_FINANCEIRO!$B$1062,LANÇ_MOV[ANO PAGAMENTO],$B$4,LANÇ_MOV[MÊS PAGAMENTO CORRESPONDENTE],I$6,LANÇ_MOV[EMPRESA],$C$4,LANÇ_MOV[CENTRO DE CUSTOS],$D$4)</f>
        <v>0</v>
      </c>
      <c r="J1070" s="206">
        <f>SUMIFS(LANÇ_MOV[VALOR LÍQUIDO],LANÇ_MOV[RECEITA OU DESPESA],"Receita",LANÇ_MOV[CONTAS],$C1070,LANÇ_MOV[PLANO DE CONTAS],REL_DRE_FINANCEIRO!$B$1062,LANÇ_MOV[ANO PAGAMENTO],$B$4,LANÇ_MOV[MÊS PAGAMENTO CORRESPONDENTE],J$6,LANÇ_MOV[EMPRESA],$C$4,LANÇ_MOV[CENTRO DE CUSTOS],$D$4)</f>
        <v>0</v>
      </c>
      <c r="K1070" s="206">
        <f>SUMIFS(LANÇ_MOV[VALOR LÍQUIDO],LANÇ_MOV[RECEITA OU DESPESA],"Receita",LANÇ_MOV[CONTAS],$C1070,LANÇ_MOV[PLANO DE CONTAS],REL_DRE_FINANCEIRO!$B$1062,LANÇ_MOV[ANO PAGAMENTO],$B$4,LANÇ_MOV[MÊS PAGAMENTO CORRESPONDENTE],K$6,LANÇ_MOV[EMPRESA],$C$4,LANÇ_MOV[CENTRO DE CUSTOS],$D$4)</f>
        <v>0</v>
      </c>
      <c r="L1070" s="206">
        <f>SUMIFS(LANÇ_MOV[VALOR LÍQUIDO],LANÇ_MOV[RECEITA OU DESPESA],"Receita",LANÇ_MOV[CONTAS],$C1070,LANÇ_MOV[PLANO DE CONTAS],REL_DRE_FINANCEIRO!$B$1062,LANÇ_MOV[ANO PAGAMENTO],$B$4,LANÇ_MOV[MÊS PAGAMENTO CORRESPONDENTE],L$6,LANÇ_MOV[EMPRESA],$C$4,LANÇ_MOV[CENTRO DE CUSTOS],$D$4)</f>
        <v>0</v>
      </c>
      <c r="M1070" s="206">
        <f>SUMIFS(LANÇ_MOV[VALOR LÍQUIDO],LANÇ_MOV[RECEITA OU DESPESA],"Receita",LANÇ_MOV[CONTAS],$C1070,LANÇ_MOV[PLANO DE CONTAS],REL_DRE_FINANCEIRO!$B$1062,LANÇ_MOV[ANO PAGAMENTO],$B$4,LANÇ_MOV[MÊS PAGAMENTO CORRESPONDENTE],M$6,LANÇ_MOV[EMPRESA],$C$4,LANÇ_MOV[CENTRO DE CUSTOS],$D$4)</f>
        <v>0</v>
      </c>
      <c r="N1070" s="206">
        <f>SUMIFS(LANÇ_MOV[VALOR LÍQUIDO],LANÇ_MOV[RECEITA OU DESPESA],"Receita",LANÇ_MOV[CONTAS],$C1070,LANÇ_MOV[PLANO DE CONTAS],REL_DRE_FINANCEIRO!$B$1062,LANÇ_MOV[ANO PAGAMENTO],$B$4,LANÇ_MOV[MÊS PAGAMENTO CORRESPONDENTE],N$6,LANÇ_MOV[EMPRESA],$C$4,LANÇ_MOV[CENTRO DE CUSTOS],$D$4)</f>
        <v>0</v>
      </c>
      <c r="O1070" s="206">
        <f>SUMIFS(LANÇ_MOV[VALOR LÍQUIDO],LANÇ_MOV[RECEITA OU DESPESA],"Receita",LANÇ_MOV[CONTAS],$C1070,LANÇ_MOV[PLANO DE CONTAS],REL_DRE_FINANCEIRO!$B$1062,LANÇ_MOV[ANO PAGAMENTO],$B$4,LANÇ_MOV[MÊS PAGAMENTO CORRESPONDENTE],O$6,LANÇ_MOV[EMPRESA],$C$4,LANÇ_MOV[CENTRO DE CUSTOS],$D$4)</f>
        <v>0</v>
      </c>
      <c r="P1070" s="207">
        <f t="shared" si="134"/>
        <v>0</v>
      </c>
      <c r="Q1070" s="329">
        <v>9.3000000000000007E-6</v>
      </c>
      <c r="R1070" s="346">
        <f t="shared" si="135"/>
        <v>9.3000000000000007E-6</v>
      </c>
      <c r="S1070" s="347" t="str">
        <f t="shared" si="136"/>
        <v>PAGAMENTO EMPRÉSTIMOS SÓCIOS</v>
      </c>
      <c r="T1070" s="347">
        <f t="shared" si="137"/>
        <v>0</v>
      </c>
      <c r="U1070" s="347">
        <f>HLOOKUP(Apoio!$P$12,$D$1061:$P$1162,X1070,FALSE)+Q1070</f>
        <v>9.3000000000000007E-6</v>
      </c>
      <c r="V1070" s="447" t="str">
        <f t="shared" si="138"/>
        <v>PAGAMENTO EMPRÉSTIMOS SÓCIOS</v>
      </c>
      <c r="W1070" s="448">
        <f>HLOOKUP(Apoio!$P$12,$D$1061:$P$1162,X1070,FALSE)</f>
        <v>0</v>
      </c>
      <c r="X1070" s="329">
        <v>10</v>
      </c>
      <c r="Y1070" s="329">
        <v>2</v>
      </c>
      <c r="Z1070" s="340" t="str">
        <f>VLOOKUP(LARGE($U$1061:$U$1162,Y1070),$U$1061:$V$1162,2,FALSE)</f>
        <v>RENDIMENTO</v>
      </c>
      <c r="AA1070" s="340">
        <f>VLOOKUP(Z1070,$V$1061:$W$1162,2,FALSE)</f>
        <v>0.06</v>
      </c>
    </row>
    <row r="1071" spans="2:50" ht="30.05" customHeight="1" x14ac:dyDescent="0.35">
      <c r="B1071" s="204" t="str">
        <f>'CAD_PL_REC-DESP'!H13</f>
        <v>1.3.9</v>
      </c>
      <c r="C1071" s="205" t="str">
        <f>IF('CAD_PL_REC-DESP'!I13="","-",'CAD_PL_REC-DESP'!I13)</f>
        <v>RENDIMENTO</v>
      </c>
      <c r="D1071" s="206">
        <f>SUMIFS(LANÇ_MOV[VALOR LÍQUIDO],LANÇ_MOV[RECEITA OU DESPESA],"Receita",LANÇ_MOV[CONTAS],$C1071,LANÇ_MOV[PLANO DE CONTAS],REL_DRE_FINANCEIRO!$B$1062,LANÇ_MOV[ANO PAGAMENTO],$B$4,LANÇ_MOV[MÊS PAGAMENTO CORRESPONDENTE],D$6,LANÇ_MOV[EMPRESA],$C$4,LANÇ_MOV[CENTRO DE CUSTOS],$D$4)</f>
        <v>0</v>
      </c>
      <c r="E1071" s="206">
        <f>SUMIFS(LANÇ_MOV[VALOR LÍQUIDO],LANÇ_MOV[RECEITA OU DESPESA],"Receita",LANÇ_MOV[CONTAS],$C1071,LANÇ_MOV[PLANO DE CONTAS],REL_DRE_FINANCEIRO!$B$1062,LANÇ_MOV[ANO PAGAMENTO],$B$4,LANÇ_MOV[MÊS PAGAMENTO CORRESPONDENTE],E$6,LANÇ_MOV[EMPRESA],$C$4,LANÇ_MOV[CENTRO DE CUSTOS],$D$4)</f>
        <v>0</v>
      </c>
      <c r="F1071" s="206">
        <f>SUMIFS(LANÇ_MOV[VALOR LÍQUIDO],LANÇ_MOV[RECEITA OU DESPESA],"Receita",LANÇ_MOV[CONTAS],$C1071,LANÇ_MOV[PLANO DE CONTAS],REL_DRE_FINANCEIRO!$B$1062,LANÇ_MOV[ANO PAGAMENTO],$B$4,LANÇ_MOV[MÊS PAGAMENTO CORRESPONDENTE],F$6,LANÇ_MOV[EMPRESA],$C$4,LANÇ_MOV[CENTRO DE CUSTOS],$D$4)</f>
        <v>0</v>
      </c>
      <c r="G1071" s="206">
        <f>SUMIFS(LANÇ_MOV[VALOR LÍQUIDO],LANÇ_MOV[RECEITA OU DESPESA],"Receita",LANÇ_MOV[CONTAS],$C1071,LANÇ_MOV[PLANO DE CONTAS],REL_DRE_FINANCEIRO!$B$1062,LANÇ_MOV[ANO PAGAMENTO],$B$4,LANÇ_MOV[MÊS PAGAMENTO CORRESPONDENTE],G$6,LANÇ_MOV[EMPRESA],$C$4,LANÇ_MOV[CENTRO DE CUSTOS],$D$4)</f>
        <v>0</v>
      </c>
      <c r="H1071" s="206">
        <f>SUMIFS(LANÇ_MOV[VALOR LÍQUIDO],LANÇ_MOV[RECEITA OU DESPESA],"Receita",LANÇ_MOV[CONTAS],$C1071,LANÇ_MOV[PLANO DE CONTAS],REL_DRE_FINANCEIRO!$B$1062,LANÇ_MOV[ANO PAGAMENTO],$B$4,LANÇ_MOV[MÊS PAGAMENTO CORRESPONDENTE],H$6,LANÇ_MOV[EMPRESA],$C$4,LANÇ_MOV[CENTRO DE CUSTOS],$D$4)</f>
        <v>0</v>
      </c>
      <c r="I1071" s="206">
        <f>SUMIFS(LANÇ_MOV[VALOR LÍQUIDO],LANÇ_MOV[RECEITA OU DESPESA],"Receita",LANÇ_MOV[CONTAS],$C1071,LANÇ_MOV[PLANO DE CONTAS],REL_DRE_FINANCEIRO!$B$1062,LANÇ_MOV[ANO PAGAMENTO],$B$4,LANÇ_MOV[MÊS PAGAMENTO CORRESPONDENTE],I$6,LANÇ_MOV[EMPRESA],$C$4,LANÇ_MOV[CENTRO DE CUSTOS],$D$4)</f>
        <v>0</v>
      </c>
      <c r="J1071" s="206">
        <f>SUMIFS(LANÇ_MOV[VALOR LÍQUIDO],LANÇ_MOV[RECEITA OU DESPESA],"Receita",LANÇ_MOV[CONTAS],$C1071,LANÇ_MOV[PLANO DE CONTAS],REL_DRE_FINANCEIRO!$B$1062,LANÇ_MOV[ANO PAGAMENTO],$B$4,LANÇ_MOV[MÊS PAGAMENTO CORRESPONDENTE],J$6,LANÇ_MOV[EMPRESA],$C$4,LANÇ_MOV[CENTRO DE CUSTOS],$D$4)</f>
        <v>0</v>
      </c>
      <c r="K1071" s="206">
        <f>SUMIFS(LANÇ_MOV[VALOR LÍQUIDO],LANÇ_MOV[RECEITA OU DESPESA],"Receita",LANÇ_MOV[CONTAS],$C1071,LANÇ_MOV[PLANO DE CONTAS],REL_DRE_FINANCEIRO!$B$1062,LANÇ_MOV[ANO PAGAMENTO],$B$4,LANÇ_MOV[MÊS PAGAMENTO CORRESPONDENTE],K$6,LANÇ_MOV[EMPRESA],$C$4,LANÇ_MOV[CENTRO DE CUSTOS],$D$4)</f>
        <v>0</v>
      </c>
      <c r="L1071" s="206">
        <f>SUMIFS(LANÇ_MOV[VALOR LÍQUIDO],LANÇ_MOV[RECEITA OU DESPESA],"Receita",LANÇ_MOV[CONTAS],$C1071,LANÇ_MOV[PLANO DE CONTAS],REL_DRE_FINANCEIRO!$B$1062,LANÇ_MOV[ANO PAGAMENTO],$B$4,LANÇ_MOV[MÊS PAGAMENTO CORRESPONDENTE],L$6,LANÇ_MOV[EMPRESA],$C$4,LANÇ_MOV[CENTRO DE CUSTOS],$D$4)</f>
        <v>0</v>
      </c>
      <c r="M1071" s="206">
        <f>SUMIFS(LANÇ_MOV[VALOR LÍQUIDO],LANÇ_MOV[RECEITA OU DESPESA],"Receita",LANÇ_MOV[CONTAS],$C1071,LANÇ_MOV[PLANO DE CONTAS],REL_DRE_FINANCEIRO!$B$1062,LANÇ_MOV[ANO PAGAMENTO],$B$4,LANÇ_MOV[MÊS PAGAMENTO CORRESPONDENTE],M$6,LANÇ_MOV[EMPRESA],$C$4,LANÇ_MOV[CENTRO DE CUSTOS],$D$4)</f>
        <v>0.02</v>
      </c>
      <c r="N1071" s="206">
        <f>SUMIFS(LANÇ_MOV[VALOR LÍQUIDO],LANÇ_MOV[RECEITA OU DESPESA],"Receita",LANÇ_MOV[CONTAS],$C1071,LANÇ_MOV[PLANO DE CONTAS],REL_DRE_FINANCEIRO!$B$1062,LANÇ_MOV[ANO PAGAMENTO],$B$4,LANÇ_MOV[MÊS PAGAMENTO CORRESPONDENTE],N$6,LANÇ_MOV[EMPRESA],$C$4,LANÇ_MOV[CENTRO DE CUSTOS],$D$4)</f>
        <v>0.04</v>
      </c>
      <c r="O1071" s="206">
        <f>SUMIFS(LANÇ_MOV[VALOR LÍQUIDO],LANÇ_MOV[RECEITA OU DESPESA],"Receita",LANÇ_MOV[CONTAS],$C1071,LANÇ_MOV[PLANO DE CONTAS],REL_DRE_FINANCEIRO!$B$1062,LANÇ_MOV[ANO PAGAMENTO],$B$4,LANÇ_MOV[MÊS PAGAMENTO CORRESPONDENTE],O$6,LANÇ_MOV[EMPRESA],$C$4,LANÇ_MOV[CENTRO DE CUSTOS],$D$4)</f>
        <v>0</v>
      </c>
      <c r="P1071" s="207">
        <f t="shared" si="134"/>
        <v>0.06</v>
      </c>
      <c r="Q1071" s="329">
        <v>9.2E-6</v>
      </c>
      <c r="R1071" s="346">
        <f t="shared" si="135"/>
        <v>6.0009199999999999E-2</v>
      </c>
      <c r="S1071" s="347" t="str">
        <f t="shared" si="136"/>
        <v>RENDIMENTO</v>
      </c>
      <c r="T1071" s="347">
        <f t="shared" si="137"/>
        <v>0.06</v>
      </c>
      <c r="U1071" s="347">
        <f>HLOOKUP(Apoio!$P$12,$D$1061:$P$1162,X1071,FALSE)+Q1071</f>
        <v>6.0009199999999999E-2</v>
      </c>
      <c r="V1071" s="447" t="str">
        <f t="shared" si="138"/>
        <v>RENDIMENTO</v>
      </c>
      <c r="W1071" s="448">
        <f>HLOOKUP(Apoio!$P$12,$D$1061:$P$1162,X1071,FALSE)</f>
        <v>0.06</v>
      </c>
      <c r="X1071" s="329">
        <v>11</v>
      </c>
      <c r="Y1071" s="329">
        <v>3</v>
      </c>
      <c r="Z1071" s="340" t="str">
        <f>VLOOKUP(LARGE($U$1061:$U$1162,Y1071),$U$1061:$V$1162,2,FALSE)</f>
        <v>APLICAÇÃO</v>
      </c>
      <c r="AA1071" s="340">
        <f>VLOOKUP(Z1071,$V$1061:$W$1162,2,FALSE)</f>
        <v>0</v>
      </c>
    </row>
    <row r="1072" spans="2:50" ht="30.05" customHeight="1" x14ac:dyDescent="0.35">
      <c r="B1072" s="204" t="str">
        <f>'CAD_PL_REC-DESP'!H14</f>
        <v>1.3.10</v>
      </c>
      <c r="C1072" s="205" t="str">
        <f>IF('CAD_PL_REC-DESP'!I14="","-",'CAD_PL_REC-DESP'!I14)</f>
        <v>RESGATE DE APLICAÇÃO</v>
      </c>
      <c r="D1072" s="206">
        <f>SUMIFS(LANÇ_MOV[VALOR LÍQUIDO],LANÇ_MOV[RECEITA OU DESPESA],"Receita",LANÇ_MOV[CONTAS],$C1072,LANÇ_MOV[PLANO DE CONTAS],REL_DRE_FINANCEIRO!$B$1062,LANÇ_MOV[ANO PAGAMENTO],$B$4,LANÇ_MOV[MÊS PAGAMENTO CORRESPONDENTE],D$6,LANÇ_MOV[EMPRESA],$C$4,LANÇ_MOV[CENTRO DE CUSTOS],$D$4)</f>
        <v>0</v>
      </c>
      <c r="E1072" s="206">
        <f>SUMIFS(LANÇ_MOV[VALOR LÍQUIDO],LANÇ_MOV[RECEITA OU DESPESA],"Receita",LANÇ_MOV[CONTAS],$C1072,LANÇ_MOV[PLANO DE CONTAS],REL_DRE_FINANCEIRO!$B$1062,LANÇ_MOV[ANO PAGAMENTO],$B$4,LANÇ_MOV[MÊS PAGAMENTO CORRESPONDENTE],E$6,LANÇ_MOV[EMPRESA],$C$4,LANÇ_MOV[CENTRO DE CUSTOS],$D$4)</f>
        <v>0</v>
      </c>
      <c r="F1072" s="206">
        <f>SUMIFS(LANÇ_MOV[VALOR LÍQUIDO],LANÇ_MOV[RECEITA OU DESPESA],"Receita",LANÇ_MOV[CONTAS],$C1072,LANÇ_MOV[PLANO DE CONTAS],REL_DRE_FINANCEIRO!$B$1062,LANÇ_MOV[ANO PAGAMENTO],$B$4,LANÇ_MOV[MÊS PAGAMENTO CORRESPONDENTE],F$6,LANÇ_MOV[EMPRESA],$C$4,LANÇ_MOV[CENTRO DE CUSTOS],$D$4)</f>
        <v>0</v>
      </c>
      <c r="G1072" s="206">
        <f>SUMIFS(LANÇ_MOV[VALOR LÍQUIDO],LANÇ_MOV[RECEITA OU DESPESA],"Receita",LANÇ_MOV[CONTAS],$C1072,LANÇ_MOV[PLANO DE CONTAS],REL_DRE_FINANCEIRO!$B$1062,LANÇ_MOV[ANO PAGAMENTO],$B$4,LANÇ_MOV[MÊS PAGAMENTO CORRESPONDENTE],G$6,LANÇ_MOV[EMPRESA],$C$4,LANÇ_MOV[CENTRO DE CUSTOS],$D$4)</f>
        <v>0</v>
      </c>
      <c r="H1072" s="206">
        <f>SUMIFS(LANÇ_MOV[VALOR LÍQUIDO],LANÇ_MOV[RECEITA OU DESPESA],"Receita",LANÇ_MOV[CONTAS],$C1072,LANÇ_MOV[PLANO DE CONTAS],REL_DRE_FINANCEIRO!$B$1062,LANÇ_MOV[ANO PAGAMENTO],$B$4,LANÇ_MOV[MÊS PAGAMENTO CORRESPONDENTE],H$6,LANÇ_MOV[EMPRESA],$C$4,LANÇ_MOV[CENTRO DE CUSTOS],$D$4)</f>
        <v>0</v>
      </c>
      <c r="I1072" s="206">
        <f>SUMIFS(LANÇ_MOV[VALOR LÍQUIDO],LANÇ_MOV[RECEITA OU DESPESA],"Receita",LANÇ_MOV[CONTAS],$C1072,LANÇ_MOV[PLANO DE CONTAS],REL_DRE_FINANCEIRO!$B$1062,LANÇ_MOV[ANO PAGAMENTO],$B$4,LANÇ_MOV[MÊS PAGAMENTO CORRESPONDENTE],I$6,LANÇ_MOV[EMPRESA],$C$4,LANÇ_MOV[CENTRO DE CUSTOS],$D$4)</f>
        <v>0</v>
      </c>
      <c r="J1072" s="206">
        <f>SUMIFS(LANÇ_MOV[VALOR LÍQUIDO],LANÇ_MOV[RECEITA OU DESPESA],"Receita",LANÇ_MOV[CONTAS],$C1072,LANÇ_MOV[PLANO DE CONTAS],REL_DRE_FINANCEIRO!$B$1062,LANÇ_MOV[ANO PAGAMENTO],$B$4,LANÇ_MOV[MÊS PAGAMENTO CORRESPONDENTE],J$6,LANÇ_MOV[EMPRESA],$C$4,LANÇ_MOV[CENTRO DE CUSTOS],$D$4)</f>
        <v>0</v>
      </c>
      <c r="K1072" s="206">
        <f>SUMIFS(LANÇ_MOV[VALOR LÍQUIDO],LANÇ_MOV[RECEITA OU DESPESA],"Receita",LANÇ_MOV[CONTAS],$C1072,LANÇ_MOV[PLANO DE CONTAS],REL_DRE_FINANCEIRO!$B$1062,LANÇ_MOV[ANO PAGAMENTO],$B$4,LANÇ_MOV[MÊS PAGAMENTO CORRESPONDENTE],K$6,LANÇ_MOV[EMPRESA],$C$4,LANÇ_MOV[CENTRO DE CUSTOS],$D$4)</f>
        <v>0</v>
      </c>
      <c r="L1072" s="206">
        <f>SUMIFS(LANÇ_MOV[VALOR LÍQUIDO],LANÇ_MOV[RECEITA OU DESPESA],"Receita",LANÇ_MOV[CONTAS],$C1072,LANÇ_MOV[PLANO DE CONTAS],REL_DRE_FINANCEIRO!$B$1062,LANÇ_MOV[ANO PAGAMENTO],$B$4,LANÇ_MOV[MÊS PAGAMENTO CORRESPONDENTE],L$6,LANÇ_MOV[EMPRESA],$C$4,LANÇ_MOV[CENTRO DE CUSTOS],$D$4)</f>
        <v>0</v>
      </c>
      <c r="M1072" s="206">
        <f>SUMIFS(LANÇ_MOV[VALOR LÍQUIDO],LANÇ_MOV[RECEITA OU DESPESA],"Receita",LANÇ_MOV[CONTAS],$C1072,LANÇ_MOV[PLANO DE CONTAS],REL_DRE_FINANCEIRO!$B$1062,LANÇ_MOV[ANO PAGAMENTO],$B$4,LANÇ_MOV[MÊS PAGAMENTO CORRESPONDENTE],M$6,LANÇ_MOV[EMPRESA],$C$4,LANÇ_MOV[CENTRO DE CUSTOS],$D$4)</f>
        <v>0</v>
      </c>
      <c r="N1072" s="206">
        <f>SUMIFS(LANÇ_MOV[VALOR LÍQUIDO],LANÇ_MOV[RECEITA OU DESPESA],"Receita",LANÇ_MOV[CONTAS],$C1072,LANÇ_MOV[PLANO DE CONTAS],REL_DRE_FINANCEIRO!$B$1062,LANÇ_MOV[ANO PAGAMENTO],$B$4,LANÇ_MOV[MÊS PAGAMENTO CORRESPONDENTE],N$6,LANÇ_MOV[EMPRESA],$C$4,LANÇ_MOV[CENTRO DE CUSTOS],$D$4)</f>
        <v>0</v>
      </c>
      <c r="O1072" s="206">
        <f>SUMIFS(LANÇ_MOV[VALOR LÍQUIDO],LANÇ_MOV[RECEITA OU DESPESA],"Receita",LANÇ_MOV[CONTAS],$C1072,LANÇ_MOV[PLANO DE CONTAS],REL_DRE_FINANCEIRO!$B$1062,LANÇ_MOV[ANO PAGAMENTO],$B$4,LANÇ_MOV[MÊS PAGAMENTO CORRESPONDENTE],O$6,LANÇ_MOV[EMPRESA],$C$4,LANÇ_MOV[CENTRO DE CUSTOS],$D$4)</f>
        <v>0</v>
      </c>
      <c r="P1072" s="207">
        <f t="shared" si="134"/>
        <v>0</v>
      </c>
      <c r="Q1072" s="329">
        <v>9.0999999999999993E-6</v>
      </c>
      <c r="R1072" s="346">
        <f t="shared" si="135"/>
        <v>9.0999999999999993E-6</v>
      </c>
      <c r="S1072" s="347" t="str">
        <f t="shared" si="136"/>
        <v>RESGATE DE APLICAÇÃO</v>
      </c>
      <c r="T1072" s="347">
        <f t="shared" si="137"/>
        <v>0</v>
      </c>
      <c r="U1072" s="347">
        <f>HLOOKUP(Apoio!$P$12,$D$1061:$P$1162,X1072,FALSE)+Q1072</f>
        <v>9.0999999999999993E-6</v>
      </c>
      <c r="V1072" s="447" t="str">
        <f t="shared" si="138"/>
        <v>RESGATE DE APLICAÇÃO</v>
      </c>
      <c r="W1072" s="448">
        <f>HLOOKUP(Apoio!$P$12,$D$1061:$P$1162,X1072,FALSE)</f>
        <v>0</v>
      </c>
      <c r="X1072" s="329">
        <v>12</v>
      </c>
      <c r="Y1072" s="329">
        <v>4</v>
      </c>
      <c r="Z1072" s="340" t="str">
        <f>VLOOKUP(LARGE($U$1061:$U$1162,Y1072),$U$1061:$V$1162,2,FALSE)</f>
        <v>CAPITAL DE GIRO</v>
      </c>
      <c r="AA1072" s="340">
        <f>VLOOKUP(Z1072,$V$1061:$W$1162,2,FALSE)</f>
        <v>0</v>
      </c>
    </row>
    <row r="1073" spans="2:27" ht="30.05" customHeight="1" x14ac:dyDescent="0.35">
      <c r="B1073" s="204" t="str">
        <f>'CAD_PL_REC-DESP'!H15</f>
        <v>1.3.11</v>
      </c>
      <c r="C1073" s="205" t="str">
        <f>IF('CAD_PL_REC-DESP'!I15="","-",'CAD_PL_REC-DESP'!I15)</f>
        <v>TRANSFERÊNCIA ENTRE CONTAS</v>
      </c>
      <c r="D1073" s="206">
        <f>SUMIFS(LANÇ_MOV[VALOR LÍQUIDO],LANÇ_MOV[RECEITA OU DESPESA],"Receita",LANÇ_MOV[CONTAS],$C1073,LANÇ_MOV[PLANO DE CONTAS],REL_DRE_FINANCEIRO!$B$1062,LANÇ_MOV[ANO PAGAMENTO],$B$4,LANÇ_MOV[MÊS PAGAMENTO CORRESPONDENTE],D$6,LANÇ_MOV[EMPRESA],$C$4,LANÇ_MOV[CENTRO DE CUSTOS],$D$4)</f>
        <v>0</v>
      </c>
      <c r="E1073" s="206">
        <f>SUMIFS(LANÇ_MOV[VALOR LÍQUIDO],LANÇ_MOV[RECEITA OU DESPESA],"Receita",LANÇ_MOV[CONTAS],$C1073,LANÇ_MOV[PLANO DE CONTAS],REL_DRE_FINANCEIRO!$B$1062,LANÇ_MOV[ANO PAGAMENTO],$B$4,LANÇ_MOV[MÊS PAGAMENTO CORRESPONDENTE],E$6,LANÇ_MOV[EMPRESA],$C$4,LANÇ_MOV[CENTRO DE CUSTOS],$D$4)</f>
        <v>0</v>
      </c>
      <c r="F1073" s="206">
        <f>SUMIFS(LANÇ_MOV[VALOR LÍQUIDO],LANÇ_MOV[RECEITA OU DESPESA],"Receita",LANÇ_MOV[CONTAS],$C1073,LANÇ_MOV[PLANO DE CONTAS],REL_DRE_FINANCEIRO!$B$1062,LANÇ_MOV[ANO PAGAMENTO],$B$4,LANÇ_MOV[MÊS PAGAMENTO CORRESPONDENTE],F$6,LANÇ_MOV[EMPRESA],$C$4,LANÇ_MOV[CENTRO DE CUSTOS],$D$4)</f>
        <v>0</v>
      </c>
      <c r="G1073" s="206">
        <f>SUMIFS(LANÇ_MOV[VALOR LÍQUIDO],LANÇ_MOV[RECEITA OU DESPESA],"Receita",LANÇ_MOV[CONTAS],$C1073,LANÇ_MOV[PLANO DE CONTAS],REL_DRE_FINANCEIRO!$B$1062,LANÇ_MOV[ANO PAGAMENTO],$B$4,LANÇ_MOV[MÊS PAGAMENTO CORRESPONDENTE],G$6,LANÇ_MOV[EMPRESA],$C$4,LANÇ_MOV[CENTRO DE CUSTOS],$D$4)</f>
        <v>0</v>
      </c>
      <c r="H1073" s="206">
        <f>SUMIFS(LANÇ_MOV[VALOR LÍQUIDO],LANÇ_MOV[RECEITA OU DESPESA],"Receita",LANÇ_MOV[CONTAS],$C1073,LANÇ_MOV[PLANO DE CONTAS],REL_DRE_FINANCEIRO!$B$1062,LANÇ_MOV[ANO PAGAMENTO],$B$4,LANÇ_MOV[MÊS PAGAMENTO CORRESPONDENTE],H$6,LANÇ_MOV[EMPRESA],$C$4,LANÇ_MOV[CENTRO DE CUSTOS],$D$4)</f>
        <v>0</v>
      </c>
      <c r="I1073" s="206">
        <f>SUMIFS(LANÇ_MOV[VALOR LÍQUIDO],LANÇ_MOV[RECEITA OU DESPESA],"Receita",LANÇ_MOV[CONTAS],$C1073,LANÇ_MOV[PLANO DE CONTAS],REL_DRE_FINANCEIRO!$B$1062,LANÇ_MOV[ANO PAGAMENTO],$B$4,LANÇ_MOV[MÊS PAGAMENTO CORRESPONDENTE],I$6,LANÇ_MOV[EMPRESA],$C$4,LANÇ_MOV[CENTRO DE CUSTOS],$D$4)</f>
        <v>0</v>
      </c>
      <c r="J1073" s="206">
        <f>SUMIFS(LANÇ_MOV[VALOR LÍQUIDO],LANÇ_MOV[RECEITA OU DESPESA],"Receita",LANÇ_MOV[CONTAS],$C1073,LANÇ_MOV[PLANO DE CONTAS],REL_DRE_FINANCEIRO!$B$1062,LANÇ_MOV[ANO PAGAMENTO],$B$4,LANÇ_MOV[MÊS PAGAMENTO CORRESPONDENTE],J$6,LANÇ_MOV[EMPRESA],$C$4,LANÇ_MOV[CENTRO DE CUSTOS],$D$4)</f>
        <v>0</v>
      </c>
      <c r="K1073" s="206">
        <f>SUMIFS(LANÇ_MOV[VALOR LÍQUIDO],LANÇ_MOV[RECEITA OU DESPESA],"Receita",LANÇ_MOV[CONTAS],$C1073,LANÇ_MOV[PLANO DE CONTAS],REL_DRE_FINANCEIRO!$B$1062,LANÇ_MOV[ANO PAGAMENTO],$B$4,LANÇ_MOV[MÊS PAGAMENTO CORRESPONDENTE],K$6,LANÇ_MOV[EMPRESA],$C$4,LANÇ_MOV[CENTRO DE CUSTOS],$D$4)</f>
        <v>0</v>
      </c>
      <c r="L1073" s="206">
        <f>SUMIFS(LANÇ_MOV[VALOR LÍQUIDO],LANÇ_MOV[RECEITA OU DESPESA],"Receita",LANÇ_MOV[CONTAS],$C1073,LANÇ_MOV[PLANO DE CONTAS],REL_DRE_FINANCEIRO!$B$1062,LANÇ_MOV[ANO PAGAMENTO],$B$4,LANÇ_MOV[MÊS PAGAMENTO CORRESPONDENTE],L$6,LANÇ_MOV[EMPRESA],$C$4,LANÇ_MOV[CENTRO DE CUSTOS],$D$4)</f>
        <v>0</v>
      </c>
      <c r="M1073" s="206">
        <f>SUMIFS(LANÇ_MOV[VALOR LÍQUIDO],LANÇ_MOV[RECEITA OU DESPESA],"Receita",LANÇ_MOV[CONTAS],$C1073,LANÇ_MOV[PLANO DE CONTAS],REL_DRE_FINANCEIRO!$B$1062,LANÇ_MOV[ANO PAGAMENTO],$B$4,LANÇ_MOV[MÊS PAGAMENTO CORRESPONDENTE],M$6,LANÇ_MOV[EMPRESA],$C$4,LANÇ_MOV[CENTRO DE CUSTOS],$D$4)</f>
        <v>0</v>
      </c>
      <c r="N1073" s="206">
        <f>SUMIFS(LANÇ_MOV[VALOR LÍQUIDO],LANÇ_MOV[RECEITA OU DESPESA],"Receita",LANÇ_MOV[CONTAS],$C1073,LANÇ_MOV[PLANO DE CONTAS],REL_DRE_FINANCEIRO!$B$1062,LANÇ_MOV[ANO PAGAMENTO],$B$4,LANÇ_MOV[MÊS PAGAMENTO CORRESPONDENTE],N$6,LANÇ_MOV[EMPRESA],$C$4,LANÇ_MOV[CENTRO DE CUSTOS],$D$4)</f>
        <v>0</v>
      </c>
      <c r="O1073" s="206">
        <f>SUMIFS(LANÇ_MOV[VALOR LÍQUIDO],LANÇ_MOV[RECEITA OU DESPESA],"Receita",LANÇ_MOV[CONTAS],$C1073,LANÇ_MOV[PLANO DE CONTAS],REL_DRE_FINANCEIRO!$B$1062,LANÇ_MOV[ANO PAGAMENTO],$B$4,LANÇ_MOV[MÊS PAGAMENTO CORRESPONDENTE],O$6,LANÇ_MOV[EMPRESA],$C$4,LANÇ_MOV[CENTRO DE CUSTOS],$D$4)</f>
        <v>0</v>
      </c>
      <c r="P1073" s="207">
        <f t="shared" si="134"/>
        <v>0</v>
      </c>
      <c r="Q1073" s="329">
        <v>9.0000000000000002E-6</v>
      </c>
      <c r="R1073" s="346">
        <f t="shared" si="135"/>
        <v>9.0000000000000002E-6</v>
      </c>
      <c r="S1073" s="347" t="str">
        <f t="shared" si="136"/>
        <v>TRANSFERÊNCIA ENTRE CONTAS</v>
      </c>
      <c r="T1073" s="347">
        <f t="shared" si="137"/>
        <v>0</v>
      </c>
      <c r="U1073" s="347">
        <f>HLOOKUP(Apoio!$P$12,$D$1061:$P$1162,X1073,FALSE)+Q1073</f>
        <v>9.0000000000000002E-6</v>
      </c>
      <c r="V1073" s="447" t="str">
        <f t="shared" si="138"/>
        <v>TRANSFERÊNCIA ENTRE CONTAS</v>
      </c>
      <c r="W1073" s="448">
        <f>HLOOKUP(Apoio!$P$12,$D$1061:$P$1162,X1073,FALSE)</f>
        <v>0</v>
      </c>
      <c r="X1073" s="329">
        <v>13</v>
      </c>
      <c r="Y1073" s="329">
        <v>5</v>
      </c>
      <c r="Z1073" s="340" t="str">
        <f>VLOOKUP(LARGE($U$1061:$U$1162,Y1073),$U$1061:$V$1162,2,FALSE)</f>
        <v>DEVOLUÇÃO SÓCIOS</v>
      </c>
      <c r="AA1073" s="340">
        <f>VLOOKUP(Z1073,$V$1061:$W$1162,2,FALSE)</f>
        <v>0</v>
      </c>
    </row>
    <row r="1074" spans="2:27" ht="30.05" customHeight="1" x14ac:dyDescent="0.35">
      <c r="B1074" s="204" t="str">
        <f>'CAD_PL_REC-DESP'!H16</f>
        <v>1.3.12</v>
      </c>
      <c r="C1074" s="205" t="str">
        <f>IF('CAD_PL_REC-DESP'!I16="","-",'CAD_PL_REC-DESP'!I16)</f>
        <v>-</v>
      </c>
      <c r="D1074" s="206">
        <f>SUMIFS(LANÇ_MOV[VALOR LÍQUIDO],LANÇ_MOV[RECEITA OU DESPESA],"Receita",LANÇ_MOV[CONTAS],$C1074,LANÇ_MOV[PLANO DE CONTAS],REL_DRE_FINANCEIRO!$B$1062,LANÇ_MOV[ANO PAGAMENTO],$B$4,LANÇ_MOV[MÊS PAGAMENTO CORRESPONDENTE],D$6,LANÇ_MOV[EMPRESA],$C$4,LANÇ_MOV[CENTRO DE CUSTOS],$D$4)</f>
        <v>0</v>
      </c>
      <c r="E1074" s="206">
        <f>SUMIFS(LANÇ_MOV[VALOR LÍQUIDO],LANÇ_MOV[RECEITA OU DESPESA],"Receita",LANÇ_MOV[CONTAS],$C1074,LANÇ_MOV[PLANO DE CONTAS],REL_DRE_FINANCEIRO!$B$1062,LANÇ_MOV[ANO PAGAMENTO],$B$4,LANÇ_MOV[MÊS PAGAMENTO CORRESPONDENTE],E$6,LANÇ_MOV[EMPRESA],$C$4,LANÇ_MOV[CENTRO DE CUSTOS],$D$4)</f>
        <v>0</v>
      </c>
      <c r="F1074" s="206">
        <f>SUMIFS(LANÇ_MOV[VALOR LÍQUIDO],LANÇ_MOV[RECEITA OU DESPESA],"Receita",LANÇ_MOV[CONTAS],$C1074,LANÇ_MOV[PLANO DE CONTAS],REL_DRE_FINANCEIRO!$B$1062,LANÇ_MOV[ANO PAGAMENTO],$B$4,LANÇ_MOV[MÊS PAGAMENTO CORRESPONDENTE],F$6,LANÇ_MOV[EMPRESA],$C$4,LANÇ_MOV[CENTRO DE CUSTOS],$D$4)</f>
        <v>0</v>
      </c>
      <c r="G1074" s="206">
        <f>SUMIFS(LANÇ_MOV[VALOR LÍQUIDO],LANÇ_MOV[RECEITA OU DESPESA],"Receita",LANÇ_MOV[CONTAS],$C1074,LANÇ_MOV[PLANO DE CONTAS],REL_DRE_FINANCEIRO!$B$1062,LANÇ_MOV[ANO PAGAMENTO],$B$4,LANÇ_MOV[MÊS PAGAMENTO CORRESPONDENTE],G$6,LANÇ_MOV[EMPRESA],$C$4,LANÇ_MOV[CENTRO DE CUSTOS],$D$4)</f>
        <v>0</v>
      </c>
      <c r="H1074" s="206">
        <f>SUMIFS(LANÇ_MOV[VALOR LÍQUIDO],LANÇ_MOV[RECEITA OU DESPESA],"Receita",LANÇ_MOV[CONTAS],$C1074,LANÇ_MOV[PLANO DE CONTAS],REL_DRE_FINANCEIRO!$B$1062,LANÇ_MOV[ANO PAGAMENTO],$B$4,LANÇ_MOV[MÊS PAGAMENTO CORRESPONDENTE],H$6,LANÇ_MOV[EMPRESA],$C$4,LANÇ_MOV[CENTRO DE CUSTOS],$D$4)</f>
        <v>0</v>
      </c>
      <c r="I1074" s="206">
        <f>SUMIFS(LANÇ_MOV[VALOR LÍQUIDO],LANÇ_MOV[RECEITA OU DESPESA],"Receita",LANÇ_MOV[CONTAS],$C1074,LANÇ_MOV[PLANO DE CONTAS],REL_DRE_FINANCEIRO!$B$1062,LANÇ_MOV[ANO PAGAMENTO],$B$4,LANÇ_MOV[MÊS PAGAMENTO CORRESPONDENTE],I$6,LANÇ_MOV[EMPRESA],$C$4,LANÇ_MOV[CENTRO DE CUSTOS],$D$4)</f>
        <v>0</v>
      </c>
      <c r="J1074" s="206">
        <f>SUMIFS(LANÇ_MOV[VALOR LÍQUIDO],LANÇ_MOV[RECEITA OU DESPESA],"Receita",LANÇ_MOV[CONTAS],$C1074,LANÇ_MOV[PLANO DE CONTAS],REL_DRE_FINANCEIRO!$B$1062,LANÇ_MOV[ANO PAGAMENTO],$B$4,LANÇ_MOV[MÊS PAGAMENTO CORRESPONDENTE],J$6,LANÇ_MOV[EMPRESA],$C$4,LANÇ_MOV[CENTRO DE CUSTOS],$D$4)</f>
        <v>0</v>
      </c>
      <c r="K1074" s="206">
        <f>SUMIFS(LANÇ_MOV[VALOR LÍQUIDO],LANÇ_MOV[RECEITA OU DESPESA],"Receita",LANÇ_MOV[CONTAS],$C1074,LANÇ_MOV[PLANO DE CONTAS],REL_DRE_FINANCEIRO!$B$1062,LANÇ_MOV[ANO PAGAMENTO],$B$4,LANÇ_MOV[MÊS PAGAMENTO CORRESPONDENTE],K$6,LANÇ_MOV[EMPRESA],$C$4,LANÇ_MOV[CENTRO DE CUSTOS],$D$4)</f>
        <v>0</v>
      </c>
      <c r="L1074" s="206">
        <f>SUMIFS(LANÇ_MOV[VALOR LÍQUIDO],LANÇ_MOV[RECEITA OU DESPESA],"Receita",LANÇ_MOV[CONTAS],$C1074,LANÇ_MOV[PLANO DE CONTAS],REL_DRE_FINANCEIRO!$B$1062,LANÇ_MOV[ANO PAGAMENTO],$B$4,LANÇ_MOV[MÊS PAGAMENTO CORRESPONDENTE],L$6,LANÇ_MOV[EMPRESA],$C$4,LANÇ_MOV[CENTRO DE CUSTOS],$D$4)</f>
        <v>0</v>
      </c>
      <c r="M1074" s="206">
        <f>SUMIFS(LANÇ_MOV[VALOR LÍQUIDO],LANÇ_MOV[RECEITA OU DESPESA],"Receita",LANÇ_MOV[CONTAS],$C1074,LANÇ_MOV[PLANO DE CONTAS],REL_DRE_FINANCEIRO!$B$1062,LANÇ_MOV[ANO PAGAMENTO],$B$4,LANÇ_MOV[MÊS PAGAMENTO CORRESPONDENTE],M$6,LANÇ_MOV[EMPRESA],$C$4,LANÇ_MOV[CENTRO DE CUSTOS],$D$4)</f>
        <v>0</v>
      </c>
      <c r="N1074" s="206">
        <f>SUMIFS(LANÇ_MOV[VALOR LÍQUIDO],LANÇ_MOV[RECEITA OU DESPESA],"Receita",LANÇ_MOV[CONTAS],$C1074,LANÇ_MOV[PLANO DE CONTAS],REL_DRE_FINANCEIRO!$B$1062,LANÇ_MOV[ANO PAGAMENTO],$B$4,LANÇ_MOV[MÊS PAGAMENTO CORRESPONDENTE],N$6,LANÇ_MOV[EMPRESA],$C$4,LANÇ_MOV[CENTRO DE CUSTOS],$D$4)</f>
        <v>0</v>
      </c>
      <c r="O1074" s="206">
        <f>SUMIFS(LANÇ_MOV[VALOR LÍQUIDO],LANÇ_MOV[RECEITA OU DESPESA],"Receita",LANÇ_MOV[CONTAS],$C1074,LANÇ_MOV[PLANO DE CONTAS],REL_DRE_FINANCEIRO!$B$1062,LANÇ_MOV[ANO PAGAMENTO],$B$4,LANÇ_MOV[MÊS PAGAMENTO CORRESPONDENTE],O$6,LANÇ_MOV[EMPRESA],$C$4,LANÇ_MOV[CENTRO DE CUSTOS],$D$4)</f>
        <v>0</v>
      </c>
      <c r="P1074" s="207">
        <f t="shared" si="134"/>
        <v>0</v>
      </c>
      <c r="Q1074" s="329">
        <v>8.8999999999999995E-6</v>
      </c>
      <c r="R1074" s="346">
        <f t="shared" si="135"/>
        <v>8.8999999999999995E-6</v>
      </c>
      <c r="S1074" s="347" t="str">
        <f t="shared" si="136"/>
        <v>-</v>
      </c>
      <c r="T1074" s="347">
        <f t="shared" si="137"/>
        <v>0</v>
      </c>
      <c r="U1074" s="347">
        <f>HLOOKUP(Apoio!$P$12,$D$1061:$P$1162,X1074,FALSE)+Q1074</f>
        <v>8.8999999999999995E-6</v>
      </c>
      <c r="V1074" s="447" t="str">
        <f t="shared" si="138"/>
        <v>-</v>
      </c>
      <c r="W1074" s="448">
        <f>HLOOKUP(Apoio!$P$12,$D$1061:$P$1162,X1074,FALSE)</f>
        <v>0</v>
      </c>
      <c r="X1074" s="329">
        <v>14</v>
      </c>
    </row>
    <row r="1075" spans="2:27" ht="30.05" customHeight="1" x14ac:dyDescent="0.35">
      <c r="B1075" s="204" t="str">
        <f>'CAD_PL_REC-DESP'!H17</f>
        <v>1.3.13</v>
      </c>
      <c r="C1075" s="205" t="str">
        <f>IF('CAD_PL_REC-DESP'!I17="","-",'CAD_PL_REC-DESP'!I17)</f>
        <v>-</v>
      </c>
      <c r="D1075" s="206">
        <f>SUMIFS(LANÇ_MOV[VALOR LÍQUIDO],LANÇ_MOV[RECEITA OU DESPESA],"Receita",LANÇ_MOV[CONTAS],$C1075,LANÇ_MOV[PLANO DE CONTAS],REL_DRE_FINANCEIRO!$B$1062,LANÇ_MOV[ANO PAGAMENTO],$B$4,LANÇ_MOV[MÊS PAGAMENTO CORRESPONDENTE],D$6,LANÇ_MOV[EMPRESA],$C$4,LANÇ_MOV[CENTRO DE CUSTOS],$D$4)</f>
        <v>0</v>
      </c>
      <c r="E1075" s="206">
        <f>SUMIFS(LANÇ_MOV[VALOR LÍQUIDO],LANÇ_MOV[RECEITA OU DESPESA],"Receita",LANÇ_MOV[CONTAS],$C1075,LANÇ_MOV[PLANO DE CONTAS],REL_DRE_FINANCEIRO!$B$1062,LANÇ_MOV[ANO PAGAMENTO],$B$4,LANÇ_MOV[MÊS PAGAMENTO CORRESPONDENTE],E$6,LANÇ_MOV[EMPRESA],$C$4,LANÇ_MOV[CENTRO DE CUSTOS],$D$4)</f>
        <v>0</v>
      </c>
      <c r="F1075" s="206">
        <f>SUMIFS(LANÇ_MOV[VALOR LÍQUIDO],LANÇ_MOV[RECEITA OU DESPESA],"Receita",LANÇ_MOV[CONTAS],$C1075,LANÇ_MOV[PLANO DE CONTAS],REL_DRE_FINANCEIRO!$B$1062,LANÇ_MOV[ANO PAGAMENTO],$B$4,LANÇ_MOV[MÊS PAGAMENTO CORRESPONDENTE],F$6,LANÇ_MOV[EMPRESA],$C$4,LANÇ_MOV[CENTRO DE CUSTOS],$D$4)</f>
        <v>0</v>
      </c>
      <c r="G1075" s="206">
        <f>SUMIFS(LANÇ_MOV[VALOR LÍQUIDO],LANÇ_MOV[RECEITA OU DESPESA],"Receita",LANÇ_MOV[CONTAS],$C1075,LANÇ_MOV[PLANO DE CONTAS],REL_DRE_FINANCEIRO!$B$1062,LANÇ_MOV[ANO PAGAMENTO],$B$4,LANÇ_MOV[MÊS PAGAMENTO CORRESPONDENTE],G$6,LANÇ_MOV[EMPRESA],$C$4,LANÇ_MOV[CENTRO DE CUSTOS],$D$4)</f>
        <v>0</v>
      </c>
      <c r="H1075" s="206">
        <f>SUMIFS(LANÇ_MOV[VALOR LÍQUIDO],LANÇ_MOV[RECEITA OU DESPESA],"Receita",LANÇ_MOV[CONTAS],$C1075,LANÇ_MOV[PLANO DE CONTAS],REL_DRE_FINANCEIRO!$B$1062,LANÇ_MOV[ANO PAGAMENTO],$B$4,LANÇ_MOV[MÊS PAGAMENTO CORRESPONDENTE],H$6,LANÇ_MOV[EMPRESA],$C$4,LANÇ_MOV[CENTRO DE CUSTOS],$D$4)</f>
        <v>0</v>
      </c>
      <c r="I1075" s="206">
        <f>SUMIFS(LANÇ_MOV[VALOR LÍQUIDO],LANÇ_MOV[RECEITA OU DESPESA],"Receita",LANÇ_MOV[CONTAS],$C1075,LANÇ_MOV[PLANO DE CONTAS],REL_DRE_FINANCEIRO!$B$1062,LANÇ_MOV[ANO PAGAMENTO],$B$4,LANÇ_MOV[MÊS PAGAMENTO CORRESPONDENTE],I$6,LANÇ_MOV[EMPRESA],$C$4,LANÇ_MOV[CENTRO DE CUSTOS],$D$4)</f>
        <v>0</v>
      </c>
      <c r="J1075" s="206">
        <f>SUMIFS(LANÇ_MOV[VALOR LÍQUIDO],LANÇ_MOV[RECEITA OU DESPESA],"Receita",LANÇ_MOV[CONTAS],$C1075,LANÇ_MOV[PLANO DE CONTAS],REL_DRE_FINANCEIRO!$B$1062,LANÇ_MOV[ANO PAGAMENTO],$B$4,LANÇ_MOV[MÊS PAGAMENTO CORRESPONDENTE],J$6,LANÇ_MOV[EMPRESA],$C$4,LANÇ_MOV[CENTRO DE CUSTOS],$D$4)</f>
        <v>0</v>
      </c>
      <c r="K1075" s="206">
        <f>SUMIFS(LANÇ_MOV[VALOR LÍQUIDO],LANÇ_MOV[RECEITA OU DESPESA],"Receita",LANÇ_MOV[CONTAS],$C1075,LANÇ_MOV[PLANO DE CONTAS],REL_DRE_FINANCEIRO!$B$1062,LANÇ_MOV[ANO PAGAMENTO],$B$4,LANÇ_MOV[MÊS PAGAMENTO CORRESPONDENTE],K$6,LANÇ_MOV[EMPRESA],$C$4,LANÇ_MOV[CENTRO DE CUSTOS],$D$4)</f>
        <v>0</v>
      </c>
      <c r="L1075" s="206">
        <f>SUMIFS(LANÇ_MOV[VALOR LÍQUIDO],LANÇ_MOV[RECEITA OU DESPESA],"Receita",LANÇ_MOV[CONTAS],$C1075,LANÇ_MOV[PLANO DE CONTAS],REL_DRE_FINANCEIRO!$B$1062,LANÇ_MOV[ANO PAGAMENTO],$B$4,LANÇ_MOV[MÊS PAGAMENTO CORRESPONDENTE],L$6,LANÇ_MOV[EMPRESA],$C$4,LANÇ_MOV[CENTRO DE CUSTOS],$D$4)</f>
        <v>0</v>
      </c>
      <c r="M1075" s="206">
        <f>SUMIFS(LANÇ_MOV[VALOR LÍQUIDO],LANÇ_MOV[RECEITA OU DESPESA],"Receita",LANÇ_MOV[CONTAS],$C1075,LANÇ_MOV[PLANO DE CONTAS],REL_DRE_FINANCEIRO!$B$1062,LANÇ_MOV[ANO PAGAMENTO],$B$4,LANÇ_MOV[MÊS PAGAMENTO CORRESPONDENTE],M$6,LANÇ_MOV[EMPRESA],$C$4,LANÇ_MOV[CENTRO DE CUSTOS],$D$4)</f>
        <v>0</v>
      </c>
      <c r="N1075" s="206">
        <f>SUMIFS(LANÇ_MOV[VALOR LÍQUIDO],LANÇ_MOV[RECEITA OU DESPESA],"Receita",LANÇ_MOV[CONTAS],$C1075,LANÇ_MOV[PLANO DE CONTAS],REL_DRE_FINANCEIRO!$B$1062,LANÇ_MOV[ANO PAGAMENTO],$B$4,LANÇ_MOV[MÊS PAGAMENTO CORRESPONDENTE],N$6,LANÇ_MOV[EMPRESA],$C$4,LANÇ_MOV[CENTRO DE CUSTOS],$D$4)</f>
        <v>0</v>
      </c>
      <c r="O1075" s="206">
        <f>SUMIFS(LANÇ_MOV[VALOR LÍQUIDO],LANÇ_MOV[RECEITA OU DESPESA],"Receita",LANÇ_MOV[CONTAS],$C1075,LANÇ_MOV[PLANO DE CONTAS],REL_DRE_FINANCEIRO!$B$1062,LANÇ_MOV[ANO PAGAMENTO],$B$4,LANÇ_MOV[MÊS PAGAMENTO CORRESPONDENTE],O$6,LANÇ_MOV[EMPRESA],$C$4,LANÇ_MOV[CENTRO DE CUSTOS],$D$4)</f>
        <v>0</v>
      </c>
      <c r="P1075" s="207">
        <f t="shared" si="134"/>
        <v>0</v>
      </c>
      <c r="Q1075" s="329">
        <v>8.8000000000000004E-6</v>
      </c>
      <c r="R1075" s="346">
        <f t="shared" si="135"/>
        <v>8.8000000000000004E-6</v>
      </c>
      <c r="S1075" s="347" t="str">
        <f t="shared" si="136"/>
        <v>-</v>
      </c>
      <c r="T1075" s="347">
        <f t="shared" si="137"/>
        <v>0</v>
      </c>
      <c r="U1075" s="347">
        <f>HLOOKUP(Apoio!$P$12,$D$1061:$P$1162,X1075,FALSE)+Q1075</f>
        <v>8.8000000000000004E-6</v>
      </c>
      <c r="V1075" s="447" t="str">
        <f t="shared" si="138"/>
        <v>-</v>
      </c>
      <c r="W1075" s="448">
        <f>HLOOKUP(Apoio!$P$12,$D$1061:$P$1162,X1075,FALSE)</f>
        <v>0</v>
      </c>
      <c r="X1075" s="329">
        <v>15</v>
      </c>
    </row>
    <row r="1076" spans="2:27" ht="30.05" customHeight="1" x14ac:dyDescent="0.35">
      <c r="B1076" s="204" t="str">
        <f>'CAD_PL_REC-DESP'!H18</f>
        <v>1.3.14</v>
      </c>
      <c r="C1076" s="205" t="str">
        <f>IF('CAD_PL_REC-DESP'!I18="","-",'CAD_PL_REC-DESP'!I18)</f>
        <v>-</v>
      </c>
      <c r="D1076" s="206">
        <f>SUMIFS(LANÇ_MOV[VALOR LÍQUIDO],LANÇ_MOV[RECEITA OU DESPESA],"Receita",LANÇ_MOV[CONTAS],$C1076,LANÇ_MOV[PLANO DE CONTAS],REL_DRE_FINANCEIRO!$B$1062,LANÇ_MOV[ANO PAGAMENTO],$B$4,LANÇ_MOV[MÊS PAGAMENTO CORRESPONDENTE],D$6,LANÇ_MOV[EMPRESA],$C$4,LANÇ_MOV[CENTRO DE CUSTOS],$D$4)</f>
        <v>0</v>
      </c>
      <c r="E1076" s="206">
        <f>SUMIFS(LANÇ_MOV[VALOR LÍQUIDO],LANÇ_MOV[RECEITA OU DESPESA],"Receita",LANÇ_MOV[CONTAS],$C1076,LANÇ_MOV[PLANO DE CONTAS],REL_DRE_FINANCEIRO!$B$1062,LANÇ_MOV[ANO PAGAMENTO],$B$4,LANÇ_MOV[MÊS PAGAMENTO CORRESPONDENTE],E$6,LANÇ_MOV[EMPRESA],$C$4,LANÇ_MOV[CENTRO DE CUSTOS],$D$4)</f>
        <v>0</v>
      </c>
      <c r="F1076" s="206">
        <f>SUMIFS(LANÇ_MOV[VALOR LÍQUIDO],LANÇ_MOV[RECEITA OU DESPESA],"Receita",LANÇ_MOV[CONTAS],$C1076,LANÇ_MOV[PLANO DE CONTAS],REL_DRE_FINANCEIRO!$B$1062,LANÇ_MOV[ANO PAGAMENTO],$B$4,LANÇ_MOV[MÊS PAGAMENTO CORRESPONDENTE],F$6,LANÇ_MOV[EMPRESA],$C$4,LANÇ_MOV[CENTRO DE CUSTOS],$D$4)</f>
        <v>0</v>
      </c>
      <c r="G1076" s="206">
        <f>SUMIFS(LANÇ_MOV[VALOR LÍQUIDO],LANÇ_MOV[RECEITA OU DESPESA],"Receita",LANÇ_MOV[CONTAS],$C1076,LANÇ_MOV[PLANO DE CONTAS],REL_DRE_FINANCEIRO!$B$1062,LANÇ_MOV[ANO PAGAMENTO],$B$4,LANÇ_MOV[MÊS PAGAMENTO CORRESPONDENTE],G$6,LANÇ_MOV[EMPRESA],$C$4,LANÇ_MOV[CENTRO DE CUSTOS],$D$4)</f>
        <v>0</v>
      </c>
      <c r="H1076" s="206">
        <f>SUMIFS(LANÇ_MOV[VALOR LÍQUIDO],LANÇ_MOV[RECEITA OU DESPESA],"Receita",LANÇ_MOV[CONTAS],$C1076,LANÇ_MOV[PLANO DE CONTAS],REL_DRE_FINANCEIRO!$B$1062,LANÇ_MOV[ANO PAGAMENTO],$B$4,LANÇ_MOV[MÊS PAGAMENTO CORRESPONDENTE],H$6,LANÇ_MOV[EMPRESA],$C$4,LANÇ_MOV[CENTRO DE CUSTOS],$D$4)</f>
        <v>0</v>
      </c>
      <c r="I1076" s="206">
        <f>SUMIFS(LANÇ_MOV[VALOR LÍQUIDO],LANÇ_MOV[RECEITA OU DESPESA],"Receita",LANÇ_MOV[CONTAS],$C1076,LANÇ_MOV[PLANO DE CONTAS],REL_DRE_FINANCEIRO!$B$1062,LANÇ_MOV[ANO PAGAMENTO],$B$4,LANÇ_MOV[MÊS PAGAMENTO CORRESPONDENTE],I$6,LANÇ_MOV[EMPRESA],$C$4,LANÇ_MOV[CENTRO DE CUSTOS],$D$4)</f>
        <v>0</v>
      </c>
      <c r="J1076" s="206">
        <f>SUMIFS(LANÇ_MOV[VALOR LÍQUIDO],LANÇ_MOV[RECEITA OU DESPESA],"Receita",LANÇ_MOV[CONTAS],$C1076,LANÇ_MOV[PLANO DE CONTAS],REL_DRE_FINANCEIRO!$B$1062,LANÇ_MOV[ANO PAGAMENTO],$B$4,LANÇ_MOV[MÊS PAGAMENTO CORRESPONDENTE],J$6,LANÇ_MOV[EMPRESA],$C$4,LANÇ_MOV[CENTRO DE CUSTOS],$D$4)</f>
        <v>0</v>
      </c>
      <c r="K1076" s="206">
        <f>SUMIFS(LANÇ_MOV[VALOR LÍQUIDO],LANÇ_MOV[RECEITA OU DESPESA],"Receita",LANÇ_MOV[CONTAS],$C1076,LANÇ_MOV[PLANO DE CONTAS],REL_DRE_FINANCEIRO!$B$1062,LANÇ_MOV[ANO PAGAMENTO],$B$4,LANÇ_MOV[MÊS PAGAMENTO CORRESPONDENTE],K$6,LANÇ_MOV[EMPRESA],$C$4,LANÇ_MOV[CENTRO DE CUSTOS],$D$4)</f>
        <v>0</v>
      </c>
      <c r="L1076" s="206">
        <f>SUMIFS(LANÇ_MOV[VALOR LÍQUIDO],LANÇ_MOV[RECEITA OU DESPESA],"Receita",LANÇ_MOV[CONTAS],$C1076,LANÇ_MOV[PLANO DE CONTAS],REL_DRE_FINANCEIRO!$B$1062,LANÇ_MOV[ANO PAGAMENTO],$B$4,LANÇ_MOV[MÊS PAGAMENTO CORRESPONDENTE],L$6,LANÇ_MOV[EMPRESA],$C$4,LANÇ_MOV[CENTRO DE CUSTOS],$D$4)</f>
        <v>0</v>
      </c>
      <c r="M1076" s="206">
        <f>SUMIFS(LANÇ_MOV[VALOR LÍQUIDO],LANÇ_MOV[RECEITA OU DESPESA],"Receita",LANÇ_MOV[CONTAS],$C1076,LANÇ_MOV[PLANO DE CONTAS],REL_DRE_FINANCEIRO!$B$1062,LANÇ_MOV[ANO PAGAMENTO],$B$4,LANÇ_MOV[MÊS PAGAMENTO CORRESPONDENTE],M$6,LANÇ_MOV[EMPRESA],$C$4,LANÇ_MOV[CENTRO DE CUSTOS],$D$4)</f>
        <v>0</v>
      </c>
      <c r="N1076" s="206">
        <f>SUMIFS(LANÇ_MOV[VALOR LÍQUIDO],LANÇ_MOV[RECEITA OU DESPESA],"Receita",LANÇ_MOV[CONTAS],$C1076,LANÇ_MOV[PLANO DE CONTAS],REL_DRE_FINANCEIRO!$B$1062,LANÇ_MOV[ANO PAGAMENTO],$B$4,LANÇ_MOV[MÊS PAGAMENTO CORRESPONDENTE],N$6,LANÇ_MOV[EMPRESA],$C$4,LANÇ_MOV[CENTRO DE CUSTOS],$D$4)</f>
        <v>0</v>
      </c>
      <c r="O1076" s="206">
        <f>SUMIFS(LANÇ_MOV[VALOR LÍQUIDO],LANÇ_MOV[RECEITA OU DESPESA],"Receita",LANÇ_MOV[CONTAS],$C1076,LANÇ_MOV[PLANO DE CONTAS],REL_DRE_FINANCEIRO!$B$1062,LANÇ_MOV[ANO PAGAMENTO],$B$4,LANÇ_MOV[MÊS PAGAMENTO CORRESPONDENTE],O$6,LANÇ_MOV[EMPRESA],$C$4,LANÇ_MOV[CENTRO DE CUSTOS],$D$4)</f>
        <v>0</v>
      </c>
      <c r="P1076" s="207">
        <f t="shared" si="134"/>
        <v>0</v>
      </c>
      <c r="Q1076" s="329">
        <v>8.6999999999999997E-6</v>
      </c>
      <c r="R1076" s="346">
        <f t="shared" si="135"/>
        <v>8.6999999999999997E-6</v>
      </c>
      <c r="S1076" s="347" t="str">
        <f t="shared" si="136"/>
        <v>-</v>
      </c>
      <c r="T1076" s="347">
        <f t="shared" si="137"/>
        <v>0</v>
      </c>
      <c r="U1076" s="347">
        <f>HLOOKUP(Apoio!$P$12,$D$1061:$P$1162,X1076,FALSE)+Q1076</f>
        <v>8.6999999999999997E-6</v>
      </c>
      <c r="V1076" s="447" t="str">
        <f t="shared" si="138"/>
        <v>-</v>
      </c>
      <c r="W1076" s="448">
        <f>HLOOKUP(Apoio!$P$12,$D$1061:$P$1162,X1076,FALSE)</f>
        <v>0</v>
      </c>
      <c r="X1076" s="329">
        <v>16</v>
      </c>
    </row>
    <row r="1077" spans="2:27" ht="30.05" customHeight="1" x14ac:dyDescent="0.35">
      <c r="B1077" s="204" t="str">
        <f>'CAD_PL_REC-DESP'!H19</f>
        <v>1.3.15</v>
      </c>
      <c r="C1077" s="205" t="str">
        <f>IF('CAD_PL_REC-DESP'!I19="","-",'CAD_PL_REC-DESP'!I19)</f>
        <v>-</v>
      </c>
      <c r="D1077" s="206">
        <f>SUMIFS(LANÇ_MOV[VALOR LÍQUIDO],LANÇ_MOV[RECEITA OU DESPESA],"Receita",LANÇ_MOV[CONTAS],$C1077,LANÇ_MOV[PLANO DE CONTAS],REL_DRE_FINANCEIRO!$B$1062,LANÇ_MOV[ANO PAGAMENTO],$B$4,LANÇ_MOV[MÊS PAGAMENTO CORRESPONDENTE],D$6,LANÇ_MOV[EMPRESA],$C$4,LANÇ_MOV[CENTRO DE CUSTOS],$D$4)</f>
        <v>0</v>
      </c>
      <c r="E1077" s="206">
        <f>SUMIFS(LANÇ_MOV[VALOR LÍQUIDO],LANÇ_MOV[RECEITA OU DESPESA],"Receita",LANÇ_MOV[CONTAS],$C1077,LANÇ_MOV[PLANO DE CONTAS],REL_DRE_FINANCEIRO!$B$1062,LANÇ_MOV[ANO PAGAMENTO],$B$4,LANÇ_MOV[MÊS PAGAMENTO CORRESPONDENTE],E$6,LANÇ_MOV[EMPRESA],$C$4,LANÇ_MOV[CENTRO DE CUSTOS],$D$4)</f>
        <v>0</v>
      </c>
      <c r="F1077" s="206">
        <f>SUMIFS(LANÇ_MOV[VALOR LÍQUIDO],LANÇ_MOV[RECEITA OU DESPESA],"Receita",LANÇ_MOV[CONTAS],$C1077,LANÇ_MOV[PLANO DE CONTAS],REL_DRE_FINANCEIRO!$B$1062,LANÇ_MOV[ANO PAGAMENTO],$B$4,LANÇ_MOV[MÊS PAGAMENTO CORRESPONDENTE],F$6,LANÇ_MOV[EMPRESA],$C$4,LANÇ_MOV[CENTRO DE CUSTOS],$D$4)</f>
        <v>0</v>
      </c>
      <c r="G1077" s="206">
        <f>SUMIFS(LANÇ_MOV[VALOR LÍQUIDO],LANÇ_MOV[RECEITA OU DESPESA],"Receita",LANÇ_MOV[CONTAS],$C1077,LANÇ_MOV[PLANO DE CONTAS],REL_DRE_FINANCEIRO!$B$1062,LANÇ_MOV[ANO PAGAMENTO],$B$4,LANÇ_MOV[MÊS PAGAMENTO CORRESPONDENTE],G$6,LANÇ_MOV[EMPRESA],$C$4,LANÇ_MOV[CENTRO DE CUSTOS],$D$4)</f>
        <v>0</v>
      </c>
      <c r="H1077" s="206">
        <f>SUMIFS(LANÇ_MOV[VALOR LÍQUIDO],LANÇ_MOV[RECEITA OU DESPESA],"Receita",LANÇ_MOV[CONTAS],$C1077,LANÇ_MOV[PLANO DE CONTAS],REL_DRE_FINANCEIRO!$B$1062,LANÇ_MOV[ANO PAGAMENTO],$B$4,LANÇ_MOV[MÊS PAGAMENTO CORRESPONDENTE],H$6,LANÇ_MOV[EMPRESA],$C$4,LANÇ_MOV[CENTRO DE CUSTOS],$D$4)</f>
        <v>0</v>
      </c>
      <c r="I1077" s="206">
        <f>SUMIFS(LANÇ_MOV[VALOR LÍQUIDO],LANÇ_MOV[RECEITA OU DESPESA],"Receita",LANÇ_MOV[CONTAS],$C1077,LANÇ_MOV[PLANO DE CONTAS],REL_DRE_FINANCEIRO!$B$1062,LANÇ_MOV[ANO PAGAMENTO],$B$4,LANÇ_MOV[MÊS PAGAMENTO CORRESPONDENTE],I$6,LANÇ_MOV[EMPRESA],$C$4,LANÇ_MOV[CENTRO DE CUSTOS],$D$4)</f>
        <v>0</v>
      </c>
      <c r="J1077" s="206">
        <f>SUMIFS(LANÇ_MOV[VALOR LÍQUIDO],LANÇ_MOV[RECEITA OU DESPESA],"Receita",LANÇ_MOV[CONTAS],$C1077,LANÇ_MOV[PLANO DE CONTAS],REL_DRE_FINANCEIRO!$B$1062,LANÇ_MOV[ANO PAGAMENTO],$B$4,LANÇ_MOV[MÊS PAGAMENTO CORRESPONDENTE],J$6,LANÇ_MOV[EMPRESA],$C$4,LANÇ_MOV[CENTRO DE CUSTOS],$D$4)</f>
        <v>0</v>
      </c>
      <c r="K1077" s="206">
        <f>SUMIFS(LANÇ_MOV[VALOR LÍQUIDO],LANÇ_MOV[RECEITA OU DESPESA],"Receita",LANÇ_MOV[CONTAS],$C1077,LANÇ_MOV[PLANO DE CONTAS],REL_DRE_FINANCEIRO!$B$1062,LANÇ_MOV[ANO PAGAMENTO],$B$4,LANÇ_MOV[MÊS PAGAMENTO CORRESPONDENTE],K$6,LANÇ_MOV[EMPRESA],$C$4,LANÇ_MOV[CENTRO DE CUSTOS],$D$4)</f>
        <v>0</v>
      </c>
      <c r="L1077" s="206">
        <f>SUMIFS(LANÇ_MOV[VALOR LÍQUIDO],LANÇ_MOV[RECEITA OU DESPESA],"Receita",LANÇ_MOV[CONTAS],$C1077,LANÇ_MOV[PLANO DE CONTAS],REL_DRE_FINANCEIRO!$B$1062,LANÇ_MOV[ANO PAGAMENTO],$B$4,LANÇ_MOV[MÊS PAGAMENTO CORRESPONDENTE],L$6,LANÇ_MOV[EMPRESA],$C$4,LANÇ_MOV[CENTRO DE CUSTOS],$D$4)</f>
        <v>0</v>
      </c>
      <c r="M1077" s="206">
        <f>SUMIFS(LANÇ_MOV[VALOR LÍQUIDO],LANÇ_MOV[RECEITA OU DESPESA],"Receita",LANÇ_MOV[CONTAS],$C1077,LANÇ_MOV[PLANO DE CONTAS],REL_DRE_FINANCEIRO!$B$1062,LANÇ_MOV[ANO PAGAMENTO],$B$4,LANÇ_MOV[MÊS PAGAMENTO CORRESPONDENTE],M$6,LANÇ_MOV[EMPRESA],$C$4,LANÇ_MOV[CENTRO DE CUSTOS],$D$4)</f>
        <v>0</v>
      </c>
      <c r="N1077" s="206">
        <f>SUMIFS(LANÇ_MOV[VALOR LÍQUIDO],LANÇ_MOV[RECEITA OU DESPESA],"Receita",LANÇ_MOV[CONTAS],$C1077,LANÇ_MOV[PLANO DE CONTAS],REL_DRE_FINANCEIRO!$B$1062,LANÇ_MOV[ANO PAGAMENTO],$B$4,LANÇ_MOV[MÊS PAGAMENTO CORRESPONDENTE],N$6,LANÇ_MOV[EMPRESA],$C$4,LANÇ_MOV[CENTRO DE CUSTOS],$D$4)</f>
        <v>0</v>
      </c>
      <c r="O1077" s="206">
        <f>SUMIFS(LANÇ_MOV[VALOR LÍQUIDO],LANÇ_MOV[RECEITA OU DESPESA],"Receita",LANÇ_MOV[CONTAS],$C1077,LANÇ_MOV[PLANO DE CONTAS],REL_DRE_FINANCEIRO!$B$1062,LANÇ_MOV[ANO PAGAMENTO],$B$4,LANÇ_MOV[MÊS PAGAMENTO CORRESPONDENTE],O$6,LANÇ_MOV[EMPRESA],$C$4,LANÇ_MOV[CENTRO DE CUSTOS],$D$4)</f>
        <v>0</v>
      </c>
      <c r="P1077" s="207">
        <f t="shared" si="134"/>
        <v>0</v>
      </c>
      <c r="Q1077" s="329">
        <v>8.6000000000000007E-6</v>
      </c>
      <c r="R1077" s="346">
        <f t="shared" si="135"/>
        <v>8.6000000000000007E-6</v>
      </c>
      <c r="S1077" s="347" t="str">
        <f t="shared" si="136"/>
        <v>-</v>
      </c>
      <c r="T1077" s="347">
        <f t="shared" si="137"/>
        <v>0</v>
      </c>
      <c r="U1077" s="347">
        <f>HLOOKUP(Apoio!$P$12,$D$1061:$P$1162,X1077,FALSE)+Q1077</f>
        <v>8.6000000000000007E-6</v>
      </c>
      <c r="V1077" s="447" t="str">
        <f t="shared" si="138"/>
        <v>-</v>
      </c>
      <c r="W1077" s="448">
        <f>HLOOKUP(Apoio!$P$12,$D$1061:$P$1162,X1077,FALSE)</f>
        <v>0</v>
      </c>
      <c r="X1077" s="329">
        <v>17</v>
      </c>
    </row>
    <row r="1078" spans="2:27" ht="30.05" customHeight="1" x14ac:dyDescent="0.35">
      <c r="B1078" s="204" t="str">
        <f>'CAD_PL_REC-DESP'!H20</f>
        <v>1.3.16</v>
      </c>
      <c r="C1078" s="205" t="str">
        <f>IF('CAD_PL_REC-DESP'!I20="","-",'CAD_PL_REC-DESP'!I20)</f>
        <v>-</v>
      </c>
      <c r="D1078" s="206">
        <f>SUMIFS(LANÇ_MOV[VALOR LÍQUIDO],LANÇ_MOV[RECEITA OU DESPESA],"Receita",LANÇ_MOV[CONTAS],$C1078,LANÇ_MOV[PLANO DE CONTAS],REL_DRE_FINANCEIRO!$B$1062,LANÇ_MOV[ANO PAGAMENTO],$B$4,LANÇ_MOV[MÊS PAGAMENTO CORRESPONDENTE],D$6,LANÇ_MOV[EMPRESA],$C$4,LANÇ_MOV[CENTRO DE CUSTOS],$D$4)</f>
        <v>0</v>
      </c>
      <c r="E1078" s="206">
        <f>SUMIFS(LANÇ_MOV[VALOR LÍQUIDO],LANÇ_MOV[RECEITA OU DESPESA],"Receita",LANÇ_MOV[CONTAS],$C1078,LANÇ_MOV[PLANO DE CONTAS],REL_DRE_FINANCEIRO!$B$1062,LANÇ_MOV[ANO PAGAMENTO],$B$4,LANÇ_MOV[MÊS PAGAMENTO CORRESPONDENTE],E$6,LANÇ_MOV[EMPRESA],$C$4,LANÇ_MOV[CENTRO DE CUSTOS],$D$4)</f>
        <v>0</v>
      </c>
      <c r="F1078" s="206">
        <f>SUMIFS(LANÇ_MOV[VALOR LÍQUIDO],LANÇ_MOV[RECEITA OU DESPESA],"Receita",LANÇ_MOV[CONTAS],$C1078,LANÇ_MOV[PLANO DE CONTAS],REL_DRE_FINANCEIRO!$B$1062,LANÇ_MOV[ANO PAGAMENTO],$B$4,LANÇ_MOV[MÊS PAGAMENTO CORRESPONDENTE],F$6,LANÇ_MOV[EMPRESA],$C$4,LANÇ_MOV[CENTRO DE CUSTOS],$D$4)</f>
        <v>0</v>
      </c>
      <c r="G1078" s="206">
        <f>SUMIFS(LANÇ_MOV[VALOR LÍQUIDO],LANÇ_MOV[RECEITA OU DESPESA],"Receita",LANÇ_MOV[CONTAS],$C1078,LANÇ_MOV[PLANO DE CONTAS],REL_DRE_FINANCEIRO!$B$1062,LANÇ_MOV[ANO PAGAMENTO],$B$4,LANÇ_MOV[MÊS PAGAMENTO CORRESPONDENTE],G$6,LANÇ_MOV[EMPRESA],$C$4,LANÇ_MOV[CENTRO DE CUSTOS],$D$4)</f>
        <v>0</v>
      </c>
      <c r="H1078" s="206">
        <f>SUMIFS(LANÇ_MOV[VALOR LÍQUIDO],LANÇ_MOV[RECEITA OU DESPESA],"Receita",LANÇ_MOV[CONTAS],$C1078,LANÇ_MOV[PLANO DE CONTAS],REL_DRE_FINANCEIRO!$B$1062,LANÇ_MOV[ANO PAGAMENTO],$B$4,LANÇ_MOV[MÊS PAGAMENTO CORRESPONDENTE],H$6,LANÇ_MOV[EMPRESA],$C$4,LANÇ_MOV[CENTRO DE CUSTOS],$D$4)</f>
        <v>0</v>
      </c>
      <c r="I1078" s="206">
        <f>SUMIFS(LANÇ_MOV[VALOR LÍQUIDO],LANÇ_MOV[RECEITA OU DESPESA],"Receita",LANÇ_MOV[CONTAS],$C1078,LANÇ_MOV[PLANO DE CONTAS],REL_DRE_FINANCEIRO!$B$1062,LANÇ_MOV[ANO PAGAMENTO],$B$4,LANÇ_MOV[MÊS PAGAMENTO CORRESPONDENTE],I$6,LANÇ_MOV[EMPRESA],$C$4,LANÇ_MOV[CENTRO DE CUSTOS],$D$4)</f>
        <v>0</v>
      </c>
      <c r="J1078" s="206">
        <f>SUMIFS(LANÇ_MOV[VALOR LÍQUIDO],LANÇ_MOV[RECEITA OU DESPESA],"Receita",LANÇ_MOV[CONTAS],$C1078,LANÇ_MOV[PLANO DE CONTAS],REL_DRE_FINANCEIRO!$B$1062,LANÇ_MOV[ANO PAGAMENTO],$B$4,LANÇ_MOV[MÊS PAGAMENTO CORRESPONDENTE],J$6,LANÇ_MOV[EMPRESA],$C$4,LANÇ_MOV[CENTRO DE CUSTOS],$D$4)</f>
        <v>0</v>
      </c>
      <c r="K1078" s="206">
        <f>SUMIFS(LANÇ_MOV[VALOR LÍQUIDO],LANÇ_MOV[RECEITA OU DESPESA],"Receita",LANÇ_MOV[CONTAS],$C1078,LANÇ_MOV[PLANO DE CONTAS],REL_DRE_FINANCEIRO!$B$1062,LANÇ_MOV[ANO PAGAMENTO],$B$4,LANÇ_MOV[MÊS PAGAMENTO CORRESPONDENTE],K$6,LANÇ_MOV[EMPRESA],$C$4,LANÇ_MOV[CENTRO DE CUSTOS],$D$4)</f>
        <v>0</v>
      </c>
      <c r="L1078" s="206">
        <f>SUMIFS(LANÇ_MOV[VALOR LÍQUIDO],LANÇ_MOV[RECEITA OU DESPESA],"Receita",LANÇ_MOV[CONTAS],$C1078,LANÇ_MOV[PLANO DE CONTAS],REL_DRE_FINANCEIRO!$B$1062,LANÇ_MOV[ANO PAGAMENTO],$B$4,LANÇ_MOV[MÊS PAGAMENTO CORRESPONDENTE],L$6,LANÇ_MOV[EMPRESA],$C$4,LANÇ_MOV[CENTRO DE CUSTOS],$D$4)</f>
        <v>0</v>
      </c>
      <c r="M1078" s="206">
        <f>SUMIFS(LANÇ_MOV[VALOR LÍQUIDO],LANÇ_MOV[RECEITA OU DESPESA],"Receita",LANÇ_MOV[CONTAS],$C1078,LANÇ_MOV[PLANO DE CONTAS],REL_DRE_FINANCEIRO!$B$1062,LANÇ_MOV[ANO PAGAMENTO],$B$4,LANÇ_MOV[MÊS PAGAMENTO CORRESPONDENTE],M$6,LANÇ_MOV[EMPRESA],$C$4,LANÇ_MOV[CENTRO DE CUSTOS],$D$4)</f>
        <v>0</v>
      </c>
      <c r="N1078" s="206">
        <f>SUMIFS(LANÇ_MOV[VALOR LÍQUIDO],LANÇ_MOV[RECEITA OU DESPESA],"Receita",LANÇ_MOV[CONTAS],$C1078,LANÇ_MOV[PLANO DE CONTAS],REL_DRE_FINANCEIRO!$B$1062,LANÇ_MOV[ANO PAGAMENTO],$B$4,LANÇ_MOV[MÊS PAGAMENTO CORRESPONDENTE],N$6,LANÇ_MOV[EMPRESA],$C$4,LANÇ_MOV[CENTRO DE CUSTOS],$D$4)</f>
        <v>0</v>
      </c>
      <c r="O1078" s="206">
        <f>SUMIFS(LANÇ_MOV[VALOR LÍQUIDO],LANÇ_MOV[RECEITA OU DESPESA],"Receita",LANÇ_MOV[CONTAS],$C1078,LANÇ_MOV[PLANO DE CONTAS],REL_DRE_FINANCEIRO!$B$1062,LANÇ_MOV[ANO PAGAMENTO],$B$4,LANÇ_MOV[MÊS PAGAMENTO CORRESPONDENTE],O$6,LANÇ_MOV[EMPRESA],$C$4,LANÇ_MOV[CENTRO DE CUSTOS],$D$4)</f>
        <v>0</v>
      </c>
      <c r="P1078" s="207">
        <f t="shared" si="134"/>
        <v>0</v>
      </c>
      <c r="Q1078" s="329">
        <v>8.4999999999999999E-6</v>
      </c>
      <c r="R1078" s="346">
        <f t="shared" si="135"/>
        <v>8.4999999999999999E-6</v>
      </c>
      <c r="S1078" s="347" t="str">
        <f t="shared" si="136"/>
        <v>-</v>
      </c>
      <c r="T1078" s="347">
        <f t="shared" si="137"/>
        <v>0</v>
      </c>
      <c r="U1078" s="347">
        <f>HLOOKUP(Apoio!$P$12,$D$1061:$P$1162,X1078,FALSE)+Q1078</f>
        <v>8.4999999999999999E-6</v>
      </c>
      <c r="V1078" s="447" t="str">
        <f t="shared" si="138"/>
        <v>-</v>
      </c>
      <c r="W1078" s="448">
        <f>HLOOKUP(Apoio!$P$12,$D$1061:$P$1162,X1078,FALSE)</f>
        <v>0</v>
      </c>
      <c r="X1078" s="329">
        <v>18</v>
      </c>
    </row>
    <row r="1079" spans="2:27" ht="30.05" customHeight="1" x14ac:dyDescent="0.35">
      <c r="B1079" s="204" t="str">
        <f>'CAD_PL_REC-DESP'!H21</f>
        <v>1.3.17</v>
      </c>
      <c r="C1079" s="205" t="str">
        <f>IF('CAD_PL_REC-DESP'!I21="","-",'CAD_PL_REC-DESP'!I21)</f>
        <v>-</v>
      </c>
      <c r="D1079" s="206">
        <f>SUMIFS(LANÇ_MOV[VALOR LÍQUIDO],LANÇ_MOV[RECEITA OU DESPESA],"Receita",LANÇ_MOV[CONTAS],$C1079,LANÇ_MOV[PLANO DE CONTAS],REL_DRE_FINANCEIRO!$B$1062,LANÇ_MOV[ANO PAGAMENTO],$B$4,LANÇ_MOV[MÊS PAGAMENTO CORRESPONDENTE],D$6,LANÇ_MOV[EMPRESA],$C$4,LANÇ_MOV[CENTRO DE CUSTOS],$D$4)</f>
        <v>0</v>
      </c>
      <c r="E1079" s="206">
        <f>SUMIFS(LANÇ_MOV[VALOR LÍQUIDO],LANÇ_MOV[RECEITA OU DESPESA],"Receita",LANÇ_MOV[CONTAS],$C1079,LANÇ_MOV[PLANO DE CONTAS],REL_DRE_FINANCEIRO!$B$1062,LANÇ_MOV[ANO PAGAMENTO],$B$4,LANÇ_MOV[MÊS PAGAMENTO CORRESPONDENTE],E$6,LANÇ_MOV[EMPRESA],$C$4,LANÇ_MOV[CENTRO DE CUSTOS],$D$4)</f>
        <v>0</v>
      </c>
      <c r="F1079" s="206">
        <f>SUMIFS(LANÇ_MOV[VALOR LÍQUIDO],LANÇ_MOV[RECEITA OU DESPESA],"Receita",LANÇ_MOV[CONTAS],$C1079,LANÇ_MOV[PLANO DE CONTAS],REL_DRE_FINANCEIRO!$B$1062,LANÇ_MOV[ANO PAGAMENTO],$B$4,LANÇ_MOV[MÊS PAGAMENTO CORRESPONDENTE],F$6,LANÇ_MOV[EMPRESA],$C$4,LANÇ_MOV[CENTRO DE CUSTOS],$D$4)</f>
        <v>0</v>
      </c>
      <c r="G1079" s="206">
        <f>SUMIFS(LANÇ_MOV[VALOR LÍQUIDO],LANÇ_MOV[RECEITA OU DESPESA],"Receita",LANÇ_MOV[CONTAS],$C1079,LANÇ_MOV[PLANO DE CONTAS],REL_DRE_FINANCEIRO!$B$1062,LANÇ_MOV[ANO PAGAMENTO],$B$4,LANÇ_MOV[MÊS PAGAMENTO CORRESPONDENTE],G$6,LANÇ_MOV[EMPRESA],$C$4,LANÇ_MOV[CENTRO DE CUSTOS],$D$4)</f>
        <v>0</v>
      </c>
      <c r="H1079" s="206">
        <f>SUMIFS(LANÇ_MOV[VALOR LÍQUIDO],LANÇ_MOV[RECEITA OU DESPESA],"Receita",LANÇ_MOV[CONTAS],$C1079,LANÇ_MOV[PLANO DE CONTAS],REL_DRE_FINANCEIRO!$B$1062,LANÇ_MOV[ANO PAGAMENTO],$B$4,LANÇ_MOV[MÊS PAGAMENTO CORRESPONDENTE],H$6,LANÇ_MOV[EMPRESA],$C$4,LANÇ_MOV[CENTRO DE CUSTOS],$D$4)</f>
        <v>0</v>
      </c>
      <c r="I1079" s="206">
        <f>SUMIFS(LANÇ_MOV[VALOR LÍQUIDO],LANÇ_MOV[RECEITA OU DESPESA],"Receita",LANÇ_MOV[CONTAS],$C1079,LANÇ_MOV[PLANO DE CONTAS],REL_DRE_FINANCEIRO!$B$1062,LANÇ_MOV[ANO PAGAMENTO],$B$4,LANÇ_MOV[MÊS PAGAMENTO CORRESPONDENTE],I$6,LANÇ_MOV[EMPRESA],$C$4,LANÇ_MOV[CENTRO DE CUSTOS],$D$4)</f>
        <v>0</v>
      </c>
      <c r="J1079" s="206">
        <f>SUMIFS(LANÇ_MOV[VALOR LÍQUIDO],LANÇ_MOV[RECEITA OU DESPESA],"Receita",LANÇ_MOV[CONTAS],$C1079,LANÇ_MOV[PLANO DE CONTAS],REL_DRE_FINANCEIRO!$B$1062,LANÇ_MOV[ANO PAGAMENTO],$B$4,LANÇ_MOV[MÊS PAGAMENTO CORRESPONDENTE],J$6,LANÇ_MOV[EMPRESA],$C$4,LANÇ_MOV[CENTRO DE CUSTOS],$D$4)</f>
        <v>0</v>
      </c>
      <c r="K1079" s="206">
        <f>SUMIFS(LANÇ_MOV[VALOR LÍQUIDO],LANÇ_MOV[RECEITA OU DESPESA],"Receita",LANÇ_MOV[CONTAS],$C1079,LANÇ_MOV[PLANO DE CONTAS],REL_DRE_FINANCEIRO!$B$1062,LANÇ_MOV[ANO PAGAMENTO],$B$4,LANÇ_MOV[MÊS PAGAMENTO CORRESPONDENTE],K$6,LANÇ_MOV[EMPRESA],$C$4,LANÇ_MOV[CENTRO DE CUSTOS],$D$4)</f>
        <v>0</v>
      </c>
      <c r="L1079" s="206">
        <f>SUMIFS(LANÇ_MOV[VALOR LÍQUIDO],LANÇ_MOV[RECEITA OU DESPESA],"Receita",LANÇ_MOV[CONTAS],$C1079,LANÇ_MOV[PLANO DE CONTAS],REL_DRE_FINANCEIRO!$B$1062,LANÇ_MOV[ANO PAGAMENTO],$B$4,LANÇ_MOV[MÊS PAGAMENTO CORRESPONDENTE],L$6,LANÇ_MOV[EMPRESA],$C$4,LANÇ_MOV[CENTRO DE CUSTOS],$D$4)</f>
        <v>0</v>
      </c>
      <c r="M1079" s="206">
        <f>SUMIFS(LANÇ_MOV[VALOR LÍQUIDO],LANÇ_MOV[RECEITA OU DESPESA],"Receita",LANÇ_MOV[CONTAS],$C1079,LANÇ_MOV[PLANO DE CONTAS],REL_DRE_FINANCEIRO!$B$1062,LANÇ_MOV[ANO PAGAMENTO],$B$4,LANÇ_MOV[MÊS PAGAMENTO CORRESPONDENTE],M$6,LANÇ_MOV[EMPRESA],$C$4,LANÇ_MOV[CENTRO DE CUSTOS],$D$4)</f>
        <v>0</v>
      </c>
      <c r="N1079" s="206">
        <f>SUMIFS(LANÇ_MOV[VALOR LÍQUIDO],LANÇ_MOV[RECEITA OU DESPESA],"Receita",LANÇ_MOV[CONTAS],$C1079,LANÇ_MOV[PLANO DE CONTAS],REL_DRE_FINANCEIRO!$B$1062,LANÇ_MOV[ANO PAGAMENTO],$B$4,LANÇ_MOV[MÊS PAGAMENTO CORRESPONDENTE],N$6,LANÇ_MOV[EMPRESA],$C$4,LANÇ_MOV[CENTRO DE CUSTOS],$D$4)</f>
        <v>0</v>
      </c>
      <c r="O1079" s="206">
        <f>SUMIFS(LANÇ_MOV[VALOR LÍQUIDO],LANÇ_MOV[RECEITA OU DESPESA],"Receita",LANÇ_MOV[CONTAS],$C1079,LANÇ_MOV[PLANO DE CONTAS],REL_DRE_FINANCEIRO!$B$1062,LANÇ_MOV[ANO PAGAMENTO],$B$4,LANÇ_MOV[MÊS PAGAMENTO CORRESPONDENTE],O$6,LANÇ_MOV[EMPRESA],$C$4,LANÇ_MOV[CENTRO DE CUSTOS],$D$4)</f>
        <v>0</v>
      </c>
      <c r="P1079" s="207">
        <f t="shared" si="134"/>
        <v>0</v>
      </c>
      <c r="Q1079" s="329">
        <v>8.3999999999999992E-6</v>
      </c>
      <c r="R1079" s="346">
        <f t="shared" si="135"/>
        <v>8.3999999999999992E-6</v>
      </c>
      <c r="S1079" s="347" t="str">
        <f t="shared" si="136"/>
        <v>-</v>
      </c>
      <c r="T1079" s="347">
        <f t="shared" si="137"/>
        <v>0</v>
      </c>
      <c r="U1079" s="347">
        <f>HLOOKUP(Apoio!$P$12,$D$1061:$P$1162,X1079,FALSE)+Q1079</f>
        <v>8.3999999999999992E-6</v>
      </c>
      <c r="V1079" s="447" t="str">
        <f t="shared" si="138"/>
        <v>-</v>
      </c>
      <c r="W1079" s="448">
        <f>HLOOKUP(Apoio!$P$12,$D$1061:$P$1162,X1079,FALSE)</f>
        <v>0</v>
      </c>
      <c r="X1079" s="329">
        <v>19</v>
      </c>
    </row>
    <row r="1080" spans="2:27" ht="30.05" customHeight="1" x14ac:dyDescent="0.35">
      <c r="B1080" s="204" t="str">
        <f>'CAD_PL_REC-DESP'!H22</f>
        <v>1.3.18</v>
      </c>
      <c r="C1080" s="205" t="str">
        <f>IF('CAD_PL_REC-DESP'!I22="","-",'CAD_PL_REC-DESP'!I22)</f>
        <v>-</v>
      </c>
      <c r="D1080" s="206">
        <f>SUMIFS(LANÇ_MOV[VALOR LÍQUIDO],LANÇ_MOV[RECEITA OU DESPESA],"Receita",LANÇ_MOV[CONTAS],$C1080,LANÇ_MOV[PLANO DE CONTAS],REL_DRE_FINANCEIRO!$B$1062,LANÇ_MOV[ANO PAGAMENTO],$B$4,LANÇ_MOV[MÊS PAGAMENTO CORRESPONDENTE],D$6,LANÇ_MOV[EMPRESA],$C$4,LANÇ_MOV[CENTRO DE CUSTOS],$D$4)</f>
        <v>0</v>
      </c>
      <c r="E1080" s="206">
        <f>SUMIFS(LANÇ_MOV[VALOR LÍQUIDO],LANÇ_MOV[RECEITA OU DESPESA],"Receita",LANÇ_MOV[CONTAS],$C1080,LANÇ_MOV[PLANO DE CONTAS],REL_DRE_FINANCEIRO!$B$1062,LANÇ_MOV[ANO PAGAMENTO],$B$4,LANÇ_MOV[MÊS PAGAMENTO CORRESPONDENTE],E$6,LANÇ_MOV[EMPRESA],$C$4,LANÇ_MOV[CENTRO DE CUSTOS],$D$4)</f>
        <v>0</v>
      </c>
      <c r="F1080" s="206">
        <f>SUMIFS(LANÇ_MOV[VALOR LÍQUIDO],LANÇ_MOV[RECEITA OU DESPESA],"Receita",LANÇ_MOV[CONTAS],$C1080,LANÇ_MOV[PLANO DE CONTAS],REL_DRE_FINANCEIRO!$B$1062,LANÇ_MOV[ANO PAGAMENTO],$B$4,LANÇ_MOV[MÊS PAGAMENTO CORRESPONDENTE],F$6,LANÇ_MOV[EMPRESA],$C$4,LANÇ_MOV[CENTRO DE CUSTOS],$D$4)</f>
        <v>0</v>
      </c>
      <c r="G1080" s="206">
        <f>SUMIFS(LANÇ_MOV[VALOR LÍQUIDO],LANÇ_MOV[RECEITA OU DESPESA],"Receita",LANÇ_MOV[CONTAS],$C1080,LANÇ_MOV[PLANO DE CONTAS],REL_DRE_FINANCEIRO!$B$1062,LANÇ_MOV[ANO PAGAMENTO],$B$4,LANÇ_MOV[MÊS PAGAMENTO CORRESPONDENTE],G$6,LANÇ_MOV[EMPRESA],$C$4,LANÇ_MOV[CENTRO DE CUSTOS],$D$4)</f>
        <v>0</v>
      </c>
      <c r="H1080" s="206">
        <f>SUMIFS(LANÇ_MOV[VALOR LÍQUIDO],LANÇ_MOV[RECEITA OU DESPESA],"Receita",LANÇ_MOV[CONTAS],$C1080,LANÇ_MOV[PLANO DE CONTAS],REL_DRE_FINANCEIRO!$B$1062,LANÇ_MOV[ANO PAGAMENTO],$B$4,LANÇ_MOV[MÊS PAGAMENTO CORRESPONDENTE],H$6,LANÇ_MOV[EMPRESA],$C$4,LANÇ_MOV[CENTRO DE CUSTOS],$D$4)</f>
        <v>0</v>
      </c>
      <c r="I1080" s="206">
        <f>SUMIFS(LANÇ_MOV[VALOR LÍQUIDO],LANÇ_MOV[RECEITA OU DESPESA],"Receita",LANÇ_MOV[CONTAS],$C1080,LANÇ_MOV[PLANO DE CONTAS],REL_DRE_FINANCEIRO!$B$1062,LANÇ_MOV[ANO PAGAMENTO],$B$4,LANÇ_MOV[MÊS PAGAMENTO CORRESPONDENTE],I$6,LANÇ_MOV[EMPRESA],$C$4,LANÇ_MOV[CENTRO DE CUSTOS],$D$4)</f>
        <v>0</v>
      </c>
      <c r="J1080" s="206">
        <f>SUMIFS(LANÇ_MOV[VALOR LÍQUIDO],LANÇ_MOV[RECEITA OU DESPESA],"Receita",LANÇ_MOV[CONTAS],$C1080,LANÇ_MOV[PLANO DE CONTAS],REL_DRE_FINANCEIRO!$B$1062,LANÇ_MOV[ANO PAGAMENTO],$B$4,LANÇ_MOV[MÊS PAGAMENTO CORRESPONDENTE],J$6,LANÇ_MOV[EMPRESA],$C$4,LANÇ_MOV[CENTRO DE CUSTOS],$D$4)</f>
        <v>0</v>
      </c>
      <c r="K1080" s="206">
        <f>SUMIFS(LANÇ_MOV[VALOR LÍQUIDO],LANÇ_MOV[RECEITA OU DESPESA],"Receita",LANÇ_MOV[CONTAS],$C1080,LANÇ_MOV[PLANO DE CONTAS],REL_DRE_FINANCEIRO!$B$1062,LANÇ_MOV[ANO PAGAMENTO],$B$4,LANÇ_MOV[MÊS PAGAMENTO CORRESPONDENTE],K$6,LANÇ_MOV[EMPRESA],$C$4,LANÇ_MOV[CENTRO DE CUSTOS],$D$4)</f>
        <v>0</v>
      </c>
      <c r="L1080" s="206">
        <f>SUMIFS(LANÇ_MOV[VALOR LÍQUIDO],LANÇ_MOV[RECEITA OU DESPESA],"Receita",LANÇ_MOV[CONTAS],$C1080,LANÇ_MOV[PLANO DE CONTAS],REL_DRE_FINANCEIRO!$B$1062,LANÇ_MOV[ANO PAGAMENTO],$B$4,LANÇ_MOV[MÊS PAGAMENTO CORRESPONDENTE],L$6,LANÇ_MOV[EMPRESA],$C$4,LANÇ_MOV[CENTRO DE CUSTOS],$D$4)</f>
        <v>0</v>
      </c>
      <c r="M1080" s="206">
        <f>SUMIFS(LANÇ_MOV[VALOR LÍQUIDO],LANÇ_MOV[RECEITA OU DESPESA],"Receita",LANÇ_MOV[CONTAS],$C1080,LANÇ_MOV[PLANO DE CONTAS],REL_DRE_FINANCEIRO!$B$1062,LANÇ_MOV[ANO PAGAMENTO],$B$4,LANÇ_MOV[MÊS PAGAMENTO CORRESPONDENTE],M$6,LANÇ_MOV[EMPRESA],$C$4,LANÇ_MOV[CENTRO DE CUSTOS],$D$4)</f>
        <v>0</v>
      </c>
      <c r="N1080" s="206">
        <f>SUMIFS(LANÇ_MOV[VALOR LÍQUIDO],LANÇ_MOV[RECEITA OU DESPESA],"Receita",LANÇ_MOV[CONTAS],$C1080,LANÇ_MOV[PLANO DE CONTAS],REL_DRE_FINANCEIRO!$B$1062,LANÇ_MOV[ANO PAGAMENTO],$B$4,LANÇ_MOV[MÊS PAGAMENTO CORRESPONDENTE],N$6,LANÇ_MOV[EMPRESA],$C$4,LANÇ_MOV[CENTRO DE CUSTOS],$D$4)</f>
        <v>0</v>
      </c>
      <c r="O1080" s="206">
        <f>SUMIFS(LANÇ_MOV[VALOR LÍQUIDO],LANÇ_MOV[RECEITA OU DESPESA],"Receita",LANÇ_MOV[CONTAS],$C1080,LANÇ_MOV[PLANO DE CONTAS],REL_DRE_FINANCEIRO!$B$1062,LANÇ_MOV[ANO PAGAMENTO],$B$4,LANÇ_MOV[MÊS PAGAMENTO CORRESPONDENTE],O$6,LANÇ_MOV[EMPRESA],$C$4,LANÇ_MOV[CENTRO DE CUSTOS],$D$4)</f>
        <v>0</v>
      </c>
      <c r="P1080" s="207">
        <f t="shared" si="134"/>
        <v>0</v>
      </c>
      <c r="Q1080" s="329">
        <v>8.3000000000000002E-6</v>
      </c>
      <c r="R1080" s="346">
        <f t="shared" si="135"/>
        <v>8.3000000000000002E-6</v>
      </c>
      <c r="S1080" s="347" t="str">
        <f t="shared" si="136"/>
        <v>-</v>
      </c>
      <c r="T1080" s="347">
        <f t="shared" si="137"/>
        <v>0</v>
      </c>
      <c r="U1080" s="347">
        <f>HLOOKUP(Apoio!$P$12,$D$1061:$P$1162,X1080,FALSE)+Q1080</f>
        <v>8.3000000000000002E-6</v>
      </c>
      <c r="V1080" s="447" t="str">
        <f t="shared" si="138"/>
        <v>-</v>
      </c>
      <c r="W1080" s="448">
        <f>HLOOKUP(Apoio!$P$12,$D$1061:$P$1162,X1080,FALSE)</f>
        <v>0</v>
      </c>
      <c r="X1080" s="329">
        <v>20</v>
      </c>
    </row>
    <row r="1081" spans="2:27" ht="30.05" customHeight="1" x14ac:dyDescent="0.35">
      <c r="B1081" s="204" t="str">
        <f>'CAD_PL_REC-DESP'!H23</f>
        <v>1.3.19</v>
      </c>
      <c r="C1081" s="205" t="str">
        <f>IF('CAD_PL_REC-DESP'!I23="","-",'CAD_PL_REC-DESP'!I23)</f>
        <v>-</v>
      </c>
      <c r="D1081" s="206">
        <f>SUMIFS(LANÇ_MOV[VALOR LÍQUIDO],LANÇ_MOV[RECEITA OU DESPESA],"Receita",LANÇ_MOV[CONTAS],$C1081,LANÇ_MOV[PLANO DE CONTAS],REL_DRE_FINANCEIRO!$B$1062,LANÇ_MOV[ANO PAGAMENTO],$B$4,LANÇ_MOV[MÊS PAGAMENTO CORRESPONDENTE],D$6,LANÇ_MOV[EMPRESA],$C$4,LANÇ_MOV[CENTRO DE CUSTOS],$D$4)</f>
        <v>0</v>
      </c>
      <c r="E1081" s="206">
        <f>SUMIFS(LANÇ_MOV[VALOR LÍQUIDO],LANÇ_MOV[RECEITA OU DESPESA],"Receita",LANÇ_MOV[CONTAS],$C1081,LANÇ_MOV[PLANO DE CONTAS],REL_DRE_FINANCEIRO!$B$1062,LANÇ_MOV[ANO PAGAMENTO],$B$4,LANÇ_MOV[MÊS PAGAMENTO CORRESPONDENTE],E$6,LANÇ_MOV[EMPRESA],$C$4,LANÇ_MOV[CENTRO DE CUSTOS],$D$4)</f>
        <v>0</v>
      </c>
      <c r="F1081" s="206">
        <f>SUMIFS(LANÇ_MOV[VALOR LÍQUIDO],LANÇ_MOV[RECEITA OU DESPESA],"Receita",LANÇ_MOV[CONTAS],$C1081,LANÇ_MOV[PLANO DE CONTAS],REL_DRE_FINANCEIRO!$B$1062,LANÇ_MOV[ANO PAGAMENTO],$B$4,LANÇ_MOV[MÊS PAGAMENTO CORRESPONDENTE],F$6,LANÇ_MOV[EMPRESA],$C$4,LANÇ_MOV[CENTRO DE CUSTOS],$D$4)</f>
        <v>0</v>
      </c>
      <c r="G1081" s="206">
        <f>SUMIFS(LANÇ_MOV[VALOR LÍQUIDO],LANÇ_MOV[RECEITA OU DESPESA],"Receita",LANÇ_MOV[CONTAS],$C1081,LANÇ_MOV[PLANO DE CONTAS],REL_DRE_FINANCEIRO!$B$1062,LANÇ_MOV[ANO PAGAMENTO],$B$4,LANÇ_MOV[MÊS PAGAMENTO CORRESPONDENTE],G$6,LANÇ_MOV[EMPRESA],$C$4,LANÇ_MOV[CENTRO DE CUSTOS],$D$4)</f>
        <v>0</v>
      </c>
      <c r="H1081" s="206">
        <f>SUMIFS(LANÇ_MOV[VALOR LÍQUIDO],LANÇ_MOV[RECEITA OU DESPESA],"Receita",LANÇ_MOV[CONTAS],$C1081,LANÇ_MOV[PLANO DE CONTAS],REL_DRE_FINANCEIRO!$B$1062,LANÇ_MOV[ANO PAGAMENTO],$B$4,LANÇ_MOV[MÊS PAGAMENTO CORRESPONDENTE],H$6,LANÇ_MOV[EMPRESA],$C$4,LANÇ_MOV[CENTRO DE CUSTOS],$D$4)</f>
        <v>0</v>
      </c>
      <c r="I1081" s="206">
        <f>SUMIFS(LANÇ_MOV[VALOR LÍQUIDO],LANÇ_MOV[RECEITA OU DESPESA],"Receita",LANÇ_MOV[CONTAS],$C1081,LANÇ_MOV[PLANO DE CONTAS],REL_DRE_FINANCEIRO!$B$1062,LANÇ_MOV[ANO PAGAMENTO],$B$4,LANÇ_MOV[MÊS PAGAMENTO CORRESPONDENTE],I$6,LANÇ_MOV[EMPRESA],$C$4,LANÇ_MOV[CENTRO DE CUSTOS],$D$4)</f>
        <v>0</v>
      </c>
      <c r="J1081" s="206">
        <f>SUMIFS(LANÇ_MOV[VALOR LÍQUIDO],LANÇ_MOV[RECEITA OU DESPESA],"Receita",LANÇ_MOV[CONTAS],$C1081,LANÇ_MOV[PLANO DE CONTAS],REL_DRE_FINANCEIRO!$B$1062,LANÇ_MOV[ANO PAGAMENTO],$B$4,LANÇ_MOV[MÊS PAGAMENTO CORRESPONDENTE],J$6,LANÇ_MOV[EMPRESA],$C$4,LANÇ_MOV[CENTRO DE CUSTOS],$D$4)</f>
        <v>0</v>
      </c>
      <c r="K1081" s="206">
        <f>SUMIFS(LANÇ_MOV[VALOR LÍQUIDO],LANÇ_MOV[RECEITA OU DESPESA],"Receita",LANÇ_MOV[CONTAS],$C1081,LANÇ_MOV[PLANO DE CONTAS],REL_DRE_FINANCEIRO!$B$1062,LANÇ_MOV[ANO PAGAMENTO],$B$4,LANÇ_MOV[MÊS PAGAMENTO CORRESPONDENTE],K$6,LANÇ_MOV[EMPRESA],$C$4,LANÇ_MOV[CENTRO DE CUSTOS],$D$4)</f>
        <v>0</v>
      </c>
      <c r="L1081" s="206">
        <f>SUMIFS(LANÇ_MOV[VALOR LÍQUIDO],LANÇ_MOV[RECEITA OU DESPESA],"Receita",LANÇ_MOV[CONTAS],$C1081,LANÇ_MOV[PLANO DE CONTAS],REL_DRE_FINANCEIRO!$B$1062,LANÇ_MOV[ANO PAGAMENTO],$B$4,LANÇ_MOV[MÊS PAGAMENTO CORRESPONDENTE],L$6,LANÇ_MOV[EMPRESA],$C$4,LANÇ_MOV[CENTRO DE CUSTOS],$D$4)</f>
        <v>0</v>
      </c>
      <c r="M1081" s="206">
        <f>SUMIFS(LANÇ_MOV[VALOR LÍQUIDO],LANÇ_MOV[RECEITA OU DESPESA],"Receita",LANÇ_MOV[CONTAS],$C1081,LANÇ_MOV[PLANO DE CONTAS],REL_DRE_FINANCEIRO!$B$1062,LANÇ_MOV[ANO PAGAMENTO],$B$4,LANÇ_MOV[MÊS PAGAMENTO CORRESPONDENTE],M$6,LANÇ_MOV[EMPRESA],$C$4,LANÇ_MOV[CENTRO DE CUSTOS],$D$4)</f>
        <v>0</v>
      </c>
      <c r="N1081" s="206">
        <f>SUMIFS(LANÇ_MOV[VALOR LÍQUIDO],LANÇ_MOV[RECEITA OU DESPESA],"Receita",LANÇ_MOV[CONTAS],$C1081,LANÇ_MOV[PLANO DE CONTAS],REL_DRE_FINANCEIRO!$B$1062,LANÇ_MOV[ANO PAGAMENTO],$B$4,LANÇ_MOV[MÊS PAGAMENTO CORRESPONDENTE],N$6,LANÇ_MOV[EMPRESA],$C$4,LANÇ_MOV[CENTRO DE CUSTOS],$D$4)</f>
        <v>0</v>
      </c>
      <c r="O1081" s="206">
        <f>SUMIFS(LANÇ_MOV[VALOR LÍQUIDO],LANÇ_MOV[RECEITA OU DESPESA],"Receita",LANÇ_MOV[CONTAS],$C1081,LANÇ_MOV[PLANO DE CONTAS],REL_DRE_FINANCEIRO!$B$1062,LANÇ_MOV[ANO PAGAMENTO],$B$4,LANÇ_MOV[MÊS PAGAMENTO CORRESPONDENTE],O$6,LANÇ_MOV[EMPRESA],$C$4,LANÇ_MOV[CENTRO DE CUSTOS],$D$4)</f>
        <v>0</v>
      </c>
      <c r="P1081" s="207">
        <f t="shared" si="134"/>
        <v>0</v>
      </c>
      <c r="Q1081" s="329">
        <v>8.1999999999999994E-6</v>
      </c>
      <c r="R1081" s="346">
        <f t="shared" si="135"/>
        <v>8.1999999999999994E-6</v>
      </c>
      <c r="S1081" s="347" t="str">
        <f t="shared" si="136"/>
        <v>-</v>
      </c>
      <c r="T1081" s="347">
        <f t="shared" si="137"/>
        <v>0</v>
      </c>
      <c r="U1081" s="347">
        <f>HLOOKUP(Apoio!$P$12,$D$1061:$P$1162,X1081,FALSE)+Q1081</f>
        <v>8.1999999999999994E-6</v>
      </c>
      <c r="V1081" s="447" t="str">
        <f t="shared" si="138"/>
        <v>-</v>
      </c>
      <c r="W1081" s="448">
        <f>HLOOKUP(Apoio!$P$12,$D$1061:$P$1162,X1081,FALSE)</f>
        <v>0</v>
      </c>
      <c r="X1081" s="329">
        <v>21</v>
      </c>
    </row>
    <row r="1082" spans="2:27" ht="30.05" customHeight="1" x14ac:dyDescent="0.35">
      <c r="B1082" s="204" t="str">
        <f>'CAD_PL_REC-DESP'!H24</f>
        <v>1.3.20</v>
      </c>
      <c r="C1082" s="205" t="str">
        <f>IF('CAD_PL_REC-DESP'!I24="","-",'CAD_PL_REC-DESP'!I24)</f>
        <v>-</v>
      </c>
      <c r="D1082" s="206">
        <f>SUMIFS(LANÇ_MOV[VALOR LÍQUIDO],LANÇ_MOV[RECEITA OU DESPESA],"Receita",LANÇ_MOV[CONTAS],$C1082,LANÇ_MOV[PLANO DE CONTAS],REL_DRE_FINANCEIRO!$B$1062,LANÇ_MOV[ANO PAGAMENTO],$B$4,LANÇ_MOV[MÊS PAGAMENTO CORRESPONDENTE],D$6,LANÇ_MOV[EMPRESA],$C$4,LANÇ_MOV[CENTRO DE CUSTOS],$D$4)</f>
        <v>0</v>
      </c>
      <c r="E1082" s="206">
        <f>SUMIFS(LANÇ_MOV[VALOR LÍQUIDO],LANÇ_MOV[RECEITA OU DESPESA],"Receita",LANÇ_MOV[CONTAS],$C1082,LANÇ_MOV[PLANO DE CONTAS],REL_DRE_FINANCEIRO!$B$1062,LANÇ_MOV[ANO PAGAMENTO],$B$4,LANÇ_MOV[MÊS PAGAMENTO CORRESPONDENTE],E$6,LANÇ_MOV[EMPRESA],$C$4,LANÇ_MOV[CENTRO DE CUSTOS],$D$4)</f>
        <v>0</v>
      </c>
      <c r="F1082" s="206">
        <f>SUMIFS(LANÇ_MOV[VALOR LÍQUIDO],LANÇ_MOV[RECEITA OU DESPESA],"Receita",LANÇ_MOV[CONTAS],$C1082,LANÇ_MOV[PLANO DE CONTAS],REL_DRE_FINANCEIRO!$B$1062,LANÇ_MOV[ANO PAGAMENTO],$B$4,LANÇ_MOV[MÊS PAGAMENTO CORRESPONDENTE],F$6,LANÇ_MOV[EMPRESA],$C$4,LANÇ_MOV[CENTRO DE CUSTOS],$D$4)</f>
        <v>0</v>
      </c>
      <c r="G1082" s="206">
        <f>SUMIFS(LANÇ_MOV[VALOR LÍQUIDO],LANÇ_MOV[RECEITA OU DESPESA],"Receita",LANÇ_MOV[CONTAS],$C1082,LANÇ_MOV[PLANO DE CONTAS],REL_DRE_FINANCEIRO!$B$1062,LANÇ_MOV[ANO PAGAMENTO],$B$4,LANÇ_MOV[MÊS PAGAMENTO CORRESPONDENTE],G$6,LANÇ_MOV[EMPRESA],$C$4,LANÇ_MOV[CENTRO DE CUSTOS],$D$4)</f>
        <v>0</v>
      </c>
      <c r="H1082" s="206">
        <f>SUMIFS(LANÇ_MOV[VALOR LÍQUIDO],LANÇ_MOV[RECEITA OU DESPESA],"Receita",LANÇ_MOV[CONTAS],$C1082,LANÇ_MOV[PLANO DE CONTAS],REL_DRE_FINANCEIRO!$B$1062,LANÇ_MOV[ANO PAGAMENTO],$B$4,LANÇ_MOV[MÊS PAGAMENTO CORRESPONDENTE],H$6,LANÇ_MOV[EMPRESA],$C$4,LANÇ_MOV[CENTRO DE CUSTOS],$D$4)</f>
        <v>0</v>
      </c>
      <c r="I1082" s="206">
        <f>SUMIFS(LANÇ_MOV[VALOR LÍQUIDO],LANÇ_MOV[RECEITA OU DESPESA],"Receita",LANÇ_MOV[CONTAS],$C1082,LANÇ_MOV[PLANO DE CONTAS],REL_DRE_FINANCEIRO!$B$1062,LANÇ_MOV[ANO PAGAMENTO],$B$4,LANÇ_MOV[MÊS PAGAMENTO CORRESPONDENTE],I$6,LANÇ_MOV[EMPRESA],$C$4,LANÇ_MOV[CENTRO DE CUSTOS],$D$4)</f>
        <v>0</v>
      </c>
      <c r="J1082" s="206">
        <f>SUMIFS(LANÇ_MOV[VALOR LÍQUIDO],LANÇ_MOV[RECEITA OU DESPESA],"Receita",LANÇ_MOV[CONTAS],$C1082,LANÇ_MOV[PLANO DE CONTAS],REL_DRE_FINANCEIRO!$B$1062,LANÇ_MOV[ANO PAGAMENTO],$B$4,LANÇ_MOV[MÊS PAGAMENTO CORRESPONDENTE],J$6,LANÇ_MOV[EMPRESA],$C$4,LANÇ_MOV[CENTRO DE CUSTOS],$D$4)</f>
        <v>0</v>
      </c>
      <c r="K1082" s="206">
        <f>SUMIFS(LANÇ_MOV[VALOR LÍQUIDO],LANÇ_MOV[RECEITA OU DESPESA],"Receita",LANÇ_MOV[CONTAS],$C1082,LANÇ_MOV[PLANO DE CONTAS],REL_DRE_FINANCEIRO!$B$1062,LANÇ_MOV[ANO PAGAMENTO],$B$4,LANÇ_MOV[MÊS PAGAMENTO CORRESPONDENTE],K$6,LANÇ_MOV[EMPRESA],$C$4,LANÇ_MOV[CENTRO DE CUSTOS],$D$4)</f>
        <v>0</v>
      </c>
      <c r="L1082" s="206">
        <f>SUMIFS(LANÇ_MOV[VALOR LÍQUIDO],LANÇ_MOV[RECEITA OU DESPESA],"Receita",LANÇ_MOV[CONTAS],$C1082,LANÇ_MOV[PLANO DE CONTAS],REL_DRE_FINANCEIRO!$B$1062,LANÇ_MOV[ANO PAGAMENTO],$B$4,LANÇ_MOV[MÊS PAGAMENTO CORRESPONDENTE],L$6,LANÇ_MOV[EMPRESA],$C$4,LANÇ_MOV[CENTRO DE CUSTOS],$D$4)</f>
        <v>0</v>
      </c>
      <c r="M1082" s="206">
        <f>SUMIFS(LANÇ_MOV[VALOR LÍQUIDO],LANÇ_MOV[RECEITA OU DESPESA],"Receita",LANÇ_MOV[CONTAS],$C1082,LANÇ_MOV[PLANO DE CONTAS],REL_DRE_FINANCEIRO!$B$1062,LANÇ_MOV[ANO PAGAMENTO],$B$4,LANÇ_MOV[MÊS PAGAMENTO CORRESPONDENTE],M$6,LANÇ_MOV[EMPRESA],$C$4,LANÇ_MOV[CENTRO DE CUSTOS],$D$4)</f>
        <v>0</v>
      </c>
      <c r="N1082" s="206">
        <f>SUMIFS(LANÇ_MOV[VALOR LÍQUIDO],LANÇ_MOV[RECEITA OU DESPESA],"Receita",LANÇ_MOV[CONTAS],$C1082,LANÇ_MOV[PLANO DE CONTAS],REL_DRE_FINANCEIRO!$B$1062,LANÇ_MOV[ANO PAGAMENTO],$B$4,LANÇ_MOV[MÊS PAGAMENTO CORRESPONDENTE],N$6,LANÇ_MOV[EMPRESA],$C$4,LANÇ_MOV[CENTRO DE CUSTOS],$D$4)</f>
        <v>0</v>
      </c>
      <c r="O1082" s="206">
        <f>SUMIFS(LANÇ_MOV[VALOR LÍQUIDO],LANÇ_MOV[RECEITA OU DESPESA],"Receita",LANÇ_MOV[CONTAS],$C1082,LANÇ_MOV[PLANO DE CONTAS],REL_DRE_FINANCEIRO!$B$1062,LANÇ_MOV[ANO PAGAMENTO],$B$4,LANÇ_MOV[MÊS PAGAMENTO CORRESPONDENTE],O$6,LANÇ_MOV[EMPRESA],$C$4,LANÇ_MOV[CENTRO DE CUSTOS],$D$4)</f>
        <v>0</v>
      </c>
      <c r="P1082" s="207">
        <f t="shared" si="134"/>
        <v>0</v>
      </c>
      <c r="Q1082" s="329">
        <v>8.1000000000000004E-6</v>
      </c>
      <c r="R1082" s="346">
        <f t="shared" si="135"/>
        <v>8.1000000000000004E-6</v>
      </c>
      <c r="S1082" s="347" t="str">
        <f t="shared" si="136"/>
        <v>-</v>
      </c>
      <c r="T1082" s="347">
        <f t="shared" si="137"/>
        <v>0</v>
      </c>
      <c r="U1082" s="347">
        <f>HLOOKUP(Apoio!$P$12,$D$1061:$P$1162,X1082,FALSE)+Q1082</f>
        <v>8.1000000000000004E-6</v>
      </c>
      <c r="V1082" s="447" t="str">
        <f t="shared" si="138"/>
        <v>-</v>
      </c>
      <c r="W1082" s="448">
        <f>HLOOKUP(Apoio!$P$12,$D$1061:$P$1162,X1082,FALSE)</f>
        <v>0</v>
      </c>
      <c r="X1082" s="329">
        <v>22</v>
      </c>
    </row>
    <row r="1083" spans="2:27" ht="30.05" customHeight="1" x14ac:dyDescent="0.35">
      <c r="B1083" s="204" t="str">
        <f>'CAD_PL_REC-DESP'!H25</f>
        <v>1.3.21</v>
      </c>
      <c r="C1083" s="205" t="str">
        <f>IF('CAD_PL_REC-DESP'!I25="","-",'CAD_PL_REC-DESP'!I25)</f>
        <v>-</v>
      </c>
      <c r="D1083" s="206">
        <f>SUMIFS(LANÇ_MOV[VALOR LÍQUIDO],LANÇ_MOV[RECEITA OU DESPESA],"Receita",LANÇ_MOV[CONTAS],$C1083,LANÇ_MOV[PLANO DE CONTAS],REL_DRE_FINANCEIRO!$B$1062,LANÇ_MOV[ANO PAGAMENTO],$B$4,LANÇ_MOV[MÊS PAGAMENTO CORRESPONDENTE],D$6,LANÇ_MOV[EMPRESA],$C$4,LANÇ_MOV[CENTRO DE CUSTOS],$D$4)</f>
        <v>0</v>
      </c>
      <c r="E1083" s="206">
        <f>SUMIFS(LANÇ_MOV[VALOR LÍQUIDO],LANÇ_MOV[RECEITA OU DESPESA],"Receita",LANÇ_MOV[CONTAS],$C1083,LANÇ_MOV[PLANO DE CONTAS],REL_DRE_FINANCEIRO!$B$1062,LANÇ_MOV[ANO PAGAMENTO],$B$4,LANÇ_MOV[MÊS PAGAMENTO CORRESPONDENTE],E$6,LANÇ_MOV[EMPRESA],$C$4,LANÇ_MOV[CENTRO DE CUSTOS],$D$4)</f>
        <v>0</v>
      </c>
      <c r="F1083" s="206">
        <f>SUMIFS(LANÇ_MOV[VALOR LÍQUIDO],LANÇ_MOV[RECEITA OU DESPESA],"Receita",LANÇ_MOV[CONTAS],$C1083,LANÇ_MOV[PLANO DE CONTAS],REL_DRE_FINANCEIRO!$B$1062,LANÇ_MOV[ANO PAGAMENTO],$B$4,LANÇ_MOV[MÊS PAGAMENTO CORRESPONDENTE],F$6,LANÇ_MOV[EMPRESA],$C$4,LANÇ_MOV[CENTRO DE CUSTOS],$D$4)</f>
        <v>0</v>
      </c>
      <c r="G1083" s="206">
        <f>SUMIFS(LANÇ_MOV[VALOR LÍQUIDO],LANÇ_MOV[RECEITA OU DESPESA],"Receita",LANÇ_MOV[CONTAS],$C1083,LANÇ_MOV[PLANO DE CONTAS],REL_DRE_FINANCEIRO!$B$1062,LANÇ_MOV[ANO PAGAMENTO],$B$4,LANÇ_MOV[MÊS PAGAMENTO CORRESPONDENTE],G$6,LANÇ_MOV[EMPRESA],$C$4,LANÇ_MOV[CENTRO DE CUSTOS],$D$4)</f>
        <v>0</v>
      </c>
      <c r="H1083" s="206">
        <f>SUMIFS(LANÇ_MOV[VALOR LÍQUIDO],LANÇ_MOV[RECEITA OU DESPESA],"Receita",LANÇ_MOV[CONTAS],$C1083,LANÇ_MOV[PLANO DE CONTAS],REL_DRE_FINANCEIRO!$B$1062,LANÇ_MOV[ANO PAGAMENTO],$B$4,LANÇ_MOV[MÊS PAGAMENTO CORRESPONDENTE],H$6,LANÇ_MOV[EMPRESA],$C$4,LANÇ_MOV[CENTRO DE CUSTOS],$D$4)</f>
        <v>0</v>
      </c>
      <c r="I1083" s="206">
        <f>SUMIFS(LANÇ_MOV[VALOR LÍQUIDO],LANÇ_MOV[RECEITA OU DESPESA],"Receita",LANÇ_MOV[CONTAS],$C1083,LANÇ_MOV[PLANO DE CONTAS],REL_DRE_FINANCEIRO!$B$1062,LANÇ_MOV[ANO PAGAMENTO],$B$4,LANÇ_MOV[MÊS PAGAMENTO CORRESPONDENTE],I$6,LANÇ_MOV[EMPRESA],$C$4,LANÇ_MOV[CENTRO DE CUSTOS],$D$4)</f>
        <v>0</v>
      </c>
      <c r="J1083" s="206">
        <f>SUMIFS(LANÇ_MOV[VALOR LÍQUIDO],LANÇ_MOV[RECEITA OU DESPESA],"Receita",LANÇ_MOV[CONTAS],$C1083,LANÇ_MOV[PLANO DE CONTAS],REL_DRE_FINANCEIRO!$B$1062,LANÇ_MOV[ANO PAGAMENTO],$B$4,LANÇ_MOV[MÊS PAGAMENTO CORRESPONDENTE],J$6,LANÇ_MOV[EMPRESA],$C$4,LANÇ_MOV[CENTRO DE CUSTOS],$D$4)</f>
        <v>0</v>
      </c>
      <c r="K1083" s="206">
        <f>SUMIFS(LANÇ_MOV[VALOR LÍQUIDO],LANÇ_MOV[RECEITA OU DESPESA],"Receita",LANÇ_MOV[CONTAS],$C1083,LANÇ_MOV[PLANO DE CONTAS],REL_DRE_FINANCEIRO!$B$1062,LANÇ_MOV[ANO PAGAMENTO],$B$4,LANÇ_MOV[MÊS PAGAMENTO CORRESPONDENTE],K$6,LANÇ_MOV[EMPRESA],$C$4,LANÇ_MOV[CENTRO DE CUSTOS],$D$4)</f>
        <v>0</v>
      </c>
      <c r="L1083" s="206">
        <f>SUMIFS(LANÇ_MOV[VALOR LÍQUIDO],LANÇ_MOV[RECEITA OU DESPESA],"Receita",LANÇ_MOV[CONTAS],$C1083,LANÇ_MOV[PLANO DE CONTAS],REL_DRE_FINANCEIRO!$B$1062,LANÇ_MOV[ANO PAGAMENTO],$B$4,LANÇ_MOV[MÊS PAGAMENTO CORRESPONDENTE],L$6,LANÇ_MOV[EMPRESA],$C$4,LANÇ_MOV[CENTRO DE CUSTOS],$D$4)</f>
        <v>0</v>
      </c>
      <c r="M1083" s="206">
        <f>SUMIFS(LANÇ_MOV[VALOR LÍQUIDO],LANÇ_MOV[RECEITA OU DESPESA],"Receita",LANÇ_MOV[CONTAS],$C1083,LANÇ_MOV[PLANO DE CONTAS],REL_DRE_FINANCEIRO!$B$1062,LANÇ_MOV[ANO PAGAMENTO],$B$4,LANÇ_MOV[MÊS PAGAMENTO CORRESPONDENTE],M$6,LANÇ_MOV[EMPRESA],$C$4,LANÇ_MOV[CENTRO DE CUSTOS],$D$4)</f>
        <v>0</v>
      </c>
      <c r="N1083" s="206">
        <f>SUMIFS(LANÇ_MOV[VALOR LÍQUIDO],LANÇ_MOV[RECEITA OU DESPESA],"Receita",LANÇ_MOV[CONTAS],$C1083,LANÇ_MOV[PLANO DE CONTAS],REL_DRE_FINANCEIRO!$B$1062,LANÇ_MOV[ANO PAGAMENTO],$B$4,LANÇ_MOV[MÊS PAGAMENTO CORRESPONDENTE],N$6,LANÇ_MOV[EMPRESA],$C$4,LANÇ_MOV[CENTRO DE CUSTOS],$D$4)</f>
        <v>0</v>
      </c>
      <c r="O1083" s="206">
        <f>SUMIFS(LANÇ_MOV[VALOR LÍQUIDO],LANÇ_MOV[RECEITA OU DESPESA],"Receita",LANÇ_MOV[CONTAS],$C1083,LANÇ_MOV[PLANO DE CONTAS],REL_DRE_FINANCEIRO!$B$1062,LANÇ_MOV[ANO PAGAMENTO],$B$4,LANÇ_MOV[MÊS PAGAMENTO CORRESPONDENTE],O$6,LANÇ_MOV[EMPRESA],$C$4,LANÇ_MOV[CENTRO DE CUSTOS],$D$4)</f>
        <v>0</v>
      </c>
      <c r="P1083" s="207">
        <f t="shared" si="134"/>
        <v>0</v>
      </c>
      <c r="Q1083" s="329">
        <v>7.9999999999999996E-6</v>
      </c>
      <c r="R1083" s="346">
        <f t="shared" si="135"/>
        <v>7.9999999999999996E-6</v>
      </c>
      <c r="S1083" s="347" t="str">
        <f t="shared" si="136"/>
        <v>-</v>
      </c>
      <c r="T1083" s="347">
        <f t="shared" si="137"/>
        <v>0</v>
      </c>
      <c r="U1083" s="347">
        <f>HLOOKUP(Apoio!$P$12,$D$1061:$P$1162,X1083,FALSE)+Q1083</f>
        <v>7.9999999999999996E-6</v>
      </c>
      <c r="V1083" s="447" t="str">
        <f t="shared" si="138"/>
        <v>-</v>
      </c>
      <c r="W1083" s="448">
        <f>HLOOKUP(Apoio!$P$12,$D$1061:$P$1162,X1083,FALSE)</f>
        <v>0</v>
      </c>
      <c r="X1083" s="329">
        <v>23</v>
      </c>
    </row>
    <row r="1084" spans="2:27" ht="30.05" customHeight="1" x14ac:dyDescent="0.35">
      <c r="B1084" s="204" t="str">
        <f>'CAD_PL_REC-DESP'!H26</f>
        <v>1.3.22</v>
      </c>
      <c r="C1084" s="205" t="str">
        <f>IF('CAD_PL_REC-DESP'!I26="","-",'CAD_PL_REC-DESP'!I26)</f>
        <v>-</v>
      </c>
      <c r="D1084" s="206">
        <f>SUMIFS(LANÇ_MOV[VALOR LÍQUIDO],LANÇ_MOV[RECEITA OU DESPESA],"Receita",LANÇ_MOV[CONTAS],$C1084,LANÇ_MOV[PLANO DE CONTAS],REL_DRE_FINANCEIRO!$B$1062,LANÇ_MOV[ANO PAGAMENTO],$B$4,LANÇ_MOV[MÊS PAGAMENTO CORRESPONDENTE],D$6,LANÇ_MOV[EMPRESA],$C$4,LANÇ_MOV[CENTRO DE CUSTOS],$D$4)</f>
        <v>0</v>
      </c>
      <c r="E1084" s="206">
        <f>SUMIFS(LANÇ_MOV[VALOR LÍQUIDO],LANÇ_MOV[RECEITA OU DESPESA],"Receita",LANÇ_MOV[CONTAS],$C1084,LANÇ_MOV[PLANO DE CONTAS],REL_DRE_FINANCEIRO!$B$1062,LANÇ_MOV[ANO PAGAMENTO],$B$4,LANÇ_MOV[MÊS PAGAMENTO CORRESPONDENTE],E$6,LANÇ_MOV[EMPRESA],$C$4,LANÇ_MOV[CENTRO DE CUSTOS],$D$4)</f>
        <v>0</v>
      </c>
      <c r="F1084" s="206">
        <f>SUMIFS(LANÇ_MOV[VALOR LÍQUIDO],LANÇ_MOV[RECEITA OU DESPESA],"Receita",LANÇ_MOV[CONTAS],$C1084,LANÇ_MOV[PLANO DE CONTAS],REL_DRE_FINANCEIRO!$B$1062,LANÇ_MOV[ANO PAGAMENTO],$B$4,LANÇ_MOV[MÊS PAGAMENTO CORRESPONDENTE],F$6,LANÇ_MOV[EMPRESA],$C$4,LANÇ_MOV[CENTRO DE CUSTOS],$D$4)</f>
        <v>0</v>
      </c>
      <c r="G1084" s="206">
        <f>SUMIFS(LANÇ_MOV[VALOR LÍQUIDO],LANÇ_MOV[RECEITA OU DESPESA],"Receita",LANÇ_MOV[CONTAS],$C1084,LANÇ_MOV[PLANO DE CONTAS],REL_DRE_FINANCEIRO!$B$1062,LANÇ_MOV[ANO PAGAMENTO],$B$4,LANÇ_MOV[MÊS PAGAMENTO CORRESPONDENTE],G$6,LANÇ_MOV[EMPRESA],$C$4,LANÇ_MOV[CENTRO DE CUSTOS],$D$4)</f>
        <v>0</v>
      </c>
      <c r="H1084" s="206">
        <f>SUMIFS(LANÇ_MOV[VALOR LÍQUIDO],LANÇ_MOV[RECEITA OU DESPESA],"Receita",LANÇ_MOV[CONTAS],$C1084,LANÇ_MOV[PLANO DE CONTAS],REL_DRE_FINANCEIRO!$B$1062,LANÇ_MOV[ANO PAGAMENTO],$B$4,LANÇ_MOV[MÊS PAGAMENTO CORRESPONDENTE],H$6,LANÇ_MOV[EMPRESA],$C$4,LANÇ_MOV[CENTRO DE CUSTOS],$D$4)</f>
        <v>0</v>
      </c>
      <c r="I1084" s="206">
        <f>SUMIFS(LANÇ_MOV[VALOR LÍQUIDO],LANÇ_MOV[RECEITA OU DESPESA],"Receita",LANÇ_MOV[CONTAS],$C1084,LANÇ_MOV[PLANO DE CONTAS],REL_DRE_FINANCEIRO!$B$1062,LANÇ_MOV[ANO PAGAMENTO],$B$4,LANÇ_MOV[MÊS PAGAMENTO CORRESPONDENTE],I$6,LANÇ_MOV[EMPRESA],$C$4,LANÇ_MOV[CENTRO DE CUSTOS],$D$4)</f>
        <v>0</v>
      </c>
      <c r="J1084" s="206">
        <f>SUMIFS(LANÇ_MOV[VALOR LÍQUIDO],LANÇ_MOV[RECEITA OU DESPESA],"Receita",LANÇ_MOV[CONTAS],$C1084,LANÇ_MOV[PLANO DE CONTAS],REL_DRE_FINANCEIRO!$B$1062,LANÇ_MOV[ANO PAGAMENTO],$B$4,LANÇ_MOV[MÊS PAGAMENTO CORRESPONDENTE],J$6,LANÇ_MOV[EMPRESA],$C$4,LANÇ_MOV[CENTRO DE CUSTOS],$D$4)</f>
        <v>0</v>
      </c>
      <c r="K1084" s="206">
        <f>SUMIFS(LANÇ_MOV[VALOR LÍQUIDO],LANÇ_MOV[RECEITA OU DESPESA],"Receita",LANÇ_MOV[CONTAS],$C1084,LANÇ_MOV[PLANO DE CONTAS],REL_DRE_FINANCEIRO!$B$1062,LANÇ_MOV[ANO PAGAMENTO],$B$4,LANÇ_MOV[MÊS PAGAMENTO CORRESPONDENTE],K$6,LANÇ_MOV[EMPRESA],$C$4,LANÇ_MOV[CENTRO DE CUSTOS],$D$4)</f>
        <v>0</v>
      </c>
      <c r="L1084" s="206">
        <f>SUMIFS(LANÇ_MOV[VALOR LÍQUIDO],LANÇ_MOV[RECEITA OU DESPESA],"Receita",LANÇ_MOV[CONTAS],$C1084,LANÇ_MOV[PLANO DE CONTAS],REL_DRE_FINANCEIRO!$B$1062,LANÇ_MOV[ANO PAGAMENTO],$B$4,LANÇ_MOV[MÊS PAGAMENTO CORRESPONDENTE],L$6,LANÇ_MOV[EMPRESA],$C$4,LANÇ_MOV[CENTRO DE CUSTOS],$D$4)</f>
        <v>0</v>
      </c>
      <c r="M1084" s="206">
        <f>SUMIFS(LANÇ_MOV[VALOR LÍQUIDO],LANÇ_MOV[RECEITA OU DESPESA],"Receita",LANÇ_MOV[CONTAS],$C1084,LANÇ_MOV[PLANO DE CONTAS],REL_DRE_FINANCEIRO!$B$1062,LANÇ_MOV[ANO PAGAMENTO],$B$4,LANÇ_MOV[MÊS PAGAMENTO CORRESPONDENTE],M$6,LANÇ_MOV[EMPRESA],$C$4,LANÇ_MOV[CENTRO DE CUSTOS],$D$4)</f>
        <v>0</v>
      </c>
      <c r="N1084" s="206">
        <f>SUMIFS(LANÇ_MOV[VALOR LÍQUIDO],LANÇ_MOV[RECEITA OU DESPESA],"Receita",LANÇ_MOV[CONTAS],$C1084,LANÇ_MOV[PLANO DE CONTAS],REL_DRE_FINANCEIRO!$B$1062,LANÇ_MOV[ANO PAGAMENTO],$B$4,LANÇ_MOV[MÊS PAGAMENTO CORRESPONDENTE],N$6,LANÇ_MOV[EMPRESA],$C$4,LANÇ_MOV[CENTRO DE CUSTOS],$D$4)</f>
        <v>0</v>
      </c>
      <c r="O1084" s="206">
        <f>SUMIFS(LANÇ_MOV[VALOR LÍQUIDO],LANÇ_MOV[RECEITA OU DESPESA],"Receita",LANÇ_MOV[CONTAS],$C1084,LANÇ_MOV[PLANO DE CONTAS],REL_DRE_FINANCEIRO!$B$1062,LANÇ_MOV[ANO PAGAMENTO],$B$4,LANÇ_MOV[MÊS PAGAMENTO CORRESPONDENTE],O$6,LANÇ_MOV[EMPRESA],$C$4,LANÇ_MOV[CENTRO DE CUSTOS],$D$4)</f>
        <v>0</v>
      </c>
      <c r="P1084" s="207">
        <f t="shared" si="134"/>
        <v>0</v>
      </c>
      <c r="Q1084" s="329">
        <v>7.9000000000000006E-6</v>
      </c>
      <c r="R1084" s="346">
        <f t="shared" si="135"/>
        <v>7.9000000000000006E-6</v>
      </c>
      <c r="S1084" s="347" t="str">
        <f t="shared" si="136"/>
        <v>-</v>
      </c>
      <c r="T1084" s="347">
        <f t="shared" si="137"/>
        <v>0</v>
      </c>
      <c r="U1084" s="347">
        <f>HLOOKUP(Apoio!$P$12,$D$1061:$P$1162,X1084,FALSE)+Q1084</f>
        <v>7.9000000000000006E-6</v>
      </c>
      <c r="V1084" s="447" t="str">
        <f t="shared" si="138"/>
        <v>-</v>
      </c>
      <c r="W1084" s="448">
        <f>HLOOKUP(Apoio!$P$12,$D$1061:$P$1162,X1084,FALSE)</f>
        <v>0</v>
      </c>
      <c r="X1084" s="329">
        <v>24</v>
      </c>
    </row>
    <row r="1085" spans="2:27" ht="30.05" customHeight="1" x14ac:dyDescent="0.35">
      <c r="B1085" s="204" t="str">
        <f>'CAD_PL_REC-DESP'!H27</f>
        <v>1.3.23</v>
      </c>
      <c r="C1085" s="205" t="str">
        <f>IF('CAD_PL_REC-DESP'!I27="","-",'CAD_PL_REC-DESP'!I27)</f>
        <v>-</v>
      </c>
      <c r="D1085" s="206">
        <f>SUMIFS(LANÇ_MOV[VALOR LÍQUIDO],LANÇ_MOV[RECEITA OU DESPESA],"Receita",LANÇ_MOV[CONTAS],$C1085,LANÇ_MOV[PLANO DE CONTAS],REL_DRE_FINANCEIRO!$B$1062,LANÇ_MOV[ANO PAGAMENTO],$B$4,LANÇ_MOV[MÊS PAGAMENTO CORRESPONDENTE],D$6,LANÇ_MOV[EMPRESA],$C$4,LANÇ_MOV[CENTRO DE CUSTOS],$D$4)</f>
        <v>0</v>
      </c>
      <c r="E1085" s="206">
        <f>SUMIFS(LANÇ_MOV[VALOR LÍQUIDO],LANÇ_MOV[RECEITA OU DESPESA],"Receita",LANÇ_MOV[CONTAS],$C1085,LANÇ_MOV[PLANO DE CONTAS],REL_DRE_FINANCEIRO!$B$1062,LANÇ_MOV[ANO PAGAMENTO],$B$4,LANÇ_MOV[MÊS PAGAMENTO CORRESPONDENTE],E$6,LANÇ_MOV[EMPRESA],$C$4,LANÇ_MOV[CENTRO DE CUSTOS],$D$4)</f>
        <v>0</v>
      </c>
      <c r="F1085" s="206">
        <f>SUMIFS(LANÇ_MOV[VALOR LÍQUIDO],LANÇ_MOV[RECEITA OU DESPESA],"Receita",LANÇ_MOV[CONTAS],$C1085,LANÇ_MOV[PLANO DE CONTAS],REL_DRE_FINANCEIRO!$B$1062,LANÇ_MOV[ANO PAGAMENTO],$B$4,LANÇ_MOV[MÊS PAGAMENTO CORRESPONDENTE],F$6,LANÇ_MOV[EMPRESA],$C$4,LANÇ_MOV[CENTRO DE CUSTOS],$D$4)</f>
        <v>0</v>
      </c>
      <c r="G1085" s="206">
        <f>SUMIFS(LANÇ_MOV[VALOR LÍQUIDO],LANÇ_MOV[RECEITA OU DESPESA],"Receita",LANÇ_MOV[CONTAS],$C1085,LANÇ_MOV[PLANO DE CONTAS],REL_DRE_FINANCEIRO!$B$1062,LANÇ_MOV[ANO PAGAMENTO],$B$4,LANÇ_MOV[MÊS PAGAMENTO CORRESPONDENTE],G$6,LANÇ_MOV[EMPRESA],$C$4,LANÇ_MOV[CENTRO DE CUSTOS],$D$4)</f>
        <v>0</v>
      </c>
      <c r="H1085" s="206">
        <f>SUMIFS(LANÇ_MOV[VALOR LÍQUIDO],LANÇ_MOV[RECEITA OU DESPESA],"Receita",LANÇ_MOV[CONTAS],$C1085,LANÇ_MOV[PLANO DE CONTAS],REL_DRE_FINANCEIRO!$B$1062,LANÇ_MOV[ANO PAGAMENTO],$B$4,LANÇ_MOV[MÊS PAGAMENTO CORRESPONDENTE],H$6,LANÇ_MOV[EMPRESA],$C$4,LANÇ_MOV[CENTRO DE CUSTOS],$D$4)</f>
        <v>0</v>
      </c>
      <c r="I1085" s="206">
        <f>SUMIFS(LANÇ_MOV[VALOR LÍQUIDO],LANÇ_MOV[RECEITA OU DESPESA],"Receita",LANÇ_MOV[CONTAS],$C1085,LANÇ_MOV[PLANO DE CONTAS],REL_DRE_FINANCEIRO!$B$1062,LANÇ_MOV[ANO PAGAMENTO],$B$4,LANÇ_MOV[MÊS PAGAMENTO CORRESPONDENTE],I$6,LANÇ_MOV[EMPRESA],$C$4,LANÇ_MOV[CENTRO DE CUSTOS],$D$4)</f>
        <v>0</v>
      </c>
      <c r="J1085" s="206">
        <f>SUMIFS(LANÇ_MOV[VALOR LÍQUIDO],LANÇ_MOV[RECEITA OU DESPESA],"Receita",LANÇ_MOV[CONTAS],$C1085,LANÇ_MOV[PLANO DE CONTAS],REL_DRE_FINANCEIRO!$B$1062,LANÇ_MOV[ANO PAGAMENTO],$B$4,LANÇ_MOV[MÊS PAGAMENTO CORRESPONDENTE],J$6,LANÇ_MOV[EMPRESA],$C$4,LANÇ_MOV[CENTRO DE CUSTOS],$D$4)</f>
        <v>0</v>
      </c>
      <c r="K1085" s="206">
        <f>SUMIFS(LANÇ_MOV[VALOR LÍQUIDO],LANÇ_MOV[RECEITA OU DESPESA],"Receita",LANÇ_MOV[CONTAS],$C1085,LANÇ_MOV[PLANO DE CONTAS],REL_DRE_FINANCEIRO!$B$1062,LANÇ_MOV[ANO PAGAMENTO],$B$4,LANÇ_MOV[MÊS PAGAMENTO CORRESPONDENTE],K$6,LANÇ_MOV[EMPRESA],$C$4,LANÇ_MOV[CENTRO DE CUSTOS],$D$4)</f>
        <v>0</v>
      </c>
      <c r="L1085" s="206">
        <f>SUMIFS(LANÇ_MOV[VALOR LÍQUIDO],LANÇ_MOV[RECEITA OU DESPESA],"Receita",LANÇ_MOV[CONTAS],$C1085,LANÇ_MOV[PLANO DE CONTAS],REL_DRE_FINANCEIRO!$B$1062,LANÇ_MOV[ANO PAGAMENTO],$B$4,LANÇ_MOV[MÊS PAGAMENTO CORRESPONDENTE],L$6,LANÇ_MOV[EMPRESA],$C$4,LANÇ_MOV[CENTRO DE CUSTOS],$D$4)</f>
        <v>0</v>
      </c>
      <c r="M1085" s="206">
        <f>SUMIFS(LANÇ_MOV[VALOR LÍQUIDO],LANÇ_MOV[RECEITA OU DESPESA],"Receita",LANÇ_MOV[CONTAS],$C1085,LANÇ_MOV[PLANO DE CONTAS],REL_DRE_FINANCEIRO!$B$1062,LANÇ_MOV[ANO PAGAMENTO],$B$4,LANÇ_MOV[MÊS PAGAMENTO CORRESPONDENTE],M$6,LANÇ_MOV[EMPRESA],$C$4,LANÇ_MOV[CENTRO DE CUSTOS],$D$4)</f>
        <v>0</v>
      </c>
      <c r="N1085" s="206">
        <f>SUMIFS(LANÇ_MOV[VALOR LÍQUIDO],LANÇ_MOV[RECEITA OU DESPESA],"Receita",LANÇ_MOV[CONTAS],$C1085,LANÇ_MOV[PLANO DE CONTAS],REL_DRE_FINANCEIRO!$B$1062,LANÇ_MOV[ANO PAGAMENTO],$B$4,LANÇ_MOV[MÊS PAGAMENTO CORRESPONDENTE],N$6,LANÇ_MOV[EMPRESA],$C$4,LANÇ_MOV[CENTRO DE CUSTOS],$D$4)</f>
        <v>0</v>
      </c>
      <c r="O1085" s="206">
        <f>SUMIFS(LANÇ_MOV[VALOR LÍQUIDO],LANÇ_MOV[RECEITA OU DESPESA],"Receita",LANÇ_MOV[CONTAS],$C1085,LANÇ_MOV[PLANO DE CONTAS],REL_DRE_FINANCEIRO!$B$1062,LANÇ_MOV[ANO PAGAMENTO],$B$4,LANÇ_MOV[MÊS PAGAMENTO CORRESPONDENTE],O$6,LANÇ_MOV[EMPRESA],$C$4,LANÇ_MOV[CENTRO DE CUSTOS],$D$4)</f>
        <v>0</v>
      </c>
      <c r="P1085" s="207">
        <f t="shared" si="134"/>
        <v>0</v>
      </c>
      <c r="Q1085" s="329">
        <v>7.7999999999999999E-6</v>
      </c>
      <c r="R1085" s="346">
        <f t="shared" si="135"/>
        <v>7.7999999999999999E-6</v>
      </c>
      <c r="S1085" s="347" t="str">
        <f t="shared" si="136"/>
        <v>-</v>
      </c>
      <c r="T1085" s="347">
        <f t="shared" si="137"/>
        <v>0</v>
      </c>
      <c r="U1085" s="347">
        <f>HLOOKUP(Apoio!$P$12,$D$1061:$P$1162,X1085,FALSE)+Q1085</f>
        <v>7.7999999999999999E-6</v>
      </c>
      <c r="V1085" s="447" t="str">
        <f t="shared" si="138"/>
        <v>-</v>
      </c>
      <c r="W1085" s="448">
        <f>HLOOKUP(Apoio!$P$12,$D$1061:$P$1162,X1085,FALSE)</f>
        <v>0</v>
      </c>
      <c r="X1085" s="329">
        <v>25</v>
      </c>
    </row>
    <row r="1086" spans="2:27" ht="30.05" customHeight="1" x14ac:dyDescent="0.35">
      <c r="B1086" s="204" t="str">
        <f>'CAD_PL_REC-DESP'!H28</f>
        <v>1.3.24</v>
      </c>
      <c r="C1086" s="205" t="str">
        <f>IF('CAD_PL_REC-DESP'!I28="","-",'CAD_PL_REC-DESP'!I28)</f>
        <v>-</v>
      </c>
      <c r="D1086" s="206">
        <f>SUMIFS(LANÇ_MOV[VALOR LÍQUIDO],LANÇ_MOV[RECEITA OU DESPESA],"Receita",LANÇ_MOV[CONTAS],$C1086,LANÇ_MOV[PLANO DE CONTAS],REL_DRE_FINANCEIRO!$B$1062,LANÇ_MOV[ANO PAGAMENTO],$B$4,LANÇ_MOV[MÊS PAGAMENTO CORRESPONDENTE],D$6,LANÇ_MOV[EMPRESA],$C$4,LANÇ_MOV[CENTRO DE CUSTOS],$D$4)</f>
        <v>0</v>
      </c>
      <c r="E1086" s="206">
        <f>SUMIFS(LANÇ_MOV[VALOR LÍQUIDO],LANÇ_MOV[RECEITA OU DESPESA],"Receita",LANÇ_MOV[CONTAS],$C1086,LANÇ_MOV[PLANO DE CONTAS],REL_DRE_FINANCEIRO!$B$1062,LANÇ_MOV[ANO PAGAMENTO],$B$4,LANÇ_MOV[MÊS PAGAMENTO CORRESPONDENTE],E$6,LANÇ_MOV[EMPRESA],$C$4,LANÇ_MOV[CENTRO DE CUSTOS],$D$4)</f>
        <v>0</v>
      </c>
      <c r="F1086" s="206">
        <f>SUMIFS(LANÇ_MOV[VALOR LÍQUIDO],LANÇ_MOV[RECEITA OU DESPESA],"Receita",LANÇ_MOV[CONTAS],$C1086,LANÇ_MOV[PLANO DE CONTAS],REL_DRE_FINANCEIRO!$B$1062,LANÇ_MOV[ANO PAGAMENTO],$B$4,LANÇ_MOV[MÊS PAGAMENTO CORRESPONDENTE],F$6,LANÇ_MOV[EMPRESA],$C$4,LANÇ_MOV[CENTRO DE CUSTOS],$D$4)</f>
        <v>0</v>
      </c>
      <c r="G1086" s="206">
        <f>SUMIFS(LANÇ_MOV[VALOR LÍQUIDO],LANÇ_MOV[RECEITA OU DESPESA],"Receita",LANÇ_MOV[CONTAS],$C1086,LANÇ_MOV[PLANO DE CONTAS],REL_DRE_FINANCEIRO!$B$1062,LANÇ_MOV[ANO PAGAMENTO],$B$4,LANÇ_MOV[MÊS PAGAMENTO CORRESPONDENTE],G$6,LANÇ_MOV[EMPRESA],$C$4,LANÇ_MOV[CENTRO DE CUSTOS],$D$4)</f>
        <v>0</v>
      </c>
      <c r="H1086" s="206">
        <f>SUMIFS(LANÇ_MOV[VALOR LÍQUIDO],LANÇ_MOV[RECEITA OU DESPESA],"Receita",LANÇ_MOV[CONTAS],$C1086,LANÇ_MOV[PLANO DE CONTAS],REL_DRE_FINANCEIRO!$B$1062,LANÇ_MOV[ANO PAGAMENTO],$B$4,LANÇ_MOV[MÊS PAGAMENTO CORRESPONDENTE],H$6,LANÇ_MOV[EMPRESA],$C$4,LANÇ_MOV[CENTRO DE CUSTOS],$D$4)</f>
        <v>0</v>
      </c>
      <c r="I1086" s="206">
        <f>SUMIFS(LANÇ_MOV[VALOR LÍQUIDO],LANÇ_MOV[RECEITA OU DESPESA],"Receita",LANÇ_MOV[CONTAS],$C1086,LANÇ_MOV[PLANO DE CONTAS],REL_DRE_FINANCEIRO!$B$1062,LANÇ_MOV[ANO PAGAMENTO],$B$4,LANÇ_MOV[MÊS PAGAMENTO CORRESPONDENTE],I$6,LANÇ_MOV[EMPRESA],$C$4,LANÇ_MOV[CENTRO DE CUSTOS],$D$4)</f>
        <v>0</v>
      </c>
      <c r="J1086" s="206">
        <f>SUMIFS(LANÇ_MOV[VALOR LÍQUIDO],LANÇ_MOV[RECEITA OU DESPESA],"Receita",LANÇ_MOV[CONTAS],$C1086,LANÇ_MOV[PLANO DE CONTAS],REL_DRE_FINANCEIRO!$B$1062,LANÇ_MOV[ANO PAGAMENTO],$B$4,LANÇ_MOV[MÊS PAGAMENTO CORRESPONDENTE],J$6,LANÇ_MOV[EMPRESA],$C$4,LANÇ_MOV[CENTRO DE CUSTOS],$D$4)</f>
        <v>0</v>
      </c>
      <c r="K1086" s="206">
        <f>SUMIFS(LANÇ_MOV[VALOR LÍQUIDO],LANÇ_MOV[RECEITA OU DESPESA],"Receita",LANÇ_MOV[CONTAS],$C1086,LANÇ_MOV[PLANO DE CONTAS],REL_DRE_FINANCEIRO!$B$1062,LANÇ_MOV[ANO PAGAMENTO],$B$4,LANÇ_MOV[MÊS PAGAMENTO CORRESPONDENTE],K$6,LANÇ_MOV[EMPRESA],$C$4,LANÇ_MOV[CENTRO DE CUSTOS],$D$4)</f>
        <v>0</v>
      </c>
      <c r="L1086" s="206">
        <f>SUMIFS(LANÇ_MOV[VALOR LÍQUIDO],LANÇ_MOV[RECEITA OU DESPESA],"Receita",LANÇ_MOV[CONTAS],$C1086,LANÇ_MOV[PLANO DE CONTAS],REL_DRE_FINANCEIRO!$B$1062,LANÇ_MOV[ANO PAGAMENTO],$B$4,LANÇ_MOV[MÊS PAGAMENTO CORRESPONDENTE],L$6,LANÇ_MOV[EMPRESA],$C$4,LANÇ_MOV[CENTRO DE CUSTOS],$D$4)</f>
        <v>0</v>
      </c>
      <c r="M1086" s="206">
        <f>SUMIFS(LANÇ_MOV[VALOR LÍQUIDO],LANÇ_MOV[RECEITA OU DESPESA],"Receita",LANÇ_MOV[CONTAS],$C1086,LANÇ_MOV[PLANO DE CONTAS],REL_DRE_FINANCEIRO!$B$1062,LANÇ_MOV[ANO PAGAMENTO],$B$4,LANÇ_MOV[MÊS PAGAMENTO CORRESPONDENTE],M$6,LANÇ_MOV[EMPRESA],$C$4,LANÇ_MOV[CENTRO DE CUSTOS],$D$4)</f>
        <v>0</v>
      </c>
      <c r="N1086" s="206">
        <f>SUMIFS(LANÇ_MOV[VALOR LÍQUIDO],LANÇ_MOV[RECEITA OU DESPESA],"Receita",LANÇ_MOV[CONTAS],$C1086,LANÇ_MOV[PLANO DE CONTAS],REL_DRE_FINANCEIRO!$B$1062,LANÇ_MOV[ANO PAGAMENTO],$B$4,LANÇ_MOV[MÊS PAGAMENTO CORRESPONDENTE],N$6,LANÇ_MOV[EMPRESA],$C$4,LANÇ_MOV[CENTRO DE CUSTOS],$D$4)</f>
        <v>0</v>
      </c>
      <c r="O1086" s="206">
        <f>SUMIFS(LANÇ_MOV[VALOR LÍQUIDO],LANÇ_MOV[RECEITA OU DESPESA],"Receita",LANÇ_MOV[CONTAS],$C1086,LANÇ_MOV[PLANO DE CONTAS],REL_DRE_FINANCEIRO!$B$1062,LANÇ_MOV[ANO PAGAMENTO],$B$4,LANÇ_MOV[MÊS PAGAMENTO CORRESPONDENTE],O$6,LANÇ_MOV[EMPRESA],$C$4,LANÇ_MOV[CENTRO DE CUSTOS],$D$4)</f>
        <v>0</v>
      </c>
      <c r="P1086" s="207">
        <f t="shared" si="134"/>
        <v>0</v>
      </c>
      <c r="Q1086" s="329">
        <v>7.7000000000000008E-6</v>
      </c>
      <c r="R1086" s="346">
        <f t="shared" si="135"/>
        <v>7.7000000000000008E-6</v>
      </c>
      <c r="S1086" s="347" t="str">
        <f t="shared" si="136"/>
        <v>-</v>
      </c>
      <c r="T1086" s="347">
        <f t="shared" si="137"/>
        <v>0</v>
      </c>
      <c r="U1086" s="347">
        <f>HLOOKUP(Apoio!$P$12,$D$1061:$P$1162,X1086,FALSE)+Q1086</f>
        <v>7.7000000000000008E-6</v>
      </c>
      <c r="V1086" s="447" t="str">
        <f t="shared" si="138"/>
        <v>-</v>
      </c>
      <c r="W1086" s="448">
        <f>HLOOKUP(Apoio!$P$12,$D$1061:$P$1162,X1086,FALSE)</f>
        <v>0</v>
      </c>
      <c r="X1086" s="329">
        <v>26</v>
      </c>
    </row>
    <row r="1087" spans="2:27" ht="30.05" customHeight="1" x14ac:dyDescent="0.35">
      <c r="B1087" s="204" t="str">
        <f>'CAD_PL_REC-DESP'!H29</f>
        <v>1.3.25</v>
      </c>
      <c r="C1087" s="205" t="str">
        <f>IF('CAD_PL_REC-DESP'!I29="","-",'CAD_PL_REC-DESP'!I29)</f>
        <v>-</v>
      </c>
      <c r="D1087" s="206">
        <f>SUMIFS(LANÇ_MOV[VALOR LÍQUIDO],LANÇ_MOV[RECEITA OU DESPESA],"Receita",LANÇ_MOV[CONTAS],$C1087,LANÇ_MOV[PLANO DE CONTAS],REL_DRE_FINANCEIRO!$B$1062,LANÇ_MOV[ANO PAGAMENTO],$B$4,LANÇ_MOV[MÊS PAGAMENTO CORRESPONDENTE],D$6,LANÇ_MOV[EMPRESA],$C$4,LANÇ_MOV[CENTRO DE CUSTOS],$D$4)</f>
        <v>0</v>
      </c>
      <c r="E1087" s="206">
        <f>SUMIFS(LANÇ_MOV[VALOR LÍQUIDO],LANÇ_MOV[RECEITA OU DESPESA],"Receita",LANÇ_MOV[CONTAS],$C1087,LANÇ_MOV[PLANO DE CONTAS],REL_DRE_FINANCEIRO!$B$1062,LANÇ_MOV[ANO PAGAMENTO],$B$4,LANÇ_MOV[MÊS PAGAMENTO CORRESPONDENTE],E$6,LANÇ_MOV[EMPRESA],$C$4,LANÇ_MOV[CENTRO DE CUSTOS],$D$4)</f>
        <v>0</v>
      </c>
      <c r="F1087" s="206">
        <f>SUMIFS(LANÇ_MOV[VALOR LÍQUIDO],LANÇ_MOV[RECEITA OU DESPESA],"Receita",LANÇ_MOV[CONTAS],$C1087,LANÇ_MOV[PLANO DE CONTAS],REL_DRE_FINANCEIRO!$B$1062,LANÇ_MOV[ANO PAGAMENTO],$B$4,LANÇ_MOV[MÊS PAGAMENTO CORRESPONDENTE],F$6,LANÇ_MOV[EMPRESA],$C$4,LANÇ_MOV[CENTRO DE CUSTOS],$D$4)</f>
        <v>0</v>
      </c>
      <c r="G1087" s="206">
        <f>SUMIFS(LANÇ_MOV[VALOR LÍQUIDO],LANÇ_MOV[RECEITA OU DESPESA],"Receita",LANÇ_MOV[CONTAS],$C1087,LANÇ_MOV[PLANO DE CONTAS],REL_DRE_FINANCEIRO!$B$1062,LANÇ_MOV[ANO PAGAMENTO],$B$4,LANÇ_MOV[MÊS PAGAMENTO CORRESPONDENTE],G$6,LANÇ_MOV[EMPRESA],$C$4,LANÇ_MOV[CENTRO DE CUSTOS],$D$4)</f>
        <v>0</v>
      </c>
      <c r="H1087" s="206">
        <f>SUMIFS(LANÇ_MOV[VALOR LÍQUIDO],LANÇ_MOV[RECEITA OU DESPESA],"Receita",LANÇ_MOV[CONTAS],$C1087,LANÇ_MOV[PLANO DE CONTAS],REL_DRE_FINANCEIRO!$B$1062,LANÇ_MOV[ANO PAGAMENTO],$B$4,LANÇ_MOV[MÊS PAGAMENTO CORRESPONDENTE],H$6,LANÇ_MOV[EMPRESA],$C$4,LANÇ_MOV[CENTRO DE CUSTOS],$D$4)</f>
        <v>0</v>
      </c>
      <c r="I1087" s="206">
        <f>SUMIFS(LANÇ_MOV[VALOR LÍQUIDO],LANÇ_MOV[RECEITA OU DESPESA],"Receita",LANÇ_MOV[CONTAS],$C1087,LANÇ_MOV[PLANO DE CONTAS],REL_DRE_FINANCEIRO!$B$1062,LANÇ_MOV[ANO PAGAMENTO],$B$4,LANÇ_MOV[MÊS PAGAMENTO CORRESPONDENTE],I$6,LANÇ_MOV[EMPRESA],$C$4,LANÇ_MOV[CENTRO DE CUSTOS],$D$4)</f>
        <v>0</v>
      </c>
      <c r="J1087" s="206">
        <f>SUMIFS(LANÇ_MOV[VALOR LÍQUIDO],LANÇ_MOV[RECEITA OU DESPESA],"Receita",LANÇ_MOV[CONTAS],$C1087,LANÇ_MOV[PLANO DE CONTAS],REL_DRE_FINANCEIRO!$B$1062,LANÇ_MOV[ANO PAGAMENTO],$B$4,LANÇ_MOV[MÊS PAGAMENTO CORRESPONDENTE],J$6,LANÇ_MOV[EMPRESA],$C$4,LANÇ_MOV[CENTRO DE CUSTOS],$D$4)</f>
        <v>0</v>
      </c>
      <c r="K1087" s="206">
        <f>SUMIFS(LANÇ_MOV[VALOR LÍQUIDO],LANÇ_MOV[RECEITA OU DESPESA],"Receita",LANÇ_MOV[CONTAS],$C1087,LANÇ_MOV[PLANO DE CONTAS],REL_DRE_FINANCEIRO!$B$1062,LANÇ_MOV[ANO PAGAMENTO],$B$4,LANÇ_MOV[MÊS PAGAMENTO CORRESPONDENTE],K$6,LANÇ_MOV[EMPRESA],$C$4,LANÇ_MOV[CENTRO DE CUSTOS],$D$4)</f>
        <v>0</v>
      </c>
      <c r="L1087" s="206">
        <f>SUMIFS(LANÇ_MOV[VALOR LÍQUIDO],LANÇ_MOV[RECEITA OU DESPESA],"Receita",LANÇ_MOV[CONTAS],$C1087,LANÇ_MOV[PLANO DE CONTAS],REL_DRE_FINANCEIRO!$B$1062,LANÇ_MOV[ANO PAGAMENTO],$B$4,LANÇ_MOV[MÊS PAGAMENTO CORRESPONDENTE],L$6,LANÇ_MOV[EMPRESA],$C$4,LANÇ_MOV[CENTRO DE CUSTOS],$D$4)</f>
        <v>0</v>
      </c>
      <c r="M1087" s="206">
        <f>SUMIFS(LANÇ_MOV[VALOR LÍQUIDO],LANÇ_MOV[RECEITA OU DESPESA],"Receita",LANÇ_MOV[CONTAS],$C1087,LANÇ_MOV[PLANO DE CONTAS],REL_DRE_FINANCEIRO!$B$1062,LANÇ_MOV[ANO PAGAMENTO],$B$4,LANÇ_MOV[MÊS PAGAMENTO CORRESPONDENTE],M$6,LANÇ_MOV[EMPRESA],$C$4,LANÇ_MOV[CENTRO DE CUSTOS],$D$4)</f>
        <v>0</v>
      </c>
      <c r="N1087" s="206">
        <f>SUMIFS(LANÇ_MOV[VALOR LÍQUIDO],LANÇ_MOV[RECEITA OU DESPESA],"Receita",LANÇ_MOV[CONTAS],$C1087,LANÇ_MOV[PLANO DE CONTAS],REL_DRE_FINANCEIRO!$B$1062,LANÇ_MOV[ANO PAGAMENTO],$B$4,LANÇ_MOV[MÊS PAGAMENTO CORRESPONDENTE],N$6,LANÇ_MOV[EMPRESA],$C$4,LANÇ_MOV[CENTRO DE CUSTOS],$D$4)</f>
        <v>0</v>
      </c>
      <c r="O1087" s="206">
        <f>SUMIFS(LANÇ_MOV[VALOR LÍQUIDO],LANÇ_MOV[RECEITA OU DESPESA],"Receita",LANÇ_MOV[CONTAS],$C1087,LANÇ_MOV[PLANO DE CONTAS],REL_DRE_FINANCEIRO!$B$1062,LANÇ_MOV[ANO PAGAMENTO],$B$4,LANÇ_MOV[MÊS PAGAMENTO CORRESPONDENTE],O$6,LANÇ_MOV[EMPRESA],$C$4,LANÇ_MOV[CENTRO DE CUSTOS],$D$4)</f>
        <v>0</v>
      </c>
      <c r="P1087" s="207">
        <f t="shared" si="134"/>
        <v>0</v>
      </c>
      <c r="Q1087" s="329">
        <v>7.6000000000000001E-6</v>
      </c>
      <c r="R1087" s="346">
        <f t="shared" si="135"/>
        <v>7.6000000000000001E-6</v>
      </c>
      <c r="S1087" s="347" t="str">
        <f t="shared" si="136"/>
        <v>-</v>
      </c>
      <c r="T1087" s="347">
        <f t="shared" si="137"/>
        <v>0</v>
      </c>
      <c r="U1087" s="347">
        <f>HLOOKUP(Apoio!$P$12,$D$1061:$P$1162,X1087,FALSE)+Q1087</f>
        <v>7.6000000000000001E-6</v>
      </c>
      <c r="V1087" s="447" t="str">
        <f t="shared" si="138"/>
        <v>-</v>
      </c>
      <c r="W1087" s="448">
        <f>HLOOKUP(Apoio!$P$12,$D$1061:$P$1162,X1087,FALSE)</f>
        <v>0</v>
      </c>
      <c r="X1087" s="329">
        <v>27</v>
      </c>
    </row>
    <row r="1088" spans="2:27" ht="30.05" customHeight="1" x14ac:dyDescent="0.35">
      <c r="B1088" s="204" t="str">
        <f>'CAD_PL_REC-DESP'!H30</f>
        <v>1.3.26</v>
      </c>
      <c r="C1088" s="205" t="str">
        <f>IF('CAD_PL_REC-DESP'!I30="","-",'CAD_PL_REC-DESP'!I30)</f>
        <v>-</v>
      </c>
      <c r="D1088" s="206">
        <f>SUMIFS(LANÇ_MOV[VALOR LÍQUIDO],LANÇ_MOV[RECEITA OU DESPESA],"Receita",LANÇ_MOV[CONTAS],$C1088,LANÇ_MOV[PLANO DE CONTAS],REL_DRE_FINANCEIRO!$B$1062,LANÇ_MOV[ANO PAGAMENTO],$B$4,LANÇ_MOV[MÊS PAGAMENTO CORRESPONDENTE],D$6,LANÇ_MOV[EMPRESA],$C$4,LANÇ_MOV[CENTRO DE CUSTOS],$D$4)</f>
        <v>0</v>
      </c>
      <c r="E1088" s="206">
        <f>SUMIFS(LANÇ_MOV[VALOR LÍQUIDO],LANÇ_MOV[RECEITA OU DESPESA],"Receita",LANÇ_MOV[CONTAS],$C1088,LANÇ_MOV[PLANO DE CONTAS],REL_DRE_FINANCEIRO!$B$1062,LANÇ_MOV[ANO PAGAMENTO],$B$4,LANÇ_MOV[MÊS PAGAMENTO CORRESPONDENTE],E$6,LANÇ_MOV[EMPRESA],$C$4,LANÇ_MOV[CENTRO DE CUSTOS],$D$4)</f>
        <v>0</v>
      </c>
      <c r="F1088" s="206">
        <f>SUMIFS(LANÇ_MOV[VALOR LÍQUIDO],LANÇ_MOV[RECEITA OU DESPESA],"Receita",LANÇ_MOV[CONTAS],$C1088,LANÇ_MOV[PLANO DE CONTAS],REL_DRE_FINANCEIRO!$B$1062,LANÇ_MOV[ANO PAGAMENTO],$B$4,LANÇ_MOV[MÊS PAGAMENTO CORRESPONDENTE],F$6,LANÇ_MOV[EMPRESA],$C$4,LANÇ_MOV[CENTRO DE CUSTOS],$D$4)</f>
        <v>0</v>
      </c>
      <c r="G1088" s="206">
        <f>SUMIFS(LANÇ_MOV[VALOR LÍQUIDO],LANÇ_MOV[RECEITA OU DESPESA],"Receita",LANÇ_MOV[CONTAS],$C1088,LANÇ_MOV[PLANO DE CONTAS],REL_DRE_FINANCEIRO!$B$1062,LANÇ_MOV[ANO PAGAMENTO],$B$4,LANÇ_MOV[MÊS PAGAMENTO CORRESPONDENTE],G$6,LANÇ_MOV[EMPRESA],$C$4,LANÇ_MOV[CENTRO DE CUSTOS],$D$4)</f>
        <v>0</v>
      </c>
      <c r="H1088" s="206">
        <f>SUMIFS(LANÇ_MOV[VALOR LÍQUIDO],LANÇ_MOV[RECEITA OU DESPESA],"Receita",LANÇ_MOV[CONTAS],$C1088,LANÇ_MOV[PLANO DE CONTAS],REL_DRE_FINANCEIRO!$B$1062,LANÇ_MOV[ANO PAGAMENTO],$B$4,LANÇ_MOV[MÊS PAGAMENTO CORRESPONDENTE],H$6,LANÇ_MOV[EMPRESA],$C$4,LANÇ_MOV[CENTRO DE CUSTOS],$D$4)</f>
        <v>0</v>
      </c>
      <c r="I1088" s="206">
        <f>SUMIFS(LANÇ_MOV[VALOR LÍQUIDO],LANÇ_MOV[RECEITA OU DESPESA],"Receita",LANÇ_MOV[CONTAS],$C1088,LANÇ_MOV[PLANO DE CONTAS],REL_DRE_FINANCEIRO!$B$1062,LANÇ_MOV[ANO PAGAMENTO],$B$4,LANÇ_MOV[MÊS PAGAMENTO CORRESPONDENTE],I$6,LANÇ_MOV[EMPRESA],$C$4,LANÇ_MOV[CENTRO DE CUSTOS],$D$4)</f>
        <v>0</v>
      </c>
      <c r="J1088" s="206">
        <f>SUMIFS(LANÇ_MOV[VALOR LÍQUIDO],LANÇ_MOV[RECEITA OU DESPESA],"Receita",LANÇ_MOV[CONTAS],$C1088,LANÇ_MOV[PLANO DE CONTAS],REL_DRE_FINANCEIRO!$B$1062,LANÇ_MOV[ANO PAGAMENTO],$B$4,LANÇ_MOV[MÊS PAGAMENTO CORRESPONDENTE],J$6,LANÇ_MOV[EMPRESA],$C$4,LANÇ_MOV[CENTRO DE CUSTOS],$D$4)</f>
        <v>0</v>
      </c>
      <c r="K1088" s="206">
        <f>SUMIFS(LANÇ_MOV[VALOR LÍQUIDO],LANÇ_MOV[RECEITA OU DESPESA],"Receita",LANÇ_MOV[CONTAS],$C1088,LANÇ_MOV[PLANO DE CONTAS],REL_DRE_FINANCEIRO!$B$1062,LANÇ_MOV[ANO PAGAMENTO],$B$4,LANÇ_MOV[MÊS PAGAMENTO CORRESPONDENTE],K$6,LANÇ_MOV[EMPRESA],$C$4,LANÇ_MOV[CENTRO DE CUSTOS],$D$4)</f>
        <v>0</v>
      </c>
      <c r="L1088" s="206">
        <f>SUMIFS(LANÇ_MOV[VALOR LÍQUIDO],LANÇ_MOV[RECEITA OU DESPESA],"Receita",LANÇ_MOV[CONTAS],$C1088,LANÇ_MOV[PLANO DE CONTAS],REL_DRE_FINANCEIRO!$B$1062,LANÇ_MOV[ANO PAGAMENTO],$B$4,LANÇ_MOV[MÊS PAGAMENTO CORRESPONDENTE],L$6,LANÇ_MOV[EMPRESA],$C$4,LANÇ_MOV[CENTRO DE CUSTOS],$D$4)</f>
        <v>0</v>
      </c>
      <c r="M1088" s="206">
        <f>SUMIFS(LANÇ_MOV[VALOR LÍQUIDO],LANÇ_MOV[RECEITA OU DESPESA],"Receita",LANÇ_MOV[CONTAS],$C1088,LANÇ_MOV[PLANO DE CONTAS],REL_DRE_FINANCEIRO!$B$1062,LANÇ_MOV[ANO PAGAMENTO],$B$4,LANÇ_MOV[MÊS PAGAMENTO CORRESPONDENTE],M$6,LANÇ_MOV[EMPRESA],$C$4,LANÇ_MOV[CENTRO DE CUSTOS],$D$4)</f>
        <v>0</v>
      </c>
      <c r="N1088" s="206">
        <f>SUMIFS(LANÇ_MOV[VALOR LÍQUIDO],LANÇ_MOV[RECEITA OU DESPESA],"Receita",LANÇ_MOV[CONTAS],$C1088,LANÇ_MOV[PLANO DE CONTAS],REL_DRE_FINANCEIRO!$B$1062,LANÇ_MOV[ANO PAGAMENTO],$B$4,LANÇ_MOV[MÊS PAGAMENTO CORRESPONDENTE],N$6,LANÇ_MOV[EMPRESA],$C$4,LANÇ_MOV[CENTRO DE CUSTOS],$D$4)</f>
        <v>0</v>
      </c>
      <c r="O1088" s="206">
        <f>SUMIFS(LANÇ_MOV[VALOR LÍQUIDO],LANÇ_MOV[RECEITA OU DESPESA],"Receita",LANÇ_MOV[CONTAS],$C1088,LANÇ_MOV[PLANO DE CONTAS],REL_DRE_FINANCEIRO!$B$1062,LANÇ_MOV[ANO PAGAMENTO],$B$4,LANÇ_MOV[MÊS PAGAMENTO CORRESPONDENTE],O$6,LANÇ_MOV[EMPRESA],$C$4,LANÇ_MOV[CENTRO DE CUSTOS],$D$4)</f>
        <v>0</v>
      </c>
      <c r="P1088" s="207">
        <f t="shared" si="134"/>
        <v>0</v>
      </c>
      <c r="Q1088" s="329">
        <v>7.5000000000000002E-6</v>
      </c>
      <c r="R1088" s="346">
        <f t="shared" si="135"/>
        <v>7.5000000000000002E-6</v>
      </c>
      <c r="S1088" s="347" t="str">
        <f t="shared" si="136"/>
        <v>-</v>
      </c>
      <c r="T1088" s="347">
        <f t="shared" si="137"/>
        <v>0</v>
      </c>
      <c r="U1088" s="347">
        <f>HLOOKUP(Apoio!$P$12,$D$1061:$P$1162,X1088,FALSE)+Q1088</f>
        <v>7.5000000000000002E-6</v>
      </c>
      <c r="V1088" s="447" t="str">
        <f t="shared" si="138"/>
        <v>-</v>
      </c>
      <c r="W1088" s="448">
        <f>HLOOKUP(Apoio!$P$12,$D$1061:$P$1162,X1088,FALSE)</f>
        <v>0</v>
      </c>
      <c r="X1088" s="329">
        <v>28</v>
      </c>
    </row>
    <row r="1089" spans="2:24" ht="30.05" customHeight="1" x14ac:dyDescent="0.35">
      <c r="B1089" s="204" t="str">
        <f>'CAD_PL_REC-DESP'!H31</f>
        <v>1.3.27</v>
      </c>
      <c r="C1089" s="205" t="str">
        <f>IF('CAD_PL_REC-DESP'!I31="","-",'CAD_PL_REC-DESP'!I31)</f>
        <v>-</v>
      </c>
      <c r="D1089" s="206">
        <f>SUMIFS(LANÇ_MOV[VALOR LÍQUIDO],LANÇ_MOV[RECEITA OU DESPESA],"Receita",LANÇ_MOV[CONTAS],$C1089,LANÇ_MOV[PLANO DE CONTAS],REL_DRE_FINANCEIRO!$B$1062,LANÇ_MOV[ANO PAGAMENTO],$B$4,LANÇ_MOV[MÊS PAGAMENTO CORRESPONDENTE],D$6,LANÇ_MOV[EMPRESA],$C$4,LANÇ_MOV[CENTRO DE CUSTOS],$D$4)</f>
        <v>0</v>
      </c>
      <c r="E1089" s="206">
        <f>SUMIFS(LANÇ_MOV[VALOR LÍQUIDO],LANÇ_MOV[RECEITA OU DESPESA],"Receita",LANÇ_MOV[CONTAS],$C1089,LANÇ_MOV[PLANO DE CONTAS],REL_DRE_FINANCEIRO!$B$1062,LANÇ_MOV[ANO PAGAMENTO],$B$4,LANÇ_MOV[MÊS PAGAMENTO CORRESPONDENTE],E$6,LANÇ_MOV[EMPRESA],$C$4,LANÇ_MOV[CENTRO DE CUSTOS],$D$4)</f>
        <v>0</v>
      </c>
      <c r="F1089" s="206">
        <f>SUMIFS(LANÇ_MOV[VALOR LÍQUIDO],LANÇ_MOV[RECEITA OU DESPESA],"Receita",LANÇ_MOV[CONTAS],$C1089,LANÇ_MOV[PLANO DE CONTAS],REL_DRE_FINANCEIRO!$B$1062,LANÇ_MOV[ANO PAGAMENTO],$B$4,LANÇ_MOV[MÊS PAGAMENTO CORRESPONDENTE],F$6,LANÇ_MOV[EMPRESA],$C$4,LANÇ_MOV[CENTRO DE CUSTOS],$D$4)</f>
        <v>0</v>
      </c>
      <c r="G1089" s="206">
        <f>SUMIFS(LANÇ_MOV[VALOR LÍQUIDO],LANÇ_MOV[RECEITA OU DESPESA],"Receita",LANÇ_MOV[CONTAS],$C1089,LANÇ_MOV[PLANO DE CONTAS],REL_DRE_FINANCEIRO!$B$1062,LANÇ_MOV[ANO PAGAMENTO],$B$4,LANÇ_MOV[MÊS PAGAMENTO CORRESPONDENTE],G$6,LANÇ_MOV[EMPRESA],$C$4,LANÇ_MOV[CENTRO DE CUSTOS],$D$4)</f>
        <v>0</v>
      </c>
      <c r="H1089" s="206">
        <f>SUMIFS(LANÇ_MOV[VALOR LÍQUIDO],LANÇ_MOV[RECEITA OU DESPESA],"Receita",LANÇ_MOV[CONTAS],$C1089,LANÇ_MOV[PLANO DE CONTAS],REL_DRE_FINANCEIRO!$B$1062,LANÇ_MOV[ANO PAGAMENTO],$B$4,LANÇ_MOV[MÊS PAGAMENTO CORRESPONDENTE],H$6,LANÇ_MOV[EMPRESA],$C$4,LANÇ_MOV[CENTRO DE CUSTOS],$D$4)</f>
        <v>0</v>
      </c>
      <c r="I1089" s="206">
        <f>SUMIFS(LANÇ_MOV[VALOR LÍQUIDO],LANÇ_MOV[RECEITA OU DESPESA],"Receita",LANÇ_MOV[CONTAS],$C1089,LANÇ_MOV[PLANO DE CONTAS],REL_DRE_FINANCEIRO!$B$1062,LANÇ_MOV[ANO PAGAMENTO],$B$4,LANÇ_MOV[MÊS PAGAMENTO CORRESPONDENTE],I$6,LANÇ_MOV[EMPRESA],$C$4,LANÇ_MOV[CENTRO DE CUSTOS],$D$4)</f>
        <v>0</v>
      </c>
      <c r="J1089" s="206">
        <f>SUMIFS(LANÇ_MOV[VALOR LÍQUIDO],LANÇ_MOV[RECEITA OU DESPESA],"Receita",LANÇ_MOV[CONTAS],$C1089,LANÇ_MOV[PLANO DE CONTAS],REL_DRE_FINANCEIRO!$B$1062,LANÇ_MOV[ANO PAGAMENTO],$B$4,LANÇ_MOV[MÊS PAGAMENTO CORRESPONDENTE],J$6,LANÇ_MOV[EMPRESA],$C$4,LANÇ_MOV[CENTRO DE CUSTOS],$D$4)</f>
        <v>0</v>
      </c>
      <c r="K1089" s="206">
        <f>SUMIFS(LANÇ_MOV[VALOR LÍQUIDO],LANÇ_MOV[RECEITA OU DESPESA],"Receita",LANÇ_MOV[CONTAS],$C1089,LANÇ_MOV[PLANO DE CONTAS],REL_DRE_FINANCEIRO!$B$1062,LANÇ_MOV[ANO PAGAMENTO],$B$4,LANÇ_MOV[MÊS PAGAMENTO CORRESPONDENTE],K$6,LANÇ_MOV[EMPRESA],$C$4,LANÇ_MOV[CENTRO DE CUSTOS],$D$4)</f>
        <v>0</v>
      </c>
      <c r="L1089" s="206">
        <f>SUMIFS(LANÇ_MOV[VALOR LÍQUIDO],LANÇ_MOV[RECEITA OU DESPESA],"Receita",LANÇ_MOV[CONTAS],$C1089,LANÇ_MOV[PLANO DE CONTAS],REL_DRE_FINANCEIRO!$B$1062,LANÇ_MOV[ANO PAGAMENTO],$B$4,LANÇ_MOV[MÊS PAGAMENTO CORRESPONDENTE],L$6,LANÇ_MOV[EMPRESA],$C$4,LANÇ_MOV[CENTRO DE CUSTOS],$D$4)</f>
        <v>0</v>
      </c>
      <c r="M1089" s="206">
        <f>SUMIFS(LANÇ_MOV[VALOR LÍQUIDO],LANÇ_MOV[RECEITA OU DESPESA],"Receita",LANÇ_MOV[CONTAS],$C1089,LANÇ_MOV[PLANO DE CONTAS],REL_DRE_FINANCEIRO!$B$1062,LANÇ_MOV[ANO PAGAMENTO],$B$4,LANÇ_MOV[MÊS PAGAMENTO CORRESPONDENTE],M$6,LANÇ_MOV[EMPRESA],$C$4,LANÇ_MOV[CENTRO DE CUSTOS],$D$4)</f>
        <v>0</v>
      </c>
      <c r="N1089" s="206">
        <f>SUMIFS(LANÇ_MOV[VALOR LÍQUIDO],LANÇ_MOV[RECEITA OU DESPESA],"Receita",LANÇ_MOV[CONTAS],$C1089,LANÇ_MOV[PLANO DE CONTAS],REL_DRE_FINANCEIRO!$B$1062,LANÇ_MOV[ANO PAGAMENTO],$B$4,LANÇ_MOV[MÊS PAGAMENTO CORRESPONDENTE],N$6,LANÇ_MOV[EMPRESA],$C$4,LANÇ_MOV[CENTRO DE CUSTOS],$D$4)</f>
        <v>0</v>
      </c>
      <c r="O1089" s="206">
        <f>SUMIFS(LANÇ_MOV[VALOR LÍQUIDO],LANÇ_MOV[RECEITA OU DESPESA],"Receita",LANÇ_MOV[CONTAS],$C1089,LANÇ_MOV[PLANO DE CONTAS],REL_DRE_FINANCEIRO!$B$1062,LANÇ_MOV[ANO PAGAMENTO],$B$4,LANÇ_MOV[MÊS PAGAMENTO CORRESPONDENTE],O$6,LANÇ_MOV[EMPRESA],$C$4,LANÇ_MOV[CENTRO DE CUSTOS],$D$4)</f>
        <v>0</v>
      </c>
      <c r="P1089" s="207">
        <f t="shared" si="134"/>
        <v>0</v>
      </c>
      <c r="Q1089" s="329">
        <v>7.4000000000000003E-6</v>
      </c>
      <c r="R1089" s="346">
        <f t="shared" si="135"/>
        <v>7.4000000000000003E-6</v>
      </c>
      <c r="S1089" s="347" t="str">
        <f t="shared" si="136"/>
        <v>-</v>
      </c>
      <c r="T1089" s="347">
        <f t="shared" si="137"/>
        <v>0</v>
      </c>
      <c r="U1089" s="347">
        <f>HLOOKUP(Apoio!$P$12,$D$1061:$P$1162,X1089,FALSE)+Q1089</f>
        <v>7.4000000000000003E-6</v>
      </c>
      <c r="V1089" s="447" t="str">
        <f t="shared" si="138"/>
        <v>-</v>
      </c>
      <c r="W1089" s="448">
        <f>HLOOKUP(Apoio!$P$12,$D$1061:$P$1162,X1089,FALSE)</f>
        <v>0</v>
      </c>
      <c r="X1089" s="329">
        <v>29</v>
      </c>
    </row>
    <row r="1090" spans="2:24" ht="30.05" customHeight="1" x14ac:dyDescent="0.35">
      <c r="B1090" s="204" t="str">
        <f>'CAD_PL_REC-DESP'!H32</f>
        <v>1.3.28</v>
      </c>
      <c r="C1090" s="205" t="str">
        <f>IF('CAD_PL_REC-DESP'!I32="","-",'CAD_PL_REC-DESP'!I32)</f>
        <v>-</v>
      </c>
      <c r="D1090" s="206">
        <f>SUMIFS(LANÇ_MOV[VALOR LÍQUIDO],LANÇ_MOV[RECEITA OU DESPESA],"Receita",LANÇ_MOV[CONTAS],$C1090,LANÇ_MOV[PLANO DE CONTAS],REL_DRE_FINANCEIRO!$B$1062,LANÇ_MOV[ANO PAGAMENTO],$B$4,LANÇ_MOV[MÊS PAGAMENTO CORRESPONDENTE],D$6,LANÇ_MOV[EMPRESA],$C$4,LANÇ_MOV[CENTRO DE CUSTOS],$D$4)</f>
        <v>0</v>
      </c>
      <c r="E1090" s="206">
        <f>SUMIFS(LANÇ_MOV[VALOR LÍQUIDO],LANÇ_MOV[RECEITA OU DESPESA],"Receita",LANÇ_MOV[CONTAS],$C1090,LANÇ_MOV[PLANO DE CONTAS],REL_DRE_FINANCEIRO!$B$1062,LANÇ_MOV[ANO PAGAMENTO],$B$4,LANÇ_MOV[MÊS PAGAMENTO CORRESPONDENTE],E$6,LANÇ_MOV[EMPRESA],$C$4,LANÇ_MOV[CENTRO DE CUSTOS],$D$4)</f>
        <v>0</v>
      </c>
      <c r="F1090" s="206">
        <f>SUMIFS(LANÇ_MOV[VALOR LÍQUIDO],LANÇ_MOV[RECEITA OU DESPESA],"Receita",LANÇ_MOV[CONTAS],$C1090,LANÇ_MOV[PLANO DE CONTAS],REL_DRE_FINANCEIRO!$B$1062,LANÇ_MOV[ANO PAGAMENTO],$B$4,LANÇ_MOV[MÊS PAGAMENTO CORRESPONDENTE],F$6,LANÇ_MOV[EMPRESA],$C$4,LANÇ_MOV[CENTRO DE CUSTOS],$D$4)</f>
        <v>0</v>
      </c>
      <c r="G1090" s="206">
        <f>SUMIFS(LANÇ_MOV[VALOR LÍQUIDO],LANÇ_MOV[RECEITA OU DESPESA],"Receita",LANÇ_MOV[CONTAS],$C1090,LANÇ_MOV[PLANO DE CONTAS],REL_DRE_FINANCEIRO!$B$1062,LANÇ_MOV[ANO PAGAMENTO],$B$4,LANÇ_MOV[MÊS PAGAMENTO CORRESPONDENTE],G$6,LANÇ_MOV[EMPRESA],$C$4,LANÇ_MOV[CENTRO DE CUSTOS],$D$4)</f>
        <v>0</v>
      </c>
      <c r="H1090" s="206">
        <f>SUMIFS(LANÇ_MOV[VALOR LÍQUIDO],LANÇ_MOV[RECEITA OU DESPESA],"Receita",LANÇ_MOV[CONTAS],$C1090,LANÇ_MOV[PLANO DE CONTAS],REL_DRE_FINANCEIRO!$B$1062,LANÇ_MOV[ANO PAGAMENTO],$B$4,LANÇ_MOV[MÊS PAGAMENTO CORRESPONDENTE],H$6,LANÇ_MOV[EMPRESA],$C$4,LANÇ_MOV[CENTRO DE CUSTOS],$D$4)</f>
        <v>0</v>
      </c>
      <c r="I1090" s="206">
        <f>SUMIFS(LANÇ_MOV[VALOR LÍQUIDO],LANÇ_MOV[RECEITA OU DESPESA],"Receita",LANÇ_MOV[CONTAS],$C1090,LANÇ_MOV[PLANO DE CONTAS],REL_DRE_FINANCEIRO!$B$1062,LANÇ_MOV[ANO PAGAMENTO],$B$4,LANÇ_MOV[MÊS PAGAMENTO CORRESPONDENTE],I$6,LANÇ_MOV[EMPRESA],$C$4,LANÇ_MOV[CENTRO DE CUSTOS],$D$4)</f>
        <v>0</v>
      </c>
      <c r="J1090" s="206">
        <f>SUMIFS(LANÇ_MOV[VALOR LÍQUIDO],LANÇ_MOV[RECEITA OU DESPESA],"Receita",LANÇ_MOV[CONTAS],$C1090,LANÇ_MOV[PLANO DE CONTAS],REL_DRE_FINANCEIRO!$B$1062,LANÇ_MOV[ANO PAGAMENTO],$B$4,LANÇ_MOV[MÊS PAGAMENTO CORRESPONDENTE],J$6,LANÇ_MOV[EMPRESA],$C$4,LANÇ_MOV[CENTRO DE CUSTOS],$D$4)</f>
        <v>0</v>
      </c>
      <c r="K1090" s="206">
        <f>SUMIFS(LANÇ_MOV[VALOR LÍQUIDO],LANÇ_MOV[RECEITA OU DESPESA],"Receita",LANÇ_MOV[CONTAS],$C1090,LANÇ_MOV[PLANO DE CONTAS],REL_DRE_FINANCEIRO!$B$1062,LANÇ_MOV[ANO PAGAMENTO],$B$4,LANÇ_MOV[MÊS PAGAMENTO CORRESPONDENTE],K$6,LANÇ_MOV[EMPRESA],$C$4,LANÇ_MOV[CENTRO DE CUSTOS],$D$4)</f>
        <v>0</v>
      </c>
      <c r="L1090" s="206">
        <f>SUMIFS(LANÇ_MOV[VALOR LÍQUIDO],LANÇ_MOV[RECEITA OU DESPESA],"Receita",LANÇ_MOV[CONTAS],$C1090,LANÇ_MOV[PLANO DE CONTAS],REL_DRE_FINANCEIRO!$B$1062,LANÇ_MOV[ANO PAGAMENTO],$B$4,LANÇ_MOV[MÊS PAGAMENTO CORRESPONDENTE],L$6,LANÇ_MOV[EMPRESA],$C$4,LANÇ_MOV[CENTRO DE CUSTOS],$D$4)</f>
        <v>0</v>
      </c>
      <c r="M1090" s="206">
        <f>SUMIFS(LANÇ_MOV[VALOR LÍQUIDO],LANÇ_MOV[RECEITA OU DESPESA],"Receita",LANÇ_MOV[CONTAS],$C1090,LANÇ_MOV[PLANO DE CONTAS],REL_DRE_FINANCEIRO!$B$1062,LANÇ_MOV[ANO PAGAMENTO],$B$4,LANÇ_MOV[MÊS PAGAMENTO CORRESPONDENTE],M$6,LANÇ_MOV[EMPRESA],$C$4,LANÇ_MOV[CENTRO DE CUSTOS],$D$4)</f>
        <v>0</v>
      </c>
      <c r="N1090" s="206">
        <f>SUMIFS(LANÇ_MOV[VALOR LÍQUIDO],LANÇ_MOV[RECEITA OU DESPESA],"Receita",LANÇ_MOV[CONTAS],$C1090,LANÇ_MOV[PLANO DE CONTAS],REL_DRE_FINANCEIRO!$B$1062,LANÇ_MOV[ANO PAGAMENTO],$B$4,LANÇ_MOV[MÊS PAGAMENTO CORRESPONDENTE],N$6,LANÇ_MOV[EMPRESA],$C$4,LANÇ_MOV[CENTRO DE CUSTOS],$D$4)</f>
        <v>0</v>
      </c>
      <c r="O1090" s="206">
        <f>SUMIFS(LANÇ_MOV[VALOR LÍQUIDO],LANÇ_MOV[RECEITA OU DESPESA],"Receita",LANÇ_MOV[CONTAS],$C1090,LANÇ_MOV[PLANO DE CONTAS],REL_DRE_FINANCEIRO!$B$1062,LANÇ_MOV[ANO PAGAMENTO],$B$4,LANÇ_MOV[MÊS PAGAMENTO CORRESPONDENTE],O$6,LANÇ_MOV[EMPRESA],$C$4,LANÇ_MOV[CENTRO DE CUSTOS],$D$4)</f>
        <v>0</v>
      </c>
      <c r="P1090" s="207">
        <f t="shared" si="134"/>
        <v>0</v>
      </c>
      <c r="Q1090" s="329">
        <v>7.3000000000000004E-6</v>
      </c>
      <c r="R1090" s="346">
        <f t="shared" si="135"/>
        <v>7.3000000000000004E-6</v>
      </c>
      <c r="S1090" s="347" t="str">
        <f t="shared" si="136"/>
        <v>-</v>
      </c>
      <c r="T1090" s="347">
        <f t="shared" si="137"/>
        <v>0</v>
      </c>
      <c r="U1090" s="347">
        <f>HLOOKUP(Apoio!$P$12,$D$1061:$P$1162,X1090,FALSE)+Q1090</f>
        <v>7.3000000000000004E-6</v>
      </c>
      <c r="V1090" s="447" t="str">
        <f t="shared" si="138"/>
        <v>-</v>
      </c>
      <c r="W1090" s="448">
        <f>HLOOKUP(Apoio!$P$12,$D$1061:$P$1162,X1090,FALSE)</f>
        <v>0</v>
      </c>
      <c r="X1090" s="329">
        <v>30</v>
      </c>
    </row>
    <row r="1091" spans="2:24" ht="30.05" customHeight="1" x14ac:dyDescent="0.35">
      <c r="B1091" s="204" t="str">
        <f>'CAD_PL_REC-DESP'!H33</f>
        <v>1.3.29</v>
      </c>
      <c r="C1091" s="205" t="str">
        <f>IF('CAD_PL_REC-DESP'!I33="","-",'CAD_PL_REC-DESP'!I33)</f>
        <v>-</v>
      </c>
      <c r="D1091" s="206">
        <f>SUMIFS(LANÇ_MOV[VALOR LÍQUIDO],LANÇ_MOV[RECEITA OU DESPESA],"Receita",LANÇ_MOV[CONTAS],$C1091,LANÇ_MOV[PLANO DE CONTAS],REL_DRE_FINANCEIRO!$B$1062,LANÇ_MOV[ANO PAGAMENTO],$B$4,LANÇ_MOV[MÊS PAGAMENTO CORRESPONDENTE],D$6,LANÇ_MOV[EMPRESA],$C$4,LANÇ_MOV[CENTRO DE CUSTOS],$D$4)</f>
        <v>0</v>
      </c>
      <c r="E1091" s="206">
        <f>SUMIFS(LANÇ_MOV[VALOR LÍQUIDO],LANÇ_MOV[RECEITA OU DESPESA],"Receita",LANÇ_MOV[CONTAS],$C1091,LANÇ_MOV[PLANO DE CONTAS],REL_DRE_FINANCEIRO!$B$1062,LANÇ_MOV[ANO PAGAMENTO],$B$4,LANÇ_MOV[MÊS PAGAMENTO CORRESPONDENTE],E$6,LANÇ_MOV[EMPRESA],$C$4,LANÇ_MOV[CENTRO DE CUSTOS],$D$4)</f>
        <v>0</v>
      </c>
      <c r="F1091" s="206">
        <f>SUMIFS(LANÇ_MOV[VALOR LÍQUIDO],LANÇ_MOV[RECEITA OU DESPESA],"Receita",LANÇ_MOV[CONTAS],$C1091,LANÇ_MOV[PLANO DE CONTAS],REL_DRE_FINANCEIRO!$B$1062,LANÇ_MOV[ANO PAGAMENTO],$B$4,LANÇ_MOV[MÊS PAGAMENTO CORRESPONDENTE],F$6,LANÇ_MOV[EMPRESA],$C$4,LANÇ_MOV[CENTRO DE CUSTOS],$D$4)</f>
        <v>0</v>
      </c>
      <c r="G1091" s="206">
        <f>SUMIFS(LANÇ_MOV[VALOR LÍQUIDO],LANÇ_MOV[RECEITA OU DESPESA],"Receita",LANÇ_MOV[CONTAS],$C1091,LANÇ_MOV[PLANO DE CONTAS],REL_DRE_FINANCEIRO!$B$1062,LANÇ_MOV[ANO PAGAMENTO],$B$4,LANÇ_MOV[MÊS PAGAMENTO CORRESPONDENTE],G$6,LANÇ_MOV[EMPRESA],$C$4,LANÇ_MOV[CENTRO DE CUSTOS],$D$4)</f>
        <v>0</v>
      </c>
      <c r="H1091" s="206">
        <f>SUMIFS(LANÇ_MOV[VALOR LÍQUIDO],LANÇ_MOV[RECEITA OU DESPESA],"Receita",LANÇ_MOV[CONTAS],$C1091,LANÇ_MOV[PLANO DE CONTAS],REL_DRE_FINANCEIRO!$B$1062,LANÇ_MOV[ANO PAGAMENTO],$B$4,LANÇ_MOV[MÊS PAGAMENTO CORRESPONDENTE],H$6,LANÇ_MOV[EMPRESA],$C$4,LANÇ_MOV[CENTRO DE CUSTOS],$D$4)</f>
        <v>0</v>
      </c>
      <c r="I1091" s="206">
        <f>SUMIFS(LANÇ_MOV[VALOR LÍQUIDO],LANÇ_MOV[RECEITA OU DESPESA],"Receita",LANÇ_MOV[CONTAS],$C1091,LANÇ_MOV[PLANO DE CONTAS],REL_DRE_FINANCEIRO!$B$1062,LANÇ_MOV[ANO PAGAMENTO],$B$4,LANÇ_MOV[MÊS PAGAMENTO CORRESPONDENTE],I$6,LANÇ_MOV[EMPRESA],$C$4,LANÇ_MOV[CENTRO DE CUSTOS],$D$4)</f>
        <v>0</v>
      </c>
      <c r="J1091" s="206">
        <f>SUMIFS(LANÇ_MOV[VALOR LÍQUIDO],LANÇ_MOV[RECEITA OU DESPESA],"Receita",LANÇ_MOV[CONTAS],$C1091,LANÇ_MOV[PLANO DE CONTAS],REL_DRE_FINANCEIRO!$B$1062,LANÇ_MOV[ANO PAGAMENTO],$B$4,LANÇ_MOV[MÊS PAGAMENTO CORRESPONDENTE],J$6,LANÇ_MOV[EMPRESA],$C$4,LANÇ_MOV[CENTRO DE CUSTOS],$D$4)</f>
        <v>0</v>
      </c>
      <c r="K1091" s="206">
        <f>SUMIFS(LANÇ_MOV[VALOR LÍQUIDO],LANÇ_MOV[RECEITA OU DESPESA],"Receita",LANÇ_MOV[CONTAS],$C1091,LANÇ_MOV[PLANO DE CONTAS],REL_DRE_FINANCEIRO!$B$1062,LANÇ_MOV[ANO PAGAMENTO],$B$4,LANÇ_MOV[MÊS PAGAMENTO CORRESPONDENTE],K$6,LANÇ_MOV[EMPRESA],$C$4,LANÇ_MOV[CENTRO DE CUSTOS],$D$4)</f>
        <v>0</v>
      </c>
      <c r="L1091" s="206">
        <f>SUMIFS(LANÇ_MOV[VALOR LÍQUIDO],LANÇ_MOV[RECEITA OU DESPESA],"Receita",LANÇ_MOV[CONTAS],$C1091,LANÇ_MOV[PLANO DE CONTAS],REL_DRE_FINANCEIRO!$B$1062,LANÇ_MOV[ANO PAGAMENTO],$B$4,LANÇ_MOV[MÊS PAGAMENTO CORRESPONDENTE],L$6,LANÇ_MOV[EMPRESA],$C$4,LANÇ_MOV[CENTRO DE CUSTOS],$D$4)</f>
        <v>0</v>
      </c>
      <c r="M1091" s="206">
        <f>SUMIFS(LANÇ_MOV[VALOR LÍQUIDO],LANÇ_MOV[RECEITA OU DESPESA],"Receita",LANÇ_MOV[CONTAS],$C1091,LANÇ_MOV[PLANO DE CONTAS],REL_DRE_FINANCEIRO!$B$1062,LANÇ_MOV[ANO PAGAMENTO],$B$4,LANÇ_MOV[MÊS PAGAMENTO CORRESPONDENTE],M$6,LANÇ_MOV[EMPRESA],$C$4,LANÇ_MOV[CENTRO DE CUSTOS],$D$4)</f>
        <v>0</v>
      </c>
      <c r="N1091" s="206">
        <f>SUMIFS(LANÇ_MOV[VALOR LÍQUIDO],LANÇ_MOV[RECEITA OU DESPESA],"Receita",LANÇ_MOV[CONTAS],$C1091,LANÇ_MOV[PLANO DE CONTAS],REL_DRE_FINANCEIRO!$B$1062,LANÇ_MOV[ANO PAGAMENTO],$B$4,LANÇ_MOV[MÊS PAGAMENTO CORRESPONDENTE],N$6,LANÇ_MOV[EMPRESA],$C$4,LANÇ_MOV[CENTRO DE CUSTOS],$D$4)</f>
        <v>0</v>
      </c>
      <c r="O1091" s="206">
        <f>SUMIFS(LANÇ_MOV[VALOR LÍQUIDO],LANÇ_MOV[RECEITA OU DESPESA],"Receita",LANÇ_MOV[CONTAS],$C1091,LANÇ_MOV[PLANO DE CONTAS],REL_DRE_FINANCEIRO!$B$1062,LANÇ_MOV[ANO PAGAMENTO],$B$4,LANÇ_MOV[MÊS PAGAMENTO CORRESPONDENTE],O$6,LANÇ_MOV[EMPRESA],$C$4,LANÇ_MOV[CENTRO DE CUSTOS],$D$4)</f>
        <v>0</v>
      </c>
      <c r="P1091" s="207">
        <f t="shared" si="134"/>
        <v>0</v>
      </c>
      <c r="Q1091" s="329">
        <v>7.1999999999999997E-6</v>
      </c>
      <c r="R1091" s="346">
        <f t="shared" si="135"/>
        <v>7.1999999999999997E-6</v>
      </c>
      <c r="S1091" s="347" t="str">
        <f t="shared" si="136"/>
        <v>-</v>
      </c>
      <c r="T1091" s="347">
        <f t="shared" si="137"/>
        <v>0</v>
      </c>
      <c r="U1091" s="347">
        <f>HLOOKUP(Apoio!$P$12,$D$1061:$P$1162,X1091,FALSE)+Q1091</f>
        <v>7.1999999999999997E-6</v>
      </c>
      <c r="V1091" s="447" t="str">
        <f t="shared" si="138"/>
        <v>-</v>
      </c>
      <c r="W1091" s="448">
        <f>HLOOKUP(Apoio!$P$12,$D$1061:$P$1162,X1091,FALSE)</f>
        <v>0</v>
      </c>
      <c r="X1091" s="329">
        <v>31</v>
      </c>
    </row>
    <row r="1092" spans="2:24" ht="30.05" customHeight="1" x14ac:dyDescent="0.35">
      <c r="B1092" s="204" t="str">
        <f>'CAD_PL_REC-DESP'!H34</f>
        <v>1.3.30</v>
      </c>
      <c r="C1092" s="205" t="str">
        <f>IF('CAD_PL_REC-DESP'!I34="","-",'CAD_PL_REC-DESP'!I34)</f>
        <v>-</v>
      </c>
      <c r="D1092" s="206">
        <f>SUMIFS(LANÇ_MOV[VALOR LÍQUIDO],LANÇ_MOV[RECEITA OU DESPESA],"Receita",LANÇ_MOV[CONTAS],$C1092,LANÇ_MOV[PLANO DE CONTAS],REL_DRE_FINANCEIRO!$B$1062,LANÇ_MOV[ANO PAGAMENTO],$B$4,LANÇ_MOV[MÊS PAGAMENTO CORRESPONDENTE],D$6,LANÇ_MOV[EMPRESA],$C$4,LANÇ_MOV[CENTRO DE CUSTOS],$D$4)</f>
        <v>0</v>
      </c>
      <c r="E1092" s="206">
        <f>SUMIFS(LANÇ_MOV[VALOR LÍQUIDO],LANÇ_MOV[RECEITA OU DESPESA],"Receita",LANÇ_MOV[CONTAS],$C1092,LANÇ_MOV[PLANO DE CONTAS],REL_DRE_FINANCEIRO!$B$1062,LANÇ_MOV[ANO PAGAMENTO],$B$4,LANÇ_MOV[MÊS PAGAMENTO CORRESPONDENTE],E$6,LANÇ_MOV[EMPRESA],$C$4,LANÇ_MOV[CENTRO DE CUSTOS],$D$4)</f>
        <v>0</v>
      </c>
      <c r="F1092" s="206">
        <f>SUMIFS(LANÇ_MOV[VALOR LÍQUIDO],LANÇ_MOV[RECEITA OU DESPESA],"Receita",LANÇ_MOV[CONTAS],$C1092,LANÇ_MOV[PLANO DE CONTAS],REL_DRE_FINANCEIRO!$B$1062,LANÇ_MOV[ANO PAGAMENTO],$B$4,LANÇ_MOV[MÊS PAGAMENTO CORRESPONDENTE],F$6,LANÇ_MOV[EMPRESA],$C$4,LANÇ_MOV[CENTRO DE CUSTOS],$D$4)</f>
        <v>0</v>
      </c>
      <c r="G1092" s="206">
        <f>SUMIFS(LANÇ_MOV[VALOR LÍQUIDO],LANÇ_MOV[RECEITA OU DESPESA],"Receita",LANÇ_MOV[CONTAS],$C1092,LANÇ_MOV[PLANO DE CONTAS],REL_DRE_FINANCEIRO!$B$1062,LANÇ_MOV[ANO PAGAMENTO],$B$4,LANÇ_MOV[MÊS PAGAMENTO CORRESPONDENTE],G$6,LANÇ_MOV[EMPRESA],$C$4,LANÇ_MOV[CENTRO DE CUSTOS],$D$4)</f>
        <v>0</v>
      </c>
      <c r="H1092" s="206">
        <f>SUMIFS(LANÇ_MOV[VALOR LÍQUIDO],LANÇ_MOV[RECEITA OU DESPESA],"Receita",LANÇ_MOV[CONTAS],$C1092,LANÇ_MOV[PLANO DE CONTAS],REL_DRE_FINANCEIRO!$B$1062,LANÇ_MOV[ANO PAGAMENTO],$B$4,LANÇ_MOV[MÊS PAGAMENTO CORRESPONDENTE],H$6,LANÇ_MOV[EMPRESA],$C$4,LANÇ_MOV[CENTRO DE CUSTOS],$D$4)</f>
        <v>0</v>
      </c>
      <c r="I1092" s="206">
        <f>SUMIFS(LANÇ_MOV[VALOR LÍQUIDO],LANÇ_MOV[RECEITA OU DESPESA],"Receita",LANÇ_MOV[CONTAS],$C1092,LANÇ_MOV[PLANO DE CONTAS],REL_DRE_FINANCEIRO!$B$1062,LANÇ_MOV[ANO PAGAMENTO],$B$4,LANÇ_MOV[MÊS PAGAMENTO CORRESPONDENTE],I$6,LANÇ_MOV[EMPRESA],$C$4,LANÇ_MOV[CENTRO DE CUSTOS],$D$4)</f>
        <v>0</v>
      </c>
      <c r="J1092" s="206">
        <f>SUMIFS(LANÇ_MOV[VALOR LÍQUIDO],LANÇ_MOV[RECEITA OU DESPESA],"Receita",LANÇ_MOV[CONTAS],$C1092,LANÇ_MOV[PLANO DE CONTAS],REL_DRE_FINANCEIRO!$B$1062,LANÇ_MOV[ANO PAGAMENTO],$B$4,LANÇ_MOV[MÊS PAGAMENTO CORRESPONDENTE],J$6,LANÇ_MOV[EMPRESA],$C$4,LANÇ_MOV[CENTRO DE CUSTOS],$D$4)</f>
        <v>0</v>
      </c>
      <c r="K1092" s="206">
        <f>SUMIFS(LANÇ_MOV[VALOR LÍQUIDO],LANÇ_MOV[RECEITA OU DESPESA],"Receita",LANÇ_MOV[CONTAS],$C1092,LANÇ_MOV[PLANO DE CONTAS],REL_DRE_FINANCEIRO!$B$1062,LANÇ_MOV[ANO PAGAMENTO],$B$4,LANÇ_MOV[MÊS PAGAMENTO CORRESPONDENTE],K$6,LANÇ_MOV[EMPRESA],$C$4,LANÇ_MOV[CENTRO DE CUSTOS],$D$4)</f>
        <v>0</v>
      </c>
      <c r="L1092" s="206">
        <f>SUMIFS(LANÇ_MOV[VALOR LÍQUIDO],LANÇ_MOV[RECEITA OU DESPESA],"Receita",LANÇ_MOV[CONTAS],$C1092,LANÇ_MOV[PLANO DE CONTAS],REL_DRE_FINANCEIRO!$B$1062,LANÇ_MOV[ANO PAGAMENTO],$B$4,LANÇ_MOV[MÊS PAGAMENTO CORRESPONDENTE],L$6,LANÇ_MOV[EMPRESA],$C$4,LANÇ_MOV[CENTRO DE CUSTOS],$D$4)</f>
        <v>0</v>
      </c>
      <c r="M1092" s="206">
        <f>SUMIFS(LANÇ_MOV[VALOR LÍQUIDO],LANÇ_MOV[RECEITA OU DESPESA],"Receita",LANÇ_MOV[CONTAS],$C1092,LANÇ_MOV[PLANO DE CONTAS],REL_DRE_FINANCEIRO!$B$1062,LANÇ_MOV[ANO PAGAMENTO],$B$4,LANÇ_MOV[MÊS PAGAMENTO CORRESPONDENTE],M$6,LANÇ_MOV[EMPRESA],$C$4,LANÇ_MOV[CENTRO DE CUSTOS],$D$4)</f>
        <v>0</v>
      </c>
      <c r="N1092" s="206">
        <f>SUMIFS(LANÇ_MOV[VALOR LÍQUIDO],LANÇ_MOV[RECEITA OU DESPESA],"Receita",LANÇ_MOV[CONTAS],$C1092,LANÇ_MOV[PLANO DE CONTAS],REL_DRE_FINANCEIRO!$B$1062,LANÇ_MOV[ANO PAGAMENTO],$B$4,LANÇ_MOV[MÊS PAGAMENTO CORRESPONDENTE],N$6,LANÇ_MOV[EMPRESA],$C$4,LANÇ_MOV[CENTRO DE CUSTOS],$D$4)</f>
        <v>0</v>
      </c>
      <c r="O1092" s="206">
        <f>SUMIFS(LANÇ_MOV[VALOR LÍQUIDO],LANÇ_MOV[RECEITA OU DESPESA],"Receita",LANÇ_MOV[CONTAS],$C1092,LANÇ_MOV[PLANO DE CONTAS],REL_DRE_FINANCEIRO!$B$1062,LANÇ_MOV[ANO PAGAMENTO],$B$4,LANÇ_MOV[MÊS PAGAMENTO CORRESPONDENTE],O$6,LANÇ_MOV[EMPRESA],$C$4,LANÇ_MOV[CENTRO DE CUSTOS],$D$4)</f>
        <v>0</v>
      </c>
      <c r="P1092" s="207">
        <f t="shared" si="134"/>
        <v>0</v>
      </c>
      <c r="Q1092" s="329">
        <v>7.0999999999999998E-6</v>
      </c>
      <c r="R1092" s="346">
        <f t="shared" si="135"/>
        <v>7.0999999999999998E-6</v>
      </c>
      <c r="S1092" s="347" t="str">
        <f t="shared" si="136"/>
        <v>-</v>
      </c>
      <c r="T1092" s="347">
        <f t="shared" si="137"/>
        <v>0</v>
      </c>
      <c r="U1092" s="347">
        <f>HLOOKUP(Apoio!$P$12,$D$1061:$P$1162,X1092,FALSE)+Q1092</f>
        <v>7.0999999999999998E-6</v>
      </c>
      <c r="V1092" s="447" t="str">
        <f t="shared" si="138"/>
        <v>-</v>
      </c>
      <c r="W1092" s="448">
        <f>HLOOKUP(Apoio!$P$12,$D$1061:$P$1162,X1092,FALSE)</f>
        <v>0</v>
      </c>
      <c r="X1092" s="329">
        <v>32</v>
      </c>
    </row>
    <row r="1093" spans="2:24" ht="30.05" customHeight="1" x14ac:dyDescent="0.35">
      <c r="B1093" s="204" t="str">
        <f>'CAD_PL_REC-DESP'!H35</f>
        <v>1.3.31</v>
      </c>
      <c r="C1093" s="205" t="str">
        <f>IF('CAD_PL_REC-DESP'!I35="","-",'CAD_PL_REC-DESP'!I35)</f>
        <v>-</v>
      </c>
      <c r="D1093" s="206">
        <f>SUMIFS(LANÇ_MOV[VALOR LÍQUIDO],LANÇ_MOV[RECEITA OU DESPESA],"Receita",LANÇ_MOV[CONTAS],$C1093,LANÇ_MOV[PLANO DE CONTAS],REL_DRE_FINANCEIRO!$B$1062,LANÇ_MOV[ANO PAGAMENTO],$B$4,LANÇ_MOV[MÊS PAGAMENTO CORRESPONDENTE],D$6,LANÇ_MOV[EMPRESA],$C$4,LANÇ_MOV[CENTRO DE CUSTOS],$D$4)</f>
        <v>0</v>
      </c>
      <c r="E1093" s="206">
        <f>SUMIFS(LANÇ_MOV[VALOR LÍQUIDO],LANÇ_MOV[RECEITA OU DESPESA],"Receita",LANÇ_MOV[CONTAS],$C1093,LANÇ_MOV[PLANO DE CONTAS],REL_DRE_FINANCEIRO!$B$1062,LANÇ_MOV[ANO PAGAMENTO],$B$4,LANÇ_MOV[MÊS PAGAMENTO CORRESPONDENTE],E$6,LANÇ_MOV[EMPRESA],$C$4,LANÇ_MOV[CENTRO DE CUSTOS],$D$4)</f>
        <v>0</v>
      </c>
      <c r="F1093" s="206">
        <f>SUMIFS(LANÇ_MOV[VALOR LÍQUIDO],LANÇ_MOV[RECEITA OU DESPESA],"Receita",LANÇ_MOV[CONTAS],$C1093,LANÇ_MOV[PLANO DE CONTAS],REL_DRE_FINANCEIRO!$B$1062,LANÇ_MOV[ANO PAGAMENTO],$B$4,LANÇ_MOV[MÊS PAGAMENTO CORRESPONDENTE],F$6,LANÇ_MOV[EMPRESA],$C$4,LANÇ_MOV[CENTRO DE CUSTOS],$D$4)</f>
        <v>0</v>
      </c>
      <c r="G1093" s="206">
        <f>SUMIFS(LANÇ_MOV[VALOR LÍQUIDO],LANÇ_MOV[RECEITA OU DESPESA],"Receita",LANÇ_MOV[CONTAS],$C1093,LANÇ_MOV[PLANO DE CONTAS],REL_DRE_FINANCEIRO!$B$1062,LANÇ_MOV[ANO PAGAMENTO],$B$4,LANÇ_MOV[MÊS PAGAMENTO CORRESPONDENTE],G$6,LANÇ_MOV[EMPRESA],$C$4,LANÇ_MOV[CENTRO DE CUSTOS],$D$4)</f>
        <v>0</v>
      </c>
      <c r="H1093" s="206">
        <f>SUMIFS(LANÇ_MOV[VALOR LÍQUIDO],LANÇ_MOV[RECEITA OU DESPESA],"Receita",LANÇ_MOV[CONTAS],$C1093,LANÇ_MOV[PLANO DE CONTAS],REL_DRE_FINANCEIRO!$B$1062,LANÇ_MOV[ANO PAGAMENTO],$B$4,LANÇ_MOV[MÊS PAGAMENTO CORRESPONDENTE],H$6,LANÇ_MOV[EMPRESA],$C$4,LANÇ_MOV[CENTRO DE CUSTOS],$D$4)</f>
        <v>0</v>
      </c>
      <c r="I1093" s="206">
        <f>SUMIFS(LANÇ_MOV[VALOR LÍQUIDO],LANÇ_MOV[RECEITA OU DESPESA],"Receita",LANÇ_MOV[CONTAS],$C1093,LANÇ_MOV[PLANO DE CONTAS],REL_DRE_FINANCEIRO!$B$1062,LANÇ_MOV[ANO PAGAMENTO],$B$4,LANÇ_MOV[MÊS PAGAMENTO CORRESPONDENTE],I$6,LANÇ_MOV[EMPRESA],$C$4,LANÇ_MOV[CENTRO DE CUSTOS],$D$4)</f>
        <v>0</v>
      </c>
      <c r="J1093" s="206">
        <f>SUMIFS(LANÇ_MOV[VALOR LÍQUIDO],LANÇ_MOV[RECEITA OU DESPESA],"Receita",LANÇ_MOV[CONTAS],$C1093,LANÇ_MOV[PLANO DE CONTAS],REL_DRE_FINANCEIRO!$B$1062,LANÇ_MOV[ANO PAGAMENTO],$B$4,LANÇ_MOV[MÊS PAGAMENTO CORRESPONDENTE],J$6,LANÇ_MOV[EMPRESA],$C$4,LANÇ_MOV[CENTRO DE CUSTOS],$D$4)</f>
        <v>0</v>
      </c>
      <c r="K1093" s="206">
        <f>SUMIFS(LANÇ_MOV[VALOR LÍQUIDO],LANÇ_MOV[RECEITA OU DESPESA],"Receita",LANÇ_MOV[CONTAS],$C1093,LANÇ_MOV[PLANO DE CONTAS],REL_DRE_FINANCEIRO!$B$1062,LANÇ_MOV[ANO PAGAMENTO],$B$4,LANÇ_MOV[MÊS PAGAMENTO CORRESPONDENTE],K$6,LANÇ_MOV[EMPRESA],$C$4,LANÇ_MOV[CENTRO DE CUSTOS],$D$4)</f>
        <v>0</v>
      </c>
      <c r="L1093" s="206">
        <f>SUMIFS(LANÇ_MOV[VALOR LÍQUIDO],LANÇ_MOV[RECEITA OU DESPESA],"Receita",LANÇ_MOV[CONTAS],$C1093,LANÇ_MOV[PLANO DE CONTAS],REL_DRE_FINANCEIRO!$B$1062,LANÇ_MOV[ANO PAGAMENTO],$B$4,LANÇ_MOV[MÊS PAGAMENTO CORRESPONDENTE],L$6,LANÇ_MOV[EMPRESA],$C$4,LANÇ_MOV[CENTRO DE CUSTOS],$D$4)</f>
        <v>0</v>
      </c>
      <c r="M1093" s="206">
        <f>SUMIFS(LANÇ_MOV[VALOR LÍQUIDO],LANÇ_MOV[RECEITA OU DESPESA],"Receita",LANÇ_MOV[CONTAS],$C1093,LANÇ_MOV[PLANO DE CONTAS],REL_DRE_FINANCEIRO!$B$1062,LANÇ_MOV[ANO PAGAMENTO],$B$4,LANÇ_MOV[MÊS PAGAMENTO CORRESPONDENTE],M$6,LANÇ_MOV[EMPRESA],$C$4,LANÇ_MOV[CENTRO DE CUSTOS],$D$4)</f>
        <v>0</v>
      </c>
      <c r="N1093" s="206">
        <f>SUMIFS(LANÇ_MOV[VALOR LÍQUIDO],LANÇ_MOV[RECEITA OU DESPESA],"Receita",LANÇ_MOV[CONTAS],$C1093,LANÇ_MOV[PLANO DE CONTAS],REL_DRE_FINANCEIRO!$B$1062,LANÇ_MOV[ANO PAGAMENTO],$B$4,LANÇ_MOV[MÊS PAGAMENTO CORRESPONDENTE],N$6,LANÇ_MOV[EMPRESA],$C$4,LANÇ_MOV[CENTRO DE CUSTOS],$D$4)</f>
        <v>0</v>
      </c>
      <c r="O1093" s="206">
        <f>SUMIFS(LANÇ_MOV[VALOR LÍQUIDO],LANÇ_MOV[RECEITA OU DESPESA],"Receita",LANÇ_MOV[CONTAS],$C1093,LANÇ_MOV[PLANO DE CONTAS],REL_DRE_FINANCEIRO!$B$1062,LANÇ_MOV[ANO PAGAMENTO],$B$4,LANÇ_MOV[MÊS PAGAMENTO CORRESPONDENTE],O$6,LANÇ_MOV[EMPRESA],$C$4,LANÇ_MOV[CENTRO DE CUSTOS],$D$4)</f>
        <v>0</v>
      </c>
      <c r="P1093" s="207">
        <f t="shared" si="134"/>
        <v>0</v>
      </c>
      <c r="Q1093" s="329">
        <v>6.9999999999999999E-6</v>
      </c>
      <c r="R1093" s="346">
        <f t="shared" si="135"/>
        <v>6.9999999999999999E-6</v>
      </c>
      <c r="S1093" s="347" t="str">
        <f t="shared" si="136"/>
        <v>-</v>
      </c>
      <c r="T1093" s="347">
        <f t="shared" si="137"/>
        <v>0</v>
      </c>
      <c r="U1093" s="347">
        <f>HLOOKUP(Apoio!$P$12,$D$1061:$P$1162,X1093,FALSE)+Q1093</f>
        <v>6.9999999999999999E-6</v>
      </c>
      <c r="V1093" s="447" t="str">
        <f t="shared" si="138"/>
        <v>-</v>
      </c>
      <c r="W1093" s="448">
        <f>HLOOKUP(Apoio!$P$12,$D$1061:$P$1162,X1093,FALSE)</f>
        <v>0</v>
      </c>
      <c r="X1093" s="329">
        <v>33</v>
      </c>
    </row>
    <row r="1094" spans="2:24" ht="30.05" customHeight="1" x14ac:dyDescent="0.35">
      <c r="B1094" s="204" t="str">
        <f>'CAD_PL_REC-DESP'!H36</f>
        <v>1.3.32</v>
      </c>
      <c r="C1094" s="205" t="str">
        <f>IF('CAD_PL_REC-DESP'!I36="","-",'CAD_PL_REC-DESP'!I36)</f>
        <v>-</v>
      </c>
      <c r="D1094" s="206">
        <f>SUMIFS(LANÇ_MOV[VALOR LÍQUIDO],LANÇ_MOV[RECEITA OU DESPESA],"Receita",LANÇ_MOV[CONTAS],$C1094,LANÇ_MOV[PLANO DE CONTAS],REL_DRE_FINANCEIRO!$B$1062,LANÇ_MOV[ANO PAGAMENTO],$B$4,LANÇ_MOV[MÊS PAGAMENTO CORRESPONDENTE],D$6,LANÇ_MOV[EMPRESA],$C$4,LANÇ_MOV[CENTRO DE CUSTOS],$D$4)</f>
        <v>0</v>
      </c>
      <c r="E1094" s="206">
        <f>SUMIFS(LANÇ_MOV[VALOR LÍQUIDO],LANÇ_MOV[RECEITA OU DESPESA],"Receita",LANÇ_MOV[CONTAS],$C1094,LANÇ_MOV[PLANO DE CONTAS],REL_DRE_FINANCEIRO!$B$1062,LANÇ_MOV[ANO PAGAMENTO],$B$4,LANÇ_MOV[MÊS PAGAMENTO CORRESPONDENTE],E$6,LANÇ_MOV[EMPRESA],$C$4,LANÇ_MOV[CENTRO DE CUSTOS],$D$4)</f>
        <v>0</v>
      </c>
      <c r="F1094" s="206">
        <f>SUMIFS(LANÇ_MOV[VALOR LÍQUIDO],LANÇ_MOV[RECEITA OU DESPESA],"Receita",LANÇ_MOV[CONTAS],$C1094,LANÇ_MOV[PLANO DE CONTAS],REL_DRE_FINANCEIRO!$B$1062,LANÇ_MOV[ANO PAGAMENTO],$B$4,LANÇ_MOV[MÊS PAGAMENTO CORRESPONDENTE],F$6,LANÇ_MOV[EMPRESA],$C$4,LANÇ_MOV[CENTRO DE CUSTOS],$D$4)</f>
        <v>0</v>
      </c>
      <c r="G1094" s="206">
        <f>SUMIFS(LANÇ_MOV[VALOR LÍQUIDO],LANÇ_MOV[RECEITA OU DESPESA],"Receita",LANÇ_MOV[CONTAS],$C1094,LANÇ_MOV[PLANO DE CONTAS],REL_DRE_FINANCEIRO!$B$1062,LANÇ_MOV[ANO PAGAMENTO],$B$4,LANÇ_MOV[MÊS PAGAMENTO CORRESPONDENTE],G$6,LANÇ_MOV[EMPRESA],$C$4,LANÇ_MOV[CENTRO DE CUSTOS],$D$4)</f>
        <v>0</v>
      </c>
      <c r="H1094" s="206">
        <f>SUMIFS(LANÇ_MOV[VALOR LÍQUIDO],LANÇ_MOV[RECEITA OU DESPESA],"Receita",LANÇ_MOV[CONTAS],$C1094,LANÇ_MOV[PLANO DE CONTAS],REL_DRE_FINANCEIRO!$B$1062,LANÇ_MOV[ANO PAGAMENTO],$B$4,LANÇ_MOV[MÊS PAGAMENTO CORRESPONDENTE],H$6,LANÇ_MOV[EMPRESA],$C$4,LANÇ_MOV[CENTRO DE CUSTOS],$D$4)</f>
        <v>0</v>
      </c>
      <c r="I1094" s="206">
        <f>SUMIFS(LANÇ_MOV[VALOR LÍQUIDO],LANÇ_MOV[RECEITA OU DESPESA],"Receita",LANÇ_MOV[CONTAS],$C1094,LANÇ_MOV[PLANO DE CONTAS],REL_DRE_FINANCEIRO!$B$1062,LANÇ_MOV[ANO PAGAMENTO],$B$4,LANÇ_MOV[MÊS PAGAMENTO CORRESPONDENTE],I$6,LANÇ_MOV[EMPRESA],$C$4,LANÇ_MOV[CENTRO DE CUSTOS],$D$4)</f>
        <v>0</v>
      </c>
      <c r="J1094" s="206">
        <f>SUMIFS(LANÇ_MOV[VALOR LÍQUIDO],LANÇ_MOV[RECEITA OU DESPESA],"Receita",LANÇ_MOV[CONTAS],$C1094,LANÇ_MOV[PLANO DE CONTAS],REL_DRE_FINANCEIRO!$B$1062,LANÇ_MOV[ANO PAGAMENTO],$B$4,LANÇ_MOV[MÊS PAGAMENTO CORRESPONDENTE],J$6,LANÇ_MOV[EMPRESA],$C$4,LANÇ_MOV[CENTRO DE CUSTOS],$D$4)</f>
        <v>0</v>
      </c>
      <c r="K1094" s="206">
        <f>SUMIFS(LANÇ_MOV[VALOR LÍQUIDO],LANÇ_MOV[RECEITA OU DESPESA],"Receita",LANÇ_MOV[CONTAS],$C1094,LANÇ_MOV[PLANO DE CONTAS],REL_DRE_FINANCEIRO!$B$1062,LANÇ_MOV[ANO PAGAMENTO],$B$4,LANÇ_MOV[MÊS PAGAMENTO CORRESPONDENTE],K$6,LANÇ_MOV[EMPRESA],$C$4,LANÇ_MOV[CENTRO DE CUSTOS],$D$4)</f>
        <v>0</v>
      </c>
      <c r="L1094" s="206">
        <f>SUMIFS(LANÇ_MOV[VALOR LÍQUIDO],LANÇ_MOV[RECEITA OU DESPESA],"Receita",LANÇ_MOV[CONTAS],$C1094,LANÇ_MOV[PLANO DE CONTAS],REL_DRE_FINANCEIRO!$B$1062,LANÇ_MOV[ANO PAGAMENTO],$B$4,LANÇ_MOV[MÊS PAGAMENTO CORRESPONDENTE],L$6,LANÇ_MOV[EMPRESA],$C$4,LANÇ_MOV[CENTRO DE CUSTOS],$D$4)</f>
        <v>0</v>
      </c>
      <c r="M1094" s="206">
        <f>SUMIFS(LANÇ_MOV[VALOR LÍQUIDO],LANÇ_MOV[RECEITA OU DESPESA],"Receita",LANÇ_MOV[CONTAS],$C1094,LANÇ_MOV[PLANO DE CONTAS],REL_DRE_FINANCEIRO!$B$1062,LANÇ_MOV[ANO PAGAMENTO],$B$4,LANÇ_MOV[MÊS PAGAMENTO CORRESPONDENTE],M$6,LANÇ_MOV[EMPRESA],$C$4,LANÇ_MOV[CENTRO DE CUSTOS],$D$4)</f>
        <v>0</v>
      </c>
      <c r="N1094" s="206">
        <f>SUMIFS(LANÇ_MOV[VALOR LÍQUIDO],LANÇ_MOV[RECEITA OU DESPESA],"Receita",LANÇ_MOV[CONTAS],$C1094,LANÇ_MOV[PLANO DE CONTAS],REL_DRE_FINANCEIRO!$B$1062,LANÇ_MOV[ANO PAGAMENTO],$B$4,LANÇ_MOV[MÊS PAGAMENTO CORRESPONDENTE],N$6,LANÇ_MOV[EMPRESA],$C$4,LANÇ_MOV[CENTRO DE CUSTOS],$D$4)</f>
        <v>0</v>
      </c>
      <c r="O1094" s="206">
        <f>SUMIFS(LANÇ_MOV[VALOR LÍQUIDO],LANÇ_MOV[RECEITA OU DESPESA],"Receita",LANÇ_MOV[CONTAS],$C1094,LANÇ_MOV[PLANO DE CONTAS],REL_DRE_FINANCEIRO!$B$1062,LANÇ_MOV[ANO PAGAMENTO],$B$4,LANÇ_MOV[MÊS PAGAMENTO CORRESPONDENTE],O$6,LANÇ_MOV[EMPRESA],$C$4,LANÇ_MOV[CENTRO DE CUSTOS],$D$4)</f>
        <v>0</v>
      </c>
      <c r="P1094" s="207">
        <f t="shared" si="134"/>
        <v>0</v>
      </c>
      <c r="Q1094" s="329">
        <v>6.9E-6</v>
      </c>
      <c r="R1094" s="346">
        <f t="shared" si="135"/>
        <v>6.9E-6</v>
      </c>
      <c r="S1094" s="347" t="str">
        <f t="shared" si="136"/>
        <v>-</v>
      </c>
      <c r="T1094" s="347">
        <f t="shared" si="137"/>
        <v>0</v>
      </c>
      <c r="U1094" s="347">
        <f>HLOOKUP(Apoio!$P$12,$D$1061:$P$1162,X1094,FALSE)+Q1094</f>
        <v>6.9E-6</v>
      </c>
      <c r="V1094" s="447" t="str">
        <f t="shared" si="138"/>
        <v>-</v>
      </c>
      <c r="W1094" s="448">
        <f>HLOOKUP(Apoio!$P$12,$D$1061:$P$1162,X1094,FALSE)</f>
        <v>0</v>
      </c>
      <c r="X1094" s="329">
        <v>34</v>
      </c>
    </row>
    <row r="1095" spans="2:24" ht="30.05" customHeight="1" x14ac:dyDescent="0.35">
      <c r="B1095" s="204" t="str">
        <f>'CAD_PL_REC-DESP'!H37</f>
        <v>1.3.33</v>
      </c>
      <c r="C1095" s="205" t="str">
        <f>IF('CAD_PL_REC-DESP'!I37="","-",'CAD_PL_REC-DESP'!I37)</f>
        <v>-</v>
      </c>
      <c r="D1095" s="206">
        <f>SUMIFS(LANÇ_MOV[VALOR LÍQUIDO],LANÇ_MOV[RECEITA OU DESPESA],"Receita",LANÇ_MOV[CONTAS],$C1095,LANÇ_MOV[PLANO DE CONTAS],REL_DRE_FINANCEIRO!$B$1062,LANÇ_MOV[ANO PAGAMENTO],$B$4,LANÇ_MOV[MÊS PAGAMENTO CORRESPONDENTE],D$6,LANÇ_MOV[EMPRESA],$C$4,LANÇ_MOV[CENTRO DE CUSTOS],$D$4)</f>
        <v>0</v>
      </c>
      <c r="E1095" s="206">
        <f>SUMIFS(LANÇ_MOV[VALOR LÍQUIDO],LANÇ_MOV[RECEITA OU DESPESA],"Receita",LANÇ_MOV[CONTAS],$C1095,LANÇ_MOV[PLANO DE CONTAS],REL_DRE_FINANCEIRO!$B$1062,LANÇ_MOV[ANO PAGAMENTO],$B$4,LANÇ_MOV[MÊS PAGAMENTO CORRESPONDENTE],E$6,LANÇ_MOV[EMPRESA],$C$4,LANÇ_MOV[CENTRO DE CUSTOS],$D$4)</f>
        <v>0</v>
      </c>
      <c r="F1095" s="206">
        <f>SUMIFS(LANÇ_MOV[VALOR LÍQUIDO],LANÇ_MOV[RECEITA OU DESPESA],"Receita",LANÇ_MOV[CONTAS],$C1095,LANÇ_MOV[PLANO DE CONTAS],REL_DRE_FINANCEIRO!$B$1062,LANÇ_MOV[ANO PAGAMENTO],$B$4,LANÇ_MOV[MÊS PAGAMENTO CORRESPONDENTE],F$6,LANÇ_MOV[EMPRESA],$C$4,LANÇ_MOV[CENTRO DE CUSTOS],$D$4)</f>
        <v>0</v>
      </c>
      <c r="G1095" s="206">
        <f>SUMIFS(LANÇ_MOV[VALOR LÍQUIDO],LANÇ_MOV[RECEITA OU DESPESA],"Receita",LANÇ_MOV[CONTAS],$C1095,LANÇ_MOV[PLANO DE CONTAS],REL_DRE_FINANCEIRO!$B$1062,LANÇ_MOV[ANO PAGAMENTO],$B$4,LANÇ_MOV[MÊS PAGAMENTO CORRESPONDENTE],G$6,LANÇ_MOV[EMPRESA],$C$4,LANÇ_MOV[CENTRO DE CUSTOS],$D$4)</f>
        <v>0</v>
      </c>
      <c r="H1095" s="206">
        <f>SUMIFS(LANÇ_MOV[VALOR LÍQUIDO],LANÇ_MOV[RECEITA OU DESPESA],"Receita",LANÇ_MOV[CONTAS],$C1095,LANÇ_MOV[PLANO DE CONTAS],REL_DRE_FINANCEIRO!$B$1062,LANÇ_MOV[ANO PAGAMENTO],$B$4,LANÇ_MOV[MÊS PAGAMENTO CORRESPONDENTE],H$6,LANÇ_MOV[EMPRESA],$C$4,LANÇ_MOV[CENTRO DE CUSTOS],$D$4)</f>
        <v>0</v>
      </c>
      <c r="I1095" s="206">
        <f>SUMIFS(LANÇ_MOV[VALOR LÍQUIDO],LANÇ_MOV[RECEITA OU DESPESA],"Receita",LANÇ_MOV[CONTAS],$C1095,LANÇ_MOV[PLANO DE CONTAS],REL_DRE_FINANCEIRO!$B$1062,LANÇ_MOV[ANO PAGAMENTO],$B$4,LANÇ_MOV[MÊS PAGAMENTO CORRESPONDENTE],I$6,LANÇ_MOV[EMPRESA],$C$4,LANÇ_MOV[CENTRO DE CUSTOS],$D$4)</f>
        <v>0</v>
      </c>
      <c r="J1095" s="206">
        <f>SUMIFS(LANÇ_MOV[VALOR LÍQUIDO],LANÇ_MOV[RECEITA OU DESPESA],"Receita",LANÇ_MOV[CONTAS],$C1095,LANÇ_MOV[PLANO DE CONTAS],REL_DRE_FINANCEIRO!$B$1062,LANÇ_MOV[ANO PAGAMENTO],$B$4,LANÇ_MOV[MÊS PAGAMENTO CORRESPONDENTE],J$6,LANÇ_MOV[EMPRESA],$C$4,LANÇ_MOV[CENTRO DE CUSTOS],$D$4)</f>
        <v>0</v>
      </c>
      <c r="K1095" s="206">
        <f>SUMIFS(LANÇ_MOV[VALOR LÍQUIDO],LANÇ_MOV[RECEITA OU DESPESA],"Receita",LANÇ_MOV[CONTAS],$C1095,LANÇ_MOV[PLANO DE CONTAS],REL_DRE_FINANCEIRO!$B$1062,LANÇ_MOV[ANO PAGAMENTO],$B$4,LANÇ_MOV[MÊS PAGAMENTO CORRESPONDENTE],K$6,LANÇ_MOV[EMPRESA],$C$4,LANÇ_MOV[CENTRO DE CUSTOS],$D$4)</f>
        <v>0</v>
      </c>
      <c r="L1095" s="206">
        <f>SUMIFS(LANÇ_MOV[VALOR LÍQUIDO],LANÇ_MOV[RECEITA OU DESPESA],"Receita",LANÇ_MOV[CONTAS],$C1095,LANÇ_MOV[PLANO DE CONTAS],REL_DRE_FINANCEIRO!$B$1062,LANÇ_MOV[ANO PAGAMENTO],$B$4,LANÇ_MOV[MÊS PAGAMENTO CORRESPONDENTE],L$6,LANÇ_MOV[EMPRESA],$C$4,LANÇ_MOV[CENTRO DE CUSTOS],$D$4)</f>
        <v>0</v>
      </c>
      <c r="M1095" s="206">
        <f>SUMIFS(LANÇ_MOV[VALOR LÍQUIDO],LANÇ_MOV[RECEITA OU DESPESA],"Receita",LANÇ_MOV[CONTAS],$C1095,LANÇ_MOV[PLANO DE CONTAS],REL_DRE_FINANCEIRO!$B$1062,LANÇ_MOV[ANO PAGAMENTO],$B$4,LANÇ_MOV[MÊS PAGAMENTO CORRESPONDENTE],M$6,LANÇ_MOV[EMPRESA],$C$4,LANÇ_MOV[CENTRO DE CUSTOS],$D$4)</f>
        <v>0</v>
      </c>
      <c r="N1095" s="206">
        <f>SUMIFS(LANÇ_MOV[VALOR LÍQUIDO],LANÇ_MOV[RECEITA OU DESPESA],"Receita",LANÇ_MOV[CONTAS],$C1095,LANÇ_MOV[PLANO DE CONTAS],REL_DRE_FINANCEIRO!$B$1062,LANÇ_MOV[ANO PAGAMENTO],$B$4,LANÇ_MOV[MÊS PAGAMENTO CORRESPONDENTE],N$6,LANÇ_MOV[EMPRESA],$C$4,LANÇ_MOV[CENTRO DE CUSTOS],$D$4)</f>
        <v>0</v>
      </c>
      <c r="O1095" s="206">
        <f>SUMIFS(LANÇ_MOV[VALOR LÍQUIDO],LANÇ_MOV[RECEITA OU DESPESA],"Receita",LANÇ_MOV[CONTAS],$C1095,LANÇ_MOV[PLANO DE CONTAS],REL_DRE_FINANCEIRO!$B$1062,LANÇ_MOV[ANO PAGAMENTO],$B$4,LANÇ_MOV[MÊS PAGAMENTO CORRESPONDENTE],O$6,LANÇ_MOV[EMPRESA],$C$4,LANÇ_MOV[CENTRO DE CUSTOS],$D$4)</f>
        <v>0</v>
      </c>
      <c r="P1095" s="207">
        <f t="shared" si="134"/>
        <v>0</v>
      </c>
      <c r="Q1095" s="329">
        <v>6.8000000000000001E-6</v>
      </c>
      <c r="R1095" s="346">
        <f t="shared" si="135"/>
        <v>6.8000000000000001E-6</v>
      </c>
      <c r="S1095" s="347" t="str">
        <f t="shared" si="136"/>
        <v>-</v>
      </c>
      <c r="T1095" s="347">
        <f t="shared" si="137"/>
        <v>0</v>
      </c>
      <c r="U1095" s="347">
        <f>HLOOKUP(Apoio!$P$12,$D$1061:$P$1162,X1095,FALSE)+Q1095</f>
        <v>6.8000000000000001E-6</v>
      </c>
      <c r="V1095" s="447" t="str">
        <f t="shared" si="138"/>
        <v>-</v>
      </c>
      <c r="W1095" s="448">
        <f>HLOOKUP(Apoio!$P$12,$D$1061:$P$1162,X1095,FALSE)</f>
        <v>0</v>
      </c>
      <c r="X1095" s="329">
        <v>35</v>
      </c>
    </row>
    <row r="1096" spans="2:24" ht="30.05" customHeight="1" x14ac:dyDescent="0.35">
      <c r="B1096" s="204" t="str">
        <f>'CAD_PL_REC-DESP'!H38</f>
        <v>1.3.34</v>
      </c>
      <c r="C1096" s="205" t="str">
        <f>IF('CAD_PL_REC-DESP'!I38="","-",'CAD_PL_REC-DESP'!I38)</f>
        <v>-</v>
      </c>
      <c r="D1096" s="206">
        <f>SUMIFS(LANÇ_MOV[VALOR LÍQUIDO],LANÇ_MOV[RECEITA OU DESPESA],"Receita",LANÇ_MOV[CONTAS],$C1096,LANÇ_MOV[PLANO DE CONTAS],REL_DRE_FINANCEIRO!$B$1062,LANÇ_MOV[ANO PAGAMENTO],$B$4,LANÇ_MOV[MÊS PAGAMENTO CORRESPONDENTE],D$6,LANÇ_MOV[EMPRESA],$C$4,LANÇ_MOV[CENTRO DE CUSTOS],$D$4)</f>
        <v>0</v>
      </c>
      <c r="E1096" s="206">
        <f>SUMIFS(LANÇ_MOV[VALOR LÍQUIDO],LANÇ_MOV[RECEITA OU DESPESA],"Receita",LANÇ_MOV[CONTAS],$C1096,LANÇ_MOV[PLANO DE CONTAS],REL_DRE_FINANCEIRO!$B$1062,LANÇ_MOV[ANO PAGAMENTO],$B$4,LANÇ_MOV[MÊS PAGAMENTO CORRESPONDENTE],E$6,LANÇ_MOV[EMPRESA],$C$4,LANÇ_MOV[CENTRO DE CUSTOS],$D$4)</f>
        <v>0</v>
      </c>
      <c r="F1096" s="206">
        <f>SUMIFS(LANÇ_MOV[VALOR LÍQUIDO],LANÇ_MOV[RECEITA OU DESPESA],"Receita",LANÇ_MOV[CONTAS],$C1096,LANÇ_MOV[PLANO DE CONTAS],REL_DRE_FINANCEIRO!$B$1062,LANÇ_MOV[ANO PAGAMENTO],$B$4,LANÇ_MOV[MÊS PAGAMENTO CORRESPONDENTE],F$6,LANÇ_MOV[EMPRESA],$C$4,LANÇ_MOV[CENTRO DE CUSTOS],$D$4)</f>
        <v>0</v>
      </c>
      <c r="G1096" s="206">
        <f>SUMIFS(LANÇ_MOV[VALOR LÍQUIDO],LANÇ_MOV[RECEITA OU DESPESA],"Receita",LANÇ_MOV[CONTAS],$C1096,LANÇ_MOV[PLANO DE CONTAS],REL_DRE_FINANCEIRO!$B$1062,LANÇ_MOV[ANO PAGAMENTO],$B$4,LANÇ_MOV[MÊS PAGAMENTO CORRESPONDENTE],G$6,LANÇ_MOV[EMPRESA],$C$4,LANÇ_MOV[CENTRO DE CUSTOS],$D$4)</f>
        <v>0</v>
      </c>
      <c r="H1096" s="206">
        <f>SUMIFS(LANÇ_MOV[VALOR LÍQUIDO],LANÇ_MOV[RECEITA OU DESPESA],"Receita",LANÇ_MOV[CONTAS],$C1096,LANÇ_MOV[PLANO DE CONTAS],REL_DRE_FINANCEIRO!$B$1062,LANÇ_MOV[ANO PAGAMENTO],$B$4,LANÇ_MOV[MÊS PAGAMENTO CORRESPONDENTE],H$6,LANÇ_MOV[EMPRESA],$C$4,LANÇ_MOV[CENTRO DE CUSTOS],$D$4)</f>
        <v>0</v>
      </c>
      <c r="I1096" s="206">
        <f>SUMIFS(LANÇ_MOV[VALOR LÍQUIDO],LANÇ_MOV[RECEITA OU DESPESA],"Receita",LANÇ_MOV[CONTAS],$C1096,LANÇ_MOV[PLANO DE CONTAS],REL_DRE_FINANCEIRO!$B$1062,LANÇ_MOV[ANO PAGAMENTO],$B$4,LANÇ_MOV[MÊS PAGAMENTO CORRESPONDENTE],I$6,LANÇ_MOV[EMPRESA],$C$4,LANÇ_MOV[CENTRO DE CUSTOS],$D$4)</f>
        <v>0</v>
      </c>
      <c r="J1096" s="206">
        <f>SUMIFS(LANÇ_MOV[VALOR LÍQUIDO],LANÇ_MOV[RECEITA OU DESPESA],"Receita",LANÇ_MOV[CONTAS],$C1096,LANÇ_MOV[PLANO DE CONTAS],REL_DRE_FINANCEIRO!$B$1062,LANÇ_MOV[ANO PAGAMENTO],$B$4,LANÇ_MOV[MÊS PAGAMENTO CORRESPONDENTE],J$6,LANÇ_MOV[EMPRESA],$C$4,LANÇ_MOV[CENTRO DE CUSTOS],$D$4)</f>
        <v>0</v>
      </c>
      <c r="K1096" s="206">
        <f>SUMIFS(LANÇ_MOV[VALOR LÍQUIDO],LANÇ_MOV[RECEITA OU DESPESA],"Receita",LANÇ_MOV[CONTAS],$C1096,LANÇ_MOV[PLANO DE CONTAS],REL_DRE_FINANCEIRO!$B$1062,LANÇ_MOV[ANO PAGAMENTO],$B$4,LANÇ_MOV[MÊS PAGAMENTO CORRESPONDENTE],K$6,LANÇ_MOV[EMPRESA],$C$4,LANÇ_MOV[CENTRO DE CUSTOS],$D$4)</f>
        <v>0</v>
      </c>
      <c r="L1096" s="206">
        <f>SUMIFS(LANÇ_MOV[VALOR LÍQUIDO],LANÇ_MOV[RECEITA OU DESPESA],"Receita",LANÇ_MOV[CONTAS],$C1096,LANÇ_MOV[PLANO DE CONTAS],REL_DRE_FINANCEIRO!$B$1062,LANÇ_MOV[ANO PAGAMENTO],$B$4,LANÇ_MOV[MÊS PAGAMENTO CORRESPONDENTE],L$6,LANÇ_MOV[EMPRESA],$C$4,LANÇ_MOV[CENTRO DE CUSTOS],$D$4)</f>
        <v>0</v>
      </c>
      <c r="M1096" s="206">
        <f>SUMIFS(LANÇ_MOV[VALOR LÍQUIDO],LANÇ_MOV[RECEITA OU DESPESA],"Receita",LANÇ_MOV[CONTAS],$C1096,LANÇ_MOV[PLANO DE CONTAS],REL_DRE_FINANCEIRO!$B$1062,LANÇ_MOV[ANO PAGAMENTO],$B$4,LANÇ_MOV[MÊS PAGAMENTO CORRESPONDENTE],M$6,LANÇ_MOV[EMPRESA],$C$4,LANÇ_MOV[CENTRO DE CUSTOS],$D$4)</f>
        <v>0</v>
      </c>
      <c r="N1096" s="206">
        <f>SUMIFS(LANÇ_MOV[VALOR LÍQUIDO],LANÇ_MOV[RECEITA OU DESPESA],"Receita",LANÇ_MOV[CONTAS],$C1096,LANÇ_MOV[PLANO DE CONTAS],REL_DRE_FINANCEIRO!$B$1062,LANÇ_MOV[ANO PAGAMENTO],$B$4,LANÇ_MOV[MÊS PAGAMENTO CORRESPONDENTE],N$6,LANÇ_MOV[EMPRESA],$C$4,LANÇ_MOV[CENTRO DE CUSTOS],$D$4)</f>
        <v>0</v>
      </c>
      <c r="O1096" s="206">
        <f>SUMIFS(LANÇ_MOV[VALOR LÍQUIDO],LANÇ_MOV[RECEITA OU DESPESA],"Receita",LANÇ_MOV[CONTAS],$C1096,LANÇ_MOV[PLANO DE CONTAS],REL_DRE_FINANCEIRO!$B$1062,LANÇ_MOV[ANO PAGAMENTO],$B$4,LANÇ_MOV[MÊS PAGAMENTO CORRESPONDENTE],O$6,LANÇ_MOV[EMPRESA],$C$4,LANÇ_MOV[CENTRO DE CUSTOS],$D$4)</f>
        <v>0</v>
      </c>
      <c r="P1096" s="207">
        <f t="shared" si="134"/>
        <v>0</v>
      </c>
      <c r="Q1096" s="329">
        <v>6.7000000000000002E-6</v>
      </c>
      <c r="R1096" s="346">
        <f t="shared" si="135"/>
        <v>6.7000000000000002E-6</v>
      </c>
      <c r="S1096" s="347" t="str">
        <f t="shared" si="136"/>
        <v>-</v>
      </c>
      <c r="T1096" s="347">
        <f t="shared" si="137"/>
        <v>0</v>
      </c>
      <c r="U1096" s="347">
        <f>HLOOKUP(Apoio!$P$12,$D$1061:$P$1162,X1096,FALSE)+Q1096</f>
        <v>6.7000000000000002E-6</v>
      </c>
      <c r="V1096" s="447" t="str">
        <f t="shared" si="138"/>
        <v>-</v>
      </c>
      <c r="W1096" s="448">
        <f>HLOOKUP(Apoio!$P$12,$D$1061:$P$1162,X1096,FALSE)</f>
        <v>0</v>
      </c>
      <c r="X1096" s="329">
        <v>36</v>
      </c>
    </row>
    <row r="1097" spans="2:24" ht="30.05" customHeight="1" x14ac:dyDescent="0.35">
      <c r="B1097" s="204" t="str">
        <f>'CAD_PL_REC-DESP'!H39</f>
        <v>1.3.35</v>
      </c>
      <c r="C1097" s="205" t="str">
        <f>IF('CAD_PL_REC-DESP'!I39="","-",'CAD_PL_REC-DESP'!I39)</f>
        <v>-</v>
      </c>
      <c r="D1097" s="206">
        <f>SUMIFS(LANÇ_MOV[VALOR LÍQUIDO],LANÇ_MOV[RECEITA OU DESPESA],"Receita",LANÇ_MOV[CONTAS],$C1097,LANÇ_MOV[PLANO DE CONTAS],REL_DRE_FINANCEIRO!$B$1062,LANÇ_MOV[ANO PAGAMENTO],$B$4,LANÇ_MOV[MÊS PAGAMENTO CORRESPONDENTE],D$6,LANÇ_MOV[EMPRESA],$C$4,LANÇ_MOV[CENTRO DE CUSTOS],$D$4)</f>
        <v>0</v>
      </c>
      <c r="E1097" s="206">
        <f>SUMIFS(LANÇ_MOV[VALOR LÍQUIDO],LANÇ_MOV[RECEITA OU DESPESA],"Receita",LANÇ_MOV[CONTAS],$C1097,LANÇ_MOV[PLANO DE CONTAS],REL_DRE_FINANCEIRO!$B$1062,LANÇ_MOV[ANO PAGAMENTO],$B$4,LANÇ_MOV[MÊS PAGAMENTO CORRESPONDENTE],E$6,LANÇ_MOV[EMPRESA],$C$4,LANÇ_MOV[CENTRO DE CUSTOS],$D$4)</f>
        <v>0</v>
      </c>
      <c r="F1097" s="206">
        <f>SUMIFS(LANÇ_MOV[VALOR LÍQUIDO],LANÇ_MOV[RECEITA OU DESPESA],"Receita",LANÇ_MOV[CONTAS],$C1097,LANÇ_MOV[PLANO DE CONTAS],REL_DRE_FINANCEIRO!$B$1062,LANÇ_MOV[ANO PAGAMENTO],$B$4,LANÇ_MOV[MÊS PAGAMENTO CORRESPONDENTE],F$6,LANÇ_MOV[EMPRESA],$C$4,LANÇ_MOV[CENTRO DE CUSTOS],$D$4)</f>
        <v>0</v>
      </c>
      <c r="G1097" s="206">
        <f>SUMIFS(LANÇ_MOV[VALOR LÍQUIDO],LANÇ_MOV[RECEITA OU DESPESA],"Receita",LANÇ_MOV[CONTAS],$C1097,LANÇ_MOV[PLANO DE CONTAS],REL_DRE_FINANCEIRO!$B$1062,LANÇ_MOV[ANO PAGAMENTO],$B$4,LANÇ_MOV[MÊS PAGAMENTO CORRESPONDENTE],G$6,LANÇ_MOV[EMPRESA],$C$4,LANÇ_MOV[CENTRO DE CUSTOS],$D$4)</f>
        <v>0</v>
      </c>
      <c r="H1097" s="206">
        <f>SUMIFS(LANÇ_MOV[VALOR LÍQUIDO],LANÇ_MOV[RECEITA OU DESPESA],"Receita",LANÇ_MOV[CONTAS],$C1097,LANÇ_MOV[PLANO DE CONTAS],REL_DRE_FINANCEIRO!$B$1062,LANÇ_MOV[ANO PAGAMENTO],$B$4,LANÇ_MOV[MÊS PAGAMENTO CORRESPONDENTE],H$6,LANÇ_MOV[EMPRESA],$C$4,LANÇ_MOV[CENTRO DE CUSTOS],$D$4)</f>
        <v>0</v>
      </c>
      <c r="I1097" s="206">
        <f>SUMIFS(LANÇ_MOV[VALOR LÍQUIDO],LANÇ_MOV[RECEITA OU DESPESA],"Receita",LANÇ_MOV[CONTAS],$C1097,LANÇ_MOV[PLANO DE CONTAS],REL_DRE_FINANCEIRO!$B$1062,LANÇ_MOV[ANO PAGAMENTO],$B$4,LANÇ_MOV[MÊS PAGAMENTO CORRESPONDENTE],I$6,LANÇ_MOV[EMPRESA],$C$4,LANÇ_MOV[CENTRO DE CUSTOS],$D$4)</f>
        <v>0</v>
      </c>
      <c r="J1097" s="206">
        <f>SUMIFS(LANÇ_MOV[VALOR LÍQUIDO],LANÇ_MOV[RECEITA OU DESPESA],"Receita",LANÇ_MOV[CONTAS],$C1097,LANÇ_MOV[PLANO DE CONTAS],REL_DRE_FINANCEIRO!$B$1062,LANÇ_MOV[ANO PAGAMENTO],$B$4,LANÇ_MOV[MÊS PAGAMENTO CORRESPONDENTE],J$6,LANÇ_MOV[EMPRESA],$C$4,LANÇ_MOV[CENTRO DE CUSTOS],$D$4)</f>
        <v>0</v>
      </c>
      <c r="K1097" s="206">
        <f>SUMIFS(LANÇ_MOV[VALOR LÍQUIDO],LANÇ_MOV[RECEITA OU DESPESA],"Receita",LANÇ_MOV[CONTAS],$C1097,LANÇ_MOV[PLANO DE CONTAS],REL_DRE_FINANCEIRO!$B$1062,LANÇ_MOV[ANO PAGAMENTO],$B$4,LANÇ_MOV[MÊS PAGAMENTO CORRESPONDENTE],K$6,LANÇ_MOV[EMPRESA],$C$4,LANÇ_MOV[CENTRO DE CUSTOS],$D$4)</f>
        <v>0</v>
      </c>
      <c r="L1097" s="206">
        <f>SUMIFS(LANÇ_MOV[VALOR LÍQUIDO],LANÇ_MOV[RECEITA OU DESPESA],"Receita",LANÇ_MOV[CONTAS],$C1097,LANÇ_MOV[PLANO DE CONTAS],REL_DRE_FINANCEIRO!$B$1062,LANÇ_MOV[ANO PAGAMENTO],$B$4,LANÇ_MOV[MÊS PAGAMENTO CORRESPONDENTE],L$6,LANÇ_MOV[EMPRESA],$C$4,LANÇ_MOV[CENTRO DE CUSTOS],$D$4)</f>
        <v>0</v>
      </c>
      <c r="M1097" s="206">
        <f>SUMIFS(LANÇ_MOV[VALOR LÍQUIDO],LANÇ_MOV[RECEITA OU DESPESA],"Receita",LANÇ_MOV[CONTAS],$C1097,LANÇ_MOV[PLANO DE CONTAS],REL_DRE_FINANCEIRO!$B$1062,LANÇ_MOV[ANO PAGAMENTO],$B$4,LANÇ_MOV[MÊS PAGAMENTO CORRESPONDENTE],M$6,LANÇ_MOV[EMPRESA],$C$4,LANÇ_MOV[CENTRO DE CUSTOS],$D$4)</f>
        <v>0</v>
      </c>
      <c r="N1097" s="206">
        <f>SUMIFS(LANÇ_MOV[VALOR LÍQUIDO],LANÇ_MOV[RECEITA OU DESPESA],"Receita",LANÇ_MOV[CONTAS],$C1097,LANÇ_MOV[PLANO DE CONTAS],REL_DRE_FINANCEIRO!$B$1062,LANÇ_MOV[ANO PAGAMENTO],$B$4,LANÇ_MOV[MÊS PAGAMENTO CORRESPONDENTE],N$6,LANÇ_MOV[EMPRESA],$C$4,LANÇ_MOV[CENTRO DE CUSTOS],$D$4)</f>
        <v>0</v>
      </c>
      <c r="O1097" s="206">
        <f>SUMIFS(LANÇ_MOV[VALOR LÍQUIDO],LANÇ_MOV[RECEITA OU DESPESA],"Receita",LANÇ_MOV[CONTAS],$C1097,LANÇ_MOV[PLANO DE CONTAS],REL_DRE_FINANCEIRO!$B$1062,LANÇ_MOV[ANO PAGAMENTO],$B$4,LANÇ_MOV[MÊS PAGAMENTO CORRESPONDENTE],O$6,LANÇ_MOV[EMPRESA],$C$4,LANÇ_MOV[CENTRO DE CUSTOS],$D$4)</f>
        <v>0</v>
      </c>
      <c r="P1097" s="207">
        <f t="shared" si="134"/>
        <v>0</v>
      </c>
      <c r="Q1097" s="329">
        <v>6.6000000000000003E-6</v>
      </c>
      <c r="R1097" s="346">
        <f t="shared" si="135"/>
        <v>6.6000000000000003E-6</v>
      </c>
      <c r="S1097" s="347" t="str">
        <f t="shared" si="136"/>
        <v>-</v>
      </c>
      <c r="T1097" s="347">
        <f t="shared" si="137"/>
        <v>0</v>
      </c>
      <c r="U1097" s="347">
        <f>HLOOKUP(Apoio!$P$12,$D$1061:$P$1162,X1097,FALSE)+Q1097</f>
        <v>6.6000000000000003E-6</v>
      </c>
      <c r="V1097" s="447" t="str">
        <f t="shared" si="138"/>
        <v>-</v>
      </c>
      <c r="W1097" s="448">
        <f>HLOOKUP(Apoio!$P$12,$D$1061:$P$1162,X1097,FALSE)</f>
        <v>0</v>
      </c>
      <c r="X1097" s="329">
        <v>37</v>
      </c>
    </row>
    <row r="1098" spans="2:24" ht="30.05" customHeight="1" x14ac:dyDescent="0.35">
      <c r="B1098" s="204" t="str">
        <f>'CAD_PL_REC-DESP'!H40</f>
        <v>1.3.36</v>
      </c>
      <c r="C1098" s="205" t="str">
        <f>IF('CAD_PL_REC-DESP'!I40="","-",'CAD_PL_REC-DESP'!I40)</f>
        <v>-</v>
      </c>
      <c r="D1098" s="206">
        <f>SUMIFS(LANÇ_MOV[VALOR LÍQUIDO],LANÇ_MOV[RECEITA OU DESPESA],"Receita",LANÇ_MOV[CONTAS],$C1098,LANÇ_MOV[PLANO DE CONTAS],REL_DRE_FINANCEIRO!$B$1062,LANÇ_MOV[ANO PAGAMENTO],$B$4,LANÇ_MOV[MÊS PAGAMENTO CORRESPONDENTE],D$6,LANÇ_MOV[EMPRESA],$C$4,LANÇ_MOV[CENTRO DE CUSTOS],$D$4)</f>
        <v>0</v>
      </c>
      <c r="E1098" s="206">
        <f>SUMIFS(LANÇ_MOV[VALOR LÍQUIDO],LANÇ_MOV[RECEITA OU DESPESA],"Receita",LANÇ_MOV[CONTAS],$C1098,LANÇ_MOV[PLANO DE CONTAS],REL_DRE_FINANCEIRO!$B$1062,LANÇ_MOV[ANO PAGAMENTO],$B$4,LANÇ_MOV[MÊS PAGAMENTO CORRESPONDENTE],E$6,LANÇ_MOV[EMPRESA],$C$4,LANÇ_MOV[CENTRO DE CUSTOS],$D$4)</f>
        <v>0</v>
      </c>
      <c r="F1098" s="206">
        <f>SUMIFS(LANÇ_MOV[VALOR LÍQUIDO],LANÇ_MOV[RECEITA OU DESPESA],"Receita",LANÇ_MOV[CONTAS],$C1098,LANÇ_MOV[PLANO DE CONTAS],REL_DRE_FINANCEIRO!$B$1062,LANÇ_MOV[ANO PAGAMENTO],$B$4,LANÇ_MOV[MÊS PAGAMENTO CORRESPONDENTE],F$6,LANÇ_MOV[EMPRESA],$C$4,LANÇ_MOV[CENTRO DE CUSTOS],$D$4)</f>
        <v>0</v>
      </c>
      <c r="G1098" s="206">
        <f>SUMIFS(LANÇ_MOV[VALOR LÍQUIDO],LANÇ_MOV[RECEITA OU DESPESA],"Receita",LANÇ_MOV[CONTAS],$C1098,LANÇ_MOV[PLANO DE CONTAS],REL_DRE_FINANCEIRO!$B$1062,LANÇ_MOV[ANO PAGAMENTO],$B$4,LANÇ_MOV[MÊS PAGAMENTO CORRESPONDENTE],G$6,LANÇ_MOV[EMPRESA],$C$4,LANÇ_MOV[CENTRO DE CUSTOS],$D$4)</f>
        <v>0</v>
      </c>
      <c r="H1098" s="206">
        <f>SUMIFS(LANÇ_MOV[VALOR LÍQUIDO],LANÇ_MOV[RECEITA OU DESPESA],"Receita",LANÇ_MOV[CONTAS],$C1098,LANÇ_MOV[PLANO DE CONTAS],REL_DRE_FINANCEIRO!$B$1062,LANÇ_MOV[ANO PAGAMENTO],$B$4,LANÇ_MOV[MÊS PAGAMENTO CORRESPONDENTE],H$6,LANÇ_MOV[EMPRESA],$C$4,LANÇ_MOV[CENTRO DE CUSTOS],$D$4)</f>
        <v>0</v>
      </c>
      <c r="I1098" s="206">
        <f>SUMIFS(LANÇ_MOV[VALOR LÍQUIDO],LANÇ_MOV[RECEITA OU DESPESA],"Receita",LANÇ_MOV[CONTAS],$C1098,LANÇ_MOV[PLANO DE CONTAS],REL_DRE_FINANCEIRO!$B$1062,LANÇ_MOV[ANO PAGAMENTO],$B$4,LANÇ_MOV[MÊS PAGAMENTO CORRESPONDENTE],I$6,LANÇ_MOV[EMPRESA],$C$4,LANÇ_MOV[CENTRO DE CUSTOS],$D$4)</f>
        <v>0</v>
      </c>
      <c r="J1098" s="206">
        <f>SUMIFS(LANÇ_MOV[VALOR LÍQUIDO],LANÇ_MOV[RECEITA OU DESPESA],"Receita",LANÇ_MOV[CONTAS],$C1098,LANÇ_MOV[PLANO DE CONTAS],REL_DRE_FINANCEIRO!$B$1062,LANÇ_MOV[ANO PAGAMENTO],$B$4,LANÇ_MOV[MÊS PAGAMENTO CORRESPONDENTE],J$6,LANÇ_MOV[EMPRESA],$C$4,LANÇ_MOV[CENTRO DE CUSTOS],$D$4)</f>
        <v>0</v>
      </c>
      <c r="K1098" s="206">
        <f>SUMIFS(LANÇ_MOV[VALOR LÍQUIDO],LANÇ_MOV[RECEITA OU DESPESA],"Receita",LANÇ_MOV[CONTAS],$C1098,LANÇ_MOV[PLANO DE CONTAS],REL_DRE_FINANCEIRO!$B$1062,LANÇ_MOV[ANO PAGAMENTO],$B$4,LANÇ_MOV[MÊS PAGAMENTO CORRESPONDENTE],K$6,LANÇ_MOV[EMPRESA],$C$4,LANÇ_MOV[CENTRO DE CUSTOS],$D$4)</f>
        <v>0</v>
      </c>
      <c r="L1098" s="206">
        <f>SUMIFS(LANÇ_MOV[VALOR LÍQUIDO],LANÇ_MOV[RECEITA OU DESPESA],"Receita",LANÇ_MOV[CONTAS],$C1098,LANÇ_MOV[PLANO DE CONTAS],REL_DRE_FINANCEIRO!$B$1062,LANÇ_MOV[ANO PAGAMENTO],$B$4,LANÇ_MOV[MÊS PAGAMENTO CORRESPONDENTE],L$6,LANÇ_MOV[EMPRESA],$C$4,LANÇ_MOV[CENTRO DE CUSTOS],$D$4)</f>
        <v>0</v>
      </c>
      <c r="M1098" s="206">
        <f>SUMIFS(LANÇ_MOV[VALOR LÍQUIDO],LANÇ_MOV[RECEITA OU DESPESA],"Receita",LANÇ_MOV[CONTAS],$C1098,LANÇ_MOV[PLANO DE CONTAS],REL_DRE_FINANCEIRO!$B$1062,LANÇ_MOV[ANO PAGAMENTO],$B$4,LANÇ_MOV[MÊS PAGAMENTO CORRESPONDENTE],M$6,LANÇ_MOV[EMPRESA],$C$4,LANÇ_MOV[CENTRO DE CUSTOS],$D$4)</f>
        <v>0</v>
      </c>
      <c r="N1098" s="206">
        <f>SUMIFS(LANÇ_MOV[VALOR LÍQUIDO],LANÇ_MOV[RECEITA OU DESPESA],"Receita",LANÇ_MOV[CONTAS],$C1098,LANÇ_MOV[PLANO DE CONTAS],REL_DRE_FINANCEIRO!$B$1062,LANÇ_MOV[ANO PAGAMENTO],$B$4,LANÇ_MOV[MÊS PAGAMENTO CORRESPONDENTE],N$6,LANÇ_MOV[EMPRESA],$C$4,LANÇ_MOV[CENTRO DE CUSTOS],$D$4)</f>
        <v>0</v>
      </c>
      <c r="O1098" s="206">
        <f>SUMIFS(LANÇ_MOV[VALOR LÍQUIDO],LANÇ_MOV[RECEITA OU DESPESA],"Receita",LANÇ_MOV[CONTAS],$C1098,LANÇ_MOV[PLANO DE CONTAS],REL_DRE_FINANCEIRO!$B$1062,LANÇ_MOV[ANO PAGAMENTO],$B$4,LANÇ_MOV[MÊS PAGAMENTO CORRESPONDENTE],O$6,LANÇ_MOV[EMPRESA],$C$4,LANÇ_MOV[CENTRO DE CUSTOS],$D$4)</f>
        <v>0</v>
      </c>
      <c r="P1098" s="207">
        <f t="shared" si="134"/>
        <v>0</v>
      </c>
      <c r="Q1098" s="329">
        <v>6.4999999999999996E-6</v>
      </c>
      <c r="R1098" s="346">
        <f t="shared" si="135"/>
        <v>6.4999999999999996E-6</v>
      </c>
      <c r="S1098" s="347" t="str">
        <f t="shared" si="136"/>
        <v>-</v>
      </c>
      <c r="T1098" s="347">
        <f t="shared" si="137"/>
        <v>0</v>
      </c>
      <c r="U1098" s="347">
        <f>HLOOKUP(Apoio!$P$12,$D$1061:$P$1162,X1098,FALSE)+Q1098</f>
        <v>6.4999999999999996E-6</v>
      </c>
      <c r="V1098" s="447" t="str">
        <f t="shared" si="138"/>
        <v>-</v>
      </c>
      <c r="W1098" s="448">
        <f>HLOOKUP(Apoio!$P$12,$D$1061:$P$1162,X1098,FALSE)</f>
        <v>0</v>
      </c>
      <c r="X1098" s="329">
        <v>38</v>
      </c>
    </row>
    <row r="1099" spans="2:24" ht="30.05" customHeight="1" x14ac:dyDescent="0.35">
      <c r="B1099" s="204" t="str">
        <f>'CAD_PL_REC-DESP'!H41</f>
        <v>1.3.37</v>
      </c>
      <c r="C1099" s="205" t="str">
        <f>IF('CAD_PL_REC-DESP'!I41="","-",'CAD_PL_REC-DESP'!I41)</f>
        <v>-</v>
      </c>
      <c r="D1099" s="206">
        <f>SUMIFS(LANÇ_MOV[VALOR LÍQUIDO],LANÇ_MOV[RECEITA OU DESPESA],"Receita",LANÇ_MOV[CONTAS],$C1099,LANÇ_MOV[PLANO DE CONTAS],REL_DRE_FINANCEIRO!$B$1062,LANÇ_MOV[ANO PAGAMENTO],$B$4,LANÇ_MOV[MÊS PAGAMENTO CORRESPONDENTE],D$6,LANÇ_MOV[EMPRESA],$C$4,LANÇ_MOV[CENTRO DE CUSTOS],$D$4)</f>
        <v>0</v>
      </c>
      <c r="E1099" s="206">
        <f>SUMIFS(LANÇ_MOV[VALOR LÍQUIDO],LANÇ_MOV[RECEITA OU DESPESA],"Receita",LANÇ_MOV[CONTAS],$C1099,LANÇ_MOV[PLANO DE CONTAS],REL_DRE_FINANCEIRO!$B$1062,LANÇ_MOV[ANO PAGAMENTO],$B$4,LANÇ_MOV[MÊS PAGAMENTO CORRESPONDENTE],E$6,LANÇ_MOV[EMPRESA],$C$4,LANÇ_MOV[CENTRO DE CUSTOS],$D$4)</f>
        <v>0</v>
      </c>
      <c r="F1099" s="206">
        <f>SUMIFS(LANÇ_MOV[VALOR LÍQUIDO],LANÇ_MOV[RECEITA OU DESPESA],"Receita",LANÇ_MOV[CONTAS],$C1099,LANÇ_MOV[PLANO DE CONTAS],REL_DRE_FINANCEIRO!$B$1062,LANÇ_MOV[ANO PAGAMENTO],$B$4,LANÇ_MOV[MÊS PAGAMENTO CORRESPONDENTE],F$6,LANÇ_MOV[EMPRESA],$C$4,LANÇ_MOV[CENTRO DE CUSTOS],$D$4)</f>
        <v>0</v>
      </c>
      <c r="G1099" s="206">
        <f>SUMIFS(LANÇ_MOV[VALOR LÍQUIDO],LANÇ_MOV[RECEITA OU DESPESA],"Receita",LANÇ_MOV[CONTAS],$C1099,LANÇ_MOV[PLANO DE CONTAS],REL_DRE_FINANCEIRO!$B$1062,LANÇ_MOV[ANO PAGAMENTO],$B$4,LANÇ_MOV[MÊS PAGAMENTO CORRESPONDENTE],G$6,LANÇ_MOV[EMPRESA],$C$4,LANÇ_MOV[CENTRO DE CUSTOS],$D$4)</f>
        <v>0</v>
      </c>
      <c r="H1099" s="206">
        <f>SUMIFS(LANÇ_MOV[VALOR LÍQUIDO],LANÇ_MOV[RECEITA OU DESPESA],"Receita",LANÇ_MOV[CONTAS],$C1099,LANÇ_MOV[PLANO DE CONTAS],REL_DRE_FINANCEIRO!$B$1062,LANÇ_MOV[ANO PAGAMENTO],$B$4,LANÇ_MOV[MÊS PAGAMENTO CORRESPONDENTE],H$6,LANÇ_MOV[EMPRESA],$C$4,LANÇ_MOV[CENTRO DE CUSTOS],$D$4)</f>
        <v>0</v>
      </c>
      <c r="I1099" s="206">
        <f>SUMIFS(LANÇ_MOV[VALOR LÍQUIDO],LANÇ_MOV[RECEITA OU DESPESA],"Receita",LANÇ_MOV[CONTAS],$C1099,LANÇ_MOV[PLANO DE CONTAS],REL_DRE_FINANCEIRO!$B$1062,LANÇ_MOV[ANO PAGAMENTO],$B$4,LANÇ_MOV[MÊS PAGAMENTO CORRESPONDENTE],I$6,LANÇ_MOV[EMPRESA],$C$4,LANÇ_MOV[CENTRO DE CUSTOS],$D$4)</f>
        <v>0</v>
      </c>
      <c r="J1099" s="206">
        <f>SUMIFS(LANÇ_MOV[VALOR LÍQUIDO],LANÇ_MOV[RECEITA OU DESPESA],"Receita",LANÇ_MOV[CONTAS],$C1099,LANÇ_MOV[PLANO DE CONTAS],REL_DRE_FINANCEIRO!$B$1062,LANÇ_MOV[ANO PAGAMENTO],$B$4,LANÇ_MOV[MÊS PAGAMENTO CORRESPONDENTE],J$6,LANÇ_MOV[EMPRESA],$C$4,LANÇ_MOV[CENTRO DE CUSTOS],$D$4)</f>
        <v>0</v>
      </c>
      <c r="K1099" s="206">
        <f>SUMIFS(LANÇ_MOV[VALOR LÍQUIDO],LANÇ_MOV[RECEITA OU DESPESA],"Receita",LANÇ_MOV[CONTAS],$C1099,LANÇ_MOV[PLANO DE CONTAS],REL_DRE_FINANCEIRO!$B$1062,LANÇ_MOV[ANO PAGAMENTO],$B$4,LANÇ_MOV[MÊS PAGAMENTO CORRESPONDENTE],K$6,LANÇ_MOV[EMPRESA],$C$4,LANÇ_MOV[CENTRO DE CUSTOS],$D$4)</f>
        <v>0</v>
      </c>
      <c r="L1099" s="206">
        <f>SUMIFS(LANÇ_MOV[VALOR LÍQUIDO],LANÇ_MOV[RECEITA OU DESPESA],"Receita",LANÇ_MOV[CONTAS],$C1099,LANÇ_MOV[PLANO DE CONTAS],REL_DRE_FINANCEIRO!$B$1062,LANÇ_MOV[ANO PAGAMENTO],$B$4,LANÇ_MOV[MÊS PAGAMENTO CORRESPONDENTE],L$6,LANÇ_MOV[EMPRESA],$C$4,LANÇ_MOV[CENTRO DE CUSTOS],$D$4)</f>
        <v>0</v>
      </c>
      <c r="M1099" s="206">
        <f>SUMIFS(LANÇ_MOV[VALOR LÍQUIDO],LANÇ_MOV[RECEITA OU DESPESA],"Receita",LANÇ_MOV[CONTAS],$C1099,LANÇ_MOV[PLANO DE CONTAS],REL_DRE_FINANCEIRO!$B$1062,LANÇ_MOV[ANO PAGAMENTO],$B$4,LANÇ_MOV[MÊS PAGAMENTO CORRESPONDENTE],M$6,LANÇ_MOV[EMPRESA],$C$4,LANÇ_MOV[CENTRO DE CUSTOS],$D$4)</f>
        <v>0</v>
      </c>
      <c r="N1099" s="206">
        <f>SUMIFS(LANÇ_MOV[VALOR LÍQUIDO],LANÇ_MOV[RECEITA OU DESPESA],"Receita",LANÇ_MOV[CONTAS],$C1099,LANÇ_MOV[PLANO DE CONTAS],REL_DRE_FINANCEIRO!$B$1062,LANÇ_MOV[ANO PAGAMENTO],$B$4,LANÇ_MOV[MÊS PAGAMENTO CORRESPONDENTE],N$6,LANÇ_MOV[EMPRESA],$C$4,LANÇ_MOV[CENTRO DE CUSTOS],$D$4)</f>
        <v>0</v>
      </c>
      <c r="O1099" s="206">
        <f>SUMIFS(LANÇ_MOV[VALOR LÍQUIDO],LANÇ_MOV[RECEITA OU DESPESA],"Receita",LANÇ_MOV[CONTAS],$C1099,LANÇ_MOV[PLANO DE CONTAS],REL_DRE_FINANCEIRO!$B$1062,LANÇ_MOV[ANO PAGAMENTO],$B$4,LANÇ_MOV[MÊS PAGAMENTO CORRESPONDENTE],O$6,LANÇ_MOV[EMPRESA],$C$4,LANÇ_MOV[CENTRO DE CUSTOS],$D$4)</f>
        <v>0</v>
      </c>
      <c r="P1099" s="207">
        <f t="shared" si="134"/>
        <v>0</v>
      </c>
      <c r="Q1099" s="329">
        <v>6.3999999999999997E-6</v>
      </c>
      <c r="R1099" s="346">
        <f t="shared" si="135"/>
        <v>6.3999999999999997E-6</v>
      </c>
      <c r="S1099" s="347" t="str">
        <f t="shared" si="136"/>
        <v>-</v>
      </c>
      <c r="T1099" s="347">
        <f t="shared" si="137"/>
        <v>0</v>
      </c>
      <c r="U1099" s="347">
        <f>HLOOKUP(Apoio!$P$12,$D$1061:$P$1162,X1099,FALSE)+Q1099</f>
        <v>6.3999999999999997E-6</v>
      </c>
      <c r="V1099" s="447" t="str">
        <f t="shared" si="138"/>
        <v>-</v>
      </c>
      <c r="W1099" s="448">
        <f>HLOOKUP(Apoio!$P$12,$D$1061:$P$1162,X1099,FALSE)</f>
        <v>0</v>
      </c>
      <c r="X1099" s="329">
        <v>39</v>
      </c>
    </row>
    <row r="1100" spans="2:24" ht="30.05" customHeight="1" x14ac:dyDescent="0.35">
      <c r="B1100" s="204" t="str">
        <f>'CAD_PL_REC-DESP'!H42</f>
        <v>1.3.38</v>
      </c>
      <c r="C1100" s="205" t="str">
        <f>IF('CAD_PL_REC-DESP'!I42="","-",'CAD_PL_REC-DESP'!I42)</f>
        <v>-</v>
      </c>
      <c r="D1100" s="206">
        <f>SUMIFS(LANÇ_MOV[VALOR LÍQUIDO],LANÇ_MOV[RECEITA OU DESPESA],"Receita",LANÇ_MOV[CONTAS],$C1100,LANÇ_MOV[PLANO DE CONTAS],REL_DRE_FINANCEIRO!$B$1062,LANÇ_MOV[ANO PAGAMENTO],$B$4,LANÇ_MOV[MÊS PAGAMENTO CORRESPONDENTE],D$6,LANÇ_MOV[EMPRESA],$C$4,LANÇ_MOV[CENTRO DE CUSTOS],$D$4)</f>
        <v>0</v>
      </c>
      <c r="E1100" s="206">
        <f>SUMIFS(LANÇ_MOV[VALOR LÍQUIDO],LANÇ_MOV[RECEITA OU DESPESA],"Receita",LANÇ_MOV[CONTAS],$C1100,LANÇ_MOV[PLANO DE CONTAS],REL_DRE_FINANCEIRO!$B$1062,LANÇ_MOV[ANO PAGAMENTO],$B$4,LANÇ_MOV[MÊS PAGAMENTO CORRESPONDENTE],E$6,LANÇ_MOV[EMPRESA],$C$4,LANÇ_MOV[CENTRO DE CUSTOS],$D$4)</f>
        <v>0</v>
      </c>
      <c r="F1100" s="206">
        <f>SUMIFS(LANÇ_MOV[VALOR LÍQUIDO],LANÇ_MOV[RECEITA OU DESPESA],"Receita",LANÇ_MOV[CONTAS],$C1100,LANÇ_MOV[PLANO DE CONTAS],REL_DRE_FINANCEIRO!$B$1062,LANÇ_MOV[ANO PAGAMENTO],$B$4,LANÇ_MOV[MÊS PAGAMENTO CORRESPONDENTE],F$6,LANÇ_MOV[EMPRESA],$C$4,LANÇ_MOV[CENTRO DE CUSTOS],$D$4)</f>
        <v>0</v>
      </c>
      <c r="G1100" s="206">
        <f>SUMIFS(LANÇ_MOV[VALOR LÍQUIDO],LANÇ_MOV[RECEITA OU DESPESA],"Receita",LANÇ_MOV[CONTAS],$C1100,LANÇ_MOV[PLANO DE CONTAS],REL_DRE_FINANCEIRO!$B$1062,LANÇ_MOV[ANO PAGAMENTO],$B$4,LANÇ_MOV[MÊS PAGAMENTO CORRESPONDENTE],G$6,LANÇ_MOV[EMPRESA],$C$4,LANÇ_MOV[CENTRO DE CUSTOS],$D$4)</f>
        <v>0</v>
      </c>
      <c r="H1100" s="206">
        <f>SUMIFS(LANÇ_MOV[VALOR LÍQUIDO],LANÇ_MOV[RECEITA OU DESPESA],"Receita",LANÇ_MOV[CONTAS],$C1100,LANÇ_MOV[PLANO DE CONTAS],REL_DRE_FINANCEIRO!$B$1062,LANÇ_MOV[ANO PAGAMENTO],$B$4,LANÇ_MOV[MÊS PAGAMENTO CORRESPONDENTE],H$6,LANÇ_MOV[EMPRESA],$C$4,LANÇ_MOV[CENTRO DE CUSTOS],$D$4)</f>
        <v>0</v>
      </c>
      <c r="I1100" s="206">
        <f>SUMIFS(LANÇ_MOV[VALOR LÍQUIDO],LANÇ_MOV[RECEITA OU DESPESA],"Receita",LANÇ_MOV[CONTAS],$C1100,LANÇ_MOV[PLANO DE CONTAS],REL_DRE_FINANCEIRO!$B$1062,LANÇ_MOV[ANO PAGAMENTO],$B$4,LANÇ_MOV[MÊS PAGAMENTO CORRESPONDENTE],I$6,LANÇ_MOV[EMPRESA],$C$4,LANÇ_MOV[CENTRO DE CUSTOS],$D$4)</f>
        <v>0</v>
      </c>
      <c r="J1100" s="206">
        <f>SUMIFS(LANÇ_MOV[VALOR LÍQUIDO],LANÇ_MOV[RECEITA OU DESPESA],"Receita",LANÇ_MOV[CONTAS],$C1100,LANÇ_MOV[PLANO DE CONTAS],REL_DRE_FINANCEIRO!$B$1062,LANÇ_MOV[ANO PAGAMENTO],$B$4,LANÇ_MOV[MÊS PAGAMENTO CORRESPONDENTE],J$6,LANÇ_MOV[EMPRESA],$C$4,LANÇ_MOV[CENTRO DE CUSTOS],$D$4)</f>
        <v>0</v>
      </c>
      <c r="K1100" s="206">
        <f>SUMIFS(LANÇ_MOV[VALOR LÍQUIDO],LANÇ_MOV[RECEITA OU DESPESA],"Receita",LANÇ_MOV[CONTAS],$C1100,LANÇ_MOV[PLANO DE CONTAS],REL_DRE_FINANCEIRO!$B$1062,LANÇ_MOV[ANO PAGAMENTO],$B$4,LANÇ_MOV[MÊS PAGAMENTO CORRESPONDENTE],K$6,LANÇ_MOV[EMPRESA],$C$4,LANÇ_MOV[CENTRO DE CUSTOS],$D$4)</f>
        <v>0</v>
      </c>
      <c r="L1100" s="206">
        <f>SUMIFS(LANÇ_MOV[VALOR LÍQUIDO],LANÇ_MOV[RECEITA OU DESPESA],"Receita",LANÇ_MOV[CONTAS],$C1100,LANÇ_MOV[PLANO DE CONTAS],REL_DRE_FINANCEIRO!$B$1062,LANÇ_MOV[ANO PAGAMENTO],$B$4,LANÇ_MOV[MÊS PAGAMENTO CORRESPONDENTE],L$6,LANÇ_MOV[EMPRESA],$C$4,LANÇ_MOV[CENTRO DE CUSTOS],$D$4)</f>
        <v>0</v>
      </c>
      <c r="M1100" s="206">
        <f>SUMIFS(LANÇ_MOV[VALOR LÍQUIDO],LANÇ_MOV[RECEITA OU DESPESA],"Receita",LANÇ_MOV[CONTAS],$C1100,LANÇ_MOV[PLANO DE CONTAS],REL_DRE_FINANCEIRO!$B$1062,LANÇ_MOV[ANO PAGAMENTO],$B$4,LANÇ_MOV[MÊS PAGAMENTO CORRESPONDENTE],M$6,LANÇ_MOV[EMPRESA],$C$4,LANÇ_MOV[CENTRO DE CUSTOS],$D$4)</f>
        <v>0</v>
      </c>
      <c r="N1100" s="206">
        <f>SUMIFS(LANÇ_MOV[VALOR LÍQUIDO],LANÇ_MOV[RECEITA OU DESPESA],"Receita",LANÇ_MOV[CONTAS],$C1100,LANÇ_MOV[PLANO DE CONTAS],REL_DRE_FINANCEIRO!$B$1062,LANÇ_MOV[ANO PAGAMENTO],$B$4,LANÇ_MOV[MÊS PAGAMENTO CORRESPONDENTE],N$6,LANÇ_MOV[EMPRESA],$C$4,LANÇ_MOV[CENTRO DE CUSTOS],$D$4)</f>
        <v>0</v>
      </c>
      <c r="O1100" s="206">
        <f>SUMIFS(LANÇ_MOV[VALOR LÍQUIDO],LANÇ_MOV[RECEITA OU DESPESA],"Receita",LANÇ_MOV[CONTAS],$C1100,LANÇ_MOV[PLANO DE CONTAS],REL_DRE_FINANCEIRO!$B$1062,LANÇ_MOV[ANO PAGAMENTO],$B$4,LANÇ_MOV[MÊS PAGAMENTO CORRESPONDENTE],O$6,LANÇ_MOV[EMPRESA],$C$4,LANÇ_MOV[CENTRO DE CUSTOS],$D$4)</f>
        <v>0</v>
      </c>
      <c r="P1100" s="207">
        <f t="shared" si="134"/>
        <v>0</v>
      </c>
      <c r="Q1100" s="329">
        <v>6.2999999999999998E-6</v>
      </c>
      <c r="R1100" s="346">
        <f t="shared" si="135"/>
        <v>6.2999999999999998E-6</v>
      </c>
      <c r="S1100" s="347" t="str">
        <f t="shared" si="136"/>
        <v>-</v>
      </c>
      <c r="T1100" s="347">
        <f t="shared" si="137"/>
        <v>0</v>
      </c>
      <c r="U1100" s="347">
        <f>HLOOKUP(Apoio!$P$12,$D$1061:$P$1162,X1100,FALSE)+Q1100</f>
        <v>6.2999999999999998E-6</v>
      </c>
      <c r="V1100" s="447" t="str">
        <f t="shared" si="138"/>
        <v>-</v>
      </c>
      <c r="W1100" s="448">
        <f>HLOOKUP(Apoio!$P$12,$D$1061:$P$1162,X1100,FALSE)</f>
        <v>0</v>
      </c>
      <c r="X1100" s="329">
        <v>40</v>
      </c>
    </row>
    <row r="1101" spans="2:24" ht="30.05" customHeight="1" x14ac:dyDescent="0.35">
      <c r="B1101" s="204" t="str">
        <f>'CAD_PL_REC-DESP'!H43</f>
        <v>1.3.39</v>
      </c>
      <c r="C1101" s="205" t="str">
        <f>IF('CAD_PL_REC-DESP'!I43="","-",'CAD_PL_REC-DESP'!I43)</f>
        <v>-</v>
      </c>
      <c r="D1101" s="206">
        <f>SUMIFS(LANÇ_MOV[VALOR LÍQUIDO],LANÇ_MOV[RECEITA OU DESPESA],"Receita",LANÇ_MOV[CONTAS],$C1101,LANÇ_MOV[PLANO DE CONTAS],REL_DRE_FINANCEIRO!$B$1062,LANÇ_MOV[ANO PAGAMENTO],$B$4,LANÇ_MOV[MÊS PAGAMENTO CORRESPONDENTE],D$6,LANÇ_MOV[EMPRESA],$C$4,LANÇ_MOV[CENTRO DE CUSTOS],$D$4)</f>
        <v>0</v>
      </c>
      <c r="E1101" s="206">
        <f>SUMIFS(LANÇ_MOV[VALOR LÍQUIDO],LANÇ_MOV[RECEITA OU DESPESA],"Receita",LANÇ_MOV[CONTAS],$C1101,LANÇ_MOV[PLANO DE CONTAS],REL_DRE_FINANCEIRO!$B$1062,LANÇ_MOV[ANO PAGAMENTO],$B$4,LANÇ_MOV[MÊS PAGAMENTO CORRESPONDENTE],E$6,LANÇ_MOV[EMPRESA],$C$4,LANÇ_MOV[CENTRO DE CUSTOS],$D$4)</f>
        <v>0</v>
      </c>
      <c r="F1101" s="206">
        <f>SUMIFS(LANÇ_MOV[VALOR LÍQUIDO],LANÇ_MOV[RECEITA OU DESPESA],"Receita",LANÇ_MOV[CONTAS],$C1101,LANÇ_MOV[PLANO DE CONTAS],REL_DRE_FINANCEIRO!$B$1062,LANÇ_MOV[ANO PAGAMENTO],$B$4,LANÇ_MOV[MÊS PAGAMENTO CORRESPONDENTE],F$6,LANÇ_MOV[EMPRESA],$C$4,LANÇ_MOV[CENTRO DE CUSTOS],$D$4)</f>
        <v>0</v>
      </c>
      <c r="G1101" s="206">
        <f>SUMIFS(LANÇ_MOV[VALOR LÍQUIDO],LANÇ_MOV[RECEITA OU DESPESA],"Receita",LANÇ_MOV[CONTAS],$C1101,LANÇ_MOV[PLANO DE CONTAS],REL_DRE_FINANCEIRO!$B$1062,LANÇ_MOV[ANO PAGAMENTO],$B$4,LANÇ_MOV[MÊS PAGAMENTO CORRESPONDENTE],G$6,LANÇ_MOV[EMPRESA],$C$4,LANÇ_MOV[CENTRO DE CUSTOS],$D$4)</f>
        <v>0</v>
      </c>
      <c r="H1101" s="206">
        <f>SUMIFS(LANÇ_MOV[VALOR LÍQUIDO],LANÇ_MOV[RECEITA OU DESPESA],"Receita",LANÇ_MOV[CONTAS],$C1101,LANÇ_MOV[PLANO DE CONTAS],REL_DRE_FINANCEIRO!$B$1062,LANÇ_MOV[ANO PAGAMENTO],$B$4,LANÇ_MOV[MÊS PAGAMENTO CORRESPONDENTE],H$6,LANÇ_MOV[EMPRESA],$C$4,LANÇ_MOV[CENTRO DE CUSTOS],$D$4)</f>
        <v>0</v>
      </c>
      <c r="I1101" s="206">
        <f>SUMIFS(LANÇ_MOV[VALOR LÍQUIDO],LANÇ_MOV[RECEITA OU DESPESA],"Receita",LANÇ_MOV[CONTAS],$C1101,LANÇ_MOV[PLANO DE CONTAS],REL_DRE_FINANCEIRO!$B$1062,LANÇ_MOV[ANO PAGAMENTO],$B$4,LANÇ_MOV[MÊS PAGAMENTO CORRESPONDENTE],I$6,LANÇ_MOV[EMPRESA],$C$4,LANÇ_MOV[CENTRO DE CUSTOS],$D$4)</f>
        <v>0</v>
      </c>
      <c r="J1101" s="206">
        <f>SUMIFS(LANÇ_MOV[VALOR LÍQUIDO],LANÇ_MOV[RECEITA OU DESPESA],"Receita",LANÇ_MOV[CONTAS],$C1101,LANÇ_MOV[PLANO DE CONTAS],REL_DRE_FINANCEIRO!$B$1062,LANÇ_MOV[ANO PAGAMENTO],$B$4,LANÇ_MOV[MÊS PAGAMENTO CORRESPONDENTE],J$6,LANÇ_MOV[EMPRESA],$C$4,LANÇ_MOV[CENTRO DE CUSTOS],$D$4)</f>
        <v>0</v>
      </c>
      <c r="K1101" s="206">
        <f>SUMIFS(LANÇ_MOV[VALOR LÍQUIDO],LANÇ_MOV[RECEITA OU DESPESA],"Receita",LANÇ_MOV[CONTAS],$C1101,LANÇ_MOV[PLANO DE CONTAS],REL_DRE_FINANCEIRO!$B$1062,LANÇ_MOV[ANO PAGAMENTO],$B$4,LANÇ_MOV[MÊS PAGAMENTO CORRESPONDENTE],K$6,LANÇ_MOV[EMPRESA],$C$4,LANÇ_MOV[CENTRO DE CUSTOS],$D$4)</f>
        <v>0</v>
      </c>
      <c r="L1101" s="206">
        <f>SUMIFS(LANÇ_MOV[VALOR LÍQUIDO],LANÇ_MOV[RECEITA OU DESPESA],"Receita",LANÇ_MOV[CONTAS],$C1101,LANÇ_MOV[PLANO DE CONTAS],REL_DRE_FINANCEIRO!$B$1062,LANÇ_MOV[ANO PAGAMENTO],$B$4,LANÇ_MOV[MÊS PAGAMENTO CORRESPONDENTE],L$6,LANÇ_MOV[EMPRESA],$C$4,LANÇ_MOV[CENTRO DE CUSTOS],$D$4)</f>
        <v>0</v>
      </c>
      <c r="M1101" s="206">
        <f>SUMIFS(LANÇ_MOV[VALOR LÍQUIDO],LANÇ_MOV[RECEITA OU DESPESA],"Receita",LANÇ_MOV[CONTAS],$C1101,LANÇ_MOV[PLANO DE CONTAS],REL_DRE_FINANCEIRO!$B$1062,LANÇ_MOV[ANO PAGAMENTO],$B$4,LANÇ_MOV[MÊS PAGAMENTO CORRESPONDENTE],M$6,LANÇ_MOV[EMPRESA],$C$4,LANÇ_MOV[CENTRO DE CUSTOS],$D$4)</f>
        <v>0</v>
      </c>
      <c r="N1101" s="206">
        <f>SUMIFS(LANÇ_MOV[VALOR LÍQUIDO],LANÇ_MOV[RECEITA OU DESPESA],"Receita",LANÇ_MOV[CONTAS],$C1101,LANÇ_MOV[PLANO DE CONTAS],REL_DRE_FINANCEIRO!$B$1062,LANÇ_MOV[ANO PAGAMENTO],$B$4,LANÇ_MOV[MÊS PAGAMENTO CORRESPONDENTE],N$6,LANÇ_MOV[EMPRESA],$C$4,LANÇ_MOV[CENTRO DE CUSTOS],$D$4)</f>
        <v>0</v>
      </c>
      <c r="O1101" s="206">
        <f>SUMIFS(LANÇ_MOV[VALOR LÍQUIDO],LANÇ_MOV[RECEITA OU DESPESA],"Receita",LANÇ_MOV[CONTAS],$C1101,LANÇ_MOV[PLANO DE CONTAS],REL_DRE_FINANCEIRO!$B$1062,LANÇ_MOV[ANO PAGAMENTO],$B$4,LANÇ_MOV[MÊS PAGAMENTO CORRESPONDENTE],O$6,LANÇ_MOV[EMPRESA],$C$4,LANÇ_MOV[CENTRO DE CUSTOS],$D$4)</f>
        <v>0</v>
      </c>
      <c r="P1101" s="207">
        <f t="shared" si="134"/>
        <v>0</v>
      </c>
      <c r="Q1101" s="329">
        <v>6.1999999999999999E-6</v>
      </c>
      <c r="R1101" s="346">
        <f t="shared" si="135"/>
        <v>6.1999999999999999E-6</v>
      </c>
      <c r="S1101" s="347" t="str">
        <f t="shared" si="136"/>
        <v>-</v>
      </c>
      <c r="T1101" s="347">
        <f t="shared" si="137"/>
        <v>0</v>
      </c>
      <c r="U1101" s="347">
        <f>HLOOKUP(Apoio!$P$12,$D$1061:$P$1162,X1101,FALSE)+Q1101</f>
        <v>6.1999999999999999E-6</v>
      </c>
      <c r="V1101" s="447" t="str">
        <f t="shared" si="138"/>
        <v>-</v>
      </c>
      <c r="W1101" s="448">
        <f>HLOOKUP(Apoio!$P$12,$D$1061:$P$1162,X1101,FALSE)</f>
        <v>0</v>
      </c>
      <c r="X1101" s="329">
        <v>41</v>
      </c>
    </row>
    <row r="1102" spans="2:24" ht="30.05" customHeight="1" x14ac:dyDescent="0.35">
      <c r="B1102" s="204" t="str">
        <f>'CAD_PL_REC-DESP'!H44</f>
        <v>1.3.40</v>
      </c>
      <c r="C1102" s="205" t="str">
        <f>IF('CAD_PL_REC-DESP'!I44="","-",'CAD_PL_REC-DESP'!I44)</f>
        <v>-</v>
      </c>
      <c r="D1102" s="206">
        <f>SUMIFS(LANÇ_MOV[VALOR LÍQUIDO],LANÇ_MOV[RECEITA OU DESPESA],"Receita",LANÇ_MOV[CONTAS],$C1102,LANÇ_MOV[PLANO DE CONTAS],REL_DRE_FINANCEIRO!$B$1062,LANÇ_MOV[ANO PAGAMENTO],$B$4,LANÇ_MOV[MÊS PAGAMENTO CORRESPONDENTE],D$6,LANÇ_MOV[EMPRESA],$C$4,LANÇ_MOV[CENTRO DE CUSTOS],$D$4)</f>
        <v>0</v>
      </c>
      <c r="E1102" s="206">
        <f>SUMIFS(LANÇ_MOV[VALOR LÍQUIDO],LANÇ_MOV[RECEITA OU DESPESA],"Receita",LANÇ_MOV[CONTAS],$C1102,LANÇ_MOV[PLANO DE CONTAS],REL_DRE_FINANCEIRO!$B$1062,LANÇ_MOV[ANO PAGAMENTO],$B$4,LANÇ_MOV[MÊS PAGAMENTO CORRESPONDENTE],E$6,LANÇ_MOV[EMPRESA],$C$4,LANÇ_MOV[CENTRO DE CUSTOS],$D$4)</f>
        <v>0</v>
      </c>
      <c r="F1102" s="206">
        <f>SUMIFS(LANÇ_MOV[VALOR LÍQUIDO],LANÇ_MOV[RECEITA OU DESPESA],"Receita",LANÇ_MOV[CONTAS],$C1102,LANÇ_MOV[PLANO DE CONTAS],REL_DRE_FINANCEIRO!$B$1062,LANÇ_MOV[ANO PAGAMENTO],$B$4,LANÇ_MOV[MÊS PAGAMENTO CORRESPONDENTE],F$6,LANÇ_MOV[EMPRESA],$C$4,LANÇ_MOV[CENTRO DE CUSTOS],$D$4)</f>
        <v>0</v>
      </c>
      <c r="G1102" s="206">
        <f>SUMIFS(LANÇ_MOV[VALOR LÍQUIDO],LANÇ_MOV[RECEITA OU DESPESA],"Receita",LANÇ_MOV[CONTAS],$C1102,LANÇ_MOV[PLANO DE CONTAS],REL_DRE_FINANCEIRO!$B$1062,LANÇ_MOV[ANO PAGAMENTO],$B$4,LANÇ_MOV[MÊS PAGAMENTO CORRESPONDENTE],G$6,LANÇ_MOV[EMPRESA],$C$4,LANÇ_MOV[CENTRO DE CUSTOS],$D$4)</f>
        <v>0</v>
      </c>
      <c r="H1102" s="206">
        <f>SUMIFS(LANÇ_MOV[VALOR LÍQUIDO],LANÇ_MOV[RECEITA OU DESPESA],"Receita",LANÇ_MOV[CONTAS],$C1102,LANÇ_MOV[PLANO DE CONTAS],REL_DRE_FINANCEIRO!$B$1062,LANÇ_MOV[ANO PAGAMENTO],$B$4,LANÇ_MOV[MÊS PAGAMENTO CORRESPONDENTE],H$6,LANÇ_MOV[EMPRESA],$C$4,LANÇ_MOV[CENTRO DE CUSTOS],$D$4)</f>
        <v>0</v>
      </c>
      <c r="I1102" s="206">
        <f>SUMIFS(LANÇ_MOV[VALOR LÍQUIDO],LANÇ_MOV[RECEITA OU DESPESA],"Receita",LANÇ_MOV[CONTAS],$C1102,LANÇ_MOV[PLANO DE CONTAS],REL_DRE_FINANCEIRO!$B$1062,LANÇ_MOV[ANO PAGAMENTO],$B$4,LANÇ_MOV[MÊS PAGAMENTO CORRESPONDENTE],I$6,LANÇ_MOV[EMPRESA],$C$4,LANÇ_MOV[CENTRO DE CUSTOS],$D$4)</f>
        <v>0</v>
      </c>
      <c r="J1102" s="206">
        <f>SUMIFS(LANÇ_MOV[VALOR LÍQUIDO],LANÇ_MOV[RECEITA OU DESPESA],"Receita",LANÇ_MOV[CONTAS],$C1102,LANÇ_MOV[PLANO DE CONTAS],REL_DRE_FINANCEIRO!$B$1062,LANÇ_MOV[ANO PAGAMENTO],$B$4,LANÇ_MOV[MÊS PAGAMENTO CORRESPONDENTE],J$6,LANÇ_MOV[EMPRESA],$C$4,LANÇ_MOV[CENTRO DE CUSTOS],$D$4)</f>
        <v>0</v>
      </c>
      <c r="K1102" s="206">
        <f>SUMIFS(LANÇ_MOV[VALOR LÍQUIDO],LANÇ_MOV[RECEITA OU DESPESA],"Receita",LANÇ_MOV[CONTAS],$C1102,LANÇ_MOV[PLANO DE CONTAS],REL_DRE_FINANCEIRO!$B$1062,LANÇ_MOV[ANO PAGAMENTO],$B$4,LANÇ_MOV[MÊS PAGAMENTO CORRESPONDENTE],K$6,LANÇ_MOV[EMPRESA],$C$4,LANÇ_MOV[CENTRO DE CUSTOS],$D$4)</f>
        <v>0</v>
      </c>
      <c r="L1102" s="206">
        <f>SUMIFS(LANÇ_MOV[VALOR LÍQUIDO],LANÇ_MOV[RECEITA OU DESPESA],"Receita",LANÇ_MOV[CONTAS],$C1102,LANÇ_MOV[PLANO DE CONTAS],REL_DRE_FINANCEIRO!$B$1062,LANÇ_MOV[ANO PAGAMENTO],$B$4,LANÇ_MOV[MÊS PAGAMENTO CORRESPONDENTE],L$6,LANÇ_MOV[EMPRESA],$C$4,LANÇ_MOV[CENTRO DE CUSTOS],$D$4)</f>
        <v>0</v>
      </c>
      <c r="M1102" s="206">
        <f>SUMIFS(LANÇ_MOV[VALOR LÍQUIDO],LANÇ_MOV[RECEITA OU DESPESA],"Receita",LANÇ_MOV[CONTAS],$C1102,LANÇ_MOV[PLANO DE CONTAS],REL_DRE_FINANCEIRO!$B$1062,LANÇ_MOV[ANO PAGAMENTO],$B$4,LANÇ_MOV[MÊS PAGAMENTO CORRESPONDENTE],M$6,LANÇ_MOV[EMPRESA],$C$4,LANÇ_MOV[CENTRO DE CUSTOS],$D$4)</f>
        <v>0</v>
      </c>
      <c r="N1102" s="206">
        <f>SUMIFS(LANÇ_MOV[VALOR LÍQUIDO],LANÇ_MOV[RECEITA OU DESPESA],"Receita",LANÇ_MOV[CONTAS],$C1102,LANÇ_MOV[PLANO DE CONTAS],REL_DRE_FINANCEIRO!$B$1062,LANÇ_MOV[ANO PAGAMENTO],$B$4,LANÇ_MOV[MÊS PAGAMENTO CORRESPONDENTE],N$6,LANÇ_MOV[EMPRESA],$C$4,LANÇ_MOV[CENTRO DE CUSTOS],$D$4)</f>
        <v>0</v>
      </c>
      <c r="O1102" s="206">
        <f>SUMIFS(LANÇ_MOV[VALOR LÍQUIDO],LANÇ_MOV[RECEITA OU DESPESA],"Receita",LANÇ_MOV[CONTAS],$C1102,LANÇ_MOV[PLANO DE CONTAS],REL_DRE_FINANCEIRO!$B$1062,LANÇ_MOV[ANO PAGAMENTO],$B$4,LANÇ_MOV[MÊS PAGAMENTO CORRESPONDENTE],O$6,LANÇ_MOV[EMPRESA],$C$4,LANÇ_MOV[CENTRO DE CUSTOS],$D$4)</f>
        <v>0</v>
      </c>
      <c r="P1102" s="207">
        <f t="shared" si="134"/>
        <v>0</v>
      </c>
      <c r="Q1102" s="329">
        <v>6.1E-6</v>
      </c>
      <c r="R1102" s="346">
        <f t="shared" si="135"/>
        <v>6.1E-6</v>
      </c>
      <c r="S1102" s="347" t="str">
        <f t="shared" si="136"/>
        <v>-</v>
      </c>
      <c r="T1102" s="347">
        <f t="shared" si="137"/>
        <v>0</v>
      </c>
      <c r="U1102" s="347">
        <f>HLOOKUP(Apoio!$P$12,$D$1061:$P$1162,X1102,FALSE)+Q1102</f>
        <v>6.1E-6</v>
      </c>
      <c r="V1102" s="447" t="str">
        <f t="shared" si="138"/>
        <v>-</v>
      </c>
      <c r="W1102" s="448">
        <f>HLOOKUP(Apoio!$P$12,$D$1061:$P$1162,X1102,FALSE)</f>
        <v>0</v>
      </c>
      <c r="X1102" s="329">
        <v>42</v>
      </c>
    </row>
    <row r="1103" spans="2:24" ht="30.05" customHeight="1" x14ac:dyDescent="0.35">
      <c r="B1103" s="204" t="str">
        <f>'CAD_PL_REC-DESP'!H45</f>
        <v>1.3.41</v>
      </c>
      <c r="C1103" s="205" t="str">
        <f>IF('CAD_PL_REC-DESP'!I45="","-",'CAD_PL_REC-DESP'!I45)</f>
        <v>-</v>
      </c>
      <c r="D1103" s="206">
        <f>SUMIFS(LANÇ_MOV[VALOR LÍQUIDO],LANÇ_MOV[RECEITA OU DESPESA],"Receita",LANÇ_MOV[CONTAS],$C1103,LANÇ_MOV[PLANO DE CONTAS],REL_DRE_FINANCEIRO!$B$1062,LANÇ_MOV[ANO PAGAMENTO],$B$4,LANÇ_MOV[MÊS PAGAMENTO CORRESPONDENTE],D$6,LANÇ_MOV[EMPRESA],$C$4,LANÇ_MOV[CENTRO DE CUSTOS],$D$4)</f>
        <v>0</v>
      </c>
      <c r="E1103" s="206">
        <f>SUMIFS(LANÇ_MOV[VALOR LÍQUIDO],LANÇ_MOV[RECEITA OU DESPESA],"Receita",LANÇ_MOV[CONTAS],$C1103,LANÇ_MOV[PLANO DE CONTAS],REL_DRE_FINANCEIRO!$B$1062,LANÇ_MOV[ANO PAGAMENTO],$B$4,LANÇ_MOV[MÊS PAGAMENTO CORRESPONDENTE],E$6,LANÇ_MOV[EMPRESA],$C$4,LANÇ_MOV[CENTRO DE CUSTOS],$D$4)</f>
        <v>0</v>
      </c>
      <c r="F1103" s="206">
        <f>SUMIFS(LANÇ_MOV[VALOR LÍQUIDO],LANÇ_MOV[RECEITA OU DESPESA],"Receita",LANÇ_MOV[CONTAS],$C1103,LANÇ_MOV[PLANO DE CONTAS],REL_DRE_FINANCEIRO!$B$1062,LANÇ_MOV[ANO PAGAMENTO],$B$4,LANÇ_MOV[MÊS PAGAMENTO CORRESPONDENTE],F$6,LANÇ_MOV[EMPRESA],$C$4,LANÇ_MOV[CENTRO DE CUSTOS],$D$4)</f>
        <v>0</v>
      </c>
      <c r="G1103" s="206">
        <f>SUMIFS(LANÇ_MOV[VALOR LÍQUIDO],LANÇ_MOV[RECEITA OU DESPESA],"Receita",LANÇ_MOV[CONTAS],$C1103,LANÇ_MOV[PLANO DE CONTAS],REL_DRE_FINANCEIRO!$B$1062,LANÇ_MOV[ANO PAGAMENTO],$B$4,LANÇ_MOV[MÊS PAGAMENTO CORRESPONDENTE],G$6,LANÇ_MOV[EMPRESA],$C$4,LANÇ_MOV[CENTRO DE CUSTOS],$D$4)</f>
        <v>0</v>
      </c>
      <c r="H1103" s="206">
        <f>SUMIFS(LANÇ_MOV[VALOR LÍQUIDO],LANÇ_MOV[RECEITA OU DESPESA],"Receita",LANÇ_MOV[CONTAS],$C1103,LANÇ_MOV[PLANO DE CONTAS],REL_DRE_FINANCEIRO!$B$1062,LANÇ_MOV[ANO PAGAMENTO],$B$4,LANÇ_MOV[MÊS PAGAMENTO CORRESPONDENTE],H$6,LANÇ_MOV[EMPRESA],$C$4,LANÇ_MOV[CENTRO DE CUSTOS],$D$4)</f>
        <v>0</v>
      </c>
      <c r="I1103" s="206">
        <f>SUMIFS(LANÇ_MOV[VALOR LÍQUIDO],LANÇ_MOV[RECEITA OU DESPESA],"Receita",LANÇ_MOV[CONTAS],$C1103,LANÇ_MOV[PLANO DE CONTAS],REL_DRE_FINANCEIRO!$B$1062,LANÇ_MOV[ANO PAGAMENTO],$B$4,LANÇ_MOV[MÊS PAGAMENTO CORRESPONDENTE],I$6,LANÇ_MOV[EMPRESA],$C$4,LANÇ_MOV[CENTRO DE CUSTOS],$D$4)</f>
        <v>0</v>
      </c>
      <c r="J1103" s="206">
        <f>SUMIFS(LANÇ_MOV[VALOR LÍQUIDO],LANÇ_MOV[RECEITA OU DESPESA],"Receita",LANÇ_MOV[CONTAS],$C1103,LANÇ_MOV[PLANO DE CONTAS],REL_DRE_FINANCEIRO!$B$1062,LANÇ_MOV[ANO PAGAMENTO],$B$4,LANÇ_MOV[MÊS PAGAMENTO CORRESPONDENTE],J$6,LANÇ_MOV[EMPRESA],$C$4,LANÇ_MOV[CENTRO DE CUSTOS],$D$4)</f>
        <v>0</v>
      </c>
      <c r="K1103" s="206">
        <f>SUMIFS(LANÇ_MOV[VALOR LÍQUIDO],LANÇ_MOV[RECEITA OU DESPESA],"Receita",LANÇ_MOV[CONTAS],$C1103,LANÇ_MOV[PLANO DE CONTAS],REL_DRE_FINANCEIRO!$B$1062,LANÇ_MOV[ANO PAGAMENTO],$B$4,LANÇ_MOV[MÊS PAGAMENTO CORRESPONDENTE],K$6,LANÇ_MOV[EMPRESA],$C$4,LANÇ_MOV[CENTRO DE CUSTOS],$D$4)</f>
        <v>0</v>
      </c>
      <c r="L1103" s="206">
        <f>SUMIFS(LANÇ_MOV[VALOR LÍQUIDO],LANÇ_MOV[RECEITA OU DESPESA],"Receita",LANÇ_MOV[CONTAS],$C1103,LANÇ_MOV[PLANO DE CONTAS],REL_DRE_FINANCEIRO!$B$1062,LANÇ_MOV[ANO PAGAMENTO],$B$4,LANÇ_MOV[MÊS PAGAMENTO CORRESPONDENTE],L$6,LANÇ_MOV[EMPRESA],$C$4,LANÇ_MOV[CENTRO DE CUSTOS],$D$4)</f>
        <v>0</v>
      </c>
      <c r="M1103" s="206">
        <f>SUMIFS(LANÇ_MOV[VALOR LÍQUIDO],LANÇ_MOV[RECEITA OU DESPESA],"Receita",LANÇ_MOV[CONTAS],$C1103,LANÇ_MOV[PLANO DE CONTAS],REL_DRE_FINANCEIRO!$B$1062,LANÇ_MOV[ANO PAGAMENTO],$B$4,LANÇ_MOV[MÊS PAGAMENTO CORRESPONDENTE],M$6,LANÇ_MOV[EMPRESA],$C$4,LANÇ_MOV[CENTRO DE CUSTOS],$D$4)</f>
        <v>0</v>
      </c>
      <c r="N1103" s="206">
        <f>SUMIFS(LANÇ_MOV[VALOR LÍQUIDO],LANÇ_MOV[RECEITA OU DESPESA],"Receita",LANÇ_MOV[CONTAS],$C1103,LANÇ_MOV[PLANO DE CONTAS],REL_DRE_FINANCEIRO!$B$1062,LANÇ_MOV[ANO PAGAMENTO],$B$4,LANÇ_MOV[MÊS PAGAMENTO CORRESPONDENTE],N$6,LANÇ_MOV[EMPRESA],$C$4,LANÇ_MOV[CENTRO DE CUSTOS],$D$4)</f>
        <v>0</v>
      </c>
      <c r="O1103" s="206">
        <f>SUMIFS(LANÇ_MOV[VALOR LÍQUIDO],LANÇ_MOV[RECEITA OU DESPESA],"Receita",LANÇ_MOV[CONTAS],$C1103,LANÇ_MOV[PLANO DE CONTAS],REL_DRE_FINANCEIRO!$B$1062,LANÇ_MOV[ANO PAGAMENTO],$B$4,LANÇ_MOV[MÊS PAGAMENTO CORRESPONDENTE],O$6,LANÇ_MOV[EMPRESA],$C$4,LANÇ_MOV[CENTRO DE CUSTOS],$D$4)</f>
        <v>0</v>
      </c>
      <c r="P1103" s="207">
        <f t="shared" si="134"/>
        <v>0</v>
      </c>
      <c r="Q1103" s="329">
        <v>6.0000000000000002E-6</v>
      </c>
      <c r="R1103" s="346">
        <f t="shared" si="135"/>
        <v>6.0000000000000002E-6</v>
      </c>
      <c r="S1103" s="347" t="str">
        <f t="shared" si="136"/>
        <v>-</v>
      </c>
      <c r="T1103" s="347">
        <f t="shared" si="137"/>
        <v>0</v>
      </c>
      <c r="U1103" s="347">
        <f>HLOOKUP(Apoio!$P$12,$D$1061:$P$1162,X1103,FALSE)+Q1103</f>
        <v>6.0000000000000002E-6</v>
      </c>
      <c r="V1103" s="447" t="str">
        <f t="shared" si="138"/>
        <v>-</v>
      </c>
      <c r="W1103" s="448">
        <f>HLOOKUP(Apoio!$P$12,$D$1061:$P$1162,X1103,FALSE)</f>
        <v>0</v>
      </c>
      <c r="X1103" s="329">
        <v>43</v>
      </c>
    </row>
    <row r="1104" spans="2:24" ht="30.05" customHeight="1" x14ac:dyDescent="0.35">
      <c r="B1104" s="204" t="str">
        <f>'CAD_PL_REC-DESP'!H46</f>
        <v>1.3.42</v>
      </c>
      <c r="C1104" s="205" t="str">
        <f>IF('CAD_PL_REC-DESP'!I46="","-",'CAD_PL_REC-DESP'!I46)</f>
        <v>-</v>
      </c>
      <c r="D1104" s="206">
        <f>SUMIFS(LANÇ_MOV[VALOR LÍQUIDO],LANÇ_MOV[RECEITA OU DESPESA],"Receita",LANÇ_MOV[CONTAS],$C1104,LANÇ_MOV[PLANO DE CONTAS],REL_DRE_FINANCEIRO!$B$1062,LANÇ_MOV[ANO PAGAMENTO],$B$4,LANÇ_MOV[MÊS PAGAMENTO CORRESPONDENTE],D$6,LANÇ_MOV[EMPRESA],$C$4,LANÇ_MOV[CENTRO DE CUSTOS],$D$4)</f>
        <v>0</v>
      </c>
      <c r="E1104" s="206">
        <f>SUMIFS(LANÇ_MOV[VALOR LÍQUIDO],LANÇ_MOV[RECEITA OU DESPESA],"Receita",LANÇ_MOV[CONTAS],$C1104,LANÇ_MOV[PLANO DE CONTAS],REL_DRE_FINANCEIRO!$B$1062,LANÇ_MOV[ANO PAGAMENTO],$B$4,LANÇ_MOV[MÊS PAGAMENTO CORRESPONDENTE],E$6,LANÇ_MOV[EMPRESA],$C$4,LANÇ_MOV[CENTRO DE CUSTOS],$D$4)</f>
        <v>0</v>
      </c>
      <c r="F1104" s="206">
        <f>SUMIFS(LANÇ_MOV[VALOR LÍQUIDO],LANÇ_MOV[RECEITA OU DESPESA],"Receita",LANÇ_MOV[CONTAS],$C1104,LANÇ_MOV[PLANO DE CONTAS],REL_DRE_FINANCEIRO!$B$1062,LANÇ_MOV[ANO PAGAMENTO],$B$4,LANÇ_MOV[MÊS PAGAMENTO CORRESPONDENTE],F$6,LANÇ_MOV[EMPRESA],$C$4,LANÇ_MOV[CENTRO DE CUSTOS],$D$4)</f>
        <v>0</v>
      </c>
      <c r="G1104" s="206">
        <f>SUMIFS(LANÇ_MOV[VALOR LÍQUIDO],LANÇ_MOV[RECEITA OU DESPESA],"Receita",LANÇ_MOV[CONTAS],$C1104,LANÇ_MOV[PLANO DE CONTAS],REL_DRE_FINANCEIRO!$B$1062,LANÇ_MOV[ANO PAGAMENTO],$B$4,LANÇ_MOV[MÊS PAGAMENTO CORRESPONDENTE],G$6,LANÇ_MOV[EMPRESA],$C$4,LANÇ_MOV[CENTRO DE CUSTOS],$D$4)</f>
        <v>0</v>
      </c>
      <c r="H1104" s="206">
        <f>SUMIFS(LANÇ_MOV[VALOR LÍQUIDO],LANÇ_MOV[RECEITA OU DESPESA],"Receita",LANÇ_MOV[CONTAS],$C1104,LANÇ_MOV[PLANO DE CONTAS],REL_DRE_FINANCEIRO!$B$1062,LANÇ_MOV[ANO PAGAMENTO],$B$4,LANÇ_MOV[MÊS PAGAMENTO CORRESPONDENTE],H$6,LANÇ_MOV[EMPRESA],$C$4,LANÇ_MOV[CENTRO DE CUSTOS],$D$4)</f>
        <v>0</v>
      </c>
      <c r="I1104" s="206">
        <f>SUMIFS(LANÇ_MOV[VALOR LÍQUIDO],LANÇ_MOV[RECEITA OU DESPESA],"Receita",LANÇ_MOV[CONTAS],$C1104,LANÇ_MOV[PLANO DE CONTAS],REL_DRE_FINANCEIRO!$B$1062,LANÇ_MOV[ANO PAGAMENTO],$B$4,LANÇ_MOV[MÊS PAGAMENTO CORRESPONDENTE],I$6,LANÇ_MOV[EMPRESA],$C$4,LANÇ_MOV[CENTRO DE CUSTOS],$D$4)</f>
        <v>0</v>
      </c>
      <c r="J1104" s="206">
        <f>SUMIFS(LANÇ_MOV[VALOR LÍQUIDO],LANÇ_MOV[RECEITA OU DESPESA],"Receita",LANÇ_MOV[CONTAS],$C1104,LANÇ_MOV[PLANO DE CONTAS],REL_DRE_FINANCEIRO!$B$1062,LANÇ_MOV[ANO PAGAMENTO],$B$4,LANÇ_MOV[MÊS PAGAMENTO CORRESPONDENTE],J$6,LANÇ_MOV[EMPRESA],$C$4,LANÇ_MOV[CENTRO DE CUSTOS],$D$4)</f>
        <v>0</v>
      </c>
      <c r="K1104" s="206">
        <f>SUMIFS(LANÇ_MOV[VALOR LÍQUIDO],LANÇ_MOV[RECEITA OU DESPESA],"Receita",LANÇ_MOV[CONTAS],$C1104,LANÇ_MOV[PLANO DE CONTAS],REL_DRE_FINANCEIRO!$B$1062,LANÇ_MOV[ANO PAGAMENTO],$B$4,LANÇ_MOV[MÊS PAGAMENTO CORRESPONDENTE],K$6,LANÇ_MOV[EMPRESA],$C$4,LANÇ_MOV[CENTRO DE CUSTOS],$D$4)</f>
        <v>0</v>
      </c>
      <c r="L1104" s="206">
        <f>SUMIFS(LANÇ_MOV[VALOR LÍQUIDO],LANÇ_MOV[RECEITA OU DESPESA],"Receita",LANÇ_MOV[CONTAS],$C1104,LANÇ_MOV[PLANO DE CONTAS],REL_DRE_FINANCEIRO!$B$1062,LANÇ_MOV[ANO PAGAMENTO],$B$4,LANÇ_MOV[MÊS PAGAMENTO CORRESPONDENTE],L$6,LANÇ_MOV[EMPRESA],$C$4,LANÇ_MOV[CENTRO DE CUSTOS],$D$4)</f>
        <v>0</v>
      </c>
      <c r="M1104" s="206">
        <f>SUMIFS(LANÇ_MOV[VALOR LÍQUIDO],LANÇ_MOV[RECEITA OU DESPESA],"Receita",LANÇ_MOV[CONTAS],$C1104,LANÇ_MOV[PLANO DE CONTAS],REL_DRE_FINANCEIRO!$B$1062,LANÇ_MOV[ANO PAGAMENTO],$B$4,LANÇ_MOV[MÊS PAGAMENTO CORRESPONDENTE],M$6,LANÇ_MOV[EMPRESA],$C$4,LANÇ_MOV[CENTRO DE CUSTOS],$D$4)</f>
        <v>0</v>
      </c>
      <c r="N1104" s="206">
        <f>SUMIFS(LANÇ_MOV[VALOR LÍQUIDO],LANÇ_MOV[RECEITA OU DESPESA],"Receita",LANÇ_MOV[CONTAS],$C1104,LANÇ_MOV[PLANO DE CONTAS],REL_DRE_FINANCEIRO!$B$1062,LANÇ_MOV[ANO PAGAMENTO],$B$4,LANÇ_MOV[MÊS PAGAMENTO CORRESPONDENTE],N$6,LANÇ_MOV[EMPRESA],$C$4,LANÇ_MOV[CENTRO DE CUSTOS],$D$4)</f>
        <v>0</v>
      </c>
      <c r="O1104" s="206">
        <f>SUMIFS(LANÇ_MOV[VALOR LÍQUIDO],LANÇ_MOV[RECEITA OU DESPESA],"Receita",LANÇ_MOV[CONTAS],$C1104,LANÇ_MOV[PLANO DE CONTAS],REL_DRE_FINANCEIRO!$B$1062,LANÇ_MOV[ANO PAGAMENTO],$B$4,LANÇ_MOV[MÊS PAGAMENTO CORRESPONDENTE],O$6,LANÇ_MOV[EMPRESA],$C$4,LANÇ_MOV[CENTRO DE CUSTOS],$D$4)</f>
        <v>0</v>
      </c>
      <c r="P1104" s="207">
        <f t="shared" si="134"/>
        <v>0</v>
      </c>
      <c r="Q1104" s="329">
        <v>5.9000000000000003E-6</v>
      </c>
      <c r="R1104" s="346">
        <f t="shared" si="135"/>
        <v>5.9000000000000003E-6</v>
      </c>
      <c r="S1104" s="347" t="str">
        <f t="shared" si="136"/>
        <v>-</v>
      </c>
      <c r="T1104" s="347">
        <f t="shared" si="137"/>
        <v>0</v>
      </c>
      <c r="U1104" s="347">
        <f>HLOOKUP(Apoio!$P$12,$D$1061:$P$1162,X1104,FALSE)+Q1104</f>
        <v>5.9000000000000003E-6</v>
      </c>
      <c r="V1104" s="447" t="str">
        <f t="shared" si="138"/>
        <v>-</v>
      </c>
      <c r="W1104" s="448">
        <f>HLOOKUP(Apoio!$P$12,$D$1061:$P$1162,X1104,FALSE)</f>
        <v>0</v>
      </c>
      <c r="X1104" s="329">
        <v>44</v>
      </c>
    </row>
    <row r="1105" spans="2:24" ht="30.05" customHeight="1" x14ac:dyDescent="0.35">
      <c r="B1105" s="204" t="str">
        <f>'CAD_PL_REC-DESP'!H47</f>
        <v>1.3.43</v>
      </c>
      <c r="C1105" s="205" t="str">
        <f>IF('CAD_PL_REC-DESP'!I47="","-",'CAD_PL_REC-DESP'!I47)</f>
        <v>-</v>
      </c>
      <c r="D1105" s="206">
        <f>SUMIFS(LANÇ_MOV[VALOR LÍQUIDO],LANÇ_MOV[RECEITA OU DESPESA],"Receita",LANÇ_MOV[CONTAS],$C1105,LANÇ_MOV[PLANO DE CONTAS],REL_DRE_FINANCEIRO!$B$1062,LANÇ_MOV[ANO PAGAMENTO],$B$4,LANÇ_MOV[MÊS PAGAMENTO CORRESPONDENTE],D$6,LANÇ_MOV[EMPRESA],$C$4,LANÇ_MOV[CENTRO DE CUSTOS],$D$4)</f>
        <v>0</v>
      </c>
      <c r="E1105" s="206">
        <f>SUMIFS(LANÇ_MOV[VALOR LÍQUIDO],LANÇ_MOV[RECEITA OU DESPESA],"Receita",LANÇ_MOV[CONTAS],$C1105,LANÇ_MOV[PLANO DE CONTAS],REL_DRE_FINANCEIRO!$B$1062,LANÇ_MOV[ANO PAGAMENTO],$B$4,LANÇ_MOV[MÊS PAGAMENTO CORRESPONDENTE],E$6,LANÇ_MOV[EMPRESA],$C$4,LANÇ_MOV[CENTRO DE CUSTOS],$D$4)</f>
        <v>0</v>
      </c>
      <c r="F1105" s="206">
        <f>SUMIFS(LANÇ_MOV[VALOR LÍQUIDO],LANÇ_MOV[RECEITA OU DESPESA],"Receita",LANÇ_MOV[CONTAS],$C1105,LANÇ_MOV[PLANO DE CONTAS],REL_DRE_FINANCEIRO!$B$1062,LANÇ_MOV[ANO PAGAMENTO],$B$4,LANÇ_MOV[MÊS PAGAMENTO CORRESPONDENTE],F$6,LANÇ_MOV[EMPRESA],$C$4,LANÇ_MOV[CENTRO DE CUSTOS],$D$4)</f>
        <v>0</v>
      </c>
      <c r="G1105" s="206">
        <f>SUMIFS(LANÇ_MOV[VALOR LÍQUIDO],LANÇ_MOV[RECEITA OU DESPESA],"Receita",LANÇ_MOV[CONTAS],$C1105,LANÇ_MOV[PLANO DE CONTAS],REL_DRE_FINANCEIRO!$B$1062,LANÇ_MOV[ANO PAGAMENTO],$B$4,LANÇ_MOV[MÊS PAGAMENTO CORRESPONDENTE],G$6,LANÇ_MOV[EMPRESA],$C$4,LANÇ_MOV[CENTRO DE CUSTOS],$D$4)</f>
        <v>0</v>
      </c>
      <c r="H1105" s="206">
        <f>SUMIFS(LANÇ_MOV[VALOR LÍQUIDO],LANÇ_MOV[RECEITA OU DESPESA],"Receita",LANÇ_MOV[CONTAS],$C1105,LANÇ_MOV[PLANO DE CONTAS],REL_DRE_FINANCEIRO!$B$1062,LANÇ_MOV[ANO PAGAMENTO],$B$4,LANÇ_MOV[MÊS PAGAMENTO CORRESPONDENTE],H$6,LANÇ_MOV[EMPRESA],$C$4,LANÇ_MOV[CENTRO DE CUSTOS],$D$4)</f>
        <v>0</v>
      </c>
      <c r="I1105" s="206">
        <f>SUMIFS(LANÇ_MOV[VALOR LÍQUIDO],LANÇ_MOV[RECEITA OU DESPESA],"Receita",LANÇ_MOV[CONTAS],$C1105,LANÇ_MOV[PLANO DE CONTAS],REL_DRE_FINANCEIRO!$B$1062,LANÇ_MOV[ANO PAGAMENTO],$B$4,LANÇ_MOV[MÊS PAGAMENTO CORRESPONDENTE],I$6,LANÇ_MOV[EMPRESA],$C$4,LANÇ_MOV[CENTRO DE CUSTOS],$D$4)</f>
        <v>0</v>
      </c>
      <c r="J1105" s="206">
        <f>SUMIFS(LANÇ_MOV[VALOR LÍQUIDO],LANÇ_MOV[RECEITA OU DESPESA],"Receita",LANÇ_MOV[CONTAS],$C1105,LANÇ_MOV[PLANO DE CONTAS],REL_DRE_FINANCEIRO!$B$1062,LANÇ_MOV[ANO PAGAMENTO],$B$4,LANÇ_MOV[MÊS PAGAMENTO CORRESPONDENTE],J$6,LANÇ_MOV[EMPRESA],$C$4,LANÇ_MOV[CENTRO DE CUSTOS],$D$4)</f>
        <v>0</v>
      </c>
      <c r="K1105" s="206">
        <f>SUMIFS(LANÇ_MOV[VALOR LÍQUIDO],LANÇ_MOV[RECEITA OU DESPESA],"Receita",LANÇ_MOV[CONTAS],$C1105,LANÇ_MOV[PLANO DE CONTAS],REL_DRE_FINANCEIRO!$B$1062,LANÇ_MOV[ANO PAGAMENTO],$B$4,LANÇ_MOV[MÊS PAGAMENTO CORRESPONDENTE],K$6,LANÇ_MOV[EMPRESA],$C$4,LANÇ_MOV[CENTRO DE CUSTOS],$D$4)</f>
        <v>0</v>
      </c>
      <c r="L1105" s="206">
        <f>SUMIFS(LANÇ_MOV[VALOR LÍQUIDO],LANÇ_MOV[RECEITA OU DESPESA],"Receita",LANÇ_MOV[CONTAS],$C1105,LANÇ_MOV[PLANO DE CONTAS],REL_DRE_FINANCEIRO!$B$1062,LANÇ_MOV[ANO PAGAMENTO],$B$4,LANÇ_MOV[MÊS PAGAMENTO CORRESPONDENTE],L$6,LANÇ_MOV[EMPRESA],$C$4,LANÇ_MOV[CENTRO DE CUSTOS],$D$4)</f>
        <v>0</v>
      </c>
      <c r="M1105" s="206">
        <f>SUMIFS(LANÇ_MOV[VALOR LÍQUIDO],LANÇ_MOV[RECEITA OU DESPESA],"Receita",LANÇ_MOV[CONTAS],$C1105,LANÇ_MOV[PLANO DE CONTAS],REL_DRE_FINANCEIRO!$B$1062,LANÇ_MOV[ANO PAGAMENTO],$B$4,LANÇ_MOV[MÊS PAGAMENTO CORRESPONDENTE],M$6,LANÇ_MOV[EMPRESA],$C$4,LANÇ_MOV[CENTRO DE CUSTOS],$D$4)</f>
        <v>0</v>
      </c>
      <c r="N1105" s="206">
        <f>SUMIFS(LANÇ_MOV[VALOR LÍQUIDO],LANÇ_MOV[RECEITA OU DESPESA],"Receita",LANÇ_MOV[CONTAS],$C1105,LANÇ_MOV[PLANO DE CONTAS],REL_DRE_FINANCEIRO!$B$1062,LANÇ_MOV[ANO PAGAMENTO],$B$4,LANÇ_MOV[MÊS PAGAMENTO CORRESPONDENTE],N$6,LANÇ_MOV[EMPRESA],$C$4,LANÇ_MOV[CENTRO DE CUSTOS],$D$4)</f>
        <v>0</v>
      </c>
      <c r="O1105" s="206">
        <f>SUMIFS(LANÇ_MOV[VALOR LÍQUIDO],LANÇ_MOV[RECEITA OU DESPESA],"Receita",LANÇ_MOV[CONTAS],$C1105,LANÇ_MOV[PLANO DE CONTAS],REL_DRE_FINANCEIRO!$B$1062,LANÇ_MOV[ANO PAGAMENTO],$B$4,LANÇ_MOV[MÊS PAGAMENTO CORRESPONDENTE],O$6,LANÇ_MOV[EMPRESA],$C$4,LANÇ_MOV[CENTRO DE CUSTOS],$D$4)</f>
        <v>0</v>
      </c>
      <c r="P1105" s="207">
        <f t="shared" si="134"/>
        <v>0</v>
      </c>
      <c r="Q1105" s="329">
        <v>5.8000000000000004E-6</v>
      </c>
      <c r="R1105" s="346">
        <f t="shared" si="135"/>
        <v>5.8000000000000004E-6</v>
      </c>
      <c r="S1105" s="347" t="str">
        <f t="shared" si="136"/>
        <v>-</v>
      </c>
      <c r="T1105" s="347">
        <f t="shared" si="137"/>
        <v>0</v>
      </c>
      <c r="U1105" s="347">
        <f>HLOOKUP(Apoio!$P$12,$D$1061:$P$1162,X1105,FALSE)+Q1105</f>
        <v>5.8000000000000004E-6</v>
      </c>
      <c r="V1105" s="447" t="str">
        <f t="shared" si="138"/>
        <v>-</v>
      </c>
      <c r="W1105" s="448">
        <f>HLOOKUP(Apoio!$P$12,$D$1061:$P$1162,X1105,FALSE)</f>
        <v>0</v>
      </c>
      <c r="X1105" s="329">
        <v>45</v>
      </c>
    </row>
    <row r="1106" spans="2:24" ht="30.05" customHeight="1" x14ac:dyDescent="0.35">
      <c r="B1106" s="204" t="str">
        <f>'CAD_PL_REC-DESP'!H48</f>
        <v>1.3.44</v>
      </c>
      <c r="C1106" s="205" t="str">
        <f>IF('CAD_PL_REC-DESP'!I48="","-",'CAD_PL_REC-DESP'!I48)</f>
        <v>-</v>
      </c>
      <c r="D1106" s="206">
        <f>SUMIFS(LANÇ_MOV[VALOR LÍQUIDO],LANÇ_MOV[RECEITA OU DESPESA],"Receita",LANÇ_MOV[CONTAS],$C1106,LANÇ_MOV[PLANO DE CONTAS],REL_DRE_FINANCEIRO!$B$1062,LANÇ_MOV[ANO PAGAMENTO],$B$4,LANÇ_MOV[MÊS PAGAMENTO CORRESPONDENTE],D$6,LANÇ_MOV[EMPRESA],$C$4,LANÇ_MOV[CENTRO DE CUSTOS],$D$4)</f>
        <v>0</v>
      </c>
      <c r="E1106" s="206">
        <f>SUMIFS(LANÇ_MOV[VALOR LÍQUIDO],LANÇ_MOV[RECEITA OU DESPESA],"Receita",LANÇ_MOV[CONTAS],$C1106,LANÇ_MOV[PLANO DE CONTAS],REL_DRE_FINANCEIRO!$B$1062,LANÇ_MOV[ANO PAGAMENTO],$B$4,LANÇ_MOV[MÊS PAGAMENTO CORRESPONDENTE],E$6,LANÇ_MOV[EMPRESA],$C$4,LANÇ_MOV[CENTRO DE CUSTOS],$D$4)</f>
        <v>0</v>
      </c>
      <c r="F1106" s="206">
        <f>SUMIFS(LANÇ_MOV[VALOR LÍQUIDO],LANÇ_MOV[RECEITA OU DESPESA],"Receita",LANÇ_MOV[CONTAS],$C1106,LANÇ_MOV[PLANO DE CONTAS],REL_DRE_FINANCEIRO!$B$1062,LANÇ_MOV[ANO PAGAMENTO],$B$4,LANÇ_MOV[MÊS PAGAMENTO CORRESPONDENTE],F$6,LANÇ_MOV[EMPRESA],$C$4,LANÇ_MOV[CENTRO DE CUSTOS],$D$4)</f>
        <v>0</v>
      </c>
      <c r="G1106" s="206">
        <f>SUMIFS(LANÇ_MOV[VALOR LÍQUIDO],LANÇ_MOV[RECEITA OU DESPESA],"Receita",LANÇ_MOV[CONTAS],$C1106,LANÇ_MOV[PLANO DE CONTAS],REL_DRE_FINANCEIRO!$B$1062,LANÇ_MOV[ANO PAGAMENTO],$B$4,LANÇ_MOV[MÊS PAGAMENTO CORRESPONDENTE],G$6,LANÇ_MOV[EMPRESA],$C$4,LANÇ_MOV[CENTRO DE CUSTOS],$D$4)</f>
        <v>0</v>
      </c>
      <c r="H1106" s="206">
        <f>SUMIFS(LANÇ_MOV[VALOR LÍQUIDO],LANÇ_MOV[RECEITA OU DESPESA],"Receita",LANÇ_MOV[CONTAS],$C1106,LANÇ_MOV[PLANO DE CONTAS],REL_DRE_FINANCEIRO!$B$1062,LANÇ_MOV[ANO PAGAMENTO],$B$4,LANÇ_MOV[MÊS PAGAMENTO CORRESPONDENTE],H$6,LANÇ_MOV[EMPRESA],$C$4,LANÇ_MOV[CENTRO DE CUSTOS],$D$4)</f>
        <v>0</v>
      </c>
      <c r="I1106" s="206">
        <f>SUMIFS(LANÇ_MOV[VALOR LÍQUIDO],LANÇ_MOV[RECEITA OU DESPESA],"Receita",LANÇ_MOV[CONTAS],$C1106,LANÇ_MOV[PLANO DE CONTAS],REL_DRE_FINANCEIRO!$B$1062,LANÇ_MOV[ANO PAGAMENTO],$B$4,LANÇ_MOV[MÊS PAGAMENTO CORRESPONDENTE],I$6,LANÇ_MOV[EMPRESA],$C$4,LANÇ_MOV[CENTRO DE CUSTOS],$D$4)</f>
        <v>0</v>
      </c>
      <c r="J1106" s="206">
        <f>SUMIFS(LANÇ_MOV[VALOR LÍQUIDO],LANÇ_MOV[RECEITA OU DESPESA],"Receita",LANÇ_MOV[CONTAS],$C1106,LANÇ_MOV[PLANO DE CONTAS],REL_DRE_FINANCEIRO!$B$1062,LANÇ_MOV[ANO PAGAMENTO],$B$4,LANÇ_MOV[MÊS PAGAMENTO CORRESPONDENTE],J$6,LANÇ_MOV[EMPRESA],$C$4,LANÇ_MOV[CENTRO DE CUSTOS],$D$4)</f>
        <v>0</v>
      </c>
      <c r="K1106" s="206">
        <f>SUMIFS(LANÇ_MOV[VALOR LÍQUIDO],LANÇ_MOV[RECEITA OU DESPESA],"Receita",LANÇ_MOV[CONTAS],$C1106,LANÇ_MOV[PLANO DE CONTAS],REL_DRE_FINANCEIRO!$B$1062,LANÇ_MOV[ANO PAGAMENTO],$B$4,LANÇ_MOV[MÊS PAGAMENTO CORRESPONDENTE],K$6,LANÇ_MOV[EMPRESA],$C$4,LANÇ_MOV[CENTRO DE CUSTOS],$D$4)</f>
        <v>0</v>
      </c>
      <c r="L1106" s="206">
        <f>SUMIFS(LANÇ_MOV[VALOR LÍQUIDO],LANÇ_MOV[RECEITA OU DESPESA],"Receita",LANÇ_MOV[CONTAS],$C1106,LANÇ_MOV[PLANO DE CONTAS],REL_DRE_FINANCEIRO!$B$1062,LANÇ_MOV[ANO PAGAMENTO],$B$4,LANÇ_MOV[MÊS PAGAMENTO CORRESPONDENTE],L$6,LANÇ_MOV[EMPRESA],$C$4,LANÇ_MOV[CENTRO DE CUSTOS],$D$4)</f>
        <v>0</v>
      </c>
      <c r="M1106" s="206">
        <f>SUMIFS(LANÇ_MOV[VALOR LÍQUIDO],LANÇ_MOV[RECEITA OU DESPESA],"Receita",LANÇ_MOV[CONTAS],$C1106,LANÇ_MOV[PLANO DE CONTAS],REL_DRE_FINANCEIRO!$B$1062,LANÇ_MOV[ANO PAGAMENTO],$B$4,LANÇ_MOV[MÊS PAGAMENTO CORRESPONDENTE],M$6,LANÇ_MOV[EMPRESA],$C$4,LANÇ_MOV[CENTRO DE CUSTOS],$D$4)</f>
        <v>0</v>
      </c>
      <c r="N1106" s="206">
        <f>SUMIFS(LANÇ_MOV[VALOR LÍQUIDO],LANÇ_MOV[RECEITA OU DESPESA],"Receita",LANÇ_MOV[CONTAS],$C1106,LANÇ_MOV[PLANO DE CONTAS],REL_DRE_FINANCEIRO!$B$1062,LANÇ_MOV[ANO PAGAMENTO],$B$4,LANÇ_MOV[MÊS PAGAMENTO CORRESPONDENTE],N$6,LANÇ_MOV[EMPRESA],$C$4,LANÇ_MOV[CENTRO DE CUSTOS],$D$4)</f>
        <v>0</v>
      </c>
      <c r="O1106" s="206">
        <f>SUMIFS(LANÇ_MOV[VALOR LÍQUIDO],LANÇ_MOV[RECEITA OU DESPESA],"Receita",LANÇ_MOV[CONTAS],$C1106,LANÇ_MOV[PLANO DE CONTAS],REL_DRE_FINANCEIRO!$B$1062,LANÇ_MOV[ANO PAGAMENTO],$B$4,LANÇ_MOV[MÊS PAGAMENTO CORRESPONDENTE],O$6,LANÇ_MOV[EMPRESA],$C$4,LANÇ_MOV[CENTRO DE CUSTOS],$D$4)</f>
        <v>0</v>
      </c>
      <c r="P1106" s="207">
        <f t="shared" si="134"/>
        <v>0</v>
      </c>
      <c r="Q1106" s="329">
        <v>5.6999999999999996E-6</v>
      </c>
      <c r="R1106" s="346">
        <f t="shared" si="135"/>
        <v>5.6999999999999996E-6</v>
      </c>
      <c r="S1106" s="347" t="str">
        <f t="shared" si="136"/>
        <v>-</v>
      </c>
      <c r="T1106" s="347">
        <f t="shared" si="137"/>
        <v>0</v>
      </c>
      <c r="U1106" s="347">
        <f>HLOOKUP(Apoio!$P$12,$D$1061:$P$1162,X1106,FALSE)+Q1106</f>
        <v>5.6999999999999996E-6</v>
      </c>
      <c r="V1106" s="447" t="str">
        <f t="shared" si="138"/>
        <v>-</v>
      </c>
      <c r="W1106" s="448">
        <f>HLOOKUP(Apoio!$P$12,$D$1061:$P$1162,X1106,FALSE)</f>
        <v>0</v>
      </c>
      <c r="X1106" s="329">
        <v>46</v>
      </c>
    </row>
    <row r="1107" spans="2:24" ht="30.05" customHeight="1" x14ac:dyDescent="0.35">
      <c r="B1107" s="204" t="str">
        <f>'CAD_PL_REC-DESP'!H49</f>
        <v>1.3.45</v>
      </c>
      <c r="C1107" s="205" t="str">
        <f>IF('CAD_PL_REC-DESP'!I49="","-",'CAD_PL_REC-DESP'!I49)</f>
        <v>-</v>
      </c>
      <c r="D1107" s="206">
        <f>SUMIFS(LANÇ_MOV[VALOR LÍQUIDO],LANÇ_MOV[RECEITA OU DESPESA],"Receita",LANÇ_MOV[CONTAS],$C1107,LANÇ_MOV[PLANO DE CONTAS],REL_DRE_FINANCEIRO!$B$1062,LANÇ_MOV[ANO PAGAMENTO],$B$4,LANÇ_MOV[MÊS PAGAMENTO CORRESPONDENTE],D$6,LANÇ_MOV[EMPRESA],$C$4,LANÇ_MOV[CENTRO DE CUSTOS],$D$4)</f>
        <v>0</v>
      </c>
      <c r="E1107" s="206">
        <f>SUMIFS(LANÇ_MOV[VALOR LÍQUIDO],LANÇ_MOV[RECEITA OU DESPESA],"Receita",LANÇ_MOV[CONTAS],$C1107,LANÇ_MOV[PLANO DE CONTAS],REL_DRE_FINANCEIRO!$B$1062,LANÇ_MOV[ANO PAGAMENTO],$B$4,LANÇ_MOV[MÊS PAGAMENTO CORRESPONDENTE],E$6,LANÇ_MOV[EMPRESA],$C$4,LANÇ_MOV[CENTRO DE CUSTOS],$D$4)</f>
        <v>0</v>
      </c>
      <c r="F1107" s="206">
        <f>SUMIFS(LANÇ_MOV[VALOR LÍQUIDO],LANÇ_MOV[RECEITA OU DESPESA],"Receita",LANÇ_MOV[CONTAS],$C1107,LANÇ_MOV[PLANO DE CONTAS],REL_DRE_FINANCEIRO!$B$1062,LANÇ_MOV[ANO PAGAMENTO],$B$4,LANÇ_MOV[MÊS PAGAMENTO CORRESPONDENTE],F$6,LANÇ_MOV[EMPRESA],$C$4,LANÇ_MOV[CENTRO DE CUSTOS],$D$4)</f>
        <v>0</v>
      </c>
      <c r="G1107" s="206">
        <f>SUMIFS(LANÇ_MOV[VALOR LÍQUIDO],LANÇ_MOV[RECEITA OU DESPESA],"Receita",LANÇ_MOV[CONTAS],$C1107,LANÇ_MOV[PLANO DE CONTAS],REL_DRE_FINANCEIRO!$B$1062,LANÇ_MOV[ANO PAGAMENTO],$B$4,LANÇ_MOV[MÊS PAGAMENTO CORRESPONDENTE],G$6,LANÇ_MOV[EMPRESA],$C$4,LANÇ_MOV[CENTRO DE CUSTOS],$D$4)</f>
        <v>0</v>
      </c>
      <c r="H1107" s="206">
        <f>SUMIFS(LANÇ_MOV[VALOR LÍQUIDO],LANÇ_MOV[RECEITA OU DESPESA],"Receita",LANÇ_MOV[CONTAS],$C1107,LANÇ_MOV[PLANO DE CONTAS],REL_DRE_FINANCEIRO!$B$1062,LANÇ_MOV[ANO PAGAMENTO],$B$4,LANÇ_MOV[MÊS PAGAMENTO CORRESPONDENTE],H$6,LANÇ_MOV[EMPRESA],$C$4,LANÇ_MOV[CENTRO DE CUSTOS],$D$4)</f>
        <v>0</v>
      </c>
      <c r="I1107" s="206">
        <f>SUMIFS(LANÇ_MOV[VALOR LÍQUIDO],LANÇ_MOV[RECEITA OU DESPESA],"Receita",LANÇ_MOV[CONTAS],$C1107,LANÇ_MOV[PLANO DE CONTAS],REL_DRE_FINANCEIRO!$B$1062,LANÇ_MOV[ANO PAGAMENTO],$B$4,LANÇ_MOV[MÊS PAGAMENTO CORRESPONDENTE],I$6,LANÇ_MOV[EMPRESA],$C$4,LANÇ_MOV[CENTRO DE CUSTOS],$D$4)</f>
        <v>0</v>
      </c>
      <c r="J1107" s="206">
        <f>SUMIFS(LANÇ_MOV[VALOR LÍQUIDO],LANÇ_MOV[RECEITA OU DESPESA],"Receita",LANÇ_MOV[CONTAS],$C1107,LANÇ_MOV[PLANO DE CONTAS],REL_DRE_FINANCEIRO!$B$1062,LANÇ_MOV[ANO PAGAMENTO],$B$4,LANÇ_MOV[MÊS PAGAMENTO CORRESPONDENTE],J$6,LANÇ_MOV[EMPRESA],$C$4,LANÇ_MOV[CENTRO DE CUSTOS],$D$4)</f>
        <v>0</v>
      </c>
      <c r="K1107" s="206">
        <f>SUMIFS(LANÇ_MOV[VALOR LÍQUIDO],LANÇ_MOV[RECEITA OU DESPESA],"Receita",LANÇ_MOV[CONTAS],$C1107,LANÇ_MOV[PLANO DE CONTAS],REL_DRE_FINANCEIRO!$B$1062,LANÇ_MOV[ANO PAGAMENTO],$B$4,LANÇ_MOV[MÊS PAGAMENTO CORRESPONDENTE],K$6,LANÇ_MOV[EMPRESA],$C$4,LANÇ_MOV[CENTRO DE CUSTOS],$D$4)</f>
        <v>0</v>
      </c>
      <c r="L1107" s="206">
        <f>SUMIFS(LANÇ_MOV[VALOR LÍQUIDO],LANÇ_MOV[RECEITA OU DESPESA],"Receita",LANÇ_MOV[CONTAS],$C1107,LANÇ_MOV[PLANO DE CONTAS],REL_DRE_FINANCEIRO!$B$1062,LANÇ_MOV[ANO PAGAMENTO],$B$4,LANÇ_MOV[MÊS PAGAMENTO CORRESPONDENTE],L$6,LANÇ_MOV[EMPRESA],$C$4,LANÇ_MOV[CENTRO DE CUSTOS],$D$4)</f>
        <v>0</v>
      </c>
      <c r="M1107" s="206">
        <f>SUMIFS(LANÇ_MOV[VALOR LÍQUIDO],LANÇ_MOV[RECEITA OU DESPESA],"Receita",LANÇ_MOV[CONTAS],$C1107,LANÇ_MOV[PLANO DE CONTAS],REL_DRE_FINANCEIRO!$B$1062,LANÇ_MOV[ANO PAGAMENTO],$B$4,LANÇ_MOV[MÊS PAGAMENTO CORRESPONDENTE],M$6,LANÇ_MOV[EMPRESA],$C$4,LANÇ_MOV[CENTRO DE CUSTOS],$D$4)</f>
        <v>0</v>
      </c>
      <c r="N1107" s="206">
        <f>SUMIFS(LANÇ_MOV[VALOR LÍQUIDO],LANÇ_MOV[RECEITA OU DESPESA],"Receita",LANÇ_MOV[CONTAS],$C1107,LANÇ_MOV[PLANO DE CONTAS],REL_DRE_FINANCEIRO!$B$1062,LANÇ_MOV[ANO PAGAMENTO],$B$4,LANÇ_MOV[MÊS PAGAMENTO CORRESPONDENTE],N$6,LANÇ_MOV[EMPRESA],$C$4,LANÇ_MOV[CENTRO DE CUSTOS],$D$4)</f>
        <v>0</v>
      </c>
      <c r="O1107" s="206">
        <f>SUMIFS(LANÇ_MOV[VALOR LÍQUIDO],LANÇ_MOV[RECEITA OU DESPESA],"Receita",LANÇ_MOV[CONTAS],$C1107,LANÇ_MOV[PLANO DE CONTAS],REL_DRE_FINANCEIRO!$B$1062,LANÇ_MOV[ANO PAGAMENTO],$B$4,LANÇ_MOV[MÊS PAGAMENTO CORRESPONDENTE],O$6,LANÇ_MOV[EMPRESA],$C$4,LANÇ_MOV[CENTRO DE CUSTOS],$D$4)</f>
        <v>0</v>
      </c>
      <c r="P1107" s="207">
        <f t="shared" si="134"/>
        <v>0</v>
      </c>
      <c r="Q1107" s="329">
        <v>5.5999999999999997E-6</v>
      </c>
      <c r="R1107" s="346">
        <f t="shared" si="135"/>
        <v>5.5999999999999997E-6</v>
      </c>
      <c r="S1107" s="347" t="str">
        <f t="shared" si="136"/>
        <v>-</v>
      </c>
      <c r="T1107" s="347">
        <f t="shared" si="137"/>
        <v>0</v>
      </c>
      <c r="U1107" s="347">
        <f>HLOOKUP(Apoio!$P$12,$D$1061:$P$1162,X1107,FALSE)+Q1107</f>
        <v>5.5999999999999997E-6</v>
      </c>
      <c r="V1107" s="447" t="str">
        <f t="shared" si="138"/>
        <v>-</v>
      </c>
      <c r="W1107" s="448">
        <f>HLOOKUP(Apoio!$P$12,$D$1061:$P$1162,X1107,FALSE)</f>
        <v>0</v>
      </c>
      <c r="X1107" s="329">
        <v>47</v>
      </c>
    </row>
    <row r="1108" spans="2:24" ht="30.05" customHeight="1" x14ac:dyDescent="0.35">
      <c r="B1108" s="204" t="str">
        <f>'CAD_PL_REC-DESP'!H50</f>
        <v>1.3.46</v>
      </c>
      <c r="C1108" s="205" t="str">
        <f>IF('CAD_PL_REC-DESP'!I50="","-",'CAD_PL_REC-DESP'!I50)</f>
        <v>-</v>
      </c>
      <c r="D1108" s="206">
        <f>SUMIFS(LANÇ_MOV[VALOR LÍQUIDO],LANÇ_MOV[RECEITA OU DESPESA],"Receita",LANÇ_MOV[CONTAS],$C1108,LANÇ_MOV[PLANO DE CONTAS],REL_DRE_FINANCEIRO!$B$1062,LANÇ_MOV[ANO PAGAMENTO],$B$4,LANÇ_MOV[MÊS PAGAMENTO CORRESPONDENTE],D$6,LANÇ_MOV[EMPRESA],$C$4,LANÇ_MOV[CENTRO DE CUSTOS],$D$4)</f>
        <v>0</v>
      </c>
      <c r="E1108" s="206">
        <f>SUMIFS(LANÇ_MOV[VALOR LÍQUIDO],LANÇ_MOV[RECEITA OU DESPESA],"Receita",LANÇ_MOV[CONTAS],$C1108,LANÇ_MOV[PLANO DE CONTAS],REL_DRE_FINANCEIRO!$B$1062,LANÇ_MOV[ANO PAGAMENTO],$B$4,LANÇ_MOV[MÊS PAGAMENTO CORRESPONDENTE],E$6,LANÇ_MOV[EMPRESA],$C$4,LANÇ_MOV[CENTRO DE CUSTOS],$D$4)</f>
        <v>0</v>
      </c>
      <c r="F1108" s="206">
        <f>SUMIFS(LANÇ_MOV[VALOR LÍQUIDO],LANÇ_MOV[RECEITA OU DESPESA],"Receita",LANÇ_MOV[CONTAS],$C1108,LANÇ_MOV[PLANO DE CONTAS],REL_DRE_FINANCEIRO!$B$1062,LANÇ_MOV[ANO PAGAMENTO],$B$4,LANÇ_MOV[MÊS PAGAMENTO CORRESPONDENTE],F$6,LANÇ_MOV[EMPRESA],$C$4,LANÇ_MOV[CENTRO DE CUSTOS],$D$4)</f>
        <v>0</v>
      </c>
      <c r="G1108" s="206">
        <f>SUMIFS(LANÇ_MOV[VALOR LÍQUIDO],LANÇ_MOV[RECEITA OU DESPESA],"Receita",LANÇ_MOV[CONTAS],$C1108,LANÇ_MOV[PLANO DE CONTAS],REL_DRE_FINANCEIRO!$B$1062,LANÇ_MOV[ANO PAGAMENTO],$B$4,LANÇ_MOV[MÊS PAGAMENTO CORRESPONDENTE],G$6,LANÇ_MOV[EMPRESA],$C$4,LANÇ_MOV[CENTRO DE CUSTOS],$D$4)</f>
        <v>0</v>
      </c>
      <c r="H1108" s="206">
        <f>SUMIFS(LANÇ_MOV[VALOR LÍQUIDO],LANÇ_MOV[RECEITA OU DESPESA],"Receita",LANÇ_MOV[CONTAS],$C1108,LANÇ_MOV[PLANO DE CONTAS],REL_DRE_FINANCEIRO!$B$1062,LANÇ_MOV[ANO PAGAMENTO],$B$4,LANÇ_MOV[MÊS PAGAMENTO CORRESPONDENTE],H$6,LANÇ_MOV[EMPRESA],$C$4,LANÇ_MOV[CENTRO DE CUSTOS],$D$4)</f>
        <v>0</v>
      </c>
      <c r="I1108" s="206">
        <f>SUMIFS(LANÇ_MOV[VALOR LÍQUIDO],LANÇ_MOV[RECEITA OU DESPESA],"Receita",LANÇ_MOV[CONTAS],$C1108,LANÇ_MOV[PLANO DE CONTAS],REL_DRE_FINANCEIRO!$B$1062,LANÇ_MOV[ANO PAGAMENTO],$B$4,LANÇ_MOV[MÊS PAGAMENTO CORRESPONDENTE],I$6,LANÇ_MOV[EMPRESA],$C$4,LANÇ_MOV[CENTRO DE CUSTOS],$D$4)</f>
        <v>0</v>
      </c>
      <c r="J1108" s="206">
        <f>SUMIFS(LANÇ_MOV[VALOR LÍQUIDO],LANÇ_MOV[RECEITA OU DESPESA],"Receita",LANÇ_MOV[CONTAS],$C1108,LANÇ_MOV[PLANO DE CONTAS],REL_DRE_FINANCEIRO!$B$1062,LANÇ_MOV[ANO PAGAMENTO],$B$4,LANÇ_MOV[MÊS PAGAMENTO CORRESPONDENTE],J$6,LANÇ_MOV[EMPRESA],$C$4,LANÇ_MOV[CENTRO DE CUSTOS],$D$4)</f>
        <v>0</v>
      </c>
      <c r="K1108" s="206">
        <f>SUMIFS(LANÇ_MOV[VALOR LÍQUIDO],LANÇ_MOV[RECEITA OU DESPESA],"Receita",LANÇ_MOV[CONTAS],$C1108,LANÇ_MOV[PLANO DE CONTAS],REL_DRE_FINANCEIRO!$B$1062,LANÇ_MOV[ANO PAGAMENTO],$B$4,LANÇ_MOV[MÊS PAGAMENTO CORRESPONDENTE],K$6,LANÇ_MOV[EMPRESA],$C$4,LANÇ_MOV[CENTRO DE CUSTOS],$D$4)</f>
        <v>0</v>
      </c>
      <c r="L1108" s="206">
        <f>SUMIFS(LANÇ_MOV[VALOR LÍQUIDO],LANÇ_MOV[RECEITA OU DESPESA],"Receita",LANÇ_MOV[CONTAS],$C1108,LANÇ_MOV[PLANO DE CONTAS],REL_DRE_FINANCEIRO!$B$1062,LANÇ_MOV[ANO PAGAMENTO],$B$4,LANÇ_MOV[MÊS PAGAMENTO CORRESPONDENTE],L$6,LANÇ_MOV[EMPRESA],$C$4,LANÇ_MOV[CENTRO DE CUSTOS],$D$4)</f>
        <v>0</v>
      </c>
      <c r="M1108" s="206">
        <f>SUMIFS(LANÇ_MOV[VALOR LÍQUIDO],LANÇ_MOV[RECEITA OU DESPESA],"Receita",LANÇ_MOV[CONTAS],$C1108,LANÇ_MOV[PLANO DE CONTAS],REL_DRE_FINANCEIRO!$B$1062,LANÇ_MOV[ANO PAGAMENTO],$B$4,LANÇ_MOV[MÊS PAGAMENTO CORRESPONDENTE],M$6,LANÇ_MOV[EMPRESA],$C$4,LANÇ_MOV[CENTRO DE CUSTOS],$D$4)</f>
        <v>0</v>
      </c>
      <c r="N1108" s="206">
        <f>SUMIFS(LANÇ_MOV[VALOR LÍQUIDO],LANÇ_MOV[RECEITA OU DESPESA],"Receita",LANÇ_MOV[CONTAS],$C1108,LANÇ_MOV[PLANO DE CONTAS],REL_DRE_FINANCEIRO!$B$1062,LANÇ_MOV[ANO PAGAMENTO],$B$4,LANÇ_MOV[MÊS PAGAMENTO CORRESPONDENTE],N$6,LANÇ_MOV[EMPRESA],$C$4,LANÇ_MOV[CENTRO DE CUSTOS],$D$4)</f>
        <v>0</v>
      </c>
      <c r="O1108" s="206">
        <f>SUMIFS(LANÇ_MOV[VALOR LÍQUIDO],LANÇ_MOV[RECEITA OU DESPESA],"Receita",LANÇ_MOV[CONTAS],$C1108,LANÇ_MOV[PLANO DE CONTAS],REL_DRE_FINANCEIRO!$B$1062,LANÇ_MOV[ANO PAGAMENTO],$B$4,LANÇ_MOV[MÊS PAGAMENTO CORRESPONDENTE],O$6,LANÇ_MOV[EMPRESA],$C$4,LANÇ_MOV[CENTRO DE CUSTOS],$D$4)</f>
        <v>0</v>
      </c>
      <c r="P1108" s="207">
        <f t="shared" si="134"/>
        <v>0</v>
      </c>
      <c r="Q1108" s="329">
        <v>5.4999999999999999E-6</v>
      </c>
      <c r="R1108" s="346">
        <f t="shared" si="135"/>
        <v>5.4999999999999999E-6</v>
      </c>
      <c r="S1108" s="347" t="str">
        <f t="shared" si="136"/>
        <v>-</v>
      </c>
      <c r="T1108" s="347">
        <f t="shared" si="137"/>
        <v>0</v>
      </c>
      <c r="U1108" s="347">
        <f>HLOOKUP(Apoio!$P$12,$D$1061:$P$1162,X1108,FALSE)+Q1108</f>
        <v>5.4999999999999999E-6</v>
      </c>
      <c r="V1108" s="447" t="str">
        <f t="shared" si="138"/>
        <v>-</v>
      </c>
      <c r="W1108" s="448">
        <f>HLOOKUP(Apoio!$P$12,$D$1061:$P$1162,X1108,FALSE)</f>
        <v>0</v>
      </c>
      <c r="X1108" s="329">
        <v>48</v>
      </c>
    </row>
    <row r="1109" spans="2:24" ht="30.05" customHeight="1" x14ac:dyDescent="0.35">
      <c r="B1109" s="204" t="str">
        <f>'CAD_PL_REC-DESP'!H51</f>
        <v>1.3.47</v>
      </c>
      <c r="C1109" s="205" t="str">
        <f>IF('CAD_PL_REC-DESP'!I51="","-",'CAD_PL_REC-DESP'!I51)</f>
        <v>-</v>
      </c>
      <c r="D1109" s="206">
        <f>SUMIFS(LANÇ_MOV[VALOR LÍQUIDO],LANÇ_MOV[RECEITA OU DESPESA],"Receita",LANÇ_MOV[CONTAS],$C1109,LANÇ_MOV[PLANO DE CONTAS],REL_DRE_FINANCEIRO!$B$1062,LANÇ_MOV[ANO PAGAMENTO],$B$4,LANÇ_MOV[MÊS PAGAMENTO CORRESPONDENTE],D$6,LANÇ_MOV[EMPRESA],$C$4,LANÇ_MOV[CENTRO DE CUSTOS],$D$4)</f>
        <v>0</v>
      </c>
      <c r="E1109" s="206">
        <f>SUMIFS(LANÇ_MOV[VALOR LÍQUIDO],LANÇ_MOV[RECEITA OU DESPESA],"Receita",LANÇ_MOV[CONTAS],$C1109,LANÇ_MOV[PLANO DE CONTAS],REL_DRE_FINANCEIRO!$B$1062,LANÇ_MOV[ANO PAGAMENTO],$B$4,LANÇ_MOV[MÊS PAGAMENTO CORRESPONDENTE],E$6,LANÇ_MOV[EMPRESA],$C$4,LANÇ_MOV[CENTRO DE CUSTOS],$D$4)</f>
        <v>0</v>
      </c>
      <c r="F1109" s="206">
        <f>SUMIFS(LANÇ_MOV[VALOR LÍQUIDO],LANÇ_MOV[RECEITA OU DESPESA],"Receita",LANÇ_MOV[CONTAS],$C1109,LANÇ_MOV[PLANO DE CONTAS],REL_DRE_FINANCEIRO!$B$1062,LANÇ_MOV[ANO PAGAMENTO],$B$4,LANÇ_MOV[MÊS PAGAMENTO CORRESPONDENTE],F$6,LANÇ_MOV[EMPRESA],$C$4,LANÇ_MOV[CENTRO DE CUSTOS],$D$4)</f>
        <v>0</v>
      </c>
      <c r="G1109" s="206">
        <f>SUMIFS(LANÇ_MOV[VALOR LÍQUIDO],LANÇ_MOV[RECEITA OU DESPESA],"Receita",LANÇ_MOV[CONTAS],$C1109,LANÇ_MOV[PLANO DE CONTAS],REL_DRE_FINANCEIRO!$B$1062,LANÇ_MOV[ANO PAGAMENTO],$B$4,LANÇ_MOV[MÊS PAGAMENTO CORRESPONDENTE],G$6,LANÇ_MOV[EMPRESA],$C$4,LANÇ_MOV[CENTRO DE CUSTOS],$D$4)</f>
        <v>0</v>
      </c>
      <c r="H1109" s="206">
        <f>SUMIFS(LANÇ_MOV[VALOR LÍQUIDO],LANÇ_MOV[RECEITA OU DESPESA],"Receita",LANÇ_MOV[CONTAS],$C1109,LANÇ_MOV[PLANO DE CONTAS],REL_DRE_FINANCEIRO!$B$1062,LANÇ_MOV[ANO PAGAMENTO],$B$4,LANÇ_MOV[MÊS PAGAMENTO CORRESPONDENTE],H$6,LANÇ_MOV[EMPRESA],$C$4,LANÇ_MOV[CENTRO DE CUSTOS],$D$4)</f>
        <v>0</v>
      </c>
      <c r="I1109" s="206">
        <f>SUMIFS(LANÇ_MOV[VALOR LÍQUIDO],LANÇ_MOV[RECEITA OU DESPESA],"Receita",LANÇ_MOV[CONTAS],$C1109,LANÇ_MOV[PLANO DE CONTAS],REL_DRE_FINANCEIRO!$B$1062,LANÇ_MOV[ANO PAGAMENTO],$B$4,LANÇ_MOV[MÊS PAGAMENTO CORRESPONDENTE],I$6,LANÇ_MOV[EMPRESA],$C$4,LANÇ_MOV[CENTRO DE CUSTOS],$D$4)</f>
        <v>0</v>
      </c>
      <c r="J1109" s="206">
        <f>SUMIFS(LANÇ_MOV[VALOR LÍQUIDO],LANÇ_MOV[RECEITA OU DESPESA],"Receita",LANÇ_MOV[CONTAS],$C1109,LANÇ_MOV[PLANO DE CONTAS],REL_DRE_FINANCEIRO!$B$1062,LANÇ_MOV[ANO PAGAMENTO],$B$4,LANÇ_MOV[MÊS PAGAMENTO CORRESPONDENTE],J$6,LANÇ_MOV[EMPRESA],$C$4,LANÇ_MOV[CENTRO DE CUSTOS],$D$4)</f>
        <v>0</v>
      </c>
      <c r="K1109" s="206">
        <f>SUMIFS(LANÇ_MOV[VALOR LÍQUIDO],LANÇ_MOV[RECEITA OU DESPESA],"Receita",LANÇ_MOV[CONTAS],$C1109,LANÇ_MOV[PLANO DE CONTAS],REL_DRE_FINANCEIRO!$B$1062,LANÇ_MOV[ANO PAGAMENTO],$B$4,LANÇ_MOV[MÊS PAGAMENTO CORRESPONDENTE],K$6,LANÇ_MOV[EMPRESA],$C$4,LANÇ_MOV[CENTRO DE CUSTOS],$D$4)</f>
        <v>0</v>
      </c>
      <c r="L1109" s="206">
        <f>SUMIFS(LANÇ_MOV[VALOR LÍQUIDO],LANÇ_MOV[RECEITA OU DESPESA],"Receita",LANÇ_MOV[CONTAS],$C1109,LANÇ_MOV[PLANO DE CONTAS],REL_DRE_FINANCEIRO!$B$1062,LANÇ_MOV[ANO PAGAMENTO],$B$4,LANÇ_MOV[MÊS PAGAMENTO CORRESPONDENTE],L$6,LANÇ_MOV[EMPRESA],$C$4,LANÇ_MOV[CENTRO DE CUSTOS],$D$4)</f>
        <v>0</v>
      </c>
      <c r="M1109" s="206">
        <f>SUMIFS(LANÇ_MOV[VALOR LÍQUIDO],LANÇ_MOV[RECEITA OU DESPESA],"Receita",LANÇ_MOV[CONTAS],$C1109,LANÇ_MOV[PLANO DE CONTAS],REL_DRE_FINANCEIRO!$B$1062,LANÇ_MOV[ANO PAGAMENTO],$B$4,LANÇ_MOV[MÊS PAGAMENTO CORRESPONDENTE],M$6,LANÇ_MOV[EMPRESA],$C$4,LANÇ_MOV[CENTRO DE CUSTOS],$D$4)</f>
        <v>0</v>
      </c>
      <c r="N1109" s="206">
        <f>SUMIFS(LANÇ_MOV[VALOR LÍQUIDO],LANÇ_MOV[RECEITA OU DESPESA],"Receita",LANÇ_MOV[CONTAS],$C1109,LANÇ_MOV[PLANO DE CONTAS],REL_DRE_FINANCEIRO!$B$1062,LANÇ_MOV[ANO PAGAMENTO],$B$4,LANÇ_MOV[MÊS PAGAMENTO CORRESPONDENTE],N$6,LANÇ_MOV[EMPRESA],$C$4,LANÇ_MOV[CENTRO DE CUSTOS],$D$4)</f>
        <v>0</v>
      </c>
      <c r="O1109" s="206">
        <f>SUMIFS(LANÇ_MOV[VALOR LÍQUIDO],LANÇ_MOV[RECEITA OU DESPESA],"Receita",LANÇ_MOV[CONTAS],$C1109,LANÇ_MOV[PLANO DE CONTAS],REL_DRE_FINANCEIRO!$B$1062,LANÇ_MOV[ANO PAGAMENTO],$B$4,LANÇ_MOV[MÊS PAGAMENTO CORRESPONDENTE],O$6,LANÇ_MOV[EMPRESA],$C$4,LANÇ_MOV[CENTRO DE CUSTOS],$D$4)</f>
        <v>0</v>
      </c>
      <c r="P1109" s="207">
        <f t="shared" si="134"/>
        <v>0</v>
      </c>
      <c r="Q1109" s="329">
        <v>5.4E-6</v>
      </c>
      <c r="R1109" s="346">
        <f t="shared" si="135"/>
        <v>5.4E-6</v>
      </c>
      <c r="S1109" s="347" t="str">
        <f t="shared" si="136"/>
        <v>-</v>
      </c>
      <c r="T1109" s="347">
        <f t="shared" si="137"/>
        <v>0</v>
      </c>
      <c r="U1109" s="347">
        <f>HLOOKUP(Apoio!$P$12,$D$1061:$P$1162,X1109,FALSE)+Q1109</f>
        <v>5.4E-6</v>
      </c>
      <c r="V1109" s="447" t="str">
        <f t="shared" si="138"/>
        <v>-</v>
      </c>
      <c r="W1109" s="448">
        <f>HLOOKUP(Apoio!$P$12,$D$1061:$P$1162,X1109,FALSE)</f>
        <v>0</v>
      </c>
      <c r="X1109" s="329">
        <v>49</v>
      </c>
    </row>
    <row r="1110" spans="2:24" ht="30.05" customHeight="1" x14ac:dyDescent="0.35">
      <c r="B1110" s="204" t="str">
        <f>'CAD_PL_REC-DESP'!H52</f>
        <v>1.3.48</v>
      </c>
      <c r="C1110" s="205" t="str">
        <f>IF('CAD_PL_REC-DESP'!I52="","-",'CAD_PL_REC-DESP'!I52)</f>
        <v>-</v>
      </c>
      <c r="D1110" s="206">
        <f>SUMIFS(LANÇ_MOV[VALOR LÍQUIDO],LANÇ_MOV[RECEITA OU DESPESA],"Receita",LANÇ_MOV[CONTAS],$C1110,LANÇ_MOV[PLANO DE CONTAS],REL_DRE_FINANCEIRO!$B$1062,LANÇ_MOV[ANO PAGAMENTO],$B$4,LANÇ_MOV[MÊS PAGAMENTO CORRESPONDENTE],D$6,LANÇ_MOV[EMPRESA],$C$4,LANÇ_MOV[CENTRO DE CUSTOS],$D$4)</f>
        <v>0</v>
      </c>
      <c r="E1110" s="206">
        <f>SUMIFS(LANÇ_MOV[VALOR LÍQUIDO],LANÇ_MOV[RECEITA OU DESPESA],"Receita",LANÇ_MOV[CONTAS],$C1110,LANÇ_MOV[PLANO DE CONTAS],REL_DRE_FINANCEIRO!$B$1062,LANÇ_MOV[ANO PAGAMENTO],$B$4,LANÇ_MOV[MÊS PAGAMENTO CORRESPONDENTE],E$6,LANÇ_MOV[EMPRESA],$C$4,LANÇ_MOV[CENTRO DE CUSTOS],$D$4)</f>
        <v>0</v>
      </c>
      <c r="F1110" s="206">
        <f>SUMIFS(LANÇ_MOV[VALOR LÍQUIDO],LANÇ_MOV[RECEITA OU DESPESA],"Receita",LANÇ_MOV[CONTAS],$C1110,LANÇ_MOV[PLANO DE CONTAS],REL_DRE_FINANCEIRO!$B$1062,LANÇ_MOV[ANO PAGAMENTO],$B$4,LANÇ_MOV[MÊS PAGAMENTO CORRESPONDENTE],F$6,LANÇ_MOV[EMPRESA],$C$4,LANÇ_MOV[CENTRO DE CUSTOS],$D$4)</f>
        <v>0</v>
      </c>
      <c r="G1110" s="206">
        <f>SUMIFS(LANÇ_MOV[VALOR LÍQUIDO],LANÇ_MOV[RECEITA OU DESPESA],"Receita",LANÇ_MOV[CONTAS],$C1110,LANÇ_MOV[PLANO DE CONTAS],REL_DRE_FINANCEIRO!$B$1062,LANÇ_MOV[ANO PAGAMENTO],$B$4,LANÇ_MOV[MÊS PAGAMENTO CORRESPONDENTE],G$6,LANÇ_MOV[EMPRESA],$C$4,LANÇ_MOV[CENTRO DE CUSTOS],$D$4)</f>
        <v>0</v>
      </c>
      <c r="H1110" s="206">
        <f>SUMIFS(LANÇ_MOV[VALOR LÍQUIDO],LANÇ_MOV[RECEITA OU DESPESA],"Receita",LANÇ_MOV[CONTAS],$C1110,LANÇ_MOV[PLANO DE CONTAS],REL_DRE_FINANCEIRO!$B$1062,LANÇ_MOV[ANO PAGAMENTO],$B$4,LANÇ_MOV[MÊS PAGAMENTO CORRESPONDENTE],H$6,LANÇ_MOV[EMPRESA],$C$4,LANÇ_MOV[CENTRO DE CUSTOS],$D$4)</f>
        <v>0</v>
      </c>
      <c r="I1110" s="206">
        <f>SUMIFS(LANÇ_MOV[VALOR LÍQUIDO],LANÇ_MOV[RECEITA OU DESPESA],"Receita",LANÇ_MOV[CONTAS],$C1110,LANÇ_MOV[PLANO DE CONTAS],REL_DRE_FINANCEIRO!$B$1062,LANÇ_MOV[ANO PAGAMENTO],$B$4,LANÇ_MOV[MÊS PAGAMENTO CORRESPONDENTE],I$6,LANÇ_MOV[EMPRESA],$C$4,LANÇ_MOV[CENTRO DE CUSTOS],$D$4)</f>
        <v>0</v>
      </c>
      <c r="J1110" s="206">
        <f>SUMIFS(LANÇ_MOV[VALOR LÍQUIDO],LANÇ_MOV[RECEITA OU DESPESA],"Receita",LANÇ_MOV[CONTAS],$C1110,LANÇ_MOV[PLANO DE CONTAS],REL_DRE_FINANCEIRO!$B$1062,LANÇ_MOV[ANO PAGAMENTO],$B$4,LANÇ_MOV[MÊS PAGAMENTO CORRESPONDENTE],J$6,LANÇ_MOV[EMPRESA],$C$4,LANÇ_MOV[CENTRO DE CUSTOS],$D$4)</f>
        <v>0</v>
      </c>
      <c r="K1110" s="206">
        <f>SUMIFS(LANÇ_MOV[VALOR LÍQUIDO],LANÇ_MOV[RECEITA OU DESPESA],"Receita",LANÇ_MOV[CONTAS],$C1110,LANÇ_MOV[PLANO DE CONTAS],REL_DRE_FINANCEIRO!$B$1062,LANÇ_MOV[ANO PAGAMENTO],$B$4,LANÇ_MOV[MÊS PAGAMENTO CORRESPONDENTE],K$6,LANÇ_MOV[EMPRESA],$C$4,LANÇ_MOV[CENTRO DE CUSTOS],$D$4)</f>
        <v>0</v>
      </c>
      <c r="L1110" s="206">
        <f>SUMIFS(LANÇ_MOV[VALOR LÍQUIDO],LANÇ_MOV[RECEITA OU DESPESA],"Receita",LANÇ_MOV[CONTAS],$C1110,LANÇ_MOV[PLANO DE CONTAS],REL_DRE_FINANCEIRO!$B$1062,LANÇ_MOV[ANO PAGAMENTO],$B$4,LANÇ_MOV[MÊS PAGAMENTO CORRESPONDENTE],L$6,LANÇ_MOV[EMPRESA],$C$4,LANÇ_MOV[CENTRO DE CUSTOS],$D$4)</f>
        <v>0</v>
      </c>
      <c r="M1110" s="206">
        <f>SUMIFS(LANÇ_MOV[VALOR LÍQUIDO],LANÇ_MOV[RECEITA OU DESPESA],"Receita",LANÇ_MOV[CONTAS],$C1110,LANÇ_MOV[PLANO DE CONTAS],REL_DRE_FINANCEIRO!$B$1062,LANÇ_MOV[ANO PAGAMENTO],$B$4,LANÇ_MOV[MÊS PAGAMENTO CORRESPONDENTE],M$6,LANÇ_MOV[EMPRESA],$C$4,LANÇ_MOV[CENTRO DE CUSTOS],$D$4)</f>
        <v>0</v>
      </c>
      <c r="N1110" s="206">
        <f>SUMIFS(LANÇ_MOV[VALOR LÍQUIDO],LANÇ_MOV[RECEITA OU DESPESA],"Receita",LANÇ_MOV[CONTAS],$C1110,LANÇ_MOV[PLANO DE CONTAS],REL_DRE_FINANCEIRO!$B$1062,LANÇ_MOV[ANO PAGAMENTO],$B$4,LANÇ_MOV[MÊS PAGAMENTO CORRESPONDENTE],N$6,LANÇ_MOV[EMPRESA],$C$4,LANÇ_MOV[CENTRO DE CUSTOS],$D$4)</f>
        <v>0</v>
      </c>
      <c r="O1110" s="206">
        <f>SUMIFS(LANÇ_MOV[VALOR LÍQUIDO],LANÇ_MOV[RECEITA OU DESPESA],"Receita",LANÇ_MOV[CONTAS],$C1110,LANÇ_MOV[PLANO DE CONTAS],REL_DRE_FINANCEIRO!$B$1062,LANÇ_MOV[ANO PAGAMENTO],$B$4,LANÇ_MOV[MÊS PAGAMENTO CORRESPONDENTE],O$6,LANÇ_MOV[EMPRESA],$C$4,LANÇ_MOV[CENTRO DE CUSTOS],$D$4)</f>
        <v>0</v>
      </c>
      <c r="P1110" s="207">
        <f t="shared" si="134"/>
        <v>0</v>
      </c>
      <c r="Q1110" s="329">
        <v>5.3000000000000001E-6</v>
      </c>
      <c r="R1110" s="346">
        <f t="shared" si="135"/>
        <v>5.3000000000000001E-6</v>
      </c>
      <c r="S1110" s="347" t="str">
        <f t="shared" si="136"/>
        <v>-</v>
      </c>
      <c r="T1110" s="347">
        <f t="shared" si="137"/>
        <v>0</v>
      </c>
      <c r="U1110" s="347">
        <f>HLOOKUP(Apoio!$P$12,$D$1061:$P$1162,X1110,FALSE)+Q1110</f>
        <v>5.3000000000000001E-6</v>
      </c>
      <c r="V1110" s="447" t="str">
        <f t="shared" si="138"/>
        <v>-</v>
      </c>
      <c r="W1110" s="448">
        <f>HLOOKUP(Apoio!$P$12,$D$1061:$P$1162,X1110,FALSE)</f>
        <v>0</v>
      </c>
      <c r="X1110" s="329">
        <v>50</v>
      </c>
    </row>
    <row r="1111" spans="2:24" ht="30.05" customHeight="1" x14ac:dyDescent="0.35">
      <c r="B1111" s="204" t="str">
        <f>'CAD_PL_REC-DESP'!H53</f>
        <v>1.3.49</v>
      </c>
      <c r="C1111" s="205" t="str">
        <f>IF('CAD_PL_REC-DESP'!I53="","-",'CAD_PL_REC-DESP'!I53)</f>
        <v>-</v>
      </c>
      <c r="D1111" s="206">
        <f>SUMIFS(LANÇ_MOV[VALOR LÍQUIDO],LANÇ_MOV[RECEITA OU DESPESA],"Receita",LANÇ_MOV[CONTAS],$C1111,LANÇ_MOV[PLANO DE CONTAS],REL_DRE_FINANCEIRO!$B$1062,LANÇ_MOV[ANO PAGAMENTO],$B$4,LANÇ_MOV[MÊS PAGAMENTO CORRESPONDENTE],D$6,LANÇ_MOV[EMPRESA],$C$4,LANÇ_MOV[CENTRO DE CUSTOS],$D$4)</f>
        <v>0</v>
      </c>
      <c r="E1111" s="206">
        <f>SUMIFS(LANÇ_MOV[VALOR LÍQUIDO],LANÇ_MOV[RECEITA OU DESPESA],"Receita",LANÇ_MOV[CONTAS],$C1111,LANÇ_MOV[PLANO DE CONTAS],REL_DRE_FINANCEIRO!$B$1062,LANÇ_MOV[ANO PAGAMENTO],$B$4,LANÇ_MOV[MÊS PAGAMENTO CORRESPONDENTE],E$6,LANÇ_MOV[EMPRESA],$C$4,LANÇ_MOV[CENTRO DE CUSTOS],$D$4)</f>
        <v>0</v>
      </c>
      <c r="F1111" s="206">
        <f>SUMIFS(LANÇ_MOV[VALOR LÍQUIDO],LANÇ_MOV[RECEITA OU DESPESA],"Receita",LANÇ_MOV[CONTAS],$C1111,LANÇ_MOV[PLANO DE CONTAS],REL_DRE_FINANCEIRO!$B$1062,LANÇ_MOV[ANO PAGAMENTO],$B$4,LANÇ_MOV[MÊS PAGAMENTO CORRESPONDENTE],F$6,LANÇ_MOV[EMPRESA],$C$4,LANÇ_MOV[CENTRO DE CUSTOS],$D$4)</f>
        <v>0</v>
      </c>
      <c r="G1111" s="206">
        <f>SUMIFS(LANÇ_MOV[VALOR LÍQUIDO],LANÇ_MOV[RECEITA OU DESPESA],"Receita",LANÇ_MOV[CONTAS],$C1111,LANÇ_MOV[PLANO DE CONTAS],REL_DRE_FINANCEIRO!$B$1062,LANÇ_MOV[ANO PAGAMENTO],$B$4,LANÇ_MOV[MÊS PAGAMENTO CORRESPONDENTE],G$6,LANÇ_MOV[EMPRESA],$C$4,LANÇ_MOV[CENTRO DE CUSTOS],$D$4)</f>
        <v>0</v>
      </c>
      <c r="H1111" s="206">
        <f>SUMIFS(LANÇ_MOV[VALOR LÍQUIDO],LANÇ_MOV[RECEITA OU DESPESA],"Receita",LANÇ_MOV[CONTAS],$C1111,LANÇ_MOV[PLANO DE CONTAS],REL_DRE_FINANCEIRO!$B$1062,LANÇ_MOV[ANO PAGAMENTO],$B$4,LANÇ_MOV[MÊS PAGAMENTO CORRESPONDENTE],H$6,LANÇ_MOV[EMPRESA],$C$4,LANÇ_MOV[CENTRO DE CUSTOS],$D$4)</f>
        <v>0</v>
      </c>
      <c r="I1111" s="206">
        <f>SUMIFS(LANÇ_MOV[VALOR LÍQUIDO],LANÇ_MOV[RECEITA OU DESPESA],"Receita",LANÇ_MOV[CONTAS],$C1111,LANÇ_MOV[PLANO DE CONTAS],REL_DRE_FINANCEIRO!$B$1062,LANÇ_MOV[ANO PAGAMENTO],$B$4,LANÇ_MOV[MÊS PAGAMENTO CORRESPONDENTE],I$6,LANÇ_MOV[EMPRESA],$C$4,LANÇ_MOV[CENTRO DE CUSTOS],$D$4)</f>
        <v>0</v>
      </c>
      <c r="J1111" s="206">
        <f>SUMIFS(LANÇ_MOV[VALOR LÍQUIDO],LANÇ_MOV[RECEITA OU DESPESA],"Receita",LANÇ_MOV[CONTAS],$C1111,LANÇ_MOV[PLANO DE CONTAS],REL_DRE_FINANCEIRO!$B$1062,LANÇ_MOV[ANO PAGAMENTO],$B$4,LANÇ_MOV[MÊS PAGAMENTO CORRESPONDENTE],J$6,LANÇ_MOV[EMPRESA],$C$4,LANÇ_MOV[CENTRO DE CUSTOS],$D$4)</f>
        <v>0</v>
      </c>
      <c r="K1111" s="206">
        <f>SUMIFS(LANÇ_MOV[VALOR LÍQUIDO],LANÇ_MOV[RECEITA OU DESPESA],"Receita",LANÇ_MOV[CONTAS],$C1111,LANÇ_MOV[PLANO DE CONTAS],REL_DRE_FINANCEIRO!$B$1062,LANÇ_MOV[ANO PAGAMENTO],$B$4,LANÇ_MOV[MÊS PAGAMENTO CORRESPONDENTE],K$6,LANÇ_MOV[EMPRESA],$C$4,LANÇ_MOV[CENTRO DE CUSTOS],$D$4)</f>
        <v>0</v>
      </c>
      <c r="L1111" s="206">
        <f>SUMIFS(LANÇ_MOV[VALOR LÍQUIDO],LANÇ_MOV[RECEITA OU DESPESA],"Receita",LANÇ_MOV[CONTAS],$C1111,LANÇ_MOV[PLANO DE CONTAS],REL_DRE_FINANCEIRO!$B$1062,LANÇ_MOV[ANO PAGAMENTO],$B$4,LANÇ_MOV[MÊS PAGAMENTO CORRESPONDENTE],L$6,LANÇ_MOV[EMPRESA],$C$4,LANÇ_MOV[CENTRO DE CUSTOS],$D$4)</f>
        <v>0</v>
      </c>
      <c r="M1111" s="206">
        <f>SUMIFS(LANÇ_MOV[VALOR LÍQUIDO],LANÇ_MOV[RECEITA OU DESPESA],"Receita",LANÇ_MOV[CONTAS],$C1111,LANÇ_MOV[PLANO DE CONTAS],REL_DRE_FINANCEIRO!$B$1062,LANÇ_MOV[ANO PAGAMENTO],$B$4,LANÇ_MOV[MÊS PAGAMENTO CORRESPONDENTE],M$6,LANÇ_MOV[EMPRESA],$C$4,LANÇ_MOV[CENTRO DE CUSTOS],$D$4)</f>
        <v>0</v>
      </c>
      <c r="N1111" s="206">
        <f>SUMIFS(LANÇ_MOV[VALOR LÍQUIDO],LANÇ_MOV[RECEITA OU DESPESA],"Receita",LANÇ_MOV[CONTAS],$C1111,LANÇ_MOV[PLANO DE CONTAS],REL_DRE_FINANCEIRO!$B$1062,LANÇ_MOV[ANO PAGAMENTO],$B$4,LANÇ_MOV[MÊS PAGAMENTO CORRESPONDENTE],N$6,LANÇ_MOV[EMPRESA],$C$4,LANÇ_MOV[CENTRO DE CUSTOS],$D$4)</f>
        <v>0</v>
      </c>
      <c r="O1111" s="206">
        <f>SUMIFS(LANÇ_MOV[VALOR LÍQUIDO],LANÇ_MOV[RECEITA OU DESPESA],"Receita",LANÇ_MOV[CONTAS],$C1111,LANÇ_MOV[PLANO DE CONTAS],REL_DRE_FINANCEIRO!$B$1062,LANÇ_MOV[ANO PAGAMENTO],$B$4,LANÇ_MOV[MÊS PAGAMENTO CORRESPONDENTE],O$6,LANÇ_MOV[EMPRESA],$C$4,LANÇ_MOV[CENTRO DE CUSTOS],$D$4)</f>
        <v>0</v>
      </c>
      <c r="P1111" s="207">
        <f t="shared" si="134"/>
        <v>0</v>
      </c>
      <c r="Q1111" s="329">
        <v>5.2000000000000002E-6</v>
      </c>
      <c r="R1111" s="346">
        <f t="shared" si="135"/>
        <v>5.2000000000000002E-6</v>
      </c>
      <c r="S1111" s="347" t="str">
        <f t="shared" si="136"/>
        <v>-</v>
      </c>
      <c r="T1111" s="347">
        <f t="shared" si="137"/>
        <v>0</v>
      </c>
      <c r="U1111" s="347">
        <f>HLOOKUP(Apoio!$P$12,$D$1061:$P$1162,X1111,FALSE)+Q1111</f>
        <v>5.2000000000000002E-6</v>
      </c>
      <c r="V1111" s="447" t="str">
        <f t="shared" si="138"/>
        <v>-</v>
      </c>
      <c r="W1111" s="448">
        <f>HLOOKUP(Apoio!$P$12,$D$1061:$P$1162,X1111,FALSE)</f>
        <v>0</v>
      </c>
      <c r="X1111" s="329">
        <v>51</v>
      </c>
    </row>
    <row r="1112" spans="2:24" ht="30.05" customHeight="1" x14ac:dyDescent="0.35">
      <c r="B1112" s="204" t="str">
        <f>'CAD_PL_REC-DESP'!H54</f>
        <v>1.3.50</v>
      </c>
      <c r="C1112" s="205" t="str">
        <f>IF('CAD_PL_REC-DESP'!I54="","-",'CAD_PL_REC-DESP'!I54)</f>
        <v>-</v>
      </c>
      <c r="D1112" s="206">
        <f>SUMIFS(LANÇ_MOV[VALOR LÍQUIDO],LANÇ_MOV[RECEITA OU DESPESA],"Receita",LANÇ_MOV[CONTAS],$C1112,LANÇ_MOV[PLANO DE CONTAS],REL_DRE_FINANCEIRO!$B$1062,LANÇ_MOV[ANO PAGAMENTO],$B$4,LANÇ_MOV[MÊS PAGAMENTO CORRESPONDENTE],D$6,LANÇ_MOV[EMPRESA],$C$4,LANÇ_MOV[CENTRO DE CUSTOS],$D$4)</f>
        <v>0</v>
      </c>
      <c r="E1112" s="206">
        <f>SUMIFS(LANÇ_MOV[VALOR LÍQUIDO],LANÇ_MOV[RECEITA OU DESPESA],"Receita",LANÇ_MOV[CONTAS],$C1112,LANÇ_MOV[PLANO DE CONTAS],REL_DRE_FINANCEIRO!$B$1062,LANÇ_MOV[ANO PAGAMENTO],$B$4,LANÇ_MOV[MÊS PAGAMENTO CORRESPONDENTE],E$6,LANÇ_MOV[EMPRESA],$C$4,LANÇ_MOV[CENTRO DE CUSTOS],$D$4)</f>
        <v>0</v>
      </c>
      <c r="F1112" s="206">
        <f>SUMIFS(LANÇ_MOV[VALOR LÍQUIDO],LANÇ_MOV[RECEITA OU DESPESA],"Receita",LANÇ_MOV[CONTAS],$C1112,LANÇ_MOV[PLANO DE CONTAS],REL_DRE_FINANCEIRO!$B$1062,LANÇ_MOV[ANO PAGAMENTO],$B$4,LANÇ_MOV[MÊS PAGAMENTO CORRESPONDENTE],F$6,LANÇ_MOV[EMPRESA],$C$4,LANÇ_MOV[CENTRO DE CUSTOS],$D$4)</f>
        <v>0</v>
      </c>
      <c r="G1112" s="206">
        <f>SUMIFS(LANÇ_MOV[VALOR LÍQUIDO],LANÇ_MOV[RECEITA OU DESPESA],"Receita",LANÇ_MOV[CONTAS],$C1112,LANÇ_MOV[PLANO DE CONTAS],REL_DRE_FINANCEIRO!$B$1062,LANÇ_MOV[ANO PAGAMENTO],$B$4,LANÇ_MOV[MÊS PAGAMENTO CORRESPONDENTE],G$6,LANÇ_MOV[EMPRESA],$C$4,LANÇ_MOV[CENTRO DE CUSTOS],$D$4)</f>
        <v>0</v>
      </c>
      <c r="H1112" s="206">
        <f>SUMIFS(LANÇ_MOV[VALOR LÍQUIDO],LANÇ_MOV[RECEITA OU DESPESA],"Receita",LANÇ_MOV[CONTAS],$C1112,LANÇ_MOV[PLANO DE CONTAS],REL_DRE_FINANCEIRO!$B$1062,LANÇ_MOV[ANO PAGAMENTO],$B$4,LANÇ_MOV[MÊS PAGAMENTO CORRESPONDENTE],H$6,LANÇ_MOV[EMPRESA],$C$4,LANÇ_MOV[CENTRO DE CUSTOS],$D$4)</f>
        <v>0</v>
      </c>
      <c r="I1112" s="206">
        <f>SUMIFS(LANÇ_MOV[VALOR LÍQUIDO],LANÇ_MOV[RECEITA OU DESPESA],"Receita",LANÇ_MOV[CONTAS],$C1112,LANÇ_MOV[PLANO DE CONTAS],REL_DRE_FINANCEIRO!$B$1062,LANÇ_MOV[ANO PAGAMENTO],$B$4,LANÇ_MOV[MÊS PAGAMENTO CORRESPONDENTE],I$6,LANÇ_MOV[EMPRESA],$C$4,LANÇ_MOV[CENTRO DE CUSTOS],$D$4)</f>
        <v>0</v>
      </c>
      <c r="J1112" s="206">
        <f>SUMIFS(LANÇ_MOV[VALOR LÍQUIDO],LANÇ_MOV[RECEITA OU DESPESA],"Receita",LANÇ_MOV[CONTAS],$C1112,LANÇ_MOV[PLANO DE CONTAS],REL_DRE_FINANCEIRO!$B$1062,LANÇ_MOV[ANO PAGAMENTO],$B$4,LANÇ_MOV[MÊS PAGAMENTO CORRESPONDENTE],J$6,LANÇ_MOV[EMPRESA],$C$4,LANÇ_MOV[CENTRO DE CUSTOS],$D$4)</f>
        <v>0</v>
      </c>
      <c r="K1112" s="206">
        <f>SUMIFS(LANÇ_MOV[VALOR LÍQUIDO],LANÇ_MOV[RECEITA OU DESPESA],"Receita",LANÇ_MOV[CONTAS],$C1112,LANÇ_MOV[PLANO DE CONTAS],REL_DRE_FINANCEIRO!$B$1062,LANÇ_MOV[ANO PAGAMENTO],$B$4,LANÇ_MOV[MÊS PAGAMENTO CORRESPONDENTE],K$6,LANÇ_MOV[EMPRESA],$C$4,LANÇ_MOV[CENTRO DE CUSTOS],$D$4)</f>
        <v>0</v>
      </c>
      <c r="L1112" s="206">
        <f>SUMIFS(LANÇ_MOV[VALOR LÍQUIDO],LANÇ_MOV[RECEITA OU DESPESA],"Receita",LANÇ_MOV[CONTAS],$C1112,LANÇ_MOV[PLANO DE CONTAS],REL_DRE_FINANCEIRO!$B$1062,LANÇ_MOV[ANO PAGAMENTO],$B$4,LANÇ_MOV[MÊS PAGAMENTO CORRESPONDENTE],L$6,LANÇ_MOV[EMPRESA],$C$4,LANÇ_MOV[CENTRO DE CUSTOS],$D$4)</f>
        <v>0</v>
      </c>
      <c r="M1112" s="206">
        <f>SUMIFS(LANÇ_MOV[VALOR LÍQUIDO],LANÇ_MOV[RECEITA OU DESPESA],"Receita",LANÇ_MOV[CONTAS],$C1112,LANÇ_MOV[PLANO DE CONTAS],REL_DRE_FINANCEIRO!$B$1062,LANÇ_MOV[ANO PAGAMENTO],$B$4,LANÇ_MOV[MÊS PAGAMENTO CORRESPONDENTE],M$6,LANÇ_MOV[EMPRESA],$C$4,LANÇ_MOV[CENTRO DE CUSTOS],$D$4)</f>
        <v>0</v>
      </c>
      <c r="N1112" s="206">
        <f>SUMIFS(LANÇ_MOV[VALOR LÍQUIDO],LANÇ_MOV[RECEITA OU DESPESA],"Receita",LANÇ_MOV[CONTAS],$C1112,LANÇ_MOV[PLANO DE CONTAS],REL_DRE_FINANCEIRO!$B$1062,LANÇ_MOV[ANO PAGAMENTO],$B$4,LANÇ_MOV[MÊS PAGAMENTO CORRESPONDENTE],N$6,LANÇ_MOV[EMPRESA],$C$4,LANÇ_MOV[CENTRO DE CUSTOS],$D$4)</f>
        <v>0</v>
      </c>
      <c r="O1112" s="206">
        <f>SUMIFS(LANÇ_MOV[VALOR LÍQUIDO],LANÇ_MOV[RECEITA OU DESPESA],"Receita",LANÇ_MOV[CONTAS],$C1112,LANÇ_MOV[PLANO DE CONTAS],REL_DRE_FINANCEIRO!$B$1062,LANÇ_MOV[ANO PAGAMENTO],$B$4,LANÇ_MOV[MÊS PAGAMENTO CORRESPONDENTE],O$6,LANÇ_MOV[EMPRESA],$C$4,LANÇ_MOV[CENTRO DE CUSTOS],$D$4)</f>
        <v>0</v>
      </c>
      <c r="P1112" s="207">
        <f t="shared" si="134"/>
        <v>0</v>
      </c>
      <c r="Q1112" s="329">
        <v>5.1000000000000003E-6</v>
      </c>
      <c r="R1112" s="346">
        <f t="shared" si="135"/>
        <v>5.1000000000000003E-6</v>
      </c>
      <c r="S1112" s="347" t="str">
        <f t="shared" si="136"/>
        <v>-</v>
      </c>
      <c r="T1112" s="347">
        <f t="shared" si="137"/>
        <v>0</v>
      </c>
      <c r="U1112" s="347">
        <f>HLOOKUP(Apoio!$P$12,$D$1061:$P$1162,X1112,FALSE)+Q1112</f>
        <v>5.1000000000000003E-6</v>
      </c>
      <c r="V1112" s="447" t="str">
        <f t="shared" si="138"/>
        <v>-</v>
      </c>
      <c r="W1112" s="448">
        <f>HLOOKUP(Apoio!$P$12,$D$1061:$P$1162,X1112,FALSE)</f>
        <v>0</v>
      </c>
      <c r="X1112" s="329">
        <v>52</v>
      </c>
    </row>
    <row r="1113" spans="2:24" ht="30.05" customHeight="1" x14ac:dyDescent="0.35">
      <c r="B1113" s="204" t="str">
        <f>'CAD_PL_REC-DESP'!H55</f>
        <v>1.3.51</v>
      </c>
      <c r="C1113" s="205" t="str">
        <f>IF('CAD_PL_REC-DESP'!I55="","-",'CAD_PL_REC-DESP'!I55)</f>
        <v>-</v>
      </c>
      <c r="D1113" s="206">
        <f>SUMIFS(LANÇ_MOV[VALOR LÍQUIDO],LANÇ_MOV[RECEITA OU DESPESA],"Receita",LANÇ_MOV[CONTAS],$C1113,LANÇ_MOV[PLANO DE CONTAS],REL_DRE_FINANCEIRO!$B$1062,LANÇ_MOV[ANO PAGAMENTO],$B$4,LANÇ_MOV[MÊS PAGAMENTO CORRESPONDENTE],D$6,LANÇ_MOV[EMPRESA],$C$4,LANÇ_MOV[CENTRO DE CUSTOS],$D$4)</f>
        <v>0</v>
      </c>
      <c r="E1113" s="206">
        <f>SUMIFS(LANÇ_MOV[VALOR LÍQUIDO],LANÇ_MOV[RECEITA OU DESPESA],"Receita",LANÇ_MOV[CONTAS],$C1113,LANÇ_MOV[PLANO DE CONTAS],REL_DRE_FINANCEIRO!$B$1062,LANÇ_MOV[ANO PAGAMENTO],$B$4,LANÇ_MOV[MÊS PAGAMENTO CORRESPONDENTE],E$6,LANÇ_MOV[EMPRESA],$C$4,LANÇ_MOV[CENTRO DE CUSTOS],$D$4)</f>
        <v>0</v>
      </c>
      <c r="F1113" s="206">
        <f>SUMIFS(LANÇ_MOV[VALOR LÍQUIDO],LANÇ_MOV[RECEITA OU DESPESA],"Receita",LANÇ_MOV[CONTAS],$C1113,LANÇ_MOV[PLANO DE CONTAS],REL_DRE_FINANCEIRO!$B$1062,LANÇ_MOV[ANO PAGAMENTO],$B$4,LANÇ_MOV[MÊS PAGAMENTO CORRESPONDENTE],F$6,LANÇ_MOV[EMPRESA],$C$4,LANÇ_MOV[CENTRO DE CUSTOS],$D$4)</f>
        <v>0</v>
      </c>
      <c r="G1113" s="206">
        <f>SUMIFS(LANÇ_MOV[VALOR LÍQUIDO],LANÇ_MOV[RECEITA OU DESPESA],"Receita",LANÇ_MOV[CONTAS],$C1113,LANÇ_MOV[PLANO DE CONTAS],REL_DRE_FINANCEIRO!$B$1062,LANÇ_MOV[ANO PAGAMENTO],$B$4,LANÇ_MOV[MÊS PAGAMENTO CORRESPONDENTE],G$6,LANÇ_MOV[EMPRESA],$C$4,LANÇ_MOV[CENTRO DE CUSTOS],$D$4)</f>
        <v>0</v>
      </c>
      <c r="H1113" s="206">
        <f>SUMIFS(LANÇ_MOV[VALOR LÍQUIDO],LANÇ_MOV[RECEITA OU DESPESA],"Receita",LANÇ_MOV[CONTAS],$C1113,LANÇ_MOV[PLANO DE CONTAS],REL_DRE_FINANCEIRO!$B$1062,LANÇ_MOV[ANO PAGAMENTO],$B$4,LANÇ_MOV[MÊS PAGAMENTO CORRESPONDENTE],H$6,LANÇ_MOV[EMPRESA],$C$4,LANÇ_MOV[CENTRO DE CUSTOS],$D$4)</f>
        <v>0</v>
      </c>
      <c r="I1113" s="206">
        <f>SUMIFS(LANÇ_MOV[VALOR LÍQUIDO],LANÇ_MOV[RECEITA OU DESPESA],"Receita",LANÇ_MOV[CONTAS],$C1113,LANÇ_MOV[PLANO DE CONTAS],REL_DRE_FINANCEIRO!$B$1062,LANÇ_MOV[ANO PAGAMENTO],$B$4,LANÇ_MOV[MÊS PAGAMENTO CORRESPONDENTE],I$6,LANÇ_MOV[EMPRESA],$C$4,LANÇ_MOV[CENTRO DE CUSTOS],$D$4)</f>
        <v>0</v>
      </c>
      <c r="J1113" s="206">
        <f>SUMIFS(LANÇ_MOV[VALOR LÍQUIDO],LANÇ_MOV[RECEITA OU DESPESA],"Receita",LANÇ_MOV[CONTAS],$C1113,LANÇ_MOV[PLANO DE CONTAS],REL_DRE_FINANCEIRO!$B$1062,LANÇ_MOV[ANO PAGAMENTO],$B$4,LANÇ_MOV[MÊS PAGAMENTO CORRESPONDENTE],J$6,LANÇ_MOV[EMPRESA],$C$4,LANÇ_MOV[CENTRO DE CUSTOS],$D$4)</f>
        <v>0</v>
      </c>
      <c r="K1113" s="206">
        <f>SUMIFS(LANÇ_MOV[VALOR LÍQUIDO],LANÇ_MOV[RECEITA OU DESPESA],"Receita",LANÇ_MOV[CONTAS],$C1113,LANÇ_MOV[PLANO DE CONTAS],REL_DRE_FINANCEIRO!$B$1062,LANÇ_MOV[ANO PAGAMENTO],$B$4,LANÇ_MOV[MÊS PAGAMENTO CORRESPONDENTE],K$6,LANÇ_MOV[EMPRESA],$C$4,LANÇ_MOV[CENTRO DE CUSTOS],$D$4)</f>
        <v>0</v>
      </c>
      <c r="L1113" s="206">
        <f>SUMIFS(LANÇ_MOV[VALOR LÍQUIDO],LANÇ_MOV[RECEITA OU DESPESA],"Receita",LANÇ_MOV[CONTAS],$C1113,LANÇ_MOV[PLANO DE CONTAS],REL_DRE_FINANCEIRO!$B$1062,LANÇ_MOV[ANO PAGAMENTO],$B$4,LANÇ_MOV[MÊS PAGAMENTO CORRESPONDENTE],L$6,LANÇ_MOV[EMPRESA],$C$4,LANÇ_MOV[CENTRO DE CUSTOS],$D$4)</f>
        <v>0</v>
      </c>
      <c r="M1113" s="206">
        <f>SUMIFS(LANÇ_MOV[VALOR LÍQUIDO],LANÇ_MOV[RECEITA OU DESPESA],"Receita",LANÇ_MOV[CONTAS],$C1113,LANÇ_MOV[PLANO DE CONTAS],REL_DRE_FINANCEIRO!$B$1062,LANÇ_MOV[ANO PAGAMENTO],$B$4,LANÇ_MOV[MÊS PAGAMENTO CORRESPONDENTE],M$6,LANÇ_MOV[EMPRESA],$C$4,LANÇ_MOV[CENTRO DE CUSTOS],$D$4)</f>
        <v>0</v>
      </c>
      <c r="N1113" s="206">
        <f>SUMIFS(LANÇ_MOV[VALOR LÍQUIDO],LANÇ_MOV[RECEITA OU DESPESA],"Receita",LANÇ_MOV[CONTAS],$C1113,LANÇ_MOV[PLANO DE CONTAS],REL_DRE_FINANCEIRO!$B$1062,LANÇ_MOV[ANO PAGAMENTO],$B$4,LANÇ_MOV[MÊS PAGAMENTO CORRESPONDENTE],N$6,LANÇ_MOV[EMPRESA],$C$4,LANÇ_MOV[CENTRO DE CUSTOS],$D$4)</f>
        <v>0</v>
      </c>
      <c r="O1113" s="206">
        <f>SUMIFS(LANÇ_MOV[VALOR LÍQUIDO],LANÇ_MOV[RECEITA OU DESPESA],"Receita",LANÇ_MOV[CONTAS],$C1113,LANÇ_MOV[PLANO DE CONTAS],REL_DRE_FINANCEIRO!$B$1062,LANÇ_MOV[ANO PAGAMENTO],$B$4,LANÇ_MOV[MÊS PAGAMENTO CORRESPONDENTE],O$6,LANÇ_MOV[EMPRESA],$C$4,LANÇ_MOV[CENTRO DE CUSTOS],$D$4)</f>
        <v>0</v>
      </c>
      <c r="P1113" s="207">
        <f t="shared" si="134"/>
        <v>0</v>
      </c>
      <c r="Q1113" s="329">
        <v>5.0000000000000004E-6</v>
      </c>
      <c r="R1113" s="346">
        <f t="shared" si="135"/>
        <v>5.0000000000000004E-6</v>
      </c>
      <c r="S1113" s="347" t="str">
        <f t="shared" si="136"/>
        <v>-</v>
      </c>
      <c r="T1113" s="347">
        <f t="shared" si="137"/>
        <v>0</v>
      </c>
      <c r="U1113" s="347">
        <f>HLOOKUP(Apoio!$P$12,$D$1061:$P$1162,X1113,FALSE)+Q1113</f>
        <v>5.0000000000000004E-6</v>
      </c>
      <c r="V1113" s="447" t="str">
        <f t="shared" si="138"/>
        <v>-</v>
      </c>
      <c r="W1113" s="448">
        <f>HLOOKUP(Apoio!$P$12,$D$1061:$P$1162,X1113,FALSE)</f>
        <v>0</v>
      </c>
      <c r="X1113" s="329">
        <v>53</v>
      </c>
    </row>
    <row r="1114" spans="2:24" ht="30.05" customHeight="1" x14ac:dyDescent="0.35">
      <c r="B1114" s="204" t="str">
        <f>'CAD_PL_REC-DESP'!H56</f>
        <v>1.3.52</v>
      </c>
      <c r="C1114" s="205" t="str">
        <f>IF('CAD_PL_REC-DESP'!I56="","-",'CAD_PL_REC-DESP'!I56)</f>
        <v>-</v>
      </c>
      <c r="D1114" s="206">
        <f>SUMIFS(LANÇ_MOV[VALOR LÍQUIDO],LANÇ_MOV[RECEITA OU DESPESA],"Receita",LANÇ_MOV[CONTAS],$C1114,LANÇ_MOV[PLANO DE CONTAS],REL_DRE_FINANCEIRO!$B$1062,LANÇ_MOV[ANO PAGAMENTO],$B$4,LANÇ_MOV[MÊS PAGAMENTO CORRESPONDENTE],D$6,LANÇ_MOV[EMPRESA],$C$4,LANÇ_MOV[CENTRO DE CUSTOS],$D$4)</f>
        <v>0</v>
      </c>
      <c r="E1114" s="206">
        <f>SUMIFS(LANÇ_MOV[VALOR LÍQUIDO],LANÇ_MOV[RECEITA OU DESPESA],"Receita",LANÇ_MOV[CONTAS],$C1114,LANÇ_MOV[PLANO DE CONTAS],REL_DRE_FINANCEIRO!$B$1062,LANÇ_MOV[ANO PAGAMENTO],$B$4,LANÇ_MOV[MÊS PAGAMENTO CORRESPONDENTE],E$6,LANÇ_MOV[EMPRESA],$C$4,LANÇ_MOV[CENTRO DE CUSTOS],$D$4)</f>
        <v>0</v>
      </c>
      <c r="F1114" s="206">
        <f>SUMIFS(LANÇ_MOV[VALOR LÍQUIDO],LANÇ_MOV[RECEITA OU DESPESA],"Receita",LANÇ_MOV[CONTAS],$C1114,LANÇ_MOV[PLANO DE CONTAS],REL_DRE_FINANCEIRO!$B$1062,LANÇ_MOV[ANO PAGAMENTO],$B$4,LANÇ_MOV[MÊS PAGAMENTO CORRESPONDENTE],F$6,LANÇ_MOV[EMPRESA],$C$4,LANÇ_MOV[CENTRO DE CUSTOS],$D$4)</f>
        <v>0</v>
      </c>
      <c r="G1114" s="206">
        <f>SUMIFS(LANÇ_MOV[VALOR LÍQUIDO],LANÇ_MOV[RECEITA OU DESPESA],"Receita",LANÇ_MOV[CONTAS],$C1114,LANÇ_MOV[PLANO DE CONTAS],REL_DRE_FINANCEIRO!$B$1062,LANÇ_MOV[ANO PAGAMENTO],$B$4,LANÇ_MOV[MÊS PAGAMENTO CORRESPONDENTE],G$6,LANÇ_MOV[EMPRESA],$C$4,LANÇ_MOV[CENTRO DE CUSTOS],$D$4)</f>
        <v>0</v>
      </c>
      <c r="H1114" s="206">
        <f>SUMIFS(LANÇ_MOV[VALOR LÍQUIDO],LANÇ_MOV[RECEITA OU DESPESA],"Receita",LANÇ_MOV[CONTAS],$C1114,LANÇ_MOV[PLANO DE CONTAS],REL_DRE_FINANCEIRO!$B$1062,LANÇ_MOV[ANO PAGAMENTO],$B$4,LANÇ_MOV[MÊS PAGAMENTO CORRESPONDENTE],H$6,LANÇ_MOV[EMPRESA],$C$4,LANÇ_MOV[CENTRO DE CUSTOS],$D$4)</f>
        <v>0</v>
      </c>
      <c r="I1114" s="206">
        <f>SUMIFS(LANÇ_MOV[VALOR LÍQUIDO],LANÇ_MOV[RECEITA OU DESPESA],"Receita",LANÇ_MOV[CONTAS],$C1114,LANÇ_MOV[PLANO DE CONTAS],REL_DRE_FINANCEIRO!$B$1062,LANÇ_MOV[ANO PAGAMENTO],$B$4,LANÇ_MOV[MÊS PAGAMENTO CORRESPONDENTE],I$6,LANÇ_MOV[EMPRESA],$C$4,LANÇ_MOV[CENTRO DE CUSTOS],$D$4)</f>
        <v>0</v>
      </c>
      <c r="J1114" s="206">
        <f>SUMIFS(LANÇ_MOV[VALOR LÍQUIDO],LANÇ_MOV[RECEITA OU DESPESA],"Receita",LANÇ_MOV[CONTAS],$C1114,LANÇ_MOV[PLANO DE CONTAS],REL_DRE_FINANCEIRO!$B$1062,LANÇ_MOV[ANO PAGAMENTO],$B$4,LANÇ_MOV[MÊS PAGAMENTO CORRESPONDENTE],J$6,LANÇ_MOV[EMPRESA],$C$4,LANÇ_MOV[CENTRO DE CUSTOS],$D$4)</f>
        <v>0</v>
      </c>
      <c r="K1114" s="206">
        <f>SUMIFS(LANÇ_MOV[VALOR LÍQUIDO],LANÇ_MOV[RECEITA OU DESPESA],"Receita",LANÇ_MOV[CONTAS],$C1114,LANÇ_MOV[PLANO DE CONTAS],REL_DRE_FINANCEIRO!$B$1062,LANÇ_MOV[ANO PAGAMENTO],$B$4,LANÇ_MOV[MÊS PAGAMENTO CORRESPONDENTE],K$6,LANÇ_MOV[EMPRESA],$C$4,LANÇ_MOV[CENTRO DE CUSTOS],$D$4)</f>
        <v>0</v>
      </c>
      <c r="L1114" s="206">
        <f>SUMIFS(LANÇ_MOV[VALOR LÍQUIDO],LANÇ_MOV[RECEITA OU DESPESA],"Receita",LANÇ_MOV[CONTAS],$C1114,LANÇ_MOV[PLANO DE CONTAS],REL_DRE_FINANCEIRO!$B$1062,LANÇ_MOV[ANO PAGAMENTO],$B$4,LANÇ_MOV[MÊS PAGAMENTO CORRESPONDENTE],L$6,LANÇ_MOV[EMPRESA],$C$4,LANÇ_MOV[CENTRO DE CUSTOS],$D$4)</f>
        <v>0</v>
      </c>
      <c r="M1114" s="206">
        <f>SUMIFS(LANÇ_MOV[VALOR LÍQUIDO],LANÇ_MOV[RECEITA OU DESPESA],"Receita",LANÇ_MOV[CONTAS],$C1114,LANÇ_MOV[PLANO DE CONTAS],REL_DRE_FINANCEIRO!$B$1062,LANÇ_MOV[ANO PAGAMENTO],$B$4,LANÇ_MOV[MÊS PAGAMENTO CORRESPONDENTE],M$6,LANÇ_MOV[EMPRESA],$C$4,LANÇ_MOV[CENTRO DE CUSTOS],$D$4)</f>
        <v>0</v>
      </c>
      <c r="N1114" s="206">
        <f>SUMIFS(LANÇ_MOV[VALOR LÍQUIDO],LANÇ_MOV[RECEITA OU DESPESA],"Receita",LANÇ_MOV[CONTAS],$C1114,LANÇ_MOV[PLANO DE CONTAS],REL_DRE_FINANCEIRO!$B$1062,LANÇ_MOV[ANO PAGAMENTO],$B$4,LANÇ_MOV[MÊS PAGAMENTO CORRESPONDENTE],N$6,LANÇ_MOV[EMPRESA],$C$4,LANÇ_MOV[CENTRO DE CUSTOS],$D$4)</f>
        <v>0</v>
      </c>
      <c r="O1114" s="206">
        <f>SUMIFS(LANÇ_MOV[VALOR LÍQUIDO],LANÇ_MOV[RECEITA OU DESPESA],"Receita",LANÇ_MOV[CONTAS],$C1114,LANÇ_MOV[PLANO DE CONTAS],REL_DRE_FINANCEIRO!$B$1062,LANÇ_MOV[ANO PAGAMENTO],$B$4,LANÇ_MOV[MÊS PAGAMENTO CORRESPONDENTE],O$6,LANÇ_MOV[EMPRESA],$C$4,LANÇ_MOV[CENTRO DE CUSTOS],$D$4)</f>
        <v>0</v>
      </c>
      <c r="P1114" s="207">
        <f t="shared" si="134"/>
        <v>0</v>
      </c>
      <c r="Q1114" s="329">
        <v>4.8999999999999997E-6</v>
      </c>
      <c r="R1114" s="346">
        <f t="shared" si="135"/>
        <v>4.8999999999999997E-6</v>
      </c>
      <c r="S1114" s="347" t="str">
        <f t="shared" si="136"/>
        <v>-</v>
      </c>
      <c r="T1114" s="347">
        <f t="shared" si="137"/>
        <v>0</v>
      </c>
      <c r="U1114" s="347">
        <f>HLOOKUP(Apoio!$P$12,$D$1061:$P$1162,X1114,FALSE)+Q1114</f>
        <v>4.8999999999999997E-6</v>
      </c>
      <c r="V1114" s="447" t="str">
        <f t="shared" si="138"/>
        <v>-</v>
      </c>
      <c r="W1114" s="448">
        <f>HLOOKUP(Apoio!$P$12,$D$1061:$P$1162,X1114,FALSE)</f>
        <v>0</v>
      </c>
      <c r="X1114" s="329">
        <v>54</v>
      </c>
    </row>
    <row r="1115" spans="2:24" ht="30.05" customHeight="1" x14ac:dyDescent="0.35">
      <c r="B1115" s="204" t="str">
        <f>'CAD_PL_REC-DESP'!H57</f>
        <v>1.3.53</v>
      </c>
      <c r="C1115" s="205" t="str">
        <f>IF('CAD_PL_REC-DESP'!I57="","-",'CAD_PL_REC-DESP'!I57)</f>
        <v>-</v>
      </c>
      <c r="D1115" s="206">
        <f>SUMIFS(LANÇ_MOV[VALOR LÍQUIDO],LANÇ_MOV[RECEITA OU DESPESA],"Receita",LANÇ_MOV[CONTAS],$C1115,LANÇ_MOV[PLANO DE CONTAS],REL_DRE_FINANCEIRO!$B$1062,LANÇ_MOV[ANO PAGAMENTO],$B$4,LANÇ_MOV[MÊS PAGAMENTO CORRESPONDENTE],D$6,LANÇ_MOV[EMPRESA],$C$4,LANÇ_MOV[CENTRO DE CUSTOS],$D$4)</f>
        <v>0</v>
      </c>
      <c r="E1115" s="206">
        <f>SUMIFS(LANÇ_MOV[VALOR LÍQUIDO],LANÇ_MOV[RECEITA OU DESPESA],"Receita",LANÇ_MOV[CONTAS],$C1115,LANÇ_MOV[PLANO DE CONTAS],REL_DRE_FINANCEIRO!$B$1062,LANÇ_MOV[ANO PAGAMENTO],$B$4,LANÇ_MOV[MÊS PAGAMENTO CORRESPONDENTE],E$6,LANÇ_MOV[EMPRESA],$C$4,LANÇ_MOV[CENTRO DE CUSTOS],$D$4)</f>
        <v>0</v>
      </c>
      <c r="F1115" s="206">
        <f>SUMIFS(LANÇ_MOV[VALOR LÍQUIDO],LANÇ_MOV[RECEITA OU DESPESA],"Receita",LANÇ_MOV[CONTAS],$C1115,LANÇ_MOV[PLANO DE CONTAS],REL_DRE_FINANCEIRO!$B$1062,LANÇ_MOV[ANO PAGAMENTO],$B$4,LANÇ_MOV[MÊS PAGAMENTO CORRESPONDENTE],F$6,LANÇ_MOV[EMPRESA],$C$4,LANÇ_MOV[CENTRO DE CUSTOS],$D$4)</f>
        <v>0</v>
      </c>
      <c r="G1115" s="206">
        <f>SUMIFS(LANÇ_MOV[VALOR LÍQUIDO],LANÇ_MOV[RECEITA OU DESPESA],"Receita",LANÇ_MOV[CONTAS],$C1115,LANÇ_MOV[PLANO DE CONTAS],REL_DRE_FINANCEIRO!$B$1062,LANÇ_MOV[ANO PAGAMENTO],$B$4,LANÇ_MOV[MÊS PAGAMENTO CORRESPONDENTE],G$6,LANÇ_MOV[EMPRESA],$C$4,LANÇ_MOV[CENTRO DE CUSTOS],$D$4)</f>
        <v>0</v>
      </c>
      <c r="H1115" s="206">
        <f>SUMIFS(LANÇ_MOV[VALOR LÍQUIDO],LANÇ_MOV[RECEITA OU DESPESA],"Receita",LANÇ_MOV[CONTAS],$C1115,LANÇ_MOV[PLANO DE CONTAS],REL_DRE_FINANCEIRO!$B$1062,LANÇ_MOV[ANO PAGAMENTO],$B$4,LANÇ_MOV[MÊS PAGAMENTO CORRESPONDENTE],H$6,LANÇ_MOV[EMPRESA],$C$4,LANÇ_MOV[CENTRO DE CUSTOS],$D$4)</f>
        <v>0</v>
      </c>
      <c r="I1115" s="206">
        <f>SUMIFS(LANÇ_MOV[VALOR LÍQUIDO],LANÇ_MOV[RECEITA OU DESPESA],"Receita",LANÇ_MOV[CONTAS],$C1115,LANÇ_MOV[PLANO DE CONTAS],REL_DRE_FINANCEIRO!$B$1062,LANÇ_MOV[ANO PAGAMENTO],$B$4,LANÇ_MOV[MÊS PAGAMENTO CORRESPONDENTE],I$6,LANÇ_MOV[EMPRESA],$C$4,LANÇ_MOV[CENTRO DE CUSTOS],$D$4)</f>
        <v>0</v>
      </c>
      <c r="J1115" s="206">
        <f>SUMIFS(LANÇ_MOV[VALOR LÍQUIDO],LANÇ_MOV[RECEITA OU DESPESA],"Receita",LANÇ_MOV[CONTAS],$C1115,LANÇ_MOV[PLANO DE CONTAS],REL_DRE_FINANCEIRO!$B$1062,LANÇ_MOV[ANO PAGAMENTO],$B$4,LANÇ_MOV[MÊS PAGAMENTO CORRESPONDENTE],J$6,LANÇ_MOV[EMPRESA],$C$4,LANÇ_MOV[CENTRO DE CUSTOS],$D$4)</f>
        <v>0</v>
      </c>
      <c r="K1115" s="206">
        <f>SUMIFS(LANÇ_MOV[VALOR LÍQUIDO],LANÇ_MOV[RECEITA OU DESPESA],"Receita",LANÇ_MOV[CONTAS],$C1115,LANÇ_MOV[PLANO DE CONTAS],REL_DRE_FINANCEIRO!$B$1062,LANÇ_MOV[ANO PAGAMENTO],$B$4,LANÇ_MOV[MÊS PAGAMENTO CORRESPONDENTE],K$6,LANÇ_MOV[EMPRESA],$C$4,LANÇ_MOV[CENTRO DE CUSTOS],$D$4)</f>
        <v>0</v>
      </c>
      <c r="L1115" s="206">
        <f>SUMIFS(LANÇ_MOV[VALOR LÍQUIDO],LANÇ_MOV[RECEITA OU DESPESA],"Receita",LANÇ_MOV[CONTAS],$C1115,LANÇ_MOV[PLANO DE CONTAS],REL_DRE_FINANCEIRO!$B$1062,LANÇ_MOV[ANO PAGAMENTO],$B$4,LANÇ_MOV[MÊS PAGAMENTO CORRESPONDENTE],L$6,LANÇ_MOV[EMPRESA],$C$4,LANÇ_MOV[CENTRO DE CUSTOS],$D$4)</f>
        <v>0</v>
      </c>
      <c r="M1115" s="206">
        <f>SUMIFS(LANÇ_MOV[VALOR LÍQUIDO],LANÇ_MOV[RECEITA OU DESPESA],"Receita",LANÇ_MOV[CONTAS],$C1115,LANÇ_MOV[PLANO DE CONTAS],REL_DRE_FINANCEIRO!$B$1062,LANÇ_MOV[ANO PAGAMENTO],$B$4,LANÇ_MOV[MÊS PAGAMENTO CORRESPONDENTE],M$6,LANÇ_MOV[EMPRESA],$C$4,LANÇ_MOV[CENTRO DE CUSTOS],$D$4)</f>
        <v>0</v>
      </c>
      <c r="N1115" s="206">
        <f>SUMIFS(LANÇ_MOV[VALOR LÍQUIDO],LANÇ_MOV[RECEITA OU DESPESA],"Receita",LANÇ_MOV[CONTAS],$C1115,LANÇ_MOV[PLANO DE CONTAS],REL_DRE_FINANCEIRO!$B$1062,LANÇ_MOV[ANO PAGAMENTO],$B$4,LANÇ_MOV[MÊS PAGAMENTO CORRESPONDENTE],N$6,LANÇ_MOV[EMPRESA],$C$4,LANÇ_MOV[CENTRO DE CUSTOS],$D$4)</f>
        <v>0</v>
      </c>
      <c r="O1115" s="206">
        <f>SUMIFS(LANÇ_MOV[VALOR LÍQUIDO],LANÇ_MOV[RECEITA OU DESPESA],"Receita",LANÇ_MOV[CONTAS],$C1115,LANÇ_MOV[PLANO DE CONTAS],REL_DRE_FINANCEIRO!$B$1062,LANÇ_MOV[ANO PAGAMENTO],$B$4,LANÇ_MOV[MÊS PAGAMENTO CORRESPONDENTE],O$6,LANÇ_MOV[EMPRESA],$C$4,LANÇ_MOV[CENTRO DE CUSTOS],$D$4)</f>
        <v>0</v>
      </c>
      <c r="P1115" s="207">
        <f t="shared" si="134"/>
        <v>0</v>
      </c>
      <c r="Q1115" s="329">
        <v>4.7999999999999998E-6</v>
      </c>
      <c r="R1115" s="346">
        <f t="shared" si="135"/>
        <v>4.7999999999999998E-6</v>
      </c>
      <c r="S1115" s="347" t="str">
        <f t="shared" si="136"/>
        <v>-</v>
      </c>
      <c r="T1115" s="347">
        <f t="shared" si="137"/>
        <v>0</v>
      </c>
      <c r="U1115" s="347">
        <f>HLOOKUP(Apoio!$P$12,$D$1061:$P$1162,X1115,FALSE)+Q1115</f>
        <v>4.7999999999999998E-6</v>
      </c>
      <c r="V1115" s="447" t="str">
        <f t="shared" si="138"/>
        <v>-</v>
      </c>
      <c r="W1115" s="448">
        <f>HLOOKUP(Apoio!$P$12,$D$1061:$P$1162,X1115,FALSE)</f>
        <v>0</v>
      </c>
      <c r="X1115" s="329">
        <v>55</v>
      </c>
    </row>
    <row r="1116" spans="2:24" ht="30.05" customHeight="1" x14ac:dyDescent="0.35">
      <c r="B1116" s="204" t="str">
        <f>'CAD_PL_REC-DESP'!H58</f>
        <v>1.3.54</v>
      </c>
      <c r="C1116" s="205" t="str">
        <f>IF('CAD_PL_REC-DESP'!I58="","-",'CAD_PL_REC-DESP'!I58)</f>
        <v>-</v>
      </c>
      <c r="D1116" s="206">
        <f>SUMIFS(LANÇ_MOV[VALOR LÍQUIDO],LANÇ_MOV[RECEITA OU DESPESA],"Receita",LANÇ_MOV[CONTAS],$C1116,LANÇ_MOV[PLANO DE CONTAS],REL_DRE_FINANCEIRO!$B$1062,LANÇ_MOV[ANO PAGAMENTO],$B$4,LANÇ_MOV[MÊS PAGAMENTO CORRESPONDENTE],D$6,LANÇ_MOV[EMPRESA],$C$4,LANÇ_MOV[CENTRO DE CUSTOS],$D$4)</f>
        <v>0</v>
      </c>
      <c r="E1116" s="206">
        <f>SUMIFS(LANÇ_MOV[VALOR LÍQUIDO],LANÇ_MOV[RECEITA OU DESPESA],"Receita",LANÇ_MOV[CONTAS],$C1116,LANÇ_MOV[PLANO DE CONTAS],REL_DRE_FINANCEIRO!$B$1062,LANÇ_MOV[ANO PAGAMENTO],$B$4,LANÇ_MOV[MÊS PAGAMENTO CORRESPONDENTE],E$6,LANÇ_MOV[EMPRESA],$C$4,LANÇ_MOV[CENTRO DE CUSTOS],$D$4)</f>
        <v>0</v>
      </c>
      <c r="F1116" s="206">
        <f>SUMIFS(LANÇ_MOV[VALOR LÍQUIDO],LANÇ_MOV[RECEITA OU DESPESA],"Receita",LANÇ_MOV[CONTAS],$C1116,LANÇ_MOV[PLANO DE CONTAS],REL_DRE_FINANCEIRO!$B$1062,LANÇ_MOV[ANO PAGAMENTO],$B$4,LANÇ_MOV[MÊS PAGAMENTO CORRESPONDENTE],F$6,LANÇ_MOV[EMPRESA],$C$4,LANÇ_MOV[CENTRO DE CUSTOS],$D$4)</f>
        <v>0</v>
      </c>
      <c r="G1116" s="206">
        <f>SUMIFS(LANÇ_MOV[VALOR LÍQUIDO],LANÇ_MOV[RECEITA OU DESPESA],"Receita",LANÇ_MOV[CONTAS],$C1116,LANÇ_MOV[PLANO DE CONTAS],REL_DRE_FINANCEIRO!$B$1062,LANÇ_MOV[ANO PAGAMENTO],$B$4,LANÇ_MOV[MÊS PAGAMENTO CORRESPONDENTE],G$6,LANÇ_MOV[EMPRESA],$C$4,LANÇ_MOV[CENTRO DE CUSTOS],$D$4)</f>
        <v>0</v>
      </c>
      <c r="H1116" s="206">
        <f>SUMIFS(LANÇ_MOV[VALOR LÍQUIDO],LANÇ_MOV[RECEITA OU DESPESA],"Receita",LANÇ_MOV[CONTAS],$C1116,LANÇ_MOV[PLANO DE CONTAS],REL_DRE_FINANCEIRO!$B$1062,LANÇ_MOV[ANO PAGAMENTO],$B$4,LANÇ_MOV[MÊS PAGAMENTO CORRESPONDENTE],H$6,LANÇ_MOV[EMPRESA],$C$4,LANÇ_MOV[CENTRO DE CUSTOS],$D$4)</f>
        <v>0</v>
      </c>
      <c r="I1116" s="206">
        <f>SUMIFS(LANÇ_MOV[VALOR LÍQUIDO],LANÇ_MOV[RECEITA OU DESPESA],"Receita",LANÇ_MOV[CONTAS],$C1116,LANÇ_MOV[PLANO DE CONTAS],REL_DRE_FINANCEIRO!$B$1062,LANÇ_MOV[ANO PAGAMENTO],$B$4,LANÇ_MOV[MÊS PAGAMENTO CORRESPONDENTE],I$6,LANÇ_MOV[EMPRESA],$C$4,LANÇ_MOV[CENTRO DE CUSTOS],$D$4)</f>
        <v>0</v>
      </c>
      <c r="J1116" s="206">
        <f>SUMIFS(LANÇ_MOV[VALOR LÍQUIDO],LANÇ_MOV[RECEITA OU DESPESA],"Receita",LANÇ_MOV[CONTAS],$C1116,LANÇ_MOV[PLANO DE CONTAS],REL_DRE_FINANCEIRO!$B$1062,LANÇ_MOV[ANO PAGAMENTO],$B$4,LANÇ_MOV[MÊS PAGAMENTO CORRESPONDENTE],J$6,LANÇ_MOV[EMPRESA],$C$4,LANÇ_MOV[CENTRO DE CUSTOS],$D$4)</f>
        <v>0</v>
      </c>
      <c r="K1116" s="206">
        <f>SUMIFS(LANÇ_MOV[VALOR LÍQUIDO],LANÇ_MOV[RECEITA OU DESPESA],"Receita",LANÇ_MOV[CONTAS],$C1116,LANÇ_MOV[PLANO DE CONTAS],REL_DRE_FINANCEIRO!$B$1062,LANÇ_MOV[ANO PAGAMENTO],$B$4,LANÇ_MOV[MÊS PAGAMENTO CORRESPONDENTE],K$6,LANÇ_MOV[EMPRESA],$C$4,LANÇ_MOV[CENTRO DE CUSTOS],$D$4)</f>
        <v>0</v>
      </c>
      <c r="L1116" s="206">
        <f>SUMIFS(LANÇ_MOV[VALOR LÍQUIDO],LANÇ_MOV[RECEITA OU DESPESA],"Receita",LANÇ_MOV[CONTAS],$C1116,LANÇ_MOV[PLANO DE CONTAS],REL_DRE_FINANCEIRO!$B$1062,LANÇ_MOV[ANO PAGAMENTO],$B$4,LANÇ_MOV[MÊS PAGAMENTO CORRESPONDENTE],L$6,LANÇ_MOV[EMPRESA],$C$4,LANÇ_MOV[CENTRO DE CUSTOS],$D$4)</f>
        <v>0</v>
      </c>
      <c r="M1116" s="206">
        <f>SUMIFS(LANÇ_MOV[VALOR LÍQUIDO],LANÇ_MOV[RECEITA OU DESPESA],"Receita",LANÇ_MOV[CONTAS],$C1116,LANÇ_MOV[PLANO DE CONTAS],REL_DRE_FINANCEIRO!$B$1062,LANÇ_MOV[ANO PAGAMENTO],$B$4,LANÇ_MOV[MÊS PAGAMENTO CORRESPONDENTE],M$6,LANÇ_MOV[EMPRESA],$C$4,LANÇ_MOV[CENTRO DE CUSTOS],$D$4)</f>
        <v>0</v>
      </c>
      <c r="N1116" s="206">
        <f>SUMIFS(LANÇ_MOV[VALOR LÍQUIDO],LANÇ_MOV[RECEITA OU DESPESA],"Receita",LANÇ_MOV[CONTAS],$C1116,LANÇ_MOV[PLANO DE CONTAS],REL_DRE_FINANCEIRO!$B$1062,LANÇ_MOV[ANO PAGAMENTO],$B$4,LANÇ_MOV[MÊS PAGAMENTO CORRESPONDENTE],N$6,LANÇ_MOV[EMPRESA],$C$4,LANÇ_MOV[CENTRO DE CUSTOS],$D$4)</f>
        <v>0</v>
      </c>
      <c r="O1116" s="206">
        <f>SUMIFS(LANÇ_MOV[VALOR LÍQUIDO],LANÇ_MOV[RECEITA OU DESPESA],"Receita",LANÇ_MOV[CONTAS],$C1116,LANÇ_MOV[PLANO DE CONTAS],REL_DRE_FINANCEIRO!$B$1062,LANÇ_MOV[ANO PAGAMENTO],$B$4,LANÇ_MOV[MÊS PAGAMENTO CORRESPONDENTE],O$6,LANÇ_MOV[EMPRESA],$C$4,LANÇ_MOV[CENTRO DE CUSTOS],$D$4)</f>
        <v>0</v>
      </c>
      <c r="P1116" s="207">
        <f t="shared" si="134"/>
        <v>0</v>
      </c>
      <c r="Q1116" s="329">
        <v>4.6999999999999999E-6</v>
      </c>
      <c r="R1116" s="346">
        <f t="shared" si="135"/>
        <v>4.6999999999999999E-6</v>
      </c>
      <c r="S1116" s="347" t="str">
        <f t="shared" si="136"/>
        <v>-</v>
      </c>
      <c r="T1116" s="347">
        <f t="shared" si="137"/>
        <v>0</v>
      </c>
      <c r="U1116" s="347">
        <f>HLOOKUP(Apoio!$P$12,$D$1061:$P$1162,X1116,FALSE)+Q1116</f>
        <v>4.6999999999999999E-6</v>
      </c>
      <c r="V1116" s="447" t="str">
        <f t="shared" si="138"/>
        <v>-</v>
      </c>
      <c r="W1116" s="448">
        <f>HLOOKUP(Apoio!$P$12,$D$1061:$P$1162,X1116,FALSE)</f>
        <v>0</v>
      </c>
      <c r="X1116" s="329">
        <v>56</v>
      </c>
    </row>
    <row r="1117" spans="2:24" ht="30.05" customHeight="1" x14ac:dyDescent="0.35">
      <c r="B1117" s="204" t="str">
        <f>'CAD_PL_REC-DESP'!H59</f>
        <v>1.3.55</v>
      </c>
      <c r="C1117" s="205" t="str">
        <f>IF('CAD_PL_REC-DESP'!I59="","-",'CAD_PL_REC-DESP'!I59)</f>
        <v>-</v>
      </c>
      <c r="D1117" s="206">
        <f>SUMIFS(LANÇ_MOV[VALOR LÍQUIDO],LANÇ_MOV[RECEITA OU DESPESA],"Receita",LANÇ_MOV[CONTAS],$C1117,LANÇ_MOV[PLANO DE CONTAS],REL_DRE_FINANCEIRO!$B$1062,LANÇ_MOV[ANO PAGAMENTO],$B$4,LANÇ_MOV[MÊS PAGAMENTO CORRESPONDENTE],D$6,LANÇ_MOV[EMPRESA],$C$4,LANÇ_MOV[CENTRO DE CUSTOS],$D$4)</f>
        <v>0</v>
      </c>
      <c r="E1117" s="206">
        <f>SUMIFS(LANÇ_MOV[VALOR LÍQUIDO],LANÇ_MOV[RECEITA OU DESPESA],"Receita",LANÇ_MOV[CONTAS],$C1117,LANÇ_MOV[PLANO DE CONTAS],REL_DRE_FINANCEIRO!$B$1062,LANÇ_MOV[ANO PAGAMENTO],$B$4,LANÇ_MOV[MÊS PAGAMENTO CORRESPONDENTE],E$6,LANÇ_MOV[EMPRESA],$C$4,LANÇ_MOV[CENTRO DE CUSTOS],$D$4)</f>
        <v>0</v>
      </c>
      <c r="F1117" s="206">
        <f>SUMIFS(LANÇ_MOV[VALOR LÍQUIDO],LANÇ_MOV[RECEITA OU DESPESA],"Receita",LANÇ_MOV[CONTAS],$C1117,LANÇ_MOV[PLANO DE CONTAS],REL_DRE_FINANCEIRO!$B$1062,LANÇ_MOV[ANO PAGAMENTO],$B$4,LANÇ_MOV[MÊS PAGAMENTO CORRESPONDENTE],F$6,LANÇ_MOV[EMPRESA],$C$4,LANÇ_MOV[CENTRO DE CUSTOS],$D$4)</f>
        <v>0</v>
      </c>
      <c r="G1117" s="206">
        <f>SUMIFS(LANÇ_MOV[VALOR LÍQUIDO],LANÇ_MOV[RECEITA OU DESPESA],"Receita",LANÇ_MOV[CONTAS],$C1117,LANÇ_MOV[PLANO DE CONTAS],REL_DRE_FINANCEIRO!$B$1062,LANÇ_MOV[ANO PAGAMENTO],$B$4,LANÇ_MOV[MÊS PAGAMENTO CORRESPONDENTE],G$6,LANÇ_MOV[EMPRESA],$C$4,LANÇ_MOV[CENTRO DE CUSTOS],$D$4)</f>
        <v>0</v>
      </c>
      <c r="H1117" s="206">
        <f>SUMIFS(LANÇ_MOV[VALOR LÍQUIDO],LANÇ_MOV[RECEITA OU DESPESA],"Receita",LANÇ_MOV[CONTAS],$C1117,LANÇ_MOV[PLANO DE CONTAS],REL_DRE_FINANCEIRO!$B$1062,LANÇ_MOV[ANO PAGAMENTO],$B$4,LANÇ_MOV[MÊS PAGAMENTO CORRESPONDENTE],H$6,LANÇ_MOV[EMPRESA],$C$4,LANÇ_MOV[CENTRO DE CUSTOS],$D$4)</f>
        <v>0</v>
      </c>
      <c r="I1117" s="206">
        <f>SUMIFS(LANÇ_MOV[VALOR LÍQUIDO],LANÇ_MOV[RECEITA OU DESPESA],"Receita",LANÇ_MOV[CONTAS],$C1117,LANÇ_MOV[PLANO DE CONTAS],REL_DRE_FINANCEIRO!$B$1062,LANÇ_MOV[ANO PAGAMENTO],$B$4,LANÇ_MOV[MÊS PAGAMENTO CORRESPONDENTE],I$6,LANÇ_MOV[EMPRESA],$C$4,LANÇ_MOV[CENTRO DE CUSTOS],$D$4)</f>
        <v>0</v>
      </c>
      <c r="J1117" s="206">
        <f>SUMIFS(LANÇ_MOV[VALOR LÍQUIDO],LANÇ_MOV[RECEITA OU DESPESA],"Receita",LANÇ_MOV[CONTAS],$C1117,LANÇ_MOV[PLANO DE CONTAS],REL_DRE_FINANCEIRO!$B$1062,LANÇ_MOV[ANO PAGAMENTO],$B$4,LANÇ_MOV[MÊS PAGAMENTO CORRESPONDENTE],J$6,LANÇ_MOV[EMPRESA],$C$4,LANÇ_MOV[CENTRO DE CUSTOS],$D$4)</f>
        <v>0</v>
      </c>
      <c r="K1117" s="206">
        <f>SUMIFS(LANÇ_MOV[VALOR LÍQUIDO],LANÇ_MOV[RECEITA OU DESPESA],"Receita",LANÇ_MOV[CONTAS],$C1117,LANÇ_MOV[PLANO DE CONTAS],REL_DRE_FINANCEIRO!$B$1062,LANÇ_MOV[ANO PAGAMENTO],$B$4,LANÇ_MOV[MÊS PAGAMENTO CORRESPONDENTE],K$6,LANÇ_MOV[EMPRESA],$C$4,LANÇ_MOV[CENTRO DE CUSTOS],$D$4)</f>
        <v>0</v>
      </c>
      <c r="L1117" s="206">
        <f>SUMIFS(LANÇ_MOV[VALOR LÍQUIDO],LANÇ_MOV[RECEITA OU DESPESA],"Receita",LANÇ_MOV[CONTAS],$C1117,LANÇ_MOV[PLANO DE CONTAS],REL_DRE_FINANCEIRO!$B$1062,LANÇ_MOV[ANO PAGAMENTO],$B$4,LANÇ_MOV[MÊS PAGAMENTO CORRESPONDENTE],L$6,LANÇ_MOV[EMPRESA],$C$4,LANÇ_MOV[CENTRO DE CUSTOS],$D$4)</f>
        <v>0</v>
      </c>
      <c r="M1117" s="206">
        <f>SUMIFS(LANÇ_MOV[VALOR LÍQUIDO],LANÇ_MOV[RECEITA OU DESPESA],"Receita",LANÇ_MOV[CONTAS],$C1117,LANÇ_MOV[PLANO DE CONTAS],REL_DRE_FINANCEIRO!$B$1062,LANÇ_MOV[ANO PAGAMENTO],$B$4,LANÇ_MOV[MÊS PAGAMENTO CORRESPONDENTE],M$6,LANÇ_MOV[EMPRESA],$C$4,LANÇ_MOV[CENTRO DE CUSTOS],$D$4)</f>
        <v>0</v>
      </c>
      <c r="N1117" s="206">
        <f>SUMIFS(LANÇ_MOV[VALOR LÍQUIDO],LANÇ_MOV[RECEITA OU DESPESA],"Receita",LANÇ_MOV[CONTAS],$C1117,LANÇ_MOV[PLANO DE CONTAS],REL_DRE_FINANCEIRO!$B$1062,LANÇ_MOV[ANO PAGAMENTO],$B$4,LANÇ_MOV[MÊS PAGAMENTO CORRESPONDENTE],N$6,LANÇ_MOV[EMPRESA],$C$4,LANÇ_MOV[CENTRO DE CUSTOS],$D$4)</f>
        <v>0</v>
      </c>
      <c r="O1117" s="206">
        <f>SUMIFS(LANÇ_MOV[VALOR LÍQUIDO],LANÇ_MOV[RECEITA OU DESPESA],"Receita",LANÇ_MOV[CONTAS],$C1117,LANÇ_MOV[PLANO DE CONTAS],REL_DRE_FINANCEIRO!$B$1062,LANÇ_MOV[ANO PAGAMENTO],$B$4,LANÇ_MOV[MÊS PAGAMENTO CORRESPONDENTE],O$6,LANÇ_MOV[EMPRESA],$C$4,LANÇ_MOV[CENTRO DE CUSTOS],$D$4)</f>
        <v>0</v>
      </c>
      <c r="P1117" s="207">
        <f t="shared" si="134"/>
        <v>0</v>
      </c>
      <c r="Q1117" s="329">
        <v>4.6E-6</v>
      </c>
      <c r="R1117" s="346">
        <f t="shared" si="135"/>
        <v>4.6E-6</v>
      </c>
      <c r="S1117" s="347" t="str">
        <f t="shared" si="136"/>
        <v>-</v>
      </c>
      <c r="T1117" s="347">
        <f t="shared" si="137"/>
        <v>0</v>
      </c>
      <c r="U1117" s="347">
        <f>HLOOKUP(Apoio!$P$12,$D$1061:$P$1162,X1117,FALSE)+Q1117</f>
        <v>4.6E-6</v>
      </c>
      <c r="V1117" s="447" t="str">
        <f t="shared" si="138"/>
        <v>-</v>
      </c>
      <c r="W1117" s="448">
        <f>HLOOKUP(Apoio!$P$12,$D$1061:$P$1162,X1117,FALSE)</f>
        <v>0</v>
      </c>
      <c r="X1117" s="329">
        <v>57</v>
      </c>
    </row>
    <row r="1118" spans="2:24" ht="30.05" customHeight="1" x14ac:dyDescent="0.35">
      <c r="B1118" s="204" t="str">
        <f>'CAD_PL_REC-DESP'!H60</f>
        <v>1.3.56</v>
      </c>
      <c r="C1118" s="205" t="str">
        <f>IF('CAD_PL_REC-DESP'!I60="","-",'CAD_PL_REC-DESP'!I60)</f>
        <v>-</v>
      </c>
      <c r="D1118" s="206">
        <f>SUMIFS(LANÇ_MOV[VALOR LÍQUIDO],LANÇ_MOV[RECEITA OU DESPESA],"Receita",LANÇ_MOV[CONTAS],$C1118,LANÇ_MOV[PLANO DE CONTAS],REL_DRE_FINANCEIRO!$B$1062,LANÇ_MOV[ANO PAGAMENTO],$B$4,LANÇ_MOV[MÊS PAGAMENTO CORRESPONDENTE],D$6,LANÇ_MOV[EMPRESA],$C$4,LANÇ_MOV[CENTRO DE CUSTOS],$D$4)</f>
        <v>0</v>
      </c>
      <c r="E1118" s="206">
        <f>SUMIFS(LANÇ_MOV[VALOR LÍQUIDO],LANÇ_MOV[RECEITA OU DESPESA],"Receita",LANÇ_MOV[CONTAS],$C1118,LANÇ_MOV[PLANO DE CONTAS],REL_DRE_FINANCEIRO!$B$1062,LANÇ_MOV[ANO PAGAMENTO],$B$4,LANÇ_MOV[MÊS PAGAMENTO CORRESPONDENTE],E$6,LANÇ_MOV[EMPRESA],$C$4,LANÇ_MOV[CENTRO DE CUSTOS],$D$4)</f>
        <v>0</v>
      </c>
      <c r="F1118" s="206">
        <f>SUMIFS(LANÇ_MOV[VALOR LÍQUIDO],LANÇ_MOV[RECEITA OU DESPESA],"Receita",LANÇ_MOV[CONTAS],$C1118,LANÇ_MOV[PLANO DE CONTAS],REL_DRE_FINANCEIRO!$B$1062,LANÇ_MOV[ANO PAGAMENTO],$B$4,LANÇ_MOV[MÊS PAGAMENTO CORRESPONDENTE],F$6,LANÇ_MOV[EMPRESA],$C$4,LANÇ_MOV[CENTRO DE CUSTOS],$D$4)</f>
        <v>0</v>
      </c>
      <c r="G1118" s="206">
        <f>SUMIFS(LANÇ_MOV[VALOR LÍQUIDO],LANÇ_MOV[RECEITA OU DESPESA],"Receita",LANÇ_MOV[CONTAS],$C1118,LANÇ_MOV[PLANO DE CONTAS],REL_DRE_FINANCEIRO!$B$1062,LANÇ_MOV[ANO PAGAMENTO],$B$4,LANÇ_MOV[MÊS PAGAMENTO CORRESPONDENTE],G$6,LANÇ_MOV[EMPRESA],$C$4,LANÇ_MOV[CENTRO DE CUSTOS],$D$4)</f>
        <v>0</v>
      </c>
      <c r="H1118" s="206">
        <f>SUMIFS(LANÇ_MOV[VALOR LÍQUIDO],LANÇ_MOV[RECEITA OU DESPESA],"Receita",LANÇ_MOV[CONTAS],$C1118,LANÇ_MOV[PLANO DE CONTAS],REL_DRE_FINANCEIRO!$B$1062,LANÇ_MOV[ANO PAGAMENTO],$B$4,LANÇ_MOV[MÊS PAGAMENTO CORRESPONDENTE],H$6,LANÇ_MOV[EMPRESA],$C$4,LANÇ_MOV[CENTRO DE CUSTOS],$D$4)</f>
        <v>0</v>
      </c>
      <c r="I1118" s="206">
        <f>SUMIFS(LANÇ_MOV[VALOR LÍQUIDO],LANÇ_MOV[RECEITA OU DESPESA],"Receita",LANÇ_MOV[CONTAS],$C1118,LANÇ_MOV[PLANO DE CONTAS],REL_DRE_FINANCEIRO!$B$1062,LANÇ_MOV[ANO PAGAMENTO],$B$4,LANÇ_MOV[MÊS PAGAMENTO CORRESPONDENTE],I$6,LANÇ_MOV[EMPRESA],$C$4,LANÇ_MOV[CENTRO DE CUSTOS],$D$4)</f>
        <v>0</v>
      </c>
      <c r="J1118" s="206">
        <f>SUMIFS(LANÇ_MOV[VALOR LÍQUIDO],LANÇ_MOV[RECEITA OU DESPESA],"Receita",LANÇ_MOV[CONTAS],$C1118,LANÇ_MOV[PLANO DE CONTAS],REL_DRE_FINANCEIRO!$B$1062,LANÇ_MOV[ANO PAGAMENTO],$B$4,LANÇ_MOV[MÊS PAGAMENTO CORRESPONDENTE],J$6,LANÇ_MOV[EMPRESA],$C$4,LANÇ_MOV[CENTRO DE CUSTOS],$D$4)</f>
        <v>0</v>
      </c>
      <c r="K1118" s="206">
        <f>SUMIFS(LANÇ_MOV[VALOR LÍQUIDO],LANÇ_MOV[RECEITA OU DESPESA],"Receita",LANÇ_MOV[CONTAS],$C1118,LANÇ_MOV[PLANO DE CONTAS],REL_DRE_FINANCEIRO!$B$1062,LANÇ_MOV[ANO PAGAMENTO],$B$4,LANÇ_MOV[MÊS PAGAMENTO CORRESPONDENTE],K$6,LANÇ_MOV[EMPRESA],$C$4,LANÇ_MOV[CENTRO DE CUSTOS],$D$4)</f>
        <v>0</v>
      </c>
      <c r="L1118" s="206">
        <f>SUMIFS(LANÇ_MOV[VALOR LÍQUIDO],LANÇ_MOV[RECEITA OU DESPESA],"Receita",LANÇ_MOV[CONTAS],$C1118,LANÇ_MOV[PLANO DE CONTAS],REL_DRE_FINANCEIRO!$B$1062,LANÇ_MOV[ANO PAGAMENTO],$B$4,LANÇ_MOV[MÊS PAGAMENTO CORRESPONDENTE],L$6,LANÇ_MOV[EMPRESA],$C$4,LANÇ_MOV[CENTRO DE CUSTOS],$D$4)</f>
        <v>0</v>
      </c>
      <c r="M1118" s="206">
        <f>SUMIFS(LANÇ_MOV[VALOR LÍQUIDO],LANÇ_MOV[RECEITA OU DESPESA],"Receita",LANÇ_MOV[CONTAS],$C1118,LANÇ_MOV[PLANO DE CONTAS],REL_DRE_FINANCEIRO!$B$1062,LANÇ_MOV[ANO PAGAMENTO],$B$4,LANÇ_MOV[MÊS PAGAMENTO CORRESPONDENTE],M$6,LANÇ_MOV[EMPRESA],$C$4,LANÇ_MOV[CENTRO DE CUSTOS],$D$4)</f>
        <v>0</v>
      </c>
      <c r="N1118" s="206">
        <f>SUMIFS(LANÇ_MOV[VALOR LÍQUIDO],LANÇ_MOV[RECEITA OU DESPESA],"Receita",LANÇ_MOV[CONTAS],$C1118,LANÇ_MOV[PLANO DE CONTAS],REL_DRE_FINANCEIRO!$B$1062,LANÇ_MOV[ANO PAGAMENTO],$B$4,LANÇ_MOV[MÊS PAGAMENTO CORRESPONDENTE],N$6,LANÇ_MOV[EMPRESA],$C$4,LANÇ_MOV[CENTRO DE CUSTOS],$D$4)</f>
        <v>0</v>
      </c>
      <c r="O1118" s="206">
        <f>SUMIFS(LANÇ_MOV[VALOR LÍQUIDO],LANÇ_MOV[RECEITA OU DESPESA],"Receita",LANÇ_MOV[CONTAS],$C1118,LANÇ_MOV[PLANO DE CONTAS],REL_DRE_FINANCEIRO!$B$1062,LANÇ_MOV[ANO PAGAMENTO],$B$4,LANÇ_MOV[MÊS PAGAMENTO CORRESPONDENTE],O$6,LANÇ_MOV[EMPRESA],$C$4,LANÇ_MOV[CENTRO DE CUSTOS],$D$4)</f>
        <v>0</v>
      </c>
      <c r="P1118" s="207">
        <f t="shared" si="134"/>
        <v>0</v>
      </c>
      <c r="Q1118" s="329">
        <v>4.5000000000000001E-6</v>
      </c>
      <c r="R1118" s="346">
        <f t="shared" si="135"/>
        <v>4.5000000000000001E-6</v>
      </c>
      <c r="S1118" s="347" t="str">
        <f t="shared" si="136"/>
        <v>-</v>
      </c>
      <c r="T1118" s="347">
        <f t="shared" si="137"/>
        <v>0</v>
      </c>
      <c r="U1118" s="347">
        <f>HLOOKUP(Apoio!$P$12,$D$1061:$P$1162,X1118,FALSE)+Q1118</f>
        <v>4.5000000000000001E-6</v>
      </c>
      <c r="V1118" s="447" t="str">
        <f t="shared" si="138"/>
        <v>-</v>
      </c>
      <c r="W1118" s="448">
        <f>HLOOKUP(Apoio!$P$12,$D$1061:$P$1162,X1118,FALSE)</f>
        <v>0</v>
      </c>
      <c r="X1118" s="329">
        <v>58</v>
      </c>
    </row>
    <row r="1119" spans="2:24" ht="30.05" customHeight="1" x14ac:dyDescent="0.35">
      <c r="B1119" s="204" t="str">
        <f>'CAD_PL_REC-DESP'!H61</f>
        <v>1.3.57</v>
      </c>
      <c r="C1119" s="205" t="str">
        <f>IF('CAD_PL_REC-DESP'!I61="","-",'CAD_PL_REC-DESP'!I61)</f>
        <v>-</v>
      </c>
      <c r="D1119" s="206">
        <f>SUMIFS(LANÇ_MOV[VALOR LÍQUIDO],LANÇ_MOV[RECEITA OU DESPESA],"Receita",LANÇ_MOV[CONTAS],$C1119,LANÇ_MOV[PLANO DE CONTAS],REL_DRE_FINANCEIRO!$B$1062,LANÇ_MOV[ANO PAGAMENTO],$B$4,LANÇ_MOV[MÊS PAGAMENTO CORRESPONDENTE],D$6,LANÇ_MOV[EMPRESA],$C$4,LANÇ_MOV[CENTRO DE CUSTOS],$D$4)</f>
        <v>0</v>
      </c>
      <c r="E1119" s="206">
        <f>SUMIFS(LANÇ_MOV[VALOR LÍQUIDO],LANÇ_MOV[RECEITA OU DESPESA],"Receita",LANÇ_MOV[CONTAS],$C1119,LANÇ_MOV[PLANO DE CONTAS],REL_DRE_FINANCEIRO!$B$1062,LANÇ_MOV[ANO PAGAMENTO],$B$4,LANÇ_MOV[MÊS PAGAMENTO CORRESPONDENTE],E$6,LANÇ_MOV[EMPRESA],$C$4,LANÇ_MOV[CENTRO DE CUSTOS],$D$4)</f>
        <v>0</v>
      </c>
      <c r="F1119" s="206">
        <f>SUMIFS(LANÇ_MOV[VALOR LÍQUIDO],LANÇ_MOV[RECEITA OU DESPESA],"Receita",LANÇ_MOV[CONTAS],$C1119,LANÇ_MOV[PLANO DE CONTAS],REL_DRE_FINANCEIRO!$B$1062,LANÇ_MOV[ANO PAGAMENTO],$B$4,LANÇ_MOV[MÊS PAGAMENTO CORRESPONDENTE],F$6,LANÇ_MOV[EMPRESA],$C$4,LANÇ_MOV[CENTRO DE CUSTOS],$D$4)</f>
        <v>0</v>
      </c>
      <c r="G1119" s="206">
        <f>SUMIFS(LANÇ_MOV[VALOR LÍQUIDO],LANÇ_MOV[RECEITA OU DESPESA],"Receita",LANÇ_MOV[CONTAS],$C1119,LANÇ_MOV[PLANO DE CONTAS],REL_DRE_FINANCEIRO!$B$1062,LANÇ_MOV[ANO PAGAMENTO],$B$4,LANÇ_MOV[MÊS PAGAMENTO CORRESPONDENTE],G$6,LANÇ_MOV[EMPRESA],$C$4,LANÇ_MOV[CENTRO DE CUSTOS],$D$4)</f>
        <v>0</v>
      </c>
      <c r="H1119" s="206">
        <f>SUMIFS(LANÇ_MOV[VALOR LÍQUIDO],LANÇ_MOV[RECEITA OU DESPESA],"Receita",LANÇ_MOV[CONTAS],$C1119,LANÇ_MOV[PLANO DE CONTAS],REL_DRE_FINANCEIRO!$B$1062,LANÇ_MOV[ANO PAGAMENTO],$B$4,LANÇ_MOV[MÊS PAGAMENTO CORRESPONDENTE],H$6,LANÇ_MOV[EMPRESA],$C$4,LANÇ_MOV[CENTRO DE CUSTOS],$D$4)</f>
        <v>0</v>
      </c>
      <c r="I1119" s="206">
        <f>SUMIFS(LANÇ_MOV[VALOR LÍQUIDO],LANÇ_MOV[RECEITA OU DESPESA],"Receita",LANÇ_MOV[CONTAS],$C1119,LANÇ_MOV[PLANO DE CONTAS],REL_DRE_FINANCEIRO!$B$1062,LANÇ_MOV[ANO PAGAMENTO],$B$4,LANÇ_MOV[MÊS PAGAMENTO CORRESPONDENTE],I$6,LANÇ_MOV[EMPRESA],$C$4,LANÇ_MOV[CENTRO DE CUSTOS],$D$4)</f>
        <v>0</v>
      </c>
      <c r="J1119" s="206">
        <f>SUMIFS(LANÇ_MOV[VALOR LÍQUIDO],LANÇ_MOV[RECEITA OU DESPESA],"Receita",LANÇ_MOV[CONTAS],$C1119,LANÇ_MOV[PLANO DE CONTAS],REL_DRE_FINANCEIRO!$B$1062,LANÇ_MOV[ANO PAGAMENTO],$B$4,LANÇ_MOV[MÊS PAGAMENTO CORRESPONDENTE],J$6,LANÇ_MOV[EMPRESA],$C$4,LANÇ_MOV[CENTRO DE CUSTOS],$D$4)</f>
        <v>0</v>
      </c>
      <c r="K1119" s="206">
        <f>SUMIFS(LANÇ_MOV[VALOR LÍQUIDO],LANÇ_MOV[RECEITA OU DESPESA],"Receita",LANÇ_MOV[CONTAS],$C1119,LANÇ_MOV[PLANO DE CONTAS],REL_DRE_FINANCEIRO!$B$1062,LANÇ_MOV[ANO PAGAMENTO],$B$4,LANÇ_MOV[MÊS PAGAMENTO CORRESPONDENTE],K$6,LANÇ_MOV[EMPRESA],$C$4,LANÇ_MOV[CENTRO DE CUSTOS],$D$4)</f>
        <v>0</v>
      </c>
      <c r="L1119" s="206">
        <f>SUMIFS(LANÇ_MOV[VALOR LÍQUIDO],LANÇ_MOV[RECEITA OU DESPESA],"Receita",LANÇ_MOV[CONTAS],$C1119,LANÇ_MOV[PLANO DE CONTAS],REL_DRE_FINANCEIRO!$B$1062,LANÇ_MOV[ANO PAGAMENTO],$B$4,LANÇ_MOV[MÊS PAGAMENTO CORRESPONDENTE],L$6,LANÇ_MOV[EMPRESA],$C$4,LANÇ_MOV[CENTRO DE CUSTOS],$D$4)</f>
        <v>0</v>
      </c>
      <c r="M1119" s="206">
        <f>SUMIFS(LANÇ_MOV[VALOR LÍQUIDO],LANÇ_MOV[RECEITA OU DESPESA],"Receita",LANÇ_MOV[CONTAS],$C1119,LANÇ_MOV[PLANO DE CONTAS],REL_DRE_FINANCEIRO!$B$1062,LANÇ_MOV[ANO PAGAMENTO],$B$4,LANÇ_MOV[MÊS PAGAMENTO CORRESPONDENTE],M$6,LANÇ_MOV[EMPRESA],$C$4,LANÇ_MOV[CENTRO DE CUSTOS],$D$4)</f>
        <v>0</v>
      </c>
      <c r="N1119" s="206">
        <f>SUMIFS(LANÇ_MOV[VALOR LÍQUIDO],LANÇ_MOV[RECEITA OU DESPESA],"Receita",LANÇ_MOV[CONTAS],$C1119,LANÇ_MOV[PLANO DE CONTAS],REL_DRE_FINANCEIRO!$B$1062,LANÇ_MOV[ANO PAGAMENTO],$B$4,LANÇ_MOV[MÊS PAGAMENTO CORRESPONDENTE],N$6,LANÇ_MOV[EMPRESA],$C$4,LANÇ_MOV[CENTRO DE CUSTOS],$D$4)</f>
        <v>0</v>
      </c>
      <c r="O1119" s="206">
        <f>SUMIFS(LANÇ_MOV[VALOR LÍQUIDO],LANÇ_MOV[RECEITA OU DESPESA],"Receita",LANÇ_MOV[CONTAS],$C1119,LANÇ_MOV[PLANO DE CONTAS],REL_DRE_FINANCEIRO!$B$1062,LANÇ_MOV[ANO PAGAMENTO],$B$4,LANÇ_MOV[MÊS PAGAMENTO CORRESPONDENTE],O$6,LANÇ_MOV[EMPRESA],$C$4,LANÇ_MOV[CENTRO DE CUSTOS],$D$4)</f>
        <v>0</v>
      </c>
      <c r="P1119" s="207">
        <f t="shared" si="134"/>
        <v>0</v>
      </c>
      <c r="Q1119" s="329">
        <v>4.4000000000000002E-6</v>
      </c>
      <c r="R1119" s="346">
        <f t="shared" si="135"/>
        <v>4.4000000000000002E-6</v>
      </c>
      <c r="S1119" s="347" t="str">
        <f t="shared" si="136"/>
        <v>-</v>
      </c>
      <c r="T1119" s="347">
        <f t="shared" si="137"/>
        <v>0</v>
      </c>
      <c r="U1119" s="347">
        <f>HLOOKUP(Apoio!$P$12,$D$1061:$P$1162,X1119,FALSE)+Q1119</f>
        <v>4.4000000000000002E-6</v>
      </c>
      <c r="V1119" s="447" t="str">
        <f t="shared" si="138"/>
        <v>-</v>
      </c>
      <c r="W1119" s="448">
        <f>HLOOKUP(Apoio!$P$12,$D$1061:$P$1162,X1119,FALSE)</f>
        <v>0</v>
      </c>
      <c r="X1119" s="329">
        <v>59</v>
      </c>
    </row>
    <row r="1120" spans="2:24" ht="30.05" customHeight="1" x14ac:dyDescent="0.35">
      <c r="B1120" s="204" t="str">
        <f>'CAD_PL_REC-DESP'!H62</f>
        <v>1.3.58</v>
      </c>
      <c r="C1120" s="205" t="str">
        <f>IF('CAD_PL_REC-DESP'!I62="","-",'CAD_PL_REC-DESP'!I62)</f>
        <v>-</v>
      </c>
      <c r="D1120" s="206">
        <f>SUMIFS(LANÇ_MOV[VALOR LÍQUIDO],LANÇ_MOV[RECEITA OU DESPESA],"Receita",LANÇ_MOV[CONTAS],$C1120,LANÇ_MOV[PLANO DE CONTAS],REL_DRE_FINANCEIRO!$B$1062,LANÇ_MOV[ANO PAGAMENTO],$B$4,LANÇ_MOV[MÊS PAGAMENTO CORRESPONDENTE],D$6,LANÇ_MOV[EMPRESA],$C$4,LANÇ_MOV[CENTRO DE CUSTOS],$D$4)</f>
        <v>0</v>
      </c>
      <c r="E1120" s="206">
        <f>SUMIFS(LANÇ_MOV[VALOR LÍQUIDO],LANÇ_MOV[RECEITA OU DESPESA],"Receita",LANÇ_MOV[CONTAS],$C1120,LANÇ_MOV[PLANO DE CONTAS],REL_DRE_FINANCEIRO!$B$1062,LANÇ_MOV[ANO PAGAMENTO],$B$4,LANÇ_MOV[MÊS PAGAMENTO CORRESPONDENTE],E$6,LANÇ_MOV[EMPRESA],$C$4,LANÇ_MOV[CENTRO DE CUSTOS],$D$4)</f>
        <v>0</v>
      </c>
      <c r="F1120" s="206">
        <f>SUMIFS(LANÇ_MOV[VALOR LÍQUIDO],LANÇ_MOV[RECEITA OU DESPESA],"Receita",LANÇ_MOV[CONTAS],$C1120,LANÇ_MOV[PLANO DE CONTAS],REL_DRE_FINANCEIRO!$B$1062,LANÇ_MOV[ANO PAGAMENTO],$B$4,LANÇ_MOV[MÊS PAGAMENTO CORRESPONDENTE],F$6,LANÇ_MOV[EMPRESA],$C$4,LANÇ_MOV[CENTRO DE CUSTOS],$D$4)</f>
        <v>0</v>
      </c>
      <c r="G1120" s="206">
        <f>SUMIFS(LANÇ_MOV[VALOR LÍQUIDO],LANÇ_MOV[RECEITA OU DESPESA],"Receita",LANÇ_MOV[CONTAS],$C1120,LANÇ_MOV[PLANO DE CONTAS],REL_DRE_FINANCEIRO!$B$1062,LANÇ_MOV[ANO PAGAMENTO],$B$4,LANÇ_MOV[MÊS PAGAMENTO CORRESPONDENTE],G$6,LANÇ_MOV[EMPRESA],$C$4,LANÇ_MOV[CENTRO DE CUSTOS],$D$4)</f>
        <v>0</v>
      </c>
      <c r="H1120" s="206">
        <f>SUMIFS(LANÇ_MOV[VALOR LÍQUIDO],LANÇ_MOV[RECEITA OU DESPESA],"Receita",LANÇ_MOV[CONTAS],$C1120,LANÇ_MOV[PLANO DE CONTAS],REL_DRE_FINANCEIRO!$B$1062,LANÇ_MOV[ANO PAGAMENTO],$B$4,LANÇ_MOV[MÊS PAGAMENTO CORRESPONDENTE],H$6,LANÇ_MOV[EMPRESA],$C$4,LANÇ_MOV[CENTRO DE CUSTOS],$D$4)</f>
        <v>0</v>
      </c>
      <c r="I1120" s="206">
        <f>SUMIFS(LANÇ_MOV[VALOR LÍQUIDO],LANÇ_MOV[RECEITA OU DESPESA],"Receita",LANÇ_MOV[CONTAS],$C1120,LANÇ_MOV[PLANO DE CONTAS],REL_DRE_FINANCEIRO!$B$1062,LANÇ_MOV[ANO PAGAMENTO],$B$4,LANÇ_MOV[MÊS PAGAMENTO CORRESPONDENTE],I$6,LANÇ_MOV[EMPRESA],$C$4,LANÇ_MOV[CENTRO DE CUSTOS],$D$4)</f>
        <v>0</v>
      </c>
      <c r="J1120" s="206">
        <f>SUMIFS(LANÇ_MOV[VALOR LÍQUIDO],LANÇ_MOV[RECEITA OU DESPESA],"Receita",LANÇ_MOV[CONTAS],$C1120,LANÇ_MOV[PLANO DE CONTAS],REL_DRE_FINANCEIRO!$B$1062,LANÇ_MOV[ANO PAGAMENTO],$B$4,LANÇ_MOV[MÊS PAGAMENTO CORRESPONDENTE],J$6,LANÇ_MOV[EMPRESA],$C$4,LANÇ_MOV[CENTRO DE CUSTOS],$D$4)</f>
        <v>0</v>
      </c>
      <c r="K1120" s="206">
        <f>SUMIFS(LANÇ_MOV[VALOR LÍQUIDO],LANÇ_MOV[RECEITA OU DESPESA],"Receita",LANÇ_MOV[CONTAS],$C1120,LANÇ_MOV[PLANO DE CONTAS],REL_DRE_FINANCEIRO!$B$1062,LANÇ_MOV[ANO PAGAMENTO],$B$4,LANÇ_MOV[MÊS PAGAMENTO CORRESPONDENTE],K$6,LANÇ_MOV[EMPRESA],$C$4,LANÇ_MOV[CENTRO DE CUSTOS],$D$4)</f>
        <v>0</v>
      </c>
      <c r="L1120" s="206">
        <f>SUMIFS(LANÇ_MOV[VALOR LÍQUIDO],LANÇ_MOV[RECEITA OU DESPESA],"Receita",LANÇ_MOV[CONTAS],$C1120,LANÇ_MOV[PLANO DE CONTAS],REL_DRE_FINANCEIRO!$B$1062,LANÇ_MOV[ANO PAGAMENTO],$B$4,LANÇ_MOV[MÊS PAGAMENTO CORRESPONDENTE],L$6,LANÇ_MOV[EMPRESA],$C$4,LANÇ_MOV[CENTRO DE CUSTOS],$D$4)</f>
        <v>0</v>
      </c>
      <c r="M1120" s="206">
        <f>SUMIFS(LANÇ_MOV[VALOR LÍQUIDO],LANÇ_MOV[RECEITA OU DESPESA],"Receita",LANÇ_MOV[CONTAS],$C1120,LANÇ_MOV[PLANO DE CONTAS],REL_DRE_FINANCEIRO!$B$1062,LANÇ_MOV[ANO PAGAMENTO],$B$4,LANÇ_MOV[MÊS PAGAMENTO CORRESPONDENTE],M$6,LANÇ_MOV[EMPRESA],$C$4,LANÇ_MOV[CENTRO DE CUSTOS],$D$4)</f>
        <v>0</v>
      </c>
      <c r="N1120" s="206">
        <f>SUMIFS(LANÇ_MOV[VALOR LÍQUIDO],LANÇ_MOV[RECEITA OU DESPESA],"Receita",LANÇ_MOV[CONTAS],$C1120,LANÇ_MOV[PLANO DE CONTAS],REL_DRE_FINANCEIRO!$B$1062,LANÇ_MOV[ANO PAGAMENTO],$B$4,LANÇ_MOV[MÊS PAGAMENTO CORRESPONDENTE],N$6,LANÇ_MOV[EMPRESA],$C$4,LANÇ_MOV[CENTRO DE CUSTOS],$D$4)</f>
        <v>0</v>
      </c>
      <c r="O1120" s="206">
        <f>SUMIFS(LANÇ_MOV[VALOR LÍQUIDO],LANÇ_MOV[RECEITA OU DESPESA],"Receita",LANÇ_MOV[CONTAS],$C1120,LANÇ_MOV[PLANO DE CONTAS],REL_DRE_FINANCEIRO!$B$1062,LANÇ_MOV[ANO PAGAMENTO],$B$4,LANÇ_MOV[MÊS PAGAMENTO CORRESPONDENTE],O$6,LANÇ_MOV[EMPRESA],$C$4,LANÇ_MOV[CENTRO DE CUSTOS],$D$4)</f>
        <v>0</v>
      </c>
      <c r="P1120" s="207">
        <f t="shared" si="134"/>
        <v>0</v>
      </c>
      <c r="Q1120" s="329">
        <v>4.3000000000000003E-6</v>
      </c>
      <c r="R1120" s="346">
        <f t="shared" si="135"/>
        <v>4.3000000000000003E-6</v>
      </c>
      <c r="S1120" s="347" t="str">
        <f t="shared" si="136"/>
        <v>-</v>
      </c>
      <c r="T1120" s="347">
        <f t="shared" si="137"/>
        <v>0</v>
      </c>
      <c r="U1120" s="347">
        <f>HLOOKUP(Apoio!$P$12,$D$1061:$P$1162,X1120,FALSE)+Q1120</f>
        <v>4.3000000000000003E-6</v>
      </c>
      <c r="V1120" s="447" t="str">
        <f t="shared" si="138"/>
        <v>-</v>
      </c>
      <c r="W1120" s="448">
        <f>HLOOKUP(Apoio!$P$12,$D$1061:$P$1162,X1120,FALSE)</f>
        <v>0</v>
      </c>
      <c r="X1120" s="329">
        <v>60</v>
      </c>
    </row>
    <row r="1121" spans="2:24" ht="30.05" customHeight="1" x14ac:dyDescent="0.35">
      <c r="B1121" s="204" t="str">
        <f>'CAD_PL_REC-DESP'!H63</f>
        <v>1.3.59</v>
      </c>
      <c r="C1121" s="205" t="str">
        <f>IF('CAD_PL_REC-DESP'!I63="","-",'CAD_PL_REC-DESP'!I63)</f>
        <v>-</v>
      </c>
      <c r="D1121" s="206">
        <f>SUMIFS(LANÇ_MOV[VALOR LÍQUIDO],LANÇ_MOV[RECEITA OU DESPESA],"Receita",LANÇ_MOV[CONTAS],$C1121,LANÇ_MOV[PLANO DE CONTAS],REL_DRE_FINANCEIRO!$B$1062,LANÇ_MOV[ANO PAGAMENTO],$B$4,LANÇ_MOV[MÊS PAGAMENTO CORRESPONDENTE],D$6,LANÇ_MOV[EMPRESA],$C$4,LANÇ_MOV[CENTRO DE CUSTOS],$D$4)</f>
        <v>0</v>
      </c>
      <c r="E1121" s="206">
        <f>SUMIFS(LANÇ_MOV[VALOR LÍQUIDO],LANÇ_MOV[RECEITA OU DESPESA],"Receita",LANÇ_MOV[CONTAS],$C1121,LANÇ_MOV[PLANO DE CONTAS],REL_DRE_FINANCEIRO!$B$1062,LANÇ_MOV[ANO PAGAMENTO],$B$4,LANÇ_MOV[MÊS PAGAMENTO CORRESPONDENTE],E$6,LANÇ_MOV[EMPRESA],$C$4,LANÇ_MOV[CENTRO DE CUSTOS],$D$4)</f>
        <v>0</v>
      </c>
      <c r="F1121" s="206">
        <f>SUMIFS(LANÇ_MOV[VALOR LÍQUIDO],LANÇ_MOV[RECEITA OU DESPESA],"Receita",LANÇ_MOV[CONTAS],$C1121,LANÇ_MOV[PLANO DE CONTAS],REL_DRE_FINANCEIRO!$B$1062,LANÇ_MOV[ANO PAGAMENTO],$B$4,LANÇ_MOV[MÊS PAGAMENTO CORRESPONDENTE],F$6,LANÇ_MOV[EMPRESA],$C$4,LANÇ_MOV[CENTRO DE CUSTOS],$D$4)</f>
        <v>0</v>
      </c>
      <c r="G1121" s="206">
        <f>SUMIFS(LANÇ_MOV[VALOR LÍQUIDO],LANÇ_MOV[RECEITA OU DESPESA],"Receita",LANÇ_MOV[CONTAS],$C1121,LANÇ_MOV[PLANO DE CONTAS],REL_DRE_FINANCEIRO!$B$1062,LANÇ_MOV[ANO PAGAMENTO],$B$4,LANÇ_MOV[MÊS PAGAMENTO CORRESPONDENTE],G$6,LANÇ_MOV[EMPRESA],$C$4,LANÇ_MOV[CENTRO DE CUSTOS],$D$4)</f>
        <v>0</v>
      </c>
      <c r="H1121" s="206">
        <f>SUMIFS(LANÇ_MOV[VALOR LÍQUIDO],LANÇ_MOV[RECEITA OU DESPESA],"Receita",LANÇ_MOV[CONTAS],$C1121,LANÇ_MOV[PLANO DE CONTAS],REL_DRE_FINANCEIRO!$B$1062,LANÇ_MOV[ANO PAGAMENTO],$B$4,LANÇ_MOV[MÊS PAGAMENTO CORRESPONDENTE],H$6,LANÇ_MOV[EMPRESA],$C$4,LANÇ_MOV[CENTRO DE CUSTOS],$D$4)</f>
        <v>0</v>
      </c>
      <c r="I1121" s="206">
        <f>SUMIFS(LANÇ_MOV[VALOR LÍQUIDO],LANÇ_MOV[RECEITA OU DESPESA],"Receita",LANÇ_MOV[CONTAS],$C1121,LANÇ_MOV[PLANO DE CONTAS],REL_DRE_FINANCEIRO!$B$1062,LANÇ_MOV[ANO PAGAMENTO],$B$4,LANÇ_MOV[MÊS PAGAMENTO CORRESPONDENTE],I$6,LANÇ_MOV[EMPRESA],$C$4,LANÇ_MOV[CENTRO DE CUSTOS],$D$4)</f>
        <v>0</v>
      </c>
      <c r="J1121" s="206">
        <f>SUMIFS(LANÇ_MOV[VALOR LÍQUIDO],LANÇ_MOV[RECEITA OU DESPESA],"Receita",LANÇ_MOV[CONTAS],$C1121,LANÇ_MOV[PLANO DE CONTAS],REL_DRE_FINANCEIRO!$B$1062,LANÇ_MOV[ANO PAGAMENTO],$B$4,LANÇ_MOV[MÊS PAGAMENTO CORRESPONDENTE],J$6,LANÇ_MOV[EMPRESA],$C$4,LANÇ_MOV[CENTRO DE CUSTOS],$D$4)</f>
        <v>0</v>
      </c>
      <c r="K1121" s="206">
        <f>SUMIFS(LANÇ_MOV[VALOR LÍQUIDO],LANÇ_MOV[RECEITA OU DESPESA],"Receita",LANÇ_MOV[CONTAS],$C1121,LANÇ_MOV[PLANO DE CONTAS],REL_DRE_FINANCEIRO!$B$1062,LANÇ_MOV[ANO PAGAMENTO],$B$4,LANÇ_MOV[MÊS PAGAMENTO CORRESPONDENTE],K$6,LANÇ_MOV[EMPRESA],$C$4,LANÇ_MOV[CENTRO DE CUSTOS],$D$4)</f>
        <v>0</v>
      </c>
      <c r="L1121" s="206">
        <f>SUMIFS(LANÇ_MOV[VALOR LÍQUIDO],LANÇ_MOV[RECEITA OU DESPESA],"Receita",LANÇ_MOV[CONTAS],$C1121,LANÇ_MOV[PLANO DE CONTAS],REL_DRE_FINANCEIRO!$B$1062,LANÇ_MOV[ANO PAGAMENTO],$B$4,LANÇ_MOV[MÊS PAGAMENTO CORRESPONDENTE],L$6,LANÇ_MOV[EMPRESA],$C$4,LANÇ_MOV[CENTRO DE CUSTOS],$D$4)</f>
        <v>0</v>
      </c>
      <c r="M1121" s="206">
        <f>SUMIFS(LANÇ_MOV[VALOR LÍQUIDO],LANÇ_MOV[RECEITA OU DESPESA],"Receita",LANÇ_MOV[CONTAS],$C1121,LANÇ_MOV[PLANO DE CONTAS],REL_DRE_FINANCEIRO!$B$1062,LANÇ_MOV[ANO PAGAMENTO],$B$4,LANÇ_MOV[MÊS PAGAMENTO CORRESPONDENTE],M$6,LANÇ_MOV[EMPRESA],$C$4,LANÇ_MOV[CENTRO DE CUSTOS],$D$4)</f>
        <v>0</v>
      </c>
      <c r="N1121" s="206">
        <f>SUMIFS(LANÇ_MOV[VALOR LÍQUIDO],LANÇ_MOV[RECEITA OU DESPESA],"Receita",LANÇ_MOV[CONTAS],$C1121,LANÇ_MOV[PLANO DE CONTAS],REL_DRE_FINANCEIRO!$B$1062,LANÇ_MOV[ANO PAGAMENTO],$B$4,LANÇ_MOV[MÊS PAGAMENTO CORRESPONDENTE],N$6,LANÇ_MOV[EMPRESA],$C$4,LANÇ_MOV[CENTRO DE CUSTOS],$D$4)</f>
        <v>0</v>
      </c>
      <c r="O1121" s="206">
        <f>SUMIFS(LANÇ_MOV[VALOR LÍQUIDO],LANÇ_MOV[RECEITA OU DESPESA],"Receita",LANÇ_MOV[CONTAS],$C1121,LANÇ_MOV[PLANO DE CONTAS],REL_DRE_FINANCEIRO!$B$1062,LANÇ_MOV[ANO PAGAMENTO],$B$4,LANÇ_MOV[MÊS PAGAMENTO CORRESPONDENTE],O$6,LANÇ_MOV[EMPRESA],$C$4,LANÇ_MOV[CENTRO DE CUSTOS],$D$4)</f>
        <v>0</v>
      </c>
      <c r="P1121" s="207">
        <f t="shared" si="134"/>
        <v>0</v>
      </c>
      <c r="Q1121" s="329">
        <v>4.1999999999999996E-6</v>
      </c>
      <c r="R1121" s="346">
        <f t="shared" si="135"/>
        <v>4.1999999999999996E-6</v>
      </c>
      <c r="S1121" s="347" t="str">
        <f t="shared" si="136"/>
        <v>-</v>
      </c>
      <c r="T1121" s="347">
        <f t="shared" si="137"/>
        <v>0</v>
      </c>
      <c r="U1121" s="347">
        <f>HLOOKUP(Apoio!$P$12,$D$1061:$P$1162,X1121,FALSE)+Q1121</f>
        <v>4.1999999999999996E-6</v>
      </c>
      <c r="V1121" s="447" t="str">
        <f t="shared" si="138"/>
        <v>-</v>
      </c>
      <c r="W1121" s="448">
        <f>HLOOKUP(Apoio!$P$12,$D$1061:$P$1162,X1121,FALSE)</f>
        <v>0</v>
      </c>
      <c r="X1121" s="329">
        <v>61</v>
      </c>
    </row>
    <row r="1122" spans="2:24" ht="30.05" customHeight="1" x14ac:dyDescent="0.35">
      <c r="B1122" s="204" t="str">
        <f>'CAD_PL_REC-DESP'!H64</f>
        <v>1.3.60</v>
      </c>
      <c r="C1122" s="205" t="str">
        <f>IF('CAD_PL_REC-DESP'!I64="","-",'CAD_PL_REC-DESP'!I64)</f>
        <v>-</v>
      </c>
      <c r="D1122" s="206">
        <f>SUMIFS(LANÇ_MOV[VALOR LÍQUIDO],LANÇ_MOV[RECEITA OU DESPESA],"Receita",LANÇ_MOV[CONTAS],$C1122,LANÇ_MOV[PLANO DE CONTAS],REL_DRE_FINANCEIRO!$B$1062,LANÇ_MOV[ANO PAGAMENTO],$B$4,LANÇ_MOV[MÊS PAGAMENTO CORRESPONDENTE],D$6,LANÇ_MOV[EMPRESA],$C$4,LANÇ_MOV[CENTRO DE CUSTOS],$D$4)</f>
        <v>0</v>
      </c>
      <c r="E1122" s="206">
        <f>SUMIFS(LANÇ_MOV[VALOR LÍQUIDO],LANÇ_MOV[RECEITA OU DESPESA],"Receita",LANÇ_MOV[CONTAS],$C1122,LANÇ_MOV[PLANO DE CONTAS],REL_DRE_FINANCEIRO!$B$1062,LANÇ_MOV[ANO PAGAMENTO],$B$4,LANÇ_MOV[MÊS PAGAMENTO CORRESPONDENTE],E$6,LANÇ_MOV[EMPRESA],$C$4,LANÇ_MOV[CENTRO DE CUSTOS],$D$4)</f>
        <v>0</v>
      </c>
      <c r="F1122" s="206">
        <f>SUMIFS(LANÇ_MOV[VALOR LÍQUIDO],LANÇ_MOV[RECEITA OU DESPESA],"Receita",LANÇ_MOV[CONTAS],$C1122,LANÇ_MOV[PLANO DE CONTAS],REL_DRE_FINANCEIRO!$B$1062,LANÇ_MOV[ANO PAGAMENTO],$B$4,LANÇ_MOV[MÊS PAGAMENTO CORRESPONDENTE],F$6,LANÇ_MOV[EMPRESA],$C$4,LANÇ_MOV[CENTRO DE CUSTOS],$D$4)</f>
        <v>0</v>
      </c>
      <c r="G1122" s="206">
        <f>SUMIFS(LANÇ_MOV[VALOR LÍQUIDO],LANÇ_MOV[RECEITA OU DESPESA],"Receita",LANÇ_MOV[CONTAS],$C1122,LANÇ_MOV[PLANO DE CONTAS],REL_DRE_FINANCEIRO!$B$1062,LANÇ_MOV[ANO PAGAMENTO],$B$4,LANÇ_MOV[MÊS PAGAMENTO CORRESPONDENTE],G$6,LANÇ_MOV[EMPRESA],$C$4,LANÇ_MOV[CENTRO DE CUSTOS],$D$4)</f>
        <v>0</v>
      </c>
      <c r="H1122" s="206">
        <f>SUMIFS(LANÇ_MOV[VALOR LÍQUIDO],LANÇ_MOV[RECEITA OU DESPESA],"Receita",LANÇ_MOV[CONTAS],$C1122,LANÇ_MOV[PLANO DE CONTAS],REL_DRE_FINANCEIRO!$B$1062,LANÇ_MOV[ANO PAGAMENTO],$B$4,LANÇ_MOV[MÊS PAGAMENTO CORRESPONDENTE],H$6,LANÇ_MOV[EMPRESA],$C$4,LANÇ_MOV[CENTRO DE CUSTOS],$D$4)</f>
        <v>0</v>
      </c>
      <c r="I1122" s="206">
        <f>SUMIFS(LANÇ_MOV[VALOR LÍQUIDO],LANÇ_MOV[RECEITA OU DESPESA],"Receita",LANÇ_MOV[CONTAS],$C1122,LANÇ_MOV[PLANO DE CONTAS],REL_DRE_FINANCEIRO!$B$1062,LANÇ_MOV[ANO PAGAMENTO],$B$4,LANÇ_MOV[MÊS PAGAMENTO CORRESPONDENTE],I$6,LANÇ_MOV[EMPRESA],$C$4,LANÇ_MOV[CENTRO DE CUSTOS],$D$4)</f>
        <v>0</v>
      </c>
      <c r="J1122" s="206">
        <f>SUMIFS(LANÇ_MOV[VALOR LÍQUIDO],LANÇ_MOV[RECEITA OU DESPESA],"Receita",LANÇ_MOV[CONTAS],$C1122,LANÇ_MOV[PLANO DE CONTAS],REL_DRE_FINANCEIRO!$B$1062,LANÇ_MOV[ANO PAGAMENTO],$B$4,LANÇ_MOV[MÊS PAGAMENTO CORRESPONDENTE],J$6,LANÇ_MOV[EMPRESA],$C$4,LANÇ_MOV[CENTRO DE CUSTOS],$D$4)</f>
        <v>0</v>
      </c>
      <c r="K1122" s="206">
        <f>SUMIFS(LANÇ_MOV[VALOR LÍQUIDO],LANÇ_MOV[RECEITA OU DESPESA],"Receita",LANÇ_MOV[CONTAS],$C1122,LANÇ_MOV[PLANO DE CONTAS],REL_DRE_FINANCEIRO!$B$1062,LANÇ_MOV[ANO PAGAMENTO],$B$4,LANÇ_MOV[MÊS PAGAMENTO CORRESPONDENTE],K$6,LANÇ_MOV[EMPRESA],$C$4,LANÇ_MOV[CENTRO DE CUSTOS],$D$4)</f>
        <v>0</v>
      </c>
      <c r="L1122" s="206">
        <f>SUMIFS(LANÇ_MOV[VALOR LÍQUIDO],LANÇ_MOV[RECEITA OU DESPESA],"Receita",LANÇ_MOV[CONTAS],$C1122,LANÇ_MOV[PLANO DE CONTAS],REL_DRE_FINANCEIRO!$B$1062,LANÇ_MOV[ANO PAGAMENTO],$B$4,LANÇ_MOV[MÊS PAGAMENTO CORRESPONDENTE],L$6,LANÇ_MOV[EMPRESA],$C$4,LANÇ_MOV[CENTRO DE CUSTOS],$D$4)</f>
        <v>0</v>
      </c>
      <c r="M1122" s="206">
        <f>SUMIFS(LANÇ_MOV[VALOR LÍQUIDO],LANÇ_MOV[RECEITA OU DESPESA],"Receita",LANÇ_MOV[CONTAS],$C1122,LANÇ_MOV[PLANO DE CONTAS],REL_DRE_FINANCEIRO!$B$1062,LANÇ_MOV[ANO PAGAMENTO],$B$4,LANÇ_MOV[MÊS PAGAMENTO CORRESPONDENTE],M$6,LANÇ_MOV[EMPRESA],$C$4,LANÇ_MOV[CENTRO DE CUSTOS],$D$4)</f>
        <v>0</v>
      </c>
      <c r="N1122" s="206">
        <f>SUMIFS(LANÇ_MOV[VALOR LÍQUIDO],LANÇ_MOV[RECEITA OU DESPESA],"Receita",LANÇ_MOV[CONTAS],$C1122,LANÇ_MOV[PLANO DE CONTAS],REL_DRE_FINANCEIRO!$B$1062,LANÇ_MOV[ANO PAGAMENTO],$B$4,LANÇ_MOV[MÊS PAGAMENTO CORRESPONDENTE],N$6,LANÇ_MOV[EMPRESA],$C$4,LANÇ_MOV[CENTRO DE CUSTOS],$D$4)</f>
        <v>0</v>
      </c>
      <c r="O1122" s="206">
        <f>SUMIFS(LANÇ_MOV[VALOR LÍQUIDO],LANÇ_MOV[RECEITA OU DESPESA],"Receita",LANÇ_MOV[CONTAS],$C1122,LANÇ_MOV[PLANO DE CONTAS],REL_DRE_FINANCEIRO!$B$1062,LANÇ_MOV[ANO PAGAMENTO],$B$4,LANÇ_MOV[MÊS PAGAMENTO CORRESPONDENTE],O$6,LANÇ_MOV[EMPRESA],$C$4,LANÇ_MOV[CENTRO DE CUSTOS],$D$4)</f>
        <v>0</v>
      </c>
      <c r="P1122" s="207">
        <f t="shared" si="134"/>
        <v>0</v>
      </c>
      <c r="Q1122" s="329">
        <v>4.0999999999999997E-6</v>
      </c>
      <c r="R1122" s="346">
        <f t="shared" si="135"/>
        <v>4.0999999999999997E-6</v>
      </c>
      <c r="S1122" s="347" t="str">
        <f t="shared" si="136"/>
        <v>-</v>
      </c>
      <c r="T1122" s="347">
        <f t="shared" si="137"/>
        <v>0</v>
      </c>
      <c r="U1122" s="347">
        <f>HLOOKUP(Apoio!$P$12,$D$1061:$P$1162,X1122,FALSE)+Q1122</f>
        <v>4.0999999999999997E-6</v>
      </c>
      <c r="V1122" s="447" t="str">
        <f t="shared" si="138"/>
        <v>-</v>
      </c>
      <c r="W1122" s="448">
        <f>HLOOKUP(Apoio!$P$12,$D$1061:$P$1162,X1122,FALSE)</f>
        <v>0</v>
      </c>
      <c r="X1122" s="329">
        <v>62</v>
      </c>
    </row>
    <row r="1123" spans="2:24" ht="30.05" customHeight="1" x14ac:dyDescent="0.35">
      <c r="B1123" s="204" t="str">
        <f>'CAD_PL_REC-DESP'!H65</f>
        <v>1.3.61</v>
      </c>
      <c r="C1123" s="205" t="str">
        <f>IF('CAD_PL_REC-DESP'!I65="","-",'CAD_PL_REC-DESP'!I65)</f>
        <v>-</v>
      </c>
      <c r="D1123" s="206">
        <f>SUMIFS(LANÇ_MOV[VALOR LÍQUIDO],LANÇ_MOV[RECEITA OU DESPESA],"Receita",LANÇ_MOV[CONTAS],$C1123,LANÇ_MOV[PLANO DE CONTAS],REL_DRE_FINANCEIRO!$B$1062,LANÇ_MOV[ANO PAGAMENTO],$B$4,LANÇ_MOV[MÊS PAGAMENTO CORRESPONDENTE],D$6,LANÇ_MOV[EMPRESA],$C$4,LANÇ_MOV[CENTRO DE CUSTOS],$D$4)</f>
        <v>0</v>
      </c>
      <c r="E1123" s="206">
        <f>SUMIFS(LANÇ_MOV[VALOR LÍQUIDO],LANÇ_MOV[RECEITA OU DESPESA],"Receita",LANÇ_MOV[CONTAS],$C1123,LANÇ_MOV[PLANO DE CONTAS],REL_DRE_FINANCEIRO!$B$1062,LANÇ_MOV[ANO PAGAMENTO],$B$4,LANÇ_MOV[MÊS PAGAMENTO CORRESPONDENTE],E$6,LANÇ_MOV[EMPRESA],$C$4,LANÇ_MOV[CENTRO DE CUSTOS],$D$4)</f>
        <v>0</v>
      </c>
      <c r="F1123" s="206">
        <f>SUMIFS(LANÇ_MOV[VALOR LÍQUIDO],LANÇ_MOV[RECEITA OU DESPESA],"Receita",LANÇ_MOV[CONTAS],$C1123,LANÇ_MOV[PLANO DE CONTAS],REL_DRE_FINANCEIRO!$B$1062,LANÇ_MOV[ANO PAGAMENTO],$B$4,LANÇ_MOV[MÊS PAGAMENTO CORRESPONDENTE],F$6,LANÇ_MOV[EMPRESA],$C$4,LANÇ_MOV[CENTRO DE CUSTOS],$D$4)</f>
        <v>0</v>
      </c>
      <c r="G1123" s="206">
        <f>SUMIFS(LANÇ_MOV[VALOR LÍQUIDO],LANÇ_MOV[RECEITA OU DESPESA],"Receita",LANÇ_MOV[CONTAS],$C1123,LANÇ_MOV[PLANO DE CONTAS],REL_DRE_FINANCEIRO!$B$1062,LANÇ_MOV[ANO PAGAMENTO],$B$4,LANÇ_MOV[MÊS PAGAMENTO CORRESPONDENTE],G$6,LANÇ_MOV[EMPRESA],$C$4,LANÇ_MOV[CENTRO DE CUSTOS],$D$4)</f>
        <v>0</v>
      </c>
      <c r="H1123" s="206">
        <f>SUMIFS(LANÇ_MOV[VALOR LÍQUIDO],LANÇ_MOV[RECEITA OU DESPESA],"Receita",LANÇ_MOV[CONTAS],$C1123,LANÇ_MOV[PLANO DE CONTAS],REL_DRE_FINANCEIRO!$B$1062,LANÇ_MOV[ANO PAGAMENTO],$B$4,LANÇ_MOV[MÊS PAGAMENTO CORRESPONDENTE],H$6,LANÇ_MOV[EMPRESA],$C$4,LANÇ_MOV[CENTRO DE CUSTOS],$D$4)</f>
        <v>0</v>
      </c>
      <c r="I1123" s="206">
        <f>SUMIFS(LANÇ_MOV[VALOR LÍQUIDO],LANÇ_MOV[RECEITA OU DESPESA],"Receita",LANÇ_MOV[CONTAS],$C1123,LANÇ_MOV[PLANO DE CONTAS],REL_DRE_FINANCEIRO!$B$1062,LANÇ_MOV[ANO PAGAMENTO],$B$4,LANÇ_MOV[MÊS PAGAMENTO CORRESPONDENTE],I$6,LANÇ_MOV[EMPRESA],$C$4,LANÇ_MOV[CENTRO DE CUSTOS],$D$4)</f>
        <v>0</v>
      </c>
      <c r="J1123" s="206">
        <f>SUMIFS(LANÇ_MOV[VALOR LÍQUIDO],LANÇ_MOV[RECEITA OU DESPESA],"Receita",LANÇ_MOV[CONTAS],$C1123,LANÇ_MOV[PLANO DE CONTAS],REL_DRE_FINANCEIRO!$B$1062,LANÇ_MOV[ANO PAGAMENTO],$B$4,LANÇ_MOV[MÊS PAGAMENTO CORRESPONDENTE],J$6,LANÇ_MOV[EMPRESA],$C$4,LANÇ_MOV[CENTRO DE CUSTOS],$D$4)</f>
        <v>0</v>
      </c>
      <c r="K1123" s="206">
        <f>SUMIFS(LANÇ_MOV[VALOR LÍQUIDO],LANÇ_MOV[RECEITA OU DESPESA],"Receita",LANÇ_MOV[CONTAS],$C1123,LANÇ_MOV[PLANO DE CONTAS],REL_DRE_FINANCEIRO!$B$1062,LANÇ_MOV[ANO PAGAMENTO],$B$4,LANÇ_MOV[MÊS PAGAMENTO CORRESPONDENTE],K$6,LANÇ_MOV[EMPRESA],$C$4,LANÇ_MOV[CENTRO DE CUSTOS],$D$4)</f>
        <v>0</v>
      </c>
      <c r="L1123" s="206">
        <f>SUMIFS(LANÇ_MOV[VALOR LÍQUIDO],LANÇ_MOV[RECEITA OU DESPESA],"Receita",LANÇ_MOV[CONTAS],$C1123,LANÇ_MOV[PLANO DE CONTAS],REL_DRE_FINANCEIRO!$B$1062,LANÇ_MOV[ANO PAGAMENTO],$B$4,LANÇ_MOV[MÊS PAGAMENTO CORRESPONDENTE],L$6,LANÇ_MOV[EMPRESA],$C$4,LANÇ_MOV[CENTRO DE CUSTOS],$D$4)</f>
        <v>0</v>
      </c>
      <c r="M1123" s="206">
        <f>SUMIFS(LANÇ_MOV[VALOR LÍQUIDO],LANÇ_MOV[RECEITA OU DESPESA],"Receita",LANÇ_MOV[CONTAS],$C1123,LANÇ_MOV[PLANO DE CONTAS],REL_DRE_FINANCEIRO!$B$1062,LANÇ_MOV[ANO PAGAMENTO],$B$4,LANÇ_MOV[MÊS PAGAMENTO CORRESPONDENTE],M$6,LANÇ_MOV[EMPRESA],$C$4,LANÇ_MOV[CENTRO DE CUSTOS],$D$4)</f>
        <v>0</v>
      </c>
      <c r="N1123" s="206">
        <f>SUMIFS(LANÇ_MOV[VALOR LÍQUIDO],LANÇ_MOV[RECEITA OU DESPESA],"Receita",LANÇ_MOV[CONTAS],$C1123,LANÇ_MOV[PLANO DE CONTAS],REL_DRE_FINANCEIRO!$B$1062,LANÇ_MOV[ANO PAGAMENTO],$B$4,LANÇ_MOV[MÊS PAGAMENTO CORRESPONDENTE],N$6,LANÇ_MOV[EMPRESA],$C$4,LANÇ_MOV[CENTRO DE CUSTOS],$D$4)</f>
        <v>0</v>
      </c>
      <c r="O1123" s="206">
        <f>SUMIFS(LANÇ_MOV[VALOR LÍQUIDO],LANÇ_MOV[RECEITA OU DESPESA],"Receita",LANÇ_MOV[CONTAS],$C1123,LANÇ_MOV[PLANO DE CONTAS],REL_DRE_FINANCEIRO!$B$1062,LANÇ_MOV[ANO PAGAMENTO],$B$4,LANÇ_MOV[MÊS PAGAMENTO CORRESPONDENTE],O$6,LANÇ_MOV[EMPRESA],$C$4,LANÇ_MOV[CENTRO DE CUSTOS],$D$4)</f>
        <v>0</v>
      </c>
      <c r="P1123" s="207">
        <f t="shared" si="134"/>
        <v>0</v>
      </c>
      <c r="Q1123" s="329">
        <v>3.9999999999999998E-6</v>
      </c>
      <c r="R1123" s="346">
        <f t="shared" si="135"/>
        <v>3.9999999999999998E-6</v>
      </c>
      <c r="S1123" s="347" t="str">
        <f t="shared" si="136"/>
        <v>-</v>
      </c>
      <c r="T1123" s="347">
        <f t="shared" si="137"/>
        <v>0</v>
      </c>
      <c r="U1123" s="347">
        <f>HLOOKUP(Apoio!$P$12,$D$1061:$P$1162,X1123,FALSE)+Q1123</f>
        <v>3.9999999999999998E-6</v>
      </c>
      <c r="V1123" s="447" t="str">
        <f t="shared" si="138"/>
        <v>-</v>
      </c>
      <c r="W1123" s="448">
        <f>HLOOKUP(Apoio!$P$12,$D$1061:$P$1162,X1123,FALSE)</f>
        <v>0</v>
      </c>
      <c r="X1123" s="329">
        <v>63</v>
      </c>
    </row>
    <row r="1124" spans="2:24" ht="30.05" customHeight="1" x14ac:dyDescent="0.35">
      <c r="B1124" s="204" t="str">
        <f>'CAD_PL_REC-DESP'!H66</f>
        <v>1.3.62</v>
      </c>
      <c r="C1124" s="205" t="str">
        <f>IF('CAD_PL_REC-DESP'!I66="","-",'CAD_PL_REC-DESP'!I66)</f>
        <v>-</v>
      </c>
      <c r="D1124" s="206">
        <f>SUMIFS(LANÇ_MOV[VALOR LÍQUIDO],LANÇ_MOV[RECEITA OU DESPESA],"Receita",LANÇ_MOV[CONTAS],$C1124,LANÇ_MOV[PLANO DE CONTAS],REL_DRE_FINANCEIRO!$B$1062,LANÇ_MOV[ANO PAGAMENTO],$B$4,LANÇ_MOV[MÊS PAGAMENTO CORRESPONDENTE],D$6,LANÇ_MOV[EMPRESA],$C$4,LANÇ_MOV[CENTRO DE CUSTOS],$D$4)</f>
        <v>0</v>
      </c>
      <c r="E1124" s="206">
        <f>SUMIFS(LANÇ_MOV[VALOR LÍQUIDO],LANÇ_MOV[RECEITA OU DESPESA],"Receita",LANÇ_MOV[CONTAS],$C1124,LANÇ_MOV[PLANO DE CONTAS],REL_DRE_FINANCEIRO!$B$1062,LANÇ_MOV[ANO PAGAMENTO],$B$4,LANÇ_MOV[MÊS PAGAMENTO CORRESPONDENTE],E$6,LANÇ_MOV[EMPRESA],$C$4,LANÇ_MOV[CENTRO DE CUSTOS],$D$4)</f>
        <v>0</v>
      </c>
      <c r="F1124" s="206">
        <f>SUMIFS(LANÇ_MOV[VALOR LÍQUIDO],LANÇ_MOV[RECEITA OU DESPESA],"Receita",LANÇ_MOV[CONTAS],$C1124,LANÇ_MOV[PLANO DE CONTAS],REL_DRE_FINANCEIRO!$B$1062,LANÇ_MOV[ANO PAGAMENTO],$B$4,LANÇ_MOV[MÊS PAGAMENTO CORRESPONDENTE],F$6,LANÇ_MOV[EMPRESA],$C$4,LANÇ_MOV[CENTRO DE CUSTOS],$D$4)</f>
        <v>0</v>
      </c>
      <c r="G1124" s="206">
        <f>SUMIFS(LANÇ_MOV[VALOR LÍQUIDO],LANÇ_MOV[RECEITA OU DESPESA],"Receita",LANÇ_MOV[CONTAS],$C1124,LANÇ_MOV[PLANO DE CONTAS],REL_DRE_FINANCEIRO!$B$1062,LANÇ_MOV[ANO PAGAMENTO],$B$4,LANÇ_MOV[MÊS PAGAMENTO CORRESPONDENTE],G$6,LANÇ_MOV[EMPRESA],$C$4,LANÇ_MOV[CENTRO DE CUSTOS],$D$4)</f>
        <v>0</v>
      </c>
      <c r="H1124" s="206">
        <f>SUMIFS(LANÇ_MOV[VALOR LÍQUIDO],LANÇ_MOV[RECEITA OU DESPESA],"Receita",LANÇ_MOV[CONTAS],$C1124,LANÇ_MOV[PLANO DE CONTAS],REL_DRE_FINANCEIRO!$B$1062,LANÇ_MOV[ANO PAGAMENTO],$B$4,LANÇ_MOV[MÊS PAGAMENTO CORRESPONDENTE],H$6,LANÇ_MOV[EMPRESA],$C$4,LANÇ_MOV[CENTRO DE CUSTOS],$D$4)</f>
        <v>0</v>
      </c>
      <c r="I1124" s="206">
        <f>SUMIFS(LANÇ_MOV[VALOR LÍQUIDO],LANÇ_MOV[RECEITA OU DESPESA],"Receita",LANÇ_MOV[CONTAS],$C1124,LANÇ_MOV[PLANO DE CONTAS],REL_DRE_FINANCEIRO!$B$1062,LANÇ_MOV[ANO PAGAMENTO],$B$4,LANÇ_MOV[MÊS PAGAMENTO CORRESPONDENTE],I$6,LANÇ_MOV[EMPRESA],$C$4,LANÇ_MOV[CENTRO DE CUSTOS],$D$4)</f>
        <v>0</v>
      </c>
      <c r="J1124" s="206">
        <f>SUMIFS(LANÇ_MOV[VALOR LÍQUIDO],LANÇ_MOV[RECEITA OU DESPESA],"Receita",LANÇ_MOV[CONTAS],$C1124,LANÇ_MOV[PLANO DE CONTAS],REL_DRE_FINANCEIRO!$B$1062,LANÇ_MOV[ANO PAGAMENTO],$B$4,LANÇ_MOV[MÊS PAGAMENTO CORRESPONDENTE],J$6,LANÇ_MOV[EMPRESA],$C$4,LANÇ_MOV[CENTRO DE CUSTOS],$D$4)</f>
        <v>0</v>
      </c>
      <c r="K1124" s="206">
        <f>SUMIFS(LANÇ_MOV[VALOR LÍQUIDO],LANÇ_MOV[RECEITA OU DESPESA],"Receita",LANÇ_MOV[CONTAS],$C1124,LANÇ_MOV[PLANO DE CONTAS],REL_DRE_FINANCEIRO!$B$1062,LANÇ_MOV[ANO PAGAMENTO],$B$4,LANÇ_MOV[MÊS PAGAMENTO CORRESPONDENTE],K$6,LANÇ_MOV[EMPRESA],$C$4,LANÇ_MOV[CENTRO DE CUSTOS],$D$4)</f>
        <v>0</v>
      </c>
      <c r="L1124" s="206">
        <f>SUMIFS(LANÇ_MOV[VALOR LÍQUIDO],LANÇ_MOV[RECEITA OU DESPESA],"Receita",LANÇ_MOV[CONTAS],$C1124,LANÇ_MOV[PLANO DE CONTAS],REL_DRE_FINANCEIRO!$B$1062,LANÇ_MOV[ANO PAGAMENTO],$B$4,LANÇ_MOV[MÊS PAGAMENTO CORRESPONDENTE],L$6,LANÇ_MOV[EMPRESA],$C$4,LANÇ_MOV[CENTRO DE CUSTOS],$D$4)</f>
        <v>0</v>
      </c>
      <c r="M1124" s="206">
        <f>SUMIFS(LANÇ_MOV[VALOR LÍQUIDO],LANÇ_MOV[RECEITA OU DESPESA],"Receita",LANÇ_MOV[CONTAS],$C1124,LANÇ_MOV[PLANO DE CONTAS],REL_DRE_FINANCEIRO!$B$1062,LANÇ_MOV[ANO PAGAMENTO],$B$4,LANÇ_MOV[MÊS PAGAMENTO CORRESPONDENTE],M$6,LANÇ_MOV[EMPRESA],$C$4,LANÇ_MOV[CENTRO DE CUSTOS],$D$4)</f>
        <v>0</v>
      </c>
      <c r="N1124" s="206">
        <f>SUMIFS(LANÇ_MOV[VALOR LÍQUIDO],LANÇ_MOV[RECEITA OU DESPESA],"Receita",LANÇ_MOV[CONTAS],$C1124,LANÇ_MOV[PLANO DE CONTAS],REL_DRE_FINANCEIRO!$B$1062,LANÇ_MOV[ANO PAGAMENTO],$B$4,LANÇ_MOV[MÊS PAGAMENTO CORRESPONDENTE],N$6,LANÇ_MOV[EMPRESA],$C$4,LANÇ_MOV[CENTRO DE CUSTOS],$D$4)</f>
        <v>0</v>
      </c>
      <c r="O1124" s="206">
        <f>SUMIFS(LANÇ_MOV[VALOR LÍQUIDO],LANÇ_MOV[RECEITA OU DESPESA],"Receita",LANÇ_MOV[CONTAS],$C1124,LANÇ_MOV[PLANO DE CONTAS],REL_DRE_FINANCEIRO!$B$1062,LANÇ_MOV[ANO PAGAMENTO],$B$4,LANÇ_MOV[MÊS PAGAMENTO CORRESPONDENTE],O$6,LANÇ_MOV[EMPRESA],$C$4,LANÇ_MOV[CENTRO DE CUSTOS],$D$4)</f>
        <v>0</v>
      </c>
      <c r="P1124" s="207">
        <f t="shared" si="134"/>
        <v>0</v>
      </c>
      <c r="Q1124" s="329">
        <v>3.8999999999999999E-6</v>
      </c>
      <c r="R1124" s="346">
        <f t="shared" si="135"/>
        <v>3.8999999999999999E-6</v>
      </c>
      <c r="S1124" s="347" t="str">
        <f t="shared" si="136"/>
        <v>-</v>
      </c>
      <c r="T1124" s="347">
        <f t="shared" si="137"/>
        <v>0</v>
      </c>
      <c r="U1124" s="347">
        <f>HLOOKUP(Apoio!$P$12,$D$1061:$P$1162,X1124,FALSE)+Q1124</f>
        <v>3.8999999999999999E-6</v>
      </c>
      <c r="V1124" s="447" t="str">
        <f t="shared" si="138"/>
        <v>-</v>
      </c>
      <c r="W1124" s="448">
        <f>HLOOKUP(Apoio!$P$12,$D$1061:$P$1162,X1124,FALSE)</f>
        <v>0</v>
      </c>
      <c r="X1124" s="329">
        <v>64</v>
      </c>
    </row>
    <row r="1125" spans="2:24" ht="30.05" customHeight="1" x14ac:dyDescent="0.35">
      <c r="B1125" s="204" t="str">
        <f>'CAD_PL_REC-DESP'!H67</f>
        <v>1.3.63</v>
      </c>
      <c r="C1125" s="205" t="str">
        <f>IF('CAD_PL_REC-DESP'!I67="","-",'CAD_PL_REC-DESP'!I67)</f>
        <v>-</v>
      </c>
      <c r="D1125" s="206">
        <f>SUMIFS(LANÇ_MOV[VALOR LÍQUIDO],LANÇ_MOV[RECEITA OU DESPESA],"Receita",LANÇ_MOV[CONTAS],$C1125,LANÇ_MOV[PLANO DE CONTAS],REL_DRE_FINANCEIRO!$B$1062,LANÇ_MOV[ANO PAGAMENTO],$B$4,LANÇ_MOV[MÊS PAGAMENTO CORRESPONDENTE],D$6,LANÇ_MOV[EMPRESA],$C$4,LANÇ_MOV[CENTRO DE CUSTOS],$D$4)</f>
        <v>0</v>
      </c>
      <c r="E1125" s="206">
        <f>SUMIFS(LANÇ_MOV[VALOR LÍQUIDO],LANÇ_MOV[RECEITA OU DESPESA],"Receita",LANÇ_MOV[CONTAS],$C1125,LANÇ_MOV[PLANO DE CONTAS],REL_DRE_FINANCEIRO!$B$1062,LANÇ_MOV[ANO PAGAMENTO],$B$4,LANÇ_MOV[MÊS PAGAMENTO CORRESPONDENTE],E$6,LANÇ_MOV[EMPRESA],$C$4,LANÇ_MOV[CENTRO DE CUSTOS],$D$4)</f>
        <v>0</v>
      </c>
      <c r="F1125" s="206">
        <f>SUMIFS(LANÇ_MOV[VALOR LÍQUIDO],LANÇ_MOV[RECEITA OU DESPESA],"Receita",LANÇ_MOV[CONTAS],$C1125,LANÇ_MOV[PLANO DE CONTAS],REL_DRE_FINANCEIRO!$B$1062,LANÇ_MOV[ANO PAGAMENTO],$B$4,LANÇ_MOV[MÊS PAGAMENTO CORRESPONDENTE],F$6,LANÇ_MOV[EMPRESA],$C$4,LANÇ_MOV[CENTRO DE CUSTOS],$D$4)</f>
        <v>0</v>
      </c>
      <c r="G1125" s="206">
        <f>SUMIFS(LANÇ_MOV[VALOR LÍQUIDO],LANÇ_MOV[RECEITA OU DESPESA],"Receita",LANÇ_MOV[CONTAS],$C1125,LANÇ_MOV[PLANO DE CONTAS],REL_DRE_FINANCEIRO!$B$1062,LANÇ_MOV[ANO PAGAMENTO],$B$4,LANÇ_MOV[MÊS PAGAMENTO CORRESPONDENTE],G$6,LANÇ_MOV[EMPRESA],$C$4,LANÇ_MOV[CENTRO DE CUSTOS],$D$4)</f>
        <v>0</v>
      </c>
      <c r="H1125" s="206">
        <f>SUMIFS(LANÇ_MOV[VALOR LÍQUIDO],LANÇ_MOV[RECEITA OU DESPESA],"Receita",LANÇ_MOV[CONTAS],$C1125,LANÇ_MOV[PLANO DE CONTAS],REL_DRE_FINANCEIRO!$B$1062,LANÇ_MOV[ANO PAGAMENTO],$B$4,LANÇ_MOV[MÊS PAGAMENTO CORRESPONDENTE],H$6,LANÇ_MOV[EMPRESA],$C$4,LANÇ_MOV[CENTRO DE CUSTOS],$D$4)</f>
        <v>0</v>
      </c>
      <c r="I1125" s="206">
        <f>SUMIFS(LANÇ_MOV[VALOR LÍQUIDO],LANÇ_MOV[RECEITA OU DESPESA],"Receita",LANÇ_MOV[CONTAS],$C1125,LANÇ_MOV[PLANO DE CONTAS],REL_DRE_FINANCEIRO!$B$1062,LANÇ_MOV[ANO PAGAMENTO],$B$4,LANÇ_MOV[MÊS PAGAMENTO CORRESPONDENTE],I$6,LANÇ_MOV[EMPRESA],$C$4,LANÇ_MOV[CENTRO DE CUSTOS],$D$4)</f>
        <v>0</v>
      </c>
      <c r="J1125" s="206">
        <f>SUMIFS(LANÇ_MOV[VALOR LÍQUIDO],LANÇ_MOV[RECEITA OU DESPESA],"Receita",LANÇ_MOV[CONTAS],$C1125,LANÇ_MOV[PLANO DE CONTAS],REL_DRE_FINANCEIRO!$B$1062,LANÇ_MOV[ANO PAGAMENTO],$B$4,LANÇ_MOV[MÊS PAGAMENTO CORRESPONDENTE],J$6,LANÇ_MOV[EMPRESA],$C$4,LANÇ_MOV[CENTRO DE CUSTOS],$D$4)</f>
        <v>0</v>
      </c>
      <c r="K1125" s="206">
        <f>SUMIFS(LANÇ_MOV[VALOR LÍQUIDO],LANÇ_MOV[RECEITA OU DESPESA],"Receita",LANÇ_MOV[CONTAS],$C1125,LANÇ_MOV[PLANO DE CONTAS],REL_DRE_FINANCEIRO!$B$1062,LANÇ_MOV[ANO PAGAMENTO],$B$4,LANÇ_MOV[MÊS PAGAMENTO CORRESPONDENTE],K$6,LANÇ_MOV[EMPRESA],$C$4,LANÇ_MOV[CENTRO DE CUSTOS],$D$4)</f>
        <v>0</v>
      </c>
      <c r="L1125" s="206">
        <f>SUMIFS(LANÇ_MOV[VALOR LÍQUIDO],LANÇ_MOV[RECEITA OU DESPESA],"Receita",LANÇ_MOV[CONTAS],$C1125,LANÇ_MOV[PLANO DE CONTAS],REL_DRE_FINANCEIRO!$B$1062,LANÇ_MOV[ANO PAGAMENTO],$B$4,LANÇ_MOV[MÊS PAGAMENTO CORRESPONDENTE],L$6,LANÇ_MOV[EMPRESA],$C$4,LANÇ_MOV[CENTRO DE CUSTOS],$D$4)</f>
        <v>0</v>
      </c>
      <c r="M1125" s="206">
        <f>SUMIFS(LANÇ_MOV[VALOR LÍQUIDO],LANÇ_MOV[RECEITA OU DESPESA],"Receita",LANÇ_MOV[CONTAS],$C1125,LANÇ_MOV[PLANO DE CONTAS],REL_DRE_FINANCEIRO!$B$1062,LANÇ_MOV[ANO PAGAMENTO],$B$4,LANÇ_MOV[MÊS PAGAMENTO CORRESPONDENTE],M$6,LANÇ_MOV[EMPRESA],$C$4,LANÇ_MOV[CENTRO DE CUSTOS],$D$4)</f>
        <v>0</v>
      </c>
      <c r="N1125" s="206">
        <f>SUMIFS(LANÇ_MOV[VALOR LÍQUIDO],LANÇ_MOV[RECEITA OU DESPESA],"Receita",LANÇ_MOV[CONTAS],$C1125,LANÇ_MOV[PLANO DE CONTAS],REL_DRE_FINANCEIRO!$B$1062,LANÇ_MOV[ANO PAGAMENTO],$B$4,LANÇ_MOV[MÊS PAGAMENTO CORRESPONDENTE],N$6,LANÇ_MOV[EMPRESA],$C$4,LANÇ_MOV[CENTRO DE CUSTOS],$D$4)</f>
        <v>0</v>
      </c>
      <c r="O1125" s="206">
        <f>SUMIFS(LANÇ_MOV[VALOR LÍQUIDO],LANÇ_MOV[RECEITA OU DESPESA],"Receita",LANÇ_MOV[CONTAS],$C1125,LANÇ_MOV[PLANO DE CONTAS],REL_DRE_FINANCEIRO!$B$1062,LANÇ_MOV[ANO PAGAMENTO],$B$4,LANÇ_MOV[MÊS PAGAMENTO CORRESPONDENTE],O$6,LANÇ_MOV[EMPRESA],$C$4,LANÇ_MOV[CENTRO DE CUSTOS],$D$4)</f>
        <v>0</v>
      </c>
      <c r="P1125" s="207">
        <f t="shared" si="134"/>
        <v>0</v>
      </c>
      <c r="Q1125" s="329">
        <v>3.8E-6</v>
      </c>
      <c r="R1125" s="346">
        <f t="shared" si="135"/>
        <v>3.8E-6</v>
      </c>
      <c r="S1125" s="347" t="str">
        <f t="shared" si="136"/>
        <v>-</v>
      </c>
      <c r="T1125" s="347">
        <f t="shared" si="137"/>
        <v>0</v>
      </c>
      <c r="U1125" s="347">
        <f>HLOOKUP(Apoio!$P$12,$D$1061:$P$1162,X1125,FALSE)+Q1125</f>
        <v>3.8E-6</v>
      </c>
      <c r="V1125" s="447" t="str">
        <f t="shared" si="138"/>
        <v>-</v>
      </c>
      <c r="W1125" s="448">
        <f>HLOOKUP(Apoio!$P$12,$D$1061:$P$1162,X1125,FALSE)</f>
        <v>0</v>
      </c>
      <c r="X1125" s="329">
        <v>65</v>
      </c>
    </row>
    <row r="1126" spans="2:24" ht="30.05" customHeight="1" x14ac:dyDescent="0.35">
      <c r="B1126" s="204" t="str">
        <f>'CAD_PL_REC-DESP'!H68</f>
        <v>1.3.64</v>
      </c>
      <c r="C1126" s="205" t="str">
        <f>IF('CAD_PL_REC-DESP'!I68="","-",'CAD_PL_REC-DESP'!I68)</f>
        <v>-</v>
      </c>
      <c r="D1126" s="206">
        <f>SUMIFS(LANÇ_MOV[VALOR LÍQUIDO],LANÇ_MOV[RECEITA OU DESPESA],"Receita",LANÇ_MOV[CONTAS],$C1126,LANÇ_MOV[PLANO DE CONTAS],REL_DRE_FINANCEIRO!$B$1062,LANÇ_MOV[ANO PAGAMENTO],$B$4,LANÇ_MOV[MÊS PAGAMENTO CORRESPONDENTE],D$6,LANÇ_MOV[EMPRESA],$C$4,LANÇ_MOV[CENTRO DE CUSTOS],$D$4)</f>
        <v>0</v>
      </c>
      <c r="E1126" s="206">
        <f>SUMIFS(LANÇ_MOV[VALOR LÍQUIDO],LANÇ_MOV[RECEITA OU DESPESA],"Receita",LANÇ_MOV[CONTAS],$C1126,LANÇ_MOV[PLANO DE CONTAS],REL_DRE_FINANCEIRO!$B$1062,LANÇ_MOV[ANO PAGAMENTO],$B$4,LANÇ_MOV[MÊS PAGAMENTO CORRESPONDENTE],E$6,LANÇ_MOV[EMPRESA],$C$4,LANÇ_MOV[CENTRO DE CUSTOS],$D$4)</f>
        <v>0</v>
      </c>
      <c r="F1126" s="206">
        <f>SUMIFS(LANÇ_MOV[VALOR LÍQUIDO],LANÇ_MOV[RECEITA OU DESPESA],"Receita",LANÇ_MOV[CONTAS],$C1126,LANÇ_MOV[PLANO DE CONTAS],REL_DRE_FINANCEIRO!$B$1062,LANÇ_MOV[ANO PAGAMENTO],$B$4,LANÇ_MOV[MÊS PAGAMENTO CORRESPONDENTE],F$6,LANÇ_MOV[EMPRESA],$C$4,LANÇ_MOV[CENTRO DE CUSTOS],$D$4)</f>
        <v>0</v>
      </c>
      <c r="G1126" s="206">
        <f>SUMIFS(LANÇ_MOV[VALOR LÍQUIDO],LANÇ_MOV[RECEITA OU DESPESA],"Receita",LANÇ_MOV[CONTAS],$C1126,LANÇ_MOV[PLANO DE CONTAS],REL_DRE_FINANCEIRO!$B$1062,LANÇ_MOV[ANO PAGAMENTO],$B$4,LANÇ_MOV[MÊS PAGAMENTO CORRESPONDENTE],G$6,LANÇ_MOV[EMPRESA],$C$4,LANÇ_MOV[CENTRO DE CUSTOS],$D$4)</f>
        <v>0</v>
      </c>
      <c r="H1126" s="206">
        <f>SUMIFS(LANÇ_MOV[VALOR LÍQUIDO],LANÇ_MOV[RECEITA OU DESPESA],"Receita",LANÇ_MOV[CONTAS],$C1126,LANÇ_MOV[PLANO DE CONTAS],REL_DRE_FINANCEIRO!$B$1062,LANÇ_MOV[ANO PAGAMENTO],$B$4,LANÇ_MOV[MÊS PAGAMENTO CORRESPONDENTE],H$6,LANÇ_MOV[EMPRESA],$C$4,LANÇ_MOV[CENTRO DE CUSTOS],$D$4)</f>
        <v>0</v>
      </c>
      <c r="I1126" s="206">
        <f>SUMIFS(LANÇ_MOV[VALOR LÍQUIDO],LANÇ_MOV[RECEITA OU DESPESA],"Receita",LANÇ_MOV[CONTAS],$C1126,LANÇ_MOV[PLANO DE CONTAS],REL_DRE_FINANCEIRO!$B$1062,LANÇ_MOV[ANO PAGAMENTO],$B$4,LANÇ_MOV[MÊS PAGAMENTO CORRESPONDENTE],I$6,LANÇ_MOV[EMPRESA],$C$4,LANÇ_MOV[CENTRO DE CUSTOS],$D$4)</f>
        <v>0</v>
      </c>
      <c r="J1126" s="206">
        <f>SUMIFS(LANÇ_MOV[VALOR LÍQUIDO],LANÇ_MOV[RECEITA OU DESPESA],"Receita",LANÇ_MOV[CONTAS],$C1126,LANÇ_MOV[PLANO DE CONTAS],REL_DRE_FINANCEIRO!$B$1062,LANÇ_MOV[ANO PAGAMENTO],$B$4,LANÇ_MOV[MÊS PAGAMENTO CORRESPONDENTE],J$6,LANÇ_MOV[EMPRESA],$C$4,LANÇ_MOV[CENTRO DE CUSTOS],$D$4)</f>
        <v>0</v>
      </c>
      <c r="K1126" s="206">
        <f>SUMIFS(LANÇ_MOV[VALOR LÍQUIDO],LANÇ_MOV[RECEITA OU DESPESA],"Receita",LANÇ_MOV[CONTAS],$C1126,LANÇ_MOV[PLANO DE CONTAS],REL_DRE_FINANCEIRO!$B$1062,LANÇ_MOV[ANO PAGAMENTO],$B$4,LANÇ_MOV[MÊS PAGAMENTO CORRESPONDENTE],K$6,LANÇ_MOV[EMPRESA],$C$4,LANÇ_MOV[CENTRO DE CUSTOS],$D$4)</f>
        <v>0</v>
      </c>
      <c r="L1126" s="206">
        <f>SUMIFS(LANÇ_MOV[VALOR LÍQUIDO],LANÇ_MOV[RECEITA OU DESPESA],"Receita",LANÇ_MOV[CONTAS],$C1126,LANÇ_MOV[PLANO DE CONTAS],REL_DRE_FINANCEIRO!$B$1062,LANÇ_MOV[ANO PAGAMENTO],$B$4,LANÇ_MOV[MÊS PAGAMENTO CORRESPONDENTE],L$6,LANÇ_MOV[EMPRESA],$C$4,LANÇ_MOV[CENTRO DE CUSTOS],$D$4)</f>
        <v>0</v>
      </c>
      <c r="M1126" s="206">
        <f>SUMIFS(LANÇ_MOV[VALOR LÍQUIDO],LANÇ_MOV[RECEITA OU DESPESA],"Receita",LANÇ_MOV[CONTAS],$C1126,LANÇ_MOV[PLANO DE CONTAS],REL_DRE_FINANCEIRO!$B$1062,LANÇ_MOV[ANO PAGAMENTO],$B$4,LANÇ_MOV[MÊS PAGAMENTO CORRESPONDENTE],M$6,LANÇ_MOV[EMPRESA],$C$4,LANÇ_MOV[CENTRO DE CUSTOS],$D$4)</f>
        <v>0</v>
      </c>
      <c r="N1126" s="206">
        <f>SUMIFS(LANÇ_MOV[VALOR LÍQUIDO],LANÇ_MOV[RECEITA OU DESPESA],"Receita",LANÇ_MOV[CONTAS],$C1126,LANÇ_MOV[PLANO DE CONTAS],REL_DRE_FINANCEIRO!$B$1062,LANÇ_MOV[ANO PAGAMENTO],$B$4,LANÇ_MOV[MÊS PAGAMENTO CORRESPONDENTE],N$6,LANÇ_MOV[EMPRESA],$C$4,LANÇ_MOV[CENTRO DE CUSTOS],$D$4)</f>
        <v>0</v>
      </c>
      <c r="O1126" s="206">
        <f>SUMIFS(LANÇ_MOV[VALOR LÍQUIDO],LANÇ_MOV[RECEITA OU DESPESA],"Receita",LANÇ_MOV[CONTAS],$C1126,LANÇ_MOV[PLANO DE CONTAS],REL_DRE_FINANCEIRO!$B$1062,LANÇ_MOV[ANO PAGAMENTO],$B$4,LANÇ_MOV[MÊS PAGAMENTO CORRESPONDENTE],O$6,LANÇ_MOV[EMPRESA],$C$4,LANÇ_MOV[CENTRO DE CUSTOS],$D$4)</f>
        <v>0</v>
      </c>
      <c r="P1126" s="207">
        <f t="shared" si="134"/>
        <v>0</v>
      </c>
      <c r="Q1126" s="329">
        <v>3.7000000000000002E-6</v>
      </c>
      <c r="R1126" s="346">
        <f t="shared" si="135"/>
        <v>3.7000000000000002E-6</v>
      </c>
      <c r="S1126" s="347" t="str">
        <f t="shared" si="136"/>
        <v>-</v>
      </c>
      <c r="T1126" s="347">
        <f t="shared" si="137"/>
        <v>0</v>
      </c>
      <c r="U1126" s="347">
        <f>HLOOKUP(Apoio!$P$12,$D$1061:$P$1162,X1126,FALSE)+Q1126</f>
        <v>3.7000000000000002E-6</v>
      </c>
      <c r="V1126" s="447" t="str">
        <f t="shared" si="138"/>
        <v>-</v>
      </c>
      <c r="W1126" s="448">
        <f>HLOOKUP(Apoio!$P$12,$D$1061:$P$1162,X1126,FALSE)</f>
        <v>0</v>
      </c>
      <c r="X1126" s="329">
        <v>66</v>
      </c>
    </row>
    <row r="1127" spans="2:24" ht="30.05" customHeight="1" x14ac:dyDescent="0.35">
      <c r="B1127" s="204" t="str">
        <f>'CAD_PL_REC-DESP'!H69</f>
        <v>1.3.65</v>
      </c>
      <c r="C1127" s="205" t="str">
        <f>IF('CAD_PL_REC-DESP'!I69="","-",'CAD_PL_REC-DESP'!I69)</f>
        <v>-</v>
      </c>
      <c r="D1127" s="206">
        <f>SUMIFS(LANÇ_MOV[VALOR LÍQUIDO],LANÇ_MOV[RECEITA OU DESPESA],"Receita",LANÇ_MOV[CONTAS],$C1127,LANÇ_MOV[PLANO DE CONTAS],REL_DRE_FINANCEIRO!$B$1062,LANÇ_MOV[ANO PAGAMENTO],$B$4,LANÇ_MOV[MÊS PAGAMENTO CORRESPONDENTE],D$6,LANÇ_MOV[EMPRESA],$C$4,LANÇ_MOV[CENTRO DE CUSTOS],$D$4)</f>
        <v>0</v>
      </c>
      <c r="E1127" s="206">
        <f>SUMIFS(LANÇ_MOV[VALOR LÍQUIDO],LANÇ_MOV[RECEITA OU DESPESA],"Receita",LANÇ_MOV[CONTAS],$C1127,LANÇ_MOV[PLANO DE CONTAS],REL_DRE_FINANCEIRO!$B$1062,LANÇ_MOV[ANO PAGAMENTO],$B$4,LANÇ_MOV[MÊS PAGAMENTO CORRESPONDENTE],E$6,LANÇ_MOV[EMPRESA],$C$4,LANÇ_MOV[CENTRO DE CUSTOS],$D$4)</f>
        <v>0</v>
      </c>
      <c r="F1127" s="206">
        <f>SUMIFS(LANÇ_MOV[VALOR LÍQUIDO],LANÇ_MOV[RECEITA OU DESPESA],"Receita",LANÇ_MOV[CONTAS],$C1127,LANÇ_MOV[PLANO DE CONTAS],REL_DRE_FINANCEIRO!$B$1062,LANÇ_MOV[ANO PAGAMENTO],$B$4,LANÇ_MOV[MÊS PAGAMENTO CORRESPONDENTE],F$6,LANÇ_MOV[EMPRESA],$C$4,LANÇ_MOV[CENTRO DE CUSTOS],$D$4)</f>
        <v>0</v>
      </c>
      <c r="G1127" s="206">
        <f>SUMIFS(LANÇ_MOV[VALOR LÍQUIDO],LANÇ_MOV[RECEITA OU DESPESA],"Receita",LANÇ_MOV[CONTAS],$C1127,LANÇ_MOV[PLANO DE CONTAS],REL_DRE_FINANCEIRO!$B$1062,LANÇ_MOV[ANO PAGAMENTO],$B$4,LANÇ_MOV[MÊS PAGAMENTO CORRESPONDENTE],G$6,LANÇ_MOV[EMPRESA],$C$4,LANÇ_MOV[CENTRO DE CUSTOS],$D$4)</f>
        <v>0</v>
      </c>
      <c r="H1127" s="206">
        <f>SUMIFS(LANÇ_MOV[VALOR LÍQUIDO],LANÇ_MOV[RECEITA OU DESPESA],"Receita",LANÇ_MOV[CONTAS],$C1127,LANÇ_MOV[PLANO DE CONTAS],REL_DRE_FINANCEIRO!$B$1062,LANÇ_MOV[ANO PAGAMENTO],$B$4,LANÇ_MOV[MÊS PAGAMENTO CORRESPONDENTE],H$6,LANÇ_MOV[EMPRESA],$C$4,LANÇ_MOV[CENTRO DE CUSTOS],$D$4)</f>
        <v>0</v>
      </c>
      <c r="I1127" s="206">
        <f>SUMIFS(LANÇ_MOV[VALOR LÍQUIDO],LANÇ_MOV[RECEITA OU DESPESA],"Receita",LANÇ_MOV[CONTAS],$C1127,LANÇ_MOV[PLANO DE CONTAS],REL_DRE_FINANCEIRO!$B$1062,LANÇ_MOV[ANO PAGAMENTO],$B$4,LANÇ_MOV[MÊS PAGAMENTO CORRESPONDENTE],I$6,LANÇ_MOV[EMPRESA],$C$4,LANÇ_MOV[CENTRO DE CUSTOS],$D$4)</f>
        <v>0</v>
      </c>
      <c r="J1127" s="206">
        <f>SUMIFS(LANÇ_MOV[VALOR LÍQUIDO],LANÇ_MOV[RECEITA OU DESPESA],"Receita",LANÇ_MOV[CONTAS],$C1127,LANÇ_MOV[PLANO DE CONTAS],REL_DRE_FINANCEIRO!$B$1062,LANÇ_MOV[ANO PAGAMENTO],$B$4,LANÇ_MOV[MÊS PAGAMENTO CORRESPONDENTE],J$6,LANÇ_MOV[EMPRESA],$C$4,LANÇ_MOV[CENTRO DE CUSTOS],$D$4)</f>
        <v>0</v>
      </c>
      <c r="K1127" s="206">
        <f>SUMIFS(LANÇ_MOV[VALOR LÍQUIDO],LANÇ_MOV[RECEITA OU DESPESA],"Receita",LANÇ_MOV[CONTAS],$C1127,LANÇ_MOV[PLANO DE CONTAS],REL_DRE_FINANCEIRO!$B$1062,LANÇ_MOV[ANO PAGAMENTO],$B$4,LANÇ_MOV[MÊS PAGAMENTO CORRESPONDENTE],K$6,LANÇ_MOV[EMPRESA],$C$4,LANÇ_MOV[CENTRO DE CUSTOS],$D$4)</f>
        <v>0</v>
      </c>
      <c r="L1127" s="206">
        <f>SUMIFS(LANÇ_MOV[VALOR LÍQUIDO],LANÇ_MOV[RECEITA OU DESPESA],"Receita",LANÇ_MOV[CONTAS],$C1127,LANÇ_MOV[PLANO DE CONTAS],REL_DRE_FINANCEIRO!$B$1062,LANÇ_MOV[ANO PAGAMENTO],$B$4,LANÇ_MOV[MÊS PAGAMENTO CORRESPONDENTE],L$6,LANÇ_MOV[EMPRESA],$C$4,LANÇ_MOV[CENTRO DE CUSTOS],$D$4)</f>
        <v>0</v>
      </c>
      <c r="M1127" s="206">
        <f>SUMIFS(LANÇ_MOV[VALOR LÍQUIDO],LANÇ_MOV[RECEITA OU DESPESA],"Receita",LANÇ_MOV[CONTAS],$C1127,LANÇ_MOV[PLANO DE CONTAS],REL_DRE_FINANCEIRO!$B$1062,LANÇ_MOV[ANO PAGAMENTO],$B$4,LANÇ_MOV[MÊS PAGAMENTO CORRESPONDENTE],M$6,LANÇ_MOV[EMPRESA],$C$4,LANÇ_MOV[CENTRO DE CUSTOS],$D$4)</f>
        <v>0</v>
      </c>
      <c r="N1127" s="206">
        <f>SUMIFS(LANÇ_MOV[VALOR LÍQUIDO],LANÇ_MOV[RECEITA OU DESPESA],"Receita",LANÇ_MOV[CONTAS],$C1127,LANÇ_MOV[PLANO DE CONTAS],REL_DRE_FINANCEIRO!$B$1062,LANÇ_MOV[ANO PAGAMENTO],$B$4,LANÇ_MOV[MÊS PAGAMENTO CORRESPONDENTE],N$6,LANÇ_MOV[EMPRESA],$C$4,LANÇ_MOV[CENTRO DE CUSTOS],$D$4)</f>
        <v>0</v>
      </c>
      <c r="O1127" s="206">
        <f>SUMIFS(LANÇ_MOV[VALOR LÍQUIDO],LANÇ_MOV[RECEITA OU DESPESA],"Receita",LANÇ_MOV[CONTAS],$C1127,LANÇ_MOV[PLANO DE CONTAS],REL_DRE_FINANCEIRO!$B$1062,LANÇ_MOV[ANO PAGAMENTO],$B$4,LANÇ_MOV[MÊS PAGAMENTO CORRESPONDENTE],O$6,LANÇ_MOV[EMPRESA],$C$4,LANÇ_MOV[CENTRO DE CUSTOS],$D$4)</f>
        <v>0</v>
      </c>
      <c r="P1127" s="207">
        <f t="shared" ref="P1127:P1162" si="139">SUM(D1127:O1127)</f>
        <v>0</v>
      </c>
      <c r="Q1127" s="329">
        <v>3.5999999999999998E-6</v>
      </c>
      <c r="R1127" s="346">
        <f t="shared" ref="R1127:R1162" si="140">P1127+Q1127</f>
        <v>3.5999999999999998E-6</v>
      </c>
      <c r="S1127" s="347" t="str">
        <f t="shared" ref="S1127:S1162" si="141">C1127</f>
        <v>-</v>
      </c>
      <c r="T1127" s="347">
        <f t="shared" ref="T1127:T1162" si="142">P1127</f>
        <v>0</v>
      </c>
      <c r="U1127" s="347">
        <f>HLOOKUP(Apoio!$P$12,$D$1061:$P$1162,X1127,FALSE)+Q1127</f>
        <v>3.5999999999999998E-6</v>
      </c>
      <c r="V1127" s="447" t="str">
        <f t="shared" ref="V1127:V1162" si="143">S1127</f>
        <v>-</v>
      </c>
      <c r="W1127" s="448">
        <f>HLOOKUP(Apoio!$P$12,$D$1061:$P$1162,X1127,FALSE)</f>
        <v>0</v>
      </c>
      <c r="X1127" s="329">
        <v>67</v>
      </c>
    </row>
    <row r="1128" spans="2:24" ht="30.05" customHeight="1" x14ac:dyDescent="0.35">
      <c r="B1128" s="204" t="str">
        <f>'CAD_PL_REC-DESP'!H70</f>
        <v>1.3.66</v>
      </c>
      <c r="C1128" s="205" t="str">
        <f>IF('CAD_PL_REC-DESP'!I70="","-",'CAD_PL_REC-DESP'!I70)</f>
        <v>-</v>
      </c>
      <c r="D1128" s="206">
        <f>SUMIFS(LANÇ_MOV[VALOR LÍQUIDO],LANÇ_MOV[RECEITA OU DESPESA],"Receita",LANÇ_MOV[CONTAS],$C1128,LANÇ_MOV[PLANO DE CONTAS],REL_DRE_FINANCEIRO!$B$1062,LANÇ_MOV[ANO PAGAMENTO],$B$4,LANÇ_MOV[MÊS PAGAMENTO CORRESPONDENTE],D$6,LANÇ_MOV[EMPRESA],$C$4,LANÇ_MOV[CENTRO DE CUSTOS],$D$4)</f>
        <v>0</v>
      </c>
      <c r="E1128" s="206">
        <f>SUMIFS(LANÇ_MOV[VALOR LÍQUIDO],LANÇ_MOV[RECEITA OU DESPESA],"Receita",LANÇ_MOV[CONTAS],$C1128,LANÇ_MOV[PLANO DE CONTAS],REL_DRE_FINANCEIRO!$B$1062,LANÇ_MOV[ANO PAGAMENTO],$B$4,LANÇ_MOV[MÊS PAGAMENTO CORRESPONDENTE],E$6,LANÇ_MOV[EMPRESA],$C$4,LANÇ_MOV[CENTRO DE CUSTOS],$D$4)</f>
        <v>0</v>
      </c>
      <c r="F1128" s="206">
        <f>SUMIFS(LANÇ_MOV[VALOR LÍQUIDO],LANÇ_MOV[RECEITA OU DESPESA],"Receita",LANÇ_MOV[CONTAS],$C1128,LANÇ_MOV[PLANO DE CONTAS],REL_DRE_FINANCEIRO!$B$1062,LANÇ_MOV[ANO PAGAMENTO],$B$4,LANÇ_MOV[MÊS PAGAMENTO CORRESPONDENTE],F$6,LANÇ_MOV[EMPRESA],$C$4,LANÇ_MOV[CENTRO DE CUSTOS],$D$4)</f>
        <v>0</v>
      </c>
      <c r="G1128" s="206">
        <f>SUMIFS(LANÇ_MOV[VALOR LÍQUIDO],LANÇ_MOV[RECEITA OU DESPESA],"Receita",LANÇ_MOV[CONTAS],$C1128,LANÇ_MOV[PLANO DE CONTAS],REL_DRE_FINANCEIRO!$B$1062,LANÇ_MOV[ANO PAGAMENTO],$B$4,LANÇ_MOV[MÊS PAGAMENTO CORRESPONDENTE],G$6,LANÇ_MOV[EMPRESA],$C$4,LANÇ_MOV[CENTRO DE CUSTOS],$D$4)</f>
        <v>0</v>
      </c>
      <c r="H1128" s="206">
        <f>SUMIFS(LANÇ_MOV[VALOR LÍQUIDO],LANÇ_MOV[RECEITA OU DESPESA],"Receita",LANÇ_MOV[CONTAS],$C1128,LANÇ_MOV[PLANO DE CONTAS],REL_DRE_FINANCEIRO!$B$1062,LANÇ_MOV[ANO PAGAMENTO],$B$4,LANÇ_MOV[MÊS PAGAMENTO CORRESPONDENTE],H$6,LANÇ_MOV[EMPRESA],$C$4,LANÇ_MOV[CENTRO DE CUSTOS],$D$4)</f>
        <v>0</v>
      </c>
      <c r="I1128" s="206">
        <f>SUMIFS(LANÇ_MOV[VALOR LÍQUIDO],LANÇ_MOV[RECEITA OU DESPESA],"Receita",LANÇ_MOV[CONTAS],$C1128,LANÇ_MOV[PLANO DE CONTAS],REL_DRE_FINANCEIRO!$B$1062,LANÇ_MOV[ANO PAGAMENTO],$B$4,LANÇ_MOV[MÊS PAGAMENTO CORRESPONDENTE],I$6,LANÇ_MOV[EMPRESA],$C$4,LANÇ_MOV[CENTRO DE CUSTOS],$D$4)</f>
        <v>0</v>
      </c>
      <c r="J1128" s="206">
        <f>SUMIFS(LANÇ_MOV[VALOR LÍQUIDO],LANÇ_MOV[RECEITA OU DESPESA],"Receita",LANÇ_MOV[CONTAS],$C1128,LANÇ_MOV[PLANO DE CONTAS],REL_DRE_FINANCEIRO!$B$1062,LANÇ_MOV[ANO PAGAMENTO],$B$4,LANÇ_MOV[MÊS PAGAMENTO CORRESPONDENTE],J$6,LANÇ_MOV[EMPRESA],$C$4,LANÇ_MOV[CENTRO DE CUSTOS],$D$4)</f>
        <v>0</v>
      </c>
      <c r="K1128" s="206">
        <f>SUMIFS(LANÇ_MOV[VALOR LÍQUIDO],LANÇ_MOV[RECEITA OU DESPESA],"Receita",LANÇ_MOV[CONTAS],$C1128,LANÇ_MOV[PLANO DE CONTAS],REL_DRE_FINANCEIRO!$B$1062,LANÇ_MOV[ANO PAGAMENTO],$B$4,LANÇ_MOV[MÊS PAGAMENTO CORRESPONDENTE],K$6,LANÇ_MOV[EMPRESA],$C$4,LANÇ_MOV[CENTRO DE CUSTOS],$D$4)</f>
        <v>0</v>
      </c>
      <c r="L1128" s="206">
        <f>SUMIFS(LANÇ_MOV[VALOR LÍQUIDO],LANÇ_MOV[RECEITA OU DESPESA],"Receita",LANÇ_MOV[CONTAS],$C1128,LANÇ_MOV[PLANO DE CONTAS],REL_DRE_FINANCEIRO!$B$1062,LANÇ_MOV[ANO PAGAMENTO],$B$4,LANÇ_MOV[MÊS PAGAMENTO CORRESPONDENTE],L$6,LANÇ_MOV[EMPRESA],$C$4,LANÇ_MOV[CENTRO DE CUSTOS],$D$4)</f>
        <v>0</v>
      </c>
      <c r="M1128" s="206">
        <f>SUMIFS(LANÇ_MOV[VALOR LÍQUIDO],LANÇ_MOV[RECEITA OU DESPESA],"Receita",LANÇ_MOV[CONTAS],$C1128,LANÇ_MOV[PLANO DE CONTAS],REL_DRE_FINANCEIRO!$B$1062,LANÇ_MOV[ANO PAGAMENTO],$B$4,LANÇ_MOV[MÊS PAGAMENTO CORRESPONDENTE],M$6,LANÇ_MOV[EMPRESA],$C$4,LANÇ_MOV[CENTRO DE CUSTOS],$D$4)</f>
        <v>0</v>
      </c>
      <c r="N1128" s="206">
        <f>SUMIFS(LANÇ_MOV[VALOR LÍQUIDO],LANÇ_MOV[RECEITA OU DESPESA],"Receita",LANÇ_MOV[CONTAS],$C1128,LANÇ_MOV[PLANO DE CONTAS],REL_DRE_FINANCEIRO!$B$1062,LANÇ_MOV[ANO PAGAMENTO],$B$4,LANÇ_MOV[MÊS PAGAMENTO CORRESPONDENTE],N$6,LANÇ_MOV[EMPRESA],$C$4,LANÇ_MOV[CENTRO DE CUSTOS],$D$4)</f>
        <v>0</v>
      </c>
      <c r="O1128" s="206">
        <f>SUMIFS(LANÇ_MOV[VALOR LÍQUIDO],LANÇ_MOV[RECEITA OU DESPESA],"Receita",LANÇ_MOV[CONTAS],$C1128,LANÇ_MOV[PLANO DE CONTAS],REL_DRE_FINANCEIRO!$B$1062,LANÇ_MOV[ANO PAGAMENTO],$B$4,LANÇ_MOV[MÊS PAGAMENTO CORRESPONDENTE],O$6,LANÇ_MOV[EMPRESA],$C$4,LANÇ_MOV[CENTRO DE CUSTOS],$D$4)</f>
        <v>0</v>
      </c>
      <c r="P1128" s="207">
        <f t="shared" si="139"/>
        <v>0</v>
      </c>
      <c r="Q1128" s="329">
        <v>3.4999999999999999E-6</v>
      </c>
      <c r="R1128" s="346">
        <f t="shared" si="140"/>
        <v>3.4999999999999999E-6</v>
      </c>
      <c r="S1128" s="347" t="str">
        <f t="shared" si="141"/>
        <v>-</v>
      </c>
      <c r="T1128" s="347">
        <f t="shared" si="142"/>
        <v>0</v>
      </c>
      <c r="U1128" s="347">
        <f>HLOOKUP(Apoio!$P$12,$D$1061:$P$1162,X1128,FALSE)+Q1128</f>
        <v>3.4999999999999999E-6</v>
      </c>
      <c r="V1128" s="447" t="str">
        <f t="shared" si="143"/>
        <v>-</v>
      </c>
      <c r="W1128" s="448">
        <f>HLOOKUP(Apoio!$P$12,$D$1061:$P$1162,X1128,FALSE)</f>
        <v>0</v>
      </c>
      <c r="X1128" s="329">
        <v>68</v>
      </c>
    </row>
    <row r="1129" spans="2:24" ht="30.05" customHeight="1" x14ac:dyDescent="0.35">
      <c r="B1129" s="204" t="str">
        <f>'CAD_PL_REC-DESP'!H71</f>
        <v>1.3.67</v>
      </c>
      <c r="C1129" s="205" t="str">
        <f>IF('CAD_PL_REC-DESP'!I71="","-",'CAD_PL_REC-DESP'!I71)</f>
        <v>-</v>
      </c>
      <c r="D1129" s="206">
        <f>SUMIFS(LANÇ_MOV[VALOR LÍQUIDO],LANÇ_MOV[RECEITA OU DESPESA],"Receita",LANÇ_MOV[CONTAS],$C1129,LANÇ_MOV[PLANO DE CONTAS],REL_DRE_FINANCEIRO!$B$1062,LANÇ_MOV[ANO PAGAMENTO],$B$4,LANÇ_MOV[MÊS PAGAMENTO CORRESPONDENTE],D$6,LANÇ_MOV[EMPRESA],$C$4,LANÇ_MOV[CENTRO DE CUSTOS],$D$4)</f>
        <v>0</v>
      </c>
      <c r="E1129" s="206">
        <f>SUMIFS(LANÇ_MOV[VALOR LÍQUIDO],LANÇ_MOV[RECEITA OU DESPESA],"Receita",LANÇ_MOV[CONTAS],$C1129,LANÇ_MOV[PLANO DE CONTAS],REL_DRE_FINANCEIRO!$B$1062,LANÇ_MOV[ANO PAGAMENTO],$B$4,LANÇ_MOV[MÊS PAGAMENTO CORRESPONDENTE],E$6,LANÇ_MOV[EMPRESA],$C$4,LANÇ_MOV[CENTRO DE CUSTOS],$D$4)</f>
        <v>0</v>
      </c>
      <c r="F1129" s="206">
        <f>SUMIFS(LANÇ_MOV[VALOR LÍQUIDO],LANÇ_MOV[RECEITA OU DESPESA],"Receita",LANÇ_MOV[CONTAS],$C1129,LANÇ_MOV[PLANO DE CONTAS],REL_DRE_FINANCEIRO!$B$1062,LANÇ_MOV[ANO PAGAMENTO],$B$4,LANÇ_MOV[MÊS PAGAMENTO CORRESPONDENTE],F$6,LANÇ_MOV[EMPRESA],$C$4,LANÇ_MOV[CENTRO DE CUSTOS],$D$4)</f>
        <v>0</v>
      </c>
      <c r="G1129" s="206">
        <f>SUMIFS(LANÇ_MOV[VALOR LÍQUIDO],LANÇ_MOV[RECEITA OU DESPESA],"Receita",LANÇ_MOV[CONTAS],$C1129,LANÇ_MOV[PLANO DE CONTAS],REL_DRE_FINANCEIRO!$B$1062,LANÇ_MOV[ANO PAGAMENTO],$B$4,LANÇ_MOV[MÊS PAGAMENTO CORRESPONDENTE],G$6,LANÇ_MOV[EMPRESA],$C$4,LANÇ_MOV[CENTRO DE CUSTOS],$D$4)</f>
        <v>0</v>
      </c>
      <c r="H1129" s="206">
        <f>SUMIFS(LANÇ_MOV[VALOR LÍQUIDO],LANÇ_MOV[RECEITA OU DESPESA],"Receita",LANÇ_MOV[CONTAS],$C1129,LANÇ_MOV[PLANO DE CONTAS],REL_DRE_FINANCEIRO!$B$1062,LANÇ_MOV[ANO PAGAMENTO],$B$4,LANÇ_MOV[MÊS PAGAMENTO CORRESPONDENTE],H$6,LANÇ_MOV[EMPRESA],$C$4,LANÇ_MOV[CENTRO DE CUSTOS],$D$4)</f>
        <v>0</v>
      </c>
      <c r="I1129" s="206">
        <f>SUMIFS(LANÇ_MOV[VALOR LÍQUIDO],LANÇ_MOV[RECEITA OU DESPESA],"Receita",LANÇ_MOV[CONTAS],$C1129,LANÇ_MOV[PLANO DE CONTAS],REL_DRE_FINANCEIRO!$B$1062,LANÇ_MOV[ANO PAGAMENTO],$B$4,LANÇ_MOV[MÊS PAGAMENTO CORRESPONDENTE],I$6,LANÇ_MOV[EMPRESA],$C$4,LANÇ_MOV[CENTRO DE CUSTOS],$D$4)</f>
        <v>0</v>
      </c>
      <c r="J1129" s="206">
        <f>SUMIFS(LANÇ_MOV[VALOR LÍQUIDO],LANÇ_MOV[RECEITA OU DESPESA],"Receita",LANÇ_MOV[CONTAS],$C1129,LANÇ_MOV[PLANO DE CONTAS],REL_DRE_FINANCEIRO!$B$1062,LANÇ_MOV[ANO PAGAMENTO],$B$4,LANÇ_MOV[MÊS PAGAMENTO CORRESPONDENTE],J$6,LANÇ_MOV[EMPRESA],$C$4,LANÇ_MOV[CENTRO DE CUSTOS],$D$4)</f>
        <v>0</v>
      </c>
      <c r="K1129" s="206">
        <f>SUMIFS(LANÇ_MOV[VALOR LÍQUIDO],LANÇ_MOV[RECEITA OU DESPESA],"Receita",LANÇ_MOV[CONTAS],$C1129,LANÇ_MOV[PLANO DE CONTAS],REL_DRE_FINANCEIRO!$B$1062,LANÇ_MOV[ANO PAGAMENTO],$B$4,LANÇ_MOV[MÊS PAGAMENTO CORRESPONDENTE],K$6,LANÇ_MOV[EMPRESA],$C$4,LANÇ_MOV[CENTRO DE CUSTOS],$D$4)</f>
        <v>0</v>
      </c>
      <c r="L1129" s="206">
        <f>SUMIFS(LANÇ_MOV[VALOR LÍQUIDO],LANÇ_MOV[RECEITA OU DESPESA],"Receita",LANÇ_MOV[CONTAS],$C1129,LANÇ_MOV[PLANO DE CONTAS],REL_DRE_FINANCEIRO!$B$1062,LANÇ_MOV[ANO PAGAMENTO],$B$4,LANÇ_MOV[MÊS PAGAMENTO CORRESPONDENTE],L$6,LANÇ_MOV[EMPRESA],$C$4,LANÇ_MOV[CENTRO DE CUSTOS],$D$4)</f>
        <v>0</v>
      </c>
      <c r="M1129" s="206">
        <f>SUMIFS(LANÇ_MOV[VALOR LÍQUIDO],LANÇ_MOV[RECEITA OU DESPESA],"Receita",LANÇ_MOV[CONTAS],$C1129,LANÇ_MOV[PLANO DE CONTAS],REL_DRE_FINANCEIRO!$B$1062,LANÇ_MOV[ANO PAGAMENTO],$B$4,LANÇ_MOV[MÊS PAGAMENTO CORRESPONDENTE],M$6,LANÇ_MOV[EMPRESA],$C$4,LANÇ_MOV[CENTRO DE CUSTOS],$D$4)</f>
        <v>0</v>
      </c>
      <c r="N1129" s="206">
        <f>SUMIFS(LANÇ_MOV[VALOR LÍQUIDO],LANÇ_MOV[RECEITA OU DESPESA],"Receita",LANÇ_MOV[CONTAS],$C1129,LANÇ_MOV[PLANO DE CONTAS],REL_DRE_FINANCEIRO!$B$1062,LANÇ_MOV[ANO PAGAMENTO],$B$4,LANÇ_MOV[MÊS PAGAMENTO CORRESPONDENTE],N$6,LANÇ_MOV[EMPRESA],$C$4,LANÇ_MOV[CENTRO DE CUSTOS],$D$4)</f>
        <v>0</v>
      </c>
      <c r="O1129" s="206">
        <f>SUMIFS(LANÇ_MOV[VALOR LÍQUIDO],LANÇ_MOV[RECEITA OU DESPESA],"Receita",LANÇ_MOV[CONTAS],$C1129,LANÇ_MOV[PLANO DE CONTAS],REL_DRE_FINANCEIRO!$B$1062,LANÇ_MOV[ANO PAGAMENTO],$B$4,LANÇ_MOV[MÊS PAGAMENTO CORRESPONDENTE],O$6,LANÇ_MOV[EMPRESA],$C$4,LANÇ_MOV[CENTRO DE CUSTOS],$D$4)</f>
        <v>0</v>
      </c>
      <c r="P1129" s="207">
        <f t="shared" si="139"/>
        <v>0</v>
      </c>
      <c r="Q1129" s="329">
        <v>3.4000000000000001E-6</v>
      </c>
      <c r="R1129" s="346">
        <f t="shared" si="140"/>
        <v>3.4000000000000001E-6</v>
      </c>
      <c r="S1129" s="347" t="str">
        <f t="shared" si="141"/>
        <v>-</v>
      </c>
      <c r="T1129" s="347">
        <f t="shared" si="142"/>
        <v>0</v>
      </c>
      <c r="U1129" s="347">
        <f>HLOOKUP(Apoio!$P$12,$D$1061:$P$1162,X1129,FALSE)+Q1129</f>
        <v>3.4000000000000001E-6</v>
      </c>
      <c r="V1129" s="447" t="str">
        <f t="shared" si="143"/>
        <v>-</v>
      </c>
      <c r="W1129" s="448">
        <f>HLOOKUP(Apoio!$P$12,$D$1061:$P$1162,X1129,FALSE)</f>
        <v>0</v>
      </c>
      <c r="X1129" s="329">
        <v>69</v>
      </c>
    </row>
    <row r="1130" spans="2:24" ht="30.05" customHeight="1" x14ac:dyDescent="0.35">
      <c r="B1130" s="204" t="str">
        <f>'CAD_PL_REC-DESP'!H72</f>
        <v>1.3.68</v>
      </c>
      <c r="C1130" s="205" t="str">
        <f>IF('CAD_PL_REC-DESP'!I72="","-",'CAD_PL_REC-DESP'!I72)</f>
        <v>-</v>
      </c>
      <c r="D1130" s="206">
        <f>SUMIFS(LANÇ_MOV[VALOR LÍQUIDO],LANÇ_MOV[RECEITA OU DESPESA],"Receita",LANÇ_MOV[CONTAS],$C1130,LANÇ_MOV[PLANO DE CONTAS],REL_DRE_FINANCEIRO!$B$1062,LANÇ_MOV[ANO PAGAMENTO],$B$4,LANÇ_MOV[MÊS PAGAMENTO CORRESPONDENTE],D$6,LANÇ_MOV[EMPRESA],$C$4,LANÇ_MOV[CENTRO DE CUSTOS],$D$4)</f>
        <v>0</v>
      </c>
      <c r="E1130" s="206">
        <f>SUMIFS(LANÇ_MOV[VALOR LÍQUIDO],LANÇ_MOV[RECEITA OU DESPESA],"Receita",LANÇ_MOV[CONTAS],$C1130,LANÇ_MOV[PLANO DE CONTAS],REL_DRE_FINANCEIRO!$B$1062,LANÇ_MOV[ANO PAGAMENTO],$B$4,LANÇ_MOV[MÊS PAGAMENTO CORRESPONDENTE],E$6,LANÇ_MOV[EMPRESA],$C$4,LANÇ_MOV[CENTRO DE CUSTOS],$D$4)</f>
        <v>0</v>
      </c>
      <c r="F1130" s="206">
        <f>SUMIFS(LANÇ_MOV[VALOR LÍQUIDO],LANÇ_MOV[RECEITA OU DESPESA],"Receita",LANÇ_MOV[CONTAS],$C1130,LANÇ_MOV[PLANO DE CONTAS],REL_DRE_FINANCEIRO!$B$1062,LANÇ_MOV[ANO PAGAMENTO],$B$4,LANÇ_MOV[MÊS PAGAMENTO CORRESPONDENTE],F$6,LANÇ_MOV[EMPRESA],$C$4,LANÇ_MOV[CENTRO DE CUSTOS],$D$4)</f>
        <v>0</v>
      </c>
      <c r="G1130" s="206">
        <f>SUMIFS(LANÇ_MOV[VALOR LÍQUIDO],LANÇ_MOV[RECEITA OU DESPESA],"Receita",LANÇ_MOV[CONTAS],$C1130,LANÇ_MOV[PLANO DE CONTAS],REL_DRE_FINANCEIRO!$B$1062,LANÇ_MOV[ANO PAGAMENTO],$B$4,LANÇ_MOV[MÊS PAGAMENTO CORRESPONDENTE],G$6,LANÇ_MOV[EMPRESA],$C$4,LANÇ_MOV[CENTRO DE CUSTOS],$D$4)</f>
        <v>0</v>
      </c>
      <c r="H1130" s="206">
        <f>SUMIFS(LANÇ_MOV[VALOR LÍQUIDO],LANÇ_MOV[RECEITA OU DESPESA],"Receita",LANÇ_MOV[CONTAS],$C1130,LANÇ_MOV[PLANO DE CONTAS],REL_DRE_FINANCEIRO!$B$1062,LANÇ_MOV[ANO PAGAMENTO],$B$4,LANÇ_MOV[MÊS PAGAMENTO CORRESPONDENTE],H$6,LANÇ_MOV[EMPRESA],$C$4,LANÇ_MOV[CENTRO DE CUSTOS],$D$4)</f>
        <v>0</v>
      </c>
      <c r="I1130" s="206">
        <f>SUMIFS(LANÇ_MOV[VALOR LÍQUIDO],LANÇ_MOV[RECEITA OU DESPESA],"Receita",LANÇ_MOV[CONTAS],$C1130,LANÇ_MOV[PLANO DE CONTAS],REL_DRE_FINANCEIRO!$B$1062,LANÇ_MOV[ANO PAGAMENTO],$B$4,LANÇ_MOV[MÊS PAGAMENTO CORRESPONDENTE],I$6,LANÇ_MOV[EMPRESA],$C$4,LANÇ_MOV[CENTRO DE CUSTOS],$D$4)</f>
        <v>0</v>
      </c>
      <c r="J1130" s="206">
        <f>SUMIFS(LANÇ_MOV[VALOR LÍQUIDO],LANÇ_MOV[RECEITA OU DESPESA],"Receita",LANÇ_MOV[CONTAS],$C1130,LANÇ_MOV[PLANO DE CONTAS],REL_DRE_FINANCEIRO!$B$1062,LANÇ_MOV[ANO PAGAMENTO],$B$4,LANÇ_MOV[MÊS PAGAMENTO CORRESPONDENTE],J$6,LANÇ_MOV[EMPRESA],$C$4,LANÇ_MOV[CENTRO DE CUSTOS],$D$4)</f>
        <v>0</v>
      </c>
      <c r="K1130" s="206">
        <f>SUMIFS(LANÇ_MOV[VALOR LÍQUIDO],LANÇ_MOV[RECEITA OU DESPESA],"Receita",LANÇ_MOV[CONTAS],$C1130,LANÇ_MOV[PLANO DE CONTAS],REL_DRE_FINANCEIRO!$B$1062,LANÇ_MOV[ANO PAGAMENTO],$B$4,LANÇ_MOV[MÊS PAGAMENTO CORRESPONDENTE],K$6,LANÇ_MOV[EMPRESA],$C$4,LANÇ_MOV[CENTRO DE CUSTOS],$D$4)</f>
        <v>0</v>
      </c>
      <c r="L1130" s="206">
        <f>SUMIFS(LANÇ_MOV[VALOR LÍQUIDO],LANÇ_MOV[RECEITA OU DESPESA],"Receita",LANÇ_MOV[CONTAS],$C1130,LANÇ_MOV[PLANO DE CONTAS],REL_DRE_FINANCEIRO!$B$1062,LANÇ_MOV[ANO PAGAMENTO],$B$4,LANÇ_MOV[MÊS PAGAMENTO CORRESPONDENTE],L$6,LANÇ_MOV[EMPRESA],$C$4,LANÇ_MOV[CENTRO DE CUSTOS],$D$4)</f>
        <v>0</v>
      </c>
      <c r="M1130" s="206">
        <f>SUMIFS(LANÇ_MOV[VALOR LÍQUIDO],LANÇ_MOV[RECEITA OU DESPESA],"Receita",LANÇ_MOV[CONTAS],$C1130,LANÇ_MOV[PLANO DE CONTAS],REL_DRE_FINANCEIRO!$B$1062,LANÇ_MOV[ANO PAGAMENTO],$B$4,LANÇ_MOV[MÊS PAGAMENTO CORRESPONDENTE],M$6,LANÇ_MOV[EMPRESA],$C$4,LANÇ_MOV[CENTRO DE CUSTOS],$D$4)</f>
        <v>0</v>
      </c>
      <c r="N1130" s="206">
        <f>SUMIFS(LANÇ_MOV[VALOR LÍQUIDO],LANÇ_MOV[RECEITA OU DESPESA],"Receita",LANÇ_MOV[CONTAS],$C1130,LANÇ_MOV[PLANO DE CONTAS],REL_DRE_FINANCEIRO!$B$1062,LANÇ_MOV[ANO PAGAMENTO],$B$4,LANÇ_MOV[MÊS PAGAMENTO CORRESPONDENTE],N$6,LANÇ_MOV[EMPRESA],$C$4,LANÇ_MOV[CENTRO DE CUSTOS],$D$4)</f>
        <v>0</v>
      </c>
      <c r="O1130" s="206">
        <f>SUMIFS(LANÇ_MOV[VALOR LÍQUIDO],LANÇ_MOV[RECEITA OU DESPESA],"Receita",LANÇ_MOV[CONTAS],$C1130,LANÇ_MOV[PLANO DE CONTAS],REL_DRE_FINANCEIRO!$B$1062,LANÇ_MOV[ANO PAGAMENTO],$B$4,LANÇ_MOV[MÊS PAGAMENTO CORRESPONDENTE],O$6,LANÇ_MOV[EMPRESA],$C$4,LANÇ_MOV[CENTRO DE CUSTOS],$D$4)</f>
        <v>0</v>
      </c>
      <c r="P1130" s="207">
        <f t="shared" si="139"/>
        <v>0</v>
      </c>
      <c r="Q1130" s="329">
        <v>3.3000000000000002E-6</v>
      </c>
      <c r="R1130" s="346">
        <f t="shared" si="140"/>
        <v>3.3000000000000002E-6</v>
      </c>
      <c r="S1130" s="347" t="str">
        <f t="shared" si="141"/>
        <v>-</v>
      </c>
      <c r="T1130" s="347">
        <f t="shared" si="142"/>
        <v>0</v>
      </c>
      <c r="U1130" s="347">
        <f>HLOOKUP(Apoio!$P$12,$D$1061:$P$1162,X1130,FALSE)+Q1130</f>
        <v>3.3000000000000002E-6</v>
      </c>
      <c r="V1130" s="447" t="str">
        <f t="shared" si="143"/>
        <v>-</v>
      </c>
      <c r="W1130" s="448">
        <f>HLOOKUP(Apoio!$P$12,$D$1061:$P$1162,X1130,FALSE)</f>
        <v>0</v>
      </c>
      <c r="X1130" s="329">
        <v>70</v>
      </c>
    </row>
    <row r="1131" spans="2:24" ht="30.05" customHeight="1" x14ac:dyDescent="0.35">
      <c r="B1131" s="204" t="str">
        <f>'CAD_PL_REC-DESP'!H73</f>
        <v>1.3.69</v>
      </c>
      <c r="C1131" s="205" t="str">
        <f>IF('CAD_PL_REC-DESP'!I73="","-",'CAD_PL_REC-DESP'!I73)</f>
        <v>-</v>
      </c>
      <c r="D1131" s="206">
        <f>SUMIFS(LANÇ_MOV[VALOR LÍQUIDO],LANÇ_MOV[RECEITA OU DESPESA],"Receita",LANÇ_MOV[CONTAS],$C1131,LANÇ_MOV[PLANO DE CONTAS],REL_DRE_FINANCEIRO!$B$1062,LANÇ_MOV[ANO PAGAMENTO],$B$4,LANÇ_MOV[MÊS PAGAMENTO CORRESPONDENTE],D$6,LANÇ_MOV[EMPRESA],$C$4,LANÇ_MOV[CENTRO DE CUSTOS],$D$4)</f>
        <v>0</v>
      </c>
      <c r="E1131" s="206">
        <f>SUMIFS(LANÇ_MOV[VALOR LÍQUIDO],LANÇ_MOV[RECEITA OU DESPESA],"Receita",LANÇ_MOV[CONTAS],$C1131,LANÇ_MOV[PLANO DE CONTAS],REL_DRE_FINANCEIRO!$B$1062,LANÇ_MOV[ANO PAGAMENTO],$B$4,LANÇ_MOV[MÊS PAGAMENTO CORRESPONDENTE],E$6,LANÇ_MOV[EMPRESA],$C$4,LANÇ_MOV[CENTRO DE CUSTOS],$D$4)</f>
        <v>0</v>
      </c>
      <c r="F1131" s="206">
        <f>SUMIFS(LANÇ_MOV[VALOR LÍQUIDO],LANÇ_MOV[RECEITA OU DESPESA],"Receita",LANÇ_MOV[CONTAS],$C1131,LANÇ_MOV[PLANO DE CONTAS],REL_DRE_FINANCEIRO!$B$1062,LANÇ_MOV[ANO PAGAMENTO],$B$4,LANÇ_MOV[MÊS PAGAMENTO CORRESPONDENTE],F$6,LANÇ_MOV[EMPRESA],$C$4,LANÇ_MOV[CENTRO DE CUSTOS],$D$4)</f>
        <v>0</v>
      </c>
      <c r="G1131" s="206">
        <f>SUMIFS(LANÇ_MOV[VALOR LÍQUIDO],LANÇ_MOV[RECEITA OU DESPESA],"Receita",LANÇ_MOV[CONTAS],$C1131,LANÇ_MOV[PLANO DE CONTAS],REL_DRE_FINANCEIRO!$B$1062,LANÇ_MOV[ANO PAGAMENTO],$B$4,LANÇ_MOV[MÊS PAGAMENTO CORRESPONDENTE],G$6,LANÇ_MOV[EMPRESA],$C$4,LANÇ_MOV[CENTRO DE CUSTOS],$D$4)</f>
        <v>0</v>
      </c>
      <c r="H1131" s="206">
        <f>SUMIFS(LANÇ_MOV[VALOR LÍQUIDO],LANÇ_MOV[RECEITA OU DESPESA],"Receita",LANÇ_MOV[CONTAS],$C1131,LANÇ_MOV[PLANO DE CONTAS],REL_DRE_FINANCEIRO!$B$1062,LANÇ_MOV[ANO PAGAMENTO],$B$4,LANÇ_MOV[MÊS PAGAMENTO CORRESPONDENTE],H$6,LANÇ_MOV[EMPRESA],$C$4,LANÇ_MOV[CENTRO DE CUSTOS],$D$4)</f>
        <v>0</v>
      </c>
      <c r="I1131" s="206">
        <f>SUMIFS(LANÇ_MOV[VALOR LÍQUIDO],LANÇ_MOV[RECEITA OU DESPESA],"Receita",LANÇ_MOV[CONTAS],$C1131,LANÇ_MOV[PLANO DE CONTAS],REL_DRE_FINANCEIRO!$B$1062,LANÇ_MOV[ANO PAGAMENTO],$B$4,LANÇ_MOV[MÊS PAGAMENTO CORRESPONDENTE],I$6,LANÇ_MOV[EMPRESA],$C$4,LANÇ_MOV[CENTRO DE CUSTOS],$D$4)</f>
        <v>0</v>
      </c>
      <c r="J1131" s="206">
        <f>SUMIFS(LANÇ_MOV[VALOR LÍQUIDO],LANÇ_MOV[RECEITA OU DESPESA],"Receita",LANÇ_MOV[CONTAS],$C1131,LANÇ_MOV[PLANO DE CONTAS],REL_DRE_FINANCEIRO!$B$1062,LANÇ_MOV[ANO PAGAMENTO],$B$4,LANÇ_MOV[MÊS PAGAMENTO CORRESPONDENTE],J$6,LANÇ_MOV[EMPRESA],$C$4,LANÇ_MOV[CENTRO DE CUSTOS],$D$4)</f>
        <v>0</v>
      </c>
      <c r="K1131" s="206">
        <f>SUMIFS(LANÇ_MOV[VALOR LÍQUIDO],LANÇ_MOV[RECEITA OU DESPESA],"Receita",LANÇ_MOV[CONTAS],$C1131,LANÇ_MOV[PLANO DE CONTAS],REL_DRE_FINANCEIRO!$B$1062,LANÇ_MOV[ANO PAGAMENTO],$B$4,LANÇ_MOV[MÊS PAGAMENTO CORRESPONDENTE],K$6,LANÇ_MOV[EMPRESA],$C$4,LANÇ_MOV[CENTRO DE CUSTOS],$D$4)</f>
        <v>0</v>
      </c>
      <c r="L1131" s="206">
        <f>SUMIFS(LANÇ_MOV[VALOR LÍQUIDO],LANÇ_MOV[RECEITA OU DESPESA],"Receita",LANÇ_MOV[CONTAS],$C1131,LANÇ_MOV[PLANO DE CONTAS],REL_DRE_FINANCEIRO!$B$1062,LANÇ_MOV[ANO PAGAMENTO],$B$4,LANÇ_MOV[MÊS PAGAMENTO CORRESPONDENTE],L$6,LANÇ_MOV[EMPRESA],$C$4,LANÇ_MOV[CENTRO DE CUSTOS],$D$4)</f>
        <v>0</v>
      </c>
      <c r="M1131" s="206">
        <f>SUMIFS(LANÇ_MOV[VALOR LÍQUIDO],LANÇ_MOV[RECEITA OU DESPESA],"Receita",LANÇ_MOV[CONTAS],$C1131,LANÇ_MOV[PLANO DE CONTAS],REL_DRE_FINANCEIRO!$B$1062,LANÇ_MOV[ANO PAGAMENTO],$B$4,LANÇ_MOV[MÊS PAGAMENTO CORRESPONDENTE],M$6,LANÇ_MOV[EMPRESA],$C$4,LANÇ_MOV[CENTRO DE CUSTOS],$D$4)</f>
        <v>0</v>
      </c>
      <c r="N1131" s="206">
        <f>SUMIFS(LANÇ_MOV[VALOR LÍQUIDO],LANÇ_MOV[RECEITA OU DESPESA],"Receita",LANÇ_MOV[CONTAS],$C1131,LANÇ_MOV[PLANO DE CONTAS],REL_DRE_FINANCEIRO!$B$1062,LANÇ_MOV[ANO PAGAMENTO],$B$4,LANÇ_MOV[MÊS PAGAMENTO CORRESPONDENTE],N$6,LANÇ_MOV[EMPRESA],$C$4,LANÇ_MOV[CENTRO DE CUSTOS],$D$4)</f>
        <v>0</v>
      </c>
      <c r="O1131" s="206">
        <f>SUMIFS(LANÇ_MOV[VALOR LÍQUIDO],LANÇ_MOV[RECEITA OU DESPESA],"Receita",LANÇ_MOV[CONTAS],$C1131,LANÇ_MOV[PLANO DE CONTAS],REL_DRE_FINANCEIRO!$B$1062,LANÇ_MOV[ANO PAGAMENTO],$B$4,LANÇ_MOV[MÊS PAGAMENTO CORRESPONDENTE],O$6,LANÇ_MOV[EMPRESA],$C$4,LANÇ_MOV[CENTRO DE CUSTOS],$D$4)</f>
        <v>0</v>
      </c>
      <c r="P1131" s="207">
        <f t="shared" si="139"/>
        <v>0</v>
      </c>
      <c r="Q1131" s="329">
        <v>3.1999999999999999E-6</v>
      </c>
      <c r="R1131" s="346">
        <f t="shared" si="140"/>
        <v>3.1999999999999999E-6</v>
      </c>
      <c r="S1131" s="347" t="str">
        <f t="shared" si="141"/>
        <v>-</v>
      </c>
      <c r="T1131" s="347">
        <f t="shared" si="142"/>
        <v>0</v>
      </c>
      <c r="U1131" s="347">
        <f>HLOOKUP(Apoio!$P$12,$D$1061:$P$1162,X1131,FALSE)+Q1131</f>
        <v>3.1999999999999999E-6</v>
      </c>
      <c r="V1131" s="447" t="str">
        <f t="shared" si="143"/>
        <v>-</v>
      </c>
      <c r="W1131" s="448">
        <f>HLOOKUP(Apoio!$P$12,$D$1061:$P$1162,X1131,FALSE)</f>
        <v>0</v>
      </c>
      <c r="X1131" s="329">
        <v>71</v>
      </c>
    </row>
    <row r="1132" spans="2:24" ht="30.05" customHeight="1" x14ac:dyDescent="0.35">
      <c r="B1132" s="204" t="str">
        <f>'CAD_PL_REC-DESP'!H74</f>
        <v>1.3.70</v>
      </c>
      <c r="C1132" s="205" t="str">
        <f>IF('CAD_PL_REC-DESP'!I74="","-",'CAD_PL_REC-DESP'!I74)</f>
        <v>-</v>
      </c>
      <c r="D1132" s="206">
        <f>SUMIFS(LANÇ_MOV[VALOR LÍQUIDO],LANÇ_MOV[RECEITA OU DESPESA],"Receita",LANÇ_MOV[CONTAS],$C1132,LANÇ_MOV[PLANO DE CONTAS],REL_DRE_FINANCEIRO!$B$1062,LANÇ_MOV[ANO PAGAMENTO],$B$4,LANÇ_MOV[MÊS PAGAMENTO CORRESPONDENTE],D$6,LANÇ_MOV[EMPRESA],$C$4,LANÇ_MOV[CENTRO DE CUSTOS],$D$4)</f>
        <v>0</v>
      </c>
      <c r="E1132" s="206">
        <f>SUMIFS(LANÇ_MOV[VALOR LÍQUIDO],LANÇ_MOV[RECEITA OU DESPESA],"Receita",LANÇ_MOV[CONTAS],$C1132,LANÇ_MOV[PLANO DE CONTAS],REL_DRE_FINANCEIRO!$B$1062,LANÇ_MOV[ANO PAGAMENTO],$B$4,LANÇ_MOV[MÊS PAGAMENTO CORRESPONDENTE],E$6,LANÇ_MOV[EMPRESA],$C$4,LANÇ_MOV[CENTRO DE CUSTOS],$D$4)</f>
        <v>0</v>
      </c>
      <c r="F1132" s="206">
        <f>SUMIFS(LANÇ_MOV[VALOR LÍQUIDO],LANÇ_MOV[RECEITA OU DESPESA],"Receita",LANÇ_MOV[CONTAS],$C1132,LANÇ_MOV[PLANO DE CONTAS],REL_DRE_FINANCEIRO!$B$1062,LANÇ_MOV[ANO PAGAMENTO],$B$4,LANÇ_MOV[MÊS PAGAMENTO CORRESPONDENTE],F$6,LANÇ_MOV[EMPRESA],$C$4,LANÇ_MOV[CENTRO DE CUSTOS],$D$4)</f>
        <v>0</v>
      </c>
      <c r="G1132" s="206">
        <f>SUMIFS(LANÇ_MOV[VALOR LÍQUIDO],LANÇ_MOV[RECEITA OU DESPESA],"Receita",LANÇ_MOV[CONTAS],$C1132,LANÇ_MOV[PLANO DE CONTAS],REL_DRE_FINANCEIRO!$B$1062,LANÇ_MOV[ANO PAGAMENTO],$B$4,LANÇ_MOV[MÊS PAGAMENTO CORRESPONDENTE],G$6,LANÇ_MOV[EMPRESA],$C$4,LANÇ_MOV[CENTRO DE CUSTOS],$D$4)</f>
        <v>0</v>
      </c>
      <c r="H1132" s="206">
        <f>SUMIFS(LANÇ_MOV[VALOR LÍQUIDO],LANÇ_MOV[RECEITA OU DESPESA],"Receita",LANÇ_MOV[CONTAS],$C1132,LANÇ_MOV[PLANO DE CONTAS],REL_DRE_FINANCEIRO!$B$1062,LANÇ_MOV[ANO PAGAMENTO],$B$4,LANÇ_MOV[MÊS PAGAMENTO CORRESPONDENTE],H$6,LANÇ_MOV[EMPRESA],$C$4,LANÇ_MOV[CENTRO DE CUSTOS],$D$4)</f>
        <v>0</v>
      </c>
      <c r="I1132" s="206">
        <f>SUMIFS(LANÇ_MOV[VALOR LÍQUIDO],LANÇ_MOV[RECEITA OU DESPESA],"Receita",LANÇ_MOV[CONTAS],$C1132,LANÇ_MOV[PLANO DE CONTAS],REL_DRE_FINANCEIRO!$B$1062,LANÇ_MOV[ANO PAGAMENTO],$B$4,LANÇ_MOV[MÊS PAGAMENTO CORRESPONDENTE],I$6,LANÇ_MOV[EMPRESA],$C$4,LANÇ_MOV[CENTRO DE CUSTOS],$D$4)</f>
        <v>0</v>
      </c>
      <c r="J1132" s="206">
        <f>SUMIFS(LANÇ_MOV[VALOR LÍQUIDO],LANÇ_MOV[RECEITA OU DESPESA],"Receita",LANÇ_MOV[CONTAS],$C1132,LANÇ_MOV[PLANO DE CONTAS],REL_DRE_FINANCEIRO!$B$1062,LANÇ_MOV[ANO PAGAMENTO],$B$4,LANÇ_MOV[MÊS PAGAMENTO CORRESPONDENTE],J$6,LANÇ_MOV[EMPRESA],$C$4,LANÇ_MOV[CENTRO DE CUSTOS],$D$4)</f>
        <v>0</v>
      </c>
      <c r="K1132" s="206">
        <f>SUMIFS(LANÇ_MOV[VALOR LÍQUIDO],LANÇ_MOV[RECEITA OU DESPESA],"Receita",LANÇ_MOV[CONTAS],$C1132,LANÇ_MOV[PLANO DE CONTAS],REL_DRE_FINANCEIRO!$B$1062,LANÇ_MOV[ANO PAGAMENTO],$B$4,LANÇ_MOV[MÊS PAGAMENTO CORRESPONDENTE],K$6,LANÇ_MOV[EMPRESA],$C$4,LANÇ_MOV[CENTRO DE CUSTOS],$D$4)</f>
        <v>0</v>
      </c>
      <c r="L1132" s="206">
        <f>SUMIFS(LANÇ_MOV[VALOR LÍQUIDO],LANÇ_MOV[RECEITA OU DESPESA],"Receita",LANÇ_MOV[CONTAS],$C1132,LANÇ_MOV[PLANO DE CONTAS],REL_DRE_FINANCEIRO!$B$1062,LANÇ_MOV[ANO PAGAMENTO],$B$4,LANÇ_MOV[MÊS PAGAMENTO CORRESPONDENTE],L$6,LANÇ_MOV[EMPRESA],$C$4,LANÇ_MOV[CENTRO DE CUSTOS],$D$4)</f>
        <v>0</v>
      </c>
      <c r="M1132" s="206">
        <f>SUMIFS(LANÇ_MOV[VALOR LÍQUIDO],LANÇ_MOV[RECEITA OU DESPESA],"Receita",LANÇ_MOV[CONTAS],$C1132,LANÇ_MOV[PLANO DE CONTAS],REL_DRE_FINANCEIRO!$B$1062,LANÇ_MOV[ANO PAGAMENTO],$B$4,LANÇ_MOV[MÊS PAGAMENTO CORRESPONDENTE],M$6,LANÇ_MOV[EMPRESA],$C$4,LANÇ_MOV[CENTRO DE CUSTOS],$D$4)</f>
        <v>0</v>
      </c>
      <c r="N1132" s="206">
        <f>SUMIFS(LANÇ_MOV[VALOR LÍQUIDO],LANÇ_MOV[RECEITA OU DESPESA],"Receita",LANÇ_MOV[CONTAS],$C1132,LANÇ_MOV[PLANO DE CONTAS],REL_DRE_FINANCEIRO!$B$1062,LANÇ_MOV[ANO PAGAMENTO],$B$4,LANÇ_MOV[MÊS PAGAMENTO CORRESPONDENTE],N$6,LANÇ_MOV[EMPRESA],$C$4,LANÇ_MOV[CENTRO DE CUSTOS],$D$4)</f>
        <v>0</v>
      </c>
      <c r="O1132" s="206">
        <f>SUMIFS(LANÇ_MOV[VALOR LÍQUIDO],LANÇ_MOV[RECEITA OU DESPESA],"Receita",LANÇ_MOV[CONTAS],$C1132,LANÇ_MOV[PLANO DE CONTAS],REL_DRE_FINANCEIRO!$B$1062,LANÇ_MOV[ANO PAGAMENTO],$B$4,LANÇ_MOV[MÊS PAGAMENTO CORRESPONDENTE],O$6,LANÇ_MOV[EMPRESA],$C$4,LANÇ_MOV[CENTRO DE CUSTOS],$D$4)</f>
        <v>0</v>
      </c>
      <c r="P1132" s="207">
        <f t="shared" si="139"/>
        <v>0</v>
      </c>
      <c r="Q1132" s="329">
        <v>3.1E-6</v>
      </c>
      <c r="R1132" s="346">
        <f t="shared" si="140"/>
        <v>3.1E-6</v>
      </c>
      <c r="S1132" s="347" t="str">
        <f t="shared" si="141"/>
        <v>-</v>
      </c>
      <c r="T1132" s="347">
        <f t="shared" si="142"/>
        <v>0</v>
      </c>
      <c r="U1132" s="347">
        <f>HLOOKUP(Apoio!$P$12,$D$1061:$P$1162,X1132,FALSE)+Q1132</f>
        <v>3.1E-6</v>
      </c>
      <c r="V1132" s="447" t="str">
        <f t="shared" si="143"/>
        <v>-</v>
      </c>
      <c r="W1132" s="448">
        <f>HLOOKUP(Apoio!$P$12,$D$1061:$P$1162,X1132,FALSE)</f>
        <v>0</v>
      </c>
      <c r="X1132" s="329">
        <v>72</v>
      </c>
    </row>
    <row r="1133" spans="2:24" ht="30.05" customHeight="1" x14ac:dyDescent="0.35">
      <c r="B1133" s="204" t="str">
        <f>'CAD_PL_REC-DESP'!H75</f>
        <v>1.3.71</v>
      </c>
      <c r="C1133" s="205" t="str">
        <f>IF('CAD_PL_REC-DESP'!I75="","-",'CAD_PL_REC-DESP'!I75)</f>
        <v>-</v>
      </c>
      <c r="D1133" s="206">
        <f>SUMIFS(LANÇ_MOV[VALOR LÍQUIDO],LANÇ_MOV[RECEITA OU DESPESA],"Receita",LANÇ_MOV[CONTAS],$C1133,LANÇ_MOV[PLANO DE CONTAS],REL_DRE_FINANCEIRO!$B$1062,LANÇ_MOV[ANO PAGAMENTO],$B$4,LANÇ_MOV[MÊS PAGAMENTO CORRESPONDENTE],D$6,LANÇ_MOV[EMPRESA],$C$4,LANÇ_MOV[CENTRO DE CUSTOS],$D$4)</f>
        <v>0</v>
      </c>
      <c r="E1133" s="206">
        <f>SUMIFS(LANÇ_MOV[VALOR LÍQUIDO],LANÇ_MOV[RECEITA OU DESPESA],"Receita",LANÇ_MOV[CONTAS],$C1133,LANÇ_MOV[PLANO DE CONTAS],REL_DRE_FINANCEIRO!$B$1062,LANÇ_MOV[ANO PAGAMENTO],$B$4,LANÇ_MOV[MÊS PAGAMENTO CORRESPONDENTE],E$6,LANÇ_MOV[EMPRESA],$C$4,LANÇ_MOV[CENTRO DE CUSTOS],$D$4)</f>
        <v>0</v>
      </c>
      <c r="F1133" s="206">
        <f>SUMIFS(LANÇ_MOV[VALOR LÍQUIDO],LANÇ_MOV[RECEITA OU DESPESA],"Receita",LANÇ_MOV[CONTAS],$C1133,LANÇ_MOV[PLANO DE CONTAS],REL_DRE_FINANCEIRO!$B$1062,LANÇ_MOV[ANO PAGAMENTO],$B$4,LANÇ_MOV[MÊS PAGAMENTO CORRESPONDENTE],F$6,LANÇ_MOV[EMPRESA],$C$4,LANÇ_MOV[CENTRO DE CUSTOS],$D$4)</f>
        <v>0</v>
      </c>
      <c r="G1133" s="206">
        <f>SUMIFS(LANÇ_MOV[VALOR LÍQUIDO],LANÇ_MOV[RECEITA OU DESPESA],"Receita",LANÇ_MOV[CONTAS],$C1133,LANÇ_MOV[PLANO DE CONTAS],REL_DRE_FINANCEIRO!$B$1062,LANÇ_MOV[ANO PAGAMENTO],$B$4,LANÇ_MOV[MÊS PAGAMENTO CORRESPONDENTE],G$6,LANÇ_MOV[EMPRESA],$C$4,LANÇ_MOV[CENTRO DE CUSTOS],$D$4)</f>
        <v>0</v>
      </c>
      <c r="H1133" s="206">
        <f>SUMIFS(LANÇ_MOV[VALOR LÍQUIDO],LANÇ_MOV[RECEITA OU DESPESA],"Receita",LANÇ_MOV[CONTAS],$C1133,LANÇ_MOV[PLANO DE CONTAS],REL_DRE_FINANCEIRO!$B$1062,LANÇ_MOV[ANO PAGAMENTO],$B$4,LANÇ_MOV[MÊS PAGAMENTO CORRESPONDENTE],H$6,LANÇ_MOV[EMPRESA],$C$4,LANÇ_MOV[CENTRO DE CUSTOS],$D$4)</f>
        <v>0</v>
      </c>
      <c r="I1133" s="206">
        <f>SUMIFS(LANÇ_MOV[VALOR LÍQUIDO],LANÇ_MOV[RECEITA OU DESPESA],"Receita",LANÇ_MOV[CONTAS],$C1133,LANÇ_MOV[PLANO DE CONTAS],REL_DRE_FINANCEIRO!$B$1062,LANÇ_MOV[ANO PAGAMENTO],$B$4,LANÇ_MOV[MÊS PAGAMENTO CORRESPONDENTE],I$6,LANÇ_MOV[EMPRESA],$C$4,LANÇ_MOV[CENTRO DE CUSTOS],$D$4)</f>
        <v>0</v>
      </c>
      <c r="J1133" s="206">
        <f>SUMIFS(LANÇ_MOV[VALOR LÍQUIDO],LANÇ_MOV[RECEITA OU DESPESA],"Receita",LANÇ_MOV[CONTAS],$C1133,LANÇ_MOV[PLANO DE CONTAS],REL_DRE_FINANCEIRO!$B$1062,LANÇ_MOV[ANO PAGAMENTO],$B$4,LANÇ_MOV[MÊS PAGAMENTO CORRESPONDENTE],J$6,LANÇ_MOV[EMPRESA],$C$4,LANÇ_MOV[CENTRO DE CUSTOS],$D$4)</f>
        <v>0</v>
      </c>
      <c r="K1133" s="206">
        <f>SUMIFS(LANÇ_MOV[VALOR LÍQUIDO],LANÇ_MOV[RECEITA OU DESPESA],"Receita",LANÇ_MOV[CONTAS],$C1133,LANÇ_MOV[PLANO DE CONTAS],REL_DRE_FINANCEIRO!$B$1062,LANÇ_MOV[ANO PAGAMENTO],$B$4,LANÇ_MOV[MÊS PAGAMENTO CORRESPONDENTE],K$6,LANÇ_MOV[EMPRESA],$C$4,LANÇ_MOV[CENTRO DE CUSTOS],$D$4)</f>
        <v>0</v>
      </c>
      <c r="L1133" s="206">
        <f>SUMIFS(LANÇ_MOV[VALOR LÍQUIDO],LANÇ_MOV[RECEITA OU DESPESA],"Receita",LANÇ_MOV[CONTAS],$C1133,LANÇ_MOV[PLANO DE CONTAS],REL_DRE_FINANCEIRO!$B$1062,LANÇ_MOV[ANO PAGAMENTO],$B$4,LANÇ_MOV[MÊS PAGAMENTO CORRESPONDENTE],L$6,LANÇ_MOV[EMPRESA],$C$4,LANÇ_MOV[CENTRO DE CUSTOS],$D$4)</f>
        <v>0</v>
      </c>
      <c r="M1133" s="206">
        <f>SUMIFS(LANÇ_MOV[VALOR LÍQUIDO],LANÇ_MOV[RECEITA OU DESPESA],"Receita",LANÇ_MOV[CONTAS],$C1133,LANÇ_MOV[PLANO DE CONTAS],REL_DRE_FINANCEIRO!$B$1062,LANÇ_MOV[ANO PAGAMENTO],$B$4,LANÇ_MOV[MÊS PAGAMENTO CORRESPONDENTE],M$6,LANÇ_MOV[EMPRESA],$C$4,LANÇ_MOV[CENTRO DE CUSTOS],$D$4)</f>
        <v>0</v>
      </c>
      <c r="N1133" s="206">
        <f>SUMIFS(LANÇ_MOV[VALOR LÍQUIDO],LANÇ_MOV[RECEITA OU DESPESA],"Receita",LANÇ_MOV[CONTAS],$C1133,LANÇ_MOV[PLANO DE CONTAS],REL_DRE_FINANCEIRO!$B$1062,LANÇ_MOV[ANO PAGAMENTO],$B$4,LANÇ_MOV[MÊS PAGAMENTO CORRESPONDENTE],N$6,LANÇ_MOV[EMPRESA],$C$4,LANÇ_MOV[CENTRO DE CUSTOS],$D$4)</f>
        <v>0</v>
      </c>
      <c r="O1133" s="206">
        <f>SUMIFS(LANÇ_MOV[VALOR LÍQUIDO],LANÇ_MOV[RECEITA OU DESPESA],"Receita",LANÇ_MOV[CONTAS],$C1133,LANÇ_MOV[PLANO DE CONTAS],REL_DRE_FINANCEIRO!$B$1062,LANÇ_MOV[ANO PAGAMENTO],$B$4,LANÇ_MOV[MÊS PAGAMENTO CORRESPONDENTE],O$6,LANÇ_MOV[EMPRESA],$C$4,LANÇ_MOV[CENTRO DE CUSTOS],$D$4)</f>
        <v>0</v>
      </c>
      <c r="P1133" s="207">
        <f t="shared" si="139"/>
        <v>0</v>
      </c>
      <c r="Q1133" s="329">
        <v>3.0000000000000001E-6</v>
      </c>
      <c r="R1133" s="346">
        <f t="shared" si="140"/>
        <v>3.0000000000000001E-6</v>
      </c>
      <c r="S1133" s="347" t="str">
        <f t="shared" si="141"/>
        <v>-</v>
      </c>
      <c r="T1133" s="347">
        <f t="shared" si="142"/>
        <v>0</v>
      </c>
      <c r="U1133" s="347">
        <f>HLOOKUP(Apoio!$P$12,$D$1061:$P$1162,X1133,FALSE)+Q1133</f>
        <v>3.0000000000000001E-6</v>
      </c>
      <c r="V1133" s="447" t="str">
        <f t="shared" si="143"/>
        <v>-</v>
      </c>
      <c r="W1133" s="448">
        <f>HLOOKUP(Apoio!$P$12,$D$1061:$P$1162,X1133,FALSE)</f>
        <v>0</v>
      </c>
      <c r="X1133" s="329">
        <v>73</v>
      </c>
    </row>
    <row r="1134" spans="2:24" ht="30.05" customHeight="1" x14ac:dyDescent="0.35">
      <c r="B1134" s="204" t="str">
        <f>'CAD_PL_REC-DESP'!H76</f>
        <v>1.3.72</v>
      </c>
      <c r="C1134" s="205" t="str">
        <f>IF('CAD_PL_REC-DESP'!I76="","-",'CAD_PL_REC-DESP'!I76)</f>
        <v>-</v>
      </c>
      <c r="D1134" s="206">
        <f>SUMIFS(LANÇ_MOV[VALOR LÍQUIDO],LANÇ_MOV[RECEITA OU DESPESA],"Receita",LANÇ_MOV[CONTAS],$C1134,LANÇ_MOV[PLANO DE CONTAS],REL_DRE_FINANCEIRO!$B$1062,LANÇ_MOV[ANO PAGAMENTO],$B$4,LANÇ_MOV[MÊS PAGAMENTO CORRESPONDENTE],D$6,LANÇ_MOV[EMPRESA],$C$4,LANÇ_MOV[CENTRO DE CUSTOS],$D$4)</f>
        <v>0</v>
      </c>
      <c r="E1134" s="206">
        <f>SUMIFS(LANÇ_MOV[VALOR LÍQUIDO],LANÇ_MOV[RECEITA OU DESPESA],"Receita",LANÇ_MOV[CONTAS],$C1134,LANÇ_MOV[PLANO DE CONTAS],REL_DRE_FINANCEIRO!$B$1062,LANÇ_MOV[ANO PAGAMENTO],$B$4,LANÇ_MOV[MÊS PAGAMENTO CORRESPONDENTE],E$6,LANÇ_MOV[EMPRESA],$C$4,LANÇ_MOV[CENTRO DE CUSTOS],$D$4)</f>
        <v>0</v>
      </c>
      <c r="F1134" s="206">
        <f>SUMIFS(LANÇ_MOV[VALOR LÍQUIDO],LANÇ_MOV[RECEITA OU DESPESA],"Receita",LANÇ_MOV[CONTAS],$C1134,LANÇ_MOV[PLANO DE CONTAS],REL_DRE_FINANCEIRO!$B$1062,LANÇ_MOV[ANO PAGAMENTO],$B$4,LANÇ_MOV[MÊS PAGAMENTO CORRESPONDENTE],F$6,LANÇ_MOV[EMPRESA],$C$4,LANÇ_MOV[CENTRO DE CUSTOS],$D$4)</f>
        <v>0</v>
      </c>
      <c r="G1134" s="206">
        <f>SUMIFS(LANÇ_MOV[VALOR LÍQUIDO],LANÇ_MOV[RECEITA OU DESPESA],"Receita",LANÇ_MOV[CONTAS],$C1134,LANÇ_MOV[PLANO DE CONTAS],REL_DRE_FINANCEIRO!$B$1062,LANÇ_MOV[ANO PAGAMENTO],$B$4,LANÇ_MOV[MÊS PAGAMENTO CORRESPONDENTE],G$6,LANÇ_MOV[EMPRESA],$C$4,LANÇ_MOV[CENTRO DE CUSTOS],$D$4)</f>
        <v>0</v>
      </c>
      <c r="H1134" s="206">
        <f>SUMIFS(LANÇ_MOV[VALOR LÍQUIDO],LANÇ_MOV[RECEITA OU DESPESA],"Receita",LANÇ_MOV[CONTAS],$C1134,LANÇ_MOV[PLANO DE CONTAS],REL_DRE_FINANCEIRO!$B$1062,LANÇ_MOV[ANO PAGAMENTO],$B$4,LANÇ_MOV[MÊS PAGAMENTO CORRESPONDENTE],H$6,LANÇ_MOV[EMPRESA],$C$4,LANÇ_MOV[CENTRO DE CUSTOS],$D$4)</f>
        <v>0</v>
      </c>
      <c r="I1134" s="206">
        <f>SUMIFS(LANÇ_MOV[VALOR LÍQUIDO],LANÇ_MOV[RECEITA OU DESPESA],"Receita",LANÇ_MOV[CONTAS],$C1134,LANÇ_MOV[PLANO DE CONTAS],REL_DRE_FINANCEIRO!$B$1062,LANÇ_MOV[ANO PAGAMENTO],$B$4,LANÇ_MOV[MÊS PAGAMENTO CORRESPONDENTE],I$6,LANÇ_MOV[EMPRESA],$C$4,LANÇ_MOV[CENTRO DE CUSTOS],$D$4)</f>
        <v>0</v>
      </c>
      <c r="J1134" s="206">
        <f>SUMIFS(LANÇ_MOV[VALOR LÍQUIDO],LANÇ_MOV[RECEITA OU DESPESA],"Receita",LANÇ_MOV[CONTAS],$C1134,LANÇ_MOV[PLANO DE CONTAS],REL_DRE_FINANCEIRO!$B$1062,LANÇ_MOV[ANO PAGAMENTO],$B$4,LANÇ_MOV[MÊS PAGAMENTO CORRESPONDENTE],J$6,LANÇ_MOV[EMPRESA],$C$4,LANÇ_MOV[CENTRO DE CUSTOS],$D$4)</f>
        <v>0</v>
      </c>
      <c r="K1134" s="206">
        <f>SUMIFS(LANÇ_MOV[VALOR LÍQUIDO],LANÇ_MOV[RECEITA OU DESPESA],"Receita",LANÇ_MOV[CONTAS],$C1134,LANÇ_MOV[PLANO DE CONTAS],REL_DRE_FINANCEIRO!$B$1062,LANÇ_MOV[ANO PAGAMENTO],$B$4,LANÇ_MOV[MÊS PAGAMENTO CORRESPONDENTE],K$6,LANÇ_MOV[EMPRESA],$C$4,LANÇ_MOV[CENTRO DE CUSTOS],$D$4)</f>
        <v>0</v>
      </c>
      <c r="L1134" s="206">
        <f>SUMIFS(LANÇ_MOV[VALOR LÍQUIDO],LANÇ_MOV[RECEITA OU DESPESA],"Receita",LANÇ_MOV[CONTAS],$C1134,LANÇ_MOV[PLANO DE CONTAS],REL_DRE_FINANCEIRO!$B$1062,LANÇ_MOV[ANO PAGAMENTO],$B$4,LANÇ_MOV[MÊS PAGAMENTO CORRESPONDENTE],L$6,LANÇ_MOV[EMPRESA],$C$4,LANÇ_MOV[CENTRO DE CUSTOS],$D$4)</f>
        <v>0</v>
      </c>
      <c r="M1134" s="206">
        <f>SUMIFS(LANÇ_MOV[VALOR LÍQUIDO],LANÇ_MOV[RECEITA OU DESPESA],"Receita",LANÇ_MOV[CONTAS],$C1134,LANÇ_MOV[PLANO DE CONTAS],REL_DRE_FINANCEIRO!$B$1062,LANÇ_MOV[ANO PAGAMENTO],$B$4,LANÇ_MOV[MÊS PAGAMENTO CORRESPONDENTE],M$6,LANÇ_MOV[EMPRESA],$C$4,LANÇ_MOV[CENTRO DE CUSTOS],$D$4)</f>
        <v>0</v>
      </c>
      <c r="N1134" s="206">
        <f>SUMIFS(LANÇ_MOV[VALOR LÍQUIDO],LANÇ_MOV[RECEITA OU DESPESA],"Receita",LANÇ_MOV[CONTAS],$C1134,LANÇ_MOV[PLANO DE CONTAS],REL_DRE_FINANCEIRO!$B$1062,LANÇ_MOV[ANO PAGAMENTO],$B$4,LANÇ_MOV[MÊS PAGAMENTO CORRESPONDENTE],N$6,LANÇ_MOV[EMPRESA],$C$4,LANÇ_MOV[CENTRO DE CUSTOS],$D$4)</f>
        <v>0</v>
      </c>
      <c r="O1134" s="206">
        <f>SUMIFS(LANÇ_MOV[VALOR LÍQUIDO],LANÇ_MOV[RECEITA OU DESPESA],"Receita",LANÇ_MOV[CONTAS],$C1134,LANÇ_MOV[PLANO DE CONTAS],REL_DRE_FINANCEIRO!$B$1062,LANÇ_MOV[ANO PAGAMENTO],$B$4,LANÇ_MOV[MÊS PAGAMENTO CORRESPONDENTE],O$6,LANÇ_MOV[EMPRESA],$C$4,LANÇ_MOV[CENTRO DE CUSTOS],$D$4)</f>
        <v>0</v>
      </c>
      <c r="P1134" s="207">
        <f t="shared" si="139"/>
        <v>0</v>
      </c>
      <c r="Q1134" s="329">
        <v>2.9000000000000002E-6</v>
      </c>
      <c r="R1134" s="346">
        <f t="shared" si="140"/>
        <v>2.9000000000000002E-6</v>
      </c>
      <c r="S1134" s="347" t="str">
        <f t="shared" si="141"/>
        <v>-</v>
      </c>
      <c r="T1134" s="347">
        <f t="shared" si="142"/>
        <v>0</v>
      </c>
      <c r="U1134" s="347">
        <f>HLOOKUP(Apoio!$P$12,$D$1061:$P$1162,X1134,FALSE)+Q1134</f>
        <v>2.9000000000000002E-6</v>
      </c>
      <c r="V1134" s="447" t="str">
        <f t="shared" si="143"/>
        <v>-</v>
      </c>
      <c r="W1134" s="448">
        <f>HLOOKUP(Apoio!$P$12,$D$1061:$P$1162,X1134,FALSE)</f>
        <v>0</v>
      </c>
      <c r="X1134" s="329">
        <v>74</v>
      </c>
    </row>
    <row r="1135" spans="2:24" ht="30.05" customHeight="1" x14ac:dyDescent="0.35">
      <c r="B1135" s="204" t="str">
        <f>'CAD_PL_REC-DESP'!H77</f>
        <v>1.3.73</v>
      </c>
      <c r="C1135" s="205" t="str">
        <f>IF('CAD_PL_REC-DESP'!I77="","-",'CAD_PL_REC-DESP'!I77)</f>
        <v>-</v>
      </c>
      <c r="D1135" s="206">
        <f>SUMIFS(LANÇ_MOV[VALOR LÍQUIDO],LANÇ_MOV[RECEITA OU DESPESA],"Receita",LANÇ_MOV[CONTAS],$C1135,LANÇ_MOV[PLANO DE CONTAS],REL_DRE_FINANCEIRO!$B$1062,LANÇ_MOV[ANO PAGAMENTO],$B$4,LANÇ_MOV[MÊS PAGAMENTO CORRESPONDENTE],D$6,LANÇ_MOV[EMPRESA],$C$4,LANÇ_MOV[CENTRO DE CUSTOS],$D$4)</f>
        <v>0</v>
      </c>
      <c r="E1135" s="206">
        <f>SUMIFS(LANÇ_MOV[VALOR LÍQUIDO],LANÇ_MOV[RECEITA OU DESPESA],"Receita",LANÇ_MOV[CONTAS],$C1135,LANÇ_MOV[PLANO DE CONTAS],REL_DRE_FINANCEIRO!$B$1062,LANÇ_MOV[ANO PAGAMENTO],$B$4,LANÇ_MOV[MÊS PAGAMENTO CORRESPONDENTE],E$6,LANÇ_MOV[EMPRESA],$C$4,LANÇ_MOV[CENTRO DE CUSTOS],$D$4)</f>
        <v>0</v>
      </c>
      <c r="F1135" s="206">
        <f>SUMIFS(LANÇ_MOV[VALOR LÍQUIDO],LANÇ_MOV[RECEITA OU DESPESA],"Receita",LANÇ_MOV[CONTAS],$C1135,LANÇ_MOV[PLANO DE CONTAS],REL_DRE_FINANCEIRO!$B$1062,LANÇ_MOV[ANO PAGAMENTO],$B$4,LANÇ_MOV[MÊS PAGAMENTO CORRESPONDENTE],F$6,LANÇ_MOV[EMPRESA],$C$4,LANÇ_MOV[CENTRO DE CUSTOS],$D$4)</f>
        <v>0</v>
      </c>
      <c r="G1135" s="206">
        <f>SUMIFS(LANÇ_MOV[VALOR LÍQUIDO],LANÇ_MOV[RECEITA OU DESPESA],"Receita",LANÇ_MOV[CONTAS],$C1135,LANÇ_MOV[PLANO DE CONTAS],REL_DRE_FINANCEIRO!$B$1062,LANÇ_MOV[ANO PAGAMENTO],$B$4,LANÇ_MOV[MÊS PAGAMENTO CORRESPONDENTE],G$6,LANÇ_MOV[EMPRESA],$C$4,LANÇ_MOV[CENTRO DE CUSTOS],$D$4)</f>
        <v>0</v>
      </c>
      <c r="H1135" s="206">
        <f>SUMIFS(LANÇ_MOV[VALOR LÍQUIDO],LANÇ_MOV[RECEITA OU DESPESA],"Receita",LANÇ_MOV[CONTAS],$C1135,LANÇ_MOV[PLANO DE CONTAS],REL_DRE_FINANCEIRO!$B$1062,LANÇ_MOV[ANO PAGAMENTO],$B$4,LANÇ_MOV[MÊS PAGAMENTO CORRESPONDENTE],H$6,LANÇ_MOV[EMPRESA],$C$4,LANÇ_MOV[CENTRO DE CUSTOS],$D$4)</f>
        <v>0</v>
      </c>
      <c r="I1135" s="206">
        <f>SUMIFS(LANÇ_MOV[VALOR LÍQUIDO],LANÇ_MOV[RECEITA OU DESPESA],"Receita",LANÇ_MOV[CONTAS],$C1135,LANÇ_MOV[PLANO DE CONTAS],REL_DRE_FINANCEIRO!$B$1062,LANÇ_MOV[ANO PAGAMENTO],$B$4,LANÇ_MOV[MÊS PAGAMENTO CORRESPONDENTE],I$6,LANÇ_MOV[EMPRESA],$C$4,LANÇ_MOV[CENTRO DE CUSTOS],$D$4)</f>
        <v>0</v>
      </c>
      <c r="J1135" s="206">
        <f>SUMIFS(LANÇ_MOV[VALOR LÍQUIDO],LANÇ_MOV[RECEITA OU DESPESA],"Receita",LANÇ_MOV[CONTAS],$C1135,LANÇ_MOV[PLANO DE CONTAS],REL_DRE_FINANCEIRO!$B$1062,LANÇ_MOV[ANO PAGAMENTO],$B$4,LANÇ_MOV[MÊS PAGAMENTO CORRESPONDENTE],J$6,LANÇ_MOV[EMPRESA],$C$4,LANÇ_MOV[CENTRO DE CUSTOS],$D$4)</f>
        <v>0</v>
      </c>
      <c r="K1135" s="206">
        <f>SUMIFS(LANÇ_MOV[VALOR LÍQUIDO],LANÇ_MOV[RECEITA OU DESPESA],"Receita",LANÇ_MOV[CONTAS],$C1135,LANÇ_MOV[PLANO DE CONTAS],REL_DRE_FINANCEIRO!$B$1062,LANÇ_MOV[ANO PAGAMENTO],$B$4,LANÇ_MOV[MÊS PAGAMENTO CORRESPONDENTE],K$6,LANÇ_MOV[EMPRESA],$C$4,LANÇ_MOV[CENTRO DE CUSTOS],$D$4)</f>
        <v>0</v>
      </c>
      <c r="L1135" s="206">
        <f>SUMIFS(LANÇ_MOV[VALOR LÍQUIDO],LANÇ_MOV[RECEITA OU DESPESA],"Receita",LANÇ_MOV[CONTAS],$C1135,LANÇ_MOV[PLANO DE CONTAS],REL_DRE_FINANCEIRO!$B$1062,LANÇ_MOV[ANO PAGAMENTO],$B$4,LANÇ_MOV[MÊS PAGAMENTO CORRESPONDENTE],L$6,LANÇ_MOV[EMPRESA],$C$4,LANÇ_MOV[CENTRO DE CUSTOS],$D$4)</f>
        <v>0</v>
      </c>
      <c r="M1135" s="206">
        <f>SUMIFS(LANÇ_MOV[VALOR LÍQUIDO],LANÇ_MOV[RECEITA OU DESPESA],"Receita",LANÇ_MOV[CONTAS],$C1135,LANÇ_MOV[PLANO DE CONTAS],REL_DRE_FINANCEIRO!$B$1062,LANÇ_MOV[ANO PAGAMENTO],$B$4,LANÇ_MOV[MÊS PAGAMENTO CORRESPONDENTE],M$6,LANÇ_MOV[EMPRESA],$C$4,LANÇ_MOV[CENTRO DE CUSTOS],$D$4)</f>
        <v>0</v>
      </c>
      <c r="N1135" s="206">
        <f>SUMIFS(LANÇ_MOV[VALOR LÍQUIDO],LANÇ_MOV[RECEITA OU DESPESA],"Receita",LANÇ_MOV[CONTAS],$C1135,LANÇ_MOV[PLANO DE CONTAS],REL_DRE_FINANCEIRO!$B$1062,LANÇ_MOV[ANO PAGAMENTO],$B$4,LANÇ_MOV[MÊS PAGAMENTO CORRESPONDENTE],N$6,LANÇ_MOV[EMPRESA],$C$4,LANÇ_MOV[CENTRO DE CUSTOS],$D$4)</f>
        <v>0</v>
      </c>
      <c r="O1135" s="206">
        <f>SUMIFS(LANÇ_MOV[VALOR LÍQUIDO],LANÇ_MOV[RECEITA OU DESPESA],"Receita",LANÇ_MOV[CONTAS],$C1135,LANÇ_MOV[PLANO DE CONTAS],REL_DRE_FINANCEIRO!$B$1062,LANÇ_MOV[ANO PAGAMENTO],$B$4,LANÇ_MOV[MÊS PAGAMENTO CORRESPONDENTE],O$6,LANÇ_MOV[EMPRESA],$C$4,LANÇ_MOV[CENTRO DE CUSTOS],$D$4)</f>
        <v>0</v>
      </c>
      <c r="P1135" s="207">
        <f t="shared" si="139"/>
        <v>0</v>
      </c>
      <c r="Q1135" s="329">
        <v>2.7999999999999999E-6</v>
      </c>
      <c r="R1135" s="346">
        <f t="shared" si="140"/>
        <v>2.7999999999999999E-6</v>
      </c>
      <c r="S1135" s="347" t="str">
        <f t="shared" si="141"/>
        <v>-</v>
      </c>
      <c r="T1135" s="347">
        <f t="shared" si="142"/>
        <v>0</v>
      </c>
      <c r="U1135" s="347">
        <f>HLOOKUP(Apoio!$P$12,$D$1061:$P$1162,X1135,FALSE)+Q1135</f>
        <v>2.7999999999999999E-6</v>
      </c>
      <c r="V1135" s="447" t="str">
        <f t="shared" si="143"/>
        <v>-</v>
      </c>
      <c r="W1135" s="448">
        <f>HLOOKUP(Apoio!$P$12,$D$1061:$P$1162,X1135,FALSE)</f>
        <v>0</v>
      </c>
      <c r="X1135" s="329">
        <v>75</v>
      </c>
    </row>
    <row r="1136" spans="2:24" ht="30.05" customHeight="1" x14ac:dyDescent="0.35">
      <c r="B1136" s="204" t="str">
        <f>'CAD_PL_REC-DESP'!H78</f>
        <v>1.3.74</v>
      </c>
      <c r="C1136" s="205" t="str">
        <f>IF('CAD_PL_REC-DESP'!I78="","-",'CAD_PL_REC-DESP'!I78)</f>
        <v>-</v>
      </c>
      <c r="D1136" s="206">
        <f>SUMIFS(LANÇ_MOV[VALOR LÍQUIDO],LANÇ_MOV[RECEITA OU DESPESA],"Receita",LANÇ_MOV[CONTAS],$C1136,LANÇ_MOV[PLANO DE CONTAS],REL_DRE_FINANCEIRO!$B$1062,LANÇ_MOV[ANO PAGAMENTO],$B$4,LANÇ_MOV[MÊS PAGAMENTO CORRESPONDENTE],D$6,LANÇ_MOV[EMPRESA],$C$4,LANÇ_MOV[CENTRO DE CUSTOS],$D$4)</f>
        <v>0</v>
      </c>
      <c r="E1136" s="206">
        <f>SUMIFS(LANÇ_MOV[VALOR LÍQUIDO],LANÇ_MOV[RECEITA OU DESPESA],"Receita",LANÇ_MOV[CONTAS],$C1136,LANÇ_MOV[PLANO DE CONTAS],REL_DRE_FINANCEIRO!$B$1062,LANÇ_MOV[ANO PAGAMENTO],$B$4,LANÇ_MOV[MÊS PAGAMENTO CORRESPONDENTE],E$6,LANÇ_MOV[EMPRESA],$C$4,LANÇ_MOV[CENTRO DE CUSTOS],$D$4)</f>
        <v>0</v>
      </c>
      <c r="F1136" s="206">
        <f>SUMIFS(LANÇ_MOV[VALOR LÍQUIDO],LANÇ_MOV[RECEITA OU DESPESA],"Receita",LANÇ_MOV[CONTAS],$C1136,LANÇ_MOV[PLANO DE CONTAS],REL_DRE_FINANCEIRO!$B$1062,LANÇ_MOV[ANO PAGAMENTO],$B$4,LANÇ_MOV[MÊS PAGAMENTO CORRESPONDENTE],F$6,LANÇ_MOV[EMPRESA],$C$4,LANÇ_MOV[CENTRO DE CUSTOS],$D$4)</f>
        <v>0</v>
      </c>
      <c r="G1136" s="206">
        <f>SUMIFS(LANÇ_MOV[VALOR LÍQUIDO],LANÇ_MOV[RECEITA OU DESPESA],"Receita",LANÇ_MOV[CONTAS],$C1136,LANÇ_MOV[PLANO DE CONTAS],REL_DRE_FINANCEIRO!$B$1062,LANÇ_MOV[ANO PAGAMENTO],$B$4,LANÇ_MOV[MÊS PAGAMENTO CORRESPONDENTE],G$6,LANÇ_MOV[EMPRESA],$C$4,LANÇ_MOV[CENTRO DE CUSTOS],$D$4)</f>
        <v>0</v>
      </c>
      <c r="H1136" s="206">
        <f>SUMIFS(LANÇ_MOV[VALOR LÍQUIDO],LANÇ_MOV[RECEITA OU DESPESA],"Receita",LANÇ_MOV[CONTAS],$C1136,LANÇ_MOV[PLANO DE CONTAS],REL_DRE_FINANCEIRO!$B$1062,LANÇ_MOV[ANO PAGAMENTO],$B$4,LANÇ_MOV[MÊS PAGAMENTO CORRESPONDENTE],H$6,LANÇ_MOV[EMPRESA],$C$4,LANÇ_MOV[CENTRO DE CUSTOS],$D$4)</f>
        <v>0</v>
      </c>
      <c r="I1136" s="206">
        <f>SUMIFS(LANÇ_MOV[VALOR LÍQUIDO],LANÇ_MOV[RECEITA OU DESPESA],"Receita",LANÇ_MOV[CONTAS],$C1136,LANÇ_MOV[PLANO DE CONTAS],REL_DRE_FINANCEIRO!$B$1062,LANÇ_MOV[ANO PAGAMENTO],$B$4,LANÇ_MOV[MÊS PAGAMENTO CORRESPONDENTE],I$6,LANÇ_MOV[EMPRESA],$C$4,LANÇ_MOV[CENTRO DE CUSTOS],$D$4)</f>
        <v>0</v>
      </c>
      <c r="J1136" s="206">
        <f>SUMIFS(LANÇ_MOV[VALOR LÍQUIDO],LANÇ_MOV[RECEITA OU DESPESA],"Receita",LANÇ_MOV[CONTAS],$C1136,LANÇ_MOV[PLANO DE CONTAS],REL_DRE_FINANCEIRO!$B$1062,LANÇ_MOV[ANO PAGAMENTO],$B$4,LANÇ_MOV[MÊS PAGAMENTO CORRESPONDENTE],J$6,LANÇ_MOV[EMPRESA],$C$4,LANÇ_MOV[CENTRO DE CUSTOS],$D$4)</f>
        <v>0</v>
      </c>
      <c r="K1136" s="206">
        <f>SUMIFS(LANÇ_MOV[VALOR LÍQUIDO],LANÇ_MOV[RECEITA OU DESPESA],"Receita",LANÇ_MOV[CONTAS],$C1136,LANÇ_MOV[PLANO DE CONTAS],REL_DRE_FINANCEIRO!$B$1062,LANÇ_MOV[ANO PAGAMENTO],$B$4,LANÇ_MOV[MÊS PAGAMENTO CORRESPONDENTE],K$6,LANÇ_MOV[EMPRESA],$C$4,LANÇ_MOV[CENTRO DE CUSTOS],$D$4)</f>
        <v>0</v>
      </c>
      <c r="L1136" s="206">
        <f>SUMIFS(LANÇ_MOV[VALOR LÍQUIDO],LANÇ_MOV[RECEITA OU DESPESA],"Receita",LANÇ_MOV[CONTAS],$C1136,LANÇ_MOV[PLANO DE CONTAS],REL_DRE_FINANCEIRO!$B$1062,LANÇ_MOV[ANO PAGAMENTO],$B$4,LANÇ_MOV[MÊS PAGAMENTO CORRESPONDENTE],L$6,LANÇ_MOV[EMPRESA],$C$4,LANÇ_MOV[CENTRO DE CUSTOS],$D$4)</f>
        <v>0</v>
      </c>
      <c r="M1136" s="206">
        <f>SUMIFS(LANÇ_MOV[VALOR LÍQUIDO],LANÇ_MOV[RECEITA OU DESPESA],"Receita",LANÇ_MOV[CONTAS],$C1136,LANÇ_MOV[PLANO DE CONTAS],REL_DRE_FINANCEIRO!$B$1062,LANÇ_MOV[ANO PAGAMENTO],$B$4,LANÇ_MOV[MÊS PAGAMENTO CORRESPONDENTE],M$6,LANÇ_MOV[EMPRESA],$C$4,LANÇ_MOV[CENTRO DE CUSTOS],$D$4)</f>
        <v>0</v>
      </c>
      <c r="N1136" s="206">
        <f>SUMIFS(LANÇ_MOV[VALOR LÍQUIDO],LANÇ_MOV[RECEITA OU DESPESA],"Receita",LANÇ_MOV[CONTAS],$C1136,LANÇ_MOV[PLANO DE CONTAS],REL_DRE_FINANCEIRO!$B$1062,LANÇ_MOV[ANO PAGAMENTO],$B$4,LANÇ_MOV[MÊS PAGAMENTO CORRESPONDENTE],N$6,LANÇ_MOV[EMPRESA],$C$4,LANÇ_MOV[CENTRO DE CUSTOS],$D$4)</f>
        <v>0</v>
      </c>
      <c r="O1136" s="206">
        <f>SUMIFS(LANÇ_MOV[VALOR LÍQUIDO],LANÇ_MOV[RECEITA OU DESPESA],"Receita",LANÇ_MOV[CONTAS],$C1136,LANÇ_MOV[PLANO DE CONTAS],REL_DRE_FINANCEIRO!$B$1062,LANÇ_MOV[ANO PAGAMENTO],$B$4,LANÇ_MOV[MÊS PAGAMENTO CORRESPONDENTE],O$6,LANÇ_MOV[EMPRESA],$C$4,LANÇ_MOV[CENTRO DE CUSTOS],$D$4)</f>
        <v>0</v>
      </c>
      <c r="P1136" s="207">
        <f t="shared" si="139"/>
        <v>0</v>
      </c>
      <c r="Q1136" s="329">
        <v>2.7E-6</v>
      </c>
      <c r="R1136" s="346">
        <f t="shared" si="140"/>
        <v>2.7E-6</v>
      </c>
      <c r="S1136" s="347" t="str">
        <f t="shared" si="141"/>
        <v>-</v>
      </c>
      <c r="T1136" s="347">
        <f t="shared" si="142"/>
        <v>0</v>
      </c>
      <c r="U1136" s="347">
        <f>HLOOKUP(Apoio!$P$12,$D$1061:$P$1162,X1136,FALSE)+Q1136</f>
        <v>2.7E-6</v>
      </c>
      <c r="V1136" s="447" t="str">
        <f t="shared" si="143"/>
        <v>-</v>
      </c>
      <c r="W1136" s="448">
        <f>HLOOKUP(Apoio!$P$12,$D$1061:$P$1162,X1136,FALSE)</f>
        <v>0</v>
      </c>
      <c r="X1136" s="329">
        <v>76</v>
      </c>
    </row>
    <row r="1137" spans="2:24" ht="30.05" customHeight="1" x14ac:dyDescent="0.35">
      <c r="B1137" s="204" t="str">
        <f>'CAD_PL_REC-DESP'!H79</f>
        <v>1.3.75</v>
      </c>
      <c r="C1137" s="205" t="str">
        <f>IF('CAD_PL_REC-DESP'!I79="","-",'CAD_PL_REC-DESP'!I79)</f>
        <v>-</v>
      </c>
      <c r="D1137" s="206">
        <f>SUMIFS(LANÇ_MOV[VALOR LÍQUIDO],LANÇ_MOV[RECEITA OU DESPESA],"Receita",LANÇ_MOV[CONTAS],$C1137,LANÇ_MOV[PLANO DE CONTAS],REL_DRE_FINANCEIRO!$B$1062,LANÇ_MOV[ANO PAGAMENTO],$B$4,LANÇ_MOV[MÊS PAGAMENTO CORRESPONDENTE],D$6,LANÇ_MOV[EMPRESA],$C$4,LANÇ_MOV[CENTRO DE CUSTOS],$D$4)</f>
        <v>0</v>
      </c>
      <c r="E1137" s="206">
        <f>SUMIFS(LANÇ_MOV[VALOR LÍQUIDO],LANÇ_MOV[RECEITA OU DESPESA],"Receita",LANÇ_MOV[CONTAS],$C1137,LANÇ_MOV[PLANO DE CONTAS],REL_DRE_FINANCEIRO!$B$1062,LANÇ_MOV[ANO PAGAMENTO],$B$4,LANÇ_MOV[MÊS PAGAMENTO CORRESPONDENTE],E$6,LANÇ_MOV[EMPRESA],$C$4,LANÇ_MOV[CENTRO DE CUSTOS],$D$4)</f>
        <v>0</v>
      </c>
      <c r="F1137" s="206">
        <f>SUMIFS(LANÇ_MOV[VALOR LÍQUIDO],LANÇ_MOV[RECEITA OU DESPESA],"Receita",LANÇ_MOV[CONTAS],$C1137,LANÇ_MOV[PLANO DE CONTAS],REL_DRE_FINANCEIRO!$B$1062,LANÇ_MOV[ANO PAGAMENTO],$B$4,LANÇ_MOV[MÊS PAGAMENTO CORRESPONDENTE],F$6,LANÇ_MOV[EMPRESA],$C$4,LANÇ_MOV[CENTRO DE CUSTOS],$D$4)</f>
        <v>0</v>
      </c>
      <c r="G1137" s="206">
        <f>SUMIFS(LANÇ_MOV[VALOR LÍQUIDO],LANÇ_MOV[RECEITA OU DESPESA],"Receita",LANÇ_MOV[CONTAS],$C1137,LANÇ_MOV[PLANO DE CONTAS],REL_DRE_FINANCEIRO!$B$1062,LANÇ_MOV[ANO PAGAMENTO],$B$4,LANÇ_MOV[MÊS PAGAMENTO CORRESPONDENTE],G$6,LANÇ_MOV[EMPRESA],$C$4,LANÇ_MOV[CENTRO DE CUSTOS],$D$4)</f>
        <v>0</v>
      </c>
      <c r="H1137" s="206">
        <f>SUMIFS(LANÇ_MOV[VALOR LÍQUIDO],LANÇ_MOV[RECEITA OU DESPESA],"Receita",LANÇ_MOV[CONTAS],$C1137,LANÇ_MOV[PLANO DE CONTAS],REL_DRE_FINANCEIRO!$B$1062,LANÇ_MOV[ANO PAGAMENTO],$B$4,LANÇ_MOV[MÊS PAGAMENTO CORRESPONDENTE],H$6,LANÇ_MOV[EMPRESA],$C$4,LANÇ_MOV[CENTRO DE CUSTOS],$D$4)</f>
        <v>0</v>
      </c>
      <c r="I1137" s="206">
        <f>SUMIFS(LANÇ_MOV[VALOR LÍQUIDO],LANÇ_MOV[RECEITA OU DESPESA],"Receita",LANÇ_MOV[CONTAS],$C1137,LANÇ_MOV[PLANO DE CONTAS],REL_DRE_FINANCEIRO!$B$1062,LANÇ_MOV[ANO PAGAMENTO],$B$4,LANÇ_MOV[MÊS PAGAMENTO CORRESPONDENTE],I$6,LANÇ_MOV[EMPRESA],$C$4,LANÇ_MOV[CENTRO DE CUSTOS],$D$4)</f>
        <v>0</v>
      </c>
      <c r="J1137" s="206">
        <f>SUMIFS(LANÇ_MOV[VALOR LÍQUIDO],LANÇ_MOV[RECEITA OU DESPESA],"Receita",LANÇ_MOV[CONTAS],$C1137,LANÇ_MOV[PLANO DE CONTAS],REL_DRE_FINANCEIRO!$B$1062,LANÇ_MOV[ANO PAGAMENTO],$B$4,LANÇ_MOV[MÊS PAGAMENTO CORRESPONDENTE],J$6,LANÇ_MOV[EMPRESA],$C$4,LANÇ_MOV[CENTRO DE CUSTOS],$D$4)</f>
        <v>0</v>
      </c>
      <c r="K1137" s="206">
        <f>SUMIFS(LANÇ_MOV[VALOR LÍQUIDO],LANÇ_MOV[RECEITA OU DESPESA],"Receita",LANÇ_MOV[CONTAS],$C1137,LANÇ_MOV[PLANO DE CONTAS],REL_DRE_FINANCEIRO!$B$1062,LANÇ_MOV[ANO PAGAMENTO],$B$4,LANÇ_MOV[MÊS PAGAMENTO CORRESPONDENTE],K$6,LANÇ_MOV[EMPRESA],$C$4,LANÇ_MOV[CENTRO DE CUSTOS],$D$4)</f>
        <v>0</v>
      </c>
      <c r="L1137" s="206">
        <f>SUMIFS(LANÇ_MOV[VALOR LÍQUIDO],LANÇ_MOV[RECEITA OU DESPESA],"Receita",LANÇ_MOV[CONTAS],$C1137,LANÇ_MOV[PLANO DE CONTAS],REL_DRE_FINANCEIRO!$B$1062,LANÇ_MOV[ANO PAGAMENTO],$B$4,LANÇ_MOV[MÊS PAGAMENTO CORRESPONDENTE],L$6,LANÇ_MOV[EMPRESA],$C$4,LANÇ_MOV[CENTRO DE CUSTOS],$D$4)</f>
        <v>0</v>
      </c>
      <c r="M1137" s="206">
        <f>SUMIFS(LANÇ_MOV[VALOR LÍQUIDO],LANÇ_MOV[RECEITA OU DESPESA],"Receita",LANÇ_MOV[CONTAS],$C1137,LANÇ_MOV[PLANO DE CONTAS],REL_DRE_FINANCEIRO!$B$1062,LANÇ_MOV[ANO PAGAMENTO],$B$4,LANÇ_MOV[MÊS PAGAMENTO CORRESPONDENTE],M$6,LANÇ_MOV[EMPRESA],$C$4,LANÇ_MOV[CENTRO DE CUSTOS],$D$4)</f>
        <v>0</v>
      </c>
      <c r="N1137" s="206">
        <f>SUMIFS(LANÇ_MOV[VALOR LÍQUIDO],LANÇ_MOV[RECEITA OU DESPESA],"Receita",LANÇ_MOV[CONTAS],$C1137,LANÇ_MOV[PLANO DE CONTAS],REL_DRE_FINANCEIRO!$B$1062,LANÇ_MOV[ANO PAGAMENTO],$B$4,LANÇ_MOV[MÊS PAGAMENTO CORRESPONDENTE],N$6,LANÇ_MOV[EMPRESA],$C$4,LANÇ_MOV[CENTRO DE CUSTOS],$D$4)</f>
        <v>0</v>
      </c>
      <c r="O1137" s="206">
        <f>SUMIFS(LANÇ_MOV[VALOR LÍQUIDO],LANÇ_MOV[RECEITA OU DESPESA],"Receita",LANÇ_MOV[CONTAS],$C1137,LANÇ_MOV[PLANO DE CONTAS],REL_DRE_FINANCEIRO!$B$1062,LANÇ_MOV[ANO PAGAMENTO],$B$4,LANÇ_MOV[MÊS PAGAMENTO CORRESPONDENTE],O$6,LANÇ_MOV[EMPRESA],$C$4,LANÇ_MOV[CENTRO DE CUSTOS],$D$4)</f>
        <v>0</v>
      </c>
      <c r="P1137" s="207">
        <f t="shared" si="139"/>
        <v>0</v>
      </c>
      <c r="Q1137" s="329">
        <v>2.6000000000000001E-6</v>
      </c>
      <c r="R1137" s="346">
        <f t="shared" si="140"/>
        <v>2.6000000000000001E-6</v>
      </c>
      <c r="S1137" s="347" t="str">
        <f t="shared" si="141"/>
        <v>-</v>
      </c>
      <c r="T1137" s="347">
        <f t="shared" si="142"/>
        <v>0</v>
      </c>
      <c r="U1137" s="347">
        <f>HLOOKUP(Apoio!$P$12,$D$1061:$P$1162,X1137,FALSE)+Q1137</f>
        <v>2.6000000000000001E-6</v>
      </c>
      <c r="V1137" s="447" t="str">
        <f t="shared" si="143"/>
        <v>-</v>
      </c>
      <c r="W1137" s="448">
        <f>HLOOKUP(Apoio!$P$12,$D$1061:$P$1162,X1137,FALSE)</f>
        <v>0</v>
      </c>
      <c r="X1137" s="329">
        <v>77</v>
      </c>
    </row>
    <row r="1138" spans="2:24" ht="30.05" customHeight="1" x14ac:dyDescent="0.35">
      <c r="B1138" s="204" t="str">
        <f>'CAD_PL_REC-DESP'!H80</f>
        <v>1.3.76</v>
      </c>
      <c r="C1138" s="205" t="str">
        <f>IF('CAD_PL_REC-DESP'!I80="","-",'CAD_PL_REC-DESP'!I80)</f>
        <v>-</v>
      </c>
      <c r="D1138" s="206">
        <f>SUMIFS(LANÇ_MOV[VALOR LÍQUIDO],LANÇ_MOV[RECEITA OU DESPESA],"Receita",LANÇ_MOV[CONTAS],$C1138,LANÇ_MOV[PLANO DE CONTAS],REL_DRE_FINANCEIRO!$B$1062,LANÇ_MOV[ANO PAGAMENTO],$B$4,LANÇ_MOV[MÊS PAGAMENTO CORRESPONDENTE],D$6,LANÇ_MOV[EMPRESA],$C$4,LANÇ_MOV[CENTRO DE CUSTOS],$D$4)</f>
        <v>0</v>
      </c>
      <c r="E1138" s="206">
        <f>SUMIFS(LANÇ_MOV[VALOR LÍQUIDO],LANÇ_MOV[RECEITA OU DESPESA],"Receita",LANÇ_MOV[CONTAS],$C1138,LANÇ_MOV[PLANO DE CONTAS],REL_DRE_FINANCEIRO!$B$1062,LANÇ_MOV[ANO PAGAMENTO],$B$4,LANÇ_MOV[MÊS PAGAMENTO CORRESPONDENTE],E$6,LANÇ_MOV[EMPRESA],$C$4,LANÇ_MOV[CENTRO DE CUSTOS],$D$4)</f>
        <v>0</v>
      </c>
      <c r="F1138" s="206">
        <f>SUMIFS(LANÇ_MOV[VALOR LÍQUIDO],LANÇ_MOV[RECEITA OU DESPESA],"Receita",LANÇ_MOV[CONTAS],$C1138,LANÇ_MOV[PLANO DE CONTAS],REL_DRE_FINANCEIRO!$B$1062,LANÇ_MOV[ANO PAGAMENTO],$B$4,LANÇ_MOV[MÊS PAGAMENTO CORRESPONDENTE],F$6,LANÇ_MOV[EMPRESA],$C$4,LANÇ_MOV[CENTRO DE CUSTOS],$D$4)</f>
        <v>0</v>
      </c>
      <c r="G1138" s="206">
        <f>SUMIFS(LANÇ_MOV[VALOR LÍQUIDO],LANÇ_MOV[RECEITA OU DESPESA],"Receita",LANÇ_MOV[CONTAS],$C1138,LANÇ_MOV[PLANO DE CONTAS],REL_DRE_FINANCEIRO!$B$1062,LANÇ_MOV[ANO PAGAMENTO],$B$4,LANÇ_MOV[MÊS PAGAMENTO CORRESPONDENTE],G$6,LANÇ_MOV[EMPRESA],$C$4,LANÇ_MOV[CENTRO DE CUSTOS],$D$4)</f>
        <v>0</v>
      </c>
      <c r="H1138" s="206">
        <f>SUMIFS(LANÇ_MOV[VALOR LÍQUIDO],LANÇ_MOV[RECEITA OU DESPESA],"Receita",LANÇ_MOV[CONTAS],$C1138,LANÇ_MOV[PLANO DE CONTAS],REL_DRE_FINANCEIRO!$B$1062,LANÇ_MOV[ANO PAGAMENTO],$B$4,LANÇ_MOV[MÊS PAGAMENTO CORRESPONDENTE],H$6,LANÇ_MOV[EMPRESA],$C$4,LANÇ_MOV[CENTRO DE CUSTOS],$D$4)</f>
        <v>0</v>
      </c>
      <c r="I1138" s="206">
        <f>SUMIFS(LANÇ_MOV[VALOR LÍQUIDO],LANÇ_MOV[RECEITA OU DESPESA],"Receita",LANÇ_MOV[CONTAS],$C1138,LANÇ_MOV[PLANO DE CONTAS],REL_DRE_FINANCEIRO!$B$1062,LANÇ_MOV[ANO PAGAMENTO],$B$4,LANÇ_MOV[MÊS PAGAMENTO CORRESPONDENTE],I$6,LANÇ_MOV[EMPRESA],$C$4,LANÇ_MOV[CENTRO DE CUSTOS],$D$4)</f>
        <v>0</v>
      </c>
      <c r="J1138" s="206">
        <f>SUMIFS(LANÇ_MOV[VALOR LÍQUIDO],LANÇ_MOV[RECEITA OU DESPESA],"Receita",LANÇ_MOV[CONTAS],$C1138,LANÇ_MOV[PLANO DE CONTAS],REL_DRE_FINANCEIRO!$B$1062,LANÇ_MOV[ANO PAGAMENTO],$B$4,LANÇ_MOV[MÊS PAGAMENTO CORRESPONDENTE],J$6,LANÇ_MOV[EMPRESA],$C$4,LANÇ_MOV[CENTRO DE CUSTOS],$D$4)</f>
        <v>0</v>
      </c>
      <c r="K1138" s="206">
        <f>SUMIFS(LANÇ_MOV[VALOR LÍQUIDO],LANÇ_MOV[RECEITA OU DESPESA],"Receita",LANÇ_MOV[CONTAS],$C1138,LANÇ_MOV[PLANO DE CONTAS],REL_DRE_FINANCEIRO!$B$1062,LANÇ_MOV[ANO PAGAMENTO],$B$4,LANÇ_MOV[MÊS PAGAMENTO CORRESPONDENTE],K$6,LANÇ_MOV[EMPRESA],$C$4,LANÇ_MOV[CENTRO DE CUSTOS],$D$4)</f>
        <v>0</v>
      </c>
      <c r="L1138" s="206">
        <f>SUMIFS(LANÇ_MOV[VALOR LÍQUIDO],LANÇ_MOV[RECEITA OU DESPESA],"Receita",LANÇ_MOV[CONTAS],$C1138,LANÇ_MOV[PLANO DE CONTAS],REL_DRE_FINANCEIRO!$B$1062,LANÇ_MOV[ANO PAGAMENTO],$B$4,LANÇ_MOV[MÊS PAGAMENTO CORRESPONDENTE],L$6,LANÇ_MOV[EMPRESA],$C$4,LANÇ_MOV[CENTRO DE CUSTOS],$D$4)</f>
        <v>0</v>
      </c>
      <c r="M1138" s="206">
        <f>SUMIFS(LANÇ_MOV[VALOR LÍQUIDO],LANÇ_MOV[RECEITA OU DESPESA],"Receita",LANÇ_MOV[CONTAS],$C1138,LANÇ_MOV[PLANO DE CONTAS],REL_DRE_FINANCEIRO!$B$1062,LANÇ_MOV[ANO PAGAMENTO],$B$4,LANÇ_MOV[MÊS PAGAMENTO CORRESPONDENTE],M$6,LANÇ_MOV[EMPRESA],$C$4,LANÇ_MOV[CENTRO DE CUSTOS],$D$4)</f>
        <v>0</v>
      </c>
      <c r="N1138" s="206">
        <f>SUMIFS(LANÇ_MOV[VALOR LÍQUIDO],LANÇ_MOV[RECEITA OU DESPESA],"Receita",LANÇ_MOV[CONTAS],$C1138,LANÇ_MOV[PLANO DE CONTAS],REL_DRE_FINANCEIRO!$B$1062,LANÇ_MOV[ANO PAGAMENTO],$B$4,LANÇ_MOV[MÊS PAGAMENTO CORRESPONDENTE],N$6,LANÇ_MOV[EMPRESA],$C$4,LANÇ_MOV[CENTRO DE CUSTOS],$D$4)</f>
        <v>0</v>
      </c>
      <c r="O1138" s="206">
        <f>SUMIFS(LANÇ_MOV[VALOR LÍQUIDO],LANÇ_MOV[RECEITA OU DESPESA],"Receita",LANÇ_MOV[CONTAS],$C1138,LANÇ_MOV[PLANO DE CONTAS],REL_DRE_FINANCEIRO!$B$1062,LANÇ_MOV[ANO PAGAMENTO],$B$4,LANÇ_MOV[MÊS PAGAMENTO CORRESPONDENTE],O$6,LANÇ_MOV[EMPRESA],$C$4,LANÇ_MOV[CENTRO DE CUSTOS],$D$4)</f>
        <v>0</v>
      </c>
      <c r="P1138" s="207">
        <f t="shared" si="139"/>
        <v>0</v>
      </c>
      <c r="Q1138" s="329">
        <v>2.5000000000000002E-6</v>
      </c>
      <c r="R1138" s="346">
        <f t="shared" si="140"/>
        <v>2.5000000000000002E-6</v>
      </c>
      <c r="S1138" s="347" t="str">
        <f t="shared" si="141"/>
        <v>-</v>
      </c>
      <c r="T1138" s="347">
        <f t="shared" si="142"/>
        <v>0</v>
      </c>
      <c r="U1138" s="347">
        <f>HLOOKUP(Apoio!$P$12,$D$1061:$P$1162,X1138,FALSE)+Q1138</f>
        <v>2.5000000000000002E-6</v>
      </c>
      <c r="V1138" s="447" t="str">
        <f t="shared" si="143"/>
        <v>-</v>
      </c>
      <c r="W1138" s="448">
        <f>HLOOKUP(Apoio!$P$12,$D$1061:$P$1162,X1138,FALSE)</f>
        <v>0</v>
      </c>
      <c r="X1138" s="329">
        <v>78</v>
      </c>
    </row>
    <row r="1139" spans="2:24" ht="30.05" customHeight="1" x14ac:dyDescent="0.35">
      <c r="B1139" s="204" t="str">
        <f>'CAD_PL_REC-DESP'!H81</f>
        <v>1.3.77</v>
      </c>
      <c r="C1139" s="205" t="str">
        <f>IF('CAD_PL_REC-DESP'!I81="","-",'CAD_PL_REC-DESP'!I81)</f>
        <v>-</v>
      </c>
      <c r="D1139" s="206">
        <f>SUMIFS(LANÇ_MOV[VALOR LÍQUIDO],LANÇ_MOV[RECEITA OU DESPESA],"Receita",LANÇ_MOV[CONTAS],$C1139,LANÇ_MOV[PLANO DE CONTAS],REL_DRE_FINANCEIRO!$B$1062,LANÇ_MOV[ANO PAGAMENTO],$B$4,LANÇ_MOV[MÊS PAGAMENTO CORRESPONDENTE],D$6,LANÇ_MOV[EMPRESA],$C$4,LANÇ_MOV[CENTRO DE CUSTOS],$D$4)</f>
        <v>0</v>
      </c>
      <c r="E1139" s="206">
        <f>SUMIFS(LANÇ_MOV[VALOR LÍQUIDO],LANÇ_MOV[RECEITA OU DESPESA],"Receita",LANÇ_MOV[CONTAS],$C1139,LANÇ_MOV[PLANO DE CONTAS],REL_DRE_FINANCEIRO!$B$1062,LANÇ_MOV[ANO PAGAMENTO],$B$4,LANÇ_MOV[MÊS PAGAMENTO CORRESPONDENTE],E$6,LANÇ_MOV[EMPRESA],$C$4,LANÇ_MOV[CENTRO DE CUSTOS],$D$4)</f>
        <v>0</v>
      </c>
      <c r="F1139" s="206">
        <f>SUMIFS(LANÇ_MOV[VALOR LÍQUIDO],LANÇ_MOV[RECEITA OU DESPESA],"Receita",LANÇ_MOV[CONTAS],$C1139,LANÇ_MOV[PLANO DE CONTAS],REL_DRE_FINANCEIRO!$B$1062,LANÇ_MOV[ANO PAGAMENTO],$B$4,LANÇ_MOV[MÊS PAGAMENTO CORRESPONDENTE],F$6,LANÇ_MOV[EMPRESA],$C$4,LANÇ_MOV[CENTRO DE CUSTOS],$D$4)</f>
        <v>0</v>
      </c>
      <c r="G1139" s="206">
        <f>SUMIFS(LANÇ_MOV[VALOR LÍQUIDO],LANÇ_MOV[RECEITA OU DESPESA],"Receita",LANÇ_MOV[CONTAS],$C1139,LANÇ_MOV[PLANO DE CONTAS],REL_DRE_FINANCEIRO!$B$1062,LANÇ_MOV[ANO PAGAMENTO],$B$4,LANÇ_MOV[MÊS PAGAMENTO CORRESPONDENTE],G$6,LANÇ_MOV[EMPRESA],$C$4,LANÇ_MOV[CENTRO DE CUSTOS],$D$4)</f>
        <v>0</v>
      </c>
      <c r="H1139" s="206">
        <f>SUMIFS(LANÇ_MOV[VALOR LÍQUIDO],LANÇ_MOV[RECEITA OU DESPESA],"Receita",LANÇ_MOV[CONTAS],$C1139,LANÇ_MOV[PLANO DE CONTAS],REL_DRE_FINANCEIRO!$B$1062,LANÇ_MOV[ANO PAGAMENTO],$B$4,LANÇ_MOV[MÊS PAGAMENTO CORRESPONDENTE],H$6,LANÇ_MOV[EMPRESA],$C$4,LANÇ_MOV[CENTRO DE CUSTOS],$D$4)</f>
        <v>0</v>
      </c>
      <c r="I1139" s="206">
        <f>SUMIFS(LANÇ_MOV[VALOR LÍQUIDO],LANÇ_MOV[RECEITA OU DESPESA],"Receita",LANÇ_MOV[CONTAS],$C1139,LANÇ_MOV[PLANO DE CONTAS],REL_DRE_FINANCEIRO!$B$1062,LANÇ_MOV[ANO PAGAMENTO],$B$4,LANÇ_MOV[MÊS PAGAMENTO CORRESPONDENTE],I$6,LANÇ_MOV[EMPRESA],$C$4,LANÇ_MOV[CENTRO DE CUSTOS],$D$4)</f>
        <v>0</v>
      </c>
      <c r="J1139" s="206">
        <f>SUMIFS(LANÇ_MOV[VALOR LÍQUIDO],LANÇ_MOV[RECEITA OU DESPESA],"Receita",LANÇ_MOV[CONTAS],$C1139,LANÇ_MOV[PLANO DE CONTAS],REL_DRE_FINANCEIRO!$B$1062,LANÇ_MOV[ANO PAGAMENTO],$B$4,LANÇ_MOV[MÊS PAGAMENTO CORRESPONDENTE],J$6,LANÇ_MOV[EMPRESA],$C$4,LANÇ_MOV[CENTRO DE CUSTOS],$D$4)</f>
        <v>0</v>
      </c>
      <c r="K1139" s="206">
        <f>SUMIFS(LANÇ_MOV[VALOR LÍQUIDO],LANÇ_MOV[RECEITA OU DESPESA],"Receita",LANÇ_MOV[CONTAS],$C1139,LANÇ_MOV[PLANO DE CONTAS],REL_DRE_FINANCEIRO!$B$1062,LANÇ_MOV[ANO PAGAMENTO],$B$4,LANÇ_MOV[MÊS PAGAMENTO CORRESPONDENTE],K$6,LANÇ_MOV[EMPRESA],$C$4,LANÇ_MOV[CENTRO DE CUSTOS],$D$4)</f>
        <v>0</v>
      </c>
      <c r="L1139" s="206">
        <f>SUMIFS(LANÇ_MOV[VALOR LÍQUIDO],LANÇ_MOV[RECEITA OU DESPESA],"Receita",LANÇ_MOV[CONTAS],$C1139,LANÇ_MOV[PLANO DE CONTAS],REL_DRE_FINANCEIRO!$B$1062,LANÇ_MOV[ANO PAGAMENTO],$B$4,LANÇ_MOV[MÊS PAGAMENTO CORRESPONDENTE],L$6,LANÇ_MOV[EMPRESA],$C$4,LANÇ_MOV[CENTRO DE CUSTOS],$D$4)</f>
        <v>0</v>
      </c>
      <c r="M1139" s="206">
        <f>SUMIFS(LANÇ_MOV[VALOR LÍQUIDO],LANÇ_MOV[RECEITA OU DESPESA],"Receita",LANÇ_MOV[CONTAS],$C1139,LANÇ_MOV[PLANO DE CONTAS],REL_DRE_FINANCEIRO!$B$1062,LANÇ_MOV[ANO PAGAMENTO],$B$4,LANÇ_MOV[MÊS PAGAMENTO CORRESPONDENTE],M$6,LANÇ_MOV[EMPRESA],$C$4,LANÇ_MOV[CENTRO DE CUSTOS],$D$4)</f>
        <v>0</v>
      </c>
      <c r="N1139" s="206">
        <f>SUMIFS(LANÇ_MOV[VALOR LÍQUIDO],LANÇ_MOV[RECEITA OU DESPESA],"Receita",LANÇ_MOV[CONTAS],$C1139,LANÇ_MOV[PLANO DE CONTAS],REL_DRE_FINANCEIRO!$B$1062,LANÇ_MOV[ANO PAGAMENTO],$B$4,LANÇ_MOV[MÊS PAGAMENTO CORRESPONDENTE],N$6,LANÇ_MOV[EMPRESA],$C$4,LANÇ_MOV[CENTRO DE CUSTOS],$D$4)</f>
        <v>0</v>
      </c>
      <c r="O1139" s="206">
        <f>SUMIFS(LANÇ_MOV[VALOR LÍQUIDO],LANÇ_MOV[RECEITA OU DESPESA],"Receita",LANÇ_MOV[CONTAS],$C1139,LANÇ_MOV[PLANO DE CONTAS],REL_DRE_FINANCEIRO!$B$1062,LANÇ_MOV[ANO PAGAMENTO],$B$4,LANÇ_MOV[MÊS PAGAMENTO CORRESPONDENTE],O$6,LANÇ_MOV[EMPRESA],$C$4,LANÇ_MOV[CENTRO DE CUSTOS],$D$4)</f>
        <v>0</v>
      </c>
      <c r="P1139" s="207">
        <f t="shared" si="139"/>
        <v>0</v>
      </c>
      <c r="Q1139" s="329">
        <v>2.3999999999999999E-6</v>
      </c>
      <c r="R1139" s="346">
        <f t="shared" si="140"/>
        <v>2.3999999999999999E-6</v>
      </c>
      <c r="S1139" s="347" t="str">
        <f t="shared" si="141"/>
        <v>-</v>
      </c>
      <c r="T1139" s="347">
        <f t="shared" si="142"/>
        <v>0</v>
      </c>
      <c r="U1139" s="347">
        <f>HLOOKUP(Apoio!$P$12,$D$1061:$P$1162,X1139,FALSE)+Q1139</f>
        <v>2.3999999999999999E-6</v>
      </c>
      <c r="V1139" s="447" t="str">
        <f t="shared" si="143"/>
        <v>-</v>
      </c>
      <c r="W1139" s="448">
        <f>HLOOKUP(Apoio!$P$12,$D$1061:$P$1162,X1139,FALSE)</f>
        <v>0</v>
      </c>
      <c r="X1139" s="329">
        <v>79</v>
      </c>
    </row>
    <row r="1140" spans="2:24" ht="30.05" customHeight="1" x14ac:dyDescent="0.35">
      <c r="B1140" s="204" t="str">
        <f>'CAD_PL_REC-DESP'!H82</f>
        <v>1.3.78</v>
      </c>
      <c r="C1140" s="205" t="str">
        <f>IF('CAD_PL_REC-DESP'!I82="","-",'CAD_PL_REC-DESP'!I82)</f>
        <v>-</v>
      </c>
      <c r="D1140" s="206">
        <f>SUMIFS(LANÇ_MOV[VALOR LÍQUIDO],LANÇ_MOV[RECEITA OU DESPESA],"Receita",LANÇ_MOV[CONTAS],$C1140,LANÇ_MOV[PLANO DE CONTAS],REL_DRE_FINANCEIRO!$B$1062,LANÇ_MOV[ANO PAGAMENTO],$B$4,LANÇ_MOV[MÊS PAGAMENTO CORRESPONDENTE],D$6,LANÇ_MOV[EMPRESA],$C$4,LANÇ_MOV[CENTRO DE CUSTOS],$D$4)</f>
        <v>0</v>
      </c>
      <c r="E1140" s="206">
        <f>SUMIFS(LANÇ_MOV[VALOR LÍQUIDO],LANÇ_MOV[RECEITA OU DESPESA],"Receita",LANÇ_MOV[CONTAS],$C1140,LANÇ_MOV[PLANO DE CONTAS],REL_DRE_FINANCEIRO!$B$1062,LANÇ_MOV[ANO PAGAMENTO],$B$4,LANÇ_MOV[MÊS PAGAMENTO CORRESPONDENTE],E$6,LANÇ_MOV[EMPRESA],$C$4,LANÇ_MOV[CENTRO DE CUSTOS],$D$4)</f>
        <v>0</v>
      </c>
      <c r="F1140" s="206">
        <f>SUMIFS(LANÇ_MOV[VALOR LÍQUIDO],LANÇ_MOV[RECEITA OU DESPESA],"Receita",LANÇ_MOV[CONTAS],$C1140,LANÇ_MOV[PLANO DE CONTAS],REL_DRE_FINANCEIRO!$B$1062,LANÇ_MOV[ANO PAGAMENTO],$B$4,LANÇ_MOV[MÊS PAGAMENTO CORRESPONDENTE],F$6,LANÇ_MOV[EMPRESA],$C$4,LANÇ_MOV[CENTRO DE CUSTOS],$D$4)</f>
        <v>0</v>
      </c>
      <c r="G1140" s="206">
        <f>SUMIFS(LANÇ_MOV[VALOR LÍQUIDO],LANÇ_MOV[RECEITA OU DESPESA],"Receita",LANÇ_MOV[CONTAS],$C1140,LANÇ_MOV[PLANO DE CONTAS],REL_DRE_FINANCEIRO!$B$1062,LANÇ_MOV[ANO PAGAMENTO],$B$4,LANÇ_MOV[MÊS PAGAMENTO CORRESPONDENTE],G$6,LANÇ_MOV[EMPRESA],$C$4,LANÇ_MOV[CENTRO DE CUSTOS],$D$4)</f>
        <v>0</v>
      </c>
      <c r="H1140" s="206">
        <f>SUMIFS(LANÇ_MOV[VALOR LÍQUIDO],LANÇ_MOV[RECEITA OU DESPESA],"Receita",LANÇ_MOV[CONTAS],$C1140,LANÇ_MOV[PLANO DE CONTAS],REL_DRE_FINANCEIRO!$B$1062,LANÇ_MOV[ANO PAGAMENTO],$B$4,LANÇ_MOV[MÊS PAGAMENTO CORRESPONDENTE],H$6,LANÇ_MOV[EMPRESA],$C$4,LANÇ_MOV[CENTRO DE CUSTOS],$D$4)</f>
        <v>0</v>
      </c>
      <c r="I1140" s="206">
        <f>SUMIFS(LANÇ_MOV[VALOR LÍQUIDO],LANÇ_MOV[RECEITA OU DESPESA],"Receita",LANÇ_MOV[CONTAS],$C1140,LANÇ_MOV[PLANO DE CONTAS],REL_DRE_FINANCEIRO!$B$1062,LANÇ_MOV[ANO PAGAMENTO],$B$4,LANÇ_MOV[MÊS PAGAMENTO CORRESPONDENTE],I$6,LANÇ_MOV[EMPRESA],$C$4,LANÇ_MOV[CENTRO DE CUSTOS],$D$4)</f>
        <v>0</v>
      </c>
      <c r="J1140" s="206">
        <f>SUMIFS(LANÇ_MOV[VALOR LÍQUIDO],LANÇ_MOV[RECEITA OU DESPESA],"Receita",LANÇ_MOV[CONTAS],$C1140,LANÇ_MOV[PLANO DE CONTAS],REL_DRE_FINANCEIRO!$B$1062,LANÇ_MOV[ANO PAGAMENTO],$B$4,LANÇ_MOV[MÊS PAGAMENTO CORRESPONDENTE],J$6,LANÇ_MOV[EMPRESA],$C$4,LANÇ_MOV[CENTRO DE CUSTOS],$D$4)</f>
        <v>0</v>
      </c>
      <c r="K1140" s="206">
        <f>SUMIFS(LANÇ_MOV[VALOR LÍQUIDO],LANÇ_MOV[RECEITA OU DESPESA],"Receita",LANÇ_MOV[CONTAS],$C1140,LANÇ_MOV[PLANO DE CONTAS],REL_DRE_FINANCEIRO!$B$1062,LANÇ_MOV[ANO PAGAMENTO],$B$4,LANÇ_MOV[MÊS PAGAMENTO CORRESPONDENTE],K$6,LANÇ_MOV[EMPRESA],$C$4,LANÇ_MOV[CENTRO DE CUSTOS],$D$4)</f>
        <v>0</v>
      </c>
      <c r="L1140" s="206">
        <f>SUMIFS(LANÇ_MOV[VALOR LÍQUIDO],LANÇ_MOV[RECEITA OU DESPESA],"Receita",LANÇ_MOV[CONTAS],$C1140,LANÇ_MOV[PLANO DE CONTAS],REL_DRE_FINANCEIRO!$B$1062,LANÇ_MOV[ANO PAGAMENTO],$B$4,LANÇ_MOV[MÊS PAGAMENTO CORRESPONDENTE],L$6,LANÇ_MOV[EMPRESA],$C$4,LANÇ_MOV[CENTRO DE CUSTOS],$D$4)</f>
        <v>0</v>
      </c>
      <c r="M1140" s="206">
        <f>SUMIFS(LANÇ_MOV[VALOR LÍQUIDO],LANÇ_MOV[RECEITA OU DESPESA],"Receita",LANÇ_MOV[CONTAS],$C1140,LANÇ_MOV[PLANO DE CONTAS],REL_DRE_FINANCEIRO!$B$1062,LANÇ_MOV[ANO PAGAMENTO],$B$4,LANÇ_MOV[MÊS PAGAMENTO CORRESPONDENTE],M$6,LANÇ_MOV[EMPRESA],$C$4,LANÇ_MOV[CENTRO DE CUSTOS],$D$4)</f>
        <v>0</v>
      </c>
      <c r="N1140" s="206">
        <f>SUMIFS(LANÇ_MOV[VALOR LÍQUIDO],LANÇ_MOV[RECEITA OU DESPESA],"Receita",LANÇ_MOV[CONTAS],$C1140,LANÇ_MOV[PLANO DE CONTAS],REL_DRE_FINANCEIRO!$B$1062,LANÇ_MOV[ANO PAGAMENTO],$B$4,LANÇ_MOV[MÊS PAGAMENTO CORRESPONDENTE],N$6,LANÇ_MOV[EMPRESA],$C$4,LANÇ_MOV[CENTRO DE CUSTOS],$D$4)</f>
        <v>0</v>
      </c>
      <c r="O1140" s="206">
        <f>SUMIFS(LANÇ_MOV[VALOR LÍQUIDO],LANÇ_MOV[RECEITA OU DESPESA],"Receita",LANÇ_MOV[CONTAS],$C1140,LANÇ_MOV[PLANO DE CONTAS],REL_DRE_FINANCEIRO!$B$1062,LANÇ_MOV[ANO PAGAMENTO],$B$4,LANÇ_MOV[MÊS PAGAMENTO CORRESPONDENTE],O$6,LANÇ_MOV[EMPRESA],$C$4,LANÇ_MOV[CENTRO DE CUSTOS],$D$4)</f>
        <v>0</v>
      </c>
      <c r="P1140" s="207">
        <f t="shared" si="139"/>
        <v>0</v>
      </c>
      <c r="Q1140" s="329">
        <v>2.3E-6</v>
      </c>
      <c r="R1140" s="346">
        <f t="shared" si="140"/>
        <v>2.3E-6</v>
      </c>
      <c r="S1140" s="347" t="str">
        <f t="shared" si="141"/>
        <v>-</v>
      </c>
      <c r="T1140" s="347">
        <f t="shared" si="142"/>
        <v>0</v>
      </c>
      <c r="U1140" s="347">
        <f>HLOOKUP(Apoio!$P$12,$D$1061:$P$1162,X1140,FALSE)+Q1140</f>
        <v>2.3E-6</v>
      </c>
      <c r="V1140" s="447" t="str">
        <f t="shared" si="143"/>
        <v>-</v>
      </c>
      <c r="W1140" s="448">
        <f>HLOOKUP(Apoio!$P$12,$D$1061:$P$1162,X1140,FALSE)</f>
        <v>0</v>
      </c>
      <c r="X1140" s="329">
        <v>80</v>
      </c>
    </row>
    <row r="1141" spans="2:24" ht="30.05" customHeight="1" x14ac:dyDescent="0.35">
      <c r="B1141" s="204" t="str">
        <f>'CAD_PL_REC-DESP'!H83</f>
        <v>1.3.79</v>
      </c>
      <c r="C1141" s="205" t="str">
        <f>IF('CAD_PL_REC-DESP'!I83="","-",'CAD_PL_REC-DESP'!I83)</f>
        <v>-</v>
      </c>
      <c r="D1141" s="206">
        <f>SUMIFS(LANÇ_MOV[VALOR LÍQUIDO],LANÇ_MOV[RECEITA OU DESPESA],"Receita",LANÇ_MOV[CONTAS],$C1141,LANÇ_MOV[PLANO DE CONTAS],REL_DRE_FINANCEIRO!$B$1062,LANÇ_MOV[ANO PAGAMENTO],$B$4,LANÇ_MOV[MÊS PAGAMENTO CORRESPONDENTE],D$6,LANÇ_MOV[EMPRESA],$C$4,LANÇ_MOV[CENTRO DE CUSTOS],$D$4)</f>
        <v>0</v>
      </c>
      <c r="E1141" s="206">
        <f>SUMIFS(LANÇ_MOV[VALOR LÍQUIDO],LANÇ_MOV[RECEITA OU DESPESA],"Receita",LANÇ_MOV[CONTAS],$C1141,LANÇ_MOV[PLANO DE CONTAS],REL_DRE_FINANCEIRO!$B$1062,LANÇ_MOV[ANO PAGAMENTO],$B$4,LANÇ_MOV[MÊS PAGAMENTO CORRESPONDENTE],E$6,LANÇ_MOV[EMPRESA],$C$4,LANÇ_MOV[CENTRO DE CUSTOS],$D$4)</f>
        <v>0</v>
      </c>
      <c r="F1141" s="206">
        <f>SUMIFS(LANÇ_MOV[VALOR LÍQUIDO],LANÇ_MOV[RECEITA OU DESPESA],"Receita",LANÇ_MOV[CONTAS],$C1141,LANÇ_MOV[PLANO DE CONTAS],REL_DRE_FINANCEIRO!$B$1062,LANÇ_MOV[ANO PAGAMENTO],$B$4,LANÇ_MOV[MÊS PAGAMENTO CORRESPONDENTE],F$6,LANÇ_MOV[EMPRESA],$C$4,LANÇ_MOV[CENTRO DE CUSTOS],$D$4)</f>
        <v>0</v>
      </c>
      <c r="G1141" s="206">
        <f>SUMIFS(LANÇ_MOV[VALOR LÍQUIDO],LANÇ_MOV[RECEITA OU DESPESA],"Receita",LANÇ_MOV[CONTAS],$C1141,LANÇ_MOV[PLANO DE CONTAS],REL_DRE_FINANCEIRO!$B$1062,LANÇ_MOV[ANO PAGAMENTO],$B$4,LANÇ_MOV[MÊS PAGAMENTO CORRESPONDENTE],G$6,LANÇ_MOV[EMPRESA],$C$4,LANÇ_MOV[CENTRO DE CUSTOS],$D$4)</f>
        <v>0</v>
      </c>
      <c r="H1141" s="206">
        <f>SUMIFS(LANÇ_MOV[VALOR LÍQUIDO],LANÇ_MOV[RECEITA OU DESPESA],"Receita",LANÇ_MOV[CONTAS],$C1141,LANÇ_MOV[PLANO DE CONTAS],REL_DRE_FINANCEIRO!$B$1062,LANÇ_MOV[ANO PAGAMENTO],$B$4,LANÇ_MOV[MÊS PAGAMENTO CORRESPONDENTE],H$6,LANÇ_MOV[EMPRESA],$C$4,LANÇ_MOV[CENTRO DE CUSTOS],$D$4)</f>
        <v>0</v>
      </c>
      <c r="I1141" s="206">
        <f>SUMIFS(LANÇ_MOV[VALOR LÍQUIDO],LANÇ_MOV[RECEITA OU DESPESA],"Receita",LANÇ_MOV[CONTAS],$C1141,LANÇ_MOV[PLANO DE CONTAS],REL_DRE_FINANCEIRO!$B$1062,LANÇ_MOV[ANO PAGAMENTO],$B$4,LANÇ_MOV[MÊS PAGAMENTO CORRESPONDENTE],I$6,LANÇ_MOV[EMPRESA],$C$4,LANÇ_MOV[CENTRO DE CUSTOS],$D$4)</f>
        <v>0</v>
      </c>
      <c r="J1141" s="206">
        <f>SUMIFS(LANÇ_MOV[VALOR LÍQUIDO],LANÇ_MOV[RECEITA OU DESPESA],"Receita",LANÇ_MOV[CONTAS],$C1141,LANÇ_MOV[PLANO DE CONTAS],REL_DRE_FINANCEIRO!$B$1062,LANÇ_MOV[ANO PAGAMENTO],$B$4,LANÇ_MOV[MÊS PAGAMENTO CORRESPONDENTE],J$6,LANÇ_MOV[EMPRESA],$C$4,LANÇ_MOV[CENTRO DE CUSTOS],$D$4)</f>
        <v>0</v>
      </c>
      <c r="K1141" s="206">
        <f>SUMIFS(LANÇ_MOV[VALOR LÍQUIDO],LANÇ_MOV[RECEITA OU DESPESA],"Receita",LANÇ_MOV[CONTAS],$C1141,LANÇ_MOV[PLANO DE CONTAS],REL_DRE_FINANCEIRO!$B$1062,LANÇ_MOV[ANO PAGAMENTO],$B$4,LANÇ_MOV[MÊS PAGAMENTO CORRESPONDENTE],K$6,LANÇ_MOV[EMPRESA],$C$4,LANÇ_MOV[CENTRO DE CUSTOS],$D$4)</f>
        <v>0</v>
      </c>
      <c r="L1141" s="206">
        <f>SUMIFS(LANÇ_MOV[VALOR LÍQUIDO],LANÇ_MOV[RECEITA OU DESPESA],"Receita",LANÇ_MOV[CONTAS],$C1141,LANÇ_MOV[PLANO DE CONTAS],REL_DRE_FINANCEIRO!$B$1062,LANÇ_MOV[ANO PAGAMENTO],$B$4,LANÇ_MOV[MÊS PAGAMENTO CORRESPONDENTE],L$6,LANÇ_MOV[EMPRESA],$C$4,LANÇ_MOV[CENTRO DE CUSTOS],$D$4)</f>
        <v>0</v>
      </c>
      <c r="M1141" s="206">
        <f>SUMIFS(LANÇ_MOV[VALOR LÍQUIDO],LANÇ_MOV[RECEITA OU DESPESA],"Receita",LANÇ_MOV[CONTAS],$C1141,LANÇ_MOV[PLANO DE CONTAS],REL_DRE_FINANCEIRO!$B$1062,LANÇ_MOV[ANO PAGAMENTO],$B$4,LANÇ_MOV[MÊS PAGAMENTO CORRESPONDENTE],M$6,LANÇ_MOV[EMPRESA],$C$4,LANÇ_MOV[CENTRO DE CUSTOS],$D$4)</f>
        <v>0</v>
      </c>
      <c r="N1141" s="206">
        <f>SUMIFS(LANÇ_MOV[VALOR LÍQUIDO],LANÇ_MOV[RECEITA OU DESPESA],"Receita",LANÇ_MOV[CONTAS],$C1141,LANÇ_MOV[PLANO DE CONTAS],REL_DRE_FINANCEIRO!$B$1062,LANÇ_MOV[ANO PAGAMENTO],$B$4,LANÇ_MOV[MÊS PAGAMENTO CORRESPONDENTE],N$6,LANÇ_MOV[EMPRESA],$C$4,LANÇ_MOV[CENTRO DE CUSTOS],$D$4)</f>
        <v>0</v>
      </c>
      <c r="O1141" s="206">
        <f>SUMIFS(LANÇ_MOV[VALOR LÍQUIDO],LANÇ_MOV[RECEITA OU DESPESA],"Receita",LANÇ_MOV[CONTAS],$C1141,LANÇ_MOV[PLANO DE CONTAS],REL_DRE_FINANCEIRO!$B$1062,LANÇ_MOV[ANO PAGAMENTO],$B$4,LANÇ_MOV[MÊS PAGAMENTO CORRESPONDENTE],O$6,LANÇ_MOV[EMPRESA],$C$4,LANÇ_MOV[CENTRO DE CUSTOS],$D$4)</f>
        <v>0</v>
      </c>
      <c r="P1141" s="207">
        <f t="shared" si="139"/>
        <v>0</v>
      </c>
      <c r="Q1141" s="329">
        <v>2.2000000000000001E-6</v>
      </c>
      <c r="R1141" s="346">
        <f t="shared" si="140"/>
        <v>2.2000000000000001E-6</v>
      </c>
      <c r="S1141" s="347" t="str">
        <f t="shared" si="141"/>
        <v>-</v>
      </c>
      <c r="T1141" s="347">
        <f t="shared" si="142"/>
        <v>0</v>
      </c>
      <c r="U1141" s="347">
        <f>HLOOKUP(Apoio!$P$12,$D$1061:$P$1162,X1141,FALSE)+Q1141</f>
        <v>2.2000000000000001E-6</v>
      </c>
      <c r="V1141" s="447" t="str">
        <f t="shared" si="143"/>
        <v>-</v>
      </c>
      <c r="W1141" s="448">
        <f>HLOOKUP(Apoio!$P$12,$D$1061:$P$1162,X1141,FALSE)</f>
        <v>0</v>
      </c>
      <c r="X1141" s="329">
        <v>81</v>
      </c>
    </row>
    <row r="1142" spans="2:24" ht="30.05" customHeight="1" x14ac:dyDescent="0.35">
      <c r="B1142" s="204" t="str">
        <f>'CAD_PL_REC-DESP'!H84</f>
        <v>1.3.80</v>
      </c>
      <c r="C1142" s="205" t="str">
        <f>IF('CAD_PL_REC-DESP'!I84="","-",'CAD_PL_REC-DESP'!I84)</f>
        <v>-</v>
      </c>
      <c r="D1142" s="206">
        <f>SUMIFS(LANÇ_MOV[VALOR LÍQUIDO],LANÇ_MOV[RECEITA OU DESPESA],"Receita",LANÇ_MOV[CONTAS],$C1142,LANÇ_MOV[PLANO DE CONTAS],REL_DRE_FINANCEIRO!$B$1062,LANÇ_MOV[ANO PAGAMENTO],$B$4,LANÇ_MOV[MÊS PAGAMENTO CORRESPONDENTE],D$6,LANÇ_MOV[EMPRESA],$C$4,LANÇ_MOV[CENTRO DE CUSTOS],$D$4)</f>
        <v>0</v>
      </c>
      <c r="E1142" s="206">
        <f>SUMIFS(LANÇ_MOV[VALOR LÍQUIDO],LANÇ_MOV[RECEITA OU DESPESA],"Receita",LANÇ_MOV[CONTAS],$C1142,LANÇ_MOV[PLANO DE CONTAS],REL_DRE_FINANCEIRO!$B$1062,LANÇ_MOV[ANO PAGAMENTO],$B$4,LANÇ_MOV[MÊS PAGAMENTO CORRESPONDENTE],E$6,LANÇ_MOV[EMPRESA],$C$4,LANÇ_MOV[CENTRO DE CUSTOS],$D$4)</f>
        <v>0</v>
      </c>
      <c r="F1142" s="206">
        <f>SUMIFS(LANÇ_MOV[VALOR LÍQUIDO],LANÇ_MOV[RECEITA OU DESPESA],"Receita",LANÇ_MOV[CONTAS],$C1142,LANÇ_MOV[PLANO DE CONTAS],REL_DRE_FINANCEIRO!$B$1062,LANÇ_MOV[ANO PAGAMENTO],$B$4,LANÇ_MOV[MÊS PAGAMENTO CORRESPONDENTE],F$6,LANÇ_MOV[EMPRESA],$C$4,LANÇ_MOV[CENTRO DE CUSTOS],$D$4)</f>
        <v>0</v>
      </c>
      <c r="G1142" s="206">
        <f>SUMIFS(LANÇ_MOV[VALOR LÍQUIDO],LANÇ_MOV[RECEITA OU DESPESA],"Receita",LANÇ_MOV[CONTAS],$C1142,LANÇ_MOV[PLANO DE CONTAS],REL_DRE_FINANCEIRO!$B$1062,LANÇ_MOV[ANO PAGAMENTO],$B$4,LANÇ_MOV[MÊS PAGAMENTO CORRESPONDENTE],G$6,LANÇ_MOV[EMPRESA],$C$4,LANÇ_MOV[CENTRO DE CUSTOS],$D$4)</f>
        <v>0</v>
      </c>
      <c r="H1142" s="206">
        <f>SUMIFS(LANÇ_MOV[VALOR LÍQUIDO],LANÇ_MOV[RECEITA OU DESPESA],"Receita",LANÇ_MOV[CONTAS],$C1142,LANÇ_MOV[PLANO DE CONTAS],REL_DRE_FINANCEIRO!$B$1062,LANÇ_MOV[ANO PAGAMENTO],$B$4,LANÇ_MOV[MÊS PAGAMENTO CORRESPONDENTE],H$6,LANÇ_MOV[EMPRESA],$C$4,LANÇ_MOV[CENTRO DE CUSTOS],$D$4)</f>
        <v>0</v>
      </c>
      <c r="I1142" s="206">
        <f>SUMIFS(LANÇ_MOV[VALOR LÍQUIDO],LANÇ_MOV[RECEITA OU DESPESA],"Receita",LANÇ_MOV[CONTAS],$C1142,LANÇ_MOV[PLANO DE CONTAS],REL_DRE_FINANCEIRO!$B$1062,LANÇ_MOV[ANO PAGAMENTO],$B$4,LANÇ_MOV[MÊS PAGAMENTO CORRESPONDENTE],I$6,LANÇ_MOV[EMPRESA],$C$4,LANÇ_MOV[CENTRO DE CUSTOS],$D$4)</f>
        <v>0</v>
      </c>
      <c r="J1142" s="206">
        <f>SUMIFS(LANÇ_MOV[VALOR LÍQUIDO],LANÇ_MOV[RECEITA OU DESPESA],"Receita",LANÇ_MOV[CONTAS],$C1142,LANÇ_MOV[PLANO DE CONTAS],REL_DRE_FINANCEIRO!$B$1062,LANÇ_MOV[ANO PAGAMENTO],$B$4,LANÇ_MOV[MÊS PAGAMENTO CORRESPONDENTE],J$6,LANÇ_MOV[EMPRESA],$C$4,LANÇ_MOV[CENTRO DE CUSTOS],$D$4)</f>
        <v>0</v>
      </c>
      <c r="K1142" s="206">
        <f>SUMIFS(LANÇ_MOV[VALOR LÍQUIDO],LANÇ_MOV[RECEITA OU DESPESA],"Receita",LANÇ_MOV[CONTAS],$C1142,LANÇ_MOV[PLANO DE CONTAS],REL_DRE_FINANCEIRO!$B$1062,LANÇ_MOV[ANO PAGAMENTO],$B$4,LANÇ_MOV[MÊS PAGAMENTO CORRESPONDENTE],K$6,LANÇ_MOV[EMPRESA],$C$4,LANÇ_MOV[CENTRO DE CUSTOS],$D$4)</f>
        <v>0</v>
      </c>
      <c r="L1142" s="206">
        <f>SUMIFS(LANÇ_MOV[VALOR LÍQUIDO],LANÇ_MOV[RECEITA OU DESPESA],"Receita",LANÇ_MOV[CONTAS],$C1142,LANÇ_MOV[PLANO DE CONTAS],REL_DRE_FINANCEIRO!$B$1062,LANÇ_MOV[ANO PAGAMENTO],$B$4,LANÇ_MOV[MÊS PAGAMENTO CORRESPONDENTE],L$6,LANÇ_MOV[EMPRESA],$C$4,LANÇ_MOV[CENTRO DE CUSTOS],$D$4)</f>
        <v>0</v>
      </c>
      <c r="M1142" s="206">
        <f>SUMIFS(LANÇ_MOV[VALOR LÍQUIDO],LANÇ_MOV[RECEITA OU DESPESA],"Receita",LANÇ_MOV[CONTAS],$C1142,LANÇ_MOV[PLANO DE CONTAS],REL_DRE_FINANCEIRO!$B$1062,LANÇ_MOV[ANO PAGAMENTO],$B$4,LANÇ_MOV[MÊS PAGAMENTO CORRESPONDENTE],M$6,LANÇ_MOV[EMPRESA],$C$4,LANÇ_MOV[CENTRO DE CUSTOS],$D$4)</f>
        <v>0</v>
      </c>
      <c r="N1142" s="206">
        <f>SUMIFS(LANÇ_MOV[VALOR LÍQUIDO],LANÇ_MOV[RECEITA OU DESPESA],"Receita",LANÇ_MOV[CONTAS],$C1142,LANÇ_MOV[PLANO DE CONTAS],REL_DRE_FINANCEIRO!$B$1062,LANÇ_MOV[ANO PAGAMENTO],$B$4,LANÇ_MOV[MÊS PAGAMENTO CORRESPONDENTE],N$6,LANÇ_MOV[EMPRESA],$C$4,LANÇ_MOV[CENTRO DE CUSTOS],$D$4)</f>
        <v>0</v>
      </c>
      <c r="O1142" s="206">
        <f>SUMIFS(LANÇ_MOV[VALOR LÍQUIDO],LANÇ_MOV[RECEITA OU DESPESA],"Receita",LANÇ_MOV[CONTAS],$C1142,LANÇ_MOV[PLANO DE CONTAS],REL_DRE_FINANCEIRO!$B$1062,LANÇ_MOV[ANO PAGAMENTO],$B$4,LANÇ_MOV[MÊS PAGAMENTO CORRESPONDENTE],O$6,LANÇ_MOV[EMPRESA],$C$4,LANÇ_MOV[CENTRO DE CUSTOS],$D$4)</f>
        <v>0</v>
      </c>
      <c r="P1142" s="207">
        <f t="shared" si="139"/>
        <v>0</v>
      </c>
      <c r="Q1142" s="329">
        <v>2.0999999999999998E-6</v>
      </c>
      <c r="R1142" s="346">
        <f t="shared" si="140"/>
        <v>2.0999999999999998E-6</v>
      </c>
      <c r="S1142" s="347" t="str">
        <f t="shared" si="141"/>
        <v>-</v>
      </c>
      <c r="T1142" s="347">
        <f t="shared" si="142"/>
        <v>0</v>
      </c>
      <c r="U1142" s="347">
        <f>HLOOKUP(Apoio!$P$12,$D$1061:$P$1162,X1142,FALSE)+Q1142</f>
        <v>2.0999999999999998E-6</v>
      </c>
      <c r="V1142" s="447" t="str">
        <f t="shared" si="143"/>
        <v>-</v>
      </c>
      <c r="W1142" s="448">
        <f>HLOOKUP(Apoio!$P$12,$D$1061:$P$1162,X1142,FALSE)</f>
        <v>0</v>
      </c>
      <c r="X1142" s="329">
        <v>82</v>
      </c>
    </row>
    <row r="1143" spans="2:24" ht="30.05" customHeight="1" x14ac:dyDescent="0.35">
      <c r="B1143" s="204" t="str">
        <f>'CAD_PL_REC-DESP'!H85</f>
        <v>1.3.81</v>
      </c>
      <c r="C1143" s="205" t="str">
        <f>IF('CAD_PL_REC-DESP'!I85="","-",'CAD_PL_REC-DESP'!I85)</f>
        <v>-</v>
      </c>
      <c r="D1143" s="206">
        <f>SUMIFS(LANÇ_MOV[VALOR LÍQUIDO],LANÇ_MOV[RECEITA OU DESPESA],"Receita",LANÇ_MOV[CONTAS],$C1143,LANÇ_MOV[PLANO DE CONTAS],REL_DRE_FINANCEIRO!$B$1062,LANÇ_MOV[ANO PAGAMENTO],$B$4,LANÇ_MOV[MÊS PAGAMENTO CORRESPONDENTE],D$6,LANÇ_MOV[EMPRESA],$C$4,LANÇ_MOV[CENTRO DE CUSTOS],$D$4)</f>
        <v>0</v>
      </c>
      <c r="E1143" s="206">
        <f>SUMIFS(LANÇ_MOV[VALOR LÍQUIDO],LANÇ_MOV[RECEITA OU DESPESA],"Receita",LANÇ_MOV[CONTAS],$C1143,LANÇ_MOV[PLANO DE CONTAS],REL_DRE_FINANCEIRO!$B$1062,LANÇ_MOV[ANO PAGAMENTO],$B$4,LANÇ_MOV[MÊS PAGAMENTO CORRESPONDENTE],E$6,LANÇ_MOV[EMPRESA],$C$4,LANÇ_MOV[CENTRO DE CUSTOS],$D$4)</f>
        <v>0</v>
      </c>
      <c r="F1143" s="206">
        <f>SUMIFS(LANÇ_MOV[VALOR LÍQUIDO],LANÇ_MOV[RECEITA OU DESPESA],"Receita",LANÇ_MOV[CONTAS],$C1143,LANÇ_MOV[PLANO DE CONTAS],REL_DRE_FINANCEIRO!$B$1062,LANÇ_MOV[ANO PAGAMENTO],$B$4,LANÇ_MOV[MÊS PAGAMENTO CORRESPONDENTE],F$6,LANÇ_MOV[EMPRESA],$C$4,LANÇ_MOV[CENTRO DE CUSTOS],$D$4)</f>
        <v>0</v>
      </c>
      <c r="G1143" s="206">
        <f>SUMIFS(LANÇ_MOV[VALOR LÍQUIDO],LANÇ_MOV[RECEITA OU DESPESA],"Receita",LANÇ_MOV[CONTAS],$C1143,LANÇ_MOV[PLANO DE CONTAS],REL_DRE_FINANCEIRO!$B$1062,LANÇ_MOV[ANO PAGAMENTO],$B$4,LANÇ_MOV[MÊS PAGAMENTO CORRESPONDENTE],G$6,LANÇ_MOV[EMPRESA],$C$4,LANÇ_MOV[CENTRO DE CUSTOS],$D$4)</f>
        <v>0</v>
      </c>
      <c r="H1143" s="206">
        <f>SUMIFS(LANÇ_MOV[VALOR LÍQUIDO],LANÇ_MOV[RECEITA OU DESPESA],"Receita",LANÇ_MOV[CONTAS],$C1143,LANÇ_MOV[PLANO DE CONTAS],REL_DRE_FINANCEIRO!$B$1062,LANÇ_MOV[ANO PAGAMENTO],$B$4,LANÇ_MOV[MÊS PAGAMENTO CORRESPONDENTE],H$6,LANÇ_MOV[EMPRESA],$C$4,LANÇ_MOV[CENTRO DE CUSTOS],$D$4)</f>
        <v>0</v>
      </c>
      <c r="I1143" s="206">
        <f>SUMIFS(LANÇ_MOV[VALOR LÍQUIDO],LANÇ_MOV[RECEITA OU DESPESA],"Receita",LANÇ_MOV[CONTAS],$C1143,LANÇ_MOV[PLANO DE CONTAS],REL_DRE_FINANCEIRO!$B$1062,LANÇ_MOV[ANO PAGAMENTO],$B$4,LANÇ_MOV[MÊS PAGAMENTO CORRESPONDENTE],I$6,LANÇ_MOV[EMPRESA],$C$4,LANÇ_MOV[CENTRO DE CUSTOS],$D$4)</f>
        <v>0</v>
      </c>
      <c r="J1143" s="206">
        <f>SUMIFS(LANÇ_MOV[VALOR LÍQUIDO],LANÇ_MOV[RECEITA OU DESPESA],"Receita",LANÇ_MOV[CONTAS],$C1143,LANÇ_MOV[PLANO DE CONTAS],REL_DRE_FINANCEIRO!$B$1062,LANÇ_MOV[ANO PAGAMENTO],$B$4,LANÇ_MOV[MÊS PAGAMENTO CORRESPONDENTE],J$6,LANÇ_MOV[EMPRESA],$C$4,LANÇ_MOV[CENTRO DE CUSTOS],$D$4)</f>
        <v>0</v>
      </c>
      <c r="K1143" s="206">
        <f>SUMIFS(LANÇ_MOV[VALOR LÍQUIDO],LANÇ_MOV[RECEITA OU DESPESA],"Receita",LANÇ_MOV[CONTAS],$C1143,LANÇ_MOV[PLANO DE CONTAS],REL_DRE_FINANCEIRO!$B$1062,LANÇ_MOV[ANO PAGAMENTO],$B$4,LANÇ_MOV[MÊS PAGAMENTO CORRESPONDENTE],K$6,LANÇ_MOV[EMPRESA],$C$4,LANÇ_MOV[CENTRO DE CUSTOS],$D$4)</f>
        <v>0</v>
      </c>
      <c r="L1143" s="206">
        <f>SUMIFS(LANÇ_MOV[VALOR LÍQUIDO],LANÇ_MOV[RECEITA OU DESPESA],"Receita",LANÇ_MOV[CONTAS],$C1143,LANÇ_MOV[PLANO DE CONTAS],REL_DRE_FINANCEIRO!$B$1062,LANÇ_MOV[ANO PAGAMENTO],$B$4,LANÇ_MOV[MÊS PAGAMENTO CORRESPONDENTE],L$6,LANÇ_MOV[EMPRESA],$C$4,LANÇ_MOV[CENTRO DE CUSTOS],$D$4)</f>
        <v>0</v>
      </c>
      <c r="M1143" s="206">
        <f>SUMIFS(LANÇ_MOV[VALOR LÍQUIDO],LANÇ_MOV[RECEITA OU DESPESA],"Receita",LANÇ_MOV[CONTAS],$C1143,LANÇ_MOV[PLANO DE CONTAS],REL_DRE_FINANCEIRO!$B$1062,LANÇ_MOV[ANO PAGAMENTO],$B$4,LANÇ_MOV[MÊS PAGAMENTO CORRESPONDENTE],M$6,LANÇ_MOV[EMPRESA],$C$4,LANÇ_MOV[CENTRO DE CUSTOS],$D$4)</f>
        <v>0</v>
      </c>
      <c r="N1143" s="206">
        <f>SUMIFS(LANÇ_MOV[VALOR LÍQUIDO],LANÇ_MOV[RECEITA OU DESPESA],"Receita",LANÇ_MOV[CONTAS],$C1143,LANÇ_MOV[PLANO DE CONTAS],REL_DRE_FINANCEIRO!$B$1062,LANÇ_MOV[ANO PAGAMENTO],$B$4,LANÇ_MOV[MÊS PAGAMENTO CORRESPONDENTE],N$6,LANÇ_MOV[EMPRESA],$C$4,LANÇ_MOV[CENTRO DE CUSTOS],$D$4)</f>
        <v>0</v>
      </c>
      <c r="O1143" s="206">
        <f>SUMIFS(LANÇ_MOV[VALOR LÍQUIDO],LANÇ_MOV[RECEITA OU DESPESA],"Receita",LANÇ_MOV[CONTAS],$C1143,LANÇ_MOV[PLANO DE CONTAS],REL_DRE_FINANCEIRO!$B$1062,LANÇ_MOV[ANO PAGAMENTO],$B$4,LANÇ_MOV[MÊS PAGAMENTO CORRESPONDENTE],O$6,LANÇ_MOV[EMPRESA],$C$4,LANÇ_MOV[CENTRO DE CUSTOS],$D$4)</f>
        <v>0</v>
      </c>
      <c r="P1143" s="207">
        <f t="shared" si="139"/>
        <v>0</v>
      </c>
      <c r="Q1143" s="329">
        <v>1.9999999999999999E-6</v>
      </c>
      <c r="R1143" s="346">
        <f t="shared" si="140"/>
        <v>1.9999999999999999E-6</v>
      </c>
      <c r="S1143" s="347" t="str">
        <f t="shared" si="141"/>
        <v>-</v>
      </c>
      <c r="T1143" s="347">
        <f t="shared" si="142"/>
        <v>0</v>
      </c>
      <c r="U1143" s="347">
        <f>HLOOKUP(Apoio!$P$12,$D$1061:$P$1162,X1143,FALSE)+Q1143</f>
        <v>1.9999999999999999E-6</v>
      </c>
      <c r="V1143" s="447" t="str">
        <f t="shared" si="143"/>
        <v>-</v>
      </c>
      <c r="W1143" s="448">
        <f>HLOOKUP(Apoio!$P$12,$D$1061:$P$1162,X1143,FALSE)</f>
        <v>0</v>
      </c>
      <c r="X1143" s="329">
        <v>83</v>
      </c>
    </row>
    <row r="1144" spans="2:24" ht="30.05" customHeight="1" x14ac:dyDescent="0.35">
      <c r="B1144" s="204" t="str">
        <f>'CAD_PL_REC-DESP'!H86</f>
        <v>1.3.82</v>
      </c>
      <c r="C1144" s="205" t="str">
        <f>IF('CAD_PL_REC-DESP'!I86="","-",'CAD_PL_REC-DESP'!I86)</f>
        <v>-</v>
      </c>
      <c r="D1144" s="206">
        <f>SUMIFS(LANÇ_MOV[VALOR LÍQUIDO],LANÇ_MOV[RECEITA OU DESPESA],"Receita",LANÇ_MOV[CONTAS],$C1144,LANÇ_MOV[PLANO DE CONTAS],REL_DRE_FINANCEIRO!$B$1062,LANÇ_MOV[ANO PAGAMENTO],$B$4,LANÇ_MOV[MÊS PAGAMENTO CORRESPONDENTE],D$6,LANÇ_MOV[EMPRESA],$C$4,LANÇ_MOV[CENTRO DE CUSTOS],$D$4)</f>
        <v>0</v>
      </c>
      <c r="E1144" s="206">
        <f>SUMIFS(LANÇ_MOV[VALOR LÍQUIDO],LANÇ_MOV[RECEITA OU DESPESA],"Receita",LANÇ_MOV[CONTAS],$C1144,LANÇ_MOV[PLANO DE CONTAS],REL_DRE_FINANCEIRO!$B$1062,LANÇ_MOV[ANO PAGAMENTO],$B$4,LANÇ_MOV[MÊS PAGAMENTO CORRESPONDENTE],E$6,LANÇ_MOV[EMPRESA],$C$4,LANÇ_MOV[CENTRO DE CUSTOS],$D$4)</f>
        <v>0</v>
      </c>
      <c r="F1144" s="206">
        <f>SUMIFS(LANÇ_MOV[VALOR LÍQUIDO],LANÇ_MOV[RECEITA OU DESPESA],"Receita",LANÇ_MOV[CONTAS],$C1144,LANÇ_MOV[PLANO DE CONTAS],REL_DRE_FINANCEIRO!$B$1062,LANÇ_MOV[ANO PAGAMENTO],$B$4,LANÇ_MOV[MÊS PAGAMENTO CORRESPONDENTE],F$6,LANÇ_MOV[EMPRESA],$C$4,LANÇ_MOV[CENTRO DE CUSTOS],$D$4)</f>
        <v>0</v>
      </c>
      <c r="G1144" s="206">
        <f>SUMIFS(LANÇ_MOV[VALOR LÍQUIDO],LANÇ_MOV[RECEITA OU DESPESA],"Receita",LANÇ_MOV[CONTAS],$C1144,LANÇ_MOV[PLANO DE CONTAS],REL_DRE_FINANCEIRO!$B$1062,LANÇ_MOV[ANO PAGAMENTO],$B$4,LANÇ_MOV[MÊS PAGAMENTO CORRESPONDENTE],G$6,LANÇ_MOV[EMPRESA],$C$4,LANÇ_MOV[CENTRO DE CUSTOS],$D$4)</f>
        <v>0</v>
      </c>
      <c r="H1144" s="206">
        <f>SUMIFS(LANÇ_MOV[VALOR LÍQUIDO],LANÇ_MOV[RECEITA OU DESPESA],"Receita",LANÇ_MOV[CONTAS],$C1144,LANÇ_MOV[PLANO DE CONTAS],REL_DRE_FINANCEIRO!$B$1062,LANÇ_MOV[ANO PAGAMENTO],$B$4,LANÇ_MOV[MÊS PAGAMENTO CORRESPONDENTE],H$6,LANÇ_MOV[EMPRESA],$C$4,LANÇ_MOV[CENTRO DE CUSTOS],$D$4)</f>
        <v>0</v>
      </c>
      <c r="I1144" s="206">
        <f>SUMIFS(LANÇ_MOV[VALOR LÍQUIDO],LANÇ_MOV[RECEITA OU DESPESA],"Receita",LANÇ_MOV[CONTAS],$C1144,LANÇ_MOV[PLANO DE CONTAS],REL_DRE_FINANCEIRO!$B$1062,LANÇ_MOV[ANO PAGAMENTO],$B$4,LANÇ_MOV[MÊS PAGAMENTO CORRESPONDENTE],I$6,LANÇ_MOV[EMPRESA],$C$4,LANÇ_MOV[CENTRO DE CUSTOS],$D$4)</f>
        <v>0</v>
      </c>
      <c r="J1144" s="206">
        <f>SUMIFS(LANÇ_MOV[VALOR LÍQUIDO],LANÇ_MOV[RECEITA OU DESPESA],"Receita",LANÇ_MOV[CONTAS],$C1144,LANÇ_MOV[PLANO DE CONTAS],REL_DRE_FINANCEIRO!$B$1062,LANÇ_MOV[ANO PAGAMENTO],$B$4,LANÇ_MOV[MÊS PAGAMENTO CORRESPONDENTE],J$6,LANÇ_MOV[EMPRESA],$C$4,LANÇ_MOV[CENTRO DE CUSTOS],$D$4)</f>
        <v>0</v>
      </c>
      <c r="K1144" s="206">
        <f>SUMIFS(LANÇ_MOV[VALOR LÍQUIDO],LANÇ_MOV[RECEITA OU DESPESA],"Receita",LANÇ_MOV[CONTAS],$C1144,LANÇ_MOV[PLANO DE CONTAS],REL_DRE_FINANCEIRO!$B$1062,LANÇ_MOV[ANO PAGAMENTO],$B$4,LANÇ_MOV[MÊS PAGAMENTO CORRESPONDENTE],K$6,LANÇ_MOV[EMPRESA],$C$4,LANÇ_MOV[CENTRO DE CUSTOS],$D$4)</f>
        <v>0</v>
      </c>
      <c r="L1144" s="206">
        <f>SUMIFS(LANÇ_MOV[VALOR LÍQUIDO],LANÇ_MOV[RECEITA OU DESPESA],"Receita",LANÇ_MOV[CONTAS],$C1144,LANÇ_MOV[PLANO DE CONTAS],REL_DRE_FINANCEIRO!$B$1062,LANÇ_MOV[ANO PAGAMENTO],$B$4,LANÇ_MOV[MÊS PAGAMENTO CORRESPONDENTE],L$6,LANÇ_MOV[EMPRESA],$C$4,LANÇ_MOV[CENTRO DE CUSTOS],$D$4)</f>
        <v>0</v>
      </c>
      <c r="M1144" s="206">
        <f>SUMIFS(LANÇ_MOV[VALOR LÍQUIDO],LANÇ_MOV[RECEITA OU DESPESA],"Receita",LANÇ_MOV[CONTAS],$C1144,LANÇ_MOV[PLANO DE CONTAS],REL_DRE_FINANCEIRO!$B$1062,LANÇ_MOV[ANO PAGAMENTO],$B$4,LANÇ_MOV[MÊS PAGAMENTO CORRESPONDENTE],M$6,LANÇ_MOV[EMPRESA],$C$4,LANÇ_MOV[CENTRO DE CUSTOS],$D$4)</f>
        <v>0</v>
      </c>
      <c r="N1144" s="206">
        <f>SUMIFS(LANÇ_MOV[VALOR LÍQUIDO],LANÇ_MOV[RECEITA OU DESPESA],"Receita",LANÇ_MOV[CONTAS],$C1144,LANÇ_MOV[PLANO DE CONTAS],REL_DRE_FINANCEIRO!$B$1062,LANÇ_MOV[ANO PAGAMENTO],$B$4,LANÇ_MOV[MÊS PAGAMENTO CORRESPONDENTE],N$6,LANÇ_MOV[EMPRESA],$C$4,LANÇ_MOV[CENTRO DE CUSTOS],$D$4)</f>
        <v>0</v>
      </c>
      <c r="O1144" s="206">
        <f>SUMIFS(LANÇ_MOV[VALOR LÍQUIDO],LANÇ_MOV[RECEITA OU DESPESA],"Receita",LANÇ_MOV[CONTAS],$C1144,LANÇ_MOV[PLANO DE CONTAS],REL_DRE_FINANCEIRO!$B$1062,LANÇ_MOV[ANO PAGAMENTO],$B$4,LANÇ_MOV[MÊS PAGAMENTO CORRESPONDENTE],O$6,LANÇ_MOV[EMPRESA],$C$4,LANÇ_MOV[CENTRO DE CUSTOS],$D$4)</f>
        <v>0</v>
      </c>
      <c r="P1144" s="207">
        <f t="shared" si="139"/>
        <v>0</v>
      </c>
      <c r="Q1144" s="329">
        <v>1.9E-6</v>
      </c>
      <c r="R1144" s="346">
        <f t="shared" si="140"/>
        <v>1.9E-6</v>
      </c>
      <c r="S1144" s="347" t="str">
        <f t="shared" si="141"/>
        <v>-</v>
      </c>
      <c r="T1144" s="347">
        <f t="shared" si="142"/>
        <v>0</v>
      </c>
      <c r="U1144" s="347">
        <f>HLOOKUP(Apoio!$P$12,$D$1061:$P$1162,X1144,FALSE)+Q1144</f>
        <v>1.9E-6</v>
      </c>
      <c r="V1144" s="447" t="str">
        <f t="shared" si="143"/>
        <v>-</v>
      </c>
      <c r="W1144" s="448">
        <f>HLOOKUP(Apoio!$P$12,$D$1061:$P$1162,X1144,FALSE)</f>
        <v>0</v>
      </c>
      <c r="X1144" s="329">
        <v>84</v>
      </c>
    </row>
    <row r="1145" spans="2:24" ht="30.05" customHeight="1" x14ac:dyDescent="0.35">
      <c r="B1145" s="204" t="str">
        <f>'CAD_PL_REC-DESP'!H87</f>
        <v>1.3.83</v>
      </c>
      <c r="C1145" s="205" t="str">
        <f>IF('CAD_PL_REC-DESP'!I87="","-",'CAD_PL_REC-DESP'!I87)</f>
        <v>-</v>
      </c>
      <c r="D1145" s="206">
        <f>SUMIFS(LANÇ_MOV[VALOR LÍQUIDO],LANÇ_MOV[RECEITA OU DESPESA],"Receita",LANÇ_MOV[CONTAS],$C1145,LANÇ_MOV[PLANO DE CONTAS],REL_DRE_FINANCEIRO!$B$1062,LANÇ_MOV[ANO PAGAMENTO],$B$4,LANÇ_MOV[MÊS PAGAMENTO CORRESPONDENTE],D$6,LANÇ_MOV[EMPRESA],$C$4,LANÇ_MOV[CENTRO DE CUSTOS],$D$4)</f>
        <v>0</v>
      </c>
      <c r="E1145" s="206">
        <f>SUMIFS(LANÇ_MOV[VALOR LÍQUIDO],LANÇ_MOV[RECEITA OU DESPESA],"Receita",LANÇ_MOV[CONTAS],$C1145,LANÇ_MOV[PLANO DE CONTAS],REL_DRE_FINANCEIRO!$B$1062,LANÇ_MOV[ANO PAGAMENTO],$B$4,LANÇ_MOV[MÊS PAGAMENTO CORRESPONDENTE],E$6,LANÇ_MOV[EMPRESA],$C$4,LANÇ_MOV[CENTRO DE CUSTOS],$D$4)</f>
        <v>0</v>
      </c>
      <c r="F1145" s="206">
        <f>SUMIFS(LANÇ_MOV[VALOR LÍQUIDO],LANÇ_MOV[RECEITA OU DESPESA],"Receita",LANÇ_MOV[CONTAS],$C1145,LANÇ_MOV[PLANO DE CONTAS],REL_DRE_FINANCEIRO!$B$1062,LANÇ_MOV[ANO PAGAMENTO],$B$4,LANÇ_MOV[MÊS PAGAMENTO CORRESPONDENTE],F$6,LANÇ_MOV[EMPRESA],$C$4,LANÇ_MOV[CENTRO DE CUSTOS],$D$4)</f>
        <v>0</v>
      </c>
      <c r="G1145" s="206">
        <f>SUMIFS(LANÇ_MOV[VALOR LÍQUIDO],LANÇ_MOV[RECEITA OU DESPESA],"Receita",LANÇ_MOV[CONTAS],$C1145,LANÇ_MOV[PLANO DE CONTAS],REL_DRE_FINANCEIRO!$B$1062,LANÇ_MOV[ANO PAGAMENTO],$B$4,LANÇ_MOV[MÊS PAGAMENTO CORRESPONDENTE],G$6,LANÇ_MOV[EMPRESA],$C$4,LANÇ_MOV[CENTRO DE CUSTOS],$D$4)</f>
        <v>0</v>
      </c>
      <c r="H1145" s="206">
        <f>SUMIFS(LANÇ_MOV[VALOR LÍQUIDO],LANÇ_MOV[RECEITA OU DESPESA],"Receita",LANÇ_MOV[CONTAS],$C1145,LANÇ_MOV[PLANO DE CONTAS],REL_DRE_FINANCEIRO!$B$1062,LANÇ_MOV[ANO PAGAMENTO],$B$4,LANÇ_MOV[MÊS PAGAMENTO CORRESPONDENTE],H$6,LANÇ_MOV[EMPRESA],$C$4,LANÇ_MOV[CENTRO DE CUSTOS],$D$4)</f>
        <v>0</v>
      </c>
      <c r="I1145" s="206">
        <f>SUMIFS(LANÇ_MOV[VALOR LÍQUIDO],LANÇ_MOV[RECEITA OU DESPESA],"Receita",LANÇ_MOV[CONTAS],$C1145,LANÇ_MOV[PLANO DE CONTAS],REL_DRE_FINANCEIRO!$B$1062,LANÇ_MOV[ANO PAGAMENTO],$B$4,LANÇ_MOV[MÊS PAGAMENTO CORRESPONDENTE],I$6,LANÇ_MOV[EMPRESA],$C$4,LANÇ_MOV[CENTRO DE CUSTOS],$D$4)</f>
        <v>0</v>
      </c>
      <c r="J1145" s="206">
        <f>SUMIFS(LANÇ_MOV[VALOR LÍQUIDO],LANÇ_MOV[RECEITA OU DESPESA],"Receita",LANÇ_MOV[CONTAS],$C1145,LANÇ_MOV[PLANO DE CONTAS],REL_DRE_FINANCEIRO!$B$1062,LANÇ_MOV[ANO PAGAMENTO],$B$4,LANÇ_MOV[MÊS PAGAMENTO CORRESPONDENTE],J$6,LANÇ_MOV[EMPRESA],$C$4,LANÇ_MOV[CENTRO DE CUSTOS],$D$4)</f>
        <v>0</v>
      </c>
      <c r="K1145" s="206">
        <f>SUMIFS(LANÇ_MOV[VALOR LÍQUIDO],LANÇ_MOV[RECEITA OU DESPESA],"Receita",LANÇ_MOV[CONTAS],$C1145,LANÇ_MOV[PLANO DE CONTAS],REL_DRE_FINANCEIRO!$B$1062,LANÇ_MOV[ANO PAGAMENTO],$B$4,LANÇ_MOV[MÊS PAGAMENTO CORRESPONDENTE],K$6,LANÇ_MOV[EMPRESA],$C$4,LANÇ_MOV[CENTRO DE CUSTOS],$D$4)</f>
        <v>0</v>
      </c>
      <c r="L1145" s="206">
        <f>SUMIFS(LANÇ_MOV[VALOR LÍQUIDO],LANÇ_MOV[RECEITA OU DESPESA],"Receita",LANÇ_MOV[CONTAS],$C1145,LANÇ_MOV[PLANO DE CONTAS],REL_DRE_FINANCEIRO!$B$1062,LANÇ_MOV[ANO PAGAMENTO],$B$4,LANÇ_MOV[MÊS PAGAMENTO CORRESPONDENTE],L$6,LANÇ_MOV[EMPRESA],$C$4,LANÇ_MOV[CENTRO DE CUSTOS],$D$4)</f>
        <v>0</v>
      </c>
      <c r="M1145" s="206">
        <f>SUMIFS(LANÇ_MOV[VALOR LÍQUIDO],LANÇ_MOV[RECEITA OU DESPESA],"Receita",LANÇ_MOV[CONTAS],$C1145,LANÇ_MOV[PLANO DE CONTAS],REL_DRE_FINANCEIRO!$B$1062,LANÇ_MOV[ANO PAGAMENTO],$B$4,LANÇ_MOV[MÊS PAGAMENTO CORRESPONDENTE],M$6,LANÇ_MOV[EMPRESA],$C$4,LANÇ_MOV[CENTRO DE CUSTOS],$D$4)</f>
        <v>0</v>
      </c>
      <c r="N1145" s="206">
        <f>SUMIFS(LANÇ_MOV[VALOR LÍQUIDO],LANÇ_MOV[RECEITA OU DESPESA],"Receita",LANÇ_MOV[CONTAS],$C1145,LANÇ_MOV[PLANO DE CONTAS],REL_DRE_FINANCEIRO!$B$1062,LANÇ_MOV[ANO PAGAMENTO],$B$4,LANÇ_MOV[MÊS PAGAMENTO CORRESPONDENTE],N$6,LANÇ_MOV[EMPRESA],$C$4,LANÇ_MOV[CENTRO DE CUSTOS],$D$4)</f>
        <v>0</v>
      </c>
      <c r="O1145" s="206">
        <f>SUMIFS(LANÇ_MOV[VALOR LÍQUIDO],LANÇ_MOV[RECEITA OU DESPESA],"Receita",LANÇ_MOV[CONTAS],$C1145,LANÇ_MOV[PLANO DE CONTAS],REL_DRE_FINANCEIRO!$B$1062,LANÇ_MOV[ANO PAGAMENTO],$B$4,LANÇ_MOV[MÊS PAGAMENTO CORRESPONDENTE],O$6,LANÇ_MOV[EMPRESA],$C$4,LANÇ_MOV[CENTRO DE CUSTOS],$D$4)</f>
        <v>0</v>
      </c>
      <c r="P1145" s="207">
        <f t="shared" si="139"/>
        <v>0</v>
      </c>
      <c r="Q1145" s="329">
        <v>1.7999999999999999E-6</v>
      </c>
      <c r="R1145" s="346">
        <f t="shared" si="140"/>
        <v>1.7999999999999999E-6</v>
      </c>
      <c r="S1145" s="347" t="str">
        <f t="shared" si="141"/>
        <v>-</v>
      </c>
      <c r="T1145" s="347">
        <f t="shared" si="142"/>
        <v>0</v>
      </c>
      <c r="U1145" s="347">
        <f>HLOOKUP(Apoio!$P$12,$D$1061:$P$1162,X1145,FALSE)+Q1145</f>
        <v>1.7999999999999999E-6</v>
      </c>
      <c r="V1145" s="447" t="str">
        <f t="shared" si="143"/>
        <v>-</v>
      </c>
      <c r="W1145" s="448">
        <f>HLOOKUP(Apoio!$P$12,$D$1061:$P$1162,X1145,FALSE)</f>
        <v>0</v>
      </c>
      <c r="X1145" s="329">
        <v>85</v>
      </c>
    </row>
    <row r="1146" spans="2:24" ht="30.05" customHeight="1" x14ac:dyDescent="0.35">
      <c r="B1146" s="204" t="str">
        <f>'CAD_PL_REC-DESP'!H88</f>
        <v>1.3.84</v>
      </c>
      <c r="C1146" s="205" t="str">
        <f>IF('CAD_PL_REC-DESP'!I88="","-",'CAD_PL_REC-DESP'!I88)</f>
        <v>-</v>
      </c>
      <c r="D1146" s="206">
        <f>SUMIFS(LANÇ_MOV[VALOR LÍQUIDO],LANÇ_MOV[RECEITA OU DESPESA],"Receita",LANÇ_MOV[CONTAS],$C1146,LANÇ_MOV[PLANO DE CONTAS],REL_DRE_FINANCEIRO!$B$1062,LANÇ_MOV[ANO PAGAMENTO],$B$4,LANÇ_MOV[MÊS PAGAMENTO CORRESPONDENTE],D$6,LANÇ_MOV[EMPRESA],$C$4,LANÇ_MOV[CENTRO DE CUSTOS],$D$4)</f>
        <v>0</v>
      </c>
      <c r="E1146" s="206">
        <f>SUMIFS(LANÇ_MOV[VALOR LÍQUIDO],LANÇ_MOV[RECEITA OU DESPESA],"Receita",LANÇ_MOV[CONTAS],$C1146,LANÇ_MOV[PLANO DE CONTAS],REL_DRE_FINANCEIRO!$B$1062,LANÇ_MOV[ANO PAGAMENTO],$B$4,LANÇ_MOV[MÊS PAGAMENTO CORRESPONDENTE],E$6,LANÇ_MOV[EMPRESA],$C$4,LANÇ_MOV[CENTRO DE CUSTOS],$D$4)</f>
        <v>0</v>
      </c>
      <c r="F1146" s="206">
        <f>SUMIFS(LANÇ_MOV[VALOR LÍQUIDO],LANÇ_MOV[RECEITA OU DESPESA],"Receita",LANÇ_MOV[CONTAS],$C1146,LANÇ_MOV[PLANO DE CONTAS],REL_DRE_FINANCEIRO!$B$1062,LANÇ_MOV[ANO PAGAMENTO],$B$4,LANÇ_MOV[MÊS PAGAMENTO CORRESPONDENTE],F$6,LANÇ_MOV[EMPRESA],$C$4,LANÇ_MOV[CENTRO DE CUSTOS],$D$4)</f>
        <v>0</v>
      </c>
      <c r="G1146" s="206">
        <f>SUMIFS(LANÇ_MOV[VALOR LÍQUIDO],LANÇ_MOV[RECEITA OU DESPESA],"Receita",LANÇ_MOV[CONTAS],$C1146,LANÇ_MOV[PLANO DE CONTAS],REL_DRE_FINANCEIRO!$B$1062,LANÇ_MOV[ANO PAGAMENTO],$B$4,LANÇ_MOV[MÊS PAGAMENTO CORRESPONDENTE],G$6,LANÇ_MOV[EMPRESA],$C$4,LANÇ_MOV[CENTRO DE CUSTOS],$D$4)</f>
        <v>0</v>
      </c>
      <c r="H1146" s="206">
        <f>SUMIFS(LANÇ_MOV[VALOR LÍQUIDO],LANÇ_MOV[RECEITA OU DESPESA],"Receita",LANÇ_MOV[CONTAS],$C1146,LANÇ_MOV[PLANO DE CONTAS],REL_DRE_FINANCEIRO!$B$1062,LANÇ_MOV[ANO PAGAMENTO],$B$4,LANÇ_MOV[MÊS PAGAMENTO CORRESPONDENTE],H$6,LANÇ_MOV[EMPRESA],$C$4,LANÇ_MOV[CENTRO DE CUSTOS],$D$4)</f>
        <v>0</v>
      </c>
      <c r="I1146" s="206">
        <f>SUMIFS(LANÇ_MOV[VALOR LÍQUIDO],LANÇ_MOV[RECEITA OU DESPESA],"Receita",LANÇ_MOV[CONTAS],$C1146,LANÇ_MOV[PLANO DE CONTAS],REL_DRE_FINANCEIRO!$B$1062,LANÇ_MOV[ANO PAGAMENTO],$B$4,LANÇ_MOV[MÊS PAGAMENTO CORRESPONDENTE],I$6,LANÇ_MOV[EMPRESA],$C$4,LANÇ_MOV[CENTRO DE CUSTOS],$D$4)</f>
        <v>0</v>
      </c>
      <c r="J1146" s="206">
        <f>SUMIFS(LANÇ_MOV[VALOR LÍQUIDO],LANÇ_MOV[RECEITA OU DESPESA],"Receita",LANÇ_MOV[CONTAS],$C1146,LANÇ_MOV[PLANO DE CONTAS],REL_DRE_FINANCEIRO!$B$1062,LANÇ_MOV[ANO PAGAMENTO],$B$4,LANÇ_MOV[MÊS PAGAMENTO CORRESPONDENTE],J$6,LANÇ_MOV[EMPRESA],$C$4,LANÇ_MOV[CENTRO DE CUSTOS],$D$4)</f>
        <v>0</v>
      </c>
      <c r="K1146" s="206">
        <f>SUMIFS(LANÇ_MOV[VALOR LÍQUIDO],LANÇ_MOV[RECEITA OU DESPESA],"Receita",LANÇ_MOV[CONTAS],$C1146,LANÇ_MOV[PLANO DE CONTAS],REL_DRE_FINANCEIRO!$B$1062,LANÇ_MOV[ANO PAGAMENTO],$B$4,LANÇ_MOV[MÊS PAGAMENTO CORRESPONDENTE],K$6,LANÇ_MOV[EMPRESA],$C$4,LANÇ_MOV[CENTRO DE CUSTOS],$D$4)</f>
        <v>0</v>
      </c>
      <c r="L1146" s="206">
        <f>SUMIFS(LANÇ_MOV[VALOR LÍQUIDO],LANÇ_MOV[RECEITA OU DESPESA],"Receita",LANÇ_MOV[CONTAS],$C1146,LANÇ_MOV[PLANO DE CONTAS],REL_DRE_FINANCEIRO!$B$1062,LANÇ_MOV[ANO PAGAMENTO],$B$4,LANÇ_MOV[MÊS PAGAMENTO CORRESPONDENTE],L$6,LANÇ_MOV[EMPRESA],$C$4,LANÇ_MOV[CENTRO DE CUSTOS],$D$4)</f>
        <v>0</v>
      </c>
      <c r="M1146" s="206">
        <f>SUMIFS(LANÇ_MOV[VALOR LÍQUIDO],LANÇ_MOV[RECEITA OU DESPESA],"Receita",LANÇ_MOV[CONTAS],$C1146,LANÇ_MOV[PLANO DE CONTAS],REL_DRE_FINANCEIRO!$B$1062,LANÇ_MOV[ANO PAGAMENTO],$B$4,LANÇ_MOV[MÊS PAGAMENTO CORRESPONDENTE],M$6,LANÇ_MOV[EMPRESA],$C$4,LANÇ_MOV[CENTRO DE CUSTOS],$D$4)</f>
        <v>0</v>
      </c>
      <c r="N1146" s="206">
        <f>SUMIFS(LANÇ_MOV[VALOR LÍQUIDO],LANÇ_MOV[RECEITA OU DESPESA],"Receita",LANÇ_MOV[CONTAS],$C1146,LANÇ_MOV[PLANO DE CONTAS],REL_DRE_FINANCEIRO!$B$1062,LANÇ_MOV[ANO PAGAMENTO],$B$4,LANÇ_MOV[MÊS PAGAMENTO CORRESPONDENTE],N$6,LANÇ_MOV[EMPRESA],$C$4,LANÇ_MOV[CENTRO DE CUSTOS],$D$4)</f>
        <v>0</v>
      </c>
      <c r="O1146" s="206">
        <f>SUMIFS(LANÇ_MOV[VALOR LÍQUIDO],LANÇ_MOV[RECEITA OU DESPESA],"Receita",LANÇ_MOV[CONTAS],$C1146,LANÇ_MOV[PLANO DE CONTAS],REL_DRE_FINANCEIRO!$B$1062,LANÇ_MOV[ANO PAGAMENTO],$B$4,LANÇ_MOV[MÊS PAGAMENTO CORRESPONDENTE],O$6,LANÇ_MOV[EMPRESA],$C$4,LANÇ_MOV[CENTRO DE CUSTOS],$D$4)</f>
        <v>0</v>
      </c>
      <c r="P1146" s="207">
        <f t="shared" si="139"/>
        <v>0</v>
      </c>
      <c r="Q1146" s="329">
        <v>1.7E-6</v>
      </c>
      <c r="R1146" s="346">
        <f t="shared" si="140"/>
        <v>1.7E-6</v>
      </c>
      <c r="S1146" s="347" t="str">
        <f t="shared" si="141"/>
        <v>-</v>
      </c>
      <c r="T1146" s="347">
        <f t="shared" si="142"/>
        <v>0</v>
      </c>
      <c r="U1146" s="347">
        <f>HLOOKUP(Apoio!$P$12,$D$1061:$P$1162,X1146,FALSE)+Q1146</f>
        <v>1.7E-6</v>
      </c>
      <c r="V1146" s="447" t="str">
        <f t="shared" si="143"/>
        <v>-</v>
      </c>
      <c r="W1146" s="448">
        <f>HLOOKUP(Apoio!$P$12,$D$1061:$P$1162,X1146,FALSE)</f>
        <v>0</v>
      </c>
      <c r="X1146" s="329">
        <v>86</v>
      </c>
    </row>
    <row r="1147" spans="2:24" ht="30.05" customHeight="1" x14ac:dyDescent="0.35">
      <c r="B1147" s="204" t="str">
        <f>'CAD_PL_REC-DESP'!H89</f>
        <v>1.3.85</v>
      </c>
      <c r="C1147" s="205" t="str">
        <f>IF('CAD_PL_REC-DESP'!I89="","-",'CAD_PL_REC-DESP'!I89)</f>
        <v>-</v>
      </c>
      <c r="D1147" s="206">
        <f>SUMIFS(LANÇ_MOV[VALOR LÍQUIDO],LANÇ_MOV[RECEITA OU DESPESA],"Receita",LANÇ_MOV[CONTAS],$C1147,LANÇ_MOV[PLANO DE CONTAS],REL_DRE_FINANCEIRO!$B$1062,LANÇ_MOV[ANO PAGAMENTO],$B$4,LANÇ_MOV[MÊS PAGAMENTO CORRESPONDENTE],D$6,LANÇ_MOV[EMPRESA],$C$4,LANÇ_MOV[CENTRO DE CUSTOS],$D$4)</f>
        <v>0</v>
      </c>
      <c r="E1147" s="206">
        <f>SUMIFS(LANÇ_MOV[VALOR LÍQUIDO],LANÇ_MOV[RECEITA OU DESPESA],"Receita",LANÇ_MOV[CONTAS],$C1147,LANÇ_MOV[PLANO DE CONTAS],REL_DRE_FINANCEIRO!$B$1062,LANÇ_MOV[ANO PAGAMENTO],$B$4,LANÇ_MOV[MÊS PAGAMENTO CORRESPONDENTE],E$6,LANÇ_MOV[EMPRESA],$C$4,LANÇ_MOV[CENTRO DE CUSTOS],$D$4)</f>
        <v>0</v>
      </c>
      <c r="F1147" s="206">
        <f>SUMIFS(LANÇ_MOV[VALOR LÍQUIDO],LANÇ_MOV[RECEITA OU DESPESA],"Receita",LANÇ_MOV[CONTAS],$C1147,LANÇ_MOV[PLANO DE CONTAS],REL_DRE_FINANCEIRO!$B$1062,LANÇ_MOV[ANO PAGAMENTO],$B$4,LANÇ_MOV[MÊS PAGAMENTO CORRESPONDENTE],F$6,LANÇ_MOV[EMPRESA],$C$4,LANÇ_MOV[CENTRO DE CUSTOS],$D$4)</f>
        <v>0</v>
      </c>
      <c r="G1147" s="206">
        <f>SUMIFS(LANÇ_MOV[VALOR LÍQUIDO],LANÇ_MOV[RECEITA OU DESPESA],"Receita",LANÇ_MOV[CONTAS],$C1147,LANÇ_MOV[PLANO DE CONTAS],REL_DRE_FINANCEIRO!$B$1062,LANÇ_MOV[ANO PAGAMENTO],$B$4,LANÇ_MOV[MÊS PAGAMENTO CORRESPONDENTE],G$6,LANÇ_MOV[EMPRESA],$C$4,LANÇ_MOV[CENTRO DE CUSTOS],$D$4)</f>
        <v>0</v>
      </c>
      <c r="H1147" s="206">
        <f>SUMIFS(LANÇ_MOV[VALOR LÍQUIDO],LANÇ_MOV[RECEITA OU DESPESA],"Receita",LANÇ_MOV[CONTAS],$C1147,LANÇ_MOV[PLANO DE CONTAS],REL_DRE_FINANCEIRO!$B$1062,LANÇ_MOV[ANO PAGAMENTO],$B$4,LANÇ_MOV[MÊS PAGAMENTO CORRESPONDENTE],H$6,LANÇ_MOV[EMPRESA],$C$4,LANÇ_MOV[CENTRO DE CUSTOS],$D$4)</f>
        <v>0</v>
      </c>
      <c r="I1147" s="206">
        <f>SUMIFS(LANÇ_MOV[VALOR LÍQUIDO],LANÇ_MOV[RECEITA OU DESPESA],"Receita",LANÇ_MOV[CONTAS],$C1147,LANÇ_MOV[PLANO DE CONTAS],REL_DRE_FINANCEIRO!$B$1062,LANÇ_MOV[ANO PAGAMENTO],$B$4,LANÇ_MOV[MÊS PAGAMENTO CORRESPONDENTE],I$6,LANÇ_MOV[EMPRESA],$C$4,LANÇ_MOV[CENTRO DE CUSTOS],$D$4)</f>
        <v>0</v>
      </c>
      <c r="J1147" s="206">
        <f>SUMIFS(LANÇ_MOV[VALOR LÍQUIDO],LANÇ_MOV[RECEITA OU DESPESA],"Receita",LANÇ_MOV[CONTAS],$C1147,LANÇ_MOV[PLANO DE CONTAS],REL_DRE_FINANCEIRO!$B$1062,LANÇ_MOV[ANO PAGAMENTO],$B$4,LANÇ_MOV[MÊS PAGAMENTO CORRESPONDENTE],J$6,LANÇ_MOV[EMPRESA],$C$4,LANÇ_MOV[CENTRO DE CUSTOS],$D$4)</f>
        <v>0</v>
      </c>
      <c r="K1147" s="206">
        <f>SUMIFS(LANÇ_MOV[VALOR LÍQUIDO],LANÇ_MOV[RECEITA OU DESPESA],"Receita",LANÇ_MOV[CONTAS],$C1147,LANÇ_MOV[PLANO DE CONTAS],REL_DRE_FINANCEIRO!$B$1062,LANÇ_MOV[ANO PAGAMENTO],$B$4,LANÇ_MOV[MÊS PAGAMENTO CORRESPONDENTE],K$6,LANÇ_MOV[EMPRESA],$C$4,LANÇ_MOV[CENTRO DE CUSTOS],$D$4)</f>
        <v>0</v>
      </c>
      <c r="L1147" s="206">
        <f>SUMIFS(LANÇ_MOV[VALOR LÍQUIDO],LANÇ_MOV[RECEITA OU DESPESA],"Receita",LANÇ_MOV[CONTAS],$C1147,LANÇ_MOV[PLANO DE CONTAS],REL_DRE_FINANCEIRO!$B$1062,LANÇ_MOV[ANO PAGAMENTO],$B$4,LANÇ_MOV[MÊS PAGAMENTO CORRESPONDENTE],L$6,LANÇ_MOV[EMPRESA],$C$4,LANÇ_MOV[CENTRO DE CUSTOS],$D$4)</f>
        <v>0</v>
      </c>
      <c r="M1147" s="206">
        <f>SUMIFS(LANÇ_MOV[VALOR LÍQUIDO],LANÇ_MOV[RECEITA OU DESPESA],"Receita",LANÇ_MOV[CONTAS],$C1147,LANÇ_MOV[PLANO DE CONTAS],REL_DRE_FINANCEIRO!$B$1062,LANÇ_MOV[ANO PAGAMENTO],$B$4,LANÇ_MOV[MÊS PAGAMENTO CORRESPONDENTE],M$6,LANÇ_MOV[EMPRESA],$C$4,LANÇ_MOV[CENTRO DE CUSTOS],$D$4)</f>
        <v>0</v>
      </c>
      <c r="N1147" s="206">
        <f>SUMIFS(LANÇ_MOV[VALOR LÍQUIDO],LANÇ_MOV[RECEITA OU DESPESA],"Receita",LANÇ_MOV[CONTAS],$C1147,LANÇ_MOV[PLANO DE CONTAS],REL_DRE_FINANCEIRO!$B$1062,LANÇ_MOV[ANO PAGAMENTO],$B$4,LANÇ_MOV[MÊS PAGAMENTO CORRESPONDENTE],N$6,LANÇ_MOV[EMPRESA],$C$4,LANÇ_MOV[CENTRO DE CUSTOS],$D$4)</f>
        <v>0</v>
      </c>
      <c r="O1147" s="206">
        <f>SUMIFS(LANÇ_MOV[VALOR LÍQUIDO],LANÇ_MOV[RECEITA OU DESPESA],"Receita",LANÇ_MOV[CONTAS],$C1147,LANÇ_MOV[PLANO DE CONTAS],REL_DRE_FINANCEIRO!$B$1062,LANÇ_MOV[ANO PAGAMENTO],$B$4,LANÇ_MOV[MÊS PAGAMENTO CORRESPONDENTE],O$6,LANÇ_MOV[EMPRESA],$C$4,LANÇ_MOV[CENTRO DE CUSTOS],$D$4)</f>
        <v>0</v>
      </c>
      <c r="P1147" s="207">
        <f t="shared" si="139"/>
        <v>0</v>
      </c>
      <c r="Q1147" s="329">
        <v>1.5999999999999999E-6</v>
      </c>
      <c r="R1147" s="346">
        <f t="shared" si="140"/>
        <v>1.5999999999999999E-6</v>
      </c>
      <c r="S1147" s="347" t="str">
        <f t="shared" si="141"/>
        <v>-</v>
      </c>
      <c r="T1147" s="347">
        <f t="shared" si="142"/>
        <v>0</v>
      </c>
      <c r="U1147" s="347">
        <f>HLOOKUP(Apoio!$P$12,$D$1061:$P$1162,X1147,FALSE)+Q1147</f>
        <v>1.5999999999999999E-6</v>
      </c>
      <c r="V1147" s="447" t="str">
        <f t="shared" si="143"/>
        <v>-</v>
      </c>
      <c r="W1147" s="448">
        <f>HLOOKUP(Apoio!$P$12,$D$1061:$P$1162,X1147,FALSE)</f>
        <v>0</v>
      </c>
      <c r="X1147" s="329">
        <v>87</v>
      </c>
    </row>
    <row r="1148" spans="2:24" ht="30.05" customHeight="1" x14ac:dyDescent="0.35">
      <c r="B1148" s="204" t="str">
        <f>'CAD_PL_REC-DESP'!H90</f>
        <v>1.3.86</v>
      </c>
      <c r="C1148" s="205" t="str">
        <f>IF('CAD_PL_REC-DESP'!I90="","-",'CAD_PL_REC-DESP'!I90)</f>
        <v>-</v>
      </c>
      <c r="D1148" s="206">
        <f>SUMIFS(LANÇ_MOV[VALOR LÍQUIDO],LANÇ_MOV[RECEITA OU DESPESA],"Receita",LANÇ_MOV[CONTAS],$C1148,LANÇ_MOV[PLANO DE CONTAS],REL_DRE_FINANCEIRO!$B$1062,LANÇ_MOV[ANO PAGAMENTO],$B$4,LANÇ_MOV[MÊS PAGAMENTO CORRESPONDENTE],D$6,LANÇ_MOV[EMPRESA],$C$4,LANÇ_MOV[CENTRO DE CUSTOS],$D$4)</f>
        <v>0</v>
      </c>
      <c r="E1148" s="206">
        <f>SUMIFS(LANÇ_MOV[VALOR LÍQUIDO],LANÇ_MOV[RECEITA OU DESPESA],"Receita",LANÇ_MOV[CONTAS],$C1148,LANÇ_MOV[PLANO DE CONTAS],REL_DRE_FINANCEIRO!$B$1062,LANÇ_MOV[ANO PAGAMENTO],$B$4,LANÇ_MOV[MÊS PAGAMENTO CORRESPONDENTE],E$6,LANÇ_MOV[EMPRESA],$C$4,LANÇ_MOV[CENTRO DE CUSTOS],$D$4)</f>
        <v>0</v>
      </c>
      <c r="F1148" s="206">
        <f>SUMIFS(LANÇ_MOV[VALOR LÍQUIDO],LANÇ_MOV[RECEITA OU DESPESA],"Receita",LANÇ_MOV[CONTAS],$C1148,LANÇ_MOV[PLANO DE CONTAS],REL_DRE_FINANCEIRO!$B$1062,LANÇ_MOV[ANO PAGAMENTO],$B$4,LANÇ_MOV[MÊS PAGAMENTO CORRESPONDENTE],F$6,LANÇ_MOV[EMPRESA],$C$4,LANÇ_MOV[CENTRO DE CUSTOS],$D$4)</f>
        <v>0</v>
      </c>
      <c r="G1148" s="206">
        <f>SUMIFS(LANÇ_MOV[VALOR LÍQUIDO],LANÇ_MOV[RECEITA OU DESPESA],"Receita",LANÇ_MOV[CONTAS],$C1148,LANÇ_MOV[PLANO DE CONTAS],REL_DRE_FINANCEIRO!$B$1062,LANÇ_MOV[ANO PAGAMENTO],$B$4,LANÇ_MOV[MÊS PAGAMENTO CORRESPONDENTE],G$6,LANÇ_MOV[EMPRESA],$C$4,LANÇ_MOV[CENTRO DE CUSTOS],$D$4)</f>
        <v>0</v>
      </c>
      <c r="H1148" s="206">
        <f>SUMIFS(LANÇ_MOV[VALOR LÍQUIDO],LANÇ_MOV[RECEITA OU DESPESA],"Receita",LANÇ_MOV[CONTAS],$C1148,LANÇ_MOV[PLANO DE CONTAS],REL_DRE_FINANCEIRO!$B$1062,LANÇ_MOV[ANO PAGAMENTO],$B$4,LANÇ_MOV[MÊS PAGAMENTO CORRESPONDENTE],H$6,LANÇ_MOV[EMPRESA],$C$4,LANÇ_MOV[CENTRO DE CUSTOS],$D$4)</f>
        <v>0</v>
      </c>
      <c r="I1148" s="206">
        <f>SUMIFS(LANÇ_MOV[VALOR LÍQUIDO],LANÇ_MOV[RECEITA OU DESPESA],"Receita",LANÇ_MOV[CONTAS],$C1148,LANÇ_MOV[PLANO DE CONTAS],REL_DRE_FINANCEIRO!$B$1062,LANÇ_MOV[ANO PAGAMENTO],$B$4,LANÇ_MOV[MÊS PAGAMENTO CORRESPONDENTE],I$6,LANÇ_MOV[EMPRESA],$C$4,LANÇ_MOV[CENTRO DE CUSTOS],$D$4)</f>
        <v>0</v>
      </c>
      <c r="J1148" s="206">
        <f>SUMIFS(LANÇ_MOV[VALOR LÍQUIDO],LANÇ_MOV[RECEITA OU DESPESA],"Receita",LANÇ_MOV[CONTAS],$C1148,LANÇ_MOV[PLANO DE CONTAS],REL_DRE_FINANCEIRO!$B$1062,LANÇ_MOV[ANO PAGAMENTO],$B$4,LANÇ_MOV[MÊS PAGAMENTO CORRESPONDENTE],J$6,LANÇ_MOV[EMPRESA],$C$4,LANÇ_MOV[CENTRO DE CUSTOS],$D$4)</f>
        <v>0</v>
      </c>
      <c r="K1148" s="206">
        <f>SUMIFS(LANÇ_MOV[VALOR LÍQUIDO],LANÇ_MOV[RECEITA OU DESPESA],"Receita",LANÇ_MOV[CONTAS],$C1148,LANÇ_MOV[PLANO DE CONTAS],REL_DRE_FINANCEIRO!$B$1062,LANÇ_MOV[ANO PAGAMENTO],$B$4,LANÇ_MOV[MÊS PAGAMENTO CORRESPONDENTE],K$6,LANÇ_MOV[EMPRESA],$C$4,LANÇ_MOV[CENTRO DE CUSTOS],$D$4)</f>
        <v>0</v>
      </c>
      <c r="L1148" s="206">
        <f>SUMIFS(LANÇ_MOV[VALOR LÍQUIDO],LANÇ_MOV[RECEITA OU DESPESA],"Receita",LANÇ_MOV[CONTAS],$C1148,LANÇ_MOV[PLANO DE CONTAS],REL_DRE_FINANCEIRO!$B$1062,LANÇ_MOV[ANO PAGAMENTO],$B$4,LANÇ_MOV[MÊS PAGAMENTO CORRESPONDENTE],L$6,LANÇ_MOV[EMPRESA],$C$4,LANÇ_MOV[CENTRO DE CUSTOS],$D$4)</f>
        <v>0</v>
      </c>
      <c r="M1148" s="206">
        <f>SUMIFS(LANÇ_MOV[VALOR LÍQUIDO],LANÇ_MOV[RECEITA OU DESPESA],"Receita",LANÇ_MOV[CONTAS],$C1148,LANÇ_MOV[PLANO DE CONTAS],REL_DRE_FINANCEIRO!$B$1062,LANÇ_MOV[ANO PAGAMENTO],$B$4,LANÇ_MOV[MÊS PAGAMENTO CORRESPONDENTE],M$6,LANÇ_MOV[EMPRESA],$C$4,LANÇ_MOV[CENTRO DE CUSTOS],$D$4)</f>
        <v>0</v>
      </c>
      <c r="N1148" s="206">
        <f>SUMIFS(LANÇ_MOV[VALOR LÍQUIDO],LANÇ_MOV[RECEITA OU DESPESA],"Receita",LANÇ_MOV[CONTAS],$C1148,LANÇ_MOV[PLANO DE CONTAS],REL_DRE_FINANCEIRO!$B$1062,LANÇ_MOV[ANO PAGAMENTO],$B$4,LANÇ_MOV[MÊS PAGAMENTO CORRESPONDENTE],N$6,LANÇ_MOV[EMPRESA],$C$4,LANÇ_MOV[CENTRO DE CUSTOS],$D$4)</f>
        <v>0</v>
      </c>
      <c r="O1148" s="206">
        <f>SUMIFS(LANÇ_MOV[VALOR LÍQUIDO],LANÇ_MOV[RECEITA OU DESPESA],"Receita",LANÇ_MOV[CONTAS],$C1148,LANÇ_MOV[PLANO DE CONTAS],REL_DRE_FINANCEIRO!$B$1062,LANÇ_MOV[ANO PAGAMENTO],$B$4,LANÇ_MOV[MÊS PAGAMENTO CORRESPONDENTE],O$6,LANÇ_MOV[EMPRESA],$C$4,LANÇ_MOV[CENTRO DE CUSTOS],$D$4)</f>
        <v>0</v>
      </c>
      <c r="P1148" s="207">
        <f t="shared" si="139"/>
        <v>0</v>
      </c>
      <c r="Q1148" s="329">
        <v>1.5E-6</v>
      </c>
      <c r="R1148" s="346">
        <f t="shared" si="140"/>
        <v>1.5E-6</v>
      </c>
      <c r="S1148" s="347" t="str">
        <f t="shared" si="141"/>
        <v>-</v>
      </c>
      <c r="T1148" s="347">
        <f t="shared" si="142"/>
        <v>0</v>
      </c>
      <c r="U1148" s="347">
        <f>HLOOKUP(Apoio!$P$12,$D$1061:$P$1162,X1148,FALSE)+Q1148</f>
        <v>1.5E-6</v>
      </c>
      <c r="V1148" s="447" t="str">
        <f t="shared" si="143"/>
        <v>-</v>
      </c>
      <c r="W1148" s="448">
        <f>HLOOKUP(Apoio!$P$12,$D$1061:$P$1162,X1148,FALSE)</f>
        <v>0</v>
      </c>
      <c r="X1148" s="329">
        <v>88</v>
      </c>
    </row>
    <row r="1149" spans="2:24" ht="30.05" customHeight="1" x14ac:dyDescent="0.35">
      <c r="B1149" s="204" t="str">
        <f>'CAD_PL_REC-DESP'!H91</f>
        <v>1.3.87</v>
      </c>
      <c r="C1149" s="205" t="str">
        <f>IF('CAD_PL_REC-DESP'!I91="","-",'CAD_PL_REC-DESP'!I91)</f>
        <v>-</v>
      </c>
      <c r="D1149" s="206">
        <f>SUMIFS(LANÇ_MOV[VALOR LÍQUIDO],LANÇ_MOV[RECEITA OU DESPESA],"Receita",LANÇ_MOV[CONTAS],$C1149,LANÇ_MOV[PLANO DE CONTAS],REL_DRE_FINANCEIRO!$B$1062,LANÇ_MOV[ANO PAGAMENTO],$B$4,LANÇ_MOV[MÊS PAGAMENTO CORRESPONDENTE],D$6,LANÇ_MOV[EMPRESA],$C$4,LANÇ_MOV[CENTRO DE CUSTOS],$D$4)</f>
        <v>0</v>
      </c>
      <c r="E1149" s="206">
        <f>SUMIFS(LANÇ_MOV[VALOR LÍQUIDO],LANÇ_MOV[RECEITA OU DESPESA],"Receita",LANÇ_MOV[CONTAS],$C1149,LANÇ_MOV[PLANO DE CONTAS],REL_DRE_FINANCEIRO!$B$1062,LANÇ_MOV[ANO PAGAMENTO],$B$4,LANÇ_MOV[MÊS PAGAMENTO CORRESPONDENTE],E$6,LANÇ_MOV[EMPRESA],$C$4,LANÇ_MOV[CENTRO DE CUSTOS],$D$4)</f>
        <v>0</v>
      </c>
      <c r="F1149" s="206">
        <f>SUMIFS(LANÇ_MOV[VALOR LÍQUIDO],LANÇ_MOV[RECEITA OU DESPESA],"Receita",LANÇ_MOV[CONTAS],$C1149,LANÇ_MOV[PLANO DE CONTAS],REL_DRE_FINANCEIRO!$B$1062,LANÇ_MOV[ANO PAGAMENTO],$B$4,LANÇ_MOV[MÊS PAGAMENTO CORRESPONDENTE],F$6,LANÇ_MOV[EMPRESA],$C$4,LANÇ_MOV[CENTRO DE CUSTOS],$D$4)</f>
        <v>0</v>
      </c>
      <c r="G1149" s="206">
        <f>SUMIFS(LANÇ_MOV[VALOR LÍQUIDO],LANÇ_MOV[RECEITA OU DESPESA],"Receita",LANÇ_MOV[CONTAS],$C1149,LANÇ_MOV[PLANO DE CONTAS],REL_DRE_FINANCEIRO!$B$1062,LANÇ_MOV[ANO PAGAMENTO],$B$4,LANÇ_MOV[MÊS PAGAMENTO CORRESPONDENTE],G$6,LANÇ_MOV[EMPRESA],$C$4,LANÇ_MOV[CENTRO DE CUSTOS],$D$4)</f>
        <v>0</v>
      </c>
      <c r="H1149" s="206">
        <f>SUMIFS(LANÇ_MOV[VALOR LÍQUIDO],LANÇ_MOV[RECEITA OU DESPESA],"Receita",LANÇ_MOV[CONTAS],$C1149,LANÇ_MOV[PLANO DE CONTAS],REL_DRE_FINANCEIRO!$B$1062,LANÇ_MOV[ANO PAGAMENTO],$B$4,LANÇ_MOV[MÊS PAGAMENTO CORRESPONDENTE],H$6,LANÇ_MOV[EMPRESA],$C$4,LANÇ_MOV[CENTRO DE CUSTOS],$D$4)</f>
        <v>0</v>
      </c>
      <c r="I1149" s="206">
        <f>SUMIFS(LANÇ_MOV[VALOR LÍQUIDO],LANÇ_MOV[RECEITA OU DESPESA],"Receita",LANÇ_MOV[CONTAS],$C1149,LANÇ_MOV[PLANO DE CONTAS],REL_DRE_FINANCEIRO!$B$1062,LANÇ_MOV[ANO PAGAMENTO],$B$4,LANÇ_MOV[MÊS PAGAMENTO CORRESPONDENTE],I$6,LANÇ_MOV[EMPRESA],$C$4,LANÇ_MOV[CENTRO DE CUSTOS],$D$4)</f>
        <v>0</v>
      </c>
      <c r="J1149" s="206">
        <f>SUMIFS(LANÇ_MOV[VALOR LÍQUIDO],LANÇ_MOV[RECEITA OU DESPESA],"Receita",LANÇ_MOV[CONTAS],$C1149,LANÇ_MOV[PLANO DE CONTAS],REL_DRE_FINANCEIRO!$B$1062,LANÇ_MOV[ANO PAGAMENTO],$B$4,LANÇ_MOV[MÊS PAGAMENTO CORRESPONDENTE],J$6,LANÇ_MOV[EMPRESA],$C$4,LANÇ_MOV[CENTRO DE CUSTOS],$D$4)</f>
        <v>0</v>
      </c>
      <c r="K1149" s="206">
        <f>SUMIFS(LANÇ_MOV[VALOR LÍQUIDO],LANÇ_MOV[RECEITA OU DESPESA],"Receita",LANÇ_MOV[CONTAS],$C1149,LANÇ_MOV[PLANO DE CONTAS],REL_DRE_FINANCEIRO!$B$1062,LANÇ_MOV[ANO PAGAMENTO],$B$4,LANÇ_MOV[MÊS PAGAMENTO CORRESPONDENTE],K$6,LANÇ_MOV[EMPRESA],$C$4,LANÇ_MOV[CENTRO DE CUSTOS],$D$4)</f>
        <v>0</v>
      </c>
      <c r="L1149" s="206">
        <f>SUMIFS(LANÇ_MOV[VALOR LÍQUIDO],LANÇ_MOV[RECEITA OU DESPESA],"Receita",LANÇ_MOV[CONTAS],$C1149,LANÇ_MOV[PLANO DE CONTAS],REL_DRE_FINANCEIRO!$B$1062,LANÇ_MOV[ANO PAGAMENTO],$B$4,LANÇ_MOV[MÊS PAGAMENTO CORRESPONDENTE],L$6,LANÇ_MOV[EMPRESA],$C$4,LANÇ_MOV[CENTRO DE CUSTOS],$D$4)</f>
        <v>0</v>
      </c>
      <c r="M1149" s="206">
        <f>SUMIFS(LANÇ_MOV[VALOR LÍQUIDO],LANÇ_MOV[RECEITA OU DESPESA],"Receita",LANÇ_MOV[CONTAS],$C1149,LANÇ_MOV[PLANO DE CONTAS],REL_DRE_FINANCEIRO!$B$1062,LANÇ_MOV[ANO PAGAMENTO],$B$4,LANÇ_MOV[MÊS PAGAMENTO CORRESPONDENTE],M$6,LANÇ_MOV[EMPRESA],$C$4,LANÇ_MOV[CENTRO DE CUSTOS],$D$4)</f>
        <v>0</v>
      </c>
      <c r="N1149" s="206">
        <f>SUMIFS(LANÇ_MOV[VALOR LÍQUIDO],LANÇ_MOV[RECEITA OU DESPESA],"Receita",LANÇ_MOV[CONTAS],$C1149,LANÇ_MOV[PLANO DE CONTAS],REL_DRE_FINANCEIRO!$B$1062,LANÇ_MOV[ANO PAGAMENTO],$B$4,LANÇ_MOV[MÊS PAGAMENTO CORRESPONDENTE],N$6,LANÇ_MOV[EMPRESA],$C$4,LANÇ_MOV[CENTRO DE CUSTOS],$D$4)</f>
        <v>0</v>
      </c>
      <c r="O1149" s="206">
        <f>SUMIFS(LANÇ_MOV[VALOR LÍQUIDO],LANÇ_MOV[RECEITA OU DESPESA],"Receita",LANÇ_MOV[CONTAS],$C1149,LANÇ_MOV[PLANO DE CONTAS],REL_DRE_FINANCEIRO!$B$1062,LANÇ_MOV[ANO PAGAMENTO],$B$4,LANÇ_MOV[MÊS PAGAMENTO CORRESPONDENTE],O$6,LANÇ_MOV[EMPRESA],$C$4,LANÇ_MOV[CENTRO DE CUSTOS],$D$4)</f>
        <v>0</v>
      </c>
      <c r="P1149" s="207">
        <f t="shared" si="139"/>
        <v>0</v>
      </c>
      <c r="Q1149" s="329">
        <v>1.3999999999999999E-6</v>
      </c>
      <c r="R1149" s="346">
        <f t="shared" si="140"/>
        <v>1.3999999999999999E-6</v>
      </c>
      <c r="S1149" s="347" t="str">
        <f t="shared" si="141"/>
        <v>-</v>
      </c>
      <c r="T1149" s="347">
        <f t="shared" si="142"/>
        <v>0</v>
      </c>
      <c r="U1149" s="347">
        <f>HLOOKUP(Apoio!$P$12,$D$1061:$P$1162,X1149,FALSE)+Q1149</f>
        <v>1.3999999999999999E-6</v>
      </c>
      <c r="V1149" s="447" t="str">
        <f t="shared" si="143"/>
        <v>-</v>
      </c>
      <c r="W1149" s="448">
        <f>HLOOKUP(Apoio!$P$12,$D$1061:$P$1162,X1149,FALSE)</f>
        <v>0</v>
      </c>
      <c r="X1149" s="329">
        <v>89</v>
      </c>
    </row>
    <row r="1150" spans="2:24" ht="30.05" customHeight="1" x14ac:dyDescent="0.35">
      <c r="B1150" s="204" t="str">
        <f>'CAD_PL_REC-DESP'!H92</f>
        <v>1.3.88</v>
      </c>
      <c r="C1150" s="205" t="str">
        <f>IF('CAD_PL_REC-DESP'!I92="","-",'CAD_PL_REC-DESP'!I92)</f>
        <v>-</v>
      </c>
      <c r="D1150" s="206">
        <f>SUMIFS(LANÇ_MOV[VALOR LÍQUIDO],LANÇ_MOV[RECEITA OU DESPESA],"Receita",LANÇ_MOV[CONTAS],$C1150,LANÇ_MOV[PLANO DE CONTAS],REL_DRE_FINANCEIRO!$B$1062,LANÇ_MOV[ANO PAGAMENTO],$B$4,LANÇ_MOV[MÊS PAGAMENTO CORRESPONDENTE],D$6,LANÇ_MOV[EMPRESA],$C$4,LANÇ_MOV[CENTRO DE CUSTOS],$D$4)</f>
        <v>0</v>
      </c>
      <c r="E1150" s="206">
        <f>SUMIFS(LANÇ_MOV[VALOR LÍQUIDO],LANÇ_MOV[RECEITA OU DESPESA],"Receita",LANÇ_MOV[CONTAS],$C1150,LANÇ_MOV[PLANO DE CONTAS],REL_DRE_FINANCEIRO!$B$1062,LANÇ_MOV[ANO PAGAMENTO],$B$4,LANÇ_MOV[MÊS PAGAMENTO CORRESPONDENTE],E$6,LANÇ_MOV[EMPRESA],$C$4,LANÇ_MOV[CENTRO DE CUSTOS],$D$4)</f>
        <v>0</v>
      </c>
      <c r="F1150" s="206">
        <f>SUMIFS(LANÇ_MOV[VALOR LÍQUIDO],LANÇ_MOV[RECEITA OU DESPESA],"Receita",LANÇ_MOV[CONTAS],$C1150,LANÇ_MOV[PLANO DE CONTAS],REL_DRE_FINANCEIRO!$B$1062,LANÇ_MOV[ANO PAGAMENTO],$B$4,LANÇ_MOV[MÊS PAGAMENTO CORRESPONDENTE],F$6,LANÇ_MOV[EMPRESA],$C$4,LANÇ_MOV[CENTRO DE CUSTOS],$D$4)</f>
        <v>0</v>
      </c>
      <c r="G1150" s="206">
        <f>SUMIFS(LANÇ_MOV[VALOR LÍQUIDO],LANÇ_MOV[RECEITA OU DESPESA],"Receita",LANÇ_MOV[CONTAS],$C1150,LANÇ_MOV[PLANO DE CONTAS],REL_DRE_FINANCEIRO!$B$1062,LANÇ_MOV[ANO PAGAMENTO],$B$4,LANÇ_MOV[MÊS PAGAMENTO CORRESPONDENTE],G$6,LANÇ_MOV[EMPRESA],$C$4,LANÇ_MOV[CENTRO DE CUSTOS],$D$4)</f>
        <v>0</v>
      </c>
      <c r="H1150" s="206">
        <f>SUMIFS(LANÇ_MOV[VALOR LÍQUIDO],LANÇ_MOV[RECEITA OU DESPESA],"Receita",LANÇ_MOV[CONTAS],$C1150,LANÇ_MOV[PLANO DE CONTAS],REL_DRE_FINANCEIRO!$B$1062,LANÇ_MOV[ANO PAGAMENTO],$B$4,LANÇ_MOV[MÊS PAGAMENTO CORRESPONDENTE],H$6,LANÇ_MOV[EMPRESA],$C$4,LANÇ_MOV[CENTRO DE CUSTOS],$D$4)</f>
        <v>0</v>
      </c>
      <c r="I1150" s="206">
        <f>SUMIFS(LANÇ_MOV[VALOR LÍQUIDO],LANÇ_MOV[RECEITA OU DESPESA],"Receita",LANÇ_MOV[CONTAS],$C1150,LANÇ_MOV[PLANO DE CONTAS],REL_DRE_FINANCEIRO!$B$1062,LANÇ_MOV[ANO PAGAMENTO],$B$4,LANÇ_MOV[MÊS PAGAMENTO CORRESPONDENTE],I$6,LANÇ_MOV[EMPRESA],$C$4,LANÇ_MOV[CENTRO DE CUSTOS],$D$4)</f>
        <v>0</v>
      </c>
      <c r="J1150" s="206">
        <f>SUMIFS(LANÇ_MOV[VALOR LÍQUIDO],LANÇ_MOV[RECEITA OU DESPESA],"Receita",LANÇ_MOV[CONTAS],$C1150,LANÇ_MOV[PLANO DE CONTAS],REL_DRE_FINANCEIRO!$B$1062,LANÇ_MOV[ANO PAGAMENTO],$B$4,LANÇ_MOV[MÊS PAGAMENTO CORRESPONDENTE],J$6,LANÇ_MOV[EMPRESA],$C$4,LANÇ_MOV[CENTRO DE CUSTOS],$D$4)</f>
        <v>0</v>
      </c>
      <c r="K1150" s="206">
        <f>SUMIFS(LANÇ_MOV[VALOR LÍQUIDO],LANÇ_MOV[RECEITA OU DESPESA],"Receita",LANÇ_MOV[CONTAS],$C1150,LANÇ_MOV[PLANO DE CONTAS],REL_DRE_FINANCEIRO!$B$1062,LANÇ_MOV[ANO PAGAMENTO],$B$4,LANÇ_MOV[MÊS PAGAMENTO CORRESPONDENTE],K$6,LANÇ_MOV[EMPRESA],$C$4,LANÇ_MOV[CENTRO DE CUSTOS],$D$4)</f>
        <v>0</v>
      </c>
      <c r="L1150" s="206">
        <f>SUMIFS(LANÇ_MOV[VALOR LÍQUIDO],LANÇ_MOV[RECEITA OU DESPESA],"Receita",LANÇ_MOV[CONTAS],$C1150,LANÇ_MOV[PLANO DE CONTAS],REL_DRE_FINANCEIRO!$B$1062,LANÇ_MOV[ANO PAGAMENTO],$B$4,LANÇ_MOV[MÊS PAGAMENTO CORRESPONDENTE],L$6,LANÇ_MOV[EMPRESA],$C$4,LANÇ_MOV[CENTRO DE CUSTOS],$D$4)</f>
        <v>0</v>
      </c>
      <c r="M1150" s="206">
        <f>SUMIFS(LANÇ_MOV[VALOR LÍQUIDO],LANÇ_MOV[RECEITA OU DESPESA],"Receita",LANÇ_MOV[CONTAS],$C1150,LANÇ_MOV[PLANO DE CONTAS],REL_DRE_FINANCEIRO!$B$1062,LANÇ_MOV[ANO PAGAMENTO],$B$4,LANÇ_MOV[MÊS PAGAMENTO CORRESPONDENTE],M$6,LANÇ_MOV[EMPRESA],$C$4,LANÇ_MOV[CENTRO DE CUSTOS],$D$4)</f>
        <v>0</v>
      </c>
      <c r="N1150" s="206">
        <f>SUMIFS(LANÇ_MOV[VALOR LÍQUIDO],LANÇ_MOV[RECEITA OU DESPESA],"Receita",LANÇ_MOV[CONTAS],$C1150,LANÇ_MOV[PLANO DE CONTAS],REL_DRE_FINANCEIRO!$B$1062,LANÇ_MOV[ANO PAGAMENTO],$B$4,LANÇ_MOV[MÊS PAGAMENTO CORRESPONDENTE],N$6,LANÇ_MOV[EMPRESA],$C$4,LANÇ_MOV[CENTRO DE CUSTOS],$D$4)</f>
        <v>0</v>
      </c>
      <c r="O1150" s="206">
        <f>SUMIFS(LANÇ_MOV[VALOR LÍQUIDO],LANÇ_MOV[RECEITA OU DESPESA],"Receita",LANÇ_MOV[CONTAS],$C1150,LANÇ_MOV[PLANO DE CONTAS],REL_DRE_FINANCEIRO!$B$1062,LANÇ_MOV[ANO PAGAMENTO],$B$4,LANÇ_MOV[MÊS PAGAMENTO CORRESPONDENTE],O$6,LANÇ_MOV[EMPRESA],$C$4,LANÇ_MOV[CENTRO DE CUSTOS],$D$4)</f>
        <v>0</v>
      </c>
      <c r="P1150" s="207">
        <f t="shared" si="139"/>
        <v>0</v>
      </c>
      <c r="Q1150" s="329">
        <v>1.3E-6</v>
      </c>
      <c r="R1150" s="346">
        <f t="shared" si="140"/>
        <v>1.3E-6</v>
      </c>
      <c r="S1150" s="347" t="str">
        <f t="shared" si="141"/>
        <v>-</v>
      </c>
      <c r="T1150" s="347">
        <f t="shared" si="142"/>
        <v>0</v>
      </c>
      <c r="U1150" s="347">
        <f>HLOOKUP(Apoio!$P$12,$D$1061:$P$1162,X1150,FALSE)+Q1150</f>
        <v>1.3E-6</v>
      </c>
      <c r="V1150" s="447" t="str">
        <f t="shared" si="143"/>
        <v>-</v>
      </c>
      <c r="W1150" s="448">
        <f>HLOOKUP(Apoio!$P$12,$D$1061:$P$1162,X1150,FALSE)</f>
        <v>0</v>
      </c>
      <c r="X1150" s="329">
        <v>90</v>
      </c>
    </row>
    <row r="1151" spans="2:24" ht="30.05" customHeight="1" x14ac:dyDescent="0.35">
      <c r="B1151" s="204" t="str">
        <f>'CAD_PL_REC-DESP'!H93</f>
        <v>1.3.89</v>
      </c>
      <c r="C1151" s="205" t="str">
        <f>IF('CAD_PL_REC-DESP'!I93="","-",'CAD_PL_REC-DESP'!I93)</f>
        <v>-</v>
      </c>
      <c r="D1151" s="206">
        <f>SUMIFS(LANÇ_MOV[VALOR LÍQUIDO],LANÇ_MOV[RECEITA OU DESPESA],"Receita",LANÇ_MOV[CONTAS],$C1151,LANÇ_MOV[PLANO DE CONTAS],REL_DRE_FINANCEIRO!$B$1062,LANÇ_MOV[ANO PAGAMENTO],$B$4,LANÇ_MOV[MÊS PAGAMENTO CORRESPONDENTE],D$6,LANÇ_MOV[EMPRESA],$C$4,LANÇ_MOV[CENTRO DE CUSTOS],$D$4)</f>
        <v>0</v>
      </c>
      <c r="E1151" s="206">
        <f>SUMIFS(LANÇ_MOV[VALOR LÍQUIDO],LANÇ_MOV[RECEITA OU DESPESA],"Receita",LANÇ_MOV[CONTAS],$C1151,LANÇ_MOV[PLANO DE CONTAS],REL_DRE_FINANCEIRO!$B$1062,LANÇ_MOV[ANO PAGAMENTO],$B$4,LANÇ_MOV[MÊS PAGAMENTO CORRESPONDENTE],E$6,LANÇ_MOV[EMPRESA],$C$4,LANÇ_MOV[CENTRO DE CUSTOS],$D$4)</f>
        <v>0</v>
      </c>
      <c r="F1151" s="206">
        <f>SUMIFS(LANÇ_MOV[VALOR LÍQUIDO],LANÇ_MOV[RECEITA OU DESPESA],"Receita",LANÇ_MOV[CONTAS],$C1151,LANÇ_MOV[PLANO DE CONTAS],REL_DRE_FINANCEIRO!$B$1062,LANÇ_MOV[ANO PAGAMENTO],$B$4,LANÇ_MOV[MÊS PAGAMENTO CORRESPONDENTE],F$6,LANÇ_MOV[EMPRESA],$C$4,LANÇ_MOV[CENTRO DE CUSTOS],$D$4)</f>
        <v>0</v>
      </c>
      <c r="G1151" s="206">
        <f>SUMIFS(LANÇ_MOV[VALOR LÍQUIDO],LANÇ_MOV[RECEITA OU DESPESA],"Receita",LANÇ_MOV[CONTAS],$C1151,LANÇ_MOV[PLANO DE CONTAS],REL_DRE_FINANCEIRO!$B$1062,LANÇ_MOV[ANO PAGAMENTO],$B$4,LANÇ_MOV[MÊS PAGAMENTO CORRESPONDENTE],G$6,LANÇ_MOV[EMPRESA],$C$4,LANÇ_MOV[CENTRO DE CUSTOS],$D$4)</f>
        <v>0</v>
      </c>
      <c r="H1151" s="206">
        <f>SUMIFS(LANÇ_MOV[VALOR LÍQUIDO],LANÇ_MOV[RECEITA OU DESPESA],"Receita",LANÇ_MOV[CONTAS],$C1151,LANÇ_MOV[PLANO DE CONTAS],REL_DRE_FINANCEIRO!$B$1062,LANÇ_MOV[ANO PAGAMENTO],$B$4,LANÇ_MOV[MÊS PAGAMENTO CORRESPONDENTE],H$6,LANÇ_MOV[EMPRESA],$C$4,LANÇ_MOV[CENTRO DE CUSTOS],$D$4)</f>
        <v>0</v>
      </c>
      <c r="I1151" s="206">
        <f>SUMIFS(LANÇ_MOV[VALOR LÍQUIDO],LANÇ_MOV[RECEITA OU DESPESA],"Receita",LANÇ_MOV[CONTAS],$C1151,LANÇ_MOV[PLANO DE CONTAS],REL_DRE_FINANCEIRO!$B$1062,LANÇ_MOV[ANO PAGAMENTO],$B$4,LANÇ_MOV[MÊS PAGAMENTO CORRESPONDENTE],I$6,LANÇ_MOV[EMPRESA],$C$4,LANÇ_MOV[CENTRO DE CUSTOS],$D$4)</f>
        <v>0</v>
      </c>
      <c r="J1151" s="206">
        <f>SUMIFS(LANÇ_MOV[VALOR LÍQUIDO],LANÇ_MOV[RECEITA OU DESPESA],"Receita",LANÇ_MOV[CONTAS],$C1151,LANÇ_MOV[PLANO DE CONTAS],REL_DRE_FINANCEIRO!$B$1062,LANÇ_MOV[ANO PAGAMENTO],$B$4,LANÇ_MOV[MÊS PAGAMENTO CORRESPONDENTE],J$6,LANÇ_MOV[EMPRESA],$C$4,LANÇ_MOV[CENTRO DE CUSTOS],$D$4)</f>
        <v>0</v>
      </c>
      <c r="K1151" s="206">
        <f>SUMIFS(LANÇ_MOV[VALOR LÍQUIDO],LANÇ_MOV[RECEITA OU DESPESA],"Receita",LANÇ_MOV[CONTAS],$C1151,LANÇ_MOV[PLANO DE CONTAS],REL_DRE_FINANCEIRO!$B$1062,LANÇ_MOV[ANO PAGAMENTO],$B$4,LANÇ_MOV[MÊS PAGAMENTO CORRESPONDENTE],K$6,LANÇ_MOV[EMPRESA],$C$4,LANÇ_MOV[CENTRO DE CUSTOS],$D$4)</f>
        <v>0</v>
      </c>
      <c r="L1151" s="206">
        <f>SUMIFS(LANÇ_MOV[VALOR LÍQUIDO],LANÇ_MOV[RECEITA OU DESPESA],"Receita",LANÇ_MOV[CONTAS],$C1151,LANÇ_MOV[PLANO DE CONTAS],REL_DRE_FINANCEIRO!$B$1062,LANÇ_MOV[ANO PAGAMENTO],$B$4,LANÇ_MOV[MÊS PAGAMENTO CORRESPONDENTE],L$6,LANÇ_MOV[EMPRESA],$C$4,LANÇ_MOV[CENTRO DE CUSTOS],$D$4)</f>
        <v>0</v>
      </c>
      <c r="M1151" s="206">
        <f>SUMIFS(LANÇ_MOV[VALOR LÍQUIDO],LANÇ_MOV[RECEITA OU DESPESA],"Receita",LANÇ_MOV[CONTAS],$C1151,LANÇ_MOV[PLANO DE CONTAS],REL_DRE_FINANCEIRO!$B$1062,LANÇ_MOV[ANO PAGAMENTO],$B$4,LANÇ_MOV[MÊS PAGAMENTO CORRESPONDENTE],M$6,LANÇ_MOV[EMPRESA],$C$4,LANÇ_MOV[CENTRO DE CUSTOS],$D$4)</f>
        <v>0</v>
      </c>
      <c r="N1151" s="206">
        <f>SUMIFS(LANÇ_MOV[VALOR LÍQUIDO],LANÇ_MOV[RECEITA OU DESPESA],"Receita",LANÇ_MOV[CONTAS],$C1151,LANÇ_MOV[PLANO DE CONTAS],REL_DRE_FINANCEIRO!$B$1062,LANÇ_MOV[ANO PAGAMENTO],$B$4,LANÇ_MOV[MÊS PAGAMENTO CORRESPONDENTE],N$6,LANÇ_MOV[EMPRESA],$C$4,LANÇ_MOV[CENTRO DE CUSTOS],$D$4)</f>
        <v>0</v>
      </c>
      <c r="O1151" s="206">
        <f>SUMIFS(LANÇ_MOV[VALOR LÍQUIDO],LANÇ_MOV[RECEITA OU DESPESA],"Receita",LANÇ_MOV[CONTAS],$C1151,LANÇ_MOV[PLANO DE CONTAS],REL_DRE_FINANCEIRO!$B$1062,LANÇ_MOV[ANO PAGAMENTO],$B$4,LANÇ_MOV[MÊS PAGAMENTO CORRESPONDENTE],O$6,LANÇ_MOV[EMPRESA],$C$4,LANÇ_MOV[CENTRO DE CUSTOS],$D$4)</f>
        <v>0</v>
      </c>
      <c r="P1151" s="207">
        <f t="shared" si="139"/>
        <v>0</v>
      </c>
      <c r="Q1151" s="329">
        <v>1.1999999999999999E-6</v>
      </c>
      <c r="R1151" s="346">
        <f t="shared" si="140"/>
        <v>1.1999999999999999E-6</v>
      </c>
      <c r="S1151" s="347" t="str">
        <f t="shared" si="141"/>
        <v>-</v>
      </c>
      <c r="T1151" s="347">
        <f t="shared" si="142"/>
        <v>0</v>
      </c>
      <c r="U1151" s="347">
        <f>HLOOKUP(Apoio!$P$12,$D$1061:$P$1162,X1151,FALSE)+Q1151</f>
        <v>1.1999999999999999E-6</v>
      </c>
      <c r="V1151" s="447" t="str">
        <f t="shared" si="143"/>
        <v>-</v>
      </c>
      <c r="W1151" s="448">
        <f>HLOOKUP(Apoio!$P$12,$D$1061:$P$1162,X1151,FALSE)</f>
        <v>0</v>
      </c>
      <c r="X1151" s="329">
        <v>91</v>
      </c>
    </row>
    <row r="1152" spans="2:24" ht="30.05" customHeight="1" x14ac:dyDescent="0.35">
      <c r="B1152" s="204" t="str">
        <f>'CAD_PL_REC-DESP'!H94</f>
        <v>1.3.90</v>
      </c>
      <c r="C1152" s="205" t="str">
        <f>IF('CAD_PL_REC-DESP'!I94="","-",'CAD_PL_REC-DESP'!I94)</f>
        <v>-</v>
      </c>
      <c r="D1152" s="206">
        <f>SUMIFS(LANÇ_MOV[VALOR LÍQUIDO],LANÇ_MOV[RECEITA OU DESPESA],"Receita",LANÇ_MOV[CONTAS],$C1152,LANÇ_MOV[PLANO DE CONTAS],REL_DRE_FINANCEIRO!$B$1062,LANÇ_MOV[ANO PAGAMENTO],$B$4,LANÇ_MOV[MÊS PAGAMENTO CORRESPONDENTE],D$6,LANÇ_MOV[EMPRESA],$C$4,LANÇ_MOV[CENTRO DE CUSTOS],$D$4)</f>
        <v>0</v>
      </c>
      <c r="E1152" s="206">
        <f>SUMIFS(LANÇ_MOV[VALOR LÍQUIDO],LANÇ_MOV[RECEITA OU DESPESA],"Receita",LANÇ_MOV[CONTAS],$C1152,LANÇ_MOV[PLANO DE CONTAS],REL_DRE_FINANCEIRO!$B$1062,LANÇ_MOV[ANO PAGAMENTO],$B$4,LANÇ_MOV[MÊS PAGAMENTO CORRESPONDENTE],E$6,LANÇ_MOV[EMPRESA],$C$4,LANÇ_MOV[CENTRO DE CUSTOS],$D$4)</f>
        <v>0</v>
      </c>
      <c r="F1152" s="206">
        <f>SUMIFS(LANÇ_MOV[VALOR LÍQUIDO],LANÇ_MOV[RECEITA OU DESPESA],"Receita",LANÇ_MOV[CONTAS],$C1152,LANÇ_MOV[PLANO DE CONTAS],REL_DRE_FINANCEIRO!$B$1062,LANÇ_MOV[ANO PAGAMENTO],$B$4,LANÇ_MOV[MÊS PAGAMENTO CORRESPONDENTE],F$6,LANÇ_MOV[EMPRESA],$C$4,LANÇ_MOV[CENTRO DE CUSTOS],$D$4)</f>
        <v>0</v>
      </c>
      <c r="G1152" s="206">
        <f>SUMIFS(LANÇ_MOV[VALOR LÍQUIDO],LANÇ_MOV[RECEITA OU DESPESA],"Receita",LANÇ_MOV[CONTAS],$C1152,LANÇ_MOV[PLANO DE CONTAS],REL_DRE_FINANCEIRO!$B$1062,LANÇ_MOV[ANO PAGAMENTO],$B$4,LANÇ_MOV[MÊS PAGAMENTO CORRESPONDENTE],G$6,LANÇ_MOV[EMPRESA],$C$4,LANÇ_MOV[CENTRO DE CUSTOS],$D$4)</f>
        <v>0</v>
      </c>
      <c r="H1152" s="206">
        <f>SUMIFS(LANÇ_MOV[VALOR LÍQUIDO],LANÇ_MOV[RECEITA OU DESPESA],"Receita",LANÇ_MOV[CONTAS],$C1152,LANÇ_MOV[PLANO DE CONTAS],REL_DRE_FINANCEIRO!$B$1062,LANÇ_MOV[ANO PAGAMENTO],$B$4,LANÇ_MOV[MÊS PAGAMENTO CORRESPONDENTE],H$6,LANÇ_MOV[EMPRESA],$C$4,LANÇ_MOV[CENTRO DE CUSTOS],$D$4)</f>
        <v>0</v>
      </c>
      <c r="I1152" s="206">
        <f>SUMIFS(LANÇ_MOV[VALOR LÍQUIDO],LANÇ_MOV[RECEITA OU DESPESA],"Receita",LANÇ_MOV[CONTAS],$C1152,LANÇ_MOV[PLANO DE CONTAS],REL_DRE_FINANCEIRO!$B$1062,LANÇ_MOV[ANO PAGAMENTO],$B$4,LANÇ_MOV[MÊS PAGAMENTO CORRESPONDENTE],I$6,LANÇ_MOV[EMPRESA],$C$4,LANÇ_MOV[CENTRO DE CUSTOS],$D$4)</f>
        <v>0</v>
      </c>
      <c r="J1152" s="206">
        <f>SUMIFS(LANÇ_MOV[VALOR LÍQUIDO],LANÇ_MOV[RECEITA OU DESPESA],"Receita",LANÇ_MOV[CONTAS],$C1152,LANÇ_MOV[PLANO DE CONTAS],REL_DRE_FINANCEIRO!$B$1062,LANÇ_MOV[ANO PAGAMENTO],$B$4,LANÇ_MOV[MÊS PAGAMENTO CORRESPONDENTE],J$6,LANÇ_MOV[EMPRESA],$C$4,LANÇ_MOV[CENTRO DE CUSTOS],$D$4)</f>
        <v>0</v>
      </c>
      <c r="K1152" s="206">
        <f>SUMIFS(LANÇ_MOV[VALOR LÍQUIDO],LANÇ_MOV[RECEITA OU DESPESA],"Receita",LANÇ_MOV[CONTAS],$C1152,LANÇ_MOV[PLANO DE CONTAS],REL_DRE_FINANCEIRO!$B$1062,LANÇ_MOV[ANO PAGAMENTO],$B$4,LANÇ_MOV[MÊS PAGAMENTO CORRESPONDENTE],K$6,LANÇ_MOV[EMPRESA],$C$4,LANÇ_MOV[CENTRO DE CUSTOS],$D$4)</f>
        <v>0</v>
      </c>
      <c r="L1152" s="206">
        <f>SUMIFS(LANÇ_MOV[VALOR LÍQUIDO],LANÇ_MOV[RECEITA OU DESPESA],"Receita",LANÇ_MOV[CONTAS],$C1152,LANÇ_MOV[PLANO DE CONTAS],REL_DRE_FINANCEIRO!$B$1062,LANÇ_MOV[ANO PAGAMENTO],$B$4,LANÇ_MOV[MÊS PAGAMENTO CORRESPONDENTE],L$6,LANÇ_MOV[EMPRESA],$C$4,LANÇ_MOV[CENTRO DE CUSTOS],$D$4)</f>
        <v>0</v>
      </c>
      <c r="M1152" s="206">
        <f>SUMIFS(LANÇ_MOV[VALOR LÍQUIDO],LANÇ_MOV[RECEITA OU DESPESA],"Receita",LANÇ_MOV[CONTAS],$C1152,LANÇ_MOV[PLANO DE CONTAS],REL_DRE_FINANCEIRO!$B$1062,LANÇ_MOV[ANO PAGAMENTO],$B$4,LANÇ_MOV[MÊS PAGAMENTO CORRESPONDENTE],M$6,LANÇ_MOV[EMPRESA],$C$4,LANÇ_MOV[CENTRO DE CUSTOS],$D$4)</f>
        <v>0</v>
      </c>
      <c r="N1152" s="206">
        <f>SUMIFS(LANÇ_MOV[VALOR LÍQUIDO],LANÇ_MOV[RECEITA OU DESPESA],"Receita",LANÇ_MOV[CONTAS],$C1152,LANÇ_MOV[PLANO DE CONTAS],REL_DRE_FINANCEIRO!$B$1062,LANÇ_MOV[ANO PAGAMENTO],$B$4,LANÇ_MOV[MÊS PAGAMENTO CORRESPONDENTE],N$6,LANÇ_MOV[EMPRESA],$C$4,LANÇ_MOV[CENTRO DE CUSTOS],$D$4)</f>
        <v>0</v>
      </c>
      <c r="O1152" s="206">
        <f>SUMIFS(LANÇ_MOV[VALOR LÍQUIDO],LANÇ_MOV[RECEITA OU DESPESA],"Receita",LANÇ_MOV[CONTAS],$C1152,LANÇ_MOV[PLANO DE CONTAS],REL_DRE_FINANCEIRO!$B$1062,LANÇ_MOV[ANO PAGAMENTO],$B$4,LANÇ_MOV[MÊS PAGAMENTO CORRESPONDENTE],O$6,LANÇ_MOV[EMPRESA],$C$4,LANÇ_MOV[CENTRO DE CUSTOS],$D$4)</f>
        <v>0</v>
      </c>
      <c r="P1152" s="207">
        <f t="shared" si="139"/>
        <v>0</v>
      </c>
      <c r="Q1152" s="329">
        <v>1.1000000000000001E-6</v>
      </c>
      <c r="R1152" s="346">
        <f t="shared" si="140"/>
        <v>1.1000000000000001E-6</v>
      </c>
      <c r="S1152" s="347" t="str">
        <f t="shared" si="141"/>
        <v>-</v>
      </c>
      <c r="T1152" s="347">
        <f t="shared" si="142"/>
        <v>0</v>
      </c>
      <c r="U1152" s="347">
        <f>HLOOKUP(Apoio!$P$12,$D$1061:$P$1162,X1152,FALSE)+Q1152</f>
        <v>1.1000000000000001E-6</v>
      </c>
      <c r="V1152" s="447" t="str">
        <f t="shared" si="143"/>
        <v>-</v>
      </c>
      <c r="W1152" s="448">
        <f>HLOOKUP(Apoio!$P$12,$D$1061:$P$1162,X1152,FALSE)</f>
        <v>0</v>
      </c>
      <c r="X1152" s="329">
        <v>92</v>
      </c>
    </row>
    <row r="1153" spans="2:50" ht="30.05" customHeight="1" x14ac:dyDescent="0.35">
      <c r="B1153" s="204" t="str">
        <f>'CAD_PL_REC-DESP'!H95</f>
        <v>1.3.91</v>
      </c>
      <c r="C1153" s="205" t="str">
        <f>IF('CAD_PL_REC-DESP'!I95="","-",'CAD_PL_REC-DESP'!I95)</f>
        <v>-</v>
      </c>
      <c r="D1153" s="206">
        <f>SUMIFS(LANÇ_MOV[VALOR LÍQUIDO],LANÇ_MOV[RECEITA OU DESPESA],"Receita",LANÇ_MOV[CONTAS],$C1153,LANÇ_MOV[PLANO DE CONTAS],REL_DRE_FINANCEIRO!$B$1062,LANÇ_MOV[ANO PAGAMENTO],$B$4,LANÇ_MOV[MÊS PAGAMENTO CORRESPONDENTE],D$6,LANÇ_MOV[EMPRESA],$C$4,LANÇ_MOV[CENTRO DE CUSTOS],$D$4)</f>
        <v>0</v>
      </c>
      <c r="E1153" s="206">
        <f>SUMIFS(LANÇ_MOV[VALOR LÍQUIDO],LANÇ_MOV[RECEITA OU DESPESA],"Receita",LANÇ_MOV[CONTAS],$C1153,LANÇ_MOV[PLANO DE CONTAS],REL_DRE_FINANCEIRO!$B$1062,LANÇ_MOV[ANO PAGAMENTO],$B$4,LANÇ_MOV[MÊS PAGAMENTO CORRESPONDENTE],E$6,LANÇ_MOV[EMPRESA],$C$4,LANÇ_MOV[CENTRO DE CUSTOS],$D$4)</f>
        <v>0</v>
      </c>
      <c r="F1153" s="206">
        <f>SUMIFS(LANÇ_MOV[VALOR LÍQUIDO],LANÇ_MOV[RECEITA OU DESPESA],"Receita",LANÇ_MOV[CONTAS],$C1153,LANÇ_MOV[PLANO DE CONTAS],REL_DRE_FINANCEIRO!$B$1062,LANÇ_MOV[ANO PAGAMENTO],$B$4,LANÇ_MOV[MÊS PAGAMENTO CORRESPONDENTE],F$6,LANÇ_MOV[EMPRESA],$C$4,LANÇ_MOV[CENTRO DE CUSTOS],$D$4)</f>
        <v>0</v>
      </c>
      <c r="G1153" s="206">
        <f>SUMIFS(LANÇ_MOV[VALOR LÍQUIDO],LANÇ_MOV[RECEITA OU DESPESA],"Receita",LANÇ_MOV[CONTAS],$C1153,LANÇ_MOV[PLANO DE CONTAS],REL_DRE_FINANCEIRO!$B$1062,LANÇ_MOV[ANO PAGAMENTO],$B$4,LANÇ_MOV[MÊS PAGAMENTO CORRESPONDENTE],G$6,LANÇ_MOV[EMPRESA],$C$4,LANÇ_MOV[CENTRO DE CUSTOS],$D$4)</f>
        <v>0</v>
      </c>
      <c r="H1153" s="206">
        <f>SUMIFS(LANÇ_MOV[VALOR LÍQUIDO],LANÇ_MOV[RECEITA OU DESPESA],"Receita",LANÇ_MOV[CONTAS],$C1153,LANÇ_MOV[PLANO DE CONTAS],REL_DRE_FINANCEIRO!$B$1062,LANÇ_MOV[ANO PAGAMENTO],$B$4,LANÇ_MOV[MÊS PAGAMENTO CORRESPONDENTE],H$6,LANÇ_MOV[EMPRESA],$C$4,LANÇ_MOV[CENTRO DE CUSTOS],$D$4)</f>
        <v>0</v>
      </c>
      <c r="I1153" s="206">
        <f>SUMIFS(LANÇ_MOV[VALOR LÍQUIDO],LANÇ_MOV[RECEITA OU DESPESA],"Receita",LANÇ_MOV[CONTAS],$C1153,LANÇ_MOV[PLANO DE CONTAS],REL_DRE_FINANCEIRO!$B$1062,LANÇ_MOV[ANO PAGAMENTO],$B$4,LANÇ_MOV[MÊS PAGAMENTO CORRESPONDENTE],I$6,LANÇ_MOV[EMPRESA],$C$4,LANÇ_MOV[CENTRO DE CUSTOS],$D$4)</f>
        <v>0</v>
      </c>
      <c r="J1153" s="206">
        <f>SUMIFS(LANÇ_MOV[VALOR LÍQUIDO],LANÇ_MOV[RECEITA OU DESPESA],"Receita",LANÇ_MOV[CONTAS],$C1153,LANÇ_MOV[PLANO DE CONTAS],REL_DRE_FINANCEIRO!$B$1062,LANÇ_MOV[ANO PAGAMENTO],$B$4,LANÇ_MOV[MÊS PAGAMENTO CORRESPONDENTE],J$6,LANÇ_MOV[EMPRESA],$C$4,LANÇ_MOV[CENTRO DE CUSTOS],$D$4)</f>
        <v>0</v>
      </c>
      <c r="K1153" s="206">
        <f>SUMIFS(LANÇ_MOV[VALOR LÍQUIDO],LANÇ_MOV[RECEITA OU DESPESA],"Receita",LANÇ_MOV[CONTAS],$C1153,LANÇ_MOV[PLANO DE CONTAS],REL_DRE_FINANCEIRO!$B$1062,LANÇ_MOV[ANO PAGAMENTO],$B$4,LANÇ_MOV[MÊS PAGAMENTO CORRESPONDENTE],K$6,LANÇ_MOV[EMPRESA],$C$4,LANÇ_MOV[CENTRO DE CUSTOS],$D$4)</f>
        <v>0</v>
      </c>
      <c r="L1153" s="206">
        <f>SUMIFS(LANÇ_MOV[VALOR LÍQUIDO],LANÇ_MOV[RECEITA OU DESPESA],"Receita",LANÇ_MOV[CONTAS],$C1153,LANÇ_MOV[PLANO DE CONTAS],REL_DRE_FINANCEIRO!$B$1062,LANÇ_MOV[ANO PAGAMENTO],$B$4,LANÇ_MOV[MÊS PAGAMENTO CORRESPONDENTE],L$6,LANÇ_MOV[EMPRESA],$C$4,LANÇ_MOV[CENTRO DE CUSTOS],$D$4)</f>
        <v>0</v>
      </c>
      <c r="M1153" s="206">
        <f>SUMIFS(LANÇ_MOV[VALOR LÍQUIDO],LANÇ_MOV[RECEITA OU DESPESA],"Receita",LANÇ_MOV[CONTAS],$C1153,LANÇ_MOV[PLANO DE CONTAS],REL_DRE_FINANCEIRO!$B$1062,LANÇ_MOV[ANO PAGAMENTO],$B$4,LANÇ_MOV[MÊS PAGAMENTO CORRESPONDENTE],M$6,LANÇ_MOV[EMPRESA],$C$4,LANÇ_MOV[CENTRO DE CUSTOS],$D$4)</f>
        <v>0</v>
      </c>
      <c r="N1153" s="206">
        <f>SUMIFS(LANÇ_MOV[VALOR LÍQUIDO],LANÇ_MOV[RECEITA OU DESPESA],"Receita",LANÇ_MOV[CONTAS],$C1153,LANÇ_MOV[PLANO DE CONTAS],REL_DRE_FINANCEIRO!$B$1062,LANÇ_MOV[ANO PAGAMENTO],$B$4,LANÇ_MOV[MÊS PAGAMENTO CORRESPONDENTE],N$6,LANÇ_MOV[EMPRESA],$C$4,LANÇ_MOV[CENTRO DE CUSTOS],$D$4)</f>
        <v>0</v>
      </c>
      <c r="O1153" s="206">
        <f>SUMIFS(LANÇ_MOV[VALOR LÍQUIDO],LANÇ_MOV[RECEITA OU DESPESA],"Receita",LANÇ_MOV[CONTAS],$C1153,LANÇ_MOV[PLANO DE CONTAS],REL_DRE_FINANCEIRO!$B$1062,LANÇ_MOV[ANO PAGAMENTO],$B$4,LANÇ_MOV[MÊS PAGAMENTO CORRESPONDENTE],O$6,LANÇ_MOV[EMPRESA],$C$4,LANÇ_MOV[CENTRO DE CUSTOS],$D$4)</f>
        <v>0</v>
      </c>
      <c r="P1153" s="207">
        <f t="shared" si="139"/>
        <v>0</v>
      </c>
      <c r="Q1153" s="329">
        <v>9.9999999999999995E-7</v>
      </c>
      <c r="R1153" s="346">
        <f t="shared" si="140"/>
        <v>9.9999999999999995E-7</v>
      </c>
      <c r="S1153" s="347" t="str">
        <f t="shared" si="141"/>
        <v>-</v>
      </c>
      <c r="T1153" s="347">
        <f t="shared" si="142"/>
        <v>0</v>
      </c>
      <c r="U1153" s="347">
        <f>HLOOKUP(Apoio!$P$12,$D$1061:$P$1162,X1153,FALSE)+Q1153</f>
        <v>9.9999999999999995E-7</v>
      </c>
      <c r="V1153" s="447" t="str">
        <f t="shared" si="143"/>
        <v>-</v>
      </c>
      <c r="W1153" s="448">
        <f>HLOOKUP(Apoio!$P$12,$D$1061:$P$1162,X1153,FALSE)</f>
        <v>0</v>
      </c>
      <c r="X1153" s="329">
        <v>93</v>
      </c>
    </row>
    <row r="1154" spans="2:50" ht="30.05" customHeight="1" x14ac:dyDescent="0.35">
      <c r="B1154" s="204" t="str">
        <f>'CAD_PL_REC-DESP'!H96</f>
        <v>1.3.92</v>
      </c>
      <c r="C1154" s="205" t="str">
        <f>IF('CAD_PL_REC-DESP'!I96="","-",'CAD_PL_REC-DESP'!I96)</f>
        <v>-</v>
      </c>
      <c r="D1154" s="206">
        <f>SUMIFS(LANÇ_MOV[VALOR LÍQUIDO],LANÇ_MOV[RECEITA OU DESPESA],"Receita",LANÇ_MOV[CONTAS],$C1154,LANÇ_MOV[PLANO DE CONTAS],REL_DRE_FINANCEIRO!$B$1062,LANÇ_MOV[ANO PAGAMENTO],$B$4,LANÇ_MOV[MÊS PAGAMENTO CORRESPONDENTE],D$6,LANÇ_MOV[EMPRESA],$C$4,LANÇ_MOV[CENTRO DE CUSTOS],$D$4)</f>
        <v>0</v>
      </c>
      <c r="E1154" s="206">
        <f>SUMIFS(LANÇ_MOV[VALOR LÍQUIDO],LANÇ_MOV[RECEITA OU DESPESA],"Receita",LANÇ_MOV[CONTAS],$C1154,LANÇ_MOV[PLANO DE CONTAS],REL_DRE_FINANCEIRO!$B$1062,LANÇ_MOV[ANO PAGAMENTO],$B$4,LANÇ_MOV[MÊS PAGAMENTO CORRESPONDENTE],E$6,LANÇ_MOV[EMPRESA],$C$4,LANÇ_MOV[CENTRO DE CUSTOS],$D$4)</f>
        <v>0</v>
      </c>
      <c r="F1154" s="206">
        <f>SUMIFS(LANÇ_MOV[VALOR LÍQUIDO],LANÇ_MOV[RECEITA OU DESPESA],"Receita",LANÇ_MOV[CONTAS],$C1154,LANÇ_MOV[PLANO DE CONTAS],REL_DRE_FINANCEIRO!$B$1062,LANÇ_MOV[ANO PAGAMENTO],$B$4,LANÇ_MOV[MÊS PAGAMENTO CORRESPONDENTE],F$6,LANÇ_MOV[EMPRESA],$C$4,LANÇ_MOV[CENTRO DE CUSTOS],$D$4)</f>
        <v>0</v>
      </c>
      <c r="G1154" s="206">
        <f>SUMIFS(LANÇ_MOV[VALOR LÍQUIDO],LANÇ_MOV[RECEITA OU DESPESA],"Receita",LANÇ_MOV[CONTAS],$C1154,LANÇ_MOV[PLANO DE CONTAS],REL_DRE_FINANCEIRO!$B$1062,LANÇ_MOV[ANO PAGAMENTO],$B$4,LANÇ_MOV[MÊS PAGAMENTO CORRESPONDENTE],G$6,LANÇ_MOV[EMPRESA],$C$4,LANÇ_MOV[CENTRO DE CUSTOS],$D$4)</f>
        <v>0</v>
      </c>
      <c r="H1154" s="206">
        <f>SUMIFS(LANÇ_MOV[VALOR LÍQUIDO],LANÇ_MOV[RECEITA OU DESPESA],"Receita",LANÇ_MOV[CONTAS],$C1154,LANÇ_MOV[PLANO DE CONTAS],REL_DRE_FINANCEIRO!$B$1062,LANÇ_MOV[ANO PAGAMENTO],$B$4,LANÇ_MOV[MÊS PAGAMENTO CORRESPONDENTE],H$6,LANÇ_MOV[EMPRESA],$C$4,LANÇ_MOV[CENTRO DE CUSTOS],$D$4)</f>
        <v>0</v>
      </c>
      <c r="I1154" s="206">
        <f>SUMIFS(LANÇ_MOV[VALOR LÍQUIDO],LANÇ_MOV[RECEITA OU DESPESA],"Receita",LANÇ_MOV[CONTAS],$C1154,LANÇ_MOV[PLANO DE CONTAS],REL_DRE_FINANCEIRO!$B$1062,LANÇ_MOV[ANO PAGAMENTO],$B$4,LANÇ_MOV[MÊS PAGAMENTO CORRESPONDENTE],I$6,LANÇ_MOV[EMPRESA],$C$4,LANÇ_MOV[CENTRO DE CUSTOS],$D$4)</f>
        <v>0</v>
      </c>
      <c r="J1154" s="206">
        <f>SUMIFS(LANÇ_MOV[VALOR LÍQUIDO],LANÇ_MOV[RECEITA OU DESPESA],"Receita",LANÇ_MOV[CONTAS],$C1154,LANÇ_MOV[PLANO DE CONTAS],REL_DRE_FINANCEIRO!$B$1062,LANÇ_MOV[ANO PAGAMENTO],$B$4,LANÇ_MOV[MÊS PAGAMENTO CORRESPONDENTE],J$6,LANÇ_MOV[EMPRESA],$C$4,LANÇ_MOV[CENTRO DE CUSTOS],$D$4)</f>
        <v>0</v>
      </c>
      <c r="K1154" s="206">
        <f>SUMIFS(LANÇ_MOV[VALOR LÍQUIDO],LANÇ_MOV[RECEITA OU DESPESA],"Receita",LANÇ_MOV[CONTAS],$C1154,LANÇ_MOV[PLANO DE CONTAS],REL_DRE_FINANCEIRO!$B$1062,LANÇ_MOV[ANO PAGAMENTO],$B$4,LANÇ_MOV[MÊS PAGAMENTO CORRESPONDENTE],K$6,LANÇ_MOV[EMPRESA],$C$4,LANÇ_MOV[CENTRO DE CUSTOS],$D$4)</f>
        <v>0</v>
      </c>
      <c r="L1154" s="206">
        <f>SUMIFS(LANÇ_MOV[VALOR LÍQUIDO],LANÇ_MOV[RECEITA OU DESPESA],"Receita",LANÇ_MOV[CONTAS],$C1154,LANÇ_MOV[PLANO DE CONTAS],REL_DRE_FINANCEIRO!$B$1062,LANÇ_MOV[ANO PAGAMENTO],$B$4,LANÇ_MOV[MÊS PAGAMENTO CORRESPONDENTE],L$6,LANÇ_MOV[EMPRESA],$C$4,LANÇ_MOV[CENTRO DE CUSTOS],$D$4)</f>
        <v>0</v>
      </c>
      <c r="M1154" s="206">
        <f>SUMIFS(LANÇ_MOV[VALOR LÍQUIDO],LANÇ_MOV[RECEITA OU DESPESA],"Receita",LANÇ_MOV[CONTAS],$C1154,LANÇ_MOV[PLANO DE CONTAS],REL_DRE_FINANCEIRO!$B$1062,LANÇ_MOV[ANO PAGAMENTO],$B$4,LANÇ_MOV[MÊS PAGAMENTO CORRESPONDENTE],M$6,LANÇ_MOV[EMPRESA],$C$4,LANÇ_MOV[CENTRO DE CUSTOS],$D$4)</f>
        <v>0</v>
      </c>
      <c r="N1154" s="206">
        <f>SUMIFS(LANÇ_MOV[VALOR LÍQUIDO],LANÇ_MOV[RECEITA OU DESPESA],"Receita",LANÇ_MOV[CONTAS],$C1154,LANÇ_MOV[PLANO DE CONTAS],REL_DRE_FINANCEIRO!$B$1062,LANÇ_MOV[ANO PAGAMENTO],$B$4,LANÇ_MOV[MÊS PAGAMENTO CORRESPONDENTE],N$6,LANÇ_MOV[EMPRESA],$C$4,LANÇ_MOV[CENTRO DE CUSTOS],$D$4)</f>
        <v>0</v>
      </c>
      <c r="O1154" s="206">
        <f>SUMIFS(LANÇ_MOV[VALOR LÍQUIDO],LANÇ_MOV[RECEITA OU DESPESA],"Receita",LANÇ_MOV[CONTAS],$C1154,LANÇ_MOV[PLANO DE CONTAS],REL_DRE_FINANCEIRO!$B$1062,LANÇ_MOV[ANO PAGAMENTO],$B$4,LANÇ_MOV[MÊS PAGAMENTO CORRESPONDENTE],O$6,LANÇ_MOV[EMPRESA],$C$4,LANÇ_MOV[CENTRO DE CUSTOS],$D$4)</f>
        <v>0</v>
      </c>
      <c r="P1154" s="207">
        <f t="shared" si="139"/>
        <v>0</v>
      </c>
      <c r="Q1154" s="329">
        <v>8.9999999999999996E-7</v>
      </c>
      <c r="R1154" s="346">
        <f t="shared" si="140"/>
        <v>8.9999999999999996E-7</v>
      </c>
      <c r="S1154" s="347" t="str">
        <f t="shared" si="141"/>
        <v>-</v>
      </c>
      <c r="T1154" s="347">
        <f t="shared" si="142"/>
        <v>0</v>
      </c>
      <c r="U1154" s="347">
        <f>HLOOKUP(Apoio!$P$12,$D$1061:$P$1162,X1154,FALSE)+Q1154</f>
        <v>8.9999999999999996E-7</v>
      </c>
      <c r="V1154" s="447" t="str">
        <f t="shared" si="143"/>
        <v>-</v>
      </c>
      <c r="W1154" s="448">
        <f>HLOOKUP(Apoio!$P$12,$D$1061:$P$1162,X1154,FALSE)</f>
        <v>0</v>
      </c>
      <c r="X1154" s="329">
        <v>94</v>
      </c>
    </row>
    <row r="1155" spans="2:50" ht="30.05" customHeight="1" x14ac:dyDescent="0.35">
      <c r="B1155" s="204" t="str">
        <f>'CAD_PL_REC-DESP'!H97</f>
        <v>1.3.93</v>
      </c>
      <c r="C1155" s="205" t="str">
        <f>IF('CAD_PL_REC-DESP'!I97="","-",'CAD_PL_REC-DESP'!I97)</f>
        <v>-</v>
      </c>
      <c r="D1155" s="206">
        <f>SUMIFS(LANÇ_MOV[VALOR LÍQUIDO],LANÇ_MOV[RECEITA OU DESPESA],"Receita",LANÇ_MOV[CONTAS],$C1155,LANÇ_MOV[PLANO DE CONTAS],REL_DRE_FINANCEIRO!$B$1062,LANÇ_MOV[ANO PAGAMENTO],$B$4,LANÇ_MOV[MÊS PAGAMENTO CORRESPONDENTE],D$6,LANÇ_MOV[EMPRESA],$C$4,LANÇ_MOV[CENTRO DE CUSTOS],$D$4)</f>
        <v>0</v>
      </c>
      <c r="E1155" s="206">
        <f>SUMIFS(LANÇ_MOV[VALOR LÍQUIDO],LANÇ_MOV[RECEITA OU DESPESA],"Receita",LANÇ_MOV[CONTAS],$C1155,LANÇ_MOV[PLANO DE CONTAS],REL_DRE_FINANCEIRO!$B$1062,LANÇ_MOV[ANO PAGAMENTO],$B$4,LANÇ_MOV[MÊS PAGAMENTO CORRESPONDENTE],E$6,LANÇ_MOV[EMPRESA],$C$4,LANÇ_MOV[CENTRO DE CUSTOS],$D$4)</f>
        <v>0</v>
      </c>
      <c r="F1155" s="206">
        <f>SUMIFS(LANÇ_MOV[VALOR LÍQUIDO],LANÇ_MOV[RECEITA OU DESPESA],"Receita",LANÇ_MOV[CONTAS],$C1155,LANÇ_MOV[PLANO DE CONTAS],REL_DRE_FINANCEIRO!$B$1062,LANÇ_MOV[ANO PAGAMENTO],$B$4,LANÇ_MOV[MÊS PAGAMENTO CORRESPONDENTE],F$6,LANÇ_MOV[EMPRESA],$C$4,LANÇ_MOV[CENTRO DE CUSTOS],$D$4)</f>
        <v>0</v>
      </c>
      <c r="G1155" s="206">
        <f>SUMIFS(LANÇ_MOV[VALOR LÍQUIDO],LANÇ_MOV[RECEITA OU DESPESA],"Receita",LANÇ_MOV[CONTAS],$C1155,LANÇ_MOV[PLANO DE CONTAS],REL_DRE_FINANCEIRO!$B$1062,LANÇ_MOV[ANO PAGAMENTO],$B$4,LANÇ_MOV[MÊS PAGAMENTO CORRESPONDENTE],G$6,LANÇ_MOV[EMPRESA],$C$4,LANÇ_MOV[CENTRO DE CUSTOS],$D$4)</f>
        <v>0</v>
      </c>
      <c r="H1155" s="206">
        <f>SUMIFS(LANÇ_MOV[VALOR LÍQUIDO],LANÇ_MOV[RECEITA OU DESPESA],"Receita",LANÇ_MOV[CONTAS],$C1155,LANÇ_MOV[PLANO DE CONTAS],REL_DRE_FINANCEIRO!$B$1062,LANÇ_MOV[ANO PAGAMENTO],$B$4,LANÇ_MOV[MÊS PAGAMENTO CORRESPONDENTE],H$6,LANÇ_MOV[EMPRESA],$C$4,LANÇ_MOV[CENTRO DE CUSTOS],$D$4)</f>
        <v>0</v>
      </c>
      <c r="I1155" s="206">
        <f>SUMIFS(LANÇ_MOV[VALOR LÍQUIDO],LANÇ_MOV[RECEITA OU DESPESA],"Receita",LANÇ_MOV[CONTAS],$C1155,LANÇ_MOV[PLANO DE CONTAS],REL_DRE_FINANCEIRO!$B$1062,LANÇ_MOV[ANO PAGAMENTO],$B$4,LANÇ_MOV[MÊS PAGAMENTO CORRESPONDENTE],I$6,LANÇ_MOV[EMPRESA],$C$4,LANÇ_MOV[CENTRO DE CUSTOS],$D$4)</f>
        <v>0</v>
      </c>
      <c r="J1155" s="206">
        <f>SUMIFS(LANÇ_MOV[VALOR LÍQUIDO],LANÇ_MOV[RECEITA OU DESPESA],"Receita",LANÇ_MOV[CONTAS],$C1155,LANÇ_MOV[PLANO DE CONTAS],REL_DRE_FINANCEIRO!$B$1062,LANÇ_MOV[ANO PAGAMENTO],$B$4,LANÇ_MOV[MÊS PAGAMENTO CORRESPONDENTE],J$6,LANÇ_MOV[EMPRESA],$C$4,LANÇ_MOV[CENTRO DE CUSTOS],$D$4)</f>
        <v>0</v>
      </c>
      <c r="K1155" s="206">
        <f>SUMIFS(LANÇ_MOV[VALOR LÍQUIDO],LANÇ_MOV[RECEITA OU DESPESA],"Receita",LANÇ_MOV[CONTAS],$C1155,LANÇ_MOV[PLANO DE CONTAS],REL_DRE_FINANCEIRO!$B$1062,LANÇ_MOV[ANO PAGAMENTO],$B$4,LANÇ_MOV[MÊS PAGAMENTO CORRESPONDENTE],K$6,LANÇ_MOV[EMPRESA],$C$4,LANÇ_MOV[CENTRO DE CUSTOS],$D$4)</f>
        <v>0</v>
      </c>
      <c r="L1155" s="206">
        <f>SUMIFS(LANÇ_MOV[VALOR LÍQUIDO],LANÇ_MOV[RECEITA OU DESPESA],"Receita",LANÇ_MOV[CONTAS],$C1155,LANÇ_MOV[PLANO DE CONTAS],REL_DRE_FINANCEIRO!$B$1062,LANÇ_MOV[ANO PAGAMENTO],$B$4,LANÇ_MOV[MÊS PAGAMENTO CORRESPONDENTE],L$6,LANÇ_MOV[EMPRESA],$C$4,LANÇ_MOV[CENTRO DE CUSTOS],$D$4)</f>
        <v>0</v>
      </c>
      <c r="M1155" s="206">
        <f>SUMIFS(LANÇ_MOV[VALOR LÍQUIDO],LANÇ_MOV[RECEITA OU DESPESA],"Receita",LANÇ_MOV[CONTAS],$C1155,LANÇ_MOV[PLANO DE CONTAS],REL_DRE_FINANCEIRO!$B$1062,LANÇ_MOV[ANO PAGAMENTO],$B$4,LANÇ_MOV[MÊS PAGAMENTO CORRESPONDENTE],M$6,LANÇ_MOV[EMPRESA],$C$4,LANÇ_MOV[CENTRO DE CUSTOS],$D$4)</f>
        <v>0</v>
      </c>
      <c r="N1155" s="206">
        <f>SUMIFS(LANÇ_MOV[VALOR LÍQUIDO],LANÇ_MOV[RECEITA OU DESPESA],"Receita",LANÇ_MOV[CONTAS],$C1155,LANÇ_MOV[PLANO DE CONTAS],REL_DRE_FINANCEIRO!$B$1062,LANÇ_MOV[ANO PAGAMENTO],$B$4,LANÇ_MOV[MÊS PAGAMENTO CORRESPONDENTE],N$6,LANÇ_MOV[EMPRESA],$C$4,LANÇ_MOV[CENTRO DE CUSTOS],$D$4)</f>
        <v>0</v>
      </c>
      <c r="O1155" s="206">
        <f>SUMIFS(LANÇ_MOV[VALOR LÍQUIDO],LANÇ_MOV[RECEITA OU DESPESA],"Receita",LANÇ_MOV[CONTAS],$C1155,LANÇ_MOV[PLANO DE CONTAS],REL_DRE_FINANCEIRO!$B$1062,LANÇ_MOV[ANO PAGAMENTO],$B$4,LANÇ_MOV[MÊS PAGAMENTO CORRESPONDENTE],O$6,LANÇ_MOV[EMPRESA],$C$4,LANÇ_MOV[CENTRO DE CUSTOS],$D$4)</f>
        <v>0</v>
      </c>
      <c r="P1155" s="207">
        <f t="shared" si="139"/>
        <v>0</v>
      </c>
      <c r="Q1155" s="329">
        <v>7.9999999999999996E-7</v>
      </c>
      <c r="R1155" s="346">
        <f t="shared" si="140"/>
        <v>7.9999999999999996E-7</v>
      </c>
      <c r="S1155" s="347" t="str">
        <f t="shared" si="141"/>
        <v>-</v>
      </c>
      <c r="T1155" s="347">
        <f t="shared" si="142"/>
        <v>0</v>
      </c>
      <c r="U1155" s="347">
        <f>HLOOKUP(Apoio!$P$12,$D$1061:$P$1162,X1155,FALSE)+Q1155</f>
        <v>7.9999999999999996E-7</v>
      </c>
      <c r="V1155" s="447" t="str">
        <f t="shared" si="143"/>
        <v>-</v>
      </c>
      <c r="W1155" s="448">
        <f>HLOOKUP(Apoio!$P$12,$D$1061:$P$1162,X1155,FALSE)</f>
        <v>0</v>
      </c>
      <c r="X1155" s="329">
        <v>95</v>
      </c>
    </row>
    <row r="1156" spans="2:50" ht="30.05" customHeight="1" x14ac:dyDescent="0.35">
      <c r="B1156" s="204" t="str">
        <f>'CAD_PL_REC-DESP'!H98</f>
        <v>1.3.94</v>
      </c>
      <c r="C1156" s="205" t="str">
        <f>IF('CAD_PL_REC-DESP'!I98="","-",'CAD_PL_REC-DESP'!I98)</f>
        <v>-</v>
      </c>
      <c r="D1156" s="206">
        <f>SUMIFS(LANÇ_MOV[VALOR LÍQUIDO],LANÇ_MOV[RECEITA OU DESPESA],"Receita",LANÇ_MOV[CONTAS],$C1156,LANÇ_MOV[PLANO DE CONTAS],REL_DRE_FINANCEIRO!$B$1062,LANÇ_MOV[ANO PAGAMENTO],$B$4,LANÇ_MOV[MÊS PAGAMENTO CORRESPONDENTE],D$6,LANÇ_MOV[EMPRESA],$C$4,LANÇ_MOV[CENTRO DE CUSTOS],$D$4)</f>
        <v>0</v>
      </c>
      <c r="E1156" s="206">
        <f>SUMIFS(LANÇ_MOV[VALOR LÍQUIDO],LANÇ_MOV[RECEITA OU DESPESA],"Receita",LANÇ_MOV[CONTAS],$C1156,LANÇ_MOV[PLANO DE CONTAS],REL_DRE_FINANCEIRO!$B$1062,LANÇ_MOV[ANO PAGAMENTO],$B$4,LANÇ_MOV[MÊS PAGAMENTO CORRESPONDENTE],E$6,LANÇ_MOV[EMPRESA],$C$4,LANÇ_MOV[CENTRO DE CUSTOS],$D$4)</f>
        <v>0</v>
      </c>
      <c r="F1156" s="206">
        <f>SUMIFS(LANÇ_MOV[VALOR LÍQUIDO],LANÇ_MOV[RECEITA OU DESPESA],"Receita",LANÇ_MOV[CONTAS],$C1156,LANÇ_MOV[PLANO DE CONTAS],REL_DRE_FINANCEIRO!$B$1062,LANÇ_MOV[ANO PAGAMENTO],$B$4,LANÇ_MOV[MÊS PAGAMENTO CORRESPONDENTE],F$6,LANÇ_MOV[EMPRESA],$C$4,LANÇ_MOV[CENTRO DE CUSTOS],$D$4)</f>
        <v>0</v>
      </c>
      <c r="G1156" s="206">
        <f>SUMIFS(LANÇ_MOV[VALOR LÍQUIDO],LANÇ_MOV[RECEITA OU DESPESA],"Receita",LANÇ_MOV[CONTAS],$C1156,LANÇ_MOV[PLANO DE CONTAS],REL_DRE_FINANCEIRO!$B$1062,LANÇ_MOV[ANO PAGAMENTO],$B$4,LANÇ_MOV[MÊS PAGAMENTO CORRESPONDENTE],G$6,LANÇ_MOV[EMPRESA],$C$4,LANÇ_MOV[CENTRO DE CUSTOS],$D$4)</f>
        <v>0</v>
      </c>
      <c r="H1156" s="206">
        <f>SUMIFS(LANÇ_MOV[VALOR LÍQUIDO],LANÇ_MOV[RECEITA OU DESPESA],"Receita",LANÇ_MOV[CONTAS],$C1156,LANÇ_MOV[PLANO DE CONTAS],REL_DRE_FINANCEIRO!$B$1062,LANÇ_MOV[ANO PAGAMENTO],$B$4,LANÇ_MOV[MÊS PAGAMENTO CORRESPONDENTE],H$6,LANÇ_MOV[EMPRESA],$C$4,LANÇ_MOV[CENTRO DE CUSTOS],$D$4)</f>
        <v>0</v>
      </c>
      <c r="I1156" s="206">
        <f>SUMIFS(LANÇ_MOV[VALOR LÍQUIDO],LANÇ_MOV[RECEITA OU DESPESA],"Receita",LANÇ_MOV[CONTAS],$C1156,LANÇ_MOV[PLANO DE CONTAS],REL_DRE_FINANCEIRO!$B$1062,LANÇ_MOV[ANO PAGAMENTO],$B$4,LANÇ_MOV[MÊS PAGAMENTO CORRESPONDENTE],I$6,LANÇ_MOV[EMPRESA],$C$4,LANÇ_MOV[CENTRO DE CUSTOS],$D$4)</f>
        <v>0</v>
      </c>
      <c r="J1156" s="206">
        <f>SUMIFS(LANÇ_MOV[VALOR LÍQUIDO],LANÇ_MOV[RECEITA OU DESPESA],"Receita",LANÇ_MOV[CONTAS],$C1156,LANÇ_MOV[PLANO DE CONTAS],REL_DRE_FINANCEIRO!$B$1062,LANÇ_MOV[ANO PAGAMENTO],$B$4,LANÇ_MOV[MÊS PAGAMENTO CORRESPONDENTE],J$6,LANÇ_MOV[EMPRESA],$C$4,LANÇ_MOV[CENTRO DE CUSTOS],$D$4)</f>
        <v>0</v>
      </c>
      <c r="K1156" s="206">
        <f>SUMIFS(LANÇ_MOV[VALOR LÍQUIDO],LANÇ_MOV[RECEITA OU DESPESA],"Receita",LANÇ_MOV[CONTAS],$C1156,LANÇ_MOV[PLANO DE CONTAS],REL_DRE_FINANCEIRO!$B$1062,LANÇ_MOV[ANO PAGAMENTO],$B$4,LANÇ_MOV[MÊS PAGAMENTO CORRESPONDENTE],K$6,LANÇ_MOV[EMPRESA],$C$4,LANÇ_MOV[CENTRO DE CUSTOS],$D$4)</f>
        <v>0</v>
      </c>
      <c r="L1156" s="206">
        <f>SUMIFS(LANÇ_MOV[VALOR LÍQUIDO],LANÇ_MOV[RECEITA OU DESPESA],"Receita",LANÇ_MOV[CONTAS],$C1156,LANÇ_MOV[PLANO DE CONTAS],REL_DRE_FINANCEIRO!$B$1062,LANÇ_MOV[ANO PAGAMENTO],$B$4,LANÇ_MOV[MÊS PAGAMENTO CORRESPONDENTE],L$6,LANÇ_MOV[EMPRESA],$C$4,LANÇ_MOV[CENTRO DE CUSTOS],$D$4)</f>
        <v>0</v>
      </c>
      <c r="M1156" s="206">
        <f>SUMIFS(LANÇ_MOV[VALOR LÍQUIDO],LANÇ_MOV[RECEITA OU DESPESA],"Receita",LANÇ_MOV[CONTAS],$C1156,LANÇ_MOV[PLANO DE CONTAS],REL_DRE_FINANCEIRO!$B$1062,LANÇ_MOV[ANO PAGAMENTO],$B$4,LANÇ_MOV[MÊS PAGAMENTO CORRESPONDENTE],M$6,LANÇ_MOV[EMPRESA],$C$4,LANÇ_MOV[CENTRO DE CUSTOS],$D$4)</f>
        <v>0</v>
      </c>
      <c r="N1156" s="206">
        <f>SUMIFS(LANÇ_MOV[VALOR LÍQUIDO],LANÇ_MOV[RECEITA OU DESPESA],"Receita",LANÇ_MOV[CONTAS],$C1156,LANÇ_MOV[PLANO DE CONTAS],REL_DRE_FINANCEIRO!$B$1062,LANÇ_MOV[ANO PAGAMENTO],$B$4,LANÇ_MOV[MÊS PAGAMENTO CORRESPONDENTE],N$6,LANÇ_MOV[EMPRESA],$C$4,LANÇ_MOV[CENTRO DE CUSTOS],$D$4)</f>
        <v>0</v>
      </c>
      <c r="O1156" s="206">
        <f>SUMIFS(LANÇ_MOV[VALOR LÍQUIDO],LANÇ_MOV[RECEITA OU DESPESA],"Receita",LANÇ_MOV[CONTAS],$C1156,LANÇ_MOV[PLANO DE CONTAS],REL_DRE_FINANCEIRO!$B$1062,LANÇ_MOV[ANO PAGAMENTO],$B$4,LANÇ_MOV[MÊS PAGAMENTO CORRESPONDENTE],O$6,LANÇ_MOV[EMPRESA],$C$4,LANÇ_MOV[CENTRO DE CUSTOS],$D$4)</f>
        <v>0</v>
      </c>
      <c r="P1156" s="207">
        <f t="shared" si="139"/>
        <v>0</v>
      </c>
      <c r="Q1156" s="329">
        <v>6.9999999999999997E-7</v>
      </c>
      <c r="R1156" s="346">
        <f t="shared" si="140"/>
        <v>6.9999999999999997E-7</v>
      </c>
      <c r="S1156" s="347" t="str">
        <f t="shared" si="141"/>
        <v>-</v>
      </c>
      <c r="T1156" s="347">
        <f t="shared" si="142"/>
        <v>0</v>
      </c>
      <c r="U1156" s="347">
        <f>HLOOKUP(Apoio!$P$12,$D$1061:$P$1162,X1156,FALSE)+Q1156</f>
        <v>6.9999999999999997E-7</v>
      </c>
      <c r="V1156" s="447" t="str">
        <f t="shared" si="143"/>
        <v>-</v>
      </c>
      <c r="W1156" s="448">
        <f>HLOOKUP(Apoio!$P$12,$D$1061:$P$1162,X1156,FALSE)</f>
        <v>0</v>
      </c>
      <c r="X1156" s="329">
        <v>96</v>
      </c>
    </row>
    <row r="1157" spans="2:50" ht="30.05" customHeight="1" x14ac:dyDescent="0.35">
      <c r="B1157" s="204" t="str">
        <f>'CAD_PL_REC-DESP'!H99</f>
        <v>1.3.95</v>
      </c>
      <c r="C1157" s="205" t="str">
        <f>IF('CAD_PL_REC-DESP'!I99="","-",'CAD_PL_REC-DESP'!I99)</f>
        <v>-</v>
      </c>
      <c r="D1157" s="206">
        <f>SUMIFS(LANÇ_MOV[VALOR LÍQUIDO],LANÇ_MOV[RECEITA OU DESPESA],"Receita",LANÇ_MOV[CONTAS],$C1157,LANÇ_MOV[PLANO DE CONTAS],REL_DRE_FINANCEIRO!$B$1062,LANÇ_MOV[ANO PAGAMENTO],$B$4,LANÇ_MOV[MÊS PAGAMENTO CORRESPONDENTE],D$6,LANÇ_MOV[EMPRESA],$C$4,LANÇ_MOV[CENTRO DE CUSTOS],$D$4)</f>
        <v>0</v>
      </c>
      <c r="E1157" s="206">
        <f>SUMIFS(LANÇ_MOV[VALOR LÍQUIDO],LANÇ_MOV[RECEITA OU DESPESA],"Receita",LANÇ_MOV[CONTAS],$C1157,LANÇ_MOV[PLANO DE CONTAS],REL_DRE_FINANCEIRO!$B$1062,LANÇ_MOV[ANO PAGAMENTO],$B$4,LANÇ_MOV[MÊS PAGAMENTO CORRESPONDENTE],E$6,LANÇ_MOV[EMPRESA],$C$4,LANÇ_MOV[CENTRO DE CUSTOS],$D$4)</f>
        <v>0</v>
      </c>
      <c r="F1157" s="206">
        <f>SUMIFS(LANÇ_MOV[VALOR LÍQUIDO],LANÇ_MOV[RECEITA OU DESPESA],"Receita",LANÇ_MOV[CONTAS],$C1157,LANÇ_MOV[PLANO DE CONTAS],REL_DRE_FINANCEIRO!$B$1062,LANÇ_MOV[ANO PAGAMENTO],$B$4,LANÇ_MOV[MÊS PAGAMENTO CORRESPONDENTE],F$6,LANÇ_MOV[EMPRESA],$C$4,LANÇ_MOV[CENTRO DE CUSTOS],$D$4)</f>
        <v>0</v>
      </c>
      <c r="G1157" s="206">
        <f>SUMIFS(LANÇ_MOV[VALOR LÍQUIDO],LANÇ_MOV[RECEITA OU DESPESA],"Receita",LANÇ_MOV[CONTAS],$C1157,LANÇ_MOV[PLANO DE CONTAS],REL_DRE_FINANCEIRO!$B$1062,LANÇ_MOV[ANO PAGAMENTO],$B$4,LANÇ_MOV[MÊS PAGAMENTO CORRESPONDENTE],G$6,LANÇ_MOV[EMPRESA],$C$4,LANÇ_MOV[CENTRO DE CUSTOS],$D$4)</f>
        <v>0</v>
      </c>
      <c r="H1157" s="206">
        <f>SUMIFS(LANÇ_MOV[VALOR LÍQUIDO],LANÇ_MOV[RECEITA OU DESPESA],"Receita",LANÇ_MOV[CONTAS],$C1157,LANÇ_MOV[PLANO DE CONTAS],REL_DRE_FINANCEIRO!$B$1062,LANÇ_MOV[ANO PAGAMENTO],$B$4,LANÇ_MOV[MÊS PAGAMENTO CORRESPONDENTE],H$6,LANÇ_MOV[EMPRESA],$C$4,LANÇ_MOV[CENTRO DE CUSTOS],$D$4)</f>
        <v>0</v>
      </c>
      <c r="I1157" s="206">
        <f>SUMIFS(LANÇ_MOV[VALOR LÍQUIDO],LANÇ_MOV[RECEITA OU DESPESA],"Receita",LANÇ_MOV[CONTAS],$C1157,LANÇ_MOV[PLANO DE CONTAS],REL_DRE_FINANCEIRO!$B$1062,LANÇ_MOV[ANO PAGAMENTO],$B$4,LANÇ_MOV[MÊS PAGAMENTO CORRESPONDENTE],I$6,LANÇ_MOV[EMPRESA],$C$4,LANÇ_MOV[CENTRO DE CUSTOS],$D$4)</f>
        <v>0</v>
      </c>
      <c r="J1157" s="206">
        <f>SUMIFS(LANÇ_MOV[VALOR LÍQUIDO],LANÇ_MOV[RECEITA OU DESPESA],"Receita",LANÇ_MOV[CONTAS],$C1157,LANÇ_MOV[PLANO DE CONTAS],REL_DRE_FINANCEIRO!$B$1062,LANÇ_MOV[ANO PAGAMENTO],$B$4,LANÇ_MOV[MÊS PAGAMENTO CORRESPONDENTE],J$6,LANÇ_MOV[EMPRESA],$C$4,LANÇ_MOV[CENTRO DE CUSTOS],$D$4)</f>
        <v>0</v>
      </c>
      <c r="K1157" s="206">
        <f>SUMIFS(LANÇ_MOV[VALOR LÍQUIDO],LANÇ_MOV[RECEITA OU DESPESA],"Receita",LANÇ_MOV[CONTAS],$C1157,LANÇ_MOV[PLANO DE CONTAS],REL_DRE_FINANCEIRO!$B$1062,LANÇ_MOV[ANO PAGAMENTO],$B$4,LANÇ_MOV[MÊS PAGAMENTO CORRESPONDENTE],K$6,LANÇ_MOV[EMPRESA],$C$4,LANÇ_MOV[CENTRO DE CUSTOS],$D$4)</f>
        <v>0</v>
      </c>
      <c r="L1157" s="206">
        <f>SUMIFS(LANÇ_MOV[VALOR LÍQUIDO],LANÇ_MOV[RECEITA OU DESPESA],"Receita",LANÇ_MOV[CONTAS],$C1157,LANÇ_MOV[PLANO DE CONTAS],REL_DRE_FINANCEIRO!$B$1062,LANÇ_MOV[ANO PAGAMENTO],$B$4,LANÇ_MOV[MÊS PAGAMENTO CORRESPONDENTE],L$6,LANÇ_MOV[EMPRESA],$C$4,LANÇ_MOV[CENTRO DE CUSTOS],$D$4)</f>
        <v>0</v>
      </c>
      <c r="M1157" s="206">
        <f>SUMIFS(LANÇ_MOV[VALOR LÍQUIDO],LANÇ_MOV[RECEITA OU DESPESA],"Receita",LANÇ_MOV[CONTAS],$C1157,LANÇ_MOV[PLANO DE CONTAS],REL_DRE_FINANCEIRO!$B$1062,LANÇ_MOV[ANO PAGAMENTO],$B$4,LANÇ_MOV[MÊS PAGAMENTO CORRESPONDENTE],M$6,LANÇ_MOV[EMPRESA],$C$4,LANÇ_MOV[CENTRO DE CUSTOS],$D$4)</f>
        <v>0</v>
      </c>
      <c r="N1157" s="206">
        <f>SUMIFS(LANÇ_MOV[VALOR LÍQUIDO],LANÇ_MOV[RECEITA OU DESPESA],"Receita",LANÇ_MOV[CONTAS],$C1157,LANÇ_MOV[PLANO DE CONTAS],REL_DRE_FINANCEIRO!$B$1062,LANÇ_MOV[ANO PAGAMENTO],$B$4,LANÇ_MOV[MÊS PAGAMENTO CORRESPONDENTE],N$6,LANÇ_MOV[EMPRESA],$C$4,LANÇ_MOV[CENTRO DE CUSTOS],$D$4)</f>
        <v>0</v>
      </c>
      <c r="O1157" s="206">
        <f>SUMIFS(LANÇ_MOV[VALOR LÍQUIDO],LANÇ_MOV[RECEITA OU DESPESA],"Receita",LANÇ_MOV[CONTAS],$C1157,LANÇ_MOV[PLANO DE CONTAS],REL_DRE_FINANCEIRO!$B$1062,LANÇ_MOV[ANO PAGAMENTO],$B$4,LANÇ_MOV[MÊS PAGAMENTO CORRESPONDENTE],O$6,LANÇ_MOV[EMPRESA],$C$4,LANÇ_MOV[CENTRO DE CUSTOS],$D$4)</f>
        <v>0</v>
      </c>
      <c r="P1157" s="207">
        <f t="shared" si="139"/>
        <v>0</v>
      </c>
      <c r="Q1157" s="329">
        <v>5.9999999999999997E-7</v>
      </c>
      <c r="R1157" s="346">
        <f t="shared" si="140"/>
        <v>5.9999999999999997E-7</v>
      </c>
      <c r="S1157" s="347" t="str">
        <f t="shared" si="141"/>
        <v>-</v>
      </c>
      <c r="T1157" s="347">
        <f t="shared" si="142"/>
        <v>0</v>
      </c>
      <c r="U1157" s="347">
        <f>HLOOKUP(Apoio!$P$12,$D$1061:$P$1162,X1157,FALSE)+Q1157</f>
        <v>5.9999999999999997E-7</v>
      </c>
      <c r="V1157" s="447" t="str">
        <f t="shared" si="143"/>
        <v>-</v>
      </c>
      <c r="W1157" s="448">
        <f>HLOOKUP(Apoio!$P$12,$D$1061:$P$1162,X1157,FALSE)</f>
        <v>0</v>
      </c>
      <c r="X1157" s="329">
        <v>97</v>
      </c>
    </row>
    <row r="1158" spans="2:50" ht="30.05" customHeight="1" x14ac:dyDescent="0.35">
      <c r="B1158" s="204" t="str">
        <f>'CAD_PL_REC-DESP'!H100</f>
        <v>1.3.96</v>
      </c>
      <c r="C1158" s="205" t="str">
        <f>IF('CAD_PL_REC-DESP'!I100="","-",'CAD_PL_REC-DESP'!I100)</f>
        <v>-</v>
      </c>
      <c r="D1158" s="206">
        <f>SUMIFS(LANÇ_MOV[VALOR LÍQUIDO],LANÇ_MOV[RECEITA OU DESPESA],"Receita",LANÇ_MOV[CONTAS],$C1158,LANÇ_MOV[PLANO DE CONTAS],REL_DRE_FINANCEIRO!$B$1062,LANÇ_MOV[ANO PAGAMENTO],$B$4,LANÇ_MOV[MÊS PAGAMENTO CORRESPONDENTE],D$6,LANÇ_MOV[EMPRESA],$C$4,LANÇ_MOV[CENTRO DE CUSTOS],$D$4)</f>
        <v>0</v>
      </c>
      <c r="E1158" s="206">
        <f>SUMIFS(LANÇ_MOV[VALOR LÍQUIDO],LANÇ_MOV[RECEITA OU DESPESA],"Receita",LANÇ_MOV[CONTAS],$C1158,LANÇ_MOV[PLANO DE CONTAS],REL_DRE_FINANCEIRO!$B$1062,LANÇ_MOV[ANO PAGAMENTO],$B$4,LANÇ_MOV[MÊS PAGAMENTO CORRESPONDENTE],E$6,LANÇ_MOV[EMPRESA],$C$4,LANÇ_MOV[CENTRO DE CUSTOS],$D$4)</f>
        <v>0</v>
      </c>
      <c r="F1158" s="206">
        <f>SUMIFS(LANÇ_MOV[VALOR LÍQUIDO],LANÇ_MOV[RECEITA OU DESPESA],"Receita",LANÇ_MOV[CONTAS],$C1158,LANÇ_MOV[PLANO DE CONTAS],REL_DRE_FINANCEIRO!$B$1062,LANÇ_MOV[ANO PAGAMENTO],$B$4,LANÇ_MOV[MÊS PAGAMENTO CORRESPONDENTE],F$6,LANÇ_MOV[EMPRESA],$C$4,LANÇ_MOV[CENTRO DE CUSTOS],$D$4)</f>
        <v>0</v>
      </c>
      <c r="G1158" s="206">
        <f>SUMIFS(LANÇ_MOV[VALOR LÍQUIDO],LANÇ_MOV[RECEITA OU DESPESA],"Receita",LANÇ_MOV[CONTAS],$C1158,LANÇ_MOV[PLANO DE CONTAS],REL_DRE_FINANCEIRO!$B$1062,LANÇ_MOV[ANO PAGAMENTO],$B$4,LANÇ_MOV[MÊS PAGAMENTO CORRESPONDENTE],G$6,LANÇ_MOV[EMPRESA],$C$4,LANÇ_MOV[CENTRO DE CUSTOS],$D$4)</f>
        <v>0</v>
      </c>
      <c r="H1158" s="206">
        <f>SUMIFS(LANÇ_MOV[VALOR LÍQUIDO],LANÇ_MOV[RECEITA OU DESPESA],"Receita",LANÇ_MOV[CONTAS],$C1158,LANÇ_MOV[PLANO DE CONTAS],REL_DRE_FINANCEIRO!$B$1062,LANÇ_MOV[ANO PAGAMENTO],$B$4,LANÇ_MOV[MÊS PAGAMENTO CORRESPONDENTE],H$6,LANÇ_MOV[EMPRESA],$C$4,LANÇ_MOV[CENTRO DE CUSTOS],$D$4)</f>
        <v>0</v>
      </c>
      <c r="I1158" s="206">
        <f>SUMIFS(LANÇ_MOV[VALOR LÍQUIDO],LANÇ_MOV[RECEITA OU DESPESA],"Receita",LANÇ_MOV[CONTAS],$C1158,LANÇ_MOV[PLANO DE CONTAS],REL_DRE_FINANCEIRO!$B$1062,LANÇ_MOV[ANO PAGAMENTO],$B$4,LANÇ_MOV[MÊS PAGAMENTO CORRESPONDENTE],I$6,LANÇ_MOV[EMPRESA],$C$4,LANÇ_MOV[CENTRO DE CUSTOS],$D$4)</f>
        <v>0</v>
      </c>
      <c r="J1158" s="206">
        <f>SUMIFS(LANÇ_MOV[VALOR LÍQUIDO],LANÇ_MOV[RECEITA OU DESPESA],"Receita",LANÇ_MOV[CONTAS],$C1158,LANÇ_MOV[PLANO DE CONTAS],REL_DRE_FINANCEIRO!$B$1062,LANÇ_MOV[ANO PAGAMENTO],$B$4,LANÇ_MOV[MÊS PAGAMENTO CORRESPONDENTE],J$6,LANÇ_MOV[EMPRESA],$C$4,LANÇ_MOV[CENTRO DE CUSTOS],$D$4)</f>
        <v>0</v>
      </c>
      <c r="K1158" s="206">
        <f>SUMIFS(LANÇ_MOV[VALOR LÍQUIDO],LANÇ_MOV[RECEITA OU DESPESA],"Receita",LANÇ_MOV[CONTAS],$C1158,LANÇ_MOV[PLANO DE CONTAS],REL_DRE_FINANCEIRO!$B$1062,LANÇ_MOV[ANO PAGAMENTO],$B$4,LANÇ_MOV[MÊS PAGAMENTO CORRESPONDENTE],K$6,LANÇ_MOV[EMPRESA],$C$4,LANÇ_MOV[CENTRO DE CUSTOS],$D$4)</f>
        <v>0</v>
      </c>
      <c r="L1158" s="206">
        <f>SUMIFS(LANÇ_MOV[VALOR LÍQUIDO],LANÇ_MOV[RECEITA OU DESPESA],"Receita",LANÇ_MOV[CONTAS],$C1158,LANÇ_MOV[PLANO DE CONTAS],REL_DRE_FINANCEIRO!$B$1062,LANÇ_MOV[ANO PAGAMENTO],$B$4,LANÇ_MOV[MÊS PAGAMENTO CORRESPONDENTE],L$6,LANÇ_MOV[EMPRESA],$C$4,LANÇ_MOV[CENTRO DE CUSTOS],$D$4)</f>
        <v>0</v>
      </c>
      <c r="M1158" s="206">
        <f>SUMIFS(LANÇ_MOV[VALOR LÍQUIDO],LANÇ_MOV[RECEITA OU DESPESA],"Receita",LANÇ_MOV[CONTAS],$C1158,LANÇ_MOV[PLANO DE CONTAS],REL_DRE_FINANCEIRO!$B$1062,LANÇ_MOV[ANO PAGAMENTO],$B$4,LANÇ_MOV[MÊS PAGAMENTO CORRESPONDENTE],M$6,LANÇ_MOV[EMPRESA],$C$4,LANÇ_MOV[CENTRO DE CUSTOS],$D$4)</f>
        <v>0</v>
      </c>
      <c r="N1158" s="206">
        <f>SUMIFS(LANÇ_MOV[VALOR LÍQUIDO],LANÇ_MOV[RECEITA OU DESPESA],"Receita",LANÇ_MOV[CONTAS],$C1158,LANÇ_MOV[PLANO DE CONTAS],REL_DRE_FINANCEIRO!$B$1062,LANÇ_MOV[ANO PAGAMENTO],$B$4,LANÇ_MOV[MÊS PAGAMENTO CORRESPONDENTE],N$6,LANÇ_MOV[EMPRESA],$C$4,LANÇ_MOV[CENTRO DE CUSTOS],$D$4)</f>
        <v>0</v>
      </c>
      <c r="O1158" s="206">
        <f>SUMIFS(LANÇ_MOV[VALOR LÍQUIDO],LANÇ_MOV[RECEITA OU DESPESA],"Receita",LANÇ_MOV[CONTAS],$C1158,LANÇ_MOV[PLANO DE CONTAS],REL_DRE_FINANCEIRO!$B$1062,LANÇ_MOV[ANO PAGAMENTO],$B$4,LANÇ_MOV[MÊS PAGAMENTO CORRESPONDENTE],O$6,LANÇ_MOV[EMPRESA],$C$4,LANÇ_MOV[CENTRO DE CUSTOS],$D$4)</f>
        <v>0</v>
      </c>
      <c r="P1158" s="207">
        <f t="shared" si="139"/>
        <v>0</v>
      </c>
      <c r="Q1158" s="329">
        <v>4.9999999999999998E-7</v>
      </c>
      <c r="R1158" s="346">
        <f t="shared" si="140"/>
        <v>4.9999999999999998E-7</v>
      </c>
      <c r="S1158" s="347" t="str">
        <f t="shared" si="141"/>
        <v>-</v>
      </c>
      <c r="T1158" s="347">
        <f t="shared" si="142"/>
        <v>0</v>
      </c>
      <c r="U1158" s="347">
        <f>HLOOKUP(Apoio!$P$12,$D$1061:$P$1162,X1158,FALSE)+Q1158</f>
        <v>4.9999999999999998E-7</v>
      </c>
      <c r="V1158" s="447" t="str">
        <f t="shared" si="143"/>
        <v>-</v>
      </c>
      <c r="W1158" s="448">
        <f>HLOOKUP(Apoio!$P$12,$D$1061:$P$1162,X1158,FALSE)</f>
        <v>0</v>
      </c>
      <c r="X1158" s="329">
        <v>98</v>
      </c>
    </row>
    <row r="1159" spans="2:50" ht="30.05" customHeight="1" x14ac:dyDescent="0.35">
      <c r="B1159" s="204" t="str">
        <f>'CAD_PL_REC-DESP'!H101</f>
        <v>1.3.97</v>
      </c>
      <c r="C1159" s="205" t="str">
        <f>IF('CAD_PL_REC-DESP'!I101="","-",'CAD_PL_REC-DESP'!I101)</f>
        <v>-</v>
      </c>
      <c r="D1159" s="206">
        <f>SUMIFS(LANÇ_MOV[VALOR LÍQUIDO],LANÇ_MOV[RECEITA OU DESPESA],"Receita",LANÇ_MOV[CONTAS],$C1159,LANÇ_MOV[PLANO DE CONTAS],REL_DRE_FINANCEIRO!$B$1062,LANÇ_MOV[ANO PAGAMENTO],$B$4,LANÇ_MOV[MÊS PAGAMENTO CORRESPONDENTE],D$6,LANÇ_MOV[EMPRESA],$C$4,LANÇ_MOV[CENTRO DE CUSTOS],$D$4)</f>
        <v>0</v>
      </c>
      <c r="E1159" s="206">
        <f>SUMIFS(LANÇ_MOV[VALOR LÍQUIDO],LANÇ_MOV[RECEITA OU DESPESA],"Receita",LANÇ_MOV[CONTAS],$C1159,LANÇ_MOV[PLANO DE CONTAS],REL_DRE_FINANCEIRO!$B$1062,LANÇ_MOV[ANO PAGAMENTO],$B$4,LANÇ_MOV[MÊS PAGAMENTO CORRESPONDENTE],E$6,LANÇ_MOV[EMPRESA],$C$4,LANÇ_MOV[CENTRO DE CUSTOS],$D$4)</f>
        <v>0</v>
      </c>
      <c r="F1159" s="206">
        <f>SUMIFS(LANÇ_MOV[VALOR LÍQUIDO],LANÇ_MOV[RECEITA OU DESPESA],"Receita",LANÇ_MOV[CONTAS],$C1159,LANÇ_MOV[PLANO DE CONTAS],REL_DRE_FINANCEIRO!$B$1062,LANÇ_MOV[ANO PAGAMENTO],$B$4,LANÇ_MOV[MÊS PAGAMENTO CORRESPONDENTE],F$6,LANÇ_MOV[EMPRESA],$C$4,LANÇ_MOV[CENTRO DE CUSTOS],$D$4)</f>
        <v>0</v>
      </c>
      <c r="G1159" s="206">
        <f>SUMIFS(LANÇ_MOV[VALOR LÍQUIDO],LANÇ_MOV[RECEITA OU DESPESA],"Receita",LANÇ_MOV[CONTAS],$C1159,LANÇ_MOV[PLANO DE CONTAS],REL_DRE_FINANCEIRO!$B$1062,LANÇ_MOV[ANO PAGAMENTO],$B$4,LANÇ_MOV[MÊS PAGAMENTO CORRESPONDENTE],G$6,LANÇ_MOV[EMPRESA],$C$4,LANÇ_MOV[CENTRO DE CUSTOS],$D$4)</f>
        <v>0</v>
      </c>
      <c r="H1159" s="206">
        <f>SUMIFS(LANÇ_MOV[VALOR LÍQUIDO],LANÇ_MOV[RECEITA OU DESPESA],"Receita",LANÇ_MOV[CONTAS],$C1159,LANÇ_MOV[PLANO DE CONTAS],REL_DRE_FINANCEIRO!$B$1062,LANÇ_MOV[ANO PAGAMENTO],$B$4,LANÇ_MOV[MÊS PAGAMENTO CORRESPONDENTE],H$6,LANÇ_MOV[EMPRESA],$C$4,LANÇ_MOV[CENTRO DE CUSTOS],$D$4)</f>
        <v>0</v>
      </c>
      <c r="I1159" s="206">
        <f>SUMIFS(LANÇ_MOV[VALOR LÍQUIDO],LANÇ_MOV[RECEITA OU DESPESA],"Receita",LANÇ_MOV[CONTAS],$C1159,LANÇ_MOV[PLANO DE CONTAS],REL_DRE_FINANCEIRO!$B$1062,LANÇ_MOV[ANO PAGAMENTO],$B$4,LANÇ_MOV[MÊS PAGAMENTO CORRESPONDENTE],I$6,LANÇ_MOV[EMPRESA],$C$4,LANÇ_MOV[CENTRO DE CUSTOS],$D$4)</f>
        <v>0</v>
      </c>
      <c r="J1159" s="206">
        <f>SUMIFS(LANÇ_MOV[VALOR LÍQUIDO],LANÇ_MOV[RECEITA OU DESPESA],"Receita",LANÇ_MOV[CONTAS],$C1159,LANÇ_MOV[PLANO DE CONTAS],REL_DRE_FINANCEIRO!$B$1062,LANÇ_MOV[ANO PAGAMENTO],$B$4,LANÇ_MOV[MÊS PAGAMENTO CORRESPONDENTE],J$6,LANÇ_MOV[EMPRESA],$C$4,LANÇ_MOV[CENTRO DE CUSTOS],$D$4)</f>
        <v>0</v>
      </c>
      <c r="K1159" s="206">
        <f>SUMIFS(LANÇ_MOV[VALOR LÍQUIDO],LANÇ_MOV[RECEITA OU DESPESA],"Receita",LANÇ_MOV[CONTAS],$C1159,LANÇ_MOV[PLANO DE CONTAS],REL_DRE_FINANCEIRO!$B$1062,LANÇ_MOV[ANO PAGAMENTO],$B$4,LANÇ_MOV[MÊS PAGAMENTO CORRESPONDENTE],K$6,LANÇ_MOV[EMPRESA],$C$4,LANÇ_MOV[CENTRO DE CUSTOS],$D$4)</f>
        <v>0</v>
      </c>
      <c r="L1159" s="206">
        <f>SUMIFS(LANÇ_MOV[VALOR LÍQUIDO],LANÇ_MOV[RECEITA OU DESPESA],"Receita",LANÇ_MOV[CONTAS],$C1159,LANÇ_MOV[PLANO DE CONTAS],REL_DRE_FINANCEIRO!$B$1062,LANÇ_MOV[ANO PAGAMENTO],$B$4,LANÇ_MOV[MÊS PAGAMENTO CORRESPONDENTE],L$6,LANÇ_MOV[EMPRESA],$C$4,LANÇ_MOV[CENTRO DE CUSTOS],$D$4)</f>
        <v>0</v>
      </c>
      <c r="M1159" s="206">
        <f>SUMIFS(LANÇ_MOV[VALOR LÍQUIDO],LANÇ_MOV[RECEITA OU DESPESA],"Receita",LANÇ_MOV[CONTAS],$C1159,LANÇ_MOV[PLANO DE CONTAS],REL_DRE_FINANCEIRO!$B$1062,LANÇ_MOV[ANO PAGAMENTO],$B$4,LANÇ_MOV[MÊS PAGAMENTO CORRESPONDENTE],M$6,LANÇ_MOV[EMPRESA],$C$4,LANÇ_MOV[CENTRO DE CUSTOS],$D$4)</f>
        <v>0</v>
      </c>
      <c r="N1159" s="206">
        <f>SUMIFS(LANÇ_MOV[VALOR LÍQUIDO],LANÇ_MOV[RECEITA OU DESPESA],"Receita",LANÇ_MOV[CONTAS],$C1159,LANÇ_MOV[PLANO DE CONTAS],REL_DRE_FINANCEIRO!$B$1062,LANÇ_MOV[ANO PAGAMENTO],$B$4,LANÇ_MOV[MÊS PAGAMENTO CORRESPONDENTE],N$6,LANÇ_MOV[EMPRESA],$C$4,LANÇ_MOV[CENTRO DE CUSTOS],$D$4)</f>
        <v>0</v>
      </c>
      <c r="O1159" s="206">
        <f>SUMIFS(LANÇ_MOV[VALOR LÍQUIDO],LANÇ_MOV[RECEITA OU DESPESA],"Receita",LANÇ_MOV[CONTAS],$C1159,LANÇ_MOV[PLANO DE CONTAS],REL_DRE_FINANCEIRO!$B$1062,LANÇ_MOV[ANO PAGAMENTO],$B$4,LANÇ_MOV[MÊS PAGAMENTO CORRESPONDENTE],O$6,LANÇ_MOV[EMPRESA],$C$4,LANÇ_MOV[CENTRO DE CUSTOS],$D$4)</f>
        <v>0</v>
      </c>
      <c r="P1159" s="207">
        <f t="shared" si="139"/>
        <v>0</v>
      </c>
      <c r="Q1159" s="329">
        <v>3.9999999999999998E-7</v>
      </c>
      <c r="R1159" s="346">
        <f t="shared" si="140"/>
        <v>3.9999999999999998E-7</v>
      </c>
      <c r="S1159" s="347" t="str">
        <f t="shared" si="141"/>
        <v>-</v>
      </c>
      <c r="T1159" s="347">
        <f t="shared" si="142"/>
        <v>0</v>
      </c>
      <c r="U1159" s="347">
        <f>HLOOKUP(Apoio!$P$12,$D$1061:$P$1162,X1159,FALSE)+Q1159</f>
        <v>3.9999999999999998E-7</v>
      </c>
      <c r="V1159" s="447" t="str">
        <f t="shared" si="143"/>
        <v>-</v>
      </c>
      <c r="W1159" s="448">
        <f>HLOOKUP(Apoio!$P$12,$D$1061:$P$1162,X1159,FALSE)</f>
        <v>0</v>
      </c>
      <c r="X1159" s="329">
        <v>99</v>
      </c>
    </row>
    <row r="1160" spans="2:50" ht="30.05" customHeight="1" x14ac:dyDescent="0.35">
      <c r="B1160" s="204" t="str">
        <f>'CAD_PL_REC-DESP'!H102</f>
        <v>1.3.98</v>
      </c>
      <c r="C1160" s="205" t="str">
        <f>IF('CAD_PL_REC-DESP'!I102="","-",'CAD_PL_REC-DESP'!I102)</f>
        <v>-</v>
      </c>
      <c r="D1160" s="206">
        <f>SUMIFS(LANÇ_MOV[VALOR LÍQUIDO],LANÇ_MOV[RECEITA OU DESPESA],"Receita",LANÇ_MOV[CONTAS],$C1160,LANÇ_MOV[PLANO DE CONTAS],REL_DRE_FINANCEIRO!$B$1062,LANÇ_MOV[ANO PAGAMENTO],$B$4,LANÇ_MOV[MÊS PAGAMENTO CORRESPONDENTE],D$6,LANÇ_MOV[EMPRESA],$C$4,LANÇ_MOV[CENTRO DE CUSTOS],$D$4)</f>
        <v>0</v>
      </c>
      <c r="E1160" s="206">
        <f>SUMIFS(LANÇ_MOV[VALOR LÍQUIDO],LANÇ_MOV[RECEITA OU DESPESA],"Receita",LANÇ_MOV[CONTAS],$C1160,LANÇ_MOV[PLANO DE CONTAS],REL_DRE_FINANCEIRO!$B$1062,LANÇ_MOV[ANO PAGAMENTO],$B$4,LANÇ_MOV[MÊS PAGAMENTO CORRESPONDENTE],E$6,LANÇ_MOV[EMPRESA],$C$4,LANÇ_MOV[CENTRO DE CUSTOS],$D$4)</f>
        <v>0</v>
      </c>
      <c r="F1160" s="206">
        <f>SUMIFS(LANÇ_MOV[VALOR LÍQUIDO],LANÇ_MOV[RECEITA OU DESPESA],"Receita",LANÇ_MOV[CONTAS],$C1160,LANÇ_MOV[PLANO DE CONTAS],REL_DRE_FINANCEIRO!$B$1062,LANÇ_MOV[ANO PAGAMENTO],$B$4,LANÇ_MOV[MÊS PAGAMENTO CORRESPONDENTE],F$6,LANÇ_MOV[EMPRESA],$C$4,LANÇ_MOV[CENTRO DE CUSTOS],$D$4)</f>
        <v>0</v>
      </c>
      <c r="G1160" s="206">
        <f>SUMIFS(LANÇ_MOV[VALOR LÍQUIDO],LANÇ_MOV[RECEITA OU DESPESA],"Receita",LANÇ_MOV[CONTAS],$C1160,LANÇ_MOV[PLANO DE CONTAS],REL_DRE_FINANCEIRO!$B$1062,LANÇ_MOV[ANO PAGAMENTO],$B$4,LANÇ_MOV[MÊS PAGAMENTO CORRESPONDENTE],G$6,LANÇ_MOV[EMPRESA],$C$4,LANÇ_MOV[CENTRO DE CUSTOS],$D$4)</f>
        <v>0</v>
      </c>
      <c r="H1160" s="206">
        <f>SUMIFS(LANÇ_MOV[VALOR LÍQUIDO],LANÇ_MOV[RECEITA OU DESPESA],"Receita",LANÇ_MOV[CONTAS],$C1160,LANÇ_MOV[PLANO DE CONTAS],REL_DRE_FINANCEIRO!$B$1062,LANÇ_MOV[ANO PAGAMENTO],$B$4,LANÇ_MOV[MÊS PAGAMENTO CORRESPONDENTE],H$6,LANÇ_MOV[EMPRESA],$C$4,LANÇ_MOV[CENTRO DE CUSTOS],$D$4)</f>
        <v>0</v>
      </c>
      <c r="I1160" s="206">
        <f>SUMIFS(LANÇ_MOV[VALOR LÍQUIDO],LANÇ_MOV[RECEITA OU DESPESA],"Receita",LANÇ_MOV[CONTAS],$C1160,LANÇ_MOV[PLANO DE CONTAS],REL_DRE_FINANCEIRO!$B$1062,LANÇ_MOV[ANO PAGAMENTO],$B$4,LANÇ_MOV[MÊS PAGAMENTO CORRESPONDENTE],I$6,LANÇ_MOV[EMPRESA],$C$4,LANÇ_MOV[CENTRO DE CUSTOS],$D$4)</f>
        <v>0</v>
      </c>
      <c r="J1160" s="206">
        <f>SUMIFS(LANÇ_MOV[VALOR LÍQUIDO],LANÇ_MOV[RECEITA OU DESPESA],"Receita",LANÇ_MOV[CONTAS],$C1160,LANÇ_MOV[PLANO DE CONTAS],REL_DRE_FINANCEIRO!$B$1062,LANÇ_MOV[ANO PAGAMENTO],$B$4,LANÇ_MOV[MÊS PAGAMENTO CORRESPONDENTE],J$6,LANÇ_MOV[EMPRESA],$C$4,LANÇ_MOV[CENTRO DE CUSTOS],$D$4)</f>
        <v>0</v>
      </c>
      <c r="K1160" s="206">
        <f>SUMIFS(LANÇ_MOV[VALOR LÍQUIDO],LANÇ_MOV[RECEITA OU DESPESA],"Receita",LANÇ_MOV[CONTAS],$C1160,LANÇ_MOV[PLANO DE CONTAS],REL_DRE_FINANCEIRO!$B$1062,LANÇ_MOV[ANO PAGAMENTO],$B$4,LANÇ_MOV[MÊS PAGAMENTO CORRESPONDENTE],K$6,LANÇ_MOV[EMPRESA],$C$4,LANÇ_MOV[CENTRO DE CUSTOS],$D$4)</f>
        <v>0</v>
      </c>
      <c r="L1160" s="206">
        <f>SUMIFS(LANÇ_MOV[VALOR LÍQUIDO],LANÇ_MOV[RECEITA OU DESPESA],"Receita",LANÇ_MOV[CONTAS],$C1160,LANÇ_MOV[PLANO DE CONTAS],REL_DRE_FINANCEIRO!$B$1062,LANÇ_MOV[ANO PAGAMENTO],$B$4,LANÇ_MOV[MÊS PAGAMENTO CORRESPONDENTE],L$6,LANÇ_MOV[EMPRESA],$C$4,LANÇ_MOV[CENTRO DE CUSTOS],$D$4)</f>
        <v>0</v>
      </c>
      <c r="M1160" s="206">
        <f>SUMIFS(LANÇ_MOV[VALOR LÍQUIDO],LANÇ_MOV[RECEITA OU DESPESA],"Receita",LANÇ_MOV[CONTAS],$C1160,LANÇ_MOV[PLANO DE CONTAS],REL_DRE_FINANCEIRO!$B$1062,LANÇ_MOV[ANO PAGAMENTO],$B$4,LANÇ_MOV[MÊS PAGAMENTO CORRESPONDENTE],M$6,LANÇ_MOV[EMPRESA],$C$4,LANÇ_MOV[CENTRO DE CUSTOS],$D$4)</f>
        <v>0</v>
      </c>
      <c r="N1160" s="206">
        <f>SUMIFS(LANÇ_MOV[VALOR LÍQUIDO],LANÇ_MOV[RECEITA OU DESPESA],"Receita",LANÇ_MOV[CONTAS],$C1160,LANÇ_MOV[PLANO DE CONTAS],REL_DRE_FINANCEIRO!$B$1062,LANÇ_MOV[ANO PAGAMENTO],$B$4,LANÇ_MOV[MÊS PAGAMENTO CORRESPONDENTE],N$6,LANÇ_MOV[EMPRESA],$C$4,LANÇ_MOV[CENTRO DE CUSTOS],$D$4)</f>
        <v>0</v>
      </c>
      <c r="O1160" s="206">
        <f>SUMIFS(LANÇ_MOV[VALOR LÍQUIDO],LANÇ_MOV[RECEITA OU DESPESA],"Receita",LANÇ_MOV[CONTAS],$C1160,LANÇ_MOV[PLANO DE CONTAS],REL_DRE_FINANCEIRO!$B$1062,LANÇ_MOV[ANO PAGAMENTO],$B$4,LANÇ_MOV[MÊS PAGAMENTO CORRESPONDENTE],O$6,LANÇ_MOV[EMPRESA],$C$4,LANÇ_MOV[CENTRO DE CUSTOS],$D$4)</f>
        <v>0</v>
      </c>
      <c r="P1160" s="207">
        <f t="shared" si="139"/>
        <v>0</v>
      </c>
      <c r="Q1160" s="329">
        <v>2.9999999999999999E-7</v>
      </c>
      <c r="R1160" s="346">
        <f t="shared" si="140"/>
        <v>2.9999999999999999E-7</v>
      </c>
      <c r="S1160" s="347" t="str">
        <f t="shared" si="141"/>
        <v>-</v>
      </c>
      <c r="T1160" s="347">
        <f t="shared" si="142"/>
        <v>0</v>
      </c>
      <c r="U1160" s="347">
        <f>HLOOKUP(Apoio!$P$12,$D$1061:$P$1162,X1160,FALSE)+Q1160</f>
        <v>2.9999999999999999E-7</v>
      </c>
      <c r="V1160" s="447" t="str">
        <f t="shared" si="143"/>
        <v>-</v>
      </c>
      <c r="W1160" s="448">
        <f>HLOOKUP(Apoio!$P$12,$D$1061:$P$1162,X1160,FALSE)</f>
        <v>0</v>
      </c>
      <c r="X1160" s="329">
        <v>100</v>
      </c>
    </row>
    <row r="1161" spans="2:50" ht="30.05" customHeight="1" x14ac:dyDescent="0.35">
      <c r="B1161" s="204" t="str">
        <f>'CAD_PL_REC-DESP'!H103</f>
        <v>1.3.99</v>
      </c>
      <c r="C1161" s="205" t="str">
        <f>IF('CAD_PL_REC-DESP'!I103="","-",'CAD_PL_REC-DESP'!I103)</f>
        <v>-</v>
      </c>
      <c r="D1161" s="206">
        <f>SUMIFS(LANÇ_MOV[VALOR LÍQUIDO],LANÇ_MOV[RECEITA OU DESPESA],"Receita",LANÇ_MOV[CONTAS],$C1161,LANÇ_MOV[PLANO DE CONTAS],REL_DRE_FINANCEIRO!$B$1062,LANÇ_MOV[ANO PAGAMENTO],$B$4,LANÇ_MOV[MÊS PAGAMENTO CORRESPONDENTE],D$6,LANÇ_MOV[EMPRESA],$C$4,LANÇ_MOV[CENTRO DE CUSTOS],$D$4)</f>
        <v>0</v>
      </c>
      <c r="E1161" s="206">
        <f>SUMIFS(LANÇ_MOV[VALOR LÍQUIDO],LANÇ_MOV[RECEITA OU DESPESA],"Receita",LANÇ_MOV[CONTAS],$C1161,LANÇ_MOV[PLANO DE CONTAS],REL_DRE_FINANCEIRO!$B$1062,LANÇ_MOV[ANO PAGAMENTO],$B$4,LANÇ_MOV[MÊS PAGAMENTO CORRESPONDENTE],E$6,LANÇ_MOV[EMPRESA],$C$4,LANÇ_MOV[CENTRO DE CUSTOS],$D$4)</f>
        <v>0</v>
      </c>
      <c r="F1161" s="206">
        <f>SUMIFS(LANÇ_MOV[VALOR LÍQUIDO],LANÇ_MOV[RECEITA OU DESPESA],"Receita",LANÇ_MOV[CONTAS],$C1161,LANÇ_MOV[PLANO DE CONTAS],REL_DRE_FINANCEIRO!$B$1062,LANÇ_MOV[ANO PAGAMENTO],$B$4,LANÇ_MOV[MÊS PAGAMENTO CORRESPONDENTE],F$6,LANÇ_MOV[EMPRESA],$C$4,LANÇ_MOV[CENTRO DE CUSTOS],$D$4)</f>
        <v>0</v>
      </c>
      <c r="G1161" s="206">
        <f>SUMIFS(LANÇ_MOV[VALOR LÍQUIDO],LANÇ_MOV[RECEITA OU DESPESA],"Receita",LANÇ_MOV[CONTAS],$C1161,LANÇ_MOV[PLANO DE CONTAS],REL_DRE_FINANCEIRO!$B$1062,LANÇ_MOV[ANO PAGAMENTO],$B$4,LANÇ_MOV[MÊS PAGAMENTO CORRESPONDENTE],G$6,LANÇ_MOV[EMPRESA],$C$4,LANÇ_MOV[CENTRO DE CUSTOS],$D$4)</f>
        <v>0</v>
      </c>
      <c r="H1161" s="206">
        <f>SUMIFS(LANÇ_MOV[VALOR LÍQUIDO],LANÇ_MOV[RECEITA OU DESPESA],"Receita",LANÇ_MOV[CONTAS],$C1161,LANÇ_MOV[PLANO DE CONTAS],REL_DRE_FINANCEIRO!$B$1062,LANÇ_MOV[ANO PAGAMENTO],$B$4,LANÇ_MOV[MÊS PAGAMENTO CORRESPONDENTE],H$6,LANÇ_MOV[EMPRESA],$C$4,LANÇ_MOV[CENTRO DE CUSTOS],$D$4)</f>
        <v>0</v>
      </c>
      <c r="I1161" s="206">
        <f>SUMIFS(LANÇ_MOV[VALOR LÍQUIDO],LANÇ_MOV[RECEITA OU DESPESA],"Receita",LANÇ_MOV[CONTAS],$C1161,LANÇ_MOV[PLANO DE CONTAS],REL_DRE_FINANCEIRO!$B$1062,LANÇ_MOV[ANO PAGAMENTO],$B$4,LANÇ_MOV[MÊS PAGAMENTO CORRESPONDENTE],I$6,LANÇ_MOV[EMPRESA],$C$4,LANÇ_MOV[CENTRO DE CUSTOS],$D$4)</f>
        <v>0</v>
      </c>
      <c r="J1161" s="206">
        <f>SUMIFS(LANÇ_MOV[VALOR LÍQUIDO],LANÇ_MOV[RECEITA OU DESPESA],"Receita",LANÇ_MOV[CONTAS],$C1161,LANÇ_MOV[PLANO DE CONTAS],REL_DRE_FINANCEIRO!$B$1062,LANÇ_MOV[ANO PAGAMENTO],$B$4,LANÇ_MOV[MÊS PAGAMENTO CORRESPONDENTE],J$6,LANÇ_MOV[EMPRESA],$C$4,LANÇ_MOV[CENTRO DE CUSTOS],$D$4)</f>
        <v>0</v>
      </c>
      <c r="K1161" s="206">
        <f>SUMIFS(LANÇ_MOV[VALOR LÍQUIDO],LANÇ_MOV[RECEITA OU DESPESA],"Receita",LANÇ_MOV[CONTAS],$C1161,LANÇ_MOV[PLANO DE CONTAS],REL_DRE_FINANCEIRO!$B$1062,LANÇ_MOV[ANO PAGAMENTO],$B$4,LANÇ_MOV[MÊS PAGAMENTO CORRESPONDENTE],K$6,LANÇ_MOV[EMPRESA],$C$4,LANÇ_MOV[CENTRO DE CUSTOS],$D$4)</f>
        <v>0</v>
      </c>
      <c r="L1161" s="206">
        <f>SUMIFS(LANÇ_MOV[VALOR LÍQUIDO],LANÇ_MOV[RECEITA OU DESPESA],"Receita",LANÇ_MOV[CONTAS],$C1161,LANÇ_MOV[PLANO DE CONTAS],REL_DRE_FINANCEIRO!$B$1062,LANÇ_MOV[ANO PAGAMENTO],$B$4,LANÇ_MOV[MÊS PAGAMENTO CORRESPONDENTE],L$6,LANÇ_MOV[EMPRESA],$C$4,LANÇ_MOV[CENTRO DE CUSTOS],$D$4)</f>
        <v>0</v>
      </c>
      <c r="M1161" s="206">
        <f>SUMIFS(LANÇ_MOV[VALOR LÍQUIDO],LANÇ_MOV[RECEITA OU DESPESA],"Receita",LANÇ_MOV[CONTAS],$C1161,LANÇ_MOV[PLANO DE CONTAS],REL_DRE_FINANCEIRO!$B$1062,LANÇ_MOV[ANO PAGAMENTO],$B$4,LANÇ_MOV[MÊS PAGAMENTO CORRESPONDENTE],M$6,LANÇ_MOV[EMPRESA],$C$4,LANÇ_MOV[CENTRO DE CUSTOS],$D$4)</f>
        <v>0</v>
      </c>
      <c r="N1161" s="206">
        <f>SUMIFS(LANÇ_MOV[VALOR LÍQUIDO],LANÇ_MOV[RECEITA OU DESPESA],"Receita",LANÇ_MOV[CONTAS],$C1161,LANÇ_MOV[PLANO DE CONTAS],REL_DRE_FINANCEIRO!$B$1062,LANÇ_MOV[ANO PAGAMENTO],$B$4,LANÇ_MOV[MÊS PAGAMENTO CORRESPONDENTE],N$6,LANÇ_MOV[EMPRESA],$C$4,LANÇ_MOV[CENTRO DE CUSTOS],$D$4)</f>
        <v>0</v>
      </c>
      <c r="O1161" s="206">
        <f>SUMIFS(LANÇ_MOV[VALOR LÍQUIDO],LANÇ_MOV[RECEITA OU DESPESA],"Receita",LANÇ_MOV[CONTAS],$C1161,LANÇ_MOV[PLANO DE CONTAS],REL_DRE_FINANCEIRO!$B$1062,LANÇ_MOV[ANO PAGAMENTO],$B$4,LANÇ_MOV[MÊS PAGAMENTO CORRESPONDENTE],O$6,LANÇ_MOV[EMPRESA],$C$4,LANÇ_MOV[CENTRO DE CUSTOS],$D$4)</f>
        <v>0</v>
      </c>
      <c r="P1161" s="207">
        <f t="shared" si="139"/>
        <v>0</v>
      </c>
      <c r="Q1161" s="329">
        <v>1.9999999999999999E-7</v>
      </c>
      <c r="R1161" s="346">
        <f t="shared" si="140"/>
        <v>1.9999999999999999E-7</v>
      </c>
      <c r="S1161" s="347" t="str">
        <f t="shared" si="141"/>
        <v>-</v>
      </c>
      <c r="T1161" s="347">
        <f t="shared" si="142"/>
        <v>0</v>
      </c>
      <c r="U1161" s="347">
        <f>HLOOKUP(Apoio!$P$12,$D$1061:$P$1162,X1161,FALSE)+Q1161</f>
        <v>1.9999999999999999E-7</v>
      </c>
      <c r="V1161" s="447" t="str">
        <f t="shared" si="143"/>
        <v>-</v>
      </c>
      <c r="W1161" s="448">
        <f>HLOOKUP(Apoio!$P$12,$D$1061:$P$1162,X1161,FALSE)</f>
        <v>0</v>
      </c>
      <c r="X1161" s="329">
        <v>101</v>
      </c>
    </row>
    <row r="1162" spans="2:50" ht="30.05" customHeight="1" x14ac:dyDescent="0.35">
      <c r="B1162" s="204" t="str">
        <f>'CAD_PL_REC-DESP'!H104</f>
        <v>1.3.100</v>
      </c>
      <c r="C1162" s="205" t="str">
        <f>IF('CAD_PL_REC-DESP'!I104="","-",'CAD_PL_REC-DESP'!I104)</f>
        <v>-</v>
      </c>
      <c r="D1162" s="206">
        <f>SUMIFS(LANÇ_MOV[VALOR LÍQUIDO],LANÇ_MOV[RECEITA OU DESPESA],"Receita",LANÇ_MOV[CONTAS],$C1162,LANÇ_MOV[PLANO DE CONTAS],REL_DRE_FINANCEIRO!$B$1062,LANÇ_MOV[ANO PAGAMENTO],$B$4,LANÇ_MOV[MÊS PAGAMENTO CORRESPONDENTE],D$6,LANÇ_MOV[EMPRESA],$C$4,LANÇ_MOV[CENTRO DE CUSTOS],$D$4)</f>
        <v>0</v>
      </c>
      <c r="E1162" s="206">
        <f>SUMIFS(LANÇ_MOV[VALOR LÍQUIDO],LANÇ_MOV[RECEITA OU DESPESA],"Receita",LANÇ_MOV[CONTAS],$C1162,LANÇ_MOV[PLANO DE CONTAS],REL_DRE_FINANCEIRO!$B$1062,LANÇ_MOV[ANO PAGAMENTO],$B$4,LANÇ_MOV[MÊS PAGAMENTO CORRESPONDENTE],E$6,LANÇ_MOV[EMPRESA],$C$4,LANÇ_MOV[CENTRO DE CUSTOS],$D$4)</f>
        <v>0</v>
      </c>
      <c r="F1162" s="206">
        <f>SUMIFS(LANÇ_MOV[VALOR LÍQUIDO],LANÇ_MOV[RECEITA OU DESPESA],"Receita",LANÇ_MOV[CONTAS],$C1162,LANÇ_MOV[PLANO DE CONTAS],REL_DRE_FINANCEIRO!$B$1062,LANÇ_MOV[ANO PAGAMENTO],$B$4,LANÇ_MOV[MÊS PAGAMENTO CORRESPONDENTE],F$6,LANÇ_MOV[EMPRESA],$C$4,LANÇ_MOV[CENTRO DE CUSTOS],$D$4)</f>
        <v>0</v>
      </c>
      <c r="G1162" s="206">
        <f>SUMIFS(LANÇ_MOV[VALOR LÍQUIDO],LANÇ_MOV[RECEITA OU DESPESA],"Receita",LANÇ_MOV[CONTAS],$C1162,LANÇ_MOV[PLANO DE CONTAS],REL_DRE_FINANCEIRO!$B$1062,LANÇ_MOV[ANO PAGAMENTO],$B$4,LANÇ_MOV[MÊS PAGAMENTO CORRESPONDENTE],G$6,LANÇ_MOV[EMPRESA],$C$4,LANÇ_MOV[CENTRO DE CUSTOS],$D$4)</f>
        <v>0</v>
      </c>
      <c r="H1162" s="206">
        <f>SUMIFS(LANÇ_MOV[VALOR LÍQUIDO],LANÇ_MOV[RECEITA OU DESPESA],"Receita",LANÇ_MOV[CONTAS],$C1162,LANÇ_MOV[PLANO DE CONTAS],REL_DRE_FINANCEIRO!$B$1062,LANÇ_MOV[ANO PAGAMENTO],$B$4,LANÇ_MOV[MÊS PAGAMENTO CORRESPONDENTE],H$6,LANÇ_MOV[EMPRESA],$C$4,LANÇ_MOV[CENTRO DE CUSTOS],$D$4)</f>
        <v>0</v>
      </c>
      <c r="I1162" s="206">
        <f>SUMIFS(LANÇ_MOV[VALOR LÍQUIDO],LANÇ_MOV[RECEITA OU DESPESA],"Receita",LANÇ_MOV[CONTAS],$C1162,LANÇ_MOV[PLANO DE CONTAS],REL_DRE_FINANCEIRO!$B$1062,LANÇ_MOV[ANO PAGAMENTO],$B$4,LANÇ_MOV[MÊS PAGAMENTO CORRESPONDENTE],I$6,LANÇ_MOV[EMPRESA],$C$4,LANÇ_MOV[CENTRO DE CUSTOS],$D$4)</f>
        <v>0</v>
      </c>
      <c r="J1162" s="206">
        <f>SUMIFS(LANÇ_MOV[VALOR LÍQUIDO],LANÇ_MOV[RECEITA OU DESPESA],"Receita",LANÇ_MOV[CONTAS],$C1162,LANÇ_MOV[PLANO DE CONTAS],REL_DRE_FINANCEIRO!$B$1062,LANÇ_MOV[ANO PAGAMENTO],$B$4,LANÇ_MOV[MÊS PAGAMENTO CORRESPONDENTE],J$6,LANÇ_MOV[EMPRESA],$C$4,LANÇ_MOV[CENTRO DE CUSTOS],$D$4)</f>
        <v>0</v>
      </c>
      <c r="K1162" s="206">
        <f>SUMIFS(LANÇ_MOV[VALOR LÍQUIDO],LANÇ_MOV[RECEITA OU DESPESA],"Receita",LANÇ_MOV[CONTAS],$C1162,LANÇ_MOV[PLANO DE CONTAS],REL_DRE_FINANCEIRO!$B$1062,LANÇ_MOV[ANO PAGAMENTO],$B$4,LANÇ_MOV[MÊS PAGAMENTO CORRESPONDENTE],K$6,LANÇ_MOV[EMPRESA],$C$4,LANÇ_MOV[CENTRO DE CUSTOS],$D$4)</f>
        <v>0</v>
      </c>
      <c r="L1162" s="206">
        <f>SUMIFS(LANÇ_MOV[VALOR LÍQUIDO],LANÇ_MOV[RECEITA OU DESPESA],"Receita",LANÇ_MOV[CONTAS],$C1162,LANÇ_MOV[PLANO DE CONTAS],REL_DRE_FINANCEIRO!$B$1062,LANÇ_MOV[ANO PAGAMENTO],$B$4,LANÇ_MOV[MÊS PAGAMENTO CORRESPONDENTE],L$6,LANÇ_MOV[EMPRESA],$C$4,LANÇ_MOV[CENTRO DE CUSTOS],$D$4)</f>
        <v>0</v>
      </c>
      <c r="M1162" s="206">
        <f>SUMIFS(LANÇ_MOV[VALOR LÍQUIDO],LANÇ_MOV[RECEITA OU DESPESA],"Receita",LANÇ_MOV[CONTAS],$C1162,LANÇ_MOV[PLANO DE CONTAS],REL_DRE_FINANCEIRO!$B$1062,LANÇ_MOV[ANO PAGAMENTO],$B$4,LANÇ_MOV[MÊS PAGAMENTO CORRESPONDENTE],M$6,LANÇ_MOV[EMPRESA],$C$4,LANÇ_MOV[CENTRO DE CUSTOS],$D$4)</f>
        <v>0</v>
      </c>
      <c r="N1162" s="206">
        <f>SUMIFS(LANÇ_MOV[VALOR LÍQUIDO],LANÇ_MOV[RECEITA OU DESPESA],"Receita",LANÇ_MOV[CONTAS],$C1162,LANÇ_MOV[PLANO DE CONTAS],REL_DRE_FINANCEIRO!$B$1062,LANÇ_MOV[ANO PAGAMENTO],$B$4,LANÇ_MOV[MÊS PAGAMENTO CORRESPONDENTE],N$6,LANÇ_MOV[EMPRESA],$C$4,LANÇ_MOV[CENTRO DE CUSTOS],$D$4)</f>
        <v>0</v>
      </c>
      <c r="O1162" s="206">
        <f>SUMIFS(LANÇ_MOV[VALOR LÍQUIDO],LANÇ_MOV[RECEITA OU DESPESA],"Receita",LANÇ_MOV[CONTAS],$C1162,LANÇ_MOV[PLANO DE CONTAS],REL_DRE_FINANCEIRO!$B$1062,LANÇ_MOV[ANO PAGAMENTO],$B$4,LANÇ_MOV[MÊS PAGAMENTO CORRESPONDENTE],O$6,LANÇ_MOV[EMPRESA],$C$4,LANÇ_MOV[CENTRO DE CUSTOS],$D$4)</f>
        <v>0</v>
      </c>
      <c r="P1162" s="207">
        <f t="shared" si="139"/>
        <v>0</v>
      </c>
      <c r="Q1162" s="329">
        <v>9.9999999999999995E-8</v>
      </c>
      <c r="R1162" s="346">
        <f t="shared" si="140"/>
        <v>9.9999999999999995E-8</v>
      </c>
      <c r="S1162" s="347" t="str">
        <f t="shared" si="141"/>
        <v>-</v>
      </c>
      <c r="T1162" s="347">
        <f t="shared" si="142"/>
        <v>0</v>
      </c>
      <c r="U1162" s="347">
        <f>HLOOKUP(Apoio!$P$12,$D$1061:$P$1162,X1162,FALSE)+Q1162</f>
        <v>9.9999999999999995E-8</v>
      </c>
      <c r="V1162" s="447" t="str">
        <f t="shared" si="143"/>
        <v>-</v>
      </c>
      <c r="W1162" s="448">
        <f>HLOOKUP(Apoio!$P$12,$D$1061:$P$1162,X1162,FALSE)</f>
        <v>0</v>
      </c>
      <c r="X1162" s="329">
        <v>102</v>
      </c>
    </row>
    <row r="1163" spans="2:50" s="110" customFormat="1" ht="6.75" customHeight="1" thickBot="1" x14ac:dyDescent="0.4">
      <c r="B1163" s="111"/>
      <c r="C1163" s="111"/>
      <c r="D1163" s="25" t="s">
        <v>1044</v>
      </c>
      <c r="E1163" s="25" t="s">
        <v>1045</v>
      </c>
      <c r="F1163" s="25" t="s">
        <v>1046</v>
      </c>
      <c r="G1163" s="25" t="s">
        <v>1047</v>
      </c>
      <c r="H1163" s="25" t="s">
        <v>1048</v>
      </c>
      <c r="I1163" s="25" t="s">
        <v>1049</v>
      </c>
      <c r="J1163" s="25" t="s">
        <v>1050</v>
      </c>
      <c r="K1163" s="25" t="s">
        <v>1051</v>
      </c>
      <c r="L1163" s="25" t="s">
        <v>1052</v>
      </c>
      <c r="M1163" s="25" t="s">
        <v>1053</v>
      </c>
      <c r="N1163" s="25" t="s">
        <v>1054</v>
      </c>
      <c r="O1163" s="25" t="s">
        <v>1055</v>
      </c>
      <c r="P1163" s="135" t="s">
        <v>1198</v>
      </c>
      <c r="Q1163" s="329"/>
      <c r="R1163" s="346"/>
      <c r="S1163" s="347"/>
      <c r="T1163" s="347"/>
      <c r="U1163" s="347"/>
      <c r="V1163" s="447"/>
      <c r="W1163" s="448"/>
      <c r="X1163" s="346"/>
      <c r="Y1163" s="329"/>
      <c r="Z1163" s="340"/>
      <c r="AA1163" s="340"/>
      <c r="AB1163" s="340"/>
      <c r="AC1163" s="437"/>
      <c r="AD1163" s="340"/>
      <c r="AE1163" s="340"/>
      <c r="AF1163" s="25"/>
      <c r="AG1163" s="25"/>
      <c r="AH1163" s="25"/>
      <c r="AI1163" s="25"/>
      <c r="AJ1163" s="25"/>
      <c r="AK1163" s="25"/>
      <c r="AL1163" s="25"/>
      <c r="AM1163" s="25"/>
      <c r="AN1163" s="25"/>
      <c r="AO1163" s="25"/>
      <c r="AP1163" s="25"/>
      <c r="AQ1163" s="25"/>
      <c r="AR1163" s="25"/>
      <c r="AS1163" s="25"/>
      <c r="AT1163" s="25"/>
      <c r="AU1163" s="25"/>
      <c r="AV1163" s="25"/>
      <c r="AW1163" s="25"/>
      <c r="AX1163" s="25"/>
    </row>
    <row r="1164" spans="2:50" ht="30.05" customHeight="1" thickTop="1" x14ac:dyDescent="0.35">
      <c r="B1164" s="601" t="str">
        <f>'CAD_PL_REC-DESP'!AJ4</f>
        <v>OUTROS DÉBITOS (NÃO ENTRA NA DRE)</v>
      </c>
      <c r="C1164" s="602"/>
      <c r="D1164" s="203">
        <f>SUM(D1165:D1264)</f>
        <v>0</v>
      </c>
      <c r="E1164" s="203">
        <f t="shared" ref="E1164:O1164" si="144">SUM(E1165:E1264)</f>
        <v>0</v>
      </c>
      <c r="F1164" s="203">
        <f t="shared" si="144"/>
        <v>0</v>
      </c>
      <c r="G1164" s="203">
        <f t="shared" si="144"/>
        <v>0</v>
      </c>
      <c r="H1164" s="203">
        <f t="shared" si="144"/>
        <v>0</v>
      </c>
      <c r="I1164" s="203">
        <f t="shared" si="144"/>
        <v>0</v>
      </c>
      <c r="J1164" s="203">
        <f t="shared" si="144"/>
        <v>0</v>
      </c>
      <c r="K1164" s="203">
        <f t="shared" si="144"/>
        <v>0</v>
      </c>
      <c r="L1164" s="203">
        <f t="shared" si="144"/>
        <v>0</v>
      </c>
      <c r="M1164" s="203">
        <f t="shared" si="144"/>
        <v>0</v>
      </c>
      <c r="N1164" s="203">
        <f t="shared" si="144"/>
        <v>0</v>
      </c>
      <c r="O1164" s="203">
        <f t="shared" si="144"/>
        <v>0</v>
      </c>
      <c r="P1164" s="203">
        <f>SUM(D1164:O1164)</f>
        <v>0</v>
      </c>
      <c r="R1164" s="346"/>
      <c r="S1164" s="347"/>
      <c r="T1164" s="347"/>
      <c r="U1164" s="347"/>
      <c r="V1164" s="447"/>
      <c r="W1164" s="448"/>
      <c r="X1164" s="346"/>
    </row>
    <row r="1165" spans="2:50" ht="30.05" customHeight="1" x14ac:dyDescent="0.35">
      <c r="B1165" s="204" t="str">
        <f>'CAD_PL_REC-DESP'!AI5</f>
        <v>2.9.1</v>
      </c>
      <c r="C1165" s="205" t="str">
        <f>IF('CAD_PL_REC-DESP'!AJ5="","-",'CAD_PL_REC-DESP'!AJ5)</f>
        <v>APLICAÇÃO</v>
      </c>
      <c r="D1165" s="206">
        <f>SUMIFS(LANÇ_MOV[VALOR LÍQUIDO],LANÇ_MOV[RECEITA OU DESPESA],"Despesa",LANÇ_MOV[CONTAS],$C1165,LANÇ_MOV[PLANO DE CONTAS],REL_DRE_FINANCEIRO!$B$1164,LANÇ_MOV[ANO PAGAMENTO],$B$4,LANÇ_MOV[MÊS PAGAMENTO CORRESPONDENTE],D$6,LANÇ_MOV[EMPRESA],$C$4,LANÇ_MOV[CENTRO DE CUSTOS],$D$4)</f>
        <v>0</v>
      </c>
      <c r="E1165" s="206">
        <f>SUMIFS(LANÇ_MOV[VALOR LÍQUIDO],LANÇ_MOV[RECEITA OU DESPESA],"Despesa",LANÇ_MOV[CONTAS],$C1165,LANÇ_MOV[PLANO DE CONTAS],REL_DRE_FINANCEIRO!$B$1164,LANÇ_MOV[ANO PAGAMENTO],$B$4,LANÇ_MOV[MÊS PAGAMENTO CORRESPONDENTE],E$6,LANÇ_MOV[EMPRESA],$C$4,LANÇ_MOV[CENTRO DE CUSTOS],$D$4)</f>
        <v>0</v>
      </c>
      <c r="F1165" s="206">
        <f>SUMIFS(LANÇ_MOV[VALOR LÍQUIDO],LANÇ_MOV[RECEITA OU DESPESA],"Despesa",LANÇ_MOV[CONTAS],$C1165,LANÇ_MOV[PLANO DE CONTAS],REL_DRE_FINANCEIRO!$B$1164,LANÇ_MOV[ANO PAGAMENTO],$B$4,LANÇ_MOV[MÊS PAGAMENTO CORRESPONDENTE],F$6,LANÇ_MOV[EMPRESA],$C$4,LANÇ_MOV[CENTRO DE CUSTOS],$D$4)</f>
        <v>0</v>
      </c>
      <c r="G1165" s="206">
        <f>SUMIFS(LANÇ_MOV[VALOR LÍQUIDO],LANÇ_MOV[RECEITA OU DESPESA],"Despesa",LANÇ_MOV[CONTAS],$C1165,LANÇ_MOV[PLANO DE CONTAS],REL_DRE_FINANCEIRO!$B$1164,LANÇ_MOV[ANO PAGAMENTO],$B$4,LANÇ_MOV[MÊS PAGAMENTO CORRESPONDENTE],G$6,LANÇ_MOV[EMPRESA],$C$4,LANÇ_MOV[CENTRO DE CUSTOS],$D$4)</f>
        <v>0</v>
      </c>
      <c r="H1165" s="206">
        <f>SUMIFS(LANÇ_MOV[VALOR LÍQUIDO],LANÇ_MOV[RECEITA OU DESPESA],"Despesa",LANÇ_MOV[CONTAS],$C1165,LANÇ_MOV[PLANO DE CONTAS],REL_DRE_FINANCEIRO!$B$1164,LANÇ_MOV[ANO PAGAMENTO],$B$4,LANÇ_MOV[MÊS PAGAMENTO CORRESPONDENTE],H$6,LANÇ_MOV[EMPRESA],$C$4,LANÇ_MOV[CENTRO DE CUSTOS],$D$4)</f>
        <v>0</v>
      </c>
      <c r="I1165" s="206">
        <f>SUMIFS(LANÇ_MOV[VALOR LÍQUIDO],LANÇ_MOV[RECEITA OU DESPESA],"Despesa",LANÇ_MOV[CONTAS],$C1165,LANÇ_MOV[PLANO DE CONTAS],REL_DRE_FINANCEIRO!$B$1164,LANÇ_MOV[ANO PAGAMENTO],$B$4,LANÇ_MOV[MÊS PAGAMENTO CORRESPONDENTE],I$6,LANÇ_MOV[EMPRESA],$C$4,LANÇ_MOV[CENTRO DE CUSTOS],$D$4)</f>
        <v>0</v>
      </c>
      <c r="J1165" s="206">
        <f>SUMIFS(LANÇ_MOV[VALOR LÍQUIDO],LANÇ_MOV[RECEITA OU DESPESA],"Despesa",LANÇ_MOV[CONTAS],$C1165,LANÇ_MOV[PLANO DE CONTAS],REL_DRE_FINANCEIRO!$B$1164,LANÇ_MOV[ANO PAGAMENTO],$B$4,LANÇ_MOV[MÊS PAGAMENTO CORRESPONDENTE],J$6,LANÇ_MOV[EMPRESA],$C$4,LANÇ_MOV[CENTRO DE CUSTOS],$D$4)</f>
        <v>0</v>
      </c>
      <c r="K1165" s="206">
        <f>SUMIFS(LANÇ_MOV[VALOR LÍQUIDO],LANÇ_MOV[RECEITA OU DESPESA],"Despesa",LANÇ_MOV[CONTAS],$C1165,LANÇ_MOV[PLANO DE CONTAS],REL_DRE_FINANCEIRO!$B$1164,LANÇ_MOV[ANO PAGAMENTO],$B$4,LANÇ_MOV[MÊS PAGAMENTO CORRESPONDENTE],K$6,LANÇ_MOV[EMPRESA],$C$4,LANÇ_MOV[CENTRO DE CUSTOS],$D$4)</f>
        <v>0</v>
      </c>
      <c r="L1165" s="206">
        <f>SUMIFS(LANÇ_MOV[VALOR LÍQUIDO],LANÇ_MOV[RECEITA OU DESPESA],"Despesa",LANÇ_MOV[CONTAS],$C1165,LANÇ_MOV[PLANO DE CONTAS],REL_DRE_FINANCEIRO!$B$1164,LANÇ_MOV[ANO PAGAMENTO],$B$4,LANÇ_MOV[MÊS PAGAMENTO CORRESPONDENTE],L$6,LANÇ_MOV[EMPRESA],$C$4,LANÇ_MOV[CENTRO DE CUSTOS],$D$4)</f>
        <v>0</v>
      </c>
      <c r="M1165" s="206">
        <f>SUMIFS(LANÇ_MOV[VALOR LÍQUIDO],LANÇ_MOV[RECEITA OU DESPESA],"Despesa",LANÇ_MOV[CONTAS],$C1165,LANÇ_MOV[PLANO DE CONTAS],REL_DRE_FINANCEIRO!$B$1164,LANÇ_MOV[ANO PAGAMENTO],$B$4,LANÇ_MOV[MÊS PAGAMENTO CORRESPONDENTE],M$6,LANÇ_MOV[EMPRESA],$C$4,LANÇ_MOV[CENTRO DE CUSTOS],$D$4)</f>
        <v>0</v>
      </c>
      <c r="N1165" s="206">
        <f>SUMIFS(LANÇ_MOV[VALOR LÍQUIDO],LANÇ_MOV[RECEITA OU DESPESA],"Despesa",LANÇ_MOV[CONTAS],$C1165,LANÇ_MOV[PLANO DE CONTAS],REL_DRE_FINANCEIRO!$B$1164,LANÇ_MOV[ANO PAGAMENTO],$B$4,LANÇ_MOV[MÊS PAGAMENTO CORRESPONDENTE],N$6,LANÇ_MOV[EMPRESA],$C$4,LANÇ_MOV[CENTRO DE CUSTOS],$D$4)</f>
        <v>0</v>
      </c>
      <c r="O1165" s="206">
        <f>SUMIFS(LANÇ_MOV[VALOR LÍQUIDO],LANÇ_MOV[RECEITA OU DESPESA],"Despesa",LANÇ_MOV[CONTAS],$C1165,LANÇ_MOV[PLANO DE CONTAS],REL_DRE_FINANCEIRO!$B$1164,LANÇ_MOV[ANO PAGAMENTO],$B$4,LANÇ_MOV[MÊS PAGAMENTO CORRESPONDENTE],O$6,LANÇ_MOV[EMPRESA],$C$4,LANÇ_MOV[CENTRO DE CUSTOS],$D$4)</f>
        <v>0</v>
      </c>
      <c r="P1165" s="207">
        <f t="shared" ref="P1165:P1228" si="145">SUM(D1165:O1165)</f>
        <v>0</v>
      </c>
      <c r="Q1165" s="333">
        <v>1.0000000000000001E-5</v>
      </c>
      <c r="R1165" s="346">
        <f t="shared" ref="R1165:R1228" si="146">P1165+Q1165</f>
        <v>1.0000000000000001E-5</v>
      </c>
      <c r="S1165" s="347" t="str">
        <f t="shared" ref="S1165:S1228" si="147">C1165</f>
        <v>APLICAÇÃO</v>
      </c>
      <c r="T1165" s="347">
        <f t="shared" ref="T1165:T1228" si="148">P1165</f>
        <v>0</v>
      </c>
      <c r="U1165" s="347">
        <f>HLOOKUP(Apoio!$P$12,$D$1163:$P$1264,X1165,FALSE)+Q1165</f>
        <v>1.0000000000000001E-5</v>
      </c>
      <c r="V1165" s="447" t="str">
        <f>S1165</f>
        <v>APLICAÇÃO</v>
      </c>
      <c r="W1165" s="448">
        <f>HLOOKUP(Apoio!$P$12,$D$1163:$P$1264,X1165,FALSE)</f>
        <v>0</v>
      </c>
      <c r="X1165" s="329">
        <v>3</v>
      </c>
      <c r="Y1165" s="329">
        <v>1</v>
      </c>
      <c r="Z1165" s="340" t="str">
        <f>VLOOKUP(LARGE($R$1163:$R$1264,Y1165),$R$1163:$S$1264,2,FALSE)</f>
        <v>APLICAÇÃO</v>
      </c>
      <c r="AA1165" s="340">
        <f>VLOOKUP(Z1165,$S$1163:$T$1264,2,FALSE)</f>
        <v>0</v>
      </c>
    </row>
    <row r="1166" spans="2:50" ht="30.05" customHeight="1" x14ac:dyDescent="0.35">
      <c r="B1166" s="204" t="str">
        <f>'CAD_PL_REC-DESP'!AI6</f>
        <v>2.9.2</v>
      </c>
      <c r="C1166" s="205" t="str">
        <f>IF('CAD_PL_REC-DESP'!AJ6="","-",'CAD_PL_REC-DESP'!AJ6)</f>
        <v>CAPITAL DE GIRO</v>
      </c>
      <c r="D1166" s="206">
        <f>SUMIFS(LANÇ_MOV[VALOR LÍQUIDO],LANÇ_MOV[RECEITA OU DESPESA],"Despesa",LANÇ_MOV[CONTAS],$C1166,LANÇ_MOV[PLANO DE CONTAS],REL_DRE_FINANCEIRO!$B$1164,LANÇ_MOV[ANO PAGAMENTO],$B$4,LANÇ_MOV[MÊS PAGAMENTO CORRESPONDENTE],D$6,LANÇ_MOV[EMPRESA],$C$4,LANÇ_MOV[CENTRO DE CUSTOS],$D$4)</f>
        <v>0</v>
      </c>
      <c r="E1166" s="206">
        <f>SUMIFS(LANÇ_MOV[VALOR LÍQUIDO],LANÇ_MOV[RECEITA OU DESPESA],"Despesa",LANÇ_MOV[CONTAS],$C1166,LANÇ_MOV[PLANO DE CONTAS],REL_DRE_FINANCEIRO!$B$1164,LANÇ_MOV[ANO PAGAMENTO],$B$4,LANÇ_MOV[MÊS PAGAMENTO CORRESPONDENTE],E$6,LANÇ_MOV[EMPRESA],$C$4,LANÇ_MOV[CENTRO DE CUSTOS],$D$4)</f>
        <v>0</v>
      </c>
      <c r="F1166" s="206">
        <f>SUMIFS(LANÇ_MOV[VALOR LÍQUIDO],LANÇ_MOV[RECEITA OU DESPESA],"Despesa",LANÇ_MOV[CONTAS],$C1166,LANÇ_MOV[PLANO DE CONTAS],REL_DRE_FINANCEIRO!$B$1164,LANÇ_MOV[ANO PAGAMENTO],$B$4,LANÇ_MOV[MÊS PAGAMENTO CORRESPONDENTE],F$6,LANÇ_MOV[EMPRESA],$C$4,LANÇ_MOV[CENTRO DE CUSTOS],$D$4)</f>
        <v>0</v>
      </c>
      <c r="G1166" s="206">
        <f>SUMIFS(LANÇ_MOV[VALOR LÍQUIDO],LANÇ_MOV[RECEITA OU DESPESA],"Despesa",LANÇ_MOV[CONTAS],$C1166,LANÇ_MOV[PLANO DE CONTAS],REL_DRE_FINANCEIRO!$B$1164,LANÇ_MOV[ANO PAGAMENTO],$B$4,LANÇ_MOV[MÊS PAGAMENTO CORRESPONDENTE],G$6,LANÇ_MOV[EMPRESA],$C$4,LANÇ_MOV[CENTRO DE CUSTOS],$D$4)</f>
        <v>0</v>
      </c>
      <c r="H1166" s="206">
        <f>SUMIFS(LANÇ_MOV[VALOR LÍQUIDO],LANÇ_MOV[RECEITA OU DESPESA],"Despesa",LANÇ_MOV[CONTAS],$C1166,LANÇ_MOV[PLANO DE CONTAS],REL_DRE_FINANCEIRO!$B$1164,LANÇ_MOV[ANO PAGAMENTO],$B$4,LANÇ_MOV[MÊS PAGAMENTO CORRESPONDENTE],H$6,LANÇ_MOV[EMPRESA],$C$4,LANÇ_MOV[CENTRO DE CUSTOS],$D$4)</f>
        <v>0</v>
      </c>
      <c r="I1166" s="206">
        <f>SUMIFS(LANÇ_MOV[VALOR LÍQUIDO],LANÇ_MOV[RECEITA OU DESPESA],"Despesa",LANÇ_MOV[CONTAS],$C1166,LANÇ_MOV[PLANO DE CONTAS],REL_DRE_FINANCEIRO!$B$1164,LANÇ_MOV[ANO PAGAMENTO],$B$4,LANÇ_MOV[MÊS PAGAMENTO CORRESPONDENTE],I$6,LANÇ_MOV[EMPRESA],$C$4,LANÇ_MOV[CENTRO DE CUSTOS],$D$4)</f>
        <v>0</v>
      </c>
      <c r="J1166" s="206">
        <f>SUMIFS(LANÇ_MOV[VALOR LÍQUIDO],LANÇ_MOV[RECEITA OU DESPESA],"Despesa",LANÇ_MOV[CONTAS],$C1166,LANÇ_MOV[PLANO DE CONTAS],REL_DRE_FINANCEIRO!$B$1164,LANÇ_MOV[ANO PAGAMENTO],$B$4,LANÇ_MOV[MÊS PAGAMENTO CORRESPONDENTE],J$6,LANÇ_MOV[EMPRESA],$C$4,LANÇ_MOV[CENTRO DE CUSTOS],$D$4)</f>
        <v>0</v>
      </c>
      <c r="K1166" s="206">
        <f>SUMIFS(LANÇ_MOV[VALOR LÍQUIDO],LANÇ_MOV[RECEITA OU DESPESA],"Despesa",LANÇ_MOV[CONTAS],$C1166,LANÇ_MOV[PLANO DE CONTAS],REL_DRE_FINANCEIRO!$B$1164,LANÇ_MOV[ANO PAGAMENTO],$B$4,LANÇ_MOV[MÊS PAGAMENTO CORRESPONDENTE],K$6,LANÇ_MOV[EMPRESA],$C$4,LANÇ_MOV[CENTRO DE CUSTOS],$D$4)</f>
        <v>0</v>
      </c>
      <c r="L1166" s="206">
        <f>SUMIFS(LANÇ_MOV[VALOR LÍQUIDO],LANÇ_MOV[RECEITA OU DESPESA],"Despesa",LANÇ_MOV[CONTAS],$C1166,LANÇ_MOV[PLANO DE CONTAS],REL_DRE_FINANCEIRO!$B$1164,LANÇ_MOV[ANO PAGAMENTO],$B$4,LANÇ_MOV[MÊS PAGAMENTO CORRESPONDENTE],L$6,LANÇ_MOV[EMPRESA],$C$4,LANÇ_MOV[CENTRO DE CUSTOS],$D$4)</f>
        <v>0</v>
      </c>
      <c r="M1166" s="206">
        <f>SUMIFS(LANÇ_MOV[VALOR LÍQUIDO],LANÇ_MOV[RECEITA OU DESPESA],"Despesa",LANÇ_MOV[CONTAS],$C1166,LANÇ_MOV[PLANO DE CONTAS],REL_DRE_FINANCEIRO!$B$1164,LANÇ_MOV[ANO PAGAMENTO],$B$4,LANÇ_MOV[MÊS PAGAMENTO CORRESPONDENTE],M$6,LANÇ_MOV[EMPRESA],$C$4,LANÇ_MOV[CENTRO DE CUSTOS],$D$4)</f>
        <v>0</v>
      </c>
      <c r="N1166" s="206">
        <f>SUMIFS(LANÇ_MOV[VALOR LÍQUIDO],LANÇ_MOV[RECEITA OU DESPESA],"Despesa",LANÇ_MOV[CONTAS],$C1166,LANÇ_MOV[PLANO DE CONTAS],REL_DRE_FINANCEIRO!$B$1164,LANÇ_MOV[ANO PAGAMENTO],$B$4,LANÇ_MOV[MÊS PAGAMENTO CORRESPONDENTE],N$6,LANÇ_MOV[EMPRESA],$C$4,LANÇ_MOV[CENTRO DE CUSTOS],$D$4)</f>
        <v>0</v>
      </c>
      <c r="O1166" s="206">
        <f>SUMIFS(LANÇ_MOV[VALOR LÍQUIDO],LANÇ_MOV[RECEITA OU DESPESA],"Despesa",LANÇ_MOV[CONTAS],$C1166,LANÇ_MOV[PLANO DE CONTAS],REL_DRE_FINANCEIRO!$B$1164,LANÇ_MOV[ANO PAGAMENTO],$B$4,LANÇ_MOV[MÊS PAGAMENTO CORRESPONDENTE],O$6,LANÇ_MOV[EMPRESA],$C$4,LANÇ_MOV[CENTRO DE CUSTOS],$D$4)</f>
        <v>0</v>
      </c>
      <c r="P1166" s="207">
        <f t="shared" si="145"/>
        <v>0</v>
      </c>
      <c r="Q1166" s="329">
        <v>9.9000000000000001E-6</v>
      </c>
      <c r="R1166" s="346">
        <f t="shared" si="146"/>
        <v>9.9000000000000001E-6</v>
      </c>
      <c r="S1166" s="347" t="str">
        <f t="shared" si="147"/>
        <v>CAPITAL DE GIRO</v>
      </c>
      <c r="T1166" s="347">
        <f t="shared" si="148"/>
        <v>0</v>
      </c>
      <c r="U1166" s="347">
        <f>HLOOKUP(Apoio!$P$12,$D$1163:$P$1264,X1166,FALSE)+Q1166</f>
        <v>9.9000000000000001E-6</v>
      </c>
      <c r="V1166" s="447" t="str">
        <f t="shared" ref="V1166:V1229" si="149">S1166</f>
        <v>CAPITAL DE GIRO</v>
      </c>
      <c r="W1166" s="448">
        <f>HLOOKUP(Apoio!$P$12,$D$1163:$P$1264,X1166,FALSE)</f>
        <v>0</v>
      </c>
      <c r="X1166" s="329">
        <v>4</v>
      </c>
      <c r="Y1166" s="329">
        <v>2</v>
      </c>
      <c r="Z1166" s="340" t="str">
        <f>VLOOKUP(LARGE($R$1163:$R$1264,Y1166),$R$1163:$S$1264,2,FALSE)</f>
        <v>CAPITAL DE GIRO</v>
      </c>
      <c r="AA1166" s="340">
        <f>VLOOKUP(Z1166,$S$1163:$T$1264,2,FALSE)</f>
        <v>0</v>
      </c>
    </row>
    <row r="1167" spans="2:50" ht="30.05" customHeight="1" x14ac:dyDescent="0.35">
      <c r="B1167" s="204" t="str">
        <f>'CAD_PL_REC-DESP'!AI7</f>
        <v>2.9.3</v>
      </c>
      <c r="C1167" s="205" t="e">
        <f>IF('CAD_PL_REC-DESP'!#REF!="","-",'CAD_PL_REC-DESP'!#REF!)</f>
        <v>#REF!</v>
      </c>
      <c r="D1167" s="206">
        <f>SUMIFS(LANÇ_MOV[VALOR LÍQUIDO],LANÇ_MOV[RECEITA OU DESPESA],"Despesa",LANÇ_MOV[CONTAS],$C1167,LANÇ_MOV[PLANO DE CONTAS],REL_DRE_FINANCEIRO!$B$1164,LANÇ_MOV[ANO PAGAMENTO],$B$4,LANÇ_MOV[MÊS PAGAMENTO CORRESPONDENTE],D$6,LANÇ_MOV[EMPRESA],$C$4,LANÇ_MOV[CENTRO DE CUSTOS],$D$4)</f>
        <v>0</v>
      </c>
      <c r="E1167" s="206">
        <f>SUMIFS(LANÇ_MOV[VALOR LÍQUIDO],LANÇ_MOV[RECEITA OU DESPESA],"Despesa",LANÇ_MOV[CONTAS],$C1167,LANÇ_MOV[PLANO DE CONTAS],REL_DRE_FINANCEIRO!$B$1164,LANÇ_MOV[ANO PAGAMENTO],$B$4,LANÇ_MOV[MÊS PAGAMENTO CORRESPONDENTE],E$6,LANÇ_MOV[EMPRESA],$C$4,LANÇ_MOV[CENTRO DE CUSTOS],$D$4)</f>
        <v>0</v>
      </c>
      <c r="F1167" s="206">
        <f>SUMIFS(LANÇ_MOV[VALOR LÍQUIDO],LANÇ_MOV[RECEITA OU DESPESA],"Despesa",LANÇ_MOV[CONTAS],$C1167,LANÇ_MOV[PLANO DE CONTAS],REL_DRE_FINANCEIRO!$B$1164,LANÇ_MOV[ANO PAGAMENTO],$B$4,LANÇ_MOV[MÊS PAGAMENTO CORRESPONDENTE],F$6,LANÇ_MOV[EMPRESA],$C$4,LANÇ_MOV[CENTRO DE CUSTOS],$D$4)</f>
        <v>0</v>
      </c>
      <c r="G1167" s="206">
        <f>SUMIFS(LANÇ_MOV[VALOR LÍQUIDO],LANÇ_MOV[RECEITA OU DESPESA],"Despesa",LANÇ_MOV[CONTAS],$C1167,LANÇ_MOV[PLANO DE CONTAS],REL_DRE_FINANCEIRO!$B$1164,LANÇ_MOV[ANO PAGAMENTO],$B$4,LANÇ_MOV[MÊS PAGAMENTO CORRESPONDENTE],G$6,LANÇ_MOV[EMPRESA],$C$4,LANÇ_MOV[CENTRO DE CUSTOS],$D$4)</f>
        <v>0</v>
      </c>
      <c r="H1167" s="206">
        <f>SUMIFS(LANÇ_MOV[VALOR LÍQUIDO],LANÇ_MOV[RECEITA OU DESPESA],"Despesa",LANÇ_MOV[CONTAS],$C1167,LANÇ_MOV[PLANO DE CONTAS],REL_DRE_FINANCEIRO!$B$1164,LANÇ_MOV[ANO PAGAMENTO],$B$4,LANÇ_MOV[MÊS PAGAMENTO CORRESPONDENTE],H$6,LANÇ_MOV[EMPRESA],$C$4,LANÇ_MOV[CENTRO DE CUSTOS],$D$4)</f>
        <v>0</v>
      </c>
      <c r="I1167" s="206">
        <f>SUMIFS(LANÇ_MOV[VALOR LÍQUIDO],LANÇ_MOV[RECEITA OU DESPESA],"Despesa",LANÇ_MOV[CONTAS],$C1167,LANÇ_MOV[PLANO DE CONTAS],REL_DRE_FINANCEIRO!$B$1164,LANÇ_MOV[ANO PAGAMENTO],$B$4,LANÇ_MOV[MÊS PAGAMENTO CORRESPONDENTE],I$6,LANÇ_MOV[EMPRESA],$C$4,LANÇ_MOV[CENTRO DE CUSTOS],$D$4)</f>
        <v>0</v>
      </c>
      <c r="J1167" s="206">
        <f>SUMIFS(LANÇ_MOV[VALOR LÍQUIDO],LANÇ_MOV[RECEITA OU DESPESA],"Despesa",LANÇ_MOV[CONTAS],$C1167,LANÇ_MOV[PLANO DE CONTAS],REL_DRE_FINANCEIRO!$B$1164,LANÇ_MOV[ANO PAGAMENTO],$B$4,LANÇ_MOV[MÊS PAGAMENTO CORRESPONDENTE],J$6,LANÇ_MOV[EMPRESA],$C$4,LANÇ_MOV[CENTRO DE CUSTOS],$D$4)</f>
        <v>0</v>
      </c>
      <c r="K1167" s="206">
        <f>SUMIFS(LANÇ_MOV[VALOR LÍQUIDO],LANÇ_MOV[RECEITA OU DESPESA],"Despesa",LANÇ_MOV[CONTAS],$C1167,LANÇ_MOV[PLANO DE CONTAS],REL_DRE_FINANCEIRO!$B$1164,LANÇ_MOV[ANO PAGAMENTO],$B$4,LANÇ_MOV[MÊS PAGAMENTO CORRESPONDENTE],K$6,LANÇ_MOV[EMPRESA],$C$4,LANÇ_MOV[CENTRO DE CUSTOS],$D$4)</f>
        <v>0</v>
      </c>
      <c r="L1167" s="206">
        <f>SUMIFS(LANÇ_MOV[VALOR LÍQUIDO],LANÇ_MOV[RECEITA OU DESPESA],"Despesa",LANÇ_MOV[CONTAS],$C1167,LANÇ_MOV[PLANO DE CONTAS],REL_DRE_FINANCEIRO!$B$1164,LANÇ_MOV[ANO PAGAMENTO],$B$4,LANÇ_MOV[MÊS PAGAMENTO CORRESPONDENTE],L$6,LANÇ_MOV[EMPRESA],$C$4,LANÇ_MOV[CENTRO DE CUSTOS],$D$4)</f>
        <v>0</v>
      </c>
      <c r="M1167" s="206">
        <f>SUMIFS(LANÇ_MOV[VALOR LÍQUIDO],LANÇ_MOV[RECEITA OU DESPESA],"Despesa",LANÇ_MOV[CONTAS],$C1167,LANÇ_MOV[PLANO DE CONTAS],REL_DRE_FINANCEIRO!$B$1164,LANÇ_MOV[ANO PAGAMENTO],$B$4,LANÇ_MOV[MÊS PAGAMENTO CORRESPONDENTE],M$6,LANÇ_MOV[EMPRESA],$C$4,LANÇ_MOV[CENTRO DE CUSTOS],$D$4)</f>
        <v>0</v>
      </c>
      <c r="N1167" s="206">
        <f>SUMIFS(LANÇ_MOV[VALOR LÍQUIDO],LANÇ_MOV[RECEITA OU DESPESA],"Despesa",LANÇ_MOV[CONTAS],$C1167,LANÇ_MOV[PLANO DE CONTAS],REL_DRE_FINANCEIRO!$B$1164,LANÇ_MOV[ANO PAGAMENTO],$B$4,LANÇ_MOV[MÊS PAGAMENTO CORRESPONDENTE],N$6,LANÇ_MOV[EMPRESA],$C$4,LANÇ_MOV[CENTRO DE CUSTOS],$D$4)</f>
        <v>0</v>
      </c>
      <c r="O1167" s="206">
        <f>SUMIFS(LANÇ_MOV[VALOR LÍQUIDO],LANÇ_MOV[RECEITA OU DESPESA],"Despesa",LANÇ_MOV[CONTAS],$C1167,LANÇ_MOV[PLANO DE CONTAS],REL_DRE_FINANCEIRO!$B$1164,LANÇ_MOV[ANO PAGAMENTO],$B$4,LANÇ_MOV[MÊS PAGAMENTO CORRESPONDENTE],O$6,LANÇ_MOV[EMPRESA],$C$4,LANÇ_MOV[CENTRO DE CUSTOS],$D$4)</f>
        <v>0</v>
      </c>
      <c r="P1167" s="207">
        <f t="shared" si="145"/>
        <v>0</v>
      </c>
      <c r="Q1167" s="329">
        <v>9.7999999999999993E-6</v>
      </c>
      <c r="R1167" s="346">
        <f t="shared" si="146"/>
        <v>9.7999999999999993E-6</v>
      </c>
      <c r="S1167" s="347" t="e">
        <f t="shared" si="147"/>
        <v>#REF!</v>
      </c>
      <c r="T1167" s="347">
        <f t="shared" si="148"/>
        <v>0</v>
      </c>
      <c r="U1167" s="347">
        <f>HLOOKUP(Apoio!$P$12,$D$1163:$P$1264,X1167,FALSE)+Q1167</f>
        <v>9.7999999999999993E-6</v>
      </c>
      <c r="V1167" s="447" t="e">
        <f t="shared" si="149"/>
        <v>#REF!</v>
      </c>
      <c r="W1167" s="448">
        <f>HLOOKUP(Apoio!$P$12,$D$1163:$P$1264,X1167,FALSE)</f>
        <v>0</v>
      </c>
      <c r="X1167" s="329">
        <v>5</v>
      </c>
      <c r="Y1167" s="329">
        <v>3</v>
      </c>
      <c r="Z1167" s="340" t="e">
        <f>VLOOKUP(LARGE($R$1163:$R$1264,Y1167),$R$1163:$S$1264,2,FALSE)</f>
        <v>#REF!</v>
      </c>
      <c r="AA1167" s="340" t="e">
        <f>VLOOKUP(Z1167,$S$1163:$T$1264,2,FALSE)</f>
        <v>#REF!</v>
      </c>
    </row>
    <row r="1168" spans="2:50" ht="30.05" customHeight="1" x14ac:dyDescent="0.35">
      <c r="B1168" s="204" t="str">
        <f>'CAD_PL_REC-DESP'!AI8</f>
        <v>2.9.4</v>
      </c>
      <c r="C1168" s="205" t="str">
        <f>IF('CAD_PL_REC-DESP'!AJ7="","-",'CAD_PL_REC-DESP'!AJ7)</f>
        <v>EMPRÉSTIMO</v>
      </c>
      <c r="D1168" s="206">
        <f>SUMIFS(LANÇ_MOV[VALOR LÍQUIDO],LANÇ_MOV[RECEITA OU DESPESA],"Despesa",LANÇ_MOV[CONTAS],$C1168,LANÇ_MOV[PLANO DE CONTAS],REL_DRE_FINANCEIRO!$B$1164,LANÇ_MOV[ANO PAGAMENTO],$B$4,LANÇ_MOV[MÊS PAGAMENTO CORRESPONDENTE],D$6,LANÇ_MOV[EMPRESA],$C$4,LANÇ_MOV[CENTRO DE CUSTOS],$D$4)</f>
        <v>0</v>
      </c>
      <c r="E1168" s="206">
        <f>SUMIFS(LANÇ_MOV[VALOR LÍQUIDO],LANÇ_MOV[RECEITA OU DESPESA],"Despesa",LANÇ_MOV[CONTAS],$C1168,LANÇ_MOV[PLANO DE CONTAS],REL_DRE_FINANCEIRO!$B$1164,LANÇ_MOV[ANO PAGAMENTO],$B$4,LANÇ_MOV[MÊS PAGAMENTO CORRESPONDENTE],E$6,LANÇ_MOV[EMPRESA],$C$4,LANÇ_MOV[CENTRO DE CUSTOS],$D$4)</f>
        <v>0</v>
      </c>
      <c r="F1168" s="206">
        <f>SUMIFS(LANÇ_MOV[VALOR LÍQUIDO],LANÇ_MOV[RECEITA OU DESPESA],"Despesa",LANÇ_MOV[CONTAS],$C1168,LANÇ_MOV[PLANO DE CONTAS],REL_DRE_FINANCEIRO!$B$1164,LANÇ_MOV[ANO PAGAMENTO],$B$4,LANÇ_MOV[MÊS PAGAMENTO CORRESPONDENTE],F$6,LANÇ_MOV[EMPRESA],$C$4,LANÇ_MOV[CENTRO DE CUSTOS],$D$4)</f>
        <v>0</v>
      </c>
      <c r="G1168" s="206">
        <f>SUMIFS(LANÇ_MOV[VALOR LÍQUIDO],LANÇ_MOV[RECEITA OU DESPESA],"Despesa",LANÇ_MOV[CONTAS],$C1168,LANÇ_MOV[PLANO DE CONTAS],REL_DRE_FINANCEIRO!$B$1164,LANÇ_MOV[ANO PAGAMENTO],$B$4,LANÇ_MOV[MÊS PAGAMENTO CORRESPONDENTE],G$6,LANÇ_MOV[EMPRESA],$C$4,LANÇ_MOV[CENTRO DE CUSTOS],$D$4)</f>
        <v>0</v>
      </c>
      <c r="H1168" s="206">
        <f>SUMIFS(LANÇ_MOV[VALOR LÍQUIDO],LANÇ_MOV[RECEITA OU DESPESA],"Despesa",LANÇ_MOV[CONTAS],$C1168,LANÇ_MOV[PLANO DE CONTAS],REL_DRE_FINANCEIRO!$B$1164,LANÇ_MOV[ANO PAGAMENTO],$B$4,LANÇ_MOV[MÊS PAGAMENTO CORRESPONDENTE],H$6,LANÇ_MOV[EMPRESA],$C$4,LANÇ_MOV[CENTRO DE CUSTOS],$D$4)</f>
        <v>0</v>
      </c>
      <c r="I1168" s="206">
        <f>SUMIFS(LANÇ_MOV[VALOR LÍQUIDO],LANÇ_MOV[RECEITA OU DESPESA],"Despesa",LANÇ_MOV[CONTAS],$C1168,LANÇ_MOV[PLANO DE CONTAS],REL_DRE_FINANCEIRO!$B$1164,LANÇ_MOV[ANO PAGAMENTO],$B$4,LANÇ_MOV[MÊS PAGAMENTO CORRESPONDENTE],I$6,LANÇ_MOV[EMPRESA],$C$4,LANÇ_MOV[CENTRO DE CUSTOS],$D$4)</f>
        <v>0</v>
      </c>
      <c r="J1168" s="206">
        <f>SUMIFS(LANÇ_MOV[VALOR LÍQUIDO],LANÇ_MOV[RECEITA OU DESPESA],"Despesa",LANÇ_MOV[CONTAS],$C1168,LANÇ_MOV[PLANO DE CONTAS],REL_DRE_FINANCEIRO!$B$1164,LANÇ_MOV[ANO PAGAMENTO],$B$4,LANÇ_MOV[MÊS PAGAMENTO CORRESPONDENTE],J$6,LANÇ_MOV[EMPRESA],$C$4,LANÇ_MOV[CENTRO DE CUSTOS],$D$4)</f>
        <v>0</v>
      </c>
      <c r="K1168" s="206">
        <f>SUMIFS(LANÇ_MOV[VALOR LÍQUIDO],LANÇ_MOV[RECEITA OU DESPESA],"Despesa",LANÇ_MOV[CONTAS],$C1168,LANÇ_MOV[PLANO DE CONTAS],REL_DRE_FINANCEIRO!$B$1164,LANÇ_MOV[ANO PAGAMENTO],$B$4,LANÇ_MOV[MÊS PAGAMENTO CORRESPONDENTE],K$6,LANÇ_MOV[EMPRESA],$C$4,LANÇ_MOV[CENTRO DE CUSTOS],$D$4)</f>
        <v>0</v>
      </c>
      <c r="L1168" s="206">
        <f>SUMIFS(LANÇ_MOV[VALOR LÍQUIDO],LANÇ_MOV[RECEITA OU DESPESA],"Despesa",LANÇ_MOV[CONTAS],$C1168,LANÇ_MOV[PLANO DE CONTAS],REL_DRE_FINANCEIRO!$B$1164,LANÇ_MOV[ANO PAGAMENTO],$B$4,LANÇ_MOV[MÊS PAGAMENTO CORRESPONDENTE],L$6,LANÇ_MOV[EMPRESA],$C$4,LANÇ_MOV[CENTRO DE CUSTOS],$D$4)</f>
        <v>0</v>
      </c>
      <c r="M1168" s="206">
        <f>SUMIFS(LANÇ_MOV[VALOR LÍQUIDO],LANÇ_MOV[RECEITA OU DESPESA],"Despesa",LANÇ_MOV[CONTAS],$C1168,LANÇ_MOV[PLANO DE CONTAS],REL_DRE_FINANCEIRO!$B$1164,LANÇ_MOV[ANO PAGAMENTO],$B$4,LANÇ_MOV[MÊS PAGAMENTO CORRESPONDENTE],M$6,LANÇ_MOV[EMPRESA],$C$4,LANÇ_MOV[CENTRO DE CUSTOS],$D$4)</f>
        <v>0</v>
      </c>
      <c r="N1168" s="206">
        <f>SUMIFS(LANÇ_MOV[VALOR LÍQUIDO],LANÇ_MOV[RECEITA OU DESPESA],"Despesa",LANÇ_MOV[CONTAS],$C1168,LANÇ_MOV[PLANO DE CONTAS],REL_DRE_FINANCEIRO!$B$1164,LANÇ_MOV[ANO PAGAMENTO],$B$4,LANÇ_MOV[MÊS PAGAMENTO CORRESPONDENTE],N$6,LANÇ_MOV[EMPRESA],$C$4,LANÇ_MOV[CENTRO DE CUSTOS],$D$4)</f>
        <v>0</v>
      </c>
      <c r="O1168" s="206">
        <f>SUMIFS(LANÇ_MOV[VALOR LÍQUIDO],LANÇ_MOV[RECEITA OU DESPESA],"Despesa",LANÇ_MOV[CONTAS],$C1168,LANÇ_MOV[PLANO DE CONTAS],REL_DRE_FINANCEIRO!$B$1164,LANÇ_MOV[ANO PAGAMENTO],$B$4,LANÇ_MOV[MÊS PAGAMENTO CORRESPONDENTE],O$6,LANÇ_MOV[EMPRESA],$C$4,LANÇ_MOV[CENTRO DE CUSTOS],$D$4)</f>
        <v>0</v>
      </c>
      <c r="P1168" s="207">
        <f t="shared" si="145"/>
        <v>0</v>
      </c>
      <c r="Q1168" s="329">
        <v>9.7000000000000003E-6</v>
      </c>
      <c r="R1168" s="346">
        <f t="shared" si="146"/>
        <v>9.7000000000000003E-6</v>
      </c>
      <c r="S1168" s="347" t="str">
        <f t="shared" si="147"/>
        <v>EMPRÉSTIMO</v>
      </c>
      <c r="T1168" s="347">
        <f t="shared" si="148"/>
        <v>0</v>
      </c>
      <c r="U1168" s="347">
        <f>HLOOKUP(Apoio!$P$12,$D$1163:$P$1264,X1168,FALSE)+Q1168</f>
        <v>9.7000000000000003E-6</v>
      </c>
      <c r="V1168" s="447" t="str">
        <f t="shared" si="149"/>
        <v>EMPRÉSTIMO</v>
      </c>
      <c r="W1168" s="448">
        <f>HLOOKUP(Apoio!$P$12,$D$1163:$P$1264,X1168,FALSE)</f>
        <v>0</v>
      </c>
      <c r="X1168" s="329">
        <v>6</v>
      </c>
      <c r="Y1168" s="329">
        <v>4</v>
      </c>
      <c r="Z1168" s="340" t="str">
        <f>VLOOKUP(LARGE($R$1163:$R$1264,Y1168),$R$1163:$S$1264,2,FALSE)</f>
        <v>EMPRÉSTIMO</v>
      </c>
      <c r="AA1168" s="340">
        <f>VLOOKUP(Z1168,$S$1163:$T$1264,2,FALSE)</f>
        <v>0</v>
      </c>
    </row>
    <row r="1169" spans="2:27" ht="30.05" customHeight="1" x14ac:dyDescent="0.35">
      <c r="B1169" s="204" t="str">
        <f>'CAD_PL_REC-DESP'!AI9</f>
        <v>2.9.5</v>
      </c>
      <c r="C1169" s="205" t="str">
        <f>IF('CAD_PL_REC-DESP'!AJ8="","-",'CAD_PL_REC-DESP'!AJ8)</f>
        <v>OUTROS DÉBITOS</v>
      </c>
      <c r="D1169" s="206">
        <f>SUMIFS(LANÇ_MOV[VALOR LÍQUIDO],LANÇ_MOV[RECEITA OU DESPESA],"Despesa",LANÇ_MOV[CONTAS],$C1169,LANÇ_MOV[PLANO DE CONTAS],REL_DRE_FINANCEIRO!$B$1164,LANÇ_MOV[ANO PAGAMENTO],$B$4,LANÇ_MOV[MÊS PAGAMENTO CORRESPONDENTE],D$6,LANÇ_MOV[EMPRESA],$C$4,LANÇ_MOV[CENTRO DE CUSTOS],$D$4)</f>
        <v>0</v>
      </c>
      <c r="E1169" s="206">
        <f>SUMIFS(LANÇ_MOV[VALOR LÍQUIDO],LANÇ_MOV[RECEITA OU DESPESA],"Despesa",LANÇ_MOV[CONTAS],$C1169,LANÇ_MOV[PLANO DE CONTAS],REL_DRE_FINANCEIRO!$B$1164,LANÇ_MOV[ANO PAGAMENTO],$B$4,LANÇ_MOV[MÊS PAGAMENTO CORRESPONDENTE],E$6,LANÇ_MOV[EMPRESA],$C$4,LANÇ_MOV[CENTRO DE CUSTOS],$D$4)</f>
        <v>0</v>
      </c>
      <c r="F1169" s="206">
        <f>SUMIFS(LANÇ_MOV[VALOR LÍQUIDO],LANÇ_MOV[RECEITA OU DESPESA],"Despesa",LANÇ_MOV[CONTAS],$C1169,LANÇ_MOV[PLANO DE CONTAS],REL_DRE_FINANCEIRO!$B$1164,LANÇ_MOV[ANO PAGAMENTO],$B$4,LANÇ_MOV[MÊS PAGAMENTO CORRESPONDENTE],F$6,LANÇ_MOV[EMPRESA],$C$4,LANÇ_MOV[CENTRO DE CUSTOS],$D$4)</f>
        <v>0</v>
      </c>
      <c r="G1169" s="206">
        <f>SUMIFS(LANÇ_MOV[VALOR LÍQUIDO],LANÇ_MOV[RECEITA OU DESPESA],"Despesa",LANÇ_MOV[CONTAS],$C1169,LANÇ_MOV[PLANO DE CONTAS],REL_DRE_FINANCEIRO!$B$1164,LANÇ_MOV[ANO PAGAMENTO],$B$4,LANÇ_MOV[MÊS PAGAMENTO CORRESPONDENTE],G$6,LANÇ_MOV[EMPRESA],$C$4,LANÇ_MOV[CENTRO DE CUSTOS],$D$4)</f>
        <v>0</v>
      </c>
      <c r="H1169" s="206">
        <f>SUMIFS(LANÇ_MOV[VALOR LÍQUIDO],LANÇ_MOV[RECEITA OU DESPESA],"Despesa",LANÇ_MOV[CONTAS],$C1169,LANÇ_MOV[PLANO DE CONTAS],REL_DRE_FINANCEIRO!$B$1164,LANÇ_MOV[ANO PAGAMENTO],$B$4,LANÇ_MOV[MÊS PAGAMENTO CORRESPONDENTE],H$6,LANÇ_MOV[EMPRESA],$C$4,LANÇ_MOV[CENTRO DE CUSTOS],$D$4)</f>
        <v>0</v>
      </c>
      <c r="I1169" s="206">
        <f>SUMIFS(LANÇ_MOV[VALOR LÍQUIDO],LANÇ_MOV[RECEITA OU DESPESA],"Despesa",LANÇ_MOV[CONTAS],$C1169,LANÇ_MOV[PLANO DE CONTAS],REL_DRE_FINANCEIRO!$B$1164,LANÇ_MOV[ANO PAGAMENTO],$B$4,LANÇ_MOV[MÊS PAGAMENTO CORRESPONDENTE],I$6,LANÇ_MOV[EMPRESA],$C$4,LANÇ_MOV[CENTRO DE CUSTOS],$D$4)</f>
        <v>0</v>
      </c>
      <c r="J1169" s="206">
        <f>SUMIFS(LANÇ_MOV[VALOR LÍQUIDO],LANÇ_MOV[RECEITA OU DESPESA],"Despesa",LANÇ_MOV[CONTAS],$C1169,LANÇ_MOV[PLANO DE CONTAS],REL_DRE_FINANCEIRO!$B$1164,LANÇ_MOV[ANO PAGAMENTO],$B$4,LANÇ_MOV[MÊS PAGAMENTO CORRESPONDENTE],J$6,LANÇ_MOV[EMPRESA],$C$4,LANÇ_MOV[CENTRO DE CUSTOS],$D$4)</f>
        <v>0</v>
      </c>
      <c r="K1169" s="206">
        <f>SUMIFS(LANÇ_MOV[VALOR LÍQUIDO],LANÇ_MOV[RECEITA OU DESPESA],"Despesa",LANÇ_MOV[CONTAS],$C1169,LANÇ_MOV[PLANO DE CONTAS],REL_DRE_FINANCEIRO!$B$1164,LANÇ_MOV[ANO PAGAMENTO],$B$4,LANÇ_MOV[MÊS PAGAMENTO CORRESPONDENTE],K$6,LANÇ_MOV[EMPRESA],$C$4,LANÇ_MOV[CENTRO DE CUSTOS],$D$4)</f>
        <v>0</v>
      </c>
      <c r="L1169" s="206">
        <f>SUMIFS(LANÇ_MOV[VALOR LÍQUIDO],LANÇ_MOV[RECEITA OU DESPESA],"Despesa",LANÇ_MOV[CONTAS],$C1169,LANÇ_MOV[PLANO DE CONTAS],REL_DRE_FINANCEIRO!$B$1164,LANÇ_MOV[ANO PAGAMENTO],$B$4,LANÇ_MOV[MÊS PAGAMENTO CORRESPONDENTE],L$6,LANÇ_MOV[EMPRESA],$C$4,LANÇ_MOV[CENTRO DE CUSTOS],$D$4)</f>
        <v>0</v>
      </c>
      <c r="M1169" s="206">
        <f>SUMIFS(LANÇ_MOV[VALOR LÍQUIDO],LANÇ_MOV[RECEITA OU DESPESA],"Despesa",LANÇ_MOV[CONTAS],$C1169,LANÇ_MOV[PLANO DE CONTAS],REL_DRE_FINANCEIRO!$B$1164,LANÇ_MOV[ANO PAGAMENTO],$B$4,LANÇ_MOV[MÊS PAGAMENTO CORRESPONDENTE],M$6,LANÇ_MOV[EMPRESA],$C$4,LANÇ_MOV[CENTRO DE CUSTOS],$D$4)</f>
        <v>0</v>
      </c>
      <c r="N1169" s="206">
        <f>SUMIFS(LANÇ_MOV[VALOR LÍQUIDO],LANÇ_MOV[RECEITA OU DESPESA],"Despesa",LANÇ_MOV[CONTAS],$C1169,LANÇ_MOV[PLANO DE CONTAS],REL_DRE_FINANCEIRO!$B$1164,LANÇ_MOV[ANO PAGAMENTO],$B$4,LANÇ_MOV[MÊS PAGAMENTO CORRESPONDENTE],N$6,LANÇ_MOV[EMPRESA],$C$4,LANÇ_MOV[CENTRO DE CUSTOS],$D$4)</f>
        <v>0</v>
      </c>
      <c r="O1169" s="206">
        <f>SUMIFS(LANÇ_MOV[VALOR LÍQUIDO],LANÇ_MOV[RECEITA OU DESPESA],"Despesa",LANÇ_MOV[CONTAS],$C1169,LANÇ_MOV[PLANO DE CONTAS],REL_DRE_FINANCEIRO!$B$1164,LANÇ_MOV[ANO PAGAMENTO],$B$4,LANÇ_MOV[MÊS PAGAMENTO CORRESPONDENTE],O$6,LANÇ_MOV[EMPRESA],$C$4,LANÇ_MOV[CENTRO DE CUSTOS],$D$4)</f>
        <v>0</v>
      </c>
      <c r="P1169" s="207">
        <f t="shared" si="145"/>
        <v>0</v>
      </c>
      <c r="Q1169" s="329">
        <v>9.5999999999999996E-6</v>
      </c>
      <c r="R1169" s="346">
        <f t="shared" si="146"/>
        <v>9.5999999999999996E-6</v>
      </c>
      <c r="S1169" s="347" t="str">
        <f t="shared" si="147"/>
        <v>OUTROS DÉBITOS</v>
      </c>
      <c r="T1169" s="347">
        <f t="shared" si="148"/>
        <v>0</v>
      </c>
      <c r="U1169" s="347">
        <f>HLOOKUP(Apoio!$P$12,$D$1163:$P$1264,X1169,FALSE)+Q1169</f>
        <v>9.5999999999999996E-6</v>
      </c>
      <c r="V1169" s="447" t="str">
        <f t="shared" si="149"/>
        <v>OUTROS DÉBITOS</v>
      </c>
      <c r="W1169" s="448">
        <f>HLOOKUP(Apoio!$P$12,$D$1163:$P$1264,X1169,FALSE)</f>
        <v>0</v>
      </c>
      <c r="X1169" s="329">
        <v>7</v>
      </c>
      <c r="Y1169" s="329">
        <v>5</v>
      </c>
      <c r="Z1169" s="340" t="str">
        <f>VLOOKUP(LARGE($R$1163:$R$1264,Y1169),$R$1163:$S$1264,2,FALSE)</f>
        <v>OUTROS DÉBITOS</v>
      </c>
      <c r="AA1169" s="340">
        <f>VLOOKUP(Z1169,$S$1163:$T$1264,2,FALSE)</f>
        <v>0</v>
      </c>
    </row>
    <row r="1170" spans="2:27" ht="30.05" customHeight="1" x14ac:dyDescent="0.35">
      <c r="B1170" s="204" t="str">
        <f>'CAD_PL_REC-DESP'!AI10</f>
        <v>2.9.6</v>
      </c>
      <c r="C1170" s="205" t="str">
        <f>IF('CAD_PL_REC-DESP'!AJ9="","-",'CAD_PL_REC-DESP'!AJ9)</f>
        <v>RESGATE DE APLICAÇÃO</v>
      </c>
      <c r="D1170" s="206">
        <f>SUMIFS(LANÇ_MOV[VALOR LÍQUIDO],LANÇ_MOV[RECEITA OU DESPESA],"Despesa",LANÇ_MOV[CONTAS],$C1170,LANÇ_MOV[PLANO DE CONTAS],REL_DRE_FINANCEIRO!$B$1164,LANÇ_MOV[ANO PAGAMENTO],$B$4,LANÇ_MOV[MÊS PAGAMENTO CORRESPONDENTE],D$6,LANÇ_MOV[EMPRESA],$C$4,LANÇ_MOV[CENTRO DE CUSTOS],$D$4)</f>
        <v>0</v>
      </c>
      <c r="E1170" s="206">
        <f>SUMIFS(LANÇ_MOV[VALOR LÍQUIDO],LANÇ_MOV[RECEITA OU DESPESA],"Despesa",LANÇ_MOV[CONTAS],$C1170,LANÇ_MOV[PLANO DE CONTAS],REL_DRE_FINANCEIRO!$B$1164,LANÇ_MOV[ANO PAGAMENTO],$B$4,LANÇ_MOV[MÊS PAGAMENTO CORRESPONDENTE],E$6,LANÇ_MOV[EMPRESA],$C$4,LANÇ_MOV[CENTRO DE CUSTOS],$D$4)</f>
        <v>0</v>
      </c>
      <c r="F1170" s="206">
        <f>SUMIFS(LANÇ_MOV[VALOR LÍQUIDO],LANÇ_MOV[RECEITA OU DESPESA],"Despesa",LANÇ_MOV[CONTAS],$C1170,LANÇ_MOV[PLANO DE CONTAS],REL_DRE_FINANCEIRO!$B$1164,LANÇ_MOV[ANO PAGAMENTO],$B$4,LANÇ_MOV[MÊS PAGAMENTO CORRESPONDENTE],F$6,LANÇ_MOV[EMPRESA],$C$4,LANÇ_MOV[CENTRO DE CUSTOS],$D$4)</f>
        <v>0</v>
      </c>
      <c r="G1170" s="206">
        <f>SUMIFS(LANÇ_MOV[VALOR LÍQUIDO],LANÇ_MOV[RECEITA OU DESPESA],"Despesa",LANÇ_MOV[CONTAS],$C1170,LANÇ_MOV[PLANO DE CONTAS],REL_DRE_FINANCEIRO!$B$1164,LANÇ_MOV[ANO PAGAMENTO],$B$4,LANÇ_MOV[MÊS PAGAMENTO CORRESPONDENTE],G$6,LANÇ_MOV[EMPRESA],$C$4,LANÇ_MOV[CENTRO DE CUSTOS],$D$4)</f>
        <v>0</v>
      </c>
      <c r="H1170" s="206">
        <f>SUMIFS(LANÇ_MOV[VALOR LÍQUIDO],LANÇ_MOV[RECEITA OU DESPESA],"Despesa",LANÇ_MOV[CONTAS],$C1170,LANÇ_MOV[PLANO DE CONTAS],REL_DRE_FINANCEIRO!$B$1164,LANÇ_MOV[ANO PAGAMENTO],$B$4,LANÇ_MOV[MÊS PAGAMENTO CORRESPONDENTE],H$6,LANÇ_MOV[EMPRESA],$C$4,LANÇ_MOV[CENTRO DE CUSTOS],$D$4)</f>
        <v>0</v>
      </c>
      <c r="I1170" s="206">
        <f>SUMIFS(LANÇ_MOV[VALOR LÍQUIDO],LANÇ_MOV[RECEITA OU DESPESA],"Despesa",LANÇ_MOV[CONTAS],$C1170,LANÇ_MOV[PLANO DE CONTAS],REL_DRE_FINANCEIRO!$B$1164,LANÇ_MOV[ANO PAGAMENTO],$B$4,LANÇ_MOV[MÊS PAGAMENTO CORRESPONDENTE],I$6,LANÇ_MOV[EMPRESA],$C$4,LANÇ_MOV[CENTRO DE CUSTOS],$D$4)</f>
        <v>0</v>
      </c>
      <c r="J1170" s="206">
        <f>SUMIFS(LANÇ_MOV[VALOR LÍQUIDO],LANÇ_MOV[RECEITA OU DESPESA],"Despesa",LANÇ_MOV[CONTAS],$C1170,LANÇ_MOV[PLANO DE CONTAS],REL_DRE_FINANCEIRO!$B$1164,LANÇ_MOV[ANO PAGAMENTO],$B$4,LANÇ_MOV[MÊS PAGAMENTO CORRESPONDENTE],J$6,LANÇ_MOV[EMPRESA],$C$4,LANÇ_MOV[CENTRO DE CUSTOS],$D$4)</f>
        <v>0</v>
      </c>
      <c r="K1170" s="206">
        <f>SUMIFS(LANÇ_MOV[VALOR LÍQUIDO],LANÇ_MOV[RECEITA OU DESPESA],"Despesa",LANÇ_MOV[CONTAS],$C1170,LANÇ_MOV[PLANO DE CONTAS],REL_DRE_FINANCEIRO!$B$1164,LANÇ_MOV[ANO PAGAMENTO],$B$4,LANÇ_MOV[MÊS PAGAMENTO CORRESPONDENTE],K$6,LANÇ_MOV[EMPRESA],$C$4,LANÇ_MOV[CENTRO DE CUSTOS],$D$4)</f>
        <v>0</v>
      </c>
      <c r="L1170" s="206">
        <f>SUMIFS(LANÇ_MOV[VALOR LÍQUIDO],LANÇ_MOV[RECEITA OU DESPESA],"Despesa",LANÇ_MOV[CONTAS],$C1170,LANÇ_MOV[PLANO DE CONTAS],REL_DRE_FINANCEIRO!$B$1164,LANÇ_MOV[ANO PAGAMENTO],$B$4,LANÇ_MOV[MÊS PAGAMENTO CORRESPONDENTE],L$6,LANÇ_MOV[EMPRESA],$C$4,LANÇ_MOV[CENTRO DE CUSTOS],$D$4)</f>
        <v>0</v>
      </c>
      <c r="M1170" s="206">
        <f>SUMIFS(LANÇ_MOV[VALOR LÍQUIDO],LANÇ_MOV[RECEITA OU DESPESA],"Despesa",LANÇ_MOV[CONTAS],$C1170,LANÇ_MOV[PLANO DE CONTAS],REL_DRE_FINANCEIRO!$B$1164,LANÇ_MOV[ANO PAGAMENTO],$B$4,LANÇ_MOV[MÊS PAGAMENTO CORRESPONDENTE],M$6,LANÇ_MOV[EMPRESA],$C$4,LANÇ_MOV[CENTRO DE CUSTOS],$D$4)</f>
        <v>0</v>
      </c>
      <c r="N1170" s="206">
        <f>SUMIFS(LANÇ_MOV[VALOR LÍQUIDO],LANÇ_MOV[RECEITA OU DESPESA],"Despesa",LANÇ_MOV[CONTAS],$C1170,LANÇ_MOV[PLANO DE CONTAS],REL_DRE_FINANCEIRO!$B$1164,LANÇ_MOV[ANO PAGAMENTO],$B$4,LANÇ_MOV[MÊS PAGAMENTO CORRESPONDENTE],N$6,LANÇ_MOV[EMPRESA],$C$4,LANÇ_MOV[CENTRO DE CUSTOS],$D$4)</f>
        <v>0</v>
      </c>
      <c r="O1170" s="206">
        <f>SUMIFS(LANÇ_MOV[VALOR LÍQUIDO],LANÇ_MOV[RECEITA OU DESPESA],"Despesa",LANÇ_MOV[CONTAS],$C1170,LANÇ_MOV[PLANO DE CONTAS],REL_DRE_FINANCEIRO!$B$1164,LANÇ_MOV[ANO PAGAMENTO],$B$4,LANÇ_MOV[MÊS PAGAMENTO CORRESPONDENTE],O$6,LANÇ_MOV[EMPRESA],$C$4,LANÇ_MOV[CENTRO DE CUSTOS],$D$4)</f>
        <v>0</v>
      </c>
      <c r="P1170" s="207">
        <f t="shared" si="145"/>
        <v>0</v>
      </c>
      <c r="Q1170" s="329">
        <v>9.5000000000000005E-6</v>
      </c>
      <c r="R1170" s="346">
        <f t="shared" si="146"/>
        <v>9.5000000000000005E-6</v>
      </c>
      <c r="S1170" s="347" t="str">
        <f t="shared" si="147"/>
        <v>RESGATE DE APLICAÇÃO</v>
      </c>
      <c r="T1170" s="347">
        <f t="shared" si="148"/>
        <v>0</v>
      </c>
      <c r="U1170" s="347">
        <f>HLOOKUP(Apoio!$P$12,$D$1163:$P$1264,X1170,FALSE)+Q1170</f>
        <v>9.5000000000000005E-6</v>
      </c>
      <c r="V1170" s="447" t="str">
        <f t="shared" si="149"/>
        <v>RESGATE DE APLICAÇÃO</v>
      </c>
      <c r="W1170" s="448">
        <f>HLOOKUP(Apoio!$P$12,$D$1163:$P$1264,X1170,FALSE)</f>
        <v>0</v>
      </c>
      <c r="X1170" s="329">
        <v>8</v>
      </c>
      <c r="Z1170" s="340" t="s">
        <v>1121</v>
      </c>
      <c r="AA1170" s="340" t="s">
        <v>1123</v>
      </c>
    </row>
    <row r="1171" spans="2:27" ht="30.05" customHeight="1" x14ac:dyDescent="0.35">
      <c r="B1171" s="204" t="str">
        <f>'CAD_PL_REC-DESP'!AI11</f>
        <v>2.9.7</v>
      </c>
      <c r="C1171" s="205" t="str">
        <f>IF('CAD_PL_REC-DESP'!AJ10="","-",'CAD_PL_REC-DESP'!AJ10)</f>
        <v xml:space="preserve">RETIRADA SOCIOS </v>
      </c>
      <c r="D1171" s="206">
        <f>SUMIFS(LANÇ_MOV[VALOR LÍQUIDO],LANÇ_MOV[RECEITA OU DESPESA],"Despesa",LANÇ_MOV[CONTAS],$C1171,LANÇ_MOV[PLANO DE CONTAS],REL_DRE_FINANCEIRO!$B$1164,LANÇ_MOV[ANO PAGAMENTO],$B$4,LANÇ_MOV[MÊS PAGAMENTO CORRESPONDENTE],D$6,LANÇ_MOV[EMPRESA],$C$4,LANÇ_MOV[CENTRO DE CUSTOS],$D$4)</f>
        <v>0</v>
      </c>
      <c r="E1171" s="206">
        <f>SUMIFS(LANÇ_MOV[VALOR LÍQUIDO],LANÇ_MOV[RECEITA OU DESPESA],"Despesa",LANÇ_MOV[CONTAS],$C1171,LANÇ_MOV[PLANO DE CONTAS],REL_DRE_FINANCEIRO!$B$1164,LANÇ_MOV[ANO PAGAMENTO],$B$4,LANÇ_MOV[MÊS PAGAMENTO CORRESPONDENTE],E$6,LANÇ_MOV[EMPRESA],$C$4,LANÇ_MOV[CENTRO DE CUSTOS],$D$4)</f>
        <v>0</v>
      </c>
      <c r="F1171" s="206">
        <f>SUMIFS(LANÇ_MOV[VALOR LÍQUIDO],LANÇ_MOV[RECEITA OU DESPESA],"Despesa",LANÇ_MOV[CONTAS],$C1171,LANÇ_MOV[PLANO DE CONTAS],REL_DRE_FINANCEIRO!$B$1164,LANÇ_MOV[ANO PAGAMENTO],$B$4,LANÇ_MOV[MÊS PAGAMENTO CORRESPONDENTE],F$6,LANÇ_MOV[EMPRESA],$C$4,LANÇ_MOV[CENTRO DE CUSTOS],$D$4)</f>
        <v>0</v>
      </c>
      <c r="G1171" s="206">
        <f>SUMIFS(LANÇ_MOV[VALOR LÍQUIDO],LANÇ_MOV[RECEITA OU DESPESA],"Despesa",LANÇ_MOV[CONTAS],$C1171,LANÇ_MOV[PLANO DE CONTAS],REL_DRE_FINANCEIRO!$B$1164,LANÇ_MOV[ANO PAGAMENTO],$B$4,LANÇ_MOV[MÊS PAGAMENTO CORRESPONDENTE],G$6,LANÇ_MOV[EMPRESA],$C$4,LANÇ_MOV[CENTRO DE CUSTOS],$D$4)</f>
        <v>0</v>
      </c>
      <c r="H1171" s="206">
        <f>SUMIFS(LANÇ_MOV[VALOR LÍQUIDO],LANÇ_MOV[RECEITA OU DESPESA],"Despesa",LANÇ_MOV[CONTAS],$C1171,LANÇ_MOV[PLANO DE CONTAS],REL_DRE_FINANCEIRO!$B$1164,LANÇ_MOV[ANO PAGAMENTO],$B$4,LANÇ_MOV[MÊS PAGAMENTO CORRESPONDENTE],H$6,LANÇ_MOV[EMPRESA],$C$4,LANÇ_MOV[CENTRO DE CUSTOS],$D$4)</f>
        <v>0</v>
      </c>
      <c r="I1171" s="206">
        <f>SUMIFS(LANÇ_MOV[VALOR LÍQUIDO],LANÇ_MOV[RECEITA OU DESPESA],"Despesa",LANÇ_MOV[CONTAS],$C1171,LANÇ_MOV[PLANO DE CONTAS],REL_DRE_FINANCEIRO!$B$1164,LANÇ_MOV[ANO PAGAMENTO],$B$4,LANÇ_MOV[MÊS PAGAMENTO CORRESPONDENTE],I$6,LANÇ_MOV[EMPRESA],$C$4,LANÇ_MOV[CENTRO DE CUSTOS],$D$4)</f>
        <v>0</v>
      </c>
      <c r="J1171" s="206">
        <f>SUMIFS(LANÇ_MOV[VALOR LÍQUIDO],LANÇ_MOV[RECEITA OU DESPESA],"Despesa",LANÇ_MOV[CONTAS],$C1171,LANÇ_MOV[PLANO DE CONTAS],REL_DRE_FINANCEIRO!$B$1164,LANÇ_MOV[ANO PAGAMENTO],$B$4,LANÇ_MOV[MÊS PAGAMENTO CORRESPONDENTE],J$6,LANÇ_MOV[EMPRESA],$C$4,LANÇ_MOV[CENTRO DE CUSTOS],$D$4)</f>
        <v>0</v>
      </c>
      <c r="K1171" s="206">
        <f>SUMIFS(LANÇ_MOV[VALOR LÍQUIDO],LANÇ_MOV[RECEITA OU DESPESA],"Despesa",LANÇ_MOV[CONTAS],$C1171,LANÇ_MOV[PLANO DE CONTAS],REL_DRE_FINANCEIRO!$B$1164,LANÇ_MOV[ANO PAGAMENTO],$B$4,LANÇ_MOV[MÊS PAGAMENTO CORRESPONDENTE],K$6,LANÇ_MOV[EMPRESA],$C$4,LANÇ_MOV[CENTRO DE CUSTOS],$D$4)</f>
        <v>0</v>
      </c>
      <c r="L1171" s="206">
        <f>SUMIFS(LANÇ_MOV[VALOR LÍQUIDO],LANÇ_MOV[RECEITA OU DESPESA],"Despesa",LANÇ_MOV[CONTAS],$C1171,LANÇ_MOV[PLANO DE CONTAS],REL_DRE_FINANCEIRO!$B$1164,LANÇ_MOV[ANO PAGAMENTO],$B$4,LANÇ_MOV[MÊS PAGAMENTO CORRESPONDENTE],L$6,LANÇ_MOV[EMPRESA],$C$4,LANÇ_MOV[CENTRO DE CUSTOS],$D$4)</f>
        <v>0</v>
      </c>
      <c r="M1171" s="206">
        <f>SUMIFS(LANÇ_MOV[VALOR LÍQUIDO],LANÇ_MOV[RECEITA OU DESPESA],"Despesa",LANÇ_MOV[CONTAS],$C1171,LANÇ_MOV[PLANO DE CONTAS],REL_DRE_FINANCEIRO!$B$1164,LANÇ_MOV[ANO PAGAMENTO],$B$4,LANÇ_MOV[MÊS PAGAMENTO CORRESPONDENTE],M$6,LANÇ_MOV[EMPRESA],$C$4,LANÇ_MOV[CENTRO DE CUSTOS],$D$4)</f>
        <v>0</v>
      </c>
      <c r="N1171" s="206">
        <f>SUMIFS(LANÇ_MOV[VALOR LÍQUIDO],LANÇ_MOV[RECEITA OU DESPESA],"Despesa",LANÇ_MOV[CONTAS],$C1171,LANÇ_MOV[PLANO DE CONTAS],REL_DRE_FINANCEIRO!$B$1164,LANÇ_MOV[ANO PAGAMENTO],$B$4,LANÇ_MOV[MÊS PAGAMENTO CORRESPONDENTE],N$6,LANÇ_MOV[EMPRESA],$C$4,LANÇ_MOV[CENTRO DE CUSTOS],$D$4)</f>
        <v>0</v>
      </c>
      <c r="O1171" s="206">
        <f>SUMIFS(LANÇ_MOV[VALOR LÍQUIDO],LANÇ_MOV[RECEITA OU DESPESA],"Despesa",LANÇ_MOV[CONTAS],$C1171,LANÇ_MOV[PLANO DE CONTAS],REL_DRE_FINANCEIRO!$B$1164,LANÇ_MOV[ANO PAGAMENTO],$B$4,LANÇ_MOV[MÊS PAGAMENTO CORRESPONDENTE],O$6,LANÇ_MOV[EMPRESA],$C$4,LANÇ_MOV[CENTRO DE CUSTOS],$D$4)</f>
        <v>0</v>
      </c>
      <c r="P1171" s="207">
        <f t="shared" si="145"/>
        <v>0</v>
      </c>
      <c r="Q1171" s="329">
        <v>9.3999999999999998E-6</v>
      </c>
      <c r="R1171" s="346">
        <f t="shared" si="146"/>
        <v>9.3999999999999998E-6</v>
      </c>
      <c r="S1171" s="347" t="str">
        <f t="shared" si="147"/>
        <v xml:space="preserve">RETIRADA SOCIOS </v>
      </c>
      <c r="T1171" s="347">
        <f t="shared" si="148"/>
        <v>0</v>
      </c>
      <c r="U1171" s="347">
        <f>HLOOKUP(Apoio!$P$12,$D$1163:$P$1264,X1171,FALSE)+Q1171</f>
        <v>9.3999999999999998E-6</v>
      </c>
      <c r="V1171" s="447" t="str">
        <f t="shared" si="149"/>
        <v xml:space="preserve">RETIRADA SOCIOS </v>
      </c>
      <c r="W1171" s="448">
        <f>HLOOKUP(Apoio!$P$12,$D$1163:$P$1264,X1171,FALSE)</f>
        <v>0</v>
      </c>
      <c r="X1171" s="329">
        <v>9</v>
      </c>
      <c r="Y1171" s="329">
        <v>1</v>
      </c>
      <c r="Z1171" s="340" t="str">
        <f>VLOOKUP(LARGE($R$1163:$R$1264,Y1171),$R$1163:$S$1264,2,FALSE)</f>
        <v>APLICAÇÃO</v>
      </c>
      <c r="AA1171" s="340">
        <f>VLOOKUP(Z1171,$V$1163:$W$1264,2,FALSE)</f>
        <v>0</v>
      </c>
    </row>
    <row r="1172" spans="2:27" ht="30.05" customHeight="1" x14ac:dyDescent="0.35">
      <c r="B1172" s="204" t="str">
        <f>'CAD_PL_REC-DESP'!AI12</f>
        <v>2.9.8</v>
      </c>
      <c r="C1172" s="205" t="str">
        <f>IF('CAD_PL_REC-DESP'!AJ11="","-",'CAD_PL_REC-DESP'!AJ11)</f>
        <v>SAQUE</v>
      </c>
      <c r="D1172" s="206">
        <f>SUMIFS(LANÇ_MOV[VALOR LÍQUIDO],LANÇ_MOV[RECEITA OU DESPESA],"Despesa",LANÇ_MOV[CONTAS],$C1172,LANÇ_MOV[PLANO DE CONTAS],REL_DRE_FINANCEIRO!$B$1164,LANÇ_MOV[ANO PAGAMENTO],$B$4,LANÇ_MOV[MÊS PAGAMENTO CORRESPONDENTE],D$6,LANÇ_MOV[EMPRESA],$C$4,LANÇ_MOV[CENTRO DE CUSTOS],$D$4)</f>
        <v>0</v>
      </c>
      <c r="E1172" s="206">
        <f>SUMIFS(LANÇ_MOV[VALOR LÍQUIDO],LANÇ_MOV[RECEITA OU DESPESA],"Despesa",LANÇ_MOV[CONTAS],$C1172,LANÇ_MOV[PLANO DE CONTAS],REL_DRE_FINANCEIRO!$B$1164,LANÇ_MOV[ANO PAGAMENTO],$B$4,LANÇ_MOV[MÊS PAGAMENTO CORRESPONDENTE],E$6,LANÇ_MOV[EMPRESA],$C$4,LANÇ_MOV[CENTRO DE CUSTOS],$D$4)</f>
        <v>0</v>
      </c>
      <c r="F1172" s="206">
        <f>SUMIFS(LANÇ_MOV[VALOR LÍQUIDO],LANÇ_MOV[RECEITA OU DESPESA],"Despesa",LANÇ_MOV[CONTAS],$C1172,LANÇ_MOV[PLANO DE CONTAS],REL_DRE_FINANCEIRO!$B$1164,LANÇ_MOV[ANO PAGAMENTO],$B$4,LANÇ_MOV[MÊS PAGAMENTO CORRESPONDENTE],F$6,LANÇ_MOV[EMPRESA],$C$4,LANÇ_MOV[CENTRO DE CUSTOS],$D$4)</f>
        <v>0</v>
      </c>
      <c r="G1172" s="206">
        <f>SUMIFS(LANÇ_MOV[VALOR LÍQUIDO],LANÇ_MOV[RECEITA OU DESPESA],"Despesa",LANÇ_MOV[CONTAS],$C1172,LANÇ_MOV[PLANO DE CONTAS],REL_DRE_FINANCEIRO!$B$1164,LANÇ_MOV[ANO PAGAMENTO],$B$4,LANÇ_MOV[MÊS PAGAMENTO CORRESPONDENTE],G$6,LANÇ_MOV[EMPRESA],$C$4,LANÇ_MOV[CENTRO DE CUSTOS],$D$4)</f>
        <v>0</v>
      </c>
      <c r="H1172" s="206">
        <f>SUMIFS(LANÇ_MOV[VALOR LÍQUIDO],LANÇ_MOV[RECEITA OU DESPESA],"Despesa",LANÇ_MOV[CONTAS],$C1172,LANÇ_MOV[PLANO DE CONTAS],REL_DRE_FINANCEIRO!$B$1164,LANÇ_MOV[ANO PAGAMENTO],$B$4,LANÇ_MOV[MÊS PAGAMENTO CORRESPONDENTE],H$6,LANÇ_MOV[EMPRESA],$C$4,LANÇ_MOV[CENTRO DE CUSTOS],$D$4)</f>
        <v>0</v>
      </c>
      <c r="I1172" s="206">
        <f>SUMIFS(LANÇ_MOV[VALOR LÍQUIDO],LANÇ_MOV[RECEITA OU DESPESA],"Despesa",LANÇ_MOV[CONTAS],$C1172,LANÇ_MOV[PLANO DE CONTAS],REL_DRE_FINANCEIRO!$B$1164,LANÇ_MOV[ANO PAGAMENTO],$B$4,LANÇ_MOV[MÊS PAGAMENTO CORRESPONDENTE],I$6,LANÇ_MOV[EMPRESA],$C$4,LANÇ_MOV[CENTRO DE CUSTOS],$D$4)</f>
        <v>0</v>
      </c>
      <c r="J1172" s="206">
        <f>SUMIFS(LANÇ_MOV[VALOR LÍQUIDO],LANÇ_MOV[RECEITA OU DESPESA],"Despesa",LANÇ_MOV[CONTAS],$C1172,LANÇ_MOV[PLANO DE CONTAS],REL_DRE_FINANCEIRO!$B$1164,LANÇ_MOV[ANO PAGAMENTO],$B$4,LANÇ_MOV[MÊS PAGAMENTO CORRESPONDENTE],J$6,LANÇ_MOV[EMPRESA],$C$4,LANÇ_MOV[CENTRO DE CUSTOS],$D$4)</f>
        <v>0</v>
      </c>
      <c r="K1172" s="206">
        <f>SUMIFS(LANÇ_MOV[VALOR LÍQUIDO],LANÇ_MOV[RECEITA OU DESPESA],"Despesa",LANÇ_MOV[CONTAS],$C1172,LANÇ_MOV[PLANO DE CONTAS],REL_DRE_FINANCEIRO!$B$1164,LANÇ_MOV[ANO PAGAMENTO],$B$4,LANÇ_MOV[MÊS PAGAMENTO CORRESPONDENTE],K$6,LANÇ_MOV[EMPRESA],$C$4,LANÇ_MOV[CENTRO DE CUSTOS],$D$4)</f>
        <v>0</v>
      </c>
      <c r="L1172" s="206">
        <f>SUMIFS(LANÇ_MOV[VALOR LÍQUIDO],LANÇ_MOV[RECEITA OU DESPESA],"Despesa",LANÇ_MOV[CONTAS],$C1172,LANÇ_MOV[PLANO DE CONTAS],REL_DRE_FINANCEIRO!$B$1164,LANÇ_MOV[ANO PAGAMENTO],$B$4,LANÇ_MOV[MÊS PAGAMENTO CORRESPONDENTE],L$6,LANÇ_MOV[EMPRESA],$C$4,LANÇ_MOV[CENTRO DE CUSTOS],$D$4)</f>
        <v>0</v>
      </c>
      <c r="M1172" s="206">
        <f>SUMIFS(LANÇ_MOV[VALOR LÍQUIDO],LANÇ_MOV[RECEITA OU DESPESA],"Despesa",LANÇ_MOV[CONTAS],$C1172,LANÇ_MOV[PLANO DE CONTAS],REL_DRE_FINANCEIRO!$B$1164,LANÇ_MOV[ANO PAGAMENTO],$B$4,LANÇ_MOV[MÊS PAGAMENTO CORRESPONDENTE],M$6,LANÇ_MOV[EMPRESA],$C$4,LANÇ_MOV[CENTRO DE CUSTOS],$D$4)</f>
        <v>0</v>
      </c>
      <c r="N1172" s="206">
        <f>SUMIFS(LANÇ_MOV[VALOR LÍQUIDO],LANÇ_MOV[RECEITA OU DESPESA],"Despesa",LANÇ_MOV[CONTAS],$C1172,LANÇ_MOV[PLANO DE CONTAS],REL_DRE_FINANCEIRO!$B$1164,LANÇ_MOV[ANO PAGAMENTO],$B$4,LANÇ_MOV[MÊS PAGAMENTO CORRESPONDENTE],N$6,LANÇ_MOV[EMPRESA],$C$4,LANÇ_MOV[CENTRO DE CUSTOS],$D$4)</f>
        <v>0</v>
      </c>
      <c r="O1172" s="206">
        <f>SUMIFS(LANÇ_MOV[VALOR LÍQUIDO],LANÇ_MOV[RECEITA OU DESPESA],"Despesa",LANÇ_MOV[CONTAS],$C1172,LANÇ_MOV[PLANO DE CONTAS],REL_DRE_FINANCEIRO!$B$1164,LANÇ_MOV[ANO PAGAMENTO],$B$4,LANÇ_MOV[MÊS PAGAMENTO CORRESPONDENTE],O$6,LANÇ_MOV[EMPRESA],$C$4,LANÇ_MOV[CENTRO DE CUSTOS],$D$4)</f>
        <v>0</v>
      </c>
      <c r="P1172" s="207">
        <f t="shared" si="145"/>
        <v>0</v>
      </c>
      <c r="Q1172" s="329">
        <v>9.3000000000000007E-6</v>
      </c>
      <c r="R1172" s="346">
        <f t="shared" si="146"/>
        <v>9.3000000000000007E-6</v>
      </c>
      <c r="S1172" s="347" t="str">
        <f t="shared" si="147"/>
        <v>SAQUE</v>
      </c>
      <c r="T1172" s="347">
        <f t="shared" si="148"/>
        <v>0</v>
      </c>
      <c r="U1172" s="347">
        <f>HLOOKUP(Apoio!$P$12,$D$1163:$P$1264,X1172,FALSE)+Q1172</f>
        <v>9.3000000000000007E-6</v>
      </c>
      <c r="V1172" s="447" t="str">
        <f t="shared" si="149"/>
        <v>SAQUE</v>
      </c>
      <c r="W1172" s="448">
        <f>HLOOKUP(Apoio!$P$12,$D$1163:$P$1264,X1172,FALSE)</f>
        <v>0</v>
      </c>
      <c r="X1172" s="329">
        <v>10</v>
      </c>
      <c r="Y1172" s="329">
        <v>2</v>
      </c>
      <c r="Z1172" s="340" t="str">
        <f>VLOOKUP(LARGE($R$1163:$R$1264,Y1172),$R$1163:$S$1264,2,FALSE)</f>
        <v>CAPITAL DE GIRO</v>
      </c>
      <c r="AA1172" s="340">
        <f>VLOOKUP(Z1172,$V$1163:$W$1264,2,FALSE)</f>
        <v>0</v>
      </c>
    </row>
    <row r="1173" spans="2:27" ht="30.05" customHeight="1" x14ac:dyDescent="0.35">
      <c r="B1173" s="204" t="str">
        <f>'CAD_PL_REC-DESP'!AI13</f>
        <v>2.9.9</v>
      </c>
      <c r="C1173" s="205" t="str">
        <f>IF('CAD_PL_REC-DESP'!AJ13="","-",'CAD_PL_REC-DESP'!AJ13)</f>
        <v>-</v>
      </c>
      <c r="D1173" s="206">
        <f>SUMIFS(LANÇ_MOV[VALOR LÍQUIDO],LANÇ_MOV[RECEITA OU DESPESA],"Despesa",LANÇ_MOV[CONTAS],$C1173,LANÇ_MOV[PLANO DE CONTAS],REL_DRE_FINANCEIRO!$B$1164,LANÇ_MOV[ANO PAGAMENTO],$B$4,LANÇ_MOV[MÊS PAGAMENTO CORRESPONDENTE],D$6,LANÇ_MOV[EMPRESA],$C$4,LANÇ_MOV[CENTRO DE CUSTOS],$D$4)</f>
        <v>0</v>
      </c>
      <c r="E1173" s="206">
        <f>SUMIFS(LANÇ_MOV[VALOR LÍQUIDO],LANÇ_MOV[RECEITA OU DESPESA],"Despesa",LANÇ_MOV[CONTAS],$C1173,LANÇ_MOV[PLANO DE CONTAS],REL_DRE_FINANCEIRO!$B$1164,LANÇ_MOV[ANO PAGAMENTO],$B$4,LANÇ_MOV[MÊS PAGAMENTO CORRESPONDENTE],E$6,LANÇ_MOV[EMPRESA],$C$4,LANÇ_MOV[CENTRO DE CUSTOS],$D$4)</f>
        <v>0</v>
      </c>
      <c r="F1173" s="206">
        <f>SUMIFS(LANÇ_MOV[VALOR LÍQUIDO],LANÇ_MOV[RECEITA OU DESPESA],"Despesa",LANÇ_MOV[CONTAS],$C1173,LANÇ_MOV[PLANO DE CONTAS],REL_DRE_FINANCEIRO!$B$1164,LANÇ_MOV[ANO PAGAMENTO],$B$4,LANÇ_MOV[MÊS PAGAMENTO CORRESPONDENTE],F$6,LANÇ_MOV[EMPRESA],$C$4,LANÇ_MOV[CENTRO DE CUSTOS],$D$4)</f>
        <v>0</v>
      </c>
      <c r="G1173" s="206">
        <f>SUMIFS(LANÇ_MOV[VALOR LÍQUIDO],LANÇ_MOV[RECEITA OU DESPESA],"Despesa",LANÇ_MOV[CONTAS],$C1173,LANÇ_MOV[PLANO DE CONTAS],REL_DRE_FINANCEIRO!$B$1164,LANÇ_MOV[ANO PAGAMENTO],$B$4,LANÇ_MOV[MÊS PAGAMENTO CORRESPONDENTE],G$6,LANÇ_MOV[EMPRESA],$C$4,LANÇ_MOV[CENTRO DE CUSTOS],$D$4)</f>
        <v>0</v>
      </c>
      <c r="H1173" s="206">
        <f>SUMIFS(LANÇ_MOV[VALOR LÍQUIDO],LANÇ_MOV[RECEITA OU DESPESA],"Despesa",LANÇ_MOV[CONTAS],$C1173,LANÇ_MOV[PLANO DE CONTAS],REL_DRE_FINANCEIRO!$B$1164,LANÇ_MOV[ANO PAGAMENTO],$B$4,LANÇ_MOV[MÊS PAGAMENTO CORRESPONDENTE],H$6,LANÇ_MOV[EMPRESA],$C$4,LANÇ_MOV[CENTRO DE CUSTOS],$D$4)</f>
        <v>0</v>
      </c>
      <c r="I1173" s="206">
        <f>SUMIFS(LANÇ_MOV[VALOR LÍQUIDO],LANÇ_MOV[RECEITA OU DESPESA],"Despesa",LANÇ_MOV[CONTAS],$C1173,LANÇ_MOV[PLANO DE CONTAS],REL_DRE_FINANCEIRO!$B$1164,LANÇ_MOV[ANO PAGAMENTO],$B$4,LANÇ_MOV[MÊS PAGAMENTO CORRESPONDENTE],I$6,LANÇ_MOV[EMPRESA],$C$4,LANÇ_MOV[CENTRO DE CUSTOS],$D$4)</f>
        <v>0</v>
      </c>
      <c r="J1173" s="206">
        <f>SUMIFS(LANÇ_MOV[VALOR LÍQUIDO],LANÇ_MOV[RECEITA OU DESPESA],"Despesa",LANÇ_MOV[CONTAS],$C1173,LANÇ_MOV[PLANO DE CONTAS],REL_DRE_FINANCEIRO!$B$1164,LANÇ_MOV[ANO PAGAMENTO],$B$4,LANÇ_MOV[MÊS PAGAMENTO CORRESPONDENTE],J$6,LANÇ_MOV[EMPRESA],$C$4,LANÇ_MOV[CENTRO DE CUSTOS],$D$4)</f>
        <v>0</v>
      </c>
      <c r="K1173" s="206">
        <f>SUMIFS(LANÇ_MOV[VALOR LÍQUIDO],LANÇ_MOV[RECEITA OU DESPESA],"Despesa",LANÇ_MOV[CONTAS],$C1173,LANÇ_MOV[PLANO DE CONTAS],REL_DRE_FINANCEIRO!$B$1164,LANÇ_MOV[ANO PAGAMENTO],$B$4,LANÇ_MOV[MÊS PAGAMENTO CORRESPONDENTE],K$6,LANÇ_MOV[EMPRESA],$C$4,LANÇ_MOV[CENTRO DE CUSTOS],$D$4)</f>
        <v>0</v>
      </c>
      <c r="L1173" s="206">
        <f>SUMIFS(LANÇ_MOV[VALOR LÍQUIDO],LANÇ_MOV[RECEITA OU DESPESA],"Despesa",LANÇ_MOV[CONTAS],$C1173,LANÇ_MOV[PLANO DE CONTAS],REL_DRE_FINANCEIRO!$B$1164,LANÇ_MOV[ANO PAGAMENTO],$B$4,LANÇ_MOV[MÊS PAGAMENTO CORRESPONDENTE],L$6,LANÇ_MOV[EMPRESA],$C$4,LANÇ_MOV[CENTRO DE CUSTOS],$D$4)</f>
        <v>0</v>
      </c>
      <c r="M1173" s="206">
        <f>SUMIFS(LANÇ_MOV[VALOR LÍQUIDO],LANÇ_MOV[RECEITA OU DESPESA],"Despesa",LANÇ_MOV[CONTAS],$C1173,LANÇ_MOV[PLANO DE CONTAS],REL_DRE_FINANCEIRO!$B$1164,LANÇ_MOV[ANO PAGAMENTO],$B$4,LANÇ_MOV[MÊS PAGAMENTO CORRESPONDENTE],M$6,LANÇ_MOV[EMPRESA],$C$4,LANÇ_MOV[CENTRO DE CUSTOS],$D$4)</f>
        <v>0</v>
      </c>
      <c r="N1173" s="206">
        <f>SUMIFS(LANÇ_MOV[VALOR LÍQUIDO],LANÇ_MOV[RECEITA OU DESPESA],"Despesa",LANÇ_MOV[CONTAS],$C1173,LANÇ_MOV[PLANO DE CONTAS],REL_DRE_FINANCEIRO!$B$1164,LANÇ_MOV[ANO PAGAMENTO],$B$4,LANÇ_MOV[MÊS PAGAMENTO CORRESPONDENTE],N$6,LANÇ_MOV[EMPRESA],$C$4,LANÇ_MOV[CENTRO DE CUSTOS],$D$4)</f>
        <v>0</v>
      </c>
      <c r="O1173" s="206">
        <f>SUMIFS(LANÇ_MOV[VALOR LÍQUIDO],LANÇ_MOV[RECEITA OU DESPESA],"Despesa",LANÇ_MOV[CONTAS],$C1173,LANÇ_MOV[PLANO DE CONTAS],REL_DRE_FINANCEIRO!$B$1164,LANÇ_MOV[ANO PAGAMENTO],$B$4,LANÇ_MOV[MÊS PAGAMENTO CORRESPONDENTE],O$6,LANÇ_MOV[EMPRESA],$C$4,LANÇ_MOV[CENTRO DE CUSTOS],$D$4)</f>
        <v>0</v>
      </c>
      <c r="P1173" s="207">
        <f t="shared" si="145"/>
        <v>0</v>
      </c>
      <c r="Q1173" s="329">
        <v>9.2E-6</v>
      </c>
      <c r="R1173" s="346">
        <f t="shared" si="146"/>
        <v>9.2E-6</v>
      </c>
      <c r="S1173" s="347" t="str">
        <f t="shared" si="147"/>
        <v>-</v>
      </c>
      <c r="T1173" s="347">
        <f t="shared" si="148"/>
        <v>0</v>
      </c>
      <c r="U1173" s="347">
        <f>HLOOKUP(Apoio!$P$12,$D$1163:$P$1264,X1173,FALSE)+Q1173</f>
        <v>9.2E-6</v>
      </c>
      <c r="V1173" s="447" t="str">
        <f t="shared" si="149"/>
        <v>-</v>
      </c>
      <c r="W1173" s="448">
        <f>HLOOKUP(Apoio!$P$12,$D$1163:$P$1264,X1173,FALSE)</f>
        <v>0</v>
      </c>
      <c r="X1173" s="329">
        <v>11</v>
      </c>
      <c r="Y1173" s="329">
        <v>3</v>
      </c>
      <c r="Z1173" s="340" t="e">
        <f>VLOOKUP(LARGE($R$1163:$R$1264,Y1173),$R$1163:$S$1264,2,FALSE)</f>
        <v>#REF!</v>
      </c>
      <c r="AA1173" s="340" t="e">
        <f>VLOOKUP(Z1173,$V$1163:$W$1264,2,FALSE)</f>
        <v>#REF!</v>
      </c>
    </row>
    <row r="1174" spans="2:27" ht="30.05" customHeight="1" x14ac:dyDescent="0.35">
      <c r="B1174" s="204" t="str">
        <f>'CAD_PL_REC-DESP'!AI14</f>
        <v>2.9.10</v>
      </c>
      <c r="C1174" s="205" t="str">
        <f>IF('CAD_PL_REC-DESP'!AJ14="","-",'CAD_PL_REC-DESP'!AJ14)</f>
        <v>-</v>
      </c>
      <c r="D1174" s="206">
        <f>SUMIFS(LANÇ_MOV[VALOR LÍQUIDO],LANÇ_MOV[RECEITA OU DESPESA],"Despesa",LANÇ_MOV[CONTAS],$C1174,LANÇ_MOV[PLANO DE CONTAS],REL_DRE_FINANCEIRO!$B$1164,LANÇ_MOV[ANO PAGAMENTO],$B$4,LANÇ_MOV[MÊS PAGAMENTO CORRESPONDENTE],D$6,LANÇ_MOV[EMPRESA],$C$4,LANÇ_MOV[CENTRO DE CUSTOS],$D$4)</f>
        <v>0</v>
      </c>
      <c r="E1174" s="206">
        <f>SUMIFS(LANÇ_MOV[VALOR LÍQUIDO],LANÇ_MOV[RECEITA OU DESPESA],"Despesa",LANÇ_MOV[CONTAS],$C1174,LANÇ_MOV[PLANO DE CONTAS],REL_DRE_FINANCEIRO!$B$1164,LANÇ_MOV[ANO PAGAMENTO],$B$4,LANÇ_MOV[MÊS PAGAMENTO CORRESPONDENTE],E$6,LANÇ_MOV[EMPRESA],$C$4,LANÇ_MOV[CENTRO DE CUSTOS],$D$4)</f>
        <v>0</v>
      </c>
      <c r="F1174" s="206">
        <f>SUMIFS(LANÇ_MOV[VALOR LÍQUIDO],LANÇ_MOV[RECEITA OU DESPESA],"Despesa",LANÇ_MOV[CONTAS],$C1174,LANÇ_MOV[PLANO DE CONTAS],REL_DRE_FINANCEIRO!$B$1164,LANÇ_MOV[ANO PAGAMENTO],$B$4,LANÇ_MOV[MÊS PAGAMENTO CORRESPONDENTE],F$6,LANÇ_MOV[EMPRESA],$C$4,LANÇ_MOV[CENTRO DE CUSTOS],$D$4)</f>
        <v>0</v>
      </c>
      <c r="G1174" s="206">
        <f>SUMIFS(LANÇ_MOV[VALOR LÍQUIDO],LANÇ_MOV[RECEITA OU DESPESA],"Despesa",LANÇ_MOV[CONTAS],$C1174,LANÇ_MOV[PLANO DE CONTAS],REL_DRE_FINANCEIRO!$B$1164,LANÇ_MOV[ANO PAGAMENTO],$B$4,LANÇ_MOV[MÊS PAGAMENTO CORRESPONDENTE],G$6,LANÇ_MOV[EMPRESA],$C$4,LANÇ_MOV[CENTRO DE CUSTOS],$D$4)</f>
        <v>0</v>
      </c>
      <c r="H1174" s="206">
        <f>SUMIFS(LANÇ_MOV[VALOR LÍQUIDO],LANÇ_MOV[RECEITA OU DESPESA],"Despesa",LANÇ_MOV[CONTAS],$C1174,LANÇ_MOV[PLANO DE CONTAS],REL_DRE_FINANCEIRO!$B$1164,LANÇ_MOV[ANO PAGAMENTO],$B$4,LANÇ_MOV[MÊS PAGAMENTO CORRESPONDENTE],H$6,LANÇ_MOV[EMPRESA],$C$4,LANÇ_MOV[CENTRO DE CUSTOS],$D$4)</f>
        <v>0</v>
      </c>
      <c r="I1174" s="206">
        <f>SUMIFS(LANÇ_MOV[VALOR LÍQUIDO],LANÇ_MOV[RECEITA OU DESPESA],"Despesa",LANÇ_MOV[CONTAS],$C1174,LANÇ_MOV[PLANO DE CONTAS],REL_DRE_FINANCEIRO!$B$1164,LANÇ_MOV[ANO PAGAMENTO],$B$4,LANÇ_MOV[MÊS PAGAMENTO CORRESPONDENTE],I$6,LANÇ_MOV[EMPRESA],$C$4,LANÇ_MOV[CENTRO DE CUSTOS],$D$4)</f>
        <v>0</v>
      </c>
      <c r="J1174" s="206">
        <f>SUMIFS(LANÇ_MOV[VALOR LÍQUIDO],LANÇ_MOV[RECEITA OU DESPESA],"Despesa",LANÇ_MOV[CONTAS],$C1174,LANÇ_MOV[PLANO DE CONTAS],REL_DRE_FINANCEIRO!$B$1164,LANÇ_MOV[ANO PAGAMENTO],$B$4,LANÇ_MOV[MÊS PAGAMENTO CORRESPONDENTE],J$6,LANÇ_MOV[EMPRESA],$C$4,LANÇ_MOV[CENTRO DE CUSTOS],$D$4)</f>
        <v>0</v>
      </c>
      <c r="K1174" s="206">
        <f>SUMIFS(LANÇ_MOV[VALOR LÍQUIDO],LANÇ_MOV[RECEITA OU DESPESA],"Despesa",LANÇ_MOV[CONTAS],$C1174,LANÇ_MOV[PLANO DE CONTAS],REL_DRE_FINANCEIRO!$B$1164,LANÇ_MOV[ANO PAGAMENTO],$B$4,LANÇ_MOV[MÊS PAGAMENTO CORRESPONDENTE],K$6,LANÇ_MOV[EMPRESA],$C$4,LANÇ_MOV[CENTRO DE CUSTOS],$D$4)</f>
        <v>0</v>
      </c>
      <c r="L1174" s="206">
        <f>SUMIFS(LANÇ_MOV[VALOR LÍQUIDO],LANÇ_MOV[RECEITA OU DESPESA],"Despesa",LANÇ_MOV[CONTAS],$C1174,LANÇ_MOV[PLANO DE CONTAS],REL_DRE_FINANCEIRO!$B$1164,LANÇ_MOV[ANO PAGAMENTO],$B$4,LANÇ_MOV[MÊS PAGAMENTO CORRESPONDENTE],L$6,LANÇ_MOV[EMPRESA],$C$4,LANÇ_MOV[CENTRO DE CUSTOS],$D$4)</f>
        <v>0</v>
      </c>
      <c r="M1174" s="206">
        <f>SUMIFS(LANÇ_MOV[VALOR LÍQUIDO],LANÇ_MOV[RECEITA OU DESPESA],"Despesa",LANÇ_MOV[CONTAS],$C1174,LANÇ_MOV[PLANO DE CONTAS],REL_DRE_FINANCEIRO!$B$1164,LANÇ_MOV[ANO PAGAMENTO],$B$4,LANÇ_MOV[MÊS PAGAMENTO CORRESPONDENTE],M$6,LANÇ_MOV[EMPRESA],$C$4,LANÇ_MOV[CENTRO DE CUSTOS],$D$4)</f>
        <v>0</v>
      </c>
      <c r="N1174" s="206">
        <f>SUMIFS(LANÇ_MOV[VALOR LÍQUIDO],LANÇ_MOV[RECEITA OU DESPESA],"Despesa",LANÇ_MOV[CONTAS],$C1174,LANÇ_MOV[PLANO DE CONTAS],REL_DRE_FINANCEIRO!$B$1164,LANÇ_MOV[ANO PAGAMENTO],$B$4,LANÇ_MOV[MÊS PAGAMENTO CORRESPONDENTE],N$6,LANÇ_MOV[EMPRESA],$C$4,LANÇ_MOV[CENTRO DE CUSTOS],$D$4)</f>
        <v>0</v>
      </c>
      <c r="O1174" s="206">
        <f>SUMIFS(LANÇ_MOV[VALOR LÍQUIDO],LANÇ_MOV[RECEITA OU DESPESA],"Despesa",LANÇ_MOV[CONTAS],$C1174,LANÇ_MOV[PLANO DE CONTAS],REL_DRE_FINANCEIRO!$B$1164,LANÇ_MOV[ANO PAGAMENTO],$B$4,LANÇ_MOV[MÊS PAGAMENTO CORRESPONDENTE],O$6,LANÇ_MOV[EMPRESA],$C$4,LANÇ_MOV[CENTRO DE CUSTOS],$D$4)</f>
        <v>0</v>
      </c>
      <c r="P1174" s="207">
        <f t="shared" si="145"/>
        <v>0</v>
      </c>
      <c r="Q1174" s="329">
        <v>9.0999999999999993E-6</v>
      </c>
      <c r="R1174" s="346">
        <f t="shared" si="146"/>
        <v>9.0999999999999993E-6</v>
      </c>
      <c r="S1174" s="347" t="str">
        <f t="shared" si="147"/>
        <v>-</v>
      </c>
      <c r="T1174" s="347">
        <f t="shared" si="148"/>
        <v>0</v>
      </c>
      <c r="U1174" s="347">
        <f>HLOOKUP(Apoio!$P$12,$D$1163:$P$1264,X1174,FALSE)+Q1174</f>
        <v>9.0999999999999993E-6</v>
      </c>
      <c r="V1174" s="447" t="str">
        <f t="shared" si="149"/>
        <v>-</v>
      </c>
      <c r="W1174" s="448">
        <f>HLOOKUP(Apoio!$P$12,$D$1163:$P$1264,X1174,FALSE)</f>
        <v>0</v>
      </c>
      <c r="X1174" s="329">
        <v>12</v>
      </c>
      <c r="Y1174" s="329">
        <v>4</v>
      </c>
      <c r="Z1174" s="340" t="str">
        <f>VLOOKUP(LARGE($R$1163:$R$1264,Y1174),$R$1163:$S$1264,2,FALSE)</f>
        <v>EMPRÉSTIMO</v>
      </c>
      <c r="AA1174" s="340">
        <f>VLOOKUP(Z1174,$V$1163:$W$1264,2,FALSE)</f>
        <v>0</v>
      </c>
    </row>
    <row r="1175" spans="2:27" ht="30.05" customHeight="1" x14ac:dyDescent="0.35">
      <c r="B1175" s="204" t="str">
        <f>'CAD_PL_REC-DESP'!AI15</f>
        <v>2.9.11</v>
      </c>
      <c r="C1175" s="205" t="str">
        <f>IF('CAD_PL_REC-DESP'!AJ15="","-",'CAD_PL_REC-DESP'!AJ15)</f>
        <v>-</v>
      </c>
      <c r="D1175" s="206">
        <f>SUMIFS(LANÇ_MOV[VALOR LÍQUIDO],LANÇ_MOV[RECEITA OU DESPESA],"Despesa",LANÇ_MOV[CONTAS],$C1175,LANÇ_MOV[PLANO DE CONTAS],REL_DRE_FINANCEIRO!$B$1164,LANÇ_MOV[ANO PAGAMENTO],$B$4,LANÇ_MOV[MÊS PAGAMENTO CORRESPONDENTE],D$6,LANÇ_MOV[EMPRESA],$C$4,LANÇ_MOV[CENTRO DE CUSTOS],$D$4)</f>
        <v>0</v>
      </c>
      <c r="E1175" s="206">
        <f>SUMIFS(LANÇ_MOV[VALOR LÍQUIDO],LANÇ_MOV[RECEITA OU DESPESA],"Despesa",LANÇ_MOV[CONTAS],$C1175,LANÇ_MOV[PLANO DE CONTAS],REL_DRE_FINANCEIRO!$B$1164,LANÇ_MOV[ANO PAGAMENTO],$B$4,LANÇ_MOV[MÊS PAGAMENTO CORRESPONDENTE],E$6,LANÇ_MOV[EMPRESA],$C$4,LANÇ_MOV[CENTRO DE CUSTOS],$D$4)</f>
        <v>0</v>
      </c>
      <c r="F1175" s="206">
        <f>SUMIFS(LANÇ_MOV[VALOR LÍQUIDO],LANÇ_MOV[RECEITA OU DESPESA],"Despesa",LANÇ_MOV[CONTAS],$C1175,LANÇ_MOV[PLANO DE CONTAS],REL_DRE_FINANCEIRO!$B$1164,LANÇ_MOV[ANO PAGAMENTO],$B$4,LANÇ_MOV[MÊS PAGAMENTO CORRESPONDENTE],F$6,LANÇ_MOV[EMPRESA],$C$4,LANÇ_MOV[CENTRO DE CUSTOS],$D$4)</f>
        <v>0</v>
      </c>
      <c r="G1175" s="206">
        <f>SUMIFS(LANÇ_MOV[VALOR LÍQUIDO],LANÇ_MOV[RECEITA OU DESPESA],"Despesa",LANÇ_MOV[CONTAS],$C1175,LANÇ_MOV[PLANO DE CONTAS],REL_DRE_FINANCEIRO!$B$1164,LANÇ_MOV[ANO PAGAMENTO],$B$4,LANÇ_MOV[MÊS PAGAMENTO CORRESPONDENTE],G$6,LANÇ_MOV[EMPRESA],$C$4,LANÇ_MOV[CENTRO DE CUSTOS],$D$4)</f>
        <v>0</v>
      </c>
      <c r="H1175" s="206">
        <f>SUMIFS(LANÇ_MOV[VALOR LÍQUIDO],LANÇ_MOV[RECEITA OU DESPESA],"Despesa",LANÇ_MOV[CONTAS],$C1175,LANÇ_MOV[PLANO DE CONTAS],REL_DRE_FINANCEIRO!$B$1164,LANÇ_MOV[ANO PAGAMENTO],$B$4,LANÇ_MOV[MÊS PAGAMENTO CORRESPONDENTE],H$6,LANÇ_MOV[EMPRESA],$C$4,LANÇ_MOV[CENTRO DE CUSTOS],$D$4)</f>
        <v>0</v>
      </c>
      <c r="I1175" s="206">
        <f>SUMIFS(LANÇ_MOV[VALOR LÍQUIDO],LANÇ_MOV[RECEITA OU DESPESA],"Despesa",LANÇ_MOV[CONTAS],$C1175,LANÇ_MOV[PLANO DE CONTAS],REL_DRE_FINANCEIRO!$B$1164,LANÇ_MOV[ANO PAGAMENTO],$B$4,LANÇ_MOV[MÊS PAGAMENTO CORRESPONDENTE],I$6,LANÇ_MOV[EMPRESA],$C$4,LANÇ_MOV[CENTRO DE CUSTOS],$D$4)</f>
        <v>0</v>
      </c>
      <c r="J1175" s="206">
        <f>SUMIFS(LANÇ_MOV[VALOR LÍQUIDO],LANÇ_MOV[RECEITA OU DESPESA],"Despesa",LANÇ_MOV[CONTAS],$C1175,LANÇ_MOV[PLANO DE CONTAS],REL_DRE_FINANCEIRO!$B$1164,LANÇ_MOV[ANO PAGAMENTO],$B$4,LANÇ_MOV[MÊS PAGAMENTO CORRESPONDENTE],J$6,LANÇ_MOV[EMPRESA],$C$4,LANÇ_MOV[CENTRO DE CUSTOS],$D$4)</f>
        <v>0</v>
      </c>
      <c r="K1175" s="206">
        <f>SUMIFS(LANÇ_MOV[VALOR LÍQUIDO],LANÇ_MOV[RECEITA OU DESPESA],"Despesa",LANÇ_MOV[CONTAS],$C1175,LANÇ_MOV[PLANO DE CONTAS],REL_DRE_FINANCEIRO!$B$1164,LANÇ_MOV[ANO PAGAMENTO],$B$4,LANÇ_MOV[MÊS PAGAMENTO CORRESPONDENTE],K$6,LANÇ_MOV[EMPRESA],$C$4,LANÇ_MOV[CENTRO DE CUSTOS],$D$4)</f>
        <v>0</v>
      </c>
      <c r="L1175" s="206">
        <f>SUMIFS(LANÇ_MOV[VALOR LÍQUIDO],LANÇ_MOV[RECEITA OU DESPESA],"Despesa",LANÇ_MOV[CONTAS],$C1175,LANÇ_MOV[PLANO DE CONTAS],REL_DRE_FINANCEIRO!$B$1164,LANÇ_MOV[ANO PAGAMENTO],$B$4,LANÇ_MOV[MÊS PAGAMENTO CORRESPONDENTE],L$6,LANÇ_MOV[EMPRESA],$C$4,LANÇ_MOV[CENTRO DE CUSTOS],$D$4)</f>
        <v>0</v>
      </c>
      <c r="M1175" s="206">
        <f>SUMIFS(LANÇ_MOV[VALOR LÍQUIDO],LANÇ_MOV[RECEITA OU DESPESA],"Despesa",LANÇ_MOV[CONTAS],$C1175,LANÇ_MOV[PLANO DE CONTAS],REL_DRE_FINANCEIRO!$B$1164,LANÇ_MOV[ANO PAGAMENTO],$B$4,LANÇ_MOV[MÊS PAGAMENTO CORRESPONDENTE],M$6,LANÇ_MOV[EMPRESA],$C$4,LANÇ_MOV[CENTRO DE CUSTOS],$D$4)</f>
        <v>0</v>
      </c>
      <c r="N1175" s="206">
        <f>SUMIFS(LANÇ_MOV[VALOR LÍQUIDO],LANÇ_MOV[RECEITA OU DESPESA],"Despesa",LANÇ_MOV[CONTAS],$C1175,LANÇ_MOV[PLANO DE CONTAS],REL_DRE_FINANCEIRO!$B$1164,LANÇ_MOV[ANO PAGAMENTO],$B$4,LANÇ_MOV[MÊS PAGAMENTO CORRESPONDENTE],N$6,LANÇ_MOV[EMPRESA],$C$4,LANÇ_MOV[CENTRO DE CUSTOS],$D$4)</f>
        <v>0</v>
      </c>
      <c r="O1175" s="206">
        <f>SUMIFS(LANÇ_MOV[VALOR LÍQUIDO],LANÇ_MOV[RECEITA OU DESPESA],"Despesa",LANÇ_MOV[CONTAS],$C1175,LANÇ_MOV[PLANO DE CONTAS],REL_DRE_FINANCEIRO!$B$1164,LANÇ_MOV[ANO PAGAMENTO],$B$4,LANÇ_MOV[MÊS PAGAMENTO CORRESPONDENTE],O$6,LANÇ_MOV[EMPRESA],$C$4,LANÇ_MOV[CENTRO DE CUSTOS],$D$4)</f>
        <v>0</v>
      </c>
      <c r="P1175" s="207">
        <f t="shared" si="145"/>
        <v>0</v>
      </c>
      <c r="Q1175" s="329">
        <v>9.0000000000000002E-6</v>
      </c>
      <c r="R1175" s="346">
        <f t="shared" si="146"/>
        <v>9.0000000000000002E-6</v>
      </c>
      <c r="S1175" s="347" t="str">
        <f t="shared" si="147"/>
        <v>-</v>
      </c>
      <c r="T1175" s="347">
        <f t="shared" si="148"/>
        <v>0</v>
      </c>
      <c r="U1175" s="347">
        <f>HLOOKUP(Apoio!$P$12,$D$1163:$P$1264,X1175,FALSE)+Q1175</f>
        <v>9.0000000000000002E-6</v>
      </c>
      <c r="V1175" s="447" t="str">
        <f t="shared" si="149"/>
        <v>-</v>
      </c>
      <c r="W1175" s="448">
        <f>HLOOKUP(Apoio!$P$12,$D$1163:$P$1264,X1175,FALSE)</f>
        <v>0</v>
      </c>
      <c r="X1175" s="329">
        <v>13</v>
      </c>
      <c r="Y1175" s="329">
        <v>5</v>
      </c>
      <c r="Z1175" s="340" t="str">
        <f>VLOOKUP(LARGE($R$1163:$R$1264,Y1175),$R$1163:$S$1264,2,FALSE)</f>
        <v>OUTROS DÉBITOS</v>
      </c>
      <c r="AA1175" s="340">
        <f>VLOOKUP(Z1175,$V$1163:$W$1264,2,FALSE)</f>
        <v>0</v>
      </c>
    </row>
    <row r="1176" spans="2:27" ht="30.05" customHeight="1" x14ac:dyDescent="0.35">
      <c r="B1176" s="204" t="str">
        <f>'CAD_PL_REC-DESP'!AI16</f>
        <v>2.9.12</v>
      </c>
      <c r="C1176" s="205" t="str">
        <f>IF('CAD_PL_REC-DESP'!AJ16="","-",'CAD_PL_REC-DESP'!AJ16)</f>
        <v>-</v>
      </c>
      <c r="D1176" s="206">
        <f>SUMIFS(LANÇ_MOV[VALOR LÍQUIDO],LANÇ_MOV[RECEITA OU DESPESA],"Despesa",LANÇ_MOV[CONTAS],$C1176,LANÇ_MOV[PLANO DE CONTAS],REL_DRE_FINANCEIRO!$B$1164,LANÇ_MOV[ANO PAGAMENTO],$B$4,LANÇ_MOV[MÊS PAGAMENTO CORRESPONDENTE],D$6,LANÇ_MOV[EMPRESA],$C$4,LANÇ_MOV[CENTRO DE CUSTOS],$D$4)</f>
        <v>0</v>
      </c>
      <c r="E1176" s="206">
        <f>SUMIFS(LANÇ_MOV[VALOR LÍQUIDO],LANÇ_MOV[RECEITA OU DESPESA],"Despesa",LANÇ_MOV[CONTAS],$C1176,LANÇ_MOV[PLANO DE CONTAS],REL_DRE_FINANCEIRO!$B$1164,LANÇ_MOV[ANO PAGAMENTO],$B$4,LANÇ_MOV[MÊS PAGAMENTO CORRESPONDENTE],E$6,LANÇ_MOV[EMPRESA],$C$4,LANÇ_MOV[CENTRO DE CUSTOS],$D$4)</f>
        <v>0</v>
      </c>
      <c r="F1176" s="206">
        <f>SUMIFS(LANÇ_MOV[VALOR LÍQUIDO],LANÇ_MOV[RECEITA OU DESPESA],"Despesa",LANÇ_MOV[CONTAS],$C1176,LANÇ_MOV[PLANO DE CONTAS],REL_DRE_FINANCEIRO!$B$1164,LANÇ_MOV[ANO PAGAMENTO],$B$4,LANÇ_MOV[MÊS PAGAMENTO CORRESPONDENTE],F$6,LANÇ_MOV[EMPRESA],$C$4,LANÇ_MOV[CENTRO DE CUSTOS],$D$4)</f>
        <v>0</v>
      </c>
      <c r="G1176" s="206">
        <f>SUMIFS(LANÇ_MOV[VALOR LÍQUIDO],LANÇ_MOV[RECEITA OU DESPESA],"Despesa",LANÇ_MOV[CONTAS],$C1176,LANÇ_MOV[PLANO DE CONTAS],REL_DRE_FINANCEIRO!$B$1164,LANÇ_MOV[ANO PAGAMENTO],$B$4,LANÇ_MOV[MÊS PAGAMENTO CORRESPONDENTE],G$6,LANÇ_MOV[EMPRESA],$C$4,LANÇ_MOV[CENTRO DE CUSTOS],$D$4)</f>
        <v>0</v>
      </c>
      <c r="H1176" s="206">
        <f>SUMIFS(LANÇ_MOV[VALOR LÍQUIDO],LANÇ_MOV[RECEITA OU DESPESA],"Despesa",LANÇ_MOV[CONTAS],$C1176,LANÇ_MOV[PLANO DE CONTAS],REL_DRE_FINANCEIRO!$B$1164,LANÇ_MOV[ANO PAGAMENTO],$B$4,LANÇ_MOV[MÊS PAGAMENTO CORRESPONDENTE],H$6,LANÇ_MOV[EMPRESA],$C$4,LANÇ_MOV[CENTRO DE CUSTOS],$D$4)</f>
        <v>0</v>
      </c>
      <c r="I1176" s="206">
        <f>SUMIFS(LANÇ_MOV[VALOR LÍQUIDO],LANÇ_MOV[RECEITA OU DESPESA],"Despesa",LANÇ_MOV[CONTAS],$C1176,LANÇ_MOV[PLANO DE CONTAS],REL_DRE_FINANCEIRO!$B$1164,LANÇ_MOV[ANO PAGAMENTO],$B$4,LANÇ_MOV[MÊS PAGAMENTO CORRESPONDENTE],I$6,LANÇ_MOV[EMPRESA],$C$4,LANÇ_MOV[CENTRO DE CUSTOS],$D$4)</f>
        <v>0</v>
      </c>
      <c r="J1176" s="206">
        <f>SUMIFS(LANÇ_MOV[VALOR LÍQUIDO],LANÇ_MOV[RECEITA OU DESPESA],"Despesa",LANÇ_MOV[CONTAS],$C1176,LANÇ_MOV[PLANO DE CONTAS],REL_DRE_FINANCEIRO!$B$1164,LANÇ_MOV[ANO PAGAMENTO],$B$4,LANÇ_MOV[MÊS PAGAMENTO CORRESPONDENTE],J$6,LANÇ_MOV[EMPRESA],$C$4,LANÇ_MOV[CENTRO DE CUSTOS],$D$4)</f>
        <v>0</v>
      </c>
      <c r="K1176" s="206">
        <f>SUMIFS(LANÇ_MOV[VALOR LÍQUIDO],LANÇ_MOV[RECEITA OU DESPESA],"Despesa",LANÇ_MOV[CONTAS],$C1176,LANÇ_MOV[PLANO DE CONTAS],REL_DRE_FINANCEIRO!$B$1164,LANÇ_MOV[ANO PAGAMENTO],$B$4,LANÇ_MOV[MÊS PAGAMENTO CORRESPONDENTE],K$6,LANÇ_MOV[EMPRESA],$C$4,LANÇ_MOV[CENTRO DE CUSTOS],$D$4)</f>
        <v>0</v>
      </c>
      <c r="L1176" s="206">
        <f>SUMIFS(LANÇ_MOV[VALOR LÍQUIDO],LANÇ_MOV[RECEITA OU DESPESA],"Despesa",LANÇ_MOV[CONTAS],$C1176,LANÇ_MOV[PLANO DE CONTAS],REL_DRE_FINANCEIRO!$B$1164,LANÇ_MOV[ANO PAGAMENTO],$B$4,LANÇ_MOV[MÊS PAGAMENTO CORRESPONDENTE],L$6,LANÇ_MOV[EMPRESA],$C$4,LANÇ_MOV[CENTRO DE CUSTOS],$D$4)</f>
        <v>0</v>
      </c>
      <c r="M1176" s="206">
        <f>SUMIFS(LANÇ_MOV[VALOR LÍQUIDO],LANÇ_MOV[RECEITA OU DESPESA],"Despesa",LANÇ_MOV[CONTAS],$C1176,LANÇ_MOV[PLANO DE CONTAS],REL_DRE_FINANCEIRO!$B$1164,LANÇ_MOV[ANO PAGAMENTO],$B$4,LANÇ_MOV[MÊS PAGAMENTO CORRESPONDENTE],M$6,LANÇ_MOV[EMPRESA],$C$4,LANÇ_MOV[CENTRO DE CUSTOS],$D$4)</f>
        <v>0</v>
      </c>
      <c r="N1176" s="206">
        <f>SUMIFS(LANÇ_MOV[VALOR LÍQUIDO],LANÇ_MOV[RECEITA OU DESPESA],"Despesa",LANÇ_MOV[CONTAS],$C1176,LANÇ_MOV[PLANO DE CONTAS],REL_DRE_FINANCEIRO!$B$1164,LANÇ_MOV[ANO PAGAMENTO],$B$4,LANÇ_MOV[MÊS PAGAMENTO CORRESPONDENTE],N$6,LANÇ_MOV[EMPRESA],$C$4,LANÇ_MOV[CENTRO DE CUSTOS],$D$4)</f>
        <v>0</v>
      </c>
      <c r="O1176" s="206">
        <f>SUMIFS(LANÇ_MOV[VALOR LÍQUIDO],LANÇ_MOV[RECEITA OU DESPESA],"Despesa",LANÇ_MOV[CONTAS],$C1176,LANÇ_MOV[PLANO DE CONTAS],REL_DRE_FINANCEIRO!$B$1164,LANÇ_MOV[ANO PAGAMENTO],$B$4,LANÇ_MOV[MÊS PAGAMENTO CORRESPONDENTE],O$6,LANÇ_MOV[EMPRESA],$C$4,LANÇ_MOV[CENTRO DE CUSTOS],$D$4)</f>
        <v>0</v>
      </c>
      <c r="P1176" s="207">
        <f t="shared" si="145"/>
        <v>0</v>
      </c>
      <c r="Q1176" s="329">
        <v>8.8999999999999995E-6</v>
      </c>
      <c r="R1176" s="346">
        <f t="shared" si="146"/>
        <v>8.8999999999999995E-6</v>
      </c>
      <c r="S1176" s="347" t="str">
        <f t="shared" si="147"/>
        <v>-</v>
      </c>
      <c r="T1176" s="347">
        <f t="shared" si="148"/>
        <v>0</v>
      </c>
      <c r="U1176" s="347">
        <f>HLOOKUP(Apoio!$P$12,$D$1163:$P$1264,X1176,FALSE)+Q1176</f>
        <v>8.8999999999999995E-6</v>
      </c>
      <c r="V1176" s="447" t="str">
        <f t="shared" si="149"/>
        <v>-</v>
      </c>
      <c r="W1176" s="448">
        <f>HLOOKUP(Apoio!$P$12,$D$1163:$P$1264,X1176,FALSE)</f>
        <v>0</v>
      </c>
      <c r="X1176" s="329">
        <v>14</v>
      </c>
      <c r="AA1176" s="340" t="e">
        <f>SUM(AA1171:AA1175)</f>
        <v>#REF!</v>
      </c>
    </row>
    <row r="1177" spans="2:27" ht="30.05" customHeight="1" x14ac:dyDescent="0.35">
      <c r="B1177" s="204" t="str">
        <f>'CAD_PL_REC-DESP'!AI17</f>
        <v>2.9.13</v>
      </c>
      <c r="C1177" s="205" t="str">
        <f>IF('CAD_PL_REC-DESP'!AJ17="","-",'CAD_PL_REC-DESP'!AJ17)</f>
        <v>-</v>
      </c>
      <c r="D1177" s="206">
        <f>SUMIFS(LANÇ_MOV[VALOR LÍQUIDO],LANÇ_MOV[RECEITA OU DESPESA],"Despesa",LANÇ_MOV[CONTAS],$C1177,LANÇ_MOV[PLANO DE CONTAS],REL_DRE_FINANCEIRO!$B$1164,LANÇ_MOV[ANO PAGAMENTO],$B$4,LANÇ_MOV[MÊS PAGAMENTO CORRESPONDENTE],D$6,LANÇ_MOV[EMPRESA],$C$4,LANÇ_MOV[CENTRO DE CUSTOS],$D$4)</f>
        <v>0</v>
      </c>
      <c r="E1177" s="206">
        <f>SUMIFS(LANÇ_MOV[VALOR LÍQUIDO],LANÇ_MOV[RECEITA OU DESPESA],"Despesa",LANÇ_MOV[CONTAS],$C1177,LANÇ_MOV[PLANO DE CONTAS],REL_DRE_FINANCEIRO!$B$1164,LANÇ_MOV[ANO PAGAMENTO],$B$4,LANÇ_MOV[MÊS PAGAMENTO CORRESPONDENTE],E$6,LANÇ_MOV[EMPRESA],$C$4,LANÇ_MOV[CENTRO DE CUSTOS],$D$4)</f>
        <v>0</v>
      </c>
      <c r="F1177" s="206">
        <f>SUMIFS(LANÇ_MOV[VALOR LÍQUIDO],LANÇ_MOV[RECEITA OU DESPESA],"Despesa",LANÇ_MOV[CONTAS],$C1177,LANÇ_MOV[PLANO DE CONTAS],REL_DRE_FINANCEIRO!$B$1164,LANÇ_MOV[ANO PAGAMENTO],$B$4,LANÇ_MOV[MÊS PAGAMENTO CORRESPONDENTE],F$6,LANÇ_MOV[EMPRESA],$C$4,LANÇ_MOV[CENTRO DE CUSTOS],$D$4)</f>
        <v>0</v>
      </c>
      <c r="G1177" s="206">
        <f>SUMIFS(LANÇ_MOV[VALOR LÍQUIDO],LANÇ_MOV[RECEITA OU DESPESA],"Despesa",LANÇ_MOV[CONTAS],$C1177,LANÇ_MOV[PLANO DE CONTAS],REL_DRE_FINANCEIRO!$B$1164,LANÇ_MOV[ANO PAGAMENTO],$B$4,LANÇ_MOV[MÊS PAGAMENTO CORRESPONDENTE],G$6,LANÇ_MOV[EMPRESA],$C$4,LANÇ_MOV[CENTRO DE CUSTOS],$D$4)</f>
        <v>0</v>
      </c>
      <c r="H1177" s="206">
        <f>SUMIFS(LANÇ_MOV[VALOR LÍQUIDO],LANÇ_MOV[RECEITA OU DESPESA],"Despesa",LANÇ_MOV[CONTAS],$C1177,LANÇ_MOV[PLANO DE CONTAS],REL_DRE_FINANCEIRO!$B$1164,LANÇ_MOV[ANO PAGAMENTO],$B$4,LANÇ_MOV[MÊS PAGAMENTO CORRESPONDENTE],H$6,LANÇ_MOV[EMPRESA],$C$4,LANÇ_MOV[CENTRO DE CUSTOS],$D$4)</f>
        <v>0</v>
      </c>
      <c r="I1177" s="206">
        <f>SUMIFS(LANÇ_MOV[VALOR LÍQUIDO],LANÇ_MOV[RECEITA OU DESPESA],"Despesa",LANÇ_MOV[CONTAS],$C1177,LANÇ_MOV[PLANO DE CONTAS],REL_DRE_FINANCEIRO!$B$1164,LANÇ_MOV[ANO PAGAMENTO],$B$4,LANÇ_MOV[MÊS PAGAMENTO CORRESPONDENTE],I$6,LANÇ_MOV[EMPRESA],$C$4,LANÇ_MOV[CENTRO DE CUSTOS],$D$4)</f>
        <v>0</v>
      </c>
      <c r="J1177" s="206">
        <f>SUMIFS(LANÇ_MOV[VALOR LÍQUIDO],LANÇ_MOV[RECEITA OU DESPESA],"Despesa",LANÇ_MOV[CONTAS],$C1177,LANÇ_MOV[PLANO DE CONTAS],REL_DRE_FINANCEIRO!$B$1164,LANÇ_MOV[ANO PAGAMENTO],$B$4,LANÇ_MOV[MÊS PAGAMENTO CORRESPONDENTE],J$6,LANÇ_MOV[EMPRESA],$C$4,LANÇ_MOV[CENTRO DE CUSTOS],$D$4)</f>
        <v>0</v>
      </c>
      <c r="K1177" s="206">
        <f>SUMIFS(LANÇ_MOV[VALOR LÍQUIDO],LANÇ_MOV[RECEITA OU DESPESA],"Despesa",LANÇ_MOV[CONTAS],$C1177,LANÇ_MOV[PLANO DE CONTAS],REL_DRE_FINANCEIRO!$B$1164,LANÇ_MOV[ANO PAGAMENTO],$B$4,LANÇ_MOV[MÊS PAGAMENTO CORRESPONDENTE],K$6,LANÇ_MOV[EMPRESA],$C$4,LANÇ_MOV[CENTRO DE CUSTOS],$D$4)</f>
        <v>0</v>
      </c>
      <c r="L1177" s="206">
        <f>SUMIFS(LANÇ_MOV[VALOR LÍQUIDO],LANÇ_MOV[RECEITA OU DESPESA],"Despesa",LANÇ_MOV[CONTAS],$C1177,LANÇ_MOV[PLANO DE CONTAS],REL_DRE_FINANCEIRO!$B$1164,LANÇ_MOV[ANO PAGAMENTO],$B$4,LANÇ_MOV[MÊS PAGAMENTO CORRESPONDENTE],L$6,LANÇ_MOV[EMPRESA],$C$4,LANÇ_MOV[CENTRO DE CUSTOS],$D$4)</f>
        <v>0</v>
      </c>
      <c r="M1177" s="206">
        <f>SUMIFS(LANÇ_MOV[VALOR LÍQUIDO],LANÇ_MOV[RECEITA OU DESPESA],"Despesa",LANÇ_MOV[CONTAS],$C1177,LANÇ_MOV[PLANO DE CONTAS],REL_DRE_FINANCEIRO!$B$1164,LANÇ_MOV[ANO PAGAMENTO],$B$4,LANÇ_MOV[MÊS PAGAMENTO CORRESPONDENTE],M$6,LANÇ_MOV[EMPRESA],$C$4,LANÇ_MOV[CENTRO DE CUSTOS],$D$4)</f>
        <v>0</v>
      </c>
      <c r="N1177" s="206">
        <f>SUMIFS(LANÇ_MOV[VALOR LÍQUIDO],LANÇ_MOV[RECEITA OU DESPESA],"Despesa",LANÇ_MOV[CONTAS],$C1177,LANÇ_MOV[PLANO DE CONTAS],REL_DRE_FINANCEIRO!$B$1164,LANÇ_MOV[ANO PAGAMENTO],$B$4,LANÇ_MOV[MÊS PAGAMENTO CORRESPONDENTE],N$6,LANÇ_MOV[EMPRESA],$C$4,LANÇ_MOV[CENTRO DE CUSTOS],$D$4)</f>
        <v>0</v>
      </c>
      <c r="O1177" s="206">
        <f>SUMIFS(LANÇ_MOV[VALOR LÍQUIDO],LANÇ_MOV[RECEITA OU DESPESA],"Despesa",LANÇ_MOV[CONTAS],$C1177,LANÇ_MOV[PLANO DE CONTAS],REL_DRE_FINANCEIRO!$B$1164,LANÇ_MOV[ANO PAGAMENTO],$B$4,LANÇ_MOV[MÊS PAGAMENTO CORRESPONDENTE],O$6,LANÇ_MOV[EMPRESA],$C$4,LANÇ_MOV[CENTRO DE CUSTOS],$D$4)</f>
        <v>0</v>
      </c>
      <c r="P1177" s="207">
        <f t="shared" si="145"/>
        <v>0</v>
      </c>
      <c r="Q1177" s="329">
        <v>8.8000000000000004E-6</v>
      </c>
      <c r="R1177" s="346">
        <f t="shared" si="146"/>
        <v>8.8000000000000004E-6</v>
      </c>
      <c r="S1177" s="347" t="str">
        <f t="shared" si="147"/>
        <v>-</v>
      </c>
      <c r="T1177" s="347">
        <f t="shared" si="148"/>
        <v>0</v>
      </c>
      <c r="U1177" s="347">
        <f>HLOOKUP(Apoio!$P$12,$D$1163:$P$1264,X1177,FALSE)+Q1177</f>
        <v>8.8000000000000004E-6</v>
      </c>
      <c r="V1177" s="447" t="str">
        <f t="shared" si="149"/>
        <v>-</v>
      </c>
      <c r="W1177" s="448">
        <f>HLOOKUP(Apoio!$P$12,$D$1163:$P$1264,X1177,FALSE)</f>
        <v>0</v>
      </c>
      <c r="X1177" s="329">
        <v>15</v>
      </c>
    </row>
    <row r="1178" spans="2:27" ht="30.05" customHeight="1" x14ac:dyDescent="0.35">
      <c r="B1178" s="204" t="str">
        <f>'CAD_PL_REC-DESP'!AI18</f>
        <v>2.9.14</v>
      </c>
      <c r="C1178" s="205" t="str">
        <f>IF('CAD_PL_REC-DESP'!AJ18="","-",'CAD_PL_REC-DESP'!AJ18)</f>
        <v>-</v>
      </c>
      <c r="D1178" s="206">
        <f>SUMIFS(LANÇ_MOV[VALOR LÍQUIDO],LANÇ_MOV[RECEITA OU DESPESA],"Despesa",LANÇ_MOV[CONTAS],$C1178,LANÇ_MOV[PLANO DE CONTAS],REL_DRE_FINANCEIRO!$B$1164,LANÇ_MOV[ANO PAGAMENTO],$B$4,LANÇ_MOV[MÊS PAGAMENTO CORRESPONDENTE],D$6,LANÇ_MOV[EMPRESA],$C$4,LANÇ_MOV[CENTRO DE CUSTOS],$D$4)</f>
        <v>0</v>
      </c>
      <c r="E1178" s="206">
        <f>SUMIFS(LANÇ_MOV[VALOR LÍQUIDO],LANÇ_MOV[RECEITA OU DESPESA],"Despesa",LANÇ_MOV[CONTAS],$C1178,LANÇ_MOV[PLANO DE CONTAS],REL_DRE_FINANCEIRO!$B$1164,LANÇ_MOV[ANO PAGAMENTO],$B$4,LANÇ_MOV[MÊS PAGAMENTO CORRESPONDENTE],E$6,LANÇ_MOV[EMPRESA],$C$4,LANÇ_MOV[CENTRO DE CUSTOS],$D$4)</f>
        <v>0</v>
      </c>
      <c r="F1178" s="206">
        <f>SUMIFS(LANÇ_MOV[VALOR LÍQUIDO],LANÇ_MOV[RECEITA OU DESPESA],"Despesa",LANÇ_MOV[CONTAS],$C1178,LANÇ_MOV[PLANO DE CONTAS],REL_DRE_FINANCEIRO!$B$1164,LANÇ_MOV[ANO PAGAMENTO],$B$4,LANÇ_MOV[MÊS PAGAMENTO CORRESPONDENTE],F$6,LANÇ_MOV[EMPRESA],$C$4,LANÇ_MOV[CENTRO DE CUSTOS],$D$4)</f>
        <v>0</v>
      </c>
      <c r="G1178" s="206">
        <f>SUMIFS(LANÇ_MOV[VALOR LÍQUIDO],LANÇ_MOV[RECEITA OU DESPESA],"Despesa",LANÇ_MOV[CONTAS],$C1178,LANÇ_MOV[PLANO DE CONTAS],REL_DRE_FINANCEIRO!$B$1164,LANÇ_MOV[ANO PAGAMENTO],$B$4,LANÇ_MOV[MÊS PAGAMENTO CORRESPONDENTE],G$6,LANÇ_MOV[EMPRESA],$C$4,LANÇ_MOV[CENTRO DE CUSTOS],$D$4)</f>
        <v>0</v>
      </c>
      <c r="H1178" s="206">
        <f>SUMIFS(LANÇ_MOV[VALOR LÍQUIDO],LANÇ_MOV[RECEITA OU DESPESA],"Despesa",LANÇ_MOV[CONTAS],$C1178,LANÇ_MOV[PLANO DE CONTAS],REL_DRE_FINANCEIRO!$B$1164,LANÇ_MOV[ANO PAGAMENTO],$B$4,LANÇ_MOV[MÊS PAGAMENTO CORRESPONDENTE],H$6,LANÇ_MOV[EMPRESA],$C$4,LANÇ_MOV[CENTRO DE CUSTOS],$D$4)</f>
        <v>0</v>
      </c>
      <c r="I1178" s="206">
        <f>SUMIFS(LANÇ_MOV[VALOR LÍQUIDO],LANÇ_MOV[RECEITA OU DESPESA],"Despesa",LANÇ_MOV[CONTAS],$C1178,LANÇ_MOV[PLANO DE CONTAS],REL_DRE_FINANCEIRO!$B$1164,LANÇ_MOV[ANO PAGAMENTO],$B$4,LANÇ_MOV[MÊS PAGAMENTO CORRESPONDENTE],I$6,LANÇ_MOV[EMPRESA],$C$4,LANÇ_MOV[CENTRO DE CUSTOS],$D$4)</f>
        <v>0</v>
      </c>
      <c r="J1178" s="206">
        <f>SUMIFS(LANÇ_MOV[VALOR LÍQUIDO],LANÇ_MOV[RECEITA OU DESPESA],"Despesa",LANÇ_MOV[CONTAS],$C1178,LANÇ_MOV[PLANO DE CONTAS],REL_DRE_FINANCEIRO!$B$1164,LANÇ_MOV[ANO PAGAMENTO],$B$4,LANÇ_MOV[MÊS PAGAMENTO CORRESPONDENTE],J$6,LANÇ_MOV[EMPRESA],$C$4,LANÇ_MOV[CENTRO DE CUSTOS],$D$4)</f>
        <v>0</v>
      </c>
      <c r="K1178" s="206">
        <f>SUMIFS(LANÇ_MOV[VALOR LÍQUIDO],LANÇ_MOV[RECEITA OU DESPESA],"Despesa",LANÇ_MOV[CONTAS],$C1178,LANÇ_MOV[PLANO DE CONTAS],REL_DRE_FINANCEIRO!$B$1164,LANÇ_MOV[ANO PAGAMENTO],$B$4,LANÇ_MOV[MÊS PAGAMENTO CORRESPONDENTE],K$6,LANÇ_MOV[EMPRESA],$C$4,LANÇ_MOV[CENTRO DE CUSTOS],$D$4)</f>
        <v>0</v>
      </c>
      <c r="L1178" s="206">
        <f>SUMIFS(LANÇ_MOV[VALOR LÍQUIDO],LANÇ_MOV[RECEITA OU DESPESA],"Despesa",LANÇ_MOV[CONTAS],$C1178,LANÇ_MOV[PLANO DE CONTAS],REL_DRE_FINANCEIRO!$B$1164,LANÇ_MOV[ANO PAGAMENTO],$B$4,LANÇ_MOV[MÊS PAGAMENTO CORRESPONDENTE],L$6,LANÇ_MOV[EMPRESA],$C$4,LANÇ_MOV[CENTRO DE CUSTOS],$D$4)</f>
        <v>0</v>
      </c>
      <c r="M1178" s="206">
        <f>SUMIFS(LANÇ_MOV[VALOR LÍQUIDO],LANÇ_MOV[RECEITA OU DESPESA],"Despesa",LANÇ_MOV[CONTAS],$C1178,LANÇ_MOV[PLANO DE CONTAS],REL_DRE_FINANCEIRO!$B$1164,LANÇ_MOV[ANO PAGAMENTO],$B$4,LANÇ_MOV[MÊS PAGAMENTO CORRESPONDENTE],M$6,LANÇ_MOV[EMPRESA],$C$4,LANÇ_MOV[CENTRO DE CUSTOS],$D$4)</f>
        <v>0</v>
      </c>
      <c r="N1178" s="206">
        <f>SUMIFS(LANÇ_MOV[VALOR LÍQUIDO],LANÇ_MOV[RECEITA OU DESPESA],"Despesa",LANÇ_MOV[CONTAS],$C1178,LANÇ_MOV[PLANO DE CONTAS],REL_DRE_FINANCEIRO!$B$1164,LANÇ_MOV[ANO PAGAMENTO],$B$4,LANÇ_MOV[MÊS PAGAMENTO CORRESPONDENTE],N$6,LANÇ_MOV[EMPRESA],$C$4,LANÇ_MOV[CENTRO DE CUSTOS],$D$4)</f>
        <v>0</v>
      </c>
      <c r="O1178" s="206">
        <f>SUMIFS(LANÇ_MOV[VALOR LÍQUIDO],LANÇ_MOV[RECEITA OU DESPESA],"Despesa",LANÇ_MOV[CONTAS],$C1178,LANÇ_MOV[PLANO DE CONTAS],REL_DRE_FINANCEIRO!$B$1164,LANÇ_MOV[ANO PAGAMENTO],$B$4,LANÇ_MOV[MÊS PAGAMENTO CORRESPONDENTE],O$6,LANÇ_MOV[EMPRESA],$C$4,LANÇ_MOV[CENTRO DE CUSTOS],$D$4)</f>
        <v>0</v>
      </c>
      <c r="P1178" s="207">
        <f t="shared" si="145"/>
        <v>0</v>
      </c>
      <c r="Q1178" s="329">
        <v>8.6999999999999997E-6</v>
      </c>
      <c r="R1178" s="346">
        <f t="shared" si="146"/>
        <v>8.6999999999999997E-6</v>
      </c>
      <c r="S1178" s="347" t="str">
        <f t="shared" si="147"/>
        <v>-</v>
      </c>
      <c r="T1178" s="347">
        <f t="shared" si="148"/>
        <v>0</v>
      </c>
      <c r="U1178" s="347">
        <f>HLOOKUP(Apoio!$P$12,$D$1163:$P$1264,X1178,FALSE)+Q1178</f>
        <v>8.6999999999999997E-6</v>
      </c>
      <c r="V1178" s="447" t="str">
        <f t="shared" si="149"/>
        <v>-</v>
      </c>
      <c r="W1178" s="448">
        <f>HLOOKUP(Apoio!$P$12,$D$1163:$P$1264,X1178,FALSE)</f>
        <v>0</v>
      </c>
      <c r="X1178" s="329">
        <v>16</v>
      </c>
    </row>
    <row r="1179" spans="2:27" ht="30.05" customHeight="1" x14ac:dyDescent="0.35">
      <c r="B1179" s="204" t="str">
        <f>'CAD_PL_REC-DESP'!AI19</f>
        <v>2.9.15</v>
      </c>
      <c r="C1179" s="205" t="str">
        <f>IF('CAD_PL_REC-DESP'!AJ19="","-",'CAD_PL_REC-DESP'!AJ19)</f>
        <v>-</v>
      </c>
      <c r="D1179" s="206">
        <f>SUMIFS(LANÇ_MOV[VALOR LÍQUIDO],LANÇ_MOV[RECEITA OU DESPESA],"Despesa",LANÇ_MOV[CONTAS],$C1179,LANÇ_MOV[PLANO DE CONTAS],REL_DRE_FINANCEIRO!$B$1164,LANÇ_MOV[ANO PAGAMENTO],$B$4,LANÇ_MOV[MÊS PAGAMENTO CORRESPONDENTE],D$6,LANÇ_MOV[EMPRESA],$C$4,LANÇ_MOV[CENTRO DE CUSTOS],$D$4)</f>
        <v>0</v>
      </c>
      <c r="E1179" s="206">
        <f>SUMIFS(LANÇ_MOV[VALOR LÍQUIDO],LANÇ_MOV[RECEITA OU DESPESA],"Despesa",LANÇ_MOV[CONTAS],$C1179,LANÇ_MOV[PLANO DE CONTAS],REL_DRE_FINANCEIRO!$B$1164,LANÇ_MOV[ANO PAGAMENTO],$B$4,LANÇ_MOV[MÊS PAGAMENTO CORRESPONDENTE],E$6,LANÇ_MOV[EMPRESA],$C$4,LANÇ_MOV[CENTRO DE CUSTOS],$D$4)</f>
        <v>0</v>
      </c>
      <c r="F1179" s="206">
        <f>SUMIFS(LANÇ_MOV[VALOR LÍQUIDO],LANÇ_MOV[RECEITA OU DESPESA],"Despesa",LANÇ_MOV[CONTAS],$C1179,LANÇ_MOV[PLANO DE CONTAS],REL_DRE_FINANCEIRO!$B$1164,LANÇ_MOV[ANO PAGAMENTO],$B$4,LANÇ_MOV[MÊS PAGAMENTO CORRESPONDENTE],F$6,LANÇ_MOV[EMPRESA],$C$4,LANÇ_MOV[CENTRO DE CUSTOS],$D$4)</f>
        <v>0</v>
      </c>
      <c r="G1179" s="206">
        <f>SUMIFS(LANÇ_MOV[VALOR LÍQUIDO],LANÇ_MOV[RECEITA OU DESPESA],"Despesa",LANÇ_MOV[CONTAS],$C1179,LANÇ_MOV[PLANO DE CONTAS],REL_DRE_FINANCEIRO!$B$1164,LANÇ_MOV[ANO PAGAMENTO],$B$4,LANÇ_MOV[MÊS PAGAMENTO CORRESPONDENTE],G$6,LANÇ_MOV[EMPRESA],$C$4,LANÇ_MOV[CENTRO DE CUSTOS],$D$4)</f>
        <v>0</v>
      </c>
      <c r="H1179" s="206">
        <f>SUMIFS(LANÇ_MOV[VALOR LÍQUIDO],LANÇ_MOV[RECEITA OU DESPESA],"Despesa",LANÇ_MOV[CONTAS],$C1179,LANÇ_MOV[PLANO DE CONTAS],REL_DRE_FINANCEIRO!$B$1164,LANÇ_MOV[ANO PAGAMENTO],$B$4,LANÇ_MOV[MÊS PAGAMENTO CORRESPONDENTE],H$6,LANÇ_MOV[EMPRESA],$C$4,LANÇ_MOV[CENTRO DE CUSTOS],$D$4)</f>
        <v>0</v>
      </c>
      <c r="I1179" s="206">
        <f>SUMIFS(LANÇ_MOV[VALOR LÍQUIDO],LANÇ_MOV[RECEITA OU DESPESA],"Despesa",LANÇ_MOV[CONTAS],$C1179,LANÇ_MOV[PLANO DE CONTAS],REL_DRE_FINANCEIRO!$B$1164,LANÇ_MOV[ANO PAGAMENTO],$B$4,LANÇ_MOV[MÊS PAGAMENTO CORRESPONDENTE],I$6,LANÇ_MOV[EMPRESA],$C$4,LANÇ_MOV[CENTRO DE CUSTOS],$D$4)</f>
        <v>0</v>
      </c>
      <c r="J1179" s="206">
        <f>SUMIFS(LANÇ_MOV[VALOR LÍQUIDO],LANÇ_MOV[RECEITA OU DESPESA],"Despesa",LANÇ_MOV[CONTAS],$C1179,LANÇ_MOV[PLANO DE CONTAS],REL_DRE_FINANCEIRO!$B$1164,LANÇ_MOV[ANO PAGAMENTO],$B$4,LANÇ_MOV[MÊS PAGAMENTO CORRESPONDENTE],J$6,LANÇ_MOV[EMPRESA],$C$4,LANÇ_MOV[CENTRO DE CUSTOS],$D$4)</f>
        <v>0</v>
      </c>
      <c r="K1179" s="206">
        <f>SUMIFS(LANÇ_MOV[VALOR LÍQUIDO],LANÇ_MOV[RECEITA OU DESPESA],"Despesa",LANÇ_MOV[CONTAS],$C1179,LANÇ_MOV[PLANO DE CONTAS],REL_DRE_FINANCEIRO!$B$1164,LANÇ_MOV[ANO PAGAMENTO],$B$4,LANÇ_MOV[MÊS PAGAMENTO CORRESPONDENTE],K$6,LANÇ_MOV[EMPRESA],$C$4,LANÇ_MOV[CENTRO DE CUSTOS],$D$4)</f>
        <v>0</v>
      </c>
      <c r="L1179" s="206">
        <f>SUMIFS(LANÇ_MOV[VALOR LÍQUIDO],LANÇ_MOV[RECEITA OU DESPESA],"Despesa",LANÇ_MOV[CONTAS],$C1179,LANÇ_MOV[PLANO DE CONTAS],REL_DRE_FINANCEIRO!$B$1164,LANÇ_MOV[ANO PAGAMENTO],$B$4,LANÇ_MOV[MÊS PAGAMENTO CORRESPONDENTE],L$6,LANÇ_MOV[EMPRESA],$C$4,LANÇ_MOV[CENTRO DE CUSTOS],$D$4)</f>
        <v>0</v>
      </c>
      <c r="M1179" s="206">
        <f>SUMIFS(LANÇ_MOV[VALOR LÍQUIDO],LANÇ_MOV[RECEITA OU DESPESA],"Despesa",LANÇ_MOV[CONTAS],$C1179,LANÇ_MOV[PLANO DE CONTAS],REL_DRE_FINANCEIRO!$B$1164,LANÇ_MOV[ANO PAGAMENTO],$B$4,LANÇ_MOV[MÊS PAGAMENTO CORRESPONDENTE],M$6,LANÇ_MOV[EMPRESA],$C$4,LANÇ_MOV[CENTRO DE CUSTOS],$D$4)</f>
        <v>0</v>
      </c>
      <c r="N1179" s="206">
        <f>SUMIFS(LANÇ_MOV[VALOR LÍQUIDO],LANÇ_MOV[RECEITA OU DESPESA],"Despesa",LANÇ_MOV[CONTAS],$C1179,LANÇ_MOV[PLANO DE CONTAS],REL_DRE_FINANCEIRO!$B$1164,LANÇ_MOV[ANO PAGAMENTO],$B$4,LANÇ_MOV[MÊS PAGAMENTO CORRESPONDENTE],N$6,LANÇ_MOV[EMPRESA],$C$4,LANÇ_MOV[CENTRO DE CUSTOS],$D$4)</f>
        <v>0</v>
      </c>
      <c r="O1179" s="206">
        <f>SUMIFS(LANÇ_MOV[VALOR LÍQUIDO],LANÇ_MOV[RECEITA OU DESPESA],"Despesa",LANÇ_MOV[CONTAS],$C1179,LANÇ_MOV[PLANO DE CONTAS],REL_DRE_FINANCEIRO!$B$1164,LANÇ_MOV[ANO PAGAMENTO],$B$4,LANÇ_MOV[MÊS PAGAMENTO CORRESPONDENTE],O$6,LANÇ_MOV[EMPRESA],$C$4,LANÇ_MOV[CENTRO DE CUSTOS],$D$4)</f>
        <v>0</v>
      </c>
      <c r="P1179" s="207">
        <f t="shared" si="145"/>
        <v>0</v>
      </c>
      <c r="Q1179" s="329">
        <v>8.6000000000000007E-6</v>
      </c>
      <c r="R1179" s="346">
        <f t="shared" si="146"/>
        <v>8.6000000000000007E-6</v>
      </c>
      <c r="S1179" s="347" t="str">
        <f t="shared" si="147"/>
        <v>-</v>
      </c>
      <c r="T1179" s="347">
        <f t="shared" si="148"/>
        <v>0</v>
      </c>
      <c r="U1179" s="347">
        <f>HLOOKUP(Apoio!$P$12,$D$1163:$P$1264,X1179,FALSE)+Q1179</f>
        <v>8.6000000000000007E-6</v>
      </c>
      <c r="V1179" s="447" t="str">
        <f t="shared" si="149"/>
        <v>-</v>
      </c>
      <c r="W1179" s="448">
        <f>HLOOKUP(Apoio!$P$12,$D$1163:$P$1264,X1179,FALSE)</f>
        <v>0</v>
      </c>
      <c r="X1179" s="329">
        <v>17</v>
      </c>
    </row>
    <row r="1180" spans="2:27" ht="30.05" customHeight="1" x14ac:dyDescent="0.35">
      <c r="B1180" s="204" t="str">
        <f>'CAD_PL_REC-DESP'!AI20</f>
        <v>2.9.16</v>
      </c>
      <c r="C1180" s="205" t="str">
        <f>IF('CAD_PL_REC-DESP'!AJ20="","-",'CAD_PL_REC-DESP'!AJ20)</f>
        <v>-</v>
      </c>
      <c r="D1180" s="206">
        <f>SUMIFS(LANÇ_MOV[VALOR LÍQUIDO],LANÇ_MOV[RECEITA OU DESPESA],"Despesa",LANÇ_MOV[CONTAS],$C1180,LANÇ_MOV[PLANO DE CONTAS],REL_DRE_FINANCEIRO!$B$1164,LANÇ_MOV[ANO PAGAMENTO],$B$4,LANÇ_MOV[MÊS PAGAMENTO CORRESPONDENTE],D$6,LANÇ_MOV[EMPRESA],$C$4,LANÇ_MOV[CENTRO DE CUSTOS],$D$4)</f>
        <v>0</v>
      </c>
      <c r="E1180" s="206">
        <f>SUMIFS(LANÇ_MOV[VALOR LÍQUIDO],LANÇ_MOV[RECEITA OU DESPESA],"Despesa",LANÇ_MOV[CONTAS],$C1180,LANÇ_MOV[PLANO DE CONTAS],REL_DRE_FINANCEIRO!$B$1164,LANÇ_MOV[ANO PAGAMENTO],$B$4,LANÇ_MOV[MÊS PAGAMENTO CORRESPONDENTE],E$6,LANÇ_MOV[EMPRESA],$C$4,LANÇ_MOV[CENTRO DE CUSTOS],$D$4)</f>
        <v>0</v>
      </c>
      <c r="F1180" s="206">
        <f>SUMIFS(LANÇ_MOV[VALOR LÍQUIDO],LANÇ_MOV[RECEITA OU DESPESA],"Despesa",LANÇ_MOV[CONTAS],$C1180,LANÇ_MOV[PLANO DE CONTAS],REL_DRE_FINANCEIRO!$B$1164,LANÇ_MOV[ANO PAGAMENTO],$B$4,LANÇ_MOV[MÊS PAGAMENTO CORRESPONDENTE],F$6,LANÇ_MOV[EMPRESA],$C$4,LANÇ_MOV[CENTRO DE CUSTOS],$D$4)</f>
        <v>0</v>
      </c>
      <c r="G1180" s="206">
        <f>SUMIFS(LANÇ_MOV[VALOR LÍQUIDO],LANÇ_MOV[RECEITA OU DESPESA],"Despesa",LANÇ_MOV[CONTAS],$C1180,LANÇ_MOV[PLANO DE CONTAS],REL_DRE_FINANCEIRO!$B$1164,LANÇ_MOV[ANO PAGAMENTO],$B$4,LANÇ_MOV[MÊS PAGAMENTO CORRESPONDENTE],G$6,LANÇ_MOV[EMPRESA],$C$4,LANÇ_MOV[CENTRO DE CUSTOS],$D$4)</f>
        <v>0</v>
      </c>
      <c r="H1180" s="206">
        <f>SUMIFS(LANÇ_MOV[VALOR LÍQUIDO],LANÇ_MOV[RECEITA OU DESPESA],"Despesa",LANÇ_MOV[CONTAS],$C1180,LANÇ_MOV[PLANO DE CONTAS],REL_DRE_FINANCEIRO!$B$1164,LANÇ_MOV[ANO PAGAMENTO],$B$4,LANÇ_MOV[MÊS PAGAMENTO CORRESPONDENTE],H$6,LANÇ_MOV[EMPRESA],$C$4,LANÇ_MOV[CENTRO DE CUSTOS],$D$4)</f>
        <v>0</v>
      </c>
      <c r="I1180" s="206">
        <f>SUMIFS(LANÇ_MOV[VALOR LÍQUIDO],LANÇ_MOV[RECEITA OU DESPESA],"Despesa",LANÇ_MOV[CONTAS],$C1180,LANÇ_MOV[PLANO DE CONTAS],REL_DRE_FINANCEIRO!$B$1164,LANÇ_MOV[ANO PAGAMENTO],$B$4,LANÇ_MOV[MÊS PAGAMENTO CORRESPONDENTE],I$6,LANÇ_MOV[EMPRESA],$C$4,LANÇ_MOV[CENTRO DE CUSTOS],$D$4)</f>
        <v>0</v>
      </c>
      <c r="J1180" s="206">
        <f>SUMIFS(LANÇ_MOV[VALOR LÍQUIDO],LANÇ_MOV[RECEITA OU DESPESA],"Despesa",LANÇ_MOV[CONTAS],$C1180,LANÇ_MOV[PLANO DE CONTAS],REL_DRE_FINANCEIRO!$B$1164,LANÇ_MOV[ANO PAGAMENTO],$B$4,LANÇ_MOV[MÊS PAGAMENTO CORRESPONDENTE],J$6,LANÇ_MOV[EMPRESA],$C$4,LANÇ_MOV[CENTRO DE CUSTOS],$D$4)</f>
        <v>0</v>
      </c>
      <c r="K1180" s="206">
        <f>SUMIFS(LANÇ_MOV[VALOR LÍQUIDO],LANÇ_MOV[RECEITA OU DESPESA],"Despesa",LANÇ_MOV[CONTAS],$C1180,LANÇ_MOV[PLANO DE CONTAS],REL_DRE_FINANCEIRO!$B$1164,LANÇ_MOV[ANO PAGAMENTO],$B$4,LANÇ_MOV[MÊS PAGAMENTO CORRESPONDENTE],K$6,LANÇ_MOV[EMPRESA],$C$4,LANÇ_MOV[CENTRO DE CUSTOS],$D$4)</f>
        <v>0</v>
      </c>
      <c r="L1180" s="206">
        <f>SUMIFS(LANÇ_MOV[VALOR LÍQUIDO],LANÇ_MOV[RECEITA OU DESPESA],"Despesa",LANÇ_MOV[CONTAS],$C1180,LANÇ_MOV[PLANO DE CONTAS],REL_DRE_FINANCEIRO!$B$1164,LANÇ_MOV[ANO PAGAMENTO],$B$4,LANÇ_MOV[MÊS PAGAMENTO CORRESPONDENTE],L$6,LANÇ_MOV[EMPRESA],$C$4,LANÇ_MOV[CENTRO DE CUSTOS],$D$4)</f>
        <v>0</v>
      </c>
      <c r="M1180" s="206">
        <f>SUMIFS(LANÇ_MOV[VALOR LÍQUIDO],LANÇ_MOV[RECEITA OU DESPESA],"Despesa",LANÇ_MOV[CONTAS],$C1180,LANÇ_MOV[PLANO DE CONTAS],REL_DRE_FINANCEIRO!$B$1164,LANÇ_MOV[ANO PAGAMENTO],$B$4,LANÇ_MOV[MÊS PAGAMENTO CORRESPONDENTE],M$6,LANÇ_MOV[EMPRESA],$C$4,LANÇ_MOV[CENTRO DE CUSTOS],$D$4)</f>
        <v>0</v>
      </c>
      <c r="N1180" s="206">
        <f>SUMIFS(LANÇ_MOV[VALOR LÍQUIDO],LANÇ_MOV[RECEITA OU DESPESA],"Despesa",LANÇ_MOV[CONTAS],$C1180,LANÇ_MOV[PLANO DE CONTAS],REL_DRE_FINANCEIRO!$B$1164,LANÇ_MOV[ANO PAGAMENTO],$B$4,LANÇ_MOV[MÊS PAGAMENTO CORRESPONDENTE],N$6,LANÇ_MOV[EMPRESA],$C$4,LANÇ_MOV[CENTRO DE CUSTOS],$D$4)</f>
        <v>0</v>
      </c>
      <c r="O1180" s="206">
        <f>SUMIFS(LANÇ_MOV[VALOR LÍQUIDO],LANÇ_MOV[RECEITA OU DESPESA],"Despesa",LANÇ_MOV[CONTAS],$C1180,LANÇ_MOV[PLANO DE CONTAS],REL_DRE_FINANCEIRO!$B$1164,LANÇ_MOV[ANO PAGAMENTO],$B$4,LANÇ_MOV[MÊS PAGAMENTO CORRESPONDENTE],O$6,LANÇ_MOV[EMPRESA],$C$4,LANÇ_MOV[CENTRO DE CUSTOS],$D$4)</f>
        <v>0</v>
      </c>
      <c r="P1180" s="207">
        <f t="shared" si="145"/>
        <v>0</v>
      </c>
      <c r="Q1180" s="329">
        <v>8.4999999999999999E-6</v>
      </c>
      <c r="R1180" s="346">
        <f t="shared" si="146"/>
        <v>8.4999999999999999E-6</v>
      </c>
      <c r="S1180" s="347" t="str">
        <f t="shared" si="147"/>
        <v>-</v>
      </c>
      <c r="T1180" s="347">
        <f t="shared" si="148"/>
        <v>0</v>
      </c>
      <c r="U1180" s="347">
        <f>HLOOKUP(Apoio!$P$12,$D$1163:$P$1264,X1180,FALSE)+Q1180</f>
        <v>8.4999999999999999E-6</v>
      </c>
      <c r="V1180" s="447" t="str">
        <f t="shared" si="149"/>
        <v>-</v>
      </c>
      <c r="W1180" s="448">
        <f>HLOOKUP(Apoio!$P$12,$D$1163:$P$1264,X1180,FALSE)</f>
        <v>0</v>
      </c>
      <c r="X1180" s="329">
        <v>18</v>
      </c>
    </row>
    <row r="1181" spans="2:27" ht="30.05" customHeight="1" x14ac:dyDescent="0.35">
      <c r="B1181" s="204" t="str">
        <f>'CAD_PL_REC-DESP'!AI21</f>
        <v>2.9.17</v>
      </c>
      <c r="C1181" s="205" t="str">
        <f>IF('CAD_PL_REC-DESP'!AJ21="","-",'CAD_PL_REC-DESP'!AJ21)</f>
        <v>-</v>
      </c>
      <c r="D1181" s="206">
        <f>SUMIFS(LANÇ_MOV[VALOR LÍQUIDO],LANÇ_MOV[RECEITA OU DESPESA],"Despesa",LANÇ_MOV[CONTAS],$C1181,LANÇ_MOV[PLANO DE CONTAS],REL_DRE_FINANCEIRO!$B$1164,LANÇ_MOV[ANO PAGAMENTO],$B$4,LANÇ_MOV[MÊS PAGAMENTO CORRESPONDENTE],D$6,LANÇ_MOV[EMPRESA],$C$4,LANÇ_MOV[CENTRO DE CUSTOS],$D$4)</f>
        <v>0</v>
      </c>
      <c r="E1181" s="206">
        <f>SUMIFS(LANÇ_MOV[VALOR LÍQUIDO],LANÇ_MOV[RECEITA OU DESPESA],"Despesa",LANÇ_MOV[CONTAS],$C1181,LANÇ_MOV[PLANO DE CONTAS],REL_DRE_FINANCEIRO!$B$1164,LANÇ_MOV[ANO PAGAMENTO],$B$4,LANÇ_MOV[MÊS PAGAMENTO CORRESPONDENTE],E$6,LANÇ_MOV[EMPRESA],$C$4,LANÇ_MOV[CENTRO DE CUSTOS],$D$4)</f>
        <v>0</v>
      </c>
      <c r="F1181" s="206">
        <f>SUMIFS(LANÇ_MOV[VALOR LÍQUIDO],LANÇ_MOV[RECEITA OU DESPESA],"Despesa",LANÇ_MOV[CONTAS],$C1181,LANÇ_MOV[PLANO DE CONTAS],REL_DRE_FINANCEIRO!$B$1164,LANÇ_MOV[ANO PAGAMENTO],$B$4,LANÇ_MOV[MÊS PAGAMENTO CORRESPONDENTE],F$6,LANÇ_MOV[EMPRESA],$C$4,LANÇ_MOV[CENTRO DE CUSTOS],$D$4)</f>
        <v>0</v>
      </c>
      <c r="G1181" s="206">
        <f>SUMIFS(LANÇ_MOV[VALOR LÍQUIDO],LANÇ_MOV[RECEITA OU DESPESA],"Despesa",LANÇ_MOV[CONTAS],$C1181,LANÇ_MOV[PLANO DE CONTAS],REL_DRE_FINANCEIRO!$B$1164,LANÇ_MOV[ANO PAGAMENTO],$B$4,LANÇ_MOV[MÊS PAGAMENTO CORRESPONDENTE],G$6,LANÇ_MOV[EMPRESA],$C$4,LANÇ_MOV[CENTRO DE CUSTOS],$D$4)</f>
        <v>0</v>
      </c>
      <c r="H1181" s="206">
        <f>SUMIFS(LANÇ_MOV[VALOR LÍQUIDO],LANÇ_MOV[RECEITA OU DESPESA],"Despesa",LANÇ_MOV[CONTAS],$C1181,LANÇ_MOV[PLANO DE CONTAS],REL_DRE_FINANCEIRO!$B$1164,LANÇ_MOV[ANO PAGAMENTO],$B$4,LANÇ_MOV[MÊS PAGAMENTO CORRESPONDENTE],H$6,LANÇ_MOV[EMPRESA],$C$4,LANÇ_MOV[CENTRO DE CUSTOS],$D$4)</f>
        <v>0</v>
      </c>
      <c r="I1181" s="206">
        <f>SUMIFS(LANÇ_MOV[VALOR LÍQUIDO],LANÇ_MOV[RECEITA OU DESPESA],"Despesa",LANÇ_MOV[CONTAS],$C1181,LANÇ_MOV[PLANO DE CONTAS],REL_DRE_FINANCEIRO!$B$1164,LANÇ_MOV[ANO PAGAMENTO],$B$4,LANÇ_MOV[MÊS PAGAMENTO CORRESPONDENTE],I$6,LANÇ_MOV[EMPRESA],$C$4,LANÇ_MOV[CENTRO DE CUSTOS],$D$4)</f>
        <v>0</v>
      </c>
      <c r="J1181" s="206">
        <f>SUMIFS(LANÇ_MOV[VALOR LÍQUIDO],LANÇ_MOV[RECEITA OU DESPESA],"Despesa",LANÇ_MOV[CONTAS],$C1181,LANÇ_MOV[PLANO DE CONTAS],REL_DRE_FINANCEIRO!$B$1164,LANÇ_MOV[ANO PAGAMENTO],$B$4,LANÇ_MOV[MÊS PAGAMENTO CORRESPONDENTE],J$6,LANÇ_MOV[EMPRESA],$C$4,LANÇ_MOV[CENTRO DE CUSTOS],$D$4)</f>
        <v>0</v>
      </c>
      <c r="K1181" s="206">
        <f>SUMIFS(LANÇ_MOV[VALOR LÍQUIDO],LANÇ_MOV[RECEITA OU DESPESA],"Despesa",LANÇ_MOV[CONTAS],$C1181,LANÇ_MOV[PLANO DE CONTAS],REL_DRE_FINANCEIRO!$B$1164,LANÇ_MOV[ANO PAGAMENTO],$B$4,LANÇ_MOV[MÊS PAGAMENTO CORRESPONDENTE],K$6,LANÇ_MOV[EMPRESA],$C$4,LANÇ_MOV[CENTRO DE CUSTOS],$D$4)</f>
        <v>0</v>
      </c>
      <c r="L1181" s="206">
        <f>SUMIFS(LANÇ_MOV[VALOR LÍQUIDO],LANÇ_MOV[RECEITA OU DESPESA],"Despesa",LANÇ_MOV[CONTAS],$C1181,LANÇ_MOV[PLANO DE CONTAS],REL_DRE_FINANCEIRO!$B$1164,LANÇ_MOV[ANO PAGAMENTO],$B$4,LANÇ_MOV[MÊS PAGAMENTO CORRESPONDENTE],L$6,LANÇ_MOV[EMPRESA],$C$4,LANÇ_MOV[CENTRO DE CUSTOS],$D$4)</f>
        <v>0</v>
      </c>
      <c r="M1181" s="206">
        <f>SUMIFS(LANÇ_MOV[VALOR LÍQUIDO],LANÇ_MOV[RECEITA OU DESPESA],"Despesa",LANÇ_MOV[CONTAS],$C1181,LANÇ_MOV[PLANO DE CONTAS],REL_DRE_FINANCEIRO!$B$1164,LANÇ_MOV[ANO PAGAMENTO],$B$4,LANÇ_MOV[MÊS PAGAMENTO CORRESPONDENTE],M$6,LANÇ_MOV[EMPRESA],$C$4,LANÇ_MOV[CENTRO DE CUSTOS],$D$4)</f>
        <v>0</v>
      </c>
      <c r="N1181" s="206">
        <f>SUMIFS(LANÇ_MOV[VALOR LÍQUIDO],LANÇ_MOV[RECEITA OU DESPESA],"Despesa",LANÇ_MOV[CONTAS],$C1181,LANÇ_MOV[PLANO DE CONTAS],REL_DRE_FINANCEIRO!$B$1164,LANÇ_MOV[ANO PAGAMENTO],$B$4,LANÇ_MOV[MÊS PAGAMENTO CORRESPONDENTE],N$6,LANÇ_MOV[EMPRESA],$C$4,LANÇ_MOV[CENTRO DE CUSTOS],$D$4)</f>
        <v>0</v>
      </c>
      <c r="O1181" s="206">
        <f>SUMIFS(LANÇ_MOV[VALOR LÍQUIDO],LANÇ_MOV[RECEITA OU DESPESA],"Despesa",LANÇ_MOV[CONTAS],$C1181,LANÇ_MOV[PLANO DE CONTAS],REL_DRE_FINANCEIRO!$B$1164,LANÇ_MOV[ANO PAGAMENTO],$B$4,LANÇ_MOV[MÊS PAGAMENTO CORRESPONDENTE],O$6,LANÇ_MOV[EMPRESA],$C$4,LANÇ_MOV[CENTRO DE CUSTOS],$D$4)</f>
        <v>0</v>
      </c>
      <c r="P1181" s="207">
        <f t="shared" si="145"/>
        <v>0</v>
      </c>
      <c r="Q1181" s="329">
        <v>8.3999999999999992E-6</v>
      </c>
      <c r="R1181" s="346">
        <f t="shared" si="146"/>
        <v>8.3999999999999992E-6</v>
      </c>
      <c r="S1181" s="347" t="str">
        <f t="shared" si="147"/>
        <v>-</v>
      </c>
      <c r="T1181" s="347">
        <f t="shared" si="148"/>
        <v>0</v>
      </c>
      <c r="U1181" s="347">
        <f>HLOOKUP(Apoio!$P$12,$D$1163:$P$1264,X1181,FALSE)+Q1181</f>
        <v>8.3999999999999992E-6</v>
      </c>
      <c r="V1181" s="447" t="str">
        <f t="shared" si="149"/>
        <v>-</v>
      </c>
      <c r="W1181" s="448">
        <f>HLOOKUP(Apoio!$P$12,$D$1163:$P$1264,X1181,FALSE)</f>
        <v>0</v>
      </c>
      <c r="X1181" s="329">
        <v>19</v>
      </c>
    </row>
    <row r="1182" spans="2:27" ht="30.05" customHeight="1" x14ac:dyDescent="0.35">
      <c r="B1182" s="204" t="str">
        <f>'CAD_PL_REC-DESP'!AI22</f>
        <v>2.9.18</v>
      </c>
      <c r="C1182" s="205" t="str">
        <f>IF('CAD_PL_REC-DESP'!AJ22="","-",'CAD_PL_REC-DESP'!AJ22)</f>
        <v>-</v>
      </c>
      <c r="D1182" s="206">
        <f>SUMIFS(LANÇ_MOV[VALOR LÍQUIDO],LANÇ_MOV[RECEITA OU DESPESA],"Despesa",LANÇ_MOV[CONTAS],$C1182,LANÇ_MOV[PLANO DE CONTAS],REL_DRE_FINANCEIRO!$B$1164,LANÇ_MOV[ANO PAGAMENTO],$B$4,LANÇ_MOV[MÊS PAGAMENTO CORRESPONDENTE],D$6,LANÇ_MOV[EMPRESA],$C$4,LANÇ_MOV[CENTRO DE CUSTOS],$D$4)</f>
        <v>0</v>
      </c>
      <c r="E1182" s="206">
        <f>SUMIFS(LANÇ_MOV[VALOR LÍQUIDO],LANÇ_MOV[RECEITA OU DESPESA],"Despesa",LANÇ_MOV[CONTAS],$C1182,LANÇ_MOV[PLANO DE CONTAS],REL_DRE_FINANCEIRO!$B$1164,LANÇ_MOV[ANO PAGAMENTO],$B$4,LANÇ_MOV[MÊS PAGAMENTO CORRESPONDENTE],E$6,LANÇ_MOV[EMPRESA],$C$4,LANÇ_MOV[CENTRO DE CUSTOS],$D$4)</f>
        <v>0</v>
      </c>
      <c r="F1182" s="206">
        <f>SUMIFS(LANÇ_MOV[VALOR LÍQUIDO],LANÇ_MOV[RECEITA OU DESPESA],"Despesa",LANÇ_MOV[CONTAS],$C1182,LANÇ_MOV[PLANO DE CONTAS],REL_DRE_FINANCEIRO!$B$1164,LANÇ_MOV[ANO PAGAMENTO],$B$4,LANÇ_MOV[MÊS PAGAMENTO CORRESPONDENTE],F$6,LANÇ_MOV[EMPRESA],$C$4,LANÇ_MOV[CENTRO DE CUSTOS],$D$4)</f>
        <v>0</v>
      </c>
      <c r="G1182" s="206">
        <f>SUMIFS(LANÇ_MOV[VALOR LÍQUIDO],LANÇ_MOV[RECEITA OU DESPESA],"Despesa",LANÇ_MOV[CONTAS],$C1182,LANÇ_MOV[PLANO DE CONTAS],REL_DRE_FINANCEIRO!$B$1164,LANÇ_MOV[ANO PAGAMENTO],$B$4,LANÇ_MOV[MÊS PAGAMENTO CORRESPONDENTE],G$6,LANÇ_MOV[EMPRESA],$C$4,LANÇ_MOV[CENTRO DE CUSTOS],$D$4)</f>
        <v>0</v>
      </c>
      <c r="H1182" s="206">
        <f>SUMIFS(LANÇ_MOV[VALOR LÍQUIDO],LANÇ_MOV[RECEITA OU DESPESA],"Despesa",LANÇ_MOV[CONTAS],$C1182,LANÇ_MOV[PLANO DE CONTAS],REL_DRE_FINANCEIRO!$B$1164,LANÇ_MOV[ANO PAGAMENTO],$B$4,LANÇ_MOV[MÊS PAGAMENTO CORRESPONDENTE],H$6,LANÇ_MOV[EMPRESA],$C$4,LANÇ_MOV[CENTRO DE CUSTOS],$D$4)</f>
        <v>0</v>
      </c>
      <c r="I1182" s="206">
        <f>SUMIFS(LANÇ_MOV[VALOR LÍQUIDO],LANÇ_MOV[RECEITA OU DESPESA],"Despesa",LANÇ_MOV[CONTAS],$C1182,LANÇ_MOV[PLANO DE CONTAS],REL_DRE_FINANCEIRO!$B$1164,LANÇ_MOV[ANO PAGAMENTO],$B$4,LANÇ_MOV[MÊS PAGAMENTO CORRESPONDENTE],I$6,LANÇ_MOV[EMPRESA],$C$4,LANÇ_MOV[CENTRO DE CUSTOS],$D$4)</f>
        <v>0</v>
      </c>
      <c r="J1182" s="206">
        <f>SUMIFS(LANÇ_MOV[VALOR LÍQUIDO],LANÇ_MOV[RECEITA OU DESPESA],"Despesa",LANÇ_MOV[CONTAS],$C1182,LANÇ_MOV[PLANO DE CONTAS],REL_DRE_FINANCEIRO!$B$1164,LANÇ_MOV[ANO PAGAMENTO],$B$4,LANÇ_MOV[MÊS PAGAMENTO CORRESPONDENTE],J$6,LANÇ_MOV[EMPRESA],$C$4,LANÇ_MOV[CENTRO DE CUSTOS],$D$4)</f>
        <v>0</v>
      </c>
      <c r="K1182" s="206">
        <f>SUMIFS(LANÇ_MOV[VALOR LÍQUIDO],LANÇ_MOV[RECEITA OU DESPESA],"Despesa",LANÇ_MOV[CONTAS],$C1182,LANÇ_MOV[PLANO DE CONTAS],REL_DRE_FINANCEIRO!$B$1164,LANÇ_MOV[ANO PAGAMENTO],$B$4,LANÇ_MOV[MÊS PAGAMENTO CORRESPONDENTE],K$6,LANÇ_MOV[EMPRESA],$C$4,LANÇ_MOV[CENTRO DE CUSTOS],$D$4)</f>
        <v>0</v>
      </c>
      <c r="L1182" s="206">
        <f>SUMIFS(LANÇ_MOV[VALOR LÍQUIDO],LANÇ_MOV[RECEITA OU DESPESA],"Despesa",LANÇ_MOV[CONTAS],$C1182,LANÇ_MOV[PLANO DE CONTAS],REL_DRE_FINANCEIRO!$B$1164,LANÇ_MOV[ANO PAGAMENTO],$B$4,LANÇ_MOV[MÊS PAGAMENTO CORRESPONDENTE],L$6,LANÇ_MOV[EMPRESA],$C$4,LANÇ_MOV[CENTRO DE CUSTOS],$D$4)</f>
        <v>0</v>
      </c>
      <c r="M1182" s="206">
        <f>SUMIFS(LANÇ_MOV[VALOR LÍQUIDO],LANÇ_MOV[RECEITA OU DESPESA],"Despesa",LANÇ_MOV[CONTAS],$C1182,LANÇ_MOV[PLANO DE CONTAS],REL_DRE_FINANCEIRO!$B$1164,LANÇ_MOV[ANO PAGAMENTO],$B$4,LANÇ_MOV[MÊS PAGAMENTO CORRESPONDENTE],M$6,LANÇ_MOV[EMPRESA],$C$4,LANÇ_MOV[CENTRO DE CUSTOS],$D$4)</f>
        <v>0</v>
      </c>
      <c r="N1182" s="206">
        <f>SUMIFS(LANÇ_MOV[VALOR LÍQUIDO],LANÇ_MOV[RECEITA OU DESPESA],"Despesa",LANÇ_MOV[CONTAS],$C1182,LANÇ_MOV[PLANO DE CONTAS],REL_DRE_FINANCEIRO!$B$1164,LANÇ_MOV[ANO PAGAMENTO],$B$4,LANÇ_MOV[MÊS PAGAMENTO CORRESPONDENTE],N$6,LANÇ_MOV[EMPRESA],$C$4,LANÇ_MOV[CENTRO DE CUSTOS],$D$4)</f>
        <v>0</v>
      </c>
      <c r="O1182" s="206">
        <f>SUMIFS(LANÇ_MOV[VALOR LÍQUIDO],LANÇ_MOV[RECEITA OU DESPESA],"Despesa",LANÇ_MOV[CONTAS],$C1182,LANÇ_MOV[PLANO DE CONTAS],REL_DRE_FINANCEIRO!$B$1164,LANÇ_MOV[ANO PAGAMENTO],$B$4,LANÇ_MOV[MÊS PAGAMENTO CORRESPONDENTE],O$6,LANÇ_MOV[EMPRESA],$C$4,LANÇ_MOV[CENTRO DE CUSTOS],$D$4)</f>
        <v>0</v>
      </c>
      <c r="P1182" s="207">
        <f t="shared" si="145"/>
        <v>0</v>
      </c>
      <c r="Q1182" s="329">
        <v>8.3000000000000002E-6</v>
      </c>
      <c r="R1182" s="346">
        <f t="shared" si="146"/>
        <v>8.3000000000000002E-6</v>
      </c>
      <c r="S1182" s="347" t="str">
        <f t="shared" si="147"/>
        <v>-</v>
      </c>
      <c r="T1182" s="347">
        <f t="shared" si="148"/>
        <v>0</v>
      </c>
      <c r="U1182" s="347">
        <f>HLOOKUP(Apoio!$P$12,$D$1163:$P$1264,X1182,FALSE)+Q1182</f>
        <v>8.3000000000000002E-6</v>
      </c>
      <c r="V1182" s="447" t="str">
        <f t="shared" si="149"/>
        <v>-</v>
      </c>
      <c r="W1182" s="448">
        <f>HLOOKUP(Apoio!$P$12,$D$1163:$P$1264,X1182,FALSE)</f>
        <v>0</v>
      </c>
      <c r="X1182" s="329">
        <v>20</v>
      </c>
    </row>
    <row r="1183" spans="2:27" ht="30.05" customHeight="1" x14ac:dyDescent="0.35">
      <c r="B1183" s="204" t="str">
        <f>'CAD_PL_REC-DESP'!AI23</f>
        <v>2.9.19</v>
      </c>
      <c r="C1183" s="205" t="str">
        <f>IF('CAD_PL_REC-DESP'!AJ23="","-",'CAD_PL_REC-DESP'!AJ23)</f>
        <v>-</v>
      </c>
      <c r="D1183" s="206">
        <f>SUMIFS(LANÇ_MOV[VALOR LÍQUIDO],LANÇ_MOV[RECEITA OU DESPESA],"Despesa",LANÇ_MOV[CONTAS],$C1183,LANÇ_MOV[PLANO DE CONTAS],REL_DRE_FINANCEIRO!$B$1164,LANÇ_MOV[ANO PAGAMENTO],$B$4,LANÇ_MOV[MÊS PAGAMENTO CORRESPONDENTE],D$6,LANÇ_MOV[EMPRESA],$C$4,LANÇ_MOV[CENTRO DE CUSTOS],$D$4)</f>
        <v>0</v>
      </c>
      <c r="E1183" s="206">
        <f>SUMIFS(LANÇ_MOV[VALOR LÍQUIDO],LANÇ_MOV[RECEITA OU DESPESA],"Despesa",LANÇ_MOV[CONTAS],$C1183,LANÇ_MOV[PLANO DE CONTAS],REL_DRE_FINANCEIRO!$B$1164,LANÇ_MOV[ANO PAGAMENTO],$B$4,LANÇ_MOV[MÊS PAGAMENTO CORRESPONDENTE],E$6,LANÇ_MOV[EMPRESA],$C$4,LANÇ_MOV[CENTRO DE CUSTOS],$D$4)</f>
        <v>0</v>
      </c>
      <c r="F1183" s="206">
        <f>SUMIFS(LANÇ_MOV[VALOR LÍQUIDO],LANÇ_MOV[RECEITA OU DESPESA],"Despesa",LANÇ_MOV[CONTAS],$C1183,LANÇ_MOV[PLANO DE CONTAS],REL_DRE_FINANCEIRO!$B$1164,LANÇ_MOV[ANO PAGAMENTO],$B$4,LANÇ_MOV[MÊS PAGAMENTO CORRESPONDENTE],F$6,LANÇ_MOV[EMPRESA],$C$4,LANÇ_MOV[CENTRO DE CUSTOS],$D$4)</f>
        <v>0</v>
      </c>
      <c r="G1183" s="206">
        <f>SUMIFS(LANÇ_MOV[VALOR LÍQUIDO],LANÇ_MOV[RECEITA OU DESPESA],"Despesa",LANÇ_MOV[CONTAS],$C1183,LANÇ_MOV[PLANO DE CONTAS],REL_DRE_FINANCEIRO!$B$1164,LANÇ_MOV[ANO PAGAMENTO],$B$4,LANÇ_MOV[MÊS PAGAMENTO CORRESPONDENTE],G$6,LANÇ_MOV[EMPRESA],$C$4,LANÇ_MOV[CENTRO DE CUSTOS],$D$4)</f>
        <v>0</v>
      </c>
      <c r="H1183" s="206">
        <f>SUMIFS(LANÇ_MOV[VALOR LÍQUIDO],LANÇ_MOV[RECEITA OU DESPESA],"Despesa",LANÇ_MOV[CONTAS],$C1183,LANÇ_MOV[PLANO DE CONTAS],REL_DRE_FINANCEIRO!$B$1164,LANÇ_MOV[ANO PAGAMENTO],$B$4,LANÇ_MOV[MÊS PAGAMENTO CORRESPONDENTE],H$6,LANÇ_MOV[EMPRESA],$C$4,LANÇ_MOV[CENTRO DE CUSTOS],$D$4)</f>
        <v>0</v>
      </c>
      <c r="I1183" s="206">
        <f>SUMIFS(LANÇ_MOV[VALOR LÍQUIDO],LANÇ_MOV[RECEITA OU DESPESA],"Despesa",LANÇ_MOV[CONTAS],$C1183,LANÇ_MOV[PLANO DE CONTAS],REL_DRE_FINANCEIRO!$B$1164,LANÇ_MOV[ANO PAGAMENTO],$B$4,LANÇ_MOV[MÊS PAGAMENTO CORRESPONDENTE],I$6,LANÇ_MOV[EMPRESA],$C$4,LANÇ_MOV[CENTRO DE CUSTOS],$D$4)</f>
        <v>0</v>
      </c>
      <c r="J1183" s="206">
        <f>SUMIFS(LANÇ_MOV[VALOR LÍQUIDO],LANÇ_MOV[RECEITA OU DESPESA],"Despesa",LANÇ_MOV[CONTAS],$C1183,LANÇ_MOV[PLANO DE CONTAS],REL_DRE_FINANCEIRO!$B$1164,LANÇ_MOV[ANO PAGAMENTO],$B$4,LANÇ_MOV[MÊS PAGAMENTO CORRESPONDENTE],J$6,LANÇ_MOV[EMPRESA],$C$4,LANÇ_MOV[CENTRO DE CUSTOS],$D$4)</f>
        <v>0</v>
      </c>
      <c r="K1183" s="206">
        <f>SUMIFS(LANÇ_MOV[VALOR LÍQUIDO],LANÇ_MOV[RECEITA OU DESPESA],"Despesa",LANÇ_MOV[CONTAS],$C1183,LANÇ_MOV[PLANO DE CONTAS],REL_DRE_FINANCEIRO!$B$1164,LANÇ_MOV[ANO PAGAMENTO],$B$4,LANÇ_MOV[MÊS PAGAMENTO CORRESPONDENTE],K$6,LANÇ_MOV[EMPRESA],$C$4,LANÇ_MOV[CENTRO DE CUSTOS],$D$4)</f>
        <v>0</v>
      </c>
      <c r="L1183" s="206">
        <f>SUMIFS(LANÇ_MOV[VALOR LÍQUIDO],LANÇ_MOV[RECEITA OU DESPESA],"Despesa",LANÇ_MOV[CONTAS],$C1183,LANÇ_MOV[PLANO DE CONTAS],REL_DRE_FINANCEIRO!$B$1164,LANÇ_MOV[ANO PAGAMENTO],$B$4,LANÇ_MOV[MÊS PAGAMENTO CORRESPONDENTE],L$6,LANÇ_MOV[EMPRESA],$C$4,LANÇ_MOV[CENTRO DE CUSTOS],$D$4)</f>
        <v>0</v>
      </c>
      <c r="M1183" s="206">
        <f>SUMIFS(LANÇ_MOV[VALOR LÍQUIDO],LANÇ_MOV[RECEITA OU DESPESA],"Despesa",LANÇ_MOV[CONTAS],$C1183,LANÇ_MOV[PLANO DE CONTAS],REL_DRE_FINANCEIRO!$B$1164,LANÇ_MOV[ANO PAGAMENTO],$B$4,LANÇ_MOV[MÊS PAGAMENTO CORRESPONDENTE],M$6,LANÇ_MOV[EMPRESA],$C$4,LANÇ_MOV[CENTRO DE CUSTOS],$D$4)</f>
        <v>0</v>
      </c>
      <c r="N1183" s="206">
        <f>SUMIFS(LANÇ_MOV[VALOR LÍQUIDO],LANÇ_MOV[RECEITA OU DESPESA],"Despesa",LANÇ_MOV[CONTAS],$C1183,LANÇ_MOV[PLANO DE CONTAS],REL_DRE_FINANCEIRO!$B$1164,LANÇ_MOV[ANO PAGAMENTO],$B$4,LANÇ_MOV[MÊS PAGAMENTO CORRESPONDENTE],N$6,LANÇ_MOV[EMPRESA],$C$4,LANÇ_MOV[CENTRO DE CUSTOS],$D$4)</f>
        <v>0</v>
      </c>
      <c r="O1183" s="206">
        <f>SUMIFS(LANÇ_MOV[VALOR LÍQUIDO],LANÇ_MOV[RECEITA OU DESPESA],"Despesa",LANÇ_MOV[CONTAS],$C1183,LANÇ_MOV[PLANO DE CONTAS],REL_DRE_FINANCEIRO!$B$1164,LANÇ_MOV[ANO PAGAMENTO],$B$4,LANÇ_MOV[MÊS PAGAMENTO CORRESPONDENTE],O$6,LANÇ_MOV[EMPRESA],$C$4,LANÇ_MOV[CENTRO DE CUSTOS],$D$4)</f>
        <v>0</v>
      </c>
      <c r="P1183" s="207">
        <f t="shared" si="145"/>
        <v>0</v>
      </c>
      <c r="Q1183" s="329">
        <v>8.1999999999999994E-6</v>
      </c>
      <c r="R1183" s="346">
        <f t="shared" si="146"/>
        <v>8.1999999999999994E-6</v>
      </c>
      <c r="S1183" s="347" t="str">
        <f t="shared" si="147"/>
        <v>-</v>
      </c>
      <c r="T1183" s="347">
        <f t="shared" si="148"/>
        <v>0</v>
      </c>
      <c r="U1183" s="347">
        <f>HLOOKUP(Apoio!$P$12,$D$1163:$P$1264,X1183,FALSE)+Q1183</f>
        <v>8.1999999999999994E-6</v>
      </c>
      <c r="V1183" s="447" t="str">
        <f t="shared" si="149"/>
        <v>-</v>
      </c>
      <c r="W1183" s="448">
        <f>HLOOKUP(Apoio!$P$12,$D$1163:$P$1264,X1183,FALSE)</f>
        <v>0</v>
      </c>
      <c r="X1183" s="329">
        <v>21</v>
      </c>
    </row>
    <row r="1184" spans="2:27" ht="30.05" customHeight="1" x14ac:dyDescent="0.35">
      <c r="B1184" s="204" t="str">
        <f>'CAD_PL_REC-DESP'!AI24</f>
        <v>2.9.20</v>
      </c>
      <c r="C1184" s="205" t="str">
        <f>IF('CAD_PL_REC-DESP'!AJ24="","-",'CAD_PL_REC-DESP'!AJ24)</f>
        <v>-</v>
      </c>
      <c r="D1184" s="206">
        <f>SUMIFS(LANÇ_MOV[VALOR LÍQUIDO],LANÇ_MOV[RECEITA OU DESPESA],"Despesa",LANÇ_MOV[CONTAS],$C1184,LANÇ_MOV[PLANO DE CONTAS],REL_DRE_FINANCEIRO!$B$1164,LANÇ_MOV[ANO PAGAMENTO],$B$4,LANÇ_MOV[MÊS PAGAMENTO CORRESPONDENTE],D$6,LANÇ_MOV[EMPRESA],$C$4,LANÇ_MOV[CENTRO DE CUSTOS],$D$4)</f>
        <v>0</v>
      </c>
      <c r="E1184" s="206">
        <f>SUMIFS(LANÇ_MOV[VALOR LÍQUIDO],LANÇ_MOV[RECEITA OU DESPESA],"Despesa",LANÇ_MOV[CONTAS],$C1184,LANÇ_MOV[PLANO DE CONTAS],REL_DRE_FINANCEIRO!$B$1164,LANÇ_MOV[ANO PAGAMENTO],$B$4,LANÇ_MOV[MÊS PAGAMENTO CORRESPONDENTE],E$6,LANÇ_MOV[EMPRESA],$C$4,LANÇ_MOV[CENTRO DE CUSTOS],$D$4)</f>
        <v>0</v>
      </c>
      <c r="F1184" s="206">
        <f>SUMIFS(LANÇ_MOV[VALOR LÍQUIDO],LANÇ_MOV[RECEITA OU DESPESA],"Despesa",LANÇ_MOV[CONTAS],$C1184,LANÇ_MOV[PLANO DE CONTAS],REL_DRE_FINANCEIRO!$B$1164,LANÇ_MOV[ANO PAGAMENTO],$B$4,LANÇ_MOV[MÊS PAGAMENTO CORRESPONDENTE],F$6,LANÇ_MOV[EMPRESA],$C$4,LANÇ_MOV[CENTRO DE CUSTOS],$D$4)</f>
        <v>0</v>
      </c>
      <c r="G1184" s="206">
        <f>SUMIFS(LANÇ_MOV[VALOR LÍQUIDO],LANÇ_MOV[RECEITA OU DESPESA],"Despesa",LANÇ_MOV[CONTAS],$C1184,LANÇ_MOV[PLANO DE CONTAS],REL_DRE_FINANCEIRO!$B$1164,LANÇ_MOV[ANO PAGAMENTO],$B$4,LANÇ_MOV[MÊS PAGAMENTO CORRESPONDENTE],G$6,LANÇ_MOV[EMPRESA],$C$4,LANÇ_MOV[CENTRO DE CUSTOS],$D$4)</f>
        <v>0</v>
      </c>
      <c r="H1184" s="206">
        <f>SUMIFS(LANÇ_MOV[VALOR LÍQUIDO],LANÇ_MOV[RECEITA OU DESPESA],"Despesa",LANÇ_MOV[CONTAS],$C1184,LANÇ_MOV[PLANO DE CONTAS],REL_DRE_FINANCEIRO!$B$1164,LANÇ_MOV[ANO PAGAMENTO],$B$4,LANÇ_MOV[MÊS PAGAMENTO CORRESPONDENTE],H$6,LANÇ_MOV[EMPRESA],$C$4,LANÇ_MOV[CENTRO DE CUSTOS],$D$4)</f>
        <v>0</v>
      </c>
      <c r="I1184" s="206">
        <f>SUMIFS(LANÇ_MOV[VALOR LÍQUIDO],LANÇ_MOV[RECEITA OU DESPESA],"Despesa",LANÇ_MOV[CONTAS],$C1184,LANÇ_MOV[PLANO DE CONTAS],REL_DRE_FINANCEIRO!$B$1164,LANÇ_MOV[ANO PAGAMENTO],$B$4,LANÇ_MOV[MÊS PAGAMENTO CORRESPONDENTE],I$6,LANÇ_MOV[EMPRESA],$C$4,LANÇ_MOV[CENTRO DE CUSTOS],$D$4)</f>
        <v>0</v>
      </c>
      <c r="J1184" s="206">
        <f>SUMIFS(LANÇ_MOV[VALOR LÍQUIDO],LANÇ_MOV[RECEITA OU DESPESA],"Despesa",LANÇ_MOV[CONTAS],$C1184,LANÇ_MOV[PLANO DE CONTAS],REL_DRE_FINANCEIRO!$B$1164,LANÇ_MOV[ANO PAGAMENTO],$B$4,LANÇ_MOV[MÊS PAGAMENTO CORRESPONDENTE],J$6,LANÇ_MOV[EMPRESA],$C$4,LANÇ_MOV[CENTRO DE CUSTOS],$D$4)</f>
        <v>0</v>
      </c>
      <c r="K1184" s="206">
        <f>SUMIFS(LANÇ_MOV[VALOR LÍQUIDO],LANÇ_MOV[RECEITA OU DESPESA],"Despesa",LANÇ_MOV[CONTAS],$C1184,LANÇ_MOV[PLANO DE CONTAS],REL_DRE_FINANCEIRO!$B$1164,LANÇ_MOV[ANO PAGAMENTO],$B$4,LANÇ_MOV[MÊS PAGAMENTO CORRESPONDENTE],K$6,LANÇ_MOV[EMPRESA],$C$4,LANÇ_MOV[CENTRO DE CUSTOS],$D$4)</f>
        <v>0</v>
      </c>
      <c r="L1184" s="206">
        <f>SUMIFS(LANÇ_MOV[VALOR LÍQUIDO],LANÇ_MOV[RECEITA OU DESPESA],"Despesa",LANÇ_MOV[CONTAS],$C1184,LANÇ_MOV[PLANO DE CONTAS],REL_DRE_FINANCEIRO!$B$1164,LANÇ_MOV[ANO PAGAMENTO],$B$4,LANÇ_MOV[MÊS PAGAMENTO CORRESPONDENTE],L$6,LANÇ_MOV[EMPRESA],$C$4,LANÇ_MOV[CENTRO DE CUSTOS],$D$4)</f>
        <v>0</v>
      </c>
      <c r="M1184" s="206">
        <f>SUMIFS(LANÇ_MOV[VALOR LÍQUIDO],LANÇ_MOV[RECEITA OU DESPESA],"Despesa",LANÇ_MOV[CONTAS],$C1184,LANÇ_MOV[PLANO DE CONTAS],REL_DRE_FINANCEIRO!$B$1164,LANÇ_MOV[ANO PAGAMENTO],$B$4,LANÇ_MOV[MÊS PAGAMENTO CORRESPONDENTE],M$6,LANÇ_MOV[EMPRESA],$C$4,LANÇ_MOV[CENTRO DE CUSTOS],$D$4)</f>
        <v>0</v>
      </c>
      <c r="N1184" s="206">
        <f>SUMIFS(LANÇ_MOV[VALOR LÍQUIDO],LANÇ_MOV[RECEITA OU DESPESA],"Despesa",LANÇ_MOV[CONTAS],$C1184,LANÇ_MOV[PLANO DE CONTAS],REL_DRE_FINANCEIRO!$B$1164,LANÇ_MOV[ANO PAGAMENTO],$B$4,LANÇ_MOV[MÊS PAGAMENTO CORRESPONDENTE],N$6,LANÇ_MOV[EMPRESA],$C$4,LANÇ_MOV[CENTRO DE CUSTOS],$D$4)</f>
        <v>0</v>
      </c>
      <c r="O1184" s="206">
        <f>SUMIFS(LANÇ_MOV[VALOR LÍQUIDO],LANÇ_MOV[RECEITA OU DESPESA],"Despesa",LANÇ_MOV[CONTAS],$C1184,LANÇ_MOV[PLANO DE CONTAS],REL_DRE_FINANCEIRO!$B$1164,LANÇ_MOV[ANO PAGAMENTO],$B$4,LANÇ_MOV[MÊS PAGAMENTO CORRESPONDENTE],O$6,LANÇ_MOV[EMPRESA],$C$4,LANÇ_MOV[CENTRO DE CUSTOS],$D$4)</f>
        <v>0</v>
      </c>
      <c r="P1184" s="207">
        <f t="shared" si="145"/>
        <v>0</v>
      </c>
      <c r="Q1184" s="329">
        <v>8.1000000000000004E-6</v>
      </c>
      <c r="R1184" s="346">
        <f t="shared" si="146"/>
        <v>8.1000000000000004E-6</v>
      </c>
      <c r="S1184" s="347" t="str">
        <f t="shared" si="147"/>
        <v>-</v>
      </c>
      <c r="T1184" s="347">
        <f t="shared" si="148"/>
        <v>0</v>
      </c>
      <c r="U1184" s="347">
        <f>HLOOKUP(Apoio!$P$12,$D$1163:$P$1264,X1184,FALSE)+Q1184</f>
        <v>8.1000000000000004E-6</v>
      </c>
      <c r="V1184" s="447" t="str">
        <f t="shared" si="149"/>
        <v>-</v>
      </c>
      <c r="W1184" s="448">
        <f>HLOOKUP(Apoio!$P$12,$D$1163:$P$1264,X1184,FALSE)</f>
        <v>0</v>
      </c>
      <c r="X1184" s="329">
        <v>22</v>
      </c>
    </row>
    <row r="1185" spans="2:24" ht="30.05" customHeight="1" x14ac:dyDescent="0.35">
      <c r="B1185" s="204" t="str">
        <f>'CAD_PL_REC-DESP'!AI25</f>
        <v>2.9.21</v>
      </c>
      <c r="C1185" s="205" t="str">
        <f>IF('CAD_PL_REC-DESP'!AJ25="","-",'CAD_PL_REC-DESP'!AJ25)</f>
        <v>-</v>
      </c>
      <c r="D1185" s="206">
        <f>SUMIFS(LANÇ_MOV[VALOR LÍQUIDO],LANÇ_MOV[RECEITA OU DESPESA],"Despesa",LANÇ_MOV[CONTAS],$C1185,LANÇ_MOV[PLANO DE CONTAS],REL_DRE_FINANCEIRO!$B$1164,LANÇ_MOV[ANO PAGAMENTO],$B$4,LANÇ_MOV[MÊS PAGAMENTO CORRESPONDENTE],D$6,LANÇ_MOV[EMPRESA],$C$4,LANÇ_MOV[CENTRO DE CUSTOS],$D$4)</f>
        <v>0</v>
      </c>
      <c r="E1185" s="206">
        <f>SUMIFS(LANÇ_MOV[VALOR LÍQUIDO],LANÇ_MOV[RECEITA OU DESPESA],"Despesa",LANÇ_MOV[CONTAS],$C1185,LANÇ_MOV[PLANO DE CONTAS],REL_DRE_FINANCEIRO!$B$1164,LANÇ_MOV[ANO PAGAMENTO],$B$4,LANÇ_MOV[MÊS PAGAMENTO CORRESPONDENTE],E$6,LANÇ_MOV[EMPRESA],$C$4,LANÇ_MOV[CENTRO DE CUSTOS],$D$4)</f>
        <v>0</v>
      </c>
      <c r="F1185" s="206">
        <f>SUMIFS(LANÇ_MOV[VALOR LÍQUIDO],LANÇ_MOV[RECEITA OU DESPESA],"Despesa",LANÇ_MOV[CONTAS],$C1185,LANÇ_MOV[PLANO DE CONTAS],REL_DRE_FINANCEIRO!$B$1164,LANÇ_MOV[ANO PAGAMENTO],$B$4,LANÇ_MOV[MÊS PAGAMENTO CORRESPONDENTE],F$6,LANÇ_MOV[EMPRESA],$C$4,LANÇ_MOV[CENTRO DE CUSTOS],$D$4)</f>
        <v>0</v>
      </c>
      <c r="G1185" s="206">
        <f>SUMIFS(LANÇ_MOV[VALOR LÍQUIDO],LANÇ_MOV[RECEITA OU DESPESA],"Despesa",LANÇ_MOV[CONTAS],$C1185,LANÇ_MOV[PLANO DE CONTAS],REL_DRE_FINANCEIRO!$B$1164,LANÇ_MOV[ANO PAGAMENTO],$B$4,LANÇ_MOV[MÊS PAGAMENTO CORRESPONDENTE],G$6,LANÇ_MOV[EMPRESA],$C$4,LANÇ_MOV[CENTRO DE CUSTOS],$D$4)</f>
        <v>0</v>
      </c>
      <c r="H1185" s="206">
        <f>SUMIFS(LANÇ_MOV[VALOR LÍQUIDO],LANÇ_MOV[RECEITA OU DESPESA],"Despesa",LANÇ_MOV[CONTAS],$C1185,LANÇ_MOV[PLANO DE CONTAS],REL_DRE_FINANCEIRO!$B$1164,LANÇ_MOV[ANO PAGAMENTO],$B$4,LANÇ_MOV[MÊS PAGAMENTO CORRESPONDENTE],H$6,LANÇ_MOV[EMPRESA],$C$4,LANÇ_MOV[CENTRO DE CUSTOS],$D$4)</f>
        <v>0</v>
      </c>
      <c r="I1185" s="206">
        <f>SUMIFS(LANÇ_MOV[VALOR LÍQUIDO],LANÇ_MOV[RECEITA OU DESPESA],"Despesa",LANÇ_MOV[CONTAS],$C1185,LANÇ_MOV[PLANO DE CONTAS],REL_DRE_FINANCEIRO!$B$1164,LANÇ_MOV[ANO PAGAMENTO],$B$4,LANÇ_MOV[MÊS PAGAMENTO CORRESPONDENTE],I$6,LANÇ_MOV[EMPRESA],$C$4,LANÇ_MOV[CENTRO DE CUSTOS],$D$4)</f>
        <v>0</v>
      </c>
      <c r="J1185" s="206">
        <f>SUMIFS(LANÇ_MOV[VALOR LÍQUIDO],LANÇ_MOV[RECEITA OU DESPESA],"Despesa",LANÇ_MOV[CONTAS],$C1185,LANÇ_MOV[PLANO DE CONTAS],REL_DRE_FINANCEIRO!$B$1164,LANÇ_MOV[ANO PAGAMENTO],$B$4,LANÇ_MOV[MÊS PAGAMENTO CORRESPONDENTE],J$6,LANÇ_MOV[EMPRESA],$C$4,LANÇ_MOV[CENTRO DE CUSTOS],$D$4)</f>
        <v>0</v>
      </c>
      <c r="K1185" s="206">
        <f>SUMIFS(LANÇ_MOV[VALOR LÍQUIDO],LANÇ_MOV[RECEITA OU DESPESA],"Despesa",LANÇ_MOV[CONTAS],$C1185,LANÇ_MOV[PLANO DE CONTAS],REL_DRE_FINANCEIRO!$B$1164,LANÇ_MOV[ANO PAGAMENTO],$B$4,LANÇ_MOV[MÊS PAGAMENTO CORRESPONDENTE],K$6,LANÇ_MOV[EMPRESA],$C$4,LANÇ_MOV[CENTRO DE CUSTOS],$D$4)</f>
        <v>0</v>
      </c>
      <c r="L1185" s="206">
        <f>SUMIFS(LANÇ_MOV[VALOR LÍQUIDO],LANÇ_MOV[RECEITA OU DESPESA],"Despesa",LANÇ_MOV[CONTAS],$C1185,LANÇ_MOV[PLANO DE CONTAS],REL_DRE_FINANCEIRO!$B$1164,LANÇ_MOV[ANO PAGAMENTO],$B$4,LANÇ_MOV[MÊS PAGAMENTO CORRESPONDENTE],L$6,LANÇ_MOV[EMPRESA],$C$4,LANÇ_MOV[CENTRO DE CUSTOS],$D$4)</f>
        <v>0</v>
      </c>
      <c r="M1185" s="206">
        <f>SUMIFS(LANÇ_MOV[VALOR LÍQUIDO],LANÇ_MOV[RECEITA OU DESPESA],"Despesa",LANÇ_MOV[CONTAS],$C1185,LANÇ_MOV[PLANO DE CONTAS],REL_DRE_FINANCEIRO!$B$1164,LANÇ_MOV[ANO PAGAMENTO],$B$4,LANÇ_MOV[MÊS PAGAMENTO CORRESPONDENTE],M$6,LANÇ_MOV[EMPRESA],$C$4,LANÇ_MOV[CENTRO DE CUSTOS],$D$4)</f>
        <v>0</v>
      </c>
      <c r="N1185" s="206">
        <f>SUMIFS(LANÇ_MOV[VALOR LÍQUIDO],LANÇ_MOV[RECEITA OU DESPESA],"Despesa",LANÇ_MOV[CONTAS],$C1185,LANÇ_MOV[PLANO DE CONTAS],REL_DRE_FINANCEIRO!$B$1164,LANÇ_MOV[ANO PAGAMENTO],$B$4,LANÇ_MOV[MÊS PAGAMENTO CORRESPONDENTE],N$6,LANÇ_MOV[EMPRESA],$C$4,LANÇ_MOV[CENTRO DE CUSTOS],$D$4)</f>
        <v>0</v>
      </c>
      <c r="O1185" s="206">
        <f>SUMIFS(LANÇ_MOV[VALOR LÍQUIDO],LANÇ_MOV[RECEITA OU DESPESA],"Despesa",LANÇ_MOV[CONTAS],$C1185,LANÇ_MOV[PLANO DE CONTAS],REL_DRE_FINANCEIRO!$B$1164,LANÇ_MOV[ANO PAGAMENTO],$B$4,LANÇ_MOV[MÊS PAGAMENTO CORRESPONDENTE],O$6,LANÇ_MOV[EMPRESA],$C$4,LANÇ_MOV[CENTRO DE CUSTOS],$D$4)</f>
        <v>0</v>
      </c>
      <c r="P1185" s="207">
        <f t="shared" si="145"/>
        <v>0</v>
      </c>
      <c r="Q1185" s="329">
        <v>7.9999999999999996E-6</v>
      </c>
      <c r="R1185" s="346">
        <f t="shared" si="146"/>
        <v>7.9999999999999996E-6</v>
      </c>
      <c r="S1185" s="347" t="str">
        <f t="shared" si="147"/>
        <v>-</v>
      </c>
      <c r="T1185" s="347">
        <f t="shared" si="148"/>
        <v>0</v>
      </c>
      <c r="U1185" s="347">
        <f>HLOOKUP(Apoio!$P$12,$D$1163:$P$1264,X1185,FALSE)+Q1185</f>
        <v>7.9999999999999996E-6</v>
      </c>
      <c r="V1185" s="447" t="str">
        <f t="shared" si="149"/>
        <v>-</v>
      </c>
      <c r="W1185" s="448">
        <f>HLOOKUP(Apoio!$P$12,$D$1163:$P$1264,X1185,FALSE)</f>
        <v>0</v>
      </c>
      <c r="X1185" s="329">
        <v>23</v>
      </c>
    </row>
    <row r="1186" spans="2:24" ht="30.05" customHeight="1" x14ac:dyDescent="0.35">
      <c r="B1186" s="204" t="str">
        <f>'CAD_PL_REC-DESP'!AI26</f>
        <v>2.9.22</v>
      </c>
      <c r="C1186" s="205" t="str">
        <f>IF('CAD_PL_REC-DESP'!AJ26="","-",'CAD_PL_REC-DESP'!AJ26)</f>
        <v>-</v>
      </c>
      <c r="D1186" s="206">
        <f>SUMIFS(LANÇ_MOV[VALOR LÍQUIDO],LANÇ_MOV[RECEITA OU DESPESA],"Despesa",LANÇ_MOV[CONTAS],$C1186,LANÇ_MOV[PLANO DE CONTAS],REL_DRE_FINANCEIRO!$B$1164,LANÇ_MOV[ANO PAGAMENTO],$B$4,LANÇ_MOV[MÊS PAGAMENTO CORRESPONDENTE],D$6,LANÇ_MOV[EMPRESA],$C$4,LANÇ_MOV[CENTRO DE CUSTOS],$D$4)</f>
        <v>0</v>
      </c>
      <c r="E1186" s="206">
        <f>SUMIFS(LANÇ_MOV[VALOR LÍQUIDO],LANÇ_MOV[RECEITA OU DESPESA],"Despesa",LANÇ_MOV[CONTAS],$C1186,LANÇ_MOV[PLANO DE CONTAS],REL_DRE_FINANCEIRO!$B$1164,LANÇ_MOV[ANO PAGAMENTO],$B$4,LANÇ_MOV[MÊS PAGAMENTO CORRESPONDENTE],E$6,LANÇ_MOV[EMPRESA],$C$4,LANÇ_MOV[CENTRO DE CUSTOS],$D$4)</f>
        <v>0</v>
      </c>
      <c r="F1186" s="206">
        <f>SUMIFS(LANÇ_MOV[VALOR LÍQUIDO],LANÇ_MOV[RECEITA OU DESPESA],"Despesa",LANÇ_MOV[CONTAS],$C1186,LANÇ_MOV[PLANO DE CONTAS],REL_DRE_FINANCEIRO!$B$1164,LANÇ_MOV[ANO PAGAMENTO],$B$4,LANÇ_MOV[MÊS PAGAMENTO CORRESPONDENTE],F$6,LANÇ_MOV[EMPRESA],$C$4,LANÇ_MOV[CENTRO DE CUSTOS],$D$4)</f>
        <v>0</v>
      </c>
      <c r="G1186" s="206">
        <f>SUMIFS(LANÇ_MOV[VALOR LÍQUIDO],LANÇ_MOV[RECEITA OU DESPESA],"Despesa",LANÇ_MOV[CONTAS],$C1186,LANÇ_MOV[PLANO DE CONTAS],REL_DRE_FINANCEIRO!$B$1164,LANÇ_MOV[ANO PAGAMENTO],$B$4,LANÇ_MOV[MÊS PAGAMENTO CORRESPONDENTE],G$6,LANÇ_MOV[EMPRESA],$C$4,LANÇ_MOV[CENTRO DE CUSTOS],$D$4)</f>
        <v>0</v>
      </c>
      <c r="H1186" s="206">
        <f>SUMIFS(LANÇ_MOV[VALOR LÍQUIDO],LANÇ_MOV[RECEITA OU DESPESA],"Despesa",LANÇ_MOV[CONTAS],$C1186,LANÇ_MOV[PLANO DE CONTAS],REL_DRE_FINANCEIRO!$B$1164,LANÇ_MOV[ANO PAGAMENTO],$B$4,LANÇ_MOV[MÊS PAGAMENTO CORRESPONDENTE],H$6,LANÇ_MOV[EMPRESA],$C$4,LANÇ_MOV[CENTRO DE CUSTOS],$D$4)</f>
        <v>0</v>
      </c>
      <c r="I1186" s="206">
        <f>SUMIFS(LANÇ_MOV[VALOR LÍQUIDO],LANÇ_MOV[RECEITA OU DESPESA],"Despesa",LANÇ_MOV[CONTAS],$C1186,LANÇ_MOV[PLANO DE CONTAS],REL_DRE_FINANCEIRO!$B$1164,LANÇ_MOV[ANO PAGAMENTO],$B$4,LANÇ_MOV[MÊS PAGAMENTO CORRESPONDENTE],I$6,LANÇ_MOV[EMPRESA],$C$4,LANÇ_MOV[CENTRO DE CUSTOS],$D$4)</f>
        <v>0</v>
      </c>
      <c r="J1186" s="206">
        <f>SUMIFS(LANÇ_MOV[VALOR LÍQUIDO],LANÇ_MOV[RECEITA OU DESPESA],"Despesa",LANÇ_MOV[CONTAS],$C1186,LANÇ_MOV[PLANO DE CONTAS],REL_DRE_FINANCEIRO!$B$1164,LANÇ_MOV[ANO PAGAMENTO],$B$4,LANÇ_MOV[MÊS PAGAMENTO CORRESPONDENTE],J$6,LANÇ_MOV[EMPRESA],$C$4,LANÇ_MOV[CENTRO DE CUSTOS],$D$4)</f>
        <v>0</v>
      </c>
      <c r="K1186" s="206">
        <f>SUMIFS(LANÇ_MOV[VALOR LÍQUIDO],LANÇ_MOV[RECEITA OU DESPESA],"Despesa",LANÇ_MOV[CONTAS],$C1186,LANÇ_MOV[PLANO DE CONTAS],REL_DRE_FINANCEIRO!$B$1164,LANÇ_MOV[ANO PAGAMENTO],$B$4,LANÇ_MOV[MÊS PAGAMENTO CORRESPONDENTE],K$6,LANÇ_MOV[EMPRESA],$C$4,LANÇ_MOV[CENTRO DE CUSTOS],$D$4)</f>
        <v>0</v>
      </c>
      <c r="L1186" s="206">
        <f>SUMIFS(LANÇ_MOV[VALOR LÍQUIDO],LANÇ_MOV[RECEITA OU DESPESA],"Despesa",LANÇ_MOV[CONTAS],$C1186,LANÇ_MOV[PLANO DE CONTAS],REL_DRE_FINANCEIRO!$B$1164,LANÇ_MOV[ANO PAGAMENTO],$B$4,LANÇ_MOV[MÊS PAGAMENTO CORRESPONDENTE],L$6,LANÇ_MOV[EMPRESA],$C$4,LANÇ_MOV[CENTRO DE CUSTOS],$D$4)</f>
        <v>0</v>
      </c>
      <c r="M1186" s="206">
        <f>SUMIFS(LANÇ_MOV[VALOR LÍQUIDO],LANÇ_MOV[RECEITA OU DESPESA],"Despesa",LANÇ_MOV[CONTAS],$C1186,LANÇ_MOV[PLANO DE CONTAS],REL_DRE_FINANCEIRO!$B$1164,LANÇ_MOV[ANO PAGAMENTO],$B$4,LANÇ_MOV[MÊS PAGAMENTO CORRESPONDENTE],M$6,LANÇ_MOV[EMPRESA],$C$4,LANÇ_MOV[CENTRO DE CUSTOS],$D$4)</f>
        <v>0</v>
      </c>
      <c r="N1186" s="206">
        <f>SUMIFS(LANÇ_MOV[VALOR LÍQUIDO],LANÇ_MOV[RECEITA OU DESPESA],"Despesa",LANÇ_MOV[CONTAS],$C1186,LANÇ_MOV[PLANO DE CONTAS],REL_DRE_FINANCEIRO!$B$1164,LANÇ_MOV[ANO PAGAMENTO],$B$4,LANÇ_MOV[MÊS PAGAMENTO CORRESPONDENTE],N$6,LANÇ_MOV[EMPRESA],$C$4,LANÇ_MOV[CENTRO DE CUSTOS],$D$4)</f>
        <v>0</v>
      </c>
      <c r="O1186" s="206">
        <f>SUMIFS(LANÇ_MOV[VALOR LÍQUIDO],LANÇ_MOV[RECEITA OU DESPESA],"Despesa",LANÇ_MOV[CONTAS],$C1186,LANÇ_MOV[PLANO DE CONTAS],REL_DRE_FINANCEIRO!$B$1164,LANÇ_MOV[ANO PAGAMENTO],$B$4,LANÇ_MOV[MÊS PAGAMENTO CORRESPONDENTE],O$6,LANÇ_MOV[EMPRESA],$C$4,LANÇ_MOV[CENTRO DE CUSTOS],$D$4)</f>
        <v>0</v>
      </c>
      <c r="P1186" s="207">
        <f t="shared" si="145"/>
        <v>0</v>
      </c>
      <c r="Q1186" s="329">
        <v>7.9000000000000006E-6</v>
      </c>
      <c r="R1186" s="346">
        <f t="shared" si="146"/>
        <v>7.9000000000000006E-6</v>
      </c>
      <c r="S1186" s="347" t="str">
        <f t="shared" si="147"/>
        <v>-</v>
      </c>
      <c r="T1186" s="347">
        <f t="shared" si="148"/>
        <v>0</v>
      </c>
      <c r="U1186" s="347">
        <f>HLOOKUP(Apoio!$P$12,$D$1163:$P$1264,X1186,FALSE)+Q1186</f>
        <v>7.9000000000000006E-6</v>
      </c>
      <c r="V1186" s="447" t="str">
        <f t="shared" si="149"/>
        <v>-</v>
      </c>
      <c r="W1186" s="448">
        <f>HLOOKUP(Apoio!$P$12,$D$1163:$P$1264,X1186,FALSE)</f>
        <v>0</v>
      </c>
      <c r="X1186" s="329">
        <v>24</v>
      </c>
    </row>
    <row r="1187" spans="2:24" ht="30.05" customHeight="1" x14ac:dyDescent="0.35">
      <c r="B1187" s="204" t="str">
        <f>'CAD_PL_REC-DESP'!AI27</f>
        <v>2.9.23</v>
      </c>
      <c r="C1187" s="205" t="str">
        <f>IF('CAD_PL_REC-DESP'!AJ27="","-",'CAD_PL_REC-DESP'!AJ27)</f>
        <v>-</v>
      </c>
      <c r="D1187" s="206">
        <f>SUMIFS(LANÇ_MOV[VALOR LÍQUIDO],LANÇ_MOV[RECEITA OU DESPESA],"Despesa",LANÇ_MOV[CONTAS],$C1187,LANÇ_MOV[PLANO DE CONTAS],REL_DRE_FINANCEIRO!$B$1164,LANÇ_MOV[ANO PAGAMENTO],$B$4,LANÇ_MOV[MÊS PAGAMENTO CORRESPONDENTE],D$6,LANÇ_MOV[EMPRESA],$C$4,LANÇ_MOV[CENTRO DE CUSTOS],$D$4)</f>
        <v>0</v>
      </c>
      <c r="E1187" s="206">
        <f>SUMIFS(LANÇ_MOV[VALOR LÍQUIDO],LANÇ_MOV[RECEITA OU DESPESA],"Despesa",LANÇ_MOV[CONTAS],$C1187,LANÇ_MOV[PLANO DE CONTAS],REL_DRE_FINANCEIRO!$B$1164,LANÇ_MOV[ANO PAGAMENTO],$B$4,LANÇ_MOV[MÊS PAGAMENTO CORRESPONDENTE],E$6,LANÇ_MOV[EMPRESA],$C$4,LANÇ_MOV[CENTRO DE CUSTOS],$D$4)</f>
        <v>0</v>
      </c>
      <c r="F1187" s="206">
        <f>SUMIFS(LANÇ_MOV[VALOR LÍQUIDO],LANÇ_MOV[RECEITA OU DESPESA],"Despesa",LANÇ_MOV[CONTAS],$C1187,LANÇ_MOV[PLANO DE CONTAS],REL_DRE_FINANCEIRO!$B$1164,LANÇ_MOV[ANO PAGAMENTO],$B$4,LANÇ_MOV[MÊS PAGAMENTO CORRESPONDENTE],F$6,LANÇ_MOV[EMPRESA],$C$4,LANÇ_MOV[CENTRO DE CUSTOS],$D$4)</f>
        <v>0</v>
      </c>
      <c r="G1187" s="206">
        <f>SUMIFS(LANÇ_MOV[VALOR LÍQUIDO],LANÇ_MOV[RECEITA OU DESPESA],"Despesa",LANÇ_MOV[CONTAS],$C1187,LANÇ_MOV[PLANO DE CONTAS],REL_DRE_FINANCEIRO!$B$1164,LANÇ_MOV[ANO PAGAMENTO],$B$4,LANÇ_MOV[MÊS PAGAMENTO CORRESPONDENTE],G$6,LANÇ_MOV[EMPRESA],$C$4,LANÇ_MOV[CENTRO DE CUSTOS],$D$4)</f>
        <v>0</v>
      </c>
      <c r="H1187" s="206">
        <f>SUMIFS(LANÇ_MOV[VALOR LÍQUIDO],LANÇ_MOV[RECEITA OU DESPESA],"Despesa",LANÇ_MOV[CONTAS],$C1187,LANÇ_MOV[PLANO DE CONTAS],REL_DRE_FINANCEIRO!$B$1164,LANÇ_MOV[ANO PAGAMENTO],$B$4,LANÇ_MOV[MÊS PAGAMENTO CORRESPONDENTE],H$6,LANÇ_MOV[EMPRESA],$C$4,LANÇ_MOV[CENTRO DE CUSTOS],$D$4)</f>
        <v>0</v>
      </c>
      <c r="I1187" s="206">
        <f>SUMIFS(LANÇ_MOV[VALOR LÍQUIDO],LANÇ_MOV[RECEITA OU DESPESA],"Despesa",LANÇ_MOV[CONTAS],$C1187,LANÇ_MOV[PLANO DE CONTAS],REL_DRE_FINANCEIRO!$B$1164,LANÇ_MOV[ANO PAGAMENTO],$B$4,LANÇ_MOV[MÊS PAGAMENTO CORRESPONDENTE],I$6,LANÇ_MOV[EMPRESA],$C$4,LANÇ_MOV[CENTRO DE CUSTOS],$D$4)</f>
        <v>0</v>
      </c>
      <c r="J1187" s="206">
        <f>SUMIFS(LANÇ_MOV[VALOR LÍQUIDO],LANÇ_MOV[RECEITA OU DESPESA],"Despesa",LANÇ_MOV[CONTAS],$C1187,LANÇ_MOV[PLANO DE CONTAS],REL_DRE_FINANCEIRO!$B$1164,LANÇ_MOV[ANO PAGAMENTO],$B$4,LANÇ_MOV[MÊS PAGAMENTO CORRESPONDENTE],J$6,LANÇ_MOV[EMPRESA],$C$4,LANÇ_MOV[CENTRO DE CUSTOS],$D$4)</f>
        <v>0</v>
      </c>
      <c r="K1187" s="206">
        <f>SUMIFS(LANÇ_MOV[VALOR LÍQUIDO],LANÇ_MOV[RECEITA OU DESPESA],"Despesa",LANÇ_MOV[CONTAS],$C1187,LANÇ_MOV[PLANO DE CONTAS],REL_DRE_FINANCEIRO!$B$1164,LANÇ_MOV[ANO PAGAMENTO],$B$4,LANÇ_MOV[MÊS PAGAMENTO CORRESPONDENTE],K$6,LANÇ_MOV[EMPRESA],$C$4,LANÇ_MOV[CENTRO DE CUSTOS],$D$4)</f>
        <v>0</v>
      </c>
      <c r="L1187" s="206">
        <f>SUMIFS(LANÇ_MOV[VALOR LÍQUIDO],LANÇ_MOV[RECEITA OU DESPESA],"Despesa",LANÇ_MOV[CONTAS],$C1187,LANÇ_MOV[PLANO DE CONTAS],REL_DRE_FINANCEIRO!$B$1164,LANÇ_MOV[ANO PAGAMENTO],$B$4,LANÇ_MOV[MÊS PAGAMENTO CORRESPONDENTE],L$6,LANÇ_MOV[EMPRESA],$C$4,LANÇ_MOV[CENTRO DE CUSTOS],$D$4)</f>
        <v>0</v>
      </c>
      <c r="M1187" s="206">
        <f>SUMIFS(LANÇ_MOV[VALOR LÍQUIDO],LANÇ_MOV[RECEITA OU DESPESA],"Despesa",LANÇ_MOV[CONTAS],$C1187,LANÇ_MOV[PLANO DE CONTAS],REL_DRE_FINANCEIRO!$B$1164,LANÇ_MOV[ANO PAGAMENTO],$B$4,LANÇ_MOV[MÊS PAGAMENTO CORRESPONDENTE],M$6,LANÇ_MOV[EMPRESA],$C$4,LANÇ_MOV[CENTRO DE CUSTOS],$D$4)</f>
        <v>0</v>
      </c>
      <c r="N1187" s="206">
        <f>SUMIFS(LANÇ_MOV[VALOR LÍQUIDO],LANÇ_MOV[RECEITA OU DESPESA],"Despesa",LANÇ_MOV[CONTAS],$C1187,LANÇ_MOV[PLANO DE CONTAS],REL_DRE_FINANCEIRO!$B$1164,LANÇ_MOV[ANO PAGAMENTO],$B$4,LANÇ_MOV[MÊS PAGAMENTO CORRESPONDENTE],N$6,LANÇ_MOV[EMPRESA],$C$4,LANÇ_MOV[CENTRO DE CUSTOS],$D$4)</f>
        <v>0</v>
      </c>
      <c r="O1187" s="206">
        <f>SUMIFS(LANÇ_MOV[VALOR LÍQUIDO],LANÇ_MOV[RECEITA OU DESPESA],"Despesa",LANÇ_MOV[CONTAS],$C1187,LANÇ_MOV[PLANO DE CONTAS],REL_DRE_FINANCEIRO!$B$1164,LANÇ_MOV[ANO PAGAMENTO],$B$4,LANÇ_MOV[MÊS PAGAMENTO CORRESPONDENTE],O$6,LANÇ_MOV[EMPRESA],$C$4,LANÇ_MOV[CENTRO DE CUSTOS],$D$4)</f>
        <v>0</v>
      </c>
      <c r="P1187" s="207">
        <f t="shared" si="145"/>
        <v>0</v>
      </c>
      <c r="Q1187" s="329">
        <v>7.7999999999999999E-6</v>
      </c>
      <c r="R1187" s="346">
        <f t="shared" si="146"/>
        <v>7.7999999999999999E-6</v>
      </c>
      <c r="S1187" s="347" t="str">
        <f t="shared" si="147"/>
        <v>-</v>
      </c>
      <c r="T1187" s="347">
        <f t="shared" si="148"/>
        <v>0</v>
      </c>
      <c r="U1187" s="347">
        <f>HLOOKUP(Apoio!$P$12,$D$1163:$P$1264,X1187,FALSE)+Q1187</f>
        <v>7.7999999999999999E-6</v>
      </c>
      <c r="V1187" s="447" t="str">
        <f t="shared" si="149"/>
        <v>-</v>
      </c>
      <c r="W1187" s="448">
        <f>HLOOKUP(Apoio!$P$12,$D$1163:$P$1264,X1187,FALSE)</f>
        <v>0</v>
      </c>
      <c r="X1187" s="329">
        <v>25</v>
      </c>
    </row>
    <row r="1188" spans="2:24" ht="30.05" customHeight="1" x14ac:dyDescent="0.35">
      <c r="B1188" s="204" t="str">
        <f>'CAD_PL_REC-DESP'!AI28</f>
        <v>2.9.24</v>
      </c>
      <c r="C1188" s="205" t="str">
        <f>IF('CAD_PL_REC-DESP'!AJ28="","-",'CAD_PL_REC-DESP'!AJ28)</f>
        <v>-</v>
      </c>
      <c r="D1188" s="206">
        <f>SUMIFS(LANÇ_MOV[VALOR LÍQUIDO],LANÇ_MOV[RECEITA OU DESPESA],"Despesa",LANÇ_MOV[CONTAS],$C1188,LANÇ_MOV[PLANO DE CONTAS],REL_DRE_FINANCEIRO!$B$1164,LANÇ_MOV[ANO PAGAMENTO],$B$4,LANÇ_MOV[MÊS PAGAMENTO CORRESPONDENTE],D$6,LANÇ_MOV[EMPRESA],$C$4,LANÇ_MOV[CENTRO DE CUSTOS],$D$4)</f>
        <v>0</v>
      </c>
      <c r="E1188" s="206">
        <f>SUMIFS(LANÇ_MOV[VALOR LÍQUIDO],LANÇ_MOV[RECEITA OU DESPESA],"Despesa",LANÇ_MOV[CONTAS],$C1188,LANÇ_MOV[PLANO DE CONTAS],REL_DRE_FINANCEIRO!$B$1164,LANÇ_MOV[ANO PAGAMENTO],$B$4,LANÇ_MOV[MÊS PAGAMENTO CORRESPONDENTE],E$6,LANÇ_MOV[EMPRESA],$C$4,LANÇ_MOV[CENTRO DE CUSTOS],$D$4)</f>
        <v>0</v>
      </c>
      <c r="F1188" s="206">
        <f>SUMIFS(LANÇ_MOV[VALOR LÍQUIDO],LANÇ_MOV[RECEITA OU DESPESA],"Despesa",LANÇ_MOV[CONTAS],$C1188,LANÇ_MOV[PLANO DE CONTAS],REL_DRE_FINANCEIRO!$B$1164,LANÇ_MOV[ANO PAGAMENTO],$B$4,LANÇ_MOV[MÊS PAGAMENTO CORRESPONDENTE],F$6,LANÇ_MOV[EMPRESA],$C$4,LANÇ_MOV[CENTRO DE CUSTOS],$D$4)</f>
        <v>0</v>
      </c>
      <c r="G1188" s="206">
        <f>SUMIFS(LANÇ_MOV[VALOR LÍQUIDO],LANÇ_MOV[RECEITA OU DESPESA],"Despesa",LANÇ_MOV[CONTAS],$C1188,LANÇ_MOV[PLANO DE CONTAS],REL_DRE_FINANCEIRO!$B$1164,LANÇ_MOV[ANO PAGAMENTO],$B$4,LANÇ_MOV[MÊS PAGAMENTO CORRESPONDENTE],G$6,LANÇ_MOV[EMPRESA],$C$4,LANÇ_MOV[CENTRO DE CUSTOS],$D$4)</f>
        <v>0</v>
      </c>
      <c r="H1188" s="206">
        <f>SUMIFS(LANÇ_MOV[VALOR LÍQUIDO],LANÇ_MOV[RECEITA OU DESPESA],"Despesa",LANÇ_MOV[CONTAS],$C1188,LANÇ_MOV[PLANO DE CONTAS],REL_DRE_FINANCEIRO!$B$1164,LANÇ_MOV[ANO PAGAMENTO],$B$4,LANÇ_MOV[MÊS PAGAMENTO CORRESPONDENTE],H$6,LANÇ_MOV[EMPRESA],$C$4,LANÇ_MOV[CENTRO DE CUSTOS],$D$4)</f>
        <v>0</v>
      </c>
      <c r="I1188" s="206">
        <f>SUMIFS(LANÇ_MOV[VALOR LÍQUIDO],LANÇ_MOV[RECEITA OU DESPESA],"Despesa",LANÇ_MOV[CONTAS],$C1188,LANÇ_MOV[PLANO DE CONTAS],REL_DRE_FINANCEIRO!$B$1164,LANÇ_MOV[ANO PAGAMENTO],$B$4,LANÇ_MOV[MÊS PAGAMENTO CORRESPONDENTE],I$6,LANÇ_MOV[EMPRESA],$C$4,LANÇ_MOV[CENTRO DE CUSTOS],$D$4)</f>
        <v>0</v>
      </c>
      <c r="J1188" s="206">
        <f>SUMIFS(LANÇ_MOV[VALOR LÍQUIDO],LANÇ_MOV[RECEITA OU DESPESA],"Despesa",LANÇ_MOV[CONTAS],$C1188,LANÇ_MOV[PLANO DE CONTAS],REL_DRE_FINANCEIRO!$B$1164,LANÇ_MOV[ANO PAGAMENTO],$B$4,LANÇ_MOV[MÊS PAGAMENTO CORRESPONDENTE],J$6,LANÇ_MOV[EMPRESA],$C$4,LANÇ_MOV[CENTRO DE CUSTOS],$D$4)</f>
        <v>0</v>
      </c>
      <c r="K1188" s="206">
        <f>SUMIFS(LANÇ_MOV[VALOR LÍQUIDO],LANÇ_MOV[RECEITA OU DESPESA],"Despesa",LANÇ_MOV[CONTAS],$C1188,LANÇ_MOV[PLANO DE CONTAS],REL_DRE_FINANCEIRO!$B$1164,LANÇ_MOV[ANO PAGAMENTO],$B$4,LANÇ_MOV[MÊS PAGAMENTO CORRESPONDENTE],K$6,LANÇ_MOV[EMPRESA],$C$4,LANÇ_MOV[CENTRO DE CUSTOS],$D$4)</f>
        <v>0</v>
      </c>
      <c r="L1188" s="206">
        <f>SUMIFS(LANÇ_MOV[VALOR LÍQUIDO],LANÇ_MOV[RECEITA OU DESPESA],"Despesa",LANÇ_MOV[CONTAS],$C1188,LANÇ_MOV[PLANO DE CONTAS],REL_DRE_FINANCEIRO!$B$1164,LANÇ_MOV[ANO PAGAMENTO],$B$4,LANÇ_MOV[MÊS PAGAMENTO CORRESPONDENTE],L$6,LANÇ_MOV[EMPRESA],$C$4,LANÇ_MOV[CENTRO DE CUSTOS],$D$4)</f>
        <v>0</v>
      </c>
      <c r="M1188" s="206">
        <f>SUMIFS(LANÇ_MOV[VALOR LÍQUIDO],LANÇ_MOV[RECEITA OU DESPESA],"Despesa",LANÇ_MOV[CONTAS],$C1188,LANÇ_MOV[PLANO DE CONTAS],REL_DRE_FINANCEIRO!$B$1164,LANÇ_MOV[ANO PAGAMENTO],$B$4,LANÇ_MOV[MÊS PAGAMENTO CORRESPONDENTE],M$6,LANÇ_MOV[EMPRESA],$C$4,LANÇ_MOV[CENTRO DE CUSTOS],$D$4)</f>
        <v>0</v>
      </c>
      <c r="N1188" s="206">
        <f>SUMIFS(LANÇ_MOV[VALOR LÍQUIDO],LANÇ_MOV[RECEITA OU DESPESA],"Despesa",LANÇ_MOV[CONTAS],$C1188,LANÇ_MOV[PLANO DE CONTAS],REL_DRE_FINANCEIRO!$B$1164,LANÇ_MOV[ANO PAGAMENTO],$B$4,LANÇ_MOV[MÊS PAGAMENTO CORRESPONDENTE],N$6,LANÇ_MOV[EMPRESA],$C$4,LANÇ_MOV[CENTRO DE CUSTOS],$D$4)</f>
        <v>0</v>
      </c>
      <c r="O1188" s="206">
        <f>SUMIFS(LANÇ_MOV[VALOR LÍQUIDO],LANÇ_MOV[RECEITA OU DESPESA],"Despesa",LANÇ_MOV[CONTAS],$C1188,LANÇ_MOV[PLANO DE CONTAS],REL_DRE_FINANCEIRO!$B$1164,LANÇ_MOV[ANO PAGAMENTO],$B$4,LANÇ_MOV[MÊS PAGAMENTO CORRESPONDENTE],O$6,LANÇ_MOV[EMPRESA],$C$4,LANÇ_MOV[CENTRO DE CUSTOS],$D$4)</f>
        <v>0</v>
      </c>
      <c r="P1188" s="207">
        <f t="shared" si="145"/>
        <v>0</v>
      </c>
      <c r="Q1188" s="329">
        <v>7.7000000000000008E-6</v>
      </c>
      <c r="R1188" s="346">
        <f t="shared" si="146"/>
        <v>7.7000000000000008E-6</v>
      </c>
      <c r="S1188" s="347" t="str">
        <f t="shared" si="147"/>
        <v>-</v>
      </c>
      <c r="T1188" s="347">
        <f t="shared" si="148"/>
        <v>0</v>
      </c>
      <c r="U1188" s="347">
        <f>HLOOKUP(Apoio!$P$12,$D$1163:$P$1264,X1188,FALSE)+Q1188</f>
        <v>7.7000000000000008E-6</v>
      </c>
      <c r="V1188" s="447" t="str">
        <f t="shared" si="149"/>
        <v>-</v>
      </c>
      <c r="W1188" s="448">
        <f>HLOOKUP(Apoio!$P$12,$D$1163:$P$1264,X1188,FALSE)</f>
        <v>0</v>
      </c>
      <c r="X1188" s="329">
        <v>26</v>
      </c>
    </row>
    <row r="1189" spans="2:24" ht="30.05" customHeight="1" x14ac:dyDescent="0.35">
      <c r="B1189" s="204" t="str">
        <f>'CAD_PL_REC-DESP'!AI29</f>
        <v>2.9.25</v>
      </c>
      <c r="C1189" s="205" t="str">
        <f>IF('CAD_PL_REC-DESP'!AJ29="","-",'CAD_PL_REC-DESP'!AJ29)</f>
        <v>-</v>
      </c>
      <c r="D1189" s="206">
        <f>SUMIFS(LANÇ_MOV[VALOR LÍQUIDO],LANÇ_MOV[RECEITA OU DESPESA],"Despesa",LANÇ_MOV[CONTAS],$C1189,LANÇ_MOV[PLANO DE CONTAS],REL_DRE_FINANCEIRO!$B$1164,LANÇ_MOV[ANO PAGAMENTO],$B$4,LANÇ_MOV[MÊS PAGAMENTO CORRESPONDENTE],D$6,LANÇ_MOV[EMPRESA],$C$4,LANÇ_MOV[CENTRO DE CUSTOS],$D$4)</f>
        <v>0</v>
      </c>
      <c r="E1189" s="206">
        <f>SUMIFS(LANÇ_MOV[VALOR LÍQUIDO],LANÇ_MOV[RECEITA OU DESPESA],"Despesa",LANÇ_MOV[CONTAS],$C1189,LANÇ_MOV[PLANO DE CONTAS],REL_DRE_FINANCEIRO!$B$1164,LANÇ_MOV[ANO PAGAMENTO],$B$4,LANÇ_MOV[MÊS PAGAMENTO CORRESPONDENTE],E$6,LANÇ_MOV[EMPRESA],$C$4,LANÇ_MOV[CENTRO DE CUSTOS],$D$4)</f>
        <v>0</v>
      </c>
      <c r="F1189" s="206">
        <f>SUMIFS(LANÇ_MOV[VALOR LÍQUIDO],LANÇ_MOV[RECEITA OU DESPESA],"Despesa",LANÇ_MOV[CONTAS],$C1189,LANÇ_MOV[PLANO DE CONTAS],REL_DRE_FINANCEIRO!$B$1164,LANÇ_MOV[ANO PAGAMENTO],$B$4,LANÇ_MOV[MÊS PAGAMENTO CORRESPONDENTE],F$6,LANÇ_MOV[EMPRESA],$C$4,LANÇ_MOV[CENTRO DE CUSTOS],$D$4)</f>
        <v>0</v>
      </c>
      <c r="G1189" s="206">
        <f>SUMIFS(LANÇ_MOV[VALOR LÍQUIDO],LANÇ_MOV[RECEITA OU DESPESA],"Despesa",LANÇ_MOV[CONTAS],$C1189,LANÇ_MOV[PLANO DE CONTAS],REL_DRE_FINANCEIRO!$B$1164,LANÇ_MOV[ANO PAGAMENTO],$B$4,LANÇ_MOV[MÊS PAGAMENTO CORRESPONDENTE],G$6,LANÇ_MOV[EMPRESA],$C$4,LANÇ_MOV[CENTRO DE CUSTOS],$D$4)</f>
        <v>0</v>
      </c>
      <c r="H1189" s="206">
        <f>SUMIFS(LANÇ_MOV[VALOR LÍQUIDO],LANÇ_MOV[RECEITA OU DESPESA],"Despesa",LANÇ_MOV[CONTAS],$C1189,LANÇ_MOV[PLANO DE CONTAS],REL_DRE_FINANCEIRO!$B$1164,LANÇ_MOV[ANO PAGAMENTO],$B$4,LANÇ_MOV[MÊS PAGAMENTO CORRESPONDENTE],H$6,LANÇ_MOV[EMPRESA],$C$4,LANÇ_MOV[CENTRO DE CUSTOS],$D$4)</f>
        <v>0</v>
      </c>
      <c r="I1189" s="206">
        <f>SUMIFS(LANÇ_MOV[VALOR LÍQUIDO],LANÇ_MOV[RECEITA OU DESPESA],"Despesa",LANÇ_MOV[CONTAS],$C1189,LANÇ_MOV[PLANO DE CONTAS],REL_DRE_FINANCEIRO!$B$1164,LANÇ_MOV[ANO PAGAMENTO],$B$4,LANÇ_MOV[MÊS PAGAMENTO CORRESPONDENTE],I$6,LANÇ_MOV[EMPRESA],$C$4,LANÇ_MOV[CENTRO DE CUSTOS],$D$4)</f>
        <v>0</v>
      </c>
      <c r="J1189" s="206">
        <f>SUMIFS(LANÇ_MOV[VALOR LÍQUIDO],LANÇ_MOV[RECEITA OU DESPESA],"Despesa",LANÇ_MOV[CONTAS],$C1189,LANÇ_MOV[PLANO DE CONTAS],REL_DRE_FINANCEIRO!$B$1164,LANÇ_MOV[ANO PAGAMENTO],$B$4,LANÇ_MOV[MÊS PAGAMENTO CORRESPONDENTE],J$6,LANÇ_MOV[EMPRESA],$C$4,LANÇ_MOV[CENTRO DE CUSTOS],$D$4)</f>
        <v>0</v>
      </c>
      <c r="K1189" s="206">
        <f>SUMIFS(LANÇ_MOV[VALOR LÍQUIDO],LANÇ_MOV[RECEITA OU DESPESA],"Despesa",LANÇ_MOV[CONTAS],$C1189,LANÇ_MOV[PLANO DE CONTAS],REL_DRE_FINANCEIRO!$B$1164,LANÇ_MOV[ANO PAGAMENTO],$B$4,LANÇ_MOV[MÊS PAGAMENTO CORRESPONDENTE],K$6,LANÇ_MOV[EMPRESA],$C$4,LANÇ_MOV[CENTRO DE CUSTOS],$D$4)</f>
        <v>0</v>
      </c>
      <c r="L1189" s="206">
        <f>SUMIFS(LANÇ_MOV[VALOR LÍQUIDO],LANÇ_MOV[RECEITA OU DESPESA],"Despesa",LANÇ_MOV[CONTAS],$C1189,LANÇ_MOV[PLANO DE CONTAS],REL_DRE_FINANCEIRO!$B$1164,LANÇ_MOV[ANO PAGAMENTO],$B$4,LANÇ_MOV[MÊS PAGAMENTO CORRESPONDENTE],L$6,LANÇ_MOV[EMPRESA],$C$4,LANÇ_MOV[CENTRO DE CUSTOS],$D$4)</f>
        <v>0</v>
      </c>
      <c r="M1189" s="206">
        <f>SUMIFS(LANÇ_MOV[VALOR LÍQUIDO],LANÇ_MOV[RECEITA OU DESPESA],"Despesa",LANÇ_MOV[CONTAS],$C1189,LANÇ_MOV[PLANO DE CONTAS],REL_DRE_FINANCEIRO!$B$1164,LANÇ_MOV[ANO PAGAMENTO],$B$4,LANÇ_MOV[MÊS PAGAMENTO CORRESPONDENTE],M$6,LANÇ_MOV[EMPRESA],$C$4,LANÇ_MOV[CENTRO DE CUSTOS],$D$4)</f>
        <v>0</v>
      </c>
      <c r="N1189" s="206">
        <f>SUMIFS(LANÇ_MOV[VALOR LÍQUIDO],LANÇ_MOV[RECEITA OU DESPESA],"Despesa",LANÇ_MOV[CONTAS],$C1189,LANÇ_MOV[PLANO DE CONTAS],REL_DRE_FINANCEIRO!$B$1164,LANÇ_MOV[ANO PAGAMENTO],$B$4,LANÇ_MOV[MÊS PAGAMENTO CORRESPONDENTE],N$6,LANÇ_MOV[EMPRESA],$C$4,LANÇ_MOV[CENTRO DE CUSTOS],$D$4)</f>
        <v>0</v>
      </c>
      <c r="O1189" s="206">
        <f>SUMIFS(LANÇ_MOV[VALOR LÍQUIDO],LANÇ_MOV[RECEITA OU DESPESA],"Despesa",LANÇ_MOV[CONTAS],$C1189,LANÇ_MOV[PLANO DE CONTAS],REL_DRE_FINANCEIRO!$B$1164,LANÇ_MOV[ANO PAGAMENTO],$B$4,LANÇ_MOV[MÊS PAGAMENTO CORRESPONDENTE],O$6,LANÇ_MOV[EMPRESA],$C$4,LANÇ_MOV[CENTRO DE CUSTOS],$D$4)</f>
        <v>0</v>
      </c>
      <c r="P1189" s="207">
        <f t="shared" si="145"/>
        <v>0</v>
      </c>
      <c r="Q1189" s="329">
        <v>7.6000000000000001E-6</v>
      </c>
      <c r="R1189" s="346">
        <f t="shared" si="146"/>
        <v>7.6000000000000001E-6</v>
      </c>
      <c r="S1189" s="347" t="str">
        <f t="shared" si="147"/>
        <v>-</v>
      </c>
      <c r="T1189" s="347">
        <f t="shared" si="148"/>
        <v>0</v>
      </c>
      <c r="U1189" s="347">
        <f>HLOOKUP(Apoio!$P$12,$D$1163:$P$1264,X1189,FALSE)+Q1189</f>
        <v>7.6000000000000001E-6</v>
      </c>
      <c r="V1189" s="447" t="str">
        <f t="shared" si="149"/>
        <v>-</v>
      </c>
      <c r="W1189" s="448">
        <f>HLOOKUP(Apoio!$P$12,$D$1163:$P$1264,X1189,FALSE)</f>
        <v>0</v>
      </c>
      <c r="X1189" s="329">
        <v>27</v>
      </c>
    </row>
    <row r="1190" spans="2:24" ht="30.05" customHeight="1" x14ac:dyDescent="0.35">
      <c r="B1190" s="204" t="str">
        <f>'CAD_PL_REC-DESP'!AI30</f>
        <v>2.9.26</v>
      </c>
      <c r="C1190" s="205" t="str">
        <f>IF('CAD_PL_REC-DESP'!AJ30="","-",'CAD_PL_REC-DESP'!AJ30)</f>
        <v>-</v>
      </c>
      <c r="D1190" s="206">
        <f>SUMIFS(LANÇ_MOV[VALOR LÍQUIDO],LANÇ_MOV[RECEITA OU DESPESA],"Despesa",LANÇ_MOV[CONTAS],$C1190,LANÇ_MOV[PLANO DE CONTAS],REL_DRE_FINANCEIRO!$B$1164,LANÇ_MOV[ANO PAGAMENTO],$B$4,LANÇ_MOV[MÊS PAGAMENTO CORRESPONDENTE],D$6,LANÇ_MOV[EMPRESA],$C$4,LANÇ_MOV[CENTRO DE CUSTOS],$D$4)</f>
        <v>0</v>
      </c>
      <c r="E1190" s="206">
        <f>SUMIFS(LANÇ_MOV[VALOR LÍQUIDO],LANÇ_MOV[RECEITA OU DESPESA],"Despesa",LANÇ_MOV[CONTAS],$C1190,LANÇ_MOV[PLANO DE CONTAS],REL_DRE_FINANCEIRO!$B$1164,LANÇ_MOV[ANO PAGAMENTO],$B$4,LANÇ_MOV[MÊS PAGAMENTO CORRESPONDENTE],E$6,LANÇ_MOV[EMPRESA],$C$4,LANÇ_MOV[CENTRO DE CUSTOS],$D$4)</f>
        <v>0</v>
      </c>
      <c r="F1190" s="206">
        <f>SUMIFS(LANÇ_MOV[VALOR LÍQUIDO],LANÇ_MOV[RECEITA OU DESPESA],"Despesa",LANÇ_MOV[CONTAS],$C1190,LANÇ_MOV[PLANO DE CONTAS],REL_DRE_FINANCEIRO!$B$1164,LANÇ_MOV[ANO PAGAMENTO],$B$4,LANÇ_MOV[MÊS PAGAMENTO CORRESPONDENTE],F$6,LANÇ_MOV[EMPRESA],$C$4,LANÇ_MOV[CENTRO DE CUSTOS],$D$4)</f>
        <v>0</v>
      </c>
      <c r="G1190" s="206">
        <f>SUMIFS(LANÇ_MOV[VALOR LÍQUIDO],LANÇ_MOV[RECEITA OU DESPESA],"Despesa",LANÇ_MOV[CONTAS],$C1190,LANÇ_MOV[PLANO DE CONTAS],REL_DRE_FINANCEIRO!$B$1164,LANÇ_MOV[ANO PAGAMENTO],$B$4,LANÇ_MOV[MÊS PAGAMENTO CORRESPONDENTE],G$6,LANÇ_MOV[EMPRESA],$C$4,LANÇ_MOV[CENTRO DE CUSTOS],$D$4)</f>
        <v>0</v>
      </c>
      <c r="H1190" s="206">
        <f>SUMIFS(LANÇ_MOV[VALOR LÍQUIDO],LANÇ_MOV[RECEITA OU DESPESA],"Despesa",LANÇ_MOV[CONTAS],$C1190,LANÇ_MOV[PLANO DE CONTAS],REL_DRE_FINANCEIRO!$B$1164,LANÇ_MOV[ANO PAGAMENTO],$B$4,LANÇ_MOV[MÊS PAGAMENTO CORRESPONDENTE],H$6,LANÇ_MOV[EMPRESA],$C$4,LANÇ_MOV[CENTRO DE CUSTOS],$D$4)</f>
        <v>0</v>
      </c>
      <c r="I1190" s="206">
        <f>SUMIFS(LANÇ_MOV[VALOR LÍQUIDO],LANÇ_MOV[RECEITA OU DESPESA],"Despesa",LANÇ_MOV[CONTAS],$C1190,LANÇ_MOV[PLANO DE CONTAS],REL_DRE_FINANCEIRO!$B$1164,LANÇ_MOV[ANO PAGAMENTO],$B$4,LANÇ_MOV[MÊS PAGAMENTO CORRESPONDENTE],I$6,LANÇ_MOV[EMPRESA],$C$4,LANÇ_MOV[CENTRO DE CUSTOS],$D$4)</f>
        <v>0</v>
      </c>
      <c r="J1190" s="206">
        <f>SUMIFS(LANÇ_MOV[VALOR LÍQUIDO],LANÇ_MOV[RECEITA OU DESPESA],"Despesa",LANÇ_MOV[CONTAS],$C1190,LANÇ_MOV[PLANO DE CONTAS],REL_DRE_FINANCEIRO!$B$1164,LANÇ_MOV[ANO PAGAMENTO],$B$4,LANÇ_MOV[MÊS PAGAMENTO CORRESPONDENTE],J$6,LANÇ_MOV[EMPRESA],$C$4,LANÇ_MOV[CENTRO DE CUSTOS],$D$4)</f>
        <v>0</v>
      </c>
      <c r="K1190" s="206">
        <f>SUMIFS(LANÇ_MOV[VALOR LÍQUIDO],LANÇ_MOV[RECEITA OU DESPESA],"Despesa",LANÇ_MOV[CONTAS],$C1190,LANÇ_MOV[PLANO DE CONTAS],REL_DRE_FINANCEIRO!$B$1164,LANÇ_MOV[ANO PAGAMENTO],$B$4,LANÇ_MOV[MÊS PAGAMENTO CORRESPONDENTE],K$6,LANÇ_MOV[EMPRESA],$C$4,LANÇ_MOV[CENTRO DE CUSTOS],$D$4)</f>
        <v>0</v>
      </c>
      <c r="L1190" s="206">
        <f>SUMIFS(LANÇ_MOV[VALOR LÍQUIDO],LANÇ_MOV[RECEITA OU DESPESA],"Despesa",LANÇ_MOV[CONTAS],$C1190,LANÇ_MOV[PLANO DE CONTAS],REL_DRE_FINANCEIRO!$B$1164,LANÇ_MOV[ANO PAGAMENTO],$B$4,LANÇ_MOV[MÊS PAGAMENTO CORRESPONDENTE],L$6,LANÇ_MOV[EMPRESA],$C$4,LANÇ_MOV[CENTRO DE CUSTOS],$D$4)</f>
        <v>0</v>
      </c>
      <c r="M1190" s="206">
        <f>SUMIFS(LANÇ_MOV[VALOR LÍQUIDO],LANÇ_MOV[RECEITA OU DESPESA],"Despesa",LANÇ_MOV[CONTAS],$C1190,LANÇ_MOV[PLANO DE CONTAS],REL_DRE_FINANCEIRO!$B$1164,LANÇ_MOV[ANO PAGAMENTO],$B$4,LANÇ_MOV[MÊS PAGAMENTO CORRESPONDENTE],M$6,LANÇ_MOV[EMPRESA],$C$4,LANÇ_MOV[CENTRO DE CUSTOS],$D$4)</f>
        <v>0</v>
      </c>
      <c r="N1190" s="206">
        <f>SUMIFS(LANÇ_MOV[VALOR LÍQUIDO],LANÇ_MOV[RECEITA OU DESPESA],"Despesa",LANÇ_MOV[CONTAS],$C1190,LANÇ_MOV[PLANO DE CONTAS],REL_DRE_FINANCEIRO!$B$1164,LANÇ_MOV[ANO PAGAMENTO],$B$4,LANÇ_MOV[MÊS PAGAMENTO CORRESPONDENTE],N$6,LANÇ_MOV[EMPRESA],$C$4,LANÇ_MOV[CENTRO DE CUSTOS],$D$4)</f>
        <v>0</v>
      </c>
      <c r="O1190" s="206">
        <f>SUMIFS(LANÇ_MOV[VALOR LÍQUIDO],LANÇ_MOV[RECEITA OU DESPESA],"Despesa",LANÇ_MOV[CONTAS],$C1190,LANÇ_MOV[PLANO DE CONTAS],REL_DRE_FINANCEIRO!$B$1164,LANÇ_MOV[ANO PAGAMENTO],$B$4,LANÇ_MOV[MÊS PAGAMENTO CORRESPONDENTE],O$6,LANÇ_MOV[EMPRESA],$C$4,LANÇ_MOV[CENTRO DE CUSTOS],$D$4)</f>
        <v>0</v>
      </c>
      <c r="P1190" s="207">
        <f t="shared" si="145"/>
        <v>0</v>
      </c>
      <c r="Q1190" s="329">
        <v>7.5000000000000002E-6</v>
      </c>
      <c r="R1190" s="346">
        <f t="shared" si="146"/>
        <v>7.5000000000000002E-6</v>
      </c>
      <c r="S1190" s="347" t="str">
        <f t="shared" si="147"/>
        <v>-</v>
      </c>
      <c r="T1190" s="347">
        <f t="shared" si="148"/>
        <v>0</v>
      </c>
      <c r="U1190" s="347">
        <f>HLOOKUP(Apoio!$P$12,$D$1163:$P$1264,X1190,FALSE)+Q1190</f>
        <v>7.5000000000000002E-6</v>
      </c>
      <c r="V1190" s="447" t="str">
        <f t="shared" si="149"/>
        <v>-</v>
      </c>
      <c r="W1190" s="448">
        <f>HLOOKUP(Apoio!$P$12,$D$1163:$P$1264,X1190,FALSE)</f>
        <v>0</v>
      </c>
      <c r="X1190" s="329">
        <v>28</v>
      </c>
    </row>
    <row r="1191" spans="2:24" ht="30.05" customHeight="1" x14ac:dyDescent="0.35">
      <c r="B1191" s="204" t="str">
        <f>'CAD_PL_REC-DESP'!AI31</f>
        <v>2.9.27</v>
      </c>
      <c r="C1191" s="205" t="str">
        <f>IF('CAD_PL_REC-DESP'!AJ31="","-",'CAD_PL_REC-DESP'!AJ31)</f>
        <v>-</v>
      </c>
      <c r="D1191" s="206">
        <f>SUMIFS(LANÇ_MOV[VALOR LÍQUIDO],LANÇ_MOV[RECEITA OU DESPESA],"Despesa",LANÇ_MOV[CONTAS],$C1191,LANÇ_MOV[PLANO DE CONTAS],REL_DRE_FINANCEIRO!$B$1164,LANÇ_MOV[ANO PAGAMENTO],$B$4,LANÇ_MOV[MÊS PAGAMENTO CORRESPONDENTE],D$6,LANÇ_MOV[EMPRESA],$C$4,LANÇ_MOV[CENTRO DE CUSTOS],$D$4)</f>
        <v>0</v>
      </c>
      <c r="E1191" s="206">
        <f>SUMIFS(LANÇ_MOV[VALOR LÍQUIDO],LANÇ_MOV[RECEITA OU DESPESA],"Despesa",LANÇ_MOV[CONTAS],$C1191,LANÇ_MOV[PLANO DE CONTAS],REL_DRE_FINANCEIRO!$B$1164,LANÇ_MOV[ANO PAGAMENTO],$B$4,LANÇ_MOV[MÊS PAGAMENTO CORRESPONDENTE],E$6,LANÇ_MOV[EMPRESA],$C$4,LANÇ_MOV[CENTRO DE CUSTOS],$D$4)</f>
        <v>0</v>
      </c>
      <c r="F1191" s="206">
        <f>SUMIFS(LANÇ_MOV[VALOR LÍQUIDO],LANÇ_MOV[RECEITA OU DESPESA],"Despesa",LANÇ_MOV[CONTAS],$C1191,LANÇ_MOV[PLANO DE CONTAS],REL_DRE_FINANCEIRO!$B$1164,LANÇ_MOV[ANO PAGAMENTO],$B$4,LANÇ_MOV[MÊS PAGAMENTO CORRESPONDENTE],F$6,LANÇ_MOV[EMPRESA],$C$4,LANÇ_MOV[CENTRO DE CUSTOS],$D$4)</f>
        <v>0</v>
      </c>
      <c r="G1191" s="206">
        <f>SUMIFS(LANÇ_MOV[VALOR LÍQUIDO],LANÇ_MOV[RECEITA OU DESPESA],"Despesa",LANÇ_MOV[CONTAS],$C1191,LANÇ_MOV[PLANO DE CONTAS],REL_DRE_FINANCEIRO!$B$1164,LANÇ_MOV[ANO PAGAMENTO],$B$4,LANÇ_MOV[MÊS PAGAMENTO CORRESPONDENTE],G$6,LANÇ_MOV[EMPRESA],$C$4,LANÇ_MOV[CENTRO DE CUSTOS],$D$4)</f>
        <v>0</v>
      </c>
      <c r="H1191" s="206">
        <f>SUMIFS(LANÇ_MOV[VALOR LÍQUIDO],LANÇ_MOV[RECEITA OU DESPESA],"Despesa",LANÇ_MOV[CONTAS],$C1191,LANÇ_MOV[PLANO DE CONTAS],REL_DRE_FINANCEIRO!$B$1164,LANÇ_MOV[ANO PAGAMENTO],$B$4,LANÇ_MOV[MÊS PAGAMENTO CORRESPONDENTE],H$6,LANÇ_MOV[EMPRESA],$C$4,LANÇ_MOV[CENTRO DE CUSTOS],$D$4)</f>
        <v>0</v>
      </c>
      <c r="I1191" s="206">
        <f>SUMIFS(LANÇ_MOV[VALOR LÍQUIDO],LANÇ_MOV[RECEITA OU DESPESA],"Despesa",LANÇ_MOV[CONTAS],$C1191,LANÇ_MOV[PLANO DE CONTAS],REL_DRE_FINANCEIRO!$B$1164,LANÇ_MOV[ANO PAGAMENTO],$B$4,LANÇ_MOV[MÊS PAGAMENTO CORRESPONDENTE],I$6,LANÇ_MOV[EMPRESA],$C$4,LANÇ_MOV[CENTRO DE CUSTOS],$D$4)</f>
        <v>0</v>
      </c>
      <c r="J1191" s="206">
        <f>SUMIFS(LANÇ_MOV[VALOR LÍQUIDO],LANÇ_MOV[RECEITA OU DESPESA],"Despesa",LANÇ_MOV[CONTAS],$C1191,LANÇ_MOV[PLANO DE CONTAS],REL_DRE_FINANCEIRO!$B$1164,LANÇ_MOV[ANO PAGAMENTO],$B$4,LANÇ_MOV[MÊS PAGAMENTO CORRESPONDENTE],J$6,LANÇ_MOV[EMPRESA],$C$4,LANÇ_MOV[CENTRO DE CUSTOS],$D$4)</f>
        <v>0</v>
      </c>
      <c r="K1191" s="206">
        <f>SUMIFS(LANÇ_MOV[VALOR LÍQUIDO],LANÇ_MOV[RECEITA OU DESPESA],"Despesa",LANÇ_MOV[CONTAS],$C1191,LANÇ_MOV[PLANO DE CONTAS],REL_DRE_FINANCEIRO!$B$1164,LANÇ_MOV[ANO PAGAMENTO],$B$4,LANÇ_MOV[MÊS PAGAMENTO CORRESPONDENTE],K$6,LANÇ_MOV[EMPRESA],$C$4,LANÇ_MOV[CENTRO DE CUSTOS],$D$4)</f>
        <v>0</v>
      </c>
      <c r="L1191" s="206">
        <f>SUMIFS(LANÇ_MOV[VALOR LÍQUIDO],LANÇ_MOV[RECEITA OU DESPESA],"Despesa",LANÇ_MOV[CONTAS],$C1191,LANÇ_MOV[PLANO DE CONTAS],REL_DRE_FINANCEIRO!$B$1164,LANÇ_MOV[ANO PAGAMENTO],$B$4,LANÇ_MOV[MÊS PAGAMENTO CORRESPONDENTE],L$6,LANÇ_MOV[EMPRESA],$C$4,LANÇ_MOV[CENTRO DE CUSTOS],$D$4)</f>
        <v>0</v>
      </c>
      <c r="M1191" s="206">
        <f>SUMIFS(LANÇ_MOV[VALOR LÍQUIDO],LANÇ_MOV[RECEITA OU DESPESA],"Despesa",LANÇ_MOV[CONTAS],$C1191,LANÇ_MOV[PLANO DE CONTAS],REL_DRE_FINANCEIRO!$B$1164,LANÇ_MOV[ANO PAGAMENTO],$B$4,LANÇ_MOV[MÊS PAGAMENTO CORRESPONDENTE],M$6,LANÇ_MOV[EMPRESA],$C$4,LANÇ_MOV[CENTRO DE CUSTOS],$D$4)</f>
        <v>0</v>
      </c>
      <c r="N1191" s="206">
        <f>SUMIFS(LANÇ_MOV[VALOR LÍQUIDO],LANÇ_MOV[RECEITA OU DESPESA],"Despesa",LANÇ_MOV[CONTAS],$C1191,LANÇ_MOV[PLANO DE CONTAS],REL_DRE_FINANCEIRO!$B$1164,LANÇ_MOV[ANO PAGAMENTO],$B$4,LANÇ_MOV[MÊS PAGAMENTO CORRESPONDENTE],N$6,LANÇ_MOV[EMPRESA],$C$4,LANÇ_MOV[CENTRO DE CUSTOS],$D$4)</f>
        <v>0</v>
      </c>
      <c r="O1191" s="206">
        <f>SUMIFS(LANÇ_MOV[VALOR LÍQUIDO],LANÇ_MOV[RECEITA OU DESPESA],"Despesa",LANÇ_MOV[CONTAS],$C1191,LANÇ_MOV[PLANO DE CONTAS],REL_DRE_FINANCEIRO!$B$1164,LANÇ_MOV[ANO PAGAMENTO],$B$4,LANÇ_MOV[MÊS PAGAMENTO CORRESPONDENTE],O$6,LANÇ_MOV[EMPRESA],$C$4,LANÇ_MOV[CENTRO DE CUSTOS],$D$4)</f>
        <v>0</v>
      </c>
      <c r="P1191" s="207">
        <f t="shared" si="145"/>
        <v>0</v>
      </c>
      <c r="Q1191" s="329">
        <v>7.4000000000000003E-6</v>
      </c>
      <c r="R1191" s="346">
        <f t="shared" si="146"/>
        <v>7.4000000000000003E-6</v>
      </c>
      <c r="S1191" s="347" t="str">
        <f t="shared" si="147"/>
        <v>-</v>
      </c>
      <c r="T1191" s="347">
        <f t="shared" si="148"/>
        <v>0</v>
      </c>
      <c r="U1191" s="347">
        <f>HLOOKUP(Apoio!$P$12,$D$1163:$P$1264,X1191,FALSE)+Q1191</f>
        <v>7.4000000000000003E-6</v>
      </c>
      <c r="V1191" s="447" t="str">
        <f t="shared" si="149"/>
        <v>-</v>
      </c>
      <c r="W1191" s="448">
        <f>HLOOKUP(Apoio!$P$12,$D$1163:$P$1264,X1191,FALSE)</f>
        <v>0</v>
      </c>
      <c r="X1191" s="329">
        <v>29</v>
      </c>
    </row>
    <row r="1192" spans="2:24" ht="30.05" customHeight="1" x14ac:dyDescent="0.35">
      <c r="B1192" s="204" t="str">
        <f>'CAD_PL_REC-DESP'!AI32</f>
        <v>2.9.28</v>
      </c>
      <c r="C1192" s="205" t="str">
        <f>IF('CAD_PL_REC-DESP'!AJ32="","-",'CAD_PL_REC-DESP'!AJ32)</f>
        <v>-</v>
      </c>
      <c r="D1192" s="206">
        <f>SUMIFS(LANÇ_MOV[VALOR LÍQUIDO],LANÇ_MOV[RECEITA OU DESPESA],"Despesa",LANÇ_MOV[CONTAS],$C1192,LANÇ_MOV[PLANO DE CONTAS],REL_DRE_FINANCEIRO!$B$1164,LANÇ_MOV[ANO PAGAMENTO],$B$4,LANÇ_MOV[MÊS PAGAMENTO CORRESPONDENTE],D$6,LANÇ_MOV[EMPRESA],$C$4,LANÇ_MOV[CENTRO DE CUSTOS],$D$4)</f>
        <v>0</v>
      </c>
      <c r="E1192" s="206">
        <f>SUMIFS(LANÇ_MOV[VALOR LÍQUIDO],LANÇ_MOV[RECEITA OU DESPESA],"Despesa",LANÇ_MOV[CONTAS],$C1192,LANÇ_MOV[PLANO DE CONTAS],REL_DRE_FINANCEIRO!$B$1164,LANÇ_MOV[ANO PAGAMENTO],$B$4,LANÇ_MOV[MÊS PAGAMENTO CORRESPONDENTE],E$6,LANÇ_MOV[EMPRESA],$C$4,LANÇ_MOV[CENTRO DE CUSTOS],$D$4)</f>
        <v>0</v>
      </c>
      <c r="F1192" s="206">
        <f>SUMIFS(LANÇ_MOV[VALOR LÍQUIDO],LANÇ_MOV[RECEITA OU DESPESA],"Despesa",LANÇ_MOV[CONTAS],$C1192,LANÇ_MOV[PLANO DE CONTAS],REL_DRE_FINANCEIRO!$B$1164,LANÇ_MOV[ANO PAGAMENTO],$B$4,LANÇ_MOV[MÊS PAGAMENTO CORRESPONDENTE],F$6,LANÇ_MOV[EMPRESA],$C$4,LANÇ_MOV[CENTRO DE CUSTOS],$D$4)</f>
        <v>0</v>
      </c>
      <c r="G1192" s="206">
        <f>SUMIFS(LANÇ_MOV[VALOR LÍQUIDO],LANÇ_MOV[RECEITA OU DESPESA],"Despesa",LANÇ_MOV[CONTAS],$C1192,LANÇ_MOV[PLANO DE CONTAS],REL_DRE_FINANCEIRO!$B$1164,LANÇ_MOV[ANO PAGAMENTO],$B$4,LANÇ_MOV[MÊS PAGAMENTO CORRESPONDENTE],G$6,LANÇ_MOV[EMPRESA],$C$4,LANÇ_MOV[CENTRO DE CUSTOS],$D$4)</f>
        <v>0</v>
      </c>
      <c r="H1192" s="206">
        <f>SUMIFS(LANÇ_MOV[VALOR LÍQUIDO],LANÇ_MOV[RECEITA OU DESPESA],"Despesa",LANÇ_MOV[CONTAS],$C1192,LANÇ_MOV[PLANO DE CONTAS],REL_DRE_FINANCEIRO!$B$1164,LANÇ_MOV[ANO PAGAMENTO],$B$4,LANÇ_MOV[MÊS PAGAMENTO CORRESPONDENTE],H$6,LANÇ_MOV[EMPRESA],$C$4,LANÇ_MOV[CENTRO DE CUSTOS],$D$4)</f>
        <v>0</v>
      </c>
      <c r="I1192" s="206">
        <f>SUMIFS(LANÇ_MOV[VALOR LÍQUIDO],LANÇ_MOV[RECEITA OU DESPESA],"Despesa",LANÇ_MOV[CONTAS],$C1192,LANÇ_MOV[PLANO DE CONTAS],REL_DRE_FINANCEIRO!$B$1164,LANÇ_MOV[ANO PAGAMENTO],$B$4,LANÇ_MOV[MÊS PAGAMENTO CORRESPONDENTE],I$6,LANÇ_MOV[EMPRESA],$C$4,LANÇ_MOV[CENTRO DE CUSTOS],$D$4)</f>
        <v>0</v>
      </c>
      <c r="J1192" s="206">
        <f>SUMIFS(LANÇ_MOV[VALOR LÍQUIDO],LANÇ_MOV[RECEITA OU DESPESA],"Despesa",LANÇ_MOV[CONTAS],$C1192,LANÇ_MOV[PLANO DE CONTAS],REL_DRE_FINANCEIRO!$B$1164,LANÇ_MOV[ANO PAGAMENTO],$B$4,LANÇ_MOV[MÊS PAGAMENTO CORRESPONDENTE],J$6,LANÇ_MOV[EMPRESA],$C$4,LANÇ_MOV[CENTRO DE CUSTOS],$D$4)</f>
        <v>0</v>
      </c>
      <c r="K1192" s="206">
        <f>SUMIFS(LANÇ_MOV[VALOR LÍQUIDO],LANÇ_MOV[RECEITA OU DESPESA],"Despesa",LANÇ_MOV[CONTAS],$C1192,LANÇ_MOV[PLANO DE CONTAS],REL_DRE_FINANCEIRO!$B$1164,LANÇ_MOV[ANO PAGAMENTO],$B$4,LANÇ_MOV[MÊS PAGAMENTO CORRESPONDENTE],K$6,LANÇ_MOV[EMPRESA],$C$4,LANÇ_MOV[CENTRO DE CUSTOS],$D$4)</f>
        <v>0</v>
      </c>
      <c r="L1192" s="206">
        <f>SUMIFS(LANÇ_MOV[VALOR LÍQUIDO],LANÇ_MOV[RECEITA OU DESPESA],"Despesa",LANÇ_MOV[CONTAS],$C1192,LANÇ_MOV[PLANO DE CONTAS],REL_DRE_FINANCEIRO!$B$1164,LANÇ_MOV[ANO PAGAMENTO],$B$4,LANÇ_MOV[MÊS PAGAMENTO CORRESPONDENTE],L$6,LANÇ_MOV[EMPRESA],$C$4,LANÇ_MOV[CENTRO DE CUSTOS],$D$4)</f>
        <v>0</v>
      </c>
      <c r="M1192" s="206">
        <f>SUMIFS(LANÇ_MOV[VALOR LÍQUIDO],LANÇ_MOV[RECEITA OU DESPESA],"Despesa",LANÇ_MOV[CONTAS],$C1192,LANÇ_MOV[PLANO DE CONTAS],REL_DRE_FINANCEIRO!$B$1164,LANÇ_MOV[ANO PAGAMENTO],$B$4,LANÇ_MOV[MÊS PAGAMENTO CORRESPONDENTE],M$6,LANÇ_MOV[EMPRESA],$C$4,LANÇ_MOV[CENTRO DE CUSTOS],$D$4)</f>
        <v>0</v>
      </c>
      <c r="N1192" s="206">
        <f>SUMIFS(LANÇ_MOV[VALOR LÍQUIDO],LANÇ_MOV[RECEITA OU DESPESA],"Despesa",LANÇ_MOV[CONTAS],$C1192,LANÇ_MOV[PLANO DE CONTAS],REL_DRE_FINANCEIRO!$B$1164,LANÇ_MOV[ANO PAGAMENTO],$B$4,LANÇ_MOV[MÊS PAGAMENTO CORRESPONDENTE],N$6,LANÇ_MOV[EMPRESA],$C$4,LANÇ_MOV[CENTRO DE CUSTOS],$D$4)</f>
        <v>0</v>
      </c>
      <c r="O1192" s="206">
        <f>SUMIFS(LANÇ_MOV[VALOR LÍQUIDO],LANÇ_MOV[RECEITA OU DESPESA],"Despesa",LANÇ_MOV[CONTAS],$C1192,LANÇ_MOV[PLANO DE CONTAS],REL_DRE_FINANCEIRO!$B$1164,LANÇ_MOV[ANO PAGAMENTO],$B$4,LANÇ_MOV[MÊS PAGAMENTO CORRESPONDENTE],O$6,LANÇ_MOV[EMPRESA],$C$4,LANÇ_MOV[CENTRO DE CUSTOS],$D$4)</f>
        <v>0</v>
      </c>
      <c r="P1192" s="207">
        <f t="shared" si="145"/>
        <v>0</v>
      </c>
      <c r="Q1192" s="329">
        <v>7.3000000000000004E-6</v>
      </c>
      <c r="R1192" s="346">
        <f t="shared" si="146"/>
        <v>7.3000000000000004E-6</v>
      </c>
      <c r="S1192" s="347" t="str">
        <f t="shared" si="147"/>
        <v>-</v>
      </c>
      <c r="T1192" s="347">
        <f t="shared" si="148"/>
        <v>0</v>
      </c>
      <c r="U1192" s="347">
        <f>HLOOKUP(Apoio!$P$12,$D$1163:$P$1264,X1192,FALSE)+Q1192</f>
        <v>7.3000000000000004E-6</v>
      </c>
      <c r="V1192" s="447" t="str">
        <f t="shared" si="149"/>
        <v>-</v>
      </c>
      <c r="W1192" s="448">
        <f>HLOOKUP(Apoio!$P$12,$D$1163:$P$1264,X1192,FALSE)</f>
        <v>0</v>
      </c>
      <c r="X1192" s="329">
        <v>30</v>
      </c>
    </row>
    <row r="1193" spans="2:24" ht="30.05" customHeight="1" x14ac:dyDescent="0.35">
      <c r="B1193" s="204" t="str">
        <f>'CAD_PL_REC-DESP'!AI33</f>
        <v>2.9.29</v>
      </c>
      <c r="C1193" s="205" t="str">
        <f>IF('CAD_PL_REC-DESP'!AJ33="","-",'CAD_PL_REC-DESP'!AJ33)</f>
        <v>-</v>
      </c>
      <c r="D1193" s="206">
        <f>SUMIFS(LANÇ_MOV[VALOR LÍQUIDO],LANÇ_MOV[RECEITA OU DESPESA],"Despesa",LANÇ_MOV[CONTAS],$C1193,LANÇ_MOV[PLANO DE CONTAS],REL_DRE_FINANCEIRO!$B$1164,LANÇ_MOV[ANO PAGAMENTO],$B$4,LANÇ_MOV[MÊS PAGAMENTO CORRESPONDENTE],D$6,LANÇ_MOV[EMPRESA],$C$4,LANÇ_MOV[CENTRO DE CUSTOS],$D$4)</f>
        <v>0</v>
      </c>
      <c r="E1193" s="206">
        <f>SUMIFS(LANÇ_MOV[VALOR LÍQUIDO],LANÇ_MOV[RECEITA OU DESPESA],"Despesa",LANÇ_MOV[CONTAS],$C1193,LANÇ_MOV[PLANO DE CONTAS],REL_DRE_FINANCEIRO!$B$1164,LANÇ_MOV[ANO PAGAMENTO],$B$4,LANÇ_MOV[MÊS PAGAMENTO CORRESPONDENTE],E$6,LANÇ_MOV[EMPRESA],$C$4,LANÇ_MOV[CENTRO DE CUSTOS],$D$4)</f>
        <v>0</v>
      </c>
      <c r="F1193" s="206">
        <f>SUMIFS(LANÇ_MOV[VALOR LÍQUIDO],LANÇ_MOV[RECEITA OU DESPESA],"Despesa",LANÇ_MOV[CONTAS],$C1193,LANÇ_MOV[PLANO DE CONTAS],REL_DRE_FINANCEIRO!$B$1164,LANÇ_MOV[ANO PAGAMENTO],$B$4,LANÇ_MOV[MÊS PAGAMENTO CORRESPONDENTE],F$6,LANÇ_MOV[EMPRESA],$C$4,LANÇ_MOV[CENTRO DE CUSTOS],$D$4)</f>
        <v>0</v>
      </c>
      <c r="G1193" s="206">
        <f>SUMIFS(LANÇ_MOV[VALOR LÍQUIDO],LANÇ_MOV[RECEITA OU DESPESA],"Despesa",LANÇ_MOV[CONTAS],$C1193,LANÇ_MOV[PLANO DE CONTAS],REL_DRE_FINANCEIRO!$B$1164,LANÇ_MOV[ANO PAGAMENTO],$B$4,LANÇ_MOV[MÊS PAGAMENTO CORRESPONDENTE],G$6,LANÇ_MOV[EMPRESA],$C$4,LANÇ_MOV[CENTRO DE CUSTOS],$D$4)</f>
        <v>0</v>
      </c>
      <c r="H1193" s="206">
        <f>SUMIFS(LANÇ_MOV[VALOR LÍQUIDO],LANÇ_MOV[RECEITA OU DESPESA],"Despesa",LANÇ_MOV[CONTAS],$C1193,LANÇ_MOV[PLANO DE CONTAS],REL_DRE_FINANCEIRO!$B$1164,LANÇ_MOV[ANO PAGAMENTO],$B$4,LANÇ_MOV[MÊS PAGAMENTO CORRESPONDENTE],H$6,LANÇ_MOV[EMPRESA],$C$4,LANÇ_MOV[CENTRO DE CUSTOS],$D$4)</f>
        <v>0</v>
      </c>
      <c r="I1193" s="206">
        <f>SUMIFS(LANÇ_MOV[VALOR LÍQUIDO],LANÇ_MOV[RECEITA OU DESPESA],"Despesa",LANÇ_MOV[CONTAS],$C1193,LANÇ_MOV[PLANO DE CONTAS],REL_DRE_FINANCEIRO!$B$1164,LANÇ_MOV[ANO PAGAMENTO],$B$4,LANÇ_MOV[MÊS PAGAMENTO CORRESPONDENTE],I$6,LANÇ_MOV[EMPRESA],$C$4,LANÇ_MOV[CENTRO DE CUSTOS],$D$4)</f>
        <v>0</v>
      </c>
      <c r="J1193" s="206">
        <f>SUMIFS(LANÇ_MOV[VALOR LÍQUIDO],LANÇ_MOV[RECEITA OU DESPESA],"Despesa",LANÇ_MOV[CONTAS],$C1193,LANÇ_MOV[PLANO DE CONTAS],REL_DRE_FINANCEIRO!$B$1164,LANÇ_MOV[ANO PAGAMENTO],$B$4,LANÇ_MOV[MÊS PAGAMENTO CORRESPONDENTE],J$6,LANÇ_MOV[EMPRESA],$C$4,LANÇ_MOV[CENTRO DE CUSTOS],$D$4)</f>
        <v>0</v>
      </c>
      <c r="K1193" s="206">
        <f>SUMIFS(LANÇ_MOV[VALOR LÍQUIDO],LANÇ_MOV[RECEITA OU DESPESA],"Despesa",LANÇ_MOV[CONTAS],$C1193,LANÇ_MOV[PLANO DE CONTAS],REL_DRE_FINANCEIRO!$B$1164,LANÇ_MOV[ANO PAGAMENTO],$B$4,LANÇ_MOV[MÊS PAGAMENTO CORRESPONDENTE],K$6,LANÇ_MOV[EMPRESA],$C$4,LANÇ_MOV[CENTRO DE CUSTOS],$D$4)</f>
        <v>0</v>
      </c>
      <c r="L1193" s="206">
        <f>SUMIFS(LANÇ_MOV[VALOR LÍQUIDO],LANÇ_MOV[RECEITA OU DESPESA],"Despesa",LANÇ_MOV[CONTAS],$C1193,LANÇ_MOV[PLANO DE CONTAS],REL_DRE_FINANCEIRO!$B$1164,LANÇ_MOV[ANO PAGAMENTO],$B$4,LANÇ_MOV[MÊS PAGAMENTO CORRESPONDENTE],L$6,LANÇ_MOV[EMPRESA],$C$4,LANÇ_MOV[CENTRO DE CUSTOS],$D$4)</f>
        <v>0</v>
      </c>
      <c r="M1193" s="206">
        <f>SUMIFS(LANÇ_MOV[VALOR LÍQUIDO],LANÇ_MOV[RECEITA OU DESPESA],"Despesa",LANÇ_MOV[CONTAS],$C1193,LANÇ_MOV[PLANO DE CONTAS],REL_DRE_FINANCEIRO!$B$1164,LANÇ_MOV[ANO PAGAMENTO],$B$4,LANÇ_MOV[MÊS PAGAMENTO CORRESPONDENTE],M$6,LANÇ_MOV[EMPRESA],$C$4,LANÇ_MOV[CENTRO DE CUSTOS],$D$4)</f>
        <v>0</v>
      </c>
      <c r="N1193" s="206">
        <f>SUMIFS(LANÇ_MOV[VALOR LÍQUIDO],LANÇ_MOV[RECEITA OU DESPESA],"Despesa",LANÇ_MOV[CONTAS],$C1193,LANÇ_MOV[PLANO DE CONTAS],REL_DRE_FINANCEIRO!$B$1164,LANÇ_MOV[ANO PAGAMENTO],$B$4,LANÇ_MOV[MÊS PAGAMENTO CORRESPONDENTE],N$6,LANÇ_MOV[EMPRESA],$C$4,LANÇ_MOV[CENTRO DE CUSTOS],$D$4)</f>
        <v>0</v>
      </c>
      <c r="O1193" s="206">
        <f>SUMIFS(LANÇ_MOV[VALOR LÍQUIDO],LANÇ_MOV[RECEITA OU DESPESA],"Despesa",LANÇ_MOV[CONTAS],$C1193,LANÇ_MOV[PLANO DE CONTAS],REL_DRE_FINANCEIRO!$B$1164,LANÇ_MOV[ANO PAGAMENTO],$B$4,LANÇ_MOV[MÊS PAGAMENTO CORRESPONDENTE],O$6,LANÇ_MOV[EMPRESA],$C$4,LANÇ_MOV[CENTRO DE CUSTOS],$D$4)</f>
        <v>0</v>
      </c>
      <c r="P1193" s="207">
        <f t="shared" si="145"/>
        <v>0</v>
      </c>
      <c r="Q1193" s="329">
        <v>7.1999999999999997E-6</v>
      </c>
      <c r="R1193" s="346">
        <f t="shared" si="146"/>
        <v>7.1999999999999997E-6</v>
      </c>
      <c r="S1193" s="347" t="str">
        <f t="shared" si="147"/>
        <v>-</v>
      </c>
      <c r="T1193" s="347">
        <f t="shared" si="148"/>
        <v>0</v>
      </c>
      <c r="U1193" s="347">
        <f>HLOOKUP(Apoio!$P$12,$D$1163:$P$1264,X1193,FALSE)+Q1193</f>
        <v>7.1999999999999997E-6</v>
      </c>
      <c r="V1193" s="447" t="str">
        <f t="shared" si="149"/>
        <v>-</v>
      </c>
      <c r="W1193" s="448">
        <f>HLOOKUP(Apoio!$P$12,$D$1163:$P$1264,X1193,FALSE)</f>
        <v>0</v>
      </c>
      <c r="X1193" s="329">
        <v>31</v>
      </c>
    </row>
    <row r="1194" spans="2:24" ht="30.05" customHeight="1" x14ac:dyDescent="0.35">
      <c r="B1194" s="204" t="str">
        <f>'CAD_PL_REC-DESP'!AI34</f>
        <v>2.9.30</v>
      </c>
      <c r="C1194" s="205" t="str">
        <f>IF('CAD_PL_REC-DESP'!AJ34="","-",'CAD_PL_REC-DESP'!AJ34)</f>
        <v>-</v>
      </c>
      <c r="D1194" s="206">
        <f>SUMIFS(LANÇ_MOV[VALOR LÍQUIDO],LANÇ_MOV[RECEITA OU DESPESA],"Despesa",LANÇ_MOV[CONTAS],$C1194,LANÇ_MOV[PLANO DE CONTAS],REL_DRE_FINANCEIRO!$B$1164,LANÇ_MOV[ANO PAGAMENTO],$B$4,LANÇ_MOV[MÊS PAGAMENTO CORRESPONDENTE],D$6,LANÇ_MOV[EMPRESA],$C$4,LANÇ_MOV[CENTRO DE CUSTOS],$D$4)</f>
        <v>0</v>
      </c>
      <c r="E1194" s="206">
        <f>SUMIFS(LANÇ_MOV[VALOR LÍQUIDO],LANÇ_MOV[RECEITA OU DESPESA],"Despesa",LANÇ_MOV[CONTAS],$C1194,LANÇ_MOV[PLANO DE CONTAS],REL_DRE_FINANCEIRO!$B$1164,LANÇ_MOV[ANO PAGAMENTO],$B$4,LANÇ_MOV[MÊS PAGAMENTO CORRESPONDENTE],E$6,LANÇ_MOV[EMPRESA],$C$4,LANÇ_MOV[CENTRO DE CUSTOS],$D$4)</f>
        <v>0</v>
      </c>
      <c r="F1194" s="206">
        <f>SUMIFS(LANÇ_MOV[VALOR LÍQUIDO],LANÇ_MOV[RECEITA OU DESPESA],"Despesa",LANÇ_MOV[CONTAS],$C1194,LANÇ_MOV[PLANO DE CONTAS],REL_DRE_FINANCEIRO!$B$1164,LANÇ_MOV[ANO PAGAMENTO],$B$4,LANÇ_MOV[MÊS PAGAMENTO CORRESPONDENTE],F$6,LANÇ_MOV[EMPRESA],$C$4,LANÇ_MOV[CENTRO DE CUSTOS],$D$4)</f>
        <v>0</v>
      </c>
      <c r="G1194" s="206">
        <f>SUMIFS(LANÇ_MOV[VALOR LÍQUIDO],LANÇ_MOV[RECEITA OU DESPESA],"Despesa",LANÇ_MOV[CONTAS],$C1194,LANÇ_MOV[PLANO DE CONTAS],REL_DRE_FINANCEIRO!$B$1164,LANÇ_MOV[ANO PAGAMENTO],$B$4,LANÇ_MOV[MÊS PAGAMENTO CORRESPONDENTE],G$6,LANÇ_MOV[EMPRESA],$C$4,LANÇ_MOV[CENTRO DE CUSTOS],$D$4)</f>
        <v>0</v>
      </c>
      <c r="H1194" s="206">
        <f>SUMIFS(LANÇ_MOV[VALOR LÍQUIDO],LANÇ_MOV[RECEITA OU DESPESA],"Despesa",LANÇ_MOV[CONTAS],$C1194,LANÇ_MOV[PLANO DE CONTAS],REL_DRE_FINANCEIRO!$B$1164,LANÇ_MOV[ANO PAGAMENTO],$B$4,LANÇ_MOV[MÊS PAGAMENTO CORRESPONDENTE],H$6,LANÇ_MOV[EMPRESA],$C$4,LANÇ_MOV[CENTRO DE CUSTOS],$D$4)</f>
        <v>0</v>
      </c>
      <c r="I1194" s="206">
        <f>SUMIFS(LANÇ_MOV[VALOR LÍQUIDO],LANÇ_MOV[RECEITA OU DESPESA],"Despesa",LANÇ_MOV[CONTAS],$C1194,LANÇ_MOV[PLANO DE CONTAS],REL_DRE_FINANCEIRO!$B$1164,LANÇ_MOV[ANO PAGAMENTO],$B$4,LANÇ_MOV[MÊS PAGAMENTO CORRESPONDENTE],I$6,LANÇ_MOV[EMPRESA],$C$4,LANÇ_MOV[CENTRO DE CUSTOS],$D$4)</f>
        <v>0</v>
      </c>
      <c r="J1194" s="206">
        <f>SUMIFS(LANÇ_MOV[VALOR LÍQUIDO],LANÇ_MOV[RECEITA OU DESPESA],"Despesa",LANÇ_MOV[CONTAS],$C1194,LANÇ_MOV[PLANO DE CONTAS],REL_DRE_FINANCEIRO!$B$1164,LANÇ_MOV[ANO PAGAMENTO],$B$4,LANÇ_MOV[MÊS PAGAMENTO CORRESPONDENTE],J$6,LANÇ_MOV[EMPRESA],$C$4,LANÇ_MOV[CENTRO DE CUSTOS],$D$4)</f>
        <v>0</v>
      </c>
      <c r="K1194" s="206">
        <f>SUMIFS(LANÇ_MOV[VALOR LÍQUIDO],LANÇ_MOV[RECEITA OU DESPESA],"Despesa",LANÇ_MOV[CONTAS],$C1194,LANÇ_MOV[PLANO DE CONTAS],REL_DRE_FINANCEIRO!$B$1164,LANÇ_MOV[ANO PAGAMENTO],$B$4,LANÇ_MOV[MÊS PAGAMENTO CORRESPONDENTE],K$6,LANÇ_MOV[EMPRESA],$C$4,LANÇ_MOV[CENTRO DE CUSTOS],$D$4)</f>
        <v>0</v>
      </c>
      <c r="L1194" s="206">
        <f>SUMIFS(LANÇ_MOV[VALOR LÍQUIDO],LANÇ_MOV[RECEITA OU DESPESA],"Despesa",LANÇ_MOV[CONTAS],$C1194,LANÇ_MOV[PLANO DE CONTAS],REL_DRE_FINANCEIRO!$B$1164,LANÇ_MOV[ANO PAGAMENTO],$B$4,LANÇ_MOV[MÊS PAGAMENTO CORRESPONDENTE],L$6,LANÇ_MOV[EMPRESA],$C$4,LANÇ_MOV[CENTRO DE CUSTOS],$D$4)</f>
        <v>0</v>
      </c>
      <c r="M1194" s="206">
        <f>SUMIFS(LANÇ_MOV[VALOR LÍQUIDO],LANÇ_MOV[RECEITA OU DESPESA],"Despesa",LANÇ_MOV[CONTAS],$C1194,LANÇ_MOV[PLANO DE CONTAS],REL_DRE_FINANCEIRO!$B$1164,LANÇ_MOV[ANO PAGAMENTO],$B$4,LANÇ_MOV[MÊS PAGAMENTO CORRESPONDENTE],M$6,LANÇ_MOV[EMPRESA],$C$4,LANÇ_MOV[CENTRO DE CUSTOS],$D$4)</f>
        <v>0</v>
      </c>
      <c r="N1194" s="206">
        <f>SUMIFS(LANÇ_MOV[VALOR LÍQUIDO],LANÇ_MOV[RECEITA OU DESPESA],"Despesa",LANÇ_MOV[CONTAS],$C1194,LANÇ_MOV[PLANO DE CONTAS],REL_DRE_FINANCEIRO!$B$1164,LANÇ_MOV[ANO PAGAMENTO],$B$4,LANÇ_MOV[MÊS PAGAMENTO CORRESPONDENTE],N$6,LANÇ_MOV[EMPRESA],$C$4,LANÇ_MOV[CENTRO DE CUSTOS],$D$4)</f>
        <v>0</v>
      </c>
      <c r="O1194" s="206">
        <f>SUMIFS(LANÇ_MOV[VALOR LÍQUIDO],LANÇ_MOV[RECEITA OU DESPESA],"Despesa",LANÇ_MOV[CONTAS],$C1194,LANÇ_MOV[PLANO DE CONTAS],REL_DRE_FINANCEIRO!$B$1164,LANÇ_MOV[ANO PAGAMENTO],$B$4,LANÇ_MOV[MÊS PAGAMENTO CORRESPONDENTE],O$6,LANÇ_MOV[EMPRESA],$C$4,LANÇ_MOV[CENTRO DE CUSTOS],$D$4)</f>
        <v>0</v>
      </c>
      <c r="P1194" s="207">
        <f t="shared" si="145"/>
        <v>0</v>
      </c>
      <c r="Q1194" s="329">
        <v>7.0999999999999998E-6</v>
      </c>
      <c r="R1194" s="346">
        <f t="shared" si="146"/>
        <v>7.0999999999999998E-6</v>
      </c>
      <c r="S1194" s="347" t="str">
        <f t="shared" si="147"/>
        <v>-</v>
      </c>
      <c r="T1194" s="347">
        <f t="shared" si="148"/>
        <v>0</v>
      </c>
      <c r="U1194" s="347">
        <f>HLOOKUP(Apoio!$P$12,$D$1163:$P$1264,X1194,FALSE)+Q1194</f>
        <v>7.0999999999999998E-6</v>
      </c>
      <c r="V1194" s="447" t="str">
        <f t="shared" si="149"/>
        <v>-</v>
      </c>
      <c r="W1194" s="448">
        <f>HLOOKUP(Apoio!$P$12,$D$1163:$P$1264,X1194,FALSE)</f>
        <v>0</v>
      </c>
      <c r="X1194" s="329">
        <v>32</v>
      </c>
    </row>
    <row r="1195" spans="2:24" ht="30.05" customHeight="1" x14ac:dyDescent="0.35">
      <c r="B1195" s="204" t="str">
        <f>'CAD_PL_REC-DESP'!AI35</f>
        <v>2.9.31</v>
      </c>
      <c r="C1195" s="205" t="str">
        <f>IF('CAD_PL_REC-DESP'!AJ35="","-",'CAD_PL_REC-DESP'!AJ35)</f>
        <v>-</v>
      </c>
      <c r="D1195" s="206">
        <f>SUMIFS(LANÇ_MOV[VALOR LÍQUIDO],LANÇ_MOV[RECEITA OU DESPESA],"Despesa",LANÇ_MOV[CONTAS],$C1195,LANÇ_MOV[PLANO DE CONTAS],REL_DRE_FINANCEIRO!$B$1164,LANÇ_MOV[ANO PAGAMENTO],$B$4,LANÇ_MOV[MÊS PAGAMENTO CORRESPONDENTE],D$6,LANÇ_MOV[EMPRESA],$C$4,LANÇ_MOV[CENTRO DE CUSTOS],$D$4)</f>
        <v>0</v>
      </c>
      <c r="E1195" s="206">
        <f>SUMIFS(LANÇ_MOV[VALOR LÍQUIDO],LANÇ_MOV[RECEITA OU DESPESA],"Despesa",LANÇ_MOV[CONTAS],$C1195,LANÇ_MOV[PLANO DE CONTAS],REL_DRE_FINANCEIRO!$B$1164,LANÇ_MOV[ANO PAGAMENTO],$B$4,LANÇ_MOV[MÊS PAGAMENTO CORRESPONDENTE],E$6,LANÇ_MOV[EMPRESA],$C$4,LANÇ_MOV[CENTRO DE CUSTOS],$D$4)</f>
        <v>0</v>
      </c>
      <c r="F1195" s="206">
        <f>SUMIFS(LANÇ_MOV[VALOR LÍQUIDO],LANÇ_MOV[RECEITA OU DESPESA],"Despesa",LANÇ_MOV[CONTAS],$C1195,LANÇ_MOV[PLANO DE CONTAS],REL_DRE_FINANCEIRO!$B$1164,LANÇ_MOV[ANO PAGAMENTO],$B$4,LANÇ_MOV[MÊS PAGAMENTO CORRESPONDENTE],F$6,LANÇ_MOV[EMPRESA],$C$4,LANÇ_MOV[CENTRO DE CUSTOS],$D$4)</f>
        <v>0</v>
      </c>
      <c r="G1195" s="206">
        <f>SUMIFS(LANÇ_MOV[VALOR LÍQUIDO],LANÇ_MOV[RECEITA OU DESPESA],"Despesa",LANÇ_MOV[CONTAS],$C1195,LANÇ_MOV[PLANO DE CONTAS],REL_DRE_FINANCEIRO!$B$1164,LANÇ_MOV[ANO PAGAMENTO],$B$4,LANÇ_MOV[MÊS PAGAMENTO CORRESPONDENTE],G$6,LANÇ_MOV[EMPRESA],$C$4,LANÇ_MOV[CENTRO DE CUSTOS],$D$4)</f>
        <v>0</v>
      </c>
      <c r="H1195" s="206">
        <f>SUMIFS(LANÇ_MOV[VALOR LÍQUIDO],LANÇ_MOV[RECEITA OU DESPESA],"Despesa",LANÇ_MOV[CONTAS],$C1195,LANÇ_MOV[PLANO DE CONTAS],REL_DRE_FINANCEIRO!$B$1164,LANÇ_MOV[ANO PAGAMENTO],$B$4,LANÇ_MOV[MÊS PAGAMENTO CORRESPONDENTE],H$6,LANÇ_MOV[EMPRESA],$C$4,LANÇ_MOV[CENTRO DE CUSTOS],$D$4)</f>
        <v>0</v>
      </c>
      <c r="I1195" s="206">
        <f>SUMIFS(LANÇ_MOV[VALOR LÍQUIDO],LANÇ_MOV[RECEITA OU DESPESA],"Despesa",LANÇ_MOV[CONTAS],$C1195,LANÇ_MOV[PLANO DE CONTAS],REL_DRE_FINANCEIRO!$B$1164,LANÇ_MOV[ANO PAGAMENTO],$B$4,LANÇ_MOV[MÊS PAGAMENTO CORRESPONDENTE],I$6,LANÇ_MOV[EMPRESA],$C$4,LANÇ_MOV[CENTRO DE CUSTOS],$D$4)</f>
        <v>0</v>
      </c>
      <c r="J1195" s="206">
        <f>SUMIFS(LANÇ_MOV[VALOR LÍQUIDO],LANÇ_MOV[RECEITA OU DESPESA],"Despesa",LANÇ_MOV[CONTAS],$C1195,LANÇ_MOV[PLANO DE CONTAS],REL_DRE_FINANCEIRO!$B$1164,LANÇ_MOV[ANO PAGAMENTO],$B$4,LANÇ_MOV[MÊS PAGAMENTO CORRESPONDENTE],J$6,LANÇ_MOV[EMPRESA],$C$4,LANÇ_MOV[CENTRO DE CUSTOS],$D$4)</f>
        <v>0</v>
      </c>
      <c r="K1195" s="206">
        <f>SUMIFS(LANÇ_MOV[VALOR LÍQUIDO],LANÇ_MOV[RECEITA OU DESPESA],"Despesa",LANÇ_MOV[CONTAS],$C1195,LANÇ_MOV[PLANO DE CONTAS],REL_DRE_FINANCEIRO!$B$1164,LANÇ_MOV[ANO PAGAMENTO],$B$4,LANÇ_MOV[MÊS PAGAMENTO CORRESPONDENTE],K$6,LANÇ_MOV[EMPRESA],$C$4,LANÇ_MOV[CENTRO DE CUSTOS],$D$4)</f>
        <v>0</v>
      </c>
      <c r="L1195" s="206">
        <f>SUMIFS(LANÇ_MOV[VALOR LÍQUIDO],LANÇ_MOV[RECEITA OU DESPESA],"Despesa",LANÇ_MOV[CONTAS],$C1195,LANÇ_MOV[PLANO DE CONTAS],REL_DRE_FINANCEIRO!$B$1164,LANÇ_MOV[ANO PAGAMENTO],$B$4,LANÇ_MOV[MÊS PAGAMENTO CORRESPONDENTE],L$6,LANÇ_MOV[EMPRESA],$C$4,LANÇ_MOV[CENTRO DE CUSTOS],$D$4)</f>
        <v>0</v>
      </c>
      <c r="M1195" s="206">
        <f>SUMIFS(LANÇ_MOV[VALOR LÍQUIDO],LANÇ_MOV[RECEITA OU DESPESA],"Despesa",LANÇ_MOV[CONTAS],$C1195,LANÇ_MOV[PLANO DE CONTAS],REL_DRE_FINANCEIRO!$B$1164,LANÇ_MOV[ANO PAGAMENTO],$B$4,LANÇ_MOV[MÊS PAGAMENTO CORRESPONDENTE],M$6,LANÇ_MOV[EMPRESA],$C$4,LANÇ_MOV[CENTRO DE CUSTOS],$D$4)</f>
        <v>0</v>
      </c>
      <c r="N1195" s="206">
        <f>SUMIFS(LANÇ_MOV[VALOR LÍQUIDO],LANÇ_MOV[RECEITA OU DESPESA],"Despesa",LANÇ_MOV[CONTAS],$C1195,LANÇ_MOV[PLANO DE CONTAS],REL_DRE_FINANCEIRO!$B$1164,LANÇ_MOV[ANO PAGAMENTO],$B$4,LANÇ_MOV[MÊS PAGAMENTO CORRESPONDENTE],N$6,LANÇ_MOV[EMPRESA],$C$4,LANÇ_MOV[CENTRO DE CUSTOS],$D$4)</f>
        <v>0</v>
      </c>
      <c r="O1195" s="206">
        <f>SUMIFS(LANÇ_MOV[VALOR LÍQUIDO],LANÇ_MOV[RECEITA OU DESPESA],"Despesa",LANÇ_MOV[CONTAS],$C1195,LANÇ_MOV[PLANO DE CONTAS],REL_DRE_FINANCEIRO!$B$1164,LANÇ_MOV[ANO PAGAMENTO],$B$4,LANÇ_MOV[MÊS PAGAMENTO CORRESPONDENTE],O$6,LANÇ_MOV[EMPRESA],$C$4,LANÇ_MOV[CENTRO DE CUSTOS],$D$4)</f>
        <v>0</v>
      </c>
      <c r="P1195" s="207">
        <f t="shared" si="145"/>
        <v>0</v>
      </c>
      <c r="Q1195" s="329">
        <v>6.9999999999999999E-6</v>
      </c>
      <c r="R1195" s="346">
        <f t="shared" si="146"/>
        <v>6.9999999999999999E-6</v>
      </c>
      <c r="S1195" s="347" t="str">
        <f t="shared" si="147"/>
        <v>-</v>
      </c>
      <c r="T1195" s="347">
        <f t="shared" si="148"/>
        <v>0</v>
      </c>
      <c r="U1195" s="347">
        <f>HLOOKUP(Apoio!$P$12,$D$1163:$P$1264,X1195,FALSE)+Q1195</f>
        <v>6.9999999999999999E-6</v>
      </c>
      <c r="V1195" s="447" t="str">
        <f t="shared" si="149"/>
        <v>-</v>
      </c>
      <c r="W1195" s="448">
        <f>HLOOKUP(Apoio!$P$12,$D$1163:$P$1264,X1195,FALSE)</f>
        <v>0</v>
      </c>
      <c r="X1195" s="329">
        <v>33</v>
      </c>
    </row>
    <row r="1196" spans="2:24" ht="30.05" customHeight="1" x14ac:dyDescent="0.35">
      <c r="B1196" s="204" t="str">
        <f>'CAD_PL_REC-DESP'!AI36</f>
        <v>2.9.32</v>
      </c>
      <c r="C1196" s="205" t="str">
        <f>IF('CAD_PL_REC-DESP'!AJ36="","-",'CAD_PL_REC-DESP'!AJ36)</f>
        <v>-</v>
      </c>
      <c r="D1196" s="206">
        <f>SUMIFS(LANÇ_MOV[VALOR LÍQUIDO],LANÇ_MOV[RECEITA OU DESPESA],"Despesa",LANÇ_MOV[CONTAS],$C1196,LANÇ_MOV[PLANO DE CONTAS],REL_DRE_FINANCEIRO!$B$1164,LANÇ_MOV[ANO PAGAMENTO],$B$4,LANÇ_MOV[MÊS PAGAMENTO CORRESPONDENTE],D$6,LANÇ_MOV[EMPRESA],$C$4,LANÇ_MOV[CENTRO DE CUSTOS],$D$4)</f>
        <v>0</v>
      </c>
      <c r="E1196" s="206">
        <f>SUMIFS(LANÇ_MOV[VALOR LÍQUIDO],LANÇ_MOV[RECEITA OU DESPESA],"Despesa",LANÇ_MOV[CONTAS],$C1196,LANÇ_MOV[PLANO DE CONTAS],REL_DRE_FINANCEIRO!$B$1164,LANÇ_MOV[ANO PAGAMENTO],$B$4,LANÇ_MOV[MÊS PAGAMENTO CORRESPONDENTE],E$6,LANÇ_MOV[EMPRESA],$C$4,LANÇ_MOV[CENTRO DE CUSTOS],$D$4)</f>
        <v>0</v>
      </c>
      <c r="F1196" s="206">
        <f>SUMIFS(LANÇ_MOV[VALOR LÍQUIDO],LANÇ_MOV[RECEITA OU DESPESA],"Despesa",LANÇ_MOV[CONTAS],$C1196,LANÇ_MOV[PLANO DE CONTAS],REL_DRE_FINANCEIRO!$B$1164,LANÇ_MOV[ANO PAGAMENTO],$B$4,LANÇ_MOV[MÊS PAGAMENTO CORRESPONDENTE],F$6,LANÇ_MOV[EMPRESA],$C$4,LANÇ_MOV[CENTRO DE CUSTOS],$D$4)</f>
        <v>0</v>
      </c>
      <c r="G1196" s="206">
        <f>SUMIFS(LANÇ_MOV[VALOR LÍQUIDO],LANÇ_MOV[RECEITA OU DESPESA],"Despesa",LANÇ_MOV[CONTAS],$C1196,LANÇ_MOV[PLANO DE CONTAS],REL_DRE_FINANCEIRO!$B$1164,LANÇ_MOV[ANO PAGAMENTO],$B$4,LANÇ_MOV[MÊS PAGAMENTO CORRESPONDENTE],G$6,LANÇ_MOV[EMPRESA],$C$4,LANÇ_MOV[CENTRO DE CUSTOS],$D$4)</f>
        <v>0</v>
      </c>
      <c r="H1196" s="206">
        <f>SUMIFS(LANÇ_MOV[VALOR LÍQUIDO],LANÇ_MOV[RECEITA OU DESPESA],"Despesa",LANÇ_MOV[CONTAS],$C1196,LANÇ_MOV[PLANO DE CONTAS],REL_DRE_FINANCEIRO!$B$1164,LANÇ_MOV[ANO PAGAMENTO],$B$4,LANÇ_MOV[MÊS PAGAMENTO CORRESPONDENTE],H$6,LANÇ_MOV[EMPRESA],$C$4,LANÇ_MOV[CENTRO DE CUSTOS],$D$4)</f>
        <v>0</v>
      </c>
      <c r="I1196" s="206">
        <f>SUMIFS(LANÇ_MOV[VALOR LÍQUIDO],LANÇ_MOV[RECEITA OU DESPESA],"Despesa",LANÇ_MOV[CONTAS],$C1196,LANÇ_MOV[PLANO DE CONTAS],REL_DRE_FINANCEIRO!$B$1164,LANÇ_MOV[ANO PAGAMENTO],$B$4,LANÇ_MOV[MÊS PAGAMENTO CORRESPONDENTE],I$6,LANÇ_MOV[EMPRESA],$C$4,LANÇ_MOV[CENTRO DE CUSTOS],$D$4)</f>
        <v>0</v>
      </c>
      <c r="J1196" s="206">
        <f>SUMIFS(LANÇ_MOV[VALOR LÍQUIDO],LANÇ_MOV[RECEITA OU DESPESA],"Despesa",LANÇ_MOV[CONTAS],$C1196,LANÇ_MOV[PLANO DE CONTAS],REL_DRE_FINANCEIRO!$B$1164,LANÇ_MOV[ANO PAGAMENTO],$B$4,LANÇ_MOV[MÊS PAGAMENTO CORRESPONDENTE],J$6,LANÇ_MOV[EMPRESA],$C$4,LANÇ_MOV[CENTRO DE CUSTOS],$D$4)</f>
        <v>0</v>
      </c>
      <c r="K1196" s="206">
        <f>SUMIFS(LANÇ_MOV[VALOR LÍQUIDO],LANÇ_MOV[RECEITA OU DESPESA],"Despesa",LANÇ_MOV[CONTAS],$C1196,LANÇ_MOV[PLANO DE CONTAS],REL_DRE_FINANCEIRO!$B$1164,LANÇ_MOV[ANO PAGAMENTO],$B$4,LANÇ_MOV[MÊS PAGAMENTO CORRESPONDENTE],K$6,LANÇ_MOV[EMPRESA],$C$4,LANÇ_MOV[CENTRO DE CUSTOS],$D$4)</f>
        <v>0</v>
      </c>
      <c r="L1196" s="206">
        <f>SUMIFS(LANÇ_MOV[VALOR LÍQUIDO],LANÇ_MOV[RECEITA OU DESPESA],"Despesa",LANÇ_MOV[CONTAS],$C1196,LANÇ_MOV[PLANO DE CONTAS],REL_DRE_FINANCEIRO!$B$1164,LANÇ_MOV[ANO PAGAMENTO],$B$4,LANÇ_MOV[MÊS PAGAMENTO CORRESPONDENTE],L$6,LANÇ_MOV[EMPRESA],$C$4,LANÇ_MOV[CENTRO DE CUSTOS],$D$4)</f>
        <v>0</v>
      </c>
      <c r="M1196" s="206">
        <f>SUMIFS(LANÇ_MOV[VALOR LÍQUIDO],LANÇ_MOV[RECEITA OU DESPESA],"Despesa",LANÇ_MOV[CONTAS],$C1196,LANÇ_MOV[PLANO DE CONTAS],REL_DRE_FINANCEIRO!$B$1164,LANÇ_MOV[ANO PAGAMENTO],$B$4,LANÇ_MOV[MÊS PAGAMENTO CORRESPONDENTE],M$6,LANÇ_MOV[EMPRESA],$C$4,LANÇ_MOV[CENTRO DE CUSTOS],$D$4)</f>
        <v>0</v>
      </c>
      <c r="N1196" s="206">
        <f>SUMIFS(LANÇ_MOV[VALOR LÍQUIDO],LANÇ_MOV[RECEITA OU DESPESA],"Despesa",LANÇ_MOV[CONTAS],$C1196,LANÇ_MOV[PLANO DE CONTAS],REL_DRE_FINANCEIRO!$B$1164,LANÇ_MOV[ANO PAGAMENTO],$B$4,LANÇ_MOV[MÊS PAGAMENTO CORRESPONDENTE],N$6,LANÇ_MOV[EMPRESA],$C$4,LANÇ_MOV[CENTRO DE CUSTOS],$D$4)</f>
        <v>0</v>
      </c>
      <c r="O1196" s="206">
        <f>SUMIFS(LANÇ_MOV[VALOR LÍQUIDO],LANÇ_MOV[RECEITA OU DESPESA],"Despesa",LANÇ_MOV[CONTAS],$C1196,LANÇ_MOV[PLANO DE CONTAS],REL_DRE_FINANCEIRO!$B$1164,LANÇ_MOV[ANO PAGAMENTO],$B$4,LANÇ_MOV[MÊS PAGAMENTO CORRESPONDENTE],O$6,LANÇ_MOV[EMPRESA],$C$4,LANÇ_MOV[CENTRO DE CUSTOS],$D$4)</f>
        <v>0</v>
      </c>
      <c r="P1196" s="207">
        <f t="shared" si="145"/>
        <v>0</v>
      </c>
      <c r="Q1196" s="329">
        <v>6.9E-6</v>
      </c>
      <c r="R1196" s="346">
        <f t="shared" si="146"/>
        <v>6.9E-6</v>
      </c>
      <c r="S1196" s="347" t="str">
        <f t="shared" si="147"/>
        <v>-</v>
      </c>
      <c r="T1196" s="347">
        <f t="shared" si="148"/>
        <v>0</v>
      </c>
      <c r="U1196" s="347">
        <f>HLOOKUP(Apoio!$P$12,$D$1163:$P$1264,X1196,FALSE)+Q1196</f>
        <v>6.9E-6</v>
      </c>
      <c r="V1196" s="447" t="str">
        <f t="shared" si="149"/>
        <v>-</v>
      </c>
      <c r="W1196" s="448">
        <f>HLOOKUP(Apoio!$P$12,$D$1163:$P$1264,X1196,FALSE)</f>
        <v>0</v>
      </c>
      <c r="X1196" s="329">
        <v>34</v>
      </c>
    </row>
    <row r="1197" spans="2:24" ht="30.05" customHeight="1" x14ac:dyDescent="0.35">
      <c r="B1197" s="204" t="str">
        <f>'CAD_PL_REC-DESP'!AI37</f>
        <v>2.9.33</v>
      </c>
      <c r="C1197" s="205" t="str">
        <f>IF('CAD_PL_REC-DESP'!AJ37="","-",'CAD_PL_REC-DESP'!AJ37)</f>
        <v>-</v>
      </c>
      <c r="D1197" s="206">
        <f>SUMIFS(LANÇ_MOV[VALOR LÍQUIDO],LANÇ_MOV[RECEITA OU DESPESA],"Despesa",LANÇ_MOV[CONTAS],$C1197,LANÇ_MOV[PLANO DE CONTAS],REL_DRE_FINANCEIRO!$B$1164,LANÇ_MOV[ANO PAGAMENTO],$B$4,LANÇ_MOV[MÊS PAGAMENTO CORRESPONDENTE],D$6,LANÇ_MOV[EMPRESA],$C$4,LANÇ_MOV[CENTRO DE CUSTOS],$D$4)</f>
        <v>0</v>
      </c>
      <c r="E1197" s="206">
        <f>SUMIFS(LANÇ_MOV[VALOR LÍQUIDO],LANÇ_MOV[RECEITA OU DESPESA],"Despesa",LANÇ_MOV[CONTAS],$C1197,LANÇ_MOV[PLANO DE CONTAS],REL_DRE_FINANCEIRO!$B$1164,LANÇ_MOV[ANO PAGAMENTO],$B$4,LANÇ_MOV[MÊS PAGAMENTO CORRESPONDENTE],E$6,LANÇ_MOV[EMPRESA],$C$4,LANÇ_MOV[CENTRO DE CUSTOS],$D$4)</f>
        <v>0</v>
      </c>
      <c r="F1197" s="206">
        <f>SUMIFS(LANÇ_MOV[VALOR LÍQUIDO],LANÇ_MOV[RECEITA OU DESPESA],"Despesa",LANÇ_MOV[CONTAS],$C1197,LANÇ_MOV[PLANO DE CONTAS],REL_DRE_FINANCEIRO!$B$1164,LANÇ_MOV[ANO PAGAMENTO],$B$4,LANÇ_MOV[MÊS PAGAMENTO CORRESPONDENTE],F$6,LANÇ_MOV[EMPRESA],$C$4,LANÇ_MOV[CENTRO DE CUSTOS],$D$4)</f>
        <v>0</v>
      </c>
      <c r="G1197" s="206">
        <f>SUMIFS(LANÇ_MOV[VALOR LÍQUIDO],LANÇ_MOV[RECEITA OU DESPESA],"Despesa",LANÇ_MOV[CONTAS],$C1197,LANÇ_MOV[PLANO DE CONTAS],REL_DRE_FINANCEIRO!$B$1164,LANÇ_MOV[ANO PAGAMENTO],$B$4,LANÇ_MOV[MÊS PAGAMENTO CORRESPONDENTE],G$6,LANÇ_MOV[EMPRESA],$C$4,LANÇ_MOV[CENTRO DE CUSTOS],$D$4)</f>
        <v>0</v>
      </c>
      <c r="H1197" s="206">
        <f>SUMIFS(LANÇ_MOV[VALOR LÍQUIDO],LANÇ_MOV[RECEITA OU DESPESA],"Despesa",LANÇ_MOV[CONTAS],$C1197,LANÇ_MOV[PLANO DE CONTAS],REL_DRE_FINANCEIRO!$B$1164,LANÇ_MOV[ANO PAGAMENTO],$B$4,LANÇ_MOV[MÊS PAGAMENTO CORRESPONDENTE],H$6,LANÇ_MOV[EMPRESA],$C$4,LANÇ_MOV[CENTRO DE CUSTOS],$D$4)</f>
        <v>0</v>
      </c>
      <c r="I1197" s="206">
        <f>SUMIFS(LANÇ_MOV[VALOR LÍQUIDO],LANÇ_MOV[RECEITA OU DESPESA],"Despesa",LANÇ_MOV[CONTAS],$C1197,LANÇ_MOV[PLANO DE CONTAS],REL_DRE_FINANCEIRO!$B$1164,LANÇ_MOV[ANO PAGAMENTO],$B$4,LANÇ_MOV[MÊS PAGAMENTO CORRESPONDENTE],I$6,LANÇ_MOV[EMPRESA],$C$4,LANÇ_MOV[CENTRO DE CUSTOS],$D$4)</f>
        <v>0</v>
      </c>
      <c r="J1197" s="206">
        <f>SUMIFS(LANÇ_MOV[VALOR LÍQUIDO],LANÇ_MOV[RECEITA OU DESPESA],"Despesa",LANÇ_MOV[CONTAS],$C1197,LANÇ_MOV[PLANO DE CONTAS],REL_DRE_FINANCEIRO!$B$1164,LANÇ_MOV[ANO PAGAMENTO],$B$4,LANÇ_MOV[MÊS PAGAMENTO CORRESPONDENTE],J$6,LANÇ_MOV[EMPRESA],$C$4,LANÇ_MOV[CENTRO DE CUSTOS],$D$4)</f>
        <v>0</v>
      </c>
      <c r="K1197" s="206">
        <f>SUMIFS(LANÇ_MOV[VALOR LÍQUIDO],LANÇ_MOV[RECEITA OU DESPESA],"Despesa",LANÇ_MOV[CONTAS],$C1197,LANÇ_MOV[PLANO DE CONTAS],REL_DRE_FINANCEIRO!$B$1164,LANÇ_MOV[ANO PAGAMENTO],$B$4,LANÇ_MOV[MÊS PAGAMENTO CORRESPONDENTE],K$6,LANÇ_MOV[EMPRESA],$C$4,LANÇ_MOV[CENTRO DE CUSTOS],$D$4)</f>
        <v>0</v>
      </c>
      <c r="L1197" s="206">
        <f>SUMIFS(LANÇ_MOV[VALOR LÍQUIDO],LANÇ_MOV[RECEITA OU DESPESA],"Despesa",LANÇ_MOV[CONTAS],$C1197,LANÇ_MOV[PLANO DE CONTAS],REL_DRE_FINANCEIRO!$B$1164,LANÇ_MOV[ANO PAGAMENTO],$B$4,LANÇ_MOV[MÊS PAGAMENTO CORRESPONDENTE],L$6,LANÇ_MOV[EMPRESA],$C$4,LANÇ_MOV[CENTRO DE CUSTOS],$D$4)</f>
        <v>0</v>
      </c>
      <c r="M1197" s="206">
        <f>SUMIFS(LANÇ_MOV[VALOR LÍQUIDO],LANÇ_MOV[RECEITA OU DESPESA],"Despesa",LANÇ_MOV[CONTAS],$C1197,LANÇ_MOV[PLANO DE CONTAS],REL_DRE_FINANCEIRO!$B$1164,LANÇ_MOV[ANO PAGAMENTO],$B$4,LANÇ_MOV[MÊS PAGAMENTO CORRESPONDENTE],M$6,LANÇ_MOV[EMPRESA],$C$4,LANÇ_MOV[CENTRO DE CUSTOS],$D$4)</f>
        <v>0</v>
      </c>
      <c r="N1197" s="206">
        <f>SUMIFS(LANÇ_MOV[VALOR LÍQUIDO],LANÇ_MOV[RECEITA OU DESPESA],"Despesa",LANÇ_MOV[CONTAS],$C1197,LANÇ_MOV[PLANO DE CONTAS],REL_DRE_FINANCEIRO!$B$1164,LANÇ_MOV[ANO PAGAMENTO],$B$4,LANÇ_MOV[MÊS PAGAMENTO CORRESPONDENTE],N$6,LANÇ_MOV[EMPRESA],$C$4,LANÇ_MOV[CENTRO DE CUSTOS],$D$4)</f>
        <v>0</v>
      </c>
      <c r="O1197" s="206">
        <f>SUMIFS(LANÇ_MOV[VALOR LÍQUIDO],LANÇ_MOV[RECEITA OU DESPESA],"Despesa",LANÇ_MOV[CONTAS],$C1197,LANÇ_MOV[PLANO DE CONTAS],REL_DRE_FINANCEIRO!$B$1164,LANÇ_MOV[ANO PAGAMENTO],$B$4,LANÇ_MOV[MÊS PAGAMENTO CORRESPONDENTE],O$6,LANÇ_MOV[EMPRESA],$C$4,LANÇ_MOV[CENTRO DE CUSTOS],$D$4)</f>
        <v>0</v>
      </c>
      <c r="P1197" s="207">
        <f t="shared" si="145"/>
        <v>0</v>
      </c>
      <c r="Q1197" s="329">
        <v>6.8000000000000001E-6</v>
      </c>
      <c r="R1197" s="346">
        <f t="shared" si="146"/>
        <v>6.8000000000000001E-6</v>
      </c>
      <c r="S1197" s="347" t="str">
        <f t="shared" si="147"/>
        <v>-</v>
      </c>
      <c r="T1197" s="347">
        <f t="shared" si="148"/>
        <v>0</v>
      </c>
      <c r="U1197" s="347">
        <f>HLOOKUP(Apoio!$P$12,$D$1163:$P$1264,X1197,FALSE)+Q1197</f>
        <v>6.8000000000000001E-6</v>
      </c>
      <c r="V1197" s="447" t="str">
        <f t="shared" si="149"/>
        <v>-</v>
      </c>
      <c r="W1197" s="448">
        <f>HLOOKUP(Apoio!$P$12,$D$1163:$P$1264,X1197,FALSE)</f>
        <v>0</v>
      </c>
      <c r="X1197" s="329">
        <v>35</v>
      </c>
    </row>
    <row r="1198" spans="2:24" ht="30.05" customHeight="1" x14ac:dyDescent="0.35">
      <c r="B1198" s="204" t="str">
        <f>'CAD_PL_REC-DESP'!AI38</f>
        <v>2.9.34</v>
      </c>
      <c r="C1198" s="205" t="str">
        <f>IF('CAD_PL_REC-DESP'!AJ38="","-",'CAD_PL_REC-DESP'!AJ38)</f>
        <v>-</v>
      </c>
      <c r="D1198" s="206">
        <f>SUMIFS(LANÇ_MOV[VALOR LÍQUIDO],LANÇ_MOV[RECEITA OU DESPESA],"Despesa",LANÇ_MOV[CONTAS],$C1198,LANÇ_MOV[PLANO DE CONTAS],REL_DRE_FINANCEIRO!$B$1164,LANÇ_MOV[ANO PAGAMENTO],$B$4,LANÇ_MOV[MÊS PAGAMENTO CORRESPONDENTE],D$6,LANÇ_MOV[EMPRESA],$C$4,LANÇ_MOV[CENTRO DE CUSTOS],$D$4)</f>
        <v>0</v>
      </c>
      <c r="E1198" s="206">
        <f>SUMIFS(LANÇ_MOV[VALOR LÍQUIDO],LANÇ_MOV[RECEITA OU DESPESA],"Despesa",LANÇ_MOV[CONTAS],$C1198,LANÇ_MOV[PLANO DE CONTAS],REL_DRE_FINANCEIRO!$B$1164,LANÇ_MOV[ANO PAGAMENTO],$B$4,LANÇ_MOV[MÊS PAGAMENTO CORRESPONDENTE],E$6,LANÇ_MOV[EMPRESA],$C$4,LANÇ_MOV[CENTRO DE CUSTOS],$D$4)</f>
        <v>0</v>
      </c>
      <c r="F1198" s="206">
        <f>SUMIFS(LANÇ_MOV[VALOR LÍQUIDO],LANÇ_MOV[RECEITA OU DESPESA],"Despesa",LANÇ_MOV[CONTAS],$C1198,LANÇ_MOV[PLANO DE CONTAS],REL_DRE_FINANCEIRO!$B$1164,LANÇ_MOV[ANO PAGAMENTO],$B$4,LANÇ_MOV[MÊS PAGAMENTO CORRESPONDENTE],F$6,LANÇ_MOV[EMPRESA],$C$4,LANÇ_MOV[CENTRO DE CUSTOS],$D$4)</f>
        <v>0</v>
      </c>
      <c r="G1198" s="206">
        <f>SUMIFS(LANÇ_MOV[VALOR LÍQUIDO],LANÇ_MOV[RECEITA OU DESPESA],"Despesa",LANÇ_MOV[CONTAS],$C1198,LANÇ_MOV[PLANO DE CONTAS],REL_DRE_FINANCEIRO!$B$1164,LANÇ_MOV[ANO PAGAMENTO],$B$4,LANÇ_MOV[MÊS PAGAMENTO CORRESPONDENTE],G$6,LANÇ_MOV[EMPRESA],$C$4,LANÇ_MOV[CENTRO DE CUSTOS],$D$4)</f>
        <v>0</v>
      </c>
      <c r="H1198" s="206">
        <f>SUMIFS(LANÇ_MOV[VALOR LÍQUIDO],LANÇ_MOV[RECEITA OU DESPESA],"Despesa",LANÇ_MOV[CONTAS],$C1198,LANÇ_MOV[PLANO DE CONTAS],REL_DRE_FINANCEIRO!$B$1164,LANÇ_MOV[ANO PAGAMENTO],$B$4,LANÇ_MOV[MÊS PAGAMENTO CORRESPONDENTE],H$6,LANÇ_MOV[EMPRESA],$C$4,LANÇ_MOV[CENTRO DE CUSTOS],$D$4)</f>
        <v>0</v>
      </c>
      <c r="I1198" s="206">
        <f>SUMIFS(LANÇ_MOV[VALOR LÍQUIDO],LANÇ_MOV[RECEITA OU DESPESA],"Despesa",LANÇ_MOV[CONTAS],$C1198,LANÇ_MOV[PLANO DE CONTAS],REL_DRE_FINANCEIRO!$B$1164,LANÇ_MOV[ANO PAGAMENTO],$B$4,LANÇ_MOV[MÊS PAGAMENTO CORRESPONDENTE],I$6,LANÇ_MOV[EMPRESA],$C$4,LANÇ_MOV[CENTRO DE CUSTOS],$D$4)</f>
        <v>0</v>
      </c>
      <c r="J1198" s="206">
        <f>SUMIFS(LANÇ_MOV[VALOR LÍQUIDO],LANÇ_MOV[RECEITA OU DESPESA],"Despesa",LANÇ_MOV[CONTAS],$C1198,LANÇ_MOV[PLANO DE CONTAS],REL_DRE_FINANCEIRO!$B$1164,LANÇ_MOV[ANO PAGAMENTO],$B$4,LANÇ_MOV[MÊS PAGAMENTO CORRESPONDENTE],J$6,LANÇ_MOV[EMPRESA],$C$4,LANÇ_MOV[CENTRO DE CUSTOS],$D$4)</f>
        <v>0</v>
      </c>
      <c r="K1198" s="206">
        <f>SUMIFS(LANÇ_MOV[VALOR LÍQUIDO],LANÇ_MOV[RECEITA OU DESPESA],"Despesa",LANÇ_MOV[CONTAS],$C1198,LANÇ_MOV[PLANO DE CONTAS],REL_DRE_FINANCEIRO!$B$1164,LANÇ_MOV[ANO PAGAMENTO],$B$4,LANÇ_MOV[MÊS PAGAMENTO CORRESPONDENTE],K$6,LANÇ_MOV[EMPRESA],$C$4,LANÇ_MOV[CENTRO DE CUSTOS],$D$4)</f>
        <v>0</v>
      </c>
      <c r="L1198" s="206">
        <f>SUMIFS(LANÇ_MOV[VALOR LÍQUIDO],LANÇ_MOV[RECEITA OU DESPESA],"Despesa",LANÇ_MOV[CONTAS],$C1198,LANÇ_MOV[PLANO DE CONTAS],REL_DRE_FINANCEIRO!$B$1164,LANÇ_MOV[ANO PAGAMENTO],$B$4,LANÇ_MOV[MÊS PAGAMENTO CORRESPONDENTE],L$6,LANÇ_MOV[EMPRESA],$C$4,LANÇ_MOV[CENTRO DE CUSTOS],$D$4)</f>
        <v>0</v>
      </c>
      <c r="M1198" s="206">
        <f>SUMIFS(LANÇ_MOV[VALOR LÍQUIDO],LANÇ_MOV[RECEITA OU DESPESA],"Despesa",LANÇ_MOV[CONTAS],$C1198,LANÇ_MOV[PLANO DE CONTAS],REL_DRE_FINANCEIRO!$B$1164,LANÇ_MOV[ANO PAGAMENTO],$B$4,LANÇ_MOV[MÊS PAGAMENTO CORRESPONDENTE],M$6,LANÇ_MOV[EMPRESA],$C$4,LANÇ_MOV[CENTRO DE CUSTOS],$D$4)</f>
        <v>0</v>
      </c>
      <c r="N1198" s="206">
        <f>SUMIFS(LANÇ_MOV[VALOR LÍQUIDO],LANÇ_MOV[RECEITA OU DESPESA],"Despesa",LANÇ_MOV[CONTAS],$C1198,LANÇ_MOV[PLANO DE CONTAS],REL_DRE_FINANCEIRO!$B$1164,LANÇ_MOV[ANO PAGAMENTO],$B$4,LANÇ_MOV[MÊS PAGAMENTO CORRESPONDENTE],N$6,LANÇ_MOV[EMPRESA],$C$4,LANÇ_MOV[CENTRO DE CUSTOS],$D$4)</f>
        <v>0</v>
      </c>
      <c r="O1198" s="206">
        <f>SUMIFS(LANÇ_MOV[VALOR LÍQUIDO],LANÇ_MOV[RECEITA OU DESPESA],"Despesa",LANÇ_MOV[CONTAS],$C1198,LANÇ_MOV[PLANO DE CONTAS],REL_DRE_FINANCEIRO!$B$1164,LANÇ_MOV[ANO PAGAMENTO],$B$4,LANÇ_MOV[MÊS PAGAMENTO CORRESPONDENTE],O$6,LANÇ_MOV[EMPRESA],$C$4,LANÇ_MOV[CENTRO DE CUSTOS],$D$4)</f>
        <v>0</v>
      </c>
      <c r="P1198" s="207">
        <f t="shared" si="145"/>
        <v>0</v>
      </c>
      <c r="Q1198" s="329">
        <v>6.7000000000000002E-6</v>
      </c>
      <c r="R1198" s="346">
        <f t="shared" si="146"/>
        <v>6.7000000000000002E-6</v>
      </c>
      <c r="S1198" s="347" t="str">
        <f t="shared" si="147"/>
        <v>-</v>
      </c>
      <c r="T1198" s="347">
        <f t="shared" si="148"/>
        <v>0</v>
      </c>
      <c r="U1198" s="347">
        <f>HLOOKUP(Apoio!$P$12,$D$1163:$P$1264,X1198,FALSE)+Q1198</f>
        <v>6.7000000000000002E-6</v>
      </c>
      <c r="V1198" s="447" t="str">
        <f t="shared" si="149"/>
        <v>-</v>
      </c>
      <c r="W1198" s="448">
        <f>HLOOKUP(Apoio!$P$12,$D$1163:$P$1264,X1198,FALSE)</f>
        <v>0</v>
      </c>
      <c r="X1198" s="329">
        <v>36</v>
      </c>
    </row>
    <row r="1199" spans="2:24" ht="30.05" customHeight="1" x14ac:dyDescent="0.35">
      <c r="B1199" s="204" t="str">
        <f>'CAD_PL_REC-DESP'!AI39</f>
        <v>2.9.35</v>
      </c>
      <c r="C1199" s="205" t="str">
        <f>IF('CAD_PL_REC-DESP'!AJ39="","-",'CAD_PL_REC-DESP'!AJ39)</f>
        <v>-</v>
      </c>
      <c r="D1199" s="206">
        <f>SUMIFS(LANÇ_MOV[VALOR LÍQUIDO],LANÇ_MOV[RECEITA OU DESPESA],"Despesa",LANÇ_MOV[CONTAS],$C1199,LANÇ_MOV[PLANO DE CONTAS],REL_DRE_FINANCEIRO!$B$1164,LANÇ_MOV[ANO PAGAMENTO],$B$4,LANÇ_MOV[MÊS PAGAMENTO CORRESPONDENTE],D$6,LANÇ_MOV[EMPRESA],$C$4,LANÇ_MOV[CENTRO DE CUSTOS],$D$4)</f>
        <v>0</v>
      </c>
      <c r="E1199" s="206">
        <f>SUMIFS(LANÇ_MOV[VALOR LÍQUIDO],LANÇ_MOV[RECEITA OU DESPESA],"Despesa",LANÇ_MOV[CONTAS],$C1199,LANÇ_MOV[PLANO DE CONTAS],REL_DRE_FINANCEIRO!$B$1164,LANÇ_MOV[ANO PAGAMENTO],$B$4,LANÇ_MOV[MÊS PAGAMENTO CORRESPONDENTE],E$6,LANÇ_MOV[EMPRESA],$C$4,LANÇ_MOV[CENTRO DE CUSTOS],$D$4)</f>
        <v>0</v>
      </c>
      <c r="F1199" s="206">
        <f>SUMIFS(LANÇ_MOV[VALOR LÍQUIDO],LANÇ_MOV[RECEITA OU DESPESA],"Despesa",LANÇ_MOV[CONTAS],$C1199,LANÇ_MOV[PLANO DE CONTAS],REL_DRE_FINANCEIRO!$B$1164,LANÇ_MOV[ANO PAGAMENTO],$B$4,LANÇ_MOV[MÊS PAGAMENTO CORRESPONDENTE],F$6,LANÇ_MOV[EMPRESA],$C$4,LANÇ_MOV[CENTRO DE CUSTOS],$D$4)</f>
        <v>0</v>
      </c>
      <c r="G1199" s="206">
        <f>SUMIFS(LANÇ_MOV[VALOR LÍQUIDO],LANÇ_MOV[RECEITA OU DESPESA],"Despesa",LANÇ_MOV[CONTAS],$C1199,LANÇ_MOV[PLANO DE CONTAS],REL_DRE_FINANCEIRO!$B$1164,LANÇ_MOV[ANO PAGAMENTO],$B$4,LANÇ_MOV[MÊS PAGAMENTO CORRESPONDENTE],G$6,LANÇ_MOV[EMPRESA],$C$4,LANÇ_MOV[CENTRO DE CUSTOS],$D$4)</f>
        <v>0</v>
      </c>
      <c r="H1199" s="206">
        <f>SUMIFS(LANÇ_MOV[VALOR LÍQUIDO],LANÇ_MOV[RECEITA OU DESPESA],"Despesa",LANÇ_MOV[CONTAS],$C1199,LANÇ_MOV[PLANO DE CONTAS],REL_DRE_FINANCEIRO!$B$1164,LANÇ_MOV[ANO PAGAMENTO],$B$4,LANÇ_MOV[MÊS PAGAMENTO CORRESPONDENTE],H$6,LANÇ_MOV[EMPRESA],$C$4,LANÇ_MOV[CENTRO DE CUSTOS],$D$4)</f>
        <v>0</v>
      </c>
      <c r="I1199" s="206">
        <f>SUMIFS(LANÇ_MOV[VALOR LÍQUIDO],LANÇ_MOV[RECEITA OU DESPESA],"Despesa",LANÇ_MOV[CONTAS],$C1199,LANÇ_MOV[PLANO DE CONTAS],REL_DRE_FINANCEIRO!$B$1164,LANÇ_MOV[ANO PAGAMENTO],$B$4,LANÇ_MOV[MÊS PAGAMENTO CORRESPONDENTE],I$6,LANÇ_MOV[EMPRESA],$C$4,LANÇ_MOV[CENTRO DE CUSTOS],$D$4)</f>
        <v>0</v>
      </c>
      <c r="J1199" s="206">
        <f>SUMIFS(LANÇ_MOV[VALOR LÍQUIDO],LANÇ_MOV[RECEITA OU DESPESA],"Despesa",LANÇ_MOV[CONTAS],$C1199,LANÇ_MOV[PLANO DE CONTAS],REL_DRE_FINANCEIRO!$B$1164,LANÇ_MOV[ANO PAGAMENTO],$B$4,LANÇ_MOV[MÊS PAGAMENTO CORRESPONDENTE],J$6,LANÇ_MOV[EMPRESA],$C$4,LANÇ_MOV[CENTRO DE CUSTOS],$D$4)</f>
        <v>0</v>
      </c>
      <c r="K1199" s="206">
        <f>SUMIFS(LANÇ_MOV[VALOR LÍQUIDO],LANÇ_MOV[RECEITA OU DESPESA],"Despesa",LANÇ_MOV[CONTAS],$C1199,LANÇ_MOV[PLANO DE CONTAS],REL_DRE_FINANCEIRO!$B$1164,LANÇ_MOV[ANO PAGAMENTO],$B$4,LANÇ_MOV[MÊS PAGAMENTO CORRESPONDENTE],K$6,LANÇ_MOV[EMPRESA],$C$4,LANÇ_MOV[CENTRO DE CUSTOS],$D$4)</f>
        <v>0</v>
      </c>
      <c r="L1199" s="206">
        <f>SUMIFS(LANÇ_MOV[VALOR LÍQUIDO],LANÇ_MOV[RECEITA OU DESPESA],"Despesa",LANÇ_MOV[CONTAS],$C1199,LANÇ_MOV[PLANO DE CONTAS],REL_DRE_FINANCEIRO!$B$1164,LANÇ_MOV[ANO PAGAMENTO],$B$4,LANÇ_MOV[MÊS PAGAMENTO CORRESPONDENTE],L$6,LANÇ_MOV[EMPRESA],$C$4,LANÇ_MOV[CENTRO DE CUSTOS],$D$4)</f>
        <v>0</v>
      </c>
      <c r="M1199" s="206">
        <f>SUMIFS(LANÇ_MOV[VALOR LÍQUIDO],LANÇ_MOV[RECEITA OU DESPESA],"Despesa",LANÇ_MOV[CONTAS],$C1199,LANÇ_MOV[PLANO DE CONTAS],REL_DRE_FINANCEIRO!$B$1164,LANÇ_MOV[ANO PAGAMENTO],$B$4,LANÇ_MOV[MÊS PAGAMENTO CORRESPONDENTE],M$6,LANÇ_MOV[EMPRESA],$C$4,LANÇ_MOV[CENTRO DE CUSTOS],$D$4)</f>
        <v>0</v>
      </c>
      <c r="N1199" s="206">
        <f>SUMIFS(LANÇ_MOV[VALOR LÍQUIDO],LANÇ_MOV[RECEITA OU DESPESA],"Despesa",LANÇ_MOV[CONTAS],$C1199,LANÇ_MOV[PLANO DE CONTAS],REL_DRE_FINANCEIRO!$B$1164,LANÇ_MOV[ANO PAGAMENTO],$B$4,LANÇ_MOV[MÊS PAGAMENTO CORRESPONDENTE],N$6,LANÇ_MOV[EMPRESA],$C$4,LANÇ_MOV[CENTRO DE CUSTOS],$D$4)</f>
        <v>0</v>
      </c>
      <c r="O1199" s="206">
        <f>SUMIFS(LANÇ_MOV[VALOR LÍQUIDO],LANÇ_MOV[RECEITA OU DESPESA],"Despesa",LANÇ_MOV[CONTAS],$C1199,LANÇ_MOV[PLANO DE CONTAS],REL_DRE_FINANCEIRO!$B$1164,LANÇ_MOV[ANO PAGAMENTO],$B$4,LANÇ_MOV[MÊS PAGAMENTO CORRESPONDENTE],O$6,LANÇ_MOV[EMPRESA],$C$4,LANÇ_MOV[CENTRO DE CUSTOS],$D$4)</f>
        <v>0</v>
      </c>
      <c r="P1199" s="207">
        <f t="shared" si="145"/>
        <v>0</v>
      </c>
      <c r="Q1199" s="329">
        <v>6.6000000000000003E-6</v>
      </c>
      <c r="R1199" s="346">
        <f t="shared" si="146"/>
        <v>6.6000000000000003E-6</v>
      </c>
      <c r="S1199" s="347" t="str">
        <f t="shared" si="147"/>
        <v>-</v>
      </c>
      <c r="T1199" s="347">
        <f t="shared" si="148"/>
        <v>0</v>
      </c>
      <c r="U1199" s="347">
        <f>HLOOKUP(Apoio!$P$12,$D$1163:$P$1264,X1199,FALSE)+Q1199</f>
        <v>6.6000000000000003E-6</v>
      </c>
      <c r="V1199" s="447" t="str">
        <f t="shared" si="149"/>
        <v>-</v>
      </c>
      <c r="W1199" s="448">
        <f>HLOOKUP(Apoio!$P$12,$D$1163:$P$1264,X1199,FALSE)</f>
        <v>0</v>
      </c>
      <c r="X1199" s="329">
        <v>37</v>
      </c>
    </row>
    <row r="1200" spans="2:24" ht="30.05" customHeight="1" x14ac:dyDescent="0.35">
      <c r="B1200" s="204" t="str">
        <f>'CAD_PL_REC-DESP'!AI40</f>
        <v>2.9.36</v>
      </c>
      <c r="C1200" s="205" t="str">
        <f>IF('CAD_PL_REC-DESP'!AJ40="","-",'CAD_PL_REC-DESP'!AJ40)</f>
        <v>-</v>
      </c>
      <c r="D1200" s="206">
        <f>SUMIFS(LANÇ_MOV[VALOR LÍQUIDO],LANÇ_MOV[RECEITA OU DESPESA],"Despesa",LANÇ_MOV[CONTAS],$C1200,LANÇ_MOV[PLANO DE CONTAS],REL_DRE_FINANCEIRO!$B$1164,LANÇ_MOV[ANO PAGAMENTO],$B$4,LANÇ_MOV[MÊS PAGAMENTO CORRESPONDENTE],D$6,LANÇ_MOV[EMPRESA],$C$4,LANÇ_MOV[CENTRO DE CUSTOS],$D$4)</f>
        <v>0</v>
      </c>
      <c r="E1200" s="206">
        <f>SUMIFS(LANÇ_MOV[VALOR LÍQUIDO],LANÇ_MOV[RECEITA OU DESPESA],"Despesa",LANÇ_MOV[CONTAS],$C1200,LANÇ_MOV[PLANO DE CONTAS],REL_DRE_FINANCEIRO!$B$1164,LANÇ_MOV[ANO PAGAMENTO],$B$4,LANÇ_MOV[MÊS PAGAMENTO CORRESPONDENTE],E$6,LANÇ_MOV[EMPRESA],$C$4,LANÇ_MOV[CENTRO DE CUSTOS],$D$4)</f>
        <v>0</v>
      </c>
      <c r="F1200" s="206">
        <f>SUMIFS(LANÇ_MOV[VALOR LÍQUIDO],LANÇ_MOV[RECEITA OU DESPESA],"Despesa",LANÇ_MOV[CONTAS],$C1200,LANÇ_MOV[PLANO DE CONTAS],REL_DRE_FINANCEIRO!$B$1164,LANÇ_MOV[ANO PAGAMENTO],$B$4,LANÇ_MOV[MÊS PAGAMENTO CORRESPONDENTE],F$6,LANÇ_MOV[EMPRESA],$C$4,LANÇ_MOV[CENTRO DE CUSTOS],$D$4)</f>
        <v>0</v>
      </c>
      <c r="G1200" s="206">
        <f>SUMIFS(LANÇ_MOV[VALOR LÍQUIDO],LANÇ_MOV[RECEITA OU DESPESA],"Despesa",LANÇ_MOV[CONTAS],$C1200,LANÇ_MOV[PLANO DE CONTAS],REL_DRE_FINANCEIRO!$B$1164,LANÇ_MOV[ANO PAGAMENTO],$B$4,LANÇ_MOV[MÊS PAGAMENTO CORRESPONDENTE],G$6,LANÇ_MOV[EMPRESA],$C$4,LANÇ_MOV[CENTRO DE CUSTOS],$D$4)</f>
        <v>0</v>
      </c>
      <c r="H1200" s="206">
        <f>SUMIFS(LANÇ_MOV[VALOR LÍQUIDO],LANÇ_MOV[RECEITA OU DESPESA],"Despesa",LANÇ_MOV[CONTAS],$C1200,LANÇ_MOV[PLANO DE CONTAS],REL_DRE_FINANCEIRO!$B$1164,LANÇ_MOV[ANO PAGAMENTO],$B$4,LANÇ_MOV[MÊS PAGAMENTO CORRESPONDENTE],H$6,LANÇ_MOV[EMPRESA],$C$4,LANÇ_MOV[CENTRO DE CUSTOS],$D$4)</f>
        <v>0</v>
      </c>
      <c r="I1200" s="206">
        <f>SUMIFS(LANÇ_MOV[VALOR LÍQUIDO],LANÇ_MOV[RECEITA OU DESPESA],"Despesa",LANÇ_MOV[CONTAS],$C1200,LANÇ_MOV[PLANO DE CONTAS],REL_DRE_FINANCEIRO!$B$1164,LANÇ_MOV[ANO PAGAMENTO],$B$4,LANÇ_MOV[MÊS PAGAMENTO CORRESPONDENTE],I$6,LANÇ_MOV[EMPRESA],$C$4,LANÇ_MOV[CENTRO DE CUSTOS],$D$4)</f>
        <v>0</v>
      </c>
      <c r="J1200" s="206">
        <f>SUMIFS(LANÇ_MOV[VALOR LÍQUIDO],LANÇ_MOV[RECEITA OU DESPESA],"Despesa",LANÇ_MOV[CONTAS],$C1200,LANÇ_MOV[PLANO DE CONTAS],REL_DRE_FINANCEIRO!$B$1164,LANÇ_MOV[ANO PAGAMENTO],$B$4,LANÇ_MOV[MÊS PAGAMENTO CORRESPONDENTE],J$6,LANÇ_MOV[EMPRESA],$C$4,LANÇ_MOV[CENTRO DE CUSTOS],$D$4)</f>
        <v>0</v>
      </c>
      <c r="K1200" s="206">
        <f>SUMIFS(LANÇ_MOV[VALOR LÍQUIDO],LANÇ_MOV[RECEITA OU DESPESA],"Despesa",LANÇ_MOV[CONTAS],$C1200,LANÇ_MOV[PLANO DE CONTAS],REL_DRE_FINANCEIRO!$B$1164,LANÇ_MOV[ANO PAGAMENTO],$B$4,LANÇ_MOV[MÊS PAGAMENTO CORRESPONDENTE],K$6,LANÇ_MOV[EMPRESA],$C$4,LANÇ_MOV[CENTRO DE CUSTOS],$D$4)</f>
        <v>0</v>
      </c>
      <c r="L1200" s="206">
        <f>SUMIFS(LANÇ_MOV[VALOR LÍQUIDO],LANÇ_MOV[RECEITA OU DESPESA],"Despesa",LANÇ_MOV[CONTAS],$C1200,LANÇ_MOV[PLANO DE CONTAS],REL_DRE_FINANCEIRO!$B$1164,LANÇ_MOV[ANO PAGAMENTO],$B$4,LANÇ_MOV[MÊS PAGAMENTO CORRESPONDENTE],L$6,LANÇ_MOV[EMPRESA],$C$4,LANÇ_MOV[CENTRO DE CUSTOS],$D$4)</f>
        <v>0</v>
      </c>
      <c r="M1200" s="206">
        <f>SUMIFS(LANÇ_MOV[VALOR LÍQUIDO],LANÇ_MOV[RECEITA OU DESPESA],"Despesa",LANÇ_MOV[CONTAS],$C1200,LANÇ_MOV[PLANO DE CONTAS],REL_DRE_FINANCEIRO!$B$1164,LANÇ_MOV[ANO PAGAMENTO],$B$4,LANÇ_MOV[MÊS PAGAMENTO CORRESPONDENTE],M$6,LANÇ_MOV[EMPRESA],$C$4,LANÇ_MOV[CENTRO DE CUSTOS],$D$4)</f>
        <v>0</v>
      </c>
      <c r="N1200" s="206">
        <f>SUMIFS(LANÇ_MOV[VALOR LÍQUIDO],LANÇ_MOV[RECEITA OU DESPESA],"Despesa",LANÇ_MOV[CONTAS],$C1200,LANÇ_MOV[PLANO DE CONTAS],REL_DRE_FINANCEIRO!$B$1164,LANÇ_MOV[ANO PAGAMENTO],$B$4,LANÇ_MOV[MÊS PAGAMENTO CORRESPONDENTE],N$6,LANÇ_MOV[EMPRESA],$C$4,LANÇ_MOV[CENTRO DE CUSTOS],$D$4)</f>
        <v>0</v>
      </c>
      <c r="O1200" s="206">
        <f>SUMIFS(LANÇ_MOV[VALOR LÍQUIDO],LANÇ_MOV[RECEITA OU DESPESA],"Despesa",LANÇ_MOV[CONTAS],$C1200,LANÇ_MOV[PLANO DE CONTAS],REL_DRE_FINANCEIRO!$B$1164,LANÇ_MOV[ANO PAGAMENTO],$B$4,LANÇ_MOV[MÊS PAGAMENTO CORRESPONDENTE],O$6,LANÇ_MOV[EMPRESA],$C$4,LANÇ_MOV[CENTRO DE CUSTOS],$D$4)</f>
        <v>0</v>
      </c>
      <c r="P1200" s="207">
        <f t="shared" si="145"/>
        <v>0</v>
      </c>
      <c r="Q1200" s="329">
        <v>6.4999999999999996E-6</v>
      </c>
      <c r="R1200" s="346">
        <f t="shared" si="146"/>
        <v>6.4999999999999996E-6</v>
      </c>
      <c r="S1200" s="347" t="str">
        <f t="shared" si="147"/>
        <v>-</v>
      </c>
      <c r="T1200" s="347">
        <f t="shared" si="148"/>
        <v>0</v>
      </c>
      <c r="U1200" s="347">
        <f>HLOOKUP(Apoio!$P$12,$D$1163:$P$1264,X1200,FALSE)+Q1200</f>
        <v>6.4999999999999996E-6</v>
      </c>
      <c r="V1200" s="447" t="str">
        <f t="shared" si="149"/>
        <v>-</v>
      </c>
      <c r="W1200" s="448">
        <f>HLOOKUP(Apoio!$P$12,$D$1163:$P$1264,X1200,FALSE)</f>
        <v>0</v>
      </c>
      <c r="X1200" s="329">
        <v>38</v>
      </c>
    </row>
    <row r="1201" spans="2:24" ht="30.05" customHeight="1" x14ac:dyDescent="0.35">
      <c r="B1201" s="204" t="str">
        <f>'CAD_PL_REC-DESP'!AI41</f>
        <v>2.9.37</v>
      </c>
      <c r="C1201" s="205" t="str">
        <f>IF('CAD_PL_REC-DESP'!AJ41="","-",'CAD_PL_REC-DESP'!AJ41)</f>
        <v>-</v>
      </c>
      <c r="D1201" s="206">
        <f>SUMIFS(LANÇ_MOV[VALOR LÍQUIDO],LANÇ_MOV[RECEITA OU DESPESA],"Despesa",LANÇ_MOV[CONTAS],$C1201,LANÇ_MOV[PLANO DE CONTAS],REL_DRE_FINANCEIRO!$B$1164,LANÇ_MOV[ANO PAGAMENTO],$B$4,LANÇ_MOV[MÊS PAGAMENTO CORRESPONDENTE],D$6,LANÇ_MOV[EMPRESA],$C$4,LANÇ_MOV[CENTRO DE CUSTOS],$D$4)</f>
        <v>0</v>
      </c>
      <c r="E1201" s="206">
        <f>SUMIFS(LANÇ_MOV[VALOR LÍQUIDO],LANÇ_MOV[RECEITA OU DESPESA],"Despesa",LANÇ_MOV[CONTAS],$C1201,LANÇ_MOV[PLANO DE CONTAS],REL_DRE_FINANCEIRO!$B$1164,LANÇ_MOV[ANO PAGAMENTO],$B$4,LANÇ_MOV[MÊS PAGAMENTO CORRESPONDENTE],E$6,LANÇ_MOV[EMPRESA],$C$4,LANÇ_MOV[CENTRO DE CUSTOS],$D$4)</f>
        <v>0</v>
      </c>
      <c r="F1201" s="206">
        <f>SUMIFS(LANÇ_MOV[VALOR LÍQUIDO],LANÇ_MOV[RECEITA OU DESPESA],"Despesa",LANÇ_MOV[CONTAS],$C1201,LANÇ_MOV[PLANO DE CONTAS],REL_DRE_FINANCEIRO!$B$1164,LANÇ_MOV[ANO PAGAMENTO],$B$4,LANÇ_MOV[MÊS PAGAMENTO CORRESPONDENTE],F$6,LANÇ_MOV[EMPRESA],$C$4,LANÇ_MOV[CENTRO DE CUSTOS],$D$4)</f>
        <v>0</v>
      </c>
      <c r="G1201" s="206">
        <f>SUMIFS(LANÇ_MOV[VALOR LÍQUIDO],LANÇ_MOV[RECEITA OU DESPESA],"Despesa",LANÇ_MOV[CONTAS],$C1201,LANÇ_MOV[PLANO DE CONTAS],REL_DRE_FINANCEIRO!$B$1164,LANÇ_MOV[ANO PAGAMENTO],$B$4,LANÇ_MOV[MÊS PAGAMENTO CORRESPONDENTE],G$6,LANÇ_MOV[EMPRESA],$C$4,LANÇ_MOV[CENTRO DE CUSTOS],$D$4)</f>
        <v>0</v>
      </c>
      <c r="H1201" s="206">
        <f>SUMIFS(LANÇ_MOV[VALOR LÍQUIDO],LANÇ_MOV[RECEITA OU DESPESA],"Despesa",LANÇ_MOV[CONTAS],$C1201,LANÇ_MOV[PLANO DE CONTAS],REL_DRE_FINANCEIRO!$B$1164,LANÇ_MOV[ANO PAGAMENTO],$B$4,LANÇ_MOV[MÊS PAGAMENTO CORRESPONDENTE],H$6,LANÇ_MOV[EMPRESA],$C$4,LANÇ_MOV[CENTRO DE CUSTOS],$D$4)</f>
        <v>0</v>
      </c>
      <c r="I1201" s="206">
        <f>SUMIFS(LANÇ_MOV[VALOR LÍQUIDO],LANÇ_MOV[RECEITA OU DESPESA],"Despesa",LANÇ_MOV[CONTAS],$C1201,LANÇ_MOV[PLANO DE CONTAS],REL_DRE_FINANCEIRO!$B$1164,LANÇ_MOV[ANO PAGAMENTO],$B$4,LANÇ_MOV[MÊS PAGAMENTO CORRESPONDENTE],I$6,LANÇ_MOV[EMPRESA],$C$4,LANÇ_MOV[CENTRO DE CUSTOS],$D$4)</f>
        <v>0</v>
      </c>
      <c r="J1201" s="206">
        <f>SUMIFS(LANÇ_MOV[VALOR LÍQUIDO],LANÇ_MOV[RECEITA OU DESPESA],"Despesa",LANÇ_MOV[CONTAS],$C1201,LANÇ_MOV[PLANO DE CONTAS],REL_DRE_FINANCEIRO!$B$1164,LANÇ_MOV[ANO PAGAMENTO],$B$4,LANÇ_MOV[MÊS PAGAMENTO CORRESPONDENTE],J$6,LANÇ_MOV[EMPRESA],$C$4,LANÇ_MOV[CENTRO DE CUSTOS],$D$4)</f>
        <v>0</v>
      </c>
      <c r="K1201" s="206">
        <f>SUMIFS(LANÇ_MOV[VALOR LÍQUIDO],LANÇ_MOV[RECEITA OU DESPESA],"Despesa",LANÇ_MOV[CONTAS],$C1201,LANÇ_MOV[PLANO DE CONTAS],REL_DRE_FINANCEIRO!$B$1164,LANÇ_MOV[ANO PAGAMENTO],$B$4,LANÇ_MOV[MÊS PAGAMENTO CORRESPONDENTE],K$6,LANÇ_MOV[EMPRESA],$C$4,LANÇ_MOV[CENTRO DE CUSTOS],$D$4)</f>
        <v>0</v>
      </c>
      <c r="L1201" s="206">
        <f>SUMIFS(LANÇ_MOV[VALOR LÍQUIDO],LANÇ_MOV[RECEITA OU DESPESA],"Despesa",LANÇ_MOV[CONTAS],$C1201,LANÇ_MOV[PLANO DE CONTAS],REL_DRE_FINANCEIRO!$B$1164,LANÇ_MOV[ANO PAGAMENTO],$B$4,LANÇ_MOV[MÊS PAGAMENTO CORRESPONDENTE],L$6,LANÇ_MOV[EMPRESA],$C$4,LANÇ_MOV[CENTRO DE CUSTOS],$D$4)</f>
        <v>0</v>
      </c>
      <c r="M1201" s="206">
        <f>SUMIFS(LANÇ_MOV[VALOR LÍQUIDO],LANÇ_MOV[RECEITA OU DESPESA],"Despesa",LANÇ_MOV[CONTAS],$C1201,LANÇ_MOV[PLANO DE CONTAS],REL_DRE_FINANCEIRO!$B$1164,LANÇ_MOV[ANO PAGAMENTO],$B$4,LANÇ_MOV[MÊS PAGAMENTO CORRESPONDENTE],M$6,LANÇ_MOV[EMPRESA],$C$4,LANÇ_MOV[CENTRO DE CUSTOS],$D$4)</f>
        <v>0</v>
      </c>
      <c r="N1201" s="206">
        <f>SUMIFS(LANÇ_MOV[VALOR LÍQUIDO],LANÇ_MOV[RECEITA OU DESPESA],"Despesa",LANÇ_MOV[CONTAS],$C1201,LANÇ_MOV[PLANO DE CONTAS],REL_DRE_FINANCEIRO!$B$1164,LANÇ_MOV[ANO PAGAMENTO],$B$4,LANÇ_MOV[MÊS PAGAMENTO CORRESPONDENTE],N$6,LANÇ_MOV[EMPRESA],$C$4,LANÇ_MOV[CENTRO DE CUSTOS],$D$4)</f>
        <v>0</v>
      </c>
      <c r="O1201" s="206">
        <f>SUMIFS(LANÇ_MOV[VALOR LÍQUIDO],LANÇ_MOV[RECEITA OU DESPESA],"Despesa",LANÇ_MOV[CONTAS],$C1201,LANÇ_MOV[PLANO DE CONTAS],REL_DRE_FINANCEIRO!$B$1164,LANÇ_MOV[ANO PAGAMENTO],$B$4,LANÇ_MOV[MÊS PAGAMENTO CORRESPONDENTE],O$6,LANÇ_MOV[EMPRESA],$C$4,LANÇ_MOV[CENTRO DE CUSTOS],$D$4)</f>
        <v>0</v>
      </c>
      <c r="P1201" s="207">
        <f t="shared" si="145"/>
        <v>0</v>
      </c>
      <c r="Q1201" s="329">
        <v>6.3999999999999997E-6</v>
      </c>
      <c r="R1201" s="346">
        <f t="shared" si="146"/>
        <v>6.3999999999999997E-6</v>
      </c>
      <c r="S1201" s="347" t="str">
        <f t="shared" si="147"/>
        <v>-</v>
      </c>
      <c r="T1201" s="347">
        <f t="shared" si="148"/>
        <v>0</v>
      </c>
      <c r="U1201" s="347">
        <f>HLOOKUP(Apoio!$P$12,$D$1163:$P$1264,X1201,FALSE)+Q1201</f>
        <v>6.3999999999999997E-6</v>
      </c>
      <c r="V1201" s="447" t="str">
        <f t="shared" si="149"/>
        <v>-</v>
      </c>
      <c r="W1201" s="448">
        <f>HLOOKUP(Apoio!$P$12,$D$1163:$P$1264,X1201,FALSE)</f>
        <v>0</v>
      </c>
      <c r="X1201" s="329">
        <v>39</v>
      </c>
    </row>
    <row r="1202" spans="2:24" ht="30.05" customHeight="1" x14ac:dyDescent="0.35">
      <c r="B1202" s="204" t="str">
        <f>'CAD_PL_REC-DESP'!AI42</f>
        <v>2.9.38</v>
      </c>
      <c r="C1202" s="205" t="str">
        <f>IF('CAD_PL_REC-DESP'!AJ42="","-",'CAD_PL_REC-DESP'!AJ42)</f>
        <v>-</v>
      </c>
      <c r="D1202" s="206">
        <f>SUMIFS(LANÇ_MOV[VALOR LÍQUIDO],LANÇ_MOV[RECEITA OU DESPESA],"Despesa",LANÇ_MOV[CONTAS],$C1202,LANÇ_MOV[PLANO DE CONTAS],REL_DRE_FINANCEIRO!$B$1164,LANÇ_MOV[ANO PAGAMENTO],$B$4,LANÇ_MOV[MÊS PAGAMENTO CORRESPONDENTE],D$6,LANÇ_MOV[EMPRESA],$C$4,LANÇ_MOV[CENTRO DE CUSTOS],$D$4)</f>
        <v>0</v>
      </c>
      <c r="E1202" s="206">
        <f>SUMIFS(LANÇ_MOV[VALOR LÍQUIDO],LANÇ_MOV[RECEITA OU DESPESA],"Despesa",LANÇ_MOV[CONTAS],$C1202,LANÇ_MOV[PLANO DE CONTAS],REL_DRE_FINANCEIRO!$B$1164,LANÇ_MOV[ANO PAGAMENTO],$B$4,LANÇ_MOV[MÊS PAGAMENTO CORRESPONDENTE],E$6,LANÇ_MOV[EMPRESA],$C$4,LANÇ_MOV[CENTRO DE CUSTOS],$D$4)</f>
        <v>0</v>
      </c>
      <c r="F1202" s="206">
        <f>SUMIFS(LANÇ_MOV[VALOR LÍQUIDO],LANÇ_MOV[RECEITA OU DESPESA],"Despesa",LANÇ_MOV[CONTAS],$C1202,LANÇ_MOV[PLANO DE CONTAS],REL_DRE_FINANCEIRO!$B$1164,LANÇ_MOV[ANO PAGAMENTO],$B$4,LANÇ_MOV[MÊS PAGAMENTO CORRESPONDENTE],F$6,LANÇ_MOV[EMPRESA],$C$4,LANÇ_MOV[CENTRO DE CUSTOS],$D$4)</f>
        <v>0</v>
      </c>
      <c r="G1202" s="206">
        <f>SUMIFS(LANÇ_MOV[VALOR LÍQUIDO],LANÇ_MOV[RECEITA OU DESPESA],"Despesa",LANÇ_MOV[CONTAS],$C1202,LANÇ_MOV[PLANO DE CONTAS],REL_DRE_FINANCEIRO!$B$1164,LANÇ_MOV[ANO PAGAMENTO],$B$4,LANÇ_MOV[MÊS PAGAMENTO CORRESPONDENTE],G$6,LANÇ_MOV[EMPRESA],$C$4,LANÇ_MOV[CENTRO DE CUSTOS],$D$4)</f>
        <v>0</v>
      </c>
      <c r="H1202" s="206">
        <f>SUMIFS(LANÇ_MOV[VALOR LÍQUIDO],LANÇ_MOV[RECEITA OU DESPESA],"Despesa",LANÇ_MOV[CONTAS],$C1202,LANÇ_MOV[PLANO DE CONTAS],REL_DRE_FINANCEIRO!$B$1164,LANÇ_MOV[ANO PAGAMENTO],$B$4,LANÇ_MOV[MÊS PAGAMENTO CORRESPONDENTE],H$6,LANÇ_MOV[EMPRESA],$C$4,LANÇ_MOV[CENTRO DE CUSTOS],$D$4)</f>
        <v>0</v>
      </c>
      <c r="I1202" s="206">
        <f>SUMIFS(LANÇ_MOV[VALOR LÍQUIDO],LANÇ_MOV[RECEITA OU DESPESA],"Despesa",LANÇ_MOV[CONTAS],$C1202,LANÇ_MOV[PLANO DE CONTAS],REL_DRE_FINANCEIRO!$B$1164,LANÇ_MOV[ANO PAGAMENTO],$B$4,LANÇ_MOV[MÊS PAGAMENTO CORRESPONDENTE],I$6,LANÇ_MOV[EMPRESA],$C$4,LANÇ_MOV[CENTRO DE CUSTOS],$D$4)</f>
        <v>0</v>
      </c>
      <c r="J1202" s="206">
        <f>SUMIFS(LANÇ_MOV[VALOR LÍQUIDO],LANÇ_MOV[RECEITA OU DESPESA],"Despesa",LANÇ_MOV[CONTAS],$C1202,LANÇ_MOV[PLANO DE CONTAS],REL_DRE_FINANCEIRO!$B$1164,LANÇ_MOV[ANO PAGAMENTO],$B$4,LANÇ_MOV[MÊS PAGAMENTO CORRESPONDENTE],J$6,LANÇ_MOV[EMPRESA],$C$4,LANÇ_MOV[CENTRO DE CUSTOS],$D$4)</f>
        <v>0</v>
      </c>
      <c r="K1202" s="206">
        <f>SUMIFS(LANÇ_MOV[VALOR LÍQUIDO],LANÇ_MOV[RECEITA OU DESPESA],"Despesa",LANÇ_MOV[CONTAS],$C1202,LANÇ_MOV[PLANO DE CONTAS],REL_DRE_FINANCEIRO!$B$1164,LANÇ_MOV[ANO PAGAMENTO],$B$4,LANÇ_MOV[MÊS PAGAMENTO CORRESPONDENTE],K$6,LANÇ_MOV[EMPRESA],$C$4,LANÇ_MOV[CENTRO DE CUSTOS],$D$4)</f>
        <v>0</v>
      </c>
      <c r="L1202" s="206">
        <f>SUMIFS(LANÇ_MOV[VALOR LÍQUIDO],LANÇ_MOV[RECEITA OU DESPESA],"Despesa",LANÇ_MOV[CONTAS],$C1202,LANÇ_MOV[PLANO DE CONTAS],REL_DRE_FINANCEIRO!$B$1164,LANÇ_MOV[ANO PAGAMENTO],$B$4,LANÇ_MOV[MÊS PAGAMENTO CORRESPONDENTE],L$6,LANÇ_MOV[EMPRESA],$C$4,LANÇ_MOV[CENTRO DE CUSTOS],$D$4)</f>
        <v>0</v>
      </c>
      <c r="M1202" s="206">
        <f>SUMIFS(LANÇ_MOV[VALOR LÍQUIDO],LANÇ_MOV[RECEITA OU DESPESA],"Despesa",LANÇ_MOV[CONTAS],$C1202,LANÇ_MOV[PLANO DE CONTAS],REL_DRE_FINANCEIRO!$B$1164,LANÇ_MOV[ANO PAGAMENTO],$B$4,LANÇ_MOV[MÊS PAGAMENTO CORRESPONDENTE],M$6,LANÇ_MOV[EMPRESA],$C$4,LANÇ_MOV[CENTRO DE CUSTOS],$D$4)</f>
        <v>0</v>
      </c>
      <c r="N1202" s="206">
        <f>SUMIFS(LANÇ_MOV[VALOR LÍQUIDO],LANÇ_MOV[RECEITA OU DESPESA],"Despesa",LANÇ_MOV[CONTAS],$C1202,LANÇ_MOV[PLANO DE CONTAS],REL_DRE_FINANCEIRO!$B$1164,LANÇ_MOV[ANO PAGAMENTO],$B$4,LANÇ_MOV[MÊS PAGAMENTO CORRESPONDENTE],N$6,LANÇ_MOV[EMPRESA],$C$4,LANÇ_MOV[CENTRO DE CUSTOS],$D$4)</f>
        <v>0</v>
      </c>
      <c r="O1202" s="206">
        <f>SUMIFS(LANÇ_MOV[VALOR LÍQUIDO],LANÇ_MOV[RECEITA OU DESPESA],"Despesa",LANÇ_MOV[CONTAS],$C1202,LANÇ_MOV[PLANO DE CONTAS],REL_DRE_FINANCEIRO!$B$1164,LANÇ_MOV[ANO PAGAMENTO],$B$4,LANÇ_MOV[MÊS PAGAMENTO CORRESPONDENTE],O$6,LANÇ_MOV[EMPRESA],$C$4,LANÇ_MOV[CENTRO DE CUSTOS],$D$4)</f>
        <v>0</v>
      </c>
      <c r="P1202" s="207">
        <f t="shared" si="145"/>
        <v>0</v>
      </c>
      <c r="Q1202" s="329">
        <v>6.2999999999999998E-6</v>
      </c>
      <c r="R1202" s="346">
        <f t="shared" si="146"/>
        <v>6.2999999999999998E-6</v>
      </c>
      <c r="S1202" s="347" t="str">
        <f t="shared" si="147"/>
        <v>-</v>
      </c>
      <c r="T1202" s="347">
        <f t="shared" si="148"/>
        <v>0</v>
      </c>
      <c r="U1202" s="347">
        <f>HLOOKUP(Apoio!$P$12,$D$1163:$P$1264,X1202,FALSE)+Q1202</f>
        <v>6.2999999999999998E-6</v>
      </c>
      <c r="V1202" s="447" t="str">
        <f t="shared" si="149"/>
        <v>-</v>
      </c>
      <c r="W1202" s="448">
        <f>HLOOKUP(Apoio!$P$12,$D$1163:$P$1264,X1202,FALSE)</f>
        <v>0</v>
      </c>
      <c r="X1202" s="329">
        <v>40</v>
      </c>
    </row>
    <row r="1203" spans="2:24" ht="30.05" customHeight="1" x14ac:dyDescent="0.35">
      <c r="B1203" s="204" t="str">
        <f>'CAD_PL_REC-DESP'!AI43</f>
        <v>2.9.39</v>
      </c>
      <c r="C1203" s="205" t="str">
        <f>IF('CAD_PL_REC-DESP'!AJ43="","-",'CAD_PL_REC-DESP'!AJ43)</f>
        <v>-</v>
      </c>
      <c r="D1203" s="206">
        <f>SUMIFS(LANÇ_MOV[VALOR LÍQUIDO],LANÇ_MOV[RECEITA OU DESPESA],"Despesa",LANÇ_MOV[CONTAS],$C1203,LANÇ_MOV[PLANO DE CONTAS],REL_DRE_FINANCEIRO!$B$1164,LANÇ_MOV[ANO PAGAMENTO],$B$4,LANÇ_MOV[MÊS PAGAMENTO CORRESPONDENTE],D$6,LANÇ_MOV[EMPRESA],$C$4,LANÇ_MOV[CENTRO DE CUSTOS],$D$4)</f>
        <v>0</v>
      </c>
      <c r="E1203" s="206">
        <f>SUMIFS(LANÇ_MOV[VALOR LÍQUIDO],LANÇ_MOV[RECEITA OU DESPESA],"Despesa",LANÇ_MOV[CONTAS],$C1203,LANÇ_MOV[PLANO DE CONTAS],REL_DRE_FINANCEIRO!$B$1164,LANÇ_MOV[ANO PAGAMENTO],$B$4,LANÇ_MOV[MÊS PAGAMENTO CORRESPONDENTE],E$6,LANÇ_MOV[EMPRESA],$C$4,LANÇ_MOV[CENTRO DE CUSTOS],$D$4)</f>
        <v>0</v>
      </c>
      <c r="F1203" s="206">
        <f>SUMIFS(LANÇ_MOV[VALOR LÍQUIDO],LANÇ_MOV[RECEITA OU DESPESA],"Despesa",LANÇ_MOV[CONTAS],$C1203,LANÇ_MOV[PLANO DE CONTAS],REL_DRE_FINANCEIRO!$B$1164,LANÇ_MOV[ANO PAGAMENTO],$B$4,LANÇ_MOV[MÊS PAGAMENTO CORRESPONDENTE],F$6,LANÇ_MOV[EMPRESA],$C$4,LANÇ_MOV[CENTRO DE CUSTOS],$D$4)</f>
        <v>0</v>
      </c>
      <c r="G1203" s="206">
        <f>SUMIFS(LANÇ_MOV[VALOR LÍQUIDO],LANÇ_MOV[RECEITA OU DESPESA],"Despesa",LANÇ_MOV[CONTAS],$C1203,LANÇ_MOV[PLANO DE CONTAS],REL_DRE_FINANCEIRO!$B$1164,LANÇ_MOV[ANO PAGAMENTO],$B$4,LANÇ_MOV[MÊS PAGAMENTO CORRESPONDENTE],G$6,LANÇ_MOV[EMPRESA],$C$4,LANÇ_MOV[CENTRO DE CUSTOS],$D$4)</f>
        <v>0</v>
      </c>
      <c r="H1203" s="206">
        <f>SUMIFS(LANÇ_MOV[VALOR LÍQUIDO],LANÇ_MOV[RECEITA OU DESPESA],"Despesa",LANÇ_MOV[CONTAS],$C1203,LANÇ_MOV[PLANO DE CONTAS],REL_DRE_FINANCEIRO!$B$1164,LANÇ_MOV[ANO PAGAMENTO],$B$4,LANÇ_MOV[MÊS PAGAMENTO CORRESPONDENTE],H$6,LANÇ_MOV[EMPRESA],$C$4,LANÇ_MOV[CENTRO DE CUSTOS],$D$4)</f>
        <v>0</v>
      </c>
      <c r="I1203" s="206">
        <f>SUMIFS(LANÇ_MOV[VALOR LÍQUIDO],LANÇ_MOV[RECEITA OU DESPESA],"Despesa",LANÇ_MOV[CONTAS],$C1203,LANÇ_MOV[PLANO DE CONTAS],REL_DRE_FINANCEIRO!$B$1164,LANÇ_MOV[ANO PAGAMENTO],$B$4,LANÇ_MOV[MÊS PAGAMENTO CORRESPONDENTE],I$6,LANÇ_MOV[EMPRESA],$C$4,LANÇ_MOV[CENTRO DE CUSTOS],$D$4)</f>
        <v>0</v>
      </c>
      <c r="J1203" s="206">
        <f>SUMIFS(LANÇ_MOV[VALOR LÍQUIDO],LANÇ_MOV[RECEITA OU DESPESA],"Despesa",LANÇ_MOV[CONTAS],$C1203,LANÇ_MOV[PLANO DE CONTAS],REL_DRE_FINANCEIRO!$B$1164,LANÇ_MOV[ANO PAGAMENTO],$B$4,LANÇ_MOV[MÊS PAGAMENTO CORRESPONDENTE],J$6,LANÇ_MOV[EMPRESA],$C$4,LANÇ_MOV[CENTRO DE CUSTOS],$D$4)</f>
        <v>0</v>
      </c>
      <c r="K1203" s="206">
        <f>SUMIFS(LANÇ_MOV[VALOR LÍQUIDO],LANÇ_MOV[RECEITA OU DESPESA],"Despesa",LANÇ_MOV[CONTAS],$C1203,LANÇ_MOV[PLANO DE CONTAS],REL_DRE_FINANCEIRO!$B$1164,LANÇ_MOV[ANO PAGAMENTO],$B$4,LANÇ_MOV[MÊS PAGAMENTO CORRESPONDENTE],K$6,LANÇ_MOV[EMPRESA],$C$4,LANÇ_MOV[CENTRO DE CUSTOS],$D$4)</f>
        <v>0</v>
      </c>
      <c r="L1203" s="206">
        <f>SUMIFS(LANÇ_MOV[VALOR LÍQUIDO],LANÇ_MOV[RECEITA OU DESPESA],"Despesa",LANÇ_MOV[CONTAS],$C1203,LANÇ_MOV[PLANO DE CONTAS],REL_DRE_FINANCEIRO!$B$1164,LANÇ_MOV[ANO PAGAMENTO],$B$4,LANÇ_MOV[MÊS PAGAMENTO CORRESPONDENTE],L$6,LANÇ_MOV[EMPRESA],$C$4,LANÇ_MOV[CENTRO DE CUSTOS],$D$4)</f>
        <v>0</v>
      </c>
      <c r="M1203" s="206">
        <f>SUMIFS(LANÇ_MOV[VALOR LÍQUIDO],LANÇ_MOV[RECEITA OU DESPESA],"Despesa",LANÇ_MOV[CONTAS],$C1203,LANÇ_MOV[PLANO DE CONTAS],REL_DRE_FINANCEIRO!$B$1164,LANÇ_MOV[ANO PAGAMENTO],$B$4,LANÇ_MOV[MÊS PAGAMENTO CORRESPONDENTE],M$6,LANÇ_MOV[EMPRESA],$C$4,LANÇ_MOV[CENTRO DE CUSTOS],$D$4)</f>
        <v>0</v>
      </c>
      <c r="N1203" s="206">
        <f>SUMIFS(LANÇ_MOV[VALOR LÍQUIDO],LANÇ_MOV[RECEITA OU DESPESA],"Despesa",LANÇ_MOV[CONTAS],$C1203,LANÇ_MOV[PLANO DE CONTAS],REL_DRE_FINANCEIRO!$B$1164,LANÇ_MOV[ANO PAGAMENTO],$B$4,LANÇ_MOV[MÊS PAGAMENTO CORRESPONDENTE],N$6,LANÇ_MOV[EMPRESA],$C$4,LANÇ_MOV[CENTRO DE CUSTOS],$D$4)</f>
        <v>0</v>
      </c>
      <c r="O1203" s="206">
        <f>SUMIFS(LANÇ_MOV[VALOR LÍQUIDO],LANÇ_MOV[RECEITA OU DESPESA],"Despesa",LANÇ_MOV[CONTAS],$C1203,LANÇ_MOV[PLANO DE CONTAS],REL_DRE_FINANCEIRO!$B$1164,LANÇ_MOV[ANO PAGAMENTO],$B$4,LANÇ_MOV[MÊS PAGAMENTO CORRESPONDENTE],O$6,LANÇ_MOV[EMPRESA],$C$4,LANÇ_MOV[CENTRO DE CUSTOS],$D$4)</f>
        <v>0</v>
      </c>
      <c r="P1203" s="207">
        <f t="shared" si="145"/>
        <v>0</v>
      </c>
      <c r="Q1203" s="329">
        <v>6.1999999999999999E-6</v>
      </c>
      <c r="R1203" s="346">
        <f t="shared" si="146"/>
        <v>6.1999999999999999E-6</v>
      </c>
      <c r="S1203" s="347" t="str">
        <f t="shared" si="147"/>
        <v>-</v>
      </c>
      <c r="T1203" s="347">
        <f t="shared" si="148"/>
        <v>0</v>
      </c>
      <c r="U1203" s="347">
        <f>HLOOKUP(Apoio!$P$12,$D$1163:$P$1264,X1203,FALSE)+Q1203</f>
        <v>6.1999999999999999E-6</v>
      </c>
      <c r="V1203" s="447" t="str">
        <f t="shared" si="149"/>
        <v>-</v>
      </c>
      <c r="W1203" s="448">
        <f>HLOOKUP(Apoio!$P$12,$D$1163:$P$1264,X1203,FALSE)</f>
        <v>0</v>
      </c>
      <c r="X1203" s="329">
        <v>41</v>
      </c>
    </row>
    <row r="1204" spans="2:24" ht="30.05" customHeight="1" x14ac:dyDescent="0.35">
      <c r="B1204" s="204" t="str">
        <f>'CAD_PL_REC-DESP'!AI44</f>
        <v>2.9.40</v>
      </c>
      <c r="C1204" s="205" t="str">
        <f>IF('CAD_PL_REC-DESP'!AJ44="","-",'CAD_PL_REC-DESP'!AJ44)</f>
        <v>-</v>
      </c>
      <c r="D1204" s="206">
        <f>SUMIFS(LANÇ_MOV[VALOR LÍQUIDO],LANÇ_MOV[RECEITA OU DESPESA],"Despesa",LANÇ_MOV[CONTAS],$C1204,LANÇ_MOV[PLANO DE CONTAS],REL_DRE_FINANCEIRO!$B$1164,LANÇ_MOV[ANO PAGAMENTO],$B$4,LANÇ_MOV[MÊS PAGAMENTO CORRESPONDENTE],D$6,LANÇ_MOV[EMPRESA],$C$4,LANÇ_MOV[CENTRO DE CUSTOS],$D$4)</f>
        <v>0</v>
      </c>
      <c r="E1204" s="206">
        <f>SUMIFS(LANÇ_MOV[VALOR LÍQUIDO],LANÇ_MOV[RECEITA OU DESPESA],"Despesa",LANÇ_MOV[CONTAS],$C1204,LANÇ_MOV[PLANO DE CONTAS],REL_DRE_FINANCEIRO!$B$1164,LANÇ_MOV[ANO PAGAMENTO],$B$4,LANÇ_MOV[MÊS PAGAMENTO CORRESPONDENTE],E$6,LANÇ_MOV[EMPRESA],$C$4,LANÇ_MOV[CENTRO DE CUSTOS],$D$4)</f>
        <v>0</v>
      </c>
      <c r="F1204" s="206">
        <f>SUMIFS(LANÇ_MOV[VALOR LÍQUIDO],LANÇ_MOV[RECEITA OU DESPESA],"Despesa",LANÇ_MOV[CONTAS],$C1204,LANÇ_MOV[PLANO DE CONTAS],REL_DRE_FINANCEIRO!$B$1164,LANÇ_MOV[ANO PAGAMENTO],$B$4,LANÇ_MOV[MÊS PAGAMENTO CORRESPONDENTE],F$6,LANÇ_MOV[EMPRESA],$C$4,LANÇ_MOV[CENTRO DE CUSTOS],$D$4)</f>
        <v>0</v>
      </c>
      <c r="G1204" s="206">
        <f>SUMIFS(LANÇ_MOV[VALOR LÍQUIDO],LANÇ_MOV[RECEITA OU DESPESA],"Despesa",LANÇ_MOV[CONTAS],$C1204,LANÇ_MOV[PLANO DE CONTAS],REL_DRE_FINANCEIRO!$B$1164,LANÇ_MOV[ANO PAGAMENTO],$B$4,LANÇ_MOV[MÊS PAGAMENTO CORRESPONDENTE],G$6,LANÇ_MOV[EMPRESA],$C$4,LANÇ_MOV[CENTRO DE CUSTOS],$D$4)</f>
        <v>0</v>
      </c>
      <c r="H1204" s="206">
        <f>SUMIFS(LANÇ_MOV[VALOR LÍQUIDO],LANÇ_MOV[RECEITA OU DESPESA],"Despesa",LANÇ_MOV[CONTAS],$C1204,LANÇ_MOV[PLANO DE CONTAS],REL_DRE_FINANCEIRO!$B$1164,LANÇ_MOV[ANO PAGAMENTO],$B$4,LANÇ_MOV[MÊS PAGAMENTO CORRESPONDENTE],H$6,LANÇ_MOV[EMPRESA],$C$4,LANÇ_MOV[CENTRO DE CUSTOS],$D$4)</f>
        <v>0</v>
      </c>
      <c r="I1204" s="206">
        <f>SUMIFS(LANÇ_MOV[VALOR LÍQUIDO],LANÇ_MOV[RECEITA OU DESPESA],"Despesa",LANÇ_MOV[CONTAS],$C1204,LANÇ_MOV[PLANO DE CONTAS],REL_DRE_FINANCEIRO!$B$1164,LANÇ_MOV[ANO PAGAMENTO],$B$4,LANÇ_MOV[MÊS PAGAMENTO CORRESPONDENTE],I$6,LANÇ_MOV[EMPRESA],$C$4,LANÇ_MOV[CENTRO DE CUSTOS],$D$4)</f>
        <v>0</v>
      </c>
      <c r="J1204" s="206">
        <f>SUMIFS(LANÇ_MOV[VALOR LÍQUIDO],LANÇ_MOV[RECEITA OU DESPESA],"Despesa",LANÇ_MOV[CONTAS],$C1204,LANÇ_MOV[PLANO DE CONTAS],REL_DRE_FINANCEIRO!$B$1164,LANÇ_MOV[ANO PAGAMENTO],$B$4,LANÇ_MOV[MÊS PAGAMENTO CORRESPONDENTE],J$6,LANÇ_MOV[EMPRESA],$C$4,LANÇ_MOV[CENTRO DE CUSTOS],$D$4)</f>
        <v>0</v>
      </c>
      <c r="K1204" s="206">
        <f>SUMIFS(LANÇ_MOV[VALOR LÍQUIDO],LANÇ_MOV[RECEITA OU DESPESA],"Despesa",LANÇ_MOV[CONTAS],$C1204,LANÇ_MOV[PLANO DE CONTAS],REL_DRE_FINANCEIRO!$B$1164,LANÇ_MOV[ANO PAGAMENTO],$B$4,LANÇ_MOV[MÊS PAGAMENTO CORRESPONDENTE],K$6,LANÇ_MOV[EMPRESA],$C$4,LANÇ_MOV[CENTRO DE CUSTOS],$D$4)</f>
        <v>0</v>
      </c>
      <c r="L1204" s="206">
        <f>SUMIFS(LANÇ_MOV[VALOR LÍQUIDO],LANÇ_MOV[RECEITA OU DESPESA],"Despesa",LANÇ_MOV[CONTAS],$C1204,LANÇ_MOV[PLANO DE CONTAS],REL_DRE_FINANCEIRO!$B$1164,LANÇ_MOV[ANO PAGAMENTO],$B$4,LANÇ_MOV[MÊS PAGAMENTO CORRESPONDENTE],L$6,LANÇ_MOV[EMPRESA],$C$4,LANÇ_MOV[CENTRO DE CUSTOS],$D$4)</f>
        <v>0</v>
      </c>
      <c r="M1204" s="206">
        <f>SUMIFS(LANÇ_MOV[VALOR LÍQUIDO],LANÇ_MOV[RECEITA OU DESPESA],"Despesa",LANÇ_MOV[CONTAS],$C1204,LANÇ_MOV[PLANO DE CONTAS],REL_DRE_FINANCEIRO!$B$1164,LANÇ_MOV[ANO PAGAMENTO],$B$4,LANÇ_MOV[MÊS PAGAMENTO CORRESPONDENTE],M$6,LANÇ_MOV[EMPRESA],$C$4,LANÇ_MOV[CENTRO DE CUSTOS],$D$4)</f>
        <v>0</v>
      </c>
      <c r="N1204" s="206">
        <f>SUMIFS(LANÇ_MOV[VALOR LÍQUIDO],LANÇ_MOV[RECEITA OU DESPESA],"Despesa",LANÇ_MOV[CONTAS],$C1204,LANÇ_MOV[PLANO DE CONTAS],REL_DRE_FINANCEIRO!$B$1164,LANÇ_MOV[ANO PAGAMENTO],$B$4,LANÇ_MOV[MÊS PAGAMENTO CORRESPONDENTE],N$6,LANÇ_MOV[EMPRESA],$C$4,LANÇ_MOV[CENTRO DE CUSTOS],$D$4)</f>
        <v>0</v>
      </c>
      <c r="O1204" s="206">
        <f>SUMIFS(LANÇ_MOV[VALOR LÍQUIDO],LANÇ_MOV[RECEITA OU DESPESA],"Despesa",LANÇ_MOV[CONTAS],$C1204,LANÇ_MOV[PLANO DE CONTAS],REL_DRE_FINANCEIRO!$B$1164,LANÇ_MOV[ANO PAGAMENTO],$B$4,LANÇ_MOV[MÊS PAGAMENTO CORRESPONDENTE],O$6,LANÇ_MOV[EMPRESA],$C$4,LANÇ_MOV[CENTRO DE CUSTOS],$D$4)</f>
        <v>0</v>
      </c>
      <c r="P1204" s="207">
        <f t="shared" si="145"/>
        <v>0</v>
      </c>
      <c r="Q1204" s="329">
        <v>6.1E-6</v>
      </c>
      <c r="R1204" s="346">
        <f t="shared" si="146"/>
        <v>6.1E-6</v>
      </c>
      <c r="S1204" s="347" t="str">
        <f t="shared" si="147"/>
        <v>-</v>
      </c>
      <c r="T1204" s="347">
        <f t="shared" si="148"/>
        <v>0</v>
      </c>
      <c r="U1204" s="347">
        <f>HLOOKUP(Apoio!$P$12,$D$1163:$P$1264,X1204,FALSE)+Q1204</f>
        <v>6.1E-6</v>
      </c>
      <c r="V1204" s="447" t="str">
        <f t="shared" si="149"/>
        <v>-</v>
      </c>
      <c r="W1204" s="448">
        <f>HLOOKUP(Apoio!$P$12,$D$1163:$P$1264,X1204,FALSE)</f>
        <v>0</v>
      </c>
      <c r="X1204" s="329">
        <v>42</v>
      </c>
    </row>
    <row r="1205" spans="2:24" ht="30.05" customHeight="1" x14ac:dyDescent="0.35">
      <c r="B1205" s="204" t="str">
        <f>'CAD_PL_REC-DESP'!AI45</f>
        <v>2.9.41</v>
      </c>
      <c r="C1205" s="205" t="str">
        <f>IF('CAD_PL_REC-DESP'!AJ45="","-",'CAD_PL_REC-DESP'!AJ45)</f>
        <v>-</v>
      </c>
      <c r="D1205" s="206">
        <f>SUMIFS(LANÇ_MOV[VALOR LÍQUIDO],LANÇ_MOV[RECEITA OU DESPESA],"Despesa",LANÇ_MOV[CONTAS],$C1205,LANÇ_MOV[PLANO DE CONTAS],REL_DRE_FINANCEIRO!$B$1164,LANÇ_MOV[ANO PAGAMENTO],$B$4,LANÇ_MOV[MÊS PAGAMENTO CORRESPONDENTE],D$6,LANÇ_MOV[EMPRESA],$C$4,LANÇ_MOV[CENTRO DE CUSTOS],$D$4)</f>
        <v>0</v>
      </c>
      <c r="E1205" s="206">
        <f>SUMIFS(LANÇ_MOV[VALOR LÍQUIDO],LANÇ_MOV[RECEITA OU DESPESA],"Despesa",LANÇ_MOV[CONTAS],$C1205,LANÇ_MOV[PLANO DE CONTAS],REL_DRE_FINANCEIRO!$B$1164,LANÇ_MOV[ANO PAGAMENTO],$B$4,LANÇ_MOV[MÊS PAGAMENTO CORRESPONDENTE],E$6,LANÇ_MOV[EMPRESA],$C$4,LANÇ_MOV[CENTRO DE CUSTOS],$D$4)</f>
        <v>0</v>
      </c>
      <c r="F1205" s="206">
        <f>SUMIFS(LANÇ_MOV[VALOR LÍQUIDO],LANÇ_MOV[RECEITA OU DESPESA],"Despesa",LANÇ_MOV[CONTAS],$C1205,LANÇ_MOV[PLANO DE CONTAS],REL_DRE_FINANCEIRO!$B$1164,LANÇ_MOV[ANO PAGAMENTO],$B$4,LANÇ_MOV[MÊS PAGAMENTO CORRESPONDENTE],F$6,LANÇ_MOV[EMPRESA],$C$4,LANÇ_MOV[CENTRO DE CUSTOS],$D$4)</f>
        <v>0</v>
      </c>
      <c r="G1205" s="206">
        <f>SUMIFS(LANÇ_MOV[VALOR LÍQUIDO],LANÇ_MOV[RECEITA OU DESPESA],"Despesa",LANÇ_MOV[CONTAS],$C1205,LANÇ_MOV[PLANO DE CONTAS],REL_DRE_FINANCEIRO!$B$1164,LANÇ_MOV[ANO PAGAMENTO],$B$4,LANÇ_MOV[MÊS PAGAMENTO CORRESPONDENTE],G$6,LANÇ_MOV[EMPRESA],$C$4,LANÇ_MOV[CENTRO DE CUSTOS],$D$4)</f>
        <v>0</v>
      </c>
      <c r="H1205" s="206">
        <f>SUMIFS(LANÇ_MOV[VALOR LÍQUIDO],LANÇ_MOV[RECEITA OU DESPESA],"Despesa",LANÇ_MOV[CONTAS],$C1205,LANÇ_MOV[PLANO DE CONTAS],REL_DRE_FINANCEIRO!$B$1164,LANÇ_MOV[ANO PAGAMENTO],$B$4,LANÇ_MOV[MÊS PAGAMENTO CORRESPONDENTE],H$6,LANÇ_MOV[EMPRESA],$C$4,LANÇ_MOV[CENTRO DE CUSTOS],$D$4)</f>
        <v>0</v>
      </c>
      <c r="I1205" s="206">
        <f>SUMIFS(LANÇ_MOV[VALOR LÍQUIDO],LANÇ_MOV[RECEITA OU DESPESA],"Despesa",LANÇ_MOV[CONTAS],$C1205,LANÇ_MOV[PLANO DE CONTAS],REL_DRE_FINANCEIRO!$B$1164,LANÇ_MOV[ANO PAGAMENTO],$B$4,LANÇ_MOV[MÊS PAGAMENTO CORRESPONDENTE],I$6,LANÇ_MOV[EMPRESA],$C$4,LANÇ_MOV[CENTRO DE CUSTOS],$D$4)</f>
        <v>0</v>
      </c>
      <c r="J1205" s="206">
        <f>SUMIFS(LANÇ_MOV[VALOR LÍQUIDO],LANÇ_MOV[RECEITA OU DESPESA],"Despesa",LANÇ_MOV[CONTAS],$C1205,LANÇ_MOV[PLANO DE CONTAS],REL_DRE_FINANCEIRO!$B$1164,LANÇ_MOV[ANO PAGAMENTO],$B$4,LANÇ_MOV[MÊS PAGAMENTO CORRESPONDENTE],J$6,LANÇ_MOV[EMPRESA],$C$4,LANÇ_MOV[CENTRO DE CUSTOS],$D$4)</f>
        <v>0</v>
      </c>
      <c r="K1205" s="206">
        <f>SUMIFS(LANÇ_MOV[VALOR LÍQUIDO],LANÇ_MOV[RECEITA OU DESPESA],"Despesa",LANÇ_MOV[CONTAS],$C1205,LANÇ_MOV[PLANO DE CONTAS],REL_DRE_FINANCEIRO!$B$1164,LANÇ_MOV[ANO PAGAMENTO],$B$4,LANÇ_MOV[MÊS PAGAMENTO CORRESPONDENTE],K$6,LANÇ_MOV[EMPRESA],$C$4,LANÇ_MOV[CENTRO DE CUSTOS],$D$4)</f>
        <v>0</v>
      </c>
      <c r="L1205" s="206">
        <f>SUMIFS(LANÇ_MOV[VALOR LÍQUIDO],LANÇ_MOV[RECEITA OU DESPESA],"Despesa",LANÇ_MOV[CONTAS],$C1205,LANÇ_MOV[PLANO DE CONTAS],REL_DRE_FINANCEIRO!$B$1164,LANÇ_MOV[ANO PAGAMENTO],$B$4,LANÇ_MOV[MÊS PAGAMENTO CORRESPONDENTE],L$6,LANÇ_MOV[EMPRESA],$C$4,LANÇ_MOV[CENTRO DE CUSTOS],$D$4)</f>
        <v>0</v>
      </c>
      <c r="M1205" s="206">
        <f>SUMIFS(LANÇ_MOV[VALOR LÍQUIDO],LANÇ_MOV[RECEITA OU DESPESA],"Despesa",LANÇ_MOV[CONTAS],$C1205,LANÇ_MOV[PLANO DE CONTAS],REL_DRE_FINANCEIRO!$B$1164,LANÇ_MOV[ANO PAGAMENTO],$B$4,LANÇ_MOV[MÊS PAGAMENTO CORRESPONDENTE],M$6,LANÇ_MOV[EMPRESA],$C$4,LANÇ_MOV[CENTRO DE CUSTOS],$D$4)</f>
        <v>0</v>
      </c>
      <c r="N1205" s="206">
        <f>SUMIFS(LANÇ_MOV[VALOR LÍQUIDO],LANÇ_MOV[RECEITA OU DESPESA],"Despesa",LANÇ_MOV[CONTAS],$C1205,LANÇ_MOV[PLANO DE CONTAS],REL_DRE_FINANCEIRO!$B$1164,LANÇ_MOV[ANO PAGAMENTO],$B$4,LANÇ_MOV[MÊS PAGAMENTO CORRESPONDENTE],N$6,LANÇ_MOV[EMPRESA],$C$4,LANÇ_MOV[CENTRO DE CUSTOS],$D$4)</f>
        <v>0</v>
      </c>
      <c r="O1205" s="206">
        <f>SUMIFS(LANÇ_MOV[VALOR LÍQUIDO],LANÇ_MOV[RECEITA OU DESPESA],"Despesa",LANÇ_MOV[CONTAS],$C1205,LANÇ_MOV[PLANO DE CONTAS],REL_DRE_FINANCEIRO!$B$1164,LANÇ_MOV[ANO PAGAMENTO],$B$4,LANÇ_MOV[MÊS PAGAMENTO CORRESPONDENTE],O$6,LANÇ_MOV[EMPRESA],$C$4,LANÇ_MOV[CENTRO DE CUSTOS],$D$4)</f>
        <v>0</v>
      </c>
      <c r="P1205" s="207">
        <f t="shared" si="145"/>
        <v>0</v>
      </c>
      <c r="Q1205" s="329">
        <v>6.0000000000000002E-6</v>
      </c>
      <c r="R1205" s="346">
        <f t="shared" si="146"/>
        <v>6.0000000000000002E-6</v>
      </c>
      <c r="S1205" s="347" t="str">
        <f t="shared" si="147"/>
        <v>-</v>
      </c>
      <c r="T1205" s="347">
        <f t="shared" si="148"/>
        <v>0</v>
      </c>
      <c r="U1205" s="347">
        <f>HLOOKUP(Apoio!$P$12,$D$1163:$P$1264,X1205,FALSE)+Q1205</f>
        <v>6.0000000000000002E-6</v>
      </c>
      <c r="V1205" s="447" t="str">
        <f t="shared" si="149"/>
        <v>-</v>
      </c>
      <c r="W1205" s="448">
        <f>HLOOKUP(Apoio!$P$12,$D$1163:$P$1264,X1205,FALSE)</f>
        <v>0</v>
      </c>
      <c r="X1205" s="329">
        <v>43</v>
      </c>
    </row>
    <row r="1206" spans="2:24" ht="30.05" customHeight="1" x14ac:dyDescent="0.35">
      <c r="B1206" s="204" t="str">
        <f>'CAD_PL_REC-DESP'!AI46</f>
        <v>2.9.42</v>
      </c>
      <c r="C1206" s="205" t="str">
        <f>IF('CAD_PL_REC-DESP'!AJ46="","-",'CAD_PL_REC-DESP'!AJ46)</f>
        <v>-</v>
      </c>
      <c r="D1206" s="206">
        <f>SUMIFS(LANÇ_MOV[VALOR LÍQUIDO],LANÇ_MOV[RECEITA OU DESPESA],"Despesa",LANÇ_MOV[CONTAS],$C1206,LANÇ_MOV[PLANO DE CONTAS],REL_DRE_FINANCEIRO!$B$1164,LANÇ_MOV[ANO PAGAMENTO],$B$4,LANÇ_MOV[MÊS PAGAMENTO CORRESPONDENTE],D$6,LANÇ_MOV[EMPRESA],$C$4,LANÇ_MOV[CENTRO DE CUSTOS],$D$4)</f>
        <v>0</v>
      </c>
      <c r="E1206" s="206">
        <f>SUMIFS(LANÇ_MOV[VALOR LÍQUIDO],LANÇ_MOV[RECEITA OU DESPESA],"Despesa",LANÇ_MOV[CONTAS],$C1206,LANÇ_MOV[PLANO DE CONTAS],REL_DRE_FINANCEIRO!$B$1164,LANÇ_MOV[ANO PAGAMENTO],$B$4,LANÇ_MOV[MÊS PAGAMENTO CORRESPONDENTE],E$6,LANÇ_MOV[EMPRESA],$C$4,LANÇ_MOV[CENTRO DE CUSTOS],$D$4)</f>
        <v>0</v>
      </c>
      <c r="F1206" s="206">
        <f>SUMIFS(LANÇ_MOV[VALOR LÍQUIDO],LANÇ_MOV[RECEITA OU DESPESA],"Despesa",LANÇ_MOV[CONTAS],$C1206,LANÇ_MOV[PLANO DE CONTAS],REL_DRE_FINANCEIRO!$B$1164,LANÇ_MOV[ANO PAGAMENTO],$B$4,LANÇ_MOV[MÊS PAGAMENTO CORRESPONDENTE],F$6,LANÇ_MOV[EMPRESA],$C$4,LANÇ_MOV[CENTRO DE CUSTOS],$D$4)</f>
        <v>0</v>
      </c>
      <c r="G1206" s="206">
        <f>SUMIFS(LANÇ_MOV[VALOR LÍQUIDO],LANÇ_MOV[RECEITA OU DESPESA],"Despesa",LANÇ_MOV[CONTAS],$C1206,LANÇ_MOV[PLANO DE CONTAS],REL_DRE_FINANCEIRO!$B$1164,LANÇ_MOV[ANO PAGAMENTO],$B$4,LANÇ_MOV[MÊS PAGAMENTO CORRESPONDENTE],G$6,LANÇ_MOV[EMPRESA],$C$4,LANÇ_MOV[CENTRO DE CUSTOS],$D$4)</f>
        <v>0</v>
      </c>
      <c r="H1206" s="206">
        <f>SUMIFS(LANÇ_MOV[VALOR LÍQUIDO],LANÇ_MOV[RECEITA OU DESPESA],"Despesa",LANÇ_MOV[CONTAS],$C1206,LANÇ_MOV[PLANO DE CONTAS],REL_DRE_FINANCEIRO!$B$1164,LANÇ_MOV[ANO PAGAMENTO],$B$4,LANÇ_MOV[MÊS PAGAMENTO CORRESPONDENTE],H$6,LANÇ_MOV[EMPRESA],$C$4,LANÇ_MOV[CENTRO DE CUSTOS],$D$4)</f>
        <v>0</v>
      </c>
      <c r="I1206" s="206">
        <f>SUMIFS(LANÇ_MOV[VALOR LÍQUIDO],LANÇ_MOV[RECEITA OU DESPESA],"Despesa",LANÇ_MOV[CONTAS],$C1206,LANÇ_MOV[PLANO DE CONTAS],REL_DRE_FINANCEIRO!$B$1164,LANÇ_MOV[ANO PAGAMENTO],$B$4,LANÇ_MOV[MÊS PAGAMENTO CORRESPONDENTE],I$6,LANÇ_MOV[EMPRESA],$C$4,LANÇ_MOV[CENTRO DE CUSTOS],$D$4)</f>
        <v>0</v>
      </c>
      <c r="J1206" s="206">
        <f>SUMIFS(LANÇ_MOV[VALOR LÍQUIDO],LANÇ_MOV[RECEITA OU DESPESA],"Despesa",LANÇ_MOV[CONTAS],$C1206,LANÇ_MOV[PLANO DE CONTAS],REL_DRE_FINANCEIRO!$B$1164,LANÇ_MOV[ANO PAGAMENTO],$B$4,LANÇ_MOV[MÊS PAGAMENTO CORRESPONDENTE],J$6,LANÇ_MOV[EMPRESA],$C$4,LANÇ_MOV[CENTRO DE CUSTOS],$D$4)</f>
        <v>0</v>
      </c>
      <c r="K1206" s="206">
        <f>SUMIFS(LANÇ_MOV[VALOR LÍQUIDO],LANÇ_MOV[RECEITA OU DESPESA],"Despesa",LANÇ_MOV[CONTAS],$C1206,LANÇ_MOV[PLANO DE CONTAS],REL_DRE_FINANCEIRO!$B$1164,LANÇ_MOV[ANO PAGAMENTO],$B$4,LANÇ_MOV[MÊS PAGAMENTO CORRESPONDENTE],K$6,LANÇ_MOV[EMPRESA],$C$4,LANÇ_MOV[CENTRO DE CUSTOS],$D$4)</f>
        <v>0</v>
      </c>
      <c r="L1206" s="206">
        <f>SUMIFS(LANÇ_MOV[VALOR LÍQUIDO],LANÇ_MOV[RECEITA OU DESPESA],"Despesa",LANÇ_MOV[CONTAS],$C1206,LANÇ_MOV[PLANO DE CONTAS],REL_DRE_FINANCEIRO!$B$1164,LANÇ_MOV[ANO PAGAMENTO],$B$4,LANÇ_MOV[MÊS PAGAMENTO CORRESPONDENTE],L$6,LANÇ_MOV[EMPRESA],$C$4,LANÇ_MOV[CENTRO DE CUSTOS],$D$4)</f>
        <v>0</v>
      </c>
      <c r="M1206" s="206">
        <f>SUMIFS(LANÇ_MOV[VALOR LÍQUIDO],LANÇ_MOV[RECEITA OU DESPESA],"Despesa",LANÇ_MOV[CONTAS],$C1206,LANÇ_MOV[PLANO DE CONTAS],REL_DRE_FINANCEIRO!$B$1164,LANÇ_MOV[ANO PAGAMENTO],$B$4,LANÇ_MOV[MÊS PAGAMENTO CORRESPONDENTE],M$6,LANÇ_MOV[EMPRESA],$C$4,LANÇ_MOV[CENTRO DE CUSTOS],$D$4)</f>
        <v>0</v>
      </c>
      <c r="N1206" s="206">
        <f>SUMIFS(LANÇ_MOV[VALOR LÍQUIDO],LANÇ_MOV[RECEITA OU DESPESA],"Despesa",LANÇ_MOV[CONTAS],$C1206,LANÇ_MOV[PLANO DE CONTAS],REL_DRE_FINANCEIRO!$B$1164,LANÇ_MOV[ANO PAGAMENTO],$B$4,LANÇ_MOV[MÊS PAGAMENTO CORRESPONDENTE],N$6,LANÇ_MOV[EMPRESA],$C$4,LANÇ_MOV[CENTRO DE CUSTOS],$D$4)</f>
        <v>0</v>
      </c>
      <c r="O1206" s="206">
        <f>SUMIFS(LANÇ_MOV[VALOR LÍQUIDO],LANÇ_MOV[RECEITA OU DESPESA],"Despesa",LANÇ_MOV[CONTAS],$C1206,LANÇ_MOV[PLANO DE CONTAS],REL_DRE_FINANCEIRO!$B$1164,LANÇ_MOV[ANO PAGAMENTO],$B$4,LANÇ_MOV[MÊS PAGAMENTO CORRESPONDENTE],O$6,LANÇ_MOV[EMPRESA],$C$4,LANÇ_MOV[CENTRO DE CUSTOS],$D$4)</f>
        <v>0</v>
      </c>
      <c r="P1206" s="207">
        <f t="shared" si="145"/>
        <v>0</v>
      </c>
      <c r="Q1206" s="329">
        <v>5.9000000000000003E-6</v>
      </c>
      <c r="R1206" s="346">
        <f t="shared" si="146"/>
        <v>5.9000000000000003E-6</v>
      </c>
      <c r="S1206" s="347" t="str">
        <f t="shared" si="147"/>
        <v>-</v>
      </c>
      <c r="T1206" s="347">
        <f t="shared" si="148"/>
        <v>0</v>
      </c>
      <c r="U1206" s="347">
        <f>HLOOKUP(Apoio!$P$12,$D$1163:$P$1264,X1206,FALSE)+Q1206</f>
        <v>5.9000000000000003E-6</v>
      </c>
      <c r="V1206" s="447" t="str">
        <f t="shared" si="149"/>
        <v>-</v>
      </c>
      <c r="W1206" s="448">
        <f>HLOOKUP(Apoio!$P$12,$D$1163:$P$1264,X1206,FALSE)</f>
        <v>0</v>
      </c>
      <c r="X1206" s="329">
        <v>44</v>
      </c>
    </row>
    <row r="1207" spans="2:24" ht="30.05" customHeight="1" x14ac:dyDescent="0.35">
      <c r="B1207" s="204" t="str">
        <f>'CAD_PL_REC-DESP'!AI47</f>
        <v>2.9.43</v>
      </c>
      <c r="C1207" s="205" t="str">
        <f>IF('CAD_PL_REC-DESP'!AJ47="","-",'CAD_PL_REC-DESP'!AJ47)</f>
        <v>-</v>
      </c>
      <c r="D1207" s="206">
        <f>SUMIFS(LANÇ_MOV[VALOR LÍQUIDO],LANÇ_MOV[RECEITA OU DESPESA],"Despesa",LANÇ_MOV[CONTAS],$C1207,LANÇ_MOV[PLANO DE CONTAS],REL_DRE_FINANCEIRO!$B$1164,LANÇ_MOV[ANO PAGAMENTO],$B$4,LANÇ_MOV[MÊS PAGAMENTO CORRESPONDENTE],D$6,LANÇ_MOV[EMPRESA],$C$4,LANÇ_MOV[CENTRO DE CUSTOS],$D$4)</f>
        <v>0</v>
      </c>
      <c r="E1207" s="206">
        <f>SUMIFS(LANÇ_MOV[VALOR LÍQUIDO],LANÇ_MOV[RECEITA OU DESPESA],"Despesa",LANÇ_MOV[CONTAS],$C1207,LANÇ_MOV[PLANO DE CONTAS],REL_DRE_FINANCEIRO!$B$1164,LANÇ_MOV[ANO PAGAMENTO],$B$4,LANÇ_MOV[MÊS PAGAMENTO CORRESPONDENTE],E$6,LANÇ_MOV[EMPRESA],$C$4,LANÇ_MOV[CENTRO DE CUSTOS],$D$4)</f>
        <v>0</v>
      </c>
      <c r="F1207" s="206">
        <f>SUMIFS(LANÇ_MOV[VALOR LÍQUIDO],LANÇ_MOV[RECEITA OU DESPESA],"Despesa",LANÇ_MOV[CONTAS],$C1207,LANÇ_MOV[PLANO DE CONTAS],REL_DRE_FINANCEIRO!$B$1164,LANÇ_MOV[ANO PAGAMENTO],$B$4,LANÇ_MOV[MÊS PAGAMENTO CORRESPONDENTE],F$6,LANÇ_MOV[EMPRESA],$C$4,LANÇ_MOV[CENTRO DE CUSTOS],$D$4)</f>
        <v>0</v>
      </c>
      <c r="G1207" s="206">
        <f>SUMIFS(LANÇ_MOV[VALOR LÍQUIDO],LANÇ_MOV[RECEITA OU DESPESA],"Despesa",LANÇ_MOV[CONTAS],$C1207,LANÇ_MOV[PLANO DE CONTAS],REL_DRE_FINANCEIRO!$B$1164,LANÇ_MOV[ANO PAGAMENTO],$B$4,LANÇ_MOV[MÊS PAGAMENTO CORRESPONDENTE],G$6,LANÇ_MOV[EMPRESA],$C$4,LANÇ_MOV[CENTRO DE CUSTOS],$D$4)</f>
        <v>0</v>
      </c>
      <c r="H1207" s="206">
        <f>SUMIFS(LANÇ_MOV[VALOR LÍQUIDO],LANÇ_MOV[RECEITA OU DESPESA],"Despesa",LANÇ_MOV[CONTAS],$C1207,LANÇ_MOV[PLANO DE CONTAS],REL_DRE_FINANCEIRO!$B$1164,LANÇ_MOV[ANO PAGAMENTO],$B$4,LANÇ_MOV[MÊS PAGAMENTO CORRESPONDENTE],H$6,LANÇ_MOV[EMPRESA],$C$4,LANÇ_MOV[CENTRO DE CUSTOS],$D$4)</f>
        <v>0</v>
      </c>
      <c r="I1207" s="206">
        <f>SUMIFS(LANÇ_MOV[VALOR LÍQUIDO],LANÇ_MOV[RECEITA OU DESPESA],"Despesa",LANÇ_MOV[CONTAS],$C1207,LANÇ_MOV[PLANO DE CONTAS],REL_DRE_FINANCEIRO!$B$1164,LANÇ_MOV[ANO PAGAMENTO],$B$4,LANÇ_MOV[MÊS PAGAMENTO CORRESPONDENTE],I$6,LANÇ_MOV[EMPRESA],$C$4,LANÇ_MOV[CENTRO DE CUSTOS],$D$4)</f>
        <v>0</v>
      </c>
      <c r="J1207" s="206">
        <f>SUMIFS(LANÇ_MOV[VALOR LÍQUIDO],LANÇ_MOV[RECEITA OU DESPESA],"Despesa",LANÇ_MOV[CONTAS],$C1207,LANÇ_MOV[PLANO DE CONTAS],REL_DRE_FINANCEIRO!$B$1164,LANÇ_MOV[ANO PAGAMENTO],$B$4,LANÇ_MOV[MÊS PAGAMENTO CORRESPONDENTE],J$6,LANÇ_MOV[EMPRESA],$C$4,LANÇ_MOV[CENTRO DE CUSTOS],$D$4)</f>
        <v>0</v>
      </c>
      <c r="K1207" s="206">
        <f>SUMIFS(LANÇ_MOV[VALOR LÍQUIDO],LANÇ_MOV[RECEITA OU DESPESA],"Despesa",LANÇ_MOV[CONTAS],$C1207,LANÇ_MOV[PLANO DE CONTAS],REL_DRE_FINANCEIRO!$B$1164,LANÇ_MOV[ANO PAGAMENTO],$B$4,LANÇ_MOV[MÊS PAGAMENTO CORRESPONDENTE],K$6,LANÇ_MOV[EMPRESA],$C$4,LANÇ_MOV[CENTRO DE CUSTOS],$D$4)</f>
        <v>0</v>
      </c>
      <c r="L1207" s="206">
        <f>SUMIFS(LANÇ_MOV[VALOR LÍQUIDO],LANÇ_MOV[RECEITA OU DESPESA],"Despesa",LANÇ_MOV[CONTAS],$C1207,LANÇ_MOV[PLANO DE CONTAS],REL_DRE_FINANCEIRO!$B$1164,LANÇ_MOV[ANO PAGAMENTO],$B$4,LANÇ_MOV[MÊS PAGAMENTO CORRESPONDENTE],L$6,LANÇ_MOV[EMPRESA],$C$4,LANÇ_MOV[CENTRO DE CUSTOS],$D$4)</f>
        <v>0</v>
      </c>
      <c r="M1207" s="206">
        <f>SUMIFS(LANÇ_MOV[VALOR LÍQUIDO],LANÇ_MOV[RECEITA OU DESPESA],"Despesa",LANÇ_MOV[CONTAS],$C1207,LANÇ_MOV[PLANO DE CONTAS],REL_DRE_FINANCEIRO!$B$1164,LANÇ_MOV[ANO PAGAMENTO],$B$4,LANÇ_MOV[MÊS PAGAMENTO CORRESPONDENTE],M$6,LANÇ_MOV[EMPRESA],$C$4,LANÇ_MOV[CENTRO DE CUSTOS],$D$4)</f>
        <v>0</v>
      </c>
      <c r="N1207" s="206">
        <f>SUMIFS(LANÇ_MOV[VALOR LÍQUIDO],LANÇ_MOV[RECEITA OU DESPESA],"Despesa",LANÇ_MOV[CONTAS],$C1207,LANÇ_MOV[PLANO DE CONTAS],REL_DRE_FINANCEIRO!$B$1164,LANÇ_MOV[ANO PAGAMENTO],$B$4,LANÇ_MOV[MÊS PAGAMENTO CORRESPONDENTE],N$6,LANÇ_MOV[EMPRESA],$C$4,LANÇ_MOV[CENTRO DE CUSTOS],$D$4)</f>
        <v>0</v>
      </c>
      <c r="O1207" s="206">
        <f>SUMIFS(LANÇ_MOV[VALOR LÍQUIDO],LANÇ_MOV[RECEITA OU DESPESA],"Despesa",LANÇ_MOV[CONTAS],$C1207,LANÇ_MOV[PLANO DE CONTAS],REL_DRE_FINANCEIRO!$B$1164,LANÇ_MOV[ANO PAGAMENTO],$B$4,LANÇ_MOV[MÊS PAGAMENTO CORRESPONDENTE],O$6,LANÇ_MOV[EMPRESA],$C$4,LANÇ_MOV[CENTRO DE CUSTOS],$D$4)</f>
        <v>0</v>
      </c>
      <c r="P1207" s="207">
        <f t="shared" si="145"/>
        <v>0</v>
      </c>
      <c r="Q1207" s="329">
        <v>5.8000000000000004E-6</v>
      </c>
      <c r="R1207" s="346">
        <f t="shared" si="146"/>
        <v>5.8000000000000004E-6</v>
      </c>
      <c r="S1207" s="347" t="str">
        <f t="shared" si="147"/>
        <v>-</v>
      </c>
      <c r="T1207" s="347">
        <f t="shared" si="148"/>
        <v>0</v>
      </c>
      <c r="U1207" s="347">
        <f>HLOOKUP(Apoio!$P$12,$D$1163:$P$1264,X1207,FALSE)+Q1207</f>
        <v>5.8000000000000004E-6</v>
      </c>
      <c r="V1207" s="447" t="str">
        <f t="shared" si="149"/>
        <v>-</v>
      </c>
      <c r="W1207" s="448">
        <f>HLOOKUP(Apoio!$P$12,$D$1163:$P$1264,X1207,FALSE)</f>
        <v>0</v>
      </c>
      <c r="X1207" s="329">
        <v>45</v>
      </c>
    </row>
    <row r="1208" spans="2:24" ht="30.05" customHeight="1" x14ac:dyDescent="0.35">
      <c r="B1208" s="204" t="str">
        <f>'CAD_PL_REC-DESP'!AI48</f>
        <v>2.9.44</v>
      </c>
      <c r="C1208" s="205" t="str">
        <f>IF('CAD_PL_REC-DESP'!AJ48="","-",'CAD_PL_REC-DESP'!AJ48)</f>
        <v>-</v>
      </c>
      <c r="D1208" s="206">
        <f>SUMIFS(LANÇ_MOV[VALOR LÍQUIDO],LANÇ_MOV[RECEITA OU DESPESA],"Despesa",LANÇ_MOV[CONTAS],$C1208,LANÇ_MOV[PLANO DE CONTAS],REL_DRE_FINANCEIRO!$B$1164,LANÇ_MOV[ANO PAGAMENTO],$B$4,LANÇ_MOV[MÊS PAGAMENTO CORRESPONDENTE],D$6,LANÇ_MOV[EMPRESA],$C$4,LANÇ_MOV[CENTRO DE CUSTOS],$D$4)</f>
        <v>0</v>
      </c>
      <c r="E1208" s="206">
        <f>SUMIFS(LANÇ_MOV[VALOR LÍQUIDO],LANÇ_MOV[RECEITA OU DESPESA],"Despesa",LANÇ_MOV[CONTAS],$C1208,LANÇ_MOV[PLANO DE CONTAS],REL_DRE_FINANCEIRO!$B$1164,LANÇ_MOV[ANO PAGAMENTO],$B$4,LANÇ_MOV[MÊS PAGAMENTO CORRESPONDENTE],E$6,LANÇ_MOV[EMPRESA],$C$4,LANÇ_MOV[CENTRO DE CUSTOS],$D$4)</f>
        <v>0</v>
      </c>
      <c r="F1208" s="206">
        <f>SUMIFS(LANÇ_MOV[VALOR LÍQUIDO],LANÇ_MOV[RECEITA OU DESPESA],"Despesa",LANÇ_MOV[CONTAS],$C1208,LANÇ_MOV[PLANO DE CONTAS],REL_DRE_FINANCEIRO!$B$1164,LANÇ_MOV[ANO PAGAMENTO],$B$4,LANÇ_MOV[MÊS PAGAMENTO CORRESPONDENTE],F$6,LANÇ_MOV[EMPRESA],$C$4,LANÇ_MOV[CENTRO DE CUSTOS],$D$4)</f>
        <v>0</v>
      </c>
      <c r="G1208" s="206">
        <f>SUMIFS(LANÇ_MOV[VALOR LÍQUIDO],LANÇ_MOV[RECEITA OU DESPESA],"Despesa",LANÇ_MOV[CONTAS],$C1208,LANÇ_MOV[PLANO DE CONTAS],REL_DRE_FINANCEIRO!$B$1164,LANÇ_MOV[ANO PAGAMENTO],$B$4,LANÇ_MOV[MÊS PAGAMENTO CORRESPONDENTE],G$6,LANÇ_MOV[EMPRESA],$C$4,LANÇ_MOV[CENTRO DE CUSTOS],$D$4)</f>
        <v>0</v>
      </c>
      <c r="H1208" s="206">
        <f>SUMIFS(LANÇ_MOV[VALOR LÍQUIDO],LANÇ_MOV[RECEITA OU DESPESA],"Despesa",LANÇ_MOV[CONTAS],$C1208,LANÇ_MOV[PLANO DE CONTAS],REL_DRE_FINANCEIRO!$B$1164,LANÇ_MOV[ANO PAGAMENTO],$B$4,LANÇ_MOV[MÊS PAGAMENTO CORRESPONDENTE],H$6,LANÇ_MOV[EMPRESA],$C$4,LANÇ_MOV[CENTRO DE CUSTOS],$D$4)</f>
        <v>0</v>
      </c>
      <c r="I1208" s="206">
        <f>SUMIFS(LANÇ_MOV[VALOR LÍQUIDO],LANÇ_MOV[RECEITA OU DESPESA],"Despesa",LANÇ_MOV[CONTAS],$C1208,LANÇ_MOV[PLANO DE CONTAS],REL_DRE_FINANCEIRO!$B$1164,LANÇ_MOV[ANO PAGAMENTO],$B$4,LANÇ_MOV[MÊS PAGAMENTO CORRESPONDENTE],I$6,LANÇ_MOV[EMPRESA],$C$4,LANÇ_MOV[CENTRO DE CUSTOS],$D$4)</f>
        <v>0</v>
      </c>
      <c r="J1208" s="206">
        <f>SUMIFS(LANÇ_MOV[VALOR LÍQUIDO],LANÇ_MOV[RECEITA OU DESPESA],"Despesa",LANÇ_MOV[CONTAS],$C1208,LANÇ_MOV[PLANO DE CONTAS],REL_DRE_FINANCEIRO!$B$1164,LANÇ_MOV[ANO PAGAMENTO],$B$4,LANÇ_MOV[MÊS PAGAMENTO CORRESPONDENTE],J$6,LANÇ_MOV[EMPRESA],$C$4,LANÇ_MOV[CENTRO DE CUSTOS],$D$4)</f>
        <v>0</v>
      </c>
      <c r="K1208" s="206">
        <f>SUMIFS(LANÇ_MOV[VALOR LÍQUIDO],LANÇ_MOV[RECEITA OU DESPESA],"Despesa",LANÇ_MOV[CONTAS],$C1208,LANÇ_MOV[PLANO DE CONTAS],REL_DRE_FINANCEIRO!$B$1164,LANÇ_MOV[ANO PAGAMENTO],$B$4,LANÇ_MOV[MÊS PAGAMENTO CORRESPONDENTE],K$6,LANÇ_MOV[EMPRESA],$C$4,LANÇ_MOV[CENTRO DE CUSTOS],$D$4)</f>
        <v>0</v>
      </c>
      <c r="L1208" s="206">
        <f>SUMIFS(LANÇ_MOV[VALOR LÍQUIDO],LANÇ_MOV[RECEITA OU DESPESA],"Despesa",LANÇ_MOV[CONTAS],$C1208,LANÇ_MOV[PLANO DE CONTAS],REL_DRE_FINANCEIRO!$B$1164,LANÇ_MOV[ANO PAGAMENTO],$B$4,LANÇ_MOV[MÊS PAGAMENTO CORRESPONDENTE],L$6,LANÇ_MOV[EMPRESA],$C$4,LANÇ_MOV[CENTRO DE CUSTOS],$D$4)</f>
        <v>0</v>
      </c>
      <c r="M1208" s="206">
        <f>SUMIFS(LANÇ_MOV[VALOR LÍQUIDO],LANÇ_MOV[RECEITA OU DESPESA],"Despesa",LANÇ_MOV[CONTAS],$C1208,LANÇ_MOV[PLANO DE CONTAS],REL_DRE_FINANCEIRO!$B$1164,LANÇ_MOV[ANO PAGAMENTO],$B$4,LANÇ_MOV[MÊS PAGAMENTO CORRESPONDENTE],M$6,LANÇ_MOV[EMPRESA],$C$4,LANÇ_MOV[CENTRO DE CUSTOS],$D$4)</f>
        <v>0</v>
      </c>
      <c r="N1208" s="206">
        <f>SUMIFS(LANÇ_MOV[VALOR LÍQUIDO],LANÇ_MOV[RECEITA OU DESPESA],"Despesa",LANÇ_MOV[CONTAS],$C1208,LANÇ_MOV[PLANO DE CONTAS],REL_DRE_FINANCEIRO!$B$1164,LANÇ_MOV[ANO PAGAMENTO],$B$4,LANÇ_MOV[MÊS PAGAMENTO CORRESPONDENTE],N$6,LANÇ_MOV[EMPRESA],$C$4,LANÇ_MOV[CENTRO DE CUSTOS],$D$4)</f>
        <v>0</v>
      </c>
      <c r="O1208" s="206">
        <f>SUMIFS(LANÇ_MOV[VALOR LÍQUIDO],LANÇ_MOV[RECEITA OU DESPESA],"Despesa",LANÇ_MOV[CONTAS],$C1208,LANÇ_MOV[PLANO DE CONTAS],REL_DRE_FINANCEIRO!$B$1164,LANÇ_MOV[ANO PAGAMENTO],$B$4,LANÇ_MOV[MÊS PAGAMENTO CORRESPONDENTE],O$6,LANÇ_MOV[EMPRESA],$C$4,LANÇ_MOV[CENTRO DE CUSTOS],$D$4)</f>
        <v>0</v>
      </c>
      <c r="P1208" s="207">
        <f t="shared" si="145"/>
        <v>0</v>
      </c>
      <c r="Q1208" s="329">
        <v>5.6999999999999996E-6</v>
      </c>
      <c r="R1208" s="346">
        <f t="shared" si="146"/>
        <v>5.6999999999999996E-6</v>
      </c>
      <c r="S1208" s="347" t="str">
        <f t="shared" si="147"/>
        <v>-</v>
      </c>
      <c r="T1208" s="347">
        <f t="shared" si="148"/>
        <v>0</v>
      </c>
      <c r="U1208" s="347">
        <f>HLOOKUP(Apoio!$P$12,$D$1163:$P$1264,X1208,FALSE)+Q1208</f>
        <v>5.6999999999999996E-6</v>
      </c>
      <c r="V1208" s="447" t="str">
        <f t="shared" si="149"/>
        <v>-</v>
      </c>
      <c r="W1208" s="448">
        <f>HLOOKUP(Apoio!$P$12,$D$1163:$P$1264,X1208,FALSE)</f>
        <v>0</v>
      </c>
      <c r="X1208" s="329">
        <v>46</v>
      </c>
    </row>
    <row r="1209" spans="2:24" ht="30.05" customHeight="1" x14ac:dyDescent="0.35">
      <c r="B1209" s="204" t="str">
        <f>'CAD_PL_REC-DESP'!AI49</f>
        <v>2.9.45</v>
      </c>
      <c r="C1209" s="205" t="str">
        <f>IF('CAD_PL_REC-DESP'!AJ49="","-",'CAD_PL_REC-DESP'!AJ49)</f>
        <v>-</v>
      </c>
      <c r="D1209" s="206">
        <f>SUMIFS(LANÇ_MOV[VALOR LÍQUIDO],LANÇ_MOV[RECEITA OU DESPESA],"Despesa",LANÇ_MOV[CONTAS],$C1209,LANÇ_MOV[PLANO DE CONTAS],REL_DRE_FINANCEIRO!$B$1164,LANÇ_MOV[ANO PAGAMENTO],$B$4,LANÇ_MOV[MÊS PAGAMENTO CORRESPONDENTE],D$6,LANÇ_MOV[EMPRESA],$C$4,LANÇ_MOV[CENTRO DE CUSTOS],$D$4)</f>
        <v>0</v>
      </c>
      <c r="E1209" s="206">
        <f>SUMIFS(LANÇ_MOV[VALOR LÍQUIDO],LANÇ_MOV[RECEITA OU DESPESA],"Despesa",LANÇ_MOV[CONTAS],$C1209,LANÇ_MOV[PLANO DE CONTAS],REL_DRE_FINANCEIRO!$B$1164,LANÇ_MOV[ANO PAGAMENTO],$B$4,LANÇ_MOV[MÊS PAGAMENTO CORRESPONDENTE],E$6,LANÇ_MOV[EMPRESA],$C$4,LANÇ_MOV[CENTRO DE CUSTOS],$D$4)</f>
        <v>0</v>
      </c>
      <c r="F1209" s="206">
        <f>SUMIFS(LANÇ_MOV[VALOR LÍQUIDO],LANÇ_MOV[RECEITA OU DESPESA],"Despesa",LANÇ_MOV[CONTAS],$C1209,LANÇ_MOV[PLANO DE CONTAS],REL_DRE_FINANCEIRO!$B$1164,LANÇ_MOV[ANO PAGAMENTO],$B$4,LANÇ_MOV[MÊS PAGAMENTO CORRESPONDENTE],F$6,LANÇ_MOV[EMPRESA],$C$4,LANÇ_MOV[CENTRO DE CUSTOS],$D$4)</f>
        <v>0</v>
      </c>
      <c r="G1209" s="206">
        <f>SUMIFS(LANÇ_MOV[VALOR LÍQUIDO],LANÇ_MOV[RECEITA OU DESPESA],"Despesa",LANÇ_MOV[CONTAS],$C1209,LANÇ_MOV[PLANO DE CONTAS],REL_DRE_FINANCEIRO!$B$1164,LANÇ_MOV[ANO PAGAMENTO],$B$4,LANÇ_MOV[MÊS PAGAMENTO CORRESPONDENTE],G$6,LANÇ_MOV[EMPRESA],$C$4,LANÇ_MOV[CENTRO DE CUSTOS],$D$4)</f>
        <v>0</v>
      </c>
      <c r="H1209" s="206">
        <f>SUMIFS(LANÇ_MOV[VALOR LÍQUIDO],LANÇ_MOV[RECEITA OU DESPESA],"Despesa",LANÇ_MOV[CONTAS],$C1209,LANÇ_MOV[PLANO DE CONTAS],REL_DRE_FINANCEIRO!$B$1164,LANÇ_MOV[ANO PAGAMENTO],$B$4,LANÇ_MOV[MÊS PAGAMENTO CORRESPONDENTE],H$6,LANÇ_MOV[EMPRESA],$C$4,LANÇ_MOV[CENTRO DE CUSTOS],$D$4)</f>
        <v>0</v>
      </c>
      <c r="I1209" s="206">
        <f>SUMIFS(LANÇ_MOV[VALOR LÍQUIDO],LANÇ_MOV[RECEITA OU DESPESA],"Despesa",LANÇ_MOV[CONTAS],$C1209,LANÇ_MOV[PLANO DE CONTAS],REL_DRE_FINANCEIRO!$B$1164,LANÇ_MOV[ANO PAGAMENTO],$B$4,LANÇ_MOV[MÊS PAGAMENTO CORRESPONDENTE],I$6,LANÇ_MOV[EMPRESA],$C$4,LANÇ_MOV[CENTRO DE CUSTOS],$D$4)</f>
        <v>0</v>
      </c>
      <c r="J1209" s="206">
        <f>SUMIFS(LANÇ_MOV[VALOR LÍQUIDO],LANÇ_MOV[RECEITA OU DESPESA],"Despesa",LANÇ_MOV[CONTAS],$C1209,LANÇ_MOV[PLANO DE CONTAS],REL_DRE_FINANCEIRO!$B$1164,LANÇ_MOV[ANO PAGAMENTO],$B$4,LANÇ_MOV[MÊS PAGAMENTO CORRESPONDENTE],J$6,LANÇ_MOV[EMPRESA],$C$4,LANÇ_MOV[CENTRO DE CUSTOS],$D$4)</f>
        <v>0</v>
      </c>
      <c r="K1209" s="206">
        <f>SUMIFS(LANÇ_MOV[VALOR LÍQUIDO],LANÇ_MOV[RECEITA OU DESPESA],"Despesa",LANÇ_MOV[CONTAS],$C1209,LANÇ_MOV[PLANO DE CONTAS],REL_DRE_FINANCEIRO!$B$1164,LANÇ_MOV[ANO PAGAMENTO],$B$4,LANÇ_MOV[MÊS PAGAMENTO CORRESPONDENTE],K$6,LANÇ_MOV[EMPRESA],$C$4,LANÇ_MOV[CENTRO DE CUSTOS],$D$4)</f>
        <v>0</v>
      </c>
      <c r="L1209" s="206">
        <f>SUMIFS(LANÇ_MOV[VALOR LÍQUIDO],LANÇ_MOV[RECEITA OU DESPESA],"Despesa",LANÇ_MOV[CONTAS],$C1209,LANÇ_MOV[PLANO DE CONTAS],REL_DRE_FINANCEIRO!$B$1164,LANÇ_MOV[ANO PAGAMENTO],$B$4,LANÇ_MOV[MÊS PAGAMENTO CORRESPONDENTE],L$6,LANÇ_MOV[EMPRESA],$C$4,LANÇ_MOV[CENTRO DE CUSTOS],$D$4)</f>
        <v>0</v>
      </c>
      <c r="M1209" s="206">
        <f>SUMIFS(LANÇ_MOV[VALOR LÍQUIDO],LANÇ_MOV[RECEITA OU DESPESA],"Despesa",LANÇ_MOV[CONTAS],$C1209,LANÇ_MOV[PLANO DE CONTAS],REL_DRE_FINANCEIRO!$B$1164,LANÇ_MOV[ANO PAGAMENTO],$B$4,LANÇ_MOV[MÊS PAGAMENTO CORRESPONDENTE],M$6,LANÇ_MOV[EMPRESA],$C$4,LANÇ_MOV[CENTRO DE CUSTOS],$D$4)</f>
        <v>0</v>
      </c>
      <c r="N1209" s="206">
        <f>SUMIFS(LANÇ_MOV[VALOR LÍQUIDO],LANÇ_MOV[RECEITA OU DESPESA],"Despesa",LANÇ_MOV[CONTAS],$C1209,LANÇ_MOV[PLANO DE CONTAS],REL_DRE_FINANCEIRO!$B$1164,LANÇ_MOV[ANO PAGAMENTO],$B$4,LANÇ_MOV[MÊS PAGAMENTO CORRESPONDENTE],N$6,LANÇ_MOV[EMPRESA],$C$4,LANÇ_MOV[CENTRO DE CUSTOS],$D$4)</f>
        <v>0</v>
      </c>
      <c r="O1209" s="206">
        <f>SUMIFS(LANÇ_MOV[VALOR LÍQUIDO],LANÇ_MOV[RECEITA OU DESPESA],"Despesa",LANÇ_MOV[CONTAS],$C1209,LANÇ_MOV[PLANO DE CONTAS],REL_DRE_FINANCEIRO!$B$1164,LANÇ_MOV[ANO PAGAMENTO],$B$4,LANÇ_MOV[MÊS PAGAMENTO CORRESPONDENTE],O$6,LANÇ_MOV[EMPRESA],$C$4,LANÇ_MOV[CENTRO DE CUSTOS],$D$4)</f>
        <v>0</v>
      </c>
      <c r="P1209" s="207">
        <f t="shared" si="145"/>
        <v>0</v>
      </c>
      <c r="Q1209" s="329">
        <v>5.5999999999999997E-6</v>
      </c>
      <c r="R1209" s="346">
        <f t="shared" si="146"/>
        <v>5.5999999999999997E-6</v>
      </c>
      <c r="S1209" s="347" t="str">
        <f t="shared" si="147"/>
        <v>-</v>
      </c>
      <c r="T1209" s="347">
        <f t="shared" si="148"/>
        <v>0</v>
      </c>
      <c r="U1209" s="347">
        <f>HLOOKUP(Apoio!$P$12,$D$1163:$P$1264,X1209,FALSE)+Q1209</f>
        <v>5.5999999999999997E-6</v>
      </c>
      <c r="V1209" s="447" t="str">
        <f t="shared" si="149"/>
        <v>-</v>
      </c>
      <c r="W1209" s="448">
        <f>HLOOKUP(Apoio!$P$12,$D$1163:$P$1264,X1209,FALSE)</f>
        <v>0</v>
      </c>
      <c r="X1209" s="329">
        <v>47</v>
      </c>
    </row>
    <row r="1210" spans="2:24" ht="30.05" customHeight="1" x14ac:dyDescent="0.35">
      <c r="B1210" s="204" t="str">
        <f>'CAD_PL_REC-DESP'!AI50</f>
        <v>2.9.46</v>
      </c>
      <c r="C1210" s="205" t="str">
        <f>IF('CAD_PL_REC-DESP'!AJ50="","-",'CAD_PL_REC-DESP'!AJ50)</f>
        <v>-</v>
      </c>
      <c r="D1210" s="206">
        <f>SUMIFS(LANÇ_MOV[VALOR LÍQUIDO],LANÇ_MOV[RECEITA OU DESPESA],"Despesa",LANÇ_MOV[CONTAS],$C1210,LANÇ_MOV[PLANO DE CONTAS],REL_DRE_FINANCEIRO!$B$1164,LANÇ_MOV[ANO PAGAMENTO],$B$4,LANÇ_MOV[MÊS PAGAMENTO CORRESPONDENTE],D$6,LANÇ_MOV[EMPRESA],$C$4,LANÇ_MOV[CENTRO DE CUSTOS],$D$4)</f>
        <v>0</v>
      </c>
      <c r="E1210" s="206">
        <f>SUMIFS(LANÇ_MOV[VALOR LÍQUIDO],LANÇ_MOV[RECEITA OU DESPESA],"Despesa",LANÇ_MOV[CONTAS],$C1210,LANÇ_MOV[PLANO DE CONTAS],REL_DRE_FINANCEIRO!$B$1164,LANÇ_MOV[ANO PAGAMENTO],$B$4,LANÇ_MOV[MÊS PAGAMENTO CORRESPONDENTE],E$6,LANÇ_MOV[EMPRESA],$C$4,LANÇ_MOV[CENTRO DE CUSTOS],$D$4)</f>
        <v>0</v>
      </c>
      <c r="F1210" s="206">
        <f>SUMIFS(LANÇ_MOV[VALOR LÍQUIDO],LANÇ_MOV[RECEITA OU DESPESA],"Despesa",LANÇ_MOV[CONTAS],$C1210,LANÇ_MOV[PLANO DE CONTAS],REL_DRE_FINANCEIRO!$B$1164,LANÇ_MOV[ANO PAGAMENTO],$B$4,LANÇ_MOV[MÊS PAGAMENTO CORRESPONDENTE],F$6,LANÇ_MOV[EMPRESA],$C$4,LANÇ_MOV[CENTRO DE CUSTOS],$D$4)</f>
        <v>0</v>
      </c>
      <c r="G1210" s="206">
        <f>SUMIFS(LANÇ_MOV[VALOR LÍQUIDO],LANÇ_MOV[RECEITA OU DESPESA],"Despesa",LANÇ_MOV[CONTAS],$C1210,LANÇ_MOV[PLANO DE CONTAS],REL_DRE_FINANCEIRO!$B$1164,LANÇ_MOV[ANO PAGAMENTO],$B$4,LANÇ_MOV[MÊS PAGAMENTO CORRESPONDENTE],G$6,LANÇ_MOV[EMPRESA],$C$4,LANÇ_MOV[CENTRO DE CUSTOS],$D$4)</f>
        <v>0</v>
      </c>
      <c r="H1210" s="206">
        <f>SUMIFS(LANÇ_MOV[VALOR LÍQUIDO],LANÇ_MOV[RECEITA OU DESPESA],"Despesa",LANÇ_MOV[CONTAS],$C1210,LANÇ_MOV[PLANO DE CONTAS],REL_DRE_FINANCEIRO!$B$1164,LANÇ_MOV[ANO PAGAMENTO],$B$4,LANÇ_MOV[MÊS PAGAMENTO CORRESPONDENTE],H$6,LANÇ_MOV[EMPRESA],$C$4,LANÇ_MOV[CENTRO DE CUSTOS],$D$4)</f>
        <v>0</v>
      </c>
      <c r="I1210" s="206">
        <f>SUMIFS(LANÇ_MOV[VALOR LÍQUIDO],LANÇ_MOV[RECEITA OU DESPESA],"Despesa",LANÇ_MOV[CONTAS],$C1210,LANÇ_MOV[PLANO DE CONTAS],REL_DRE_FINANCEIRO!$B$1164,LANÇ_MOV[ANO PAGAMENTO],$B$4,LANÇ_MOV[MÊS PAGAMENTO CORRESPONDENTE],I$6,LANÇ_MOV[EMPRESA],$C$4,LANÇ_MOV[CENTRO DE CUSTOS],$D$4)</f>
        <v>0</v>
      </c>
      <c r="J1210" s="206">
        <f>SUMIFS(LANÇ_MOV[VALOR LÍQUIDO],LANÇ_MOV[RECEITA OU DESPESA],"Despesa",LANÇ_MOV[CONTAS],$C1210,LANÇ_MOV[PLANO DE CONTAS],REL_DRE_FINANCEIRO!$B$1164,LANÇ_MOV[ANO PAGAMENTO],$B$4,LANÇ_MOV[MÊS PAGAMENTO CORRESPONDENTE],J$6,LANÇ_MOV[EMPRESA],$C$4,LANÇ_MOV[CENTRO DE CUSTOS],$D$4)</f>
        <v>0</v>
      </c>
      <c r="K1210" s="206">
        <f>SUMIFS(LANÇ_MOV[VALOR LÍQUIDO],LANÇ_MOV[RECEITA OU DESPESA],"Despesa",LANÇ_MOV[CONTAS],$C1210,LANÇ_MOV[PLANO DE CONTAS],REL_DRE_FINANCEIRO!$B$1164,LANÇ_MOV[ANO PAGAMENTO],$B$4,LANÇ_MOV[MÊS PAGAMENTO CORRESPONDENTE],K$6,LANÇ_MOV[EMPRESA],$C$4,LANÇ_MOV[CENTRO DE CUSTOS],$D$4)</f>
        <v>0</v>
      </c>
      <c r="L1210" s="206">
        <f>SUMIFS(LANÇ_MOV[VALOR LÍQUIDO],LANÇ_MOV[RECEITA OU DESPESA],"Despesa",LANÇ_MOV[CONTAS],$C1210,LANÇ_MOV[PLANO DE CONTAS],REL_DRE_FINANCEIRO!$B$1164,LANÇ_MOV[ANO PAGAMENTO],$B$4,LANÇ_MOV[MÊS PAGAMENTO CORRESPONDENTE],L$6,LANÇ_MOV[EMPRESA],$C$4,LANÇ_MOV[CENTRO DE CUSTOS],$D$4)</f>
        <v>0</v>
      </c>
      <c r="M1210" s="206">
        <f>SUMIFS(LANÇ_MOV[VALOR LÍQUIDO],LANÇ_MOV[RECEITA OU DESPESA],"Despesa",LANÇ_MOV[CONTAS],$C1210,LANÇ_MOV[PLANO DE CONTAS],REL_DRE_FINANCEIRO!$B$1164,LANÇ_MOV[ANO PAGAMENTO],$B$4,LANÇ_MOV[MÊS PAGAMENTO CORRESPONDENTE],M$6,LANÇ_MOV[EMPRESA],$C$4,LANÇ_MOV[CENTRO DE CUSTOS],$D$4)</f>
        <v>0</v>
      </c>
      <c r="N1210" s="206">
        <f>SUMIFS(LANÇ_MOV[VALOR LÍQUIDO],LANÇ_MOV[RECEITA OU DESPESA],"Despesa",LANÇ_MOV[CONTAS],$C1210,LANÇ_MOV[PLANO DE CONTAS],REL_DRE_FINANCEIRO!$B$1164,LANÇ_MOV[ANO PAGAMENTO],$B$4,LANÇ_MOV[MÊS PAGAMENTO CORRESPONDENTE],N$6,LANÇ_MOV[EMPRESA],$C$4,LANÇ_MOV[CENTRO DE CUSTOS],$D$4)</f>
        <v>0</v>
      </c>
      <c r="O1210" s="206">
        <f>SUMIFS(LANÇ_MOV[VALOR LÍQUIDO],LANÇ_MOV[RECEITA OU DESPESA],"Despesa",LANÇ_MOV[CONTAS],$C1210,LANÇ_MOV[PLANO DE CONTAS],REL_DRE_FINANCEIRO!$B$1164,LANÇ_MOV[ANO PAGAMENTO],$B$4,LANÇ_MOV[MÊS PAGAMENTO CORRESPONDENTE],O$6,LANÇ_MOV[EMPRESA],$C$4,LANÇ_MOV[CENTRO DE CUSTOS],$D$4)</f>
        <v>0</v>
      </c>
      <c r="P1210" s="207">
        <f t="shared" si="145"/>
        <v>0</v>
      </c>
      <c r="Q1210" s="329">
        <v>5.4999999999999999E-6</v>
      </c>
      <c r="R1210" s="346">
        <f t="shared" si="146"/>
        <v>5.4999999999999999E-6</v>
      </c>
      <c r="S1210" s="347" t="str">
        <f t="shared" si="147"/>
        <v>-</v>
      </c>
      <c r="T1210" s="347">
        <f t="shared" si="148"/>
        <v>0</v>
      </c>
      <c r="U1210" s="347">
        <f>HLOOKUP(Apoio!$P$12,$D$1163:$P$1264,X1210,FALSE)+Q1210</f>
        <v>5.4999999999999999E-6</v>
      </c>
      <c r="V1210" s="447" t="str">
        <f t="shared" si="149"/>
        <v>-</v>
      </c>
      <c r="W1210" s="448">
        <f>HLOOKUP(Apoio!$P$12,$D$1163:$P$1264,X1210,FALSE)</f>
        <v>0</v>
      </c>
      <c r="X1210" s="329">
        <v>48</v>
      </c>
    </row>
    <row r="1211" spans="2:24" ht="30.05" customHeight="1" x14ac:dyDescent="0.35">
      <c r="B1211" s="204" t="str">
        <f>'CAD_PL_REC-DESP'!AI51</f>
        <v>2.9.47</v>
      </c>
      <c r="C1211" s="205" t="str">
        <f>IF('CAD_PL_REC-DESP'!AJ51="","-",'CAD_PL_REC-DESP'!AJ51)</f>
        <v>-</v>
      </c>
      <c r="D1211" s="206">
        <f>SUMIFS(LANÇ_MOV[VALOR LÍQUIDO],LANÇ_MOV[RECEITA OU DESPESA],"Despesa",LANÇ_MOV[CONTAS],$C1211,LANÇ_MOV[PLANO DE CONTAS],REL_DRE_FINANCEIRO!$B$1164,LANÇ_MOV[ANO PAGAMENTO],$B$4,LANÇ_MOV[MÊS PAGAMENTO CORRESPONDENTE],D$6,LANÇ_MOV[EMPRESA],$C$4,LANÇ_MOV[CENTRO DE CUSTOS],$D$4)</f>
        <v>0</v>
      </c>
      <c r="E1211" s="206">
        <f>SUMIFS(LANÇ_MOV[VALOR LÍQUIDO],LANÇ_MOV[RECEITA OU DESPESA],"Despesa",LANÇ_MOV[CONTAS],$C1211,LANÇ_MOV[PLANO DE CONTAS],REL_DRE_FINANCEIRO!$B$1164,LANÇ_MOV[ANO PAGAMENTO],$B$4,LANÇ_MOV[MÊS PAGAMENTO CORRESPONDENTE],E$6,LANÇ_MOV[EMPRESA],$C$4,LANÇ_MOV[CENTRO DE CUSTOS],$D$4)</f>
        <v>0</v>
      </c>
      <c r="F1211" s="206">
        <f>SUMIFS(LANÇ_MOV[VALOR LÍQUIDO],LANÇ_MOV[RECEITA OU DESPESA],"Despesa",LANÇ_MOV[CONTAS],$C1211,LANÇ_MOV[PLANO DE CONTAS],REL_DRE_FINANCEIRO!$B$1164,LANÇ_MOV[ANO PAGAMENTO],$B$4,LANÇ_MOV[MÊS PAGAMENTO CORRESPONDENTE],F$6,LANÇ_MOV[EMPRESA],$C$4,LANÇ_MOV[CENTRO DE CUSTOS],$D$4)</f>
        <v>0</v>
      </c>
      <c r="G1211" s="206">
        <f>SUMIFS(LANÇ_MOV[VALOR LÍQUIDO],LANÇ_MOV[RECEITA OU DESPESA],"Despesa",LANÇ_MOV[CONTAS],$C1211,LANÇ_MOV[PLANO DE CONTAS],REL_DRE_FINANCEIRO!$B$1164,LANÇ_MOV[ANO PAGAMENTO],$B$4,LANÇ_MOV[MÊS PAGAMENTO CORRESPONDENTE],G$6,LANÇ_MOV[EMPRESA],$C$4,LANÇ_MOV[CENTRO DE CUSTOS],$D$4)</f>
        <v>0</v>
      </c>
      <c r="H1211" s="206">
        <f>SUMIFS(LANÇ_MOV[VALOR LÍQUIDO],LANÇ_MOV[RECEITA OU DESPESA],"Despesa",LANÇ_MOV[CONTAS],$C1211,LANÇ_MOV[PLANO DE CONTAS],REL_DRE_FINANCEIRO!$B$1164,LANÇ_MOV[ANO PAGAMENTO],$B$4,LANÇ_MOV[MÊS PAGAMENTO CORRESPONDENTE],H$6,LANÇ_MOV[EMPRESA],$C$4,LANÇ_MOV[CENTRO DE CUSTOS],$D$4)</f>
        <v>0</v>
      </c>
      <c r="I1211" s="206">
        <f>SUMIFS(LANÇ_MOV[VALOR LÍQUIDO],LANÇ_MOV[RECEITA OU DESPESA],"Despesa",LANÇ_MOV[CONTAS],$C1211,LANÇ_MOV[PLANO DE CONTAS],REL_DRE_FINANCEIRO!$B$1164,LANÇ_MOV[ANO PAGAMENTO],$B$4,LANÇ_MOV[MÊS PAGAMENTO CORRESPONDENTE],I$6,LANÇ_MOV[EMPRESA],$C$4,LANÇ_MOV[CENTRO DE CUSTOS],$D$4)</f>
        <v>0</v>
      </c>
      <c r="J1211" s="206">
        <f>SUMIFS(LANÇ_MOV[VALOR LÍQUIDO],LANÇ_MOV[RECEITA OU DESPESA],"Despesa",LANÇ_MOV[CONTAS],$C1211,LANÇ_MOV[PLANO DE CONTAS],REL_DRE_FINANCEIRO!$B$1164,LANÇ_MOV[ANO PAGAMENTO],$B$4,LANÇ_MOV[MÊS PAGAMENTO CORRESPONDENTE],J$6,LANÇ_MOV[EMPRESA],$C$4,LANÇ_MOV[CENTRO DE CUSTOS],$D$4)</f>
        <v>0</v>
      </c>
      <c r="K1211" s="206">
        <f>SUMIFS(LANÇ_MOV[VALOR LÍQUIDO],LANÇ_MOV[RECEITA OU DESPESA],"Despesa",LANÇ_MOV[CONTAS],$C1211,LANÇ_MOV[PLANO DE CONTAS],REL_DRE_FINANCEIRO!$B$1164,LANÇ_MOV[ANO PAGAMENTO],$B$4,LANÇ_MOV[MÊS PAGAMENTO CORRESPONDENTE],K$6,LANÇ_MOV[EMPRESA],$C$4,LANÇ_MOV[CENTRO DE CUSTOS],$D$4)</f>
        <v>0</v>
      </c>
      <c r="L1211" s="206">
        <f>SUMIFS(LANÇ_MOV[VALOR LÍQUIDO],LANÇ_MOV[RECEITA OU DESPESA],"Despesa",LANÇ_MOV[CONTAS],$C1211,LANÇ_MOV[PLANO DE CONTAS],REL_DRE_FINANCEIRO!$B$1164,LANÇ_MOV[ANO PAGAMENTO],$B$4,LANÇ_MOV[MÊS PAGAMENTO CORRESPONDENTE],L$6,LANÇ_MOV[EMPRESA],$C$4,LANÇ_MOV[CENTRO DE CUSTOS],$D$4)</f>
        <v>0</v>
      </c>
      <c r="M1211" s="206">
        <f>SUMIFS(LANÇ_MOV[VALOR LÍQUIDO],LANÇ_MOV[RECEITA OU DESPESA],"Despesa",LANÇ_MOV[CONTAS],$C1211,LANÇ_MOV[PLANO DE CONTAS],REL_DRE_FINANCEIRO!$B$1164,LANÇ_MOV[ANO PAGAMENTO],$B$4,LANÇ_MOV[MÊS PAGAMENTO CORRESPONDENTE],M$6,LANÇ_MOV[EMPRESA],$C$4,LANÇ_MOV[CENTRO DE CUSTOS],$D$4)</f>
        <v>0</v>
      </c>
      <c r="N1211" s="206">
        <f>SUMIFS(LANÇ_MOV[VALOR LÍQUIDO],LANÇ_MOV[RECEITA OU DESPESA],"Despesa",LANÇ_MOV[CONTAS],$C1211,LANÇ_MOV[PLANO DE CONTAS],REL_DRE_FINANCEIRO!$B$1164,LANÇ_MOV[ANO PAGAMENTO],$B$4,LANÇ_MOV[MÊS PAGAMENTO CORRESPONDENTE],N$6,LANÇ_MOV[EMPRESA],$C$4,LANÇ_MOV[CENTRO DE CUSTOS],$D$4)</f>
        <v>0</v>
      </c>
      <c r="O1211" s="206">
        <f>SUMIFS(LANÇ_MOV[VALOR LÍQUIDO],LANÇ_MOV[RECEITA OU DESPESA],"Despesa",LANÇ_MOV[CONTAS],$C1211,LANÇ_MOV[PLANO DE CONTAS],REL_DRE_FINANCEIRO!$B$1164,LANÇ_MOV[ANO PAGAMENTO],$B$4,LANÇ_MOV[MÊS PAGAMENTO CORRESPONDENTE],O$6,LANÇ_MOV[EMPRESA],$C$4,LANÇ_MOV[CENTRO DE CUSTOS],$D$4)</f>
        <v>0</v>
      </c>
      <c r="P1211" s="207">
        <f t="shared" si="145"/>
        <v>0</v>
      </c>
      <c r="Q1211" s="329">
        <v>5.4E-6</v>
      </c>
      <c r="R1211" s="346">
        <f t="shared" si="146"/>
        <v>5.4E-6</v>
      </c>
      <c r="S1211" s="347" t="str">
        <f t="shared" si="147"/>
        <v>-</v>
      </c>
      <c r="T1211" s="347">
        <f t="shared" si="148"/>
        <v>0</v>
      </c>
      <c r="U1211" s="347">
        <f>HLOOKUP(Apoio!$P$12,$D$1163:$P$1264,X1211,FALSE)+Q1211</f>
        <v>5.4E-6</v>
      </c>
      <c r="V1211" s="447" t="str">
        <f t="shared" si="149"/>
        <v>-</v>
      </c>
      <c r="W1211" s="448">
        <f>HLOOKUP(Apoio!$P$12,$D$1163:$P$1264,X1211,FALSE)</f>
        <v>0</v>
      </c>
      <c r="X1211" s="329">
        <v>49</v>
      </c>
    </row>
    <row r="1212" spans="2:24" ht="30.05" customHeight="1" x14ac:dyDescent="0.35">
      <c r="B1212" s="204" t="str">
        <f>'CAD_PL_REC-DESP'!AI52</f>
        <v>2.9.48</v>
      </c>
      <c r="C1212" s="205" t="str">
        <f>IF('CAD_PL_REC-DESP'!AJ52="","-",'CAD_PL_REC-DESP'!AJ52)</f>
        <v>-</v>
      </c>
      <c r="D1212" s="206">
        <f>SUMIFS(LANÇ_MOV[VALOR LÍQUIDO],LANÇ_MOV[RECEITA OU DESPESA],"Despesa",LANÇ_MOV[CONTAS],$C1212,LANÇ_MOV[PLANO DE CONTAS],REL_DRE_FINANCEIRO!$B$1164,LANÇ_MOV[ANO PAGAMENTO],$B$4,LANÇ_MOV[MÊS PAGAMENTO CORRESPONDENTE],D$6,LANÇ_MOV[EMPRESA],$C$4,LANÇ_MOV[CENTRO DE CUSTOS],$D$4)</f>
        <v>0</v>
      </c>
      <c r="E1212" s="206">
        <f>SUMIFS(LANÇ_MOV[VALOR LÍQUIDO],LANÇ_MOV[RECEITA OU DESPESA],"Despesa",LANÇ_MOV[CONTAS],$C1212,LANÇ_MOV[PLANO DE CONTAS],REL_DRE_FINANCEIRO!$B$1164,LANÇ_MOV[ANO PAGAMENTO],$B$4,LANÇ_MOV[MÊS PAGAMENTO CORRESPONDENTE],E$6,LANÇ_MOV[EMPRESA],$C$4,LANÇ_MOV[CENTRO DE CUSTOS],$D$4)</f>
        <v>0</v>
      </c>
      <c r="F1212" s="206">
        <f>SUMIFS(LANÇ_MOV[VALOR LÍQUIDO],LANÇ_MOV[RECEITA OU DESPESA],"Despesa",LANÇ_MOV[CONTAS],$C1212,LANÇ_MOV[PLANO DE CONTAS],REL_DRE_FINANCEIRO!$B$1164,LANÇ_MOV[ANO PAGAMENTO],$B$4,LANÇ_MOV[MÊS PAGAMENTO CORRESPONDENTE],F$6,LANÇ_MOV[EMPRESA],$C$4,LANÇ_MOV[CENTRO DE CUSTOS],$D$4)</f>
        <v>0</v>
      </c>
      <c r="G1212" s="206">
        <f>SUMIFS(LANÇ_MOV[VALOR LÍQUIDO],LANÇ_MOV[RECEITA OU DESPESA],"Despesa",LANÇ_MOV[CONTAS],$C1212,LANÇ_MOV[PLANO DE CONTAS],REL_DRE_FINANCEIRO!$B$1164,LANÇ_MOV[ANO PAGAMENTO],$B$4,LANÇ_MOV[MÊS PAGAMENTO CORRESPONDENTE],G$6,LANÇ_MOV[EMPRESA],$C$4,LANÇ_MOV[CENTRO DE CUSTOS],$D$4)</f>
        <v>0</v>
      </c>
      <c r="H1212" s="206">
        <f>SUMIFS(LANÇ_MOV[VALOR LÍQUIDO],LANÇ_MOV[RECEITA OU DESPESA],"Despesa",LANÇ_MOV[CONTAS],$C1212,LANÇ_MOV[PLANO DE CONTAS],REL_DRE_FINANCEIRO!$B$1164,LANÇ_MOV[ANO PAGAMENTO],$B$4,LANÇ_MOV[MÊS PAGAMENTO CORRESPONDENTE],H$6,LANÇ_MOV[EMPRESA],$C$4,LANÇ_MOV[CENTRO DE CUSTOS],$D$4)</f>
        <v>0</v>
      </c>
      <c r="I1212" s="206">
        <f>SUMIFS(LANÇ_MOV[VALOR LÍQUIDO],LANÇ_MOV[RECEITA OU DESPESA],"Despesa",LANÇ_MOV[CONTAS],$C1212,LANÇ_MOV[PLANO DE CONTAS],REL_DRE_FINANCEIRO!$B$1164,LANÇ_MOV[ANO PAGAMENTO],$B$4,LANÇ_MOV[MÊS PAGAMENTO CORRESPONDENTE],I$6,LANÇ_MOV[EMPRESA],$C$4,LANÇ_MOV[CENTRO DE CUSTOS],$D$4)</f>
        <v>0</v>
      </c>
      <c r="J1212" s="206">
        <f>SUMIFS(LANÇ_MOV[VALOR LÍQUIDO],LANÇ_MOV[RECEITA OU DESPESA],"Despesa",LANÇ_MOV[CONTAS],$C1212,LANÇ_MOV[PLANO DE CONTAS],REL_DRE_FINANCEIRO!$B$1164,LANÇ_MOV[ANO PAGAMENTO],$B$4,LANÇ_MOV[MÊS PAGAMENTO CORRESPONDENTE],J$6,LANÇ_MOV[EMPRESA],$C$4,LANÇ_MOV[CENTRO DE CUSTOS],$D$4)</f>
        <v>0</v>
      </c>
      <c r="K1212" s="206">
        <f>SUMIFS(LANÇ_MOV[VALOR LÍQUIDO],LANÇ_MOV[RECEITA OU DESPESA],"Despesa",LANÇ_MOV[CONTAS],$C1212,LANÇ_MOV[PLANO DE CONTAS],REL_DRE_FINANCEIRO!$B$1164,LANÇ_MOV[ANO PAGAMENTO],$B$4,LANÇ_MOV[MÊS PAGAMENTO CORRESPONDENTE],K$6,LANÇ_MOV[EMPRESA],$C$4,LANÇ_MOV[CENTRO DE CUSTOS],$D$4)</f>
        <v>0</v>
      </c>
      <c r="L1212" s="206">
        <f>SUMIFS(LANÇ_MOV[VALOR LÍQUIDO],LANÇ_MOV[RECEITA OU DESPESA],"Despesa",LANÇ_MOV[CONTAS],$C1212,LANÇ_MOV[PLANO DE CONTAS],REL_DRE_FINANCEIRO!$B$1164,LANÇ_MOV[ANO PAGAMENTO],$B$4,LANÇ_MOV[MÊS PAGAMENTO CORRESPONDENTE],L$6,LANÇ_MOV[EMPRESA],$C$4,LANÇ_MOV[CENTRO DE CUSTOS],$D$4)</f>
        <v>0</v>
      </c>
      <c r="M1212" s="206">
        <f>SUMIFS(LANÇ_MOV[VALOR LÍQUIDO],LANÇ_MOV[RECEITA OU DESPESA],"Despesa",LANÇ_MOV[CONTAS],$C1212,LANÇ_MOV[PLANO DE CONTAS],REL_DRE_FINANCEIRO!$B$1164,LANÇ_MOV[ANO PAGAMENTO],$B$4,LANÇ_MOV[MÊS PAGAMENTO CORRESPONDENTE],M$6,LANÇ_MOV[EMPRESA],$C$4,LANÇ_MOV[CENTRO DE CUSTOS],$D$4)</f>
        <v>0</v>
      </c>
      <c r="N1212" s="206">
        <f>SUMIFS(LANÇ_MOV[VALOR LÍQUIDO],LANÇ_MOV[RECEITA OU DESPESA],"Despesa",LANÇ_MOV[CONTAS],$C1212,LANÇ_MOV[PLANO DE CONTAS],REL_DRE_FINANCEIRO!$B$1164,LANÇ_MOV[ANO PAGAMENTO],$B$4,LANÇ_MOV[MÊS PAGAMENTO CORRESPONDENTE],N$6,LANÇ_MOV[EMPRESA],$C$4,LANÇ_MOV[CENTRO DE CUSTOS],$D$4)</f>
        <v>0</v>
      </c>
      <c r="O1212" s="206">
        <f>SUMIFS(LANÇ_MOV[VALOR LÍQUIDO],LANÇ_MOV[RECEITA OU DESPESA],"Despesa",LANÇ_MOV[CONTAS],$C1212,LANÇ_MOV[PLANO DE CONTAS],REL_DRE_FINANCEIRO!$B$1164,LANÇ_MOV[ANO PAGAMENTO],$B$4,LANÇ_MOV[MÊS PAGAMENTO CORRESPONDENTE],O$6,LANÇ_MOV[EMPRESA],$C$4,LANÇ_MOV[CENTRO DE CUSTOS],$D$4)</f>
        <v>0</v>
      </c>
      <c r="P1212" s="207">
        <f t="shared" si="145"/>
        <v>0</v>
      </c>
      <c r="Q1212" s="329">
        <v>5.3000000000000001E-6</v>
      </c>
      <c r="R1212" s="346">
        <f t="shared" si="146"/>
        <v>5.3000000000000001E-6</v>
      </c>
      <c r="S1212" s="347" t="str">
        <f t="shared" si="147"/>
        <v>-</v>
      </c>
      <c r="T1212" s="347">
        <f t="shared" si="148"/>
        <v>0</v>
      </c>
      <c r="U1212" s="347">
        <f>HLOOKUP(Apoio!$P$12,$D$1163:$P$1264,X1212,FALSE)+Q1212</f>
        <v>5.3000000000000001E-6</v>
      </c>
      <c r="V1212" s="447" t="str">
        <f t="shared" si="149"/>
        <v>-</v>
      </c>
      <c r="W1212" s="448">
        <f>HLOOKUP(Apoio!$P$12,$D$1163:$P$1264,X1212,FALSE)</f>
        <v>0</v>
      </c>
      <c r="X1212" s="329">
        <v>50</v>
      </c>
    </row>
    <row r="1213" spans="2:24" ht="30.05" customHeight="1" x14ac:dyDescent="0.35">
      <c r="B1213" s="204" t="str">
        <f>'CAD_PL_REC-DESP'!AI53</f>
        <v>2.9.49</v>
      </c>
      <c r="C1213" s="205" t="str">
        <f>IF('CAD_PL_REC-DESP'!AJ53="","-",'CAD_PL_REC-DESP'!AJ53)</f>
        <v>-</v>
      </c>
      <c r="D1213" s="206">
        <f>SUMIFS(LANÇ_MOV[VALOR LÍQUIDO],LANÇ_MOV[RECEITA OU DESPESA],"Despesa",LANÇ_MOV[CONTAS],$C1213,LANÇ_MOV[PLANO DE CONTAS],REL_DRE_FINANCEIRO!$B$1164,LANÇ_MOV[ANO PAGAMENTO],$B$4,LANÇ_MOV[MÊS PAGAMENTO CORRESPONDENTE],D$6,LANÇ_MOV[EMPRESA],$C$4,LANÇ_MOV[CENTRO DE CUSTOS],$D$4)</f>
        <v>0</v>
      </c>
      <c r="E1213" s="206">
        <f>SUMIFS(LANÇ_MOV[VALOR LÍQUIDO],LANÇ_MOV[RECEITA OU DESPESA],"Despesa",LANÇ_MOV[CONTAS],$C1213,LANÇ_MOV[PLANO DE CONTAS],REL_DRE_FINANCEIRO!$B$1164,LANÇ_MOV[ANO PAGAMENTO],$B$4,LANÇ_MOV[MÊS PAGAMENTO CORRESPONDENTE],E$6,LANÇ_MOV[EMPRESA],$C$4,LANÇ_MOV[CENTRO DE CUSTOS],$D$4)</f>
        <v>0</v>
      </c>
      <c r="F1213" s="206">
        <f>SUMIFS(LANÇ_MOV[VALOR LÍQUIDO],LANÇ_MOV[RECEITA OU DESPESA],"Despesa",LANÇ_MOV[CONTAS],$C1213,LANÇ_MOV[PLANO DE CONTAS],REL_DRE_FINANCEIRO!$B$1164,LANÇ_MOV[ANO PAGAMENTO],$B$4,LANÇ_MOV[MÊS PAGAMENTO CORRESPONDENTE],F$6,LANÇ_MOV[EMPRESA],$C$4,LANÇ_MOV[CENTRO DE CUSTOS],$D$4)</f>
        <v>0</v>
      </c>
      <c r="G1213" s="206">
        <f>SUMIFS(LANÇ_MOV[VALOR LÍQUIDO],LANÇ_MOV[RECEITA OU DESPESA],"Despesa",LANÇ_MOV[CONTAS],$C1213,LANÇ_MOV[PLANO DE CONTAS],REL_DRE_FINANCEIRO!$B$1164,LANÇ_MOV[ANO PAGAMENTO],$B$4,LANÇ_MOV[MÊS PAGAMENTO CORRESPONDENTE],G$6,LANÇ_MOV[EMPRESA],$C$4,LANÇ_MOV[CENTRO DE CUSTOS],$D$4)</f>
        <v>0</v>
      </c>
      <c r="H1213" s="206">
        <f>SUMIFS(LANÇ_MOV[VALOR LÍQUIDO],LANÇ_MOV[RECEITA OU DESPESA],"Despesa",LANÇ_MOV[CONTAS],$C1213,LANÇ_MOV[PLANO DE CONTAS],REL_DRE_FINANCEIRO!$B$1164,LANÇ_MOV[ANO PAGAMENTO],$B$4,LANÇ_MOV[MÊS PAGAMENTO CORRESPONDENTE],H$6,LANÇ_MOV[EMPRESA],$C$4,LANÇ_MOV[CENTRO DE CUSTOS],$D$4)</f>
        <v>0</v>
      </c>
      <c r="I1213" s="206">
        <f>SUMIFS(LANÇ_MOV[VALOR LÍQUIDO],LANÇ_MOV[RECEITA OU DESPESA],"Despesa",LANÇ_MOV[CONTAS],$C1213,LANÇ_MOV[PLANO DE CONTAS],REL_DRE_FINANCEIRO!$B$1164,LANÇ_MOV[ANO PAGAMENTO],$B$4,LANÇ_MOV[MÊS PAGAMENTO CORRESPONDENTE],I$6,LANÇ_MOV[EMPRESA],$C$4,LANÇ_MOV[CENTRO DE CUSTOS],$D$4)</f>
        <v>0</v>
      </c>
      <c r="J1213" s="206">
        <f>SUMIFS(LANÇ_MOV[VALOR LÍQUIDO],LANÇ_MOV[RECEITA OU DESPESA],"Despesa",LANÇ_MOV[CONTAS],$C1213,LANÇ_MOV[PLANO DE CONTAS],REL_DRE_FINANCEIRO!$B$1164,LANÇ_MOV[ANO PAGAMENTO],$B$4,LANÇ_MOV[MÊS PAGAMENTO CORRESPONDENTE],J$6,LANÇ_MOV[EMPRESA],$C$4,LANÇ_MOV[CENTRO DE CUSTOS],$D$4)</f>
        <v>0</v>
      </c>
      <c r="K1213" s="206">
        <f>SUMIFS(LANÇ_MOV[VALOR LÍQUIDO],LANÇ_MOV[RECEITA OU DESPESA],"Despesa",LANÇ_MOV[CONTAS],$C1213,LANÇ_MOV[PLANO DE CONTAS],REL_DRE_FINANCEIRO!$B$1164,LANÇ_MOV[ANO PAGAMENTO],$B$4,LANÇ_MOV[MÊS PAGAMENTO CORRESPONDENTE],K$6,LANÇ_MOV[EMPRESA],$C$4,LANÇ_MOV[CENTRO DE CUSTOS],$D$4)</f>
        <v>0</v>
      </c>
      <c r="L1213" s="206">
        <f>SUMIFS(LANÇ_MOV[VALOR LÍQUIDO],LANÇ_MOV[RECEITA OU DESPESA],"Despesa",LANÇ_MOV[CONTAS],$C1213,LANÇ_MOV[PLANO DE CONTAS],REL_DRE_FINANCEIRO!$B$1164,LANÇ_MOV[ANO PAGAMENTO],$B$4,LANÇ_MOV[MÊS PAGAMENTO CORRESPONDENTE],L$6,LANÇ_MOV[EMPRESA],$C$4,LANÇ_MOV[CENTRO DE CUSTOS],$D$4)</f>
        <v>0</v>
      </c>
      <c r="M1213" s="206">
        <f>SUMIFS(LANÇ_MOV[VALOR LÍQUIDO],LANÇ_MOV[RECEITA OU DESPESA],"Despesa",LANÇ_MOV[CONTAS],$C1213,LANÇ_MOV[PLANO DE CONTAS],REL_DRE_FINANCEIRO!$B$1164,LANÇ_MOV[ANO PAGAMENTO],$B$4,LANÇ_MOV[MÊS PAGAMENTO CORRESPONDENTE],M$6,LANÇ_MOV[EMPRESA],$C$4,LANÇ_MOV[CENTRO DE CUSTOS],$D$4)</f>
        <v>0</v>
      </c>
      <c r="N1213" s="206">
        <f>SUMIFS(LANÇ_MOV[VALOR LÍQUIDO],LANÇ_MOV[RECEITA OU DESPESA],"Despesa",LANÇ_MOV[CONTAS],$C1213,LANÇ_MOV[PLANO DE CONTAS],REL_DRE_FINANCEIRO!$B$1164,LANÇ_MOV[ANO PAGAMENTO],$B$4,LANÇ_MOV[MÊS PAGAMENTO CORRESPONDENTE],N$6,LANÇ_MOV[EMPRESA],$C$4,LANÇ_MOV[CENTRO DE CUSTOS],$D$4)</f>
        <v>0</v>
      </c>
      <c r="O1213" s="206">
        <f>SUMIFS(LANÇ_MOV[VALOR LÍQUIDO],LANÇ_MOV[RECEITA OU DESPESA],"Despesa",LANÇ_MOV[CONTAS],$C1213,LANÇ_MOV[PLANO DE CONTAS],REL_DRE_FINANCEIRO!$B$1164,LANÇ_MOV[ANO PAGAMENTO],$B$4,LANÇ_MOV[MÊS PAGAMENTO CORRESPONDENTE],O$6,LANÇ_MOV[EMPRESA],$C$4,LANÇ_MOV[CENTRO DE CUSTOS],$D$4)</f>
        <v>0</v>
      </c>
      <c r="P1213" s="207">
        <f t="shared" si="145"/>
        <v>0</v>
      </c>
      <c r="Q1213" s="329">
        <v>5.2000000000000002E-6</v>
      </c>
      <c r="R1213" s="346">
        <f t="shared" si="146"/>
        <v>5.2000000000000002E-6</v>
      </c>
      <c r="S1213" s="347" t="str">
        <f t="shared" si="147"/>
        <v>-</v>
      </c>
      <c r="T1213" s="347">
        <f t="shared" si="148"/>
        <v>0</v>
      </c>
      <c r="U1213" s="347">
        <f>HLOOKUP(Apoio!$P$12,$D$1163:$P$1264,X1213,FALSE)+Q1213</f>
        <v>5.2000000000000002E-6</v>
      </c>
      <c r="V1213" s="447" t="str">
        <f t="shared" si="149"/>
        <v>-</v>
      </c>
      <c r="W1213" s="448">
        <f>HLOOKUP(Apoio!$P$12,$D$1163:$P$1264,X1213,FALSE)</f>
        <v>0</v>
      </c>
      <c r="X1213" s="329">
        <v>51</v>
      </c>
    </row>
    <row r="1214" spans="2:24" ht="30.05" customHeight="1" x14ac:dyDescent="0.35">
      <c r="B1214" s="204" t="str">
        <f>'CAD_PL_REC-DESP'!AI54</f>
        <v>2.9.50</v>
      </c>
      <c r="C1214" s="205" t="str">
        <f>IF('CAD_PL_REC-DESP'!AJ54="","-",'CAD_PL_REC-DESP'!AJ54)</f>
        <v>-</v>
      </c>
      <c r="D1214" s="206">
        <f>SUMIFS(LANÇ_MOV[VALOR LÍQUIDO],LANÇ_MOV[RECEITA OU DESPESA],"Despesa",LANÇ_MOV[CONTAS],$C1214,LANÇ_MOV[PLANO DE CONTAS],REL_DRE_FINANCEIRO!$B$1164,LANÇ_MOV[ANO PAGAMENTO],$B$4,LANÇ_MOV[MÊS PAGAMENTO CORRESPONDENTE],D$6,LANÇ_MOV[EMPRESA],$C$4,LANÇ_MOV[CENTRO DE CUSTOS],$D$4)</f>
        <v>0</v>
      </c>
      <c r="E1214" s="206">
        <f>SUMIFS(LANÇ_MOV[VALOR LÍQUIDO],LANÇ_MOV[RECEITA OU DESPESA],"Despesa",LANÇ_MOV[CONTAS],$C1214,LANÇ_MOV[PLANO DE CONTAS],REL_DRE_FINANCEIRO!$B$1164,LANÇ_MOV[ANO PAGAMENTO],$B$4,LANÇ_MOV[MÊS PAGAMENTO CORRESPONDENTE],E$6,LANÇ_MOV[EMPRESA],$C$4,LANÇ_MOV[CENTRO DE CUSTOS],$D$4)</f>
        <v>0</v>
      </c>
      <c r="F1214" s="206">
        <f>SUMIFS(LANÇ_MOV[VALOR LÍQUIDO],LANÇ_MOV[RECEITA OU DESPESA],"Despesa",LANÇ_MOV[CONTAS],$C1214,LANÇ_MOV[PLANO DE CONTAS],REL_DRE_FINANCEIRO!$B$1164,LANÇ_MOV[ANO PAGAMENTO],$B$4,LANÇ_MOV[MÊS PAGAMENTO CORRESPONDENTE],F$6,LANÇ_MOV[EMPRESA],$C$4,LANÇ_MOV[CENTRO DE CUSTOS],$D$4)</f>
        <v>0</v>
      </c>
      <c r="G1214" s="206">
        <f>SUMIFS(LANÇ_MOV[VALOR LÍQUIDO],LANÇ_MOV[RECEITA OU DESPESA],"Despesa",LANÇ_MOV[CONTAS],$C1214,LANÇ_MOV[PLANO DE CONTAS],REL_DRE_FINANCEIRO!$B$1164,LANÇ_MOV[ANO PAGAMENTO],$B$4,LANÇ_MOV[MÊS PAGAMENTO CORRESPONDENTE],G$6,LANÇ_MOV[EMPRESA],$C$4,LANÇ_MOV[CENTRO DE CUSTOS],$D$4)</f>
        <v>0</v>
      </c>
      <c r="H1214" s="206">
        <f>SUMIFS(LANÇ_MOV[VALOR LÍQUIDO],LANÇ_MOV[RECEITA OU DESPESA],"Despesa",LANÇ_MOV[CONTAS],$C1214,LANÇ_MOV[PLANO DE CONTAS],REL_DRE_FINANCEIRO!$B$1164,LANÇ_MOV[ANO PAGAMENTO],$B$4,LANÇ_MOV[MÊS PAGAMENTO CORRESPONDENTE],H$6,LANÇ_MOV[EMPRESA],$C$4,LANÇ_MOV[CENTRO DE CUSTOS],$D$4)</f>
        <v>0</v>
      </c>
      <c r="I1214" s="206">
        <f>SUMIFS(LANÇ_MOV[VALOR LÍQUIDO],LANÇ_MOV[RECEITA OU DESPESA],"Despesa",LANÇ_MOV[CONTAS],$C1214,LANÇ_MOV[PLANO DE CONTAS],REL_DRE_FINANCEIRO!$B$1164,LANÇ_MOV[ANO PAGAMENTO],$B$4,LANÇ_MOV[MÊS PAGAMENTO CORRESPONDENTE],I$6,LANÇ_MOV[EMPRESA],$C$4,LANÇ_MOV[CENTRO DE CUSTOS],$D$4)</f>
        <v>0</v>
      </c>
      <c r="J1214" s="206">
        <f>SUMIFS(LANÇ_MOV[VALOR LÍQUIDO],LANÇ_MOV[RECEITA OU DESPESA],"Despesa",LANÇ_MOV[CONTAS],$C1214,LANÇ_MOV[PLANO DE CONTAS],REL_DRE_FINANCEIRO!$B$1164,LANÇ_MOV[ANO PAGAMENTO],$B$4,LANÇ_MOV[MÊS PAGAMENTO CORRESPONDENTE],J$6,LANÇ_MOV[EMPRESA],$C$4,LANÇ_MOV[CENTRO DE CUSTOS],$D$4)</f>
        <v>0</v>
      </c>
      <c r="K1214" s="206">
        <f>SUMIFS(LANÇ_MOV[VALOR LÍQUIDO],LANÇ_MOV[RECEITA OU DESPESA],"Despesa",LANÇ_MOV[CONTAS],$C1214,LANÇ_MOV[PLANO DE CONTAS],REL_DRE_FINANCEIRO!$B$1164,LANÇ_MOV[ANO PAGAMENTO],$B$4,LANÇ_MOV[MÊS PAGAMENTO CORRESPONDENTE],K$6,LANÇ_MOV[EMPRESA],$C$4,LANÇ_MOV[CENTRO DE CUSTOS],$D$4)</f>
        <v>0</v>
      </c>
      <c r="L1214" s="206">
        <f>SUMIFS(LANÇ_MOV[VALOR LÍQUIDO],LANÇ_MOV[RECEITA OU DESPESA],"Despesa",LANÇ_MOV[CONTAS],$C1214,LANÇ_MOV[PLANO DE CONTAS],REL_DRE_FINANCEIRO!$B$1164,LANÇ_MOV[ANO PAGAMENTO],$B$4,LANÇ_MOV[MÊS PAGAMENTO CORRESPONDENTE],L$6,LANÇ_MOV[EMPRESA],$C$4,LANÇ_MOV[CENTRO DE CUSTOS],$D$4)</f>
        <v>0</v>
      </c>
      <c r="M1214" s="206">
        <f>SUMIFS(LANÇ_MOV[VALOR LÍQUIDO],LANÇ_MOV[RECEITA OU DESPESA],"Despesa",LANÇ_MOV[CONTAS],$C1214,LANÇ_MOV[PLANO DE CONTAS],REL_DRE_FINANCEIRO!$B$1164,LANÇ_MOV[ANO PAGAMENTO],$B$4,LANÇ_MOV[MÊS PAGAMENTO CORRESPONDENTE],M$6,LANÇ_MOV[EMPRESA],$C$4,LANÇ_MOV[CENTRO DE CUSTOS],$D$4)</f>
        <v>0</v>
      </c>
      <c r="N1214" s="206">
        <f>SUMIFS(LANÇ_MOV[VALOR LÍQUIDO],LANÇ_MOV[RECEITA OU DESPESA],"Despesa",LANÇ_MOV[CONTAS],$C1214,LANÇ_MOV[PLANO DE CONTAS],REL_DRE_FINANCEIRO!$B$1164,LANÇ_MOV[ANO PAGAMENTO],$B$4,LANÇ_MOV[MÊS PAGAMENTO CORRESPONDENTE],N$6,LANÇ_MOV[EMPRESA],$C$4,LANÇ_MOV[CENTRO DE CUSTOS],$D$4)</f>
        <v>0</v>
      </c>
      <c r="O1214" s="206">
        <f>SUMIFS(LANÇ_MOV[VALOR LÍQUIDO],LANÇ_MOV[RECEITA OU DESPESA],"Despesa",LANÇ_MOV[CONTAS],$C1214,LANÇ_MOV[PLANO DE CONTAS],REL_DRE_FINANCEIRO!$B$1164,LANÇ_MOV[ANO PAGAMENTO],$B$4,LANÇ_MOV[MÊS PAGAMENTO CORRESPONDENTE],O$6,LANÇ_MOV[EMPRESA],$C$4,LANÇ_MOV[CENTRO DE CUSTOS],$D$4)</f>
        <v>0</v>
      </c>
      <c r="P1214" s="207">
        <f t="shared" si="145"/>
        <v>0</v>
      </c>
      <c r="Q1214" s="329">
        <v>5.1000000000000003E-6</v>
      </c>
      <c r="R1214" s="346">
        <f t="shared" si="146"/>
        <v>5.1000000000000003E-6</v>
      </c>
      <c r="S1214" s="347" t="str">
        <f t="shared" si="147"/>
        <v>-</v>
      </c>
      <c r="T1214" s="347">
        <f t="shared" si="148"/>
        <v>0</v>
      </c>
      <c r="U1214" s="347">
        <f>HLOOKUP(Apoio!$P$12,$D$1163:$P$1264,X1214,FALSE)+Q1214</f>
        <v>5.1000000000000003E-6</v>
      </c>
      <c r="V1214" s="447" t="str">
        <f t="shared" si="149"/>
        <v>-</v>
      </c>
      <c r="W1214" s="448">
        <f>HLOOKUP(Apoio!$P$12,$D$1163:$P$1264,X1214,FALSE)</f>
        <v>0</v>
      </c>
      <c r="X1214" s="329">
        <v>52</v>
      </c>
    </row>
    <row r="1215" spans="2:24" ht="30.05" customHeight="1" x14ac:dyDescent="0.35">
      <c r="B1215" s="204" t="str">
        <f>'CAD_PL_REC-DESP'!AI55</f>
        <v>2.9.51</v>
      </c>
      <c r="C1215" s="205" t="str">
        <f>IF('CAD_PL_REC-DESP'!AJ55="","-",'CAD_PL_REC-DESP'!AJ55)</f>
        <v>-</v>
      </c>
      <c r="D1215" s="206">
        <f>SUMIFS(LANÇ_MOV[VALOR LÍQUIDO],LANÇ_MOV[RECEITA OU DESPESA],"Despesa",LANÇ_MOV[CONTAS],$C1215,LANÇ_MOV[PLANO DE CONTAS],REL_DRE_FINANCEIRO!$B$1164,LANÇ_MOV[ANO PAGAMENTO],$B$4,LANÇ_MOV[MÊS PAGAMENTO CORRESPONDENTE],D$6,LANÇ_MOV[EMPRESA],$C$4,LANÇ_MOV[CENTRO DE CUSTOS],$D$4)</f>
        <v>0</v>
      </c>
      <c r="E1215" s="206">
        <f>SUMIFS(LANÇ_MOV[VALOR LÍQUIDO],LANÇ_MOV[RECEITA OU DESPESA],"Despesa",LANÇ_MOV[CONTAS],$C1215,LANÇ_MOV[PLANO DE CONTAS],REL_DRE_FINANCEIRO!$B$1164,LANÇ_MOV[ANO PAGAMENTO],$B$4,LANÇ_MOV[MÊS PAGAMENTO CORRESPONDENTE],E$6,LANÇ_MOV[EMPRESA],$C$4,LANÇ_MOV[CENTRO DE CUSTOS],$D$4)</f>
        <v>0</v>
      </c>
      <c r="F1215" s="206">
        <f>SUMIFS(LANÇ_MOV[VALOR LÍQUIDO],LANÇ_MOV[RECEITA OU DESPESA],"Despesa",LANÇ_MOV[CONTAS],$C1215,LANÇ_MOV[PLANO DE CONTAS],REL_DRE_FINANCEIRO!$B$1164,LANÇ_MOV[ANO PAGAMENTO],$B$4,LANÇ_MOV[MÊS PAGAMENTO CORRESPONDENTE],F$6,LANÇ_MOV[EMPRESA],$C$4,LANÇ_MOV[CENTRO DE CUSTOS],$D$4)</f>
        <v>0</v>
      </c>
      <c r="G1215" s="206">
        <f>SUMIFS(LANÇ_MOV[VALOR LÍQUIDO],LANÇ_MOV[RECEITA OU DESPESA],"Despesa",LANÇ_MOV[CONTAS],$C1215,LANÇ_MOV[PLANO DE CONTAS],REL_DRE_FINANCEIRO!$B$1164,LANÇ_MOV[ANO PAGAMENTO],$B$4,LANÇ_MOV[MÊS PAGAMENTO CORRESPONDENTE],G$6,LANÇ_MOV[EMPRESA],$C$4,LANÇ_MOV[CENTRO DE CUSTOS],$D$4)</f>
        <v>0</v>
      </c>
      <c r="H1215" s="206">
        <f>SUMIFS(LANÇ_MOV[VALOR LÍQUIDO],LANÇ_MOV[RECEITA OU DESPESA],"Despesa",LANÇ_MOV[CONTAS],$C1215,LANÇ_MOV[PLANO DE CONTAS],REL_DRE_FINANCEIRO!$B$1164,LANÇ_MOV[ANO PAGAMENTO],$B$4,LANÇ_MOV[MÊS PAGAMENTO CORRESPONDENTE],H$6,LANÇ_MOV[EMPRESA],$C$4,LANÇ_MOV[CENTRO DE CUSTOS],$D$4)</f>
        <v>0</v>
      </c>
      <c r="I1215" s="206">
        <f>SUMIFS(LANÇ_MOV[VALOR LÍQUIDO],LANÇ_MOV[RECEITA OU DESPESA],"Despesa",LANÇ_MOV[CONTAS],$C1215,LANÇ_MOV[PLANO DE CONTAS],REL_DRE_FINANCEIRO!$B$1164,LANÇ_MOV[ANO PAGAMENTO],$B$4,LANÇ_MOV[MÊS PAGAMENTO CORRESPONDENTE],I$6,LANÇ_MOV[EMPRESA],$C$4,LANÇ_MOV[CENTRO DE CUSTOS],$D$4)</f>
        <v>0</v>
      </c>
      <c r="J1215" s="206">
        <f>SUMIFS(LANÇ_MOV[VALOR LÍQUIDO],LANÇ_MOV[RECEITA OU DESPESA],"Despesa",LANÇ_MOV[CONTAS],$C1215,LANÇ_MOV[PLANO DE CONTAS],REL_DRE_FINANCEIRO!$B$1164,LANÇ_MOV[ANO PAGAMENTO],$B$4,LANÇ_MOV[MÊS PAGAMENTO CORRESPONDENTE],J$6,LANÇ_MOV[EMPRESA],$C$4,LANÇ_MOV[CENTRO DE CUSTOS],$D$4)</f>
        <v>0</v>
      </c>
      <c r="K1215" s="206">
        <f>SUMIFS(LANÇ_MOV[VALOR LÍQUIDO],LANÇ_MOV[RECEITA OU DESPESA],"Despesa",LANÇ_MOV[CONTAS],$C1215,LANÇ_MOV[PLANO DE CONTAS],REL_DRE_FINANCEIRO!$B$1164,LANÇ_MOV[ANO PAGAMENTO],$B$4,LANÇ_MOV[MÊS PAGAMENTO CORRESPONDENTE],K$6,LANÇ_MOV[EMPRESA],$C$4,LANÇ_MOV[CENTRO DE CUSTOS],$D$4)</f>
        <v>0</v>
      </c>
      <c r="L1215" s="206">
        <f>SUMIFS(LANÇ_MOV[VALOR LÍQUIDO],LANÇ_MOV[RECEITA OU DESPESA],"Despesa",LANÇ_MOV[CONTAS],$C1215,LANÇ_MOV[PLANO DE CONTAS],REL_DRE_FINANCEIRO!$B$1164,LANÇ_MOV[ANO PAGAMENTO],$B$4,LANÇ_MOV[MÊS PAGAMENTO CORRESPONDENTE],L$6,LANÇ_MOV[EMPRESA],$C$4,LANÇ_MOV[CENTRO DE CUSTOS],$D$4)</f>
        <v>0</v>
      </c>
      <c r="M1215" s="206">
        <f>SUMIFS(LANÇ_MOV[VALOR LÍQUIDO],LANÇ_MOV[RECEITA OU DESPESA],"Despesa",LANÇ_MOV[CONTAS],$C1215,LANÇ_MOV[PLANO DE CONTAS],REL_DRE_FINANCEIRO!$B$1164,LANÇ_MOV[ANO PAGAMENTO],$B$4,LANÇ_MOV[MÊS PAGAMENTO CORRESPONDENTE],M$6,LANÇ_MOV[EMPRESA],$C$4,LANÇ_MOV[CENTRO DE CUSTOS],$D$4)</f>
        <v>0</v>
      </c>
      <c r="N1215" s="206">
        <f>SUMIFS(LANÇ_MOV[VALOR LÍQUIDO],LANÇ_MOV[RECEITA OU DESPESA],"Despesa",LANÇ_MOV[CONTAS],$C1215,LANÇ_MOV[PLANO DE CONTAS],REL_DRE_FINANCEIRO!$B$1164,LANÇ_MOV[ANO PAGAMENTO],$B$4,LANÇ_MOV[MÊS PAGAMENTO CORRESPONDENTE],N$6,LANÇ_MOV[EMPRESA],$C$4,LANÇ_MOV[CENTRO DE CUSTOS],$D$4)</f>
        <v>0</v>
      </c>
      <c r="O1215" s="206">
        <f>SUMIFS(LANÇ_MOV[VALOR LÍQUIDO],LANÇ_MOV[RECEITA OU DESPESA],"Despesa",LANÇ_MOV[CONTAS],$C1215,LANÇ_MOV[PLANO DE CONTAS],REL_DRE_FINANCEIRO!$B$1164,LANÇ_MOV[ANO PAGAMENTO],$B$4,LANÇ_MOV[MÊS PAGAMENTO CORRESPONDENTE],O$6,LANÇ_MOV[EMPRESA],$C$4,LANÇ_MOV[CENTRO DE CUSTOS],$D$4)</f>
        <v>0</v>
      </c>
      <c r="P1215" s="207">
        <f t="shared" si="145"/>
        <v>0</v>
      </c>
      <c r="Q1215" s="329">
        <v>5.0000000000000004E-6</v>
      </c>
      <c r="R1215" s="346">
        <f t="shared" si="146"/>
        <v>5.0000000000000004E-6</v>
      </c>
      <c r="S1215" s="347" t="str">
        <f t="shared" si="147"/>
        <v>-</v>
      </c>
      <c r="T1215" s="347">
        <f t="shared" si="148"/>
        <v>0</v>
      </c>
      <c r="U1215" s="347">
        <f>HLOOKUP(Apoio!$P$12,$D$1163:$P$1264,X1215,FALSE)+Q1215</f>
        <v>5.0000000000000004E-6</v>
      </c>
      <c r="V1215" s="447" t="str">
        <f t="shared" si="149"/>
        <v>-</v>
      </c>
      <c r="W1215" s="448">
        <f>HLOOKUP(Apoio!$P$12,$D$1163:$P$1264,X1215,FALSE)</f>
        <v>0</v>
      </c>
      <c r="X1215" s="329">
        <v>53</v>
      </c>
    </row>
    <row r="1216" spans="2:24" ht="30.05" customHeight="1" x14ac:dyDescent="0.35">
      <c r="B1216" s="204" t="str">
        <f>'CAD_PL_REC-DESP'!AI56</f>
        <v>2.9.52</v>
      </c>
      <c r="C1216" s="205" t="str">
        <f>IF('CAD_PL_REC-DESP'!AJ56="","-",'CAD_PL_REC-DESP'!AJ56)</f>
        <v>-</v>
      </c>
      <c r="D1216" s="206">
        <f>SUMIFS(LANÇ_MOV[VALOR LÍQUIDO],LANÇ_MOV[RECEITA OU DESPESA],"Despesa",LANÇ_MOV[CONTAS],$C1216,LANÇ_MOV[PLANO DE CONTAS],REL_DRE_FINANCEIRO!$B$1164,LANÇ_MOV[ANO PAGAMENTO],$B$4,LANÇ_MOV[MÊS PAGAMENTO CORRESPONDENTE],D$6,LANÇ_MOV[EMPRESA],$C$4,LANÇ_MOV[CENTRO DE CUSTOS],$D$4)</f>
        <v>0</v>
      </c>
      <c r="E1216" s="206">
        <f>SUMIFS(LANÇ_MOV[VALOR LÍQUIDO],LANÇ_MOV[RECEITA OU DESPESA],"Despesa",LANÇ_MOV[CONTAS],$C1216,LANÇ_MOV[PLANO DE CONTAS],REL_DRE_FINANCEIRO!$B$1164,LANÇ_MOV[ANO PAGAMENTO],$B$4,LANÇ_MOV[MÊS PAGAMENTO CORRESPONDENTE],E$6,LANÇ_MOV[EMPRESA],$C$4,LANÇ_MOV[CENTRO DE CUSTOS],$D$4)</f>
        <v>0</v>
      </c>
      <c r="F1216" s="206">
        <f>SUMIFS(LANÇ_MOV[VALOR LÍQUIDO],LANÇ_MOV[RECEITA OU DESPESA],"Despesa",LANÇ_MOV[CONTAS],$C1216,LANÇ_MOV[PLANO DE CONTAS],REL_DRE_FINANCEIRO!$B$1164,LANÇ_MOV[ANO PAGAMENTO],$B$4,LANÇ_MOV[MÊS PAGAMENTO CORRESPONDENTE],F$6,LANÇ_MOV[EMPRESA],$C$4,LANÇ_MOV[CENTRO DE CUSTOS],$D$4)</f>
        <v>0</v>
      </c>
      <c r="G1216" s="206">
        <f>SUMIFS(LANÇ_MOV[VALOR LÍQUIDO],LANÇ_MOV[RECEITA OU DESPESA],"Despesa",LANÇ_MOV[CONTAS],$C1216,LANÇ_MOV[PLANO DE CONTAS],REL_DRE_FINANCEIRO!$B$1164,LANÇ_MOV[ANO PAGAMENTO],$B$4,LANÇ_MOV[MÊS PAGAMENTO CORRESPONDENTE],G$6,LANÇ_MOV[EMPRESA],$C$4,LANÇ_MOV[CENTRO DE CUSTOS],$D$4)</f>
        <v>0</v>
      </c>
      <c r="H1216" s="206">
        <f>SUMIFS(LANÇ_MOV[VALOR LÍQUIDO],LANÇ_MOV[RECEITA OU DESPESA],"Despesa",LANÇ_MOV[CONTAS],$C1216,LANÇ_MOV[PLANO DE CONTAS],REL_DRE_FINANCEIRO!$B$1164,LANÇ_MOV[ANO PAGAMENTO],$B$4,LANÇ_MOV[MÊS PAGAMENTO CORRESPONDENTE],H$6,LANÇ_MOV[EMPRESA],$C$4,LANÇ_MOV[CENTRO DE CUSTOS],$D$4)</f>
        <v>0</v>
      </c>
      <c r="I1216" s="206">
        <f>SUMIFS(LANÇ_MOV[VALOR LÍQUIDO],LANÇ_MOV[RECEITA OU DESPESA],"Despesa",LANÇ_MOV[CONTAS],$C1216,LANÇ_MOV[PLANO DE CONTAS],REL_DRE_FINANCEIRO!$B$1164,LANÇ_MOV[ANO PAGAMENTO],$B$4,LANÇ_MOV[MÊS PAGAMENTO CORRESPONDENTE],I$6,LANÇ_MOV[EMPRESA],$C$4,LANÇ_MOV[CENTRO DE CUSTOS],$D$4)</f>
        <v>0</v>
      </c>
      <c r="J1216" s="206">
        <f>SUMIFS(LANÇ_MOV[VALOR LÍQUIDO],LANÇ_MOV[RECEITA OU DESPESA],"Despesa",LANÇ_MOV[CONTAS],$C1216,LANÇ_MOV[PLANO DE CONTAS],REL_DRE_FINANCEIRO!$B$1164,LANÇ_MOV[ANO PAGAMENTO],$B$4,LANÇ_MOV[MÊS PAGAMENTO CORRESPONDENTE],J$6,LANÇ_MOV[EMPRESA],$C$4,LANÇ_MOV[CENTRO DE CUSTOS],$D$4)</f>
        <v>0</v>
      </c>
      <c r="K1216" s="206">
        <f>SUMIFS(LANÇ_MOV[VALOR LÍQUIDO],LANÇ_MOV[RECEITA OU DESPESA],"Despesa",LANÇ_MOV[CONTAS],$C1216,LANÇ_MOV[PLANO DE CONTAS],REL_DRE_FINANCEIRO!$B$1164,LANÇ_MOV[ANO PAGAMENTO],$B$4,LANÇ_MOV[MÊS PAGAMENTO CORRESPONDENTE],K$6,LANÇ_MOV[EMPRESA],$C$4,LANÇ_MOV[CENTRO DE CUSTOS],$D$4)</f>
        <v>0</v>
      </c>
      <c r="L1216" s="206">
        <f>SUMIFS(LANÇ_MOV[VALOR LÍQUIDO],LANÇ_MOV[RECEITA OU DESPESA],"Despesa",LANÇ_MOV[CONTAS],$C1216,LANÇ_MOV[PLANO DE CONTAS],REL_DRE_FINANCEIRO!$B$1164,LANÇ_MOV[ANO PAGAMENTO],$B$4,LANÇ_MOV[MÊS PAGAMENTO CORRESPONDENTE],L$6,LANÇ_MOV[EMPRESA],$C$4,LANÇ_MOV[CENTRO DE CUSTOS],$D$4)</f>
        <v>0</v>
      </c>
      <c r="M1216" s="206">
        <f>SUMIFS(LANÇ_MOV[VALOR LÍQUIDO],LANÇ_MOV[RECEITA OU DESPESA],"Despesa",LANÇ_MOV[CONTAS],$C1216,LANÇ_MOV[PLANO DE CONTAS],REL_DRE_FINANCEIRO!$B$1164,LANÇ_MOV[ANO PAGAMENTO],$B$4,LANÇ_MOV[MÊS PAGAMENTO CORRESPONDENTE],M$6,LANÇ_MOV[EMPRESA],$C$4,LANÇ_MOV[CENTRO DE CUSTOS],$D$4)</f>
        <v>0</v>
      </c>
      <c r="N1216" s="206">
        <f>SUMIFS(LANÇ_MOV[VALOR LÍQUIDO],LANÇ_MOV[RECEITA OU DESPESA],"Despesa",LANÇ_MOV[CONTAS],$C1216,LANÇ_MOV[PLANO DE CONTAS],REL_DRE_FINANCEIRO!$B$1164,LANÇ_MOV[ANO PAGAMENTO],$B$4,LANÇ_MOV[MÊS PAGAMENTO CORRESPONDENTE],N$6,LANÇ_MOV[EMPRESA],$C$4,LANÇ_MOV[CENTRO DE CUSTOS],$D$4)</f>
        <v>0</v>
      </c>
      <c r="O1216" s="206">
        <f>SUMIFS(LANÇ_MOV[VALOR LÍQUIDO],LANÇ_MOV[RECEITA OU DESPESA],"Despesa",LANÇ_MOV[CONTAS],$C1216,LANÇ_MOV[PLANO DE CONTAS],REL_DRE_FINANCEIRO!$B$1164,LANÇ_MOV[ANO PAGAMENTO],$B$4,LANÇ_MOV[MÊS PAGAMENTO CORRESPONDENTE],O$6,LANÇ_MOV[EMPRESA],$C$4,LANÇ_MOV[CENTRO DE CUSTOS],$D$4)</f>
        <v>0</v>
      </c>
      <c r="P1216" s="207">
        <f t="shared" si="145"/>
        <v>0</v>
      </c>
      <c r="Q1216" s="329">
        <v>4.8999999999999997E-6</v>
      </c>
      <c r="R1216" s="346">
        <f t="shared" si="146"/>
        <v>4.8999999999999997E-6</v>
      </c>
      <c r="S1216" s="347" t="str">
        <f t="shared" si="147"/>
        <v>-</v>
      </c>
      <c r="T1216" s="347">
        <f t="shared" si="148"/>
        <v>0</v>
      </c>
      <c r="U1216" s="347">
        <f>HLOOKUP(Apoio!$P$12,$D$1163:$P$1264,X1216,FALSE)+Q1216</f>
        <v>4.8999999999999997E-6</v>
      </c>
      <c r="V1216" s="447" t="str">
        <f t="shared" si="149"/>
        <v>-</v>
      </c>
      <c r="W1216" s="448">
        <f>HLOOKUP(Apoio!$P$12,$D$1163:$P$1264,X1216,FALSE)</f>
        <v>0</v>
      </c>
      <c r="X1216" s="329">
        <v>54</v>
      </c>
    </row>
    <row r="1217" spans="2:24" ht="30.05" customHeight="1" x14ac:dyDescent="0.35">
      <c r="B1217" s="204" t="str">
        <f>'CAD_PL_REC-DESP'!AI57</f>
        <v>2.9.53</v>
      </c>
      <c r="C1217" s="205" t="str">
        <f>IF('CAD_PL_REC-DESP'!AJ57="","-",'CAD_PL_REC-DESP'!AJ57)</f>
        <v>-</v>
      </c>
      <c r="D1217" s="206">
        <f>SUMIFS(LANÇ_MOV[VALOR LÍQUIDO],LANÇ_MOV[RECEITA OU DESPESA],"Despesa",LANÇ_MOV[CONTAS],$C1217,LANÇ_MOV[PLANO DE CONTAS],REL_DRE_FINANCEIRO!$B$1164,LANÇ_MOV[ANO PAGAMENTO],$B$4,LANÇ_MOV[MÊS PAGAMENTO CORRESPONDENTE],D$6,LANÇ_MOV[EMPRESA],$C$4,LANÇ_MOV[CENTRO DE CUSTOS],$D$4)</f>
        <v>0</v>
      </c>
      <c r="E1217" s="206">
        <f>SUMIFS(LANÇ_MOV[VALOR LÍQUIDO],LANÇ_MOV[RECEITA OU DESPESA],"Despesa",LANÇ_MOV[CONTAS],$C1217,LANÇ_MOV[PLANO DE CONTAS],REL_DRE_FINANCEIRO!$B$1164,LANÇ_MOV[ANO PAGAMENTO],$B$4,LANÇ_MOV[MÊS PAGAMENTO CORRESPONDENTE],E$6,LANÇ_MOV[EMPRESA],$C$4,LANÇ_MOV[CENTRO DE CUSTOS],$D$4)</f>
        <v>0</v>
      </c>
      <c r="F1217" s="206">
        <f>SUMIFS(LANÇ_MOV[VALOR LÍQUIDO],LANÇ_MOV[RECEITA OU DESPESA],"Despesa",LANÇ_MOV[CONTAS],$C1217,LANÇ_MOV[PLANO DE CONTAS],REL_DRE_FINANCEIRO!$B$1164,LANÇ_MOV[ANO PAGAMENTO],$B$4,LANÇ_MOV[MÊS PAGAMENTO CORRESPONDENTE],F$6,LANÇ_MOV[EMPRESA],$C$4,LANÇ_MOV[CENTRO DE CUSTOS],$D$4)</f>
        <v>0</v>
      </c>
      <c r="G1217" s="206">
        <f>SUMIFS(LANÇ_MOV[VALOR LÍQUIDO],LANÇ_MOV[RECEITA OU DESPESA],"Despesa",LANÇ_MOV[CONTAS],$C1217,LANÇ_MOV[PLANO DE CONTAS],REL_DRE_FINANCEIRO!$B$1164,LANÇ_MOV[ANO PAGAMENTO],$B$4,LANÇ_MOV[MÊS PAGAMENTO CORRESPONDENTE],G$6,LANÇ_MOV[EMPRESA],$C$4,LANÇ_MOV[CENTRO DE CUSTOS],$D$4)</f>
        <v>0</v>
      </c>
      <c r="H1217" s="206">
        <f>SUMIFS(LANÇ_MOV[VALOR LÍQUIDO],LANÇ_MOV[RECEITA OU DESPESA],"Despesa",LANÇ_MOV[CONTAS],$C1217,LANÇ_MOV[PLANO DE CONTAS],REL_DRE_FINANCEIRO!$B$1164,LANÇ_MOV[ANO PAGAMENTO],$B$4,LANÇ_MOV[MÊS PAGAMENTO CORRESPONDENTE],H$6,LANÇ_MOV[EMPRESA],$C$4,LANÇ_MOV[CENTRO DE CUSTOS],$D$4)</f>
        <v>0</v>
      </c>
      <c r="I1217" s="206">
        <f>SUMIFS(LANÇ_MOV[VALOR LÍQUIDO],LANÇ_MOV[RECEITA OU DESPESA],"Despesa",LANÇ_MOV[CONTAS],$C1217,LANÇ_MOV[PLANO DE CONTAS],REL_DRE_FINANCEIRO!$B$1164,LANÇ_MOV[ANO PAGAMENTO],$B$4,LANÇ_MOV[MÊS PAGAMENTO CORRESPONDENTE],I$6,LANÇ_MOV[EMPRESA],$C$4,LANÇ_MOV[CENTRO DE CUSTOS],$D$4)</f>
        <v>0</v>
      </c>
      <c r="J1217" s="206">
        <f>SUMIFS(LANÇ_MOV[VALOR LÍQUIDO],LANÇ_MOV[RECEITA OU DESPESA],"Despesa",LANÇ_MOV[CONTAS],$C1217,LANÇ_MOV[PLANO DE CONTAS],REL_DRE_FINANCEIRO!$B$1164,LANÇ_MOV[ANO PAGAMENTO],$B$4,LANÇ_MOV[MÊS PAGAMENTO CORRESPONDENTE],J$6,LANÇ_MOV[EMPRESA],$C$4,LANÇ_MOV[CENTRO DE CUSTOS],$D$4)</f>
        <v>0</v>
      </c>
      <c r="K1217" s="206">
        <f>SUMIFS(LANÇ_MOV[VALOR LÍQUIDO],LANÇ_MOV[RECEITA OU DESPESA],"Despesa",LANÇ_MOV[CONTAS],$C1217,LANÇ_MOV[PLANO DE CONTAS],REL_DRE_FINANCEIRO!$B$1164,LANÇ_MOV[ANO PAGAMENTO],$B$4,LANÇ_MOV[MÊS PAGAMENTO CORRESPONDENTE],K$6,LANÇ_MOV[EMPRESA],$C$4,LANÇ_MOV[CENTRO DE CUSTOS],$D$4)</f>
        <v>0</v>
      </c>
      <c r="L1217" s="206">
        <f>SUMIFS(LANÇ_MOV[VALOR LÍQUIDO],LANÇ_MOV[RECEITA OU DESPESA],"Despesa",LANÇ_MOV[CONTAS],$C1217,LANÇ_MOV[PLANO DE CONTAS],REL_DRE_FINANCEIRO!$B$1164,LANÇ_MOV[ANO PAGAMENTO],$B$4,LANÇ_MOV[MÊS PAGAMENTO CORRESPONDENTE],L$6,LANÇ_MOV[EMPRESA],$C$4,LANÇ_MOV[CENTRO DE CUSTOS],$D$4)</f>
        <v>0</v>
      </c>
      <c r="M1217" s="206">
        <f>SUMIFS(LANÇ_MOV[VALOR LÍQUIDO],LANÇ_MOV[RECEITA OU DESPESA],"Despesa",LANÇ_MOV[CONTAS],$C1217,LANÇ_MOV[PLANO DE CONTAS],REL_DRE_FINANCEIRO!$B$1164,LANÇ_MOV[ANO PAGAMENTO],$B$4,LANÇ_MOV[MÊS PAGAMENTO CORRESPONDENTE],M$6,LANÇ_MOV[EMPRESA],$C$4,LANÇ_MOV[CENTRO DE CUSTOS],$D$4)</f>
        <v>0</v>
      </c>
      <c r="N1217" s="206">
        <f>SUMIFS(LANÇ_MOV[VALOR LÍQUIDO],LANÇ_MOV[RECEITA OU DESPESA],"Despesa",LANÇ_MOV[CONTAS],$C1217,LANÇ_MOV[PLANO DE CONTAS],REL_DRE_FINANCEIRO!$B$1164,LANÇ_MOV[ANO PAGAMENTO],$B$4,LANÇ_MOV[MÊS PAGAMENTO CORRESPONDENTE],N$6,LANÇ_MOV[EMPRESA],$C$4,LANÇ_MOV[CENTRO DE CUSTOS],$D$4)</f>
        <v>0</v>
      </c>
      <c r="O1217" s="206">
        <f>SUMIFS(LANÇ_MOV[VALOR LÍQUIDO],LANÇ_MOV[RECEITA OU DESPESA],"Despesa",LANÇ_MOV[CONTAS],$C1217,LANÇ_MOV[PLANO DE CONTAS],REL_DRE_FINANCEIRO!$B$1164,LANÇ_MOV[ANO PAGAMENTO],$B$4,LANÇ_MOV[MÊS PAGAMENTO CORRESPONDENTE],O$6,LANÇ_MOV[EMPRESA],$C$4,LANÇ_MOV[CENTRO DE CUSTOS],$D$4)</f>
        <v>0</v>
      </c>
      <c r="P1217" s="207">
        <f t="shared" si="145"/>
        <v>0</v>
      </c>
      <c r="Q1217" s="329">
        <v>4.7999999999999998E-6</v>
      </c>
      <c r="R1217" s="346">
        <f t="shared" si="146"/>
        <v>4.7999999999999998E-6</v>
      </c>
      <c r="S1217" s="347" t="str">
        <f t="shared" si="147"/>
        <v>-</v>
      </c>
      <c r="T1217" s="347">
        <f t="shared" si="148"/>
        <v>0</v>
      </c>
      <c r="U1217" s="347">
        <f>HLOOKUP(Apoio!$P$12,$D$1163:$P$1264,X1217,FALSE)+Q1217</f>
        <v>4.7999999999999998E-6</v>
      </c>
      <c r="V1217" s="447" t="str">
        <f t="shared" si="149"/>
        <v>-</v>
      </c>
      <c r="W1217" s="448">
        <f>HLOOKUP(Apoio!$P$12,$D$1163:$P$1264,X1217,FALSE)</f>
        <v>0</v>
      </c>
      <c r="X1217" s="329">
        <v>55</v>
      </c>
    </row>
    <row r="1218" spans="2:24" ht="30.05" customHeight="1" x14ac:dyDescent="0.35">
      <c r="B1218" s="204" t="str">
        <f>'CAD_PL_REC-DESP'!AI58</f>
        <v>2.9.54</v>
      </c>
      <c r="C1218" s="205" t="str">
        <f>IF('CAD_PL_REC-DESP'!AJ58="","-",'CAD_PL_REC-DESP'!AJ58)</f>
        <v>-</v>
      </c>
      <c r="D1218" s="206">
        <f>SUMIFS(LANÇ_MOV[VALOR LÍQUIDO],LANÇ_MOV[RECEITA OU DESPESA],"Despesa",LANÇ_MOV[CONTAS],$C1218,LANÇ_MOV[PLANO DE CONTAS],REL_DRE_FINANCEIRO!$B$1164,LANÇ_MOV[ANO PAGAMENTO],$B$4,LANÇ_MOV[MÊS PAGAMENTO CORRESPONDENTE],D$6,LANÇ_MOV[EMPRESA],$C$4,LANÇ_MOV[CENTRO DE CUSTOS],$D$4)</f>
        <v>0</v>
      </c>
      <c r="E1218" s="206">
        <f>SUMIFS(LANÇ_MOV[VALOR LÍQUIDO],LANÇ_MOV[RECEITA OU DESPESA],"Despesa",LANÇ_MOV[CONTAS],$C1218,LANÇ_MOV[PLANO DE CONTAS],REL_DRE_FINANCEIRO!$B$1164,LANÇ_MOV[ANO PAGAMENTO],$B$4,LANÇ_MOV[MÊS PAGAMENTO CORRESPONDENTE],E$6,LANÇ_MOV[EMPRESA],$C$4,LANÇ_MOV[CENTRO DE CUSTOS],$D$4)</f>
        <v>0</v>
      </c>
      <c r="F1218" s="206">
        <f>SUMIFS(LANÇ_MOV[VALOR LÍQUIDO],LANÇ_MOV[RECEITA OU DESPESA],"Despesa",LANÇ_MOV[CONTAS],$C1218,LANÇ_MOV[PLANO DE CONTAS],REL_DRE_FINANCEIRO!$B$1164,LANÇ_MOV[ANO PAGAMENTO],$B$4,LANÇ_MOV[MÊS PAGAMENTO CORRESPONDENTE],F$6,LANÇ_MOV[EMPRESA],$C$4,LANÇ_MOV[CENTRO DE CUSTOS],$D$4)</f>
        <v>0</v>
      </c>
      <c r="G1218" s="206">
        <f>SUMIFS(LANÇ_MOV[VALOR LÍQUIDO],LANÇ_MOV[RECEITA OU DESPESA],"Despesa",LANÇ_MOV[CONTAS],$C1218,LANÇ_MOV[PLANO DE CONTAS],REL_DRE_FINANCEIRO!$B$1164,LANÇ_MOV[ANO PAGAMENTO],$B$4,LANÇ_MOV[MÊS PAGAMENTO CORRESPONDENTE],G$6,LANÇ_MOV[EMPRESA],$C$4,LANÇ_MOV[CENTRO DE CUSTOS],$D$4)</f>
        <v>0</v>
      </c>
      <c r="H1218" s="206">
        <f>SUMIFS(LANÇ_MOV[VALOR LÍQUIDO],LANÇ_MOV[RECEITA OU DESPESA],"Despesa",LANÇ_MOV[CONTAS],$C1218,LANÇ_MOV[PLANO DE CONTAS],REL_DRE_FINANCEIRO!$B$1164,LANÇ_MOV[ANO PAGAMENTO],$B$4,LANÇ_MOV[MÊS PAGAMENTO CORRESPONDENTE],H$6,LANÇ_MOV[EMPRESA],$C$4,LANÇ_MOV[CENTRO DE CUSTOS],$D$4)</f>
        <v>0</v>
      </c>
      <c r="I1218" s="206">
        <f>SUMIFS(LANÇ_MOV[VALOR LÍQUIDO],LANÇ_MOV[RECEITA OU DESPESA],"Despesa",LANÇ_MOV[CONTAS],$C1218,LANÇ_MOV[PLANO DE CONTAS],REL_DRE_FINANCEIRO!$B$1164,LANÇ_MOV[ANO PAGAMENTO],$B$4,LANÇ_MOV[MÊS PAGAMENTO CORRESPONDENTE],I$6,LANÇ_MOV[EMPRESA],$C$4,LANÇ_MOV[CENTRO DE CUSTOS],$D$4)</f>
        <v>0</v>
      </c>
      <c r="J1218" s="206">
        <f>SUMIFS(LANÇ_MOV[VALOR LÍQUIDO],LANÇ_MOV[RECEITA OU DESPESA],"Despesa",LANÇ_MOV[CONTAS],$C1218,LANÇ_MOV[PLANO DE CONTAS],REL_DRE_FINANCEIRO!$B$1164,LANÇ_MOV[ANO PAGAMENTO],$B$4,LANÇ_MOV[MÊS PAGAMENTO CORRESPONDENTE],J$6,LANÇ_MOV[EMPRESA],$C$4,LANÇ_MOV[CENTRO DE CUSTOS],$D$4)</f>
        <v>0</v>
      </c>
      <c r="K1218" s="206">
        <f>SUMIFS(LANÇ_MOV[VALOR LÍQUIDO],LANÇ_MOV[RECEITA OU DESPESA],"Despesa",LANÇ_MOV[CONTAS],$C1218,LANÇ_MOV[PLANO DE CONTAS],REL_DRE_FINANCEIRO!$B$1164,LANÇ_MOV[ANO PAGAMENTO],$B$4,LANÇ_MOV[MÊS PAGAMENTO CORRESPONDENTE],K$6,LANÇ_MOV[EMPRESA],$C$4,LANÇ_MOV[CENTRO DE CUSTOS],$D$4)</f>
        <v>0</v>
      </c>
      <c r="L1218" s="206">
        <f>SUMIFS(LANÇ_MOV[VALOR LÍQUIDO],LANÇ_MOV[RECEITA OU DESPESA],"Despesa",LANÇ_MOV[CONTAS],$C1218,LANÇ_MOV[PLANO DE CONTAS],REL_DRE_FINANCEIRO!$B$1164,LANÇ_MOV[ANO PAGAMENTO],$B$4,LANÇ_MOV[MÊS PAGAMENTO CORRESPONDENTE],L$6,LANÇ_MOV[EMPRESA],$C$4,LANÇ_MOV[CENTRO DE CUSTOS],$D$4)</f>
        <v>0</v>
      </c>
      <c r="M1218" s="206">
        <f>SUMIFS(LANÇ_MOV[VALOR LÍQUIDO],LANÇ_MOV[RECEITA OU DESPESA],"Despesa",LANÇ_MOV[CONTAS],$C1218,LANÇ_MOV[PLANO DE CONTAS],REL_DRE_FINANCEIRO!$B$1164,LANÇ_MOV[ANO PAGAMENTO],$B$4,LANÇ_MOV[MÊS PAGAMENTO CORRESPONDENTE],M$6,LANÇ_MOV[EMPRESA],$C$4,LANÇ_MOV[CENTRO DE CUSTOS],$D$4)</f>
        <v>0</v>
      </c>
      <c r="N1218" s="206">
        <f>SUMIFS(LANÇ_MOV[VALOR LÍQUIDO],LANÇ_MOV[RECEITA OU DESPESA],"Despesa",LANÇ_MOV[CONTAS],$C1218,LANÇ_MOV[PLANO DE CONTAS],REL_DRE_FINANCEIRO!$B$1164,LANÇ_MOV[ANO PAGAMENTO],$B$4,LANÇ_MOV[MÊS PAGAMENTO CORRESPONDENTE],N$6,LANÇ_MOV[EMPRESA],$C$4,LANÇ_MOV[CENTRO DE CUSTOS],$D$4)</f>
        <v>0</v>
      </c>
      <c r="O1218" s="206">
        <f>SUMIFS(LANÇ_MOV[VALOR LÍQUIDO],LANÇ_MOV[RECEITA OU DESPESA],"Despesa",LANÇ_MOV[CONTAS],$C1218,LANÇ_MOV[PLANO DE CONTAS],REL_DRE_FINANCEIRO!$B$1164,LANÇ_MOV[ANO PAGAMENTO],$B$4,LANÇ_MOV[MÊS PAGAMENTO CORRESPONDENTE],O$6,LANÇ_MOV[EMPRESA],$C$4,LANÇ_MOV[CENTRO DE CUSTOS],$D$4)</f>
        <v>0</v>
      </c>
      <c r="P1218" s="207">
        <f t="shared" si="145"/>
        <v>0</v>
      </c>
      <c r="Q1218" s="329">
        <v>4.6999999999999999E-6</v>
      </c>
      <c r="R1218" s="346">
        <f t="shared" si="146"/>
        <v>4.6999999999999999E-6</v>
      </c>
      <c r="S1218" s="347" t="str">
        <f t="shared" si="147"/>
        <v>-</v>
      </c>
      <c r="T1218" s="347">
        <f t="shared" si="148"/>
        <v>0</v>
      </c>
      <c r="U1218" s="347">
        <f>HLOOKUP(Apoio!$P$12,$D$1163:$P$1264,X1218,FALSE)+Q1218</f>
        <v>4.6999999999999999E-6</v>
      </c>
      <c r="V1218" s="447" t="str">
        <f t="shared" si="149"/>
        <v>-</v>
      </c>
      <c r="W1218" s="448">
        <f>HLOOKUP(Apoio!$P$12,$D$1163:$P$1264,X1218,FALSE)</f>
        <v>0</v>
      </c>
      <c r="X1218" s="329">
        <v>56</v>
      </c>
    </row>
    <row r="1219" spans="2:24" ht="30.05" customHeight="1" x14ac:dyDescent="0.35">
      <c r="B1219" s="204" t="str">
        <f>'CAD_PL_REC-DESP'!AI59</f>
        <v>2.9.55</v>
      </c>
      <c r="C1219" s="205" t="str">
        <f>IF('CAD_PL_REC-DESP'!AJ59="","-",'CAD_PL_REC-DESP'!AJ59)</f>
        <v>-</v>
      </c>
      <c r="D1219" s="206">
        <f>SUMIFS(LANÇ_MOV[VALOR LÍQUIDO],LANÇ_MOV[RECEITA OU DESPESA],"Despesa",LANÇ_MOV[CONTAS],$C1219,LANÇ_MOV[PLANO DE CONTAS],REL_DRE_FINANCEIRO!$B$1164,LANÇ_MOV[ANO PAGAMENTO],$B$4,LANÇ_MOV[MÊS PAGAMENTO CORRESPONDENTE],D$6,LANÇ_MOV[EMPRESA],$C$4,LANÇ_MOV[CENTRO DE CUSTOS],$D$4)</f>
        <v>0</v>
      </c>
      <c r="E1219" s="206">
        <f>SUMIFS(LANÇ_MOV[VALOR LÍQUIDO],LANÇ_MOV[RECEITA OU DESPESA],"Despesa",LANÇ_MOV[CONTAS],$C1219,LANÇ_MOV[PLANO DE CONTAS],REL_DRE_FINANCEIRO!$B$1164,LANÇ_MOV[ANO PAGAMENTO],$B$4,LANÇ_MOV[MÊS PAGAMENTO CORRESPONDENTE],E$6,LANÇ_MOV[EMPRESA],$C$4,LANÇ_MOV[CENTRO DE CUSTOS],$D$4)</f>
        <v>0</v>
      </c>
      <c r="F1219" s="206">
        <f>SUMIFS(LANÇ_MOV[VALOR LÍQUIDO],LANÇ_MOV[RECEITA OU DESPESA],"Despesa",LANÇ_MOV[CONTAS],$C1219,LANÇ_MOV[PLANO DE CONTAS],REL_DRE_FINANCEIRO!$B$1164,LANÇ_MOV[ANO PAGAMENTO],$B$4,LANÇ_MOV[MÊS PAGAMENTO CORRESPONDENTE],F$6,LANÇ_MOV[EMPRESA],$C$4,LANÇ_MOV[CENTRO DE CUSTOS],$D$4)</f>
        <v>0</v>
      </c>
      <c r="G1219" s="206">
        <f>SUMIFS(LANÇ_MOV[VALOR LÍQUIDO],LANÇ_MOV[RECEITA OU DESPESA],"Despesa",LANÇ_MOV[CONTAS],$C1219,LANÇ_MOV[PLANO DE CONTAS],REL_DRE_FINANCEIRO!$B$1164,LANÇ_MOV[ANO PAGAMENTO],$B$4,LANÇ_MOV[MÊS PAGAMENTO CORRESPONDENTE],G$6,LANÇ_MOV[EMPRESA],$C$4,LANÇ_MOV[CENTRO DE CUSTOS],$D$4)</f>
        <v>0</v>
      </c>
      <c r="H1219" s="206">
        <f>SUMIFS(LANÇ_MOV[VALOR LÍQUIDO],LANÇ_MOV[RECEITA OU DESPESA],"Despesa",LANÇ_MOV[CONTAS],$C1219,LANÇ_MOV[PLANO DE CONTAS],REL_DRE_FINANCEIRO!$B$1164,LANÇ_MOV[ANO PAGAMENTO],$B$4,LANÇ_MOV[MÊS PAGAMENTO CORRESPONDENTE],H$6,LANÇ_MOV[EMPRESA],$C$4,LANÇ_MOV[CENTRO DE CUSTOS],$D$4)</f>
        <v>0</v>
      </c>
      <c r="I1219" s="206">
        <f>SUMIFS(LANÇ_MOV[VALOR LÍQUIDO],LANÇ_MOV[RECEITA OU DESPESA],"Despesa",LANÇ_MOV[CONTAS],$C1219,LANÇ_MOV[PLANO DE CONTAS],REL_DRE_FINANCEIRO!$B$1164,LANÇ_MOV[ANO PAGAMENTO],$B$4,LANÇ_MOV[MÊS PAGAMENTO CORRESPONDENTE],I$6,LANÇ_MOV[EMPRESA],$C$4,LANÇ_MOV[CENTRO DE CUSTOS],$D$4)</f>
        <v>0</v>
      </c>
      <c r="J1219" s="206">
        <f>SUMIFS(LANÇ_MOV[VALOR LÍQUIDO],LANÇ_MOV[RECEITA OU DESPESA],"Despesa",LANÇ_MOV[CONTAS],$C1219,LANÇ_MOV[PLANO DE CONTAS],REL_DRE_FINANCEIRO!$B$1164,LANÇ_MOV[ANO PAGAMENTO],$B$4,LANÇ_MOV[MÊS PAGAMENTO CORRESPONDENTE],J$6,LANÇ_MOV[EMPRESA],$C$4,LANÇ_MOV[CENTRO DE CUSTOS],$D$4)</f>
        <v>0</v>
      </c>
      <c r="K1219" s="206">
        <f>SUMIFS(LANÇ_MOV[VALOR LÍQUIDO],LANÇ_MOV[RECEITA OU DESPESA],"Despesa",LANÇ_MOV[CONTAS],$C1219,LANÇ_MOV[PLANO DE CONTAS],REL_DRE_FINANCEIRO!$B$1164,LANÇ_MOV[ANO PAGAMENTO],$B$4,LANÇ_MOV[MÊS PAGAMENTO CORRESPONDENTE],K$6,LANÇ_MOV[EMPRESA],$C$4,LANÇ_MOV[CENTRO DE CUSTOS],$D$4)</f>
        <v>0</v>
      </c>
      <c r="L1219" s="206">
        <f>SUMIFS(LANÇ_MOV[VALOR LÍQUIDO],LANÇ_MOV[RECEITA OU DESPESA],"Despesa",LANÇ_MOV[CONTAS],$C1219,LANÇ_MOV[PLANO DE CONTAS],REL_DRE_FINANCEIRO!$B$1164,LANÇ_MOV[ANO PAGAMENTO],$B$4,LANÇ_MOV[MÊS PAGAMENTO CORRESPONDENTE],L$6,LANÇ_MOV[EMPRESA],$C$4,LANÇ_MOV[CENTRO DE CUSTOS],$D$4)</f>
        <v>0</v>
      </c>
      <c r="M1219" s="206">
        <f>SUMIFS(LANÇ_MOV[VALOR LÍQUIDO],LANÇ_MOV[RECEITA OU DESPESA],"Despesa",LANÇ_MOV[CONTAS],$C1219,LANÇ_MOV[PLANO DE CONTAS],REL_DRE_FINANCEIRO!$B$1164,LANÇ_MOV[ANO PAGAMENTO],$B$4,LANÇ_MOV[MÊS PAGAMENTO CORRESPONDENTE],M$6,LANÇ_MOV[EMPRESA],$C$4,LANÇ_MOV[CENTRO DE CUSTOS],$D$4)</f>
        <v>0</v>
      </c>
      <c r="N1219" s="206">
        <f>SUMIFS(LANÇ_MOV[VALOR LÍQUIDO],LANÇ_MOV[RECEITA OU DESPESA],"Despesa",LANÇ_MOV[CONTAS],$C1219,LANÇ_MOV[PLANO DE CONTAS],REL_DRE_FINANCEIRO!$B$1164,LANÇ_MOV[ANO PAGAMENTO],$B$4,LANÇ_MOV[MÊS PAGAMENTO CORRESPONDENTE],N$6,LANÇ_MOV[EMPRESA],$C$4,LANÇ_MOV[CENTRO DE CUSTOS],$D$4)</f>
        <v>0</v>
      </c>
      <c r="O1219" s="206">
        <f>SUMIFS(LANÇ_MOV[VALOR LÍQUIDO],LANÇ_MOV[RECEITA OU DESPESA],"Despesa",LANÇ_MOV[CONTAS],$C1219,LANÇ_MOV[PLANO DE CONTAS],REL_DRE_FINANCEIRO!$B$1164,LANÇ_MOV[ANO PAGAMENTO],$B$4,LANÇ_MOV[MÊS PAGAMENTO CORRESPONDENTE],O$6,LANÇ_MOV[EMPRESA],$C$4,LANÇ_MOV[CENTRO DE CUSTOS],$D$4)</f>
        <v>0</v>
      </c>
      <c r="P1219" s="207">
        <f t="shared" si="145"/>
        <v>0</v>
      </c>
      <c r="Q1219" s="329">
        <v>4.6E-6</v>
      </c>
      <c r="R1219" s="346">
        <f t="shared" si="146"/>
        <v>4.6E-6</v>
      </c>
      <c r="S1219" s="347" t="str">
        <f t="shared" si="147"/>
        <v>-</v>
      </c>
      <c r="T1219" s="347">
        <f t="shared" si="148"/>
        <v>0</v>
      </c>
      <c r="U1219" s="347">
        <f>HLOOKUP(Apoio!$P$12,$D$1163:$P$1264,X1219,FALSE)+Q1219</f>
        <v>4.6E-6</v>
      </c>
      <c r="V1219" s="447" t="str">
        <f t="shared" si="149"/>
        <v>-</v>
      </c>
      <c r="W1219" s="448">
        <f>HLOOKUP(Apoio!$P$12,$D$1163:$P$1264,X1219,FALSE)</f>
        <v>0</v>
      </c>
      <c r="X1219" s="329">
        <v>57</v>
      </c>
    </row>
    <row r="1220" spans="2:24" ht="30.05" customHeight="1" x14ac:dyDescent="0.35">
      <c r="B1220" s="204" t="str">
        <f>'CAD_PL_REC-DESP'!AI60</f>
        <v>2.9.56</v>
      </c>
      <c r="C1220" s="205" t="str">
        <f>IF('CAD_PL_REC-DESP'!AJ60="","-",'CAD_PL_REC-DESP'!AJ60)</f>
        <v>-</v>
      </c>
      <c r="D1220" s="206">
        <f>SUMIFS(LANÇ_MOV[VALOR LÍQUIDO],LANÇ_MOV[RECEITA OU DESPESA],"Despesa",LANÇ_MOV[CONTAS],$C1220,LANÇ_MOV[PLANO DE CONTAS],REL_DRE_FINANCEIRO!$B$1164,LANÇ_MOV[ANO PAGAMENTO],$B$4,LANÇ_MOV[MÊS PAGAMENTO CORRESPONDENTE],D$6,LANÇ_MOV[EMPRESA],$C$4,LANÇ_MOV[CENTRO DE CUSTOS],$D$4)</f>
        <v>0</v>
      </c>
      <c r="E1220" s="206">
        <f>SUMIFS(LANÇ_MOV[VALOR LÍQUIDO],LANÇ_MOV[RECEITA OU DESPESA],"Despesa",LANÇ_MOV[CONTAS],$C1220,LANÇ_MOV[PLANO DE CONTAS],REL_DRE_FINANCEIRO!$B$1164,LANÇ_MOV[ANO PAGAMENTO],$B$4,LANÇ_MOV[MÊS PAGAMENTO CORRESPONDENTE],E$6,LANÇ_MOV[EMPRESA],$C$4,LANÇ_MOV[CENTRO DE CUSTOS],$D$4)</f>
        <v>0</v>
      </c>
      <c r="F1220" s="206">
        <f>SUMIFS(LANÇ_MOV[VALOR LÍQUIDO],LANÇ_MOV[RECEITA OU DESPESA],"Despesa",LANÇ_MOV[CONTAS],$C1220,LANÇ_MOV[PLANO DE CONTAS],REL_DRE_FINANCEIRO!$B$1164,LANÇ_MOV[ANO PAGAMENTO],$B$4,LANÇ_MOV[MÊS PAGAMENTO CORRESPONDENTE],F$6,LANÇ_MOV[EMPRESA],$C$4,LANÇ_MOV[CENTRO DE CUSTOS],$D$4)</f>
        <v>0</v>
      </c>
      <c r="G1220" s="206">
        <f>SUMIFS(LANÇ_MOV[VALOR LÍQUIDO],LANÇ_MOV[RECEITA OU DESPESA],"Despesa",LANÇ_MOV[CONTAS],$C1220,LANÇ_MOV[PLANO DE CONTAS],REL_DRE_FINANCEIRO!$B$1164,LANÇ_MOV[ANO PAGAMENTO],$B$4,LANÇ_MOV[MÊS PAGAMENTO CORRESPONDENTE],G$6,LANÇ_MOV[EMPRESA],$C$4,LANÇ_MOV[CENTRO DE CUSTOS],$D$4)</f>
        <v>0</v>
      </c>
      <c r="H1220" s="206">
        <f>SUMIFS(LANÇ_MOV[VALOR LÍQUIDO],LANÇ_MOV[RECEITA OU DESPESA],"Despesa",LANÇ_MOV[CONTAS],$C1220,LANÇ_MOV[PLANO DE CONTAS],REL_DRE_FINANCEIRO!$B$1164,LANÇ_MOV[ANO PAGAMENTO],$B$4,LANÇ_MOV[MÊS PAGAMENTO CORRESPONDENTE],H$6,LANÇ_MOV[EMPRESA],$C$4,LANÇ_MOV[CENTRO DE CUSTOS],$D$4)</f>
        <v>0</v>
      </c>
      <c r="I1220" s="206">
        <f>SUMIFS(LANÇ_MOV[VALOR LÍQUIDO],LANÇ_MOV[RECEITA OU DESPESA],"Despesa",LANÇ_MOV[CONTAS],$C1220,LANÇ_MOV[PLANO DE CONTAS],REL_DRE_FINANCEIRO!$B$1164,LANÇ_MOV[ANO PAGAMENTO],$B$4,LANÇ_MOV[MÊS PAGAMENTO CORRESPONDENTE],I$6,LANÇ_MOV[EMPRESA],$C$4,LANÇ_MOV[CENTRO DE CUSTOS],$D$4)</f>
        <v>0</v>
      </c>
      <c r="J1220" s="206">
        <f>SUMIFS(LANÇ_MOV[VALOR LÍQUIDO],LANÇ_MOV[RECEITA OU DESPESA],"Despesa",LANÇ_MOV[CONTAS],$C1220,LANÇ_MOV[PLANO DE CONTAS],REL_DRE_FINANCEIRO!$B$1164,LANÇ_MOV[ANO PAGAMENTO],$B$4,LANÇ_MOV[MÊS PAGAMENTO CORRESPONDENTE],J$6,LANÇ_MOV[EMPRESA],$C$4,LANÇ_MOV[CENTRO DE CUSTOS],$D$4)</f>
        <v>0</v>
      </c>
      <c r="K1220" s="206">
        <f>SUMIFS(LANÇ_MOV[VALOR LÍQUIDO],LANÇ_MOV[RECEITA OU DESPESA],"Despesa",LANÇ_MOV[CONTAS],$C1220,LANÇ_MOV[PLANO DE CONTAS],REL_DRE_FINANCEIRO!$B$1164,LANÇ_MOV[ANO PAGAMENTO],$B$4,LANÇ_MOV[MÊS PAGAMENTO CORRESPONDENTE],K$6,LANÇ_MOV[EMPRESA],$C$4,LANÇ_MOV[CENTRO DE CUSTOS],$D$4)</f>
        <v>0</v>
      </c>
      <c r="L1220" s="206">
        <f>SUMIFS(LANÇ_MOV[VALOR LÍQUIDO],LANÇ_MOV[RECEITA OU DESPESA],"Despesa",LANÇ_MOV[CONTAS],$C1220,LANÇ_MOV[PLANO DE CONTAS],REL_DRE_FINANCEIRO!$B$1164,LANÇ_MOV[ANO PAGAMENTO],$B$4,LANÇ_MOV[MÊS PAGAMENTO CORRESPONDENTE],L$6,LANÇ_MOV[EMPRESA],$C$4,LANÇ_MOV[CENTRO DE CUSTOS],$D$4)</f>
        <v>0</v>
      </c>
      <c r="M1220" s="206">
        <f>SUMIFS(LANÇ_MOV[VALOR LÍQUIDO],LANÇ_MOV[RECEITA OU DESPESA],"Despesa",LANÇ_MOV[CONTAS],$C1220,LANÇ_MOV[PLANO DE CONTAS],REL_DRE_FINANCEIRO!$B$1164,LANÇ_MOV[ANO PAGAMENTO],$B$4,LANÇ_MOV[MÊS PAGAMENTO CORRESPONDENTE],M$6,LANÇ_MOV[EMPRESA],$C$4,LANÇ_MOV[CENTRO DE CUSTOS],$D$4)</f>
        <v>0</v>
      </c>
      <c r="N1220" s="206">
        <f>SUMIFS(LANÇ_MOV[VALOR LÍQUIDO],LANÇ_MOV[RECEITA OU DESPESA],"Despesa",LANÇ_MOV[CONTAS],$C1220,LANÇ_MOV[PLANO DE CONTAS],REL_DRE_FINANCEIRO!$B$1164,LANÇ_MOV[ANO PAGAMENTO],$B$4,LANÇ_MOV[MÊS PAGAMENTO CORRESPONDENTE],N$6,LANÇ_MOV[EMPRESA],$C$4,LANÇ_MOV[CENTRO DE CUSTOS],$D$4)</f>
        <v>0</v>
      </c>
      <c r="O1220" s="206">
        <f>SUMIFS(LANÇ_MOV[VALOR LÍQUIDO],LANÇ_MOV[RECEITA OU DESPESA],"Despesa",LANÇ_MOV[CONTAS],$C1220,LANÇ_MOV[PLANO DE CONTAS],REL_DRE_FINANCEIRO!$B$1164,LANÇ_MOV[ANO PAGAMENTO],$B$4,LANÇ_MOV[MÊS PAGAMENTO CORRESPONDENTE],O$6,LANÇ_MOV[EMPRESA],$C$4,LANÇ_MOV[CENTRO DE CUSTOS],$D$4)</f>
        <v>0</v>
      </c>
      <c r="P1220" s="207">
        <f t="shared" si="145"/>
        <v>0</v>
      </c>
      <c r="Q1220" s="329">
        <v>4.5000000000000001E-6</v>
      </c>
      <c r="R1220" s="346">
        <f t="shared" si="146"/>
        <v>4.5000000000000001E-6</v>
      </c>
      <c r="S1220" s="347" t="str">
        <f t="shared" si="147"/>
        <v>-</v>
      </c>
      <c r="T1220" s="347">
        <f t="shared" si="148"/>
        <v>0</v>
      </c>
      <c r="U1220" s="347">
        <f>HLOOKUP(Apoio!$P$12,$D$1163:$P$1264,X1220,FALSE)+Q1220</f>
        <v>4.5000000000000001E-6</v>
      </c>
      <c r="V1220" s="447" t="str">
        <f t="shared" si="149"/>
        <v>-</v>
      </c>
      <c r="W1220" s="448">
        <f>HLOOKUP(Apoio!$P$12,$D$1163:$P$1264,X1220,FALSE)</f>
        <v>0</v>
      </c>
      <c r="X1220" s="329">
        <v>58</v>
      </c>
    </row>
    <row r="1221" spans="2:24" ht="30.05" customHeight="1" x14ac:dyDescent="0.35">
      <c r="B1221" s="204" t="str">
        <f>'CAD_PL_REC-DESP'!AI61</f>
        <v>2.9.57</v>
      </c>
      <c r="C1221" s="205" t="str">
        <f>IF('CAD_PL_REC-DESP'!AJ61="","-",'CAD_PL_REC-DESP'!AJ61)</f>
        <v>-</v>
      </c>
      <c r="D1221" s="206">
        <f>SUMIFS(LANÇ_MOV[VALOR LÍQUIDO],LANÇ_MOV[RECEITA OU DESPESA],"Despesa",LANÇ_MOV[CONTAS],$C1221,LANÇ_MOV[PLANO DE CONTAS],REL_DRE_FINANCEIRO!$B$1164,LANÇ_MOV[ANO PAGAMENTO],$B$4,LANÇ_MOV[MÊS PAGAMENTO CORRESPONDENTE],D$6,LANÇ_MOV[EMPRESA],$C$4,LANÇ_MOV[CENTRO DE CUSTOS],$D$4)</f>
        <v>0</v>
      </c>
      <c r="E1221" s="206">
        <f>SUMIFS(LANÇ_MOV[VALOR LÍQUIDO],LANÇ_MOV[RECEITA OU DESPESA],"Despesa",LANÇ_MOV[CONTAS],$C1221,LANÇ_MOV[PLANO DE CONTAS],REL_DRE_FINANCEIRO!$B$1164,LANÇ_MOV[ANO PAGAMENTO],$B$4,LANÇ_MOV[MÊS PAGAMENTO CORRESPONDENTE],E$6,LANÇ_MOV[EMPRESA],$C$4,LANÇ_MOV[CENTRO DE CUSTOS],$D$4)</f>
        <v>0</v>
      </c>
      <c r="F1221" s="206">
        <f>SUMIFS(LANÇ_MOV[VALOR LÍQUIDO],LANÇ_MOV[RECEITA OU DESPESA],"Despesa",LANÇ_MOV[CONTAS],$C1221,LANÇ_MOV[PLANO DE CONTAS],REL_DRE_FINANCEIRO!$B$1164,LANÇ_MOV[ANO PAGAMENTO],$B$4,LANÇ_MOV[MÊS PAGAMENTO CORRESPONDENTE],F$6,LANÇ_MOV[EMPRESA],$C$4,LANÇ_MOV[CENTRO DE CUSTOS],$D$4)</f>
        <v>0</v>
      </c>
      <c r="G1221" s="206">
        <f>SUMIFS(LANÇ_MOV[VALOR LÍQUIDO],LANÇ_MOV[RECEITA OU DESPESA],"Despesa",LANÇ_MOV[CONTAS],$C1221,LANÇ_MOV[PLANO DE CONTAS],REL_DRE_FINANCEIRO!$B$1164,LANÇ_MOV[ANO PAGAMENTO],$B$4,LANÇ_MOV[MÊS PAGAMENTO CORRESPONDENTE],G$6,LANÇ_MOV[EMPRESA],$C$4,LANÇ_MOV[CENTRO DE CUSTOS],$D$4)</f>
        <v>0</v>
      </c>
      <c r="H1221" s="206">
        <f>SUMIFS(LANÇ_MOV[VALOR LÍQUIDO],LANÇ_MOV[RECEITA OU DESPESA],"Despesa",LANÇ_MOV[CONTAS],$C1221,LANÇ_MOV[PLANO DE CONTAS],REL_DRE_FINANCEIRO!$B$1164,LANÇ_MOV[ANO PAGAMENTO],$B$4,LANÇ_MOV[MÊS PAGAMENTO CORRESPONDENTE],H$6,LANÇ_MOV[EMPRESA],$C$4,LANÇ_MOV[CENTRO DE CUSTOS],$D$4)</f>
        <v>0</v>
      </c>
      <c r="I1221" s="206">
        <f>SUMIFS(LANÇ_MOV[VALOR LÍQUIDO],LANÇ_MOV[RECEITA OU DESPESA],"Despesa",LANÇ_MOV[CONTAS],$C1221,LANÇ_MOV[PLANO DE CONTAS],REL_DRE_FINANCEIRO!$B$1164,LANÇ_MOV[ANO PAGAMENTO],$B$4,LANÇ_MOV[MÊS PAGAMENTO CORRESPONDENTE],I$6,LANÇ_MOV[EMPRESA],$C$4,LANÇ_MOV[CENTRO DE CUSTOS],$D$4)</f>
        <v>0</v>
      </c>
      <c r="J1221" s="206">
        <f>SUMIFS(LANÇ_MOV[VALOR LÍQUIDO],LANÇ_MOV[RECEITA OU DESPESA],"Despesa",LANÇ_MOV[CONTAS],$C1221,LANÇ_MOV[PLANO DE CONTAS],REL_DRE_FINANCEIRO!$B$1164,LANÇ_MOV[ANO PAGAMENTO],$B$4,LANÇ_MOV[MÊS PAGAMENTO CORRESPONDENTE],J$6,LANÇ_MOV[EMPRESA],$C$4,LANÇ_MOV[CENTRO DE CUSTOS],$D$4)</f>
        <v>0</v>
      </c>
      <c r="K1221" s="206">
        <f>SUMIFS(LANÇ_MOV[VALOR LÍQUIDO],LANÇ_MOV[RECEITA OU DESPESA],"Despesa",LANÇ_MOV[CONTAS],$C1221,LANÇ_MOV[PLANO DE CONTAS],REL_DRE_FINANCEIRO!$B$1164,LANÇ_MOV[ANO PAGAMENTO],$B$4,LANÇ_MOV[MÊS PAGAMENTO CORRESPONDENTE],K$6,LANÇ_MOV[EMPRESA],$C$4,LANÇ_MOV[CENTRO DE CUSTOS],$D$4)</f>
        <v>0</v>
      </c>
      <c r="L1221" s="206">
        <f>SUMIFS(LANÇ_MOV[VALOR LÍQUIDO],LANÇ_MOV[RECEITA OU DESPESA],"Despesa",LANÇ_MOV[CONTAS],$C1221,LANÇ_MOV[PLANO DE CONTAS],REL_DRE_FINANCEIRO!$B$1164,LANÇ_MOV[ANO PAGAMENTO],$B$4,LANÇ_MOV[MÊS PAGAMENTO CORRESPONDENTE],L$6,LANÇ_MOV[EMPRESA],$C$4,LANÇ_MOV[CENTRO DE CUSTOS],$D$4)</f>
        <v>0</v>
      </c>
      <c r="M1221" s="206">
        <f>SUMIFS(LANÇ_MOV[VALOR LÍQUIDO],LANÇ_MOV[RECEITA OU DESPESA],"Despesa",LANÇ_MOV[CONTAS],$C1221,LANÇ_MOV[PLANO DE CONTAS],REL_DRE_FINANCEIRO!$B$1164,LANÇ_MOV[ANO PAGAMENTO],$B$4,LANÇ_MOV[MÊS PAGAMENTO CORRESPONDENTE],M$6,LANÇ_MOV[EMPRESA],$C$4,LANÇ_MOV[CENTRO DE CUSTOS],$D$4)</f>
        <v>0</v>
      </c>
      <c r="N1221" s="206">
        <f>SUMIFS(LANÇ_MOV[VALOR LÍQUIDO],LANÇ_MOV[RECEITA OU DESPESA],"Despesa",LANÇ_MOV[CONTAS],$C1221,LANÇ_MOV[PLANO DE CONTAS],REL_DRE_FINANCEIRO!$B$1164,LANÇ_MOV[ANO PAGAMENTO],$B$4,LANÇ_MOV[MÊS PAGAMENTO CORRESPONDENTE],N$6,LANÇ_MOV[EMPRESA],$C$4,LANÇ_MOV[CENTRO DE CUSTOS],$D$4)</f>
        <v>0</v>
      </c>
      <c r="O1221" s="206">
        <f>SUMIFS(LANÇ_MOV[VALOR LÍQUIDO],LANÇ_MOV[RECEITA OU DESPESA],"Despesa",LANÇ_MOV[CONTAS],$C1221,LANÇ_MOV[PLANO DE CONTAS],REL_DRE_FINANCEIRO!$B$1164,LANÇ_MOV[ANO PAGAMENTO],$B$4,LANÇ_MOV[MÊS PAGAMENTO CORRESPONDENTE],O$6,LANÇ_MOV[EMPRESA],$C$4,LANÇ_MOV[CENTRO DE CUSTOS],$D$4)</f>
        <v>0</v>
      </c>
      <c r="P1221" s="207">
        <f t="shared" si="145"/>
        <v>0</v>
      </c>
      <c r="Q1221" s="329">
        <v>4.4000000000000002E-6</v>
      </c>
      <c r="R1221" s="346">
        <f t="shared" si="146"/>
        <v>4.4000000000000002E-6</v>
      </c>
      <c r="S1221" s="347" t="str">
        <f t="shared" si="147"/>
        <v>-</v>
      </c>
      <c r="T1221" s="347">
        <f t="shared" si="148"/>
        <v>0</v>
      </c>
      <c r="U1221" s="347">
        <f>HLOOKUP(Apoio!$P$12,$D$1163:$P$1264,X1221,FALSE)+Q1221</f>
        <v>4.4000000000000002E-6</v>
      </c>
      <c r="V1221" s="447" t="str">
        <f t="shared" si="149"/>
        <v>-</v>
      </c>
      <c r="W1221" s="448">
        <f>HLOOKUP(Apoio!$P$12,$D$1163:$P$1264,X1221,FALSE)</f>
        <v>0</v>
      </c>
      <c r="X1221" s="329">
        <v>59</v>
      </c>
    </row>
    <row r="1222" spans="2:24" ht="30.05" customHeight="1" x14ac:dyDescent="0.35">
      <c r="B1222" s="204" t="str">
        <f>'CAD_PL_REC-DESP'!AI62</f>
        <v>2.9.58</v>
      </c>
      <c r="C1222" s="205" t="str">
        <f>IF('CAD_PL_REC-DESP'!AJ62="","-",'CAD_PL_REC-DESP'!AJ62)</f>
        <v>-</v>
      </c>
      <c r="D1222" s="206">
        <f>SUMIFS(LANÇ_MOV[VALOR LÍQUIDO],LANÇ_MOV[RECEITA OU DESPESA],"Despesa",LANÇ_MOV[CONTAS],$C1222,LANÇ_MOV[PLANO DE CONTAS],REL_DRE_FINANCEIRO!$B$1164,LANÇ_MOV[ANO PAGAMENTO],$B$4,LANÇ_MOV[MÊS PAGAMENTO CORRESPONDENTE],D$6,LANÇ_MOV[EMPRESA],$C$4,LANÇ_MOV[CENTRO DE CUSTOS],$D$4)</f>
        <v>0</v>
      </c>
      <c r="E1222" s="206">
        <f>SUMIFS(LANÇ_MOV[VALOR LÍQUIDO],LANÇ_MOV[RECEITA OU DESPESA],"Despesa",LANÇ_MOV[CONTAS],$C1222,LANÇ_MOV[PLANO DE CONTAS],REL_DRE_FINANCEIRO!$B$1164,LANÇ_MOV[ANO PAGAMENTO],$B$4,LANÇ_MOV[MÊS PAGAMENTO CORRESPONDENTE],E$6,LANÇ_MOV[EMPRESA],$C$4,LANÇ_MOV[CENTRO DE CUSTOS],$D$4)</f>
        <v>0</v>
      </c>
      <c r="F1222" s="206">
        <f>SUMIFS(LANÇ_MOV[VALOR LÍQUIDO],LANÇ_MOV[RECEITA OU DESPESA],"Despesa",LANÇ_MOV[CONTAS],$C1222,LANÇ_MOV[PLANO DE CONTAS],REL_DRE_FINANCEIRO!$B$1164,LANÇ_MOV[ANO PAGAMENTO],$B$4,LANÇ_MOV[MÊS PAGAMENTO CORRESPONDENTE],F$6,LANÇ_MOV[EMPRESA],$C$4,LANÇ_MOV[CENTRO DE CUSTOS],$D$4)</f>
        <v>0</v>
      </c>
      <c r="G1222" s="206">
        <f>SUMIFS(LANÇ_MOV[VALOR LÍQUIDO],LANÇ_MOV[RECEITA OU DESPESA],"Despesa",LANÇ_MOV[CONTAS],$C1222,LANÇ_MOV[PLANO DE CONTAS],REL_DRE_FINANCEIRO!$B$1164,LANÇ_MOV[ANO PAGAMENTO],$B$4,LANÇ_MOV[MÊS PAGAMENTO CORRESPONDENTE],G$6,LANÇ_MOV[EMPRESA],$C$4,LANÇ_MOV[CENTRO DE CUSTOS],$D$4)</f>
        <v>0</v>
      </c>
      <c r="H1222" s="206">
        <f>SUMIFS(LANÇ_MOV[VALOR LÍQUIDO],LANÇ_MOV[RECEITA OU DESPESA],"Despesa",LANÇ_MOV[CONTAS],$C1222,LANÇ_MOV[PLANO DE CONTAS],REL_DRE_FINANCEIRO!$B$1164,LANÇ_MOV[ANO PAGAMENTO],$B$4,LANÇ_MOV[MÊS PAGAMENTO CORRESPONDENTE],H$6,LANÇ_MOV[EMPRESA],$C$4,LANÇ_MOV[CENTRO DE CUSTOS],$D$4)</f>
        <v>0</v>
      </c>
      <c r="I1222" s="206">
        <f>SUMIFS(LANÇ_MOV[VALOR LÍQUIDO],LANÇ_MOV[RECEITA OU DESPESA],"Despesa",LANÇ_MOV[CONTAS],$C1222,LANÇ_MOV[PLANO DE CONTAS],REL_DRE_FINANCEIRO!$B$1164,LANÇ_MOV[ANO PAGAMENTO],$B$4,LANÇ_MOV[MÊS PAGAMENTO CORRESPONDENTE],I$6,LANÇ_MOV[EMPRESA],$C$4,LANÇ_MOV[CENTRO DE CUSTOS],$D$4)</f>
        <v>0</v>
      </c>
      <c r="J1222" s="206">
        <f>SUMIFS(LANÇ_MOV[VALOR LÍQUIDO],LANÇ_MOV[RECEITA OU DESPESA],"Despesa",LANÇ_MOV[CONTAS],$C1222,LANÇ_MOV[PLANO DE CONTAS],REL_DRE_FINANCEIRO!$B$1164,LANÇ_MOV[ANO PAGAMENTO],$B$4,LANÇ_MOV[MÊS PAGAMENTO CORRESPONDENTE],J$6,LANÇ_MOV[EMPRESA],$C$4,LANÇ_MOV[CENTRO DE CUSTOS],$D$4)</f>
        <v>0</v>
      </c>
      <c r="K1222" s="206">
        <f>SUMIFS(LANÇ_MOV[VALOR LÍQUIDO],LANÇ_MOV[RECEITA OU DESPESA],"Despesa",LANÇ_MOV[CONTAS],$C1222,LANÇ_MOV[PLANO DE CONTAS],REL_DRE_FINANCEIRO!$B$1164,LANÇ_MOV[ANO PAGAMENTO],$B$4,LANÇ_MOV[MÊS PAGAMENTO CORRESPONDENTE],K$6,LANÇ_MOV[EMPRESA],$C$4,LANÇ_MOV[CENTRO DE CUSTOS],$D$4)</f>
        <v>0</v>
      </c>
      <c r="L1222" s="206">
        <f>SUMIFS(LANÇ_MOV[VALOR LÍQUIDO],LANÇ_MOV[RECEITA OU DESPESA],"Despesa",LANÇ_MOV[CONTAS],$C1222,LANÇ_MOV[PLANO DE CONTAS],REL_DRE_FINANCEIRO!$B$1164,LANÇ_MOV[ANO PAGAMENTO],$B$4,LANÇ_MOV[MÊS PAGAMENTO CORRESPONDENTE],L$6,LANÇ_MOV[EMPRESA],$C$4,LANÇ_MOV[CENTRO DE CUSTOS],$D$4)</f>
        <v>0</v>
      </c>
      <c r="M1222" s="206">
        <f>SUMIFS(LANÇ_MOV[VALOR LÍQUIDO],LANÇ_MOV[RECEITA OU DESPESA],"Despesa",LANÇ_MOV[CONTAS],$C1222,LANÇ_MOV[PLANO DE CONTAS],REL_DRE_FINANCEIRO!$B$1164,LANÇ_MOV[ANO PAGAMENTO],$B$4,LANÇ_MOV[MÊS PAGAMENTO CORRESPONDENTE],M$6,LANÇ_MOV[EMPRESA],$C$4,LANÇ_MOV[CENTRO DE CUSTOS],$D$4)</f>
        <v>0</v>
      </c>
      <c r="N1222" s="206">
        <f>SUMIFS(LANÇ_MOV[VALOR LÍQUIDO],LANÇ_MOV[RECEITA OU DESPESA],"Despesa",LANÇ_MOV[CONTAS],$C1222,LANÇ_MOV[PLANO DE CONTAS],REL_DRE_FINANCEIRO!$B$1164,LANÇ_MOV[ANO PAGAMENTO],$B$4,LANÇ_MOV[MÊS PAGAMENTO CORRESPONDENTE],N$6,LANÇ_MOV[EMPRESA],$C$4,LANÇ_MOV[CENTRO DE CUSTOS],$D$4)</f>
        <v>0</v>
      </c>
      <c r="O1222" s="206">
        <f>SUMIFS(LANÇ_MOV[VALOR LÍQUIDO],LANÇ_MOV[RECEITA OU DESPESA],"Despesa",LANÇ_MOV[CONTAS],$C1222,LANÇ_MOV[PLANO DE CONTAS],REL_DRE_FINANCEIRO!$B$1164,LANÇ_MOV[ANO PAGAMENTO],$B$4,LANÇ_MOV[MÊS PAGAMENTO CORRESPONDENTE],O$6,LANÇ_MOV[EMPRESA],$C$4,LANÇ_MOV[CENTRO DE CUSTOS],$D$4)</f>
        <v>0</v>
      </c>
      <c r="P1222" s="207">
        <f t="shared" si="145"/>
        <v>0</v>
      </c>
      <c r="Q1222" s="329">
        <v>4.3000000000000003E-6</v>
      </c>
      <c r="R1222" s="346">
        <f t="shared" si="146"/>
        <v>4.3000000000000003E-6</v>
      </c>
      <c r="S1222" s="347" t="str">
        <f t="shared" si="147"/>
        <v>-</v>
      </c>
      <c r="T1222" s="347">
        <f t="shared" si="148"/>
        <v>0</v>
      </c>
      <c r="U1222" s="347">
        <f>HLOOKUP(Apoio!$P$12,$D$1163:$P$1264,X1222,FALSE)+Q1222</f>
        <v>4.3000000000000003E-6</v>
      </c>
      <c r="V1222" s="447" t="str">
        <f t="shared" si="149"/>
        <v>-</v>
      </c>
      <c r="W1222" s="448">
        <f>HLOOKUP(Apoio!$P$12,$D$1163:$P$1264,X1222,FALSE)</f>
        <v>0</v>
      </c>
      <c r="X1222" s="329">
        <v>60</v>
      </c>
    </row>
    <row r="1223" spans="2:24" ht="30.05" customHeight="1" x14ac:dyDescent="0.35">
      <c r="B1223" s="204" t="str">
        <f>'CAD_PL_REC-DESP'!AI63</f>
        <v>2.9.59</v>
      </c>
      <c r="C1223" s="205" t="str">
        <f>IF('CAD_PL_REC-DESP'!AJ63="","-",'CAD_PL_REC-DESP'!AJ63)</f>
        <v>-</v>
      </c>
      <c r="D1223" s="206">
        <f>SUMIFS(LANÇ_MOV[VALOR LÍQUIDO],LANÇ_MOV[RECEITA OU DESPESA],"Despesa",LANÇ_MOV[CONTAS],$C1223,LANÇ_MOV[PLANO DE CONTAS],REL_DRE_FINANCEIRO!$B$1164,LANÇ_MOV[ANO PAGAMENTO],$B$4,LANÇ_MOV[MÊS PAGAMENTO CORRESPONDENTE],D$6,LANÇ_MOV[EMPRESA],$C$4,LANÇ_MOV[CENTRO DE CUSTOS],$D$4)</f>
        <v>0</v>
      </c>
      <c r="E1223" s="206">
        <f>SUMIFS(LANÇ_MOV[VALOR LÍQUIDO],LANÇ_MOV[RECEITA OU DESPESA],"Despesa",LANÇ_MOV[CONTAS],$C1223,LANÇ_MOV[PLANO DE CONTAS],REL_DRE_FINANCEIRO!$B$1164,LANÇ_MOV[ANO PAGAMENTO],$B$4,LANÇ_MOV[MÊS PAGAMENTO CORRESPONDENTE],E$6,LANÇ_MOV[EMPRESA],$C$4,LANÇ_MOV[CENTRO DE CUSTOS],$D$4)</f>
        <v>0</v>
      </c>
      <c r="F1223" s="206">
        <f>SUMIFS(LANÇ_MOV[VALOR LÍQUIDO],LANÇ_MOV[RECEITA OU DESPESA],"Despesa",LANÇ_MOV[CONTAS],$C1223,LANÇ_MOV[PLANO DE CONTAS],REL_DRE_FINANCEIRO!$B$1164,LANÇ_MOV[ANO PAGAMENTO],$B$4,LANÇ_MOV[MÊS PAGAMENTO CORRESPONDENTE],F$6,LANÇ_MOV[EMPRESA],$C$4,LANÇ_MOV[CENTRO DE CUSTOS],$D$4)</f>
        <v>0</v>
      </c>
      <c r="G1223" s="206">
        <f>SUMIFS(LANÇ_MOV[VALOR LÍQUIDO],LANÇ_MOV[RECEITA OU DESPESA],"Despesa",LANÇ_MOV[CONTAS],$C1223,LANÇ_MOV[PLANO DE CONTAS],REL_DRE_FINANCEIRO!$B$1164,LANÇ_MOV[ANO PAGAMENTO],$B$4,LANÇ_MOV[MÊS PAGAMENTO CORRESPONDENTE],G$6,LANÇ_MOV[EMPRESA],$C$4,LANÇ_MOV[CENTRO DE CUSTOS],$D$4)</f>
        <v>0</v>
      </c>
      <c r="H1223" s="206">
        <f>SUMIFS(LANÇ_MOV[VALOR LÍQUIDO],LANÇ_MOV[RECEITA OU DESPESA],"Despesa",LANÇ_MOV[CONTAS],$C1223,LANÇ_MOV[PLANO DE CONTAS],REL_DRE_FINANCEIRO!$B$1164,LANÇ_MOV[ANO PAGAMENTO],$B$4,LANÇ_MOV[MÊS PAGAMENTO CORRESPONDENTE],H$6,LANÇ_MOV[EMPRESA],$C$4,LANÇ_MOV[CENTRO DE CUSTOS],$D$4)</f>
        <v>0</v>
      </c>
      <c r="I1223" s="206">
        <f>SUMIFS(LANÇ_MOV[VALOR LÍQUIDO],LANÇ_MOV[RECEITA OU DESPESA],"Despesa",LANÇ_MOV[CONTAS],$C1223,LANÇ_MOV[PLANO DE CONTAS],REL_DRE_FINANCEIRO!$B$1164,LANÇ_MOV[ANO PAGAMENTO],$B$4,LANÇ_MOV[MÊS PAGAMENTO CORRESPONDENTE],I$6,LANÇ_MOV[EMPRESA],$C$4,LANÇ_MOV[CENTRO DE CUSTOS],$D$4)</f>
        <v>0</v>
      </c>
      <c r="J1223" s="206">
        <f>SUMIFS(LANÇ_MOV[VALOR LÍQUIDO],LANÇ_MOV[RECEITA OU DESPESA],"Despesa",LANÇ_MOV[CONTAS],$C1223,LANÇ_MOV[PLANO DE CONTAS],REL_DRE_FINANCEIRO!$B$1164,LANÇ_MOV[ANO PAGAMENTO],$B$4,LANÇ_MOV[MÊS PAGAMENTO CORRESPONDENTE],J$6,LANÇ_MOV[EMPRESA],$C$4,LANÇ_MOV[CENTRO DE CUSTOS],$D$4)</f>
        <v>0</v>
      </c>
      <c r="K1223" s="206">
        <f>SUMIFS(LANÇ_MOV[VALOR LÍQUIDO],LANÇ_MOV[RECEITA OU DESPESA],"Despesa",LANÇ_MOV[CONTAS],$C1223,LANÇ_MOV[PLANO DE CONTAS],REL_DRE_FINANCEIRO!$B$1164,LANÇ_MOV[ANO PAGAMENTO],$B$4,LANÇ_MOV[MÊS PAGAMENTO CORRESPONDENTE],K$6,LANÇ_MOV[EMPRESA],$C$4,LANÇ_MOV[CENTRO DE CUSTOS],$D$4)</f>
        <v>0</v>
      </c>
      <c r="L1223" s="206">
        <f>SUMIFS(LANÇ_MOV[VALOR LÍQUIDO],LANÇ_MOV[RECEITA OU DESPESA],"Despesa",LANÇ_MOV[CONTAS],$C1223,LANÇ_MOV[PLANO DE CONTAS],REL_DRE_FINANCEIRO!$B$1164,LANÇ_MOV[ANO PAGAMENTO],$B$4,LANÇ_MOV[MÊS PAGAMENTO CORRESPONDENTE],L$6,LANÇ_MOV[EMPRESA],$C$4,LANÇ_MOV[CENTRO DE CUSTOS],$D$4)</f>
        <v>0</v>
      </c>
      <c r="M1223" s="206">
        <f>SUMIFS(LANÇ_MOV[VALOR LÍQUIDO],LANÇ_MOV[RECEITA OU DESPESA],"Despesa",LANÇ_MOV[CONTAS],$C1223,LANÇ_MOV[PLANO DE CONTAS],REL_DRE_FINANCEIRO!$B$1164,LANÇ_MOV[ANO PAGAMENTO],$B$4,LANÇ_MOV[MÊS PAGAMENTO CORRESPONDENTE],M$6,LANÇ_MOV[EMPRESA],$C$4,LANÇ_MOV[CENTRO DE CUSTOS],$D$4)</f>
        <v>0</v>
      </c>
      <c r="N1223" s="206">
        <f>SUMIFS(LANÇ_MOV[VALOR LÍQUIDO],LANÇ_MOV[RECEITA OU DESPESA],"Despesa",LANÇ_MOV[CONTAS],$C1223,LANÇ_MOV[PLANO DE CONTAS],REL_DRE_FINANCEIRO!$B$1164,LANÇ_MOV[ANO PAGAMENTO],$B$4,LANÇ_MOV[MÊS PAGAMENTO CORRESPONDENTE],N$6,LANÇ_MOV[EMPRESA],$C$4,LANÇ_MOV[CENTRO DE CUSTOS],$D$4)</f>
        <v>0</v>
      </c>
      <c r="O1223" s="206">
        <f>SUMIFS(LANÇ_MOV[VALOR LÍQUIDO],LANÇ_MOV[RECEITA OU DESPESA],"Despesa",LANÇ_MOV[CONTAS],$C1223,LANÇ_MOV[PLANO DE CONTAS],REL_DRE_FINANCEIRO!$B$1164,LANÇ_MOV[ANO PAGAMENTO],$B$4,LANÇ_MOV[MÊS PAGAMENTO CORRESPONDENTE],O$6,LANÇ_MOV[EMPRESA],$C$4,LANÇ_MOV[CENTRO DE CUSTOS],$D$4)</f>
        <v>0</v>
      </c>
      <c r="P1223" s="207">
        <f t="shared" si="145"/>
        <v>0</v>
      </c>
      <c r="Q1223" s="329">
        <v>4.1999999999999996E-6</v>
      </c>
      <c r="R1223" s="346">
        <f t="shared" si="146"/>
        <v>4.1999999999999996E-6</v>
      </c>
      <c r="S1223" s="347" t="str">
        <f t="shared" si="147"/>
        <v>-</v>
      </c>
      <c r="T1223" s="347">
        <f t="shared" si="148"/>
        <v>0</v>
      </c>
      <c r="U1223" s="347">
        <f>HLOOKUP(Apoio!$P$12,$D$1163:$P$1264,X1223,FALSE)+Q1223</f>
        <v>4.1999999999999996E-6</v>
      </c>
      <c r="V1223" s="447" t="str">
        <f t="shared" si="149"/>
        <v>-</v>
      </c>
      <c r="W1223" s="448">
        <f>HLOOKUP(Apoio!$P$12,$D$1163:$P$1264,X1223,FALSE)</f>
        <v>0</v>
      </c>
      <c r="X1223" s="329">
        <v>61</v>
      </c>
    </row>
    <row r="1224" spans="2:24" ht="30.05" customHeight="1" x14ac:dyDescent="0.35">
      <c r="B1224" s="204" t="str">
        <f>'CAD_PL_REC-DESP'!AI64</f>
        <v>2.9.60</v>
      </c>
      <c r="C1224" s="205" t="str">
        <f>IF('CAD_PL_REC-DESP'!AJ64="","-",'CAD_PL_REC-DESP'!AJ64)</f>
        <v>-</v>
      </c>
      <c r="D1224" s="206">
        <f>SUMIFS(LANÇ_MOV[VALOR LÍQUIDO],LANÇ_MOV[RECEITA OU DESPESA],"Despesa",LANÇ_MOV[CONTAS],$C1224,LANÇ_MOV[PLANO DE CONTAS],REL_DRE_FINANCEIRO!$B$1164,LANÇ_MOV[ANO PAGAMENTO],$B$4,LANÇ_MOV[MÊS PAGAMENTO CORRESPONDENTE],D$6,LANÇ_MOV[EMPRESA],$C$4,LANÇ_MOV[CENTRO DE CUSTOS],$D$4)</f>
        <v>0</v>
      </c>
      <c r="E1224" s="206">
        <f>SUMIFS(LANÇ_MOV[VALOR LÍQUIDO],LANÇ_MOV[RECEITA OU DESPESA],"Despesa",LANÇ_MOV[CONTAS],$C1224,LANÇ_MOV[PLANO DE CONTAS],REL_DRE_FINANCEIRO!$B$1164,LANÇ_MOV[ANO PAGAMENTO],$B$4,LANÇ_MOV[MÊS PAGAMENTO CORRESPONDENTE],E$6,LANÇ_MOV[EMPRESA],$C$4,LANÇ_MOV[CENTRO DE CUSTOS],$D$4)</f>
        <v>0</v>
      </c>
      <c r="F1224" s="206">
        <f>SUMIFS(LANÇ_MOV[VALOR LÍQUIDO],LANÇ_MOV[RECEITA OU DESPESA],"Despesa",LANÇ_MOV[CONTAS],$C1224,LANÇ_MOV[PLANO DE CONTAS],REL_DRE_FINANCEIRO!$B$1164,LANÇ_MOV[ANO PAGAMENTO],$B$4,LANÇ_MOV[MÊS PAGAMENTO CORRESPONDENTE],F$6,LANÇ_MOV[EMPRESA],$C$4,LANÇ_MOV[CENTRO DE CUSTOS],$D$4)</f>
        <v>0</v>
      </c>
      <c r="G1224" s="206">
        <f>SUMIFS(LANÇ_MOV[VALOR LÍQUIDO],LANÇ_MOV[RECEITA OU DESPESA],"Despesa",LANÇ_MOV[CONTAS],$C1224,LANÇ_MOV[PLANO DE CONTAS],REL_DRE_FINANCEIRO!$B$1164,LANÇ_MOV[ANO PAGAMENTO],$B$4,LANÇ_MOV[MÊS PAGAMENTO CORRESPONDENTE],G$6,LANÇ_MOV[EMPRESA],$C$4,LANÇ_MOV[CENTRO DE CUSTOS],$D$4)</f>
        <v>0</v>
      </c>
      <c r="H1224" s="206">
        <f>SUMIFS(LANÇ_MOV[VALOR LÍQUIDO],LANÇ_MOV[RECEITA OU DESPESA],"Despesa",LANÇ_MOV[CONTAS],$C1224,LANÇ_MOV[PLANO DE CONTAS],REL_DRE_FINANCEIRO!$B$1164,LANÇ_MOV[ANO PAGAMENTO],$B$4,LANÇ_MOV[MÊS PAGAMENTO CORRESPONDENTE],H$6,LANÇ_MOV[EMPRESA],$C$4,LANÇ_MOV[CENTRO DE CUSTOS],$D$4)</f>
        <v>0</v>
      </c>
      <c r="I1224" s="206">
        <f>SUMIFS(LANÇ_MOV[VALOR LÍQUIDO],LANÇ_MOV[RECEITA OU DESPESA],"Despesa",LANÇ_MOV[CONTAS],$C1224,LANÇ_MOV[PLANO DE CONTAS],REL_DRE_FINANCEIRO!$B$1164,LANÇ_MOV[ANO PAGAMENTO],$B$4,LANÇ_MOV[MÊS PAGAMENTO CORRESPONDENTE],I$6,LANÇ_MOV[EMPRESA],$C$4,LANÇ_MOV[CENTRO DE CUSTOS],$D$4)</f>
        <v>0</v>
      </c>
      <c r="J1224" s="206">
        <f>SUMIFS(LANÇ_MOV[VALOR LÍQUIDO],LANÇ_MOV[RECEITA OU DESPESA],"Despesa",LANÇ_MOV[CONTAS],$C1224,LANÇ_MOV[PLANO DE CONTAS],REL_DRE_FINANCEIRO!$B$1164,LANÇ_MOV[ANO PAGAMENTO],$B$4,LANÇ_MOV[MÊS PAGAMENTO CORRESPONDENTE],J$6,LANÇ_MOV[EMPRESA],$C$4,LANÇ_MOV[CENTRO DE CUSTOS],$D$4)</f>
        <v>0</v>
      </c>
      <c r="K1224" s="206">
        <f>SUMIFS(LANÇ_MOV[VALOR LÍQUIDO],LANÇ_MOV[RECEITA OU DESPESA],"Despesa",LANÇ_MOV[CONTAS],$C1224,LANÇ_MOV[PLANO DE CONTAS],REL_DRE_FINANCEIRO!$B$1164,LANÇ_MOV[ANO PAGAMENTO],$B$4,LANÇ_MOV[MÊS PAGAMENTO CORRESPONDENTE],K$6,LANÇ_MOV[EMPRESA],$C$4,LANÇ_MOV[CENTRO DE CUSTOS],$D$4)</f>
        <v>0</v>
      </c>
      <c r="L1224" s="206">
        <f>SUMIFS(LANÇ_MOV[VALOR LÍQUIDO],LANÇ_MOV[RECEITA OU DESPESA],"Despesa",LANÇ_MOV[CONTAS],$C1224,LANÇ_MOV[PLANO DE CONTAS],REL_DRE_FINANCEIRO!$B$1164,LANÇ_MOV[ANO PAGAMENTO],$B$4,LANÇ_MOV[MÊS PAGAMENTO CORRESPONDENTE],L$6,LANÇ_MOV[EMPRESA],$C$4,LANÇ_MOV[CENTRO DE CUSTOS],$D$4)</f>
        <v>0</v>
      </c>
      <c r="M1224" s="206">
        <f>SUMIFS(LANÇ_MOV[VALOR LÍQUIDO],LANÇ_MOV[RECEITA OU DESPESA],"Despesa",LANÇ_MOV[CONTAS],$C1224,LANÇ_MOV[PLANO DE CONTAS],REL_DRE_FINANCEIRO!$B$1164,LANÇ_MOV[ANO PAGAMENTO],$B$4,LANÇ_MOV[MÊS PAGAMENTO CORRESPONDENTE],M$6,LANÇ_MOV[EMPRESA],$C$4,LANÇ_MOV[CENTRO DE CUSTOS],$D$4)</f>
        <v>0</v>
      </c>
      <c r="N1224" s="206">
        <f>SUMIFS(LANÇ_MOV[VALOR LÍQUIDO],LANÇ_MOV[RECEITA OU DESPESA],"Despesa",LANÇ_MOV[CONTAS],$C1224,LANÇ_MOV[PLANO DE CONTAS],REL_DRE_FINANCEIRO!$B$1164,LANÇ_MOV[ANO PAGAMENTO],$B$4,LANÇ_MOV[MÊS PAGAMENTO CORRESPONDENTE],N$6,LANÇ_MOV[EMPRESA],$C$4,LANÇ_MOV[CENTRO DE CUSTOS],$D$4)</f>
        <v>0</v>
      </c>
      <c r="O1224" s="206">
        <f>SUMIFS(LANÇ_MOV[VALOR LÍQUIDO],LANÇ_MOV[RECEITA OU DESPESA],"Despesa",LANÇ_MOV[CONTAS],$C1224,LANÇ_MOV[PLANO DE CONTAS],REL_DRE_FINANCEIRO!$B$1164,LANÇ_MOV[ANO PAGAMENTO],$B$4,LANÇ_MOV[MÊS PAGAMENTO CORRESPONDENTE],O$6,LANÇ_MOV[EMPRESA],$C$4,LANÇ_MOV[CENTRO DE CUSTOS],$D$4)</f>
        <v>0</v>
      </c>
      <c r="P1224" s="207">
        <f t="shared" si="145"/>
        <v>0</v>
      </c>
      <c r="Q1224" s="329">
        <v>4.0999999999999997E-6</v>
      </c>
      <c r="R1224" s="346">
        <f t="shared" si="146"/>
        <v>4.0999999999999997E-6</v>
      </c>
      <c r="S1224" s="347" t="str">
        <f t="shared" si="147"/>
        <v>-</v>
      </c>
      <c r="T1224" s="347">
        <f t="shared" si="148"/>
        <v>0</v>
      </c>
      <c r="U1224" s="347">
        <f>HLOOKUP(Apoio!$P$12,$D$1163:$P$1264,X1224,FALSE)+Q1224</f>
        <v>4.0999999999999997E-6</v>
      </c>
      <c r="V1224" s="447" t="str">
        <f t="shared" si="149"/>
        <v>-</v>
      </c>
      <c r="W1224" s="448">
        <f>HLOOKUP(Apoio!$P$12,$D$1163:$P$1264,X1224,FALSE)</f>
        <v>0</v>
      </c>
      <c r="X1224" s="329">
        <v>62</v>
      </c>
    </row>
    <row r="1225" spans="2:24" ht="30.05" customHeight="1" x14ac:dyDescent="0.35">
      <c r="B1225" s="204" t="str">
        <f>'CAD_PL_REC-DESP'!AI65</f>
        <v>2.9.61</v>
      </c>
      <c r="C1225" s="205" t="str">
        <f>IF('CAD_PL_REC-DESP'!AJ65="","-",'CAD_PL_REC-DESP'!AJ65)</f>
        <v>-</v>
      </c>
      <c r="D1225" s="206">
        <f>SUMIFS(LANÇ_MOV[VALOR LÍQUIDO],LANÇ_MOV[RECEITA OU DESPESA],"Despesa",LANÇ_MOV[CONTAS],$C1225,LANÇ_MOV[PLANO DE CONTAS],REL_DRE_FINANCEIRO!$B$1164,LANÇ_MOV[ANO PAGAMENTO],$B$4,LANÇ_MOV[MÊS PAGAMENTO CORRESPONDENTE],D$6,LANÇ_MOV[EMPRESA],$C$4,LANÇ_MOV[CENTRO DE CUSTOS],$D$4)</f>
        <v>0</v>
      </c>
      <c r="E1225" s="206">
        <f>SUMIFS(LANÇ_MOV[VALOR LÍQUIDO],LANÇ_MOV[RECEITA OU DESPESA],"Despesa",LANÇ_MOV[CONTAS],$C1225,LANÇ_MOV[PLANO DE CONTAS],REL_DRE_FINANCEIRO!$B$1164,LANÇ_MOV[ANO PAGAMENTO],$B$4,LANÇ_MOV[MÊS PAGAMENTO CORRESPONDENTE],E$6,LANÇ_MOV[EMPRESA],$C$4,LANÇ_MOV[CENTRO DE CUSTOS],$D$4)</f>
        <v>0</v>
      </c>
      <c r="F1225" s="206">
        <f>SUMIFS(LANÇ_MOV[VALOR LÍQUIDO],LANÇ_MOV[RECEITA OU DESPESA],"Despesa",LANÇ_MOV[CONTAS],$C1225,LANÇ_MOV[PLANO DE CONTAS],REL_DRE_FINANCEIRO!$B$1164,LANÇ_MOV[ANO PAGAMENTO],$B$4,LANÇ_MOV[MÊS PAGAMENTO CORRESPONDENTE],F$6,LANÇ_MOV[EMPRESA],$C$4,LANÇ_MOV[CENTRO DE CUSTOS],$D$4)</f>
        <v>0</v>
      </c>
      <c r="G1225" s="206">
        <f>SUMIFS(LANÇ_MOV[VALOR LÍQUIDO],LANÇ_MOV[RECEITA OU DESPESA],"Despesa",LANÇ_MOV[CONTAS],$C1225,LANÇ_MOV[PLANO DE CONTAS],REL_DRE_FINANCEIRO!$B$1164,LANÇ_MOV[ANO PAGAMENTO],$B$4,LANÇ_MOV[MÊS PAGAMENTO CORRESPONDENTE],G$6,LANÇ_MOV[EMPRESA],$C$4,LANÇ_MOV[CENTRO DE CUSTOS],$D$4)</f>
        <v>0</v>
      </c>
      <c r="H1225" s="206">
        <f>SUMIFS(LANÇ_MOV[VALOR LÍQUIDO],LANÇ_MOV[RECEITA OU DESPESA],"Despesa",LANÇ_MOV[CONTAS],$C1225,LANÇ_MOV[PLANO DE CONTAS],REL_DRE_FINANCEIRO!$B$1164,LANÇ_MOV[ANO PAGAMENTO],$B$4,LANÇ_MOV[MÊS PAGAMENTO CORRESPONDENTE],H$6,LANÇ_MOV[EMPRESA],$C$4,LANÇ_MOV[CENTRO DE CUSTOS],$D$4)</f>
        <v>0</v>
      </c>
      <c r="I1225" s="206">
        <f>SUMIFS(LANÇ_MOV[VALOR LÍQUIDO],LANÇ_MOV[RECEITA OU DESPESA],"Despesa",LANÇ_MOV[CONTAS],$C1225,LANÇ_MOV[PLANO DE CONTAS],REL_DRE_FINANCEIRO!$B$1164,LANÇ_MOV[ANO PAGAMENTO],$B$4,LANÇ_MOV[MÊS PAGAMENTO CORRESPONDENTE],I$6,LANÇ_MOV[EMPRESA],$C$4,LANÇ_MOV[CENTRO DE CUSTOS],$D$4)</f>
        <v>0</v>
      </c>
      <c r="J1225" s="206">
        <f>SUMIFS(LANÇ_MOV[VALOR LÍQUIDO],LANÇ_MOV[RECEITA OU DESPESA],"Despesa",LANÇ_MOV[CONTAS],$C1225,LANÇ_MOV[PLANO DE CONTAS],REL_DRE_FINANCEIRO!$B$1164,LANÇ_MOV[ANO PAGAMENTO],$B$4,LANÇ_MOV[MÊS PAGAMENTO CORRESPONDENTE],J$6,LANÇ_MOV[EMPRESA],$C$4,LANÇ_MOV[CENTRO DE CUSTOS],$D$4)</f>
        <v>0</v>
      </c>
      <c r="K1225" s="206">
        <f>SUMIFS(LANÇ_MOV[VALOR LÍQUIDO],LANÇ_MOV[RECEITA OU DESPESA],"Despesa",LANÇ_MOV[CONTAS],$C1225,LANÇ_MOV[PLANO DE CONTAS],REL_DRE_FINANCEIRO!$B$1164,LANÇ_MOV[ANO PAGAMENTO],$B$4,LANÇ_MOV[MÊS PAGAMENTO CORRESPONDENTE],K$6,LANÇ_MOV[EMPRESA],$C$4,LANÇ_MOV[CENTRO DE CUSTOS],$D$4)</f>
        <v>0</v>
      </c>
      <c r="L1225" s="206">
        <f>SUMIFS(LANÇ_MOV[VALOR LÍQUIDO],LANÇ_MOV[RECEITA OU DESPESA],"Despesa",LANÇ_MOV[CONTAS],$C1225,LANÇ_MOV[PLANO DE CONTAS],REL_DRE_FINANCEIRO!$B$1164,LANÇ_MOV[ANO PAGAMENTO],$B$4,LANÇ_MOV[MÊS PAGAMENTO CORRESPONDENTE],L$6,LANÇ_MOV[EMPRESA],$C$4,LANÇ_MOV[CENTRO DE CUSTOS],$D$4)</f>
        <v>0</v>
      </c>
      <c r="M1225" s="206">
        <f>SUMIFS(LANÇ_MOV[VALOR LÍQUIDO],LANÇ_MOV[RECEITA OU DESPESA],"Despesa",LANÇ_MOV[CONTAS],$C1225,LANÇ_MOV[PLANO DE CONTAS],REL_DRE_FINANCEIRO!$B$1164,LANÇ_MOV[ANO PAGAMENTO],$B$4,LANÇ_MOV[MÊS PAGAMENTO CORRESPONDENTE],M$6,LANÇ_MOV[EMPRESA],$C$4,LANÇ_MOV[CENTRO DE CUSTOS],$D$4)</f>
        <v>0</v>
      </c>
      <c r="N1225" s="206">
        <f>SUMIFS(LANÇ_MOV[VALOR LÍQUIDO],LANÇ_MOV[RECEITA OU DESPESA],"Despesa",LANÇ_MOV[CONTAS],$C1225,LANÇ_MOV[PLANO DE CONTAS],REL_DRE_FINANCEIRO!$B$1164,LANÇ_MOV[ANO PAGAMENTO],$B$4,LANÇ_MOV[MÊS PAGAMENTO CORRESPONDENTE],N$6,LANÇ_MOV[EMPRESA],$C$4,LANÇ_MOV[CENTRO DE CUSTOS],$D$4)</f>
        <v>0</v>
      </c>
      <c r="O1225" s="206">
        <f>SUMIFS(LANÇ_MOV[VALOR LÍQUIDO],LANÇ_MOV[RECEITA OU DESPESA],"Despesa",LANÇ_MOV[CONTAS],$C1225,LANÇ_MOV[PLANO DE CONTAS],REL_DRE_FINANCEIRO!$B$1164,LANÇ_MOV[ANO PAGAMENTO],$B$4,LANÇ_MOV[MÊS PAGAMENTO CORRESPONDENTE],O$6,LANÇ_MOV[EMPRESA],$C$4,LANÇ_MOV[CENTRO DE CUSTOS],$D$4)</f>
        <v>0</v>
      </c>
      <c r="P1225" s="207">
        <f t="shared" si="145"/>
        <v>0</v>
      </c>
      <c r="Q1225" s="329">
        <v>3.9999999999999998E-6</v>
      </c>
      <c r="R1225" s="346">
        <f t="shared" si="146"/>
        <v>3.9999999999999998E-6</v>
      </c>
      <c r="S1225" s="347" t="str">
        <f t="shared" si="147"/>
        <v>-</v>
      </c>
      <c r="T1225" s="347">
        <f t="shared" si="148"/>
        <v>0</v>
      </c>
      <c r="U1225" s="347">
        <f>HLOOKUP(Apoio!$P$12,$D$1163:$P$1264,X1225,FALSE)+Q1225</f>
        <v>3.9999999999999998E-6</v>
      </c>
      <c r="V1225" s="447" t="str">
        <f t="shared" si="149"/>
        <v>-</v>
      </c>
      <c r="W1225" s="448">
        <f>HLOOKUP(Apoio!$P$12,$D$1163:$P$1264,X1225,FALSE)</f>
        <v>0</v>
      </c>
      <c r="X1225" s="329">
        <v>63</v>
      </c>
    </row>
    <row r="1226" spans="2:24" ht="30.05" customHeight="1" x14ac:dyDescent="0.35">
      <c r="B1226" s="204" t="str">
        <f>'CAD_PL_REC-DESP'!AI66</f>
        <v>2.9.62</v>
      </c>
      <c r="C1226" s="205" t="str">
        <f>IF('CAD_PL_REC-DESP'!AJ66="","-",'CAD_PL_REC-DESP'!AJ66)</f>
        <v>-</v>
      </c>
      <c r="D1226" s="206">
        <f>SUMIFS(LANÇ_MOV[VALOR LÍQUIDO],LANÇ_MOV[RECEITA OU DESPESA],"Despesa",LANÇ_MOV[CONTAS],$C1226,LANÇ_MOV[PLANO DE CONTAS],REL_DRE_FINANCEIRO!$B$1164,LANÇ_MOV[ANO PAGAMENTO],$B$4,LANÇ_MOV[MÊS PAGAMENTO CORRESPONDENTE],D$6,LANÇ_MOV[EMPRESA],$C$4,LANÇ_MOV[CENTRO DE CUSTOS],$D$4)</f>
        <v>0</v>
      </c>
      <c r="E1226" s="206">
        <f>SUMIFS(LANÇ_MOV[VALOR LÍQUIDO],LANÇ_MOV[RECEITA OU DESPESA],"Despesa",LANÇ_MOV[CONTAS],$C1226,LANÇ_MOV[PLANO DE CONTAS],REL_DRE_FINANCEIRO!$B$1164,LANÇ_MOV[ANO PAGAMENTO],$B$4,LANÇ_MOV[MÊS PAGAMENTO CORRESPONDENTE],E$6,LANÇ_MOV[EMPRESA],$C$4,LANÇ_MOV[CENTRO DE CUSTOS],$D$4)</f>
        <v>0</v>
      </c>
      <c r="F1226" s="206">
        <f>SUMIFS(LANÇ_MOV[VALOR LÍQUIDO],LANÇ_MOV[RECEITA OU DESPESA],"Despesa",LANÇ_MOV[CONTAS],$C1226,LANÇ_MOV[PLANO DE CONTAS],REL_DRE_FINANCEIRO!$B$1164,LANÇ_MOV[ANO PAGAMENTO],$B$4,LANÇ_MOV[MÊS PAGAMENTO CORRESPONDENTE],F$6,LANÇ_MOV[EMPRESA],$C$4,LANÇ_MOV[CENTRO DE CUSTOS],$D$4)</f>
        <v>0</v>
      </c>
      <c r="G1226" s="206">
        <f>SUMIFS(LANÇ_MOV[VALOR LÍQUIDO],LANÇ_MOV[RECEITA OU DESPESA],"Despesa",LANÇ_MOV[CONTAS],$C1226,LANÇ_MOV[PLANO DE CONTAS],REL_DRE_FINANCEIRO!$B$1164,LANÇ_MOV[ANO PAGAMENTO],$B$4,LANÇ_MOV[MÊS PAGAMENTO CORRESPONDENTE],G$6,LANÇ_MOV[EMPRESA],$C$4,LANÇ_MOV[CENTRO DE CUSTOS],$D$4)</f>
        <v>0</v>
      </c>
      <c r="H1226" s="206">
        <f>SUMIFS(LANÇ_MOV[VALOR LÍQUIDO],LANÇ_MOV[RECEITA OU DESPESA],"Despesa",LANÇ_MOV[CONTAS],$C1226,LANÇ_MOV[PLANO DE CONTAS],REL_DRE_FINANCEIRO!$B$1164,LANÇ_MOV[ANO PAGAMENTO],$B$4,LANÇ_MOV[MÊS PAGAMENTO CORRESPONDENTE],H$6,LANÇ_MOV[EMPRESA],$C$4,LANÇ_MOV[CENTRO DE CUSTOS],$D$4)</f>
        <v>0</v>
      </c>
      <c r="I1226" s="206">
        <f>SUMIFS(LANÇ_MOV[VALOR LÍQUIDO],LANÇ_MOV[RECEITA OU DESPESA],"Despesa",LANÇ_MOV[CONTAS],$C1226,LANÇ_MOV[PLANO DE CONTAS],REL_DRE_FINANCEIRO!$B$1164,LANÇ_MOV[ANO PAGAMENTO],$B$4,LANÇ_MOV[MÊS PAGAMENTO CORRESPONDENTE],I$6,LANÇ_MOV[EMPRESA],$C$4,LANÇ_MOV[CENTRO DE CUSTOS],$D$4)</f>
        <v>0</v>
      </c>
      <c r="J1226" s="206">
        <f>SUMIFS(LANÇ_MOV[VALOR LÍQUIDO],LANÇ_MOV[RECEITA OU DESPESA],"Despesa",LANÇ_MOV[CONTAS],$C1226,LANÇ_MOV[PLANO DE CONTAS],REL_DRE_FINANCEIRO!$B$1164,LANÇ_MOV[ANO PAGAMENTO],$B$4,LANÇ_MOV[MÊS PAGAMENTO CORRESPONDENTE],J$6,LANÇ_MOV[EMPRESA],$C$4,LANÇ_MOV[CENTRO DE CUSTOS],$D$4)</f>
        <v>0</v>
      </c>
      <c r="K1226" s="206">
        <f>SUMIFS(LANÇ_MOV[VALOR LÍQUIDO],LANÇ_MOV[RECEITA OU DESPESA],"Despesa",LANÇ_MOV[CONTAS],$C1226,LANÇ_MOV[PLANO DE CONTAS],REL_DRE_FINANCEIRO!$B$1164,LANÇ_MOV[ANO PAGAMENTO],$B$4,LANÇ_MOV[MÊS PAGAMENTO CORRESPONDENTE],K$6,LANÇ_MOV[EMPRESA],$C$4,LANÇ_MOV[CENTRO DE CUSTOS],$D$4)</f>
        <v>0</v>
      </c>
      <c r="L1226" s="206">
        <f>SUMIFS(LANÇ_MOV[VALOR LÍQUIDO],LANÇ_MOV[RECEITA OU DESPESA],"Despesa",LANÇ_MOV[CONTAS],$C1226,LANÇ_MOV[PLANO DE CONTAS],REL_DRE_FINANCEIRO!$B$1164,LANÇ_MOV[ANO PAGAMENTO],$B$4,LANÇ_MOV[MÊS PAGAMENTO CORRESPONDENTE],L$6,LANÇ_MOV[EMPRESA],$C$4,LANÇ_MOV[CENTRO DE CUSTOS],$D$4)</f>
        <v>0</v>
      </c>
      <c r="M1226" s="206">
        <f>SUMIFS(LANÇ_MOV[VALOR LÍQUIDO],LANÇ_MOV[RECEITA OU DESPESA],"Despesa",LANÇ_MOV[CONTAS],$C1226,LANÇ_MOV[PLANO DE CONTAS],REL_DRE_FINANCEIRO!$B$1164,LANÇ_MOV[ANO PAGAMENTO],$B$4,LANÇ_MOV[MÊS PAGAMENTO CORRESPONDENTE],M$6,LANÇ_MOV[EMPRESA],$C$4,LANÇ_MOV[CENTRO DE CUSTOS],$D$4)</f>
        <v>0</v>
      </c>
      <c r="N1226" s="206">
        <f>SUMIFS(LANÇ_MOV[VALOR LÍQUIDO],LANÇ_MOV[RECEITA OU DESPESA],"Despesa",LANÇ_MOV[CONTAS],$C1226,LANÇ_MOV[PLANO DE CONTAS],REL_DRE_FINANCEIRO!$B$1164,LANÇ_MOV[ANO PAGAMENTO],$B$4,LANÇ_MOV[MÊS PAGAMENTO CORRESPONDENTE],N$6,LANÇ_MOV[EMPRESA],$C$4,LANÇ_MOV[CENTRO DE CUSTOS],$D$4)</f>
        <v>0</v>
      </c>
      <c r="O1226" s="206">
        <f>SUMIFS(LANÇ_MOV[VALOR LÍQUIDO],LANÇ_MOV[RECEITA OU DESPESA],"Despesa",LANÇ_MOV[CONTAS],$C1226,LANÇ_MOV[PLANO DE CONTAS],REL_DRE_FINANCEIRO!$B$1164,LANÇ_MOV[ANO PAGAMENTO],$B$4,LANÇ_MOV[MÊS PAGAMENTO CORRESPONDENTE],O$6,LANÇ_MOV[EMPRESA],$C$4,LANÇ_MOV[CENTRO DE CUSTOS],$D$4)</f>
        <v>0</v>
      </c>
      <c r="P1226" s="207">
        <f t="shared" si="145"/>
        <v>0</v>
      </c>
      <c r="Q1226" s="329">
        <v>3.8999999999999999E-6</v>
      </c>
      <c r="R1226" s="346">
        <f t="shared" si="146"/>
        <v>3.8999999999999999E-6</v>
      </c>
      <c r="S1226" s="347" t="str">
        <f t="shared" si="147"/>
        <v>-</v>
      </c>
      <c r="T1226" s="347">
        <f t="shared" si="148"/>
        <v>0</v>
      </c>
      <c r="U1226" s="347">
        <f>HLOOKUP(Apoio!$P$12,$D$1163:$P$1264,X1226,FALSE)+Q1226</f>
        <v>3.8999999999999999E-6</v>
      </c>
      <c r="V1226" s="447" t="str">
        <f t="shared" si="149"/>
        <v>-</v>
      </c>
      <c r="W1226" s="448">
        <f>HLOOKUP(Apoio!$P$12,$D$1163:$P$1264,X1226,FALSE)</f>
        <v>0</v>
      </c>
      <c r="X1226" s="329">
        <v>64</v>
      </c>
    </row>
    <row r="1227" spans="2:24" ht="30.05" customHeight="1" x14ac:dyDescent="0.35">
      <c r="B1227" s="204" t="str">
        <f>'CAD_PL_REC-DESP'!AI67</f>
        <v>2.9.63</v>
      </c>
      <c r="C1227" s="205" t="str">
        <f>IF('CAD_PL_REC-DESP'!AJ67="","-",'CAD_PL_REC-DESP'!AJ67)</f>
        <v>-</v>
      </c>
      <c r="D1227" s="206">
        <f>SUMIFS(LANÇ_MOV[VALOR LÍQUIDO],LANÇ_MOV[RECEITA OU DESPESA],"Despesa",LANÇ_MOV[CONTAS],$C1227,LANÇ_MOV[PLANO DE CONTAS],REL_DRE_FINANCEIRO!$B$1164,LANÇ_MOV[ANO PAGAMENTO],$B$4,LANÇ_MOV[MÊS PAGAMENTO CORRESPONDENTE],D$6,LANÇ_MOV[EMPRESA],$C$4,LANÇ_MOV[CENTRO DE CUSTOS],$D$4)</f>
        <v>0</v>
      </c>
      <c r="E1227" s="206">
        <f>SUMIFS(LANÇ_MOV[VALOR LÍQUIDO],LANÇ_MOV[RECEITA OU DESPESA],"Despesa",LANÇ_MOV[CONTAS],$C1227,LANÇ_MOV[PLANO DE CONTAS],REL_DRE_FINANCEIRO!$B$1164,LANÇ_MOV[ANO PAGAMENTO],$B$4,LANÇ_MOV[MÊS PAGAMENTO CORRESPONDENTE],E$6,LANÇ_MOV[EMPRESA],$C$4,LANÇ_MOV[CENTRO DE CUSTOS],$D$4)</f>
        <v>0</v>
      </c>
      <c r="F1227" s="206">
        <f>SUMIFS(LANÇ_MOV[VALOR LÍQUIDO],LANÇ_MOV[RECEITA OU DESPESA],"Despesa",LANÇ_MOV[CONTAS],$C1227,LANÇ_MOV[PLANO DE CONTAS],REL_DRE_FINANCEIRO!$B$1164,LANÇ_MOV[ANO PAGAMENTO],$B$4,LANÇ_MOV[MÊS PAGAMENTO CORRESPONDENTE],F$6,LANÇ_MOV[EMPRESA],$C$4,LANÇ_MOV[CENTRO DE CUSTOS],$D$4)</f>
        <v>0</v>
      </c>
      <c r="G1227" s="206">
        <f>SUMIFS(LANÇ_MOV[VALOR LÍQUIDO],LANÇ_MOV[RECEITA OU DESPESA],"Despesa",LANÇ_MOV[CONTAS],$C1227,LANÇ_MOV[PLANO DE CONTAS],REL_DRE_FINANCEIRO!$B$1164,LANÇ_MOV[ANO PAGAMENTO],$B$4,LANÇ_MOV[MÊS PAGAMENTO CORRESPONDENTE],G$6,LANÇ_MOV[EMPRESA],$C$4,LANÇ_MOV[CENTRO DE CUSTOS],$D$4)</f>
        <v>0</v>
      </c>
      <c r="H1227" s="206">
        <f>SUMIFS(LANÇ_MOV[VALOR LÍQUIDO],LANÇ_MOV[RECEITA OU DESPESA],"Despesa",LANÇ_MOV[CONTAS],$C1227,LANÇ_MOV[PLANO DE CONTAS],REL_DRE_FINANCEIRO!$B$1164,LANÇ_MOV[ANO PAGAMENTO],$B$4,LANÇ_MOV[MÊS PAGAMENTO CORRESPONDENTE],H$6,LANÇ_MOV[EMPRESA],$C$4,LANÇ_MOV[CENTRO DE CUSTOS],$D$4)</f>
        <v>0</v>
      </c>
      <c r="I1227" s="206">
        <f>SUMIFS(LANÇ_MOV[VALOR LÍQUIDO],LANÇ_MOV[RECEITA OU DESPESA],"Despesa",LANÇ_MOV[CONTAS],$C1227,LANÇ_MOV[PLANO DE CONTAS],REL_DRE_FINANCEIRO!$B$1164,LANÇ_MOV[ANO PAGAMENTO],$B$4,LANÇ_MOV[MÊS PAGAMENTO CORRESPONDENTE],I$6,LANÇ_MOV[EMPRESA],$C$4,LANÇ_MOV[CENTRO DE CUSTOS],$D$4)</f>
        <v>0</v>
      </c>
      <c r="J1227" s="206">
        <f>SUMIFS(LANÇ_MOV[VALOR LÍQUIDO],LANÇ_MOV[RECEITA OU DESPESA],"Despesa",LANÇ_MOV[CONTAS],$C1227,LANÇ_MOV[PLANO DE CONTAS],REL_DRE_FINANCEIRO!$B$1164,LANÇ_MOV[ANO PAGAMENTO],$B$4,LANÇ_MOV[MÊS PAGAMENTO CORRESPONDENTE],J$6,LANÇ_MOV[EMPRESA],$C$4,LANÇ_MOV[CENTRO DE CUSTOS],$D$4)</f>
        <v>0</v>
      </c>
      <c r="K1227" s="206">
        <f>SUMIFS(LANÇ_MOV[VALOR LÍQUIDO],LANÇ_MOV[RECEITA OU DESPESA],"Despesa",LANÇ_MOV[CONTAS],$C1227,LANÇ_MOV[PLANO DE CONTAS],REL_DRE_FINANCEIRO!$B$1164,LANÇ_MOV[ANO PAGAMENTO],$B$4,LANÇ_MOV[MÊS PAGAMENTO CORRESPONDENTE],K$6,LANÇ_MOV[EMPRESA],$C$4,LANÇ_MOV[CENTRO DE CUSTOS],$D$4)</f>
        <v>0</v>
      </c>
      <c r="L1227" s="206">
        <f>SUMIFS(LANÇ_MOV[VALOR LÍQUIDO],LANÇ_MOV[RECEITA OU DESPESA],"Despesa",LANÇ_MOV[CONTAS],$C1227,LANÇ_MOV[PLANO DE CONTAS],REL_DRE_FINANCEIRO!$B$1164,LANÇ_MOV[ANO PAGAMENTO],$B$4,LANÇ_MOV[MÊS PAGAMENTO CORRESPONDENTE],L$6,LANÇ_MOV[EMPRESA],$C$4,LANÇ_MOV[CENTRO DE CUSTOS],$D$4)</f>
        <v>0</v>
      </c>
      <c r="M1227" s="206">
        <f>SUMIFS(LANÇ_MOV[VALOR LÍQUIDO],LANÇ_MOV[RECEITA OU DESPESA],"Despesa",LANÇ_MOV[CONTAS],$C1227,LANÇ_MOV[PLANO DE CONTAS],REL_DRE_FINANCEIRO!$B$1164,LANÇ_MOV[ANO PAGAMENTO],$B$4,LANÇ_MOV[MÊS PAGAMENTO CORRESPONDENTE],M$6,LANÇ_MOV[EMPRESA],$C$4,LANÇ_MOV[CENTRO DE CUSTOS],$D$4)</f>
        <v>0</v>
      </c>
      <c r="N1227" s="206">
        <f>SUMIFS(LANÇ_MOV[VALOR LÍQUIDO],LANÇ_MOV[RECEITA OU DESPESA],"Despesa",LANÇ_MOV[CONTAS],$C1227,LANÇ_MOV[PLANO DE CONTAS],REL_DRE_FINANCEIRO!$B$1164,LANÇ_MOV[ANO PAGAMENTO],$B$4,LANÇ_MOV[MÊS PAGAMENTO CORRESPONDENTE],N$6,LANÇ_MOV[EMPRESA],$C$4,LANÇ_MOV[CENTRO DE CUSTOS],$D$4)</f>
        <v>0</v>
      </c>
      <c r="O1227" s="206">
        <f>SUMIFS(LANÇ_MOV[VALOR LÍQUIDO],LANÇ_MOV[RECEITA OU DESPESA],"Despesa",LANÇ_MOV[CONTAS],$C1227,LANÇ_MOV[PLANO DE CONTAS],REL_DRE_FINANCEIRO!$B$1164,LANÇ_MOV[ANO PAGAMENTO],$B$4,LANÇ_MOV[MÊS PAGAMENTO CORRESPONDENTE],O$6,LANÇ_MOV[EMPRESA],$C$4,LANÇ_MOV[CENTRO DE CUSTOS],$D$4)</f>
        <v>0</v>
      </c>
      <c r="P1227" s="207">
        <f t="shared" si="145"/>
        <v>0</v>
      </c>
      <c r="Q1227" s="329">
        <v>3.8E-6</v>
      </c>
      <c r="R1227" s="346">
        <f t="shared" si="146"/>
        <v>3.8E-6</v>
      </c>
      <c r="S1227" s="347" t="str">
        <f t="shared" si="147"/>
        <v>-</v>
      </c>
      <c r="T1227" s="347">
        <f t="shared" si="148"/>
        <v>0</v>
      </c>
      <c r="U1227" s="347">
        <f>HLOOKUP(Apoio!$P$12,$D$1163:$P$1264,X1227,FALSE)+Q1227</f>
        <v>3.8E-6</v>
      </c>
      <c r="V1227" s="447" t="str">
        <f t="shared" si="149"/>
        <v>-</v>
      </c>
      <c r="W1227" s="448">
        <f>HLOOKUP(Apoio!$P$12,$D$1163:$P$1264,X1227,FALSE)</f>
        <v>0</v>
      </c>
      <c r="X1227" s="329">
        <v>65</v>
      </c>
    </row>
    <row r="1228" spans="2:24" ht="30.05" customHeight="1" x14ac:dyDescent="0.35">
      <c r="B1228" s="204" t="str">
        <f>'CAD_PL_REC-DESP'!AI68</f>
        <v>2.9.64</v>
      </c>
      <c r="C1228" s="205" t="str">
        <f>IF('CAD_PL_REC-DESP'!AJ68="","-",'CAD_PL_REC-DESP'!AJ68)</f>
        <v>-</v>
      </c>
      <c r="D1228" s="206">
        <f>SUMIFS(LANÇ_MOV[VALOR LÍQUIDO],LANÇ_MOV[RECEITA OU DESPESA],"Despesa",LANÇ_MOV[CONTAS],$C1228,LANÇ_MOV[PLANO DE CONTAS],REL_DRE_FINANCEIRO!$B$1164,LANÇ_MOV[ANO PAGAMENTO],$B$4,LANÇ_MOV[MÊS PAGAMENTO CORRESPONDENTE],D$6,LANÇ_MOV[EMPRESA],$C$4,LANÇ_MOV[CENTRO DE CUSTOS],$D$4)</f>
        <v>0</v>
      </c>
      <c r="E1228" s="206">
        <f>SUMIFS(LANÇ_MOV[VALOR LÍQUIDO],LANÇ_MOV[RECEITA OU DESPESA],"Despesa",LANÇ_MOV[CONTAS],$C1228,LANÇ_MOV[PLANO DE CONTAS],REL_DRE_FINANCEIRO!$B$1164,LANÇ_MOV[ANO PAGAMENTO],$B$4,LANÇ_MOV[MÊS PAGAMENTO CORRESPONDENTE],E$6,LANÇ_MOV[EMPRESA],$C$4,LANÇ_MOV[CENTRO DE CUSTOS],$D$4)</f>
        <v>0</v>
      </c>
      <c r="F1228" s="206">
        <f>SUMIFS(LANÇ_MOV[VALOR LÍQUIDO],LANÇ_MOV[RECEITA OU DESPESA],"Despesa",LANÇ_MOV[CONTAS],$C1228,LANÇ_MOV[PLANO DE CONTAS],REL_DRE_FINANCEIRO!$B$1164,LANÇ_MOV[ANO PAGAMENTO],$B$4,LANÇ_MOV[MÊS PAGAMENTO CORRESPONDENTE],F$6,LANÇ_MOV[EMPRESA],$C$4,LANÇ_MOV[CENTRO DE CUSTOS],$D$4)</f>
        <v>0</v>
      </c>
      <c r="G1228" s="206">
        <f>SUMIFS(LANÇ_MOV[VALOR LÍQUIDO],LANÇ_MOV[RECEITA OU DESPESA],"Despesa",LANÇ_MOV[CONTAS],$C1228,LANÇ_MOV[PLANO DE CONTAS],REL_DRE_FINANCEIRO!$B$1164,LANÇ_MOV[ANO PAGAMENTO],$B$4,LANÇ_MOV[MÊS PAGAMENTO CORRESPONDENTE],G$6,LANÇ_MOV[EMPRESA],$C$4,LANÇ_MOV[CENTRO DE CUSTOS],$D$4)</f>
        <v>0</v>
      </c>
      <c r="H1228" s="206">
        <f>SUMIFS(LANÇ_MOV[VALOR LÍQUIDO],LANÇ_MOV[RECEITA OU DESPESA],"Despesa",LANÇ_MOV[CONTAS],$C1228,LANÇ_MOV[PLANO DE CONTAS],REL_DRE_FINANCEIRO!$B$1164,LANÇ_MOV[ANO PAGAMENTO],$B$4,LANÇ_MOV[MÊS PAGAMENTO CORRESPONDENTE],H$6,LANÇ_MOV[EMPRESA],$C$4,LANÇ_MOV[CENTRO DE CUSTOS],$D$4)</f>
        <v>0</v>
      </c>
      <c r="I1228" s="206">
        <f>SUMIFS(LANÇ_MOV[VALOR LÍQUIDO],LANÇ_MOV[RECEITA OU DESPESA],"Despesa",LANÇ_MOV[CONTAS],$C1228,LANÇ_MOV[PLANO DE CONTAS],REL_DRE_FINANCEIRO!$B$1164,LANÇ_MOV[ANO PAGAMENTO],$B$4,LANÇ_MOV[MÊS PAGAMENTO CORRESPONDENTE],I$6,LANÇ_MOV[EMPRESA],$C$4,LANÇ_MOV[CENTRO DE CUSTOS],$D$4)</f>
        <v>0</v>
      </c>
      <c r="J1228" s="206">
        <f>SUMIFS(LANÇ_MOV[VALOR LÍQUIDO],LANÇ_MOV[RECEITA OU DESPESA],"Despesa",LANÇ_MOV[CONTAS],$C1228,LANÇ_MOV[PLANO DE CONTAS],REL_DRE_FINANCEIRO!$B$1164,LANÇ_MOV[ANO PAGAMENTO],$B$4,LANÇ_MOV[MÊS PAGAMENTO CORRESPONDENTE],J$6,LANÇ_MOV[EMPRESA],$C$4,LANÇ_MOV[CENTRO DE CUSTOS],$D$4)</f>
        <v>0</v>
      </c>
      <c r="K1228" s="206">
        <f>SUMIFS(LANÇ_MOV[VALOR LÍQUIDO],LANÇ_MOV[RECEITA OU DESPESA],"Despesa",LANÇ_MOV[CONTAS],$C1228,LANÇ_MOV[PLANO DE CONTAS],REL_DRE_FINANCEIRO!$B$1164,LANÇ_MOV[ANO PAGAMENTO],$B$4,LANÇ_MOV[MÊS PAGAMENTO CORRESPONDENTE],K$6,LANÇ_MOV[EMPRESA],$C$4,LANÇ_MOV[CENTRO DE CUSTOS],$D$4)</f>
        <v>0</v>
      </c>
      <c r="L1228" s="206">
        <f>SUMIFS(LANÇ_MOV[VALOR LÍQUIDO],LANÇ_MOV[RECEITA OU DESPESA],"Despesa",LANÇ_MOV[CONTAS],$C1228,LANÇ_MOV[PLANO DE CONTAS],REL_DRE_FINANCEIRO!$B$1164,LANÇ_MOV[ANO PAGAMENTO],$B$4,LANÇ_MOV[MÊS PAGAMENTO CORRESPONDENTE],L$6,LANÇ_MOV[EMPRESA],$C$4,LANÇ_MOV[CENTRO DE CUSTOS],$D$4)</f>
        <v>0</v>
      </c>
      <c r="M1228" s="206">
        <f>SUMIFS(LANÇ_MOV[VALOR LÍQUIDO],LANÇ_MOV[RECEITA OU DESPESA],"Despesa",LANÇ_MOV[CONTAS],$C1228,LANÇ_MOV[PLANO DE CONTAS],REL_DRE_FINANCEIRO!$B$1164,LANÇ_MOV[ANO PAGAMENTO],$B$4,LANÇ_MOV[MÊS PAGAMENTO CORRESPONDENTE],M$6,LANÇ_MOV[EMPRESA],$C$4,LANÇ_MOV[CENTRO DE CUSTOS],$D$4)</f>
        <v>0</v>
      </c>
      <c r="N1228" s="206">
        <f>SUMIFS(LANÇ_MOV[VALOR LÍQUIDO],LANÇ_MOV[RECEITA OU DESPESA],"Despesa",LANÇ_MOV[CONTAS],$C1228,LANÇ_MOV[PLANO DE CONTAS],REL_DRE_FINANCEIRO!$B$1164,LANÇ_MOV[ANO PAGAMENTO],$B$4,LANÇ_MOV[MÊS PAGAMENTO CORRESPONDENTE],N$6,LANÇ_MOV[EMPRESA],$C$4,LANÇ_MOV[CENTRO DE CUSTOS],$D$4)</f>
        <v>0</v>
      </c>
      <c r="O1228" s="206">
        <f>SUMIFS(LANÇ_MOV[VALOR LÍQUIDO],LANÇ_MOV[RECEITA OU DESPESA],"Despesa",LANÇ_MOV[CONTAS],$C1228,LANÇ_MOV[PLANO DE CONTAS],REL_DRE_FINANCEIRO!$B$1164,LANÇ_MOV[ANO PAGAMENTO],$B$4,LANÇ_MOV[MÊS PAGAMENTO CORRESPONDENTE],O$6,LANÇ_MOV[EMPRESA],$C$4,LANÇ_MOV[CENTRO DE CUSTOS],$D$4)</f>
        <v>0</v>
      </c>
      <c r="P1228" s="207">
        <f t="shared" si="145"/>
        <v>0</v>
      </c>
      <c r="Q1228" s="329">
        <v>3.7000000000000002E-6</v>
      </c>
      <c r="R1228" s="346">
        <f t="shared" si="146"/>
        <v>3.7000000000000002E-6</v>
      </c>
      <c r="S1228" s="347" t="str">
        <f t="shared" si="147"/>
        <v>-</v>
      </c>
      <c r="T1228" s="347">
        <f t="shared" si="148"/>
        <v>0</v>
      </c>
      <c r="U1228" s="347">
        <f>HLOOKUP(Apoio!$P$12,$D$1163:$P$1264,X1228,FALSE)+Q1228</f>
        <v>3.7000000000000002E-6</v>
      </c>
      <c r="V1228" s="447" t="str">
        <f t="shared" si="149"/>
        <v>-</v>
      </c>
      <c r="W1228" s="448">
        <f>HLOOKUP(Apoio!$P$12,$D$1163:$P$1264,X1228,FALSE)</f>
        <v>0</v>
      </c>
      <c r="X1228" s="329">
        <v>66</v>
      </c>
    </row>
    <row r="1229" spans="2:24" ht="30.05" customHeight="1" x14ac:dyDescent="0.35">
      <c r="B1229" s="204" t="str">
        <f>'CAD_PL_REC-DESP'!AI69</f>
        <v>2.9.65</v>
      </c>
      <c r="C1229" s="205" t="str">
        <f>IF('CAD_PL_REC-DESP'!AJ69="","-",'CAD_PL_REC-DESP'!AJ69)</f>
        <v>-</v>
      </c>
      <c r="D1229" s="206">
        <f>SUMIFS(LANÇ_MOV[VALOR LÍQUIDO],LANÇ_MOV[RECEITA OU DESPESA],"Despesa",LANÇ_MOV[CONTAS],$C1229,LANÇ_MOV[PLANO DE CONTAS],REL_DRE_FINANCEIRO!$B$1164,LANÇ_MOV[ANO PAGAMENTO],$B$4,LANÇ_MOV[MÊS PAGAMENTO CORRESPONDENTE],D$6,LANÇ_MOV[EMPRESA],$C$4,LANÇ_MOV[CENTRO DE CUSTOS],$D$4)</f>
        <v>0</v>
      </c>
      <c r="E1229" s="206">
        <f>SUMIFS(LANÇ_MOV[VALOR LÍQUIDO],LANÇ_MOV[RECEITA OU DESPESA],"Despesa",LANÇ_MOV[CONTAS],$C1229,LANÇ_MOV[PLANO DE CONTAS],REL_DRE_FINANCEIRO!$B$1164,LANÇ_MOV[ANO PAGAMENTO],$B$4,LANÇ_MOV[MÊS PAGAMENTO CORRESPONDENTE],E$6,LANÇ_MOV[EMPRESA],$C$4,LANÇ_MOV[CENTRO DE CUSTOS],$D$4)</f>
        <v>0</v>
      </c>
      <c r="F1229" s="206">
        <f>SUMIFS(LANÇ_MOV[VALOR LÍQUIDO],LANÇ_MOV[RECEITA OU DESPESA],"Despesa",LANÇ_MOV[CONTAS],$C1229,LANÇ_MOV[PLANO DE CONTAS],REL_DRE_FINANCEIRO!$B$1164,LANÇ_MOV[ANO PAGAMENTO],$B$4,LANÇ_MOV[MÊS PAGAMENTO CORRESPONDENTE],F$6,LANÇ_MOV[EMPRESA],$C$4,LANÇ_MOV[CENTRO DE CUSTOS],$D$4)</f>
        <v>0</v>
      </c>
      <c r="G1229" s="206">
        <f>SUMIFS(LANÇ_MOV[VALOR LÍQUIDO],LANÇ_MOV[RECEITA OU DESPESA],"Despesa",LANÇ_MOV[CONTAS],$C1229,LANÇ_MOV[PLANO DE CONTAS],REL_DRE_FINANCEIRO!$B$1164,LANÇ_MOV[ANO PAGAMENTO],$B$4,LANÇ_MOV[MÊS PAGAMENTO CORRESPONDENTE],G$6,LANÇ_MOV[EMPRESA],$C$4,LANÇ_MOV[CENTRO DE CUSTOS],$D$4)</f>
        <v>0</v>
      </c>
      <c r="H1229" s="206">
        <f>SUMIFS(LANÇ_MOV[VALOR LÍQUIDO],LANÇ_MOV[RECEITA OU DESPESA],"Despesa",LANÇ_MOV[CONTAS],$C1229,LANÇ_MOV[PLANO DE CONTAS],REL_DRE_FINANCEIRO!$B$1164,LANÇ_MOV[ANO PAGAMENTO],$B$4,LANÇ_MOV[MÊS PAGAMENTO CORRESPONDENTE],H$6,LANÇ_MOV[EMPRESA],$C$4,LANÇ_MOV[CENTRO DE CUSTOS],$D$4)</f>
        <v>0</v>
      </c>
      <c r="I1229" s="206">
        <f>SUMIFS(LANÇ_MOV[VALOR LÍQUIDO],LANÇ_MOV[RECEITA OU DESPESA],"Despesa",LANÇ_MOV[CONTAS],$C1229,LANÇ_MOV[PLANO DE CONTAS],REL_DRE_FINANCEIRO!$B$1164,LANÇ_MOV[ANO PAGAMENTO],$B$4,LANÇ_MOV[MÊS PAGAMENTO CORRESPONDENTE],I$6,LANÇ_MOV[EMPRESA],$C$4,LANÇ_MOV[CENTRO DE CUSTOS],$D$4)</f>
        <v>0</v>
      </c>
      <c r="J1229" s="206">
        <f>SUMIFS(LANÇ_MOV[VALOR LÍQUIDO],LANÇ_MOV[RECEITA OU DESPESA],"Despesa",LANÇ_MOV[CONTAS],$C1229,LANÇ_MOV[PLANO DE CONTAS],REL_DRE_FINANCEIRO!$B$1164,LANÇ_MOV[ANO PAGAMENTO],$B$4,LANÇ_MOV[MÊS PAGAMENTO CORRESPONDENTE],J$6,LANÇ_MOV[EMPRESA],$C$4,LANÇ_MOV[CENTRO DE CUSTOS],$D$4)</f>
        <v>0</v>
      </c>
      <c r="K1229" s="206">
        <f>SUMIFS(LANÇ_MOV[VALOR LÍQUIDO],LANÇ_MOV[RECEITA OU DESPESA],"Despesa",LANÇ_MOV[CONTAS],$C1229,LANÇ_MOV[PLANO DE CONTAS],REL_DRE_FINANCEIRO!$B$1164,LANÇ_MOV[ANO PAGAMENTO],$B$4,LANÇ_MOV[MÊS PAGAMENTO CORRESPONDENTE],K$6,LANÇ_MOV[EMPRESA],$C$4,LANÇ_MOV[CENTRO DE CUSTOS],$D$4)</f>
        <v>0</v>
      </c>
      <c r="L1229" s="206">
        <f>SUMIFS(LANÇ_MOV[VALOR LÍQUIDO],LANÇ_MOV[RECEITA OU DESPESA],"Despesa",LANÇ_MOV[CONTAS],$C1229,LANÇ_MOV[PLANO DE CONTAS],REL_DRE_FINANCEIRO!$B$1164,LANÇ_MOV[ANO PAGAMENTO],$B$4,LANÇ_MOV[MÊS PAGAMENTO CORRESPONDENTE],L$6,LANÇ_MOV[EMPRESA],$C$4,LANÇ_MOV[CENTRO DE CUSTOS],$D$4)</f>
        <v>0</v>
      </c>
      <c r="M1229" s="206">
        <f>SUMIFS(LANÇ_MOV[VALOR LÍQUIDO],LANÇ_MOV[RECEITA OU DESPESA],"Despesa",LANÇ_MOV[CONTAS],$C1229,LANÇ_MOV[PLANO DE CONTAS],REL_DRE_FINANCEIRO!$B$1164,LANÇ_MOV[ANO PAGAMENTO],$B$4,LANÇ_MOV[MÊS PAGAMENTO CORRESPONDENTE],M$6,LANÇ_MOV[EMPRESA],$C$4,LANÇ_MOV[CENTRO DE CUSTOS],$D$4)</f>
        <v>0</v>
      </c>
      <c r="N1229" s="206">
        <f>SUMIFS(LANÇ_MOV[VALOR LÍQUIDO],LANÇ_MOV[RECEITA OU DESPESA],"Despesa",LANÇ_MOV[CONTAS],$C1229,LANÇ_MOV[PLANO DE CONTAS],REL_DRE_FINANCEIRO!$B$1164,LANÇ_MOV[ANO PAGAMENTO],$B$4,LANÇ_MOV[MÊS PAGAMENTO CORRESPONDENTE],N$6,LANÇ_MOV[EMPRESA],$C$4,LANÇ_MOV[CENTRO DE CUSTOS],$D$4)</f>
        <v>0</v>
      </c>
      <c r="O1229" s="206">
        <f>SUMIFS(LANÇ_MOV[VALOR LÍQUIDO],LANÇ_MOV[RECEITA OU DESPESA],"Despesa",LANÇ_MOV[CONTAS],$C1229,LANÇ_MOV[PLANO DE CONTAS],REL_DRE_FINANCEIRO!$B$1164,LANÇ_MOV[ANO PAGAMENTO],$B$4,LANÇ_MOV[MÊS PAGAMENTO CORRESPONDENTE],O$6,LANÇ_MOV[EMPRESA],$C$4,LANÇ_MOV[CENTRO DE CUSTOS],$D$4)</f>
        <v>0</v>
      </c>
      <c r="P1229" s="207">
        <f t="shared" ref="P1229:P1264" si="150">SUM(D1229:O1229)</f>
        <v>0</v>
      </c>
      <c r="Q1229" s="329">
        <v>3.5999999999999998E-6</v>
      </c>
      <c r="R1229" s="346">
        <f t="shared" ref="R1229:R1264" si="151">P1229+Q1229</f>
        <v>3.5999999999999998E-6</v>
      </c>
      <c r="S1229" s="347" t="str">
        <f t="shared" ref="S1229:S1264" si="152">C1229</f>
        <v>-</v>
      </c>
      <c r="T1229" s="347">
        <f t="shared" ref="T1229:T1264" si="153">P1229</f>
        <v>0</v>
      </c>
      <c r="U1229" s="347">
        <f>HLOOKUP(Apoio!$P$12,$D$1163:$P$1264,X1229,FALSE)+Q1229</f>
        <v>3.5999999999999998E-6</v>
      </c>
      <c r="V1229" s="447" t="str">
        <f t="shared" si="149"/>
        <v>-</v>
      </c>
      <c r="W1229" s="448">
        <f>HLOOKUP(Apoio!$P$12,$D$1163:$P$1264,X1229,FALSE)</f>
        <v>0</v>
      </c>
      <c r="X1229" s="329">
        <v>67</v>
      </c>
    </row>
    <row r="1230" spans="2:24" ht="30.05" customHeight="1" x14ac:dyDescent="0.35">
      <c r="B1230" s="204" t="str">
        <f>'CAD_PL_REC-DESP'!AI70</f>
        <v>2.9.66</v>
      </c>
      <c r="C1230" s="205" t="str">
        <f>IF('CAD_PL_REC-DESP'!AJ70="","-",'CAD_PL_REC-DESP'!AJ70)</f>
        <v>-</v>
      </c>
      <c r="D1230" s="206">
        <f>SUMIFS(LANÇ_MOV[VALOR LÍQUIDO],LANÇ_MOV[RECEITA OU DESPESA],"Despesa",LANÇ_MOV[CONTAS],$C1230,LANÇ_MOV[PLANO DE CONTAS],REL_DRE_FINANCEIRO!$B$1164,LANÇ_MOV[ANO PAGAMENTO],$B$4,LANÇ_MOV[MÊS PAGAMENTO CORRESPONDENTE],D$6,LANÇ_MOV[EMPRESA],$C$4,LANÇ_MOV[CENTRO DE CUSTOS],$D$4)</f>
        <v>0</v>
      </c>
      <c r="E1230" s="206">
        <f>SUMIFS(LANÇ_MOV[VALOR LÍQUIDO],LANÇ_MOV[RECEITA OU DESPESA],"Despesa",LANÇ_MOV[CONTAS],$C1230,LANÇ_MOV[PLANO DE CONTAS],REL_DRE_FINANCEIRO!$B$1164,LANÇ_MOV[ANO PAGAMENTO],$B$4,LANÇ_MOV[MÊS PAGAMENTO CORRESPONDENTE],E$6,LANÇ_MOV[EMPRESA],$C$4,LANÇ_MOV[CENTRO DE CUSTOS],$D$4)</f>
        <v>0</v>
      </c>
      <c r="F1230" s="206">
        <f>SUMIFS(LANÇ_MOV[VALOR LÍQUIDO],LANÇ_MOV[RECEITA OU DESPESA],"Despesa",LANÇ_MOV[CONTAS],$C1230,LANÇ_MOV[PLANO DE CONTAS],REL_DRE_FINANCEIRO!$B$1164,LANÇ_MOV[ANO PAGAMENTO],$B$4,LANÇ_MOV[MÊS PAGAMENTO CORRESPONDENTE],F$6,LANÇ_MOV[EMPRESA],$C$4,LANÇ_MOV[CENTRO DE CUSTOS],$D$4)</f>
        <v>0</v>
      </c>
      <c r="G1230" s="206">
        <f>SUMIFS(LANÇ_MOV[VALOR LÍQUIDO],LANÇ_MOV[RECEITA OU DESPESA],"Despesa",LANÇ_MOV[CONTAS],$C1230,LANÇ_MOV[PLANO DE CONTAS],REL_DRE_FINANCEIRO!$B$1164,LANÇ_MOV[ANO PAGAMENTO],$B$4,LANÇ_MOV[MÊS PAGAMENTO CORRESPONDENTE],G$6,LANÇ_MOV[EMPRESA],$C$4,LANÇ_MOV[CENTRO DE CUSTOS],$D$4)</f>
        <v>0</v>
      </c>
      <c r="H1230" s="206">
        <f>SUMIFS(LANÇ_MOV[VALOR LÍQUIDO],LANÇ_MOV[RECEITA OU DESPESA],"Despesa",LANÇ_MOV[CONTAS],$C1230,LANÇ_MOV[PLANO DE CONTAS],REL_DRE_FINANCEIRO!$B$1164,LANÇ_MOV[ANO PAGAMENTO],$B$4,LANÇ_MOV[MÊS PAGAMENTO CORRESPONDENTE],H$6,LANÇ_MOV[EMPRESA],$C$4,LANÇ_MOV[CENTRO DE CUSTOS],$D$4)</f>
        <v>0</v>
      </c>
      <c r="I1230" s="206">
        <f>SUMIFS(LANÇ_MOV[VALOR LÍQUIDO],LANÇ_MOV[RECEITA OU DESPESA],"Despesa",LANÇ_MOV[CONTAS],$C1230,LANÇ_MOV[PLANO DE CONTAS],REL_DRE_FINANCEIRO!$B$1164,LANÇ_MOV[ANO PAGAMENTO],$B$4,LANÇ_MOV[MÊS PAGAMENTO CORRESPONDENTE],I$6,LANÇ_MOV[EMPRESA],$C$4,LANÇ_MOV[CENTRO DE CUSTOS],$D$4)</f>
        <v>0</v>
      </c>
      <c r="J1230" s="206">
        <f>SUMIFS(LANÇ_MOV[VALOR LÍQUIDO],LANÇ_MOV[RECEITA OU DESPESA],"Despesa",LANÇ_MOV[CONTAS],$C1230,LANÇ_MOV[PLANO DE CONTAS],REL_DRE_FINANCEIRO!$B$1164,LANÇ_MOV[ANO PAGAMENTO],$B$4,LANÇ_MOV[MÊS PAGAMENTO CORRESPONDENTE],J$6,LANÇ_MOV[EMPRESA],$C$4,LANÇ_MOV[CENTRO DE CUSTOS],$D$4)</f>
        <v>0</v>
      </c>
      <c r="K1230" s="206">
        <f>SUMIFS(LANÇ_MOV[VALOR LÍQUIDO],LANÇ_MOV[RECEITA OU DESPESA],"Despesa",LANÇ_MOV[CONTAS],$C1230,LANÇ_MOV[PLANO DE CONTAS],REL_DRE_FINANCEIRO!$B$1164,LANÇ_MOV[ANO PAGAMENTO],$B$4,LANÇ_MOV[MÊS PAGAMENTO CORRESPONDENTE],K$6,LANÇ_MOV[EMPRESA],$C$4,LANÇ_MOV[CENTRO DE CUSTOS],$D$4)</f>
        <v>0</v>
      </c>
      <c r="L1230" s="206">
        <f>SUMIFS(LANÇ_MOV[VALOR LÍQUIDO],LANÇ_MOV[RECEITA OU DESPESA],"Despesa",LANÇ_MOV[CONTAS],$C1230,LANÇ_MOV[PLANO DE CONTAS],REL_DRE_FINANCEIRO!$B$1164,LANÇ_MOV[ANO PAGAMENTO],$B$4,LANÇ_MOV[MÊS PAGAMENTO CORRESPONDENTE],L$6,LANÇ_MOV[EMPRESA],$C$4,LANÇ_MOV[CENTRO DE CUSTOS],$D$4)</f>
        <v>0</v>
      </c>
      <c r="M1230" s="206">
        <f>SUMIFS(LANÇ_MOV[VALOR LÍQUIDO],LANÇ_MOV[RECEITA OU DESPESA],"Despesa",LANÇ_MOV[CONTAS],$C1230,LANÇ_MOV[PLANO DE CONTAS],REL_DRE_FINANCEIRO!$B$1164,LANÇ_MOV[ANO PAGAMENTO],$B$4,LANÇ_MOV[MÊS PAGAMENTO CORRESPONDENTE],M$6,LANÇ_MOV[EMPRESA],$C$4,LANÇ_MOV[CENTRO DE CUSTOS],$D$4)</f>
        <v>0</v>
      </c>
      <c r="N1230" s="206">
        <f>SUMIFS(LANÇ_MOV[VALOR LÍQUIDO],LANÇ_MOV[RECEITA OU DESPESA],"Despesa",LANÇ_MOV[CONTAS],$C1230,LANÇ_MOV[PLANO DE CONTAS],REL_DRE_FINANCEIRO!$B$1164,LANÇ_MOV[ANO PAGAMENTO],$B$4,LANÇ_MOV[MÊS PAGAMENTO CORRESPONDENTE],N$6,LANÇ_MOV[EMPRESA],$C$4,LANÇ_MOV[CENTRO DE CUSTOS],$D$4)</f>
        <v>0</v>
      </c>
      <c r="O1230" s="206">
        <f>SUMIFS(LANÇ_MOV[VALOR LÍQUIDO],LANÇ_MOV[RECEITA OU DESPESA],"Despesa",LANÇ_MOV[CONTAS],$C1230,LANÇ_MOV[PLANO DE CONTAS],REL_DRE_FINANCEIRO!$B$1164,LANÇ_MOV[ANO PAGAMENTO],$B$4,LANÇ_MOV[MÊS PAGAMENTO CORRESPONDENTE],O$6,LANÇ_MOV[EMPRESA],$C$4,LANÇ_MOV[CENTRO DE CUSTOS],$D$4)</f>
        <v>0</v>
      </c>
      <c r="P1230" s="207">
        <f t="shared" si="150"/>
        <v>0</v>
      </c>
      <c r="Q1230" s="329">
        <v>3.4999999999999999E-6</v>
      </c>
      <c r="R1230" s="346">
        <f t="shared" si="151"/>
        <v>3.4999999999999999E-6</v>
      </c>
      <c r="S1230" s="347" t="str">
        <f t="shared" si="152"/>
        <v>-</v>
      </c>
      <c r="T1230" s="347">
        <f t="shared" si="153"/>
        <v>0</v>
      </c>
      <c r="U1230" s="347">
        <f>HLOOKUP(Apoio!$P$12,$D$1163:$P$1264,X1230,FALSE)+Q1230</f>
        <v>3.4999999999999999E-6</v>
      </c>
      <c r="V1230" s="447" t="str">
        <f t="shared" ref="V1230:V1264" si="154">S1230</f>
        <v>-</v>
      </c>
      <c r="W1230" s="448">
        <f>HLOOKUP(Apoio!$P$12,$D$1163:$P$1264,X1230,FALSE)</f>
        <v>0</v>
      </c>
      <c r="X1230" s="329">
        <v>68</v>
      </c>
    </row>
    <row r="1231" spans="2:24" ht="30.05" customHeight="1" x14ac:dyDescent="0.35">
      <c r="B1231" s="204" t="str">
        <f>'CAD_PL_REC-DESP'!AI71</f>
        <v>2.9.67</v>
      </c>
      <c r="C1231" s="205" t="str">
        <f>IF('CAD_PL_REC-DESP'!AJ71="","-",'CAD_PL_REC-DESP'!AJ71)</f>
        <v>-</v>
      </c>
      <c r="D1231" s="206">
        <f>SUMIFS(LANÇ_MOV[VALOR LÍQUIDO],LANÇ_MOV[RECEITA OU DESPESA],"Despesa",LANÇ_MOV[CONTAS],$C1231,LANÇ_MOV[PLANO DE CONTAS],REL_DRE_FINANCEIRO!$B$1164,LANÇ_MOV[ANO PAGAMENTO],$B$4,LANÇ_MOV[MÊS PAGAMENTO CORRESPONDENTE],D$6,LANÇ_MOV[EMPRESA],$C$4,LANÇ_MOV[CENTRO DE CUSTOS],$D$4)</f>
        <v>0</v>
      </c>
      <c r="E1231" s="206">
        <f>SUMIFS(LANÇ_MOV[VALOR LÍQUIDO],LANÇ_MOV[RECEITA OU DESPESA],"Despesa",LANÇ_MOV[CONTAS],$C1231,LANÇ_MOV[PLANO DE CONTAS],REL_DRE_FINANCEIRO!$B$1164,LANÇ_MOV[ANO PAGAMENTO],$B$4,LANÇ_MOV[MÊS PAGAMENTO CORRESPONDENTE],E$6,LANÇ_MOV[EMPRESA],$C$4,LANÇ_MOV[CENTRO DE CUSTOS],$D$4)</f>
        <v>0</v>
      </c>
      <c r="F1231" s="206">
        <f>SUMIFS(LANÇ_MOV[VALOR LÍQUIDO],LANÇ_MOV[RECEITA OU DESPESA],"Despesa",LANÇ_MOV[CONTAS],$C1231,LANÇ_MOV[PLANO DE CONTAS],REL_DRE_FINANCEIRO!$B$1164,LANÇ_MOV[ANO PAGAMENTO],$B$4,LANÇ_MOV[MÊS PAGAMENTO CORRESPONDENTE],F$6,LANÇ_MOV[EMPRESA],$C$4,LANÇ_MOV[CENTRO DE CUSTOS],$D$4)</f>
        <v>0</v>
      </c>
      <c r="G1231" s="206">
        <f>SUMIFS(LANÇ_MOV[VALOR LÍQUIDO],LANÇ_MOV[RECEITA OU DESPESA],"Despesa",LANÇ_MOV[CONTAS],$C1231,LANÇ_MOV[PLANO DE CONTAS],REL_DRE_FINANCEIRO!$B$1164,LANÇ_MOV[ANO PAGAMENTO],$B$4,LANÇ_MOV[MÊS PAGAMENTO CORRESPONDENTE],G$6,LANÇ_MOV[EMPRESA],$C$4,LANÇ_MOV[CENTRO DE CUSTOS],$D$4)</f>
        <v>0</v>
      </c>
      <c r="H1231" s="206">
        <f>SUMIFS(LANÇ_MOV[VALOR LÍQUIDO],LANÇ_MOV[RECEITA OU DESPESA],"Despesa",LANÇ_MOV[CONTAS],$C1231,LANÇ_MOV[PLANO DE CONTAS],REL_DRE_FINANCEIRO!$B$1164,LANÇ_MOV[ANO PAGAMENTO],$B$4,LANÇ_MOV[MÊS PAGAMENTO CORRESPONDENTE],H$6,LANÇ_MOV[EMPRESA],$C$4,LANÇ_MOV[CENTRO DE CUSTOS],$D$4)</f>
        <v>0</v>
      </c>
      <c r="I1231" s="206">
        <f>SUMIFS(LANÇ_MOV[VALOR LÍQUIDO],LANÇ_MOV[RECEITA OU DESPESA],"Despesa",LANÇ_MOV[CONTAS],$C1231,LANÇ_MOV[PLANO DE CONTAS],REL_DRE_FINANCEIRO!$B$1164,LANÇ_MOV[ANO PAGAMENTO],$B$4,LANÇ_MOV[MÊS PAGAMENTO CORRESPONDENTE],I$6,LANÇ_MOV[EMPRESA],$C$4,LANÇ_MOV[CENTRO DE CUSTOS],$D$4)</f>
        <v>0</v>
      </c>
      <c r="J1231" s="206">
        <f>SUMIFS(LANÇ_MOV[VALOR LÍQUIDO],LANÇ_MOV[RECEITA OU DESPESA],"Despesa",LANÇ_MOV[CONTAS],$C1231,LANÇ_MOV[PLANO DE CONTAS],REL_DRE_FINANCEIRO!$B$1164,LANÇ_MOV[ANO PAGAMENTO],$B$4,LANÇ_MOV[MÊS PAGAMENTO CORRESPONDENTE],J$6,LANÇ_MOV[EMPRESA],$C$4,LANÇ_MOV[CENTRO DE CUSTOS],$D$4)</f>
        <v>0</v>
      </c>
      <c r="K1231" s="206">
        <f>SUMIFS(LANÇ_MOV[VALOR LÍQUIDO],LANÇ_MOV[RECEITA OU DESPESA],"Despesa",LANÇ_MOV[CONTAS],$C1231,LANÇ_MOV[PLANO DE CONTAS],REL_DRE_FINANCEIRO!$B$1164,LANÇ_MOV[ANO PAGAMENTO],$B$4,LANÇ_MOV[MÊS PAGAMENTO CORRESPONDENTE],K$6,LANÇ_MOV[EMPRESA],$C$4,LANÇ_MOV[CENTRO DE CUSTOS],$D$4)</f>
        <v>0</v>
      </c>
      <c r="L1231" s="206">
        <f>SUMIFS(LANÇ_MOV[VALOR LÍQUIDO],LANÇ_MOV[RECEITA OU DESPESA],"Despesa",LANÇ_MOV[CONTAS],$C1231,LANÇ_MOV[PLANO DE CONTAS],REL_DRE_FINANCEIRO!$B$1164,LANÇ_MOV[ANO PAGAMENTO],$B$4,LANÇ_MOV[MÊS PAGAMENTO CORRESPONDENTE],L$6,LANÇ_MOV[EMPRESA],$C$4,LANÇ_MOV[CENTRO DE CUSTOS],$D$4)</f>
        <v>0</v>
      </c>
      <c r="M1231" s="206">
        <f>SUMIFS(LANÇ_MOV[VALOR LÍQUIDO],LANÇ_MOV[RECEITA OU DESPESA],"Despesa",LANÇ_MOV[CONTAS],$C1231,LANÇ_MOV[PLANO DE CONTAS],REL_DRE_FINANCEIRO!$B$1164,LANÇ_MOV[ANO PAGAMENTO],$B$4,LANÇ_MOV[MÊS PAGAMENTO CORRESPONDENTE],M$6,LANÇ_MOV[EMPRESA],$C$4,LANÇ_MOV[CENTRO DE CUSTOS],$D$4)</f>
        <v>0</v>
      </c>
      <c r="N1231" s="206">
        <f>SUMIFS(LANÇ_MOV[VALOR LÍQUIDO],LANÇ_MOV[RECEITA OU DESPESA],"Despesa",LANÇ_MOV[CONTAS],$C1231,LANÇ_MOV[PLANO DE CONTAS],REL_DRE_FINANCEIRO!$B$1164,LANÇ_MOV[ANO PAGAMENTO],$B$4,LANÇ_MOV[MÊS PAGAMENTO CORRESPONDENTE],N$6,LANÇ_MOV[EMPRESA],$C$4,LANÇ_MOV[CENTRO DE CUSTOS],$D$4)</f>
        <v>0</v>
      </c>
      <c r="O1231" s="206">
        <f>SUMIFS(LANÇ_MOV[VALOR LÍQUIDO],LANÇ_MOV[RECEITA OU DESPESA],"Despesa",LANÇ_MOV[CONTAS],$C1231,LANÇ_MOV[PLANO DE CONTAS],REL_DRE_FINANCEIRO!$B$1164,LANÇ_MOV[ANO PAGAMENTO],$B$4,LANÇ_MOV[MÊS PAGAMENTO CORRESPONDENTE],O$6,LANÇ_MOV[EMPRESA],$C$4,LANÇ_MOV[CENTRO DE CUSTOS],$D$4)</f>
        <v>0</v>
      </c>
      <c r="P1231" s="207">
        <f t="shared" si="150"/>
        <v>0</v>
      </c>
      <c r="Q1231" s="329">
        <v>3.4000000000000001E-6</v>
      </c>
      <c r="R1231" s="346">
        <f t="shared" si="151"/>
        <v>3.4000000000000001E-6</v>
      </c>
      <c r="S1231" s="347" t="str">
        <f t="shared" si="152"/>
        <v>-</v>
      </c>
      <c r="T1231" s="347">
        <f t="shared" si="153"/>
        <v>0</v>
      </c>
      <c r="U1231" s="347">
        <f>HLOOKUP(Apoio!$P$12,$D$1163:$P$1264,X1231,FALSE)+Q1231</f>
        <v>3.4000000000000001E-6</v>
      </c>
      <c r="V1231" s="447" t="str">
        <f t="shared" si="154"/>
        <v>-</v>
      </c>
      <c r="W1231" s="448">
        <f>HLOOKUP(Apoio!$P$12,$D$1163:$P$1264,X1231,FALSE)</f>
        <v>0</v>
      </c>
      <c r="X1231" s="329">
        <v>69</v>
      </c>
    </row>
    <row r="1232" spans="2:24" ht="30.05" customHeight="1" x14ac:dyDescent="0.35">
      <c r="B1232" s="204" t="str">
        <f>'CAD_PL_REC-DESP'!AI72</f>
        <v>2.9.68</v>
      </c>
      <c r="C1232" s="205" t="str">
        <f>IF('CAD_PL_REC-DESP'!AJ72="","-",'CAD_PL_REC-DESP'!AJ72)</f>
        <v>-</v>
      </c>
      <c r="D1232" s="206">
        <f>SUMIFS(LANÇ_MOV[VALOR LÍQUIDO],LANÇ_MOV[RECEITA OU DESPESA],"Despesa",LANÇ_MOV[CONTAS],$C1232,LANÇ_MOV[PLANO DE CONTAS],REL_DRE_FINANCEIRO!$B$1164,LANÇ_MOV[ANO PAGAMENTO],$B$4,LANÇ_MOV[MÊS PAGAMENTO CORRESPONDENTE],D$6,LANÇ_MOV[EMPRESA],$C$4,LANÇ_MOV[CENTRO DE CUSTOS],$D$4)</f>
        <v>0</v>
      </c>
      <c r="E1232" s="206">
        <f>SUMIFS(LANÇ_MOV[VALOR LÍQUIDO],LANÇ_MOV[RECEITA OU DESPESA],"Despesa",LANÇ_MOV[CONTAS],$C1232,LANÇ_MOV[PLANO DE CONTAS],REL_DRE_FINANCEIRO!$B$1164,LANÇ_MOV[ANO PAGAMENTO],$B$4,LANÇ_MOV[MÊS PAGAMENTO CORRESPONDENTE],E$6,LANÇ_MOV[EMPRESA],$C$4,LANÇ_MOV[CENTRO DE CUSTOS],$D$4)</f>
        <v>0</v>
      </c>
      <c r="F1232" s="206">
        <f>SUMIFS(LANÇ_MOV[VALOR LÍQUIDO],LANÇ_MOV[RECEITA OU DESPESA],"Despesa",LANÇ_MOV[CONTAS],$C1232,LANÇ_MOV[PLANO DE CONTAS],REL_DRE_FINANCEIRO!$B$1164,LANÇ_MOV[ANO PAGAMENTO],$B$4,LANÇ_MOV[MÊS PAGAMENTO CORRESPONDENTE],F$6,LANÇ_MOV[EMPRESA],$C$4,LANÇ_MOV[CENTRO DE CUSTOS],$D$4)</f>
        <v>0</v>
      </c>
      <c r="G1232" s="206">
        <f>SUMIFS(LANÇ_MOV[VALOR LÍQUIDO],LANÇ_MOV[RECEITA OU DESPESA],"Despesa",LANÇ_MOV[CONTAS],$C1232,LANÇ_MOV[PLANO DE CONTAS],REL_DRE_FINANCEIRO!$B$1164,LANÇ_MOV[ANO PAGAMENTO],$B$4,LANÇ_MOV[MÊS PAGAMENTO CORRESPONDENTE],G$6,LANÇ_MOV[EMPRESA],$C$4,LANÇ_MOV[CENTRO DE CUSTOS],$D$4)</f>
        <v>0</v>
      </c>
      <c r="H1232" s="206">
        <f>SUMIFS(LANÇ_MOV[VALOR LÍQUIDO],LANÇ_MOV[RECEITA OU DESPESA],"Despesa",LANÇ_MOV[CONTAS],$C1232,LANÇ_MOV[PLANO DE CONTAS],REL_DRE_FINANCEIRO!$B$1164,LANÇ_MOV[ANO PAGAMENTO],$B$4,LANÇ_MOV[MÊS PAGAMENTO CORRESPONDENTE],H$6,LANÇ_MOV[EMPRESA],$C$4,LANÇ_MOV[CENTRO DE CUSTOS],$D$4)</f>
        <v>0</v>
      </c>
      <c r="I1232" s="206">
        <f>SUMIFS(LANÇ_MOV[VALOR LÍQUIDO],LANÇ_MOV[RECEITA OU DESPESA],"Despesa",LANÇ_MOV[CONTAS],$C1232,LANÇ_MOV[PLANO DE CONTAS],REL_DRE_FINANCEIRO!$B$1164,LANÇ_MOV[ANO PAGAMENTO],$B$4,LANÇ_MOV[MÊS PAGAMENTO CORRESPONDENTE],I$6,LANÇ_MOV[EMPRESA],$C$4,LANÇ_MOV[CENTRO DE CUSTOS],$D$4)</f>
        <v>0</v>
      </c>
      <c r="J1232" s="206">
        <f>SUMIFS(LANÇ_MOV[VALOR LÍQUIDO],LANÇ_MOV[RECEITA OU DESPESA],"Despesa",LANÇ_MOV[CONTAS],$C1232,LANÇ_MOV[PLANO DE CONTAS],REL_DRE_FINANCEIRO!$B$1164,LANÇ_MOV[ANO PAGAMENTO],$B$4,LANÇ_MOV[MÊS PAGAMENTO CORRESPONDENTE],J$6,LANÇ_MOV[EMPRESA],$C$4,LANÇ_MOV[CENTRO DE CUSTOS],$D$4)</f>
        <v>0</v>
      </c>
      <c r="K1232" s="206">
        <f>SUMIFS(LANÇ_MOV[VALOR LÍQUIDO],LANÇ_MOV[RECEITA OU DESPESA],"Despesa",LANÇ_MOV[CONTAS],$C1232,LANÇ_MOV[PLANO DE CONTAS],REL_DRE_FINANCEIRO!$B$1164,LANÇ_MOV[ANO PAGAMENTO],$B$4,LANÇ_MOV[MÊS PAGAMENTO CORRESPONDENTE],K$6,LANÇ_MOV[EMPRESA],$C$4,LANÇ_MOV[CENTRO DE CUSTOS],$D$4)</f>
        <v>0</v>
      </c>
      <c r="L1232" s="206">
        <f>SUMIFS(LANÇ_MOV[VALOR LÍQUIDO],LANÇ_MOV[RECEITA OU DESPESA],"Despesa",LANÇ_MOV[CONTAS],$C1232,LANÇ_MOV[PLANO DE CONTAS],REL_DRE_FINANCEIRO!$B$1164,LANÇ_MOV[ANO PAGAMENTO],$B$4,LANÇ_MOV[MÊS PAGAMENTO CORRESPONDENTE],L$6,LANÇ_MOV[EMPRESA],$C$4,LANÇ_MOV[CENTRO DE CUSTOS],$D$4)</f>
        <v>0</v>
      </c>
      <c r="M1232" s="206">
        <f>SUMIFS(LANÇ_MOV[VALOR LÍQUIDO],LANÇ_MOV[RECEITA OU DESPESA],"Despesa",LANÇ_MOV[CONTAS],$C1232,LANÇ_MOV[PLANO DE CONTAS],REL_DRE_FINANCEIRO!$B$1164,LANÇ_MOV[ANO PAGAMENTO],$B$4,LANÇ_MOV[MÊS PAGAMENTO CORRESPONDENTE],M$6,LANÇ_MOV[EMPRESA],$C$4,LANÇ_MOV[CENTRO DE CUSTOS],$D$4)</f>
        <v>0</v>
      </c>
      <c r="N1232" s="206">
        <f>SUMIFS(LANÇ_MOV[VALOR LÍQUIDO],LANÇ_MOV[RECEITA OU DESPESA],"Despesa",LANÇ_MOV[CONTAS],$C1232,LANÇ_MOV[PLANO DE CONTAS],REL_DRE_FINANCEIRO!$B$1164,LANÇ_MOV[ANO PAGAMENTO],$B$4,LANÇ_MOV[MÊS PAGAMENTO CORRESPONDENTE],N$6,LANÇ_MOV[EMPRESA],$C$4,LANÇ_MOV[CENTRO DE CUSTOS],$D$4)</f>
        <v>0</v>
      </c>
      <c r="O1232" s="206">
        <f>SUMIFS(LANÇ_MOV[VALOR LÍQUIDO],LANÇ_MOV[RECEITA OU DESPESA],"Despesa",LANÇ_MOV[CONTAS],$C1232,LANÇ_MOV[PLANO DE CONTAS],REL_DRE_FINANCEIRO!$B$1164,LANÇ_MOV[ANO PAGAMENTO],$B$4,LANÇ_MOV[MÊS PAGAMENTO CORRESPONDENTE],O$6,LANÇ_MOV[EMPRESA],$C$4,LANÇ_MOV[CENTRO DE CUSTOS],$D$4)</f>
        <v>0</v>
      </c>
      <c r="P1232" s="207">
        <f t="shared" si="150"/>
        <v>0</v>
      </c>
      <c r="Q1232" s="329">
        <v>3.3000000000000002E-6</v>
      </c>
      <c r="R1232" s="346">
        <f t="shared" si="151"/>
        <v>3.3000000000000002E-6</v>
      </c>
      <c r="S1232" s="347" t="str">
        <f t="shared" si="152"/>
        <v>-</v>
      </c>
      <c r="T1232" s="347">
        <f t="shared" si="153"/>
        <v>0</v>
      </c>
      <c r="U1232" s="347">
        <f>HLOOKUP(Apoio!$P$12,$D$1163:$P$1264,X1232,FALSE)+Q1232</f>
        <v>3.3000000000000002E-6</v>
      </c>
      <c r="V1232" s="447" t="str">
        <f t="shared" si="154"/>
        <v>-</v>
      </c>
      <c r="W1232" s="448">
        <f>HLOOKUP(Apoio!$P$12,$D$1163:$P$1264,X1232,FALSE)</f>
        <v>0</v>
      </c>
      <c r="X1232" s="329">
        <v>70</v>
      </c>
    </row>
    <row r="1233" spans="2:24" ht="30.05" customHeight="1" x14ac:dyDescent="0.35">
      <c r="B1233" s="204" t="str">
        <f>'CAD_PL_REC-DESP'!AI73</f>
        <v>2.9.69</v>
      </c>
      <c r="C1233" s="205" t="str">
        <f>IF('CAD_PL_REC-DESP'!AJ73="","-",'CAD_PL_REC-DESP'!AJ73)</f>
        <v>-</v>
      </c>
      <c r="D1233" s="206">
        <f>SUMIFS(LANÇ_MOV[VALOR LÍQUIDO],LANÇ_MOV[RECEITA OU DESPESA],"Despesa",LANÇ_MOV[CONTAS],$C1233,LANÇ_MOV[PLANO DE CONTAS],REL_DRE_FINANCEIRO!$B$1164,LANÇ_MOV[ANO PAGAMENTO],$B$4,LANÇ_MOV[MÊS PAGAMENTO CORRESPONDENTE],D$6,LANÇ_MOV[EMPRESA],$C$4,LANÇ_MOV[CENTRO DE CUSTOS],$D$4)</f>
        <v>0</v>
      </c>
      <c r="E1233" s="206">
        <f>SUMIFS(LANÇ_MOV[VALOR LÍQUIDO],LANÇ_MOV[RECEITA OU DESPESA],"Despesa",LANÇ_MOV[CONTAS],$C1233,LANÇ_MOV[PLANO DE CONTAS],REL_DRE_FINANCEIRO!$B$1164,LANÇ_MOV[ANO PAGAMENTO],$B$4,LANÇ_MOV[MÊS PAGAMENTO CORRESPONDENTE],E$6,LANÇ_MOV[EMPRESA],$C$4,LANÇ_MOV[CENTRO DE CUSTOS],$D$4)</f>
        <v>0</v>
      </c>
      <c r="F1233" s="206">
        <f>SUMIFS(LANÇ_MOV[VALOR LÍQUIDO],LANÇ_MOV[RECEITA OU DESPESA],"Despesa",LANÇ_MOV[CONTAS],$C1233,LANÇ_MOV[PLANO DE CONTAS],REL_DRE_FINANCEIRO!$B$1164,LANÇ_MOV[ANO PAGAMENTO],$B$4,LANÇ_MOV[MÊS PAGAMENTO CORRESPONDENTE],F$6,LANÇ_MOV[EMPRESA],$C$4,LANÇ_MOV[CENTRO DE CUSTOS],$D$4)</f>
        <v>0</v>
      </c>
      <c r="G1233" s="206">
        <f>SUMIFS(LANÇ_MOV[VALOR LÍQUIDO],LANÇ_MOV[RECEITA OU DESPESA],"Despesa",LANÇ_MOV[CONTAS],$C1233,LANÇ_MOV[PLANO DE CONTAS],REL_DRE_FINANCEIRO!$B$1164,LANÇ_MOV[ANO PAGAMENTO],$B$4,LANÇ_MOV[MÊS PAGAMENTO CORRESPONDENTE],G$6,LANÇ_MOV[EMPRESA],$C$4,LANÇ_MOV[CENTRO DE CUSTOS],$D$4)</f>
        <v>0</v>
      </c>
      <c r="H1233" s="206">
        <f>SUMIFS(LANÇ_MOV[VALOR LÍQUIDO],LANÇ_MOV[RECEITA OU DESPESA],"Despesa",LANÇ_MOV[CONTAS],$C1233,LANÇ_MOV[PLANO DE CONTAS],REL_DRE_FINANCEIRO!$B$1164,LANÇ_MOV[ANO PAGAMENTO],$B$4,LANÇ_MOV[MÊS PAGAMENTO CORRESPONDENTE],H$6,LANÇ_MOV[EMPRESA],$C$4,LANÇ_MOV[CENTRO DE CUSTOS],$D$4)</f>
        <v>0</v>
      </c>
      <c r="I1233" s="206">
        <f>SUMIFS(LANÇ_MOV[VALOR LÍQUIDO],LANÇ_MOV[RECEITA OU DESPESA],"Despesa",LANÇ_MOV[CONTAS],$C1233,LANÇ_MOV[PLANO DE CONTAS],REL_DRE_FINANCEIRO!$B$1164,LANÇ_MOV[ANO PAGAMENTO],$B$4,LANÇ_MOV[MÊS PAGAMENTO CORRESPONDENTE],I$6,LANÇ_MOV[EMPRESA],$C$4,LANÇ_MOV[CENTRO DE CUSTOS],$D$4)</f>
        <v>0</v>
      </c>
      <c r="J1233" s="206">
        <f>SUMIFS(LANÇ_MOV[VALOR LÍQUIDO],LANÇ_MOV[RECEITA OU DESPESA],"Despesa",LANÇ_MOV[CONTAS],$C1233,LANÇ_MOV[PLANO DE CONTAS],REL_DRE_FINANCEIRO!$B$1164,LANÇ_MOV[ANO PAGAMENTO],$B$4,LANÇ_MOV[MÊS PAGAMENTO CORRESPONDENTE],J$6,LANÇ_MOV[EMPRESA],$C$4,LANÇ_MOV[CENTRO DE CUSTOS],$D$4)</f>
        <v>0</v>
      </c>
      <c r="K1233" s="206">
        <f>SUMIFS(LANÇ_MOV[VALOR LÍQUIDO],LANÇ_MOV[RECEITA OU DESPESA],"Despesa",LANÇ_MOV[CONTAS],$C1233,LANÇ_MOV[PLANO DE CONTAS],REL_DRE_FINANCEIRO!$B$1164,LANÇ_MOV[ANO PAGAMENTO],$B$4,LANÇ_MOV[MÊS PAGAMENTO CORRESPONDENTE],K$6,LANÇ_MOV[EMPRESA],$C$4,LANÇ_MOV[CENTRO DE CUSTOS],$D$4)</f>
        <v>0</v>
      </c>
      <c r="L1233" s="206">
        <f>SUMIFS(LANÇ_MOV[VALOR LÍQUIDO],LANÇ_MOV[RECEITA OU DESPESA],"Despesa",LANÇ_MOV[CONTAS],$C1233,LANÇ_MOV[PLANO DE CONTAS],REL_DRE_FINANCEIRO!$B$1164,LANÇ_MOV[ANO PAGAMENTO],$B$4,LANÇ_MOV[MÊS PAGAMENTO CORRESPONDENTE],L$6,LANÇ_MOV[EMPRESA],$C$4,LANÇ_MOV[CENTRO DE CUSTOS],$D$4)</f>
        <v>0</v>
      </c>
      <c r="M1233" s="206">
        <f>SUMIFS(LANÇ_MOV[VALOR LÍQUIDO],LANÇ_MOV[RECEITA OU DESPESA],"Despesa",LANÇ_MOV[CONTAS],$C1233,LANÇ_MOV[PLANO DE CONTAS],REL_DRE_FINANCEIRO!$B$1164,LANÇ_MOV[ANO PAGAMENTO],$B$4,LANÇ_MOV[MÊS PAGAMENTO CORRESPONDENTE],M$6,LANÇ_MOV[EMPRESA],$C$4,LANÇ_MOV[CENTRO DE CUSTOS],$D$4)</f>
        <v>0</v>
      </c>
      <c r="N1233" s="206">
        <f>SUMIFS(LANÇ_MOV[VALOR LÍQUIDO],LANÇ_MOV[RECEITA OU DESPESA],"Despesa",LANÇ_MOV[CONTAS],$C1233,LANÇ_MOV[PLANO DE CONTAS],REL_DRE_FINANCEIRO!$B$1164,LANÇ_MOV[ANO PAGAMENTO],$B$4,LANÇ_MOV[MÊS PAGAMENTO CORRESPONDENTE],N$6,LANÇ_MOV[EMPRESA],$C$4,LANÇ_MOV[CENTRO DE CUSTOS],$D$4)</f>
        <v>0</v>
      </c>
      <c r="O1233" s="206">
        <f>SUMIFS(LANÇ_MOV[VALOR LÍQUIDO],LANÇ_MOV[RECEITA OU DESPESA],"Despesa",LANÇ_MOV[CONTAS],$C1233,LANÇ_MOV[PLANO DE CONTAS],REL_DRE_FINANCEIRO!$B$1164,LANÇ_MOV[ANO PAGAMENTO],$B$4,LANÇ_MOV[MÊS PAGAMENTO CORRESPONDENTE],O$6,LANÇ_MOV[EMPRESA],$C$4,LANÇ_MOV[CENTRO DE CUSTOS],$D$4)</f>
        <v>0</v>
      </c>
      <c r="P1233" s="207">
        <f t="shared" si="150"/>
        <v>0</v>
      </c>
      <c r="Q1233" s="329">
        <v>3.1999999999999999E-6</v>
      </c>
      <c r="R1233" s="346">
        <f t="shared" si="151"/>
        <v>3.1999999999999999E-6</v>
      </c>
      <c r="S1233" s="347" t="str">
        <f t="shared" si="152"/>
        <v>-</v>
      </c>
      <c r="T1233" s="347">
        <f t="shared" si="153"/>
        <v>0</v>
      </c>
      <c r="U1233" s="347">
        <f>HLOOKUP(Apoio!$P$12,$D$1163:$P$1264,X1233,FALSE)+Q1233</f>
        <v>3.1999999999999999E-6</v>
      </c>
      <c r="V1233" s="447" t="str">
        <f t="shared" si="154"/>
        <v>-</v>
      </c>
      <c r="W1233" s="448">
        <f>HLOOKUP(Apoio!$P$12,$D$1163:$P$1264,X1233,FALSE)</f>
        <v>0</v>
      </c>
      <c r="X1233" s="329">
        <v>71</v>
      </c>
    </row>
    <row r="1234" spans="2:24" ht="30.05" customHeight="1" x14ac:dyDescent="0.35">
      <c r="B1234" s="204" t="str">
        <f>'CAD_PL_REC-DESP'!AI74</f>
        <v>2.9.70</v>
      </c>
      <c r="C1234" s="205" t="str">
        <f>IF('CAD_PL_REC-DESP'!AJ74="","-",'CAD_PL_REC-DESP'!AJ74)</f>
        <v>-</v>
      </c>
      <c r="D1234" s="206">
        <f>SUMIFS(LANÇ_MOV[VALOR LÍQUIDO],LANÇ_MOV[RECEITA OU DESPESA],"Despesa",LANÇ_MOV[CONTAS],$C1234,LANÇ_MOV[PLANO DE CONTAS],REL_DRE_FINANCEIRO!$B$1164,LANÇ_MOV[ANO PAGAMENTO],$B$4,LANÇ_MOV[MÊS PAGAMENTO CORRESPONDENTE],D$6,LANÇ_MOV[EMPRESA],$C$4,LANÇ_MOV[CENTRO DE CUSTOS],$D$4)</f>
        <v>0</v>
      </c>
      <c r="E1234" s="206">
        <f>SUMIFS(LANÇ_MOV[VALOR LÍQUIDO],LANÇ_MOV[RECEITA OU DESPESA],"Despesa",LANÇ_MOV[CONTAS],$C1234,LANÇ_MOV[PLANO DE CONTAS],REL_DRE_FINANCEIRO!$B$1164,LANÇ_MOV[ANO PAGAMENTO],$B$4,LANÇ_MOV[MÊS PAGAMENTO CORRESPONDENTE],E$6,LANÇ_MOV[EMPRESA],$C$4,LANÇ_MOV[CENTRO DE CUSTOS],$D$4)</f>
        <v>0</v>
      </c>
      <c r="F1234" s="206">
        <f>SUMIFS(LANÇ_MOV[VALOR LÍQUIDO],LANÇ_MOV[RECEITA OU DESPESA],"Despesa",LANÇ_MOV[CONTAS],$C1234,LANÇ_MOV[PLANO DE CONTAS],REL_DRE_FINANCEIRO!$B$1164,LANÇ_MOV[ANO PAGAMENTO],$B$4,LANÇ_MOV[MÊS PAGAMENTO CORRESPONDENTE],F$6,LANÇ_MOV[EMPRESA],$C$4,LANÇ_MOV[CENTRO DE CUSTOS],$D$4)</f>
        <v>0</v>
      </c>
      <c r="G1234" s="206">
        <f>SUMIFS(LANÇ_MOV[VALOR LÍQUIDO],LANÇ_MOV[RECEITA OU DESPESA],"Despesa",LANÇ_MOV[CONTAS],$C1234,LANÇ_MOV[PLANO DE CONTAS],REL_DRE_FINANCEIRO!$B$1164,LANÇ_MOV[ANO PAGAMENTO],$B$4,LANÇ_MOV[MÊS PAGAMENTO CORRESPONDENTE],G$6,LANÇ_MOV[EMPRESA],$C$4,LANÇ_MOV[CENTRO DE CUSTOS],$D$4)</f>
        <v>0</v>
      </c>
      <c r="H1234" s="206">
        <f>SUMIFS(LANÇ_MOV[VALOR LÍQUIDO],LANÇ_MOV[RECEITA OU DESPESA],"Despesa",LANÇ_MOV[CONTAS],$C1234,LANÇ_MOV[PLANO DE CONTAS],REL_DRE_FINANCEIRO!$B$1164,LANÇ_MOV[ANO PAGAMENTO],$B$4,LANÇ_MOV[MÊS PAGAMENTO CORRESPONDENTE],H$6,LANÇ_MOV[EMPRESA],$C$4,LANÇ_MOV[CENTRO DE CUSTOS],$D$4)</f>
        <v>0</v>
      </c>
      <c r="I1234" s="206">
        <f>SUMIFS(LANÇ_MOV[VALOR LÍQUIDO],LANÇ_MOV[RECEITA OU DESPESA],"Despesa",LANÇ_MOV[CONTAS],$C1234,LANÇ_MOV[PLANO DE CONTAS],REL_DRE_FINANCEIRO!$B$1164,LANÇ_MOV[ANO PAGAMENTO],$B$4,LANÇ_MOV[MÊS PAGAMENTO CORRESPONDENTE],I$6,LANÇ_MOV[EMPRESA],$C$4,LANÇ_MOV[CENTRO DE CUSTOS],$D$4)</f>
        <v>0</v>
      </c>
      <c r="J1234" s="206">
        <f>SUMIFS(LANÇ_MOV[VALOR LÍQUIDO],LANÇ_MOV[RECEITA OU DESPESA],"Despesa",LANÇ_MOV[CONTAS],$C1234,LANÇ_MOV[PLANO DE CONTAS],REL_DRE_FINANCEIRO!$B$1164,LANÇ_MOV[ANO PAGAMENTO],$B$4,LANÇ_MOV[MÊS PAGAMENTO CORRESPONDENTE],J$6,LANÇ_MOV[EMPRESA],$C$4,LANÇ_MOV[CENTRO DE CUSTOS],$D$4)</f>
        <v>0</v>
      </c>
      <c r="K1234" s="206">
        <f>SUMIFS(LANÇ_MOV[VALOR LÍQUIDO],LANÇ_MOV[RECEITA OU DESPESA],"Despesa",LANÇ_MOV[CONTAS],$C1234,LANÇ_MOV[PLANO DE CONTAS],REL_DRE_FINANCEIRO!$B$1164,LANÇ_MOV[ANO PAGAMENTO],$B$4,LANÇ_MOV[MÊS PAGAMENTO CORRESPONDENTE],K$6,LANÇ_MOV[EMPRESA],$C$4,LANÇ_MOV[CENTRO DE CUSTOS],$D$4)</f>
        <v>0</v>
      </c>
      <c r="L1234" s="206">
        <f>SUMIFS(LANÇ_MOV[VALOR LÍQUIDO],LANÇ_MOV[RECEITA OU DESPESA],"Despesa",LANÇ_MOV[CONTAS],$C1234,LANÇ_MOV[PLANO DE CONTAS],REL_DRE_FINANCEIRO!$B$1164,LANÇ_MOV[ANO PAGAMENTO],$B$4,LANÇ_MOV[MÊS PAGAMENTO CORRESPONDENTE],L$6,LANÇ_MOV[EMPRESA],$C$4,LANÇ_MOV[CENTRO DE CUSTOS],$D$4)</f>
        <v>0</v>
      </c>
      <c r="M1234" s="206">
        <f>SUMIFS(LANÇ_MOV[VALOR LÍQUIDO],LANÇ_MOV[RECEITA OU DESPESA],"Despesa",LANÇ_MOV[CONTAS],$C1234,LANÇ_MOV[PLANO DE CONTAS],REL_DRE_FINANCEIRO!$B$1164,LANÇ_MOV[ANO PAGAMENTO],$B$4,LANÇ_MOV[MÊS PAGAMENTO CORRESPONDENTE],M$6,LANÇ_MOV[EMPRESA],$C$4,LANÇ_MOV[CENTRO DE CUSTOS],$D$4)</f>
        <v>0</v>
      </c>
      <c r="N1234" s="206">
        <f>SUMIFS(LANÇ_MOV[VALOR LÍQUIDO],LANÇ_MOV[RECEITA OU DESPESA],"Despesa",LANÇ_MOV[CONTAS],$C1234,LANÇ_MOV[PLANO DE CONTAS],REL_DRE_FINANCEIRO!$B$1164,LANÇ_MOV[ANO PAGAMENTO],$B$4,LANÇ_MOV[MÊS PAGAMENTO CORRESPONDENTE],N$6,LANÇ_MOV[EMPRESA],$C$4,LANÇ_MOV[CENTRO DE CUSTOS],$D$4)</f>
        <v>0</v>
      </c>
      <c r="O1234" s="206">
        <f>SUMIFS(LANÇ_MOV[VALOR LÍQUIDO],LANÇ_MOV[RECEITA OU DESPESA],"Despesa",LANÇ_MOV[CONTAS],$C1234,LANÇ_MOV[PLANO DE CONTAS],REL_DRE_FINANCEIRO!$B$1164,LANÇ_MOV[ANO PAGAMENTO],$B$4,LANÇ_MOV[MÊS PAGAMENTO CORRESPONDENTE],O$6,LANÇ_MOV[EMPRESA],$C$4,LANÇ_MOV[CENTRO DE CUSTOS],$D$4)</f>
        <v>0</v>
      </c>
      <c r="P1234" s="207">
        <f t="shared" si="150"/>
        <v>0</v>
      </c>
      <c r="Q1234" s="329">
        <v>3.1E-6</v>
      </c>
      <c r="R1234" s="346">
        <f t="shared" si="151"/>
        <v>3.1E-6</v>
      </c>
      <c r="S1234" s="347" t="str">
        <f t="shared" si="152"/>
        <v>-</v>
      </c>
      <c r="T1234" s="347">
        <f t="shared" si="153"/>
        <v>0</v>
      </c>
      <c r="U1234" s="347">
        <f>HLOOKUP(Apoio!$P$12,$D$1163:$P$1264,X1234,FALSE)+Q1234</f>
        <v>3.1E-6</v>
      </c>
      <c r="V1234" s="447" t="str">
        <f t="shared" si="154"/>
        <v>-</v>
      </c>
      <c r="W1234" s="448">
        <f>HLOOKUP(Apoio!$P$12,$D$1163:$P$1264,X1234,FALSE)</f>
        <v>0</v>
      </c>
      <c r="X1234" s="329">
        <v>72</v>
      </c>
    </row>
    <row r="1235" spans="2:24" ht="30.05" customHeight="1" x14ac:dyDescent="0.35">
      <c r="B1235" s="204" t="str">
        <f>'CAD_PL_REC-DESP'!AI75</f>
        <v>2.9.71</v>
      </c>
      <c r="C1235" s="205" t="str">
        <f>IF('CAD_PL_REC-DESP'!AJ75="","-",'CAD_PL_REC-DESP'!AJ75)</f>
        <v>-</v>
      </c>
      <c r="D1235" s="206">
        <f>SUMIFS(LANÇ_MOV[VALOR LÍQUIDO],LANÇ_MOV[RECEITA OU DESPESA],"Despesa",LANÇ_MOV[CONTAS],$C1235,LANÇ_MOV[PLANO DE CONTAS],REL_DRE_FINANCEIRO!$B$1164,LANÇ_MOV[ANO PAGAMENTO],$B$4,LANÇ_MOV[MÊS PAGAMENTO CORRESPONDENTE],D$6,LANÇ_MOV[EMPRESA],$C$4,LANÇ_MOV[CENTRO DE CUSTOS],$D$4)</f>
        <v>0</v>
      </c>
      <c r="E1235" s="206">
        <f>SUMIFS(LANÇ_MOV[VALOR LÍQUIDO],LANÇ_MOV[RECEITA OU DESPESA],"Despesa",LANÇ_MOV[CONTAS],$C1235,LANÇ_MOV[PLANO DE CONTAS],REL_DRE_FINANCEIRO!$B$1164,LANÇ_MOV[ANO PAGAMENTO],$B$4,LANÇ_MOV[MÊS PAGAMENTO CORRESPONDENTE],E$6,LANÇ_MOV[EMPRESA],$C$4,LANÇ_MOV[CENTRO DE CUSTOS],$D$4)</f>
        <v>0</v>
      </c>
      <c r="F1235" s="206">
        <f>SUMIFS(LANÇ_MOV[VALOR LÍQUIDO],LANÇ_MOV[RECEITA OU DESPESA],"Despesa",LANÇ_MOV[CONTAS],$C1235,LANÇ_MOV[PLANO DE CONTAS],REL_DRE_FINANCEIRO!$B$1164,LANÇ_MOV[ANO PAGAMENTO],$B$4,LANÇ_MOV[MÊS PAGAMENTO CORRESPONDENTE],F$6,LANÇ_MOV[EMPRESA],$C$4,LANÇ_MOV[CENTRO DE CUSTOS],$D$4)</f>
        <v>0</v>
      </c>
      <c r="G1235" s="206">
        <f>SUMIFS(LANÇ_MOV[VALOR LÍQUIDO],LANÇ_MOV[RECEITA OU DESPESA],"Despesa",LANÇ_MOV[CONTAS],$C1235,LANÇ_MOV[PLANO DE CONTAS],REL_DRE_FINANCEIRO!$B$1164,LANÇ_MOV[ANO PAGAMENTO],$B$4,LANÇ_MOV[MÊS PAGAMENTO CORRESPONDENTE],G$6,LANÇ_MOV[EMPRESA],$C$4,LANÇ_MOV[CENTRO DE CUSTOS],$D$4)</f>
        <v>0</v>
      </c>
      <c r="H1235" s="206">
        <f>SUMIFS(LANÇ_MOV[VALOR LÍQUIDO],LANÇ_MOV[RECEITA OU DESPESA],"Despesa",LANÇ_MOV[CONTAS],$C1235,LANÇ_MOV[PLANO DE CONTAS],REL_DRE_FINANCEIRO!$B$1164,LANÇ_MOV[ANO PAGAMENTO],$B$4,LANÇ_MOV[MÊS PAGAMENTO CORRESPONDENTE],H$6,LANÇ_MOV[EMPRESA],$C$4,LANÇ_MOV[CENTRO DE CUSTOS],$D$4)</f>
        <v>0</v>
      </c>
      <c r="I1235" s="206">
        <f>SUMIFS(LANÇ_MOV[VALOR LÍQUIDO],LANÇ_MOV[RECEITA OU DESPESA],"Despesa",LANÇ_MOV[CONTAS],$C1235,LANÇ_MOV[PLANO DE CONTAS],REL_DRE_FINANCEIRO!$B$1164,LANÇ_MOV[ANO PAGAMENTO],$B$4,LANÇ_MOV[MÊS PAGAMENTO CORRESPONDENTE],I$6,LANÇ_MOV[EMPRESA],$C$4,LANÇ_MOV[CENTRO DE CUSTOS],$D$4)</f>
        <v>0</v>
      </c>
      <c r="J1235" s="206">
        <f>SUMIFS(LANÇ_MOV[VALOR LÍQUIDO],LANÇ_MOV[RECEITA OU DESPESA],"Despesa",LANÇ_MOV[CONTAS],$C1235,LANÇ_MOV[PLANO DE CONTAS],REL_DRE_FINANCEIRO!$B$1164,LANÇ_MOV[ANO PAGAMENTO],$B$4,LANÇ_MOV[MÊS PAGAMENTO CORRESPONDENTE],J$6,LANÇ_MOV[EMPRESA],$C$4,LANÇ_MOV[CENTRO DE CUSTOS],$D$4)</f>
        <v>0</v>
      </c>
      <c r="K1235" s="206">
        <f>SUMIFS(LANÇ_MOV[VALOR LÍQUIDO],LANÇ_MOV[RECEITA OU DESPESA],"Despesa",LANÇ_MOV[CONTAS],$C1235,LANÇ_MOV[PLANO DE CONTAS],REL_DRE_FINANCEIRO!$B$1164,LANÇ_MOV[ANO PAGAMENTO],$B$4,LANÇ_MOV[MÊS PAGAMENTO CORRESPONDENTE],K$6,LANÇ_MOV[EMPRESA],$C$4,LANÇ_MOV[CENTRO DE CUSTOS],$D$4)</f>
        <v>0</v>
      </c>
      <c r="L1235" s="206">
        <f>SUMIFS(LANÇ_MOV[VALOR LÍQUIDO],LANÇ_MOV[RECEITA OU DESPESA],"Despesa",LANÇ_MOV[CONTAS],$C1235,LANÇ_MOV[PLANO DE CONTAS],REL_DRE_FINANCEIRO!$B$1164,LANÇ_MOV[ANO PAGAMENTO],$B$4,LANÇ_MOV[MÊS PAGAMENTO CORRESPONDENTE],L$6,LANÇ_MOV[EMPRESA],$C$4,LANÇ_MOV[CENTRO DE CUSTOS],$D$4)</f>
        <v>0</v>
      </c>
      <c r="M1235" s="206">
        <f>SUMIFS(LANÇ_MOV[VALOR LÍQUIDO],LANÇ_MOV[RECEITA OU DESPESA],"Despesa",LANÇ_MOV[CONTAS],$C1235,LANÇ_MOV[PLANO DE CONTAS],REL_DRE_FINANCEIRO!$B$1164,LANÇ_MOV[ANO PAGAMENTO],$B$4,LANÇ_MOV[MÊS PAGAMENTO CORRESPONDENTE],M$6,LANÇ_MOV[EMPRESA],$C$4,LANÇ_MOV[CENTRO DE CUSTOS],$D$4)</f>
        <v>0</v>
      </c>
      <c r="N1235" s="206">
        <f>SUMIFS(LANÇ_MOV[VALOR LÍQUIDO],LANÇ_MOV[RECEITA OU DESPESA],"Despesa",LANÇ_MOV[CONTAS],$C1235,LANÇ_MOV[PLANO DE CONTAS],REL_DRE_FINANCEIRO!$B$1164,LANÇ_MOV[ANO PAGAMENTO],$B$4,LANÇ_MOV[MÊS PAGAMENTO CORRESPONDENTE],N$6,LANÇ_MOV[EMPRESA],$C$4,LANÇ_MOV[CENTRO DE CUSTOS],$D$4)</f>
        <v>0</v>
      </c>
      <c r="O1235" s="206">
        <f>SUMIFS(LANÇ_MOV[VALOR LÍQUIDO],LANÇ_MOV[RECEITA OU DESPESA],"Despesa",LANÇ_MOV[CONTAS],$C1235,LANÇ_MOV[PLANO DE CONTAS],REL_DRE_FINANCEIRO!$B$1164,LANÇ_MOV[ANO PAGAMENTO],$B$4,LANÇ_MOV[MÊS PAGAMENTO CORRESPONDENTE],O$6,LANÇ_MOV[EMPRESA],$C$4,LANÇ_MOV[CENTRO DE CUSTOS],$D$4)</f>
        <v>0</v>
      </c>
      <c r="P1235" s="207">
        <f t="shared" si="150"/>
        <v>0</v>
      </c>
      <c r="Q1235" s="329">
        <v>3.0000000000000001E-6</v>
      </c>
      <c r="R1235" s="346">
        <f t="shared" si="151"/>
        <v>3.0000000000000001E-6</v>
      </c>
      <c r="S1235" s="347" t="str">
        <f t="shared" si="152"/>
        <v>-</v>
      </c>
      <c r="T1235" s="347">
        <f t="shared" si="153"/>
        <v>0</v>
      </c>
      <c r="U1235" s="347">
        <f>HLOOKUP(Apoio!$P$12,$D$1163:$P$1264,X1235,FALSE)+Q1235</f>
        <v>3.0000000000000001E-6</v>
      </c>
      <c r="V1235" s="447" t="str">
        <f t="shared" si="154"/>
        <v>-</v>
      </c>
      <c r="W1235" s="448">
        <f>HLOOKUP(Apoio!$P$12,$D$1163:$P$1264,X1235,FALSE)</f>
        <v>0</v>
      </c>
      <c r="X1235" s="329">
        <v>73</v>
      </c>
    </row>
    <row r="1236" spans="2:24" ht="30.05" customHeight="1" x14ac:dyDescent="0.35">
      <c r="B1236" s="204" t="str">
        <f>'CAD_PL_REC-DESP'!AI76</f>
        <v>2.9.72</v>
      </c>
      <c r="C1236" s="205" t="str">
        <f>IF('CAD_PL_REC-DESP'!AJ76="","-",'CAD_PL_REC-DESP'!AJ76)</f>
        <v>-</v>
      </c>
      <c r="D1236" s="206">
        <f>SUMIFS(LANÇ_MOV[VALOR LÍQUIDO],LANÇ_MOV[RECEITA OU DESPESA],"Despesa",LANÇ_MOV[CONTAS],$C1236,LANÇ_MOV[PLANO DE CONTAS],REL_DRE_FINANCEIRO!$B$1164,LANÇ_MOV[ANO PAGAMENTO],$B$4,LANÇ_MOV[MÊS PAGAMENTO CORRESPONDENTE],D$6,LANÇ_MOV[EMPRESA],$C$4,LANÇ_MOV[CENTRO DE CUSTOS],$D$4)</f>
        <v>0</v>
      </c>
      <c r="E1236" s="206">
        <f>SUMIFS(LANÇ_MOV[VALOR LÍQUIDO],LANÇ_MOV[RECEITA OU DESPESA],"Despesa",LANÇ_MOV[CONTAS],$C1236,LANÇ_MOV[PLANO DE CONTAS],REL_DRE_FINANCEIRO!$B$1164,LANÇ_MOV[ANO PAGAMENTO],$B$4,LANÇ_MOV[MÊS PAGAMENTO CORRESPONDENTE],E$6,LANÇ_MOV[EMPRESA],$C$4,LANÇ_MOV[CENTRO DE CUSTOS],$D$4)</f>
        <v>0</v>
      </c>
      <c r="F1236" s="206">
        <f>SUMIFS(LANÇ_MOV[VALOR LÍQUIDO],LANÇ_MOV[RECEITA OU DESPESA],"Despesa",LANÇ_MOV[CONTAS],$C1236,LANÇ_MOV[PLANO DE CONTAS],REL_DRE_FINANCEIRO!$B$1164,LANÇ_MOV[ANO PAGAMENTO],$B$4,LANÇ_MOV[MÊS PAGAMENTO CORRESPONDENTE],F$6,LANÇ_MOV[EMPRESA],$C$4,LANÇ_MOV[CENTRO DE CUSTOS],$D$4)</f>
        <v>0</v>
      </c>
      <c r="G1236" s="206">
        <f>SUMIFS(LANÇ_MOV[VALOR LÍQUIDO],LANÇ_MOV[RECEITA OU DESPESA],"Despesa",LANÇ_MOV[CONTAS],$C1236,LANÇ_MOV[PLANO DE CONTAS],REL_DRE_FINANCEIRO!$B$1164,LANÇ_MOV[ANO PAGAMENTO],$B$4,LANÇ_MOV[MÊS PAGAMENTO CORRESPONDENTE],G$6,LANÇ_MOV[EMPRESA],$C$4,LANÇ_MOV[CENTRO DE CUSTOS],$D$4)</f>
        <v>0</v>
      </c>
      <c r="H1236" s="206">
        <f>SUMIFS(LANÇ_MOV[VALOR LÍQUIDO],LANÇ_MOV[RECEITA OU DESPESA],"Despesa",LANÇ_MOV[CONTAS],$C1236,LANÇ_MOV[PLANO DE CONTAS],REL_DRE_FINANCEIRO!$B$1164,LANÇ_MOV[ANO PAGAMENTO],$B$4,LANÇ_MOV[MÊS PAGAMENTO CORRESPONDENTE],H$6,LANÇ_MOV[EMPRESA],$C$4,LANÇ_MOV[CENTRO DE CUSTOS],$D$4)</f>
        <v>0</v>
      </c>
      <c r="I1236" s="206">
        <f>SUMIFS(LANÇ_MOV[VALOR LÍQUIDO],LANÇ_MOV[RECEITA OU DESPESA],"Despesa",LANÇ_MOV[CONTAS],$C1236,LANÇ_MOV[PLANO DE CONTAS],REL_DRE_FINANCEIRO!$B$1164,LANÇ_MOV[ANO PAGAMENTO],$B$4,LANÇ_MOV[MÊS PAGAMENTO CORRESPONDENTE],I$6,LANÇ_MOV[EMPRESA],$C$4,LANÇ_MOV[CENTRO DE CUSTOS],$D$4)</f>
        <v>0</v>
      </c>
      <c r="J1236" s="206">
        <f>SUMIFS(LANÇ_MOV[VALOR LÍQUIDO],LANÇ_MOV[RECEITA OU DESPESA],"Despesa",LANÇ_MOV[CONTAS],$C1236,LANÇ_MOV[PLANO DE CONTAS],REL_DRE_FINANCEIRO!$B$1164,LANÇ_MOV[ANO PAGAMENTO],$B$4,LANÇ_MOV[MÊS PAGAMENTO CORRESPONDENTE],J$6,LANÇ_MOV[EMPRESA],$C$4,LANÇ_MOV[CENTRO DE CUSTOS],$D$4)</f>
        <v>0</v>
      </c>
      <c r="K1236" s="206">
        <f>SUMIFS(LANÇ_MOV[VALOR LÍQUIDO],LANÇ_MOV[RECEITA OU DESPESA],"Despesa",LANÇ_MOV[CONTAS],$C1236,LANÇ_MOV[PLANO DE CONTAS],REL_DRE_FINANCEIRO!$B$1164,LANÇ_MOV[ANO PAGAMENTO],$B$4,LANÇ_MOV[MÊS PAGAMENTO CORRESPONDENTE],K$6,LANÇ_MOV[EMPRESA],$C$4,LANÇ_MOV[CENTRO DE CUSTOS],$D$4)</f>
        <v>0</v>
      </c>
      <c r="L1236" s="206">
        <f>SUMIFS(LANÇ_MOV[VALOR LÍQUIDO],LANÇ_MOV[RECEITA OU DESPESA],"Despesa",LANÇ_MOV[CONTAS],$C1236,LANÇ_MOV[PLANO DE CONTAS],REL_DRE_FINANCEIRO!$B$1164,LANÇ_MOV[ANO PAGAMENTO],$B$4,LANÇ_MOV[MÊS PAGAMENTO CORRESPONDENTE],L$6,LANÇ_MOV[EMPRESA],$C$4,LANÇ_MOV[CENTRO DE CUSTOS],$D$4)</f>
        <v>0</v>
      </c>
      <c r="M1236" s="206">
        <f>SUMIFS(LANÇ_MOV[VALOR LÍQUIDO],LANÇ_MOV[RECEITA OU DESPESA],"Despesa",LANÇ_MOV[CONTAS],$C1236,LANÇ_MOV[PLANO DE CONTAS],REL_DRE_FINANCEIRO!$B$1164,LANÇ_MOV[ANO PAGAMENTO],$B$4,LANÇ_MOV[MÊS PAGAMENTO CORRESPONDENTE],M$6,LANÇ_MOV[EMPRESA],$C$4,LANÇ_MOV[CENTRO DE CUSTOS],$D$4)</f>
        <v>0</v>
      </c>
      <c r="N1236" s="206">
        <f>SUMIFS(LANÇ_MOV[VALOR LÍQUIDO],LANÇ_MOV[RECEITA OU DESPESA],"Despesa",LANÇ_MOV[CONTAS],$C1236,LANÇ_MOV[PLANO DE CONTAS],REL_DRE_FINANCEIRO!$B$1164,LANÇ_MOV[ANO PAGAMENTO],$B$4,LANÇ_MOV[MÊS PAGAMENTO CORRESPONDENTE],N$6,LANÇ_MOV[EMPRESA],$C$4,LANÇ_MOV[CENTRO DE CUSTOS],$D$4)</f>
        <v>0</v>
      </c>
      <c r="O1236" s="206">
        <f>SUMIFS(LANÇ_MOV[VALOR LÍQUIDO],LANÇ_MOV[RECEITA OU DESPESA],"Despesa",LANÇ_MOV[CONTAS],$C1236,LANÇ_MOV[PLANO DE CONTAS],REL_DRE_FINANCEIRO!$B$1164,LANÇ_MOV[ANO PAGAMENTO],$B$4,LANÇ_MOV[MÊS PAGAMENTO CORRESPONDENTE],O$6,LANÇ_MOV[EMPRESA],$C$4,LANÇ_MOV[CENTRO DE CUSTOS],$D$4)</f>
        <v>0</v>
      </c>
      <c r="P1236" s="207">
        <f t="shared" si="150"/>
        <v>0</v>
      </c>
      <c r="Q1236" s="329">
        <v>2.9000000000000002E-6</v>
      </c>
      <c r="R1236" s="346">
        <f t="shared" si="151"/>
        <v>2.9000000000000002E-6</v>
      </c>
      <c r="S1236" s="347" t="str">
        <f t="shared" si="152"/>
        <v>-</v>
      </c>
      <c r="T1236" s="347">
        <f t="shared" si="153"/>
        <v>0</v>
      </c>
      <c r="U1236" s="347">
        <f>HLOOKUP(Apoio!$P$12,$D$1163:$P$1264,X1236,FALSE)+Q1236</f>
        <v>2.9000000000000002E-6</v>
      </c>
      <c r="V1236" s="447" t="str">
        <f t="shared" si="154"/>
        <v>-</v>
      </c>
      <c r="W1236" s="448">
        <f>HLOOKUP(Apoio!$P$12,$D$1163:$P$1264,X1236,FALSE)</f>
        <v>0</v>
      </c>
      <c r="X1236" s="329">
        <v>74</v>
      </c>
    </row>
    <row r="1237" spans="2:24" ht="30.05" customHeight="1" x14ac:dyDescent="0.35">
      <c r="B1237" s="204" t="str">
        <f>'CAD_PL_REC-DESP'!AI77</f>
        <v>2.9.73</v>
      </c>
      <c r="C1237" s="205" t="str">
        <f>IF('CAD_PL_REC-DESP'!AJ77="","-",'CAD_PL_REC-DESP'!AJ77)</f>
        <v>-</v>
      </c>
      <c r="D1237" s="206">
        <f>SUMIFS(LANÇ_MOV[VALOR LÍQUIDO],LANÇ_MOV[RECEITA OU DESPESA],"Despesa",LANÇ_MOV[CONTAS],$C1237,LANÇ_MOV[PLANO DE CONTAS],REL_DRE_FINANCEIRO!$B$1164,LANÇ_MOV[ANO PAGAMENTO],$B$4,LANÇ_MOV[MÊS PAGAMENTO CORRESPONDENTE],D$6,LANÇ_MOV[EMPRESA],$C$4,LANÇ_MOV[CENTRO DE CUSTOS],$D$4)</f>
        <v>0</v>
      </c>
      <c r="E1237" s="206">
        <f>SUMIFS(LANÇ_MOV[VALOR LÍQUIDO],LANÇ_MOV[RECEITA OU DESPESA],"Despesa",LANÇ_MOV[CONTAS],$C1237,LANÇ_MOV[PLANO DE CONTAS],REL_DRE_FINANCEIRO!$B$1164,LANÇ_MOV[ANO PAGAMENTO],$B$4,LANÇ_MOV[MÊS PAGAMENTO CORRESPONDENTE],E$6,LANÇ_MOV[EMPRESA],$C$4,LANÇ_MOV[CENTRO DE CUSTOS],$D$4)</f>
        <v>0</v>
      </c>
      <c r="F1237" s="206">
        <f>SUMIFS(LANÇ_MOV[VALOR LÍQUIDO],LANÇ_MOV[RECEITA OU DESPESA],"Despesa",LANÇ_MOV[CONTAS],$C1237,LANÇ_MOV[PLANO DE CONTAS],REL_DRE_FINANCEIRO!$B$1164,LANÇ_MOV[ANO PAGAMENTO],$B$4,LANÇ_MOV[MÊS PAGAMENTO CORRESPONDENTE],F$6,LANÇ_MOV[EMPRESA],$C$4,LANÇ_MOV[CENTRO DE CUSTOS],$D$4)</f>
        <v>0</v>
      </c>
      <c r="G1237" s="206">
        <f>SUMIFS(LANÇ_MOV[VALOR LÍQUIDO],LANÇ_MOV[RECEITA OU DESPESA],"Despesa",LANÇ_MOV[CONTAS],$C1237,LANÇ_MOV[PLANO DE CONTAS],REL_DRE_FINANCEIRO!$B$1164,LANÇ_MOV[ANO PAGAMENTO],$B$4,LANÇ_MOV[MÊS PAGAMENTO CORRESPONDENTE],G$6,LANÇ_MOV[EMPRESA],$C$4,LANÇ_MOV[CENTRO DE CUSTOS],$D$4)</f>
        <v>0</v>
      </c>
      <c r="H1237" s="206">
        <f>SUMIFS(LANÇ_MOV[VALOR LÍQUIDO],LANÇ_MOV[RECEITA OU DESPESA],"Despesa",LANÇ_MOV[CONTAS],$C1237,LANÇ_MOV[PLANO DE CONTAS],REL_DRE_FINANCEIRO!$B$1164,LANÇ_MOV[ANO PAGAMENTO],$B$4,LANÇ_MOV[MÊS PAGAMENTO CORRESPONDENTE],H$6,LANÇ_MOV[EMPRESA],$C$4,LANÇ_MOV[CENTRO DE CUSTOS],$D$4)</f>
        <v>0</v>
      </c>
      <c r="I1237" s="206">
        <f>SUMIFS(LANÇ_MOV[VALOR LÍQUIDO],LANÇ_MOV[RECEITA OU DESPESA],"Despesa",LANÇ_MOV[CONTAS],$C1237,LANÇ_MOV[PLANO DE CONTAS],REL_DRE_FINANCEIRO!$B$1164,LANÇ_MOV[ANO PAGAMENTO],$B$4,LANÇ_MOV[MÊS PAGAMENTO CORRESPONDENTE],I$6,LANÇ_MOV[EMPRESA],$C$4,LANÇ_MOV[CENTRO DE CUSTOS],$D$4)</f>
        <v>0</v>
      </c>
      <c r="J1237" s="206">
        <f>SUMIFS(LANÇ_MOV[VALOR LÍQUIDO],LANÇ_MOV[RECEITA OU DESPESA],"Despesa",LANÇ_MOV[CONTAS],$C1237,LANÇ_MOV[PLANO DE CONTAS],REL_DRE_FINANCEIRO!$B$1164,LANÇ_MOV[ANO PAGAMENTO],$B$4,LANÇ_MOV[MÊS PAGAMENTO CORRESPONDENTE],J$6,LANÇ_MOV[EMPRESA],$C$4,LANÇ_MOV[CENTRO DE CUSTOS],$D$4)</f>
        <v>0</v>
      </c>
      <c r="K1237" s="206">
        <f>SUMIFS(LANÇ_MOV[VALOR LÍQUIDO],LANÇ_MOV[RECEITA OU DESPESA],"Despesa",LANÇ_MOV[CONTAS],$C1237,LANÇ_MOV[PLANO DE CONTAS],REL_DRE_FINANCEIRO!$B$1164,LANÇ_MOV[ANO PAGAMENTO],$B$4,LANÇ_MOV[MÊS PAGAMENTO CORRESPONDENTE],K$6,LANÇ_MOV[EMPRESA],$C$4,LANÇ_MOV[CENTRO DE CUSTOS],$D$4)</f>
        <v>0</v>
      </c>
      <c r="L1237" s="206">
        <f>SUMIFS(LANÇ_MOV[VALOR LÍQUIDO],LANÇ_MOV[RECEITA OU DESPESA],"Despesa",LANÇ_MOV[CONTAS],$C1237,LANÇ_MOV[PLANO DE CONTAS],REL_DRE_FINANCEIRO!$B$1164,LANÇ_MOV[ANO PAGAMENTO],$B$4,LANÇ_MOV[MÊS PAGAMENTO CORRESPONDENTE],L$6,LANÇ_MOV[EMPRESA],$C$4,LANÇ_MOV[CENTRO DE CUSTOS],$D$4)</f>
        <v>0</v>
      </c>
      <c r="M1237" s="206">
        <f>SUMIFS(LANÇ_MOV[VALOR LÍQUIDO],LANÇ_MOV[RECEITA OU DESPESA],"Despesa",LANÇ_MOV[CONTAS],$C1237,LANÇ_MOV[PLANO DE CONTAS],REL_DRE_FINANCEIRO!$B$1164,LANÇ_MOV[ANO PAGAMENTO],$B$4,LANÇ_MOV[MÊS PAGAMENTO CORRESPONDENTE],M$6,LANÇ_MOV[EMPRESA],$C$4,LANÇ_MOV[CENTRO DE CUSTOS],$D$4)</f>
        <v>0</v>
      </c>
      <c r="N1237" s="206">
        <f>SUMIFS(LANÇ_MOV[VALOR LÍQUIDO],LANÇ_MOV[RECEITA OU DESPESA],"Despesa",LANÇ_MOV[CONTAS],$C1237,LANÇ_MOV[PLANO DE CONTAS],REL_DRE_FINANCEIRO!$B$1164,LANÇ_MOV[ANO PAGAMENTO],$B$4,LANÇ_MOV[MÊS PAGAMENTO CORRESPONDENTE],N$6,LANÇ_MOV[EMPRESA],$C$4,LANÇ_MOV[CENTRO DE CUSTOS],$D$4)</f>
        <v>0</v>
      </c>
      <c r="O1237" s="206">
        <f>SUMIFS(LANÇ_MOV[VALOR LÍQUIDO],LANÇ_MOV[RECEITA OU DESPESA],"Despesa",LANÇ_MOV[CONTAS],$C1237,LANÇ_MOV[PLANO DE CONTAS],REL_DRE_FINANCEIRO!$B$1164,LANÇ_MOV[ANO PAGAMENTO],$B$4,LANÇ_MOV[MÊS PAGAMENTO CORRESPONDENTE],O$6,LANÇ_MOV[EMPRESA],$C$4,LANÇ_MOV[CENTRO DE CUSTOS],$D$4)</f>
        <v>0</v>
      </c>
      <c r="P1237" s="207">
        <f t="shared" si="150"/>
        <v>0</v>
      </c>
      <c r="Q1237" s="329">
        <v>2.7999999999999999E-6</v>
      </c>
      <c r="R1237" s="346">
        <f t="shared" si="151"/>
        <v>2.7999999999999999E-6</v>
      </c>
      <c r="S1237" s="347" t="str">
        <f t="shared" si="152"/>
        <v>-</v>
      </c>
      <c r="T1237" s="347">
        <f t="shared" si="153"/>
        <v>0</v>
      </c>
      <c r="U1237" s="347">
        <f>HLOOKUP(Apoio!$P$12,$D$1163:$P$1264,X1237,FALSE)+Q1237</f>
        <v>2.7999999999999999E-6</v>
      </c>
      <c r="V1237" s="447" t="str">
        <f t="shared" si="154"/>
        <v>-</v>
      </c>
      <c r="W1237" s="448">
        <f>HLOOKUP(Apoio!$P$12,$D$1163:$P$1264,X1237,FALSE)</f>
        <v>0</v>
      </c>
      <c r="X1237" s="329">
        <v>75</v>
      </c>
    </row>
    <row r="1238" spans="2:24" ht="30.05" customHeight="1" x14ac:dyDescent="0.35">
      <c r="B1238" s="204" t="str">
        <f>'CAD_PL_REC-DESP'!AI78</f>
        <v>2.9.74</v>
      </c>
      <c r="C1238" s="205" t="str">
        <f>IF('CAD_PL_REC-DESP'!AJ78="","-",'CAD_PL_REC-DESP'!AJ78)</f>
        <v>-</v>
      </c>
      <c r="D1238" s="206">
        <f>SUMIFS(LANÇ_MOV[VALOR LÍQUIDO],LANÇ_MOV[RECEITA OU DESPESA],"Despesa",LANÇ_MOV[CONTAS],$C1238,LANÇ_MOV[PLANO DE CONTAS],REL_DRE_FINANCEIRO!$B$1164,LANÇ_MOV[ANO PAGAMENTO],$B$4,LANÇ_MOV[MÊS PAGAMENTO CORRESPONDENTE],D$6,LANÇ_MOV[EMPRESA],$C$4,LANÇ_MOV[CENTRO DE CUSTOS],$D$4)</f>
        <v>0</v>
      </c>
      <c r="E1238" s="206">
        <f>SUMIFS(LANÇ_MOV[VALOR LÍQUIDO],LANÇ_MOV[RECEITA OU DESPESA],"Despesa",LANÇ_MOV[CONTAS],$C1238,LANÇ_MOV[PLANO DE CONTAS],REL_DRE_FINANCEIRO!$B$1164,LANÇ_MOV[ANO PAGAMENTO],$B$4,LANÇ_MOV[MÊS PAGAMENTO CORRESPONDENTE],E$6,LANÇ_MOV[EMPRESA],$C$4,LANÇ_MOV[CENTRO DE CUSTOS],$D$4)</f>
        <v>0</v>
      </c>
      <c r="F1238" s="206">
        <f>SUMIFS(LANÇ_MOV[VALOR LÍQUIDO],LANÇ_MOV[RECEITA OU DESPESA],"Despesa",LANÇ_MOV[CONTAS],$C1238,LANÇ_MOV[PLANO DE CONTAS],REL_DRE_FINANCEIRO!$B$1164,LANÇ_MOV[ANO PAGAMENTO],$B$4,LANÇ_MOV[MÊS PAGAMENTO CORRESPONDENTE],F$6,LANÇ_MOV[EMPRESA],$C$4,LANÇ_MOV[CENTRO DE CUSTOS],$D$4)</f>
        <v>0</v>
      </c>
      <c r="G1238" s="206">
        <f>SUMIFS(LANÇ_MOV[VALOR LÍQUIDO],LANÇ_MOV[RECEITA OU DESPESA],"Despesa",LANÇ_MOV[CONTAS],$C1238,LANÇ_MOV[PLANO DE CONTAS],REL_DRE_FINANCEIRO!$B$1164,LANÇ_MOV[ANO PAGAMENTO],$B$4,LANÇ_MOV[MÊS PAGAMENTO CORRESPONDENTE],G$6,LANÇ_MOV[EMPRESA],$C$4,LANÇ_MOV[CENTRO DE CUSTOS],$D$4)</f>
        <v>0</v>
      </c>
      <c r="H1238" s="206">
        <f>SUMIFS(LANÇ_MOV[VALOR LÍQUIDO],LANÇ_MOV[RECEITA OU DESPESA],"Despesa",LANÇ_MOV[CONTAS],$C1238,LANÇ_MOV[PLANO DE CONTAS],REL_DRE_FINANCEIRO!$B$1164,LANÇ_MOV[ANO PAGAMENTO],$B$4,LANÇ_MOV[MÊS PAGAMENTO CORRESPONDENTE],H$6,LANÇ_MOV[EMPRESA],$C$4,LANÇ_MOV[CENTRO DE CUSTOS],$D$4)</f>
        <v>0</v>
      </c>
      <c r="I1238" s="206">
        <f>SUMIFS(LANÇ_MOV[VALOR LÍQUIDO],LANÇ_MOV[RECEITA OU DESPESA],"Despesa",LANÇ_MOV[CONTAS],$C1238,LANÇ_MOV[PLANO DE CONTAS],REL_DRE_FINANCEIRO!$B$1164,LANÇ_MOV[ANO PAGAMENTO],$B$4,LANÇ_MOV[MÊS PAGAMENTO CORRESPONDENTE],I$6,LANÇ_MOV[EMPRESA],$C$4,LANÇ_MOV[CENTRO DE CUSTOS],$D$4)</f>
        <v>0</v>
      </c>
      <c r="J1238" s="206">
        <f>SUMIFS(LANÇ_MOV[VALOR LÍQUIDO],LANÇ_MOV[RECEITA OU DESPESA],"Despesa",LANÇ_MOV[CONTAS],$C1238,LANÇ_MOV[PLANO DE CONTAS],REL_DRE_FINANCEIRO!$B$1164,LANÇ_MOV[ANO PAGAMENTO],$B$4,LANÇ_MOV[MÊS PAGAMENTO CORRESPONDENTE],J$6,LANÇ_MOV[EMPRESA],$C$4,LANÇ_MOV[CENTRO DE CUSTOS],$D$4)</f>
        <v>0</v>
      </c>
      <c r="K1238" s="206">
        <f>SUMIFS(LANÇ_MOV[VALOR LÍQUIDO],LANÇ_MOV[RECEITA OU DESPESA],"Despesa",LANÇ_MOV[CONTAS],$C1238,LANÇ_MOV[PLANO DE CONTAS],REL_DRE_FINANCEIRO!$B$1164,LANÇ_MOV[ANO PAGAMENTO],$B$4,LANÇ_MOV[MÊS PAGAMENTO CORRESPONDENTE],K$6,LANÇ_MOV[EMPRESA],$C$4,LANÇ_MOV[CENTRO DE CUSTOS],$D$4)</f>
        <v>0</v>
      </c>
      <c r="L1238" s="206">
        <f>SUMIFS(LANÇ_MOV[VALOR LÍQUIDO],LANÇ_MOV[RECEITA OU DESPESA],"Despesa",LANÇ_MOV[CONTAS],$C1238,LANÇ_MOV[PLANO DE CONTAS],REL_DRE_FINANCEIRO!$B$1164,LANÇ_MOV[ANO PAGAMENTO],$B$4,LANÇ_MOV[MÊS PAGAMENTO CORRESPONDENTE],L$6,LANÇ_MOV[EMPRESA],$C$4,LANÇ_MOV[CENTRO DE CUSTOS],$D$4)</f>
        <v>0</v>
      </c>
      <c r="M1238" s="206">
        <f>SUMIFS(LANÇ_MOV[VALOR LÍQUIDO],LANÇ_MOV[RECEITA OU DESPESA],"Despesa",LANÇ_MOV[CONTAS],$C1238,LANÇ_MOV[PLANO DE CONTAS],REL_DRE_FINANCEIRO!$B$1164,LANÇ_MOV[ANO PAGAMENTO],$B$4,LANÇ_MOV[MÊS PAGAMENTO CORRESPONDENTE],M$6,LANÇ_MOV[EMPRESA],$C$4,LANÇ_MOV[CENTRO DE CUSTOS],$D$4)</f>
        <v>0</v>
      </c>
      <c r="N1238" s="206">
        <f>SUMIFS(LANÇ_MOV[VALOR LÍQUIDO],LANÇ_MOV[RECEITA OU DESPESA],"Despesa",LANÇ_MOV[CONTAS],$C1238,LANÇ_MOV[PLANO DE CONTAS],REL_DRE_FINANCEIRO!$B$1164,LANÇ_MOV[ANO PAGAMENTO],$B$4,LANÇ_MOV[MÊS PAGAMENTO CORRESPONDENTE],N$6,LANÇ_MOV[EMPRESA],$C$4,LANÇ_MOV[CENTRO DE CUSTOS],$D$4)</f>
        <v>0</v>
      </c>
      <c r="O1238" s="206">
        <f>SUMIFS(LANÇ_MOV[VALOR LÍQUIDO],LANÇ_MOV[RECEITA OU DESPESA],"Despesa",LANÇ_MOV[CONTAS],$C1238,LANÇ_MOV[PLANO DE CONTAS],REL_DRE_FINANCEIRO!$B$1164,LANÇ_MOV[ANO PAGAMENTO],$B$4,LANÇ_MOV[MÊS PAGAMENTO CORRESPONDENTE],O$6,LANÇ_MOV[EMPRESA],$C$4,LANÇ_MOV[CENTRO DE CUSTOS],$D$4)</f>
        <v>0</v>
      </c>
      <c r="P1238" s="207">
        <f t="shared" si="150"/>
        <v>0</v>
      </c>
      <c r="Q1238" s="329">
        <v>2.7E-6</v>
      </c>
      <c r="R1238" s="346">
        <f t="shared" si="151"/>
        <v>2.7E-6</v>
      </c>
      <c r="S1238" s="347" t="str">
        <f t="shared" si="152"/>
        <v>-</v>
      </c>
      <c r="T1238" s="347">
        <f t="shared" si="153"/>
        <v>0</v>
      </c>
      <c r="U1238" s="347">
        <f>HLOOKUP(Apoio!$P$12,$D$1163:$P$1264,X1238,FALSE)+Q1238</f>
        <v>2.7E-6</v>
      </c>
      <c r="V1238" s="447" t="str">
        <f t="shared" si="154"/>
        <v>-</v>
      </c>
      <c r="W1238" s="448">
        <f>HLOOKUP(Apoio!$P$12,$D$1163:$P$1264,X1238,FALSE)</f>
        <v>0</v>
      </c>
      <c r="X1238" s="329">
        <v>76</v>
      </c>
    </row>
    <row r="1239" spans="2:24" ht="30.05" customHeight="1" x14ac:dyDescent="0.35">
      <c r="B1239" s="204" t="str">
        <f>'CAD_PL_REC-DESP'!AI79</f>
        <v>2.9.75</v>
      </c>
      <c r="C1239" s="205" t="str">
        <f>IF('CAD_PL_REC-DESP'!AJ79="","-",'CAD_PL_REC-DESP'!AJ79)</f>
        <v>-</v>
      </c>
      <c r="D1239" s="206">
        <f>SUMIFS(LANÇ_MOV[VALOR LÍQUIDO],LANÇ_MOV[RECEITA OU DESPESA],"Despesa",LANÇ_MOV[CONTAS],$C1239,LANÇ_MOV[PLANO DE CONTAS],REL_DRE_FINANCEIRO!$B$1164,LANÇ_MOV[ANO PAGAMENTO],$B$4,LANÇ_MOV[MÊS PAGAMENTO CORRESPONDENTE],D$6,LANÇ_MOV[EMPRESA],$C$4,LANÇ_MOV[CENTRO DE CUSTOS],$D$4)</f>
        <v>0</v>
      </c>
      <c r="E1239" s="206">
        <f>SUMIFS(LANÇ_MOV[VALOR LÍQUIDO],LANÇ_MOV[RECEITA OU DESPESA],"Despesa",LANÇ_MOV[CONTAS],$C1239,LANÇ_MOV[PLANO DE CONTAS],REL_DRE_FINANCEIRO!$B$1164,LANÇ_MOV[ANO PAGAMENTO],$B$4,LANÇ_MOV[MÊS PAGAMENTO CORRESPONDENTE],E$6,LANÇ_MOV[EMPRESA],$C$4,LANÇ_MOV[CENTRO DE CUSTOS],$D$4)</f>
        <v>0</v>
      </c>
      <c r="F1239" s="206">
        <f>SUMIFS(LANÇ_MOV[VALOR LÍQUIDO],LANÇ_MOV[RECEITA OU DESPESA],"Despesa",LANÇ_MOV[CONTAS],$C1239,LANÇ_MOV[PLANO DE CONTAS],REL_DRE_FINANCEIRO!$B$1164,LANÇ_MOV[ANO PAGAMENTO],$B$4,LANÇ_MOV[MÊS PAGAMENTO CORRESPONDENTE],F$6,LANÇ_MOV[EMPRESA],$C$4,LANÇ_MOV[CENTRO DE CUSTOS],$D$4)</f>
        <v>0</v>
      </c>
      <c r="G1239" s="206">
        <f>SUMIFS(LANÇ_MOV[VALOR LÍQUIDO],LANÇ_MOV[RECEITA OU DESPESA],"Despesa",LANÇ_MOV[CONTAS],$C1239,LANÇ_MOV[PLANO DE CONTAS],REL_DRE_FINANCEIRO!$B$1164,LANÇ_MOV[ANO PAGAMENTO],$B$4,LANÇ_MOV[MÊS PAGAMENTO CORRESPONDENTE],G$6,LANÇ_MOV[EMPRESA],$C$4,LANÇ_MOV[CENTRO DE CUSTOS],$D$4)</f>
        <v>0</v>
      </c>
      <c r="H1239" s="206">
        <f>SUMIFS(LANÇ_MOV[VALOR LÍQUIDO],LANÇ_MOV[RECEITA OU DESPESA],"Despesa",LANÇ_MOV[CONTAS],$C1239,LANÇ_MOV[PLANO DE CONTAS],REL_DRE_FINANCEIRO!$B$1164,LANÇ_MOV[ANO PAGAMENTO],$B$4,LANÇ_MOV[MÊS PAGAMENTO CORRESPONDENTE],H$6,LANÇ_MOV[EMPRESA],$C$4,LANÇ_MOV[CENTRO DE CUSTOS],$D$4)</f>
        <v>0</v>
      </c>
      <c r="I1239" s="206">
        <f>SUMIFS(LANÇ_MOV[VALOR LÍQUIDO],LANÇ_MOV[RECEITA OU DESPESA],"Despesa",LANÇ_MOV[CONTAS],$C1239,LANÇ_MOV[PLANO DE CONTAS],REL_DRE_FINANCEIRO!$B$1164,LANÇ_MOV[ANO PAGAMENTO],$B$4,LANÇ_MOV[MÊS PAGAMENTO CORRESPONDENTE],I$6,LANÇ_MOV[EMPRESA],$C$4,LANÇ_MOV[CENTRO DE CUSTOS],$D$4)</f>
        <v>0</v>
      </c>
      <c r="J1239" s="206">
        <f>SUMIFS(LANÇ_MOV[VALOR LÍQUIDO],LANÇ_MOV[RECEITA OU DESPESA],"Despesa",LANÇ_MOV[CONTAS],$C1239,LANÇ_MOV[PLANO DE CONTAS],REL_DRE_FINANCEIRO!$B$1164,LANÇ_MOV[ANO PAGAMENTO],$B$4,LANÇ_MOV[MÊS PAGAMENTO CORRESPONDENTE],J$6,LANÇ_MOV[EMPRESA],$C$4,LANÇ_MOV[CENTRO DE CUSTOS],$D$4)</f>
        <v>0</v>
      </c>
      <c r="K1239" s="206">
        <f>SUMIFS(LANÇ_MOV[VALOR LÍQUIDO],LANÇ_MOV[RECEITA OU DESPESA],"Despesa",LANÇ_MOV[CONTAS],$C1239,LANÇ_MOV[PLANO DE CONTAS],REL_DRE_FINANCEIRO!$B$1164,LANÇ_MOV[ANO PAGAMENTO],$B$4,LANÇ_MOV[MÊS PAGAMENTO CORRESPONDENTE],K$6,LANÇ_MOV[EMPRESA],$C$4,LANÇ_MOV[CENTRO DE CUSTOS],$D$4)</f>
        <v>0</v>
      </c>
      <c r="L1239" s="206">
        <f>SUMIFS(LANÇ_MOV[VALOR LÍQUIDO],LANÇ_MOV[RECEITA OU DESPESA],"Despesa",LANÇ_MOV[CONTAS],$C1239,LANÇ_MOV[PLANO DE CONTAS],REL_DRE_FINANCEIRO!$B$1164,LANÇ_MOV[ANO PAGAMENTO],$B$4,LANÇ_MOV[MÊS PAGAMENTO CORRESPONDENTE],L$6,LANÇ_MOV[EMPRESA],$C$4,LANÇ_MOV[CENTRO DE CUSTOS],$D$4)</f>
        <v>0</v>
      </c>
      <c r="M1239" s="206">
        <f>SUMIFS(LANÇ_MOV[VALOR LÍQUIDO],LANÇ_MOV[RECEITA OU DESPESA],"Despesa",LANÇ_MOV[CONTAS],$C1239,LANÇ_MOV[PLANO DE CONTAS],REL_DRE_FINANCEIRO!$B$1164,LANÇ_MOV[ANO PAGAMENTO],$B$4,LANÇ_MOV[MÊS PAGAMENTO CORRESPONDENTE],M$6,LANÇ_MOV[EMPRESA],$C$4,LANÇ_MOV[CENTRO DE CUSTOS],$D$4)</f>
        <v>0</v>
      </c>
      <c r="N1239" s="206">
        <f>SUMIFS(LANÇ_MOV[VALOR LÍQUIDO],LANÇ_MOV[RECEITA OU DESPESA],"Despesa",LANÇ_MOV[CONTAS],$C1239,LANÇ_MOV[PLANO DE CONTAS],REL_DRE_FINANCEIRO!$B$1164,LANÇ_MOV[ANO PAGAMENTO],$B$4,LANÇ_MOV[MÊS PAGAMENTO CORRESPONDENTE],N$6,LANÇ_MOV[EMPRESA],$C$4,LANÇ_MOV[CENTRO DE CUSTOS],$D$4)</f>
        <v>0</v>
      </c>
      <c r="O1239" s="206">
        <f>SUMIFS(LANÇ_MOV[VALOR LÍQUIDO],LANÇ_MOV[RECEITA OU DESPESA],"Despesa",LANÇ_MOV[CONTAS],$C1239,LANÇ_MOV[PLANO DE CONTAS],REL_DRE_FINANCEIRO!$B$1164,LANÇ_MOV[ANO PAGAMENTO],$B$4,LANÇ_MOV[MÊS PAGAMENTO CORRESPONDENTE],O$6,LANÇ_MOV[EMPRESA],$C$4,LANÇ_MOV[CENTRO DE CUSTOS],$D$4)</f>
        <v>0</v>
      </c>
      <c r="P1239" s="207">
        <f t="shared" si="150"/>
        <v>0</v>
      </c>
      <c r="Q1239" s="329">
        <v>2.6000000000000001E-6</v>
      </c>
      <c r="R1239" s="346">
        <f t="shared" si="151"/>
        <v>2.6000000000000001E-6</v>
      </c>
      <c r="S1239" s="347" t="str">
        <f t="shared" si="152"/>
        <v>-</v>
      </c>
      <c r="T1239" s="347">
        <f t="shared" si="153"/>
        <v>0</v>
      </c>
      <c r="U1239" s="347">
        <f>HLOOKUP(Apoio!$P$12,$D$1163:$P$1264,X1239,FALSE)+Q1239</f>
        <v>2.6000000000000001E-6</v>
      </c>
      <c r="V1239" s="447" t="str">
        <f t="shared" si="154"/>
        <v>-</v>
      </c>
      <c r="W1239" s="448">
        <f>HLOOKUP(Apoio!$P$12,$D$1163:$P$1264,X1239,FALSE)</f>
        <v>0</v>
      </c>
      <c r="X1239" s="329">
        <v>77</v>
      </c>
    </row>
    <row r="1240" spans="2:24" ht="30.05" customHeight="1" x14ac:dyDescent="0.35">
      <c r="B1240" s="204" t="str">
        <f>'CAD_PL_REC-DESP'!AI80</f>
        <v>2.9.76</v>
      </c>
      <c r="C1240" s="205" t="str">
        <f>IF('CAD_PL_REC-DESP'!AJ80="","-",'CAD_PL_REC-DESP'!AJ80)</f>
        <v>-</v>
      </c>
      <c r="D1240" s="206">
        <f>SUMIFS(LANÇ_MOV[VALOR LÍQUIDO],LANÇ_MOV[RECEITA OU DESPESA],"Despesa",LANÇ_MOV[CONTAS],$C1240,LANÇ_MOV[PLANO DE CONTAS],REL_DRE_FINANCEIRO!$B$1164,LANÇ_MOV[ANO PAGAMENTO],$B$4,LANÇ_MOV[MÊS PAGAMENTO CORRESPONDENTE],D$6,LANÇ_MOV[EMPRESA],$C$4,LANÇ_MOV[CENTRO DE CUSTOS],$D$4)</f>
        <v>0</v>
      </c>
      <c r="E1240" s="206">
        <f>SUMIFS(LANÇ_MOV[VALOR LÍQUIDO],LANÇ_MOV[RECEITA OU DESPESA],"Despesa",LANÇ_MOV[CONTAS],$C1240,LANÇ_MOV[PLANO DE CONTAS],REL_DRE_FINANCEIRO!$B$1164,LANÇ_MOV[ANO PAGAMENTO],$B$4,LANÇ_MOV[MÊS PAGAMENTO CORRESPONDENTE],E$6,LANÇ_MOV[EMPRESA],$C$4,LANÇ_MOV[CENTRO DE CUSTOS],$D$4)</f>
        <v>0</v>
      </c>
      <c r="F1240" s="206">
        <f>SUMIFS(LANÇ_MOV[VALOR LÍQUIDO],LANÇ_MOV[RECEITA OU DESPESA],"Despesa",LANÇ_MOV[CONTAS],$C1240,LANÇ_MOV[PLANO DE CONTAS],REL_DRE_FINANCEIRO!$B$1164,LANÇ_MOV[ANO PAGAMENTO],$B$4,LANÇ_MOV[MÊS PAGAMENTO CORRESPONDENTE],F$6,LANÇ_MOV[EMPRESA],$C$4,LANÇ_MOV[CENTRO DE CUSTOS],$D$4)</f>
        <v>0</v>
      </c>
      <c r="G1240" s="206">
        <f>SUMIFS(LANÇ_MOV[VALOR LÍQUIDO],LANÇ_MOV[RECEITA OU DESPESA],"Despesa",LANÇ_MOV[CONTAS],$C1240,LANÇ_MOV[PLANO DE CONTAS],REL_DRE_FINANCEIRO!$B$1164,LANÇ_MOV[ANO PAGAMENTO],$B$4,LANÇ_MOV[MÊS PAGAMENTO CORRESPONDENTE],G$6,LANÇ_MOV[EMPRESA],$C$4,LANÇ_MOV[CENTRO DE CUSTOS],$D$4)</f>
        <v>0</v>
      </c>
      <c r="H1240" s="206">
        <f>SUMIFS(LANÇ_MOV[VALOR LÍQUIDO],LANÇ_MOV[RECEITA OU DESPESA],"Despesa",LANÇ_MOV[CONTAS],$C1240,LANÇ_MOV[PLANO DE CONTAS],REL_DRE_FINANCEIRO!$B$1164,LANÇ_MOV[ANO PAGAMENTO],$B$4,LANÇ_MOV[MÊS PAGAMENTO CORRESPONDENTE],H$6,LANÇ_MOV[EMPRESA],$C$4,LANÇ_MOV[CENTRO DE CUSTOS],$D$4)</f>
        <v>0</v>
      </c>
      <c r="I1240" s="206">
        <f>SUMIFS(LANÇ_MOV[VALOR LÍQUIDO],LANÇ_MOV[RECEITA OU DESPESA],"Despesa",LANÇ_MOV[CONTAS],$C1240,LANÇ_MOV[PLANO DE CONTAS],REL_DRE_FINANCEIRO!$B$1164,LANÇ_MOV[ANO PAGAMENTO],$B$4,LANÇ_MOV[MÊS PAGAMENTO CORRESPONDENTE],I$6,LANÇ_MOV[EMPRESA],$C$4,LANÇ_MOV[CENTRO DE CUSTOS],$D$4)</f>
        <v>0</v>
      </c>
      <c r="J1240" s="206">
        <f>SUMIFS(LANÇ_MOV[VALOR LÍQUIDO],LANÇ_MOV[RECEITA OU DESPESA],"Despesa",LANÇ_MOV[CONTAS],$C1240,LANÇ_MOV[PLANO DE CONTAS],REL_DRE_FINANCEIRO!$B$1164,LANÇ_MOV[ANO PAGAMENTO],$B$4,LANÇ_MOV[MÊS PAGAMENTO CORRESPONDENTE],J$6,LANÇ_MOV[EMPRESA],$C$4,LANÇ_MOV[CENTRO DE CUSTOS],$D$4)</f>
        <v>0</v>
      </c>
      <c r="K1240" s="206">
        <f>SUMIFS(LANÇ_MOV[VALOR LÍQUIDO],LANÇ_MOV[RECEITA OU DESPESA],"Despesa",LANÇ_MOV[CONTAS],$C1240,LANÇ_MOV[PLANO DE CONTAS],REL_DRE_FINANCEIRO!$B$1164,LANÇ_MOV[ANO PAGAMENTO],$B$4,LANÇ_MOV[MÊS PAGAMENTO CORRESPONDENTE],K$6,LANÇ_MOV[EMPRESA],$C$4,LANÇ_MOV[CENTRO DE CUSTOS],$D$4)</f>
        <v>0</v>
      </c>
      <c r="L1240" s="206">
        <f>SUMIFS(LANÇ_MOV[VALOR LÍQUIDO],LANÇ_MOV[RECEITA OU DESPESA],"Despesa",LANÇ_MOV[CONTAS],$C1240,LANÇ_MOV[PLANO DE CONTAS],REL_DRE_FINANCEIRO!$B$1164,LANÇ_MOV[ANO PAGAMENTO],$B$4,LANÇ_MOV[MÊS PAGAMENTO CORRESPONDENTE],L$6,LANÇ_MOV[EMPRESA],$C$4,LANÇ_MOV[CENTRO DE CUSTOS],$D$4)</f>
        <v>0</v>
      </c>
      <c r="M1240" s="206">
        <f>SUMIFS(LANÇ_MOV[VALOR LÍQUIDO],LANÇ_MOV[RECEITA OU DESPESA],"Despesa",LANÇ_MOV[CONTAS],$C1240,LANÇ_MOV[PLANO DE CONTAS],REL_DRE_FINANCEIRO!$B$1164,LANÇ_MOV[ANO PAGAMENTO],$B$4,LANÇ_MOV[MÊS PAGAMENTO CORRESPONDENTE],M$6,LANÇ_MOV[EMPRESA],$C$4,LANÇ_MOV[CENTRO DE CUSTOS],$D$4)</f>
        <v>0</v>
      </c>
      <c r="N1240" s="206">
        <f>SUMIFS(LANÇ_MOV[VALOR LÍQUIDO],LANÇ_MOV[RECEITA OU DESPESA],"Despesa",LANÇ_MOV[CONTAS],$C1240,LANÇ_MOV[PLANO DE CONTAS],REL_DRE_FINANCEIRO!$B$1164,LANÇ_MOV[ANO PAGAMENTO],$B$4,LANÇ_MOV[MÊS PAGAMENTO CORRESPONDENTE],N$6,LANÇ_MOV[EMPRESA],$C$4,LANÇ_MOV[CENTRO DE CUSTOS],$D$4)</f>
        <v>0</v>
      </c>
      <c r="O1240" s="206">
        <f>SUMIFS(LANÇ_MOV[VALOR LÍQUIDO],LANÇ_MOV[RECEITA OU DESPESA],"Despesa",LANÇ_MOV[CONTAS],$C1240,LANÇ_MOV[PLANO DE CONTAS],REL_DRE_FINANCEIRO!$B$1164,LANÇ_MOV[ANO PAGAMENTO],$B$4,LANÇ_MOV[MÊS PAGAMENTO CORRESPONDENTE],O$6,LANÇ_MOV[EMPRESA],$C$4,LANÇ_MOV[CENTRO DE CUSTOS],$D$4)</f>
        <v>0</v>
      </c>
      <c r="P1240" s="207">
        <f t="shared" si="150"/>
        <v>0</v>
      </c>
      <c r="Q1240" s="329">
        <v>2.5000000000000002E-6</v>
      </c>
      <c r="R1240" s="346">
        <f t="shared" si="151"/>
        <v>2.5000000000000002E-6</v>
      </c>
      <c r="S1240" s="347" t="str">
        <f t="shared" si="152"/>
        <v>-</v>
      </c>
      <c r="T1240" s="347">
        <f t="shared" si="153"/>
        <v>0</v>
      </c>
      <c r="U1240" s="347">
        <f>HLOOKUP(Apoio!$P$12,$D$1163:$P$1264,X1240,FALSE)+Q1240</f>
        <v>2.5000000000000002E-6</v>
      </c>
      <c r="V1240" s="447" t="str">
        <f t="shared" si="154"/>
        <v>-</v>
      </c>
      <c r="W1240" s="448">
        <f>HLOOKUP(Apoio!$P$12,$D$1163:$P$1264,X1240,FALSE)</f>
        <v>0</v>
      </c>
      <c r="X1240" s="329">
        <v>78</v>
      </c>
    </row>
    <row r="1241" spans="2:24" ht="30.05" customHeight="1" x14ac:dyDescent="0.35">
      <c r="B1241" s="204" t="str">
        <f>'CAD_PL_REC-DESP'!AI81</f>
        <v>2.9.77</v>
      </c>
      <c r="C1241" s="205" t="str">
        <f>IF('CAD_PL_REC-DESP'!AJ81="","-",'CAD_PL_REC-DESP'!AJ81)</f>
        <v>-</v>
      </c>
      <c r="D1241" s="206">
        <f>SUMIFS(LANÇ_MOV[VALOR LÍQUIDO],LANÇ_MOV[RECEITA OU DESPESA],"Despesa",LANÇ_MOV[CONTAS],$C1241,LANÇ_MOV[PLANO DE CONTAS],REL_DRE_FINANCEIRO!$B$1164,LANÇ_MOV[ANO PAGAMENTO],$B$4,LANÇ_MOV[MÊS PAGAMENTO CORRESPONDENTE],D$6,LANÇ_MOV[EMPRESA],$C$4,LANÇ_MOV[CENTRO DE CUSTOS],$D$4)</f>
        <v>0</v>
      </c>
      <c r="E1241" s="206">
        <f>SUMIFS(LANÇ_MOV[VALOR LÍQUIDO],LANÇ_MOV[RECEITA OU DESPESA],"Despesa",LANÇ_MOV[CONTAS],$C1241,LANÇ_MOV[PLANO DE CONTAS],REL_DRE_FINANCEIRO!$B$1164,LANÇ_MOV[ANO PAGAMENTO],$B$4,LANÇ_MOV[MÊS PAGAMENTO CORRESPONDENTE],E$6,LANÇ_MOV[EMPRESA],$C$4,LANÇ_MOV[CENTRO DE CUSTOS],$D$4)</f>
        <v>0</v>
      </c>
      <c r="F1241" s="206">
        <f>SUMIFS(LANÇ_MOV[VALOR LÍQUIDO],LANÇ_MOV[RECEITA OU DESPESA],"Despesa",LANÇ_MOV[CONTAS],$C1241,LANÇ_MOV[PLANO DE CONTAS],REL_DRE_FINANCEIRO!$B$1164,LANÇ_MOV[ANO PAGAMENTO],$B$4,LANÇ_MOV[MÊS PAGAMENTO CORRESPONDENTE],F$6,LANÇ_MOV[EMPRESA],$C$4,LANÇ_MOV[CENTRO DE CUSTOS],$D$4)</f>
        <v>0</v>
      </c>
      <c r="G1241" s="206">
        <f>SUMIFS(LANÇ_MOV[VALOR LÍQUIDO],LANÇ_MOV[RECEITA OU DESPESA],"Despesa",LANÇ_MOV[CONTAS],$C1241,LANÇ_MOV[PLANO DE CONTAS],REL_DRE_FINANCEIRO!$B$1164,LANÇ_MOV[ANO PAGAMENTO],$B$4,LANÇ_MOV[MÊS PAGAMENTO CORRESPONDENTE],G$6,LANÇ_MOV[EMPRESA],$C$4,LANÇ_MOV[CENTRO DE CUSTOS],$D$4)</f>
        <v>0</v>
      </c>
      <c r="H1241" s="206">
        <f>SUMIFS(LANÇ_MOV[VALOR LÍQUIDO],LANÇ_MOV[RECEITA OU DESPESA],"Despesa",LANÇ_MOV[CONTAS],$C1241,LANÇ_MOV[PLANO DE CONTAS],REL_DRE_FINANCEIRO!$B$1164,LANÇ_MOV[ANO PAGAMENTO],$B$4,LANÇ_MOV[MÊS PAGAMENTO CORRESPONDENTE],H$6,LANÇ_MOV[EMPRESA],$C$4,LANÇ_MOV[CENTRO DE CUSTOS],$D$4)</f>
        <v>0</v>
      </c>
      <c r="I1241" s="206">
        <f>SUMIFS(LANÇ_MOV[VALOR LÍQUIDO],LANÇ_MOV[RECEITA OU DESPESA],"Despesa",LANÇ_MOV[CONTAS],$C1241,LANÇ_MOV[PLANO DE CONTAS],REL_DRE_FINANCEIRO!$B$1164,LANÇ_MOV[ANO PAGAMENTO],$B$4,LANÇ_MOV[MÊS PAGAMENTO CORRESPONDENTE],I$6,LANÇ_MOV[EMPRESA],$C$4,LANÇ_MOV[CENTRO DE CUSTOS],$D$4)</f>
        <v>0</v>
      </c>
      <c r="J1241" s="206">
        <f>SUMIFS(LANÇ_MOV[VALOR LÍQUIDO],LANÇ_MOV[RECEITA OU DESPESA],"Despesa",LANÇ_MOV[CONTAS],$C1241,LANÇ_MOV[PLANO DE CONTAS],REL_DRE_FINANCEIRO!$B$1164,LANÇ_MOV[ANO PAGAMENTO],$B$4,LANÇ_MOV[MÊS PAGAMENTO CORRESPONDENTE],J$6,LANÇ_MOV[EMPRESA],$C$4,LANÇ_MOV[CENTRO DE CUSTOS],$D$4)</f>
        <v>0</v>
      </c>
      <c r="K1241" s="206">
        <f>SUMIFS(LANÇ_MOV[VALOR LÍQUIDO],LANÇ_MOV[RECEITA OU DESPESA],"Despesa",LANÇ_MOV[CONTAS],$C1241,LANÇ_MOV[PLANO DE CONTAS],REL_DRE_FINANCEIRO!$B$1164,LANÇ_MOV[ANO PAGAMENTO],$B$4,LANÇ_MOV[MÊS PAGAMENTO CORRESPONDENTE],K$6,LANÇ_MOV[EMPRESA],$C$4,LANÇ_MOV[CENTRO DE CUSTOS],$D$4)</f>
        <v>0</v>
      </c>
      <c r="L1241" s="206">
        <f>SUMIFS(LANÇ_MOV[VALOR LÍQUIDO],LANÇ_MOV[RECEITA OU DESPESA],"Despesa",LANÇ_MOV[CONTAS],$C1241,LANÇ_MOV[PLANO DE CONTAS],REL_DRE_FINANCEIRO!$B$1164,LANÇ_MOV[ANO PAGAMENTO],$B$4,LANÇ_MOV[MÊS PAGAMENTO CORRESPONDENTE],L$6,LANÇ_MOV[EMPRESA],$C$4,LANÇ_MOV[CENTRO DE CUSTOS],$D$4)</f>
        <v>0</v>
      </c>
      <c r="M1241" s="206">
        <f>SUMIFS(LANÇ_MOV[VALOR LÍQUIDO],LANÇ_MOV[RECEITA OU DESPESA],"Despesa",LANÇ_MOV[CONTAS],$C1241,LANÇ_MOV[PLANO DE CONTAS],REL_DRE_FINANCEIRO!$B$1164,LANÇ_MOV[ANO PAGAMENTO],$B$4,LANÇ_MOV[MÊS PAGAMENTO CORRESPONDENTE],M$6,LANÇ_MOV[EMPRESA],$C$4,LANÇ_MOV[CENTRO DE CUSTOS],$D$4)</f>
        <v>0</v>
      </c>
      <c r="N1241" s="206">
        <f>SUMIFS(LANÇ_MOV[VALOR LÍQUIDO],LANÇ_MOV[RECEITA OU DESPESA],"Despesa",LANÇ_MOV[CONTAS],$C1241,LANÇ_MOV[PLANO DE CONTAS],REL_DRE_FINANCEIRO!$B$1164,LANÇ_MOV[ANO PAGAMENTO],$B$4,LANÇ_MOV[MÊS PAGAMENTO CORRESPONDENTE],N$6,LANÇ_MOV[EMPRESA],$C$4,LANÇ_MOV[CENTRO DE CUSTOS],$D$4)</f>
        <v>0</v>
      </c>
      <c r="O1241" s="206">
        <f>SUMIFS(LANÇ_MOV[VALOR LÍQUIDO],LANÇ_MOV[RECEITA OU DESPESA],"Despesa",LANÇ_MOV[CONTAS],$C1241,LANÇ_MOV[PLANO DE CONTAS],REL_DRE_FINANCEIRO!$B$1164,LANÇ_MOV[ANO PAGAMENTO],$B$4,LANÇ_MOV[MÊS PAGAMENTO CORRESPONDENTE],O$6,LANÇ_MOV[EMPRESA],$C$4,LANÇ_MOV[CENTRO DE CUSTOS],$D$4)</f>
        <v>0</v>
      </c>
      <c r="P1241" s="207">
        <f t="shared" si="150"/>
        <v>0</v>
      </c>
      <c r="Q1241" s="329">
        <v>2.3999999999999999E-6</v>
      </c>
      <c r="R1241" s="346">
        <f t="shared" si="151"/>
        <v>2.3999999999999999E-6</v>
      </c>
      <c r="S1241" s="347" t="str">
        <f t="shared" si="152"/>
        <v>-</v>
      </c>
      <c r="T1241" s="347">
        <f t="shared" si="153"/>
        <v>0</v>
      </c>
      <c r="U1241" s="347">
        <f>HLOOKUP(Apoio!$P$12,$D$1163:$P$1264,X1241,FALSE)+Q1241</f>
        <v>2.3999999999999999E-6</v>
      </c>
      <c r="V1241" s="447" t="str">
        <f t="shared" si="154"/>
        <v>-</v>
      </c>
      <c r="W1241" s="448">
        <f>HLOOKUP(Apoio!$P$12,$D$1163:$P$1264,X1241,FALSE)</f>
        <v>0</v>
      </c>
      <c r="X1241" s="329">
        <v>79</v>
      </c>
    </row>
    <row r="1242" spans="2:24" ht="30.05" customHeight="1" x14ac:dyDescent="0.35">
      <c r="B1242" s="204" t="str">
        <f>'CAD_PL_REC-DESP'!AI82</f>
        <v>2.9.78</v>
      </c>
      <c r="C1242" s="205" t="str">
        <f>IF('CAD_PL_REC-DESP'!AJ82="","-",'CAD_PL_REC-DESP'!AJ82)</f>
        <v>-</v>
      </c>
      <c r="D1242" s="206">
        <f>SUMIFS(LANÇ_MOV[VALOR LÍQUIDO],LANÇ_MOV[RECEITA OU DESPESA],"Despesa",LANÇ_MOV[CONTAS],$C1242,LANÇ_MOV[PLANO DE CONTAS],REL_DRE_FINANCEIRO!$B$1164,LANÇ_MOV[ANO PAGAMENTO],$B$4,LANÇ_MOV[MÊS PAGAMENTO CORRESPONDENTE],D$6,LANÇ_MOV[EMPRESA],$C$4,LANÇ_MOV[CENTRO DE CUSTOS],$D$4)</f>
        <v>0</v>
      </c>
      <c r="E1242" s="206">
        <f>SUMIFS(LANÇ_MOV[VALOR LÍQUIDO],LANÇ_MOV[RECEITA OU DESPESA],"Despesa",LANÇ_MOV[CONTAS],$C1242,LANÇ_MOV[PLANO DE CONTAS],REL_DRE_FINANCEIRO!$B$1164,LANÇ_MOV[ANO PAGAMENTO],$B$4,LANÇ_MOV[MÊS PAGAMENTO CORRESPONDENTE],E$6,LANÇ_MOV[EMPRESA],$C$4,LANÇ_MOV[CENTRO DE CUSTOS],$D$4)</f>
        <v>0</v>
      </c>
      <c r="F1242" s="206">
        <f>SUMIFS(LANÇ_MOV[VALOR LÍQUIDO],LANÇ_MOV[RECEITA OU DESPESA],"Despesa",LANÇ_MOV[CONTAS],$C1242,LANÇ_MOV[PLANO DE CONTAS],REL_DRE_FINANCEIRO!$B$1164,LANÇ_MOV[ANO PAGAMENTO],$B$4,LANÇ_MOV[MÊS PAGAMENTO CORRESPONDENTE],F$6,LANÇ_MOV[EMPRESA],$C$4,LANÇ_MOV[CENTRO DE CUSTOS],$D$4)</f>
        <v>0</v>
      </c>
      <c r="G1242" s="206">
        <f>SUMIFS(LANÇ_MOV[VALOR LÍQUIDO],LANÇ_MOV[RECEITA OU DESPESA],"Despesa",LANÇ_MOV[CONTAS],$C1242,LANÇ_MOV[PLANO DE CONTAS],REL_DRE_FINANCEIRO!$B$1164,LANÇ_MOV[ANO PAGAMENTO],$B$4,LANÇ_MOV[MÊS PAGAMENTO CORRESPONDENTE],G$6,LANÇ_MOV[EMPRESA],$C$4,LANÇ_MOV[CENTRO DE CUSTOS],$D$4)</f>
        <v>0</v>
      </c>
      <c r="H1242" s="206">
        <f>SUMIFS(LANÇ_MOV[VALOR LÍQUIDO],LANÇ_MOV[RECEITA OU DESPESA],"Despesa",LANÇ_MOV[CONTAS],$C1242,LANÇ_MOV[PLANO DE CONTAS],REL_DRE_FINANCEIRO!$B$1164,LANÇ_MOV[ANO PAGAMENTO],$B$4,LANÇ_MOV[MÊS PAGAMENTO CORRESPONDENTE],H$6,LANÇ_MOV[EMPRESA],$C$4,LANÇ_MOV[CENTRO DE CUSTOS],$D$4)</f>
        <v>0</v>
      </c>
      <c r="I1242" s="206">
        <f>SUMIFS(LANÇ_MOV[VALOR LÍQUIDO],LANÇ_MOV[RECEITA OU DESPESA],"Despesa",LANÇ_MOV[CONTAS],$C1242,LANÇ_MOV[PLANO DE CONTAS],REL_DRE_FINANCEIRO!$B$1164,LANÇ_MOV[ANO PAGAMENTO],$B$4,LANÇ_MOV[MÊS PAGAMENTO CORRESPONDENTE],I$6,LANÇ_MOV[EMPRESA],$C$4,LANÇ_MOV[CENTRO DE CUSTOS],$D$4)</f>
        <v>0</v>
      </c>
      <c r="J1242" s="206">
        <f>SUMIFS(LANÇ_MOV[VALOR LÍQUIDO],LANÇ_MOV[RECEITA OU DESPESA],"Despesa",LANÇ_MOV[CONTAS],$C1242,LANÇ_MOV[PLANO DE CONTAS],REL_DRE_FINANCEIRO!$B$1164,LANÇ_MOV[ANO PAGAMENTO],$B$4,LANÇ_MOV[MÊS PAGAMENTO CORRESPONDENTE],J$6,LANÇ_MOV[EMPRESA],$C$4,LANÇ_MOV[CENTRO DE CUSTOS],$D$4)</f>
        <v>0</v>
      </c>
      <c r="K1242" s="206">
        <f>SUMIFS(LANÇ_MOV[VALOR LÍQUIDO],LANÇ_MOV[RECEITA OU DESPESA],"Despesa",LANÇ_MOV[CONTAS],$C1242,LANÇ_MOV[PLANO DE CONTAS],REL_DRE_FINANCEIRO!$B$1164,LANÇ_MOV[ANO PAGAMENTO],$B$4,LANÇ_MOV[MÊS PAGAMENTO CORRESPONDENTE],K$6,LANÇ_MOV[EMPRESA],$C$4,LANÇ_MOV[CENTRO DE CUSTOS],$D$4)</f>
        <v>0</v>
      </c>
      <c r="L1242" s="206">
        <f>SUMIFS(LANÇ_MOV[VALOR LÍQUIDO],LANÇ_MOV[RECEITA OU DESPESA],"Despesa",LANÇ_MOV[CONTAS],$C1242,LANÇ_MOV[PLANO DE CONTAS],REL_DRE_FINANCEIRO!$B$1164,LANÇ_MOV[ANO PAGAMENTO],$B$4,LANÇ_MOV[MÊS PAGAMENTO CORRESPONDENTE],L$6,LANÇ_MOV[EMPRESA],$C$4,LANÇ_MOV[CENTRO DE CUSTOS],$D$4)</f>
        <v>0</v>
      </c>
      <c r="M1242" s="206">
        <f>SUMIFS(LANÇ_MOV[VALOR LÍQUIDO],LANÇ_MOV[RECEITA OU DESPESA],"Despesa",LANÇ_MOV[CONTAS],$C1242,LANÇ_MOV[PLANO DE CONTAS],REL_DRE_FINANCEIRO!$B$1164,LANÇ_MOV[ANO PAGAMENTO],$B$4,LANÇ_MOV[MÊS PAGAMENTO CORRESPONDENTE],M$6,LANÇ_MOV[EMPRESA],$C$4,LANÇ_MOV[CENTRO DE CUSTOS],$D$4)</f>
        <v>0</v>
      </c>
      <c r="N1242" s="206">
        <f>SUMIFS(LANÇ_MOV[VALOR LÍQUIDO],LANÇ_MOV[RECEITA OU DESPESA],"Despesa",LANÇ_MOV[CONTAS],$C1242,LANÇ_MOV[PLANO DE CONTAS],REL_DRE_FINANCEIRO!$B$1164,LANÇ_MOV[ANO PAGAMENTO],$B$4,LANÇ_MOV[MÊS PAGAMENTO CORRESPONDENTE],N$6,LANÇ_MOV[EMPRESA],$C$4,LANÇ_MOV[CENTRO DE CUSTOS],$D$4)</f>
        <v>0</v>
      </c>
      <c r="O1242" s="206">
        <f>SUMIFS(LANÇ_MOV[VALOR LÍQUIDO],LANÇ_MOV[RECEITA OU DESPESA],"Despesa",LANÇ_MOV[CONTAS],$C1242,LANÇ_MOV[PLANO DE CONTAS],REL_DRE_FINANCEIRO!$B$1164,LANÇ_MOV[ANO PAGAMENTO],$B$4,LANÇ_MOV[MÊS PAGAMENTO CORRESPONDENTE],O$6,LANÇ_MOV[EMPRESA],$C$4,LANÇ_MOV[CENTRO DE CUSTOS],$D$4)</f>
        <v>0</v>
      </c>
      <c r="P1242" s="207">
        <f t="shared" si="150"/>
        <v>0</v>
      </c>
      <c r="Q1242" s="329">
        <v>2.3E-6</v>
      </c>
      <c r="R1242" s="346">
        <f t="shared" si="151"/>
        <v>2.3E-6</v>
      </c>
      <c r="S1242" s="347" t="str">
        <f t="shared" si="152"/>
        <v>-</v>
      </c>
      <c r="T1242" s="347">
        <f t="shared" si="153"/>
        <v>0</v>
      </c>
      <c r="U1242" s="347">
        <f>HLOOKUP(Apoio!$P$12,$D$1163:$P$1264,X1242,FALSE)+Q1242</f>
        <v>2.3E-6</v>
      </c>
      <c r="V1242" s="447" t="str">
        <f t="shared" si="154"/>
        <v>-</v>
      </c>
      <c r="W1242" s="448">
        <f>HLOOKUP(Apoio!$P$12,$D$1163:$P$1264,X1242,FALSE)</f>
        <v>0</v>
      </c>
      <c r="X1242" s="329">
        <v>80</v>
      </c>
    </row>
    <row r="1243" spans="2:24" ht="30.05" customHeight="1" x14ac:dyDescent="0.35">
      <c r="B1243" s="204" t="str">
        <f>'CAD_PL_REC-DESP'!AI83</f>
        <v>2.9.79</v>
      </c>
      <c r="C1243" s="205" t="str">
        <f>IF('CAD_PL_REC-DESP'!AJ83="","-",'CAD_PL_REC-DESP'!AJ83)</f>
        <v>-</v>
      </c>
      <c r="D1243" s="206">
        <f>SUMIFS(LANÇ_MOV[VALOR LÍQUIDO],LANÇ_MOV[RECEITA OU DESPESA],"Despesa",LANÇ_MOV[CONTAS],$C1243,LANÇ_MOV[PLANO DE CONTAS],REL_DRE_FINANCEIRO!$B$1164,LANÇ_MOV[ANO PAGAMENTO],$B$4,LANÇ_MOV[MÊS PAGAMENTO CORRESPONDENTE],D$6,LANÇ_MOV[EMPRESA],$C$4,LANÇ_MOV[CENTRO DE CUSTOS],$D$4)</f>
        <v>0</v>
      </c>
      <c r="E1243" s="206">
        <f>SUMIFS(LANÇ_MOV[VALOR LÍQUIDO],LANÇ_MOV[RECEITA OU DESPESA],"Despesa",LANÇ_MOV[CONTAS],$C1243,LANÇ_MOV[PLANO DE CONTAS],REL_DRE_FINANCEIRO!$B$1164,LANÇ_MOV[ANO PAGAMENTO],$B$4,LANÇ_MOV[MÊS PAGAMENTO CORRESPONDENTE],E$6,LANÇ_MOV[EMPRESA],$C$4,LANÇ_MOV[CENTRO DE CUSTOS],$D$4)</f>
        <v>0</v>
      </c>
      <c r="F1243" s="206">
        <f>SUMIFS(LANÇ_MOV[VALOR LÍQUIDO],LANÇ_MOV[RECEITA OU DESPESA],"Despesa",LANÇ_MOV[CONTAS],$C1243,LANÇ_MOV[PLANO DE CONTAS],REL_DRE_FINANCEIRO!$B$1164,LANÇ_MOV[ANO PAGAMENTO],$B$4,LANÇ_MOV[MÊS PAGAMENTO CORRESPONDENTE],F$6,LANÇ_MOV[EMPRESA],$C$4,LANÇ_MOV[CENTRO DE CUSTOS],$D$4)</f>
        <v>0</v>
      </c>
      <c r="G1243" s="206">
        <f>SUMIFS(LANÇ_MOV[VALOR LÍQUIDO],LANÇ_MOV[RECEITA OU DESPESA],"Despesa",LANÇ_MOV[CONTAS],$C1243,LANÇ_MOV[PLANO DE CONTAS],REL_DRE_FINANCEIRO!$B$1164,LANÇ_MOV[ANO PAGAMENTO],$B$4,LANÇ_MOV[MÊS PAGAMENTO CORRESPONDENTE],G$6,LANÇ_MOV[EMPRESA],$C$4,LANÇ_MOV[CENTRO DE CUSTOS],$D$4)</f>
        <v>0</v>
      </c>
      <c r="H1243" s="206">
        <f>SUMIFS(LANÇ_MOV[VALOR LÍQUIDO],LANÇ_MOV[RECEITA OU DESPESA],"Despesa",LANÇ_MOV[CONTAS],$C1243,LANÇ_MOV[PLANO DE CONTAS],REL_DRE_FINANCEIRO!$B$1164,LANÇ_MOV[ANO PAGAMENTO],$B$4,LANÇ_MOV[MÊS PAGAMENTO CORRESPONDENTE],H$6,LANÇ_MOV[EMPRESA],$C$4,LANÇ_MOV[CENTRO DE CUSTOS],$D$4)</f>
        <v>0</v>
      </c>
      <c r="I1243" s="206">
        <f>SUMIFS(LANÇ_MOV[VALOR LÍQUIDO],LANÇ_MOV[RECEITA OU DESPESA],"Despesa",LANÇ_MOV[CONTAS],$C1243,LANÇ_MOV[PLANO DE CONTAS],REL_DRE_FINANCEIRO!$B$1164,LANÇ_MOV[ANO PAGAMENTO],$B$4,LANÇ_MOV[MÊS PAGAMENTO CORRESPONDENTE],I$6,LANÇ_MOV[EMPRESA],$C$4,LANÇ_MOV[CENTRO DE CUSTOS],$D$4)</f>
        <v>0</v>
      </c>
      <c r="J1243" s="206">
        <f>SUMIFS(LANÇ_MOV[VALOR LÍQUIDO],LANÇ_MOV[RECEITA OU DESPESA],"Despesa",LANÇ_MOV[CONTAS],$C1243,LANÇ_MOV[PLANO DE CONTAS],REL_DRE_FINANCEIRO!$B$1164,LANÇ_MOV[ANO PAGAMENTO],$B$4,LANÇ_MOV[MÊS PAGAMENTO CORRESPONDENTE],J$6,LANÇ_MOV[EMPRESA],$C$4,LANÇ_MOV[CENTRO DE CUSTOS],$D$4)</f>
        <v>0</v>
      </c>
      <c r="K1243" s="206">
        <f>SUMIFS(LANÇ_MOV[VALOR LÍQUIDO],LANÇ_MOV[RECEITA OU DESPESA],"Despesa",LANÇ_MOV[CONTAS],$C1243,LANÇ_MOV[PLANO DE CONTAS],REL_DRE_FINANCEIRO!$B$1164,LANÇ_MOV[ANO PAGAMENTO],$B$4,LANÇ_MOV[MÊS PAGAMENTO CORRESPONDENTE],K$6,LANÇ_MOV[EMPRESA],$C$4,LANÇ_MOV[CENTRO DE CUSTOS],$D$4)</f>
        <v>0</v>
      </c>
      <c r="L1243" s="206">
        <f>SUMIFS(LANÇ_MOV[VALOR LÍQUIDO],LANÇ_MOV[RECEITA OU DESPESA],"Despesa",LANÇ_MOV[CONTAS],$C1243,LANÇ_MOV[PLANO DE CONTAS],REL_DRE_FINANCEIRO!$B$1164,LANÇ_MOV[ANO PAGAMENTO],$B$4,LANÇ_MOV[MÊS PAGAMENTO CORRESPONDENTE],L$6,LANÇ_MOV[EMPRESA],$C$4,LANÇ_MOV[CENTRO DE CUSTOS],$D$4)</f>
        <v>0</v>
      </c>
      <c r="M1243" s="206">
        <f>SUMIFS(LANÇ_MOV[VALOR LÍQUIDO],LANÇ_MOV[RECEITA OU DESPESA],"Despesa",LANÇ_MOV[CONTAS],$C1243,LANÇ_MOV[PLANO DE CONTAS],REL_DRE_FINANCEIRO!$B$1164,LANÇ_MOV[ANO PAGAMENTO],$B$4,LANÇ_MOV[MÊS PAGAMENTO CORRESPONDENTE],M$6,LANÇ_MOV[EMPRESA],$C$4,LANÇ_MOV[CENTRO DE CUSTOS],$D$4)</f>
        <v>0</v>
      </c>
      <c r="N1243" s="206">
        <f>SUMIFS(LANÇ_MOV[VALOR LÍQUIDO],LANÇ_MOV[RECEITA OU DESPESA],"Despesa",LANÇ_MOV[CONTAS],$C1243,LANÇ_MOV[PLANO DE CONTAS],REL_DRE_FINANCEIRO!$B$1164,LANÇ_MOV[ANO PAGAMENTO],$B$4,LANÇ_MOV[MÊS PAGAMENTO CORRESPONDENTE],N$6,LANÇ_MOV[EMPRESA],$C$4,LANÇ_MOV[CENTRO DE CUSTOS],$D$4)</f>
        <v>0</v>
      </c>
      <c r="O1243" s="206">
        <f>SUMIFS(LANÇ_MOV[VALOR LÍQUIDO],LANÇ_MOV[RECEITA OU DESPESA],"Despesa",LANÇ_MOV[CONTAS],$C1243,LANÇ_MOV[PLANO DE CONTAS],REL_DRE_FINANCEIRO!$B$1164,LANÇ_MOV[ANO PAGAMENTO],$B$4,LANÇ_MOV[MÊS PAGAMENTO CORRESPONDENTE],O$6,LANÇ_MOV[EMPRESA],$C$4,LANÇ_MOV[CENTRO DE CUSTOS],$D$4)</f>
        <v>0</v>
      </c>
      <c r="P1243" s="207">
        <f t="shared" si="150"/>
        <v>0</v>
      </c>
      <c r="Q1243" s="329">
        <v>2.2000000000000001E-6</v>
      </c>
      <c r="R1243" s="346">
        <f t="shared" si="151"/>
        <v>2.2000000000000001E-6</v>
      </c>
      <c r="S1243" s="347" t="str">
        <f t="shared" si="152"/>
        <v>-</v>
      </c>
      <c r="T1243" s="347">
        <f t="shared" si="153"/>
        <v>0</v>
      </c>
      <c r="U1243" s="347">
        <f>HLOOKUP(Apoio!$P$12,$D$1163:$P$1264,X1243,FALSE)+Q1243</f>
        <v>2.2000000000000001E-6</v>
      </c>
      <c r="V1243" s="447" t="str">
        <f t="shared" si="154"/>
        <v>-</v>
      </c>
      <c r="W1243" s="448">
        <f>HLOOKUP(Apoio!$P$12,$D$1163:$P$1264,X1243,FALSE)</f>
        <v>0</v>
      </c>
      <c r="X1243" s="329">
        <v>81</v>
      </c>
    </row>
    <row r="1244" spans="2:24" ht="30.05" customHeight="1" x14ac:dyDescent="0.35">
      <c r="B1244" s="204" t="str">
        <f>'CAD_PL_REC-DESP'!AI84</f>
        <v>2.9.80</v>
      </c>
      <c r="C1244" s="205" t="str">
        <f>IF('CAD_PL_REC-DESP'!AJ84="","-",'CAD_PL_REC-DESP'!AJ84)</f>
        <v>-</v>
      </c>
      <c r="D1244" s="206">
        <f>SUMIFS(LANÇ_MOV[VALOR LÍQUIDO],LANÇ_MOV[RECEITA OU DESPESA],"Despesa",LANÇ_MOV[CONTAS],$C1244,LANÇ_MOV[PLANO DE CONTAS],REL_DRE_FINANCEIRO!$B$1164,LANÇ_MOV[ANO PAGAMENTO],$B$4,LANÇ_MOV[MÊS PAGAMENTO CORRESPONDENTE],D$6,LANÇ_MOV[EMPRESA],$C$4,LANÇ_MOV[CENTRO DE CUSTOS],$D$4)</f>
        <v>0</v>
      </c>
      <c r="E1244" s="206">
        <f>SUMIFS(LANÇ_MOV[VALOR LÍQUIDO],LANÇ_MOV[RECEITA OU DESPESA],"Despesa",LANÇ_MOV[CONTAS],$C1244,LANÇ_MOV[PLANO DE CONTAS],REL_DRE_FINANCEIRO!$B$1164,LANÇ_MOV[ANO PAGAMENTO],$B$4,LANÇ_MOV[MÊS PAGAMENTO CORRESPONDENTE],E$6,LANÇ_MOV[EMPRESA],$C$4,LANÇ_MOV[CENTRO DE CUSTOS],$D$4)</f>
        <v>0</v>
      </c>
      <c r="F1244" s="206">
        <f>SUMIFS(LANÇ_MOV[VALOR LÍQUIDO],LANÇ_MOV[RECEITA OU DESPESA],"Despesa",LANÇ_MOV[CONTAS],$C1244,LANÇ_MOV[PLANO DE CONTAS],REL_DRE_FINANCEIRO!$B$1164,LANÇ_MOV[ANO PAGAMENTO],$B$4,LANÇ_MOV[MÊS PAGAMENTO CORRESPONDENTE],F$6,LANÇ_MOV[EMPRESA],$C$4,LANÇ_MOV[CENTRO DE CUSTOS],$D$4)</f>
        <v>0</v>
      </c>
      <c r="G1244" s="206">
        <f>SUMIFS(LANÇ_MOV[VALOR LÍQUIDO],LANÇ_MOV[RECEITA OU DESPESA],"Despesa",LANÇ_MOV[CONTAS],$C1244,LANÇ_MOV[PLANO DE CONTAS],REL_DRE_FINANCEIRO!$B$1164,LANÇ_MOV[ANO PAGAMENTO],$B$4,LANÇ_MOV[MÊS PAGAMENTO CORRESPONDENTE],G$6,LANÇ_MOV[EMPRESA],$C$4,LANÇ_MOV[CENTRO DE CUSTOS],$D$4)</f>
        <v>0</v>
      </c>
      <c r="H1244" s="206">
        <f>SUMIFS(LANÇ_MOV[VALOR LÍQUIDO],LANÇ_MOV[RECEITA OU DESPESA],"Despesa",LANÇ_MOV[CONTAS],$C1244,LANÇ_MOV[PLANO DE CONTAS],REL_DRE_FINANCEIRO!$B$1164,LANÇ_MOV[ANO PAGAMENTO],$B$4,LANÇ_MOV[MÊS PAGAMENTO CORRESPONDENTE],H$6,LANÇ_MOV[EMPRESA],$C$4,LANÇ_MOV[CENTRO DE CUSTOS],$D$4)</f>
        <v>0</v>
      </c>
      <c r="I1244" s="206">
        <f>SUMIFS(LANÇ_MOV[VALOR LÍQUIDO],LANÇ_MOV[RECEITA OU DESPESA],"Despesa",LANÇ_MOV[CONTAS],$C1244,LANÇ_MOV[PLANO DE CONTAS],REL_DRE_FINANCEIRO!$B$1164,LANÇ_MOV[ANO PAGAMENTO],$B$4,LANÇ_MOV[MÊS PAGAMENTO CORRESPONDENTE],I$6,LANÇ_MOV[EMPRESA],$C$4,LANÇ_MOV[CENTRO DE CUSTOS],$D$4)</f>
        <v>0</v>
      </c>
      <c r="J1244" s="206">
        <f>SUMIFS(LANÇ_MOV[VALOR LÍQUIDO],LANÇ_MOV[RECEITA OU DESPESA],"Despesa",LANÇ_MOV[CONTAS],$C1244,LANÇ_MOV[PLANO DE CONTAS],REL_DRE_FINANCEIRO!$B$1164,LANÇ_MOV[ANO PAGAMENTO],$B$4,LANÇ_MOV[MÊS PAGAMENTO CORRESPONDENTE],J$6,LANÇ_MOV[EMPRESA],$C$4,LANÇ_MOV[CENTRO DE CUSTOS],$D$4)</f>
        <v>0</v>
      </c>
      <c r="K1244" s="206">
        <f>SUMIFS(LANÇ_MOV[VALOR LÍQUIDO],LANÇ_MOV[RECEITA OU DESPESA],"Despesa",LANÇ_MOV[CONTAS],$C1244,LANÇ_MOV[PLANO DE CONTAS],REL_DRE_FINANCEIRO!$B$1164,LANÇ_MOV[ANO PAGAMENTO],$B$4,LANÇ_MOV[MÊS PAGAMENTO CORRESPONDENTE],K$6,LANÇ_MOV[EMPRESA],$C$4,LANÇ_MOV[CENTRO DE CUSTOS],$D$4)</f>
        <v>0</v>
      </c>
      <c r="L1244" s="206">
        <f>SUMIFS(LANÇ_MOV[VALOR LÍQUIDO],LANÇ_MOV[RECEITA OU DESPESA],"Despesa",LANÇ_MOV[CONTAS],$C1244,LANÇ_MOV[PLANO DE CONTAS],REL_DRE_FINANCEIRO!$B$1164,LANÇ_MOV[ANO PAGAMENTO],$B$4,LANÇ_MOV[MÊS PAGAMENTO CORRESPONDENTE],L$6,LANÇ_MOV[EMPRESA],$C$4,LANÇ_MOV[CENTRO DE CUSTOS],$D$4)</f>
        <v>0</v>
      </c>
      <c r="M1244" s="206">
        <f>SUMIFS(LANÇ_MOV[VALOR LÍQUIDO],LANÇ_MOV[RECEITA OU DESPESA],"Despesa",LANÇ_MOV[CONTAS],$C1244,LANÇ_MOV[PLANO DE CONTAS],REL_DRE_FINANCEIRO!$B$1164,LANÇ_MOV[ANO PAGAMENTO],$B$4,LANÇ_MOV[MÊS PAGAMENTO CORRESPONDENTE],M$6,LANÇ_MOV[EMPRESA],$C$4,LANÇ_MOV[CENTRO DE CUSTOS],$D$4)</f>
        <v>0</v>
      </c>
      <c r="N1244" s="206">
        <f>SUMIFS(LANÇ_MOV[VALOR LÍQUIDO],LANÇ_MOV[RECEITA OU DESPESA],"Despesa",LANÇ_MOV[CONTAS],$C1244,LANÇ_MOV[PLANO DE CONTAS],REL_DRE_FINANCEIRO!$B$1164,LANÇ_MOV[ANO PAGAMENTO],$B$4,LANÇ_MOV[MÊS PAGAMENTO CORRESPONDENTE],N$6,LANÇ_MOV[EMPRESA],$C$4,LANÇ_MOV[CENTRO DE CUSTOS],$D$4)</f>
        <v>0</v>
      </c>
      <c r="O1244" s="206">
        <f>SUMIFS(LANÇ_MOV[VALOR LÍQUIDO],LANÇ_MOV[RECEITA OU DESPESA],"Despesa",LANÇ_MOV[CONTAS],$C1244,LANÇ_MOV[PLANO DE CONTAS],REL_DRE_FINANCEIRO!$B$1164,LANÇ_MOV[ANO PAGAMENTO],$B$4,LANÇ_MOV[MÊS PAGAMENTO CORRESPONDENTE],O$6,LANÇ_MOV[EMPRESA],$C$4,LANÇ_MOV[CENTRO DE CUSTOS],$D$4)</f>
        <v>0</v>
      </c>
      <c r="P1244" s="207">
        <f t="shared" si="150"/>
        <v>0</v>
      </c>
      <c r="Q1244" s="329">
        <v>2.0999999999999998E-6</v>
      </c>
      <c r="R1244" s="346">
        <f t="shared" si="151"/>
        <v>2.0999999999999998E-6</v>
      </c>
      <c r="S1244" s="347" t="str">
        <f t="shared" si="152"/>
        <v>-</v>
      </c>
      <c r="T1244" s="347">
        <f t="shared" si="153"/>
        <v>0</v>
      </c>
      <c r="U1244" s="347">
        <f>HLOOKUP(Apoio!$P$12,$D$1163:$P$1264,X1244,FALSE)+Q1244</f>
        <v>2.0999999999999998E-6</v>
      </c>
      <c r="V1244" s="447" t="str">
        <f t="shared" si="154"/>
        <v>-</v>
      </c>
      <c r="W1244" s="448">
        <f>HLOOKUP(Apoio!$P$12,$D$1163:$P$1264,X1244,FALSE)</f>
        <v>0</v>
      </c>
      <c r="X1244" s="329">
        <v>82</v>
      </c>
    </row>
    <row r="1245" spans="2:24" ht="30.05" customHeight="1" x14ac:dyDescent="0.35">
      <c r="B1245" s="204" t="str">
        <f>'CAD_PL_REC-DESP'!AI85</f>
        <v>2.9.81</v>
      </c>
      <c r="C1245" s="205" t="str">
        <f>IF('CAD_PL_REC-DESP'!AJ85="","-",'CAD_PL_REC-DESP'!AJ85)</f>
        <v>-</v>
      </c>
      <c r="D1245" s="206">
        <f>SUMIFS(LANÇ_MOV[VALOR LÍQUIDO],LANÇ_MOV[RECEITA OU DESPESA],"Despesa",LANÇ_MOV[CONTAS],$C1245,LANÇ_MOV[PLANO DE CONTAS],REL_DRE_FINANCEIRO!$B$1164,LANÇ_MOV[ANO PAGAMENTO],$B$4,LANÇ_MOV[MÊS PAGAMENTO CORRESPONDENTE],D$6,LANÇ_MOV[EMPRESA],$C$4,LANÇ_MOV[CENTRO DE CUSTOS],$D$4)</f>
        <v>0</v>
      </c>
      <c r="E1245" s="206">
        <f>SUMIFS(LANÇ_MOV[VALOR LÍQUIDO],LANÇ_MOV[RECEITA OU DESPESA],"Despesa",LANÇ_MOV[CONTAS],$C1245,LANÇ_MOV[PLANO DE CONTAS],REL_DRE_FINANCEIRO!$B$1164,LANÇ_MOV[ANO PAGAMENTO],$B$4,LANÇ_MOV[MÊS PAGAMENTO CORRESPONDENTE],E$6,LANÇ_MOV[EMPRESA],$C$4,LANÇ_MOV[CENTRO DE CUSTOS],$D$4)</f>
        <v>0</v>
      </c>
      <c r="F1245" s="206">
        <f>SUMIFS(LANÇ_MOV[VALOR LÍQUIDO],LANÇ_MOV[RECEITA OU DESPESA],"Despesa",LANÇ_MOV[CONTAS],$C1245,LANÇ_MOV[PLANO DE CONTAS],REL_DRE_FINANCEIRO!$B$1164,LANÇ_MOV[ANO PAGAMENTO],$B$4,LANÇ_MOV[MÊS PAGAMENTO CORRESPONDENTE],F$6,LANÇ_MOV[EMPRESA],$C$4,LANÇ_MOV[CENTRO DE CUSTOS],$D$4)</f>
        <v>0</v>
      </c>
      <c r="G1245" s="206">
        <f>SUMIFS(LANÇ_MOV[VALOR LÍQUIDO],LANÇ_MOV[RECEITA OU DESPESA],"Despesa",LANÇ_MOV[CONTAS],$C1245,LANÇ_MOV[PLANO DE CONTAS],REL_DRE_FINANCEIRO!$B$1164,LANÇ_MOV[ANO PAGAMENTO],$B$4,LANÇ_MOV[MÊS PAGAMENTO CORRESPONDENTE],G$6,LANÇ_MOV[EMPRESA],$C$4,LANÇ_MOV[CENTRO DE CUSTOS],$D$4)</f>
        <v>0</v>
      </c>
      <c r="H1245" s="206">
        <f>SUMIFS(LANÇ_MOV[VALOR LÍQUIDO],LANÇ_MOV[RECEITA OU DESPESA],"Despesa",LANÇ_MOV[CONTAS],$C1245,LANÇ_MOV[PLANO DE CONTAS],REL_DRE_FINANCEIRO!$B$1164,LANÇ_MOV[ANO PAGAMENTO],$B$4,LANÇ_MOV[MÊS PAGAMENTO CORRESPONDENTE],H$6,LANÇ_MOV[EMPRESA],$C$4,LANÇ_MOV[CENTRO DE CUSTOS],$D$4)</f>
        <v>0</v>
      </c>
      <c r="I1245" s="206">
        <f>SUMIFS(LANÇ_MOV[VALOR LÍQUIDO],LANÇ_MOV[RECEITA OU DESPESA],"Despesa",LANÇ_MOV[CONTAS],$C1245,LANÇ_MOV[PLANO DE CONTAS],REL_DRE_FINANCEIRO!$B$1164,LANÇ_MOV[ANO PAGAMENTO],$B$4,LANÇ_MOV[MÊS PAGAMENTO CORRESPONDENTE],I$6,LANÇ_MOV[EMPRESA],$C$4,LANÇ_MOV[CENTRO DE CUSTOS],$D$4)</f>
        <v>0</v>
      </c>
      <c r="J1245" s="206">
        <f>SUMIFS(LANÇ_MOV[VALOR LÍQUIDO],LANÇ_MOV[RECEITA OU DESPESA],"Despesa",LANÇ_MOV[CONTAS],$C1245,LANÇ_MOV[PLANO DE CONTAS],REL_DRE_FINANCEIRO!$B$1164,LANÇ_MOV[ANO PAGAMENTO],$B$4,LANÇ_MOV[MÊS PAGAMENTO CORRESPONDENTE],J$6,LANÇ_MOV[EMPRESA],$C$4,LANÇ_MOV[CENTRO DE CUSTOS],$D$4)</f>
        <v>0</v>
      </c>
      <c r="K1245" s="206">
        <f>SUMIFS(LANÇ_MOV[VALOR LÍQUIDO],LANÇ_MOV[RECEITA OU DESPESA],"Despesa",LANÇ_MOV[CONTAS],$C1245,LANÇ_MOV[PLANO DE CONTAS],REL_DRE_FINANCEIRO!$B$1164,LANÇ_MOV[ANO PAGAMENTO],$B$4,LANÇ_MOV[MÊS PAGAMENTO CORRESPONDENTE],K$6,LANÇ_MOV[EMPRESA],$C$4,LANÇ_MOV[CENTRO DE CUSTOS],$D$4)</f>
        <v>0</v>
      </c>
      <c r="L1245" s="206">
        <f>SUMIFS(LANÇ_MOV[VALOR LÍQUIDO],LANÇ_MOV[RECEITA OU DESPESA],"Despesa",LANÇ_MOV[CONTAS],$C1245,LANÇ_MOV[PLANO DE CONTAS],REL_DRE_FINANCEIRO!$B$1164,LANÇ_MOV[ANO PAGAMENTO],$B$4,LANÇ_MOV[MÊS PAGAMENTO CORRESPONDENTE],L$6,LANÇ_MOV[EMPRESA],$C$4,LANÇ_MOV[CENTRO DE CUSTOS],$D$4)</f>
        <v>0</v>
      </c>
      <c r="M1245" s="206">
        <f>SUMIFS(LANÇ_MOV[VALOR LÍQUIDO],LANÇ_MOV[RECEITA OU DESPESA],"Despesa",LANÇ_MOV[CONTAS],$C1245,LANÇ_MOV[PLANO DE CONTAS],REL_DRE_FINANCEIRO!$B$1164,LANÇ_MOV[ANO PAGAMENTO],$B$4,LANÇ_MOV[MÊS PAGAMENTO CORRESPONDENTE],M$6,LANÇ_MOV[EMPRESA],$C$4,LANÇ_MOV[CENTRO DE CUSTOS],$D$4)</f>
        <v>0</v>
      </c>
      <c r="N1245" s="206">
        <f>SUMIFS(LANÇ_MOV[VALOR LÍQUIDO],LANÇ_MOV[RECEITA OU DESPESA],"Despesa",LANÇ_MOV[CONTAS],$C1245,LANÇ_MOV[PLANO DE CONTAS],REL_DRE_FINANCEIRO!$B$1164,LANÇ_MOV[ANO PAGAMENTO],$B$4,LANÇ_MOV[MÊS PAGAMENTO CORRESPONDENTE],N$6,LANÇ_MOV[EMPRESA],$C$4,LANÇ_MOV[CENTRO DE CUSTOS],$D$4)</f>
        <v>0</v>
      </c>
      <c r="O1245" s="206">
        <f>SUMIFS(LANÇ_MOV[VALOR LÍQUIDO],LANÇ_MOV[RECEITA OU DESPESA],"Despesa",LANÇ_MOV[CONTAS],$C1245,LANÇ_MOV[PLANO DE CONTAS],REL_DRE_FINANCEIRO!$B$1164,LANÇ_MOV[ANO PAGAMENTO],$B$4,LANÇ_MOV[MÊS PAGAMENTO CORRESPONDENTE],O$6,LANÇ_MOV[EMPRESA],$C$4,LANÇ_MOV[CENTRO DE CUSTOS],$D$4)</f>
        <v>0</v>
      </c>
      <c r="P1245" s="207">
        <f t="shared" si="150"/>
        <v>0</v>
      </c>
      <c r="Q1245" s="329">
        <v>1.9999999999999999E-6</v>
      </c>
      <c r="R1245" s="346">
        <f t="shared" si="151"/>
        <v>1.9999999999999999E-6</v>
      </c>
      <c r="S1245" s="347" t="str">
        <f t="shared" si="152"/>
        <v>-</v>
      </c>
      <c r="T1245" s="347">
        <f t="shared" si="153"/>
        <v>0</v>
      </c>
      <c r="U1245" s="347">
        <f>HLOOKUP(Apoio!$P$12,$D$1163:$P$1264,X1245,FALSE)+Q1245</f>
        <v>1.9999999999999999E-6</v>
      </c>
      <c r="V1245" s="447" t="str">
        <f t="shared" si="154"/>
        <v>-</v>
      </c>
      <c r="W1245" s="448">
        <f>HLOOKUP(Apoio!$P$12,$D$1163:$P$1264,X1245,FALSE)</f>
        <v>0</v>
      </c>
      <c r="X1245" s="329">
        <v>83</v>
      </c>
    </row>
    <row r="1246" spans="2:24" ht="30.05" customHeight="1" x14ac:dyDescent="0.35">
      <c r="B1246" s="204" t="str">
        <f>'CAD_PL_REC-DESP'!AI86</f>
        <v>2.9.82</v>
      </c>
      <c r="C1246" s="205" t="str">
        <f>IF('CAD_PL_REC-DESP'!AJ86="","-",'CAD_PL_REC-DESP'!AJ86)</f>
        <v>-</v>
      </c>
      <c r="D1246" s="206">
        <f>SUMIFS(LANÇ_MOV[VALOR LÍQUIDO],LANÇ_MOV[RECEITA OU DESPESA],"Despesa",LANÇ_MOV[CONTAS],$C1246,LANÇ_MOV[PLANO DE CONTAS],REL_DRE_FINANCEIRO!$B$1164,LANÇ_MOV[ANO PAGAMENTO],$B$4,LANÇ_MOV[MÊS PAGAMENTO CORRESPONDENTE],D$6,LANÇ_MOV[EMPRESA],$C$4,LANÇ_MOV[CENTRO DE CUSTOS],$D$4)</f>
        <v>0</v>
      </c>
      <c r="E1246" s="206">
        <f>SUMIFS(LANÇ_MOV[VALOR LÍQUIDO],LANÇ_MOV[RECEITA OU DESPESA],"Despesa",LANÇ_MOV[CONTAS],$C1246,LANÇ_MOV[PLANO DE CONTAS],REL_DRE_FINANCEIRO!$B$1164,LANÇ_MOV[ANO PAGAMENTO],$B$4,LANÇ_MOV[MÊS PAGAMENTO CORRESPONDENTE],E$6,LANÇ_MOV[EMPRESA],$C$4,LANÇ_MOV[CENTRO DE CUSTOS],$D$4)</f>
        <v>0</v>
      </c>
      <c r="F1246" s="206">
        <f>SUMIFS(LANÇ_MOV[VALOR LÍQUIDO],LANÇ_MOV[RECEITA OU DESPESA],"Despesa",LANÇ_MOV[CONTAS],$C1246,LANÇ_MOV[PLANO DE CONTAS],REL_DRE_FINANCEIRO!$B$1164,LANÇ_MOV[ANO PAGAMENTO],$B$4,LANÇ_MOV[MÊS PAGAMENTO CORRESPONDENTE],F$6,LANÇ_MOV[EMPRESA],$C$4,LANÇ_MOV[CENTRO DE CUSTOS],$D$4)</f>
        <v>0</v>
      </c>
      <c r="G1246" s="206">
        <f>SUMIFS(LANÇ_MOV[VALOR LÍQUIDO],LANÇ_MOV[RECEITA OU DESPESA],"Despesa",LANÇ_MOV[CONTAS],$C1246,LANÇ_MOV[PLANO DE CONTAS],REL_DRE_FINANCEIRO!$B$1164,LANÇ_MOV[ANO PAGAMENTO],$B$4,LANÇ_MOV[MÊS PAGAMENTO CORRESPONDENTE],G$6,LANÇ_MOV[EMPRESA],$C$4,LANÇ_MOV[CENTRO DE CUSTOS],$D$4)</f>
        <v>0</v>
      </c>
      <c r="H1246" s="206">
        <f>SUMIFS(LANÇ_MOV[VALOR LÍQUIDO],LANÇ_MOV[RECEITA OU DESPESA],"Despesa",LANÇ_MOV[CONTAS],$C1246,LANÇ_MOV[PLANO DE CONTAS],REL_DRE_FINANCEIRO!$B$1164,LANÇ_MOV[ANO PAGAMENTO],$B$4,LANÇ_MOV[MÊS PAGAMENTO CORRESPONDENTE],H$6,LANÇ_MOV[EMPRESA],$C$4,LANÇ_MOV[CENTRO DE CUSTOS],$D$4)</f>
        <v>0</v>
      </c>
      <c r="I1246" s="206">
        <f>SUMIFS(LANÇ_MOV[VALOR LÍQUIDO],LANÇ_MOV[RECEITA OU DESPESA],"Despesa",LANÇ_MOV[CONTAS],$C1246,LANÇ_MOV[PLANO DE CONTAS],REL_DRE_FINANCEIRO!$B$1164,LANÇ_MOV[ANO PAGAMENTO],$B$4,LANÇ_MOV[MÊS PAGAMENTO CORRESPONDENTE],I$6,LANÇ_MOV[EMPRESA],$C$4,LANÇ_MOV[CENTRO DE CUSTOS],$D$4)</f>
        <v>0</v>
      </c>
      <c r="J1246" s="206">
        <f>SUMIFS(LANÇ_MOV[VALOR LÍQUIDO],LANÇ_MOV[RECEITA OU DESPESA],"Despesa",LANÇ_MOV[CONTAS],$C1246,LANÇ_MOV[PLANO DE CONTAS],REL_DRE_FINANCEIRO!$B$1164,LANÇ_MOV[ANO PAGAMENTO],$B$4,LANÇ_MOV[MÊS PAGAMENTO CORRESPONDENTE],J$6,LANÇ_MOV[EMPRESA],$C$4,LANÇ_MOV[CENTRO DE CUSTOS],$D$4)</f>
        <v>0</v>
      </c>
      <c r="K1246" s="206">
        <f>SUMIFS(LANÇ_MOV[VALOR LÍQUIDO],LANÇ_MOV[RECEITA OU DESPESA],"Despesa",LANÇ_MOV[CONTAS],$C1246,LANÇ_MOV[PLANO DE CONTAS],REL_DRE_FINANCEIRO!$B$1164,LANÇ_MOV[ANO PAGAMENTO],$B$4,LANÇ_MOV[MÊS PAGAMENTO CORRESPONDENTE],K$6,LANÇ_MOV[EMPRESA],$C$4,LANÇ_MOV[CENTRO DE CUSTOS],$D$4)</f>
        <v>0</v>
      </c>
      <c r="L1246" s="206">
        <f>SUMIFS(LANÇ_MOV[VALOR LÍQUIDO],LANÇ_MOV[RECEITA OU DESPESA],"Despesa",LANÇ_MOV[CONTAS],$C1246,LANÇ_MOV[PLANO DE CONTAS],REL_DRE_FINANCEIRO!$B$1164,LANÇ_MOV[ANO PAGAMENTO],$B$4,LANÇ_MOV[MÊS PAGAMENTO CORRESPONDENTE],L$6,LANÇ_MOV[EMPRESA],$C$4,LANÇ_MOV[CENTRO DE CUSTOS],$D$4)</f>
        <v>0</v>
      </c>
      <c r="M1246" s="206">
        <f>SUMIFS(LANÇ_MOV[VALOR LÍQUIDO],LANÇ_MOV[RECEITA OU DESPESA],"Despesa",LANÇ_MOV[CONTAS],$C1246,LANÇ_MOV[PLANO DE CONTAS],REL_DRE_FINANCEIRO!$B$1164,LANÇ_MOV[ANO PAGAMENTO],$B$4,LANÇ_MOV[MÊS PAGAMENTO CORRESPONDENTE],M$6,LANÇ_MOV[EMPRESA],$C$4,LANÇ_MOV[CENTRO DE CUSTOS],$D$4)</f>
        <v>0</v>
      </c>
      <c r="N1246" s="206">
        <f>SUMIFS(LANÇ_MOV[VALOR LÍQUIDO],LANÇ_MOV[RECEITA OU DESPESA],"Despesa",LANÇ_MOV[CONTAS],$C1246,LANÇ_MOV[PLANO DE CONTAS],REL_DRE_FINANCEIRO!$B$1164,LANÇ_MOV[ANO PAGAMENTO],$B$4,LANÇ_MOV[MÊS PAGAMENTO CORRESPONDENTE],N$6,LANÇ_MOV[EMPRESA],$C$4,LANÇ_MOV[CENTRO DE CUSTOS],$D$4)</f>
        <v>0</v>
      </c>
      <c r="O1246" s="206">
        <f>SUMIFS(LANÇ_MOV[VALOR LÍQUIDO],LANÇ_MOV[RECEITA OU DESPESA],"Despesa",LANÇ_MOV[CONTAS],$C1246,LANÇ_MOV[PLANO DE CONTAS],REL_DRE_FINANCEIRO!$B$1164,LANÇ_MOV[ANO PAGAMENTO],$B$4,LANÇ_MOV[MÊS PAGAMENTO CORRESPONDENTE],O$6,LANÇ_MOV[EMPRESA],$C$4,LANÇ_MOV[CENTRO DE CUSTOS],$D$4)</f>
        <v>0</v>
      </c>
      <c r="P1246" s="207">
        <f t="shared" si="150"/>
        <v>0</v>
      </c>
      <c r="Q1246" s="329">
        <v>1.9E-6</v>
      </c>
      <c r="R1246" s="346">
        <f t="shared" si="151"/>
        <v>1.9E-6</v>
      </c>
      <c r="S1246" s="347" t="str">
        <f t="shared" si="152"/>
        <v>-</v>
      </c>
      <c r="T1246" s="347">
        <f t="shared" si="153"/>
        <v>0</v>
      </c>
      <c r="U1246" s="347">
        <f>HLOOKUP(Apoio!$P$12,$D$1163:$P$1264,X1246,FALSE)+Q1246</f>
        <v>1.9E-6</v>
      </c>
      <c r="V1246" s="447" t="str">
        <f t="shared" si="154"/>
        <v>-</v>
      </c>
      <c r="W1246" s="448">
        <f>HLOOKUP(Apoio!$P$12,$D$1163:$P$1264,X1246,FALSE)</f>
        <v>0</v>
      </c>
      <c r="X1246" s="329">
        <v>84</v>
      </c>
    </row>
    <row r="1247" spans="2:24" ht="30.05" customHeight="1" x14ac:dyDescent="0.35">
      <c r="B1247" s="204" t="str">
        <f>'CAD_PL_REC-DESP'!AI87</f>
        <v>2.9.83</v>
      </c>
      <c r="C1247" s="205" t="str">
        <f>IF('CAD_PL_REC-DESP'!AJ87="","-",'CAD_PL_REC-DESP'!AJ87)</f>
        <v>-</v>
      </c>
      <c r="D1247" s="206">
        <f>SUMIFS(LANÇ_MOV[VALOR LÍQUIDO],LANÇ_MOV[RECEITA OU DESPESA],"Despesa",LANÇ_MOV[CONTAS],$C1247,LANÇ_MOV[PLANO DE CONTAS],REL_DRE_FINANCEIRO!$B$1164,LANÇ_MOV[ANO PAGAMENTO],$B$4,LANÇ_MOV[MÊS PAGAMENTO CORRESPONDENTE],D$6,LANÇ_MOV[EMPRESA],$C$4,LANÇ_MOV[CENTRO DE CUSTOS],$D$4)</f>
        <v>0</v>
      </c>
      <c r="E1247" s="206">
        <f>SUMIFS(LANÇ_MOV[VALOR LÍQUIDO],LANÇ_MOV[RECEITA OU DESPESA],"Despesa",LANÇ_MOV[CONTAS],$C1247,LANÇ_MOV[PLANO DE CONTAS],REL_DRE_FINANCEIRO!$B$1164,LANÇ_MOV[ANO PAGAMENTO],$B$4,LANÇ_MOV[MÊS PAGAMENTO CORRESPONDENTE],E$6,LANÇ_MOV[EMPRESA],$C$4,LANÇ_MOV[CENTRO DE CUSTOS],$D$4)</f>
        <v>0</v>
      </c>
      <c r="F1247" s="206">
        <f>SUMIFS(LANÇ_MOV[VALOR LÍQUIDO],LANÇ_MOV[RECEITA OU DESPESA],"Despesa",LANÇ_MOV[CONTAS],$C1247,LANÇ_MOV[PLANO DE CONTAS],REL_DRE_FINANCEIRO!$B$1164,LANÇ_MOV[ANO PAGAMENTO],$B$4,LANÇ_MOV[MÊS PAGAMENTO CORRESPONDENTE],F$6,LANÇ_MOV[EMPRESA],$C$4,LANÇ_MOV[CENTRO DE CUSTOS],$D$4)</f>
        <v>0</v>
      </c>
      <c r="G1247" s="206">
        <f>SUMIFS(LANÇ_MOV[VALOR LÍQUIDO],LANÇ_MOV[RECEITA OU DESPESA],"Despesa",LANÇ_MOV[CONTAS],$C1247,LANÇ_MOV[PLANO DE CONTAS],REL_DRE_FINANCEIRO!$B$1164,LANÇ_MOV[ANO PAGAMENTO],$B$4,LANÇ_MOV[MÊS PAGAMENTO CORRESPONDENTE],G$6,LANÇ_MOV[EMPRESA],$C$4,LANÇ_MOV[CENTRO DE CUSTOS],$D$4)</f>
        <v>0</v>
      </c>
      <c r="H1247" s="206">
        <f>SUMIFS(LANÇ_MOV[VALOR LÍQUIDO],LANÇ_MOV[RECEITA OU DESPESA],"Despesa",LANÇ_MOV[CONTAS],$C1247,LANÇ_MOV[PLANO DE CONTAS],REL_DRE_FINANCEIRO!$B$1164,LANÇ_MOV[ANO PAGAMENTO],$B$4,LANÇ_MOV[MÊS PAGAMENTO CORRESPONDENTE],H$6,LANÇ_MOV[EMPRESA],$C$4,LANÇ_MOV[CENTRO DE CUSTOS],$D$4)</f>
        <v>0</v>
      </c>
      <c r="I1247" s="206">
        <f>SUMIFS(LANÇ_MOV[VALOR LÍQUIDO],LANÇ_MOV[RECEITA OU DESPESA],"Despesa",LANÇ_MOV[CONTAS],$C1247,LANÇ_MOV[PLANO DE CONTAS],REL_DRE_FINANCEIRO!$B$1164,LANÇ_MOV[ANO PAGAMENTO],$B$4,LANÇ_MOV[MÊS PAGAMENTO CORRESPONDENTE],I$6,LANÇ_MOV[EMPRESA],$C$4,LANÇ_MOV[CENTRO DE CUSTOS],$D$4)</f>
        <v>0</v>
      </c>
      <c r="J1247" s="206">
        <f>SUMIFS(LANÇ_MOV[VALOR LÍQUIDO],LANÇ_MOV[RECEITA OU DESPESA],"Despesa",LANÇ_MOV[CONTAS],$C1247,LANÇ_MOV[PLANO DE CONTAS],REL_DRE_FINANCEIRO!$B$1164,LANÇ_MOV[ANO PAGAMENTO],$B$4,LANÇ_MOV[MÊS PAGAMENTO CORRESPONDENTE],J$6,LANÇ_MOV[EMPRESA],$C$4,LANÇ_MOV[CENTRO DE CUSTOS],$D$4)</f>
        <v>0</v>
      </c>
      <c r="K1247" s="206">
        <f>SUMIFS(LANÇ_MOV[VALOR LÍQUIDO],LANÇ_MOV[RECEITA OU DESPESA],"Despesa",LANÇ_MOV[CONTAS],$C1247,LANÇ_MOV[PLANO DE CONTAS],REL_DRE_FINANCEIRO!$B$1164,LANÇ_MOV[ANO PAGAMENTO],$B$4,LANÇ_MOV[MÊS PAGAMENTO CORRESPONDENTE],K$6,LANÇ_MOV[EMPRESA],$C$4,LANÇ_MOV[CENTRO DE CUSTOS],$D$4)</f>
        <v>0</v>
      </c>
      <c r="L1247" s="206">
        <f>SUMIFS(LANÇ_MOV[VALOR LÍQUIDO],LANÇ_MOV[RECEITA OU DESPESA],"Despesa",LANÇ_MOV[CONTAS],$C1247,LANÇ_MOV[PLANO DE CONTAS],REL_DRE_FINANCEIRO!$B$1164,LANÇ_MOV[ANO PAGAMENTO],$B$4,LANÇ_MOV[MÊS PAGAMENTO CORRESPONDENTE],L$6,LANÇ_MOV[EMPRESA],$C$4,LANÇ_MOV[CENTRO DE CUSTOS],$D$4)</f>
        <v>0</v>
      </c>
      <c r="M1247" s="206">
        <f>SUMIFS(LANÇ_MOV[VALOR LÍQUIDO],LANÇ_MOV[RECEITA OU DESPESA],"Despesa",LANÇ_MOV[CONTAS],$C1247,LANÇ_MOV[PLANO DE CONTAS],REL_DRE_FINANCEIRO!$B$1164,LANÇ_MOV[ANO PAGAMENTO],$B$4,LANÇ_MOV[MÊS PAGAMENTO CORRESPONDENTE],M$6,LANÇ_MOV[EMPRESA],$C$4,LANÇ_MOV[CENTRO DE CUSTOS],$D$4)</f>
        <v>0</v>
      </c>
      <c r="N1247" s="206">
        <f>SUMIFS(LANÇ_MOV[VALOR LÍQUIDO],LANÇ_MOV[RECEITA OU DESPESA],"Despesa",LANÇ_MOV[CONTAS],$C1247,LANÇ_MOV[PLANO DE CONTAS],REL_DRE_FINANCEIRO!$B$1164,LANÇ_MOV[ANO PAGAMENTO],$B$4,LANÇ_MOV[MÊS PAGAMENTO CORRESPONDENTE],N$6,LANÇ_MOV[EMPRESA],$C$4,LANÇ_MOV[CENTRO DE CUSTOS],$D$4)</f>
        <v>0</v>
      </c>
      <c r="O1247" s="206">
        <f>SUMIFS(LANÇ_MOV[VALOR LÍQUIDO],LANÇ_MOV[RECEITA OU DESPESA],"Despesa",LANÇ_MOV[CONTAS],$C1247,LANÇ_MOV[PLANO DE CONTAS],REL_DRE_FINANCEIRO!$B$1164,LANÇ_MOV[ANO PAGAMENTO],$B$4,LANÇ_MOV[MÊS PAGAMENTO CORRESPONDENTE],O$6,LANÇ_MOV[EMPRESA],$C$4,LANÇ_MOV[CENTRO DE CUSTOS],$D$4)</f>
        <v>0</v>
      </c>
      <c r="P1247" s="207">
        <f t="shared" si="150"/>
        <v>0</v>
      </c>
      <c r="Q1247" s="329">
        <v>1.7999999999999999E-6</v>
      </c>
      <c r="R1247" s="346">
        <f t="shared" si="151"/>
        <v>1.7999999999999999E-6</v>
      </c>
      <c r="S1247" s="347" t="str">
        <f t="shared" si="152"/>
        <v>-</v>
      </c>
      <c r="T1247" s="347">
        <f t="shared" si="153"/>
        <v>0</v>
      </c>
      <c r="U1247" s="347">
        <f>HLOOKUP(Apoio!$P$12,$D$1163:$P$1264,X1247,FALSE)+Q1247</f>
        <v>1.7999999999999999E-6</v>
      </c>
      <c r="V1247" s="447" t="str">
        <f t="shared" si="154"/>
        <v>-</v>
      </c>
      <c r="W1247" s="448">
        <f>HLOOKUP(Apoio!$P$12,$D$1163:$P$1264,X1247,FALSE)</f>
        <v>0</v>
      </c>
      <c r="X1247" s="329">
        <v>85</v>
      </c>
    </row>
    <row r="1248" spans="2:24" ht="30.05" customHeight="1" x14ac:dyDescent="0.35">
      <c r="B1248" s="204" t="str">
        <f>'CAD_PL_REC-DESP'!AI88</f>
        <v>2.9.84</v>
      </c>
      <c r="C1248" s="205" t="str">
        <f>IF('CAD_PL_REC-DESP'!AJ88="","-",'CAD_PL_REC-DESP'!AJ88)</f>
        <v>-</v>
      </c>
      <c r="D1248" s="206">
        <f>SUMIFS(LANÇ_MOV[VALOR LÍQUIDO],LANÇ_MOV[RECEITA OU DESPESA],"Despesa",LANÇ_MOV[CONTAS],$C1248,LANÇ_MOV[PLANO DE CONTAS],REL_DRE_FINANCEIRO!$B$1164,LANÇ_MOV[ANO PAGAMENTO],$B$4,LANÇ_MOV[MÊS PAGAMENTO CORRESPONDENTE],D$6,LANÇ_MOV[EMPRESA],$C$4,LANÇ_MOV[CENTRO DE CUSTOS],$D$4)</f>
        <v>0</v>
      </c>
      <c r="E1248" s="206">
        <f>SUMIFS(LANÇ_MOV[VALOR LÍQUIDO],LANÇ_MOV[RECEITA OU DESPESA],"Despesa",LANÇ_MOV[CONTAS],$C1248,LANÇ_MOV[PLANO DE CONTAS],REL_DRE_FINANCEIRO!$B$1164,LANÇ_MOV[ANO PAGAMENTO],$B$4,LANÇ_MOV[MÊS PAGAMENTO CORRESPONDENTE],E$6,LANÇ_MOV[EMPRESA],$C$4,LANÇ_MOV[CENTRO DE CUSTOS],$D$4)</f>
        <v>0</v>
      </c>
      <c r="F1248" s="206">
        <f>SUMIFS(LANÇ_MOV[VALOR LÍQUIDO],LANÇ_MOV[RECEITA OU DESPESA],"Despesa",LANÇ_MOV[CONTAS],$C1248,LANÇ_MOV[PLANO DE CONTAS],REL_DRE_FINANCEIRO!$B$1164,LANÇ_MOV[ANO PAGAMENTO],$B$4,LANÇ_MOV[MÊS PAGAMENTO CORRESPONDENTE],F$6,LANÇ_MOV[EMPRESA],$C$4,LANÇ_MOV[CENTRO DE CUSTOS],$D$4)</f>
        <v>0</v>
      </c>
      <c r="G1248" s="206">
        <f>SUMIFS(LANÇ_MOV[VALOR LÍQUIDO],LANÇ_MOV[RECEITA OU DESPESA],"Despesa",LANÇ_MOV[CONTAS],$C1248,LANÇ_MOV[PLANO DE CONTAS],REL_DRE_FINANCEIRO!$B$1164,LANÇ_MOV[ANO PAGAMENTO],$B$4,LANÇ_MOV[MÊS PAGAMENTO CORRESPONDENTE],G$6,LANÇ_MOV[EMPRESA],$C$4,LANÇ_MOV[CENTRO DE CUSTOS],$D$4)</f>
        <v>0</v>
      </c>
      <c r="H1248" s="206">
        <f>SUMIFS(LANÇ_MOV[VALOR LÍQUIDO],LANÇ_MOV[RECEITA OU DESPESA],"Despesa",LANÇ_MOV[CONTAS],$C1248,LANÇ_MOV[PLANO DE CONTAS],REL_DRE_FINANCEIRO!$B$1164,LANÇ_MOV[ANO PAGAMENTO],$B$4,LANÇ_MOV[MÊS PAGAMENTO CORRESPONDENTE],H$6,LANÇ_MOV[EMPRESA],$C$4,LANÇ_MOV[CENTRO DE CUSTOS],$D$4)</f>
        <v>0</v>
      </c>
      <c r="I1248" s="206">
        <f>SUMIFS(LANÇ_MOV[VALOR LÍQUIDO],LANÇ_MOV[RECEITA OU DESPESA],"Despesa",LANÇ_MOV[CONTAS],$C1248,LANÇ_MOV[PLANO DE CONTAS],REL_DRE_FINANCEIRO!$B$1164,LANÇ_MOV[ANO PAGAMENTO],$B$4,LANÇ_MOV[MÊS PAGAMENTO CORRESPONDENTE],I$6,LANÇ_MOV[EMPRESA],$C$4,LANÇ_MOV[CENTRO DE CUSTOS],$D$4)</f>
        <v>0</v>
      </c>
      <c r="J1248" s="206">
        <f>SUMIFS(LANÇ_MOV[VALOR LÍQUIDO],LANÇ_MOV[RECEITA OU DESPESA],"Despesa",LANÇ_MOV[CONTAS],$C1248,LANÇ_MOV[PLANO DE CONTAS],REL_DRE_FINANCEIRO!$B$1164,LANÇ_MOV[ANO PAGAMENTO],$B$4,LANÇ_MOV[MÊS PAGAMENTO CORRESPONDENTE],J$6,LANÇ_MOV[EMPRESA],$C$4,LANÇ_MOV[CENTRO DE CUSTOS],$D$4)</f>
        <v>0</v>
      </c>
      <c r="K1248" s="206">
        <f>SUMIFS(LANÇ_MOV[VALOR LÍQUIDO],LANÇ_MOV[RECEITA OU DESPESA],"Despesa",LANÇ_MOV[CONTAS],$C1248,LANÇ_MOV[PLANO DE CONTAS],REL_DRE_FINANCEIRO!$B$1164,LANÇ_MOV[ANO PAGAMENTO],$B$4,LANÇ_MOV[MÊS PAGAMENTO CORRESPONDENTE],K$6,LANÇ_MOV[EMPRESA],$C$4,LANÇ_MOV[CENTRO DE CUSTOS],$D$4)</f>
        <v>0</v>
      </c>
      <c r="L1248" s="206">
        <f>SUMIFS(LANÇ_MOV[VALOR LÍQUIDO],LANÇ_MOV[RECEITA OU DESPESA],"Despesa",LANÇ_MOV[CONTAS],$C1248,LANÇ_MOV[PLANO DE CONTAS],REL_DRE_FINANCEIRO!$B$1164,LANÇ_MOV[ANO PAGAMENTO],$B$4,LANÇ_MOV[MÊS PAGAMENTO CORRESPONDENTE],L$6,LANÇ_MOV[EMPRESA],$C$4,LANÇ_MOV[CENTRO DE CUSTOS],$D$4)</f>
        <v>0</v>
      </c>
      <c r="M1248" s="206">
        <f>SUMIFS(LANÇ_MOV[VALOR LÍQUIDO],LANÇ_MOV[RECEITA OU DESPESA],"Despesa",LANÇ_MOV[CONTAS],$C1248,LANÇ_MOV[PLANO DE CONTAS],REL_DRE_FINANCEIRO!$B$1164,LANÇ_MOV[ANO PAGAMENTO],$B$4,LANÇ_MOV[MÊS PAGAMENTO CORRESPONDENTE],M$6,LANÇ_MOV[EMPRESA],$C$4,LANÇ_MOV[CENTRO DE CUSTOS],$D$4)</f>
        <v>0</v>
      </c>
      <c r="N1248" s="206">
        <f>SUMIFS(LANÇ_MOV[VALOR LÍQUIDO],LANÇ_MOV[RECEITA OU DESPESA],"Despesa",LANÇ_MOV[CONTAS],$C1248,LANÇ_MOV[PLANO DE CONTAS],REL_DRE_FINANCEIRO!$B$1164,LANÇ_MOV[ANO PAGAMENTO],$B$4,LANÇ_MOV[MÊS PAGAMENTO CORRESPONDENTE],N$6,LANÇ_MOV[EMPRESA],$C$4,LANÇ_MOV[CENTRO DE CUSTOS],$D$4)</f>
        <v>0</v>
      </c>
      <c r="O1248" s="206">
        <f>SUMIFS(LANÇ_MOV[VALOR LÍQUIDO],LANÇ_MOV[RECEITA OU DESPESA],"Despesa",LANÇ_MOV[CONTAS],$C1248,LANÇ_MOV[PLANO DE CONTAS],REL_DRE_FINANCEIRO!$B$1164,LANÇ_MOV[ANO PAGAMENTO],$B$4,LANÇ_MOV[MÊS PAGAMENTO CORRESPONDENTE],O$6,LANÇ_MOV[EMPRESA],$C$4,LANÇ_MOV[CENTRO DE CUSTOS],$D$4)</f>
        <v>0</v>
      </c>
      <c r="P1248" s="207">
        <f t="shared" si="150"/>
        <v>0</v>
      </c>
      <c r="Q1248" s="329">
        <v>1.7E-6</v>
      </c>
      <c r="R1248" s="346">
        <f t="shared" si="151"/>
        <v>1.7E-6</v>
      </c>
      <c r="S1248" s="347" t="str">
        <f t="shared" si="152"/>
        <v>-</v>
      </c>
      <c r="T1248" s="347">
        <f t="shared" si="153"/>
        <v>0</v>
      </c>
      <c r="U1248" s="347">
        <f>HLOOKUP(Apoio!$P$12,$D$1163:$P$1264,X1248,FALSE)+Q1248</f>
        <v>1.7E-6</v>
      </c>
      <c r="V1248" s="447" t="str">
        <f t="shared" si="154"/>
        <v>-</v>
      </c>
      <c r="W1248" s="448">
        <f>HLOOKUP(Apoio!$P$12,$D$1163:$P$1264,X1248,FALSE)</f>
        <v>0</v>
      </c>
      <c r="X1248" s="329">
        <v>86</v>
      </c>
    </row>
    <row r="1249" spans="2:24" ht="30.05" customHeight="1" x14ac:dyDescent="0.35">
      <c r="B1249" s="204" t="str">
        <f>'CAD_PL_REC-DESP'!AI89</f>
        <v>2.9.85</v>
      </c>
      <c r="C1249" s="205" t="str">
        <f>IF('CAD_PL_REC-DESP'!AJ89="","-",'CAD_PL_REC-DESP'!AJ89)</f>
        <v>-</v>
      </c>
      <c r="D1249" s="206">
        <f>SUMIFS(LANÇ_MOV[VALOR LÍQUIDO],LANÇ_MOV[RECEITA OU DESPESA],"Despesa",LANÇ_MOV[CONTAS],$C1249,LANÇ_MOV[PLANO DE CONTAS],REL_DRE_FINANCEIRO!$B$1164,LANÇ_MOV[ANO PAGAMENTO],$B$4,LANÇ_MOV[MÊS PAGAMENTO CORRESPONDENTE],D$6,LANÇ_MOV[EMPRESA],$C$4,LANÇ_MOV[CENTRO DE CUSTOS],$D$4)</f>
        <v>0</v>
      </c>
      <c r="E1249" s="206">
        <f>SUMIFS(LANÇ_MOV[VALOR LÍQUIDO],LANÇ_MOV[RECEITA OU DESPESA],"Despesa",LANÇ_MOV[CONTAS],$C1249,LANÇ_MOV[PLANO DE CONTAS],REL_DRE_FINANCEIRO!$B$1164,LANÇ_MOV[ANO PAGAMENTO],$B$4,LANÇ_MOV[MÊS PAGAMENTO CORRESPONDENTE],E$6,LANÇ_MOV[EMPRESA],$C$4,LANÇ_MOV[CENTRO DE CUSTOS],$D$4)</f>
        <v>0</v>
      </c>
      <c r="F1249" s="206">
        <f>SUMIFS(LANÇ_MOV[VALOR LÍQUIDO],LANÇ_MOV[RECEITA OU DESPESA],"Despesa",LANÇ_MOV[CONTAS],$C1249,LANÇ_MOV[PLANO DE CONTAS],REL_DRE_FINANCEIRO!$B$1164,LANÇ_MOV[ANO PAGAMENTO],$B$4,LANÇ_MOV[MÊS PAGAMENTO CORRESPONDENTE],F$6,LANÇ_MOV[EMPRESA],$C$4,LANÇ_MOV[CENTRO DE CUSTOS],$D$4)</f>
        <v>0</v>
      </c>
      <c r="G1249" s="206">
        <f>SUMIFS(LANÇ_MOV[VALOR LÍQUIDO],LANÇ_MOV[RECEITA OU DESPESA],"Despesa",LANÇ_MOV[CONTAS],$C1249,LANÇ_MOV[PLANO DE CONTAS],REL_DRE_FINANCEIRO!$B$1164,LANÇ_MOV[ANO PAGAMENTO],$B$4,LANÇ_MOV[MÊS PAGAMENTO CORRESPONDENTE],G$6,LANÇ_MOV[EMPRESA],$C$4,LANÇ_MOV[CENTRO DE CUSTOS],$D$4)</f>
        <v>0</v>
      </c>
      <c r="H1249" s="206">
        <f>SUMIFS(LANÇ_MOV[VALOR LÍQUIDO],LANÇ_MOV[RECEITA OU DESPESA],"Despesa",LANÇ_MOV[CONTAS],$C1249,LANÇ_MOV[PLANO DE CONTAS],REL_DRE_FINANCEIRO!$B$1164,LANÇ_MOV[ANO PAGAMENTO],$B$4,LANÇ_MOV[MÊS PAGAMENTO CORRESPONDENTE],H$6,LANÇ_MOV[EMPRESA],$C$4,LANÇ_MOV[CENTRO DE CUSTOS],$D$4)</f>
        <v>0</v>
      </c>
      <c r="I1249" s="206">
        <f>SUMIFS(LANÇ_MOV[VALOR LÍQUIDO],LANÇ_MOV[RECEITA OU DESPESA],"Despesa",LANÇ_MOV[CONTAS],$C1249,LANÇ_MOV[PLANO DE CONTAS],REL_DRE_FINANCEIRO!$B$1164,LANÇ_MOV[ANO PAGAMENTO],$B$4,LANÇ_MOV[MÊS PAGAMENTO CORRESPONDENTE],I$6,LANÇ_MOV[EMPRESA],$C$4,LANÇ_MOV[CENTRO DE CUSTOS],$D$4)</f>
        <v>0</v>
      </c>
      <c r="J1249" s="206">
        <f>SUMIFS(LANÇ_MOV[VALOR LÍQUIDO],LANÇ_MOV[RECEITA OU DESPESA],"Despesa",LANÇ_MOV[CONTAS],$C1249,LANÇ_MOV[PLANO DE CONTAS],REL_DRE_FINANCEIRO!$B$1164,LANÇ_MOV[ANO PAGAMENTO],$B$4,LANÇ_MOV[MÊS PAGAMENTO CORRESPONDENTE],J$6,LANÇ_MOV[EMPRESA],$C$4,LANÇ_MOV[CENTRO DE CUSTOS],$D$4)</f>
        <v>0</v>
      </c>
      <c r="K1249" s="206">
        <f>SUMIFS(LANÇ_MOV[VALOR LÍQUIDO],LANÇ_MOV[RECEITA OU DESPESA],"Despesa",LANÇ_MOV[CONTAS],$C1249,LANÇ_MOV[PLANO DE CONTAS],REL_DRE_FINANCEIRO!$B$1164,LANÇ_MOV[ANO PAGAMENTO],$B$4,LANÇ_MOV[MÊS PAGAMENTO CORRESPONDENTE],K$6,LANÇ_MOV[EMPRESA],$C$4,LANÇ_MOV[CENTRO DE CUSTOS],$D$4)</f>
        <v>0</v>
      </c>
      <c r="L1249" s="206">
        <f>SUMIFS(LANÇ_MOV[VALOR LÍQUIDO],LANÇ_MOV[RECEITA OU DESPESA],"Despesa",LANÇ_MOV[CONTAS],$C1249,LANÇ_MOV[PLANO DE CONTAS],REL_DRE_FINANCEIRO!$B$1164,LANÇ_MOV[ANO PAGAMENTO],$B$4,LANÇ_MOV[MÊS PAGAMENTO CORRESPONDENTE],L$6,LANÇ_MOV[EMPRESA],$C$4,LANÇ_MOV[CENTRO DE CUSTOS],$D$4)</f>
        <v>0</v>
      </c>
      <c r="M1249" s="206">
        <f>SUMIFS(LANÇ_MOV[VALOR LÍQUIDO],LANÇ_MOV[RECEITA OU DESPESA],"Despesa",LANÇ_MOV[CONTAS],$C1249,LANÇ_MOV[PLANO DE CONTAS],REL_DRE_FINANCEIRO!$B$1164,LANÇ_MOV[ANO PAGAMENTO],$B$4,LANÇ_MOV[MÊS PAGAMENTO CORRESPONDENTE],M$6,LANÇ_MOV[EMPRESA],$C$4,LANÇ_MOV[CENTRO DE CUSTOS],$D$4)</f>
        <v>0</v>
      </c>
      <c r="N1249" s="206">
        <f>SUMIFS(LANÇ_MOV[VALOR LÍQUIDO],LANÇ_MOV[RECEITA OU DESPESA],"Despesa",LANÇ_MOV[CONTAS],$C1249,LANÇ_MOV[PLANO DE CONTAS],REL_DRE_FINANCEIRO!$B$1164,LANÇ_MOV[ANO PAGAMENTO],$B$4,LANÇ_MOV[MÊS PAGAMENTO CORRESPONDENTE],N$6,LANÇ_MOV[EMPRESA],$C$4,LANÇ_MOV[CENTRO DE CUSTOS],$D$4)</f>
        <v>0</v>
      </c>
      <c r="O1249" s="206">
        <f>SUMIFS(LANÇ_MOV[VALOR LÍQUIDO],LANÇ_MOV[RECEITA OU DESPESA],"Despesa",LANÇ_MOV[CONTAS],$C1249,LANÇ_MOV[PLANO DE CONTAS],REL_DRE_FINANCEIRO!$B$1164,LANÇ_MOV[ANO PAGAMENTO],$B$4,LANÇ_MOV[MÊS PAGAMENTO CORRESPONDENTE],O$6,LANÇ_MOV[EMPRESA],$C$4,LANÇ_MOV[CENTRO DE CUSTOS],$D$4)</f>
        <v>0</v>
      </c>
      <c r="P1249" s="207">
        <f t="shared" si="150"/>
        <v>0</v>
      </c>
      <c r="Q1249" s="329">
        <v>1.5999999999999999E-6</v>
      </c>
      <c r="R1249" s="346">
        <f t="shared" si="151"/>
        <v>1.5999999999999999E-6</v>
      </c>
      <c r="S1249" s="347" t="str">
        <f t="shared" si="152"/>
        <v>-</v>
      </c>
      <c r="T1249" s="347">
        <f t="shared" si="153"/>
        <v>0</v>
      </c>
      <c r="U1249" s="347">
        <f>HLOOKUP(Apoio!$P$12,$D$1163:$P$1264,X1249,FALSE)+Q1249</f>
        <v>1.5999999999999999E-6</v>
      </c>
      <c r="V1249" s="447" t="str">
        <f t="shared" si="154"/>
        <v>-</v>
      </c>
      <c r="W1249" s="448">
        <f>HLOOKUP(Apoio!$P$12,$D$1163:$P$1264,X1249,FALSE)</f>
        <v>0</v>
      </c>
      <c r="X1249" s="329">
        <v>87</v>
      </c>
    </row>
    <row r="1250" spans="2:24" ht="30.05" customHeight="1" x14ac:dyDescent="0.35">
      <c r="B1250" s="204" t="str">
        <f>'CAD_PL_REC-DESP'!AI90</f>
        <v>2.9.86</v>
      </c>
      <c r="C1250" s="205" t="str">
        <f>IF('CAD_PL_REC-DESP'!AJ90="","-",'CAD_PL_REC-DESP'!AJ90)</f>
        <v>-</v>
      </c>
      <c r="D1250" s="206">
        <f>SUMIFS(LANÇ_MOV[VALOR LÍQUIDO],LANÇ_MOV[RECEITA OU DESPESA],"Despesa",LANÇ_MOV[CONTAS],$C1250,LANÇ_MOV[PLANO DE CONTAS],REL_DRE_FINANCEIRO!$B$1164,LANÇ_MOV[ANO PAGAMENTO],$B$4,LANÇ_MOV[MÊS PAGAMENTO CORRESPONDENTE],D$6,LANÇ_MOV[EMPRESA],$C$4,LANÇ_MOV[CENTRO DE CUSTOS],$D$4)</f>
        <v>0</v>
      </c>
      <c r="E1250" s="206">
        <f>SUMIFS(LANÇ_MOV[VALOR LÍQUIDO],LANÇ_MOV[RECEITA OU DESPESA],"Despesa",LANÇ_MOV[CONTAS],$C1250,LANÇ_MOV[PLANO DE CONTAS],REL_DRE_FINANCEIRO!$B$1164,LANÇ_MOV[ANO PAGAMENTO],$B$4,LANÇ_MOV[MÊS PAGAMENTO CORRESPONDENTE],E$6,LANÇ_MOV[EMPRESA],$C$4,LANÇ_MOV[CENTRO DE CUSTOS],$D$4)</f>
        <v>0</v>
      </c>
      <c r="F1250" s="206">
        <f>SUMIFS(LANÇ_MOV[VALOR LÍQUIDO],LANÇ_MOV[RECEITA OU DESPESA],"Despesa",LANÇ_MOV[CONTAS],$C1250,LANÇ_MOV[PLANO DE CONTAS],REL_DRE_FINANCEIRO!$B$1164,LANÇ_MOV[ANO PAGAMENTO],$B$4,LANÇ_MOV[MÊS PAGAMENTO CORRESPONDENTE],F$6,LANÇ_MOV[EMPRESA],$C$4,LANÇ_MOV[CENTRO DE CUSTOS],$D$4)</f>
        <v>0</v>
      </c>
      <c r="G1250" s="206">
        <f>SUMIFS(LANÇ_MOV[VALOR LÍQUIDO],LANÇ_MOV[RECEITA OU DESPESA],"Despesa",LANÇ_MOV[CONTAS],$C1250,LANÇ_MOV[PLANO DE CONTAS],REL_DRE_FINANCEIRO!$B$1164,LANÇ_MOV[ANO PAGAMENTO],$B$4,LANÇ_MOV[MÊS PAGAMENTO CORRESPONDENTE],G$6,LANÇ_MOV[EMPRESA],$C$4,LANÇ_MOV[CENTRO DE CUSTOS],$D$4)</f>
        <v>0</v>
      </c>
      <c r="H1250" s="206">
        <f>SUMIFS(LANÇ_MOV[VALOR LÍQUIDO],LANÇ_MOV[RECEITA OU DESPESA],"Despesa",LANÇ_MOV[CONTAS],$C1250,LANÇ_MOV[PLANO DE CONTAS],REL_DRE_FINANCEIRO!$B$1164,LANÇ_MOV[ANO PAGAMENTO],$B$4,LANÇ_MOV[MÊS PAGAMENTO CORRESPONDENTE],H$6,LANÇ_MOV[EMPRESA],$C$4,LANÇ_MOV[CENTRO DE CUSTOS],$D$4)</f>
        <v>0</v>
      </c>
      <c r="I1250" s="206">
        <f>SUMIFS(LANÇ_MOV[VALOR LÍQUIDO],LANÇ_MOV[RECEITA OU DESPESA],"Despesa",LANÇ_MOV[CONTAS],$C1250,LANÇ_MOV[PLANO DE CONTAS],REL_DRE_FINANCEIRO!$B$1164,LANÇ_MOV[ANO PAGAMENTO],$B$4,LANÇ_MOV[MÊS PAGAMENTO CORRESPONDENTE],I$6,LANÇ_MOV[EMPRESA],$C$4,LANÇ_MOV[CENTRO DE CUSTOS],$D$4)</f>
        <v>0</v>
      </c>
      <c r="J1250" s="206">
        <f>SUMIFS(LANÇ_MOV[VALOR LÍQUIDO],LANÇ_MOV[RECEITA OU DESPESA],"Despesa",LANÇ_MOV[CONTAS],$C1250,LANÇ_MOV[PLANO DE CONTAS],REL_DRE_FINANCEIRO!$B$1164,LANÇ_MOV[ANO PAGAMENTO],$B$4,LANÇ_MOV[MÊS PAGAMENTO CORRESPONDENTE],J$6,LANÇ_MOV[EMPRESA],$C$4,LANÇ_MOV[CENTRO DE CUSTOS],$D$4)</f>
        <v>0</v>
      </c>
      <c r="K1250" s="206">
        <f>SUMIFS(LANÇ_MOV[VALOR LÍQUIDO],LANÇ_MOV[RECEITA OU DESPESA],"Despesa",LANÇ_MOV[CONTAS],$C1250,LANÇ_MOV[PLANO DE CONTAS],REL_DRE_FINANCEIRO!$B$1164,LANÇ_MOV[ANO PAGAMENTO],$B$4,LANÇ_MOV[MÊS PAGAMENTO CORRESPONDENTE],K$6,LANÇ_MOV[EMPRESA],$C$4,LANÇ_MOV[CENTRO DE CUSTOS],$D$4)</f>
        <v>0</v>
      </c>
      <c r="L1250" s="206">
        <f>SUMIFS(LANÇ_MOV[VALOR LÍQUIDO],LANÇ_MOV[RECEITA OU DESPESA],"Despesa",LANÇ_MOV[CONTAS],$C1250,LANÇ_MOV[PLANO DE CONTAS],REL_DRE_FINANCEIRO!$B$1164,LANÇ_MOV[ANO PAGAMENTO],$B$4,LANÇ_MOV[MÊS PAGAMENTO CORRESPONDENTE],L$6,LANÇ_MOV[EMPRESA],$C$4,LANÇ_MOV[CENTRO DE CUSTOS],$D$4)</f>
        <v>0</v>
      </c>
      <c r="M1250" s="206">
        <f>SUMIFS(LANÇ_MOV[VALOR LÍQUIDO],LANÇ_MOV[RECEITA OU DESPESA],"Despesa",LANÇ_MOV[CONTAS],$C1250,LANÇ_MOV[PLANO DE CONTAS],REL_DRE_FINANCEIRO!$B$1164,LANÇ_MOV[ANO PAGAMENTO],$B$4,LANÇ_MOV[MÊS PAGAMENTO CORRESPONDENTE],M$6,LANÇ_MOV[EMPRESA],$C$4,LANÇ_MOV[CENTRO DE CUSTOS],$D$4)</f>
        <v>0</v>
      </c>
      <c r="N1250" s="206">
        <f>SUMIFS(LANÇ_MOV[VALOR LÍQUIDO],LANÇ_MOV[RECEITA OU DESPESA],"Despesa",LANÇ_MOV[CONTAS],$C1250,LANÇ_MOV[PLANO DE CONTAS],REL_DRE_FINANCEIRO!$B$1164,LANÇ_MOV[ANO PAGAMENTO],$B$4,LANÇ_MOV[MÊS PAGAMENTO CORRESPONDENTE],N$6,LANÇ_MOV[EMPRESA],$C$4,LANÇ_MOV[CENTRO DE CUSTOS],$D$4)</f>
        <v>0</v>
      </c>
      <c r="O1250" s="206">
        <f>SUMIFS(LANÇ_MOV[VALOR LÍQUIDO],LANÇ_MOV[RECEITA OU DESPESA],"Despesa",LANÇ_MOV[CONTAS],$C1250,LANÇ_MOV[PLANO DE CONTAS],REL_DRE_FINANCEIRO!$B$1164,LANÇ_MOV[ANO PAGAMENTO],$B$4,LANÇ_MOV[MÊS PAGAMENTO CORRESPONDENTE],O$6,LANÇ_MOV[EMPRESA],$C$4,LANÇ_MOV[CENTRO DE CUSTOS],$D$4)</f>
        <v>0</v>
      </c>
      <c r="P1250" s="207">
        <f t="shared" si="150"/>
        <v>0</v>
      </c>
      <c r="Q1250" s="329">
        <v>1.5E-6</v>
      </c>
      <c r="R1250" s="346">
        <f t="shared" si="151"/>
        <v>1.5E-6</v>
      </c>
      <c r="S1250" s="347" t="str">
        <f t="shared" si="152"/>
        <v>-</v>
      </c>
      <c r="T1250" s="347">
        <f t="shared" si="153"/>
        <v>0</v>
      </c>
      <c r="U1250" s="347">
        <f>HLOOKUP(Apoio!$P$12,$D$1163:$P$1264,X1250,FALSE)+Q1250</f>
        <v>1.5E-6</v>
      </c>
      <c r="V1250" s="447" t="str">
        <f t="shared" si="154"/>
        <v>-</v>
      </c>
      <c r="W1250" s="448">
        <f>HLOOKUP(Apoio!$P$12,$D$1163:$P$1264,X1250,FALSE)</f>
        <v>0</v>
      </c>
      <c r="X1250" s="329">
        <v>88</v>
      </c>
    </row>
    <row r="1251" spans="2:24" ht="30.05" customHeight="1" x14ac:dyDescent="0.35">
      <c r="B1251" s="204" t="str">
        <f>'CAD_PL_REC-DESP'!AI91</f>
        <v>2.9.87</v>
      </c>
      <c r="C1251" s="205" t="str">
        <f>IF('CAD_PL_REC-DESP'!AJ91="","-",'CAD_PL_REC-DESP'!AJ91)</f>
        <v>-</v>
      </c>
      <c r="D1251" s="206">
        <f>SUMIFS(LANÇ_MOV[VALOR LÍQUIDO],LANÇ_MOV[RECEITA OU DESPESA],"Despesa",LANÇ_MOV[CONTAS],$C1251,LANÇ_MOV[PLANO DE CONTAS],REL_DRE_FINANCEIRO!$B$1164,LANÇ_MOV[ANO PAGAMENTO],$B$4,LANÇ_MOV[MÊS PAGAMENTO CORRESPONDENTE],D$6,LANÇ_MOV[EMPRESA],$C$4,LANÇ_MOV[CENTRO DE CUSTOS],$D$4)</f>
        <v>0</v>
      </c>
      <c r="E1251" s="206">
        <f>SUMIFS(LANÇ_MOV[VALOR LÍQUIDO],LANÇ_MOV[RECEITA OU DESPESA],"Despesa",LANÇ_MOV[CONTAS],$C1251,LANÇ_MOV[PLANO DE CONTAS],REL_DRE_FINANCEIRO!$B$1164,LANÇ_MOV[ANO PAGAMENTO],$B$4,LANÇ_MOV[MÊS PAGAMENTO CORRESPONDENTE],E$6,LANÇ_MOV[EMPRESA],$C$4,LANÇ_MOV[CENTRO DE CUSTOS],$D$4)</f>
        <v>0</v>
      </c>
      <c r="F1251" s="206">
        <f>SUMIFS(LANÇ_MOV[VALOR LÍQUIDO],LANÇ_MOV[RECEITA OU DESPESA],"Despesa",LANÇ_MOV[CONTAS],$C1251,LANÇ_MOV[PLANO DE CONTAS],REL_DRE_FINANCEIRO!$B$1164,LANÇ_MOV[ANO PAGAMENTO],$B$4,LANÇ_MOV[MÊS PAGAMENTO CORRESPONDENTE],F$6,LANÇ_MOV[EMPRESA],$C$4,LANÇ_MOV[CENTRO DE CUSTOS],$D$4)</f>
        <v>0</v>
      </c>
      <c r="G1251" s="206">
        <f>SUMIFS(LANÇ_MOV[VALOR LÍQUIDO],LANÇ_MOV[RECEITA OU DESPESA],"Despesa",LANÇ_MOV[CONTAS],$C1251,LANÇ_MOV[PLANO DE CONTAS],REL_DRE_FINANCEIRO!$B$1164,LANÇ_MOV[ANO PAGAMENTO],$B$4,LANÇ_MOV[MÊS PAGAMENTO CORRESPONDENTE],G$6,LANÇ_MOV[EMPRESA],$C$4,LANÇ_MOV[CENTRO DE CUSTOS],$D$4)</f>
        <v>0</v>
      </c>
      <c r="H1251" s="206">
        <f>SUMIFS(LANÇ_MOV[VALOR LÍQUIDO],LANÇ_MOV[RECEITA OU DESPESA],"Despesa",LANÇ_MOV[CONTAS],$C1251,LANÇ_MOV[PLANO DE CONTAS],REL_DRE_FINANCEIRO!$B$1164,LANÇ_MOV[ANO PAGAMENTO],$B$4,LANÇ_MOV[MÊS PAGAMENTO CORRESPONDENTE],H$6,LANÇ_MOV[EMPRESA],$C$4,LANÇ_MOV[CENTRO DE CUSTOS],$D$4)</f>
        <v>0</v>
      </c>
      <c r="I1251" s="206">
        <f>SUMIFS(LANÇ_MOV[VALOR LÍQUIDO],LANÇ_MOV[RECEITA OU DESPESA],"Despesa",LANÇ_MOV[CONTAS],$C1251,LANÇ_MOV[PLANO DE CONTAS],REL_DRE_FINANCEIRO!$B$1164,LANÇ_MOV[ANO PAGAMENTO],$B$4,LANÇ_MOV[MÊS PAGAMENTO CORRESPONDENTE],I$6,LANÇ_MOV[EMPRESA],$C$4,LANÇ_MOV[CENTRO DE CUSTOS],$D$4)</f>
        <v>0</v>
      </c>
      <c r="J1251" s="206">
        <f>SUMIFS(LANÇ_MOV[VALOR LÍQUIDO],LANÇ_MOV[RECEITA OU DESPESA],"Despesa",LANÇ_MOV[CONTAS],$C1251,LANÇ_MOV[PLANO DE CONTAS],REL_DRE_FINANCEIRO!$B$1164,LANÇ_MOV[ANO PAGAMENTO],$B$4,LANÇ_MOV[MÊS PAGAMENTO CORRESPONDENTE],J$6,LANÇ_MOV[EMPRESA],$C$4,LANÇ_MOV[CENTRO DE CUSTOS],$D$4)</f>
        <v>0</v>
      </c>
      <c r="K1251" s="206">
        <f>SUMIFS(LANÇ_MOV[VALOR LÍQUIDO],LANÇ_MOV[RECEITA OU DESPESA],"Despesa",LANÇ_MOV[CONTAS],$C1251,LANÇ_MOV[PLANO DE CONTAS],REL_DRE_FINANCEIRO!$B$1164,LANÇ_MOV[ANO PAGAMENTO],$B$4,LANÇ_MOV[MÊS PAGAMENTO CORRESPONDENTE],K$6,LANÇ_MOV[EMPRESA],$C$4,LANÇ_MOV[CENTRO DE CUSTOS],$D$4)</f>
        <v>0</v>
      </c>
      <c r="L1251" s="206">
        <f>SUMIFS(LANÇ_MOV[VALOR LÍQUIDO],LANÇ_MOV[RECEITA OU DESPESA],"Despesa",LANÇ_MOV[CONTAS],$C1251,LANÇ_MOV[PLANO DE CONTAS],REL_DRE_FINANCEIRO!$B$1164,LANÇ_MOV[ANO PAGAMENTO],$B$4,LANÇ_MOV[MÊS PAGAMENTO CORRESPONDENTE],L$6,LANÇ_MOV[EMPRESA],$C$4,LANÇ_MOV[CENTRO DE CUSTOS],$D$4)</f>
        <v>0</v>
      </c>
      <c r="M1251" s="206">
        <f>SUMIFS(LANÇ_MOV[VALOR LÍQUIDO],LANÇ_MOV[RECEITA OU DESPESA],"Despesa",LANÇ_MOV[CONTAS],$C1251,LANÇ_MOV[PLANO DE CONTAS],REL_DRE_FINANCEIRO!$B$1164,LANÇ_MOV[ANO PAGAMENTO],$B$4,LANÇ_MOV[MÊS PAGAMENTO CORRESPONDENTE],M$6,LANÇ_MOV[EMPRESA],$C$4,LANÇ_MOV[CENTRO DE CUSTOS],$D$4)</f>
        <v>0</v>
      </c>
      <c r="N1251" s="206">
        <f>SUMIFS(LANÇ_MOV[VALOR LÍQUIDO],LANÇ_MOV[RECEITA OU DESPESA],"Despesa",LANÇ_MOV[CONTAS],$C1251,LANÇ_MOV[PLANO DE CONTAS],REL_DRE_FINANCEIRO!$B$1164,LANÇ_MOV[ANO PAGAMENTO],$B$4,LANÇ_MOV[MÊS PAGAMENTO CORRESPONDENTE],N$6,LANÇ_MOV[EMPRESA],$C$4,LANÇ_MOV[CENTRO DE CUSTOS],$D$4)</f>
        <v>0</v>
      </c>
      <c r="O1251" s="206">
        <f>SUMIFS(LANÇ_MOV[VALOR LÍQUIDO],LANÇ_MOV[RECEITA OU DESPESA],"Despesa",LANÇ_MOV[CONTAS],$C1251,LANÇ_MOV[PLANO DE CONTAS],REL_DRE_FINANCEIRO!$B$1164,LANÇ_MOV[ANO PAGAMENTO],$B$4,LANÇ_MOV[MÊS PAGAMENTO CORRESPONDENTE],O$6,LANÇ_MOV[EMPRESA],$C$4,LANÇ_MOV[CENTRO DE CUSTOS],$D$4)</f>
        <v>0</v>
      </c>
      <c r="P1251" s="207">
        <f t="shared" si="150"/>
        <v>0</v>
      </c>
      <c r="Q1251" s="329">
        <v>1.3999999999999999E-6</v>
      </c>
      <c r="R1251" s="346">
        <f t="shared" si="151"/>
        <v>1.3999999999999999E-6</v>
      </c>
      <c r="S1251" s="347" t="str">
        <f t="shared" si="152"/>
        <v>-</v>
      </c>
      <c r="T1251" s="347">
        <f t="shared" si="153"/>
        <v>0</v>
      </c>
      <c r="U1251" s="347">
        <f>HLOOKUP(Apoio!$P$12,$D$1163:$P$1264,X1251,FALSE)+Q1251</f>
        <v>1.3999999999999999E-6</v>
      </c>
      <c r="V1251" s="447" t="str">
        <f t="shared" si="154"/>
        <v>-</v>
      </c>
      <c r="W1251" s="448">
        <f>HLOOKUP(Apoio!$P$12,$D$1163:$P$1264,X1251,FALSE)</f>
        <v>0</v>
      </c>
      <c r="X1251" s="329">
        <v>89</v>
      </c>
    </row>
    <row r="1252" spans="2:24" ht="30.05" customHeight="1" x14ac:dyDescent="0.35">
      <c r="B1252" s="204" t="str">
        <f>'CAD_PL_REC-DESP'!AI92</f>
        <v>2.9.88</v>
      </c>
      <c r="C1252" s="205" t="str">
        <f>IF('CAD_PL_REC-DESP'!AJ92="","-",'CAD_PL_REC-DESP'!AJ92)</f>
        <v>-</v>
      </c>
      <c r="D1252" s="206">
        <f>SUMIFS(LANÇ_MOV[VALOR LÍQUIDO],LANÇ_MOV[RECEITA OU DESPESA],"Despesa",LANÇ_MOV[CONTAS],$C1252,LANÇ_MOV[PLANO DE CONTAS],REL_DRE_FINANCEIRO!$B$1164,LANÇ_MOV[ANO PAGAMENTO],$B$4,LANÇ_MOV[MÊS PAGAMENTO CORRESPONDENTE],D$6,LANÇ_MOV[EMPRESA],$C$4,LANÇ_MOV[CENTRO DE CUSTOS],$D$4)</f>
        <v>0</v>
      </c>
      <c r="E1252" s="206">
        <f>SUMIFS(LANÇ_MOV[VALOR LÍQUIDO],LANÇ_MOV[RECEITA OU DESPESA],"Despesa",LANÇ_MOV[CONTAS],$C1252,LANÇ_MOV[PLANO DE CONTAS],REL_DRE_FINANCEIRO!$B$1164,LANÇ_MOV[ANO PAGAMENTO],$B$4,LANÇ_MOV[MÊS PAGAMENTO CORRESPONDENTE],E$6,LANÇ_MOV[EMPRESA],$C$4,LANÇ_MOV[CENTRO DE CUSTOS],$D$4)</f>
        <v>0</v>
      </c>
      <c r="F1252" s="206">
        <f>SUMIFS(LANÇ_MOV[VALOR LÍQUIDO],LANÇ_MOV[RECEITA OU DESPESA],"Despesa",LANÇ_MOV[CONTAS],$C1252,LANÇ_MOV[PLANO DE CONTAS],REL_DRE_FINANCEIRO!$B$1164,LANÇ_MOV[ANO PAGAMENTO],$B$4,LANÇ_MOV[MÊS PAGAMENTO CORRESPONDENTE],F$6,LANÇ_MOV[EMPRESA],$C$4,LANÇ_MOV[CENTRO DE CUSTOS],$D$4)</f>
        <v>0</v>
      </c>
      <c r="G1252" s="206">
        <f>SUMIFS(LANÇ_MOV[VALOR LÍQUIDO],LANÇ_MOV[RECEITA OU DESPESA],"Despesa",LANÇ_MOV[CONTAS],$C1252,LANÇ_MOV[PLANO DE CONTAS],REL_DRE_FINANCEIRO!$B$1164,LANÇ_MOV[ANO PAGAMENTO],$B$4,LANÇ_MOV[MÊS PAGAMENTO CORRESPONDENTE],G$6,LANÇ_MOV[EMPRESA],$C$4,LANÇ_MOV[CENTRO DE CUSTOS],$D$4)</f>
        <v>0</v>
      </c>
      <c r="H1252" s="206">
        <f>SUMIFS(LANÇ_MOV[VALOR LÍQUIDO],LANÇ_MOV[RECEITA OU DESPESA],"Despesa",LANÇ_MOV[CONTAS],$C1252,LANÇ_MOV[PLANO DE CONTAS],REL_DRE_FINANCEIRO!$B$1164,LANÇ_MOV[ANO PAGAMENTO],$B$4,LANÇ_MOV[MÊS PAGAMENTO CORRESPONDENTE],H$6,LANÇ_MOV[EMPRESA],$C$4,LANÇ_MOV[CENTRO DE CUSTOS],$D$4)</f>
        <v>0</v>
      </c>
      <c r="I1252" s="206">
        <f>SUMIFS(LANÇ_MOV[VALOR LÍQUIDO],LANÇ_MOV[RECEITA OU DESPESA],"Despesa",LANÇ_MOV[CONTAS],$C1252,LANÇ_MOV[PLANO DE CONTAS],REL_DRE_FINANCEIRO!$B$1164,LANÇ_MOV[ANO PAGAMENTO],$B$4,LANÇ_MOV[MÊS PAGAMENTO CORRESPONDENTE],I$6,LANÇ_MOV[EMPRESA],$C$4,LANÇ_MOV[CENTRO DE CUSTOS],$D$4)</f>
        <v>0</v>
      </c>
      <c r="J1252" s="206">
        <f>SUMIFS(LANÇ_MOV[VALOR LÍQUIDO],LANÇ_MOV[RECEITA OU DESPESA],"Despesa",LANÇ_MOV[CONTAS],$C1252,LANÇ_MOV[PLANO DE CONTAS],REL_DRE_FINANCEIRO!$B$1164,LANÇ_MOV[ANO PAGAMENTO],$B$4,LANÇ_MOV[MÊS PAGAMENTO CORRESPONDENTE],J$6,LANÇ_MOV[EMPRESA],$C$4,LANÇ_MOV[CENTRO DE CUSTOS],$D$4)</f>
        <v>0</v>
      </c>
      <c r="K1252" s="206">
        <f>SUMIFS(LANÇ_MOV[VALOR LÍQUIDO],LANÇ_MOV[RECEITA OU DESPESA],"Despesa",LANÇ_MOV[CONTAS],$C1252,LANÇ_MOV[PLANO DE CONTAS],REL_DRE_FINANCEIRO!$B$1164,LANÇ_MOV[ANO PAGAMENTO],$B$4,LANÇ_MOV[MÊS PAGAMENTO CORRESPONDENTE],K$6,LANÇ_MOV[EMPRESA],$C$4,LANÇ_MOV[CENTRO DE CUSTOS],$D$4)</f>
        <v>0</v>
      </c>
      <c r="L1252" s="206">
        <f>SUMIFS(LANÇ_MOV[VALOR LÍQUIDO],LANÇ_MOV[RECEITA OU DESPESA],"Despesa",LANÇ_MOV[CONTAS],$C1252,LANÇ_MOV[PLANO DE CONTAS],REL_DRE_FINANCEIRO!$B$1164,LANÇ_MOV[ANO PAGAMENTO],$B$4,LANÇ_MOV[MÊS PAGAMENTO CORRESPONDENTE],L$6,LANÇ_MOV[EMPRESA],$C$4,LANÇ_MOV[CENTRO DE CUSTOS],$D$4)</f>
        <v>0</v>
      </c>
      <c r="M1252" s="206">
        <f>SUMIFS(LANÇ_MOV[VALOR LÍQUIDO],LANÇ_MOV[RECEITA OU DESPESA],"Despesa",LANÇ_MOV[CONTAS],$C1252,LANÇ_MOV[PLANO DE CONTAS],REL_DRE_FINANCEIRO!$B$1164,LANÇ_MOV[ANO PAGAMENTO],$B$4,LANÇ_MOV[MÊS PAGAMENTO CORRESPONDENTE],M$6,LANÇ_MOV[EMPRESA],$C$4,LANÇ_MOV[CENTRO DE CUSTOS],$D$4)</f>
        <v>0</v>
      </c>
      <c r="N1252" s="206">
        <f>SUMIFS(LANÇ_MOV[VALOR LÍQUIDO],LANÇ_MOV[RECEITA OU DESPESA],"Despesa",LANÇ_MOV[CONTAS],$C1252,LANÇ_MOV[PLANO DE CONTAS],REL_DRE_FINANCEIRO!$B$1164,LANÇ_MOV[ANO PAGAMENTO],$B$4,LANÇ_MOV[MÊS PAGAMENTO CORRESPONDENTE],N$6,LANÇ_MOV[EMPRESA],$C$4,LANÇ_MOV[CENTRO DE CUSTOS],$D$4)</f>
        <v>0</v>
      </c>
      <c r="O1252" s="206">
        <f>SUMIFS(LANÇ_MOV[VALOR LÍQUIDO],LANÇ_MOV[RECEITA OU DESPESA],"Despesa",LANÇ_MOV[CONTAS],$C1252,LANÇ_MOV[PLANO DE CONTAS],REL_DRE_FINANCEIRO!$B$1164,LANÇ_MOV[ANO PAGAMENTO],$B$4,LANÇ_MOV[MÊS PAGAMENTO CORRESPONDENTE],O$6,LANÇ_MOV[EMPRESA],$C$4,LANÇ_MOV[CENTRO DE CUSTOS],$D$4)</f>
        <v>0</v>
      </c>
      <c r="P1252" s="207">
        <f t="shared" si="150"/>
        <v>0</v>
      </c>
      <c r="Q1252" s="329">
        <v>1.3E-6</v>
      </c>
      <c r="R1252" s="346">
        <f t="shared" si="151"/>
        <v>1.3E-6</v>
      </c>
      <c r="S1252" s="347" t="str">
        <f t="shared" si="152"/>
        <v>-</v>
      </c>
      <c r="T1252" s="347">
        <f t="shared" si="153"/>
        <v>0</v>
      </c>
      <c r="U1252" s="347">
        <f>HLOOKUP(Apoio!$P$12,$D$1163:$P$1264,X1252,FALSE)+Q1252</f>
        <v>1.3E-6</v>
      </c>
      <c r="V1252" s="447" t="str">
        <f t="shared" si="154"/>
        <v>-</v>
      </c>
      <c r="W1252" s="448">
        <f>HLOOKUP(Apoio!$P$12,$D$1163:$P$1264,X1252,FALSE)</f>
        <v>0</v>
      </c>
      <c r="X1252" s="329">
        <v>90</v>
      </c>
    </row>
    <row r="1253" spans="2:24" ht="30.05" customHeight="1" x14ac:dyDescent="0.35">
      <c r="B1253" s="204" t="str">
        <f>'CAD_PL_REC-DESP'!AI93</f>
        <v>2.9.89</v>
      </c>
      <c r="C1253" s="205" t="str">
        <f>IF('CAD_PL_REC-DESP'!AJ93="","-",'CAD_PL_REC-DESP'!AJ93)</f>
        <v>-</v>
      </c>
      <c r="D1253" s="206">
        <f>SUMIFS(LANÇ_MOV[VALOR LÍQUIDO],LANÇ_MOV[RECEITA OU DESPESA],"Despesa",LANÇ_MOV[CONTAS],$C1253,LANÇ_MOV[PLANO DE CONTAS],REL_DRE_FINANCEIRO!$B$1164,LANÇ_MOV[ANO PAGAMENTO],$B$4,LANÇ_MOV[MÊS PAGAMENTO CORRESPONDENTE],D$6,LANÇ_MOV[EMPRESA],$C$4,LANÇ_MOV[CENTRO DE CUSTOS],$D$4)</f>
        <v>0</v>
      </c>
      <c r="E1253" s="206">
        <f>SUMIFS(LANÇ_MOV[VALOR LÍQUIDO],LANÇ_MOV[RECEITA OU DESPESA],"Despesa",LANÇ_MOV[CONTAS],$C1253,LANÇ_MOV[PLANO DE CONTAS],REL_DRE_FINANCEIRO!$B$1164,LANÇ_MOV[ANO PAGAMENTO],$B$4,LANÇ_MOV[MÊS PAGAMENTO CORRESPONDENTE],E$6,LANÇ_MOV[EMPRESA],$C$4,LANÇ_MOV[CENTRO DE CUSTOS],$D$4)</f>
        <v>0</v>
      </c>
      <c r="F1253" s="206">
        <f>SUMIFS(LANÇ_MOV[VALOR LÍQUIDO],LANÇ_MOV[RECEITA OU DESPESA],"Despesa",LANÇ_MOV[CONTAS],$C1253,LANÇ_MOV[PLANO DE CONTAS],REL_DRE_FINANCEIRO!$B$1164,LANÇ_MOV[ANO PAGAMENTO],$B$4,LANÇ_MOV[MÊS PAGAMENTO CORRESPONDENTE],F$6,LANÇ_MOV[EMPRESA],$C$4,LANÇ_MOV[CENTRO DE CUSTOS],$D$4)</f>
        <v>0</v>
      </c>
      <c r="G1253" s="206">
        <f>SUMIFS(LANÇ_MOV[VALOR LÍQUIDO],LANÇ_MOV[RECEITA OU DESPESA],"Despesa",LANÇ_MOV[CONTAS],$C1253,LANÇ_MOV[PLANO DE CONTAS],REL_DRE_FINANCEIRO!$B$1164,LANÇ_MOV[ANO PAGAMENTO],$B$4,LANÇ_MOV[MÊS PAGAMENTO CORRESPONDENTE],G$6,LANÇ_MOV[EMPRESA],$C$4,LANÇ_MOV[CENTRO DE CUSTOS],$D$4)</f>
        <v>0</v>
      </c>
      <c r="H1253" s="206">
        <f>SUMIFS(LANÇ_MOV[VALOR LÍQUIDO],LANÇ_MOV[RECEITA OU DESPESA],"Despesa",LANÇ_MOV[CONTAS],$C1253,LANÇ_MOV[PLANO DE CONTAS],REL_DRE_FINANCEIRO!$B$1164,LANÇ_MOV[ANO PAGAMENTO],$B$4,LANÇ_MOV[MÊS PAGAMENTO CORRESPONDENTE],H$6,LANÇ_MOV[EMPRESA],$C$4,LANÇ_MOV[CENTRO DE CUSTOS],$D$4)</f>
        <v>0</v>
      </c>
      <c r="I1253" s="206">
        <f>SUMIFS(LANÇ_MOV[VALOR LÍQUIDO],LANÇ_MOV[RECEITA OU DESPESA],"Despesa",LANÇ_MOV[CONTAS],$C1253,LANÇ_MOV[PLANO DE CONTAS],REL_DRE_FINANCEIRO!$B$1164,LANÇ_MOV[ANO PAGAMENTO],$B$4,LANÇ_MOV[MÊS PAGAMENTO CORRESPONDENTE],I$6,LANÇ_MOV[EMPRESA],$C$4,LANÇ_MOV[CENTRO DE CUSTOS],$D$4)</f>
        <v>0</v>
      </c>
      <c r="J1253" s="206">
        <f>SUMIFS(LANÇ_MOV[VALOR LÍQUIDO],LANÇ_MOV[RECEITA OU DESPESA],"Despesa",LANÇ_MOV[CONTAS],$C1253,LANÇ_MOV[PLANO DE CONTAS],REL_DRE_FINANCEIRO!$B$1164,LANÇ_MOV[ANO PAGAMENTO],$B$4,LANÇ_MOV[MÊS PAGAMENTO CORRESPONDENTE],J$6,LANÇ_MOV[EMPRESA],$C$4,LANÇ_MOV[CENTRO DE CUSTOS],$D$4)</f>
        <v>0</v>
      </c>
      <c r="K1253" s="206">
        <f>SUMIFS(LANÇ_MOV[VALOR LÍQUIDO],LANÇ_MOV[RECEITA OU DESPESA],"Despesa",LANÇ_MOV[CONTAS],$C1253,LANÇ_MOV[PLANO DE CONTAS],REL_DRE_FINANCEIRO!$B$1164,LANÇ_MOV[ANO PAGAMENTO],$B$4,LANÇ_MOV[MÊS PAGAMENTO CORRESPONDENTE],K$6,LANÇ_MOV[EMPRESA],$C$4,LANÇ_MOV[CENTRO DE CUSTOS],$D$4)</f>
        <v>0</v>
      </c>
      <c r="L1253" s="206">
        <f>SUMIFS(LANÇ_MOV[VALOR LÍQUIDO],LANÇ_MOV[RECEITA OU DESPESA],"Despesa",LANÇ_MOV[CONTAS],$C1253,LANÇ_MOV[PLANO DE CONTAS],REL_DRE_FINANCEIRO!$B$1164,LANÇ_MOV[ANO PAGAMENTO],$B$4,LANÇ_MOV[MÊS PAGAMENTO CORRESPONDENTE],L$6,LANÇ_MOV[EMPRESA],$C$4,LANÇ_MOV[CENTRO DE CUSTOS],$D$4)</f>
        <v>0</v>
      </c>
      <c r="M1253" s="206">
        <f>SUMIFS(LANÇ_MOV[VALOR LÍQUIDO],LANÇ_MOV[RECEITA OU DESPESA],"Despesa",LANÇ_MOV[CONTAS],$C1253,LANÇ_MOV[PLANO DE CONTAS],REL_DRE_FINANCEIRO!$B$1164,LANÇ_MOV[ANO PAGAMENTO],$B$4,LANÇ_MOV[MÊS PAGAMENTO CORRESPONDENTE],M$6,LANÇ_MOV[EMPRESA],$C$4,LANÇ_MOV[CENTRO DE CUSTOS],$D$4)</f>
        <v>0</v>
      </c>
      <c r="N1253" s="206">
        <f>SUMIFS(LANÇ_MOV[VALOR LÍQUIDO],LANÇ_MOV[RECEITA OU DESPESA],"Despesa",LANÇ_MOV[CONTAS],$C1253,LANÇ_MOV[PLANO DE CONTAS],REL_DRE_FINANCEIRO!$B$1164,LANÇ_MOV[ANO PAGAMENTO],$B$4,LANÇ_MOV[MÊS PAGAMENTO CORRESPONDENTE],N$6,LANÇ_MOV[EMPRESA],$C$4,LANÇ_MOV[CENTRO DE CUSTOS],$D$4)</f>
        <v>0</v>
      </c>
      <c r="O1253" s="206">
        <f>SUMIFS(LANÇ_MOV[VALOR LÍQUIDO],LANÇ_MOV[RECEITA OU DESPESA],"Despesa",LANÇ_MOV[CONTAS],$C1253,LANÇ_MOV[PLANO DE CONTAS],REL_DRE_FINANCEIRO!$B$1164,LANÇ_MOV[ANO PAGAMENTO],$B$4,LANÇ_MOV[MÊS PAGAMENTO CORRESPONDENTE],O$6,LANÇ_MOV[EMPRESA],$C$4,LANÇ_MOV[CENTRO DE CUSTOS],$D$4)</f>
        <v>0</v>
      </c>
      <c r="P1253" s="207">
        <f t="shared" si="150"/>
        <v>0</v>
      </c>
      <c r="Q1253" s="329">
        <v>1.1999999999999999E-6</v>
      </c>
      <c r="R1253" s="346">
        <f t="shared" si="151"/>
        <v>1.1999999999999999E-6</v>
      </c>
      <c r="S1253" s="347" t="str">
        <f t="shared" si="152"/>
        <v>-</v>
      </c>
      <c r="T1253" s="347">
        <f t="shared" si="153"/>
        <v>0</v>
      </c>
      <c r="U1253" s="347">
        <f>HLOOKUP(Apoio!$P$12,$D$1163:$P$1264,X1253,FALSE)+Q1253</f>
        <v>1.1999999999999999E-6</v>
      </c>
      <c r="V1253" s="447" t="str">
        <f t="shared" si="154"/>
        <v>-</v>
      </c>
      <c r="W1253" s="448">
        <f>HLOOKUP(Apoio!$P$12,$D$1163:$P$1264,X1253,FALSE)</f>
        <v>0</v>
      </c>
      <c r="X1253" s="329">
        <v>91</v>
      </c>
    </row>
    <row r="1254" spans="2:24" ht="30.05" customHeight="1" x14ac:dyDescent="0.35">
      <c r="B1254" s="204" t="str">
        <f>'CAD_PL_REC-DESP'!AI94</f>
        <v>2.9.90</v>
      </c>
      <c r="C1254" s="205" t="str">
        <f>IF('CAD_PL_REC-DESP'!AJ94="","-",'CAD_PL_REC-DESP'!AJ94)</f>
        <v>-</v>
      </c>
      <c r="D1254" s="206">
        <f>SUMIFS(LANÇ_MOV[VALOR LÍQUIDO],LANÇ_MOV[RECEITA OU DESPESA],"Despesa",LANÇ_MOV[CONTAS],$C1254,LANÇ_MOV[PLANO DE CONTAS],REL_DRE_FINANCEIRO!$B$1164,LANÇ_MOV[ANO PAGAMENTO],$B$4,LANÇ_MOV[MÊS PAGAMENTO CORRESPONDENTE],D$6,LANÇ_MOV[EMPRESA],$C$4,LANÇ_MOV[CENTRO DE CUSTOS],$D$4)</f>
        <v>0</v>
      </c>
      <c r="E1254" s="206">
        <f>SUMIFS(LANÇ_MOV[VALOR LÍQUIDO],LANÇ_MOV[RECEITA OU DESPESA],"Despesa",LANÇ_MOV[CONTAS],$C1254,LANÇ_MOV[PLANO DE CONTAS],REL_DRE_FINANCEIRO!$B$1164,LANÇ_MOV[ANO PAGAMENTO],$B$4,LANÇ_MOV[MÊS PAGAMENTO CORRESPONDENTE],E$6,LANÇ_MOV[EMPRESA],$C$4,LANÇ_MOV[CENTRO DE CUSTOS],$D$4)</f>
        <v>0</v>
      </c>
      <c r="F1254" s="206">
        <f>SUMIFS(LANÇ_MOV[VALOR LÍQUIDO],LANÇ_MOV[RECEITA OU DESPESA],"Despesa",LANÇ_MOV[CONTAS],$C1254,LANÇ_MOV[PLANO DE CONTAS],REL_DRE_FINANCEIRO!$B$1164,LANÇ_MOV[ANO PAGAMENTO],$B$4,LANÇ_MOV[MÊS PAGAMENTO CORRESPONDENTE],F$6,LANÇ_MOV[EMPRESA],$C$4,LANÇ_MOV[CENTRO DE CUSTOS],$D$4)</f>
        <v>0</v>
      </c>
      <c r="G1254" s="206">
        <f>SUMIFS(LANÇ_MOV[VALOR LÍQUIDO],LANÇ_MOV[RECEITA OU DESPESA],"Despesa",LANÇ_MOV[CONTAS],$C1254,LANÇ_MOV[PLANO DE CONTAS],REL_DRE_FINANCEIRO!$B$1164,LANÇ_MOV[ANO PAGAMENTO],$B$4,LANÇ_MOV[MÊS PAGAMENTO CORRESPONDENTE],G$6,LANÇ_MOV[EMPRESA],$C$4,LANÇ_MOV[CENTRO DE CUSTOS],$D$4)</f>
        <v>0</v>
      </c>
      <c r="H1254" s="206">
        <f>SUMIFS(LANÇ_MOV[VALOR LÍQUIDO],LANÇ_MOV[RECEITA OU DESPESA],"Despesa",LANÇ_MOV[CONTAS],$C1254,LANÇ_MOV[PLANO DE CONTAS],REL_DRE_FINANCEIRO!$B$1164,LANÇ_MOV[ANO PAGAMENTO],$B$4,LANÇ_MOV[MÊS PAGAMENTO CORRESPONDENTE],H$6,LANÇ_MOV[EMPRESA],$C$4,LANÇ_MOV[CENTRO DE CUSTOS],$D$4)</f>
        <v>0</v>
      </c>
      <c r="I1254" s="206">
        <f>SUMIFS(LANÇ_MOV[VALOR LÍQUIDO],LANÇ_MOV[RECEITA OU DESPESA],"Despesa",LANÇ_MOV[CONTAS],$C1254,LANÇ_MOV[PLANO DE CONTAS],REL_DRE_FINANCEIRO!$B$1164,LANÇ_MOV[ANO PAGAMENTO],$B$4,LANÇ_MOV[MÊS PAGAMENTO CORRESPONDENTE],I$6,LANÇ_MOV[EMPRESA],$C$4,LANÇ_MOV[CENTRO DE CUSTOS],$D$4)</f>
        <v>0</v>
      </c>
      <c r="J1254" s="206">
        <f>SUMIFS(LANÇ_MOV[VALOR LÍQUIDO],LANÇ_MOV[RECEITA OU DESPESA],"Despesa",LANÇ_MOV[CONTAS],$C1254,LANÇ_MOV[PLANO DE CONTAS],REL_DRE_FINANCEIRO!$B$1164,LANÇ_MOV[ANO PAGAMENTO],$B$4,LANÇ_MOV[MÊS PAGAMENTO CORRESPONDENTE],J$6,LANÇ_MOV[EMPRESA],$C$4,LANÇ_MOV[CENTRO DE CUSTOS],$D$4)</f>
        <v>0</v>
      </c>
      <c r="K1254" s="206">
        <f>SUMIFS(LANÇ_MOV[VALOR LÍQUIDO],LANÇ_MOV[RECEITA OU DESPESA],"Despesa",LANÇ_MOV[CONTAS],$C1254,LANÇ_MOV[PLANO DE CONTAS],REL_DRE_FINANCEIRO!$B$1164,LANÇ_MOV[ANO PAGAMENTO],$B$4,LANÇ_MOV[MÊS PAGAMENTO CORRESPONDENTE],K$6,LANÇ_MOV[EMPRESA],$C$4,LANÇ_MOV[CENTRO DE CUSTOS],$D$4)</f>
        <v>0</v>
      </c>
      <c r="L1254" s="206">
        <f>SUMIFS(LANÇ_MOV[VALOR LÍQUIDO],LANÇ_MOV[RECEITA OU DESPESA],"Despesa",LANÇ_MOV[CONTAS],$C1254,LANÇ_MOV[PLANO DE CONTAS],REL_DRE_FINANCEIRO!$B$1164,LANÇ_MOV[ANO PAGAMENTO],$B$4,LANÇ_MOV[MÊS PAGAMENTO CORRESPONDENTE],L$6,LANÇ_MOV[EMPRESA],$C$4,LANÇ_MOV[CENTRO DE CUSTOS],$D$4)</f>
        <v>0</v>
      </c>
      <c r="M1254" s="206">
        <f>SUMIFS(LANÇ_MOV[VALOR LÍQUIDO],LANÇ_MOV[RECEITA OU DESPESA],"Despesa",LANÇ_MOV[CONTAS],$C1254,LANÇ_MOV[PLANO DE CONTAS],REL_DRE_FINANCEIRO!$B$1164,LANÇ_MOV[ANO PAGAMENTO],$B$4,LANÇ_MOV[MÊS PAGAMENTO CORRESPONDENTE],M$6,LANÇ_MOV[EMPRESA],$C$4,LANÇ_MOV[CENTRO DE CUSTOS],$D$4)</f>
        <v>0</v>
      </c>
      <c r="N1254" s="206">
        <f>SUMIFS(LANÇ_MOV[VALOR LÍQUIDO],LANÇ_MOV[RECEITA OU DESPESA],"Despesa",LANÇ_MOV[CONTAS],$C1254,LANÇ_MOV[PLANO DE CONTAS],REL_DRE_FINANCEIRO!$B$1164,LANÇ_MOV[ANO PAGAMENTO],$B$4,LANÇ_MOV[MÊS PAGAMENTO CORRESPONDENTE],N$6,LANÇ_MOV[EMPRESA],$C$4,LANÇ_MOV[CENTRO DE CUSTOS],$D$4)</f>
        <v>0</v>
      </c>
      <c r="O1254" s="206">
        <f>SUMIFS(LANÇ_MOV[VALOR LÍQUIDO],LANÇ_MOV[RECEITA OU DESPESA],"Despesa",LANÇ_MOV[CONTAS],$C1254,LANÇ_MOV[PLANO DE CONTAS],REL_DRE_FINANCEIRO!$B$1164,LANÇ_MOV[ANO PAGAMENTO],$B$4,LANÇ_MOV[MÊS PAGAMENTO CORRESPONDENTE],O$6,LANÇ_MOV[EMPRESA],$C$4,LANÇ_MOV[CENTRO DE CUSTOS],$D$4)</f>
        <v>0</v>
      </c>
      <c r="P1254" s="207">
        <f t="shared" si="150"/>
        <v>0</v>
      </c>
      <c r="Q1254" s="329">
        <v>1.1000000000000001E-6</v>
      </c>
      <c r="R1254" s="346">
        <f t="shared" si="151"/>
        <v>1.1000000000000001E-6</v>
      </c>
      <c r="S1254" s="347" t="str">
        <f t="shared" si="152"/>
        <v>-</v>
      </c>
      <c r="T1254" s="347">
        <f t="shared" si="153"/>
        <v>0</v>
      </c>
      <c r="U1254" s="347">
        <f>HLOOKUP(Apoio!$P$12,$D$1163:$P$1264,X1254,FALSE)+Q1254</f>
        <v>1.1000000000000001E-6</v>
      </c>
      <c r="V1254" s="447" t="str">
        <f t="shared" si="154"/>
        <v>-</v>
      </c>
      <c r="W1254" s="448">
        <f>HLOOKUP(Apoio!$P$12,$D$1163:$P$1264,X1254,FALSE)</f>
        <v>0</v>
      </c>
      <c r="X1254" s="329">
        <v>92</v>
      </c>
    </row>
    <row r="1255" spans="2:24" ht="30.05" customHeight="1" x14ac:dyDescent="0.35">
      <c r="B1255" s="204" t="str">
        <f>'CAD_PL_REC-DESP'!AI95</f>
        <v>2.9.91</v>
      </c>
      <c r="C1255" s="205" t="str">
        <f>IF('CAD_PL_REC-DESP'!AJ95="","-",'CAD_PL_REC-DESP'!AJ95)</f>
        <v>-</v>
      </c>
      <c r="D1255" s="206">
        <f>SUMIFS(LANÇ_MOV[VALOR LÍQUIDO],LANÇ_MOV[RECEITA OU DESPESA],"Despesa",LANÇ_MOV[CONTAS],$C1255,LANÇ_MOV[PLANO DE CONTAS],REL_DRE_FINANCEIRO!$B$1164,LANÇ_MOV[ANO PAGAMENTO],$B$4,LANÇ_MOV[MÊS PAGAMENTO CORRESPONDENTE],D$6,LANÇ_MOV[EMPRESA],$C$4,LANÇ_MOV[CENTRO DE CUSTOS],$D$4)</f>
        <v>0</v>
      </c>
      <c r="E1255" s="206">
        <f>SUMIFS(LANÇ_MOV[VALOR LÍQUIDO],LANÇ_MOV[RECEITA OU DESPESA],"Despesa",LANÇ_MOV[CONTAS],$C1255,LANÇ_MOV[PLANO DE CONTAS],REL_DRE_FINANCEIRO!$B$1164,LANÇ_MOV[ANO PAGAMENTO],$B$4,LANÇ_MOV[MÊS PAGAMENTO CORRESPONDENTE],E$6,LANÇ_MOV[EMPRESA],$C$4,LANÇ_MOV[CENTRO DE CUSTOS],$D$4)</f>
        <v>0</v>
      </c>
      <c r="F1255" s="206">
        <f>SUMIFS(LANÇ_MOV[VALOR LÍQUIDO],LANÇ_MOV[RECEITA OU DESPESA],"Despesa",LANÇ_MOV[CONTAS],$C1255,LANÇ_MOV[PLANO DE CONTAS],REL_DRE_FINANCEIRO!$B$1164,LANÇ_MOV[ANO PAGAMENTO],$B$4,LANÇ_MOV[MÊS PAGAMENTO CORRESPONDENTE],F$6,LANÇ_MOV[EMPRESA],$C$4,LANÇ_MOV[CENTRO DE CUSTOS],$D$4)</f>
        <v>0</v>
      </c>
      <c r="G1255" s="206">
        <f>SUMIFS(LANÇ_MOV[VALOR LÍQUIDO],LANÇ_MOV[RECEITA OU DESPESA],"Despesa",LANÇ_MOV[CONTAS],$C1255,LANÇ_MOV[PLANO DE CONTAS],REL_DRE_FINANCEIRO!$B$1164,LANÇ_MOV[ANO PAGAMENTO],$B$4,LANÇ_MOV[MÊS PAGAMENTO CORRESPONDENTE],G$6,LANÇ_MOV[EMPRESA],$C$4,LANÇ_MOV[CENTRO DE CUSTOS],$D$4)</f>
        <v>0</v>
      </c>
      <c r="H1255" s="206">
        <f>SUMIFS(LANÇ_MOV[VALOR LÍQUIDO],LANÇ_MOV[RECEITA OU DESPESA],"Despesa",LANÇ_MOV[CONTAS],$C1255,LANÇ_MOV[PLANO DE CONTAS],REL_DRE_FINANCEIRO!$B$1164,LANÇ_MOV[ANO PAGAMENTO],$B$4,LANÇ_MOV[MÊS PAGAMENTO CORRESPONDENTE],H$6,LANÇ_MOV[EMPRESA],$C$4,LANÇ_MOV[CENTRO DE CUSTOS],$D$4)</f>
        <v>0</v>
      </c>
      <c r="I1255" s="206">
        <f>SUMIFS(LANÇ_MOV[VALOR LÍQUIDO],LANÇ_MOV[RECEITA OU DESPESA],"Despesa",LANÇ_MOV[CONTAS],$C1255,LANÇ_MOV[PLANO DE CONTAS],REL_DRE_FINANCEIRO!$B$1164,LANÇ_MOV[ANO PAGAMENTO],$B$4,LANÇ_MOV[MÊS PAGAMENTO CORRESPONDENTE],I$6,LANÇ_MOV[EMPRESA],$C$4,LANÇ_MOV[CENTRO DE CUSTOS],$D$4)</f>
        <v>0</v>
      </c>
      <c r="J1255" s="206">
        <f>SUMIFS(LANÇ_MOV[VALOR LÍQUIDO],LANÇ_MOV[RECEITA OU DESPESA],"Despesa",LANÇ_MOV[CONTAS],$C1255,LANÇ_MOV[PLANO DE CONTAS],REL_DRE_FINANCEIRO!$B$1164,LANÇ_MOV[ANO PAGAMENTO],$B$4,LANÇ_MOV[MÊS PAGAMENTO CORRESPONDENTE],J$6,LANÇ_MOV[EMPRESA],$C$4,LANÇ_MOV[CENTRO DE CUSTOS],$D$4)</f>
        <v>0</v>
      </c>
      <c r="K1255" s="206">
        <f>SUMIFS(LANÇ_MOV[VALOR LÍQUIDO],LANÇ_MOV[RECEITA OU DESPESA],"Despesa",LANÇ_MOV[CONTAS],$C1255,LANÇ_MOV[PLANO DE CONTAS],REL_DRE_FINANCEIRO!$B$1164,LANÇ_MOV[ANO PAGAMENTO],$B$4,LANÇ_MOV[MÊS PAGAMENTO CORRESPONDENTE],K$6,LANÇ_MOV[EMPRESA],$C$4,LANÇ_MOV[CENTRO DE CUSTOS],$D$4)</f>
        <v>0</v>
      </c>
      <c r="L1255" s="206">
        <f>SUMIFS(LANÇ_MOV[VALOR LÍQUIDO],LANÇ_MOV[RECEITA OU DESPESA],"Despesa",LANÇ_MOV[CONTAS],$C1255,LANÇ_MOV[PLANO DE CONTAS],REL_DRE_FINANCEIRO!$B$1164,LANÇ_MOV[ANO PAGAMENTO],$B$4,LANÇ_MOV[MÊS PAGAMENTO CORRESPONDENTE],L$6,LANÇ_MOV[EMPRESA],$C$4,LANÇ_MOV[CENTRO DE CUSTOS],$D$4)</f>
        <v>0</v>
      </c>
      <c r="M1255" s="206">
        <f>SUMIFS(LANÇ_MOV[VALOR LÍQUIDO],LANÇ_MOV[RECEITA OU DESPESA],"Despesa",LANÇ_MOV[CONTAS],$C1255,LANÇ_MOV[PLANO DE CONTAS],REL_DRE_FINANCEIRO!$B$1164,LANÇ_MOV[ANO PAGAMENTO],$B$4,LANÇ_MOV[MÊS PAGAMENTO CORRESPONDENTE],M$6,LANÇ_MOV[EMPRESA],$C$4,LANÇ_MOV[CENTRO DE CUSTOS],$D$4)</f>
        <v>0</v>
      </c>
      <c r="N1255" s="206">
        <f>SUMIFS(LANÇ_MOV[VALOR LÍQUIDO],LANÇ_MOV[RECEITA OU DESPESA],"Despesa",LANÇ_MOV[CONTAS],$C1255,LANÇ_MOV[PLANO DE CONTAS],REL_DRE_FINANCEIRO!$B$1164,LANÇ_MOV[ANO PAGAMENTO],$B$4,LANÇ_MOV[MÊS PAGAMENTO CORRESPONDENTE],N$6,LANÇ_MOV[EMPRESA],$C$4,LANÇ_MOV[CENTRO DE CUSTOS],$D$4)</f>
        <v>0</v>
      </c>
      <c r="O1255" s="206">
        <f>SUMIFS(LANÇ_MOV[VALOR LÍQUIDO],LANÇ_MOV[RECEITA OU DESPESA],"Despesa",LANÇ_MOV[CONTAS],$C1255,LANÇ_MOV[PLANO DE CONTAS],REL_DRE_FINANCEIRO!$B$1164,LANÇ_MOV[ANO PAGAMENTO],$B$4,LANÇ_MOV[MÊS PAGAMENTO CORRESPONDENTE],O$6,LANÇ_MOV[EMPRESA],$C$4,LANÇ_MOV[CENTRO DE CUSTOS],$D$4)</f>
        <v>0</v>
      </c>
      <c r="P1255" s="207">
        <f t="shared" si="150"/>
        <v>0</v>
      </c>
      <c r="Q1255" s="329">
        <v>9.9999999999999995E-7</v>
      </c>
      <c r="R1255" s="346">
        <f t="shared" si="151"/>
        <v>9.9999999999999995E-7</v>
      </c>
      <c r="S1255" s="347" t="str">
        <f t="shared" si="152"/>
        <v>-</v>
      </c>
      <c r="T1255" s="347">
        <f t="shared" si="153"/>
        <v>0</v>
      </c>
      <c r="U1255" s="347">
        <f>HLOOKUP(Apoio!$P$12,$D$1163:$P$1264,X1255,FALSE)+Q1255</f>
        <v>9.9999999999999995E-7</v>
      </c>
      <c r="V1255" s="447" t="str">
        <f t="shared" si="154"/>
        <v>-</v>
      </c>
      <c r="W1255" s="448">
        <f>HLOOKUP(Apoio!$P$12,$D$1163:$P$1264,X1255,FALSE)</f>
        <v>0</v>
      </c>
      <c r="X1255" s="329">
        <v>93</v>
      </c>
    </row>
    <row r="1256" spans="2:24" ht="30.05" customHeight="1" x14ac:dyDescent="0.35">
      <c r="B1256" s="204" t="str">
        <f>'CAD_PL_REC-DESP'!AI96</f>
        <v>2.9.92</v>
      </c>
      <c r="C1256" s="205" t="str">
        <f>IF('CAD_PL_REC-DESP'!AJ96="","-",'CAD_PL_REC-DESP'!AJ96)</f>
        <v>-</v>
      </c>
      <c r="D1256" s="206">
        <f>SUMIFS(LANÇ_MOV[VALOR LÍQUIDO],LANÇ_MOV[RECEITA OU DESPESA],"Despesa",LANÇ_MOV[CONTAS],$C1256,LANÇ_MOV[PLANO DE CONTAS],REL_DRE_FINANCEIRO!$B$1164,LANÇ_MOV[ANO PAGAMENTO],$B$4,LANÇ_MOV[MÊS PAGAMENTO CORRESPONDENTE],D$6,LANÇ_MOV[EMPRESA],$C$4,LANÇ_MOV[CENTRO DE CUSTOS],$D$4)</f>
        <v>0</v>
      </c>
      <c r="E1256" s="206">
        <f>SUMIFS(LANÇ_MOV[VALOR LÍQUIDO],LANÇ_MOV[RECEITA OU DESPESA],"Despesa",LANÇ_MOV[CONTAS],$C1256,LANÇ_MOV[PLANO DE CONTAS],REL_DRE_FINANCEIRO!$B$1164,LANÇ_MOV[ANO PAGAMENTO],$B$4,LANÇ_MOV[MÊS PAGAMENTO CORRESPONDENTE],E$6,LANÇ_MOV[EMPRESA],$C$4,LANÇ_MOV[CENTRO DE CUSTOS],$D$4)</f>
        <v>0</v>
      </c>
      <c r="F1256" s="206">
        <f>SUMIFS(LANÇ_MOV[VALOR LÍQUIDO],LANÇ_MOV[RECEITA OU DESPESA],"Despesa",LANÇ_MOV[CONTAS],$C1256,LANÇ_MOV[PLANO DE CONTAS],REL_DRE_FINANCEIRO!$B$1164,LANÇ_MOV[ANO PAGAMENTO],$B$4,LANÇ_MOV[MÊS PAGAMENTO CORRESPONDENTE],F$6,LANÇ_MOV[EMPRESA],$C$4,LANÇ_MOV[CENTRO DE CUSTOS],$D$4)</f>
        <v>0</v>
      </c>
      <c r="G1256" s="206">
        <f>SUMIFS(LANÇ_MOV[VALOR LÍQUIDO],LANÇ_MOV[RECEITA OU DESPESA],"Despesa",LANÇ_MOV[CONTAS],$C1256,LANÇ_MOV[PLANO DE CONTAS],REL_DRE_FINANCEIRO!$B$1164,LANÇ_MOV[ANO PAGAMENTO],$B$4,LANÇ_MOV[MÊS PAGAMENTO CORRESPONDENTE],G$6,LANÇ_MOV[EMPRESA],$C$4,LANÇ_MOV[CENTRO DE CUSTOS],$D$4)</f>
        <v>0</v>
      </c>
      <c r="H1256" s="206">
        <f>SUMIFS(LANÇ_MOV[VALOR LÍQUIDO],LANÇ_MOV[RECEITA OU DESPESA],"Despesa",LANÇ_MOV[CONTAS],$C1256,LANÇ_MOV[PLANO DE CONTAS],REL_DRE_FINANCEIRO!$B$1164,LANÇ_MOV[ANO PAGAMENTO],$B$4,LANÇ_MOV[MÊS PAGAMENTO CORRESPONDENTE],H$6,LANÇ_MOV[EMPRESA],$C$4,LANÇ_MOV[CENTRO DE CUSTOS],$D$4)</f>
        <v>0</v>
      </c>
      <c r="I1256" s="206">
        <f>SUMIFS(LANÇ_MOV[VALOR LÍQUIDO],LANÇ_MOV[RECEITA OU DESPESA],"Despesa",LANÇ_MOV[CONTAS],$C1256,LANÇ_MOV[PLANO DE CONTAS],REL_DRE_FINANCEIRO!$B$1164,LANÇ_MOV[ANO PAGAMENTO],$B$4,LANÇ_MOV[MÊS PAGAMENTO CORRESPONDENTE],I$6,LANÇ_MOV[EMPRESA],$C$4,LANÇ_MOV[CENTRO DE CUSTOS],$D$4)</f>
        <v>0</v>
      </c>
      <c r="J1256" s="206">
        <f>SUMIFS(LANÇ_MOV[VALOR LÍQUIDO],LANÇ_MOV[RECEITA OU DESPESA],"Despesa",LANÇ_MOV[CONTAS],$C1256,LANÇ_MOV[PLANO DE CONTAS],REL_DRE_FINANCEIRO!$B$1164,LANÇ_MOV[ANO PAGAMENTO],$B$4,LANÇ_MOV[MÊS PAGAMENTO CORRESPONDENTE],J$6,LANÇ_MOV[EMPRESA],$C$4,LANÇ_MOV[CENTRO DE CUSTOS],$D$4)</f>
        <v>0</v>
      </c>
      <c r="K1256" s="206">
        <f>SUMIFS(LANÇ_MOV[VALOR LÍQUIDO],LANÇ_MOV[RECEITA OU DESPESA],"Despesa",LANÇ_MOV[CONTAS],$C1256,LANÇ_MOV[PLANO DE CONTAS],REL_DRE_FINANCEIRO!$B$1164,LANÇ_MOV[ANO PAGAMENTO],$B$4,LANÇ_MOV[MÊS PAGAMENTO CORRESPONDENTE],K$6,LANÇ_MOV[EMPRESA],$C$4,LANÇ_MOV[CENTRO DE CUSTOS],$D$4)</f>
        <v>0</v>
      </c>
      <c r="L1256" s="206">
        <f>SUMIFS(LANÇ_MOV[VALOR LÍQUIDO],LANÇ_MOV[RECEITA OU DESPESA],"Despesa",LANÇ_MOV[CONTAS],$C1256,LANÇ_MOV[PLANO DE CONTAS],REL_DRE_FINANCEIRO!$B$1164,LANÇ_MOV[ANO PAGAMENTO],$B$4,LANÇ_MOV[MÊS PAGAMENTO CORRESPONDENTE],L$6,LANÇ_MOV[EMPRESA],$C$4,LANÇ_MOV[CENTRO DE CUSTOS],$D$4)</f>
        <v>0</v>
      </c>
      <c r="M1256" s="206">
        <f>SUMIFS(LANÇ_MOV[VALOR LÍQUIDO],LANÇ_MOV[RECEITA OU DESPESA],"Despesa",LANÇ_MOV[CONTAS],$C1256,LANÇ_MOV[PLANO DE CONTAS],REL_DRE_FINANCEIRO!$B$1164,LANÇ_MOV[ANO PAGAMENTO],$B$4,LANÇ_MOV[MÊS PAGAMENTO CORRESPONDENTE],M$6,LANÇ_MOV[EMPRESA],$C$4,LANÇ_MOV[CENTRO DE CUSTOS],$D$4)</f>
        <v>0</v>
      </c>
      <c r="N1256" s="206">
        <f>SUMIFS(LANÇ_MOV[VALOR LÍQUIDO],LANÇ_MOV[RECEITA OU DESPESA],"Despesa",LANÇ_MOV[CONTAS],$C1256,LANÇ_MOV[PLANO DE CONTAS],REL_DRE_FINANCEIRO!$B$1164,LANÇ_MOV[ANO PAGAMENTO],$B$4,LANÇ_MOV[MÊS PAGAMENTO CORRESPONDENTE],N$6,LANÇ_MOV[EMPRESA],$C$4,LANÇ_MOV[CENTRO DE CUSTOS],$D$4)</f>
        <v>0</v>
      </c>
      <c r="O1256" s="206">
        <f>SUMIFS(LANÇ_MOV[VALOR LÍQUIDO],LANÇ_MOV[RECEITA OU DESPESA],"Despesa",LANÇ_MOV[CONTAS],$C1256,LANÇ_MOV[PLANO DE CONTAS],REL_DRE_FINANCEIRO!$B$1164,LANÇ_MOV[ANO PAGAMENTO],$B$4,LANÇ_MOV[MÊS PAGAMENTO CORRESPONDENTE],O$6,LANÇ_MOV[EMPRESA],$C$4,LANÇ_MOV[CENTRO DE CUSTOS],$D$4)</f>
        <v>0</v>
      </c>
      <c r="P1256" s="207">
        <f t="shared" si="150"/>
        <v>0</v>
      </c>
      <c r="Q1256" s="329">
        <v>8.9999999999999996E-7</v>
      </c>
      <c r="R1256" s="346">
        <f t="shared" si="151"/>
        <v>8.9999999999999996E-7</v>
      </c>
      <c r="S1256" s="347" t="str">
        <f t="shared" si="152"/>
        <v>-</v>
      </c>
      <c r="T1256" s="347">
        <f t="shared" si="153"/>
        <v>0</v>
      </c>
      <c r="U1256" s="347">
        <f>HLOOKUP(Apoio!$P$12,$D$1163:$P$1264,X1256,FALSE)+Q1256</f>
        <v>8.9999999999999996E-7</v>
      </c>
      <c r="V1256" s="447" t="str">
        <f t="shared" si="154"/>
        <v>-</v>
      </c>
      <c r="W1256" s="448">
        <f>HLOOKUP(Apoio!$P$12,$D$1163:$P$1264,X1256,FALSE)</f>
        <v>0</v>
      </c>
      <c r="X1256" s="329">
        <v>94</v>
      </c>
    </row>
    <row r="1257" spans="2:24" ht="30.05" customHeight="1" x14ac:dyDescent="0.35">
      <c r="B1257" s="204" t="str">
        <f>'CAD_PL_REC-DESP'!AI97</f>
        <v>2.9.93</v>
      </c>
      <c r="C1257" s="205" t="str">
        <f>IF('CAD_PL_REC-DESP'!AJ97="","-",'CAD_PL_REC-DESP'!AJ97)</f>
        <v>-</v>
      </c>
      <c r="D1257" s="206">
        <f>SUMIFS(LANÇ_MOV[VALOR LÍQUIDO],LANÇ_MOV[RECEITA OU DESPESA],"Despesa",LANÇ_MOV[CONTAS],$C1257,LANÇ_MOV[PLANO DE CONTAS],REL_DRE_FINANCEIRO!$B$1164,LANÇ_MOV[ANO PAGAMENTO],$B$4,LANÇ_MOV[MÊS PAGAMENTO CORRESPONDENTE],D$6,LANÇ_MOV[EMPRESA],$C$4,LANÇ_MOV[CENTRO DE CUSTOS],$D$4)</f>
        <v>0</v>
      </c>
      <c r="E1257" s="206">
        <f>SUMIFS(LANÇ_MOV[VALOR LÍQUIDO],LANÇ_MOV[RECEITA OU DESPESA],"Despesa",LANÇ_MOV[CONTAS],$C1257,LANÇ_MOV[PLANO DE CONTAS],REL_DRE_FINANCEIRO!$B$1164,LANÇ_MOV[ANO PAGAMENTO],$B$4,LANÇ_MOV[MÊS PAGAMENTO CORRESPONDENTE],E$6,LANÇ_MOV[EMPRESA],$C$4,LANÇ_MOV[CENTRO DE CUSTOS],$D$4)</f>
        <v>0</v>
      </c>
      <c r="F1257" s="206">
        <f>SUMIFS(LANÇ_MOV[VALOR LÍQUIDO],LANÇ_MOV[RECEITA OU DESPESA],"Despesa",LANÇ_MOV[CONTAS],$C1257,LANÇ_MOV[PLANO DE CONTAS],REL_DRE_FINANCEIRO!$B$1164,LANÇ_MOV[ANO PAGAMENTO],$B$4,LANÇ_MOV[MÊS PAGAMENTO CORRESPONDENTE],F$6,LANÇ_MOV[EMPRESA],$C$4,LANÇ_MOV[CENTRO DE CUSTOS],$D$4)</f>
        <v>0</v>
      </c>
      <c r="G1257" s="206">
        <f>SUMIFS(LANÇ_MOV[VALOR LÍQUIDO],LANÇ_MOV[RECEITA OU DESPESA],"Despesa",LANÇ_MOV[CONTAS],$C1257,LANÇ_MOV[PLANO DE CONTAS],REL_DRE_FINANCEIRO!$B$1164,LANÇ_MOV[ANO PAGAMENTO],$B$4,LANÇ_MOV[MÊS PAGAMENTO CORRESPONDENTE],G$6,LANÇ_MOV[EMPRESA],$C$4,LANÇ_MOV[CENTRO DE CUSTOS],$D$4)</f>
        <v>0</v>
      </c>
      <c r="H1257" s="206">
        <f>SUMIFS(LANÇ_MOV[VALOR LÍQUIDO],LANÇ_MOV[RECEITA OU DESPESA],"Despesa",LANÇ_MOV[CONTAS],$C1257,LANÇ_MOV[PLANO DE CONTAS],REL_DRE_FINANCEIRO!$B$1164,LANÇ_MOV[ANO PAGAMENTO],$B$4,LANÇ_MOV[MÊS PAGAMENTO CORRESPONDENTE],H$6,LANÇ_MOV[EMPRESA],$C$4,LANÇ_MOV[CENTRO DE CUSTOS],$D$4)</f>
        <v>0</v>
      </c>
      <c r="I1257" s="206">
        <f>SUMIFS(LANÇ_MOV[VALOR LÍQUIDO],LANÇ_MOV[RECEITA OU DESPESA],"Despesa",LANÇ_MOV[CONTAS],$C1257,LANÇ_MOV[PLANO DE CONTAS],REL_DRE_FINANCEIRO!$B$1164,LANÇ_MOV[ANO PAGAMENTO],$B$4,LANÇ_MOV[MÊS PAGAMENTO CORRESPONDENTE],I$6,LANÇ_MOV[EMPRESA],$C$4,LANÇ_MOV[CENTRO DE CUSTOS],$D$4)</f>
        <v>0</v>
      </c>
      <c r="J1257" s="206">
        <f>SUMIFS(LANÇ_MOV[VALOR LÍQUIDO],LANÇ_MOV[RECEITA OU DESPESA],"Despesa",LANÇ_MOV[CONTAS],$C1257,LANÇ_MOV[PLANO DE CONTAS],REL_DRE_FINANCEIRO!$B$1164,LANÇ_MOV[ANO PAGAMENTO],$B$4,LANÇ_MOV[MÊS PAGAMENTO CORRESPONDENTE],J$6,LANÇ_MOV[EMPRESA],$C$4,LANÇ_MOV[CENTRO DE CUSTOS],$D$4)</f>
        <v>0</v>
      </c>
      <c r="K1257" s="206">
        <f>SUMIFS(LANÇ_MOV[VALOR LÍQUIDO],LANÇ_MOV[RECEITA OU DESPESA],"Despesa",LANÇ_MOV[CONTAS],$C1257,LANÇ_MOV[PLANO DE CONTAS],REL_DRE_FINANCEIRO!$B$1164,LANÇ_MOV[ANO PAGAMENTO],$B$4,LANÇ_MOV[MÊS PAGAMENTO CORRESPONDENTE],K$6,LANÇ_MOV[EMPRESA],$C$4,LANÇ_MOV[CENTRO DE CUSTOS],$D$4)</f>
        <v>0</v>
      </c>
      <c r="L1257" s="206">
        <f>SUMIFS(LANÇ_MOV[VALOR LÍQUIDO],LANÇ_MOV[RECEITA OU DESPESA],"Despesa",LANÇ_MOV[CONTAS],$C1257,LANÇ_MOV[PLANO DE CONTAS],REL_DRE_FINANCEIRO!$B$1164,LANÇ_MOV[ANO PAGAMENTO],$B$4,LANÇ_MOV[MÊS PAGAMENTO CORRESPONDENTE],L$6,LANÇ_MOV[EMPRESA],$C$4,LANÇ_MOV[CENTRO DE CUSTOS],$D$4)</f>
        <v>0</v>
      </c>
      <c r="M1257" s="206">
        <f>SUMIFS(LANÇ_MOV[VALOR LÍQUIDO],LANÇ_MOV[RECEITA OU DESPESA],"Despesa",LANÇ_MOV[CONTAS],$C1257,LANÇ_MOV[PLANO DE CONTAS],REL_DRE_FINANCEIRO!$B$1164,LANÇ_MOV[ANO PAGAMENTO],$B$4,LANÇ_MOV[MÊS PAGAMENTO CORRESPONDENTE],M$6,LANÇ_MOV[EMPRESA],$C$4,LANÇ_MOV[CENTRO DE CUSTOS],$D$4)</f>
        <v>0</v>
      </c>
      <c r="N1257" s="206">
        <f>SUMIFS(LANÇ_MOV[VALOR LÍQUIDO],LANÇ_MOV[RECEITA OU DESPESA],"Despesa",LANÇ_MOV[CONTAS],$C1257,LANÇ_MOV[PLANO DE CONTAS],REL_DRE_FINANCEIRO!$B$1164,LANÇ_MOV[ANO PAGAMENTO],$B$4,LANÇ_MOV[MÊS PAGAMENTO CORRESPONDENTE],N$6,LANÇ_MOV[EMPRESA],$C$4,LANÇ_MOV[CENTRO DE CUSTOS],$D$4)</f>
        <v>0</v>
      </c>
      <c r="O1257" s="206">
        <f>SUMIFS(LANÇ_MOV[VALOR LÍQUIDO],LANÇ_MOV[RECEITA OU DESPESA],"Despesa",LANÇ_MOV[CONTAS],$C1257,LANÇ_MOV[PLANO DE CONTAS],REL_DRE_FINANCEIRO!$B$1164,LANÇ_MOV[ANO PAGAMENTO],$B$4,LANÇ_MOV[MÊS PAGAMENTO CORRESPONDENTE],O$6,LANÇ_MOV[EMPRESA],$C$4,LANÇ_MOV[CENTRO DE CUSTOS],$D$4)</f>
        <v>0</v>
      </c>
      <c r="P1257" s="207">
        <f t="shared" si="150"/>
        <v>0</v>
      </c>
      <c r="Q1257" s="329">
        <v>7.9999999999999996E-7</v>
      </c>
      <c r="R1257" s="346">
        <f t="shared" si="151"/>
        <v>7.9999999999999996E-7</v>
      </c>
      <c r="S1257" s="347" t="str">
        <f t="shared" si="152"/>
        <v>-</v>
      </c>
      <c r="T1257" s="347">
        <f t="shared" si="153"/>
        <v>0</v>
      </c>
      <c r="U1257" s="347">
        <f>HLOOKUP(Apoio!$P$12,$D$1163:$P$1264,X1257,FALSE)+Q1257</f>
        <v>7.9999999999999996E-7</v>
      </c>
      <c r="V1257" s="447" t="str">
        <f t="shared" si="154"/>
        <v>-</v>
      </c>
      <c r="W1257" s="448">
        <f>HLOOKUP(Apoio!$P$12,$D$1163:$P$1264,X1257,FALSE)</f>
        <v>0</v>
      </c>
      <c r="X1257" s="329">
        <v>95</v>
      </c>
    </row>
    <row r="1258" spans="2:24" ht="30.05" customHeight="1" x14ac:dyDescent="0.35">
      <c r="B1258" s="204" t="str">
        <f>'CAD_PL_REC-DESP'!AI98</f>
        <v>2.9.94</v>
      </c>
      <c r="C1258" s="205" t="str">
        <f>IF('CAD_PL_REC-DESP'!AJ98="","-",'CAD_PL_REC-DESP'!AJ98)</f>
        <v>-</v>
      </c>
      <c r="D1258" s="206">
        <f>SUMIFS(LANÇ_MOV[VALOR LÍQUIDO],LANÇ_MOV[RECEITA OU DESPESA],"Despesa",LANÇ_MOV[CONTAS],$C1258,LANÇ_MOV[PLANO DE CONTAS],REL_DRE_FINANCEIRO!$B$1164,LANÇ_MOV[ANO PAGAMENTO],$B$4,LANÇ_MOV[MÊS PAGAMENTO CORRESPONDENTE],D$6,LANÇ_MOV[EMPRESA],$C$4,LANÇ_MOV[CENTRO DE CUSTOS],$D$4)</f>
        <v>0</v>
      </c>
      <c r="E1258" s="206">
        <f>SUMIFS(LANÇ_MOV[VALOR LÍQUIDO],LANÇ_MOV[RECEITA OU DESPESA],"Despesa",LANÇ_MOV[CONTAS],$C1258,LANÇ_MOV[PLANO DE CONTAS],REL_DRE_FINANCEIRO!$B$1164,LANÇ_MOV[ANO PAGAMENTO],$B$4,LANÇ_MOV[MÊS PAGAMENTO CORRESPONDENTE],E$6,LANÇ_MOV[EMPRESA],$C$4,LANÇ_MOV[CENTRO DE CUSTOS],$D$4)</f>
        <v>0</v>
      </c>
      <c r="F1258" s="206">
        <f>SUMIFS(LANÇ_MOV[VALOR LÍQUIDO],LANÇ_MOV[RECEITA OU DESPESA],"Despesa",LANÇ_MOV[CONTAS],$C1258,LANÇ_MOV[PLANO DE CONTAS],REL_DRE_FINANCEIRO!$B$1164,LANÇ_MOV[ANO PAGAMENTO],$B$4,LANÇ_MOV[MÊS PAGAMENTO CORRESPONDENTE],F$6,LANÇ_MOV[EMPRESA],$C$4,LANÇ_MOV[CENTRO DE CUSTOS],$D$4)</f>
        <v>0</v>
      </c>
      <c r="G1258" s="206">
        <f>SUMIFS(LANÇ_MOV[VALOR LÍQUIDO],LANÇ_MOV[RECEITA OU DESPESA],"Despesa",LANÇ_MOV[CONTAS],$C1258,LANÇ_MOV[PLANO DE CONTAS],REL_DRE_FINANCEIRO!$B$1164,LANÇ_MOV[ANO PAGAMENTO],$B$4,LANÇ_MOV[MÊS PAGAMENTO CORRESPONDENTE],G$6,LANÇ_MOV[EMPRESA],$C$4,LANÇ_MOV[CENTRO DE CUSTOS],$D$4)</f>
        <v>0</v>
      </c>
      <c r="H1258" s="206">
        <f>SUMIFS(LANÇ_MOV[VALOR LÍQUIDO],LANÇ_MOV[RECEITA OU DESPESA],"Despesa",LANÇ_MOV[CONTAS],$C1258,LANÇ_MOV[PLANO DE CONTAS],REL_DRE_FINANCEIRO!$B$1164,LANÇ_MOV[ANO PAGAMENTO],$B$4,LANÇ_MOV[MÊS PAGAMENTO CORRESPONDENTE],H$6,LANÇ_MOV[EMPRESA],$C$4,LANÇ_MOV[CENTRO DE CUSTOS],$D$4)</f>
        <v>0</v>
      </c>
      <c r="I1258" s="206">
        <f>SUMIFS(LANÇ_MOV[VALOR LÍQUIDO],LANÇ_MOV[RECEITA OU DESPESA],"Despesa",LANÇ_MOV[CONTAS],$C1258,LANÇ_MOV[PLANO DE CONTAS],REL_DRE_FINANCEIRO!$B$1164,LANÇ_MOV[ANO PAGAMENTO],$B$4,LANÇ_MOV[MÊS PAGAMENTO CORRESPONDENTE],I$6,LANÇ_MOV[EMPRESA],$C$4,LANÇ_MOV[CENTRO DE CUSTOS],$D$4)</f>
        <v>0</v>
      </c>
      <c r="J1258" s="206">
        <f>SUMIFS(LANÇ_MOV[VALOR LÍQUIDO],LANÇ_MOV[RECEITA OU DESPESA],"Despesa",LANÇ_MOV[CONTAS],$C1258,LANÇ_MOV[PLANO DE CONTAS],REL_DRE_FINANCEIRO!$B$1164,LANÇ_MOV[ANO PAGAMENTO],$B$4,LANÇ_MOV[MÊS PAGAMENTO CORRESPONDENTE],J$6,LANÇ_MOV[EMPRESA],$C$4,LANÇ_MOV[CENTRO DE CUSTOS],$D$4)</f>
        <v>0</v>
      </c>
      <c r="K1258" s="206">
        <f>SUMIFS(LANÇ_MOV[VALOR LÍQUIDO],LANÇ_MOV[RECEITA OU DESPESA],"Despesa",LANÇ_MOV[CONTAS],$C1258,LANÇ_MOV[PLANO DE CONTAS],REL_DRE_FINANCEIRO!$B$1164,LANÇ_MOV[ANO PAGAMENTO],$B$4,LANÇ_MOV[MÊS PAGAMENTO CORRESPONDENTE],K$6,LANÇ_MOV[EMPRESA],$C$4,LANÇ_MOV[CENTRO DE CUSTOS],$D$4)</f>
        <v>0</v>
      </c>
      <c r="L1258" s="206">
        <f>SUMIFS(LANÇ_MOV[VALOR LÍQUIDO],LANÇ_MOV[RECEITA OU DESPESA],"Despesa",LANÇ_MOV[CONTAS],$C1258,LANÇ_MOV[PLANO DE CONTAS],REL_DRE_FINANCEIRO!$B$1164,LANÇ_MOV[ANO PAGAMENTO],$B$4,LANÇ_MOV[MÊS PAGAMENTO CORRESPONDENTE],L$6,LANÇ_MOV[EMPRESA],$C$4,LANÇ_MOV[CENTRO DE CUSTOS],$D$4)</f>
        <v>0</v>
      </c>
      <c r="M1258" s="206">
        <f>SUMIFS(LANÇ_MOV[VALOR LÍQUIDO],LANÇ_MOV[RECEITA OU DESPESA],"Despesa",LANÇ_MOV[CONTAS],$C1258,LANÇ_MOV[PLANO DE CONTAS],REL_DRE_FINANCEIRO!$B$1164,LANÇ_MOV[ANO PAGAMENTO],$B$4,LANÇ_MOV[MÊS PAGAMENTO CORRESPONDENTE],M$6,LANÇ_MOV[EMPRESA],$C$4,LANÇ_MOV[CENTRO DE CUSTOS],$D$4)</f>
        <v>0</v>
      </c>
      <c r="N1258" s="206">
        <f>SUMIFS(LANÇ_MOV[VALOR LÍQUIDO],LANÇ_MOV[RECEITA OU DESPESA],"Despesa",LANÇ_MOV[CONTAS],$C1258,LANÇ_MOV[PLANO DE CONTAS],REL_DRE_FINANCEIRO!$B$1164,LANÇ_MOV[ANO PAGAMENTO],$B$4,LANÇ_MOV[MÊS PAGAMENTO CORRESPONDENTE],N$6,LANÇ_MOV[EMPRESA],$C$4,LANÇ_MOV[CENTRO DE CUSTOS],$D$4)</f>
        <v>0</v>
      </c>
      <c r="O1258" s="206">
        <f>SUMIFS(LANÇ_MOV[VALOR LÍQUIDO],LANÇ_MOV[RECEITA OU DESPESA],"Despesa",LANÇ_MOV[CONTAS],$C1258,LANÇ_MOV[PLANO DE CONTAS],REL_DRE_FINANCEIRO!$B$1164,LANÇ_MOV[ANO PAGAMENTO],$B$4,LANÇ_MOV[MÊS PAGAMENTO CORRESPONDENTE],O$6,LANÇ_MOV[EMPRESA],$C$4,LANÇ_MOV[CENTRO DE CUSTOS],$D$4)</f>
        <v>0</v>
      </c>
      <c r="P1258" s="207">
        <f t="shared" si="150"/>
        <v>0</v>
      </c>
      <c r="Q1258" s="329">
        <v>6.9999999999999997E-7</v>
      </c>
      <c r="R1258" s="346">
        <f t="shared" si="151"/>
        <v>6.9999999999999997E-7</v>
      </c>
      <c r="S1258" s="347" t="str">
        <f t="shared" si="152"/>
        <v>-</v>
      </c>
      <c r="T1258" s="347">
        <f t="shared" si="153"/>
        <v>0</v>
      </c>
      <c r="U1258" s="347">
        <f>HLOOKUP(Apoio!$P$12,$D$1163:$P$1264,X1258,FALSE)+Q1258</f>
        <v>6.9999999999999997E-7</v>
      </c>
      <c r="V1258" s="447" t="str">
        <f t="shared" si="154"/>
        <v>-</v>
      </c>
      <c r="W1258" s="448">
        <f>HLOOKUP(Apoio!$P$12,$D$1163:$P$1264,X1258,FALSE)</f>
        <v>0</v>
      </c>
      <c r="X1258" s="329">
        <v>96</v>
      </c>
    </row>
    <row r="1259" spans="2:24" ht="30.05" customHeight="1" x14ac:dyDescent="0.35">
      <c r="B1259" s="204" t="str">
        <f>'CAD_PL_REC-DESP'!AI99</f>
        <v>2.9.95</v>
      </c>
      <c r="C1259" s="205" t="str">
        <f>IF('CAD_PL_REC-DESP'!AJ99="","-",'CAD_PL_REC-DESP'!AJ99)</f>
        <v>-</v>
      </c>
      <c r="D1259" s="206">
        <f>SUMIFS(LANÇ_MOV[VALOR LÍQUIDO],LANÇ_MOV[RECEITA OU DESPESA],"Despesa",LANÇ_MOV[CONTAS],$C1259,LANÇ_MOV[PLANO DE CONTAS],REL_DRE_FINANCEIRO!$B$1164,LANÇ_MOV[ANO PAGAMENTO],$B$4,LANÇ_MOV[MÊS PAGAMENTO CORRESPONDENTE],D$6,LANÇ_MOV[EMPRESA],$C$4,LANÇ_MOV[CENTRO DE CUSTOS],$D$4)</f>
        <v>0</v>
      </c>
      <c r="E1259" s="206">
        <f>SUMIFS(LANÇ_MOV[VALOR LÍQUIDO],LANÇ_MOV[RECEITA OU DESPESA],"Despesa",LANÇ_MOV[CONTAS],$C1259,LANÇ_MOV[PLANO DE CONTAS],REL_DRE_FINANCEIRO!$B$1164,LANÇ_MOV[ANO PAGAMENTO],$B$4,LANÇ_MOV[MÊS PAGAMENTO CORRESPONDENTE],E$6,LANÇ_MOV[EMPRESA],$C$4,LANÇ_MOV[CENTRO DE CUSTOS],$D$4)</f>
        <v>0</v>
      </c>
      <c r="F1259" s="206">
        <f>SUMIFS(LANÇ_MOV[VALOR LÍQUIDO],LANÇ_MOV[RECEITA OU DESPESA],"Despesa",LANÇ_MOV[CONTAS],$C1259,LANÇ_MOV[PLANO DE CONTAS],REL_DRE_FINANCEIRO!$B$1164,LANÇ_MOV[ANO PAGAMENTO],$B$4,LANÇ_MOV[MÊS PAGAMENTO CORRESPONDENTE],F$6,LANÇ_MOV[EMPRESA],$C$4,LANÇ_MOV[CENTRO DE CUSTOS],$D$4)</f>
        <v>0</v>
      </c>
      <c r="G1259" s="206">
        <f>SUMIFS(LANÇ_MOV[VALOR LÍQUIDO],LANÇ_MOV[RECEITA OU DESPESA],"Despesa",LANÇ_MOV[CONTAS],$C1259,LANÇ_MOV[PLANO DE CONTAS],REL_DRE_FINANCEIRO!$B$1164,LANÇ_MOV[ANO PAGAMENTO],$B$4,LANÇ_MOV[MÊS PAGAMENTO CORRESPONDENTE],G$6,LANÇ_MOV[EMPRESA],$C$4,LANÇ_MOV[CENTRO DE CUSTOS],$D$4)</f>
        <v>0</v>
      </c>
      <c r="H1259" s="206">
        <f>SUMIFS(LANÇ_MOV[VALOR LÍQUIDO],LANÇ_MOV[RECEITA OU DESPESA],"Despesa",LANÇ_MOV[CONTAS],$C1259,LANÇ_MOV[PLANO DE CONTAS],REL_DRE_FINANCEIRO!$B$1164,LANÇ_MOV[ANO PAGAMENTO],$B$4,LANÇ_MOV[MÊS PAGAMENTO CORRESPONDENTE],H$6,LANÇ_MOV[EMPRESA],$C$4,LANÇ_MOV[CENTRO DE CUSTOS],$D$4)</f>
        <v>0</v>
      </c>
      <c r="I1259" s="206">
        <f>SUMIFS(LANÇ_MOV[VALOR LÍQUIDO],LANÇ_MOV[RECEITA OU DESPESA],"Despesa",LANÇ_MOV[CONTAS],$C1259,LANÇ_MOV[PLANO DE CONTAS],REL_DRE_FINANCEIRO!$B$1164,LANÇ_MOV[ANO PAGAMENTO],$B$4,LANÇ_MOV[MÊS PAGAMENTO CORRESPONDENTE],I$6,LANÇ_MOV[EMPRESA],$C$4,LANÇ_MOV[CENTRO DE CUSTOS],$D$4)</f>
        <v>0</v>
      </c>
      <c r="J1259" s="206">
        <f>SUMIFS(LANÇ_MOV[VALOR LÍQUIDO],LANÇ_MOV[RECEITA OU DESPESA],"Despesa",LANÇ_MOV[CONTAS],$C1259,LANÇ_MOV[PLANO DE CONTAS],REL_DRE_FINANCEIRO!$B$1164,LANÇ_MOV[ANO PAGAMENTO],$B$4,LANÇ_MOV[MÊS PAGAMENTO CORRESPONDENTE],J$6,LANÇ_MOV[EMPRESA],$C$4,LANÇ_MOV[CENTRO DE CUSTOS],$D$4)</f>
        <v>0</v>
      </c>
      <c r="K1259" s="206">
        <f>SUMIFS(LANÇ_MOV[VALOR LÍQUIDO],LANÇ_MOV[RECEITA OU DESPESA],"Despesa",LANÇ_MOV[CONTAS],$C1259,LANÇ_MOV[PLANO DE CONTAS],REL_DRE_FINANCEIRO!$B$1164,LANÇ_MOV[ANO PAGAMENTO],$B$4,LANÇ_MOV[MÊS PAGAMENTO CORRESPONDENTE],K$6,LANÇ_MOV[EMPRESA],$C$4,LANÇ_MOV[CENTRO DE CUSTOS],$D$4)</f>
        <v>0</v>
      </c>
      <c r="L1259" s="206">
        <f>SUMIFS(LANÇ_MOV[VALOR LÍQUIDO],LANÇ_MOV[RECEITA OU DESPESA],"Despesa",LANÇ_MOV[CONTAS],$C1259,LANÇ_MOV[PLANO DE CONTAS],REL_DRE_FINANCEIRO!$B$1164,LANÇ_MOV[ANO PAGAMENTO],$B$4,LANÇ_MOV[MÊS PAGAMENTO CORRESPONDENTE],L$6,LANÇ_MOV[EMPRESA],$C$4,LANÇ_MOV[CENTRO DE CUSTOS],$D$4)</f>
        <v>0</v>
      </c>
      <c r="M1259" s="206">
        <f>SUMIFS(LANÇ_MOV[VALOR LÍQUIDO],LANÇ_MOV[RECEITA OU DESPESA],"Despesa",LANÇ_MOV[CONTAS],$C1259,LANÇ_MOV[PLANO DE CONTAS],REL_DRE_FINANCEIRO!$B$1164,LANÇ_MOV[ANO PAGAMENTO],$B$4,LANÇ_MOV[MÊS PAGAMENTO CORRESPONDENTE],M$6,LANÇ_MOV[EMPRESA],$C$4,LANÇ_MOV[CENTRO DE CUSTOS],$D$4)</f>
        <v>0</v>
      </c>
      <c r="N1259" s="206">
        <f>SUMIFS(LANÇ_MOV[VALOR LÍQUIDO],LANÇ_MOV[RECEITA OU DESPESA],"Despesa",LANÇ_MOV[CONTAS],$C1259,LANÇ_MOV[PLANO DE CONTAS],REL_DRE_FINANCEIRO!$B$1164,LANÇ_MOV[ANO PAGAMENTO],$B$4,LANÇ_MOV[MÊS PAGAMENTO CORRESPONDENTE],N$6,LANÇ_MOV[EMPRESA],$C$4,LANÇ_MOV[CENTRO DE CUSTOS],$D$4)</f>
        <v>0</v>
      </c>
      <c r="O1259" s="206">
        <f>SUMIFS(LANÇ_MOV[VALOR LÍQUIDO],LANÇ_MOV[RECEITA OU DESPESA],"Despesa",LANÇ_MOV[CONTAS],$C1259,LANÇ_MOV[PLANO DE CONTAS],REL_DRE_FINANCEIRO!$B$1164,LANÇ_MOV[ANO PAGAMENTO],$B$4,LANÇ_MOV[MÊS PAGAMENTO CORRESPONDENTE],O$6,LANÇ_MOV[EMPRESA],$C$4,LANÇ_MOV[CENTRO DE CUSTOS],$D$4)</f>
        <v>0</v>
      </c>
      <c r="P1259" s="207">
        <f t="shared" si="150"/>
        <v>0</v>
      </c>
      <c r="Q1259" s="329">
        <v>5.9999999999999997E-7</v>
      </c>
      <c r="R1259" s="346">
        <f t="shared" si="151"/>
        <v>5.9999999999999997E-7</v>
      </c>
      <c r="S1259" s="347" t="str">
        <f t="shared" si="152"/>
        <v>-</v>
      </c>
      <c r="T1259" s="347">
        <f t="shared" si="153"/>
        <v>0</v>
      </c>
      <c r="U1259" s="347">
        <f>HLOOKUP(Apoio!$P$12,$D$1163:$P$1264,X1259,FALSE)+Q1259</f>
        <v>5.9999999999999997E-7</v>
      </c>
      <c r="V1259" s="447" t="str">
        <f t="shared" si="154"/>
        <v>-</v>
      </c>
      <c r="W1259" s="448">
        <f>HLOOKUP(Apoio!$P$12,$D$1163:$P$1264,X1259,FALSE)</f>
        <v>0</v>
      </c>
      <c r="X1259" s="329">
        <v>97</v>
      </c>
    </row>
    <row r="1260" spans="2:24" ht="30.05" customHeight="1" x14ac:dyDescent="0.35">
      <c r="B1260" s="204" t="str">
        <f>'CAD_PL_REC-DESP'!AI100</f>
        <v>2.9.96</v>
      </c>
      <c r="C1260" s="205" t="str">
        <f>IF('CAD_PL_REC-DESP'!AJ100="","-",'CAD_PL_REC-DESP'!AJ100)</f>
        <v>-</v>
      </c>
      <c r="D1260" s="206">
        <f>SUMIFS(LANÇ_MOV[VALOR LÍQUIDO],LANÇ_MOV[RECEITA OU DESPESA],"Despesa",LANÇ_MOV[CONTAS],$C1260,LANÇ_MOV[PLANO DE CONTAS],REL_DRE_FINANCEIRO!$B$1164,LANÇ_MOV[ANO PAGAMENTO],$B$4,LANÇ_MOV[MÊS PAGAMENTO CORRESPONDENTE],D$6,LANÇ_MOV[EMPRESA],$C$4,LANÇ_MOV[CENTRO DE CUSTOS],$D$4)</f>
        <v>0</v>
      </c>
      <c r="E1260" s="206">
        <f>SUMIFS(LANÇ_MOV[VALOR LÍQUIDO],LANÇ_MOV[RECEITA OU DESPESA],"Despesa",LANÇ_MOV[CONTAS],$C1260,LANÇ_MOV[PLANO DE CONTAS],REL_DRE_FINANCEIRO!$B$1164,LANÇ_MOV[ANO PAGAMENTO],$B$4,LANÇ_MOV[MÊS PAGAMENTO CORRESPONDENTE],E$6,LANÇ_MOV[EMPRESA],$C$4,LANÇ_MOV[CENTRO DE CUSTOS],$D$4)</f>
        <v>0</v>
      </c>
      <c r="F1260" s="206">
        <f>SUMIFS(LANÇ_MOV[VALOR LÍQUIDO],LANÇ_MOV[RECEITA OU DESPESA],"Despesa",LANÇ_MOV[CONTAS],$C1260,LANÇ_MOV[PLANO DE CONTAS],REL_DRE_FINANCEIRO!$B$1164,LANÇ_MOV[ANO PAGAMENTO],$B$4,LANÇ_MOV[MÊS PAGAMENTO CORRESPONDENTE],F$6,LANÇ_MOV[EMPRESA],$C$4,LANÇ_MOV[CENTRO DE CUSTOS],$D$4)</f>
        <v>0</v>
      </c>
      <c r="G1260" s="206">
        <f>SUMIFS(LANÇ_MOV[VALOR LÍQUIDO],LANÇ_MOV[RECEITA OU DESPESA],"Despesa",LANÇ_MOV[CONTAS],$C1260,LANÇ_MOV[PLANO DE CONTAS],REL_DRE_FINANCEIRO!$B$1164,LANÇ_MOV[ANO PAGAMENTO],$B$4,LANÇ_MOV[MÊS PAGAMENTO CORRESPONDENTE],G$6,LANÇ_MOV[EMPRESA],$C$4,LANÇ_MOV[CENTRO DE CUSTOS],$D$4)</f>
        <v>0</v>
      </c>
      <c r="H1260" s="206">
        <f>SUMIFS(LANÇ_MOV[VALOR LÍQUIDO],LANÇ_MOV[RECEITA OU DESPESA],"Despesa",LANÇ_MOV[CONTAS],$C1260,LANÇ_MOV[PLANO DE CONTAS],REL_DRE_FINANCEIRO!$B$1164,LANÇ_MOV[ANO PAGAMENTO],$B$4,LANÇ_MOV[MÊS PAGAMENTO CORRESPONDENTE],H$6,LANÇ_MOV[EMPRESA],$C$4,LANÇ_MOV[CENTRO DE CUSTOS],$D$4)</f>
        <v>0</v>
      </c>
      <c r="I1260" s="206">
        <f>SUMIFS(LANÇ_MOV[VALOR LÍQUIDO],LANÇ_MOV[RECEITA OU DESPESA],"Despesa",LANÇ_MOV[CONTAS],$C1260,LANÇ_MOV[PLANO DE CONTAS],REL_DRE_FINANCEIRO!$B$1164,LANÇ_MOV[ANO PAGAMENTO],$B$4,LANÇ_MOV[MÊS PAGAMENTO CORRESPONDENTE],I$6,LANÇ_MOV[EMPRESA],$C$4,LANÇ_MOV[CENTRO DE CUSTOS],$D$4)</f>
        <v>0</v>
      </c>
      <c r="J1260" s="206">
        <f>SUMIFS(LANÇ_MOV[VALOR LÍQUIDO],LANÇ_MOV[RECEITA OU DESPESA],"Despesa",LANÇ_MOV[CONTAS],$C1260,LANÇ_MOV[PLANO DE CONTAS],REL_DRE_FINANCEIRO!$B$1164,LANÇ_MOV[ANO PAGAMENTO],$B$4,LANÇ_MOV[MÊS PAGAMENTO CORRESPONDENTE],J$6,LANÇ_MOV[EMPRESA],$C$4,LANÇ_MOV[CENTRO DE CUSTOS],$D$4)</f>
        <v>0</v>
      </c>
      <c r="K1260" s="206">
        <f>SUMIFS(LANÇ_MOV[VALOR LÍQUIDO],LANÇ_MOV[RECEITA OU DESPESA],"Despesa",LANÇ_MOV[CONTAS],$C1260,LANÇ_MOV[PLANO DE CONTAS],REL_DRE_FINANCEIRO!$B$1164,LANÇ_MOV[ANO PAGAMENTO],$B$4,LANÇ_MOV[MÊS PAGAMENTO CORRESPONDENTE],K$6,LANÇ_MOV[EMPRESA],$C$4,LANÇ_MOV[CENTRO DE CUSTOS],$D$4)</f>
        <v>0</v>
      </c>
      <c r="L1260" s="206">
        <f>SUMIFS(LANÇ_MOV[VALOR LÍQUIDO],LANÇ_MOV[RECEITA OU DESPESA],"Despesa",LANÇ_MOV[CONTAS],$C1260,LANÇ_MOV[PLANO DE CONTAS],REL_DRE_FINANCEIRO!$B$1164,LANÇ_MOV[ANO PAGAMENTO],$B$4,LANÇ_MOV[MÊS PAGAMENTO CORRESPONDENTE],L$6,LANÇ_MOV[EMPRESA],$C$4,LANÇ_MOV[CENTRO DE CUSTOS],$D$4)</f>
        <v>0</v>
      </c>
      <c r="M1260" s="206">
        <f>SUMIFS(LANÇ_MOV[VALOR LÍQUIDO],LANÇ_MOV[RECEITA OU DESPESA],"Despesa",LANÇ_MOV[CONTAS],$C1260,LANÇ_MOV[PLANO DE CONTAS],REL_DRE_FINANCEIRO!$B$1164,LANÇ_MOV[ANO PAGAMENTO],$B$4,LANÇ_MOV[MÊS PAGAMENTO CORRESPONDENTE],M$6,LANÇ_MOV[EMPRESA],$C$4,LANÇ_MOV[CENTRO DE CUSTOS],$D$4)</f>
        <v>0</v>
      </c>
      <c r="N1260" s="206">
        <f>SUMIFS(LANÇ_MOV[VALOR LÍQUIDO],LANÇ_MOV[RECEITA OU DESPESA],"Despesa",LANÇ_MOV[CONTAS],$C1260,LANÇ_MOV[PLANO DE CONTAS],REL_DRE_FINANCEIRO!$B$1164,LANÇ_MOV[ANO PAGAMENTO],$B$4,LANÇ_MOV[MÊS PAGAMENTO CORRESPONDENTE],N$6,LANÇ_MOV[EMPRESA],$C$4,LANÇ_MOV[CENTRO DE CUSTOS],$D$4)</f>
        <v>0</v>
      </c>
      <c r="O1260" s="206">
        <f>SUMIFS(LANÇ_MOV[VALOR LÍQUIDO],LANÇ_MOV[RECEITA OU DESPESA],"Despesa",LANÇ_MOV[CONTAS],$C1260,LANÇ_MOV[PLANO DE CONTAS],REL_DRE_FINANCEIRO!$B$1164,LANÇ_MOV[ANO PAGAMENTO],$B$4,LANÇ_MOV[MÊS PAGAMENTO CORRESPONDENTE],O$6,LANÇ_MOV[EMPRESA],$C$4,LANÇ_MOV[CENTRO DE CUSTOS],$D$4)</f>
        <v>0</v>
      </c>
      <c r="P1260" s="207">
        <f t="shared" si="150"/>
        <v>0</v>
      </c>
      <c r="Q1260" s="329">
        <v>4.9999999999999998E-7</v>
      </c>
      <c r="R1260" s="346">
        <f t="shared" si="151"/>
        <v>4.9999999999999998E-7</v>
      </c>
      <c r="S1260" s="347" t="str">
        <f t="shared" si="152"/>
        <v>-</v>
      </c>
      <c r="T1260" s="347">
        <f t="shared" si="153"/>
        <v>0</v>
      </c>
      <c r="U1260" s="347">
        <f>HLOOKUP(Apoio!$P$12,$D$1163:$P$1264,X1260,FALSE)+Q1260</f>
        <v>4.9999999999999998E-7</v>
      </c>
      <c r="V1260" s="447" t="str">
        <f t="shared" si="154"/>
        <v>-</v>
      </c>
      <c r="W1260" s="448">
        <f>HLOOKUP(Apoio!$P$12,$D$1163:$P$1264,X1260,FALSE)</f>
        <v>0</v>
      </c>
      <c r="X1260" s="329">
        <v>98</v>
      </c>
    </row>
    <row r="1261" spans="2:24" ht="30.05" customHeight="1" x14ac:dyDescent="0.35">
      <c r="B1261" s="204" t="str">
        <f>'CAD_PL_REC-DESP'!AI101</f>
        <v>2.9.97</v>
      </c>
      <c r="C1261" s="205" t="str">
        <f>IF('CAD_PL_REC-DESP'!AJ101="","-",'CAD_PL_REC-DESP'!AJ101)</f>
        <v>-</v>
      </c>
      <c r="D1261" s="206">
        <f>SUMIFS(LANÇ_MOV[VALOR LÍQUIDO],LANÇ_MOV[RECEITA OU DESPESA],"Despesa",LANÇ_MOV[CONTAS],$C1261,LANÇ_MOV[PLANO DE CONTAS],REL_DRE_FINANCEIRO!$B$1164,LANÇ_MOV[ANO PAGAMENTO],$B$4,LANÇ_MOV[MÊS PAGAMENTO CORRESPONDENTE],D$6,LANÇ_MOV[EMPRESA],$C$4,LANÇ_MOV[CENTRO DE CUSTOS],$D$4)</f>
        <v>0</v>
      </c>
      <c r="E1261" s="206">
        <f>SUMIFS(LANÇ_MOV[VALOR LÍQUIDO],LANÇ_MOV[RECEITA OU DESPESA],"Despesa",LANÇ_MOV[CONTAS],$C1261,LANÇ_MOV[PLANO DE CONTAS],REL_DRE_FINANCEIRO!$B$1164,LANÇ_MOV[ANO PAGAMENTO],$B$4,LANÇ_MOV[MÊS PAGAMENTO CORRESPONDENTE],E$6,LANÇ_MOV[EMPRESA],$C$4,LANÇ_MOV[CENTRO DE CUSTOS],$D$4)</f>
        <v>0</v>
      </c>
      <c r="F1261" s="206">
        <f>SUMIFS(LANÇ_MOV[VALOR LÍQUIDO],LANÇ_MOV[RECEITA OU DESPESA],"Despesa",LANÇ_MOV[CONTAS],$C1261,LANÇ_MOV[PLANO DE CONTAS],REL_DRE_FINANCEIRO!$B$1164,LANÇ_MOV[ANO PAGAMENTO],$B$4,LANÇ_MOV[MÊS PAGAMENTO CORRESPONDENTE],F$6,LANÇ_MOV[EMPRESA],$C$4,LANÇ_MOV[CENTRO DE CUSTOS],$D$4)</f>
        <v>0</v>
      </c>
      <c r="G1261" s="206">
        <f>SUMIFS(LANÇ_MOV[VALOR LÍQUIDO],LANÇ_MOV[RECEITA OU DESPESA],"Despesa",LANÇ_MOV[CONTAS],$C1261,LANÇ_MOV[PLANO DE CONTAS],REL_DRE_FINANCEIRO!$B$1164,LANÇ_MOV[ANO PAGAMENTO],$B$4,LANÇ_MOV[MÊS PAGAMENTO CORRESPONDENTE],G$6,LANÇ_MOV[EMPRESA],$C$4,LANÇ_MOV[CENTRO DE CUSTOS],$D$4)</f>
        <v>0</v>
      </c>
      <c r="H1261" s="206">
        <f>SUMIFS(LANÇ_MOV[VALOR LÍQUIDO],LANÇ_MOV[RECEITA OU DESPESA],"Despesa",LANÇ_MOV[CONTAS],$C1261,LANÇ_MOV[PLANO DE CONTAS],REL_DRE_FINANCEIRO!$B$1164,LANÇ_MOV[ANO PAGAMENTO],$B$4,LANÇ_MOV[MÊS PAGAMENTO CORRESPONDENTE],H$6,LANÇ_MOV[EMPRESA],$C$4,LANÇ_MOV[CENTRO DE CUSTOS],$D$4)</f>
        <v>0</v>
      </c>
      <c r="I1261" s="206">
        <f>SUMIFS(LANÇ_MOV[VALOR LÍQUIDO],LANÇ_MOV[RECEITA OU DESPESA],"Despesa",LANÇ_MOV[CONTAS],$C1261,LANÇ_MOV[PLANO DE CONTAS],REL_DRE_FINANCEIRO!$B$1164,LANÇ_MOV[ANO PAGAMENTO],$B$4,LANÇ_MOV[MÊS PAGAMENTO CORRESPONDENTE],I$6,LANÇ_MOV[EMPRESA],$C$4,LANÇ_MOV[CENTRO DE CUSTOS],$D$4)</f>
        <v>0</v>
      </c>
      <c r="J1261" s="206">
        <f>SUMIFS(LANÇ_MOV[VALOR LÍQUIDO],LANÇ_MOV[RECEITA OU DESPESA],"Despesa",LANÇ_MOV[CONTAS],$C1261,LANÇ_MOV[PLANO DE CONTAS],REL_DRE_FINANCEIRO!$B$1164,LANÇ_MOV[ANO PAGAMENTO],$B$4,LANÇ_MOV[MÊS PAGAMENTO CORRESPONDENTE],J$6,LANÇ_MOV[EMPRESA],$C$4,LANÇ_MOV[CENTRO DE CUSTOS],$D$4)</f>
        <v>0</v>
      </c>
      <c r="K1261" s="206">
        <f>SUMIFS(LANÇ_MOV[VALOR LÍQUIDO],LANÇ_MOV[RECEITA OU DESPESA],"Despesa",LANÇ_MOV[CONTAS],$C1261,LANÇ_MOV[PLANO DE CONTAS],REL_DRE_FINANCEIRO!$B$1164,LANÇ_MOV[ANO PAGAMENTO],$B$4,LANÇ_MOV[MÊS PAGAMENTO CORRESPONDENTE],K$6,LANÇ_MOV[EMPRESA],$C$4,LANÇ_MOV[CENTRO DE CUSTOS],$D$4)</f>
        <v>0</v>
      </c>
      <c r="L1261" s="206">
        <f>SUMIFS(LANÇ_MOV[VALOR LÍQUIDO],LANÇ_MOV[RECEITA OU DESPESA],"Despesa",LANÇ_MOV[CONTAS],$C1261,LANÇ_MOV[PLANO DE CONTAS],REL_DRE_FINANCEIRO!$B$1164,LANÇ_MOV[ANO PAGAMENTO],$B$4,LANÇ_MOV[MÊS PAGAMENTO CORRESPONDENTE],L$6,LANÇ_MOV[EMPRESA],$C$4,LANÇ_MOV[CENTRO DE CUSTOS],$D$4)</f>
        <v>0</v>
      </c>
      <c r="M1261" s="206">
        <f>SUMIFS(LANÇ_MOV[VALOR LÍQUIDO],LANÇ_MOV[RECEITA OU DESPESA],"Despesa",LANÇ_MOV[CONTAS],$C1261,LANÇ_MOV[PLANO DE CONTAS],REL_DRE_FINANCEIRO!$B$1164,LANÇ_MOV[ANO PAGAMENTO],$B$4,LANÇ_MOV[MÊS PAGAMENTO CORRESPONDENTE],M$6,LANÇ_MOV[EMPRESA],$C$4,LANÇ_MOV[CENTRO DE CUSTOS],$D$4)</f>
        <v>0</v>
      </c>
      <c r="N1261" s="206">
        <f>SUMIFS(LANÇ_MOV[VALOR LÍQUIDO],LANÇ_MOV[RECEITA OU DESPESA],"Despesa",LANÇ_MOV[CONTAS],$C1261,LANÇ_MOV[PLANO DE CONTAS],REL_DRE_FINANCEIRO!$B$1164,LANÇ_MOV[ANO PAGAMENTO],$B$4,LANÇ_MOV[MÊS PAGAMENTO CORRESPONDENTE],N$6,LANÇ_MOV[EMPRESA],$C$4,LANÇ_MOV[CENTRO DE CUSTOS],$D$4)</f>
        <v>0</v>
      </c>
      <c r="O1261" s="206">
        <f>SUMIFS(LANÇ_MOV[VALOR LÍQUIDO],LANÇ_MOV[RECEITA OU DESPESA],"Despesa",LANÇ_MOV[CONTAS],$C1261,LANÇ_MOV[PLANO DE CONTAS],REL_DRE_FINANCEIRO!$B$1164,LANÇ_MOV[ANO PAGAMENTO],$B$4,LANÇ_MOV[MÊS PAGAMENTO CORRESPONDENTE],O$6,LANÇ_MOV[EMPRESA],$C$4,LANÇ_MOV[CENTRO DE CUSTOS],$D$4)</f>
        <v>0</v>
      </c>
      <c r="P1261" s="207">
        <f t="shared" si="150"/>
        <v>0</v>
      </c>
      <c r="Q1261" s="329">
        <v>3.9999999999999998E-7</v>
      </c>
      <c r="R1261" s="346">
        <f t="shared" si="151"/>
        <v>3.9999999999999998E-7</v>
      </c>
      <c r="S1261" s="347" t="str">
        <f t="shared" si="152"/>
        <v>-</v>
      </c>
      <c r="T1261" s="347">
        <f t="shared" si="153"/>
        <v>0</v>
      </c>
      <c r="U1261" s="347">
        <f>HLOOKUP(Apoio!$P$12,$D$1163:$P$1264,X1261,FALSE)+Q1261</f>
        <v>3.9999999999999998E-7</v>
      </c>
      <c r="V1261" s="447" t="str">
        <f t="shared" si="154"/>
        <v>-</v>
      </c>
      <c r="W1261" s="448">
        <f>HLOOKUP(Apoio!$P$12,$D$1163:$P$1264,X1261,FALSE)</f>
        <v>0</v>
      </c>
      <c r="X1261" s="329">
        <v>99</v>
      </c>
    </row>
    <row r="1262" spans="2:24" ht="30.05" customHeight="1" x14ac:dyDescent="0.35">
      <c r="B1262" s="204" t="str">
        <f>'CAD_PL_REC-DESP'!AI102</f>
        <v>2.9.98</v>
      </c>
      <c r="C1262" s="205" t="str">
        <f>IF('CAD_PL_REC-DESP'!AJ102="","-",'CAD_PL_REC-DESP'!AJ102)</f>
        <v>-</v>
      </c>
      <c r="D1262" s="206">
        <f>SUMIFS(LANÇ_MOV[VALOR LÍQUIDO],LANÇ_MOV[RECEITA OU DESPESA],"Despesa",LANÇ_MOV[CONTAS],$C1262,LANÇ_MOV[PLANO DE CONTAS],REL_DRE_FINANCEIRO!$B$1164,LANÇ_MOV[ANO PAGAMENTO],$B$4,LANÇ_MOV[MÊS PAGAMENTO CORRESPONDENTE],D$6,LANÇ_MOV[EMPRESA],$C$4,LANÇ_MOV[CENTRO DE CUSTOS],$D$4)</f>
        <v>0</v>
      </c>
      <c r="E1262" s="206">
        <f>SUMIFS(LANÇ_MOV[VALOR LÍQUIDO],LANÇ_MOV[RECEITA OU DESPESA],"Despesa",LANÇ_MOV[CONTAS],$C1262,LANÇ_MOV[PLANO DE CONTAS],REL_DRE_FINANCEIRO!$B$1164,LANÇ_MOV[ANO PAGAMENTO],$B$4,LANÇ_MOV[MÊS PAGAMENTO CORRESPONDENTE],E$6,LANÇ_MOV[EMPRESA],$C$4,LANÇ_MOV[CENTRO DE CUSTOS],$D$4)</f>
        <v>0</v>
      </c>
      <c r="F1262" s="206">
        <f>SUMIFS(LANÇ_MOV[VALOR LÍQUIDO],LANÇ_MOV[RECEITA OU DESPESA],"Despesa",LANÇ_MOV[CONTAS],$C1262,LANÇ_MOV[PLANO DE CONTAS],REL_DRE_FINANCEIRO!$B$1164,LANÇ_MOV[ANO PAGAMENTO],$B$4,LANÇ_MOV[MÊS PAGAMENTO CORRESPONDENTE],F$6,LANÇ_MOV[EMPRESA],$C$4,LANÇ_MOV[CENTRO DE CUSTOS],$D$4)</f>
        <v>0</v>
      </c>
      <c r="G1262" s="206">
        <f>SUMIFS(LANÇ_MOV[VALOR LÍQUIDO],LANÇ_MOV[RECEITA OU DESPESA],"Despesa",LANÇ_MOV[CONTAS],$C1262,LANÇ_MOV[PLANO DE CONTAS],REL_DRE_FINANCEIRO!$B$1164,LANÇ_MOV[ANO PAGAMENTO],$B$4,LANÇ_MOV[MÊS PAGAMENTO CORRESPONDENTE],G$6,LANÇ_MOV[EMPRESA],$C$4,LANÇ_MOV[CENTRO DE CUSTOS],$D$4)</f>
        <v>0</v>
      </c>
      <c r="H1262" s="206">
        <f>SUMIFS(LANÇ_MOV[VALOR LÍQUIDO],LANÇ_MOV[RECEITA OU DESPESA],"Despesa",LANÇ_MOV[CONTAS],$C1262,LANÇ_MOV[PLANO DE CONTAS],REL_DRE_FINANCEIRO!$B$1164,LANÇ_MOV[ANO PAGAMENTO],$B$4,LANÇ_MOV[MÊS PAGAMENTO CORRESPONDENTE],H$6,LANÇ_MOV[EMPRESA],$C$4,LANÇ_MOV[CENTRO DE CUSTOS],$D$4)</f>
        <v>0</v>
      </c>
      <c r="I1262" s="206">
        <f>SUMIFS(LANÇ_MOV[VALOR LÍQUIDO],LANÇ_MOV[RECEITA OU DESPESA],"Despesa",LANÇ_MOV[CONTAS],$C1262,LANÇ_MOV[PLANO DE CONTAS],REL_DRE_FINANCEIRO!$B$1164,LANÇ_MOV[ANO PAGAMENTO],$B$4,LANÇ_MOV[MÊS PAGAMENTO CORRESPONDENTE],I$6,LANÇ_MOV[EMPRESA],$C$4,LANÇ_MOV[CENTRO DE CUSTOS],$D$4)</f>
        <v>0</v>
      </c>
      <c r="J1262" s="206">
        <f>SUMIFS(LANÇ_MOV[VALOR LÍQUIDO],LANÇ_MOV[RECEITA OU DESPESA],"Despesa",LANÇ_MOV[CONTAS],$C1262,LANÇ_MOV[PLANO DE CONTAS],REL_DRE_FINANCEIRO!$B$1164,LANÇ_MOV[ANO PAGAMENTO],$B$4,LANÇ_MOV[MÊS PAGAMENTO CORRESPONDENTE],J$6,LANÇ_MOV[EMPRESA],$C$4,LANÇ_MOV[CENTRO DE CUSTOS],$D$4)</f>
        <v>0</v>
      </c>
      <c r="K1262" s="206">
        <f>SUMIFS(LANÇ_MOV[VALOR LÍQUIDO],LANÇ_MOV[RECEITA OU DESPESA],"Despesa",LANÇ_MOV[CONTAS],$C1262,LANÇ_MOV[PLANO DE CONTAS],REL_DRE_FINANCEIRO!$B$1164,LANÇ_MOV[ANO PAGAMENTO],$B$4,LANÇ_MOV[MÊS PAGAMENTO CORRESPONDENTE],K$6,LANÇ_MOV[EMPRESA],$C$4,LANÇ_MOV[CENTRO DE CUSTOS],$D$4)</f>
        <v>0</v>
      </c>
      <c r="L1262" s="206">
        <f>SUMIFS(LANÇ_MOV[VALOR LÍQUIDO],LANÇ_MOV[RECEITA OU DESPESA],"Despesa",LANÇ_MOV[CONTAS],$C1262,LANÇ_MOV[PLANO DE CONTAS],REL_DRE_FINANCEIRO!$B$1164,LANÇ_MOV[ANO PAGAMENTO],$B$4,LANÇ_MOV[MÊS PAGAMENTO CORRESPONDENTE],L$6,LANÇ_MOV[EMPRESA],$C$4,LANÇ_MOV[CENTRO DE CUSTOS],$D$4)</f>
        <v>0</v>
      </c>
      <c r="M1262" s="206">
        <f>SUMIFS(LANÇ_MOV[VALOR LÍQUIDO],LANÇ_MOV[RECEITA OU DESPESA],"Despesa",LANÇ_MOV[CONTAS],$C1262,LANÇ_MOV[PLANO DE CONTAS],REL_DRE_FINANCEIRO!$B$1164,LANÇ_MOV[ANO PAGAMENTO],$B$4,LANÇ_MOV[MÊS PAGAMENTO CORRESPONDENTE],M$6,LANÇ_MOV[EMPRESA],$C$4,LANÇ_MOV[CENTRO DE CUSTOS],$D$4)</f>
        <v>0</v>
      </c>
      <c r="N1262" s="206">
        <f>SUMIFS(LANÇ_MOV[VALOR LÍQUIDO],LANÇ_MOV[RECEITA OU DESPESA],"Despesa",LANÇ_MOV[CONTAS],$C1262,LANÇ_MOV[PLANO DE CONTAS],REL_DRE_FINANCEIRO!$B$1164,LANÇ_MOV[ANO PAGAMENTO],$B$4,LANÇ_MOV[MÊS PAGAMENTO CORRESPONDENTE],N$6,LANÇ_MOV[EMPRESA],$C$4,LANÇ_MOV[CENTRO DE CUSTOS],$D$4)</f>
        <v>0</v>
      </c>
      <c r="O1262" s="206">
        <f>SUMIFS(LANÇ_MOV[VALOR LÍQUIDO],LANÇ_MOV[RECEITA OU DESPESA],"Despesa",LANÇ_MOV[CONTAS],$C1262,LANÇ_MOV[PLANO DE CONTAS],REL_DRE_FINANCEIRO!$B$1164,LANÇ_MOV[ANO PAGAMENTO],$B$4,LANÇ_MOV[MÊS PAGAMENTO CORRESPONDENTE],O$6,LANÇ_MOV[EMPRESA],$C$4,LANÇ_MOV[CENTRO DE CUSTOS],$D$4)</f>
        <v>0</v>
      </c>
      <c r="P1262" s="207">
        <f t="shared" si="150"/>
        <v>0</v>
      </c>
      <c r="Q1262" s="329">
        <v>2.9999999999999999E-7</v>
      </c>
      <c r="R1262" s="346">
        <f t="shared" si="151"/>
        <v>2.9999999999999999E-7</v>
      </c>
      <c r="S1262" s="347" t="str">
        <f t="shared" si="152"/>
        <v>-</v>
      </c>
      <c r="T1262" s="347">
        <f t="shared" si="153"/>
        <v>0</v>
      </c>
      <c r="U1262" s="347">
        <f>HLOOKUP(Apoio!$P$12,$D$1163:$P$1264,X1262,FALSE)+Q1262</f>
        <v>2.9999999999999999E-7</v>
      </c>
      <c r="V1262" s="447" t="str">
        <f t="shared" si="154"/>
        <v>-</v>
      </c>
      <c r="W1262" s="448">
        <f>HLOOKUP(Apoio!$P$12,$D$1163:$P$1264,X1262,FALSE)</f>
        <v>0</v>
      </c>
      <c r="X1262" s="329">
        <v>100</v>
      </c>
    </row>
    <row r="1263" spans="2:24" ht="30.05" customHeight="1" x14ac:dyDescent="0.35">
      <c r="B1263" s="204" t="str">
        <f>'CAD_PL_REC-DESP'!AI103</f>
        <v>2.9.99</v>
      </c>
      <c r="C1263" s="205" t="str">
        <f>IF('CAD_PL_REC-DESP'!AJ103="","-",'CAD_PL_REC-DESP'!AJ103)</f>
        <v>-</v>
      </c>
      <c r="D1263" s="206">
        <f>SUMIFS(LANÇ_MOV[VALOR LÍQUIDO],LANÇ_MOV[RECEITA OU DESPESA],"Despesa",LANÇ_MOV[CONTAS],$C1263,LANÇ_MOV[PLANO DE CONTAS],REL_DRE_FINANCEIRO!$B$1164,LANÇ_MOV[ANO PAGAMENTO],$B$4,LANÇ_MOV[MÊS PAGAMENTO CORRESPONDENTE],D$6,LANÇ_MOV[EMPRESA],$C$4,LANÇ_MOV[CENTRO DE CUSTOS],$D$4)</f>
        <v>0</v>
      </c>
      <c r="E1263" s="206">
        <f>SUMIFS(LANÇ_MOV[VALOR LÍQUIDO],LANÇ_MOV[RECEITA OU DESPESA],"Despesa",LANÇ_MOV[CONTAS],$C1263,LANÇ_MOV[PLANO DE CONTAS],REL_DRE_FINANCEIRO!$B$1164,LANÇ_MOV[ANO PAGAMENTO],$B$4,LANÇ_MOV[MÊS PAGAMENTO CORRESPONDENTE],E$6,LANÇ_MOV[EMPRESA],$C$4,LANÇ_MOV[CENTRO DE CUSTOS],$D$4)</f>
        <v>0</v>
      </c>
      <c r="F1263" s="206">
        <f>SUMIFS(LANÇ_MOV[VALOR LÍQUIDO],LANÇ_MOV[RECEITA OU DESPESA],"Despesa",LANÇ_MOV[CONTAS],$C1263,LANÇ_MOV[PLANO DE CONTAS],REL_DRE_FINANCEIRO!$B$1164,LANÇ_MOV[ANO PAGAMENTO],$B$4,LANÇ_MOV[MÊS PAGAMENTO CORRESPONDENTE],F$6,LANÇ_MOV[EMPRESA],$C$4,LANÇ_MOV[CENTRO DE CUSTOS],$D$4)</f>
        <v>0</v>
      </c>
      <c r="G1263" s="206">
        <f>SUMIFS(LANÇ_MOV[VALOR LÍQUIDO],LANÇ_MOV[RECEITA OU DESPESA],"Despesa",LANÇ_MOV[CONTAS],$C1263,LANÇ_MOV[PLANO DE CONTAS],REL_DRE_FINANCEIRO!$B$1164,LANÇ_MOV[ANO PAGAMENTO],$B$4,LANÇ_MOV[MÊS PAGAMENTO CORRESPONDENTE],G$6,LANÇ_MOV[EMPRESA],$C$4,LANÇ_MOV[CENTRO DE CUSTOS],$D$4)</f>
        <v>0</v>
      </c>
      <c r="H1263" s="206">
        <f>SUMIFS(LANÇ_MOV[VALOR LÍQUIDO],LANÇ_MOV[RECEITA OU DESPESA],"Despesa",LANÇ_MOV[CONTAS],$C1263,LANÇ_MOV[PLANO DE CONTAS],REL_DRE_FINANCEIRO!$B$1164,LANÇ_MOV[ANO PAGAMENTO],$B$4,LANÇ_MOV[MÊS PAGAMENTO CORRESPONDENTE],H$6,LANÇ_MOV[EMPRESA],$C$4,LANÇ_MOV[CENTRO DE CUSTOS],$D$4)</f>
        <v>0</v>
      </c>
      <c r="I1263" s="206">
        <f>SUMIFS(LANÇ_MOV[VALOR LÍQUIDO],LANÇ_MOV[RECEITA OU DESPESA],"Despesa",LANÇ_MOV[CONTAS],$C1263,LANÇ_MOV[PLANO DE CONTAS],REL_DRE_FINANCEIRO!$B$1164,LANÇ_MOV[ANO PAGAMENTO],$B$4,LANÇ_MOV[MÊS PAGAMENTO CORRESPONDENTE],I$6,LANÇ_MOV[EMPRESA],$C$4,LANÇ_MOV[CENTRO DE CUSTOS],$D$4)</f>
        <v>0</v>
      </c>
      <c r="J1263" s="206">
        <f>SUMIFS(LANÇ_MOV[VALOR LÍQUIDO],LANÇ_MOV[RECEITA OU DESPESA],"Despesa",LANÇ_MOV[CONTAS],$C1263,LANÇ_MOV[PLANO DE CONTAS],REL_DRE_FINANCEIRO!$B$1164,LANÇ_MOV[ANO PAGAMENTO],$B$4,LANÇ_MOV[MÊS PAGAMENTO CORRESPONDENTE],J$6,LANÇ_MOV[EMPRESA],$C$4,LANÇ_MOV[CENTRO DE CUSTOS],$D$4)</f>
        <v>0</v>
      </c>
      <c r="K1263" s="206">
        <f>SUMIFS(LANÇ_MOV[VALOR LÍQUIDO],LANÇ_MOV[RECEITA OU DESPESA],"Despesa",LANÇ_MOV[CONTAS],$C1263,LANÇ_MOV[PLANO DE CONTAS],REL_DRE_FINANCEIRO!$B$1164,LANÇ_MOV[ANO PAGAMENTO],$B$4,LANÇ_MOV[MÊS PAGAMENTO CORRESPONDENTE],K$6,LANÇ_MOV[EMPRESA],$C$4,LANÇ_MOV[CENTRO DE CUSTOS],$D$4)</f>
        <v>0</v>
      </c>
      <c r="L1263" s="206">
        <f>SUMIFS(LANÇ_MOV[VALOR LÍQUIDO],LANÇ_MOV[RECEITA OU DESPESA],"Despesa",LANÇ_MOV[CONTAS],$C1263,LANÇ_MOV[PLANO DE CONTAS],REL_DRE_FINANCEIRO!$B$1164,LANÇ_MOV[ANO PAGAMENTO],$B$4,LANÇ_MOV[MÊS PAGAMENTO CORRESPONDENTE],L$6,LANÇ_MOV[EMPRESA],$C$4,LANÇ_MOV[CENTRO DE CUSTOS],$D$4)</f>
        <v>0</v>
      </c>
      <c r="M1263" s="206">
        <f>SUMIFS(LANÇ_MOV[VALOR LÍQUIDO],LANÇ_MOV[RECEITA OU DESPESA],"Despesa",LANÇ_MOV[CONTAS],$C1263,LANÇ_MOV[PLANO DE CONTAS],REL_DRE_FINANCEIRO!$B$1164,LANÇ_MOV[ANO PAGAMENTO],$B$4,LANÇ_MOV[MÊS PAGAMENTO CORRESPONDENTE],M$6,LANÇ_MOV[EMPRESA],$C$4,LANÇ_MOV[CENTRO DE CUSTOS],$D$4)</f>
        <v>0</v>
      </c>
      <c r="N1263" s="206">
        <f>SUMIFS(LANÇ_MOV[VALOR LÍQUIDO],LANÇ_MOV[RECEITA OU DESPESA],"Despesa",LANÇ_MOV[CONTAS],$C1263,LANÇ_MOV[PLANO DE CONTAS],REL_DRE_FINANCEIRO!$B$1164,LANÇ_MOV[ANO PAGAMENTO],$B$4,LANÇ_MOV[MÊS PAGAMENTO CORRESPONDENTE],N$6,LANÇ_MOV[EMPRESA],$C$4,LANÇ_MOV[CENTRO DE CUSTOS],$D$4)</f>
        <v>0</v>
      </c>
      <c r="O1263" s="206">
        <f>SUMIFS(LANÇ_MOV[VALOR LÍQUIDO],LANÇ_MOV[RECEITA OU DESPESA],"Despesa",LANÇ_MOV[CONTAS],$C1263,LANÇ_MOV[PLANO DE CONTAS],REL_DRE_FINANCEIRO!$B$1164,LANÇ_MOV[ANO PAGAMENTO],$B$4,LANÇ_MOV[MÊS PAGAMENTO CORRESPONDENTE],O$6,LANÇ_MOV[EMPRESA],$C$4,LANÇ_MOV[CENTRO DE CUSTOS],$D$4)</f>
        <v>0</v>
      </c>
      <c r="P1263" s="207">
        <f t="shared" si="150"/>
        <v>0</v>
      </c>
      <c r="Q1263" s="329">
        <v>1.9999999999999999E-7</v>
      </c>
      <c r="R1263" s="346">
        <f t="shared" si="151"/>
        <v>1.9999999999999999E-7</v>
      </c>
      <c r="S1263" s="347" t="str">
        <f t="shared" si="152"/>
        <v>-</v>
      </c>
      <c r="T1263" s="347">
        <f t="shared" si="153"/>
        <v>0</v>
      </c>
      <c r="U1263" s="347">
        <f>HLOOKUP(Apoio!$P$12,$D$1163:$P$1264,X1263,FALSE)+Q1263</f>
        <v>1.9999999999999999E-7</v>
      </c>
      <c r="V1263" s="447" t="str">
        <f t="shared" si="154"/>
        <v>-</v>
      </c>
      <c r="W1263" s="448">
        <f>HLOOKUP(Apoio!$P$12,$D$1163:$P$1264,X1263,FALSE)</f>
        <v>0</v>
      </c>
      <c r="X1263" s="329">
        <v>101</v>
      </c>
    </row>
    <row r="1264" spans="2:24" ht="30.05" customHeight="1" x14ac:dyDescent="0.35">
      <c r="B1264" s="204" t="str">
        <f>'CAD_PL_REC-DESP'!AI104</f>
        <v>2.9.100</v>
      </c>
      <c r="C1264" s="205" t="str">
        <f>IF('CAD_PL_REC-DESP'!AJ104="","-",'CAD_PL_REC-DESP'!AJ104)</f>
        <v>-</v>
      </c>
      <c r="D1264" s="206">
        <f>SUMIFS(LANÇ_MOV[VALOR LÍQUIDO],LANÇ_MOV[RECEITA OU DESPESA],"Despesa",LANÇ_MOV[CONTAS],$C1264,LANÇ_MOV[PLANO DE CONTAS],REL_DRE_FINANCEIRO!$B$1164,LANÇ_MOV[ANO PAGAMENTO],$B$4,LANÇ_MOV[MÊS PAGAMENTO CORRESPONDENTE],D$6,LANÇ_MOV[EMPRESA],$C$4,LANÇ_MOV[CENTRO DE CUSTOS],$D$4)</f>
        <v>0</v>
      </c>
      <c r="E1264" s="206">
        <f>SUMIFS(LANÇ_MOV[VALOR LÍQUIDO],LANÇ_MOV[RECEITA OU DESPESA],"Despesa",LANÇ_MOV[CONTAS],$C1264,LANÇ_MOV[PLANO DE CONTAS],REL_DRE_FINANCEIRO!$B$1164,LANÇ_MOV[ANO PAGAMENTO],$B$4,LANÇ_MOV[MÊS PAGAMENTO CORRESPONDENTE],E$6,LANÇ_MOV[EMPRESA],$C$4,LANÇ_MOV[CENTRO DE CUSTOS],$D$4)</f>
        <v>0</v>
      </c>
      <c r="F1264" s="206">
        <f>SUMIFS(LANÇ_MOV[VALOR LÍQUIDO],LANÇ_MOV[RECEITA OU DESPESA],"Despesa",LANÇ_MOV[CONTAS],$C1264,LANÇ_MOV[PLANO DE CONTAS],REL_DRE_FINANCEIRO!$B$1164,LANÇ_MOV[ANO PAGAMENTO],$B$4,LANÇ_MOV[MÊS PAGAMENTO CORRESPONDENTE],F$6,LANÇ_MOV[EMPRESA],$C$4,LANÇ_MOV[CENTRO DE CUSTOS],$D$4)</f>
        <v>0</v>
      </c>
      <c r="G1264" s="206">
        <f>SUMIFS(LANÇ_MOV[VALOR LÍQUIDO],LANÇ_MOV[RECEITA OU DESPESA],"Despesa",LANÇ_MOV[CONTAS],$C1264,LANÇ_MOV[PLANO DE CONTAS],REL_DRE_FINANCEIRO!$B$1164,LANÇ_MOV[ANO PAGAMENTO],$B$4,LANÇ_MOV[MÊS PAGAMENTO CORRESPONDENTE],G$6,LANÇ_MOV[EMPRESA],$C$4,LANÇ_MOV[CENTRO DE CUSTOS],$D$4)</f>
        <v>0</v>
      </c>
      <c r="H1264" s="206">
        <f>SUMIFS(LANÇ_MOV[VALOR LÍQUIDO],LANÇ_MOV[RECEITA OU DESPESA],"Despesa",LANÇ_MOV[CONTAS],$C1264,LANÇ_MOV[PLANO DE CONTAS],REL_DRE_FINANCEIRO!$B$1164,LANÇ_MOV[ANO PAGAMENTO],$B$4,LANÇ_MOV[MÊS PAGAMENTO CORRESPONDENTE],H$6,LANÇ_MOV[EMPRESA],$C$4,LANÇ_MOV[CENTRO DE CUSTOS],$D$4)</f>
        <v>0</v>
      </c>
      <c r="I1264" s="206">
        <f>SUMIFS(LANÇ_MOV[VALOR LÍQUIDO],LANÇ_MOV[RECEITA OU DESPESA],"Despesa",LANÇ_MOV[CONTAS],$C1264,LANÇ_MOV[PLANO DE CONTAS],REL_DRE_FINANCEIRO!$B$1164,LANÇ_MOV[ANO PAGAMENTO],$B$4,LANÇ_MOV[MÊS PAGAMENTO CORRESPONDENTE],I$6,LANÇ_MOV[EMPRESA],$C$4,LANÇ_MOV[CENTRO DE CUSTOS],$D$4)</f>
        <v>0</v>
      </c>
      <c r="J1264" s="206">
        <f>SUMIFS(LANÇ_MOV[VALOR LÍQUIDO],LANÇ_MOV[RECEITA OU DESPESA],"Despesa",LANÇ_MOV[CONTAS],$C1264,LANÇ_MOV[PLANO DE CONTAS],REL_DRE_FINANCEIRO!$B$1164,LANÇ_MOV[ANO PAGAMENTO],$B$4,LANÇ_MOV[MÊS PAGAMENTO CORRESPONDENTE],J$6,LANÇ_MOV[EMPRESA],$C$4,LANÇ_MOV[CENTRO DE CUSTOS],$D$4)</f>
        <v>0</v>
      </c>
      <c r="K1264" s="206">
        <f>SUMIFS(LANÇ_MOV[VALOR LÍQUIDO],LANÇ_MOV[RECEITA OU DESPESA],"Despesa",LANÇ_MOV[CONTAS],$C1264,LANÇ_MOV[PLANO DE CONTAS],REL_DRE_FINANCEIRO!$B$1164,LANÇ_MOV[ANO PAGAMENTO],$B$4,LANÇ_MOV[MÊS PAGAMENTO CORRESPONDENTE],K$6,LANÇ_MOV[EMPRESA],$C$4,LANÇ_MOV[CENTRO DE CUSTOS],$D$4)</f>
        <v>0</v>
      </c>
      <c r="L1264" s="206">
        <f>SUMIFS(LANÇ_MOV[VALOR LÍQUIDO],LANÇ_MOV[RECEITA OU DESPESA],"Despesa",LANÇ_MOV[CONTAS],$C1264,LANÇ_MOV[PLANO DE CONTAS],REL_DRE_FINANCEIRO!$B$1164,LANÇ_MOV[ANO PAGAMENTO],$B$4,LANÇ_MOV[MÊS PAGAMENTO CORRESPONDENTE],L$6,LANÇ_MOV[EMPRESA],$C$4,LANÇ_MOV[CENTRO DE CUSTOS],$D$4)</f>
        <v>0</v>
      </c>
      <c r="M1264" s="206">
        <f>SUMIFS(LANÇ_MOV[VALOR LÍQUIDO],LANÇ_MOV[RECEITA OU DESPESA],"Despesa",LANÇ_MOV[CONTAS],$C1264,LANÇ_MOV[PLANO DE CONTAS],REL_DRE_FINANCEIRO!$B$1164,LANÇ_MOV[ANO PAGAMENTO],$B$4,LANÇ_MOV[MÊS PAGAMENTO CORRESPONDENTE],M$6,LANÇ_MOV[EMPRESA],$C$4,LANÇ_MOV[CENTRO DE CUSTOS],$D$4)</f>
        <v>0</v>
      </c>
      <c r="N1264" s="206">
        <f>SUMIFS(LANÇ_MOV[VALOR LÍQUIDO],LANÇ_MOV[RECEITA OU DESPESA],"Despesa",LANÇ_MOV[CONTAS],$C1264,LANÇ_MOV[PLANO DE CONTAS],REL_DRE_FINANCEIRO!$B$1164,LANÇ_MOV[ANO PAGAMENTO],$B$4,LANÇ_MOV[MÊS PAGAMENTO CORRESPONDENTE],N$6,LANÇ_MOV[EMPRESA],$C$4,LANÇ_MOV[CENTRO DE CUSTOS],$D$4)</f>
        <v>0</v>
      </c>
      <c r="O1264" s="206">
        <f>SUMIFS(LANÇ_MOV[VALOR LÍQUIDO],LANÇ_MOV[RECEITA OU DESPESA],"Despesa",LANÇ_MOV[CONTAS],$C1264,LANÇ_MOV[PLANO DE CONTAS],REL_DRE_FINANCEIRO!$B$1164,LANÇ_MOV[ANO PAGAMENTO],$B$4,LANÇ_MOV[MÊS PAGAMENTO CORRESPONDENTE],O$6,LANÇ_MOV[EMPRESA],$C$4,LANÇ_MOV[CENTRO DE CUSTOS],$D$4)</f>
        <v>0</v>
      </c>
      <c r="P1264" s="207">
        <f t="shared" si="150"/>
        <v>0</v>
      </c>
      <c r="Q1264" s="329">
        <v>9.9999999999999995E-8</v>
      </c>
      <c r="R1264" s="346">
        <f t="shared" si="151"/>
        <v>9.9999999999999995E-8</v>
      </c>
      <c r="S1264" s="347" t="str">
        <f t="shared" si="152"/>
        <v>-</v>
      </c>
      <c r="T1264" s="347">
        <f t="shared" si="153"/>
        <v>0</v>
      </c>
      <c r="U1264" s="347">
        <f>HLOOKUP(Apoio!$P$12,$D$1163:$P$1264,X1264,FALSE)+Q1264</f>
        <v>9.9999999999999995E-8</v>
      </c>
      <c r="V1264" s="447" t="str">
        <f t="shared" si="154"/>
        <v>-</v>
      </c>
      <c r="W1264" s="448">
        <f>HLOOKUP(Apoio!$P$12,$D$1163:$P$1264,X1264,FALSE)</f>
        <v>0</v>
      </c>
      <c r="X1264" s="329">
        <v>102</v>
      </c>
    </row>
  </sheetData>
  <sheetProtection sort="0" autoFilter="0" pivotTables="0"/>
  <autoFilter ref="B6:P6" xr:uid="{00000000-0009-0000-0000-00001A000000}">
    <filterColumn colId="0" showButton="0"/>
  </autoFilter>
  <mergeCells count="38">
    <mergeCell ref="B17:C17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B19:C19"/>
    <mergeCell ref="B20:C20"/>
    <mergeCell ref="B21:C21"/>
    <mergeCell ref="B28:C28"/>
    <mergeCell ref="B23:C23"/>
    <mergeCell ref="B24:C24"/>
    <mergeCell ref="B25:C25"/>
    <mergeCell ref="B753:C753"/>
    <mergeCell ref="S30:T30"/>
    <mergeCell ref="B133:C133"/>
    <mergeCell ref="B135:C135"/>
    <mergeCell ref="B237:C237"/>
    <mergeCell ref="B239:C239"/>
    <mergeCell ref="B241:C241"/>
    <mergeCell ref="B30:C30"/>
    <mergeCell ref="B343:C343"/>
    <mergeCell ref="B445:C445"/>
    <mergeCell ref="B547:C547"/>
    <mergeCell ref="B549:C549"/>
    <mergeCell ref="B651:C651"/>
    <mergeCell ref="B855:C855"/>
    <mergeCell ref="B957:C957"/>
    <mergeCell ref="B1059:C1059"/>
    <mergeCell ref="B1062:C1062"/>
    <mergeCell ref="B1164:C1164"/>
  </mergeCells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969" r:id="rId4" name="Drop Down 1">
              <controlPr defaultSize="0" autoLine="0" autoPict="0">
                <anchor moveWithCells="1">
                  <from>
                    <xdr:col>0</xdr:col>
                    <xdr:colOff>39471</xdr:colOff>
                    <xdr:row>2</xdr:row>
                    <xdr:rowOff>39471</xdr:rowOff>
                  </from>
                  <to>
                    <xdr:col>2</xdr:col>
                    <xdr:colOff>348656</xdr:colOff>
                    <xdr:row>3</xdr:row>
                    <xdr:rowOff>223666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70" r:id="rId5" name="Drop Down 2">
              <controlPr defaultSize="0" autoLine="0" autoPict="0">
                <anchor moveWithCells="1">
                  <from>
                    <xdr:col>3</xdr:col>
                    <xdr:colOff>868351</xdr:colOff>
                    <xdr:row>2</xdr:row>
                    <xdr:rowOff>39471</xdr:rowOff>
                  </from>
                  <to>
                    <xdr:col>5</xdr:col>
                    <xdr:colOff>499960</xdr:colOff>
                    <xdr:row>3</xdr:row>
                    <xdr:rowOff>223666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71" r:id="rId6" name="Drop Down 3">
              <controlPr defaultSize="0" autoLine="0" autoPict="0">
                <anchor moveWithCells="1">
                  <from>
                    <xdr:col>2</xdr:col>
                    <xdr:colOff>355235</xdr:colOff>
                    <xdr:row>2</xdr:row>
                    <xdr:rowOff>39471</xdr:rowOff>
                  </from>
                  <to>
                    <xdr:col>3</xdr:col>
                    <xdr:colOff>868351</xdr:colOff>
                    <xdr:row>3</xdr:row>
                    <xdr:rowOff>223666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22">
    <tabColor rgb="FF001C54"/>
  </sheetPr>
  <dimension ref="A1:O26"/>
  <sheetViews>
    <sheetView showGridLines="0" zoomScaleNormal="100" workbookViewId="0">
      <pane xSplit="2" ySplit="6" topLeftCell="C7" activePane="bottomRight" state="frozen"/>
      <selection activeCell="E8" sqref="E8"/>
      <selection pane="topRight" activeCell="E8" sqref="E8"/>
      <selection pane="bottomLeft" activeCell="E8" sqref="E8"/>
      <selection pane="bottomRight" activeCell="R9" sqref="R9"/>
    </sheetView>
  </sheetViews>
  <sheetFormatPr defaultColWidth="9.1796875" defaultRowHeight="30.05" customHeight="1" x14ac:dyDescent="0.35"/>
  <cols>
    <col min="1" max="1" width="0.7265625" style="9" customWidth="1"/>
    <col min="2" max="2" width="15" style="10" customWidth="1"/>
    <col min="3" max="13" width="13.1796875" style="41" customWidth="1"/>
    <col min="14" max="14" width="14.1796875" style="41" customWidth="1"/>
    <col min="15" max="15" width="12.81640625" style="15" customWidth="1"/>
    <col min="16" max="16384" width="9.1796875" style="9"/>
  </cols>
  <sheetData>
    <row r="1" spans="1:15" s="13" customFormat="1" ht="25" customHeight="1" x14ac:dyDescent="0.35">
      <c r="B1" s="31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14"/>
    </row>
    <row r="2" spans="1:15" s="16" customFormat="1" ht="20.100000000000001" customHeight="1" x14ac:dyDescent="0.35">
      <c r="B2" s="33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17"/>
    </row>
    <row r="3" spans="1:15" s="8" customFormat="1" ht="3.75" customHeight="1" x14ac:dyDescent="0.35">
      <c r="A3" s="7"/>
      <c r="B3" s="26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12"/>
    </row>
    <row r="4" spans="1:15" ht="19.55" customHeight="1" x14ac:dyDescent="0.35">
      <c r="B4" s="125" t="str">
        <f>IF(VLOOKUP(Apoio!$O$13,ANO[],2,0)="TOTAL ANO","*",VLOOKUP(Apoio!$O$13,ANO[],2,0))</f>
        <v>*</v>
      </c>
      <c r="C4" s="306" t="str">
        <f>IF(VLOOKUP(Apoio!$O$7,EMPRESA[],2,0)="TOTAL EMPRESA","*",VLOOKUP(Apoio!$O$7,EMPRESA[],2,0))</f>
        <v>CENTRO CULTURAL FRANCO-BRASILEIRO ALIANCA FRANCESA DE GOIAS</v>
      </c>
      <c r="D4" s="111" t="str">
        <f>IF(VLOOKUP(Apoio!$O$8,CENTROS_CUSTOS[],2,0)="TOTAL CENTRO DE CUSTOS","*",VLOOKUP(Apoio!$O$8,CENTROS_CUSTOS[],2,0))</f>
        <v>*</v>
      </c>
      <c r="E4" s="283"/>
      <c r="F4" s="283"/>
    </row>
    <row r="5" spans="1:15" s="8" customFormat="1" ht="3.75" customHeight="1" thickBot="1" x14ac:dyDescent="0.4">
      <c r="A5" s="7"/>
      <c r="B5" s="26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12"/>
    </row>
    <row r="6" spans="1:15" ht="24.75" customHeight="1" thickTop="1" x14ac:dyDescent="0.35">
      <c r="B6" s="268" t="s">
        <v>1181</v>
      </c>
      <c r="C6" s="40" t="s">
        <v>1084</v>
      </c>
      <c r="D6" s="40" t="s">
        <v>1085</v>
      </c>
      <c r="E6" s="40" t="s">
        <v>1086</v>
      </c>
      <c r="F6" s="40" t="s">
        <v>1087</v>
      </c>
      <c r="G6" s="40" t="s">
        <v>1088</v>
      </c>
      <c r="H6" s="40" t="s">
        <v>1089</v>
      </c>
      <c r="I6" s="40" t="s">
        <v>1090</v>
      </c>
      <c r="J6" s="40" t="s">
        <v>1091</v>
      </c>
      <c r="K6" s="40" t="s">
        <v>1092</v>
      </c>
      <c r="L6" s="40" t="s">
        <v>1093</v>
      </c>
      <c r="M6" s="40" t="s">
        <v>1094</v>
      </c>
      <c r="N6" s="40" t="s">
        <v>1095</v>
      </c>
      <c r="O6" s="40" t="s">
        <v>1043</v>
      </c>
    </row>
    <row r="7" spans="1:15" s="41" customFormat="1" ht="24.6" customHeight="1" x14ac:dyDescent="0.35">
      <c r="B7" s="358" t="str">
        <f>IF('CAD_BANCOS'!F5="","-",'CAD_BANCOS'!F5)</f>
        <v>PAGBANK</v>
      </c>
      <c r="C7" s="118">
        <f>IFERROR(SUMIFS(CAD_Bancos[R$ SALDO INICIAL],CAD_Bancos[ANO],$B$4,CAD_Bancos[MÊS],C$6,CAD_Bancos[[BANCO ]],Rel_BC[[#This Row],[BANCOS]])+SUMIFS(LANÇ_MOV[VALOR LÍQUIDO],LANÇ_MOV[RECEITA OU DESPESA],"Receita",LANÇ_MOV[BANCO],$B7,LANÇ_MOV[MÊS PAGAMENTO CORRESPONDENTE],C$6,LANÇ_MOV[ANO PAGAMENTO],$B$4,LANÇ_MOV[CENTRO DE CUSTOS],$D$4)-SUMIFS(LANÇ_MOV[VALOR LÍQUIDO],LANÇ_MOV[RECEITA OU DESPESA],"Despesa",LANÇ_MOV[BANCO],$B7,LANÇ_MOV[MÊS PAGAMENTO CORRESPONDENTE],C$6,LANÇ_MOV[ANO PAGAMENTO],$B$4,LANÇ_MOV[EMPRESA],$C$4,LANÇ_MOV[CENTRO DE CUSTOS],$D$4),"")</f>
        <v>0</v>
      </c>
      <c r="D7" s="118">
        <f>IFERROR(SUMIFS(CAD_Bancos[R$ SALDO INICIAL],CAD_Bancos[ANO],$B$4,CAD_Bancos[MÊS],D$6,CAD_Bancos[[BANCO ]],Rel_BC[[#This Row],[BANCOS]])+SUMIFS(LANÇ_MOV[VALOR LÍQUIDO],LANÇ_MOV[RECEITA OU DESPESA],"Receita",LANÇ_MOV[BANCO],$B7,LANÇ_MOV[MÊS PAGAMENTO CORRESPONDENTE],D$6,LANÇ_MOV[ANO PAGAMENTO],$B$4,LANÇ_MOV[CENTRO DE CUSTOS],$D$4)-SUMIFS(LANÇ_MOV[VALOR LÍQUIDO],LANÇ_MOV[RECEITA OU DESPESA],"Despesa",LANÇ_MOV[BANCO],$B7,LANÇ_MOV[MÊS PAGAMENTO CORRESPONDENTE],D$6,LANÇ_MOV[ANO PAGAMENTO],$B$4,LANÇ_MOV[EMPRESA],$C$4,LANÇ_MOV[CENTRO DE CUSTOS],$D$4),"")</f>
        <v>0</v>
      </c>
      <c r="E7" s="118">
        <f>IFERROR(SUMIFS(CAD_Bancos[R$ SALDO INICIAL],CAD_Bancos[ANO],$B$4,CAD_Bancos[MÊS],E$6,CAD_Bancos[[BANCO ]],Rel_BC[[#This Row],[BANCOS]])+SUMIFS(LANÇ_MOV[VALOR LÍQUIDO],LANÇ_MOV[RECEITA OU DESPESA],"Receita",LANÇ_MOV[BANCO],$B7,LANÇ_MOV[MÊS PAGAMENTO CORRESPONDENTE],E$6,LANÇ_MOV[ANO PAGAMENTO],$B$4,LANÇ_MOV[CENTRO DE CUSTOS],$D$4)-SUMIFS(LANÇ_MOV[VALOR LÍQUIDO],LANÇ_MOV[RECEITA OU DESPESA],"Despesa",LANÇ_MOV[BANCO],$B7,LANÇ_MOV[MÊS PAGAMENTO CORRESPONDENTE],E$6,LANÇ_MOV[ANO PAGAMENTO],$B$4,LANÇ_MOV[EMPRESA],$C$4,LANÇ_MOV[CENTRO DE CUSTOS],$D$4),"")</f>
        <v>0</v>
      </c>
      <c r="F7" s="118">
        <f>IFERROR(SUMIFS(CAD_Bancos[R$ SALDO INICIAL],CAD_Bancos[ANO],$B$4,CAD_Bancos[MÊS],F$6,CAD_Bancos[[BANCO ]],Rel_BC[[#This Row],[BANCOS]])+SUMIFS(LANÇ_MOV[VALOR LÍQUIDO],LANÇ_MOV[RECEITA OU DESPESA],"Receita",LANÇ_MOV[BANCO],$B7,LANÇ_MOV[MÊS PAGAMENTO CORRESPONDENTE],F$6,LANÇ_MOV[ANO PAGAMENTO],$B$4,LANÇ_MOV[CENTRO DE CUSTOS],$D$4)-SUMIFS(LANÇ_MOV[VALOR LÍQUIDO],LANÇ_MOV[RECEITA OU DESPESA],"Despesa",LANÇ_MOV[BANCO],$B7,LANÇ_MOV[MÊS PAGAMENTO CORRESPONDENTE],F$6,LANÇ_MOV[ANO PAGAMENTO],$B$4,LANÇ_MOV[EMPRESA],$C$4,LANÇ_MOV[CENTRO DE CUSTOS],$D$4),"")</f>
        <v>0</v>
      </c>
      <c r="G7" s="118">
        <f>IFERROR(SUMIFS(CAD_Bancos[R$ SALDO INICIAL],CAD_Bancos[ANO],$B$4,CAD_Bancos[MÊS],G$6,CAD_Bancos[[BANCO ]],Rel_BC[[#This Row],[BANCOS]])+SUMIFS(LANÇ_MOV[VALOR LÍQUIDO],LANÇ_MOV[RECEITA OU DESPESA],"Receita",LANÇ_MOV[BANCO],$B7,LANÇ_MOV[MÊS PAGAMENTO CORRESPONDENTE],G$6,LANÇ_MOV[ANO PAGAMENTO],$B$4,LANÇ_MOV[CENTRO DE CUSTOS],$D$4)-SUMIFS(LANÇ_MOV[VALOR LÍQUIDO],LANÇ_MOV[RECEITA OU DESPESA],"Despesa",LANÇ_MOV[BANCO],$B7,LANÇ_MOV[MÊS PAGAMENTO CORRESPONDENTE],G$6,LANÇ_MOV[ANO PAGAMENTO],$B$4,LANÇ_MOV[EMPRESA],$C$4,LANÇ_MOV[CENTRO DE CUSTOS],$D$4),"")</f>
        <v>0</v>
      </c>
      <c r="H7" s="118">
        <f>IFERROR(SUMIFS(CAD_Bancos[R$ SALDO INICIAL],CAD_Bancos[ANO],$B$4,CAD_Bancos[MÊS],H$6,CAD_Bancos[[BANCO ]],Rel_BC[[#This Row],[BANCOS]])+SUMIFS(LANÇ_MOV[VALOR LÍQUIDO],LANÇ_MOV[RECEITA OU DESPESA],"Receita",LANÇ_MOV[BANCO],$B7,LANÇ_MOV[MÊS PAGAMENTO CORRESPONDENTE],H$6,LANÇ_MOV[ANO PAGAMENTO],$B$4,LANÇ_MOV[CENTRO DE CUSTOS],$D$4)-SUMIFS(LANÇ_MOV[VALOR LÍQUIDO],LANÇ_MOV[RECEITA OU DESPESA],"Despesa",LANÇ_MOV[BANCO],$B7,LANÇ_MOV[MÊS PAGAMENTO CORRESPONDENTE],H$6,LANÇ_MOV[ANO PAGAMENTO],$B$4,LANÇ_MOV[EMPRESA],$C$4,LANÇ_MOV[CENTRO DE CUSTOS],$D$4),"")</f>
        <v>0</v>
      </c>
      <c r="I7" s="118">
        <f>IFERROR(SUMIFS(CAD_Bancos[R$ SALDO INICIAL],CAD_Bancos[ANO],$B$4,CAD_Bancos[MÊS],I$6,CAD_Bancos[[BANCO ]],Rel_BC[[#This Row],[BANCOS]])+SUMIFS(LANÇ_MOV[VALOR LÍQUIDO],LANÇ_MOV[RECEITA OU DESPESA],"Receita",LANÇ_MOV[BANCO],$B7,LANÇ_MOV[MÊS PAGAMENTO CORRESPONDENTE],I$6,LANÇ_MOV[ANO PAGAMENTO],$B$4,LANÇ_MOV[CENTRO DE CUSTOS],$D$4)-SUMIFS(LANÇ_MOV[VALOR LÍQUIDO],LANÇ_MOV[RECEITA OU DESPESA],"Despesa",LANÇ_MOV[BANCO],$B7,LANÇ_MOV[MÊS PAGAMENTO CORRESPONDENTE],I$6,LANÇ_MOV[ANO PAGAMENTO],$B$4,LANÇ_MOV[EMPRESA],$C$4,LANÇ_MOV[CENTRO DE CUSTOS],$D$4),"")</f>
        <v>0</v>
      </c>
      <c r="J7" s="118">
        <f>IFERROR(SUMIFS(CAD_Bancos[R$ SALDO INICIAL],CAD_Bancos[ANO],$B$4,CAD_Bancos[MÊS],J$6,CAD_Bancos[[BANCO ]],Rel_BC[[#This Row],[BANCOS]])+SUMIFS(LANÇ_MOV[VALOR LÍQUIDO],LANÇ_MOV[RECEITA OU DESPESA],"Receita",LANÇ_MOV[BANCO],$B7,LANÇ_MOV[MÊS PAGAMENTO CORRESPONDENTE],J$6,LANÇ_MOV[ANO PAGAMENTO],$B$4,LANÇ_MOV[CENTRO DE CUSTOS],$D$4)-SUMIFS(LANÇ_MOV[VALOR LÍQUIDO],LANÇ_MOV[RECEITA OU DESPESA],"Despesa",LANÇ_MOV[BANCO],$B7,LANÇ_MOV[MÊS PAGAMENTO CORRESPONDENTE],J$6,LANÇ_MOV[ANO PAGAMENTO],$B$4,LANÇ_MOV[EMPRESA],$C$4,LANÇ_MOV[CENTRO DE CUSTOS],$D$4),"")</f>
        <v>0</v>
      </c>
      <c r="K7" s="118">
        <f>IFERROR(SUMIFS(CAD_Bancos[R$ SALDO INICIAL],CAD_Bancos[ANO],$B$4,CAD_Bancos[MÊS],K$6,CAD_Bancos[[BANCO ]],Rel_BC[[#This Row],[BANCOS]])+SUMIFS(LANÇ_MOV[VALOR LÍQUIDO],LANÇ_MOV[RECEITA OU DESPESA],"Receita",LANÇ_MOV[BANCO],$B7,LANÇ_MOV[MÊS PAGAMENTO CORRESPONDENTE],K$6,LANÇ_MOV[ANO PAGAMENTO],$B$4,LANÇ_MOV[CENTRO DE CUSTOS],$D$4)-SUMIFS(LANÇ_MOV[VALOR LÍQUIDO],LANÇ_MOV[RECEITA OU DESPESA],"Despesa",LANÇ_MOV[BANCO],$B7,LANÇ_MOV[MÊS PAGAMENTO CORRESPONDENTE],K$6,LANÇ_MOV[ANO PAGAMENTO],$B$4,LANÇ_MOV[EMPRESA],$C$4,LANÇ_MOV[CENTRO DE CUSTOS],$D$4),"")</f>
        <v>0</v>
      </c>
      <c r="L7" s="118">
        <f>IFERROR(SUMIFS(CAD_Bancos[R$ SALDO INICIAL],CAD_Bancos[ANO],$B$4,CAD_Bancos[MÊS],L$6,CAD_Bancos[[BANCO ]],Rel_BC[[#This Row],[BANCOS]])+SUMIFS(LANÇ_MOV[VALOR LÍQUIDO],LANÇ_MOV[RECEITA OU DESPESA],"Receita",LANÇ_MOV[BANCO],$B7,LANÇ_MOV[MÊS PAGAMENTO CORRESPONDENTE],L$6,LANÇ_MOV[ANO PAGAMENTO],$B$4,LANÇ_MOV[CENTRO DE CUSTOS],$D$4)-SUMIFS(LANÇ_MOV[VALOR LÍQUIDO],LANÇ_MOV[RECEITA OU DESPESA],"Despesa",LANÇ_MOV[BANCO],$B7,LANÇ_MOV[MÊS PAGAMENTO CORRESPONDENTE],L$6,LANÇ_MOV[ANO PAGAMENTO],$B$4,LANÇ_MOV[EMPRESA],$C$4,LANÇ_MOV[CENTRO DE CUSTOS],$D$4),"")</f>
        <v>1665.3199999999997</v>
      </c>
      <c r="M7" s="118">
        <f>IFERROR(SUMIFS(CAD_Bancos[R$ SALDO INICIAL],CAD_Bancos[ANO],$B$4,CAD_Bancos[MÊS],M$6,CAD_Bancos[[BANCO ]],Rel_BC[[#This Row],[BANCOS]])+SUMIFS(LANÇ_MOV[VALOR LÍQUIDO],LANÇ_MOV[RECEITA OU DESPESA],"Receita",LANÇ_MOV[BANCO],$B7,LANÇ_MOV[MÊS PAGAMENTO CORRESPONDENTE],M$6,LANÇ_MOV[ANO PAGAMENTO],$B$4,LANÇ_MOV[CENTRO DE CUSTOS],$D$4)-SUMIFS(LANÇ_MOV[VALOR LÍQUIDO],LANÇ_MOV[RECEITA OU DESPESA],"Despesa",LANÇ_MOV[BANCO],$B7,LANÇ_MOV[MÊS PAGAMENTO CORRESPONDENTE],M$6,LANÇ_MOV[ANO PAGAMENTO],$B$4,LANÇ_MOV[EMPRESA],$C$4,LANÇ_MOV[CENTRO DE CUSTOS],$D$4),"")</f>
        <v>2604.8999999999996</v>
      </c>
      <c r="N7" s="118">
        <f>IFERROR(SUMIFS(CAD_Bancos[R$ SALDO INICIAL],CAD_Bancos[ANO],$B$4,CAD_Bancos[MÊS],N$6,CAD_Bancos[[BANCO ]],Rel_BC[[#This Row],[BANCOS]])+SUMIFS(LANÇ_MOV[VALOR LÍQUIDO],LANÇ_MOV[RECEITA OU DESPESA],"Receita",LANÇ_MOV[BANCO],$B7,LANÇ_MOV[MÊS PAGAMENTO CORRESPONDENTE],N$6,LANÇ_MOV[ANO PAGAMENTO],$B$4,LANÇ_MOV[CENTRO DE CUSTOS],$D$4)-SUMIFS(LANÇ_MOV[VALOR LÍQUIDO],LANÇ_MOV[RECEITA OU DESPESA],"Despesa",LANÇ_MOV[BANCO],$B7,LANÇ_MOV[MÊS PAGAMENTO CORRESPONDENTE],N$6,LANÇ_MOV[ANO PAGAMENTO],$B$4,LANÇ_MOV[EMPRESA],$C$4,LANÇ_MOV[CENTRO DE CUSTOS],$D$4),"")</f>
        <v>0</v>
      </c>
      <c r="O7" s="39">
        <f t="shared" ref="O7:O26" si="0">SUM(C7:N7)</f>
        <v>4270.2199999999993</v>
      </c>
    </row>
    <row r="8" spans="1:15" ht="30.05" customHeight="1" x14ac:dyDescent="0.35">
      <c r="B8" s="358" t="str">
        <f>IF('CAD_BANCOS'!F6="","-",'CAD_BANCOS'!F6)</f>
        <v>SICOOB</v>
      </c>
      <c r="C8" s="118">
        <f>IFERROR(SUMIFS(CAD_Bancos[R$ SALDO INICIAL],CAD_Bancos[ANO],$B$4,CAD_Bancos[MÊS],C$6,CAD_Bancos[[BANCO ]],Rel_BC[[#This Row],[BANCOS]])+SUMIFS(LANÇ_MOV[VALOR LÍQUIDO],LANÇ_MOV[RECEITA OU DESPESA],"Receita",LANÇ_MOV[BANCO],$B8,LANÇ_MOV[MÊS PAGAMENTO CORRESPONDENTE],C$6,LANÇ_MOV[ANO PAGAMENTO],$B$4,LANÇ_MOV[CENTRO DE CUSTOS],$D$4)-SUMIFS(LANÇ_MOV[VALOR LÍQUIDO],LANÇ_MOV[RECEITA OU DESPESA],"Despesa",LANÇ_MOV[BANCO],$B8,LANÇ_MOV[MÊS PAGAMENTO CORRESPONDENTE],C$6,LANÇ_MOV[ANO PAGAMENTO],$B$4,LANÇ_MOV[EMPRESA],$C$4,LANÇ_MOV[CENTRO DE CUSTOS],$D$4),"")</f>
        <v>0</v>
      </c>
      <c r="D8" s="118">
        <f>IFERROR(SUMIFS(CAD_Bancos[R$ SALDO INICIAL],CAD_Bancos[ANO],$B$4,CAD_Bancos[MÊS],D$6,CAD_Bancos[[BANCO ]],Rel_BC[[#This Row],[BANCOS]])+SUMIFS(LANÇ_MOV[VALOR LÍQUIDO],LANÇ_MOV[RECEITA OU DESPESA],"Receita",LANÇ_MOV[BANCO],$B8,LANÇ_MOV[MÊS PAGAMENTO CORRESPONDENTE],D$6,LANÇ_MOV[ANO PAGAMENTO],$B$4,LANÇ_MOV[CENTRO DE CUSTOS],$D$4)-SUMIFS(LANÇ_MOV[VALOR LÍQUIDO],LANÇ_MOV[RECEITA OU DESPESA],"Despesa",LANÇ_MOV[BANCO],$B8,LANÇ_MOV[MÊS PAGAMENTO CORRESPONDENTE],D$6,LANÇ_MOV[ANO PAGAMENTO],$B$4,LANÇ_MOV[EMPRESA],$C$4,LANÇ_MOV[CENTRO DE CUSTOS],$D$4),"")</f>
        <v>0</v>
      </c>
      <c r="E8" s="118">
        <f>IFERROR(SUMIFS(CAD_Bancos[R$ SALDO INICIAL],CAD_Bancos[ANO],$B$4,CAD_Bancos[MÊS],E$6,CAD_Bancos[[BANCO ]],Rel_BC[[#This Row],[BANCOS]])+SUMIFS(LANÇ_MOV[VALOR LÍQUIDO],LANÇ_MOV[RECEITA OU DESPESA],"Receita",LANÇ_MOV[BANCO],$B8,LANÇ_MOV[MÊS PAGAMENTO CORRESPONDENTE],E$6,LANÇ_MOV[ANO PAGAMENTO],$B$4,LANÇ_MOV[CENTRO DE CUSTOS],$D$4)-SUMIFS(LANÇ_MOV[VALOR LÍQUIDO],LANÇ_MOV[RECEITA OU DESPESA],"Despesa",LANÇ_MOV[BANCO],$B8,LANÇ_MOV[MÊS PAGAMENTO CORRESPONDENTE],E$6,LANÇ_MOV[ANO PAGAMENTO],$B$4,LANÇ_MOV[EMPRESA],$C$4,LANÇ_MOV[CENTRO DE CUSTOS],$D$4),"")</f>
        <v>0</v>
      </c>
      <c r="F8" s="118">
        <f>IFERROR(SUMIFS(CAD_Bancos[R$ SALDO INICIAL],CAD_Bancos[ANO],$B$4,CAD_Bancos[MÊS],F$6,CAD_Bancos[[BANCO ]],Rel_BC[[#This Row],[BANCOS]])+SUMIFS(LANÇ_MOV[VALOR LÍQUIDO],LANÇ_MOV[RECEITA OU DESPESA],"Receita",LANÇ_MOV[BANCO],$B8,LANÇ_MOV[MÊS PAGAMENTO CORRESPONDENTE],F$6,LANÇ_MOV[ANO PAGAMENTO],$B$4,LANÇ_MOV[CENTRO DE CUSTOS],$D$4)-SUMIFS(LANÇ_MOV[VALOR LÍQUIDO],LANÇ_MOV[RECEITA OU DESPESA],"Despesa",LANÇ_MOV[BANCO],$B8,LANÇ_MOV[MÊS PAGAMENTO CORRESPONDENTE],F$6,LANÇ_MOV[ANO PAGAMENTO],$B$4,LANÇ_MOV[EMPRESA],$C$4,LANÇ_MOV[CENTRO DE CUSTOS],$D$4),"")</f>
        <v>0</v>
      </c>
      <c r="G8" s="118">
        <f>IFERROR(SUMIFS(CAD_Bancos[R$ SALDO INICIAL],CAD_Bancos[ANO],$B$4,CAD_Bancos[MÊS],G$6,CAD_Bancos[[BANCO ]],Rel_BC[[#This Row],[BANCOS]])+SUMIFS(LANÇ_MOV[VALOR LÍQUIDO],LANÇ_MOV[RECEITA OU DESPESA],"Receita",LANÇ_MOV[BANCO],$B8,LANÇ_MOV[MÊS PAGAMENTO CORRESPONDENTE],G$6,LANÇ_MOV[ANO PAGAMENTO],$B$4,LANÇ_MOV[CENTRO DE CUSTOS],$D$4)-SUMIFS(LANÇ_MOV[VALOR LÍQUIDO],LANÇ_MOV[RECEITA OU DESPESA],"Despesa",LANÇ_MOV[BANCO],$B8,LANÇ_MOV[MÊS PAGAMENTO CORRESPONDENTE],G$6,LANÇ_MOV[ANO PAGAMENTO],$B$4,LANÇ_MOV[EMPRESA],$C$4,LANÇ_MOV[CENTRO DE CUSTOS],$D$4),"")</f>
        <v>0</v>
      </c>
      <c r="H8" s="118">
        <f>IFERROR(SUMIFS(CAD_Bancos[R$ SALDO INICIAL],CAD_Bancos[ANO],$B$4,CAD_Bancos[MÊS],H$6,CAD_Bancos[[BANCO ]],Rel_BC[[#This Row],[BANCOS]])+SUMIFS(LANÇ_MOV[VALOR LÍQUIDO],LANÇ_MOV[RECEITA OU DESPESA],"Receita",LANÇ_MOV[BANCO],$B8,LANÇ_MOV[MÊS PAGAMENTO CORRESPONDENTE],H$6,LANÇ_MOV[ANO PAGAMENTO],$B$4,LANÇ_MOV[CENTRO DE CUSTOS],$D$4)-SUMIFS(LANÇ_MOV[VALOR LÍQUIDO],LANÇ_MOV[RECEITA OU DESPESA],"Despesa",LANÇ_MOV[BANCO],$B8,LANÇ_MOV[MÊS PAGAMENTO CORRESPONDENTE],H$6,LANÇ_MOV[ANO PAGAMENTO],$B$4,LANÇ_MOV[EMPRESA],$C$4,LANÇ_MOV[CENTRO DE CUSTOS],$D$4),"")</f>
        <v>0</v>
      </c>
      <c r="I8" s="118">
        <f>IFERROR(SUMIFS(CAD_Bancos[R$ SALDO INICIAL],CAD_Bancos[ANO],$B$4,CAD_Bancos[MÊS],I$6,CAD_Bancos[[BANCO ]],Rel_BC[[#This Row],[BANCOS]])+SUMIFS(LANÇ_MOV[VALOR LÍQUIDO],LANÇ_MOV[RECEITA OU DESPESA],"Receita",LANÇ_MOV[BANCO],$B8,LANÇ_MOV[MÊS PAGAMENTO CORRESPONDENTE],I$6,LANÇ_MOV[ANO PAGAMENTO],$B$4,LANÇ_MOV[CENTRO DE CUSTOS],$D$4)-SUMIFS(LANÇ_MOV[VALOR LÍQUIDO],LANÇ_MOV[RECEITA OU DESPESA],"Despesa",LANÇ_MOV[BANCO],$B8,LANÇ_MOV[MÊS PAGAMENTO CORRESPONDENTE],I$6,LANÇ_MOV[ANO PAGAMENTO],$B$4,LANÇ_MOV[EMPRESA],$C$4,LANÇ_MOV[CENTRO DE CUSTOS],$D$4),"")</f>
        <v>0</v>
      </c>
      <c r="J8" s="118">
        <f>IFERROR(SUMIFS(CAD_Bancos[R$ SALDO INICIAL],CAD_Bancos[ANO],$B$4,CAD_Bancos[MÊS],J$6,CAD_Bancos[[BANCO ]],Rel_BC[[#This Row],[BANCOS]])+SUMIFS(LANÇ_MOV[VALOR LÍQUIDO],LANÇ_MOV[RECEITA OU DESPESA],"Receita",LANÇ_MOV[BANCO],$B8,LANÇ_MOV[MÊS PAGAMENTO CORRESPONDENTE],J$6,LANÇ_MOV[ANO PAGAMENTO],$B$4,LANÇ_MOV[CENTRO DE CUSTOS],$D$4)-SUMIFS(LANÇ_MOV[VALOR LÍQUIDO],LANÇ_MOV[RECEITA OU DESPESA],"Despesa",LANÇ_MOV[BANCO],$B8,LANÇ_MOV[MÊS PAGAMENTO CORRESPONDENTE],J$6,LANÇ_MOV[ANO PAGAMENTO],$B$4,LANÇ_MOV[EMPRESA],$C$4,LANÇ_MOV[CENTRO DE CUSTOS],$D$4),"")</f>
        <v>0</v>
      </c>
      <c r="K8" s="118">
        <f>IFERROR(SUMIFS(CAD_Bancos[R$ SALDO INICIAL],CAD_Bancos[ANO],$B$4,CAD_Bancos[MÊS],K$6,CAD_Bancos[[BANCO ]],Rel_BC[[#This Row],[BANCOS]])+SUMIFS(LANÇ_MOV[VALOR LÍQUIDO],LANÇ_MOV[RECEITA OU DESPESA],"Receita",LANÇ_MOV[BANCO],$B8,LANÇ_MOV[MÊS PAGAMENTO CORRESPONDENTE],K$6,LANÇ_MOV[ANO PAGAMENTO],$B$4,LANÇ_MOV[CENTRO DE CUSTOS],$D$4)-SUMIFS(LANÇ_MOV[VALOR LÍQUIDO],LANÇ_MOV[RECEITA OU DESPESA],"Despesa",LANÇ_MOV[BANCO],$B8,LANÇ_MOV[MÊS PAGAMENTO CORRESPONDENTE],K$6,LANÇ_MOV[ANO PAGAMENTO],$B$4,LANÇ_MOV[EMPRESA],$C$4,LANÇ_MOV[CENTRO DE CUSTOS],$D$4),"")</f>
        <v>0</v>
      </c>
      <c r="L8" s="118">
        <f>IFERROR(SUMIFS(CAD_Bancos[R$ SALDO INICIAL],CAD_Bancos[ANO],$B$4,CAD_Bancos[MÊS],L$6,CAD_Bancos[[BANCO ]],Rel_BC[[#This Row],[BANCOS]])+SUMIFS(LANÇ_MOV[VALOR LÍQUIDO],LANÇ_MOV[RECEITA OU DESPESA],"Receita",LANÇ_MOV[BANCO],$B8,LANÇ_MOV[MÊS PAGAMENTO CORRESPONDENTE],L$6,LANÇ_MOV[ANO PAGAMENTO],$B$4,LANÇ_MOV[CENTRO DE CUSTOS],$D$4)-SUMIFS(LANÇ_MOV[VALOR LÍQUIDO],LANÇ_MOV[RECEITA OU DESPESA],"Despesa",LANÇ_MOV[BANCO],$B8,LANÇ_MOV[MÊS PAGAMENTO CORRESPONDENTE],L$6,LANÇ_MOV[ANO PAGAMENTO],$B$4,LANÇ_MOV[EMPRESA],$C$4,LANÇ_MOV[CENTRO DE CUSTOS],$D$4),"")</f>
        <v>939.94</v>
      </c>
      <c r="M8" s="118">
        <f>IFERROR(SUMIFS(CAD_Bancos[R$ SALDO INICIAL],CAD_Bancos[ANO],$B$4,CAD_Bancos[MÊS],M$6,CAD_Bancos[[BANCO ]],Rel_BC[[#This Row],[BANCOS]])+SUMIFS(LANÇ_MOV[VALOR LÍQUIDO],LANÇ_MOV[RECEITA OU DESPESA],"Receita",LANÇ_MOV[BANCO],$B8,LANÇ_MOV[MÊS PAGAMENTO CORRESPONDENTE],M$6,LANÇ_MOV[ANO PAGAMENTO],$B$4,LANÇ_MOV[CENTRO DE CUSTOS],$D$4)-SUMIFS(LANÇ_MOV[VALOR LÍQUIDO],LANÇ_MOV[RECEITA OU DESPESA],"Despesa",LANÇ_MOV[BANCO],$B8,LANÇ_MOV[MÊS PAGAMENTO CORRESPONDENTE],M$6,LANÇ_MOV[ANO PAGAMENTO],$B$4,LANÇ_MOV[EMPRESA],$C$4,LANÇ_MOV[CENTRO DE CUSTOS],$D$4),"")</f>
        <v>0</v>
      </c>
      <c r="N8" s="118">
        <f>IFERROR(SUMIFS(CAD_Bancos[R$ SALDO INICIAL],CAD_Bancos[ANO],$B$4,CAD_Bancos[MÊS],N$6,CAD_Bancos[[BANCO ]],Rel_BC[[#This Row],[BANCOS]])+SUMIFS(LANÇ_MOV[VALOR LÍQUIDO],LANÇ_MOV[RECEITA OU DESPESA],"Receita",LANÇ_MOV[BANCO],$B8,LANÇ_MOV[MÊS PAGAMENTO CORRESPONDENTE],N$6,LANÇ_MOV[ANO PAGAMENTO],$B$4,LANÇ_MOV[CENTRO DE CUSTOS],$D$4)-SUMIFS(LANÇ_MOV[VALOR LÍQUIDO],LANÇ_MOV[RECEITA OU DESPESA],"Despesa",LANÇ_MOV[BANCO],$B8,LANÇ_MOV[MÊS PAGAMENTO CORRESPONDENTE],N$6,LANÇ_MOV[ANO PAGAMENTO],$B$4,LANÇ_MOV[EMPRESA],$C$4,LANÇ_MOV[CENTRO DE CUSTOS],$D$4),"")</f>
        <v>0</v>
      </c>
      <c r="O8" s="39">
        <f t="shared" si="0"/>
        <v>939.94</v>
      </c>
    </row>
    <row r="9" spans="1:15" ht="30.05" customHeight="1" x14ac:dyDescent="0.35">
      <c r="B9" s="358" t="str">
        <f>IF('CAD_BANCOS'!F7="","-",'CAD_BANCOS'!F7)</f>
        <v>-</v>
      </c>
      <c r="C9" s="118">
        <f>IFERROR(SUMIFS(CAD_Bancos[R$ SALDO INICIAL],CAD_Bancos[ANO],$B$4,CAD_Bancos[MÊS],C$6,CAD_Bancos[[BANCO ]],Rel_BC[[#This Row],[BANCOS]])+SUMIFS(LANÇ_MOV[VALOR LÍQUIDO],LANÇ_MOV[RECEITA OU DESPESA],"Receita",LANÇ_MOV[BANCO],$B9,LANÇ_MOV[MÊS PAGAMENTO CORRESPONDENTE],C$6,LANÇ_MOV[ANO PAGAMENTO],$B$4,LANÇ_MOV[CENTRO DE CUSTOS],$D$4)-SUMIFS(LANÇ_MOV[VALOR LÍQUIDO],LANÇ_MOV[RECEITA OU DESPESA],"Despesa",LANÇ_MOV[BANCO],$B9,LANÇ_MOV[MÊS PAGAMENTO CORRESPONDENTE],C$6,LANÇ_MOV[ANO PAGAMENTO],$B$4,LANÇ_MOV[EMPRESA],$C$4,LANÇ_MOV[CENTRO DE CUSTOS],$D$4),"")</f>
        <v>0</v>
      </c>
      <c r="D9" s="118">
        <f>IFERROR(SUMIFS(CAD_Bancos[R$ SALDO INICIAL],CAD_Bancos[ANO],$B$4,CAD_Bancos[MÊS],D$6,CAD_Bancos[[BANCO ]],Rel_BC[[#This Row],[BANCOS]])+SUMIFS(LANÇ_MOV[VALOR LÍQUIDO],LANÇ_MOV[RECEITA OU DESPESA],"Receita",LANÇ_MOV[BANCO],$B9,LANÇ_MOV[MÊS PAGAMENTO CORRESPONDENTE],D$6,LANÇ_MOV[ANO PAGAMENTO],$B$4,LANÇ_MOV[CENTRO DE CUSTOS],$D$4)-SUMIFS(LANÇ_MOV[VALOR LÍQUIDO],LANÇ_MOV[RECEITA OU DESPESA],"Despesa",LANÇ_MOV[BANCO],$B9,LANÇ_MOV[MÊS PAGAMENTO CORRESPONDENTE],D$6,LANÇ_MOV[ANO PAGAMENTO],$B$4,LANÇ_MOV[EMPRESA],$C$4,LANÇ_MOV[CENTRO DE CUSTOS],$D$4),"")</f>
        <v>0</v>
      </c>
      <c r="E9" s="118">
        <f>IFERROR(SUMIFS(CAD_Bancos[R$ SALDO INICIAL],CAD_Bancos[ANO],$B$4,CAD_Bancos[MÊS],E$6,CAD_Bancos[[BANCO ]],Rel_BC[[#This Row],[BANCOS]])+SUMIFS(LANÇ_MOV[VALOR LÍQUIDO],LANÇ_MOV[RECEITA OU DESPESA],"Receita",LANÇ_MOV[BANCO],$B9,LANÇ_MOV[MÊS PAGAMENTO CORRESPONDENTE],E$6,LANÇ_MOV[ANO PAGAMENTO],$B$4,LANÇ_MOV[CENTRO DE CUSTOS],$D$4)-SUMIFS(LANÇ_MOV[VALOR LÍQUIDO],LANÇ_MOV[RECEITA OU DESPESA],"Despesa",LANÇ_MOV[BANCO],$B9,LANÇ_MOV[MÊS PAGAMENTO CORRESPONDENTE],E$6,LANÇ_MOV[ANO PAGAMENTO],$B$4,LANÇ_MOV[EMPRESA],$C$4,LANÇ_MOV[CENTRO DE CUSTOS],$D$4),"")</f>
        <v>0</v>
      </c>
      <c r="F9" s="118">
        <f>IFERROR(SUMIFS(CAD_Bancos[R$ SALDO INICIAL],CAD_Bancos[ANO],$B$4,CAD_Bancos[MÊS],F$6,CAD_Bancos[[BANCO ]],Rel_BC[[#This Row],[BANCOS]])+SUMIFS(LANÇ_MOV[VALOR LÍQUIDO],LANÇ_MOV[RECEITA OU DESPESA],"Receita",LANÇ_MOV[BANCO],$B9,LANÇ_MOV[MÊS PAGAMENTO CORRESPONDENTE],F$6,LANÇ_MOV[ANO PAGAMENTO],$B$4,LANÇ_MOV[CENTRO DE CUSTOS],$D$4)-SUMIFS(LANÇ_MOV[VALOR LÍQUIDO],LANÇ_MOV[RECEITA OU DESPESA],"Despesa",LANÇ_MOV[BANCO],$B9,LANÇ_MOV[MÊS PAGAMENTO CORRESPONDENTE],F$6,LANÇ_MOV[ANO PAGAMENTO],$B$4,LANÇ_MOV[EMPRESA],$C$4,LANÇ_MOV[CENTRO DE CUSTOS],$D$4),"")</f>
        <v>0</v>
      </c>
      <c r="G9" s="118">
        <f>IFERROR(SUMIFS(CAD_Bancos[R$ SALDO INICIAL],CAD_Bancos[ANO],$B$4,CAD_Bancos[MÊS],G$6,CAD_Bancos[[BANCO ]],Rel_BC[[#This Row],[BANCOS]])+SUMIFS(LANÇ_MOV[VALOR LÍQUIDO],LANÇ_MOV[RECEITA OU DESPESA],"Receita",LANÇ_MOV[BANCO],$B9,LANÇ_MOV[MÊS PAGAMENTO CORRESPONDENTE],G$6,LANÇ_MOV[ANO PAGAMENTO],$B$4,LANÇ_MOV[CENTRO DE CUSTOS],$D$4)-SUMIFS(LANÇ_MOV[VALOR LÍQUIDO],LANÇ_MOV[RECEITA OU DESPESA],"Despesa",LANÇ_MOV[BANCO],$B9,LANÇ_MOV[MÊS PAGAMENTO CORRESPONDENTE],G$6,LANÇ_MOV[ANO PAGAMENTO],$B$4,LANÇ_MOV[EMPRESA],$C$4,LANÇ_MOV[CENTRO DE CUSTOS],$D$4),"")</f>
        <v>0</v>
      </c>
      <c r="H9" s="118">
        <f>IFERROR(SUMIFS(CAD_Bancos[R$ SALDO INICIAL],CAD_Bancos[ANO],$B$4,CAD_Bancos[MÊS],H$6,CAD_Bancos[[BANCO ]],Rel_BC[[#This Row],[BANCOS]])+SUMIFS(LANÇ_MOV[VALOR LÍQUIDO],LANÇ_MOV[RECEITA OU DESPESA],"Receita",LANÇ_MOV[BANCO],$B9,LANÇ_MOV[MÊS PAGAMENTO CORRESPONDENTE],H$6,LANÇ_MOV[ANO PAGAMENTO],$B$4,LANÇ_MOV[CENTRO DE CUSTOS],$D$4)-SUMIFS(LANÇ_MOV[VALOR LÍQUIDO],LANÇ_MOV[RECEITA OU DESPESA],"Despesa",LANÇ_MOV[BANCO],$B9,LANÇ_MOV[MÊS PAGAMENTO CORRESPONDENTE],H$6,LANÇ_MOV[ANO PAGAMENTO],$B$4,LANÇ_MOV[EMPRESA],$C$4,LANÇ_MOV[CENTRO DE CUSTOS],$D$4),"")</f>
        <v>0</v>
      </c>
      <c r="I9" s="118">
        <f>IFERROR(SUMIFS(CAD_Bancos[R$ SALDO INICIAL],CAD_Bancos[ANO],$B$4,CAD_Bancos[MÊS],I$6,CAD_Bancos[[BANCO ]],Rel_BC[[#This Row],[BANCOS]])+SUMIFS(LANÇ_MOV[VALOR LÍQUIDO],LANÇ_MOV[RECEITA OU DESPESA],"Receita",LANÇ_MOV[BANCO],$B9,LANÇ_MOV[MÊS PAGAMENTO CORRESPONDENTE],I$6,LANÇ_MOV[ANO PAGAMENTO],$B$4,LANÇ_MOV[CENTRO DE CUSTOS],$D$4)-SUMIFS(LANÇ_MOV[VALOR LÍQUIDO],LANÇ_MOV[RECEITA OU DESPESA],"Despesa",LANÇ_MOV[BANCO],$B9,LANÇ_MOV[MÊS PAGAMENTO CORRESPONDENTE],I$6,LANÇ_MOV[ANO PAGAMENTO],$B$4,LANÇ_MOV[EMPRESA],$C$4,LANÇ_MOV[CENTRO DE CUSTOS],$D$4),"")</f>
        <v>0</v>
      </c>
      <c r="J9" s="118">
        <f>IFERROR(SUMIFS(CAD_Bancos[R$ SALDO INICIAL],CAD_Bancos[ANO],$B$4,CAD_Bancos[MÊS],J$6,CAD_Bancos[[BANCO ]],Rel_BC[[#This Row],[BANCOS]])+SUMIFS(LANÇ_MOV[VALOR LÍQUIDO],LANÇ_MOV[RECEITA OU DESPESA],"Receita",LANÇ_MOV[BANCO],$B9,LANÇ_MOV[MÊS PAGAMENTO CORRESPONDENTE],J$6,LANÇ_MOV[ANO PAGAMENTO],$B$4,LANÇ_MOV[CENTRO DE CUSTOS],$D$4)-SUMIFS(LANÇ_MOV[VALOR LÍQUIDO],LANÇ_MOV[RECEITA OU DESPESA],"Despesa",LANÇ_MOV[BANCO],$B9,LANÇ_MOV[MÊS PAGAMENTO CORRESPONDENTE],J$6,LANÇ_MOV[ANO PAGAMENTO],$B$4,LANÇ_MOV[EMPRESA],$C$4,LANÇ_MOV[CENTRO DE CUSTOS],$D$4),"")</f>
        <v>0</v>
      </c>
      <c r="K9" s="118">
        <f>IFERROR(SUMIFS(CAD_Bancos[R$ SALDO INICIAL],CAD_Bancos[ANO],$B$4,CAD_Bancos[MÊS],K$6,CAD_Bancos[[BANCO ]],Rel_BC[[#This Row],[BANCOS]])+SUMIFS(LANÇ_MOV[VALOR LÍQUIDO],LANÇ_MOV[RECEITA OU DESPESA],"Receita",LANÇ_MOV[BANCO],$B9,LANÇ_MOV[MÊS PAGAMENTO CORRESPONDENTE],K$6,LANÇ_MOV[ANO PAGAMENTO],$B$4,LANÇ_MOV[CENTRO DE CUSTOS],$D$4)-SUMIFS(LANÇ_MOV[VALOR LÍQUIDO],LANÇ_MOV[RECEITA OU DESPESA],"Despesa",LANÇ_MOV[BANCO],$B9,LANÇ_MOV[MÊS PAGAMENTO CORRESPONDENTE],K$6,LANÇ_MOV[ANO PAGAMENTO],$B$4,LANÇ_MOV[EMPRESA],$C$4,LANÇ_MOV[CENTRO DE CUSTOS],$D$4),"")</f>
        <v>0</v>
      </c>
      <c r="L9" s="118">
        <f>IFERROR(SUMIFS(CAD_Bancos[R$ SALDO INICIAL],CAD_Bancos[ANO],$B$4,CAD_Bancos[MÊS],L$6,CAD_Bancos[[BANCO ]],Rel_BC[[#This Row],[BANCOS]])+SUMIFS(LANÇ_MOV[VALOR LÍQUIDO],LANÇ_MOV[RECEITA OU DESPESA],"Receita",LANÇ_MOV[BANCO],$B9,LANÇ_MOV[MÊS PAGAMENTO CORRESPONDENTE],L$6,LANÇ_MOV[ANO PAGAMENTO],$B$4,LANÇ_MOV[CENTRO DE CUSTOS],$D$4)-SUMIFS(LANÇ_MOV[VALOR LÍQUIDO],LANÇ_MOV[RECEITA OU DESPESA],"Despesa",LANÇ_MOV[BANCO],$B9,LANÇ_MOV[MÊS PAGAMENTO CORRESPONDENTE],L$6,LANÇ_MOV[ANO PAGAMENTO],$B$4,LANÇ_MOV[EMPRESA],$C$4,LANÇ_MOV[CENTRO DE CUSTOS],$D$4),"")</f>
        <v>0</v>
      </c>
      <c r="M9" s="118">
        <f>IFERROR(SUMIFS(CAD_Bancos[R$ SALDO INICIAL],CAD_Bancos[ANO],$B$4,CAD_Bancos[MÊS],M$6,CAD_Bancos[[BANCO ]],Rel_BC[[#This Row],[BANCOS]])+SUMIFS(LANÇ_MOV[VALOR LÍQUIDO],LANÇ_MOV[RECEITA OU DESPESA],"Receita",LANÇ_MOV[BANCO],$B9,LANÇ_MOV[MÊS PAGAMENTO CORRESPONDENTE],M$6,LANÇ_MOV[ANO PAGAMENTO],$B$4,LANÇ_MOV[CENTRO DE CUSTOS],$D$4)-SUMIFS(LANÇ_MOV[VALOR LÍQUIDO],LANÇ_MOV[RECEITA OU DESPESA],"Despesa",LANÇ_MOV[BANCO],$B9,LANÇ_MOV[MÊS PAGAMENTO CORRESPONDENTE],M$6,LANÇ_MOV[ANO PAGAMENTO],$B$4,LANÇ_MOV[EMPRESA],$C$4,LANÇ_MOV[CENTRO DE CUSTOS],$D$4),"")</f>
        <v>0</v>
      </c>
      <c r="N9" s="118">
        <f>IFERROR(SUMIFS(CAD_Bancos[R$ SALDO INICIAL],CAD_Bancos[ANO],$B$4,CAD_Bancos[MÊS],N$6,CAD_Bancos[[BANCO ]],Rel_BC[[#This Row],[BANCOS]])+SUMIFS(LANÇ_MOV[VALOR LÍQUIDO],LANÇ_MOV[RECEITA OU DESPESA],"Receita",LANÇ_MOV[BANCO],$B9,LANÇ_MOV[MÊS PAGAMENTO CORRESPONDENTE],N$6,LANÇ_MOV[ANO PAGAMENTO],$B$4,LANÇ_MOV[CENTRO DE CUSTOS],$D$4)-SUMIFS(LANÇ_MOV[VALOR LÍQUIDO],LANÇ_MOV[RECEITA OU DESPESA],"Despesa",LANÇ_MOV[BANCO],$B9,LANÇ_MOV[MÊS PAGAMENTO CORRESPONDENTE],N$6,LANÇ_MOV[ANO PAGAMENTO],$B$4,LANÇ_MOV[EMPRESA],$C$4,LANÇ_MOV[CENTRO DE CUSTOS],$D$4),"")</f>
        <v>0</v>
      </c>
      <c r="O9" s="39">
        <f t="shared" si="0"/>
        <v>0</v>
      </c>
    </row>
    <row r="10" spans="1:15" ht="30.05" customHeight="1" x14ac:dyDescent="0.35">
      <c r="B10" s="358" t="str">
        <f>IF('CAD_BANCOS'!F8="","-",'CAD_BANCOS'!F8)</f>
        <v>-</v>
      </c>
      <c r="C10" s="118">
        <f>IFERROR(SUMIFS(CAD_Bancos[R$ SALDO INICIAL],CAD_Bancos[ANO],$B$4,CAD_Bancos[MÊS],C$6,CAD_Bancos[[BANCO ]],Rel_BC[[#This Row],[BANCOS]])+SUMIFS(LANÇ_MOV[VALOR LÍQUIDO],LANÇ_MOV[RECEITA OU DESPESA],"Receita",LANÇ_MOV[BANCO],$B10,LANÇ_MOV[MÊS PAGAMENTO CORRESPONDENTE],C$6,LANÇ_MOV[ANO PAGAMENTO],$B$4,LANÇ_MOV[CENTRO DE CUSTOS],$D$4)-SUMIFS(LANÇ_MOV[VALOR LÍQUIDO],LANÇ_MOV[RECEITA OU DESPESA],"Despesa",LANÇ_MOV[BANCO],$B10,LANÇ_MOV[MÊS PAGAMENTO CORRESPONDENTE],C$6,LANÇ_MOV[ANO PAGAMENTO],$B$4,LANÇ_MOV[EMPRESA],$C$4,LANÇ_MOV[CENTRO DE CUSTOS],$D$4),"")</f>
        <v>0</v>
      </c>
      <c r="D10" s="118">
        <f>IFERROR(SUMIFS(CAD_Bancos[R$ SALDO INICIAL],CAD_Bancos[ANO],$B$4,CAD_Bancos[MÊS],D$6,CAD_Bancos[[BANCO ]],Rel_BC[[#This Row],[BANCOS]])+SUMIFS(LANÇ_MOV[VALOR LÍQUIDO],LANÇ_MOV[RECEITA OU DESPESA],"Receita",LANÇ_MOV[BANCO],$B10,LANÇ_MOV[MÊS PAGAMENTO CORRESPONDENTE],D$6,LANÇ_MOV[ANO PAGAMENTO],$B$4,LANÇ_MOV[CENTRO DE CUSTOS],$D$4)-SUMIFS(LANÇ_MOV[VALOR LÍQUIDO],LANÇ_MOV[RECEITA OU DESPESA],"Despesa",LANÇ_MOV[BANCO],$B10,LANÇ_MOV[MÊS PAGAMENTO CORRESPONDENTE],D$6,LANÇ_MOV[ANO PAGAMENTO],$B$4,LANÇ_MOV[EMPRESA],$C$4,LANÇ_MOV[CENTRO DE CUSTOS],$D$4),"")</f>
        <v>0</v>
      </c>
      <c r="E10" s="118">
        <f>IFERROR(SUMIFS(CAD_Bancos[R$ SALDO INICIAL],CAD_Bancos[ANO],$B$4,CAD_Bancos[MÊS],E$6,CAD_Bancos[[BANCO ]],Rel_BC[[#This Row],[BANCOS]])+SUMIFS(LANÇ_MOV[VALOR LÍQUIDO],LANÇ_MOV[RECEITA OU DESPESA],"Receita",LANÇ_MOV[BANCO],$B10,LANÇ_MOV[MÊS PAGAMENTO CORRESPONDENTE],E$6,LANÇ_MOV[ANO PAGAMENTO],$B$4,LANÇ_MOV[CENTRO DE CUSTOS],$D$4)-SUMIFS(LANÇ_MOV[VALOR LÍQUIDO],LANÇ_MOV[RECEITA OU DESPESA],"Despesa",LANÇ_MOV[BANCO],$B10,LANÇ_MOV[MÊS PAGAMENTO CORRESPONDENTE],E$6,LANÇ_MOV[ANO PAGAMENTO],$B$4,LANÇ_MOV[EMPRESA],$C$4,LANÇ_MOV[CENTRO DE CUSTOS],$D$4),"")</f>
        <v>0</v>
      </c>
      <c r="F10" s="118">
        <f>IFERROR(SUMIFS(CAD_Bancos[R$ SALDO INICIAL],CAD_Bancos[ANO],$B$4,CAD_Bancos[MÊS],F$6,CAD_Bancos[[BANCO ]],Rel_BC[[#This Row],[BANCOS]])+SUMIFS(LANÇ_MOV[VALOR LÍQUIDO],LANÇ_MOV[RECEITA OU DESPESA],"Receita",LANÇ_MOV[BANCO],$B10,LANÇ_MOV[MÊS PAGAMENTO CORRESPONDENTE],F$6,LANÇ_MOV[ANO PAGAMENTO],$B$4,LANÇ_MOV[CENTRO DE CUSTOS],$D$4)-SUMIFS(LANÇ_MOV[VALOR LÍQUIDO],LANÇ_MOV[RECEITA OU DESPESA],"Despesa",LANÇ_MOV[BANCO],$B10,LANÇ_MOV[MÊS PAGAMENTO CORRESPONDENTE],F$6,LANÇ_MOV[ANO PAGAMENTO],$B$4,LANÇ_MOV[EMPRESA],$C$4,LANÇ_MOV[CENTRO DE CUSTOS],$D$4),"")</f>
        <v>0</v>
      </c>
      <c r="G10" s="118">
        <f>IFERROR(SUMIFS(CAD_Bancos[R$ SALDO INICIAL],CAD_Bancos[ANO],$B$4,CAD_Bancos[MÊS],G$6,CAD_Bancos[[BANCO ]],Rel_BC[[#This Row],[BANCOS]])+SUMIFS(LANÇ_MOV[VALOR LÍQUIDO],LANÇ_MOV[RECEITA OU DESPESA],"Receita",LANÇ_MOV[BANCO],$B10,LANÇ_MOV[MÊS PAGAMENTO CORRESPONDENTE],G$6,LANÇ_MOV[ANO PAGAMENTO],$B$4,LANÇ_MOV[CENTRO DE CUSTOS],$D$4)-SUMIFS(LANÇ_MOV[VALOR LÍQUIDO],LANÇ_MOV[RECEITA OU DESPESA],"Despesa",LANÇ_MOV[BANCO],$B10,LANÇ_MOV[MÊS PAGAMENTO CORRESPONDENTE],G$6,LANÇ_MOV[ANO PAGAMENTO],$B$4,LANÇ_MOV[EMPRESA],$C$4,LANÇ_MOV[CENTRO DE CUSTOS],$D$4),"")</f>
        <v>0</v>
      </c>
      <c r="H10" s="118">
        <f>IFERROR(SUMIFS(CAD_Bancos[R$ SALDO INICIAL],CAD_Bancos[ANO],$B$4,CAD_Bancos[MÊS],H$6,CAD_Bancos[[BANCO ]],Rel_BC[[#This Row],[BANCOS]])+SUMIFS(LANÇ_MOV[VALOR LÍQUIDO],LANÇ_MOV[RECEITA OU DESPESA],"Receita",LANÇ_MOV[BANCO],$B10,LANÇ_MOV[MÊS PAGAMENTO CORRESPONDENTE],H$6,LANÇ_MOV[ANO PAGAMENTO],$B$4,LANÇ_MOV[CENTRO DE CUSTOS],$D$4)-SUMIFS(LANÇ_MOV[VALOR LÍQUIDO],LANÇ_MOV[RECEITA OU DESPESA],"Despesa",LANÇ_MOV[BANCO],$B10,LANÇ_MOV[MÊS PAGAMENTO CORRESPONDENTE],H$6,LANÇ_MOV[ANO PAGAMENTO],$B$4,LANÇ_MOV[EMPRESA],$C$4,LANÇ_MOV[CENTRO DE CUSTOS],$D$4),"")</f>
        <v>0</v>
      </c>
      <c r="I10" s="118">
        <f>IFERROR(SUMIFS(CAD_Bancos[R$ SALDO INICIAL],CAD_Bancos[ANO],$B$4,CAD_Bancos[MÊS],I$6,CAD_Bancos[[BANCO ]],Rel_BC[[#This Row],[BANCOS]])+SUMIFS(LANÇ_MOV[VALOR LÍQUIDO],LANÇ_MOV[RECEITA OU DESPESA],"Receita",LANÇ_MOV[BANCO],$B10,LANÇ_MOV[MÊS PAGAMENTO CORRESPONDENTE],I$6,LANÇ_MOV[ANO PAGAMENTO],$B$4,LANÇ_MOV[CENTRO DE CUSTOS],$D$4)-SUMIFS(LANÇ_MOV[VALOR LÍQUIDO],LANÇ_MOV[RECEITA OU DESPESA],"Despesa",LANÇ_MOV[BANCO],$B10,LANÇ_MOV[MÊS PAGAMENTO CORRESPONDENTE],I$6,LANÇ_MOV[ANO PAGAMENTO],$B$4,LANÇ_MOV[EMPRESA],$C$4,LANÇ_MOV[CENTRO DE CUSTOS],$D$4),"")</f>
        <v>0</v>
      </c>
      <c r="J10" s="118">
        <f>IFERROR(SUMIFS(CAD_Bancos[R$ SALDO INICIAL],CAD_Bancos[ANO],$B$4,CAD_Bancos[MÊS],J$6,CAD_Bancos[[BANCO ]],Rel_BC[[#This Row],[BANCOS]])+SUMIFS(LANÇ_MOV[VALOR LÍQUIDO],LANÇ_MOV[RECEITA OU DESPESA],"Receita",LANÇ_MOV[BANCO],$B10,LANÇ_MOV[MÊS PAGAMENTO CORRESPONDENTE],J$6,LANÇ_MOV[ANO PAGAMENTO],$B$4,LANÇ_MOV[CENTRO DE CUSTOS],$D$4)-SUMIFS(LANÇ_MOV[VALOR LÍQUIDO],LANÇ_MOV[RECEITA OU DESPESA],"Despesa",LANÇ_MOV[BANCO],$B10,LANÇ_MOV[MÊS PAGAMENTO CORRESPONDENTE],J$6,LANÇ_MOV[ANO PAGAMENTO],$B$4,LANÇ_MOV[EMPRESA],$C$4,LANÇ_MOV[CENTRO DE CUSTOS],$D$4),"")</f>
        <v>0</v>
      </c>
      <c r="K10" s="118">
        <f>IFERROR(SUMIFS(CAD_Bancos[R$ SALDO INICIAL],CAD_Bancos[ANO],$B$4,CAD_Bancos[MÊS],K$6,CAD_Bancos[[BANCO ]],Rel_BC[[#This Row],[BANCOS]])+SUMIFS(LANÇ_MOV[VALOR LÍQUIDO],LANÇ_MOV[RECEITA OU DESPESA],"Receita",LANÇ_MOV[BANCO],$B10,LANÇ_MOV[MÊS PAGAMENTO CORRESPONDENTE],K$6,LANÇ_MOV[ANO PAGAMENTO],$B$4,LANÇ_MOV[CENTRO DE CUSTOS],$D$4)-SUMIFS(LANÇ_MOV[VALOR LÍQUIDO],LANÇ_MOV[RECEITA OU DESPESA],"Despesa",LANÇ_MOV[BANCO],$B10,LANÇ_MOV[MÊS PAGAMENTO CORRESPONDENTE],K$6,LANÇ_MOV[ANO PAGAMENTO],$B$4,LANÇ_MOV[EMPRESA],$C$4,LANÇ_MOV[CENTRO DE CUSTOS],$D$4),"")</f>
        <v>0</v>
      </c>
      <c r="L10" s="118">
        <f>IFERROR(SUMIFS(CAD_Bancos[R$ SALDO INICIAL],CAD_Bancos[ANO],$B$4,CAD_Bancos[MÊS],L$6,CAD_Bancos[[BANCO ]],Rel_BC[[#This Row],[BANCOS]])+SUMIFS(LANÇ_MOV[VALOR LÍQUIDO],LANÇ_MOV[RECEITA OU DESPESA],"Receita",LANÇ_MOV[BANCO],$B10,LANÇ_MOV[MÊS PAGAMENTO CORRESPONDENTE],L$6,LANÇ_MOV[ANO PAGAMENTO],$B$4,LANÇ_MOV[CENTRO DE CUSTOS],$D$4)-SUMIFS(LANÇ_MOV[VALOR LÍQUIDO],LANÇ_MOV[RECEITA OU DESPESA],"Despesa",LANÇ_MOV[BANCO],$B10,LANÇ_MOV[MÊS PAGAMENTO CORRESPONDENTE],L$6,LANÇ_MOV[ANO PAGAMENTO],$B$4,LANÇ_MOV[EMPRESA],$C$4,LANÇ_MOV[CENTRO DE CUSTOS],$D$4),"")</f>
        <v>0</v>
      </c>
      <c r="M10" s="118">
        <f>IFERROR(SUMIFS(CAD_Bancos[R$ SALDO INICIAL],CAD_Bancos[ANO],$B$4,CAD_Bancos[MÊS],M$6,CAD_Bancos[[BANCO ]],Rel_BC[[#This Row],[BANCOS]])+SUMIFS(LANÇ_MOV[VALOR LÍQUIDO],LANÇ_MOV[RECEITA OU DESPESA],"Receita",LANÇ_MOV[BANCO],$B10,LANÇ_MOV[MÊS PAGAMENTO CORRESPONDENTE],M$6,LANÇ_MOV[ANO PAGAMENTO],$B$4,LANÇ_MOV[CENTRO DE CUSTOS],$D$4)-SUMIFS(LANÇ_MOV[VALOR LÍQUIDO],LANÇ_MOV[RECEITA OU DESPESA],"Despesa",LANÇ_MOV[BANCO],$B10,LANÇ_MOV[MÊS PAGAMENTO CORRESPONDENTE],M$6,LANÇ_MOV[ANO PAGAMENTO],$B$4,LANÇ_MOV[EMPRESA],$C$4,LANÇ_MOV[CENTRO DE CUSTOS],$D$4),"")</f>
        <v>0</v>
      </c>
      <c r="N10" s="118">
        <f>IFERROR(SUMIFS(CAD_Bancos[R$ SALDO INICIAL],CAD_Bancos[ANO],$B$4,CAD_Bancos[MÊS],N$6,CAD_Bancos[[BANCO ]],Rel_BC[[#This Row],[BANCOS]])+SUMIFS(LANÇ_MOV[VALOR LÍQUIDO],LANÇ_MOV[RECEITA OU DESPESA],"Receita",LANÇ_MOV[BANCO],$B10,LANÇ_MOV[MÊS PAGAMENTO CORRESPONDENTE],N$6,LANÇ_MOV[ANO PAGAMENTO],$B$4,LANÇ_MOV[CENTRO DE CUSTOS],$D$4)-SUMIFS(LANÇ_MOV[VALOR LÍQUIDO],LANÇ_MOV[RECEITA OU DESPESA],"Despesa",LANÇ_MOV[BANCO],$B10,LANÇ_MOV[MÊS PAGAMENTO CORRESPONDENTE],N$6,LANÇ_MOV[ANO PAGAMENTO],$B$4,LANÇ_MOV[EMPRESA],$C$4,LANÇ_MOV[CENTRO DE CUSTOS],$D$4),"")</f>
        <v>0</v>
      </c>
      <c r="O10" s="39">
        <f t="shared" si="0"/>
        <v>0</v>
      </c>
    </row>
    <row r="11" spans="1:15" ht="30.05" customHeight="1" x14ac:dyDescent="0.35">
      <c r="B11" s="358" t="str">
        <f>IF('CAD_BANCOS'!F9="","-",'CAD_BANCOS'!F9)</f>
        <v>-</v>
      </c>
      <c r="C11" s="118">
        <f>IFERROR(SUMIFS(CAD_Bancos[R$ SALDO INICIAL],CAD_Bancos[ANO],$B$4,CAD_Bancos[MÊS],C$6,CAD_Bancos[[BANCO ]],Rel_BC[[#This Row],[BANCOS]])+SUMIFS(LANÇ_MOV[VALOR LÍQUIDO],LANÇ_MOV[RECEITA OU DESPESA],"Receita",LANÇ_MOV[BANCO],$B11,LANÇ_MOV[MÊS PAGAMENTO CORRESPONDENTE],C$6,LANÇ_MOV[ANO PAGAMENTO],$B$4,LANÇ_MOV[CENTRO DE CUSTOS],$D$4)-SUMIFS(LANÇ_MOV[VALOR LÍQUIDO],LANÇ_MOV[RECEITA OU DESPESA],"Despesa",LANÇ_MOV[BANCO],$B11,LANÇ_MOV[MÊS PAGAMENTO CORRESPONDENTE],C$6,LANÇ_MOV[ANO PAGAMENTO],$B$4,LANÇ_MOV[EMPRESA],$C$4,LANÇ_MOV[CENTRO DE CUSTOS],$D$4),"")</f>
        <v>0</v>
      </c>
      <c r="D11" s="118">
        <f>IFERROR(SUMIFS(CAD_Bancos[R$ SALDO INICIAL],CAD_Bancos[ANO],$B$4,CAD_Bancos[MÊS],D$6,CAD_Bancos[[BANCO ]],Rel_BC[[#This Row],[BANCOS]])+SUMIFS(LANÇ_MOV[VALOR LÍQUIDO],LANÇ_MOV[RECEITA OU DESPESA],"Receita",LANÇ_MOV[BANCO],$B11,LANÇ_MOV[MÊS PAGAMENTO CORRESPONDENTE],D$6,LANÇ_MOV[ANO PAGAMENTO],$B$4,LANÇ_MOV[CENTRO DE CUSTOS],$D$4)-SUMIFS(LANÇ_MOV[VALOR LÍQUIDO],LANÇ_MOV[RECEITA OU DESPESA],"Despesa",LANÇ_MOV[BANCO],$B11,LANÇ_MOV[MÊS PAGAMENTO CORRESPONDENTE],D$6,LANÇ_MOV[ANO PAGAMENTO],$B$4,LANÇ_MOV[EMPRESA],$C$4,LANÇ_MOV[CENTRO DE CUSTOS],$D$4),"")</f>
        <v>0</v>
      </c>
      <c r="E11" s="118">
        <f>IFERROR(SUMIFS(CAD_Bancos[R$ SALDO INICIAL],CAD_Bancos[ANO],$B$4,CAD_Bancos[MÊS],E$6,CAD_Bancos[[BANCO ]],Rel_BC[[#This Row],[BANCOS]])+SUMIFS(LANÇ_MOV[VALOR LÍQUIDO],LANÇ_MOV[RECEITA OU DESPESA],"Receita",LANÇ_MOV[BANCO],$B11,LANÇ_MOV[MÊS PAGAMENTO CORRESPONDENTE],E$6,LANÇ_MOV[ANO PAGAMENTO],$B$4,LANÇ_MOV[CENTRO DE CUSTOS],$D$4)-SUMIFS(LANÇ_MOV[VALOR LÍQUIDO],LANÇ_MOV[RECEITA OU DESPESA],"Despesa",LANÇ_MOV[BANCO],$B11,LANÇ_MOV[MÊS PAGAMENTO CORRESPONDENTE],E$6,LANÇ_MOV[ANO PAGAMENTO],$B$4,LANÇ_MOV[EMPRESA],$C$4,LANÇ_MOV[CENTRO DE CUSTOS],$D$4),"")</f>
        <v>0</v>
      </c>
      <c r="F11" s="118">
        <f>IFERROR(SUMIFS(CAD_Bancos[R$ SALDO INICIAL],CAD_Bancos[ANO],$B$4,CAD_Bancos[MÊS],F$6,CAD_Bancos[[BANCO ]],Rel_BC[[#This Row],[BANCOS]])+SUMIFS(LANÇ_MOV[VALOR LÍQUIDO],LANÇ_MOV[RECEITA OU DESPESA],"Receita",LANÇ_MOV[BANCO],$B11,LANÇ_MOV[MÊS PAGAMENTO CORRESPONDENTE],F$6,LANÇ_MOV[ANO PAGAMENTO],$B$4,LANÇ_MOV[CENTRO DE CUSTOS],$D$4)-SUMIFS(LANÇ_MOV[VALOR LÍQUIDO],LANÇ_MOV[RECEITA OU DESPESA],"Despesa",LANÇ_MOV[BANCO],$B11,LANÇ_MOV[MÊS PAGAMENTO CORRESPONDENTE],F$6,LANÇ_MOV[ANO PAGAMENTO],$B$4,LANÇ_MOV[EMPRESA],$C$4,LANÇ_MOV[CENTRO DE CUSTOS],$D$4),"")</f>
        <v>0</v>
      </c>
      <c r="G11" s="118">
        <f>IFERROR(SUMIFS(CAD_Bancos[R$ SALDO INICIAL],CAD_Bancos[ANO],$B$4,CAD_Bancos[MÊS],G$6,CAD_Bancos[[BANCO ]],Rel_BC[[#This Row],[BANCOS]])+SUMIFS(LANÇ_MOV[VALOR LÍQUIDO],LANÇ_MOV[RECEITA OU DESPESA],"Receita",LANÇ_MOV[BANCO],$B11,LANÇ_MOV[MÊS PAGAMENTO CORRESPONDENTE],G$6,LANÇ_MOV[ANO PAGAMENTO],$B$4,LANÇ_MOV[CENTRO DE CUSTOS],$D$4)-SUMIFS(LANÇ_MOV[VALOR LÍQUIDO],LANÇ_MOV[RECEITA OU DESPESA],"Despesa",LANÇ_MOV[BANCO],$B11,LANÇ_MOV[MÊS PAGAMENTO CORRESPONDENTE],G$6,LANÇ_MOV[ANO PAGAMENTO],$B$4,LANÇ_MOV[EMPRESA],$C$4,LANÇ_MOV[CENTRO DE CUSTOS],$D$4),"")</f>
        <v>0</v>
      </c>
      <c r="H11" s="118">
        <f>IFERROR(SUMIFS(CAD_Bancos[R$ SALDO INICIAL],CAD_Bancos[ANO],$B$4,CAD_Bancos[MÊS],H$6,CAD_Bancos[[BANCO ]],Rel_BC[[#This Row],[BANCOS]])+SUMIFS(LANÇ_MOV[VALOR LÍQUIDO],LANÇ_MOV[RECEITA OU DESPESA],"Receita",LANÇ_MOV[BANCO],$B11,LANÇ_MOV[MÊS PAGAMENTO CORRESPONDENTE],H$6,LANÇ_MOV[ANO PAGAMENTO],$B$4,LANÇ_MOV[CENTRO DE CUSTOS],$D$4)-SUMIFS(LANÇ_MOV[VALOR LÍQUIDO],LANÇ_MOV[RECEITA OU DESPESA],"Despesa",LANÇ_MOV[BANCO],$B11,LANÇ_MOV[MÊS PAGAMENTO CORRESPONDENTE],H$6,LANÇ_MOV[ANO PAGAMENTO],$B$4,LANÇ_MOV[EMPRESA],$C$4,LANÇ_MOV[CENTRO DE CUSTOS],$D$4),"")</f>
        <v>0</v>
      </c>
      <c r="I11" s="118">
        <f>IFERROR(SUMIFS(CAD_Bancos[R$ SALDO INICIAL],CAD_Bancos[ANO],$B$4,CAD_Bancos[MÊS],I$6,CAD_Bancos[[BANCO ]],Rel_BC[[#This Row],[BANCOS]])+SUMIFS(LANÇ_MOV[VALOR LÍQUIDO],LANÇ_MOV[RECEITA OU DESPESA],"Receita",LANÇ_MOV[BANCO],$B11,LANÇ_MOV[MÊS PAGAMENTO CORRESPONDENTE],I$6,LANÇ_MOV[ANO PAGAMENTO],$B$4,LANÇ_MOV[CENTRO DE CUSTOS],$D$4)-SUMIFS(LANÇ_MOV[VALOR LÍQUIDO],LANÇ_MOV[RECEITA OU DESPESA],"Despesa",LANÇ_MOV[BANCO],$B11,LANÇ_MOV[MÊS PAGAMENTO CORRESPONDENTE],I$6,LANÇ_MOV[ANO PAGAMENTO],$B$4,LANÇ_MOV[EMPRESA],$C$4,LANÇ_MOV[CENTRO DE CUSTOS],$D$4),"")</f>
        <v>0</v>
      </c>
      <c r="J11" s="118">
        <f>IFERROR(SUMIFS(CAD_Bancos[R$ SALDO INICIAL],CAD_Bancos[ANO],$B$4,CAD_Bancos[MÊS],J$6,CAD_Bancos[[BANCO ]],Rel_BC[[#This Row],[BANCOS]])+SUMIFS(LANÇ_MOV[VALOR LÍQUIDO],LANÇ_MOV[RECEITA OU DESPESA],"Receita",LANÇ_MOV[BANCO],$B11,LANÇ_MOV[MÊS PAGAMENTO CORRESPONDENTE],J$6,LANÇ_MOV[ANO PAGAMENTO],$B$4,LANÇ_MOV[CENTRO DE CUSTOS],$D$4)-SUMIFS(LANÇ_MOV[VALOR LÍQUIDO],LANÇ_MOV[RECEITA OU DESPESA],"Despesa",LANÇ_MOV[BANCO],$B11,LANÇ_MOV[MÊS PAGAMENTO CORRESPONDENTE],J$6,LANÇ_MOV[ANO PAGAMENTO],$B$4,LANÇ_MOV[EMPRESA],$C$4,LANÇ_MOV[CENTRO DE CUSTOS],$D$4),"")</f>
        <v>0</v>
      </c>
      <c r="K11" s="118">
        <f>IFERROR(SUMIFS(CAD_Bancos[R$ SALDO INICIAL],CAD_Bancos[ANO],$B$4,CAD_Bancos[MÊS],K$6,CAD_Bancos[[BANCO ]],Rel_BC[[#This Row],[BANCOS]])+SUMIFS(LANÇ_MOV[VALOR LÍQUIDO],LANÇ_MOV[RECEITA OU DESPESA],"Receita",LANÇ_MOV[BANCO],$B11,LANÇ_MOV[MÊS PAGAMENTO CORRESPONDENTE],K$6,LANÇ_MOV[ANO PAGAMENTO],$B$4,LANÇ_MOV[CENTRO DE CUSTOS],$D$4)-SUMIFS(LANÇ_MOV[VALOR LÍQUIDO],LANÇ_MOV[RECEITA OU DESPESA],"Despesa",LANÇ_MOV[BANCO],$B11,LANÇ_MOV[MÊS PAGAMENTO CORRESPONDENTE],K$6,LANÇ_MOV[ANO PAGAMENTO],$B$4,LANÇ_MOV[EMPRESA],$C$4,LANÇ_MOV[CENTRO DE CUSTOS],$D$4),"")</f>
        <v>0</v>
      </c>
      <c r="L11" s="118">
        <f>IFERROR(SUMIFS(CAD_Bancos[R$ SALDO INICIAL],CAD_Bancos[ANO],$B$4,CAD_Bancos[MÊS],L$6,CAD_Bancos[[BANCO ]],Rel_BC[[#This Row],[BANCOS]])+SUMIFS(LANÇ_MOV[VALOR LÍQUIDO],LANÇ_MOV[RECEITA OU DESPESA],"Receita",LANÇ_MOV[BANCO],$B11,LANÇ_MOV[MÊS PAGAMENTO CORRESPONDENTE],L$6,LANÇ_MOV[ANO PAGAMENTO],$B$4,LANÇ_MOV[CENTRO DE CUSTOS],$D$4)-SUMIFS(LANÇ_MOV[VALOR LÍQUIDO],LANÇ_MOV[RECEITA OU DESPESA],"Despesa",LANÇ_MOV[BANCO],$B11,LANÇ_MOV[MÊS PAGAMENTO CORRESPONDENTE],L$6,LANÇ_MOV[ANO PAGAMENTO],$B$4,LANÇ_MOV[EMPRESA],$C$4,LANÇ_MOV[CENTRO DE CUSTOS],$D$4),"")</f>
        <v>0</v>
      </c>
      <c r="M11" s="118">
        <f>IFERROR(SUMIFS(CAD_Bancos[R$ SALDO INICIAL],CAD_Bancos[ANO],$B$4,CAD_Bancos[MÊS],M$6,CAD_Bancos[[BANCO ]],Rel_BC[[#This Row],[BANCOS]])+SUMIFS(LANÇ_MOV[VALOR LÍQUIDO],LANÇ_MOV[RECEITA OU DESPESA],"Receita",LANÇ_MOV[BANCO],$B11,LANÇ_MOV[MÊS PAGAMENTO CORRESPONDENTE],M$6,LANÇ_MOV[ANO PAGAMENTO],$B$4,LANÇ_MOV[CENTRO DE CUSTOS],$D$4)-SUMIFS(LANÇ_MOV[VALOR LÍQUIDO],LANÇ_MOV[RECEITA OU DESPESA],"Despesa",LANÇ_MOV[BANCO],$B11,LANÇ_MOV[MÊS PAGAMENTO CORRESPONDENTE],M$6,LANÇ_MOV[ANO PAGAMENTO],$B$4,LANÇ_MOV[EMPRESA],$C$4,LANÇ_MOV[CENTRO DE CUSTOS],$D$4),"")</f>
        <v>0</v>
      </c>
      <c r="N11" s="118">
        <f>IFERROR(SUMIFS(CAD_Bancos[R$ SALDO INICIAL],CAD_Bancos[ANO],$B$4,CAD_Bancos[MÊS],N$6,CAD_Bancos[[BANCO ]],Rel_BC[[#This Row],[BANCOS]])+SUMIFS(LANÇ_MOV[VALOR LÍQUIDO],LANÇ_MOV[RECEITA OU DESPESA],"Receita",LANÇ_MOV[BANCO],$B11,LANÇ_MOV[MÊS PAGAMENTO CORRESPONDENTE],N$6,LANÇ_MOV[ANO PAGAMENTO],$B$4,LANÇ_MOV[CENTRO DE CUSTOS],$D$4)-SUMIFS(LANÇ_MOV[VALOR LÍQUIDO],LANÇ_MOV[RECEITA OU DESPESA],"Despesa",LANÇ_MOV[BANCO],$B11,LANÇ_MOV[MÊS PAGAMENTO CORRESPONDENTE],N$6,LANÇ_MOV[ANO PAGAMENTO],$B$4,LANÇ_MOV[EMPRESA],$C$4,LANÇ_MOV[CENTRO DE CUSTOS],$D$4),"")</f>
        <v>0</v>
      </c>
      <c r="O11" s="39">
        <f t="shared" si="0"/>
        <v>0</v>
      </c>
    </row>
    <row r="12" spans="1:15" ht="30.05" customHeight="1" x14ac:dyDescent="0.35">
      <c r="B12" s="358" t="str">
        <f>IF('CAD_BANCOS'!F10="","-",'CAD_BANCOS'!F10)</f>
        <v>-</v>
      </c>
      <c r="C12" s="118">
        <f>IFERROR(SUMIFS(CAD_Bancos[R$ SALDO INICIAL],CAD_Bancos[ANO],$B$4,CAD_Bancos[MÊS],C$6,CAD_Bancos[[BANCO ]],Rel_BC[[#This Row],[BANCOS]])+SUMIFS(LANÇ_MOV[VALOR LÍQUIDO],LANÇ_MOV[RECEITA OU DESPESA],"Receita",LANÇ_MOV[BANCO],$B12,LANÇ_MOV[MÊS PAGAMENTO CORRESPONDENTE],C$6,LANÇ_MOV[ANO PAGAMENTO],$B$4,LANÇ_MOV[CENTRO DE CUSTOS],$D$4)-SUMIFS(LANÇ_MOV[VALOR LÍQUIDO],LANÇ_MOV[RECEITA OU DESPESA],"Despesa",LANÇ_MOV[BANCO],$B12,LANÇ_MOV[MÊS PAGAMENTO CORRESPONDENTE],C$6,LANÇ_MOV[ANO PAGAMENTO],$B$4,LANÇ_MOV[EMPRESA],$C$4,LANÇ_MOV[CENTRO DE CUSTOS],$D$4),"")</f>
        <v>0</v>
      </c>
      <c r="D12" s="118">
        <f>IFERROR(SUMIFS(CAD_Bancos[R$ SALDO INICIAL],CAD_Bancos[ANO],$B$4,CAD_Bancos[MÊS],D$6,CAD_Bancos[[BANCO ]],Rel_BC[[#This Row],[BANCOS]])+SUMIFS(LANÇ_MOV[VALOR LÍQUIDO],LANÇ_MOV[RECEITA OU DESPESA],"Receita",LANÇ_MOV[BANCO],$B12,LANÇ_MOV[MÊS PAGAMENTO CORRESPONDENTE],D$6,LANÇ_MOV[ANO PAGAMENTO],$B$4,LANÇ_MOV[CENTRO DE CUSTOS],$D$4)-SUMIFS(LANÇ_MOV[VALOR LÍQUIDO],LANÇ_MOV[RECEITA OU DESPESA],"Despesa",LANÇ_MOV[BANCO],$B12,LANÇ_MOV[MÊS PAGAMENTO CORRESPONDENTE],D$6,LANÇ_MOV[ANO PAGAMENTO],$B$4,LANÇ_MOV[EMPRESA],$C$4,LANÇ_MOV[CENTRO DE CUSTOS],$D$4),"")</f>
        <v>0</v>
      </c>
      <c r="E12" s="118">
        <f>IFERROR(SUMIFS(CAD_Bancos[R$ SALDO INICIAL],CAD_Bancos[ANO],$B$4,CAD_Bancos[MÊS],E$6,CAD_Bancos[[BANCO ]],Rel_BC[[#This Row],[BANCOS]])+SUMIFS(LANÇ_MOV[VALOR LÍQUIDO],LANÇ_MOV[RECEITA OU DESPESA],"Receita",LANÇ_MOV[BANCO],$B12,LANÇ_MOV[MÊS PAGAMENTO CORRESPONDENTE],E$6,LANÇ_MOV[ANO PAGAMENTO],$B$4,LANÇ_MOV[CENTRO DE CUSTOS],$D$4)-SUMIFS(LANÇ_MOV[VALOR LÍQUIDO],LANÇ_MOV[RECEITA OU DESPESA],"Despesa",LANÇ_MOV[BANCO],$B12,LANÇ_MOV[MÊS PAGAMENTO CORRESPONDENTE],E$6,LANÇ_MOV[ANO PAGAMENTO],$B$4,LANÇ_MOV[EMPRESA],$C$4,LANÇ_MOV[CENTRO DE CUSTOS],$D$4),"")</f>
        <v>0</v>
      </c>
      <c r="F12" s="118">
        <f>IFERROR(SUMIFS(CAD_Bancos[R$ SALDO INICIAL],CAD_Bancos[ANO],$B$4,CAD_Bancos[MÊS],F$6,CAD_Bancos[[BANCO ]],Rel_BC[[#This Row],[BANCOS]])+SUMIFS(LANÇ_MOV[VALOR LÍQUIDO],LANÇ_MOV[RECEITA OU DESPESA],"Receita",LANÇ_MOV[BANCO],$B12,LANÇ_MOV[MÊS PAGAMENTO CORRESPONDENTE],F$6,LANÇ_MOV[ANO PAGAMENTO],$B$4,LANÇ_MOV[CENTRO DE CUSTOS],$D$4)-SUMIFS(LANÇ_MOV[VALOR LÍQUIDO],LANÇ_MOV[RECEITA OU DESPESA],"Despesa",LANÇ_MOV[BANCO],$B12,LANÇ_MOV[MÊS PAGAMENTO CORRESPONDENTE],F$6,LANÇ_MOV[ANO PAGAMENTO],$B$4,LANÇ_MOV[EMPRESA],$C$4,LANÇ_MOV[CENTRO DE CUSTOS],$D$4),"")</f>
        <v>0</v>
      </c>
      <c r="G12" s="118">
        <f>IFERROR(SUMIFS(CAD_Bancos[R$ SALDO INICIAL],CAD_Bancos[ANO],$B$4,CAD_Bancos[MÊS],G$6,CAD_Bancos[[BANCO ]],Rel_BC[[#This Row],[BANCOS]])+SUMIFS(LANÇ_MOV[VALOR LÍQUIDO],LANÇ_MOV[RECEITA OU DESPESA],"Receita",LANÇ_MOV[BANCO],$B12,LANÇ_MOV[MÊS PAGAMENTO CORRESPONDENTE],G$6,LANÇ_MOV[ANO PAGAMENTO],$B$4,LANÇ_MOV[CENTRO DE CUSTOS],$D$4)-SUMIFS(LANÇ_MOV[VALOR LÍQUIDO],LANÇ_MOV[RECEITA OU DESPESA],"Despesa",LANÇ_MOV[BANCO],$B12,LANÇ_MOV[MÊS PAGAMENTO CORRESPONDENTE],G$6,LANÇ_MOV[ANO PAGAMENTO],$B$4,LANÇ_MOV[EMPRESA],$C$4,LANÇ_MOV[CENTRO DE CUSTOS],$D$4),"")</f>
        <v>0</v>
      </c>
      <c r="H12" s="118">
        <f>IFERROR(SUMIFS(CAD_Bancos[R$ SALDO INICIAL],CAD_Bancos[ANO],$B$4,CAD_Bancos[MÊS],H$6,CAD_Bancos[[BANCO ]],Rel_BC[[#This Row],[BANCOS]])+SUMIFS(LANÇ_MOV[VALOR LÍQUIDO],LANÇ_MOV[RECEITA OU DESPESA],"Receita",LANÇ_MOV[BANCO],$B12,LANÇ_MOV[MÊS PAGAMENTO CORRESPONDENTE],H$6,LANÇ_MOV[ANO PAGAMENTO],$B$4,LANÇ_MOV[CENTRO DE CUSTOS],$D$4)-SUMIFS(LANÇ_MOV[VALOR LÍQUIDO],LANÇ_MOV[RECEITA OU DESPESA],"Despesa",LANÇ_MOV[BANCO],$B12,LANÇ_MOV[MÊS PAGAMENTO CORRESPONDENTE],H$6,LANÇ_MOV[ANO PAGAMENTO],$B$4,LANÇ_MOV[EMPRESA],$C$4,LANÇ_MOV[CENTRO DE CUSTOS],$D$4),"")</f>
        <v>0</v>
      </c>
      <c r="I12" s="118">
        <f>IFERROR(SUMIFS(CAD_Bancos[R$ SALDO INICIAL],CAD_Bancos[ANO],$B$4,CAD_Bancos[MÊS],I$6,CAD_Bancos[[BANCO ]],Rel_BC[[#This Row],[BANCOS]])+SUMIFS(LANÇ_MOV[VALOR LÍQUIDO],LANÇ_MOV[RECEITA OU DESPESA],"Receita",LANÇ_MOV[BANCO],$B12,LANÇ_MOV[MÊS PAGAMENTO CORRESPONDENTE],I$6,LANÇ_MOV[ANO PAGAMENTO],$B$4,LANÇ_MOV[CENTRO DE CUSTOS],$D$4)-SUMIFS(LANÇ_MOV[VALOR LÍQUIDO],LANÇ_MOV[RECEITA OU DESPESA],"Despesa",LANÇ_MOV[BANCO],$B12,LANÇ_MOV[MÊS PAGAMENTO CORRESPONDENTE],I$6,LANÇ_MOV[ANO PAGAMENTO],$B$4,LANÇ_MOV[EMPRESA],$C$4,LANÇ_MOV[CENTRO DE CUSTOS],$D$4),"")</f>
        <v>0</v>
      </c>
      <c r="J12" s="118">
        <f>IFERROR(SUMIFS(CAD_Bancos[R$ SALDO INICIAL],CAD_Bancos[ANO],$B$4,CAD_Bancos[MÊS],J$6,CAD_Bancos[[BANCO ]],Rel_BC[[#This Row],[BANCOS]])+SUMIFS(LANÇ_MOV[VALOR LÍQUIDO],LANÇ_MOV[RECEITA OU DESPESA],"Receita",LANÇ_MOV[BANCO],$B12,LANÇ_MOV[MÊS PAGAMENTO CORRESPONDENTE],J$6,LANÇ_MOV[ANO PAGAMENTO],$B$4,LANÇ_MOV[CENTRO DE CUSTOS],$D$4)-SUMIFS(LANÇ_MOV[VALOR LÍQUIDO],LANÇ_MOV[RECEITA OU DESPESA],"Despesa",LANÇ_MOV[BANCO],$B12,LANÇ_MOV[MÊS PAGAMENTO CORRESPONDENTE],J$6,LANÇ_MOV[ANO PAGAMENTO],$B$4,LANÇ_MOV[EMPRESA],$C$4,LANÇ_MOV[CENTRO DE CUSTOS],$D$4),"")</f>
        <v>0</v>
      </c>
      <c r="K12" s="118">
        <f>IFERROR(SUMIFS(CAD_Bancos[R$ SALDO INICIAL],CAD_Bancos[ANO],$B$4,CAD_Bancos[MÊS],K$6,CAD_Bancos[[BANCO ]],Rel_BC[[#This Row],[BANCOS]])+SUMIFS(LANÇ_MOV[VALOR LÍQUIDO],LANÇ_MOV[RECEITA OU DESPESA],"Receita",LANÇ_MOV[BANCO],$B12,LANÇ_MOV[MÊS PAGAMENTO CORRESPONDENTE],K$6,LANÇ_MOV[ANO PAGAMENTO],$B$4,LANÇ_MOV[CENTRO DE CUSTOS],$D$4)-SUMIFS(LANÇ_MOV[VALOR LÍQUIDO],LANÇ_MOV[RECEITA OU DESPESA],"Despesa",LANÇ_MOV[BANCO],$B12,LANÇ_MOV[MÊS PAGAMENTO CORRESPONDENTE],K$6,LANÇ_MOV[ANO PAGAMENTO],$B$4,LANÇ_MOV[EMPRESA],$C$4,LANÇ_MOV[CENTRO DE CUSTOS],$D$4),"")</f>
        <v>0</v>
      </c>
      <c r="L12" s="118">
        <f>IFERROR(SUMIFS(CAD_Bancos[R$ SALDO INICIAL],CAD_Bancos[ANO],$B$4,CAD_Bancos[MÊS],L$6,CAD_Bancos[[BANCO ]],Rel_BC[[#This Row],[BANCOS]])+SUMIFS(LANÇ_MOV[VALOR LÍQUIDO],LANÇ_MOV[RECEITA OU DESPESA],"Receita",LANÇ_MOV[BANCO],$B12,LANÇ_MOV[MÊS PAGAMENTO CORRESPONDENTE],L$6,LANÇ_MOV[ANO PAGAMENTO],$B$4,LANÇ_MOV[CENTRO DE CUSTOS],$D$4)-SUMIFS(LANÇ_MOV[VALOR LÍQUIDO],LANÇ_MOV[RECEITA OU DESPESA],"Despesa",LANÇ_MOV[BANCO],$B12,LANÇ_MOV[MÊS PAGAMENTO CORRESPONDENTE],L$6,LANÇ_MOV[ANO PAGAMENTO],$B$4,LANÇ_MOV[EMPRESA],$C$4,LANÇ_MOV[CENTRO DE CUSTOS],$D$4),"")</f>
        <v>0</v>
      </c>
      <c r="M12" s="118">
        <f>IFERROR(SUMIFS(CAD_Bancos[R$ SALDO INICIAL],CAD_Bancos[ANO],$B$4,CAD_Bancos[MÊS],M$6,CAD_Bancos[[BANCO ]],Rel_BC[[#This Row],[BANCOS]])+SUMIFS(LANÇ_MOV[VALOR LÍQUIDO],LANÇ_MOV[RECEITA OU DESPESA],"Receita",LANÇ_MOV[BANCO],$B12,LANÇ_MOV[MÊS PAGAMENTO CORRESPONDENTE],M$6,LANÇ_MOV[ANO PAGAMENTO],$B$4,LANÇ_MOV[CENTRO DE CUSTOS],$D$4)-SUMIFS(LANÇ_MOV[VALOR LÍQUIDO],LANÇ_MOV[RECEITA OU DESPESA],"Despesa",LANÇ_MOV[BANCO],$B12,LANÇ_MOV[MÊS PAGAMENTO CORRESPONDENTE],M$6,LANÇ_MOV[ANO PAGAMENTO],$B$4,LANÇ_MOV[EMPRESA],$C$4,LANÇ_MOV[CENTRO DE CUSTOS],$D$4),"")</f>
        <v>0</v>
      </c>
      <c r="N12" s="118">
        <f>IFERROR(SUMIFS(CAD_Bancos[R$ SALDO INICIAL],CAD_Bancos[ANO],$B$4,CAD_Bancos[MÊS],N$6,CAD_Bancos[[BANCO ]],Rel_BC[[#This Row],[BANCOS]])+SUMIFS(LANÇ_MOV[VALOR LÍQUIDO],LANÇ_MOV[RECEITA OU DESPESA],"Receita",LANÇ_MOV[BANCO],$B12,LANÇ_MOV[MÊS PAGAMENTO CORRESPONDENTE],N$6,LANÇ_MOV[ANO PAGAMENTO],$B$4,LANÇ_MOV[CENTRO DE CUSTOS],$D$4)-SUMIFS(LANÇ_MOV[VALOR LÍQUIDO],LANÇ_MOV[RECEITA OU DESPESA],"Despesa",LANÇ_MOV[BANCO],$B12,LANÇ_MOV[MÊS PAGAMENTO CORRESPONDENTE],N$6,LANÇ_MOV[ANO PAGAMENTO],$B$4,LANÇ_MOV[EMPRESA],$C$4,LANÇ_MOV[CENTRO DE CUSTOS],$D$4),"")</f>
        <v>0</v>
      </c>
      <c r="O12" s="39">
        <f t="shared" si="0"/>
        <v>0</v>
      </c>
    </row>
    <row r="13" spans="1:15" ht="30.05" customHeight="1" x14ac:dyDescent="0.35">
      <c r="B13" s="358" t="str">
        <f>IF('CAD_BANCOS'!F11="","-",'CAD_BANCOS'!F11)</f>
        <v>-</v>
      </c>
      <c r="C13" s="118">
        <f>IFERROR(SUMIFS(CAD_Bancos[R$ SALDO INICIAL],CAD_Bancos[ANO],$B$4,CAD_Bancos[MÊS],C$6,CAD_Bancos[[BANCO ]],Rel_BC[[#This Row],[BANCOS]])+SUMIFS(LANÇ_MOV[VALOR LÍQUIDO],LANÇ_MOV[RECEITA OU DESPESA],"Receita",LANÇ_MOV[BANCO],$B13,LANÇ_MOV[MÊS PAGAMENTO CORRESPONDENTE],C$6,LANÇ_MOV[ANO PAGAMENTO],$B$4,LANÇ_MOV[CENTRO DE CUSTOS],$D$4)-SUMIFS(LANÇ_MOV[VALOR LÍQUIDO],LANÇ_MOV[RECEITA OU DESPESA],"Despesa",LANÇ_MOV[BANCO],$B13,LANÇ_MOV[MÊS PAGAMENTO CORRESPONDENTE],C$6,LANÇ_MOV[ANO PAGAMENTO],$B$4,LANÇ_MOV[EMPRESA],$C$4,LANÇ_MOV[CENTRO DE CUSTOS],$D$4),"")</f>
        <v>0</v>
      </c>
      <c r="D13" s="118">
        <f>IFERROR(SUMIFS(CAD_Bancos[R$ SALDO INICIAL],CAD_Bancos[ANO],$B$4,CAD_Bancos[MÊS],D$6,CAD_Bancos[[BANCO ]],Rel_BC[[#This Row],[BANCOS]])+SUMIFS(LANÇ_MOV[VALOR LÍQUIDO],LANÇ_MOV[RECEITA OU DESPESA],"Receita",LANÇ_MOV[BANCO],$B13,LANÇ_MOV[MÊS PAGAMENTO CORRESPONDENTE],D$6,LANÇ_MOV[ANO PAGAMENTO],$B$4,LANÇ_MOV[CENTRO DE CUSTOS],$D$4)-SUMIFS(LANÇ_MOV[VALOR LÍQUIDO],LANÇ_MOV[RECEITA OU DESPESA],"Despesa",LANÇ_MOV[BANCO],$B13,LANÇ_MOV[MÊS PAGAMENTO CORRESPONDENTE],D$6,LANÇ_MOV[ANO PAGAMENTO],$B$4,LANÇ_MOV[EMPRESA],$C$4,LANÇ_MOV[CENTRO DE CUSTOS],$D$4),"")</f>
        <v>0</v>
      </c>
      <c r="E13" s="118">
        <f>IFERROR(SUMIFS(CAD_Bancos[R$ SALDO INICIAL],CAD_Bancos[ANO],$B$4,CAD_Bancos[MÊS],E$6,CAD_Bancos[[BANCO ]],Rel_BC[[#This Row],[BANCOS]])+SUMIFS(LANÇ_MOV[VALOR LÍQUIDO],LANÇ_MOV[RECEITA OU DESPESA],"Receita",LANÇ_MOV[BANCO],$B13,LANÇ_MOV[MÊS PAGAMENTO CORRESPONDENTE],E$6,LANÇ_MOV[ANO PAGAMENTO],$B$4,LANÇ_MOV[CENTRO DE CUSTOS],$D$4)-SUMIFS(LANÇ_MOV[VALOR LÍQUIDO],LANÇ_MOV[RECEITA OU DESPESA],"Despesa",LANÇ_MOV[BANCO],$B13,LANÇ_MOV[MÊS PAGAMENTO CORRESPONDENTE],E$6,LANÇ_MOV[ANO PAGAMENTO],$B$4,LANÇ_MOV[EMPRESA],$C$4,LANÇ_MOV[CENTRO DE CUSTOS],$D$4),"")</f>
        <v>0</v>
      </c>
      <c r="F13" s="118">
        <f>IFERROR(SUMIFS(CAD_Bancos[R$ SALDO INICIAL],CAD_Bancos[ANO],$B$4,CAD_Bancos[MÊS],F$6,CAD_Bancos[[BANCO ]],Rel_BC[[#This Row],[BANCOS]])+SUMIFS(LANÇ_MOV[VALOR LÍQUIDO],LANÇ_MOV[RECEITA OU DESPESA],"Receita",LANÇ_MOV[BANCO],$B13,LANÇ_MOV[MÊS PAGAMENTO CORRESPONDENTE],F$6,LANÇ_MOV[ANO PAGAMENTO],$B$4,LANÇ_MOV[CENTRO DE CUSTOS],$D$4)-SUMIFS(LANÇ_MOV[VALOR LÍQUIDO],LANÇ_MOV[RECEITA OU DESPESA],"Despesa",LANÇ_MOV[BANCO],$B13,LANÇ_MOV[MÊS PAGAMENTO CORRESPONDENTE],F$6,LANÇ_MOV[ANO PAGAMENTO],$B$4,LANÇ_MOV[EMPRESA],$C$4,LANÇ_MOV[CENTRO DE CUSTOS],$D$4),"")</f>
        <v>0</v>
      </c>
      <c r="G13" s="118">
        <f>IFERROR(SUMIFS(CAD_Bancos[R$ SALDO INICIAL],CAD_Bancos[ANO],$B$4,CAD_Bancos[MÊS],G$6,CAD_Bancos[[BANCO ]],Rel_BC[[#This Row],[BANCOS]])+SUMIFS(LANÇ_MOV[VALOR LÍQUIDO],LANÇ_MOV[RECEITA OU DESPESA],"Receita",LANÇ_MOV[BANCO],$B13,LANÇ_MOV[MÊS PAGAMENTO CORRESPONDENTE],G$6,LANÇ_MOV[ANO PAGAMENTO],$B$4,LANÇ_MOV[CENTRO DE CUSTOS],$D$4)-SUMIFS(LANÇ_MOV[VALOR LÍQUIDO],LANÇ_MOV[RECEITA OU DESPESA],"Despesa",LANÇ_MOV[BANCO],$B13,LANÇ_MOV[MÊS PAGAMENTO CORRESPONDENTE],G$6,LANÇ_MOV[ANO PAGAMENTO],$B$4,LANÇ_MOV[EMPRESA],$C$4,LANÇ_MOV[CENTRO DE CUSTOS],$D$4),"")</f>
        <v>0</v>
      </c>
      <c r="H13" s="118">
        <f>IFERROR(SUMIFS(CAD_Bancos[R$ SALDO INICIAL],CAD_Bancos[ANO],$B$4,CAD_Bancos[MÊS],H$6,CAD_Bancos[[BANCO ]],Rel_BC[[#This Row],[BANCOS]])+SUMIFS(LANÇ_MOV[VALOR LÍQUIDO],LANÇ_MOV[RECEITA OU DESPESA],"Receita",LANÇ_MOV[BANCO],$B13,LANÇ_MOV[MÊS PAGAMENTO CORRESPONDENTE],H$6,LANÇ_MOV[ANO PAGAMENTO],$B$4,LANÇ_MOV[CENTRO DE CUSTOS],$D$4)-SUMIFS(LANÇ_MOV[VALOR LÍQUIDO],LANÇ_MOV[RECEITA OU DESPESA],"Despesa",LANÇ_MOV[BANCO],$B13,LANÇ_MOV[MÊS PAGAMENTO CORRESPONDENTE],H$6,LANÇ_MOV[ANO PAGAMENTO],$B$4,LANÇ_MOV[EMPRESA],$C$4,LANÇ_MOV[CENTRO DE CUSTOS],$D$4),"")</f>
        <v>0</v>
      </c>
      <c r="I13" s="118">
        <f>IFERROR(SUMIFS(CAD_Bancos[R$ SALDO INICIAL],CAD_Bancos[ANO],$B$4,CAD_Bancos[MÊS],I$6,CAD_Bancos[[BANCO ]],Rel_BC[[#This Row],[BANCOS]])+SUMIFS(LANÇ_MOV[VALOR LÍQUIDO],LANÇ_MOV[RECEITA OU DESPESA],"Receita",LANÇ_MOV[BANCO],$B13,LANÇ_MOV[MÊS PAGAMENTO CORRESPONDENTE],I$6,LANÇ_MOV[ANO PAGAMENTO],$B$4,LANÇ_MOV[CENTRO DE CUSTOS],$D$4)-SUMIFS(LANÇ_MOV[VALOR LÍQUIDO],LANÇ_MOV[RECEITA OU DESPESA],"Despesa",LANÇ_MOV[BANCO],$B13,LANÇ_MOV[MÊS PAGAMENTO CORRESPONDENTE],I$6,LANÇ_MOV[ANO PAGAMENTO],$B$4,LANÇ_MOV[EMPRESA],$C$4,LANÇ_MOV[CENTRO DE CUSTOS],$D$4),"")</f>
        <v>0</v>
      </c>
      <c r="J13" s="118">
        <f>IFERROR(SUMIFS(CAD_Bancos[R$ SALDO INICIAL],CAD_Bancos[ANO],$B$4,CAD_Bancos[MÊS],J$6,CAD_Bancos[[BANCO ]],Rel_BC[[#This Row],[BANCOS]])+SUMIFS(LANÇ_MOV[VALOR LÍQUIDO],LANÇ_MOV[RECEITA OU DESPESA],"Receita",LANÇ_MOV[BANCO],$B13,LANÇ_MOV[MÊS PAGAMENTO CORRESPONDENTE],J$6,LANÇ_MOV[ANO PAGAMENTO],$B$4,LANÇ_MOV[CENTRO DE CUSTOS],$D$4)-SUMIFS(LANÇ_MOV[VALOR LÍQUIDO],LANÇ_MOV[RECEITA OU DESPESA],"Despesa",LANÇ_MOV[BANCO],$B13,LANÇ_MOV[MÊS PAGAMENTO CORRESPONDENTE],J$6,LANÇ_MOV[ANO PAGAMENTO],$B$4,LANÇ_MOV[EMPRESA],$C$4,LANÇ_MOV[CENTRO DE CUSTOS],$D$4),"")</f>
        <v>0</v>
      </c>
      <c r="K13" s="118">
        <f>IFERROR(SUMIFS(CAD_Bancos[R$ SALDO INICIAL],CAD_Bancos[ANO],$B$4,CAD_Bancos[MÊS],K$6,CAD_Bancos[[BANCO ]],Rel_BC[[#This Row],[BANCOS]])+SUMIFS(LANÇ_MOV[VALOR LÍQUIDO],LANÇ_MOV[RECEITA OU DESPESA],"Receita",LANÇ_MOV[BANCO],$B13,LANÇ_MOV[MÊS PAGAMENTO CORRESPONDENTE],K$6,LANÇ_MOV[ANO PAGAMENTO],$B$4,LANÇ_MOV[CENTRO DE CUSTOS],$D$4)-SUMIFS(LANÇ_MOV[VALOR LÍQUIDO],LANÇ_MOV[RECEITA OU DESPESA],"Despesa",LANÇ_MOV[BANCO],$B13,LANÇ_MOV[MÊS PAGAMENTO CORRESPONDENTE],K$6,LANÇ_MOV[ANO PAGAMENTO],$B$4,LANÇ_MOV[EMPRESA],$C$4,LANÇ_MOV[CENTRO DE CUSTOS],$D$4),"")</f>
        <v>0</v>
      </c>
      <c r="L13" s="118">
        <f>IFERROR(SUMIFS(CAD_Bancos[R$ SALDO INICIAL],CAD_Bancos[ANO],$B$4,CAD_Bancos[MÊS],L$6,CAD_Bancos[[BANCO ]],Rel_BC[[#This Row],[BANCOS]])+SUMIFS(LANÇ_MOV[VALOR LÍQUIDO],LANÇ_MOV[RECEITA OU DESPESA],"Receita",LANÇ_MOV[BANCO],$B13,LANÇ_MOV[MÊS PAGAMENTO CORRESPONDENTE],L$6,LANÇ_MOV[ANO PAGAMENTO],$B$4,LANÇ_MOV[CENTRO DE CUSTOS],$D$4)-SUMIFS(LANÇ_MOV[VALOR LÍQUIDO],LANÇ_MOV[RECEITA OU DESPESA],"Despesa",LANÇ_MOV[BANCO],$B13,LANÇ_MOV[MÊS PAGAMENTO CORRESPONDENTE],L$6,LANÇ_MOV[ANO PAGAMENTO],$B$4,LANÇ_MOV[EMPRESA],$C$4,LANÇ_MOV[CENTRO DE CUSTOS],$D$4),"")</f>
        <v>0</v>
      </c>
      <c r="M13" s="118">
        <f>IFERROR(SUMIFS(CAD_Bancos[R$ SALDO INICIAL],CAD_Bancos[ANO],$B$4,CAD_Bancos[MÊS],M$6,CAD_Bancos[[BANCO ]],Rel_BC[[#This Row],[BANCOS]])+SUMIFS(LANÇ_MOV[VALOR LÍQUIDO],LANÇ_MOV[RECEITA OU DESPESA],"Receita",LANÇ_MOV[BANCO],$B13,LANÇ_MOV[MÊS PAGAMENTO CORRESPONDENTE],M$6,LANÇ_MOV[ANO PAGAMENTO],$B$4,LANÇ_MOV[CENTRO DE CUSTOS],$D$4)-SUMIFS(LANÇ_MOV[VALOR LÍQUIDO],LANÇ_MOV[RECEITA OU DESPESA],"Despesa",LANÇ_MOV[BANCO],$B13,LANÇ_MOV[MÊS PAGAMENTO CORRESPONDENTE],M$6,LANÇ_MOV[ANO PAGAMENTO],$B$4,LANÇ_MOV[EMPRESA],$C$4,LANÇ_MOV[CENTRO DE CUSTOS],$D$4),"")</f>
        <v>0</v>
      </c>
      <c r="N13" s="118">
        <f>IFERROR(SUMIFS(CAD_Bancos[R$ SALDO INICIAL],CAD_Bancos[ANO],$B$4,CAD_Bancos[MÊS],N$6,CAD_Bancos[[BANCO ]],Rel_BC[[#This Row],[BANCOS]])+SUMIFS(LANÇ_MOV[VALOR LÍQUIDO],LANÇ_MOV[RECEITA OU DESPESA],"Receita",LANÇ_MOV[BANCO],$B13,LANÇ_MOV[MÊS PAGAMENTO CORRESPONDENTE],N$6,LANÇ_MOV[ANO PAGAMENTO],$B$4,LANÇ_MOV[CENTRO DE CUSTOS],$D$4)-SUMIFS(LANÇ_MOV[VALOR LÍQUIDO],LANÇ_MOV[RECEITA OU DESPESA],"Despesa",LANÇ_MOV[BANCO],$B13,LANÇ_MOV[MÊS PAGAMENTO CORRESPONDENTE],N$6,LANÇ_MOV[ANO PAGAMENTO],$B$4,LANÇ_MOV[EMPRESA],$C$4,LANÇ_MOV[CENTRO DE CUSTOS],$D$4),"")</f>
        <v>0</v>
      </c>
      <c r="O13" s="39">
        <f t="shared" si="0"/>
        <v>0</v>
      </c>
    </row>
    <row r="14" spans="1:15" ht="30.05" customHeight="1" x14ac:dyDescent="0.35">
      <c r="B14" s="358" t="str">
        <f>IF('CAD_BANCOS'!F12="","-",'CAD_BANCOS'!F12)</f>
        <v>-</v>
      </c>
      <c r="C14" s="118">
        <f>IFERROR(SUMIFS(CAD_Bancos[R$ SALDO INICIAL],CAD_Bancos[ANO],$B$4,CAD_Bancos[MÊS],C$6,CAD_Bancos[[BANCO ]],Rel_BC[[#This Row],[BANCOS]])+SUMIFS(LANÇ_MOV[VALOR LÍQUIDO],LANÇ_MOV[RECEITA OU DESPESA],"Receita",LANÇ_MOV[BANCO],$B14,LANÇ_MOV[MÊS PAGAMENTO CORRESPONDENTE],C$6,LANÇ_MOV[ANO PAGAMENTO],$B$4,LANÇ_MOV[CENTRO DE CUSTOS],$D$4)-SUMIFS(LANÇ_MOV[VALOR LÍQUIDO],LANÇ_MOV[RECEITA OU DESPESA],"Despesa",LANÇ_MOV[BANCO],$B14,LANÇ_MOV[MÊS PAGAMENTO CORRESPONDENTE],C$6,LANÇ_MOV[ANO PAGAMENTO],$B$4,LANÇ_MOV[EMPRESA],$C$4,LANÇ_MOV[CENTRO DE CUSTOS],$D$4),"")</f>
        <v>0</v>
      </c>
      <c r="D14" s="118">
        <f>IFERROR(SUMIFS(CAD_Bancos[R$ SALDO INICIAL],CAD_Bancos[ANO],$B$4,CAD_Bancos[MÊS],D$6,CAD_Bancos[[BANCO ]],Rel_BC[[#This Row],[BANCOS]])+SUMIFS(LANÇ_MOV[VALOR LÍQUIDO],LANÇ_MOV[RECEITA OU DESPESA],"Receita",LANÇ_MOV[BANCO],$B14,LANÇ_MOV[MÊS PAGAMENTO CORRESPONDENTE],D$6,LANÇ_MOV[ANO PAGAMENTO],$B$4,LANÇ_MOV[CENTRO DE CUSTOS],$D$4)-SUMIFS(LANÇ_MOV[VALOR LÍQUIDO],LANÇ_MOV[RECEITA OU DESPESA],"Despesa",LANÇ_MOV[BANCO],$B14,LANÇ_MOV[MÊS PAGAMENTO CORRESPONDENTE],D$6,LANÇ_MOV[ANO PAGAMENTO],$B$4,LANÇ_MOV[EMPRESA],$C$4,LANÇ_MOV[CENTRO DE CUSTOS],$D$4),"")</f>
        <v>0</v>
      </c>
      <c r="E14" s="118">
        <f>IFERROR(SUMIFS(CAD_Bancos[R$ SALDO INICIAL],CAD_Bancos[ANO],$B$4,CAD_Bancos[MÊS],E$6,CAD_Bancos[[BANCO ]],Rel_BC[[#This Row],[BANCOS]])+SUMIFS(LANÇ_MOV[VALOR LÍQUIDO],LANÇ_MOV[RECEITA OU DESPESA],"Receita",LANÇ_MOV[BANCO],$B14,LANÇ_MOV[MÊS PAGAMENTO CORRESPONDENTE],E$6,LANÇ_MOV[ANO PAGAMENTO],$B$4,LANÇ_MOV[CENTRO DE CUSTOS],$D$4)-SUMIFS(LANÇ_MOV[VALOR LÍQUIDO],LANÇ_MOV[RECEITA OU DESPESA],"Despesa",LANÇ_MOV[BANCO],$B14,LANÇ_MOV[MÊS PAGAMENTO CORRESPONDENTE],E$6,LANÇ_MOV[ANO PAGAMENTO],$B$4,LANÇ_MOV[EMPRESA],$C$4,LANÇ_MOV[CENTRO DE CUSTOS],$D$4),"")</f>
        <v>0</v>
      </c>
      <c r="F14" s="118">
        <f>IFERROR(SUMIFS(CAD_Bancos[R$ SALDO INICIAL],CAD_Bancos[ANO],$B$4,CAD_Bancos[MÊS],F$6,CAD_Bancos[[BANCO ]],Rel_BC[[#This Row],[BANCOS]])+SUMIFS(LANÇ_MOV[VALOR LÍQUIDO],LANÇ_MOV[RECEITA OU DESPESA],"Receita",LANÇ_MOV[BANCO],$B14,LANÇ_MOV[MÊS PAGAMENTO CORRESPONDENTE],F$6,LANÇ_MOV[ANO PAGAMENTO],$B$4,LANÇ_MOV[CENTRO DE CUSTOS],$D$4)-SUMIFS(LANÇ_MOV[VALOR LÍQUIDO],LANÇ_MOV[RECEITA OU DESPESA],"Despesa",LANÇ_MOV[BANCO],$B14,LANÇ_MOV[MÊS PAGAMENTO CORRESPONDENTE],F$6,LANÇ_MOV[ANO PAGAMENTO],$B$4,LANÇ_MOV[EMPRESA],$C$4,LANÇ_MOV[CENTRO DE CUSTOS],$D$4),"")</f>
        <v>0</v>
      </c>
      <c r="G14" s="118">
        <f>IFERROR(SUMIFS(CAD_Bancos[R$ SALDO INICIAL],CAD_Bancos[ANO],$B$4,CAD_Bancos[MÊS],G$6,CAD_Bancos[[BANCO ]],Rel_BC[[#This Row],[BANCOS]])+SUMIFS(LANÇ_MOV[VALOR LÍQUIDO],LANÇ_MOV[RECEITA OU DESPESA],"Receita",LANÇ_MOV[BANCO],$B14,LANÇ_MOV[MÊS PAGAMENTO CORRESPONDENTE],G$6,LANÇ_MOV[ANO PAGAMENTO],$B$4,LANÇ_MOV[CENTRO DE CUSTOS],$D$4)-SUMIFS(LANÇ_MOV[VALOR LÍQUIDO],LANÇ_MOV[RECEITA OU DESPESA],"Despesa",LANÇ_MOV[BANCO],$B14,LANÇ_MOV[MÊS PAGAMENTO CORRESPONDENTE],G$6,LANÇ_MOV[ANO PAGAMENTO],$B$4,LANÇ_MOV[EMPRESA],$C$4,LANÇ_MOV[CENTRO DE CUSTOS],$D$4),"")</f>
        <v>0</v>
      </c>
      <c r="H14" s="118">
        <f>IFERROR(SUMIFS(CAD_Bancos[R$ SALDO INICIAL],CAD_Bancos[ANO],$B$4,CAD_Bancos[MÊS],H$6,CAD_Bancos[[BANCO ]],Rel_BC[[#This Row],[BANCOS]])+SUMIFS(LANÇ_MOV[VALOR LÍQUIDO],LANÇ_MOV[RECEITA OU DESPESA],"Receita",LANÇ_MOV[BANCO],$B14,LANÇ_MOV[MÊS PAGAMENTO CORRESPONDENTE],H$6,LANÇ_MOV[ANO PAGAMENTO],$B$4,LANÇ_MOV[CENTRO DE CUSTOS],$D$4)-SUMIFS(LANÇ_MOV[VALOR LÍQUIDO],LANÇ_MOV[RECEITA OU DESPESA],"Despesa",LANÇ_MOV[BANCO],$B14,LANÇ_MOV[MÊS PAGAMENTO CORRESPONDENTE],H$6,LANÇ_MOV[ANO PAGAMENTO],$B$4,LANÇ_MOV[EMPRESA],$C$4,LANÇ_MOV[CENTRO DE CUSTOS],$D$4),"")</f>
        <v>0</v>
      </c>
      <c r="I14" s="118">
        <f>IFERROR(SUMIFS(CAD_Bancos[R$ SALDO INICIAL],CAD_Bancos[ANO],$B$4,CAD_Bancos[MÊS],I$6,CAD_Bancos[[BANCO ]],Rel_BC[[#This Row],[BANCOS]])+SUMIFS(LANÇ_MOV[VALOR LÍQUIDO],LANÇ_MOV[RECEITA OU DESPESA],"Receita",LANÇ_MOV[BANCO],$B14,LANÇ_MOV[MÊS PAGAMENTO CORRESPONDENTE],I$6,LANÇ_MOV[ANO PAGAMENTO],$B$4,LANÇ_MOV[CENTRO DE CUSTOS],$D$4)-SUMIFS(LANÇ_MOV[VALOR LÍQUIDO],LANÇ_MOV[RECEITA OU DESPESA],"Despesa",LANÇ_MOV[BANCO],$B14,LANÇ_MOV[MÊS PAGAMENTO CORRESPONDENTE],I$6,LANÇ_MOV[ANO PAGAMENTO],$B$4,LANÇ_MOV[EMPRESA],$C$4,LANÇ_MOV[CENTRO DE CUSTOS],$D$4),"")</f>
        <v>0</v>
      </c>
      <c r="J14" s="118">
        <f>IFERROR(SUMIFS(CAD_Bancos[R$ SALDO INICIAL],CAD_Bancos[ANO],$B$4,CAD_Bancos[MÊS],J$6,CAD_Bancos[[BANCO ]],Rel_BC[[#This Row],[BANCOS]])+SUMIFS(LANÇ_MOV[VALOR LÍQUIDO],LANÇ_MOV[RECEITA OU DESPESA],"Receita",LANÇ_MOV[BANCO],$B14,LANÇ_MOV[MÊS PAGAMENTO CORRESPONDENTE],J$6,LANÇ_MOV[ANO PAGAMENTO],$B$4,LANÇ_MOV[CENTRO DE CUSTOS],$D$4)-SUMIFS(LANÇ_MOV[VALOR LÍQUIDO],LANÇ_MOV[RECEITA OU DESPESA],"Despesa",LANÇ_MOV[BANCO],$B14,LANÇ_MOV[MÊS PAGAMENTO CORRESPONDENTE],J$6,LANÇ_MOV[ANO PAGAMENTO],$B$4,LANÇ_MOV[EMPRESA],$C$4,LANÇ_MOV[CENTRO DE CUSTOS],$D$4),"")</f>
        <v>0</v>
      </c>
      <c r="K14" s="118">
        <f>IFERROR(SUMIFS(CAD_Bancos[R$ SALDO INICIAL],CAD_Bancos[ANO],$B$4,CAD_Bancos[MÊS],K$6,CAD_Bancos[[BANCO ]],Rel_BC[[#This Row],[BANCOS]])+SUMIFS(LANÇ_MOV[VALOR LÍQUIDO],LANÇ_MOV[RECEITA OU DESPESA],"Receita",LANÇ_MOV[BANCO],$B14,LANÇ_MOV[MÊS PAGAMENTO CORRESPONDENTE],K$6,LANÇ_MOV[ANO PAGAMENTO],$B$4,LANÇ_MOV[CENTRO DE CUSTOS],$D$4)-SUMIFS(LANÇ_MOV[VALOR LÍQUIDO],LANÇ_MOV[RECEITA OU DESPESA],"Despesa",LANÇ_MOV[BANCO],$B14,LANÇ_MOV[MÊS PAGAMENTO CORRESPONDENTE],K$6,LANÇ_MOV[ANO PAGAMENTO],$B$4,LANÇ_MOV[EMPRESA],$C$4,LANÇ_MOV[CENTRO DE CUSTOS],$D$4),"")</f>
        <v>0</v>
      </c>
      <c r="L14" s="118">
        <f>IFERROR(SUMIFS(CAD_Bancos[R$ SALDO INICIAL],CAD_Bancos[ANO],$B$4,CAD_Bancos[MÊS],L$6,CAD_Bancos[[BANCO ]],Rel_BC[[#This Row],[BANCOS]])+SUMIFS(LANÇ_MOV[VALOR LÍQUIDO],LANÇ_MOV[RECEITA OU DESPESA],"Receita",LANÇ_MOV[BANCO],$B14,LANÇ_MOV[MÊS PAGAMENTO CORRESPONDENTE],L$6,LANÇ_MOV[ANO PAGAMENTO],$B$4,LANÇ_MOV[CENTRO DE CUSTOS],$D$4)-SUMIFS(LANÇ_MOV[VALOR LÍQUIDO],LANÇ_MOV[RECEITA OU DESPESA],"Despesa",LANÇ_MOV[BANCO],$B14,LANÇ_MOV[MÊS PAGAMENTO CORRESPONDENTE],L$6,LANÇ_MOV[ANO PAGAMENTO],$B$4,LANÇ_MOV[EMPRESA],$C$4,LANÇ_MOV[CENTRO DE CUSTOS],$D$4),"")</f>
        <v>0</v>
      </c>
      <c r="M14" s="118">
        <f>IFERROR(SUMIFS(CAD_Bancos[R$ SALDO INICIAL],CAD_Bancos[ANO],$B$4,CAD_Bancos[MÊS],M$6,CAD_Bancos[[BANCO ]],Rel_BC[[#This Row],[BANCOS]])+SUMIFS(LANÇ_MOV[VALOR LÍQUIDO],LANÇ_MOV[RECEITA OU DESPESA],"Receita",LANÇ_MOV[BANCO],$B14,LANÇ_MOV[MÊS PAGAMENTO CORRESPONDENTE],M$6,LANÇ_MOV[ANO PAGAMENTO],$B$4,LANÇ_MOV[CENTRO DE CUSTOS],$D$4)-SUMIFS(LANÇ_MOV[VALOR LÍQUIDO],LANÇ_MOV[RECEITA OU DESPESA],"Despesa",LANÇ_MOV[BANCO],$B14,LANÇ_MOV[MÊS PAGAMENTO CORRESPONDENTE],M$6,LANÇ_MOV[ANO PAGAMENTO],$B$4,LANÇ_MOV[EMPRESA],$C$4,LANÇ_MOV[CENTRO DE CUSTOS],$D$4),"")</f>
        <v>0</v>
      </c>
      <c r="N14" s="118">
        <f>IFERROR(SUMIFS(CAD_Bancos[R$ SALDO INICIAL],CAD_Bancos[ANO],$B$4,CAD_Bancos[MÊS],N$6,CAD_Bancos[[BANCO ]],Rel_BC[[#This Row],[BANCOS]])+SUMIFS(LANÇ_MOV[VALOR LÍQUIDO],LANÇ_MOV[RECEITA OU DESPESA],"Receita",LANÇ_MOV[BANCO],$B14,LANÇ_MOV[MÊS PAGAMENTO CORRESPONDENTE],N$6,LANÇ_MOV[ANO PAGAMENTO],$B$4,LANÇ_MOV[CENTRO DE CUSTOS],$D$4)-SUMIFS(LANÇ_MOV[VALOR LÍQUIDO],LANÇ_MOV[RECEITA OU DESPESA],"Despesa",LANÇ_MOV[BANCO],$B14,LANÇ_MOV[MÊS PAGAMENTO CORRESPONDENTE],N$6,LANÇ_MOV[ANO PAGAMENTO],$B$4,LANÇ_MOV[EMPRESA],$C$4,LANÇ_MOV[CENTRO DE CUSTOS],$D$4),"")</f>
        <v>0</v>
      </c>
      <c r="O14" s="39">
        <f t="shared" si="0"/>
        <v>0</v>
      </c>
    </row>
    <row r="15" spans="1:15" ht="30.05" customHeight="1" x14ac:dyDescent="0.35">
      <c r="B15" s="358" t="str">
        <f>IF('CAD_BANCOS'!F13="","-",'CAD_BANCOS'!F13)</f>
        <v>-</v>
      </c>
      <c r="C15" s="118">
        <f>IFERROR(SUMIFS(CAD_Bancos[R$ SALDO INICIAL],CAD_Bancos[ANO],$B$4,CAD_Bancos[MÊS],C$6,CAD_Bancos[[BANCO ]],Rel_BC[[#This Row],[BANCOS]])+SUMIFS(LANÇ_MOV[VALOR LÍQUIDO],LANÇ_MOV[RECEITA OU DESPESA],"Receita",LANÇ_MOV[BANCO],$B15,LANÇ_MOV[MÊS PAGAMENTO CORRESPONDENTE],C$6,LANÇ_MOV[ANO PAGAMENTO],$B$4,LANÇ_MOV[CENTRO DE CUSTOS],$D$4)-SUMIFS(LANÇ_MOV[VALOR LÍQUIDO],LANÇ_MOV[RECEITA OU DESPESA],"Despesa",LANÇ_MOV[BANCO],$B15,LANÇ_MOV[MÊS PAGAMENTO CORRESPONDENTE],C$6,LANÇ_MOV[ANO PAGAMENTO],$B$4,LANÇ_MOV[EMPRESA],$C$4,LANÇ_MOV[CENTRO DE CUSTOS],$D$4),"")</f>
        <v>0</v>
      </c>
      <c r="D15" s="118">
        <f>IFERROR(SUMIFS(CAD_Bancos[R$ SALDO INICIAL],CAD_Bancos[ANO],$B$4,CAD_Bancos[MÊS],D$6,CAD_Bancos[[BANCO ]],Rel_BC[[#This Row],[BANCOS]])+SUMIFS(LANÇ_MOV[VALOR LÍQUIDO],LANÇ_MOV[RECEITA OU DESPESA],"Receita",LANÇ_MOV[BANCO],$B15,LANÇ_MOV[MÊS PAGAMENTO CORRESPONDENTE],D$6,LANÇ_MOV[ANO PAGAMENTO],$B$4,LANÇ_MOV[CENTRO DE CUSTOS],$D$4)-SUMIFS(LANÇ_MOV[VALOR LÍQUIDO],LANÇ_MOV[RECEITA OU DESPESA],"Despesa",LANÇ_MOV[BANCO],$B15,LANÇ_MOV[MÊS PAGAMENTO CORRESPONDENTE],D$6,LANÇ_MOV[ANO PAGAMENTO],$B$4,LANÇ_MOV[EMPRESA],$C$4,LANÇ_MOV[CENTRO DE CUSTOS],$D$4),"")</f>
        <v>0</v>
      </c>
      <c r="E15" s="118">
        <f>IFERROR(SUMIFS(CAD_Bancos[R$ SALDO INICIAL],CAD_Bancos[ANO],$B$4,CAD_Bancos[MÊS],E$6,CAD_Bancos[[BANCO ]],Rel_BC[[#This Row],[BANCOS]])+SUMIFS(LANÇ_MOV[VALOR LÍQUIDO],LANÇ_MOV[RECEITA OU DESPESA],"Receita",LANÇ_MOV[BANCO],$B15,LANÇ_MOV[MÊS PAGAMENTO CORRESPONDENTE],E$6,LANÇ_MOV[ANO PAGAMENTO],$B$4,LANÇ_MOV[CENTRO DE CUSTOS],$D$4)-SUMIFS(LANÇ_MOV[VALOR LÍQUIDO],LANÇ_MOV[RECEITA OU DESPESA],"Despesa",LANÇ_MOV[BANCO],$B15,LANÇ_MOV[MÊS PAGAMENTO CORRESPONDENTE],E$6,LANÇ_MOV[ANO PAGAMENTO],$B$4,LANÇ_MOV[EMPRESA],$C$4,LANÇ_MOV[CENTRO DE CUSTOS],$D$4),"")</f>
        <v>0</v>
      </c>
      <c r="F15" s="118">
        <f>IFERROR(SUMIFS(CAD_Bancos[R$ SALDO INICIAL],CAD_Bancos[ANO],$B$4,CAD_Bancos[MÊS],F$6,CAD_Bancos[[BANCO ]],Rel_BC[[#This Row],[BANCOS]])+SUMIFS(LANÇ_MOV[VALOR LÍQUIDO],LANÇ_MOV[RECEITA OU DESPESA],"Receita",LANÇ_MOV[BANCO],$B15,LANÇ_MOV[MÊS PAGAMENTO CORRESPONDENTE],F$6,LANÇ_MOV[ANO PAGAMENTO],$B$4,LANÇ_MOV[CENTRO DE CUSTOS],$D$4)-SUMIFS(LANÇ_MOV[VALOR LÍQUIDO],LANÇ_MOV[RECEITA OU DESPESA],"Despesa",LANÇ_MOV[BANCO],$B15,LANÇ_MOV[MÊS PAGAMENTO CORRESPONDENTE],F$6,LANÇ_MOV[ANO PAGAMENTO],$B$4,LANÇ_MOV[EMPRESA],$C$4,LANÇ_MOV[CENTRO DE CUSTOS],$D$4),"")</f>
        <v>0</v>
      </c>
      <c r="G15" s="118">
        <f>IFERROR(SUMIFS(CAD_Bancos[R$ SALDO INICIAL],CAD_Bancos[ANO],$B$4,CAD_Bancos[MÊS],G$6,CAD_Bancos[[BANCO ]],Rel_BC[[#This Row],[BANCOS]])+SUMIFS(LANÇ_MOV[VALOR LÍQUIDO],LANÇ_MOV[RECEITA OU DESPESA],"Receita",LANÇ_MOV[BANCO],$B15,LANÇ_MOV[MÊS PAGAMENTO CORRESPONDENTE],G$6,LANÇ_MOV[ANO PAGAMENTO],$B$4,LANÇ_MOV[CENTRO DE CUSTOS],$D$4)-SUMIFS(LANÇ_MOV[VALOR LÍQUIDO],LANÇ_MOV[RECEITA OU DESPESA],"Despesa",LANÇ_MOV[BANCO],$B15,LANÇ_MOV[MÊS PAGAMENTO CORRESPONDENTE],G$6,LANÇ_MOV[ANO PAGAMENTO],$B$4,LANÇ_MOV[EMPRESA],$C$4,LANÇ_MOV[CENTRO DE CUSTOS],$D$4),"")</f>
        <v>0</v>
      </c>
      <c r="H15" s="118">
        <f>IFERROR(SUMIFS(CAD_Bancos[R$ SALDO INICIAL],CAD_Bancos[ANO],$B$4,CAD_Bancos[MÊS],H$6,CAD_Bancos[[BANCO ]],Rel_BC[[#This Row],[BANCOS]])+SUMIFS(LANÇ_MOV[VALOR LÍQUIDO],LANÇ_MOV[RECEITA OU DESPESA],"Receita",LANÇ_MOV[BANCO],$B15,LANÇ_MOV[MÊS PAGAMENTO CORRESPONDENTE],H$6,LANÇ_MOV[ANO PAGAMENTO],$B$4,LANÇ_MOV[CENTRO DE CUSTOS],$D$4)-SUMIFS(LANÇ_MOV[VALOR LÍQUIDO],LANÇ_MOV[RECEITA OU DESPESA],"Despesa",LANÇ_MOV[BANCO],$B15,LANÇ_MOV[MÊS PAGAMENTO CORRESPONDENTE],H$6,LANÇ_MOV[ANO PAGAMENTO],$B$4,LANÇ_MOV[EMPRESA],$C$4,LANÇ_MOV[CENTRO DE CUSTOS],$D$4),"")</f>
        <v>0</v>
      </c>
      <c r="I15" s="118">
        <f>IFERROR(SUMIFS(CAD_Bancos[R$ SALDO INICIAL],CAD_Bancos[ANO],$B$4,CAD_Bancos[MÊS],I$6,CAD_Bancos[[BANCO ]],Rel_BC[[#This Row],[BANCOS]])+SUMIFS(LANÇ_MOV[VALOR LÍQUIDO],LANÇ_MOV[RECEITA OU DESPESA],"Receita",LANÇ_MOV[BANCO],$B15,LANÇ_MOV[MÊS PAGAMENTO CORRESPONDENTE],I$6,LANÇ_MOV[ANO PAGAMENTO],$B$4,LANÇ_MOV[CENTRO DE CUSTOS],$D$4)-SUMIFS(LANÇ_MOV[VALOR LÍQUIDO],LANÇ_MOV[RECEITA OU DESPESA],"Despesa",LANÇ_MOV[BANCO],$B15,LANÇ_MOV[MÊS PAGAMENTO CORRESPONDENTE],I$6,LANÇ_MOV[ANO PAGAMENTO],$B$4,LANÇ_MOV[EMPRESA],$C$4,LANÇ_MOV[CENTRO DE CUSTOS],$D$4),"")</f>
        <v>0</v>
      </c>
      <c r="J15" s="118">
        <f>IFERROR(SUMIFS(CAD_Bancos[R$ SALDO INICIAL],CAD_Bancos[ANO],$B$4,CAD_Bancos[MÊS],J$6,CAD_Bancos[[BANCO ]],Rel_BC[[#This Row],[BANCOS]])+SUMIFS(LANÇ_MOV[VALOR LÍQUIDO],LANÇ_MOV[RECEITA OU DESPESA],"Receita",LANÇ_MOV[BANCO],$B15,LANÇ_MOV[MÊS PAGAMENTO CORRESPONDENTE],J$6,LANÇ_MOV[ANO PAGAMENTO],$B$4,LANÇ_MOV[CENTRO DE CUSTOS],$D$4)-SUMIFS(LANÇ_MOV[VALOR LÍQUIDO],LANÇ_MOV[RECEITA OU DESPESA],"Despesa",LANÇ_MOV[BANCO],$B15,LANÇ_MOV[MÊS PAGAMENTO CORRESPONDENTE],J$6,LANÇ_MOV[ANO PAGAMENTO],$B$4,LANÇ_MOV[EMPRESA],$C$4,LANÇ_MOV[CENTRO DE CUSTOS],$D$4),"")</f>
        <v>0</v>
      </c>
      <c r="K15" s="118">
        <f>IFERROR(SUMIFS(CAD_Bancos[R$ SALDO INICIAL],CAD_Bancos[ANO],$B$4,CAD_Bancos[MÊS],K$6,CAD_Bancos[[BANCO ]],Rel_BC[[#This Row],[BANCOS]])+SUMIFS(LANÇ_MOV[VALOR LÍQUIDO],LANÇ_MOV[RECEITA OU DESPESA],"Receita",LANÇ_MOV[BANCO],$B15,LANÇ_MOV[MÊS PAGAMENTO CORRESPONDENTE],K$6,LANÇ_MOV[ANO PAGAMENTO],$B$4,LANÇ_MOV[CENTRO DE CUSTOS],$D$4)-SUMIFS(LANÇ_MOV[VALOR LÍQUIDO],LANÇ_MOV[RECEITA OU DESPESA],"Despesa",LANÇ_MOV[BANCO],$B15,LANÇ_MOV[MÊS PAGAMENTO CORRESPONDENTE],K$6,LANÇ_MOV[ANO PAGAMENTO],$B$4,LANÇ_MOV[EMPRESA],$C$4,LANÇ_MOV[CENTRO DE CUSTOS],$D$4),"")</f>
        <v>0</v>
      </c>
      <c r="L15" s="118">
        <f>IFERROR(SUMIFS(CAD_Bancos[R$ SALDO INICIAL],CAD_Bancos[ANO],$B$4,CAD_Bancos[MÊS],L$6,CAD_Bancos[[BANCO ]],Rel_BC[[#This Row],[BANCOS]])+SUMIFS(LANÇ_MOV[VALOR LÍQUIDO],LANÇ_MOV[RECEITA OU DESPESA],"Receita",LANÇ_MOV[BANCO],$B15,LANÇ_MOV[MÊS PAGAMENTO CORRESPONDENTE],L$6,LANÇ_MOV[ANO PAGAMENTO],$B$4,LANÇ_MOV[CENTRO DE CUSTOS],$D$4)-SUMIFS(LANÇ_MOV[VALOR LÍQUIDO],LANÇ_MOV[RECEITA OU DESPESA],"Despesa",LANÇ_MOV[BANCO],$B15,LANÇ_MOV[MÊS PAGAMENTO CORRESPONDENTE],L$6,LANÇ_MOV[ANO PAGAMENTO],$B$4,LANÇ_MOV[EMPRESA],$C$4,LANÇ_MOV[CENTRO DE CUSTOS],$D$4),"")</f>
        <v>0</v>
      </c>
      <c r="M15" s="118">
        <f>IFERROR(SUMIFS(CAD_Bancos[R$ SALDO INICIAL],CAD_Bancos[ANO],$B$4,CAD_Bancos[MÊS],M$6,CAD_Bancos[[BANCO ]],Rel_BC[[#This Row],[BANCOS]])+SUMIFS(LANÇ_MOV[VALOR LÍQUIDO],LANÇ_MOV[RECEITA OU DESPESA],"Receita",LANÇ_MOV[BANCO],$B15,LANÇ_MOV[MÊS PAGAMENTO CORRESPONDENTE],M$6,LANÇ_MOV[ANO PAGAMENTO],$B$4,LANÇ_MOV[CENTRO DE CUSTOS],$D$4)-SUMIFS(LANÇ_MOV[VALOR LÍQUIDO],LANÇ_MOV[RECEITA OU DESPESA],"Despesa",LANÇ_MOV[BANCO],$B15,LANÇ_MOV[MÊS PAGAMENTO CORRESPONDENTE],M$6,LANÇ_MOV[ANO PAGAMENTO],$B$4,LANÇ_MOV[EMPRESA],$C$4,LANÇ_MOV[CENTRO DE CUSTOS],$D$4),"")</f>
        <v>0</v>
      </c>
      <c r="N15" s="118">
        <f>IFERROR(SUMIFS(CAD_Bancos[R$ SALDO INICIAL],CAD_Bancos[ANO],$B$4,CAD_Bancos[MÊS],N$6,CAD_Bancos[[BANCO ]],Rel_BC[[#This Row],[BANCOS]])+SUMIFS(LANÇ_MOV[VALOR LÍQUIDO],LANÇ_MOV[RECEITA OU DESPESA],"Receita",LANÇ_MOV[BANCO],$B15,LANÇ_MOV[MÊS PAGAMENTO CORRESPONDENTE],N$6,LANÇ_MOV[ANO PAGAMENTO],$B$4,LANÇ_MOV[CENTRO DE CUSTOS],$D$4)-SUMIFS(LANÇ_MOV[VALOR LÍQUIDO],LANÇ_MOV[RECEITA OU DESPESA],"Despesa",LANÇ_MOV[BANCO],$B15,LANÇ_MOV[MÊS PAGAMENTO CORRESPONDENTE],N$6,LANÇ_MOV[ANO PAGAMENTO],$B$4,LANÇ_MOV[EMPRESA],$C$4,LANÇ_MOV[CENTRO DE CUSTOS],$D$4),"")</f>
        <v>0</v>
      </c>
      <c r="O15" s="39">
        <f t="shared" si="0"/>
        <v>0</v>
      </c>
    </row>
    <row r="16" spans="1:15" ht="30.05" customHeight="1" x14ac:dyDescent="0.35">
      <c r="B16" s="358" t="str">
        <f>IF('CAD_BANCOS'!F14="","-",'CAD_BANCOS'!F14)</f>
        <v>-</v>
      </c>
      <c r="C16" s="118">
        <f>IFERROR(SUMIFS(CAD_Bancos[R$ SALDO INICIAL],CAD_Bancos[ANO],$B$4,CAD_Bancos[MÊS],C$6,CAD_Bancos[[BANCO ]],Rel_BC[[#This Row],[BANCOS]])+SUMIFS(LANÇ_MOV[VALOR LÍQUIDO],LANÇ_MOV[RECEITA OU DESPESA],"Receita",LANÇ_MOV[BANCO],$B16,LANÇ_MOV[MÊS PAGAMENTO CORRESPONDENTE],C$6,LANÇ_MOV[ANO PAGAMENTO],$B$4,LANÇ_MOV[CENTRO DE CUSTOS],$D$4)-SUMIFS(LANÇ_MOV[VALOR LÍQUIDO],LANÇ_MOV[RECEITA OU DESPESA],"Despesa",LANÇ_MOV[BANCO],$B16,LANÇ_MOV[MÊS PAGAMENTO CORRESPONDENTE],C$6,LANÇ_MOV[ANO PAGAMENTO],$B$4,LANÇ_MOV[EMPRESA],$C$4,LANÇ_MOV[CENTRO DE CUSTOS],$D$4),"")</f>
        <v>0</v>
      </c>
      <c r="D16" s="118">
        <f>IFERROR(SUMIFS(CAD_Bancos[R$ SALDO INICIAL],CAD_Bancos[ANO],$B$4,CAD_Bancos[MÊS],D$6,CAD_Bancos[[BANCO ]],Rel_BC[[#This Row],[BANCOS]])+SUMIFS(LANÇ_MOV[VALOR LÍQUIDO],LANÇ_MOV[RECEITA OU DESPESA],"Receita",LANÇ_MOV[BANCO],$B16,LANÇ_MOV[MÊS PAGAMENTO CORRESPONDENTE],D$6,LANÇ_MOV[ANO PAGAMENTO],$B$4,LANÇ_MOV[CENTRO DE CUSTOS],$D$4)-SUMIFS(LANÇ_MOV[VALOR LÍQUIDO],LANÇ_MOV[RECEITA OU DESPESA],"Despesa",LANÇ_MOV[BANCO],$B16,LANÇ_MOV[MÊS PAGAMENTO CORRESPONDENTE],D$6,LANÇ_MOV[ANO PAGAMENTO],$B$4,LANÇ_MOV[EMPRESA],$C$4,LANÇ_MOV[CENTRO DE CUSTOS],$D$4),"")</f>
        <v>0</v>
      </c>
      <c r="E16" s="118">
        <f>IFERROR(SUMIFS(CAD_Bancos[R$ SALDO INICIAL],CAD_Bancos[ANO],$B$4,CAD_Bancos[MÊS],E$6,CAD_Bancos[[BANCO ]],Rel_BC[[#This Row],[BANCOS]])+SUMIFS(LANÇ_MOV[VALOR LÍQUIDO],LANÇ_MOV[RECEITA OU DESPESA],"Receita",LANÇ_MOV[BANCO],$B16,LANÇ_MOV[MÊS PAGAMENTO CORRESPONDENTE],E$6,LANÇ_MOV[ANO PAGAMENTO],$B$4,LANÇ_MOV[CENTRO DE CUSTOS],$D$4)-SUMIFS(LANÇ_MOV[VALOR LÍQUIDO],LANÇ_MOV[RECEITA OU DESPESA],"Despesa",LANÇ_MOV[BANCO],$B16,LANÇ_MOV[MÊS PAGAMENTO CORRESPONDENTE],E$6,LANÇ_MOV[ANO PAGAMENTO],$B$4,LANÇ_MOV[EMPRESA],$C$4,LANÇ_MOV[CENTRO DE CUSTOS],$D$4),"")</f>
        <v>0</v>
      </c>
      <c r="F16" s="118">
        <f>IFERROR(SUMIFS(CAD_Bancos[R$ SALDO INICIAL],CAD_Bancos[ANO],$B$4,CAD_Bancos[MÊS],F$6,CAD_Bancos[[BANCO ]],Rel_BC[[#This Row],[BANCOS]])+SUMIFS(LANÇ_MOV[VALOR LÍQUIDO],LANÇ_MOV[RECEITA OU DESPESA],"Receita",LANÇ_MOV[BANCO],$B16,LANÇ_MOV[MÊS PAGAMENTO CORRESPONDENTE],F$6,LANÇ_MOV[ANO PAGAMENTO],$B$4,LANÇ_MOV[CENTRO DE CUSTOS],$D$4)-SUMIFS(LANÇ_MOV[VALOR LÍQUIDO],LANÇ_MOV[RECEITA OU DESPESA],"Despesa",LANÇ_MOV[BANCO],$B16,LANÇ_MOV[MÊS PAGAMENTO CORRESPONDENTE],F$6,LANÇ_MOV[ANO PAGAMENTO],$B$4,LANÇ_MOV[EMPRESA],$C$4,LANÇ_MOV[CENTRO DE CUSTOS],$D$4),"")</f>
        <v>0</v>
      </c>
      <c r="G16" s="118">
        <f>IFERROR(SUMIFS(CAD_Bancos[R$ SALDO INICIAL],CAD_Bancos[ANO],$B$4,CAD_Bancos[MÊS],G$6,CAD_Bancos[[BANCO ]],Rel_BC[[#This Row],[BANCOS]])+SUMIFS(LANÇ_MOV[VALOR LÍQUIDO],LANÇ_MOV[RECEITA OU DESPESA],"Receita",LANÇ_MOV[BANCO],$B16,LANÇ_MOV[MÊS PAGAMENTO CORRESPONDENTE],G$6,LANÇ_MOV[ANO PAGAMENTO],$B$4,LANÇ_MOV[CENTRO DE CUSTOS],$D$4)-SUMIFS(LANÇ_MOV[VALOR LÍQUIDO],LANÇ_MOV[RECEITA OU DESPESA],"Despesa",LANÇ_MOV[BANCO],$B16,LANÇ_MOV[MÊS PAGAMENTO CORRESPONDENTE],G$6,LANÇ_MOV[ANO PAGAMENTO],$B$4,LANÇ_MOV[EMPRESA],$C$4,LANÇ_MOV[CENTRO DE CUSTOS],$D$4),"")</f>
        <v>0</v>
      </c>
      <c r="H16" s="118">
        <f>IFERROR(SUMIFS(CAD_Bancos[R$ SALDO INICIAL],CAD_Bancos[ANO],$B$4,CAD_Bancos[MÊS],H$6,CAD_Bancos[[BANCO ]],Rel_BC[[#This Row],[BANCOS]])+SUMIFS(LANÇ_MOV[VALOR LÍQUIDO],LANÇ_MOV[RECEITA OU DESPESA],"Receita",LANÇ_MOV[BANCO],$B16,LANÇ_MOV[MÊS PAGAMENTO CORRESPONDENTE],H$6,LANÇ_MOV[ANO PAGAMENTO],$B$4,LANÇ_MOV[CENTRO DE CUSTOS],$D$4)-SUMIFS(LANÇ_MOV[VALOR LÍQUIDO],LANÇ_MOV[RECEITA OU DESPESA],"Despesa",LANÇ_MOV[BANCO],$B16,LANÇ_MOV[MÊS PAGAMENTO CORRESPONDENTE],H$6,LANÇ_MOV[ANO PAGAMENTO],$B$4,LANÇ_MOV[EMPRESA],$C$4,LANÇ_MOV[CENTRO DE CUSTOS],$D$4),"")</f>
        <v>0</v>
      </c>
      <c r="I16" s="118">
        <f>IFERROR(SUMIFS(CAD_Bancos[R$ SALDO INICIAL],CAD_Bancos[ANO],$B$4,CAD_Bancos[MÊS],I$6,CAD_Bancos[[BANCO ]],Rel_BC[[#This Row],[BANCOS]])+SUMIFS(LANÇ_MOV[VALOR LÍQUIDO],LANÇ_MOV[RECEITA OU DESPESA],"Receita",LANÇ_MOV[BANCO],$B16,LANÇ_MOV[MÊS PAGAMENTO CORRESPONDENTE],I$6,LANÇ_MOV[ANO PAGAMENTO],$B$4,LANÇ_MOV[CENTRO DE CUSTOS],$D$4)-SUMIFS(LANÇ_MOV[VALOR LÍQUIDO],LANÇ_MOV[RECEITA OU DESPESA],"Despesa",LANÇ_MOV[BANCO],$B16,LANÇ_MOV[MÊS PAGAMENTO CORRESPONDENTE],I$6,LANÇ_MOV[ANO PAGAMENTO],$B$4,LANÇ_MOV[EMPRESA],$C$4,LANÇ_MOV[CENTRO DE CUSTOS],$D$4),"")</f>
        <v>0</v>
      </c>
      <c r="J16" s="118">
        <f>IFERROR(SUMIFS(CAD_Bancos[R$ SALDO INICIAL],CAD_Bancos[ANO],$B$4,CAD_Bancos[MÊS],J$6,CAD_Bancos[[BANCO ]],Rel_BC[[#This Row],[BANCOS]])+SUMIFS(LANÇ_MOV[VALOR LÍQUIDO],LANÇ_MOV[RECEITA OU DESPESA],"Receita",LANÇ_MOV[BANCO],$B16,LANÇ_MOV[MÊS PAGAMENTO CORRESPONDENTE],J$6,LANÇ_MOV[ANO PAGAMENTO],$B$4,LANÇ_MOV[CENTRO DE CUSTOS],$D$4)-SUMIFS(LANÇ_MOV[VALOR LÍQUIDO],LANÇ_MOV[RECEITA OU DESPESA],"Despesa",LANÇ_MOV[BANCO],$B16,LANÇ_MOV[MÊS PAGAMENTO CORRESPONDENTE],J$6,LANÇ_MOV[ANO PAGAMENTO],$B$4,LANÇ_MOV[EMPRESA],$C$4,LANÇ_MOV[CENTRO DE CUSTOS],$D$4),"")</f>
        <v>0</v>
      </c>
      <c r="K16" s="118">
        <f>IFERROR(SUMIFS(CAD_Bancos[R$ SALDO INICIAL],CAD_Bancos[ANO],$B$4,CAD_Bancos[MÊS],K$6,CAD_Bancos[[BANCO ]],Rel_BC[[#This Row],[BANCOS]])+SUMIFS(LANÇ_MOV[VALOR LÍQUIDO],LANÇ_MOV[RECEITA OU DESPESA],"Receita",LANÇ_MOV[BANCO],$B16,LANÇ_MOV[MÊS PAGAMENTO CORRESPONDENTE],K$6,LANÇ_MOV[ANO PAGAMENTO],$B$4,LANÇ_MOV[CENTRO DE CUSTOS],$D$4)-SUMIFS(LANÇ_MOV[VALOR LÍQUIDO],LANÇ_MOV[RECEITA OU DESPESA],"Despesa",LANÇ_MOV[BANCO],$B16,LANÇ_MOV[MÊS PAGAMENTO CORRESPONDENTE],K$6,LANÇ_MOV[ANO PAGAMENTO],$B$4,LANÇ_MOV[EMPRESA],$C$4,LANÇ_MOV[CENTRO DE CUSTOS],$D$4),"")</f>
        <v>0</v>
      </c>
      <c r="L16" s="118">
        <f>IFERROR(SUMIFS(CAD_Bancos[R$ SALDO INICIAL],CAD_Bancos[ANO],$B$4,CAD_Bancos[MÊS],L$6,CAD_Bancos[[BANCO ]],Rel_BC[[#This Row],[BANCOS]])+SUMIFS(LANÇ_MOV[VALOR LÍQUIDO],LANÇ_MOV[RECEITA OU DESPESA],"Receita",LANÇ_MOV[BANCO],$B16,LANÇ_MOV[MÊS PAGAMENTO CORRESPONDENTE],L$6,LANÇ_MOV[ANO PAGAMENTO],$B$4,LANÇ_MOV[CENTRO DE CUSTOS],$D$4)-SUMIFS(LANÇ_MOV[VALOR LÍQUIDO],LANÇ_MOV[RECEITA OU DESPESA],"Despesa",LANÇ_MOV[BANCO],$B16,LANÇ_MOV[MÊS PAGAMENTO CORRESPONDENTE],L$6,LANÇ_MOV[ANO PAGAMENTO],$B$4,LANÇ_MOV[EMPRESA],$C$4,LANÇ_MOV[CENTRO DE CUSTOS],$D$4),"")</f>
        <v>0</v>
      </c>
      <c r="M16" s="118">
        <f>IFERROR(SUMIFS(CAD_Bancos[R$ SALDO INICIAL],CAD_Bancos[ANO],$B$4,CAD_Bancos[MÊS],M$6,CAD_Bancos[[BANCO ]],Rel_BC[[#This Row],[BANCOS]])+SUMIFS(LANÇ_MOV[VALOR LÍQUIDO],LANÇ_MOV[RECEITA OU DESPESA],"Receita",LANÇ_MOV[BANCO],$B16,LANÇ_MOV[MÊS PAGAMENTO CORRESPONDENTE],M$6,LANÇ_MOV[ANO PAGAMENTO],$B$4,LANÇ_MOV[CENTRO DE CUSTOS],$D$4)-SUMIFS(LANÇ_MOV[VALOR LÍQUIDO],LANÇ_MOV[RECEITA OU DESPESA],"Despesa",LANÇ_MOV[BANCO],$B16,LANÇ_MOV[MÊS PAGAMENTO CORRESPONDENTE],M$6,LANÇ_MOV[ANO PAGAMENTO],$B$4,LANÇ_MOV[EMPRESA],$C$4,LANÇ_MOV[CENTRO DE CUSTOS],$D$4),"")</f>
        <v>0</v>
      </c>
      <c r="N16" s="118">
        <f>IFERROR(SUMIFS(CAD_Bancos[R$ SALDO INICIAL],CAD_Bancos[ANO],$B$4,CAD_Bancos[MÊS],N$6,CAD_Bancos[[BANCO ]],Rel_BC[[#This Row],[BANCOS]])+SUMIFS(LANÇ_MOV[VALOR LÍQUIDO],LANÇ_MOV[RECEITA OU DESPESA],"Receita",LANÇ_MOV[BANCO],$B16,LANÇ_MOV[MÊS PAGAMENTO CORRESPONDENTE],N$6,LANÇ_MOV[ANO PAGAMENTO],$B$4,LANÇ_MOV[CENTRO DE CUSTOS],$D$4)-SUMIFS(LANÇ_MOV[VALOR LÍQUIDO],LANÇ_MOV[RECEITA OU DESPESA],"Despesa",LANÇ_MOV[BANCO],$B16,LANÇ_MOV[MÊS PAGAMENTO CORRESPONDENTE],N$6,LANÇ_MOV[ANO PAGAMENTO],$B$4,LANÇ_MOV[EMPRESA],$C$4,LANÇ_MOV[CENTRO DE CUSTOS],$D$4),"")</f>
        <v>0</v>
      </c>
      <c r="O16" s="39">
        <f t="shared" si="0"/>
        <v>0</v>
      </c>
    </row>
    <row r="17" spans="2:15" ht="30.05" customHeight="1" x14ac:dyDescent="0.35">
      <c r="B17" s="358" t="str">
        <f>IF('CAD_BANCOS'!F15="","-",'CAD_BANCOS'!F15)</f>
        <v>-</v>
      </c>
      <c r="C17" s="118">
        <f>IFERROR(SUMIFS(CAD_Bancos[R$ SALDO INICIAL],CAD_Bancos[ANO],$B$4,CAD_Bancos[MÊS],C$6,CAD_Bancos[[BANCO ]],Rel_BC[[#This Row],[BANCOS]])+SUMIFS(LANÇ_MOV[VALOR LÍQUIDO],LANÇ_MOV[RECEITA OU DESPESA],"Receita",LANÇ_MOV[BANCO],$B17,LANÇ_MOV[MÊS PAGAMENTO CORRESPONDENTE],C$6,LANÇ_MOV[ANO PAGAMENTO],$B$4,LANÇ_MOV[CENTRO DE CUSTOS],$D$4)-SUMIFS(LANÇ_MOV[VALOR LÍQUIDO],LANÇ_MOV[RECEITA OU DESPESA],"Despesa",LANÇ_MOV[BANCO],$B17,LANÇ_MOV[MÊS PAGAMENTO CORRESPONDENTE],C$6,LANÇ_MOV[ANO PAGAMENTO],$B$4,LANÇ_MOV[EMPRESA],$C$4,LANÇ_MOV[CENTRO DE CUSTOS],$D$4),"")</f>
        <v>0</v>
      </c>
      <c r="D17" s="118">
        <f>IFERROR(SUMIFS(CAD_Bancos[R$ SALDO INICIAL],CAD_Bancos[ANO],$B$4,CAD_Bancos[MÊS],D$6,CAD_Bancos[[BANCO ]],Rel_BC[[#This Row],[BANCOS]])+SUMIFS(LANÇ_MOV[VALOR LÍQUIDO],LANÇ_MOV[RECEITA OU DESPESA],"Receita",LANÇ_MOV[BANCO],$B17,LANÇ_MOV[MÊS PAGAMENTO CORRESPONDENTE],D$6,LANÇ_MOV[ANO PAGAMENTO],$B$4,LANÇ_MOV[CENTRO DE CUSTOS],$D$4)-SUMIFS(LANÇ_MOV[VALOR LÍQUIDO],LANÇ_MOV[RECEITA OU DESPESA],"Despesa",LANÇ_MOV[BANCO],$B17,LANÇ_MOV[MÊS PAGAMENTO CORRESPONDENTE],D$6,LANÇ_MOV[ANO PAGAMENTO],$B$4,LANÇ_MOV[EMPRESA],$C$4,LANÇ_MOV[CENTRO DE CUSTOS],$D$4),"")</f>
        <v>0</v>
      </c>
      <c r="E17" s="118">
        <f>IFERROR(SUMIFS(CAD_Bancos[R$ SALDO INICIAL],CAD_Bancos[ANO],$B$4,CAD_Bancos[MÊS],E$6,CAD_Bancos[[BANCO ]],Rel_BC[[#This Row],[BANCOS]])+SUMIFS(LANÇ_MOV[VALOR LÍQUIDO],LANÇ_MOV[RECEITA OU DESPESA],"Receita",LANÇ_MOV[BANCO],$B17,LANÇ_MOV[MÊS PAGAMENTO CORRESPONDENTE],E$6,LANÇ_MOV[ANO PAGAMENTO],$B$4,LANÇ_MOV[CENTRO DE CUSTOS],$D$4)-SUMIFS(LANÇ_MOV[VALOR LÍQUIDO],LANÇ_MOV[RECEITA OU DESPESA],"Despesa",LANÇ_MOV[BANCO],$B17,LANÇ_MOV[MÊS PAGAMENTO CORRESPONDENTE],E$6,LANÇ_MOV[ANO PAGAMENTO],$B$4,LANÇ_MOV[EMPRESA],$C$4,LANÇ_MOV[CENTRO DE CUSTOS],$D$4),"")</f>
        <v>0</v>
      </c>
      <c r="F17" s="118">
        <f>IFERROR(SUMIFS(CAD_Bancos[R$ SALDO INICIAL],CAD_Bancos[ANO],$B$4,CAD_Bancos[MÊS],F$6,CAD_Bancos[[BANCO ]],Rel_BC[[#This Row],[BANCOS]])+SUMIFS(LANÇ_MOV[VALOR LÍQUIDO],LANÇ_MOV[RECEITA OU DESPESA],"Receita",LANÇ_MOV[BANCO],$B17,LANÇ_MOV[MÊS PAGAMENTO CORRESPONDENTE],F$6,LANÇ_MOV[ANO PAGAMENTO],$B$4,LANÇ_MOV[CENTRO DE CUSTOS],$D$4)-SUMIFS(LANÇ_MOV[VALOR LÍQUIDO],LANÇ_MOV[RECEITA OU DESPESA],"Despesa",LANÇ_MOV[BANCO],$B17,LANÇ_MOV[MÊS PAGAMENTO CORRESPONDENTE],F$6,LANÇ_MOV[ANO PAGAMENTO],$B$4,LANÇ_MOV[EMPRESA],$C$4,LANÇ_MOV[CENTRO DE CUSTOS],$D$4),"")</f>
        <v>0</v>
      </c>
      <c r="G17" s="118">
        <f>IFERROR(SUMIFS(CAD_Bancos[R$ SALDO INICIAL],CAD_Bancos[ANO],$B$4,CAD_Bancos[MÊS],G$6,CAD_Bancos[[BANCO ]],Rel_BC[[#This Row],[BANCOS]])+SUMIFS(LANÇ_MOV[VALOR LÍQUIDO],LANÇ_MOV[RECEITA OU DESPESA],"Receita",LANÇ_MOV[BANCO],$B17,LANÇ_MOV[MÊS PAGAMENTO CORRESPONDENTE],G$6,LANÇ_MOV[ANO PAGAMENTO],$B$4,LANÇ_MOV[CENTRO DE CUSTOS],$D$4)-SUMIFS(LANÇ_MOV[VALOR LÍQUIDO],LANÇ_MOV[RECEITA OU DESPESA],"Despesa",LANÇ_MOV[BANCO],$B17,LANÇ_MOV[MÊS PAGAMENTO CORRESPONDENTE],G$6,LANÇ_MOV[ANO PAGAMENTO],$B$4,LANÇ_MOV[EMPRESA],$C$4,LANÇ_MOV[CENTRO DE CUSTOS],$D$4),"")</f>
        <v>0</v>
      </c>
      <c r="H17" s="118">
        <f>IFERROR(SUMIFS(CAD_Bancos[R$ SALDO INICIAL],CAD_Bancos[ANO],$B$4,CAD_Bancos[MÊS],H$6,CAD_Bancos[[BANCO ]],Rel_BC[[#This Row],[BANCOS]])+SUMIFS(LANÇ_MOV[VALOR LÍQUIDO],LANÇ_MOV[RECEITA OU DESPESA],"Receita",LANÇ_MOV[BANCO],$B17,LANÇ_MOV[MÊS PAGAMENTO CORRESPONDENTE],H$6,LANÇ_MOV[ANO PAGAMENTO],$B$4,LANÇ_MOV[CENTRO DE CUSTOS],$D$4)-SUMIFS(LANÇ_MOV[VALOR LÍQUIDO],LANÇ_MOV[RECEITA OU DESPESA],"Despesa",LANÇ_MOV[BANCO],$B17,LANÇ_MOV[MÊS PAGAMENTO CORRESPONDENTE],H$6,LANÇ_MOV[ANO PAGAMENTO],$B$4,LANÇ_MOV[EMPRESA],$C$4,LANÇ_MOV[CENTRO DE CUSTOS],$D$4),"")</f>
        <v>0</v>
      </c>
      <c r="I17" s="118">
        <f>IFERROR(SUMIFS(CAD_Bancos[R$ SALDO INICIAL],CAD_Bancos[ANO],$B$4,CAD_Bancos[MÊS],I$6,CAD_Bancos[[BANCO ]],Rel_BC[[#This Row],[BANCOS]])+SUMIFS(LANÇ_MOV[VALOR LÍQUIDO],LANÇ_MOV[RECEITA OU DESPESA],"Receita",LANÇ_MOV[BANCO],$B17,LANÇ_MOV[MÊS PAGAMENTO CORRESPONDENTE],I$6,LANÇ_MOV[ANO PAGAMENTO],$B$4,LANÇ_MOV[CENTRO DE CUSTOS],$D$4)-SUMIFS(LANÇ_MOV[VALOR LÍQUIDO],LANÇ_MOV[RECEITA OU DESPESA],"Despesa",LANÇ_MOV[BANCO],$B17,LANÇ_MOV[MÊS PAGAMENTO CORRESPONDENTE],I$6,LANÇ_MOV[ANO PAGAMENTO],$B$4,LANÇ_MOV[EMPRESA],$C$4,LANÇ_MOV[CENTRO DE CUSTOS],$D$4),"")</f>
        <v>0</v>
      </c>
      <c r="J17" s="118">
        <f>IFERROR(SUMIFS(CAD_Bancos[R$ SALDO INICIAL],CAD_Bancos[ANO],$B$4,CAD_Bancos[MÊS],J$6,CAD_Bancos[[BANCO ]],Rel_BC[[#This Row],[BANCOS]])+SUMIFS(LANÇ_MOV[VALOR LÍQUIDO],LANÇ_MOV[RECEITA OU DESPESA],"Receita",LANÇ_MOV[BANCO],$B17,LANÇ_MOV[MÊS PAGAMENTO CORRESPONDENTE],J$6,LANÇ_MOV[ANO PAGAMENTO],$B$4,LANÇ_MOV[CENTRO DE CUSTOS],$D$4)-SUMIFS(LANÇ_MOV[VALOR LÍQUIDO],LANÇ_MOV[RECEITA OU DESPESA],"Despesa",LANÇ_MOV[BANCO],$B17,LANÇ_MOV[MÊS PAGAMENTO CORRESPONDENTE],J$6,LANÇ_MOV[ANO PAGAMENTO],$B$4,LANÇ_MOV[EMPRESA],$C$4,LANÇ_MOV[CENTRO DE CUSTOS],$D$4),"")</f>
        <v>0</v>
      </c>
      <c r="K17" s="118">
        <f>IFERROR(SUMIFS(CAD_Bancos[R$ SALDO INICIAL],CAD_Bancos[ANO],$B$4,CAD_Bancos[MÊS],K$6,CAD_Bancos[[BANCO ]],Rel_BC[[#This Row],[BANCOS]])+SUMIFS(LANÇ_MOV[VALOR LÍQUIDO],LANÇ_MOV[RECEITA OU DESPESA],"Receita",LANÇ_MOV[BANCO],$B17,LANÇ_MOV[MÊS PAGAMENTO CORRESPONDENTE],K$6,LANÇ_MOV[ANO PAGAMENTO],$B$4,LANÇ_MOV[CENTRO DE CUSTOS],$D$4)-SUMIFS(LANÇ_MOV[VALOR LÍQUIDO],LANÇ_MOV[RECEITA OU DESPESA],"Despesa",LANÇ_MOV[BANCO],$B17,LANÇ_MOV[MÊS PAGAMENTO CORRESPONDENTE],K$6,LANÇ_MOV[ANO PAGAMENTO],$B$4,LANÇ_MOV[EMPRESA],$C$4,LANÇ_MOV[CENTRO DE CUSTOS],$D$4),"")</f>
        <v>0</v>
      </c>
      <c r="L17" s="118">
        <f>IFERROR(SUMIFS(CAD_Bancos[R$ SALDO INICIAL],CAD_Bancos[ANO],$B$4,CAD_Bancos[MÊS],L$6,CAD_Bancos[[BANCO ]],Rel_BC[[#This Row],[BANCOS]])+SUMIFS(LANÇ_MOV[VALOR LÍQUIDO],LANÇ_MOV[RECEITA OU DESPESA],"Receita",LANÇ_MOV[BANCO],$B17,LANÇ_MOV[MÊS PAGAMENTO CORRESPONDENTE],L$6,LANÇ_MOV[ANO PAGAMENTO],$B$4,LANÇ_MOV[CENTRO DE CUSTOS],$D$4)-SUMIFS(LANÇ_MOV[VALOR LÍQUIDO],LANÇ_MOV[RECEITA OU DESPESA],"Despesa",LANÇ_MOV[BANCO],$B17,LANÇ_MOV[MÊS PAGAMENTO CORRESPONDENTE],L$6,LANÇ_MOV[ANO PAGAMENTO],$B$4,LANÇ_MOV[EMPRESA],$C$4,LANÇ_MOV[CENTRO DE CUSTOS],$D$4),"")</f>
        <v>0</v>
      </c>
      <c r="M17" s="118">
        <f>IFERROR(SUMIFS(CAD_Bancos[R$ SALDO INICIAL],CAD_Bancos[ANO],$B$4,CAD_Bancos[MÊS],M$6,CAD_Bancos[[BANCO ]],Rel_BC[[#This Row],[BANCOS]])+SUMIFS(LANÇ_MOV[VALOR LÍQUIDO],LANÇ_MOV[RECEITA OU DESPESA],"Receita",LANÇ_MOV[BANCO],$B17,LANÇ_MOV[MÊS PAGAMENTO CORRESPONDENTE],M$6,LANÇ_MOV[ANO PAGAMENTO],$B$4,LANÇ_MOV[CENTRO DE CUSTOS],$D$4)-SUMIFS(LANÇ_MOV[VALOR LÍQUIDO],LANÇ_MOV[RECEITA OU DESPESA],"Despesa",LANÇ_MOV[BANCO],$B17,LANÇ_MOV[MÊS PAGAMENTO CORRESPONDENTE],M$6,LANÇ_MOV[ANO PAGAMENTO],$B$4,LANÇ_MOV[EMPRESA],$C$4,LANÇ_MOV[CENTRO DE CUSTOS],$D$4),"")</f>
        <v>0</v>
      </c>
      <c r="N17" s="118">
        <f>IFERROR(SUMIFS(CAD_Bancos[R$ SALDO INICIAL],CAD_Bancos[ANO],$B$4,CAD_Bancos[MÊS],N$6,CAD_Bancos[[BANCO ]],Rel_BC[[#This Row],[BANCOS]])+SUMIFS(LANÇ_MOV[VALOR LÍQUIDO],LANÇ_MOV[RECEITA OU DESPESA],"Receita",LANÇ_MOV[BANCO],$B17,LANÇ_MOV[MÊS PAGAMENTO CORRESPONDENTE],N$6,LANÇ_MOV[ANO PAGAMENTO],$B$4,LANÇ_MOV[CENTRO DE CUSTOS],$D$4)-SUMIFS(LANÇ_MOV[VALOR LÍQUIDO],LANÇ_MOV[RECEITA OU DESPESA],"Despesa",LANÇ_MOV[BANCO],$B17,LANÇ_MOV[MÊS PAGAMENTO CORRESPONDENTE],N$6,LANÇ_MOV[ANO PAGAMENTO],$B$4,LANÇ_MOV[EMPRESA],$C$4,LANÇ_MOV[CENTRO DE CUSTOS],$D$4),"")</f>
        <v>0</v>
      </c>
      <c r="O17" s="39">
        <f t="shared" si="0"/>
        <v>0</v>
      </c>
    </row>
    <row r="18" spans="2:15" ht="30.05" customHeight="1" x14ac:dyDescent="0.35">
      <c r="B18" s="358" t="str">
        <f>IF('CAD_BANCOS'!F16="","-",'CAD_BANCOS'!F16)</f>
        <v>-</v>
      </c>
      <c r="C18" s="118">
        <f>IFERROR(SUMIFS(CAD_Bancos[R$ SALDO INICIAL],CAD_Bancos[ANO],$B$4,CAD_Bancos[MÊS],C$6,CAD_Bancos[[BANCO ]],Rel_BC[[#This Row],[BANCOS]])+SUMIFS(LANÇ_MOV[VALOR LÍQUIDO],LANÇ_MOV[RECEITA OU DESPESA],"Receita",LANÇ_MOV[BANCO],$B18,LANÇ_MOV[MÊS PAGAMENTO CORRESPONDENTE],C$6,LANÇ_MOV[ANO PAGAMENTO],$B$4,LANÇ_MOV[CENTRO DE CUSTOS],$D$4)-SUMIFS(LANÇ_MOV[VALOR LÍQUIDO],LANÇ_MOV[RECEITA OU DESPESA],"Despesa",LANÇ_MOV[BANCO],$B18,LANÇ_MOV[MÊS PAGAMENTO CORRESPONDENTE],C$6,LANÇ_MOV[ANO PAGAMENTO],$B$4,LANÇ_MOV[EMPRESA],$C$4,LANÇ_MOV[CENTRO DE CUSTOS],$D$4),"")</f>
        <v>0</v>
      </c>
      <c r="D18" s="118">
        <f>IFERROR(SUMIFS(CAD_Bancos[R$ SALDO INICIAL],CAD_Bancos[ANO],$B$4,CAD_Bancos[MÊS],D$6,CAD_Bancos[[BANCO ]],Rel_BC[[#This Row],[BANCOS]])+SUMIFS(LANÇ_MOV[VALOR LÍQUIDO],LANÇ_MOV[RECEITA OU DESPESA],"Receita",LANÇ_MOV[BANCO],$B18,LANÇ_MOV[MÊS PAGAMENTO CORRESPONDENTE],D$6,LANÇ_MOV[ANO PAGAMENTO],$B$4,LANÇ_MOV[CENTRO DE CUSTOS],$D$4)-SUMIFS(LANÇ_MOV[VALOR LÍQUIDO],LANÇ_MOV[RECEITA OU DESPESA],"Despesa",LANÇ_MOV[BANCO],$B18,LANÇ_MOV[MÊS PAGAMENTO CORRESPONDENTE],D$6,LANÇ_MOV[ANO PAGAMENTO],$B$4,LANÇ_MOV[EMPRESA],$C$4,LANÇ_MOV[CENTRO DE CUSTOS],$D$4),"")</f>
        <v>0</v>
      </c>
      <c r="E18" s="118">
        <f>IFERROR(SUMIFS(CAD_Bancos[R$ SALDO INICIAL],CAD_Bancos[ANO],$B$4,CAD_Bancos[MÊS],E$6,CAD_Bancos[[BANCO ]],Rel_BC[[#This Row],[BANCOS]])+SUMIFS(LANÇ_MOV[VALOR LÍQUIDO],LANÇ_MOV[RECEITA OU DESPESA],"Receita",LANÇ_MOV[BANCO],$B18,LANÇ_MOV[MÊS PAGAMENTO CORRESPONDENTE],E$6,LANÇ_MOV[ANO PAGAMENTO],$B$4,LANÇ_MOV[CENTRO DE CUSTOS],$D$4)-SUMIFS(LANÇ_MOV[VALOR LÍQUIDO],LANÇ_MOV[RECEITA OU DESPESA],"Despesa",LANÇ_MOV[BANCO],$B18,LANÇ_MOV[MÊS PAGAMENTO CORRESPONDENTE],E$6,LANÇ_MOV[ANO PAGAMENTO],$B$4,LANÇ_MOV[EMPRESA],$C$4,LANÇ_MOV[CENTRO DE CUSTOS],$D$4),"")</f>
        <v>0</v>
      </c>
      <c r="F18" s="118">
        <f>IFERROR(SUMIFS(CAD_Bancos[R$ SALDO INICIAL],CAD_Bancos[ANO],$B$4,CAD_Bancos[MÊS],F$6,CAD_Bancos[[BANCO ]],Rel_BC[[#This Row],[BANCOS]])+SUMIFS(LANÇ_MOV[VALOR LÍQUIDO],LANÇ_MOV[RECEITA OU DESPESA],"Receita",LANÇ_MOV[BANCO],$B18,LANÇ_MOV[MÊS PAGAMENTO CORRESPONDENTE],F$6,LANÇ_MOV[ANO PAGAMENTO],$B$4,LANÇ_MOV[CENTRO DE CUSTOS],$D$4)-SUMIFS(LANÇ_MOV[VALOR LÍQUIDO],LANÇ_MOV[RECEITA OU DESPESA],"Despesa",LANÇ_MOV[BANCO],$B18,LANÇ_MOV[MÊS PAGAMENTO CORRESPONDENTE],F$6,LANÇ_MOV[ANO PAGAMENTO],$B$4,LANÇ_MOV[EMPRESA],$C$4,LANÇ_MOV[CENTRO DE CUSTOS],$D$4),"")</f>
        <v>0</v>
      </c>
      <c r="G18" s="118">
        <f>IFERROR(SUMIFS(CAD_Bancos[R$ SALDO INICIAL],CAD_Bancos[ANO],$B$4,CAD_Bancos[MÊS],G$6,CAD_Bancos[[BANCO ]],Rel_BC[[#This Row],[BANCOS]])+SUMIFS(LANÇ_MOV[VALOR LÍQUIDO],LANÇ_MOV[RECEITA OU DESPESA],"Receita",LANÇ_MOV[BANCO],$B18,LANÇ_MOV[MÊS PAGAMENTO CORRESPONDENTE],G$6,LANÇ_MOV[ANO PAGAMENTO],$B$4,LANÇ_MOV[CENTRO DE CUSTOS],$D$4)-SUMIFS(LANÇ_MOV[VALOR LÍQUIDO],LANÇ_MOV[RECEITA OU DESPESA],"Despesa",LANÇ_MOV[BANCO],$B18,LANÇ_MOV[MÊS PAGAMENTO CORRESPONDENTE],G$6,LANÇ_MOV[ANO PAGAMENTO],$B$4,LANÇ_MOV[EMPRESA],$C$4,LANÇ_MOV[CENTRO DE CUSTOS],$D$4),"")</f>
        <v>0</v>
      </c>
      <c r="H18" s="118">
        <f>IFERROR(SUMIFS(CAD_Bancos[R$ SALDO INICIAL],CAD_Bancos[ANO],$B$4,CAD_Bancos[MÊS],H$6,CAD_Bancos[[BANCO ]],Rel_BC[[#This Row],[BANCOS]])+SUMIFS(LANÇ_MOV[VALOR LÍQUIDO],LANÇ_MOV[RECEITA OU DESPESA],"Receita",LANÇ_MOV[BANCO],$B18,LANÇ_MOV[MÊS PAGAMENTO CORRESPONDENTE],H$6,LANÇ_MOV[ANO PAGAMENTO],$B$4,LANÇ_MOV[CENTRO DE CUSTOS],$D$4)-SUMIFS(LANÇ_MOV[VALOR LÍQUIDO],LANÇ_MOV[RECEITA OU DESPESA],"Despesa",LANÇ_MOV[BANCO],$B18,LANÇ_MOV[MÊS PAGAMENTO CORRESPONDENTE],H$6,LANÇ_MOV[ANO PAGAMENTO],$B$4,LANÇ_MOV[EMPRESA],$C$4,LANÇ_MOV[CENTRO DE CUSTOS],$D$4),"")</f>
        <v>0</v>
      </c>
      <c r="I18" s="118">
        <f>IFERROR(SUMIFS(CAD_Bancos[R$ SALDO INICIAL],CAD_Bancos[ANO],$B$4,CAD_Bancos[MÊS],I$6,CAD_Bancos[[BANCO ]],Rel_BC[[#This Row],[BANCOS]])+SUMIFS(LANÇ_MOV[VALOR LÍQUIDO],LANÇ_MOV[RECEITA OU DESPESA],"Receita",LANÇ_MOV[BANCO],$B18,LANÇ_MOV[MÊS PAGAMENTO CORRESPONDENTE],I$6,LANÇ_MOV[ANO PAGAMENTO],$B$4,LANÇ_MOV[CENTRO DE CUSTOS],$D$4)-SUMIFS(LANÇ_MOV[VALOR LÍQUIDO],LANÇ_MOV[RECEITA OU DESPESA],"Despesa",LANÇ_MOV[BANCO],$B18,LANÇ_MOV[MÊS PAGAMENTO CORRESPONDENTE],I$6,LANÇ_MOV[ANO PAGAMENTO],$B$4,LANÇ_MOV[EMPRESA],$C$4,LANÇ_MOV[CENTRO DE CUSTOS],$D$4),"")</f>
        <v>0</v>
      </c>
      <c r="J18" s="118">
        <f>IFERROR(SUMIFS(CAD_Bancos[R$ SALDO INICIAL],CAD_Bancos[ANO],$B$4,CAD_Bancos[MÊS],J$6,CAD_Bancos[[BANCO ]],Rel_BC[[#This Row],[BANCOS]])+SUMIFS(LANÇ_MOV[VALOR LÍQUIDO],LANÇ_MOV[RECEITA OU DESPESA],"Receita",LANÇ_MOV[BANCO],$B18,LANÇ_MOV[MÊS PAGAMENTO CORRESPONDENTE],J$6,LANÇ_MOV[ANO PAGAMENTO],$B$4,LANÇ_MOV[CENTRO DE CUSTOS],$D$4)-SUMIFS(LANÇ_MOV[VALOR LÍQUIDO],LANÇ_MOV[RECEITA OU DESPESA],"Despesa",LANÇ_MOV[BANCO],$B18,LANÇ_MOV[MÊS PAGAMENTO CORRESPONDENTE],J$6,LANÇ_MOV[ANO PAGAMENTO],$B$4,LANÇ_MOV[EMPRESA],$C$4,LANÇ_MOV[CENTRO DE CUSTOS],$D$4),"")</f>
        <v>0</v>
      </c>
      <c r="K18" s="118">
        <f>IFERROR(SUMIFS(CAD_Bancos[R$ SALDO INICIAL],CAD_Bancos[ANO],$B$4,CAD_Bancos[MÊS],K$6,CAD_Bancos[[BANCO ]],Rel_BC[[#This Row],[BANCOS]])+SUMIFS(LANÇ_MOV[VALOR LÍQUIDO],LANÇ_MOV[RECEITA OU DESPESA],"Receita",LANÇ_MOV[BANCO],$B18,LANÇ_MOV[MÊS PAGAMENTO CORRESPONDENTE],K$6,LANÇ_MOV[ANO PAGAMENTO],$B$4,LANÇ_MOV[CENTRO DE CUSTOS],$D$4)-SUMIFS(LANÇ_MOV[VALOR LÍQUIDO],LANÇ_MOV[RECEITA OU DESPESA],"Despesa",LANÇ_MOV[BANCO],$B18,LANÇ_MOV[MÊS PAGAMENTO CORRESPONDENTE],K$6,LANÇ_MOV[ANO PAGAMENTO],$B$4,LANÇ_MOV[EMPRESA],$C$4,LANÇ_MOV[CENTRO DE CUSTOS],$D$4),"")</f>
        <v>0</v>
      </c>
      <c r="L18" s="118">
        <f>IFERROR(SUMIFS(CAD_Bancos[R$ SALDO INICIAL],CAD_Bancos[ANO],$B$4,CAD_Bancos[MÊS],L$6,CAD_Bancos[[BANCO ]],Rel_BC[[#This Row],[BANCOS]])+SUMIFS(LANÇ_MOV[VALOR LÍQUIDO],LANÇ_MOV[RECEITA OU DESPESA],"Receita",LANÇ_MOV[BANCO],$B18,LANÇ_MOV[MÊS PAGAMENTO CORRESPONDENTE],L$6,LANÇ_MOV[ANO PAGAMENTO],$B$4,LANÇ_MOV[CENTRO DE CUSTOS],$D$4)-SUMIFS(LANÇ_MOV[VALOR LÍQUIDO],LANÇ_MOV[RECEITA OU DESPESA],"Despesa",LANÇ_MOV[BANCO],$B18,LANÇ_MOV[MÊS PAGAMENTO CORRESPONDENTE],L$6,LANÇ_MOV[ANO PAGAMENTO],$B$4,LANÇ_MOV[EMPRESA],$C$4,LANÇ_MOV[CENTRO DE CUSTOS],$D$4),"")</f>
        <v>0</v>
      </c>
      <c r="M18" s="118">
        <f>IFERROR(SUMIFS(CAD_Bancos[R$ SALDO INICIAL],CAD_Bancos[ANO],$B$4,CAD_Bancos[MÊS],M$6,CAD_Bancos[[BANCO ]],Rel_BC[[#This Row],[BANCOS]])+SUMIFS(LANÇ_MOV[VALOR LÍQUIDO],LANÇ_MOV[RECEITA OU DESPESA],"Receita",LANÇ_MOV[BANCO],$B18,LANÇ_MOV[MÊS PAGAMENTO CORRESPONDENTE],M$6,LANÇ_MOV[ANO PAGAMENTO],$B$4,LANÇ_MOV[CENTRO DE CUSTOS],$D$4)-SUMIFS(LANÇ_MOV[VALOR LÍQUIDO],LANÇ_MOV[RECEITA OU DESPESA],"Despesa",LANÇ_MOV[BANCO],$B18,LANÇ_MOV[MÊS PAGAMENTO CORRESPONDENTE],M$6,LANÇ_MOV[ANO PAGAMENTO],$B$4,LANÇ_MOV[EMPRESA],$C$4,LANÇ_MOV[CENTRO DE CUSTOS],$D$4),"")</f>
        <v>0</v>
      </c>
      <c r="N18" s="118">
        <f>IFERROR(SUMIFS(CAD_Bancos[R$ SALDO INICIAL],CAD_Bancos[ANO],$B$4,CAD_Bancos[MÊS],N$6,CAD_Bancos[[BANCO ]],Rel_BC[[#This Row],[BANCOS]])+SUMIFS(LANÇ_MOV[VALOR LÍQUIDO],LANÇ_MOV[RECEITA OU DESPESA],"Receita",LANÇ_MOV[BANCO],$B18,LANÇ_MOV[MÊS PAGAMENTO CORRESPONDENTE],N$6,LANÇ_MOV[ANO PAGAMENTO],$B$4,LANÇ_MOV[CENTRO DE CUSTOS],$D$4)-SUMIFS(LANÇ_MOV[VALOR LÍQUIDO],LANÇ_MOV[RECEITA OU DESPESA],"Despesa",LANÇ_MOV[BANCO],$B18,LANÇ_MOV[MÊS PAGAMENTO CORRESPONDENTE],N$6,LANÇ_MOV[ANO PAGAMENTO],$B$4,LANÇ_MOV[EMPRESA],$C$4,LANÇ_MOV[CENTRO DE CUSTOS],$D$4),"")</f>
        <v>0</v>
      </c>
      <c r="O18" s="39">
        <f t="shared" si="0"/>
        <v>0</v>
      </c>
    </row>
    <row r="19" spans="2:15" ht="30.05" customHeight="1" x14ac:dyDescent="0.35">
      <c r="B19" s="358" t="str">
        <f>IF('CAD_BANCOS'!F17="","-",'CAD_BANCOS'!F17)</f>
        <v>-</v>
      </c>
      <c r="C19" s="118">
        <f>IFERROR(SUMIFS(CAD_Bancos[R$ SALDO INICIAL],CAD_Bancos[ANO],$B$4,CAD_Bancos[MÊS],C$6,CAD_Bancos[[BANCO ]],Rel_BC[[#This Row],[BANCOS]])+SUMIFS(LANÇ_MOV[VALOR LÍQUIDO],LANÇ_MOV[RECEITA OU DESPESA],"Receita",LANÇ_MOV[BANCO],$B19,LANÇ_MOV[MÊS PAGAMENTO CORRESPONDENTE],C$6,LANÇ_MOV[ANO PAGAMENTO],$B$4,LANÇ_MOV[CENTRO DE CUSTOS],$D$4)-SUMIFS(LANÇ_MOV[VALOR LÍQUIDO],LANÇ_MOV[RECEITA OU DESPESA],"Despesa",LANÇ_MOV[BANCO],$B19,LANÇ_MOV[MÊS PAGAMENTO CORRESPONDENTE],C$6,LANÇ_MOV[ANO PAGAMENTO],$B$4,LANÇ_MOV[EMPRESA],$C$4,LANÇ_MOV[CENTRO DE CUSTOS],$D$4),"")</f>
        <v>0</v>
      </c>
      <c r="D19" s="118">
        <f>IFERROR(SUMIFS(CAD_Bancos[R$ SALDO INICIAL],CAD_Bancos[ANO],$B$4,CAD_Bancos[MÊS],D$6,CAD_Bancos[[BANCO ]],Rel_BC[[#This Row],[BANCOS]])+SUMIFS(LANÇ_MOV[VALOR LÍQUIDO],LANÇ_MOV[RECEITA OU DESPESA],"Receita",LANÇ_MOV[BANCO],$B19,LANÇ_MOV[MÊS PAGAMENTO CORRESPONDENTE],D$6,LANÇ_MOV[ANO PAGAMENTO],$B$4,LANÇ_MOV[CENTRO DE CUSTOS],$D$4)-SUMIFS(LANÇ_MOV[VALOR LÍQUIDO],LANÇ_MOV[RECEITA OU DESPESA],"Despesa",LANÇ_MOV[BANCO],$B19,LANÇ_MOV[MÊS PAGAMENTO CORRESPONDENTE],D$6,LANÇ_MOV[ANO PAGAMENTO],$B$4,LANÇ_MOV[EMPRESA],$C$4,LANÇ_MOV[CENTRO DE CUSTOS],$D$4),"")</f>
        <v>0</v>
      </c>
      <c r="E19" s="118">
        <f>IFERROR(SUMIFS(CAD_Bancos[R$ SALDO INICIAL],CAD_Bancos[ANO],$B$4,CAD_Bancos[MÊS],E$6,CAD_Bancos[[BANCO ]],Rel_BC[[#This Row],[BANCOS]])+SUMIFS(LANÇ_MOV[VALOR LÍQUIDO],LANÇ_MOV[RECEITA OU DESPESA],"Receita",LANÇ_MOV[BANCO],$B19,LANÇ_MOV[MÊS PAGAMENTO CORRESPONDENTE],E$6,LANÇ_MOV[ANO PAGAMENTO],$B$4,LANÇ_MOV[CENTRO DE CUSTOS],$D$4)-SUMIFS(LANÇ_MOV[VALOR LÍQUIDO],LANÇ_MOV[RECEITA OU DESPESA],"Despesa",LANÇ_MOV[BANCO],$B19,LANÇ_MOV[MÊS PAGAMENTO CORRESPONDENTE],E$6,LANÇ_MOV[ANO PAGAMENTO],$B$4,LANÇ_MOV[EMPRESA],$C$4,LANÇ_MOV[CENTRO DE CUSTOS],$D$4),"")</f>
        <v>0</v>
      </c>
      <c r="F19" s="118">
        <f>IFERROR(SUMIFS(CAD_Bancos[R$ SALDO INICIAL],CAD_Bancos[ANO],$B$4,CAD_Bancos[MÊS],F$6,CAD_Bancos[[BANCO ]],Rel_BC[[#This Row],[BANCOS]])+SUMIFS(LANÇ_MOV[VALOR LÍQUIDO],LANÇ_MOV[RECEITA OU DESPESA],"Receita",LANÇ_MOV[BANCO],$B19,LANÇ_MOV[MÊS PAGAMENTO CORRESPONDENTE],F$6,LANÇ_MOV[ANO PAGAMENTO],$B$4,LANÇ_MOV[CENTRO DE CUSTOS],$D$4)-SUMIFS(LANÇ_MOV[VALOR LÍQUIDO],LANÇ_MOV[RECEITA OU DESPESA],"Despesa",LANÇ_MOV[BANCO],$B19,LANÇ_MOV[MÊS PAGAMENTO CORRESPONDENTE],F$6,LANÇ_MOV[ANO PAGAMENTO],$B$4,LANÇ_MOV[EMPRESA],$C$4,LANÇ_MOV[CENTRO DE CUSTOS],$D$4),"")</f>
        <v>0</v>
      </c>
      <c r="G19" s="118">
        <f>IFERROR(SUMIFS(CAD_Bancos[R$ SALDO INICIAL],CAD_Bancos[ANO],$B$4,CAD_Bancos[MÊS],G$6,CAD_Bancos[[BANCO ]],Rel_BC[[#This Row],[BANCOS]])+SUMIFS(LANÇ_MOV[VALOR LÍQUIDO],LANÇ_MOV[RECEITA OU DESPESA],"Receita",LANÇ_MOV[BANCO],$B19,LANÇ_MOV[MÊS PAGAMENTO CORRESPONDENTE],G$6,LANÇ_MOV[ANO PAGAMENTO],$B$4,LANÇ_MOV[CENTRO DE CUSTOS],$D$4)-SUMIFS(LANÇ_MOV[VALOR LÍQUIDO],LANÇ_MOV[RECEITA OU DESPESA],"Despesa",LANÇ_MOV[BANCO],$B19,LANÇ_MOV[MÊS PAGAMENTO CORRESPONDENTE],G$6,LANÇ_MOV[ANO PAGAMENTO],$B$4,LANÇ_MOV[EMPRESA],$C$4,LANÇ_MOV[CENTRO DE CUSTOS],$D$4),"")</f>
        <v>0</v>
      </c>
      <c r="H19" s="118">
        <f>IFERROR(SUMIFS(CAD_Bancos[R$ SALDO INICIAL],CAD_Bancos[ANO],$B$4,CAD_Bancos[MÊS],H$6,CAD_Bancos[[BANCO ]],Rel_BC[[#This Row],[BANCOS]])+SUMIFS(LANÇ_MOV[VALOR LÍQUIDO],LANÇ_MOV[RECEITA OU DESPESA],"Receita",LANÇ_MOV[BANCO],$B19,LANÇ_MOV[MÊS PAGAMENTO CORRESPONDENTE],H$6,LANÇ_MOV[ANO PAGAMENTO],$B$4,LANÇ_MOV[CENTRO DE CUSTOS],$D$4)-SUMIFS(LANÇ_MOV[VALOR LÍQUIDO],LANÇ_MOV[RECEITA OU DESPESA],"Despesa",LANÇ_MOV[BANCO],$B19,LANÇ_MOV[MÊS PAGAMENTO CORRESPONDENTE],H$6,LANÇ_MOV[ANO PAGAMENTO],$B$4,LANÇ_MOV[EMPRESA],$C$4,LANÇ_MOV[CENTRO DE CUSTOS],$D$4),"")</f>
        <v>0</v>
      </c>
      <c r="I19" s="118">
        <f>IFERROR(SUMIFS(CAD_Bancos[R$ SALDO INICIAL],CAD_Bancos[ANO],$B$4,CAD_Bancos[MÊS],I$6,CAD_Bancos[[BANCO ]],Rel_BC[[#This Row],[BANCOS]])+SUMIFS(LANÇ_MOV[VALOR LÍQUIDO],LANÇ_MOV[RECEITA OU DESPESA],"Receita",LANÇ_MOV[BANCO],$B19,LANÇ_MOV[MÊS PAGAMENTO CORRESPONDENTE],I$6,LANÇ_MOV[ANO PAGAMENTO],$B$4,LANÇ_MOV[CENTRO DE CUSTOS],$D$4)-SUMIFS(LANÇ_MOV[VALOR LÍQUIDO],LANÇ_MOV[RECEITA OU DESPESA],"Despesa",LANÇ_MOV[BANCO],$B19,LANÇ_MOV[MÊS PAGAMENTO CORRESPONDENTE],I$6,LANÇ_MOV[ANO PAGAMENTO],$B$4,LANÇ_MOV[EMPRESA],$C$4,LANÇ_MOV[CENTRO DE CUSTOS],$D$4),"")</f>
        <v>0</v>
      </c>
      <c r="J19" s="118">
        <f>IFERROR(SUMIFS(CAD_Bancos[R$ SALDO INICIAL],CAD_Bancos[ANO],$B$4,CAD_Bancos[MÊS],J$6,CAD_Bancos[[BANCO ]],Rel_BC[[#This Row],[BANCOS]])+SUMIFS(LANÇ_MOV[VALOR LÍQUIDO],LANÇ_MOV[RECEITA OU DESPESA],"Receita",LANÇ_MOV[BANCO],$B19,LANÇ_MOV[MÊS PAGAMENTO CORRESPONDENTE],J$6,LANÇ_MOV[ANO PAGAMENTO],$B$4,LANÇ_MOV[CENTRO DE CUSTOS],$D$4)-SUMIFS(LANÇ_MOV[VALOR LÍQUIDO],LANÇ_MOV[RECEITA OU DESPESA],"Despesa",LANÇ_MOV[BANCO],$B19,LANÇ_MOV[MÊS PAGAMENTO CORRESPONDENTE],J$6,LANÇ_MOV[ANO PAGAMENTO],$B$4,LANÇ_MOV[EMPRESA],$C$4,LANÇ_MOV[CENTRO DE CUSTOS],$D$4),"")</f>
        <v>0</v>
      </c>
      <c r="K19" s="118">
        <f>IFERROR(SUMIFS(CAD_Bancos[R$ SALDO INICIAL],CAD_Bancos[ANO],$B$4,CAD_Bancos[MÊS],K$6,CAD_Bancos[[BANCO ]],Rel_BC[[#This Row],[BANCOS]])+SUMIFS(LANÇ_MOV[VALOR LÍQUIDO],LANÇ_MOV[RECEITA OU DESPESA],"Receita",LANÇ_MOV[BANCO],$B19,LANÇ_MOV[MÊS PAGAMENTO CORRESPONDENTE],K$6,LANÇ_MOV[ANO PAGAMENTO],$B$4,LANÇ_MOV[CENTRO DE CUSTOS],$D$4)-SUMIFS(LANÇ_MOV[VALOR LÍQUIDO],LANÇ_MOV[RECEITA OU DESPESA],"Despesa",LANÇ_MOV[BANCO],$B19,LANÇ_MOV[MÊS PAGAMENTO CORRESPONDENTE],K$6,LANÇ_MOV[ANO PAGAMENTO],$B$4,LANÇ_MOV[EMPRESA],$C$4,LANÇ_MOV[CENTRO DE CUSTOS],$D$4),"")</f>
        <v>0</v>
      </c>
      <c r="L19" s="118">
        <f>IFERROR(SUMIFS(CAD_Bancos[R$ SALDO INICIAL],CAD_Bancos[ANO],$B$4,CAD_Bancos[MÊS],L$6,CAD_Bancos[[BANCO ]],Rel_BC[[#This Row],[BANCOS]])+SUMIFS(LANÇ_MOV[VALOR LÍQUIDO],LANÇ_MOV[RECEITA OU DESPESA],"Receita",LANÇ_MOV[BANCO],$B19,LANÇ_MOV[MÊS PAGAMENTO CORRESPONDENTE],L$6,LANÇ_MOV[ANO PAGAMENTO],$B$4,LANÇ_MOV[CENTRO DE CUSTOS],$D$4)-SUMIFS(LANÇ_MOV[VALOR LÍQUIDO],LANÇ_MOV[RECEITA OU DESPESA],"Despesa",LANÇ_MOV[BANCO],$B19,LANÇ_MOV[MÊS PAGAMENTO CORRESPONDENTE],L$6,LANÇ_MOV[ANO PAGAMENTO],$B$4,LANÇ_MOV[EMPRESA],$C$4,LANÇ_MOV[CENTRO DE CUSTOS],$D$4),"")</f>
        <v>0</v>
      </c>
      <c r="M19" s="118">
        <f>IFERROR(SUMIFS(CAD_Bancos[R$ SALDO INICIAL],CAD_Bancos[ANO],$B$4,CAD_Bancos[MÊS],M$6,CAD_Bancos[[BANCO ]],Rel_BC[[#This Row],[BANCOS]])+SUMIFS(LANÇ_MOV[VALOR LÍQUIDO],LANÇ_MOV[RECEITA OU DESPESA],"Receita",LANÇ_MOV[BANCO],$B19,LANÇ_MOV[MÊS PAGAMENTO CORRESPONDENTE],M$6,LANÇ_MOV[ANO PAGAMENTO],$B$4,LANÇ_MOV[CENTRO DE CUSTOS],$D$4)-SUMIFS(LANÇ_MOV[VALOR LÍQUIDO],LANÇ_MOV[RECEITA OU DESPESA],"Despesa",LANÇ_MOV[BANCO],$B19,LANÇ_MOV[MÊS PAGAMENTO CORRESPONDENTE],M$6,LANÇ_MOV[ANO PAGAMENTO],$B$4,LANÇ_MOV[EMPRESA],$C$4,LANÇ_MOV[CENTRO DE CUSTOS],$D$4),"")</f>
        <v>0</v>
      </c>
      <c r="N19" s="118">
        <f>IFERROR(SUMIFS(CAD_Bancos[R$ SALDO INICIAL],CAD_Bancos[ANO],$B$4,CAD_Bancos[MÊS],N$6,CAD_Bancos[[BANCO ]],Rel_BC[[#This Row],[BANCOS]])+SUMIFS(LANÇ_MOV[VALOR LÍQUIDO],LANÇ_MOV[RECEITA OU DESPESA],"Receita",LANÇ_MOV[BANCO],$B19,LANÇ_MOV[MÊS PAGAMENTO CORRESPONDENTE],N$6,LANÇ_MOV[ANO PAGAMENTO],$B$4,LANÇ_MOV[CENTRO DE CUSTOS],$D$4)-SUMIFS(LANÇ_MOV[VALOR LÍQUIDO],LANÇ_MOV[RECEITA OU DESPESA],"Despesa",LANÇ_MOV[BANCO],$B19,LANÇ_MOV[MÊS PAGAMENTO CORRESPONDENTE],N$6,LANÇ_MOV[ANO PAGAMENTO],$B$4,LANÇ_MOV[EMPRESA],$C$4,LANÇ_MOV[CENTRO DE CUSTOS],$D$4),"")</f>
        <v>0</v>
      </c>
      <c r="O19" s="39">
        <f t="shared" si="0"/>
        <v>0</v>
      </c>
    </row>
    <row r="20" spans="2:15" ht="30.05" customHeight="1" x14ac:dyDescent="0.35">
      <c r="B20" s="358" t="str">
        <f>IF('CAD_BANCOS'!F18="","-",'CAD_BANCOS'!F18)</f>
        <v>-</v>
      </c>
      <c r="C20" s="118">
        <f>IFERROR(SUMIFS(CAD_Bancos[R$ SALDO INICIAL],CAD_Bancos[ANO],$B$4,CAD_Bancos[MÊS],C$6,CAD_Bancos[[BANCO ]],Rel_BC[[#This Row],[BANCOS]])+SUMIFS(LANÇ_MOV[VALOR LÍQUIDO],LANÇ_MOV[RECEITA OU DESPESA],"Receita",LANÇ_MOV[BANCO],$B20,LANÇ_MOV[MÊS PAGAMENTO CORRESPONDENTE],C$6,LANÇ_MOV[ANO PAGAMENTO],$B$4,LANÇ_MOV[CENTRO DE CUSTOS],$D$4)-SUMIFS(LANÇ_MOV[VALOR LÍQUIDO],LANÇ_MOV[RECEITA OU DESPESA],"Despesa",LANÇ_MOV[BANCO],$B20,LANÇ_MOV[MÊS PAGAMENTO CORRESPONDENTE],C$6,LANÇ_MOV[ANO PAGAMENTO],$B$4,LANÇ_MOV[EMPRESA],$C$4,LANÇ_MOV[CENTRO DE CUSTOS],$D$4),"")</f>
        <v>0</v>
      </c>
      <c r="D20" s="118">
        <f>IFERROR(SUMIFS(CAD_Bancos[R$ SALDO INICIAL],CAD_Bancos[ANO],$B$4,CAD_Bancos[MÊS],D$6,CAD_Bancos[[BANCO ]],Rel_BC[[#This Row],[BANCOS]])+SUMIFS(LANÇ_MOV[VALOR LÍQUIDO],LANÇ_MOV[RECEITA OU DESPESA],"Receita",LANÇ_MOV[BANCO],$B20,LANÇ_MOV[MÊS PAGAMENTO CORRESPONDENTE],D$6,LANÇ_MOV[ANO PAGAMENTO],$B$4,LANÇ_MOV[CENTRO DE CUSTOS],$D$4)-SUMIFS(LANÇ_MOV[VALOR LÍQUIDO],LANÇ_MOV[RECEITA OU DESPESA],"Despesa",LANÇ_MOV[BANCO],$B20,LANÇ_MOV[MÊS PAGAMENTO CORRESPONDENTE],D$6,LANÇ_MOV[ANO PAGAMENTO],$B$4,LANÇ_MOV[EMPRESA],$C$4,LANÇ_MOV[CENTRO DE CUSTOS],$D$4),"")</f>
        <v>0</v>
      </c>
      <c r="E20" s="118">
        <f>IFERROR(SUMIFS(CAD_Bancos[R$ SALDO INICIAL],CAD_Bancos[ANO],$B$4,CAD_Bancos[MÊS],E$6,CAD_Bancos[[BANCO ]],Rel_BC[[#This Row],[BANCOS]])+SUMIFS(LANÇ_MOV[VALOR LÍQUIDO],LANÇ_MOV[RECEITA OU DESPESA],"Receita",LANÇ_MOV[BANCO],$B20,LANÇ_MOV[MÊS PAGAMENTO CORRESPONDENTE],E$6,LANÇ_MOV[ANO PAGAMENTO],$B$4,LANÇ_MOV[CENTRO DE CUSTOS],$D$4)-SUMIFS(LANÇ_MOV[VALOR LÍQUIDO],LANÇ_MOV[RECEITA OU DESPESA],"Despesa",LANÇ_MOV[BANCO],$B20,LANÇ_MOV[MÊS PAGAMENTO CORRESPONDENTE],E$6,LANÇ_MOV[ANO PAGAMENTO],$B$4,LANÇ_MOV[EMPRESA],$C$4,LANÇ_MOV[CENTRO DE CUSTOS],$D$4),"")</f>
        <v>0</v>
      </c>
      <c r="F20" s="118">
        <f>IFERROR(SUMIFS(CAD_Bancos[R$ SALDO INICIAL],CAD_Bancos[ANO],$B$4,CAD_Bancos[MÊS],F$6,CAD_Bancos[[BANCO ]],Rel_BC[[#This Row],[BANCOS]])+SUMIFS(LANÇ_MOV[VALOR LÍQUIDO],LANÇ_MOV[RECEITA OU DESPESA],"Receita",LANÇ_MOV[BANCO],$B20,LANÇ_MOV[MÊS PAGAMENTO CORRESPONDENTE],F$6,LANÇ_MOV[ANO PAGAMENTO],$B$4,LANÇ_MOV[CENTRO DE CUSTOS],$D$4)-SUMIFS(LANÇ_MOV[VALOR LÍQUIDO],LANÇ_MOV[RECEITA OU DESPESA],"Despesa",LANÇ_MOV[BANCO],$B20,LANÇ_MOV[MÊS PAGAMENTO CORRESPONDENTE],F$6,LANÇ_MOV[ANO PAGAMENTO],$B$4,LANÇ_MOV[EMPRESA],$C$4,LANÇ_MOV[CENTRO DE CUSTOS],$D$4),"")</f>
        <v>0</v>
      </c>
      <c r="G20" s="118">
        <f>IFERROR(SUMIFS(CAD_Bancos[R$ SALDO INICIAL],CAD_Bancos[ANO],$B$4,CAD_Bancos[MÊS],G$6,CAD_Bancos[[BANCO ]],Rel_BC[[#This Row],[BANCOS]])+SUMIFS(LANÇ_MOV[VALOR LÍQUIDO],LANÇ_MOV[RECEITA OU DESPESA],"Receita",LANÇ_MOV[BANCO],$B20,LANÇ_MOV[MÊS PAGAMENTO CORRESPONDENTE],G$6,LANÇ_MOV[ANO PAGAMENTO],$B$4,LANÇ_MOV[CENTRO DE CUSTOS],$D$4)-SUMIFS(LANÇ_MOV[VALOR LÍQUIDO],LANÇ_MOV[RECEITA OU DESPESA],"Despesa",LANÇ_MOV[BANCO],$B20,LANÇ_MOV[MÊS PAGAMENTO CORRESPONDENTE],G$6,LANÇ_MOV[ANO PAGAMENTO],$B$4,LANÇ_MOV[EMPRESA],$C$4,LANÇ_MOV[CENTRO DE CUSTOS],$D$4),"")</f>
        <v>0</v>
      </c>
      <c r="H20" s="118">
        <f>IFERROR(SUMIFS(CAD_Bancos[R$ SALDO INICIAL],CAD_Bancos[ANO],$B$4,CAD_Bancos[MÊS],H$6,CAD_Bancos[[BANCO ]],Rel_BC[[#This Row],[BANCOS]])+SUMIFS(LANÇ_MOV[VALOR LÍQUIDO],LANÇ_MOV[RECEITA OU DESPESA],"Receita",LANÇ_MOV[BANCO],$B20,LANÇ_MOV[MÊS PAGAMENTO CORRESPONDENTE],H$6,LANÇ_MOV[ANO PAGAMENTO],$B$4,LANÇ_MOV[CENTRO DE CUSTOS],$D$4)-SUMIFS(LANÇ_MOV[VALOR LÍQUIDO],LANÇ_MOV[RECEITA OU DESPESA],"Despesa",LANÇ_MOV[BANCO],$B20,LANÇ_MOV[MÊS PAGAMENTO CORRESPONDENTE],H$6,LANÇ_MOV[ANO PAGAMENTO],$B$4,LANÇ_MOV[EMPRESA],$C$4,LANÇ_MOV[CENTRO DE CUSTOS],$D$4),"")</f>
        <v>0</v>
      </c>
      <c r="I20" s="118">
        <f>IFERROR(SUMIFS(CAD_Bancos[R$ SALDO INICIAL],CAD_Bancos[ANO],$B$4,CAD_Bancos[MÊS],I$6,CAD_Bancos[[BANCO ]],Rel_BC[[#This Row],[BANCOS]])+SUMIFS(LANÇ_MOV[VALOR LÍQUIDO],LANÇ_MOV[RECEITA OU DESPESA],"Receita",LANÇ_MOV[BANCO],$B20,LANÇ_MOV[MÊS PAGAMENTO CORRESPONDENTE],I$6,LANÇ_MOV[ANO PAGAMENTO],$B$4,LANÇ_MOV[CENTRO DE CUSTOS],$D$4)-SUMIFS(LANÇ_MOV[VALOR LÍQUIDO],LANÇ_MOV[RECEITA OU DESPESA],"Despesa",LANÇ_MOV[BANCO],$B20,LANÇ_MOV[MÊS PAGAMENTO CORRESPONDENTE],I$6,LANÇ_MOV[ANO PAGAMENTO],$B$4,LANÇ_MOV[EMPRESA],$C$4,LANÇ_MOV[CENTRO DE CUSTOS],$D$4),"")</f>
        <v>0</v>
      </c>
      <c r="J20" s="118">
        <f>IFERROR(SUMIFS(CAD_Bancos[R$ SALDO INICIAL],CAD_Bancos[ANO],$B$4,CAD_Bancos[MÊS],J$6,CAD_Bancos[[BANCO ]],Rel_BC[[#This Row],[BANCOS]])+SUMIFS(LANÇ_MOV[VALOR LÍQUIDO],LANÇ_MOV[RECEITA OU DESPESA],"Receita",LANÇ_MOV[BANCO],$B20,LANÇ_MOV[MÊS PAGAMENTO CORRESPONDENTE],J$6,LANÇ_MOV[ANO PAGAMENTO],$B$4,LANÇ_MOV[CENTRO DE CUSTOS],$D$4)-SUMIFS(LANÇ_MOV[VALOR LÍQUIDO],LANÇ_MOV[RECEITA OU DESPESA],"Despesa",LANÇ_MOV[BANCO],$B20,LANÇ_MOV[MÊS PAGAMENTO CORRESPONDENTE],J$6,LANÇ_MOV[ANO PAGAMENTO],$B$4,LANÇ_MOV[EMPRESA],$C$4,LANÇ_MOV[CENTRO DE CUSTOS],$D$4),"")</f>
        <v>0</v>
      </c>
      <c r="K20" s="118">
        <f>IFERROR(SUMIFS(CAD_Bancos[R$ SALDO INICIAL],CAD_Bancos[ANO],$B$4,CAD_Bancos[MÊS],K$6,CAD_Bancos[[BANCO ]],Rel_BC[[#This Row],[BANCOS]])+SUMIFS(LANÇ_MOV[VALOR LÍQUIDO],LANÇ_MOV[RECEITA OU DESPESA],"Receita",LANÇ_MOV[BANCO],$B20,LANÇ_MOV[MÊS PAGAMENTO CORRESPONDENTE],K$6,LANÇ_MOV[ANO PAGAMENTO],$B$4,LANÇ_MOV[CENTRO DE CUSTOS],$D$4)-SUMIFS(LANÇ_MOV[VALOR LÍQUIDO],LANÇ_MOV[RECEITA OU DESPESA],"Despesa",LANÇ_MOV[BANCO],$B20,LANÇ_MOV[MÊS PAGAMENTO CORRESPONDENTE],K$6,LANÇ_MOV[ANO PAGAMENTO],$B$4,LANÇ_MOV[EMPRESA],$C$4,LANÇ_MOV[CENTRO DE CUSTOS],$D$4),"")</f>
        <v>0</v>
      </c>
      <c r="L20" s="118">
        <f>IFERROR(SUMIFS(CAD_Bancos[R$ SALDO INICIAL],CAD_Bancos[ANO],$B$4,CAD_Bancos[MÊS],L$6,CAD_Bancos[[BANCO ]],Rel_BC[[#This Row],[BANCOS]])+SUMIFS(LANÇ_MOV[VALOR LÍQUIDO],LANÇ_MOV[RECEITA OU DESPESA],"Receita",LANÇ_MOV[BANCO],$B20,LANÇ_MOV[MÊS PAGAMENTO CORRESPONDENTE],L$6,LANÇ_MOV[ANO PAGAMENTO],$B$4,LANÇ_MOV[CENTRO DE CUSTOS],$D$4)-SUMIFS(LANÇ_MOV[VALOR LÍQUIDO],LANÇ_MOV[RECEITA OU DESPESA],"Despesa",LANÇ_MOV[BANCO],$B20,LANÇ_MOV[MÊS PAGAMENTO CORRESPONDENTE],L$6,LANÇ_MOV[ANO PAGAMENTO],$B$4,LANÇ_MOV[EMPRESA],$C$4,LANÇ_MOV[CENTRO DE CUSTOS],$D$4),"")</f>
        <v>0</v>
      </c>
      <c r="M20" s="118">
        <f>IFERROR(SUMIFS(CAD_Bancos[R$ SALDO INICIAL],CAD_Bancos[ANO],$B$4,CAD_Bancos[MÊS],M$6,CAD_Bancos[[BANCO ]],Rel_BC[[#This Row],[BANCOS]])+SUMIFS(LANÇ_MOV[VALOR LÍQUIDO],LANÇ_MOV[RECEITA OU DESPESA],"Receita",LANÇ_MOV[BANCO],$B20,LANÇ_MOV[MÊS PAGAMENTO CORRESPONDENTE],M$6,LANÇ_MOV[ANO PAGAMENTO],$B$4,LANÇ_MOV[CENTRO DE CUSTOS],$D$4)-SUMIFS(LANÇ_MOV[VALOR LÍQUIDO],LANÇ_MOV[RECEITA OU DESPESA],"Despesa",LANÇ_MOV[BANCO],$B20,LANÇ_MOV[MÊS PAGAMENTO CORRESPONDENTE],M$6,LANÇ_MOV[ANO PAGAMENTO],$B$4,LANÇ_MOV[EMPRESA],$C$4,LANÇ_MOV[CENTRO DE CUSTOS],$D$4),"")</f>
        <v>0</v>
      </c>
      <c r="N20" s="118">
        <f>IFERROR(SUMIFS(CAD_Bancos[R$ SALDO INICIAL],CAD_Bancos[ANO],$B$4,CAD_Bancos[MÊS],N$6,CAD_Bancos[[BANCO ]],Rel_BC[[#This Row],[BANCOS]])+SUMIFS(LANÇ_MOV[VALOR LÍQUIDO],LANÇ_MOV[RECEITA OU DESPESA],"Receita",LANÇ_MOV[BANCO],$B20,LANÇ_MOV[MÊS PAGAMENTO CORRESPONDENTE],N$6,LANÇ_MOV[ANO PAGAMENTO],$B$4,LANÇ_MOV[CENTRO DE CUSTOS],$D$4)-SUMIFS(LANÇ_MOV[VALOR LÍQUIDO],LANÇ_MOV[RECEITA OU DESPESA],"Despesa",LANÇ_MOV[BANCO],$B20,LANÇ_MOV[MÊS PAGAMENTO CORRESPONDENTE],N$6,LANÇ_MOV[ANO PAGAMENTO],$B$4,LANÇ_MOV[EMPRESA],$C$4,LANÇ_MOV[CENTRO DE CUSTOS],$D$4),"")</f>
        <v>0</v>
      </c>
      <c r="O20" s="39">
        <f t="shared" si="0"/>
        <v>0</v>
      </c>
    </row>
    <row r="21" spans="2:15" ht="30.05" customHeight="1" x14ac:dyDescent="0.35">
      <c r="B21" s="358" t="str">
        <f>IF('CAD_BANCOS'!F19="","-",'CAD_BANCOS'!F19)</f>
        <v>-</v>
      </c>
      <c r="C21" s="118">
        <f>IFERROR(SUMIFS(CAD_Bancos[R$ SALDO INICIAL],CAD_Bancos[ANO],$B$4,CAD_Bancos[MÊS],C$6,CAD_Bancos[[BANCO ]],Rel_BC[[#This Row],[BANCOS]])+SUMIFS(LANÇ_MOV[VALOR LÍQUIDO],LANÇ_MOV[RECEITA OU DESPESA],"Receita",LANÇ_MOV[BANCO],$B21,LANÇ_MOV[MÊS PAGAMENTO CORRESPONDENTE],C$6,LANÇ_MOV[ANO PAGAMENTO],$B$4,LANÇ_MOV[CENTRO DE CUSTOS],$D$4)-SUMIFS(LANÇ_MOV[VALOR LÍQUIDO],LANÇ_MOV[RECEITA OU DESPESA],"Despesa",LANÇ_MOV[BANCO],$B21,LANÇ_MOV[MÊS PAGAMENTO CORRESPONDENTE],C$6,LANÇ_MOV[ANO PAGAMENTO],$B$4,LANÇ_MOV[EMPRESA],$C$4,LANÇ_MOV[CENTRO DE CUSTOS],$D$4),"")</f>
        <v>0</v>
      </c>
      <c r="D21" s="118">
        <f>IFERROR(SUMIFS(CAD_Bancos[R$ SALDO INICIAL],CAD_Bancos[ANO],$B$4,CAD_Bancos[MÊS],D$6,CAD_Bancos[[BANCO ]],Rel_BC[[#This Row],[BANCOS]])+SUMIFS(LANÇ_MOV[VALOR LÍQUIDO],LANÇ_MOV[RECEITA OU DESPESA],"Receita",LANÇ_MOV[BANCO],$B21,LANÇ_MOV[MÊS PAGAMENTO CORRESPONDENTE],D$6,LANÇ_MOV[ANO PAGAMENTO],$B$4,LANÇ_MOV[CENTRO DE CUSTOS],$D$4)-SUMIFS(LANÇ_MOV[VALOR LÍQUIDO],LANÇ_MOV[RECEITA OU DESPESA],"Despesa",LANÇ_MOV[BANCO],$B21,LANÇ_MOV[MÊS PAGAMENTO CORRESPONDENTE],D$6,LANÇ_MOV[ANO PAGAMENTO],$B$4,LANÇ_MOV[EMPRESA],$C$4,LANÇ_MOV[CENTRO DE CUSTOS],$D$4),"")</f>
        <v>0</v>
      </c>
      <c r="E21" s="118">
        <f>IFERROR(SUMIFS(CAD_Bancos[R$ SALDO INICIAL],CAD_Bancos[ANO],$B$4,CAD_Bancos[MÊS],E$6,CAD_Bancos[[BANCO ]],Rel_BC[[#This Row],[BANCOS]])+SUMIFS(LANÇ_MOV[VALOR LÍQUIDO],LANÇ_MOV[RECEITA OU DESPESA],"Receita",LANÇ_MOV[BANCO],$B21,LANÇ_MOV[MÊS PAGAMENTO CORRESPONDENTE],E$6,LANÇ_MOV[ANO PAGAMENTO],$B$4,LANÇ_MOV[CENTRO DE CUSTOS],$D$4)-SUMIFS(LANÇ_MOV[VALOR LÍQUIDO],LANÇ_MOV[RECEITA OU DESPESA],"Despesa",LANÇ_MOV[BANCO],$B21,LANÇ_MOV[MÊS PAGAMENTO CORRESPONDENTE],E$6,LANÇ_MOV[ANO PAGAMENTO],$B$4,LANÇ_MOV[EMPRESA],$C$4,LANÇ_MOV[CENTRO DE CUSTOS],$D$4),"")</f>
        <v>0</v>
      </c>
      <c r="F21" s="118">
        <f>IFERROR(SUMIFS(CAD_Bancos[R$ SALDO INICIAL],CAD_Bancos[ANO],$B$4,CAD_Bancos[MÊS],F$6,CAD_Bancos[[BANCO ]],Rel_BC[[#This Row],[BANCOS]])+SUMIFS(LANÇ_MOV[VALOR LÍQUIDO],LANÇ_MOV[RECEITA OU DESPESA],"Receita",LANÇ_MOV[BANCO],$B21,LANÇ_MOV[MÊS PAGAMENTO CORRESPONDENTE],F$6,LANÇ_MOV[ANO PAGAMENTO],$B$4,LANÇ_MOV[CENTRO DE CUSTOS],$D$4)-SUMIFS(LANÇ_MOV[VALOR LÍQUIDO],LANÇ_MOV[RECEITA OU DESPESA],"Despesa",LANÇ_MOV[BANCO],$B21,LANÇ_MOV[MÊS PAGAMENTO CORRESPONDENTE],F$6,LANÇ_MOV[ANO PAGAMENTO],$B$4,LANÇ_MOV[EMPRESA],$C$4,LANÇ_MOV[CENTRO DE CUSTOS],$D$4),"")</f>
        <v>0</v>
      </c>
      <c r="G21" s="118">
        <f>IFERROR(SUMIFS(CAD_Bancos[R$ SALDO INICIAL],CAD_Bancos[ANO],$B$4,CAD_Bancos[MÊS],G$6,CAD_Bancos[[BANCO ]],Rel_BC[[#This Row],[BANCOS]])+SUMIFS(LANÇ_MOV[VALOR LÍQUIDO],LANÇ_MOV[RECEITA OU DESPESA],"Receita",LANÇ_MOV[BANCO],$B21,LANÇ_MOV[MÊS PAGAMENTO CORRESPONDENTE],G$6,LANÇ_MOV[ANO PAGAMENTO],$B$4,LANÇ_MOV[CENTRO DE CUSTOS],$D$4)-SUMIFS(LANÇ_MOV[VALOR LÍQUIDO],LANÇ_MOV[RECEITA OU DESPESA],"Despesa",LANÇ_MOV[BANCO],$B21,LANÇ_MOV[MÊS PAGAMENTO CORRESPONDENTE],G$6,LANÇ_MOV[ANO PAGAMENTO],$B$4,LANÇ_MOV[EMPRESA],$C$4,LANÇ_MOV[CENTRO DE CUSTOS],$D$4),"")</f>
        <v>0</v>
      </c>
      <c r="H21" s="118">
        <f>IFERROR(SUMIFS(CAD_Bancos[R$ SALDO INICIAL],CAD_Bancos[ANO],$B$4,CAD_Bancos[MÊS],H$6,CAD_Bancos[[BANCO ]],Rel_BC[[#This Row],[BANCOS]])+SUMIFS(LANÇ_MOV[VALOR LÍQUIDO],LANÇ_MOV[RECEITA OU DESPESA],"Receita",LANÇ_MOV[BANCO],$B21,LANÇ_MOV[MÊS PAGAMENTO CORRESPONDENTE],H$6,LANÇ_MOV[ANO PAGAMENTO],$B$4,LANÇ_MOV[CENTRO DE CUSTOS],$D$4)-SUMIFS(LANÇ_MOV[VALOR LÍQUIDO],LANÇ_MOV[RECEITA OU DESPESA],"Despesa",LANÇ_MOV[BANCO],$B21,LANÇ_MOV[MÊS PAGAMENTO CORRESPONDENTE],H$6,LANÇ_MOV[ANO PAGAMENTO],$B$4,LANÇ_MOV[EMPRESA],$C$4,LANÇ_MOV[CENTRO DE CUSTOS],$D$4),"")</f>
        <v>0</v>
      </c>
      <c r="I21" s="118">
        <f>IFERROR(SUMIFS(CAD_Bancos[R$ SALDO INICIAL],CAD_Bancos[ANO],$B$4,CAD_Bancos[MÊS],I$6,CAD_Bancos[[BANCO ]],Rel_BC[[#This Row],[BANCOS]])+SUMIFS(LANÇ_MOV[VALOR LÍQUIDO],LANÇ_MOV[RECEITA OU DESPESA],"Receita",LANÇ_MOV[BANCO],$B21,LANÇ_MOV[MÊS PAGAMENTO CORRESPONDENTE],I$6,LANÇ_MOV[ANO PAGAMENTO],$B$4,LANÇ_MOV[CENTRO DE CUSTOS],$D$4)-SUMIFS(LANÇ_MOV[VALOR LÍQUIDO],LANÇ_MOV[RECEITA OU DESPESA],"Despesa",LANÇ_MOV[BANCO],$B21,LANÇ_MOV[MÊS PAGAMENTO CORRESPONDENTE],I$6,LANÇ_MOV[ANO PAGAMENTO],$B$4,LANÇ_MOV[EMPRESA],$C$4,LANÇ_MOV[CENTRO DE CUSTOS],$D$4),"")</f>
        <v>0</v>
      </c>
      <c r="J21" s="118">
        <f>IFERROR(SUMIFS(CAD_Bancos[R$ SALDO INICIAL],CAD_Bancos[ANO],$B$4,CAD_Bancos[MÊS],J$6,CAD_Bancos[[BANCO ]],Rel_BC[[#This Row],[BANCOS]])+SUMIFS(LANÇ_MOV[VALOR LÍQUIDO],LANÇ_MOV[RECEITA OU DESPESA],"Receita",LANÇ_MOV[BANCO],$B21,LANÇ_MOV[MÊS PAGAMENTO CORRESPONDENTE],J$6,LANÇ_MOV[ANO PAGAMENTO],$B$4,LANÇ_MOV[CENTRO DE CUSTOS],$D$4)-SUMIFS(LANÇ_MOV[VALOR LÍQUIDO],LANÇ_MOV[RECEITA OU DESPESA],"Despesa",LANÇ_MOV[BANCO],$B21,LANÇ_MOV[MÊS PAGAMENTO CORRESPONDENTE],J$6,LANÇ_MOV[ANO PAGAMENTO],$B$4,LANÇ_MOV[EMPRESA],$C$4,LANÇ_MOV[CENTRO DE CUSTOS],$D$4),"")</f>
        <v>0</v>
      </c>
      <c r="K21" s="118">
        <f>IFERROR(SUMIFS(CAD_Bancos[R$ SALDO INICIAL],CAD_Bancos[ANO],$B$4,CAD_Bancos[MÊS],K$6,CAD_Bancos[[BANCO ]],Rel_BC[[#This Row],[BANCOS]])+SUMIFS(LANÇ_MOV[VALOR LÍQUIDO],LANÇ_MOV[RECEITA OU DESPESA],"Receita",LANÇ_MOV[BANCO],$B21,LANÇ_MOV[MÊS PAGAMENTO CORRESPONDENTE],K$6,LANÇ_MOV[ANO PAGAMENTO],$B$4,LANÇ_MOV[CENTRO DE CUSTOS],$D$4)-SUMIFS(LANÇ_MOV[VALOR LÍQUIDO],LANÇ_MOV[RECEITA OU DESPESA],"Despesa",LANÇ_MOV[BANCO],$B21,LANÇ_MOV[MÊS PAGAMENTO CORRESPONDENTE],K$6,LANÇ_MOV[ANO PAGAMENTO],$B$4,LANÇ_MOV[EMPRESA],$C$4,LANÇ_MOV[CENTRO DE CUSTOS],$D$4),"")</f>
        <v>0</v>
      </c>
      <c r="L21" s="118">
        <f>IFERROR(SUMIFS(CAD_Bancos[R$ SALDO INICIAL],CAD_Bancos[ANO],$B$4,CAD_Bancos[MÊS],L$6,CAD_Bancos[[BANCO ]],Rel_BC[[#This Row],[BANCOS]])+SUMIFS(LANÇ_MOV[VALOR LÍQUIDO],LANÇ_MOV[RECEITA OU DESPESA],"Receita",LANÇ_MOV[BANCO],$B21,LANÇ_MOV[MÊS PAGAMENTO CORRESPONDENTE],L$6,LANÇ_MOV[ANO PAGAMENTO],$B$4,LANÇ_MOV[CENTRO DE CUSTOS],$D$4)-SUMIFS(LANÇ_MOV[VALOR LÍQUIDO],LANÇ_MOV[RECEITA OU DESPESA],"Despesa",LANÇ_MOV[BANCO],$B21,LANÇ_MOV[MÊS PAGAMENTO CORRESPONDENTE],L$6,LANÇ_MOV[ANO PAGAMENTO],$B$4,LANÇ_MOV[EMPRESA],$C$4,LANÇ_MOV[CENTRO DE CUSTOS],$D$4),"")</f>
        <v>0</v>
      </c>
      <c r="M21" s="118">
        <f>IFERROR(SUMIFS(CAD_Bancos[R$ SALDO INICIAL],CAD_Bancos[ANO],$B$4,CAD_Bancos[MÊS],M$6,CAD_Bancos[[BANCO ]],Rel_BC[[#This Row],[BANCOS]])+SUMIFS(LANÇ_MOV[VALOR LÍQUIDO],LANÇ_MOV[RECEITA OU DESPESA],"Receita",LANÇ_MOV[BANCO],$B21,LANÇ_MOV[MÊS PAGAMENTO CORRESPONDENTE],M$6,LANÇ_MOV[ANO PAGAMENTO],$B$4,LANÇ_MOV[CENTRO DE CUSTOS],$D$4)-SUMIFS(LANÇ_MOV[VALOR LÍQUIDO],LANÇ_MOV[RECEITA OU DESPESA],"Despesa",LANÇ_MOV[BANCO],$B21,LANÇ_MOV[MÊS PAGAMENTO CORRESPONDENTE],M$6,LANÇ_MOV[ANO PAGAMENTO],$B$4,LANÇ_MOV[EMPRESA],$C$4,LANÇ_MOV[CENTRO DE CUSTOS],$D$4),"")</f>
        <v>0</v>
      </c>
      <c r="N21" s="118">
        <f>IFERROR(SUMIFS(CAD_Bancos[R$ SALDO INICIAL],CAD_Bancos[ANO],$B$4,CAD_Bancos[MÊS],N$6,CAD_Bancos[[BANCO ]],Rel_BC[[#This Row],[BANCOS]])+SUMIFS(LANÇ_MOV[VALOR LÍQUIDO],LANÇ_MOV[RECEITA OU DESPESA],"Receita",LANÇ_MOV[BANCO],$B21,LANÇ_MOV[MÊS PAGAMENTO CORRESPONDENTE],N$6,LANÇ_MOV[ANO PAGAMENTO],$B$4,LANÇ_MOV[CENTRO DE CUSTOS],$D$4)-SUMIFS(LANÇ_MOV[VALOR LÍQUIDO],LANÇ_MOV[RECEITA OU DESPESA],"Despesa",LANÇ_MOV[BANCO],$B21,LANÇ_MOV[MÊS PAGAMENTO CORRESPONDENTE],N$6,LANÇ_MOV[ANO PAGAMENTO],$B$4,LANÇ_MOV[EMPRESA],$C$4,LANÇ_MOV[CENTRO DE CUSTOS],$D$4),"")</f>
        <v>0</v>
      </c>
      <c r="O21" s="39">
        <f t="shared" si="0"/>
        <v>0</v>
      </c>
    </row>
    <row r="22" spans="2:15" ht="30.05" customHeight="1" x14ac:dyDescent="0.35">
      <c r="B22" s="358" t="str">
        <f>IF('CAD_BANCOS'!F20="","-",'CAD_BANCOS'!F20)</f>
        <v>-</v>
      </c>
      <c r="C22" s="118">
        <f>IFERROR(SUMIFS(CAD_Bancos[R$ SALDO INICIAL],CAD_Bancos[ANO],$B$4,CAD_Bancos[MÊS],C$6,CAD_Bancos[[BANCO ]],Rel_BC[[#This Row],[BANCOS]])+SUMIFS(LANÇ_MOV[VALOR LÍQUIDO],LANÇ_MOV[RECEITA OU DESPESA],"Receita",LANÇ_MOV[BANCO],$B22,LANÇ_MOV[MÊS PAGAMENTO CORRESPONDENTE],C$6,LANÇ_MOV[ANO PAGAMENTO],$B$4,LANÇ_MOV[CENTRO DE CUSTOS],$D$4)-SUMIFS(LANÇ_MOV[VALOR LÍQUIDO],LANÇ_MOV[RECEITA OU DESPESA],"Despesa",LANÇ_MOV[BANCO],$B22,LANÇ_MOV[MÊS PAGAMENTO CORRESPONDENTE],C$6,LANÇ_MOV[ANO PAGAMENTO],$B$4,LANÇ_MOV[EMPRESA],$C$4,LANÇ_MOV[CENTRO DE CUSTOS],$D$4),"")</f>
        <v>0</v>
      </c>
      <c r="D22" s="118">
        <f>IFERROR(SUMIFS(CAD_Bancos[R$ SALDO INICIAL],CAD_Bancos[ANO],$B$4,CAD_Bancos[MÊS],D$6,CAD_Bancos[[BANCO ]],Rel_BC[[#This Row],[BANCOS]])+SUMIFS(LANÇ_MOV[VALOR LÍQUIDO],LANÇ_MOV[RECEITA OU DESPESA],"Receita",LANÇ_MOV[BANCO],$B22,LANÇ_MOV[MÊS PAGAMENTO CORRESPONDENTE],D$6,LANÇ_MOV[ANO PAGAMENTO],$B$4,LANÇ_MOV[CENTRO DE CUSTOS],$D$4)-SUMIFS(LANÇ_MOV[VALOR LÍQUIDO],LANÇ_MOV[RECEITA OU DESPESA],"Despesa",LANÇ_MOV[BANCO],$B22,LANÇ_MOV[MÊS PAGAMENTO CORRESPONDENTE],D$6,LANÇ_MOV[ANO PAGAMENTO],$B$4,LANÇ_MOV[EMPRESA],$C$4,LANÇ_MOV[CENTRO DE CUSTOS],$D$4),"")</f>
        <v>0</v>
      </c>
      <c r="E22" s="118">
        <f>IFERROR(SUMIFS(CAD_Bancos[R$ SALDO INICIAL],CAD_Bancos[ANO],$B$4,CAD_Bancos[MÊS],E$6,CAD_Bancos[[BANCO ]],Rel_BC[[#This Row],[BANCOS]])+SUMIFS(LANÇ_MOV[VALOR LÍQUIDO],LANÇ_MOV[RECEITA OU DESPESA],"Receita",LANÇ_MOV[BANCO],$B22,LANÇ_MOV[MÊS PAGAMENTO CORRESPONDENTE],E$6,LANÇ_MOV[ANO PAGAMENTO],$B$4,LANÇ_MOV[CENTRO DE CUSTOS],$D$4)-SUMIFS(LANÇ_MOV[VALOR LÍQUIDO],LANÇ_MOV[RECEITA OU DESPESA],"Despesa",LANÇ_MOV[BANCO],$B22,LANÇ_MOV[MÊS PAGAMENTO CORRESPONDENTE],E$6,LANÇ_MOV[ANO PAGAMENTO],$B$4,LANÇ_MOV[EMPRESA],$C$4,LANÇ_MOV[CENTRO DE CUSTOS],$D$4),"")</f>
        <v>0</v>
      </c>
      <c r="F22" s="118">
        <f>IFERROR(SUMIFS(CAD_Bancos[R$ SALDO INICIAL],CAD_Bancos[ANO],$B$4,CAD_Bancos[MÊS],F$6,CAD_Bancos[[BANCO ]],Rel_BC[[#This Row],[BANCOS]])+SUMIFS(LANÇ_MOV[VALOR LÍQUIDO],LANÇ_MOV[RECEITA OU DESPESA],"Receita",LANÇ_MOV[BANCO],$B22,LANÇ_MOV[MÊS PAGAMENTO CORRESPONDENTE],F$6,LANÇ_MOV[ANO PAGAMENTO],$B$4,LANÇ_MOV[CENTRO DE CUSTOS],$D$4)-SUMIFS(LANÇ_MOV[VALOR LÍQUIDO],LANÇ_MOV[RECEITA OU DESPESA],"Despesa",LANÇ_MOV[BANCO],$B22,LANÇ_MOV[MÊS PAGAMENTO CORRESPONDENTE],F$6,LANÇ_MOV[ANO PAGAMENTO],$B$4,LANÇ_MOV[EMPRESA],$C$4,LANÇ_MOV[CENTRO DE CUSTOS],$D$4),"")</f>
        <v>0</v>
      </c>
      <c r="G22" s="118">
        <f>IFERROR(SUMIFS(CAD_Bancos[R$ SALDO INICIAL],CAD_Bancos[ANO],$B$4,CAD_Bancos[MÊS],G$6,CAD_Bancos[[BANCO ]],Rel_BC[[#This Row],[BANCOS]])+SUMIFS(LANÇ_MOV[VALOR LÍQUIDO],LANÇ_MOV[RECEITA OU DESPESA],"Receita",LANÇ_MOV[BANCO],$B22,LANÇ_MOV[MÊS PAGAMENTO CORRESPONDENTE],G$6,LANÇ_MOV[ANO PAGAMENTO],$B$4,LANÇ_MOV[CENTRO DE CUSTOS],$D$4)-SUMIFS(LANÇ_MOV[VALOR LÍQUIDO],LANÇ_MOV[RECEITA OU DESPESA],"Despesa",LANÇ_MOV[BANCO],$B22,LANÇ_MOV[MÊS PAGAMENTO CORRESPONDENTE],G$6,LANÇ_MOV[ANO PAGAMENTO],$B$4,LANÇ_MOV[EMPRESA],$C$4,LANÇ_MOV[CENTRO DE CUSTOS],$D$4),"")</f>
        <v>0</v>
      </c>
      <c r="H22" s="118">
        <f>IFERROR(SUMIFS(CAD_Bancos[R$ SALDO INICIAL],CAD_Bancos[ANO],$B$4,CAD_Bancos[MÊS],H$6,CAD_Bancos[[BANCO ]],Rel_BC[[#This Row],[BANCOS]])+SUMIFS(LANÇ_MOV[VALOR LÍQUIDO],LANÇ_MOV[RECEITA OU DESPESA],"Receita",LANÇ_MOV[BANCO],$B22,LANÇ_MOV[MÊS PAGAMENTO CORRESPONDENTE],H$6,LANÇ_MOV[ANO PAGAMENTO],$B$4,LANÇ_MOV[CENTRO DE CUSTOS],$D$4)-SUMIFS(LANÇ_MOV[VALOR LÍQUIDO],LANÇ_MOV[RECEITA OU DESPESA],"Despesa",LANÇ_MOV[BANCO],$B22,LANÇ_MOV[MÊS PAGAMENTO CORRESPONDENTE],H$6,LANÇ_MOV[ANO PAGAMENTO],$B$4,LANÇ_MOV[EMPRESA],$C$4,LANÇ_MOV[CENTRO DE CUSTOS],$D$4),"")</f>
        <v>0</v>
      </c>
      <c r="I22" s="118">
        <f>IFERROR(SUMIFS(CAD_Bancos[R$ SALDO INICIAL],CAD_Bancos[ANO],$B$4,CAD_Bancos[MÊS],I$6,CAD_Bancos[[BANCO ]],Rel_BC[[#This Row],[BANCOS]])+SUMIFS(LANÇ_MOV[VALOR LÍQUIDO],LANÇ_MOV[RECEITA OU DESPESA],"Receita",LANÇ_MOV[BANCO],$B22,LANÇ_MOV[MÊS PAGAMENTO CORRESPONDENTE],I$6,LANÇ_MOV[ANO PAGAMENTO],$B$4,LANÇ_MOV[CENTRO DE CUSTOS],$D$4)-SUMIFS(LANÇ_MOV[VALOR LÍQUIDO],LANÇ_MOV[RECEITA OU DESPESA],"Despesa",LANÇ_MOV[BANCO],$B22,LANÇ_MOV[MÊS PAGAMENTO CORRESPONDENTE],I$6,LANÇ_MOV[ANO PAGAMENTO],$B$4,LANÇ_MOV[EMPRESA],$C$4,LANÇ_MOV[CENTRO DE CUSTOS],$D$4),"")</f>
        <v>0</v>
      </c>
      <c r="J22" s="118">
        <f>IFERROR(SUMIFS(CAD_Bancos[R$ SALDO INICIAL],CAD_Bancos[ANO],$B$4,CAD_Bancos[MÊS],J$6,CAD_Bancos[[BANCO ]],Rel_BC[[#This Row],[BANCOS]])+SUMIFS(LANÇ_MOV[VALOR LÍQUIDO],LANÇ_MOV[RECEITA OU DESPESA],"Receita",LANÇ_MOV[BANCO],$B22,LANÇ_MOV[MÊS PAGAMENTO CORRESPONDENTE],J$6,LANÇ_MOV[ANO PAGAMENTO],$B$4,LANÇ_MOV[CENTRO DE CUSTOS],$D$4)-SUMIFS(LANÇ_MOV[VALOR LÍQUIDO],LANÇ_MOV[RECEITA OU DESPESA],"Despesa",LANÇ_MOV[BANCO],$B22,LANÇ_MOV[MÊS PAGAMENTO CORRESPONDENTE],J$6,LANÇ_MOV[ANO PAGAMENTO],$B$4,LANÇ_MOV[EMPRESA],$C$4,LANÇ_MOV[CENTRO DE CUSTOS],$D$4),"")</f>
        <v>0</v>
      </c>
      <c r="K22" s="118">
        <f>IFERROR(SUMIFS(CAD_Bancos[R$ SALDO INICIAL],CAD_Bancos[ANO],$B$4,CAD_Bancos[MÊS],K$6,CAD_Bancos[[BANCO ]],Rel_BC[[#This Row],[BANCOS]])+SUMIFS(LANÇ_MOV[VALOR LÍQUIDO],LANÇ_MOV[RECEITA OU DESPESA],"Receita",LANÇ_MOV[BANCO],$B22,LANÇ_MOV[MÊS PAGAMENTO CORRESPONDENTE],K$6,LANÇ_MOV[ANO PAGAMENTO],$B$4,LANÇ_MOV[CENTRO DE CUSTOS],$D$4)-SUMIFS(LANÇ_MOV[VALOR LÍQUIDO],LANÇ_MOV[RECEITA OU DESPESA],"Despesa",LANÇ_MOV[BANCO],$B22,LANÇ_MOV[MÊS PAGAMENTO CORRESPONDENTE],K$6,LANÇ_MOV[ANO PAGAMENTO],$B$4,LANÇ_MOV[EMPRESA],$C$4,LANÇ_MOV[CENTRO DE CUSTOS],$D$4),"")</f>
        <v>0</v>
      </c>
      <c r="L22" s="118">
        <f>IFERROR(SUMIFS(CAD_Bancos[R$ SALDO INICIAL],CAD_Bancos[ANO],$B$4,CAD_Bancos[MÊS],L$6,CAD_Bancos[[BANCO ]],Rel_BC[[#This Row],[BANCOS]])+SUMIFS(LANÇ_MOV[VALOR LÍQUIDO],LANÇ_MOV[RECEITA OU DESPESA],"Receita",LANÇ_MOV[BANCO],$B22,LANÇ_MOV[MÊS PAGAMENTO CORRESPONDENTE],L$6,LANÇ_MOV[ANO PAGAMENTO],$B$4,LANÇ_MOV[CENTRO DE CUSTOS],$D$4)-SUMIFS(LANÇ_MOV[VALOR LÍQUIDO],LANÇ_MOV[RECEITA OU DESPESA],"Despesa",LANÇ_MOV[BANCO],$B22,LANÇ_MOV[MÊS PAGAMENTO CORRESPONDENTE],L$6,LANÇ_MOV[ANO PAGAMENTO],$B$4,LANÇ_MOV[EMPRESA],$C$4,LANÇ_MOV[CENTRO DE CUSTOS],$D$4),"")</f>
        <v>0</v>
      </c>
      <c r="M22" s="118">
        <f>IFERROR(SUMIFS(CAD_Bancos[R$ SALDO INICIAL],CAD_Bancos[ANO],$B$4,CAD_Bancos[MÊS],M$6,CAD_Bancos[[BANCO ]],Rel_BC[[#This Row],[BANCOS]])+SUMIFS(LANÇ_MOV[VALOR LÍQUIDO],LANÇ_MOV[RECEITA OU DESPESA],"Receita",LANÇ_MOV[BANCO],$B22,LANÇ_MOV[MÊS PAGAMENTO CORRESPONDENTE],M$6,LANÇ_MOV[ANO PAGAMENTO],$B$4,LANÇ_MOV[CENTRO DE CUSTOS],$D$4)-SUMIFS(LANÇ_MOV[VALOR LÍQUIDO],LANÇ_MOV[RECEITA OU DESPESA],"Despesa",LANÇ_MOV[BANCO],$B22,LANÇ_MOV[MÊS PAGAMENTO CORRESPONDENTE],M$6,LANÇ_MOV[ANO PAGAMENTO],$B$4,LANÇ_MOV[EMPRESA],$C$4,LANÇ_MOV[CENTRO DE CUSTOS],$D$4),"")</f>
        <v>0</v>
      </c>
      <c r="N22" s="118">
        <f>IFERROR(SUMIFS(CAD_Bancos[R$ SALDO INICIAL],CAD_Bancos[ANO],$B$4,CAD_Bancos[MÊS],N$6,CAD_Bancos[[BANCO ]],Rel_BC[[#This Row],[BANCOS]])+SUMIFS(LANÇ_MOV[VALOR LÍQUIDO],LANÇ_MOV[RECEITA OU DESPESA],"Receita",LANÇ_MOV[BANCO],$B22,LANÇ_MOV[MÊS PAGAMENTO CORRESPONDENTE],N$6,LANÇ_MOV[ANO PAGAMENTO],$B$4,LANÇ_MOV[CENTRO DE CUSTOS],$D$4)-SUMIFS(LANÇ_MOV[VALOR LÍQUIDO],LANÇ_MOV[RECEITA OU DESPESA],"Despesa",LANÇ_MOV[BANCO],$B22,LANÇ_MOV[MÊS PAGAMENTO CORRESPONDENTE],N$6,LANÇ_MOV[ANO PAGAMENTO],$B$4,LANÇ_MOV[EMPRESA],$C$4,LANÇ_MOV[CENTRO DE CUSTOS],$D$4),"")</f>
        <v>0</v>
      </c>
      <c r="O22" s="39">
        <f t="shared" si="0"/>
        <v>0</v>
      </c>
    </row>
    <row r="23" spans="2:15" ht="30.05" customHeight="1" x14ac:dyDescent="0.35">
      <c r="B23" s="358" t="str">
        <f>IF('CAD_BANCOS'!F21="","-",'CAD_BANCOS'!F21)</f>
        <v>-</v>
      </c>
      <c r="C23" s="118">
        <f>IFERROR(SUMIFS(CAD_Bancos[R$ SALDO INICIAL],CAD_Bancos[ANO],$B$4,CAD_Bancos[MÊS],C$6,CAD_Bancos[[BANCO ]],Rel_BC[[#This Row],[BANCOS]])+SUMIFS(LANÇ_MOV[VALOR LÍQUIDO],LANÇ_MOV[RECEITA OU DESPESA],"Receita",LANÇ_MOV[BANCO],$B23,LANÇ_MOV[MÊS PAGAMENTO CORRESPONDENTE],C$6,LANÇ_MOV[ANO PAGAMENTO],$B$4,LANÇ_MOV[CENTRO DE CUSTOS],$D$4)-SUMIFS(LANÇ_MOV[VALOR LÍQUIDO],LANÇ_MOV[RECEITA OU DESPESA],"Despesa",LANÇ_MOV[BANCO],$B23,LANÇ_MOV[MÊS PAGAMENTO CORRESPONDENTE],C$6,LANÇ_MOV[ANO PAGAMENTO],$B$4,LANÇ_MOV[EMPRESA],$C$4,LANÇ_MOV[CENTRO DE CUSTOS],$D$4),"")</f>
        <v>0</v>
      </c>
      <c r="D23" s="118">
        <f>IFERROR(SUMIFS(CAD_Bancos[R$ SALDO INICIAL],CAD_Bancos[ANO],$B$4,CAD_Bancos[MÊS],D$6,CAD_Bancos[[BANCO ]],Rel_BC[[#This Row],[BANCOS]])+SUMIFS(LANÇ_MOV[VALOR LÍQUIDO],LANÇ_MOV[RECEITA OU DESPESA],"Receita",LANÇ_MOV[BANCO],$B23,LANÇ_MOV[MÊS PAGAMENTO CORRESPONDENTE],D$6,LANÇ_MOV[ANO PAGAMENTO],$B$4,LANÇ_MOV[CENTRO DE CUSTOS],$D$4)-SUMIFS(LANÇ_MOV[VALOR LÍQUIDO],LANÇ_MOV[RECEITA OU DESPESA],"Despesa",LANÇ_MOV[BANCO],$B23,LANÇ_MOV[MÊS PAGAMENTO CORRESPONDENTE],D$6,LANÇ_MOV[ANO PAGAMENTO],$B$4,LANÇ_MOV[EMPRESA],$C$4,LANÇ_MOV[CENTRO DE CUSTOS],$D$4),"")</f>
        <v>0</v>
      </c>
      <c r="E23" s="118">
        <f>IFERROR(SUMIFS(CAD_Bancos[R$ SALDO INICIAL],CAD_Bancos[ANO],$B$4,CAD_Bancos[MÊS],E$6,CAD_Bancos[[BANCO ]],Rel_BC[[#This Row],[BANCOS]])+SUMIFS(LANÇ_MOV[VALOR LÍQUIDO],LANÇ_MOV[RECEITA OU DESPESA],"Receita",LANÇ_MOV[BANCO],$B23,LANÇ_MOV[MÊS PAGAMENTO CORRESPONDENTE],E$6,LANÇ_MOV[ANO PAGAMENTO],$B$4,LANÇ_MOV[CENTRO DE CUSTOS],$D$4)-SUMIFS(LANÇ_MOV[VALOR LÍQUIDO],LANÇ_MOV[RECEITA OU DESPESA],"Despesa",LANÇ_MOV[BANCO],$B23,LANÇ_MOV[MÊS PAGAMENTO CORRESPONDENTE],E$6,LANÇ_MOV[ANO PAGAMENTO],$B$4,LANÇ_MOV[EMPRESA],$C$4,LANÇ_MOV[CENTRO DE CUSTOS],$D$4),"")</f>
        <v>0</v>
      </c>
      <c r="F23" s="118">
        <f>IFERROR(SUMIFS(CAD_Bancos[R$ SALDO INICIAL],CAD_Bancos[ANO],$B$4,CAD_Bancos[MÊS],F$6,CAD_Bancos[[BANCO ]],Rel_BC[[#This Row],[BANCOS]])+SUMIFS(LANÇ_MOV[VALOR LÍQUIDO],LANÇ_MOV[RECEITA OU DESPESA],"Receita",LANÇ_MOV[BANCO],$B23,LANÇ_MOV[MÊS PAGAMENTO CORRESPONDENTE],F$6,LANÇ_MOV[ANO PAGAMENTO],$B$4,LANÇ_MOV[CENTRO DE CUSTOS],$D$4)-SUMIFS(LANÇ_MOV[VALOR LÍQUIDO],LANÇ_MOV[RECEITA OU DESPESA],"Despesa",LANÇ_MOV[BANCO],$B23,LANÇ_MOV[MÊS PAGAMENTO CORRESPONDENTE],F$6,LANÇ_MOV[ANO PAGAMENTO],$B$4,LANÇ_MOV[EMPRESA],$C$4,LANÇ_MOV[CENTRO DE CUSTOS],$D$4),"")</f>
        <v>0</v>
      </c>
      <c r="G23" s="118">
        <f>IFERROR(SUMIFS(CAD_Bancos[R$ SALDO INICIAL],CAD_Bancos[ANO],$B$4,CAD_Bancos[MÊS],G$6,CAD_Bancos[[BANCO ]],Rel_BC[[#This Row],[BANCOS]])+SUMIFS(LANÇ_MOV[VALOR LÍQUIDO],LANÇ_MOV[RECEITA OU DESPESA],"Receita",LANÇ_MOV[BANCO],$B23,LANÇ_MOV[MÊS PAGAMENTO CORRESPONDENTE],G$6,LANÇ_MOV[ANO PAGAMENTO],$B$4,LANÇ_MOV[CENTRO DE CUSTOS],$D$4)-SUMIFS(LANÇ_MOV[VALOR LÍQUIDO],LANÇ_MOV[RECEITA OU DESPESA],"Despesa",LANÇ_MOV[BANCO],$B23,LANÇ_MOV[MÊS PAGAMENTO CORRESPONDENTE],G$6,LANÇ_MOV[ANO PAGAMENTO],$B$4,LANÇ_MOV[EMPRESA],$C$4,LANÇ_MOV[CENTRO DE CUSTOS],$D$4),"")</f>
        <v>0</v>
      </c>
      <c r="H23" s="118">
        <f>IFERROR(SUMIFS(CAD_Bancos[R$ SALDO INICIAL],CAD_Bancos[ANO],$B$4,CAD_Bancos[MÊS],H$6,CAD_Bancos[[BANCO ]],Rel_BC[[#This Row],[BANCOS]])+SUMIFS(LANÇ_MOV[VALOR LÍQUIDO],LANÇ_MOV[RECEITA OU DESPESA],"Receita",LANÇ_MOV[BANCO],$B23,LANÇ_MOV[MÊS PAGAMENTO CORRESPONDENTE],H$6,LANÇ_MOV[ANO PAGAMENTO],$B$4,LANÇ_MOV[CENTRO DE CUSTOS],$D$4)-SUMIFS(LANÇ_MOV[VALOR LÍQUIDO],LANÇ_MOV[RECEITA OU DESPESA],"Despesa",LANÇ_MOV[BANCO],$B23,LANÇ_MOV[MÊS PAGAMENTO CORRESPONDENTE],H$6,LANÇ_MOV[ANO PAGAMENTO],$B$4,LANÇ_MOV[EMPRESA],$C$4,LANÇ_MOV[CENTRO DE CUSTOS],$D$4),"")</f>
        <v>0</v>
      </c>
      <c r="I23" s="118">
        <f>IFERROR(SUMIFS(CAD_Bancos[R$ SALDO INICIAL],CAD_Bancos[ANO],$B$4,CAD_Bancos[MÊS],I$6,CAD_Bancos[[BANCO ]],Rel_BC[[#This Row],[BANCOS]])+SUMIFS(LANÇ_MOV[VALOR LÍQUIDO],LANÇ_MOV[RECEITA OU DESPESA],"Receita",LANÇ_MOV[BANCO],$B23,LANÇ_MOV[MÊS PAGAMENTO CORRESPONDENTE],I$6,LANÇ_MOV[ANO PAGAMENTO],$B$4,LANÇ_MOV[CENTRO DE CUSTOS],$D$4)-SUMIFS(LANÇ_MOV[VALOR LÍQUIDO],LANÇ_MOV[RECEITA OU DESPESA],"Despesa",LANÇ_MOV[BANCO],$B23,LANÇ_MOV[MÊS PAGAMENTO CORRESPONDENTE],I$6,LANÇ_MOV[ANO PAGAMENTO],$B$4,LANÇ_MOV[EMPRESA],$C$4,LANÇ_MOV[CENTRO DE CUSTOS],$D$4),"")</f>
        <v>0</v>
      </c>
      <c r="J23" s="118">
        <f>IFERROR(SUMIFS(CAD_Bancos[R$ SALDO INICIAL],CAD_Bancos[ANO],$B$4,CAD_Bancos[MÊS],J$6,CAD_Bancos[[BANCO ]],Rel_BC[[#This Row],[BANCOS]])+SUMIFS(LANÇ_MOV[VALOR LÍQUIDO],LANÇ_MOV[RECEITA OU DESPESA],"Receita",LANÇ_MOV[BANCO],$B23,LANÇ_MOV[MÊS PAGAMENTO CORRESPONDENTE],J$6,LANÇ_MOV[ANO PAGAMENTO],$B$4,LANÇ_MOV[CENTRO DE CUSTOS],$D$4)-SUMIFS(LANÇ_MOV[VALOR LÍQUIDO],LANÇ_MOV[RECEITA OU DESPESA],"Despesa",LANÇ_MOV[BANCO],$B23,LANÇ_MOV[MÊS PAGAMENTO CORRESPONDENTE],J$6,LANÇ_MOV[ANO PAGAMENTO],$B$4,LANÇ_MOV[EMPRESA],$C$4,LANÇ_MOV[CENTRO DE CUSTOS],$D$4),"")</f>
        <v>0</v>
      </c>
      <c r="K23" s="118">
        <f>IFERROR(SUMIFS(CAD_Bancos[R$ SALDO INICIAL],CAD_Bancos[ANO],$B$4,CAD_Bancos[MÊS],K$6,CAD_Bancos[[BANCO ]],Rel_BC[[#This Row],[BANCOS]])+SUMIFS(LANÇ_MOV[VALOR LÍQUIDO],LANÇ_MOV[RECEITA OU DESPESA],"Receita",LANÇ_MOV[BANCO],$B23,LANÇ_MOV[MÊS PAGAMENTO CORRESPONDENTE],K$6,LANÇ_MOV[ANO PAGAMENTO],$B$4,LANÇ_MOV[CENTRO DE CUSTOS],$D$4)-SUMIFS(LANÇ_MOV[VALOR LÍQUIDO],LANÇ_MOV[RECEITA OU DESPESA],"Despesa",LANÇ_MOV[BANCO],$B23,LANÇ_MOV[MÊS PAGAMENTO CORRESPONDENTE],K$6,LANÇ_MOV[ANO PAGAMENTO],$B$4,LANÇ_MOV[EMPRESA],$C$4,LANÇ_MOV[CENTRO DE CUSTOS],$D$4),"")</f>
        <v>0</v>
      </c>
      <c r="L23" s="118">
        <f>IFERROR(SUMIFS(CAD_Bancos[R$ SALDO INICIAL],CAD_Bancos[ANO],$B$4,CAD_Bancos[MÊS],L$6,CAD_Bancos[[BANCO ]],Rel_BC[[#This Row],[BANCOS]])+SUMIFS(LANÇ_MOV[VALOR LÍQUIDO],LANÇ_MOV[RECEITA OU DESPESA],"Receita",LANÇ_MOV[BANCO],$B23,LANÇ_MOV[MÊS PAGAMENTO CORRESPONDENTE],L$6,LANÇ_MOV[ANO PAGAMENTO],$B$4,LANÇ_MOV[CENTRO DE CUSTOS],$D$4)-SUMIFS(LANÇ_MOV[VALOR LÍQUIDO],LANÇ_MOV[RECEITA OU DESPESA],"Despesa",LANÇ_MOV[BANCO],$B23,LANÇ_MOV[MÊS PAGAMENTO CORRESPONDENTE],L$6,LANÇ_MOV[ANO PAGAMENTO],$B$4,LANÇ_MOV[EMPRESA],$C$4,LANÇ_MOV[CENTRO DE CUSTOS],$D$4),"")</f>
        <v>0</v>
      </c>
      <c r="M23" s="118">
        <f>IFERROR(SUMIFS(CAD_Bancos[R$ SALDO INICIAL],CAD_Bancos[ANO],$B$4,CAD_Bancos[MÊS],M$6,CAD_Bancos[[BANCO ]],Rel_BC[[#This Row],[BANCOS]])+SUMIFS(LANÇ_MOV[VALOR LÍQUIDO],LANÇ_MOV[RECEITA OU DESPESA],"Receita",LANÇ_MOV[BANCO],$B23,LANÇ_MOV[MÊS PAGAMENTO CORRESPONDENTE],M$6,LANÇ_MOV[ANO PAGAMENTO],$B$4,LANÇ_MOV[CENTRO DE CUSTOS],$D$4)-SUMIFS(LANÇ_MOV[VALOR LÍQUIDO],LANÇ_MOV[RECEITA OU DESPESA],"Despesa",LANÇ_MOV[BANCO],$B23,LANÇ_MOV[MÊS PAGAMENTO CORRESPONDENTE],M$6,LANÇ_MOV[ANO PAGAMENTO],$B$4,LANÇ_MOV[EMPRESA],$C$4,LANÇ_MOV[CENTRO DE CUSTOS],$D$4),"")</f>
        <v>0</v>
      </c>
      <c r="N23" s="118">
        <f>IFERROR(SUMIFS(CAD_Bancos[R$ SALDO INICIAL],CAD_Bancos[ANO],$B$4,CAD_Bancos[MÊS],N$6,CAD_Bancos[[BANCO ]],Rel_BC[[#This Row],[BANCOS]])+SUMIFS(LANÇ_MOV[VALOR LÍQUIDO],LANÇ_MOV[RECEITA OU DESPESA],"Receita",LANÇ_MOV[BANCO],$B23,LANÇ_MOV[MÊS PAGAMENTO CORRESPONDENTE],N$6,LANÇ_MOV[ANO PAGAMENTO],$B$4,LANÇ_MOV[CENTRO DE CUSTOS],$D$4)-SUMIFS(LANÇ_MOV[VALOR LÍQUIDO],LANÇ_MOV[RECEITA OU DESPESA],"Despesa",LANÇ_MOV[BANCO],$B23,LANÇ_MOV[MÊS PAGAMENTO CORRESPONDENTE],N$6,LANÇ_MOV[ANO PAGAMENTO],$B$4,LANÇ_MOV[EMPRESA],$C$4,LANÇ_MOV[CENTRO DE CUSTOS],$D$4),"")</f>
        <v>0</v>
      </c>
      <c r="O23" s="39">
        <f t="shared" si="0"/>
        <v>0</v>
      </c>
    </row>
    <row r="24" spans="2:15" ht="30.05" customHeight="1" x14ac:dyDescent="0.35">
      <c r="B24" s="358" t="str">
        <f>IF('CAD_BANCOS'!F22="","-",'CAD_BANCOS'!F22)</f>
        <v>-</v>
      </c>
      <c r="C24" s="118">
        <f>IFERROR(SUMIFS(CAD_Bancos[R$ SALDO INICIAL],CAD_Bancos[ANO],$B$4,CAD_Bancos[MÊS],C$6,CAD_Bancos[[BANCO ]],Rel_BC[[#This Row],[BANCOS]])+SUMIFS(LANÇ_MOV[VALOR LÍQUIDO],LANÇ_MOV[RECEITA OU DESPESA],"Receita",LANÇ_MOV[BANCO],$B24,LANÇ_MOV[MÊS PAGAMENTO CORRESPONDENTE],C$6,LANÇ_MOV[ANO PAGAMENTO],$B$4,LANÇ_MOV[CENTRO DE CUSTOS],$D$4)-SUMIFS(LANÇ_MOV[VALOR LÍQUIDO],LANÇ_MOV[RECEITA OU DESPESA],"Despesa",LANÇ_MOV[BANCO],$B24,LANÇ_MOV[MÊS PAGAMENTO CORRESPONDENTE],C$6,LANÇ_MOV[ANO PAGAMENTO],$B$4,LANÇ_MOV[EMPRESA],$C$4,LANÇ_MOV[CENTRO DE CUSTOS],$D$4),"")</f>
        <v>0</v>
      </c>
      <c r="D24" s="118">
        <f>IFERROR(SUMIFS(CAD_Bancos[R$ SALDO INICIAL],CAD_Bancos[ANO],$B$4,CAD_Bancos[MÊS],D$6,CAD_Bancos[[BANCO ]],Rel_BC[[#This Row],[BANCOS]])+SUMIFS(LANÇ_MOV[VALOR LÍQUIDO],LANÇ_MOV[RECEITA OU DESPESA],"Receita",LANÇ_MOV[BANCO],$B24,LANÇ_MOV[MÊS PAGAMENTO CORRESPONDENTE],D$6,LANÇ_MOV[ANO PAGAMENTO],$B$4,LANÇ_MOV[CENTRO DE CUSTOS],$D$4)-SUMIFS(LANÇ_MOV[VALOR LÍQUIDO],LANÇ_MOV[RECEITA OU DESPESA],"Despesa",LANÇ_MOV[BANCO],$B24,LANÇ_MOV[MÊS PAGAMENTO CORRESPONDENTE],D$6,LANÇ_MOV[ANO PAGAMENTO],$B$4,LANÇ_MOV[EMPRESA],$C$4,LANÇ_MOV[CENTRO DE CUSTOS],$D$4),"")</f>
        <v>0</v>
      </c>
      <c r="E24" s="118">
        <f>IFERROR(SUMIFS(CAD_Bancos[R$ SALDO INICIAL],CAD_Bancos[ANO],$B$4,CAD_Bancos[MÊS],E$6,CAD_Bancos[[BANCO ]],Rel_BC[[#This Row],[BANCOS]])+SUMIFS(LANÇ_MOV[VALOR LÍQUIDO],LANÇ_MOV[RECEITA OU DESPESA],"Receita",LANÇ_MOV[BANCO],$B24,LANÇ_MOV[MÊS PAGAMENTO CORRESPONDENTE],E$6,LANÇ_MOV[ANO PAGAMENTO],$B$4,LANÇ_MOV[CENTRO DE CUSTOS],$D$4)-SUMIFS(LANÇ_MOV[VALOR LÍQUIDO],LANÇ_MOV[RECEITA OU DESPESA],"Despesa",LANÇ_MOV[BANCO],$B24,LANÇ_MOV[MÊS PAGAMENTO CORRESPONDENTE],E$6,LANÇ_MOV[ANO PAGAMENTO],$B$4,LANÇ_MOV[EMPRESA],$C$4,LANÇ_MOV[CENTRO DE CUSTOS],$D$4),"")</f>
        <v>0</v>
      </c>
      <c r="F24" s="118">
        <f>IFERROR(SUMIFS(CAD_Bancos[R$ SALDO INICIAL],CAD_Bancos[ANO],$B$4,CAD_Bancos[MÊS],F$6,CAD_Bancos[[BANCO ]],Rel_BC[[#This Row],[BANCOS]])+SUMIFS(LANÇ_MOV[VALOR LÍQUIDO],LANÇ_MOV[RECEITA OU DESPESA],"Receita",LANÇ_MOV[BANCO],$B24,LANÇ_MOV[MÊS PAGAMENTO CORRESPONDENTE],F$6,LANÇ_MOV[ANO PAGAMENTO],$B$4,LANÇ_MOV[CENTRO DE CUSTOS],$D$4)-SUMIFS(LANÇ_MOV[VALOR LÍQUIDO],LANÇ_MOV[RECEITA OU DESPESA],"Despesa",LANÇ_MOV[BANCO],$B24,LANÇ_MOV[MÊS PAGAMENTO CORRESPONDENTE],F$6,LANÇ_MOV[ANO PAGAMENTO],$B$4,LANÇ_MOV[EMPRESA],$C$4,LANÇ_MOV[CENTRO DE CUSTOS],$D$4),"")</f>
        <v>0</v>
      </c>
      <c r="G24" s="118">
        <f>IFERROR(SUMIFS(CAD_Bancos[R$ SALDO INICIAL],CAD_Bancos[ANO],$B$4,CAD_Bancos[MÊS],G$6,CAD_Bancos[[BANCO ]],Rel_BC[[#This Row],[BANCOS]])+SUMIFS(LANÇ_MOV[VALOR LÍQUIDO],LANÇ_MOV[RECEITA OU DESPESA],"Receita",LANÇ_MOV[BANCO],$B24,LANÇ_MOV[MÊS PAGAMENTO CORRESPONDENTE],G$6,LANÇ_MOV[ANO PAGAMENTO],$B$4,LANÇ_MOV[CENTRO DE CUSTOS],$D$4)-SUMIFS(LANÇ_MOV[VALOR LÍQUIDO],LANÇ_MOV[RECEITA OU DESPESA],"Despesa",LANÇ_MOV[BANCO],$B24,LANÇ_MOV[MÊS PAGAMENTO CORRESPONDENTE],G$6,LANÇ_MOV[ANO PAGAMENTO],$B$4,LANÇ_MOV[EMPRESA],$C$4,LANÇ_MOV[CENTRO DE CUSTOS],$D$4),"")</f>
        <v>0</v>
      </c>
      <c r="H24" s="118">
        <f>IFERROR(SUMIFS(CAD_Bancos[R$ SALDO INICIAL],CAD_Bancos[ANO],$B$4,CAD_Bancos[MÊS],H$6,CAD_Bancos[[BANCO ]],Rel_BC[[#This Row],[BANCOS]])+SUMIFS(LANÇ_MOV[VALOR LÍQUIDO],LANÇ_MOV[RECEITA OU DESPESA],"Receita",LANÇ_MOV[BANCO],$B24,LANÇ_MOV[MÊS PAGAMENTO CORRESPONDENTE],H$6,LANÇ_MOV[ANO PAGAMENTO],$B$4,LANÇ_MOV[CENTRO DE CUSTOS],$D$4)-SUMIFS(LANÇ_MOV[VALOR LÍQUIDO],LANÇ_MOV[RECEITA OU DESPESA],"Despesa",LANÇ_MOV[BANCO],$B24,LANÇ_MOV[MÊS PAGAMENTO CORRESPONDENTE],H$6,LANÇ_MOV[ANO PAGAMENTO],$B$4,LANÇ_MOV[EMPRESA],$C$4,LANÇ_MOV[CENTRO DE CUSTOS],$D$4),"")</f>
        <v>0</v>
      </c>
      <c r="I24" s="118">
        <f>IFERROR(SUMIFS(CAD_Bancos[R$ SALDO INICIAL],CAD_Bancos[ANO],$B$4,CAD_Bancos[MÊS],I$6,CAD_Bancos[[BANCO ]],Rel_BC[[#This Row],[BANCOS]])+SUMIFS(LANÇ_MOV[VALOR LÍQUIDO],LANÇ_MOV[RECEITA OU DESPESA],"Receita",LANÇ_MOV[BANCO],$B24,LANÇ_MOV[MÊS PAGAMENTO CORRESPONDENTE],I$6,LANÇ_MOV[ANO PAGAMENTO],$B$4,LANÇ_MOV[CENTRO DE CUSTOS],$D$4)-SUMIFS(LANÇ_MOV[VALOR LÍQUIDO],LANÇ_MOV[RECEITA OU DESPESA],"Despesa",LANÇ_MOV[BANCO],$B24,LANÇ_MOV[MÊS PAGAMENTO CORRESPONDENTE],I$6,LANÇ_MOV[ANO PAGAMENTO],$B$4,LANÇ_MOV[EMPRESA],$C$4,LANÇ_MOV[CENTRO DE CUSTOS],$D$4),"")</f>
        <v>0</v>
      </c>
      <c r="J24" s="118">
        <f>IFERROR(SUMIFS(CAD_Bancos[R$ SALDO INICIAL],CAD_Bancos[ANO],$B$4,CAD_Bancos[MÊS],J$6,CAD_Bancos[[BANCO ]],Rel_BC[[#This Row],[BANCOS]])+SUMIFS(LANÇ_MOV[VALOR LÍQUIDO],LANÇ_MOV[RECEITA OU DESPESA],"Receita",LANÇ_MOV[BANCO],$B24,LANÇ_MOV[MÊS PAGAMENTO CORRESPONDENTE],J$6,LANÇ_MOV[ANO PAGAMENTO],$B$4,LANÇ_MOV[CENTRO DE CUSTOS],$D$4)-SUMIFS(LANÇ_MOV[VALOR LÍQUIDO],LANÇ_MOV[RECEITA OU DESPESA],"Despesa",LANÇ_MOV[BANCO],$B24,LANÇ_MOV[MÊS PAGAMENTO CORRESPONDENTE],J$6,LANÇ_MOV[ANO PAGAMENTO],$B$4,LANÇ_MOV[EMPRESA],$C$4,LANÇ_MOV[CENTRO DE CUSTOS],$D$4),"")</f>
        <v>0</v>
      </c>
      <c r="K24" s="118">
        <f>IFERROR(SUMIFS(CAD_Bancos[R$ SALDO INICIAL],CAD_Bancos[ANO],$B$4,CAD_Bancos[MÊS],K$6,CAD_Bancos[[BANCO ]],Rel_BC[[#This Row],[BANCOS]])+SUMIFS(LANÇ_MOV[VALOR LÍQUIDO],LANÇ_MOV[RECEITA OU DESPESA],"Receita",LANÇ_MOV[BANCO],$B24,LANÇ_MOV[MÊS PAGAMENTO CORRESPONDENTE],K$6,LANÇ_MOV[ANO PAGAMENTO],$B$4,LANÇ_MOV[CENTRO DE CUSTOS],$D$4)-SUMIFS(LANÇ_MOV[VALOR LÍQUIDO],LANÇ_MOV[RECEITA OU DESPESA],"Despesa",LANÇ_MOV[BANCO],$B24,LANÇ_MOV[MÊS PAGAMENTO CORRESPONDENTE],K$6,LANÇ_MOV[ANO PAGAMENTO],$B$4,LANÇ_MOV[EMPRESA],$C$4,LANÇ_MOV[CENTRO DE CUSTOS],$D$4),"")</f>
        <v>0</v>
      </c>
      <c r="L24" s="118">
        <f>IFERROR(SUMIFS(CAD_Bancos[R$ SALDO INICIAL],CAD_Bancos[ANO],$B$4,CAD_Bancos[MÊS],L$6,CAD_Bancos[[BANCO ]],Rel_BC[[#This Row],[BANCOS]])+SUMIFS(LANÇ_MOV[VALOR LÍQUIDO],LANÇ_MOV[RECEITA OU DESPESA],"Receita",LANÇ_MOV[BANCO],$B24,LANÇ_MOV[MÊS PAGAMENTO CORRESPONDENTE],L$6,LANÇ_MOV[ANO PAGAMENTO],$B$4,LANÇ_MOV[CENTRO DE CUSTOS],$D$4)-SUMIFS(LANÇ_MOV[VALOR LÍQUIDO],LANÇ_MOV[RECEITA OU DESPESA],"Despesa",LANÇ_MOV[BANCO],$B24,LANÇ_MOV[MÊS PAGAMENTO CORRESPONDENTE],L$6,LANÇ_MOV[ANO PAGAMENTO],$B$4,LANÇ_MOV[EMPRESA],$C$4,LANÇ_MOV[CENTRO DE CUSTOS],$D$4),"")</f>
        <v>0</v>
      </c>
      <c r="M24" s="118">
        <f>IFERROR(SUMIFS(CAD_Bancos[R$ SALDO INICIAL],CAD_Bancos[ANO],$B$4,CAD_Bancos[MÊS],M$6,CAD_Bancos[[BANCO ]],Rel_BC[[#This Row],[BANCOS]])+SUMIFS(LANÇ_MOV[VALOR LÍQUIDO],LANÇ_MOV[RECEITA OU DESPESA],"Receita",LANÇ_MOV[BANCO],$B24,LANÇ_MOV[MÊS PAGAMENTO CORRESPONDENTE],M$6,LANÇ_MOV[ANO PAGAMENTO],$B$4,LANÇ_MOV[CENTRO DE CUSTOS],$D$4)-SUMIFS(LANÇ_MOV[VALOR LÍQUIDO],LANÇ_MOV[RECEITA OU DESPESA],"Despesa",LANÇ_MOV[BANCO],$B24,LANÇ_MOV[MÊS PAGAMENTO CORRESPONDENTE],M$6,LANÇ_MOV[ANO PAGAMENTO],$B$4,LANÇ_MOV[EMPRESA],$C$4,LANÇ_MOV[CENTRO DE CUSTOS],$D$4),"")</f>
        <v>0</v>
      </c>
      <c r="N24" s="118">
        <f>IFERROR(SUMIFS(CAD_Bancos[R$ SALDO INICIAL],CAD_Bancos[ANO],$B$4,CAD_Bancos[MÊS],N$6,CAD_Bancos[[BANCO ]],Rel_BC[[#This Row],[BANCOS]])+SUMIFS(LANÇ_MOV[VALOR LÍQUIDO],LANÇ_MOV[RECEITA OU DESPESA],"Receita",LANÇ_MOV[BANCO],$B24,LANÇ_MOV[MÊS PAGAMENTO CORRESPONDENTE],N$6,LANÇ_MOV[ANO PAGAMENTO],$B$4,LANÇ_MOV[CENTRO DE CUSTOS],$D$4)-SUMIFS(LANÇ_MOV[VALOR LÍQUIDO],LANÇ_MOV[RECEITA OU DESPESA],"Despesa",LANÇ_MOV[BANCO],$B24,LANÇ_MOV[MÊS PAGAMENTO CORRESPONDENTE],N$6,LANÇ_MOV[ANO PAGAMENTO],$B$4,LANÇ_MOV[EMPRESA],$C$4,LANÇ_MOV[CENTRO DE CUSTOS],$D$4),"")</f>
        <v>0</v>
      </c>
      <c r="O24" s="39">
        <f t="shared" si="0"/>
        <v>0</v>
      </c>
    </row>
    <row r="25" spans="2:15" ht="30.05" customHeight="1" x14ac:dyDescent="0.35">
      <c r="B25" s="358" t="str">
        <f>IF('CAD_BANCOS'!F23="","-",'CAD_BANCOS'!F23)</f>
        <v>-</v>
      </c>
      <c r="C25" s="118">
        <f>IFERROR(SUMIFS(CAD_Bancos[R$ SALDO INICIAL],CAD_Bancos[ANO],$B$4,CAD_Bancos[MÊS],C$6,CAD_Bancos[[BANCO ]],Rel_BC[[#This Row],[BANCOS]])+SUMIFS(LANÇ_MOV[VALOR LÍQUIDO],LANÇ_MOV[RECEITA OU DESPESA],"Receita",LANÇ_MOV[BANCO],$B25,LANÇ_MOV[MÊS PAGAMENTO CORRESPONDENTE],C$6,LANÇ_MOV[ANO PAGAMENTO],$B$4,LANÇ_MOV[CENTRO DE CUSTOS],$D$4)-SUMIFS(LANÇ_MOV[VALOR LÍQUIDO],LANÇ_MOV[RECEITA OU DESPESA],"Despesa",LANÇ_MOV[BANCO],$B25,LANÇ_MOV[MÊS PAGAMENTO CORRESPONDENTE],C$6,LANÇ_MOV[ANO PAGAMENTO],$B$4,LANÇ_MOV[EMPRESA],$C$4,LANÇ_MOV[CENTRO DE CUSTOS],$D$4),"")</f>
        <v>0</v>
      </c>
      <c r="D25" s="118">
        <f>IFERROR(SUMIFS(CAD_Bancos[R$ SALDO INICIAL],CAD_Bancos[ANO],$B$4,CAD_Bancos[MÊS],D$6,CAD_Bancos[[BANCO ]],Rel_BC[[#This Row],[BANCOS]])+SUMIFS(LANÇ_MOV[VALOR LÍQUIDO],LANÇ_MOV[RECEITA OU DESPESA],"Receita",LANÇ_MOV[BANCO],$B25,LANÇ_MOV[MÊS PAGAMENTO CORRESPONDENTE],D$6,LANÇ_MOV[ANO PAGAMENTO],$B$4,LANÇ_MOV[CENTRO DE CUSTOS],$D$4)-SUMIFS(LANÇ_MOV[VALOR LÍQUIDO],LANÇ_MOV[RECEITA OU DESPESA],"Despesa",LANÇ_MOV[BANCO],$B25,LANÇ_MOV[MÊS PAGAMENTO CORRESPONDENTE],D$6,LANÇ_MOV[ANO PAGAMENTO],$B$4,LANÇ_MOV[EMPRESA],$C$4,LANÇ_MOV[CENTRO DE CUSTOS],$D$4),"")</f>
        <v>0</v>
      </c>
      <c r="E25" s="118">
        <f>IFERROR(SUMIFS(CAD_Bancos[R$ SALDO INICIAL],CAD_Bancos[ANO],$B$4,CAD_Bancos[MÊS],E$6,CAD_Bancos[[BANCO ]],Rel_BC[[#This Row],[BANCOS]])+SUMIFS(LANÇ_MOV[VALOR LÍQUIDO],LANÇ_MOV[RECEITA OU DESPESA],"Receita",LANÇ_MOV[BANCO],$B25,LANÇ_MOV[MÊS PAGAMENTO CORRESPONDENTE],E$6,LANÇ_MOV[ANO PAGAMENTO],$B$4,LANÇ_MOV[CENTRO DE CUSTOS],$D$4)-SUMIFS(LANÇ_MOV[VALOR LÍQUIDO],LANÇ_MOV[RECEITA OU DESPESA],"Despesa",LANÇ_MOV[BANCO],$B25,LANÇ_MOV[MÊS PAGAMENTO CORRESPONDENTE],E$6,LANÇ_MOV[ANO PAGAMENTO],$B$4,LANÇ_MOV[EMPRESA],$C$4,LANÇ_MOV[CENTRO DE CUSTOS],$D$4),"")</f>
        <v>0</v>
      </c>
      <c r="F25" s="118">
        <f>IFERROR(SUMIFS(CAD_Bancos[R$ SALDO INICIAL],CAD_Bancos[ANO],$B$4,CAD_Bancos[MÊS],F$6,CAD_Bancos[[BANCO ]],Rel_BC[[#This Row],[BANCOS]])+SUMIFS(LANÇ_MOV[VALOR LÍQUIDO],LANÇ_MOV[RECEITA OU DESPESA],"Receita",LANÇ_MOV[BANCO],$B25,LANÇ_MOV[MÊS PAGAMENTO CORRESPONDENTE],F$6,LANÇ_MOV[ANO PAGAMENTO],$B$4,LANÇ_MOV[CENTRO DE CUSTOS],$D$4)-SUMIFS(LANÇ_MOV[VALOR LÍQUIDO],LANÇ_MOV[RECEITA OU DESPESA],"Despesa",LANÇ_MOV[BANCO],$B25,LANÇ_MOV[MÊS PAGAMENTO CORRESPONDENTE],F$6,LANÇ_MOV[ANO PAGAMENTO],$B$4,LANÇ_MOV[EMPRESA],$C$4,LANÇ_MOV[CENTRO DE CUSTOS],$D$4),"")</f>
        <v>0</v>
      </c>
      <c r="G25" s="118">
        <f>IFERROR(SUMIFS(CAD_Bancos[R$ SALDO INICIAL],CAD_Bancos[ANO],$B$4,CAD_Bancos[MÊS],G$6,CAD_Bancos[[BANCO ]],Rel_BC[[#This Row],[BANCOS]])+SUMIFS(LANÇ_MOV[VALOR LÍQUIDO],LANÇ_MOV[RECEITA OU DESPESA],"Receita",LANÇ_MOV[BANCO],$B25,LANÇ_MOV[MÊS PAGAMENTO CORRESPONDENTE],G$6,LANÇ_MOV[ANO PAGAMENTO],$B$4,LANÇ_MOV[CENTRO DE CUSTOS],$D$4)-SUMIFS(LANÇ_MOV[VALOR LÍQUIDO],LANÇ_MOV[RECEITA OU DESPESA],"Despesa",LANÇ_MOV[BANCO],$B25,LANÇ_MOV[MÊS PAGAMENTO CORRESPONDENTE],G$6,LANÇ_MOV[ANO PAGAMENTO],$B$4,LANÇ_MOV[EMPRESA],$C$4,LANÇ_MOV[CENTRO DE CUSTOS],$D$4),"")</f>
        <v>0</v>
      </c>
      <c r="H25" s="118">
        <f>IFERROR(SUMIFS(CAD_Bancos[R$ SALDO INICIAL],CAD_Bancos[ANO],$B$4,CAD_Bancos[MÊS],H$6,CAD_Bancos[[BANCO ]],Rel_BC[[#This Row],[BANCOS]])+SUMIFS(LANÇ_MOV[VALOR LÍQUIDO],LANÇ_MOV[RECEITA OU DESPESA],"Receita",LANÇ_MOV[BANCO],$B25,LANÇ_MOV[MÊS PAGAMENTO CORRESPONDENTE],H$6,LANÇ_MOV[ANO PAGAMENTO],$B$4,LANÇ_MOV[CENTRO DE CUSTOS],$D$4)-SUMIFS(LANÇ_MOV[VALOR LÍQUIDO],LANÇ_MOV[RECEITA OU DESPESA],"Despesa",LANÇ_MOV[BANCO],$B25,LANÇ_MOV[MÊS PAGAMENTO CORRESPONDENTE],H$6,LANÇ_MOV[ANO PAGAMENTO],$B$4,LANÇ_MOV[EMPRESA],$C$4,LANÇ_MOV[CENTRO DE CUSTOS],$D$4),"")</f>
        <v>0</v>
      </c>
      <c r="I25" s="118">
        <f>IFERROR(SUMIFS(CAD_Bancos[R$ SALDO INICIAL],CAD_Bancos[ANO],$B$4,CAD_Bancos[MÊS],I$6,CAD_Bancos[[BANCO ]],Rel_BC[[#This Row],[BANCOS]])+SUMIFS(LANÇ_MOV[VALOR LÍQUIDO],LANÇ_MOV[RECEITA OU DESPESA],"Receita",LANÇ_MOV[BANCO],$B25,LANÇ_MOV[MÊS PAGAMENTO CORRESPONDENTE],I$6,LANÇ_MOV[ANO PAGAMENTO],$B$4,LANÇ_MOV[CENTRO DE CUSTOS],$D$4)-SUMIFS(LANÇ_MOV[VALOR LÍQUIDO],LANÇ_MOV[RECEITA OU DESPESA],"Despesa",LANÇ_MOV[BANCO],$B25,LANÇ_MOV[MÊS PAGAMENTO CORRESPONDENTE],I$6,LANÇ_MOV[ANO PAGAMENTO],$B$4,LANÇ_MOV[EMPRESA],$C$4,LANÇ_MOV[CENTRO DE CUSTOS],$D$4),"")</f>
        <v>0</v>
      </c>
      <c r="J25" s="118">
        <f>IFERROR(SUMIFS(CAD_Bancos[R$ SALDO INICIAL],CAD_Bancos[ANO],$B$4,CAD_Bancos[MÊS],J$6,CAD_Bancos[[BANCO ]],Rel_BC[[#This Row],[BANCOS]])+SUMIFS(LANÇ_MOV[VALOR LÍQUIDO],LANÇ_MOV[RECEITA OU DESPESA],"Receita",LANÇ_MOV[BANCO],$B25,LANÇ_MOV[MÊS PAGAMENTO CORRESPONDENTE],J$6,LANÇ_MOV[ANO PAGAMENTO],$B$4,LANÇ_MOV[CENTRO DE CUSTOS],$D$4)-SUMIFS(LANÇ_MOV[VALOR LÍQUIDO],LANÇ_MOV[RECEITA OU DESPESA],"Despesa",LANÇ_MOV[BANCO],$B25,LANÇ_MOV[MÊS PAGAMENTO CORRESPONDENTE],J$6,LANÇ_MOV[ANO PAGAMENTO],$B$4,LANÇ_MOV[EMPRESA],$C$4,LANÇ_MOV[CENTRO DE CUSTOS],$D$4),"")</f>
        <v>0</v>
      </c>
      <c r="K25" s="118">
        <f>IFERROR(SUMIFS(CAD_Bancos[R$ SALDO INICIAL],CAD_Bancos[ANO],$B$4,CAD_Bancos[MÊS],K$6,CAD_Bancos[[BANCO ]],Rel_BC[[#This Row],[BANCOS]])+SUMIFS(LANÇ_MOV[VALOR LÍQUIDO],LANÇ_MOV[RECEITA OU DESPESA],"Receita",LANÇ_MOV[BANCO],$B25,LANÇ_MOV[MÊS PAGAMENTO CORRESPONDENTE],K$6,LANÇ_MOV[ANO PAGAMENTO],$B$4,LANÇ_MOV[CENTRO DE CUSTOS],$D$4)-SUMIFS(LANÇ_MOV[VALOR LÍQUIDO],LANÇ_MOV[RECEITA OU DESPESA],"Despesa",LANÇ_MOV[BANCO],$B25,LANÇ_MOV[MÊS PAGAMENTO CORRESPONDENTE],K$6,LANÇ_MOV[ANO PAGAMENTO],$B$4,LANÇ_MOV[EMPRESA],$C$4,LANÇ_MOV[CENTRO DE CUSTOS],$D$4),"")</f>
        <v>0</v>
      </c>
      <c r="L25" s="118">
        <f>IFERROR(SUMIFS(CAD_Bancos[R$ SALDO INICIAL],CAD_Bancos[ANO],$B$4,CAD_Bancos[MÊS],L$6,CAD_Bancos[[BANCO ]],Rel_BC[[#This Row],[BANCOS]])+SUMIFS(LANÇ_MOV[VALOR LÍQUIDO],LANÇ_MOV[RECEITA OU DESPESA],"Receita",LANÇ_MOV[BANCO],$B25,LANÇ_MOV[MÊS PAGAMENTO CORRESPONDENTE],L$6,LANÇ_MOV[ANO PAGAMENTO],$B$4,LANÇ_MOV[CENTRO DE CUSTOS],$D$4)-SUMIFS(LANÇ_MOV[VALOR LÍQUIDO],LANÇ_MOV[RECEITA OU DESPESA],"Despesa",LANÇ_MOV[BANCO],$B25,LANÇ_MOV[MÊS PAGAMENTO CORRESPONDENTE],L$6,LANÇ_MOV[ANO PAGAMENTO],$B$4,LANÇ_MOV[EMPRESA],$C$4,LANÇ_MOV[CENTRO DE CUSTOS],$D$4),"")</f>
        <v>0</v>
      </c>
      <c r="M25" s="118">
        <f>IFERROR(SUMIFS(CAD_Bancos[R$ SALDO INICIAL],CAD_Bancos[ANO],$B$4,CAD_Bancos[MÊS],M$6,CAD_Bancos[[BANCO ]],Rel_BC[[#This Row],[BANCOS]])+SUMIFS(LANÇ_MOV[VALOR LÍQUIDO],LANÇ_MOV[RECEITA OU DESPESA],"Receita",LANÇ_MOV[BANCO],$B25,LANÇ_MOV[MÊS PAGAMENTO CORRESPONDENTE],M$6,LANÇ_MOV[ANO PAGAMENTO],$B$4,LANÇ_MOV[CENTRO DE CUSTOS],$D$4)-SUMIFS(LANÇ_MOV[VALOR LÍQUIDO],LANÇ_MOV[RECEITA OU DESPESA],"Despesa",LANÇ_MOV[BANCO],$B25,LANÇ_MOV[MÊS PAGAMENTO CORRESPONDENTE],M$6,LANÇ_MOV[ANO PAGAMENTO],$B$4,LANÇ_MOV[EMPRESA],$C$4,LANÇ_MOV[CENTRO DE CUSTOS],$D$4),"")</f>
        <v>0</v>
      </c>
      <c r="N25" s="118">
        <f>IFERROR(SUMIFS(CAD_Bancos[R$ SALDO INICIAL],CAD_Bancos[ANO],$B$4,CAD_Bancos[MÊS],N$6,CAD_Bancos[[BANCO ]],Rel_BC[[#This Row],[BANCOS]])+SUMIFS(LANÇ_MOV[VALOR LÍQUIDO],LANÇ_MOV[RECEITA OU DESPESA],"Receita",LANÇ_MOV[BANCO],$B25,LANÇ_MOV[MÊS PAGAMENTO CORRESPONDENTE],N$6,LANÇ_MOV[ANO PAGAMENTO],$B$4,LANÇ_MOV[CENTRO DE CUSTOS],$D$4)-SUMIFS(LANÇ_MOV[VALOR LÍQUIDO],LANÇ_MOV[RECEITA OU DESPESA],"Despesa",LANÇ_MOV[BANCO],$B25,LANÇ_MOV[MÊS PAGAMENTO CORRESPONDENTE],N$6,LANÇ_MOV[ANO PAGAMENTO],$B$4,LANÇ_MOV[EMPRESA],$C$4,LANÇ_MOV[CENTRO DE CUSTOS],$D$4),"")</f>
        <v>0</v>
      </c>
      <c r="O25" s="39">
        <f t="shared" si="0"/>
        <v>0</v>
      </c>
    </row>
    <row r="26" spans="2:15" ht="30.05" customHeight="1" x14ac:dyDescent="0.35">
      <c r="B26" s="358" t="str">
        <f>IF('CAD_BANCOS'!F24="","-",'CAD_BANCOS'!F24)</f>
        <v>-</v>
      </c>
      <c r="C26" s="118">
        <f>IFERROR(SUMIFS(CAD_Bancos[R$ SALDO INICIAL],CAD_Bancos[ANO],$B$4,CAD_Bancos[MÊS],C$6,CAD_Bancos[[BANCO ]],Rel_BC[[#This Row],[BANCOS]])+SUMIFS(LANÇ_MOV[VALOR LÍQUIDO],LANÇ_MOV[RECEITA OU DESPESA],"Receita",LANÇ_MOV[BANCO],$B26,LANÇ_MOV[MÊS PAGAMENTO CORRESPONDENTE],C$6,LANÇ_MOV[ANO PAGAMENTO],$B$4,LANÇ_MOV[CENTRO DE CUSTOS],$D$4)-SUMIFS(LANÇ_MOV[VALOR LÍQUIDO],LANÇ_MOV[RECEITA OU DESPESA],"Despesa",LANÇ_MOV[BANCO],$B26,LANÇ_MOV[MÊS PAGAMENTO CORRESPONDENTE],C$6,LANÇ_MOV[ANO PAGAMENTO],$B$4,LANÇ_MOV[EMPRESA],$C$4,LANÇ_MOV[CENTRO DE CUSTOS],$D$4),"")</f>
        <v>0</v>
      </c>
      <c r="D26" s="118">
        <f>IFERROR(SUMIFS(CAD_Bancos[R$ SALDO INICIAL],CAD_Bancos[ANO],$B$4,CAD_Bancos[MÊS],D$6,CAD_Bancos[[BANCO ]],Rel_BC[[#This Row],[BANCOS]])+SUMIFS(LANÇ_MOV[VALOR LÍQUIDO],LANÇ_MOV[RECEITA OU DESPESA],"Receita",LANÇ_MOV[BANCO],$B26,LANÇ_MOV[MÊS PAGAMENTO CORRESPONDENTE],D$6,LANÇ_MOV[ANO PAGAMENTO],$B$4,LANÇ_MOV[CENTRO DE CUSTOS],$D$4)-SUMIFS(LANÇ_MOV[VALOR LÍQUIDO],LANÇ_MOV[RECEITA OU DESPESA],"Despesa",LANÇ_MOV[BANCO],$B26,LANÇ_MOV[MÊS PAGAMENTO CORRESPONDENTE],D$6,LANÇ_MOV[ANO PAGAMENTO],$B$4,LANÇ_MOV[EMPRESA],$C$4,LANÇ_MOV[CENTRO DE CUSTOS],$D$4),"")</f>
        <v>0</v>
      </c>
      <c r="E26" s="118">
        <f>IFERROR(SUMIFS(CAD_Bancos[R$ SALDO INICIAL],CAD_Bancos[ANO],$B$4,CAD_Bancos[MÊS],E$6,CAD_Bancos[[BANCO ]],Rel_BC[[#This Row],[BANCOS]])+SUMIFS(LANÇ_MOV[VALOR LÍQUIDO],LANÇ_MOV[RECEITA OU DESPESA],"Receita",LANÇ_MOV[BANCO],$B26,LANÇ_MOV[MÊS PAGAMENTO CORRESPONDENTE],E$6,LANÇ_MOV[ANO PAGAMENTO],$B$4,LANÇ_MOV[CENTRO DE CUSTOS],$D$4)-SUMIFS(LANÇ_MOV[VALOR LÍQUIDO],LANÇ_MOV[RECEITA OU DESPESA],"Despesa",LANÇ_MOV[BANCO],$B26,LANÇ_MOV[MÊS PAGAMENTO CORRESPONDENTE],E$6,LANÇ_MOV[ANO PAGAMENTO],$B$4,LANÇ_MOV[EMPRESA],$C$4,LANÇ_MOV[CENTRO DE CUSTOS],$D$4),"")</f>
        <v>0</v>
      </c>
      <c r="F26" s="118">
        <f>IFERROR(SUMIFS(CAD_Bancos[R$ SALDO INICIAL],CAD_Bancos[ANO],$B$4,CAD_Bancos[MÊS],F$6,CAD_Bancos[[BANCO ]],Rel_BC[[#This Row],[BANCOS]])+SUMIFS(LANÇ_MOV[VALOR LÍQUIDO],LANÇ_MOV[RECEITA OU DESPESA],"Receita",LANÇ_MOV[BANCO],$B26,LANÇ_MOV[MÊS PAGAMENTO CORRESPONDENTE],F$6,LANÇ_MOV[ANO PAGAMENTO],$B$4,LANÇ_MOV[CENTRO DE CUSTOS],$D$4)-SUMIFS(LANÇ_MOV[VALOR LÍQUIDO],LANÇ_MOV[RECEITA OU DESPESA],"Despesa",LANÇ_MOV[BANCO],$B26,LANÇ_MOV[MÊS PAGAMENTO CORRESPONDENTE],F$6,LANÇ_MOV[ANO PAGAMENTO],$B$4,LANÇ_MOV[EMPRESA],$C$4,LANÇ_MOV[CENTRO DE CUSTOS],$D$4),"")</f>
        <v>0</v>
      </c>
      <c r="G26" s="118">
        <f>IFERROR(SUMIFS(CAD_Bancos[R$ SALDO INICIAL],CAD_Bancos[ANO],$B$4,CAD_Bancos[MÊS],G$6,CAD_Bancos[[BANCO ]],Rel_BC[[#This Row],[BANCOS]])+SUMIFS(LANÇ_MOV[VALOR LÍQUIDO],LANÇ_MOV[RECEITA OU DESPESA],"Receita",LANÇ_MOV[BANCO],$B26,LANÇ_MOV[MÊS PAGAMENTO CORRESPONDENTE],G$6,LANÇ_MOV[ANO PAGAMENTO],$B$4,LANÇ_MOV[CENTRO DE CUSTOS],$D$4)-SUMIFS(LANÇ_MOV[VALOR LÍQUIDO],LANÇ_MOV[RECEITA OU DESPESA],"Despesa",LANÇ_MOV[BANCO],$B26,LANÇ_MOV[MÊS PAGAMENTO CORRESPONDENTE],G$6,LANÇ_MOV[ANO PAGAMENTO],$B$4,LANÇ_MOV[EMPRESA],$C$4,LANÇ_MOV[CENTRO DE CUSTOS],$D$4),"")</f>
        <v>0</v>
      </c>
      <c r="H26" s="118">
        <f>IFERROR(SUMIFS(CAD_Bancos[R$ SALDO INICIAL],CAD_Bancos[ANO],$B$4,CAD_Bancos[MÊS],H$6,CAD_Bancos[[BANCO ]],Rel_BC[[#This Row],[BANCOS]])+SUMIFS(LANÇ_MOV[VALOR LÍQUIDO],LANÇ_MOV[RECEITA OU DESPESA],"Receita",LANÇ_MOV[BANCO],$B26,LANÇ_MOV[MÊS PAGAMENTO CORRESPONDENTE],H$6,LANÇ_MOV[ANO PAGAMENTO],$B$4,LANÇ_MOV[CENTRO DE CUSTOS],$D$4)-SUMIFS(LANÇ_MOV[VALOR LÍQUIDO],LANÇ_MOV[RECEITA OU DESPESA],"Despesa",LANÇ_MOV[BANCO],$B26,LANÇ_MOV[MÊS PAGAMENTO CORRESPONDENTE],H$6,LANÇ_MOV[ANO PAGAMENTO],$B$4,LANÇ_MOV[EMPRESA],$C$4,LANÇ_MOV[CENTRO DE CUSTOS],$D$4),"")</f>
        <v>0</v>
      </c>
      <c r="I26" s="118">
        <f>IFERROR(SUMIFS(CAD_Bancos[R$ SALDO INICIAL],CAD_Bancos[ANO],$B$4,CAD_Bancos[MÊS],I$6,CAD_Bancos[[BANCO ]],Rel_BC[[#This Row],[BANCOS]])+SUMIFS(LANÇ_MOV[VALOR LÍQUIDO],LANÇ_MOV[RECEITA OU DESPESA],"Receita",LANÇ_MOV[BANCO],$B26,LANÇ_MOV[MÊS PAGAMENTO CORRESPONDENTE],I$6,LANÇ_MOV[ANO PAGAMENTO],$B$4,LANÇ_MOV[CENTRO DE CUSTOS],$D$4)-SUMIFS(LANÇ_MOV[VALOR LÍQUIDO],LANÇ_MOV[RECEITA OU DESPESA],"Despesa",LANÇ_MOV[BANCO],$B26,LANÇ_MOV[MÊS PAGAMENTO CORRESPONDENTE],I$6,LANÇ_MOV[ANO PAGAMENTO],$B$4,LANÇ_MOV[EMPRESA],$C$4,LANÇ_MOV[CENTRO DE CUSTOS],$D$4),"")</f>
        <v>0</v>
      </c>
      <c r="J26" s="118">
        <f>IFERROR(SUMIFS(CAD_Bancos[R$ SALDO INICIAL],CAD_Bancos[ANO],$B$4,CAD_Bancos[MÊS],J$6,CAD_Bancos[[BANCO ]],Rel_BC[[#This Row],[BANCOS]])+SUMIFS(LANÇ_MOV[VALOR LÍQUIDO],LANÇ_MOV[RECEITA OU DESPESA],"Receita",LANÇ_MOV[BANCO],$B26,LANÇ_MOV[MÊS PAGAMENTO CORRESPONDENTE],J$6,LANÇ_MOV[ANO PAGAMENTO],$B$4,LANÇ_MOV[CENTRO DE CUSTOS],$D$4)-SUMIFS(LANÇ_MOV[VALOR LÍQUIDO],LANÇ_MOV[RECEITA OU DESPESA],"Despesa",LANÇ_MOV[BANCO],$B26,LANÇ_MOV[MÊS PAGAMENTO CORRESPONDENTE],J$6,LANÇ_MOV[ANO PAGAMENTO],$B$4,LANÇ_MOV[EMPRESA],$C$4,LANÇ_MOV[CENTRO DE CUSTOS],$D$4),"")</f>
        <v>0</v>
      </c>
      <c r="K26" s="118">
        <f>IFERROR(SUMIFS(CAD_Bancos[R$ SALDO INICIAL],CAD_Bancos[ANO],$B$4,CAD_Bancos[MÊS],K$6,CAD_Bancos[[BANCO ]],Rel_BC[[#This Row],[BANCOS]])+SUMIFS(LANÇ_MOV[VALOR LÍQUIDO],LANÇ_MOV[RECEITA OU DESPESA],"Receita",LANÇ_MOV[BANCO],$B26,LANÇ_MOV[MÊS PAGAMENTO CORRESPONDENTE],K$6,LANÇ_MOV[ANO PAGAMENTO],$B$4,LANÇ_MOV[CENTRO DE CUSTOS],$D$4)-SUMIFS(LANÇ_MOV[VALOR LÍQUIDO],LANÇ_MOV[RECEITA OU DESPESA],"Despesa",LANÇ_MOV[BANCO],$B26,LANÇ_MOV[MÊS PAGAMENTO CORRESPONDENTE],K$6,LANÇ_MOV[ANO PAGAMENTO],$B$4,LANÇ_MOV[EMPRESA],$C$4,LANÇ_MOV[CENTRO DE CUSTOS],$D$4),"")</f>
        <v>0</v>
      </c>
      <c r="L26" s="118">
        <f>IFERROR(SUMIFS(CAD_Bancos[R$ SALDO INICIAL],CAD_Bancos[ANO],$B$4,CAD_Bancos[MÊS],L$6,CAD_Bancos[[BANCO ]],Rel_BC[[#This Row],[BANCOS]])+SUMIFS(LANÇ_MOV[VALOR LÍQUIDO],LANÇ_MOV[RECEITA OU DESPESA],"Receita",LANÇ_MOV[BANCO],$B26,LANÇ_MOV[MÊS PAGAMENTO CORRESPONDENTE],L$6,LANÇ_MOV[ANO PAGAMENTO],$B$4,LANÇ_MOV[CENTRO DE CUSTOS],$D$4)-SUMIFS(LANÇ_MOV[VALOR LÍQUIDO],LANÇ_MOV[RECEITA OU DESPESA],"Despesa",LANÇ_MOV[BANCO],$B26,LANÇ_MOV[MÊS PAGAMENTO CORRESPONDENTE],L$6,LANÇ_MOV[ANO PAGAMENTO],$B$4,LANÇ_MOV[EMPRESA],$C$4,LANÇ_MOV[CENTRO DE CUSTOS],$D$4),"")</f>
        <v>0</v>
      </c>
      <c r="M26" s="118">
        <f>IFERROR(SUMIFS(CAD_Bancos[R$ SALDO INICIAL],CAD_Bancos[ANO],$B$4,CAD_Bancos[MÊS],M$6,CAD_Bancos[[BANCO ]],Rel_BC[[#This Row],[BANCOS]])+SUMIFS(LANÇ_MOV[VALOR LÍQUIDO],LANÇ_MOV[RECEITA OU DESPESA],"Receita",LANÇ_MOV[BANCO],$B26,LANÇ_MOV[MÊS PAGAMENTO CORRESPONDENTE],M$6,LANÇ_MOV[ANO PAGAMENTO],$B$4,LANÇ_MOV[CENTRO DE CUSTOS],$D$4)-SUMIFS(LANÇ_MOV[VALOR LÍQUIDO],LANÇ_MOV[RECEITA OU DESPESA],"Despesa",LANÇ_MOV[BANCO],$B26,LANÇ_MOV[MÊS PAGAMENTO CORRESPONDENTE],M$6,LANÇ_MOV[ANO PAGAMENTO],$B$4,LANÇ_MOV[EMPRESA],$C$4,LANÇ_MOV[CENTRO DE CUSTOS],$D$4),"")</f>
        <v>0</v>
      </c>
      <c r="N26" s="118">
        <f>IFERROR(SUMIFS(CAD_Bancos[R$ SALDO INICIAL],CAD_Bancos[ANO],$B$4,CAD_Bancos[MÊS],N$6,CAD_Bancos[[BANCO ]],Rel_BC[[#This Row],[BANCOS]])+SUMIFS(LANÇ_MOV[VALOR LÍQUIDO],LANÇ_MOV[RECEITA OU DESPESA],"Receita",LANÇ_MOV[BANCO],$B26,LANÇ_MOV[MÊS PAGAMENTO CORRESPONDENTE],N$6,LANÇ_MOV[ANO PAGAMENTO],$B$4,LANÇ_MOV[CENTRO DE CUSTOS],$D$4)-SUMIFS(LANÇ_MOV[VALOR LÍQUIDO],LANÇ_MOV[RECEITA OU DESPESA],"Despesa",LANÇ_MOV[BANCO],$B26,LANÇ_MOV[MÊS PAGAMENTO CORRESPONDENTE],N$6,LANÇ_MOV[ANO PAGAMENTO],$B$4,LANÇ_MOV[EMPRESA],$C$4,LANÇ_MOV[CENTRO DE CUSTOS],$D$4),"")</f>
        <v>0</v>
      </c>
      <c r="O26" s="39">
        <f t="shared" si="0"/>
        <v>0</v>
      </c>
    </row>
  </sheetData>
  <sheetProtection sort="0" autoFilter="0" pivotTables="0"/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1"/>
  <ignoredErrors>
    <ignoredError sqref="B7 C7:O26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Drop Down 2">
              <controlPr defaultSize="0" autoLine="0" autoPict="0">
                <anchor moveWithCells="1">
                  <from>
                    <xdr:col>1</xdr:col>
                    <xdr:colOff>6578</xdr:colOff>
                    <xdr:row>3</xdr:row>
                    <xdr:rowOff>19735</xdr:rowOff>
                  </from>
                  <to>
                    <xdr:col>1</xdr:col>
                    <xdr:colOff>927557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5" name="Drop Down 3">
              <controlPr defaultSize="0" autoLine="0" autoPict="0">
                <anchor moveWithCells="1">
                  <from>
                    <xdr:col>3</xdr:col>
                    <xdr:colOff>407862</xdr:colOff>
                    <xdr:row>3</xdr:row>
                    <xdr:rowOff>19735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6" name="Drop Down 4">
              <controlPr defaultSize="0" autoLine="0" autoPict="0">
                <anchor moveWithCells="1">
                  <from>
                    <xdr:col>1</xdr:col>
                    <xdr:colOff>934135</xdr:colOff>
                    <xdr:row>3</xdr:row>
                    <xdr:rowOff>19735</xdr:rowOff>
                  </from>
                  <to>
                    <xdr:col>3</xdr:col>
                    <xdr:colOff>407862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16">
    <tabColor rgb="FF7030A0"/>
  </sheetPr>
  <dimension ref="A1:O11"/>
  <sheetViews>
    <sheetView showGridLines="0" zoomScaleNormal="100" workbookViewId="0">
      <pane ySplit="2" topLeftCell="A3" activePane="bottomLeft" state="frozen"/>
      <selection pane="bottomLeft"/>
    </sheetView>
  </sheetViews>
  <sheetFormatPr defaultColWidth="9.1796875" defaultRowHeight="30.05" customHeight="1" x14ac:dyDescent="0.35"/>
  <cols>
    <col min="1" max="1" width="0.7265625" style="1" customWidth="1"/>
    <col min="2" max="2" width="45.26953125" style="4" customWidth="1"/>
    <col min="3" max="3" width="2" style="83" customWidth="1"/>
    <col min="4" max="4" width="45.26953125" style="83" customWidth="1"/>
    <col min="5" max="5" width="2" style="83" customWidth="1"/>
    <col min="6" max="6" width="45.26953125" style="83" customWidth="1"/>
    <col min="7" max="7" width="2" style="84" customWidth="1"/>
    <col min="8" max="8" width="45.26953125" style="83" customWidth="1"/>
    <col min="9" max="14" width="15.81640625" style="83" bestFit="1" customWidth="1"/>
    <col min="15" max="15" width="15.26953125" style="48" bestFit="1" customWidth="1"/>
    <col min="16" max="16384" width="9.1796875" style="1"/>
  </cols>
  <sheetData>
    <row r="1" spans="1:15" s="63" customFormat="1" ht="25" customHeight="1" x14ac:dyDescent="0.35">
      <c r="B1" s="64"/>
      <c r="C1" s="65"/>
      <c r="D1" s="65"/>
      <c r="E1" s="65"/>
      <c r="F1" s="65"/>
      <c r="G1" s="66"/>
      <c r="H1" s="65"/>
      <c r="I1" s="65"/>
      <c r="J1" s="65"/>
      <c r="K1" s="65"/>
      <c r="L1" s="65"/>
      <c r="M1" s="65"/>
      <c r="N1" s="65"/>
      <c r="O1" s="67"/>
    </row>
    <row r="2" spans="1:15" s="68" customFormat="1" ht="20.100000000000001" customHeight="1" x14ac:dyDescent="0.35">
      <c r="B2" s="69"/>
      <c r="C2" s="70"/>
      <c r="D2" s="70"/>
      <c r="E2" s="70"/>
      <c r="F2" s="70"/>
      <c r="G2" s="71"/>
      <c r="H2" s="70"/>
      <c r="I2" s="70"/>
      <c r="J2" s="70"/>
      <c r="K2" s="70"/>
      <c r="L2" s="70"/>
      <c r="M2" s="70"/>
      <c r="N2" s="70"/>
      <c r="O2" s="72"/>
    </row>
    <row r="3" spans="1:15" s="3" customFormat="1" ht="3.75" customHeight="1" x14ac:dyDescent="0.35">
      <c r="A3" s="73"/>
      <c r="B3" s="74"/>
      <c r="C3" s="75"/>
      <c r="D3" s="75"/>
      <c r="E3" s="75"/>
      <c r="F3" s="75"/>
      <c r="G3" s="76"/>
    </row>
    <row r="4" spans="1:15" s="3" customFormat="1" ht="21.75" customHeight="1" x14ac:dyDescent="0.35">
      <c r="A4" s="73"/>
      <c r="B4" s="125" t="str">
        <f>IF(VLOOKUP(Apoio!$O$13,ANO[],2,0)="TOTAL ANO","*",VLOOKUP(Apoio!$O$13,ANO[],2,0))</f>
        <v>*</v>
      </c>
      <c r="C4" s="290" t="str">
        <f>IF(VLOOKUP(Apoio!$O$12,Mês[],2,0)="TOTAL MESES","*",VLOOKUP(Apoio!$O$12,Mês[],2,0))</f>
        <v>*</v>
      </c>
      <c r="D4" s="125" t="str">
        <f>IF(VLOOKUP(Apoio!$O$7,EMPRESA[],2,0)="TOTAL EMPRESA","*",VLOOKUP(Apoio!$O$7,EMPRESA[],2,0))</f>
        <v>CENTRO CULTURAL FRANCO-BRASILEIRO ALIANCA FRANCESA DE GOIAS</v>
      </c>
      <c r="E4" s="269" t="str">
        <f>IF(VLOOKUP(Apoio!$O$8,CENTROS_CUSTOS[],2,0)="TOTAL CENTRO DE CUSTOS","*",VLOOKUP(Apoio!$O$8,CENTROS_CUSTOS[],2,0))</f>
        <v>*</v>
      </c>
      <c r="F4" s="75"/>
      <c r="G4" s="76"/>
    </row>
    <row r="5" spans="1:15" s="3" customFormat="1" ht="3.75" customHeight="1" x14ac:dyDescent="0.35">
      <c r="A5" s="73"/>
      <c r="C5" s="75"/>
      <c r="D5" s="75"/>
      <c r="E5" s="75"/>
      <c r="F5" s="75"/>
      <c r="G5" s="76"/>
    </row>
    <row r="6" spans="1:15" s="77" customFormat="1" ht="15.55" x14ac:dyDescent="0.35">
      <c r="B6" s="77" t="s">
        <v>4</v>
      </c>
      <c r="C6" s="78"/>
      <c r="D6" s="78" t="s">
        <v>5</v>
      </c>
      <c r="E6" s="78"/>
      <c r="F6" s="78" t="s">
        <v>1056</v>
      </c>
      <c r="G6" s="78"/>
      <c r="H6" s="78" t="s">
        <v>1057</v>
      </c>
      <c r="I6" s="78"/>
      <c r="J6" s="78"/>
      <c r="K6" s="78"/>
      <c r="L6" s="78"/>
      <c r="M6" s="78"/>
      <c r="N6" s="78"/>
    </row>
    <row r="7" spans="1:15" s="79" customFormat="1" ht="36" customHeight="1" x14ac:dyDescent="0.35">
      <c r="B7" s="80">
        <f>Apoio!T5</f>
        <v>32737.730000000003</v>
      </c>
      <c r="D7" s="80">
        <f>Apoio!T6</f>
        <v>28741.18</v>
      </c>
      <c r="F7" s="80">
        <f>Apoio!T7</f>
        <v>3996.5500000000011</v>
      </c>
      <c r="G7" s="78"/>
      <c r="H7" s="81">
        <f>Apoio!T8</f>
        <v>0.19146603381704527</v>
      </c>
    </row>
    <row r="8" spans="1:15" s="82" customFormat="1" ht="17.25" customHeight="1" x14ac:dyDescent="0.35">
      <c r="B8" s="21">
        <f>IFERROR(Apoio!T5/Apoio!T9-1,0)</f>
        <v>0</v>
      </c>
      <c r="C8" s="22"/>
      <c r="D8" s="21">
        <f>IFERROR(1-Apoio!T6/Apoio!T10,0)</f>
        <v>0</v>
      </c>
      <c r="E8" s="22"/>
      <c r="F8" s="21">
        <f>IFERROR(Apoio!T7/Apoio!T11-1,0)</f>
        <v>0</v>
      </c>
      <c r="G8" s="22"/>
      <c r="H8" s="21">
        <f>IFERROR(Apoio!T8/Apoio!T12-1,0)</f>
        <v>0</v>
      </c>
    </row>
    <row r="9" spans="1:15" ht="5.35" customHeight="1" x14ac:dyDescent="0.35"/>
    <row r="10" spans="1:15" s="77" customFormat="1" ht="25.55" customHeight="1" x14ac:dyDescent="0.35">
      <c r="B10" s="77" t="s">
        <v>1067</v>
      </c>
      <c r="C10" s="78"/>
      <c r="D10" s="78" t="s">
        <v>1068</v>
      </c>
      <c r="E10" s="78"/>
      <c r="F10" s="78" t="s">
        <v>1069</v>
      </c>
      <c r="G10" s="78"/>
      <c r="H10" s="78" t="s">
        <v>1070</v>
      </c>
      <c r="I10" s="78"/>
      <c r="J10" s="78"/>
      <c r="K10" s="78"/>
      <c r="L10" s="78"/>
      <c r="M10" s="78"/>
      <c r="N10" s="78"/>
    </row>
    <row r="11" spans="1:15" ht="165.75" customHeight="1" x14ac:dyDescent="0.35">
      <c r="B11" s="85"/>
      <c r="D11" s="86"/>
      <c r="F11" s="86"/>
      <c r="H11" s="86"/>
    </row>
  </sheetData>
  <sheetProtection sort="0" autoFilter="0" pivotTables="0"/>
  <conditionalFormatting sqref="B8 D8 F8 H8">
    <cfRule type="cellIs" dxfId="43" priority="1" operator="lessThan">
      <formula>0</formula>
    </cfRule>
    <cfRule type="cellIs" dxfId="42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1"/>
  <ignoredErrors>
    <ignoredError sqref="C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8" r:id="rId4" name="Drop Down 4">
              <controlPr defaultSize="0" autoLine="0" autoPict="0">
                <anchor moveWithCells="1">
                  <from>
                    <xdr:col>1</xdr:col>
                    <xdr:colOff>894665</xdr:colOff>
                    <xdr:row>3</xdr:row>
                    <xdr:rowOff>32892</xdr:rowOff>
                  </from>
                  <to>
                    <xdr:col>1</xdr:col>
                    <xdr:colOff>1822222</xdr:colOff>
                    <xdr:row>3</xdr:row>
                    <xdr:rowOff>256558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5" name="Drop Down 6">
              <controlPr defaultSize="0" autoLine="0" autoPict="0">
                <anchor moveWithCells="1">
                  <from>
                    <xdr:col>0</xdr:col>
                    <xdr:colOff>39471</xdr:colOff>
                    <xdr:row>3</xdr:row>
                    <xdr:rowOff>32892</xdr:rowOff>
                  </from>
                  <to>
                    <xdr:col>1</xdr:col>
                    <xdr:colOff>888086</xdr:colOff>
                    <xdr:row>3</xdr:row>
                    <xdr:rowOff>256558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6" name="Drop Down 7">
              <controlPr defaultSize="0" autoLine="0" autoPict="0">
                <anchor moveWithCells="1">
                  <from>
                    <xdr:col>2</xdr:col>
                    <xdr:colOff>65784</xdr:colOff>
                    <xdr:row>3</xdr:row>
                    <xdr:rowOff>32892</xdr:rowOff>
                  </from>
                  <to>
                    <xdr:col>3</xdr:col>
                    <xdr:colOff>1355154</xdr:colOff>
                    <xdr:row>3</xdr:row>
                    <xdr:rowOff>256558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7" name="Drop Down 8">
              <controlPr defaultSize="0" autoLine="0" autoPict="0">
                <anchor moveWithCells="1">
                  <from>
                    <xdr:col>1</xdr:col>
                    <xdr:colOff>1822222</xdr:colOff>
                    <xdr:row>3</xdr:row>
                    <xdr:rowOff>32892</xdr:rowOff>
                  </from>
                  <to>
                    <xdr:col>2</xdr:col>
                    <xdr:colOff>65784</xdr:colOff>
                    <xdr:row>3</xdr:row>
                    <xdr:rowOff>256558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15">
    <tabColor rgb="FF7030A0"/>
  </sheetPr>
  <dimension ref="A1:K13"/>
  <sheetViews>
    <sheetView showGridLines="0" zoomScaleNormal="100" workbookViewId="0">
      <pane ySplit="2" topLeftCell="A9" activePane="bottomLeft" state="frozen"/>
      <selection activeCell="E8" sqref="E8"/>
      <selection pane="bottomLeft"/>
    </sheetView>
  </sheetViews>
  <sheetFormatPr defaultColWidth="9.1796875" defaultRowHeight="30.05" customHeight="1" x14ac:dyDescent="0.35"/>
  <cols>
    <col min="1" max="1" width="0.7265625" style="1" customWidth="1"/>
    <col min="2" max="2" width="6.1796875" style="1" customWidth="1"/>
    <col min="3" max="3" width="43.54296875" style="4" customWidth="1"/>
    <col min="4" max="4" width="2" style="83" customWidth="1"/>
    <col min="5" max="5" width="134.54296875" style="83" customWidth="1"/>
    <col min="6" max="10" width="15.81640625" style="83" bestFit="1" customWidth="1"/>
    <col min="11" max="11" width="15.26953125" style="48" bestFit="1" customWidth="1"/>
    <col min="12" max="16384" width="9.1796875" style="1"/>
  </cols>
  <sheetData>
    <row r="1" spans="1:11" s="63" customFormat="1" ht="25" customHeight="1" x14ac:dyDescent="0.35">
      <c r="C1" s="64"/>
      <c r="D1" s="65"/>
      <c r="E1" s="65"/>
      <c r="F1" s="65"/>
      <c r="G1" s="65"/>
      <c r="H1" s="65"/>
      <c r="I1" s="65"/>
      <c r="J1" s="65"/>
      <c r="K1" s="67"/>
    </row>
    <row r="2" spans="1:11" s="68" customFormat="1" ht="20.100000000000001" customHeight="1" x14ac:dyDescent="0.35">
      <c r="C2" s="69"/>
      <c r="D2" s="70"/>
      <c r="E2" s="70"/>
      <c r="F2" s="70"/>
      <c r="G2" s="70"/>
      <c r="H2" s="70"/>
      <c r="I2" s="70"/>
      <c r="J2" s="70"/>
      <c r="K2" s="72"/>
    </row>
    <row r="3" spans="1:11" s="3" customFormat="1" ht="3.75" customHeight="1" x14ac:dyDescent="0.35">
      <c r="A3" s="73"/>
      <c r="B3" s="73"/>
      <c r="C3" s="74"/>
      <c r="D3" s="75"/>
      <c r="E3" s="75"/>
      <c r="F3" s="75"/>
      <c r="G3" s="75"/>
      <c r="H3" s="75"/>
      <c r="I3" s="75"/>
      <c r="J3" s="75"/>
      <c r="K3" s="87"/>
    </row>
    <row r="4" spans="1:11" s="77" customFormat="1" ht="22.05" customHeight="1" x14ac:dyDescent="0.35">
      <c r="B4" s="125" t="str">
        <f>IF(VLOOKUP(Apoio!$O$13,ANO[],2,0)="TOTAL ANO","*",VLOOKUP(Apoio!$O$13,ANO[],2,0))</f>
        <v>*</v>
      </c>
      <c r="C4" s="3" t="str">
        <f>IF(VLOOKUP(Apoio!$O$7,EMPRESA[],2,0)="TOTAL EMPRESA","*",VLOOKUP(Apoio!$O$7,EMPRESA[],2,0))</f>
        <v>CENTRO CULTURAL FRANCO-BRASILEIRO ALIANCA FRANCESA DE GOIAS</v>
      </c>
      <c r="D4" s="269" t="str">
        <f>IF(VLOOKUP(Apoio!$O$8,CENTROS_CUSTOS[],2,0)="TOTAL CENTRO DE CUSTOS","*",VLOOKUP(Apoio!$O$8,CENTROS_CUSTOS[],2,0))</f>
        <v>*</v>
      </c>
      <c r="E4" s="289"/>
      <c r="F4" s="78"/>
      <c r="G4" s="78"/>
      <c r="H4" s="78"/>
      <c r="I4" s="78"/>
      <c r="J4" s="78"/>
    </row>
    <row r="5" spans="1:11" s="77" customFormat="1" ht="17.25" customHeight="1" x14ac:dyDescent="0.35">
      <c r="B5" s="125"/>
      <c r="C5" s="279" t="s">
        <v>1056</v>
      </c>
      <c r="D5" s="76"/>
      <c r="E5" s="78" t="s">
        <v>1071</v>
      </c>
      <c r="F5" s="78"/>
      <c r="G5" s="78"/>
      <c r="H5" s="78"/>
      <c r="I5" s="78"/>
      <c r="J5" s="78"/>
    </row>
    <row r="6" spans="1:11" s="79" customFormat="1" ht="80.3" customHeight="1" x14ac:dyDescent="0.35">
      <c r="B6" s="622">
        <f>'REL_FC'!O12</f>
        <v>3996.5500000000011</v>
      </c>
      <c r="C6" s="623"/>
      <c r="D6" s="75"/>
      <c r="E6" s="88"/>
    </row>
    <row r="7" spans="1:11" s="82" customFormat="1" ht="25.55" customHeight="1" x14ac:dyDescent="0.35">
      <c r="B7" s="624">
        <f>IFERROR('REL_FC'!O12/#REF!-1,0)</f>
        <v>0</v>
      </c>
      <c r="C7" s="625"/>
      <c r="D7" s="75"/>
      <c r="E7" s="89"/>
    </row>
    <row r="8" spans="1:11" s="3" customFormat="1" ht="3.75" customHeight="1" x14ac:dyDescent="0.35">
      <c r="A8" s="73"/>
      <c r="B8" s="73"/>
      <c r="C8" s="74"/>
      <c r="D8" s="75"/>
      <c r="E8" s="75"/>
      <c r="F8" s="75"/>
      <c r="G8" s="75"/>
      <c r="H8" s="75"/>
      <c r="I8" s="75"/>
      <c r="J8" s="75"/>
      <c r="K8" s="87"/>
    </row>
    <row r="9" spans="1:11" s="77" customFormat="1" ht="22.05" customHeight="1" x14ac:dyDescent="0.35">
      <c r="C9" s="77" t="s">
        <v>1072</v>
      </c>
      <c r="D9" s="76"/>
      <c r="E9" s="78" t="s">
        <v>1073</v>
      </c>
      <c r="F9" s="78"/>
      <c r="G9" s="78"/>
      <c r="H9" s="78"/>
      <c r="I9" s="78"/>
      <c r="J9" s="78"/>
    </row>
    <row r="10" spans="1:11" ht="30.05" customHeight="1" x14ac:dyDescent="0.35">
      <c r="B10" s="90">
        <v>1</v>
      </c>
      <c r="C10" s="23" t="str">
        <f>"O mês com maior lucro foi "&amp;HLOOKUP(LARGE(Apoio!AO14:$AZ$14,1),Apoio!$AO$14:$AZ$15,2,FALSE)&amp;", com resultado de R$"&amp;LARGE(Apoio!$AO$14:$AZ$14,1)</f>
        <v>O mês com maior lucro foi Novembro, com resultado de R$2604,9</v>
      </c>
      <c r="D10" s="76"/>
      <c r="E10" s="91"/>
    </row>
    <row r="11" spans="1:11" ht="30.05" customHeight="1" x14ac:dyDescent="0.35">
      <c r="B11" s="90">
        <v>2</v>
      </c>
      <c r="C11" s="23" t="str">
        <f>"O mês com menor lucro foi "&amp;HLOOKUP(SMALL(Apoio!$AO$14:$AZ$14,1),Apoio!$AO$14:$AZ$15,2,FALSE)&amp;", com resultado de R$"&amp;SMALL(Apoio!$AO$14:$AZ$14,1)</f>
        <v>O mês com menor lucro foi Janeiro, com resultado de R$0</v>
      </c>
      <c r="D11" s="76"/>
      <c r="E11" s="92"/>
    </row>
    <row r="12" spans="1:11" ht="30.05" customHeight="1" x14ac:dyDescent="0.35">
      <c r="B12" s="90">
        <v>3</v>
      </c>
      <c r="C12" s="23" t="str">
        <f>"Você tem R$"&amp;Apoio!$AP$18&amp;" de contas a receber em aberto"</f>
        <v>Você tem R$28005,76 de contas a receber em aberto</v>
      </c>
      <c r="D12" s="76"/>
      <c r="E12" s="92"/>
    </row>
    <row r="13" spans="1:11" ht="30.05" customHeight="1" x14ac:dyDescent="0.35">
      <c r="B13" s="90">
        <v>4</v>
      </c>
      <c r="C13" s="23" t="str">
        <f>"Você tem R$"&amp;Apoio!$AP$19&amp;" de contas a pagar em aberto"</f>
        <v>Você tem R$2128673,95 de contas a pagar em aberto</v>
      </c>
      <c r="D13" s="76"/>
      <c r="E13" s="93"/>
    </row>
  </sheetData>
  <sheetProtection sort="0" autoFilter="0" pivotTables="0"/>
  <mergeCells count="2">
    <mergeCell ref="B6:C6"/>
    <mergeCell ref="B7:C7"/>
  </mergeCells>
  <conditionalFormatting sqref="B7">
    <cfRule type="cellIs" dxfId="41" priority="1" operator="greaterThan">
      <formula>0</formula>
    </cfRule>
    <cfRule type="cellIs" dxfId="40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Option Button 1">
              <controlPr defaultSize="0" autoFill="0" autoLine="0" autoPict="0">
                <anchor moveWithCells="1">
                  <from>
                    <xdr:col>4</xdr:col>
                    <xdr:colOff>65784</xdr:colOff>
                    <xdr:row>9</xdr:row>
                    <xdr:rowOff>59206</xdr:rowOff>
                  </from>
                  <to>
                    <xdr:col>4</xdr:col>
                    <xdr:colOff>822302</xdr:colOff>
                    <xdr:row>9</xdr:row>
                    <xdr:rowOff>296029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Option Button 2">
              <controlPr defaultSize="0" autoFill="0" autoLine="0" autoPict="0">
                <anchor moveWithCells="1">
                  <from>
                    <xdr:col>4</xdr:col>
                    <xdr:colOff>65784</xdr:colOff>
                    <xdr:row>9</xdr:row>
                    <xdr:rowOff>282872</xdr:rowOff>
                  </from>
                  <to>
                    <xdr:col>4</xdr:col>
                    <xdr:colOff>822302</xdr:colOff>
                    <xdr:row>10</xdr:row>
                    <xdr:rowOff>144725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Option Button 3">
              <controlPr defaultSize="0" autoFill="0" autoLine="0" autoPict="0">
                <anchor moveWithCells="1">
                  <from>
                    <xdr:col>4</xdr:col>
                    <xdr:colOff>65784</xdr:colOff>
                    <xdr:row>10</xdr:row>
                    <xdr:rowOff>124990</xdr:rowOff>
                  </from>
                  <to>
                    <xdr:col>4</xdr:col>
                    <xdr:colOff>822302</xdr:colOff>
                    <xdr:row>10</xdr:row>
                    <xdr:rowOff>361813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7" name="Drop Down 6">
              <controlPr defaultSize="0" autoLine="0" autoPict="0">
                <anchor moveWithCells="1">
                  <from>
                    <xdr:col>0</xdr:col>
                    <xdr:colOff>39471</xdr:colOff>
                    <xdr:row>3</xdr:row>
                    <xdr:rowOff>32892</xdr:rowOff>
                  </from>
                  <to>
                    <xdr:col>2</xdr:col>
                    <xdr:colOff>460489</xdr:colOff>
                    <xdr:row>3</xdr:row>
                    <xdr:rowOff>256558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8" name="Drop Down 7">
              <controlPr defaultSize="0" autoLine="0" autoPict="0">
                <anchor moveWithCells="1">
                  <from>
                    <xdr:col>2</xdr:col>
                    <xdr:colOff>1927476</xdr:colOff>
                    <xdr:row>3</xdr:row>
                    <xdr:rowOff>32892</xdr:rowOff>
                  </from>
                  <to>
                    <xdr:col>4</xdr:col>
                    <xdr:colOff>177617</xdr:colOff>
                    <xdr:row>3</xdr:row>
                    <xdr:rowOff>256558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9" name="Drop Down 8">
              <controlPr defaultSize="0" autoLine="0" autoPict="0">
                <anchor moveWithCells="1">
                  <from>
                    <xdr:col>2</xdr:col>
                    <xdr:colOff>473646</xdr:colOff>
                    <xdr:row>3</xdr:row>
                    <xdr:rowOff>32892</xdr:rowOff>
                  </from>
                  <to>
                    <xdr:col>2</xdr:col>
                    <xdr:colOff>1920898</xdr:colOff>
                    <xdr:row>3</xdr:row>
                    <xdr:rowOff>256558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17">
    <tabColor rgb="FF7030A0"/>
  </sheetPr>
  <dimension ref="A1:Q14"/>
  <sheetViews>
    <sheetView showGridLines="0" zoomScaleNormal="100" workbookViewId="0">
      <pane ySplit="2" topLeftCell="A9" activePane="bottomLeft" state="frozen"/>
      <selection activeCell="E8" sqref="E8"/>
      <selection pane="bottomLeft"/>
    </sheetView>
  </sheetViews>
  <sheetFormatPr defaultColWidth="9.1796875" defaultRowHeight="30.05" customHeight="1" x14ac:dyDescent="0.35"/>
  <cols>
    <col min="1" max="1" width="0.7265625" style="1" customWidth="1"/>
    <col min="2" max="2" width="35.1796875" style="4" customWidth="1"/>
    <col min="3" max="3" width="13.54296875" style="4" bestFit="1" customWidth="1"/>
    <col min="4" max="4" width="25" style="83" customWidth="1"/>
    <col min="5" max="5" width="2" style="83" customWidth="1"/>
    <col min="6" max="6" width="3.7265625" style="163" customWidth="1"/>
    <col min="7" max="7" width="23.1796875" style="83" customWidth="1"/>
    <col min="8" max="8" width="12" style="83" customWidth="1"/>
    <col min="9" max="9" width="1.81640625" style="83" customWidth="1"/>
    <col min="10" max="10" width="16" style="83" customWidth="1"/>
    <col min="11" max="11" width="53.26953125" style="83" customWidth="1"/>
    <col min="12" max="16" width="15.81640625" style="83" bestFit="1" customWidth="1"/>
    <col min="17" max="17" width="15.26953125" style="48" bestFit="1" customWidth="1"/>
    <col min="18" max="16384" width="9.1796875" style="1"/>
  </cols>
  <sheetData>
    <row r="1" spans="1:17" s="63" customFormat="1" ht="25" customHeight="1" x14ac:dyDescent="0.35">
      <c r="B1" s="64"/>
      <c r="C1" s="64"/>
      <c r="D1" s="65"/>
      <c r="E1" s="65"/>
      <c r="F1" s="129"/>
      <c r="G1" s="65"/>
      <c r="H1" s="65"/>
      <c r="I1" s="65"/>
      <c r="J1" s="65"/>
      <c r="K1" s="65"/>
      <c r="L1" s="65"/>
      <c r="M1" s="65"/>
      <c r="N1" s="65"/>
      <c r="O1" s="65"/>
      <c r="P1" s="65"/>
      <c r="Q1" s="67"/>
    </row>
    <row r="2" spans="1:17" s="68" customFormat="1" ht="20.100000000000001" customHeight="1" x14ac:dyDescent="0.35">
      <c r="B2" s="69"/>
      <c r="C2" s="69"/>
      <c r="D2" s="70"/>
      <c r="E2" s="70"/>
      <c r="F2" s="130"/>
      <c r="G2" s="70"/>
      <c r="H2" s="70"/>
      <c r="I2" s="70"/>
      <c r="J2" s="70"/>
      <c r="K2" s="70"/>
      <c r="L2" s="70"/>
      <c r="M2" s="70"/>
      <c r="N2" s="70"/>
      <c r="O2" s="70"/>
      <c r="P2" s="70"/>
      <c r="Q2" s="72"/>
    </row>
    <row r="3" spans="1:17" s="3" customFormat="1" ht="3.75" customHeight="1" x14ac:dyDescent="0.35">
      <c r="A3" s="73"/>
      <c r="B3" s="74"/>
      <c r="C3" s="74"/>
      <c r="D3" s="260" t="str">
        <f>Apoio!$BC$13</f>
        <v>Receitas_Operacionais</v>
      </c>
      <c r="E3" s="75"/>
      <c r="F3" s="131"/>
      <c r="G3" s="75"/>
      <c r="H3" s="75"/>
      <c r="I3" s="75"/>
      <c r="J3" s="75"/>
      <c r="K3" s="75"/>
      <c r="L3" s="75"/>
      <c r="M3" s="75"/>
      <c r="N3" s="75"/>
      <c r="O3" s="75"/>
      <c r="P3" s="75"/>
      <c r="Q3" s="87"/>
    </row>
    <row r="4" spans="1:17" s="137" customFormat="1" ht="22.05" customHeight="1" x14ac:dyDescent="0.35">
      <c r="B4" s="259" t="s">
        <v>1074</v>
      </c>
      <c r="C4" s="249" t="str">
        <f>IF(VLOOKUP(Apoio!$O$13,ANO[],2,0)="TOTAL ANO","*",VLOOKUP(Apoio!$O$13,ANO[],2,0))</f>
        <v>*</v>
      </c>
      <c r="D4" s="627" t="s">
        <v>1077</v>
      </c>
      <c r="E4" s="627"/>
      <c r="F4" s="627"/>
      <c r="G4" s="628" t="s">
        <v>1624</v>
      </c>
      <c r="H4" s="629"/>
      <c r="J4" s="77" t="s">
        <v>1078</v>
      </c>
      <c r="K4" s="267" t="s">
        <v>1624</v>
      </c>
      <c r="L4" s="78"/>
      <c r="M4" s="77"/>
    </row>
    <row r="5" spans="1:17" s="3" customFormat="1" ht="3.75" customHeight="1" x14ac:dyDescent="0.35">
      <c r="A5" s="73"/>
      <c r="B5" s="74"/>
      <c r="D5" s="75"/>
      <c r="E5" s="75"/>
      <c r="F5" s="131"/>
      <c r="G5" s="75"/>
      <c r="H5" s="75"/>
      <c r="I5" s="75"/>
      <c r="J5" s="75"/>
      <c r="K5" s="75"/>
      <c r="L5" s="78"/>
      <c r="M5" s="77"/>
      <c r="N5" s="75"/>
      <c r="O5" s="75"/>
      <c r="P5" s="75"/>
      <c r="Q5" s="87"/>
    </row>
    <row r="6" spans="1:17" s="77" customFormat="1" ht="22.05" customHeight="1" x14ac:dyDescent="0.35">
      <c r="B6" s="77" t="str">
        <f>Apoio!$BC$12</f>
        <v>RECEITAS OPERACIONAIS</v>
      </c>
      <c r="C6" s="3" t="str">
        <f>IF(VLOOKUP(Apoio!$O$7,EMPRESA[],2,0)="TOTAL EMPRESA","*",VLOOKUP(Apoio!$O$7,EMPRESA[],2,0))</f>
        <v>CENTRO CULTURAL FRANCO-BRASILEIRO ALIANCA FRANCESA DE GOIAS</v>
      </c>
      <c r="D6" s="269" t="str">
        <f>IF(VLOOKUP(Apoio!$O$8,CENTROS_CUSTOS[],2,0)="TOTAL CENTRO DE CUSTOS","*",VLOOKUP(Apoio!$O$8,CENTROS_CUSTOS[],2,0))</f>
        <v>*</v>
      </c>
      <c r="E6" s="79"/>
      <c r="F6" s="139"/>
      <c r="G6" s="140"/>
      <c r="H6" s="140"/>
      <c r="I6" s="141"/>
      <c r="J6" s="141"/>
      <c r="K6" s="142"/>
      <c r="L6" s="78"/>
    </row>
    <row r="7" spans="1:17" ht="33.799999999999997" customHeight="1" x14ac:dyDescent="0.35">
      <c r="B7" s="143">
        <f>VLOOKUP(Apoio!$O$14,Apoio!$V$5:$AJ$15,15,0)</f>
        <v>29488.57</v>
      </c>
      <c r="C7" s="626" t="str">
        <f>IFERROR("Esses R$"&amp;B7&amp;" representam "&amp;ROUND(Apoio!BD$14,1)&amp;"% do seu total de "&amp;Apoio!$BC$14,"")</f>
        <v>Esses R$29488,57 representam 90,1% do seu total de Receitas</v>
      </c>
      <c r="D7" s="626"/>
      <c r="E7" s="75"/>
      <c r="F7" s="144"/>
      <c r="G7" s="145"/>
      <c r="H7" s="145"/>
      <c r="I7" s="146"/>
      <c r="J7" s="146"/>
      <c r="K7" s="147"/>
    </row>
    <row r="8" spans="1:17" s="3" customFormat="1" ht="3.75" customHeight="1" x14ac:dyDescent="0.35">
      <c r="A8" s="73"/>
      <c r="B8" s="74"/>
      <c r="C8" s="74"/>
      <c r="D8" s="75"/>
      <c r="E8" s="76"/>
      <c r="F8" s="131"/>
      <c r="G8" s="75"/>
      <c r="H8" s="75"/>
      <c r="I8" s="76"/>
      <c r="J8" s="76"/>
      <c r="K8" s="75"/>
      <c r="L8" s="75"/>
      <c r="M8" s="75"/>
      <c r="N8" s="75"/>
      <c r="O8" s="75"/>
      <c r="P8" s="75"/>
      <c r="Q8" s="87"/>
    </row>
    <row r="9" spans="1:17" s="137" customFormat="1" ht="22.05" customHeight="1" x14ac:dyDescent="0.35">
      <c r="B9" s="137" t="str">
        <f>"Divisão percentual das "&amp;Apoio!$BC$14</f>
        <v>Divisão percentual das Receitas</v>
      </c>
      <c r="E9" s="83"/>
      <c r="G9" s="137" t="s">
        <v>1075</v>
      </c>
      <c r="H9" s="138"/>
      <c r="I9" s="83"/>
      <c r="J9" s="137" t="s">
        <v>1076</v>
      </c>
      <c r="L9" s="138"/>
    </row>
    <row r="10" spans="1:17" ht="36.950000000000003" customHeight="1" x14ac:dyDescent="0.35">
      <c r="B10" s="148"/>
      <c r="C10" s="149"/>
      <c r="D10" s="150"/>
      <c r="E10" s="79"/>
      <c r="F10" s="151">
        <v>1</v>
      </c>
      <c r="G10" s="152" t="str">
        <f>REL_DRE_FINANCEIRO!AC31</f>
        <v>MENSALIDADE</v>
      </c>
      <c r="H10" s="361">
        <f>REL_DRE_FINANCEIRO!AD31</f>
        <v>29488.57</v>
      </c>
      <c r="I10" s="79"/>
      <c r="J10" s="153"/>
      <c r="K10" s="154"/>
    </row>
    <row r="11" spans="1:17" ht="36.950000000000003" customHeight="1" x14ac:dyDescent="0.35">
      <c r="B11" s="155"/>
      <c r="D11" s="156"/>
      <c r="F11" s="151">
        <v>2</v>
      </c>
      <c r="G11" s="152" t="str">
        <f>REL_DRE_FINANCEIRO!AC32</f>
        <v>MATRICULA</v>
      </c>
      <c r="H11" s="361">
        <f>REL_DRE_FINANCEIRO!AD32</f>
        <v>0</v>
      </c>
      <c r="J11" s="157"/>
      <c r="K11" s="158"/>
    </row>
    <row r="12" spans="1:17" ht="36.950000000000003" customHeight="1" x14ac:dyDescent="0.35">
      <c r="B12" s="155"/>
      <c r="D12" s="156"/>
      <c r="F12" s="151">
        <v>3</v>
      </c>
      <c r="G12" s="152" t="str">
        <f>REL_DRE_FINANCEIRO!AC33</f>
        <v>-</v>
      </c>
      <c r="H12" s="361">
        <f>REL_DRE_FINANCEIRO!AD33</f>
        <v>0</v>
      </c>
      <c r="J12" s="157"/>
      <c r="K12" s="158"/>
    </row>
    <row r="13" spans="1:17" ht="36.950000000000003" customHeight="1" x14ac:dyDescent="0.35">
      <c r="B13" s="155"/>
      <c r="D13" s="156"/>
      <c r="F13" s="151">
        <v>4</v>
      </c>
      <c r="G13" s="152" t="str">
        <f>REL_DRE_FINANCEIRO!AC34</f>
        <v>-</v>
      </c>
      <c r="H13" s="361">
        <f>REL_DRE_FINANCEIRO!AD34</f>
        <v>0</v>
      </c>
      <c r="J13" s="157"/>
      <c r="K13" s="158"/>
    </row>
    <row r="14" spans="1:17" ht="36.950000000000003" customHeight="1" x14ac:dyDescent="0.35">
      <c r="B14" s="159"/>
      <c r="C14" s="160"/>
      <c r="D14" s="147"/>
      <c r="F14" s="151">
        <v>5</v>
      </c>
      <c r="G14" s="152" t="str">
        <f>REL_DRE_FINANCEIRO!AC35</f>
        <v>-</v>
      </c>
      <c r="H14" s="361">
        <f>REL_DRE_FINANCEIRO!AD35</f>
        <v>0</v>
      </c>
      <c r="J14" s="161"/>
      <c r="K14" s="162"/>
    </row>
  </sheetData>
  <sheetProtection sort="0" autoFilter="0" pivotTables="0"/>
  <mergeCells count="3">
    <mergeCell ref="C7:D7"/>
    <mergeCell ref="D4:F4"/>
    <mergeCell ref="G4:H4"/>
  </mergeCells>
  <dataValidations count="1">
    <dataValidation type="list" allowBlank="1" showInputMessage="1" showErrorMessage="1" sqref="G4 K4" xr:uid="{00000000-0002-0000-2400-000000000000}">
      <formula1>INDIRECT($D$3)</formula1>
    </dataValidation>
  </dataValidations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Drop Down 1">
              <controlPr defaultSize="0" autoLine="0" autoPict="0">
                <anchor moveWithCells="1">
                  <from>
                    <xdr:col>1</xdr:col>
                    <xdr:colOff>467068</xdr:colOff>
                    <xdr:row>3</xdr:row>
                    <xdr:rowOff>0</xdr:rowOff>
                  </from>
                  <to>
                    <xdr:col>1</xdr:col>
                    <xdr:colOff>2341917</xdr:colOff>
                    <xdr:row>3</xdr:row>
                    <xdr:rowOff>230245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Drop Down 3">
              <controlPr defaultSize="0" autoLine="0" autoPict="0">
                <anchor moveWithCells="1">
                  <from>
                    <xdr:col>1</xdr:col>
                    <xdr:colOff>2355073</xdr:colOff>
                    <xdr:row>3</xdr:row>
                    <xdr:rowOff>0</xdr:rowOff>
                  </from>
                  <to>
                    <xdr:col>2</xdr:col>
                    <xdr:colOff>677577</xdr:colOff>
                    <xdr:row>3</xdr:row>
                    <xdr:rowOff>230245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1</xdr:col>
                    <xdr:colOff>2506377</xdr:colOff>
                    <xdr:row>4</xdr:row>
                    <xdr:rowOff>19735</xdr:rowOff>
                  </from>
                  <to>
                    <xdr:col>3</xdr:col>
                    <xdr:colOff>447332</xdr:colOff>
                    <xdr:row>5</xdr:row>
                    <xdr:rowOff>197353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2</xdr:col>
                    <xdr:colOff>697312</xdr:colOff>
                    <xdr:row>3</xdr:row>
                    <xdr:rowOff>6578</xdr:rowOff>
                  </from>
                  <to>
                    <xdr:col>3</xdr:col>
                    <xdr:colOff>1170958</xdr:colOff>
                    <xdr:row>3</xdr:row>
                    <xdr:rowOff>236823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18">
    <tabColor rgb="FF7030A0"/>
  </sheetPr>
  <dimension ref="A1:L13"/>
  <sheetViews>
    <sheetView showGridLines="0" zoomScaleNormal="100" workbookViewId="0">
      <pane ySplit="2" topLeftCell="A3" activePane="bottomLeft" state="frozen"/>
      <selection activeCell="E8" sqref="E8"/>
      <selection pane="bottomLeft"/>
    </sheetView>
  </sheetViews>
  <sheetFormatPr defaultColWidth="9.1796875" defaultRowHeight="30.05" customHeight="1" x14ac:dyDescent="0.35"/>
  <cols>
    <col min="1" max="1" width="0.7265625" style="9" customWidth="1"/>
    <col min="2" max="2" width="24.7265625" style="10" customWidth="1"/>
    <col min="3" max="3" width="21" style="41" customWidth="1"/>
    <col min="4" max="4" width="2" customWidth="1"/>
    <col min="5" max="5" width="28.81640625" style="41" customWidth="1"/>
    <col min="6" max="6" width="16.7265625" style="41" customWidth="1"/>
    <col min="7" max="7" width="2" customWidth="1"/>
    <col min="8" max="8" width="28.81640625" style="41" customWidth="1"/>
    <col min="9" max="9" width="16.7265625" style="41" customWidth="1"/>
    <col min="10" max="10" width="2" customWidth="1"/>
    <col min="11" max="11" width="28.81640625" style="41" customWidth="1"/>
    <col min="12" max="12" width="16.7265625" style="41" customWidth="1"/>
    <col min="13" max="16384" width="9.1796875" style="9"/>
  </cols>
  <sheetData>
    <row r="1" spans="1:12" s="13" customFormat="1" ht="25" customHeight="1" x14ac:dyDescent="0.35">
      <c r="B1" s="31"/>
      <c r="C1" s="36"/>
      <c r="D1" s="36"/>
      <c r="E1" s="36"/>
      <c r="F1" s="36"/>
      <c r="G1" s="36"/>
      <c r="H1" s="36"/>
      <c r="I1" s="36"/>
      <c r="J1" s="36"/>
      <c r="K1" s="36"/>
      <c r="L1" s="36"/>
    </row>
    <row r="2" spans="1:12" s="16" customFormat="1" ht="20.100000000000001" customHeight="1" x14ac:dyDescent="0.35">
      <c r="B2" s="33"/>
      <c r="C2" s="37"/>
      <c r="D2" s="37"/>
      <c r="E2" s="37"/>
      <c r="F2" s="37"/>
      <c r="G2" s="37"/>
      <c r="H2" s="37"/>
      <c r="I2" s="37"/>
      <c r="J2" s="37"/>
      <c r="K2" s="37"/>
      <c r="L2" s="37"/>
    </row>
    <row r="3" spans="1:12" s="8" customFormat="1" ht="3.75" customHeight="1" x14ac:dyDescent="0.35">
      <c r="A3" s="7"/>
      <c r="B3" s="26"/>
      <c r="C3" s="38"/>
      <c r="D3"/>
      <c r="E3" s="38"/>
      <c r="F3" s="38"/>
      <c r="G3"/>
      <c r="H3" s="38"/>
      <c r="I3" s="38"/>
      <c r="J3"/>
      <c r="K3" s="38"/>
      <c r="L3" s="38"/>
    </row>
    <row r="4" spans="1:12" s="3" customFormat="1" ht="21.75" customHeight="1" x14ac:dyDescent="0.35">
      <c r="A4" s="73"/>
      <c r="B4" s="290" t="str">
        <f>IF(VLOOKUP(Apoio!$O$13,ANO[],2,0)="TOTAL ANO","*",VLOOKUP(Apoio!$O$13,ANO[],2,0))</f>
        <v>*</v>
      </c>
      <c r="C4" s="290" t="str">
        <f>IF(VLOOKUP(Apoio!$O$12,Mês[],2,0)="TOTAL MESES","*",VLOOKUP(Apoio!$O$12,Mês[],2,0))</f>
        <v>*</v>
      </c>
      <c r="D4" s="3" t="str">
        <f>IF(VLOOKUP(Apoio!$O$7,EMPRESA[],2,0)="TOTAL EMPRESA","*",VLOOKUP(Apoio!$O$7,EMPRESA[],2,0))</f>
        <v>CENTRO CULTURAL FRANCO-BRASILEIRO ALIANCA FRANCESA DE GOIAS</v>
      </c>
      <c r="E4" s="269" t="str">
        <f>IF(VLOOKUP(Apoio!$O$8,CENTROS_CUSTOS[],2,0)="TOTAL CENTRO DE CUSTOS","*",VLOOKUP(Apoio!$O$8,CENTROS_CUSTOS[],2,0))</f>
        <v>*</v>
      </c>
      <c r="F4" s="75"/>
      <c r="G4"/>
      <c r="J4"/>
    </row>
    <row r="5" spans="1:12" s="8" customFormat="1" ht="3.75" customHeight="1" x14ac:dyDescent="0.35">
      <c r="A5" s="7"/>
      <c r="B5" s="18"/>
      <c r="C5" s="95"/>
      <c r="D5" s="19"/>
      <c r="E5" s="19"/>
      <c r="F5" s="95"/>
      <c r="G5" s="19"/>
      <c r="H5" s="95"/>
      <c r="I5" s="95"/>
      <c r="J5" s="19"/>
      <c r="K5" s="95"/>
      <c r="L5" s="95"/>
    </row>
    <row r="6" spans="1:12" s="97" customFormat="1" ht="30.05" customHeight="1" x14ac:dyDescent="0.35">
      <c r="B6" s="97" t="s">
        <v>1079</v>
      </c>
      <c r="C6" s="357">
        <f>SUM(Apoio!BV5:BV7)</f>
        <v>32737.73</v>
      </c>
      <c r="D6"/>
      <c r="E6" s="248" t="str">
        <f>Apoio!$BU5</f>
        <v>RECEITAS OPERACIONAIS</v>
      </c>
      <c r="F6" s="211">
        <f>Apoio!$BV5</f>
        <v>29488.57</v>
      </c>
      <c r="G6"/>
      <c r="H6" s="248" t="str">
        <f>Apoio!$BU6</f>
        <v>RECEITAS NÃO OPERACIONAIS</v>
      </c>
      <c r="I6" s="211">
        <f>Apoio!$BV6</f>
        <v>0</v>
      </c>
      <c r="J6"/>
      <c r="K6" s="248" t="str">
        <f>Apoio!$BU7</f>
        <v>OUTROS CRÉDITOS (NÃO ENTRA NA DRE)</v>
      </c>
      <c r="L6" s="211">
        <f>Apoio!$BV7</f>
        <v>3249.16</v>
      </c>
    </row>
    <row r="7" spans="1:12" ht="33.950000000000003" customHeight="1" x14ac:dyDescent="0.35">
      <c r="B7" s="98"/>
      <c r="C7" s="99"/>
      <c r="E7" s="100" t="s">
        <v>1064</v>
      </c>
      <c r="F7" s="99"/>
      <c r="H7" s="101"/>
      <c r="I7" s="99"/>
      <c r="K7" s="101"/>
      <c r="L7" s="99"/>
    </row>
    <row r="8" spans="1:12" ht="33.950000000000003" customHeight="1" x14ac:dyDescent="0.35">
      <c r="B8" s="102"/>
      <c r="C8" s="103"/>
      <c r="E8" s="104"/>
      <c r="F8" s="103"/>
      <c r="H8" s="104"/>
      <c r="I8" s="103"/>
      <c r="K8" s="104"/>
      <c r="L8" s="103"/>
    </row>
    <row r="9" spans="1:12" ht="33.950000000000003" customHeight="1" x14ac:dyDescent="0.35">
      <c r="B9" s="102"/>
      <c r="C9" s="103"/>
      <c r="E9" s="104"/>
      <c r="F9" s="103"/>
      <c r="H9" s="104"/>
      <c r="I9" s="103"/>
      <c r="K9" s="104"/>
      <c r="L9" s="103"/>
    </row>
    <row r="10" spans="1:12" ht="33.950000000000003" customHeight="1" x14ac:dyDescent="0.35">
      <c r="B10" s="102"/>
      <c r="C10" s="103"/>
      <c r="E10" s="104"/>
      <c r="F10" s="103"/>
      <c r="H10" s="104"/>
      <c r="I10" s="103"/>
      <c r="K10" s="104"/>
      <c r="L10" s="103"/>
    </row>
    <row r="11" spans="1:12" ht="33.950000000000003" customHeight="1" x14ac:dyDescent="0.35">
      <c r="B11" s="102"/>
      <c r="C11" s="103"/>
      <c r="E11" s="104"/>
      <c r="F11" s="103"/>
      <c r="H11" s="104"/>
      <c r="I11" s="103"/>
      <c r="K11" s="104"/>
      <c r="L11" s="103"/>
    </row>
    <row r="12" spans="1:12" ht="33.950000000000003" customHeight="1" x14ac:dyDescent="0.35">
      <c r="B12" s="102"/>
      <c r="C12" s="103"/>
      <c r="E12" s="104"/>
      <c r="F12" s="103"/>
      <c r="H12" s="104"/>
      <c r="I12" s="103"/>
      <c r="K12" s="104"/>
      <c r="L12" s="103"/>
    </row>
    <row r="13" spans="1:12" ht="33.950000000000003" customHeight="1" x14ac:dyDescent="0.35">
      <c r="B13" s="105"/>
      <c r="C13" s="106"/>
      <c r="E13" s="107"/>
      <c r="F13" s="106"/>
      <c r="H13" s="107"/>
      <c r="I13" s="106"/>
      <c r="K13" s="107"/>
      <c r="L13" s="106"/>
    </row>
  </sheetData>
  <sheetProtection sort="0" autoFilter="0" pivotTables="0"/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Drop Down 1">
              <controlPr defaultSize="0" autoLine="0" autoPict="0">
                <anchor moveWithCells="1">
                  <from>
                    <xdr:col>1</xdr:col>
                    <xdr:colOff>901243</xdr:colOff>
                    <xdr:row>3</xdr:row>
                    <xdr:rowOff>6578</xdr:rowOff>
                  </from>
                  <to>
                    <xdr:col>2</xdr:col>
                    <xdr:colOff>92098</xdr:colOff>
                    <xdr:row>3</xdr:row>
                    <xdr:rowOff>236823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Drop Down 3">
              <controlPr defaultSize="0" autoLine="0" autoPict="0">
                <anchor moveWithCells="1">
                  <from>
                    <xdr:col>0</xdr:col>
                    <xdr:colOff>32892</xdr:colOff>
                    <xdr:row>3</xdr:row>
                    <xdr:rowOff>6578</xdr:rowOff>
                  </from>
                  <to>
                    <xdr:col>1</xdr:col>
                    <xdr:colOff>874929</xdr:colOff>
                    <xdr:row>3</xdr:row>
                    <xdr:rowOff>236823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6" name="Drop Down 4">
              <controlPr defaultSize="0" autoLine="0" autoPict="0">
                <anchor moveWithCells="1">
                  <from>
                    <xdr:col>3</xdr:col>
                    <xdr:colOff>72363</xdr:colOff>
                    <xdr:row>3</xdr:row>
                    <xdr:rowOff>19735</xdr:rowOff>
                  </from>
                  <to>
                    <xdr:col>4</xdr:col>
                    <xdr:colOff>1355154</xdr:colOff>
                    <xdr:row>3</xdr:row>
                    <xdr:rowOff>249980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7" name="Drop Down 5">
              <controlPr defaultSize="0" autoLine="0" autoPict="0">
                <anchor moveWithCells="1">
                  <from>
                    <xdr:col>2</xdr:col>
                    <xdr:colOff>111833</xdr:colOff>
                    <xdr:row>3</xdr:row>
                    <xdr:rowOff>6578</xdr:rowOff>
                  </from>
                  <to>
                    <xdr:col>3</xdr:col>
                    <xdr:colOff>59206</xdr:colOff>
                    <xdr:row>3</xdr:row>
                    <xdr:rowOff>236823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20">
    <tabColor rgb="FF7030A0"/>
  </sheetPr>
  <dimension ref="A1:AA17"/>
  <sheetViews>
    <sheetView showGridLines="0" zoomScaleNormal="100" zoomScaleSheetLayoutView="80" workbookViewId="0">
      <pane ySplit="2" topLeftCell="A3" activePane="bottomLeft" state="frozen"/>
      <selection activeCell="E8" sqref="E8"/>
      <selection pane="bottomLeft" activeCell="L2" sqref="L2"/>
    </sheetView>
  </sheetViews>
  <sheetFormatPr defaultColWidth="9.1796875" defaultRowHeight="30.05" customHeight="1" x14ac:dyDescent="0.35"/>
  <cols>
    <col min="1" max="1" width="0.7265625" style="9" customWidth="1"/>
    <col min="2" max="2" width="16.1796875" style="10" customWidth="1"/>
    <col min="3" max="3" width="15.81640625" style="41" customWidth="1"/>
    <col min="4" max="4" width="2" customWidth="1"/>
    <col min="5" max="5" width="22.7265625" style="41" customWidth="1"/>
    <col min="6" max="6" width="14.54296875" style="41" customWidth="1"/>
    <col min="7" max="7" width="2" customWidth="1"/>
    <col min="8" max="8" width="22.7265625" style="41" customWidth="1"/>
    <col min="9" max="9" width="14.54296875" style="41" customWidth="1"/>
    <col min="10" max="10" width="2" style="83" customWidth="1"/>
    <col min="11" max="11" width="22.7265625" style="41" customWidth="1"/>
    <col min="12" max="12" width="14.54296875" style="41" customWidth="1"/>
    <col min="13" max="13" width="2" customWidth="1"/>
    <col min="14" max="14" width="22.7265625" style="41" customWidth="1"/>
    <col min="15" max="15" width="14" style="41" customWidth="1"/>
    <col min="16" max="16384" width="9.1796875" style="9"/>
  </cols>
  <sheetData>
    <row r="1" spans="1:27" s="13" customFormat="1" ht="25" customHeight="1" x14ac:dyDescent="0.35">
      <c r="B1" s="31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</row>
    <row r="2" spans="1:27" s="16" customFormat="1" ht="20.100000000000001" customHeight="1" x14ac:dyDescent="0.35">
      <c r="B2" s="33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</row>
    <row r="3" spans="1:27" s="8" customFormat="1" ht="3.75" customHeight="1" x14ac:dyDescent="0.35">
      <c r="A3" s="7"/>
      <c r="B3" s="26"/>
      <c r="C3" s="38"/>
      <c r="D3"/>
      <c r="E3" s="38"/>
      <c r="F3" s="38"/>
      <c r="G3"/>
      <c r="H3" s="38"/>
      <c r="I3" s="38"/>
      <c r="J3" s="75"/>
      <c r="K3" s="38"/>
      <c r="L3" s="38"/>
      <c r="M3"/>
      <c r="N3" s="38"/>
      <c r="O3" s="38"/>
    </row>
    <row r="4" spans="1:27" s="3" customFormat="1" ht="21.75" customHeight="1" x14ac:dyDescent="0.35">
      <c r="A4" s="73"/>
      <c r="B4" s="290" t="str">
        <f>IF(VLOOKUP(Apoio!$O$13,ANO[],2,0)="TOTAL ANO","*",VLOOKUP(Apoio!$O$13,ANO[],2,0))</f>
        <v>*</v>
      </c>
      <c r="C4" s="290" t="str">
        <f>IF(VLOOKUP(Apoio!$O$12,Mês[],2,0)="TOTAL MESES","*",VLOOKUP(Apoio!$O$12,Mês[],2,0))</f>
        <v>*</v>
      </c>
      <c r="D4" s="3" t="str">
        <f>IF(VLOOKUP(Apoio!$O$7,EMPRESA[],2,0)="TOTAL EMPRESA","*",VLOOKUP(Apoio!$O$7,EMPRESA[],2,0))</f>
        <v>CENTRO CULTURAL FRANCO-BRASILEIRO ALIANCA FRANCESA DE GOIAS</v>
      </c>
      <c r="E4" s="269" t="str">
        <f>IF(VLOOKUP(Apoio!$O$8,CENTROS_CUSTOS[],2,0)="TOTAL CENTRO DE CUSTOS","*",VLOOKUP(Apoio!$O$8,CENTROS_CUSTOS[],2,0))</f>
        <v>*</v>
      </c>
      <c r="F4" s="286"/>
      <c r="G4"/>
      <c r="J4" s="94"/>
      <c r="M4"/>
      <c r="N4" s="75"/>
      <c r="O4" s="75"/>
    </row>
    <row r="5" spans="1:27" s="8" customFormat="1" ht="3.75" customHeight="1" x14ac:dyDescent="0.35">
      <c r="A5" s="7"/>
      <c r="B5" s="18"/>
      <c r="C5" s="95"/>
      <c r="D5" s="19"/>
      <c r="E5" s="19"/>
      <c r="F5" s="95"/>
      <c r="G5" s="19"/>
      <c r="H5" s="95"/>
      <c r="I5" s="95"/>
      <c r="J5" s="96"/>
      <c r="K5" s="95"/>
      <c r="L5" s="95"/>
      <c r="M5" s="19"/>
      <c r="N5" s="19"/>
      <c r="O5" s="95"/>
    </row>
    <row r="6" spans="1:27" s="97" customFormat="1" ht="30.05" customHeight="1" x14ac:dyDescent="0.35">
      <c r="B6" s="97" t="s">
        <v>1081</v>
      </c>
      <c r="C6" s="356">
        <f>SUM(Apoio!BV8:BV16)</f>
        <v>28741.18</v>
      </c>
      <c r="D6"/>
      <c r="E6" s="248" t="str">
        <f>Apoio!$BU8</f>
        <v>DESPESAS OPERACIONAIS</v>
      </c>
      <c r="F6" s="356">
        <f>Apoio!$BV8</f>
        <v>0</v>
      </c>
      <c r="G6"/>
      <c r="H6" s="248" t="str">
        <f>Apoio!$BU9</f>
        <v>DESPESAS ADMINISTRATIVAS</v>
      </c>
      <c r="I6" s="211">
        <f>Apoio!$BV9</f>
        <v>15124.569999999998</v>
      </c>
      <c r="J6"/>
      <c r="K6" s="248" t="str">
        <f>Apoio!$BU10</f>
        <v>DESPESAS COMERCIAIS</v>
      </c>
      <c r="L6" s="211">
        <f>Apoio!$BV10</f>
        <v>0</v>
      </c>
      <c r="M6"/>
      <c r="N6" s="248" t="str">
        <f>Apoio!$BU11</f>
        <v>DESPESAS COM RH</v>
      </c>
      <c r="O6" s="211">
        <f>Apoio!$BV11</f>
        <v>13616.61</v>
      </c>
    </row>
    <row r="7" spans="1:27" ht="33.950000000000003" customHeight="1" x14ac:dyDescent="0.35">
      <c r="B7" s="98"/>
      <c r="C7" s="99"/>
      <c r="E7" s="101"/>
      <c r="F7" s="99"/>
      <c r="H7" s="101"/>
      <c r="I7" s="99"/>
      <c r="K7" s="101"/>
      <c r="L7" s="99"/>
      <c r="N7" s="101"/>
      <c r="O7" s="99"/>
    </row>
    <row r="8" spans="1:27" ht="33.950000000000003" customHeight="1" x14ac:dyDescent="0.35">
      <c r="B8" s="102"/>
      <c r="C8" s="103"/>
      <c r="E8" s="104"/>
      <c r="F8" s="103"/>
      <c r="H8" s="104"/>
      <c r="I8" s="103"/>
      <c r="K8" s="104"/>
      <c r="L8" s="103"/>
      <c r="N8" s="104"/>
      <c r="O8" s="103"/>
    </row>
    <row r="9" spans="1:27" ht="33.950000000000003" customHeight="1" x14ac:dyDescent="0.35">
      <c r="B9" s="102"/>
      <c r="C9" s="103"/>
      <c r="E9" s="108"/>
      <c r="F9" s="109"/>
      <c r="H9" s="108"/>
      <c r="I9" s="109"/>
      <c r="K9" s="108"/>
      <c r="L9" s="109"/>
      <c r="N9" s="108"/>
      <c r="O9" s="109"/>
    </row>
    <row r="10" spans="1:27" s="97" customFormat="1" ht="30.05" customHeight="1" x14ac:dyDescent="0.35">
      <c r="B10" s="102"/>
      <c r="C10" s="103"/>
      <c r="D10"/>
      <c r="E10" s="248" t="str">
        <f>Apoio!$BU12</f>
        <v>DESPESAS NÃO OPERACIONAIS</v>
      </c>
      <c r="F10" s="211">
        <f>Apoio!$BV12</f>
        <v>0</v>
      </c>
      <c r="G10" s="248"/>
      <c r="H10" s="248" t="str">
        <f>Apoio!$BU13</f>
        <v>IMPOSTOS</v>
      </c>
      <c r="I10" s="211">
        <f>Apoio!$BV13</f>
        <v>0</v>
      </c>
      <c r="J10" s="248"/>
      <c r="K10" s="248" t="str">
        <f>Apoio!$BU14</f>
        <v>INVESTIMENTOS</v>
      </c>
      <c r="L10" s="211">
        <f>Apoio!$BV14</f>
        <v>0</v>
      </c>
      <c r="M10" s="248"/>
      <c r="N10" s="248" t="str">
        <f>Apoio!$BU15</f>
        <v>ENDIVIDAMENTOS</v>
      </c>
      <c r="O10" s="211">
        <f>Apoio!$BV15</f>
        <v>0</v>
      </c>
    </row>
    <row r="11" spans="1:27" ht="33.950000000000003" customHeight="1" x14ac:dyDescent="0.35">
      <c r="B11" s="102"/>
      <c r="C11" s="103"/>
      <c r="E11" s="101"/>
      <c r="F11" s="99"/>
      <c r="H11" s="101"/>
      <c r="I11" s="99"/>
      <c r="K11" s="101"/>
      <c r="L11" s="99"/>
      <c r="M11" s="83"/>
      <c r="N11" s="101"/>
      <c r="O11" s="99"/>
    </row>
    <row r="12" spans="1:27" ht="33.950000000000003" customHeight="1" x14ac:dyDescent="0.35">
      <c r="B12" s="102"/>
      <c r="C12" s="103"/>
      <c r="E12" s="104"/>
      <c r="F12" s="103"/>
      <c r="H12" s="104"/>
      <c r="I12" s="103"/>
      <c r="K12" s="104"/>
      <c r="L12" s="103"/>
      <c r="M12" s="83"/>
      <c r="N12" s="104"/>
      <c r="O12" s="103"/>
    </row>
    <row r="13" spans="1:27" ht="33.950000000000003" customHeight="1" x14ac:dyDescent="0.35">
      <c r="B13" s="105"/>
      <c r="C13" s="106"/>
      <c r="E13" s="108"/>
      <c r="F13" s="109"/>
      <c r="H13" s="108"/>
      <c r="I13" s="109"/>
      <c r="K13" s="108"/>
      <c r="L13" s="109"/>
      <c r="M13" s="83"/>
      <c r="N13" s="108"/>
      <c r="O13" s="109"/>
    </row>
    <row r="14" spans="1:27" s="97" customFormat="1" ht="30.05" customHeight="1" x14ac:dyDescent="0.35">
      <c r="B14" s="10"/>
      <c r="C14" s="41"/>
      <c r="D14"/>
      <c r="E14" s="248" t="str">
        <f>Apoio!$BU16</f>
        <v>OUTROS DÉBITOS (NÃO ENTRA NA DRE)</v>
      </c>
      <c r="F14" s="211">
        <f>Apoio!$BV16</f>
        <v>0</v>
      </c>
      <c r="I14" s="242"/>
      <c r="L14" s="242"/>
      <c r="O14" s="242"/>
    </row>
    <row r="15" spans="1:27" ht="33.950000000000003" customHeight="1" x14ac:dyDescent="0.35">
      <c r="E15" s="101"/>
      <c r="F15" s="99"/>
      <c r="J15" s="41"/>
      <c r="M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</row>
    <row r="16" spans="1:27" ht="33.950000000000003" customHeight="1" x14ac:dyDescent="0.35">
      <c r="E16" s="104"/>
      <c r="F16" s="103"/>
      <c r="J16" s="41"/>
      <c r="M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</row>
    <row r="17" spans="5:27" ht="33.950000000000003" customHeight="1" x14ac:dyDescent="0.35">
      <c r="E17" s="108"/>
      <c r="F17" s="109"/>
      <c r="J17" s="41"/>
      <c r="M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</row>
  </sheetData>
  <sheetProtection sort="0" autoFilter="0" pivotTables="0"/>
  <pageMargins left="0.511811024" right="0.511811024" top="0.78740157499999996" bottom="0.78740157499999996" header="0.31496062000000002" footer="0.31496062000000002"/>
  <pageSetup paperSize="9" scale="70" orientation="landscape" horizontalDpi="200" verticalDpi="200" r:id="rId1"/>
  <ignoredErrors>
    <ignoredError sqref="B4:C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>
                <anchor moveWithCells="1">
                  <from>
                    <xdr:col>1</xdr:col>
                    <xdr:colOff>927557</xdr:colOff>
                    <xdr:row>3</xdr:row>
                    <xdr:rowOff>39471</xdr:rowOff>
                  </from>
                  <to>
                    <xdr:col>2</xdr:col>
                    <xdr:colOff>730204</xdr:colOff>
                    <xdr:row>3</xdr:row>
                    <xdr:rowOff>269715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Drop Down 3">
              <controlPr defaultSize="0" autoLine="0" autoPict="0">
                <anchor moveWithCells="1">
                  <from>
                    <xdr:col>1</xdr:col>
                    <xdr:colOff>6578</xdr:colOff>
                    <xdr:row>3</xdr:row>
                    <xdr:rowOff>39471</xdr:rowOff>
                  </from>
                  <to>
                    <xdr:col>1</xdr:col>
                    <xdr:colOff>920978</xdr:colOff>
                    <xdr:row>3</xdr:row>
                    <xdr:rowOff>269715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Drop Down 4">
              <controlPr defaultSize="0" autoLine="0" autoPict="0">
                <anchor moveWithCells="1">
                  <from>
                    <xdr:col>4</xdr:col>
                    <xdr:colOff>920978</xdr:colOff>
                    <xdr:row>3</xdr:row>
                    <xdr:rowOff>39471</xdr:rowOff>
                  </from>
                  <to>
                    <xdr:col>5</xdr:col>
                    <xdr:colOff>756518</xdr:colOff>
                    <xdr:row>3</xdr:row>
                    <xdr:rowOff>269715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7" name="Drop Down 5">
              <controlPr defaultSize="0" autoLine="0" autoPict="0">
                <anchor moveWithCells="1">
                  <from>
                    <xdr:col>2</xdr:col>
                    <xdr:colOff>730204</xdr:colOff>
                    <xdr:row>3</xdr:row>
                    <xdr:rowOff>39471</xdr:rowOff>
                  </from>
                  <to>
                    <xdr:col>4</xdr:col>
                    <xdr:colOff>901243</xdr:colOff>
                    <xdr:row>3</xdr:row>
                    <xdr:rowOff>269715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1"/>
  <dimension ref="B2:EN143"/>
  <sheetViews>
    <sheetView showGridLines="0" topLeftCell="N1" zoomScaleNormal="100" workbookViewId="0">
      <selection activeCell="T5" sqref="T5"/>
    </sheetView>
  </sheetViews>
  <sheetFormatPr defaultColWidth="15.26953125" defaultRowHeight="15.05" customHeight="1" x14ac:dyDescent="0.35"/>
  <cols>
    <col min="1" max="10" width="15.26953125" style="9"/>
    <col min="11" max="12" width="15.26953125" style="210"/>
    <col min="13" max="15" width="15.26953125" style="9"/>
    <col min="16" max="16" width="15.26953125" style="20"/>
    <col min="17" max="17" width="15.26953125" style="9"/>
    <col min="18" max="22" width="15.26953125" style="11"/>
    <col min="23" max="23" width="15.26953125" style="213"/>
    <col min="24" max="31" width="15.26953125" style="11"/>
    <col min="32" max="36" width="15.26953125" style="9"/>
    <col min="37" max="47" width="15.26953125" style="11"/>
    <col min="48" max="50" width="15.26953125" style="9"/>
    <col min="51" max="51" width="15.26953125" style="11"/>
    <col min="52" max="53" width="15.26953125" style="9"/>
    <col min="54" max="55" width="15.26953125" style="11"/>
    <col min="56" max="56" width="15.26953125" style="9"/>
    <col min="57" max="57" width="15.26953125" style="10"/>
    <col min="58" max="69" width="15.26953125" style="9"/>
    <col min="70" max="70" width="15.26953125" style="213"/>
    <col min="71" max="73" width="15.26953125" style="11"/>
    <col min="74" max="74" width="15.26953125" style="9"/>
    <col min="75" max="76" width="15.26953125" style="11"/>
    <col min="77" max="115" width="15.26953125" style="9"/>
    <col min="116" max="116" width="12.1796875" style="9" bestFit="1" customWidth="1"/>
    <col min="117" max="126" width="12.1796875" style="9" customWidth="1"/>
    <col min="127" max="127" width="11.26953125" style="9" customWidth="1"/>
    <col min="128" max="128" width="2" style="9" customWidth="1"/>
    <col min="129" max="16384" width="15.26953125" style="9"/>
  </cols>
  <sheetData>
    <row r="2" spans="2:144" ht="29.05" x14ac:dyDescent="0.35">
      <c r="DI2" s="256" t="s">
        <v>1185</v>
      </c>
      <c r="DJ2" s="9" t="s">
        <v>2010</v>
      </c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256" t="s">
        <v>1185</v>
      </c>
      <c r="DZ2" s="9" t="s">
        <v>2010</v>
      </c>
      <c r="EA2" s="61"/>
      <c r="EB2" s="8"/>
      <c r="EC2" s="8"/>
      <c r="ED2" s="8"/>
      <c r="EE2" s="8"/>
    </row>
    <row r="3" spans="2:144" ht="15.05" customHeight="1" x14ac:dyDescent="0.35">
      <c r="V3" s="630" t="s">
        <v>1109</v>
      </c>
      <c r="W3" s="630"/>
      <c r="X3" s="630"/>
      <c r="Y3" s="630"/>
      <c r="Z3" s="630"/>
      <c r="AA3" s="630"/>
      <c r="AB3" s="630"/>
      <c r="AC3" s="630"/>
      <c r="AD3" s="630"/>
      <c r="AE3" s="630"/>
      <c r="AF3" s="630"/>
      <c r="AG3" s="630"/>
      <c r="AH3" s="630"/>
      <c r="AI3" s="630"/>
      <c r="AJ3" s="630"/>
      <c r="AL3" s="241" t="s">
        <v>1109</v>
      </c>
      <c r="AU3" s="9"/>
      <c r="AX3" s="11"/>
      <c r="AY3" s="9"/>
      <c r="BC3" s="9"/>
      <c r="BD3" s="10"/>
      <c r="BE3" s="9"/>
      <c r="BR3" s="9"/>
      <c r="BS3" s="280" t="s">
        <v>1171</v>
      </c>
      <c r="BU3" s="9"/>
      <c r="BX3" s="9"/>
      <c r="BY3"/>
      <c r="BZ3"/>
      <c r="CB3"/>
      <c r="CC3"/>
      <c r="CE3"/>
      <c r="CF3"/>
      <c r="CH3"/>
      <c r="CI3"/>
      <c r="CK3"/>
      <c r="CL3"/>
      <c r="CN3"/>
      <c r="CO3"/>
      <c r="CQ3"/>
      <c r="CR3"/>
      <c r="CT3"/>
      <c r="CU3"/>
      <c r="CW3"/>
      <c r="CX3"/>
      <c r="CZ3"/>
      <c r="DA3"/>
      <c r="DC3"/>
      <c r="DD3"/>
      <c r="DF3"/>
      <c r="DG3"/>
      <c r="DI3" s="62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2"/>
      <c r="DZ3" s="61"/>
      <c r="EA3" s="61"/>
      <c r="EB3" s="8"/>
      <c r="EC3" s="8"/>
      <c r="ED3" s="8"/>
      <c r="EE3" s="8"/>
    </row>
    <row r="4" spans="2:144" s="10" customFormat="1" ht="29.05" x14ac:dyDescent="0.35">
      <c r="B4" s="214" t="s">
        <v>1098</v>
      </c>
      <c r="C4" s="214" t="s">
        <v>1099</v>
      </c>
      <c r="D4" s="214" t="s">
        <v>1166</v>
      </c>
      <c r="F4" s="57" t="s">
        <v>1083</v>
      </c>
      <c r="G4" s="57" t="s">
        <v>1184</v>
      </c>
      <c r="I4" s="214" t="s">
        <v>1083</v>
      </c>
      <c r="J4" s="214" t="s">
        <v>2</v>
      </c>
      <c r="K4" s="252" t="s">
        <v>1096</v>
      </c>
      <c r="L4" s="252" t="s">
        <v>1097</v>
      </c>
      <c r="N4" s="250" t="s">
        <v>1100</v>
      </c>
      <c r="O4" s="250" t="s">
        <v>1101</v>
      </c>
      <c r="P4" s="250" t="s">
        <v>1082</v>
      </c>
      <c r="S4" s="630" t="s">
        <v>1109</v>
      </c>
      <c r="T4" s="630"/>
      <c r="X4" s="213" t="s">
        <v>1044</v>
      </c>
      <c r="Y4" s="213" t="s">
        <v>1045</v>
      </c>
      <c r="Z4" s="213" t="s">
        <v>1046</v>
      </c>
      <c r="AA4" s="213" t="s">
        <v>1047</v>
      </c>
      <c r="AB4" s="213" t="s">
        <v>1048</v>
      </c>
      <c r="AC4" s="213" t="s">
        <v>1049</v>
      </c>
      <c r="AD4" s="213" t="s">
        <v>1050</v>
      </c>
      <c r="AE4" s="213" t="s">
        <v>1051</v>
      </c>
      <c r="AF4" s="213" t="s">
        <v>1052</v>
      </c>
      <c r="AG4" s="213" t="s">
        <v>1053</v>
      </c>
      <c r="AH4" s="213" t="s">
        <v>1054</v>
      </c>
      <c r="AI4" s="213" t="s">
        <v>1055</v>
      </c>
      <c r="AJ4" s="213" t="s">
        <v>1063</v>
      </c>
      <c r="AL4" s="247" t="s">
        <v>1165</v>
      </c>
      <c r="AN4" s="630" t="s">
        <v>1113</v>
      </c>
      <c r="AO4" s="630"/>
      <c r="AP4" s="630"/>
      <c r="AQ4" s="630"/>
      <c r="AR4" s="630"/>
      <c r="AS4" s="630"/>
      <c r="AT4" s="630"/>
      <c r="AU4" s="630"/>
      <c r="AV4" s="630"/>
      <c r="AW4" s="630"/>
      <c r="AX4" s="630"/>
      <c r="AY4" s="630"/>
      <c r="AZ4" s="630"/>
      <c r="BA4" s="241"/>
      <c r="BC4" s="630" t="s">
        <v>1125</v>
      </c>
      <c r="BD4" s="630"/>
      <c r="BE4" s="630"/>
      <c r="BF4" s="630"/>
      <c r="BG4" s="630"/>
      <c r="BH4" s="630"/>
      <c r="BI4" s="630"/>
      <c r="BJ4" s="630"/>
      <c r="BK4" s="630"/>
      <c r="BL4" s="630"/>
      <c r="BM4" s="630"/>
      <c r="BN4" s="630"/>
      <c r="BO4" s="630"/>
      <c r="BP4" s="630"/>
      <c r="BQ4" s="630"/>
      <c r="BR4" s="630"/>
      <c r="BS4" s="630"/>
      <c r="BU4" s="630" t="s">
        <v>1116</v>
      </c>
      <c r="BV4" s="630"/>
      <c r="BY4" s="254" t="s">
        <v>1218</v>
      </c>
      <c r="BZ4" t="s">
        <v>1103</v>
      </c>
      <c r="CB4" s="254" t="s">
        <v>1218</v>
      </c>
      <c r="CC4" t="s">
        <v>1080</v>
      </c>
      <c r="CE4" s="254" t="s">
        <v>1218</v>
      </c>
      <c r="CF4" t="s">
        <v>1441</v>
      </c>
      <c r="CH4" s="254" t="s">
        <v>1218</v>
      </c>
      <c r="CI4" t="s">
        <v>1213</v>
      </c>
      <c r="CK4" s="254" t="s">
        <v>1218</v>
      </c>
      <c r="CL4" t="s">
        <v>1144</v>
      </c>
      <c r="CN4" s="254" t="s">
        <v>1218</v>
      </c>
      <c r="CO4" t="s">
        <v>1145</v>
      </c>
      <c r="CQ4" s="254" t="s">
        <v>1218</v>
      </c>
      <c r="CR4" t="s">
        <v>228</v>
      </c>
      <c r="CT4" s="254" t="s">
        <v>1218</v>
      </c>
      <c r="CU4" t="s">
        <v>227</v>
      </c>
      <c r="CW4" s="254" t="s">
        <v>1218</v>
      </c>
      <c r="CX4" t="s">
        <v>229</v>
      </c>
      <c r="CZ4" s="254" t="s">
        <v>1218</v>
      </c>
      <c r="DA4" t="s">
        <v>230</v>
      </c>
      <c r="DC4" s="254" t="s">
        <v>1218</v>
      </c>
      <c r="DD4" t="s">
        <v>1440</v>
      </c>
      <c r="DF4" s="254" t="s">
        <v>1218</v>
      </c>
      <c r="DG4" t="s">
        <v>1442</v>
      </c>
      <c r="DI4" s="9"/>
      <c r="DJ4" s="256" t="s">
        <v>1538</v>
      </c>
      <c r="DK4" s="9"/>
      <c r="DL4" s="9"/>
      <c r="DM4" s="9"/>
      <c r="DN4"/>
      <c r="DO4"/>
      <c r="DP4"/>
      <c r="DQ4"/>
      <c r="DR4"/>
      <c r="DS4"/>
      <c r="DT4"/>
      <c r="DU4"/>
      <c r="DV4"/>
      <c r="DW4"/>
      <c r="DX4"/>
      <c r="DY4" s="9"/>
      <c r="DZ4" s="256" t="s">
        <v>1538</v>
      </c>
      <c r="EA4" s="9"/>
      <c r="EB4" s="9"/>
      <c r="EC4" s="9"/>
      <c r="ED4"/>
      <c r="EE4"/>
      <c r="EF4"/>
      <c r="EG4"/>
      <c r="EH4"/>
      <c r="EI4"/>
      <c r="EJ4"/>
      <c r="EK4"/>
      <c r="EL4"/>
      <c r="EM4"/>
      <c r="EN4"/>
    </row>
    <row r="5" spans="2:144" ht="29.05" x14ac:dyDescent="0.35">
      <c r="B5" s="284">
        <v>1</v>
      </c>
      <c r="C5" s="285" t="s">
        <v>1198</v>
      </c>
      <c r="F5" s="10">
        <v>1</v>
      </c>
      <c r="G5" s="10" t="s">
        <v>1197</v>
      </c>
      <c r="I5" s="10">
        <v>1</v>
      </c>
      <c r="J5" s="217" t="s">
        <v>1103</v>
      </c>
      <c r="K5" s="251" t="s">
        <v>1225</v>
      </c>
      <c r="L5" s="251" t="s">
        <v>1041</v>
      </c>
      <c r="N5" s="221" t="s">
        <v>1172</v>
      </c>
      <c r="O5" s="222">
        <v>1</v>
      </c>
      <c r="P5" s="221" t="str">
        <f>VLOOKUP($O5,Mês[],2,0)</f>
        <v>TOTAL MESES</v>
      </c>
      <c r="R5" s="9"/>
      <c r="S5" s="223" t="s">
        <v>4</v>
      </c>
      <c r="T5" s="11">
        <f>IF($O$12=1,'REL_FC'!O8,INDEX('REL_FC'!B8:O8,1,$O$12))</f>
        <v>32737.730000000003</v>
      </c>
      <c r="U5" s="9"/>
      <c r="V5" s="10">
        <v>1</v>
      </c>
      <c r="W5" s="9" t="str">
        <f t="shared" ref="W5:W16" si="0">J5</f>
        <v>RECEITAS OPERACIONAIS</v>
      </c>
      <c r="X5" s="11">
        <f>SUMIFS(LANÇ_MOV[VALOR LÍQUIDO],LANÇ_MOV[PLANO DE CONTAS],Apoio!$W5,LANÇ_MOV[MÊS PAGAMENTO CORRESPONDENTE],Apoio!X$4,LANÇ_MOV[ANO PAGAMENTO],DASH_MENSAL!$B$4,LANÇ_MOV[EMPRESA],DASH_MENSAL!$D$4,LANÇ_MOV[CENTRO DE CUSTOS],DASH_MENSAL!$E$4)</f>
        <v>0</v>
      </c>
      <c r="Y5" s="11">
        <f>SUMIFS(LANÇ_MOV[VALOR LÍQUIDO],LANÇ_MOV[PLANO DE CONTAS],Apoio!$W5,LANÇ_MOV[MÊS PAGAMENTO CORRESPONDENTE],Apoio!Y$4,LANÇ_MOV[ANO PAGAMENTO],DASH_MENSAL!$B$4,LANÇ_MOV[EMPRESA],DASH_MENSAL!$D$4,LANÇ_MOV[CENTRO DE CUSTOS],DASH_MENSAL!$E$4)</f>
        <v>0</v>
      </c>
      <c r="Z5" s="11">
        <f>SUMIFS(LANÇ_MOV[VALOR LÍQUIDO],LANÇ_MOV[PLANO DE CONTAS],Apoio!$W5,LANÇ_MOV[MÊS PAGAMENTO CORRESPONDENTE],Apoio!Z$4,LANÇ_MOV[ANO PAGAMENTO],DASH_MENSAL!$B$4,LANÇ_MOV[EMPRESA],DASH_MENSAL!$D$4,LANÇ_MOV[CENTRO DE CUSTOS],DASH_MENSAL!$E$4)</f>
        <v>0</v>
      </c>
      <c r="AA5" s="11">
        <f>SUMIFS(LANÇ_MOV[VALOR LÍQUIDO],LANÇ_MOV[PLANO DE CONTAS],Apoio!$W5,LANÇ_MOV[MÊS PAGAMENTO CORRESPONDENTE],Apoio!AA$4,LANÇ_MOV[ANO PAGAMENTO],DASH_MENSAL!$B$4,LANÇ_MOV[EMPRESA],DASH_MENSAL!$D$4,LANÇ_MOV[CENTRO DE CUSTOS],DASH_MENSAL!$E$4)</f>
        <v>0</v>
      </c>
      <c r="AB5" s="11">
        <f>SUMIFS(LANÇ_MOV[VALOR LÍQUIDO],LANÇ_MOV[PLANO DE CONTAS],Apoio!$W5,LANÇ_MOV[MÊS PAGAMENTO CORRESPONDENTE],Apoio!AB$4,LANÇ_MOV[ANO PAGAMENTO],DASH_MENSAL!$B$4,LANÇ_MOV[EMPRESA],DASH_MENSAL!$D$4,LANÇ_MOV[CENTRO DE CUSTOS],DASH_MENSAL!$E$4)</f>
        <v>0</v>
      </c>
      <c r="AC5" s="11">
        <f>SUMIFS(LANÇ_MOV[VALOR LÍQUIDO],LANÇ_MOV[PLANO DE CONTAS],Apoio!$W5,LANÇ_MOV[MÊS PAGAMENTO CORRESPONDENTE],Apoio!AC$4,LANÇ_MOV[ANO PAGAMENTO],DASH_MENSAL!$B$4,LANÇ_MOV[EMPRESA],DASH_MENSAL!$D$4,LANÇ_MOV[CENTRO DE CUSTOS],DASH_MENSAL!$E$4)</f>
        <v>0</v>
      </c>
      <c r="AD5" s="11">
        <f>SUMIFS(LANÇ_MOV[VALOR LÍQUIDO],LANÇ_MOV[PLANO DE CONTAS],Apoio!$W5,LANÇ_MOV[MÊS PAGAMENTO CORRESPONDENTE],Apoio!AD$4,LANÇ_MOV[ANO PAGAMENTO],DASH_MENSAL!$B$4,LANÇ_MOV[EMPRESA],DASH_MENSAL!$D$4,LANÇ_MOV[CENTRO DE CUSTOS],DASH_MENSAL!$E$4)</f>
        <v>0</v>
      </c>
      <c r="AE5" s="11">
        <f>SUMIFS(LANÇ_MOV[VALOR LÍQUIDO],LANÇ_MOV[PLANO DE CONTAS],Apoio!$W5,LANÇ_MOV[MÊS PAGAMENTO CORRESPONDENTE],Apoio!AE$4,LANÇ_MOV[ANO PAGAMENTO],DASH_MENSAL!$B$4,LANÇ_MOV[EMPRESA],DASH_MENSAL!$D$4,LANÇ_MOV[CENTRO DE CUSTOS],DASH_MENSAL!$E$4)</f>
        <v>0</v>
      </c>
      <c r="AF5" s="11">
        <f>SUMIFS(LANÇ_MOV[VALOR LÍQUIDO],LANÇ_MOV[PLANO DE CONTAS],Apoio!$W5,LANÇ_MOV[MÊS PAGAMENTO CORRESPONDENTE],Apoio!AF$4,LANÇ_MOV[ANO PAGAMENTO],DASH_MENSAL!$B$4,LANÇ_MOV[EMPRESA],DASH_MENSAL!$D$4,LANÇ_MOV[CENTRO DE CUSTOS],DASH_MENSAL!$E$4)</f>
        <v>0</v>
      </c>
      <c r="AG5" s="11">
        <f>SUMIFS(LANÇ_MOV[VALOR LÍQUIDO],LANÇ_MOV[PLANO DE CONTAS],Apoio!$W5,LANÇ_MOV[MÊS PAGAMENTO CORRESPONDENTE],Apoio!AG$4,LANÇ_MOV[ANO PAGAMENTO],DASH_MENSAL!$B$4,LANÇ_MOV[EMPRESA],DASH_MENSAL!$D$4,LANÇ_MOV[CENTRO DE CUSTOS],DASH_MENSAL!$E$4)</f>
        <v>22067.45</v>
      </c>
      <c r="AH5" s="11">
        <f>SUMIFS(LANÇ_MOV[VALOR LÍQUIDO],LANÇ_MOV[PLANO DE CONTAS],Apoio!$W5,LANÇ_MOV[MÊS PAGAMENTO CORRESPONDENTE],Apoio!AH$4,LANÇ_MOV[ANO PAGAMENTO],DASH_MENSAL!$B$4,LANÇ_MOV[EMPRESA],DASH_MENSAL!$D$4,LANÇ_MOV[CENTRO DE CUSTOS],DASH_MENSAL!$E$4)</f>
        <v>7421.12</v>
      </c>
      <c r="AI5" s="11">
        <f>SUMIFS(LANÇ_MOV[VALOR LÍQUIDO],LANÇ_MOV[PLANO DE CONTAS],Apoio!$W5,LANÇ_MOV[MÊS PAGAMENTO CORRESPONDENTE],Apoio!AI$4,LANÇ_MOV[ANO PAGAMENTO],DASH_MENSAL!$B$4,LANÇ_MOV[EMPRESA],DASH_MENSAL!$D$4,LANÇ_MOV[CENTRO DE CUSTOS],DASH_MENSAL!$E$4)</f>
        <v>0</v>
      </c>
      <c r="AJ5" s="11">
        <f>SUM(X5:AI5)</f>
        <v>29488.57</v>
      </c>
      <c r="AK5" s="9"/>
      <c r="AL5" s="11">
        <f t="shared" ref="AL5:AL16" si="1">IF($O$12=1,AJ5,INDEX(W5:AJ5,1,$O$12))</f>
        <v>29488.57</v>
      </c>
      <c r="AM5" s="9"/>
      <c r="AN5" s="9" t="s">
        <v>1201</v>
      </c>
      <c r="AO5" s="223" t="str">
        <f>IF(AP5=1,"Receita",IF(AP5=2,"Despesa","Lucro / Prejuízo"))</f>
        <v>Receita</v>
      </c>
      <c r="AP5" s="224">
        <v>1</v>
      </c>
      <c r="AQ5" s="224">
        <f>IF(AP5=1,AP5,IF(AP5=2,AP5+3,9))</f>
        <v>1</v>
      </c>
      <c r="AV5" s="11"/>
      <c r="AW5" s="11"/>
      <c r="AX5" s="11"/>
      <c r="AZ5" s="11"/>
      <c r="BA5" s="11"/>
      <c r="BB5" s="9"/>
      <c r="BC5" s="245" t="s">
        <v>1162</v>
      </c>
      <c r="BD5" s="10"/>
      <c r="BE5" s="10">
        <v>1</v>
      </c>
      <c r="BF5" s="10">
        <v>2</v>
      </c>
      <c r="BG5" s="10">
        <v>3</v>
      </c>
      <c r="BH5" s="10">
        <v>4</v>
      </c>
      <c r="BI5" s="10">
        <v>5</v>
      </c>
      <c r="BJ5" s="10">
        <v>6</v>
      </c>
      <c r="BK5" s="10">
        <v>7</v>
      </c>
      <c r="BL5" s="10">
        <v>8</v>
      </c>
      <c r="BM5" s="10">
        <v>9</v>
      </c>
      <c r="BN5" s="10">
        <v>10</v>
      </c>
      <c r="BO5" s="10">
        <v>11</v>
      </c>
      <c r="BP5" s="10">
        <v>12</v>
      </c>
      <c r="BQ5" s="10"/>
      <c r="BR5" s="9" t="str">
        <f t="shared" ref="BR5:BR16" si="2">J5</f>
        <v>RECEITAS OPERACIONAIS</v>
      </c>
      <c r="BS5" s="224">
        <f>MATCH(W5,REL_DRE_FINANCEIRO!$B$30:$B$1264,0)</f>
        <v>1</v>
      </c>
      <c r="BT5" s="9"/>
      <c r="BU5" s="9" t="str">
        <f>W5</f>
        <v>RECEITAS OPERACIONAIS</v>
      </c>
      <c r="BV5" s="11">
        <f t="shared" ref="BV5:BV16" si="3">IF($O$12=1,AJ5,INDEX(W5:AJ5,1,$O$12))</f>
        <v>29488.57</v>
      </c>
      <c r="BW5" s="9"/>
      <c r="BX5" s="9"/>
      <c r="DK5" s="9" t="s">
        <v>1093</v>
      </c>
      <c r="DL5" s="9" t="s">
        <v>1094</v>
      </c>
      <c r="DM5" s="10" t="s">
        <v>1167</v>
      </c>
      <c r="DN5"/>
      <c r="DO5"/>
      <c r="DP5"/>
      <c r="DQ5"/>
      <c r="DR5"/>
      <c r="DS5"/>
      <c r="DT5"/>
      <c r="DU5"/>
      <c r="DV5"/>
      <c r="DW5"/>
      <c r="DX5"/>
      <c r="EA5" s="9" t="s">
        <v>1093</v>
      </c>
      <c r="EB5" s="9" t="s">
        <v>1094</v>
      </c>
      <c r="EC5" s="10" t="s">
        <v>1167</v>
      </c>
      <c r="ED5"/>
      <c r="EE5"/>
      <c r="EF5"/>
      <c r="EG5"/>
      <c r="EH5"/>
      <c r="EI5"/>
      <c r="EJ5"/>
      <c r="EK5"/>
      <c r="EL5"/>
      <c r="EM5"/>
      <c r="EN5"/>
    </row>
    <row r="6" spans="2:144" ht="29.05" x14ac:dyDescent="0.35">
      <c r="B6" s="215">
        <v>2</v>
      </c>
      <c r="C6" s="216" t="s">
        <v>1044</v>
      </c>
      <c r="D6" s="9" t="s">
        <v>6</v>
      </c>
      <c r="F6" s="10">
        <v>2</v>
      </c>
      <c r="G6" s="10" t="str">
        <f t="shared" ref="G6:G17" si="4">N21</f>
        <v>2025</v>
      </c>
      <c r="I6" s="10">
        <v>2</v>
      </c>
      <c r="J6" s="217" t="s">
        <v>1080</v>
      </c>
      <c r="K6" s="251" t="s">
        <v>1226</v>
      </c>
      <c r="L6" s="251" t="s">
        <v>1041</v>
      </c>
      <c r="N6" s="227" t="s">
        <v>1173</v>
      </c>
      <c r="O6" s="228">
        <v>1</v>
      </c>
      <c r="P6" s="227" t="str">
        <f>VLOOKUP($O6,Mês[],2,0)</f>
        <v>TOTAL MESES</v>
      </c>
      <c r="R6" s="9"/>
      <c r="S6" s="223" t="s">
        <v>5</v>
      </c>
      <c r="T6" s="11">
        <f>IF($O$12=1,'REL_FC'!O10,INDEX('REL_FC'!B10:O10,1,$O$12))</f>
        <v>28741.18</v>
      </c>
      <c r="U6" s="9"/>
      <c r="V6" s="10">
        <v>2</v>
      </c>
      <c r="W6" s="9" t="str">
        <f t="shared" si="0"/>
        <v>RECEITAS NÃO OPERACIONAIS</v>
      </c>
      <c r="X6" s="11">
        <f>SUMIFS(LANÇ_MOV[VALOR LÍQUIDO],LANÇ_MOV[PLANO DE CONTAS],Apoio!$W6,LANÇ_MOV[MÊS PAGAMENTO CORRESPONDENTE],Apoio!X$4,LANÇ_MOV[ANO PAGAMENTO],DASH_MENSAL!$B$4,LANÇ_MOV[EMPRESA],DASH_MENSAL!$D$4,LANÇ_MOV[CENTRO DE CUSTOS],DASH_MENSAL!$E$4)</f>
        <v>0</v>
      </c>
      <c r="Y6" s="11">
        <f>SUMIFS(LANÇ_MOV[VALOR LÍQUIDO],LANÇ_MOV[PLANO DE CONTAS],Apoio!$W6,LANÇ_MOV[MÊS PAGAMENTO CORRESPONDENTE],Apoio!Y$4,LANÇ_MOV[ANO PAGAMENTO],DASH_MENSAL!$B$4,LANÇ_MOV[EMPRESA],DASH_MENSAL!$D$4,LANÇ_MOV[CENTRO DE CUSTOS],DASH_MENSAL!$E$4)</f>
        <v>0</v>
      </c>
      <c r="Z6" s="11">
        <f>SUMIFS(LANÇ_MOV[VALOR LÍQUIDO],LANÇ_MOV[PLANO DE CONTAS],Apoio!$W6,LANÇ_MOV[MÊS PAGAMENTO CORRESPONDENTE],Apoio!Z$4,LANÇ_MOV[ANO PAGAMENTO],DASH_MENSAL!$B$4,LANÇ_MOV[EMPRESA],DASH_MENSAL!$D$4,LANÇ_MOV[CENTRO DE CUSTOS],DASH_MENSAL!$E$4)</f>
        <v>0</v>
      </c>
      <c r="AA6" s="11">
        <f>SUMIFS(LANÇ_MOV[VALOR LÍQUIDO],LANÇ_MOV[PLANO DE CONTAS],Apoio!$W6,LANÇ_MOV[MÊS PAGAMENTO CORRESPONDENTE],Apoio!AA$4,LANÇ_MOV[ANO PAGAMENTO],DASH_MENSAL!$B$4,LANÇ_MOV[EMPRESA],DASH_MENSAL!$D$4,LANÇ_MOV[CENTRO DE CUSTOS],DASH_MENSAL!$E$4)</f>
        <v>0</v>
      </c>
      <c r="AB6" s="11">
        <f>SUMIFS(LANÇ_MOV[VALOR LÍQUIDO],LANÇ_MOV[PLANO DE CONTAS],Apoio!$W6,LANÇ_MOV[MÊS PAGAMENTO CORRESPONDENTE],Apoio!AB$4,LANÇ_MOV[ANO PAGAMENTO],DASH_MENSAL!$B$4,LANÇ_MOV[EMPRESA],DASH_MENSAL!$D$4,LANÇ_MOV[CENTRO DE CUSTOS],DASH_MENSAL!$E$4)</f>
        <v>0</v>
      </c>
      <c r="AC6" s="11">
        <f>SUMIFS(LANÇ_MOV[VALOR LÍQUIDO],LANÇ_MOV[PLANO DE CONTAS],Apoio!$W6,LANÇ_MOV[MÊS PAGAMENTO CORRESPONDENTE],Apoio!AC$4,LANÇ_MOV[ANO PAGAMENTO],DASH_MENSAL!$B$4,LANÇ_MOV[EMPRESA],DASH_MENSAL!$D$4,LANÇ_MOV[CENTRO DE CUSTOS],DASH_MENSAL!$E$4)</f>
        <v>0</v>
      </c>
      <c r="AD6" s="11">
        <f>SUMIFS(LANÇ_MOV[VALOR LÍQUIDO],LANÇ_MOV[PLANO DE CONTAS],Apoio!$W6,LANÇ_MOV[MÊS PAGAMENTO CORRESPONDENTE],Apoio!AD$4,LANÇ_MOV[ANO PAGAMENTO],DASH_MENSAL!$B$4,LANÇ_MOV[EMPRESA],DASH_MENSAL!$D$4,LANÇ_MOV[CENTRO DE CUSTOS],DASH_MENSAL!$E$4)</f>
        <v>0</v>
      </c>
      <c r="AE6" s="11">
        <f>SUMIFS(LANÇ_MOV[VALOR LÍQUIDO],LANÇ_MOV[PLANO DE CONTAS],Apoio!$W6,LANÇ_MOV[MÊS PAGAMENTO CORRESPONDENTE],Apoio!AE$4,LANÇ_MOV[ANO PAGAMENTO],DASH_MENSAL!$B$4,LANÇ_MOV[EMPRESA],DASH_MENSAL!$D$4,LANÇ_MOV[CENTRO DE CUSTOS],DASH_MENSAL!$E$4)</f>
        <v>0</v>
      </c>
      <c r="AF6" s="11">
        <f>SUMIFS(LANÇ_MOV[VALOR LÍQUIDO],LANÇ_MOV[PLANO DE CONTAS],Apoio!$W6,LANÇ_MOV[MÊS PAGAMENTO CORRESPONDENTE],Apoio!AF$4,LANÇ_MOV[ANO PAGAMENTO],DASH_MENSAL!$B$4,LANÇ_MOV[EMPRESA],DASH_MENSAL!$D$4,LANÇ_MOV[CENTRO DE CUSTOS],DASH_MENSAL!$E$4)</f>
        <v>0</v>
      </c>
      <c r="AG6" s="11">
        <f>SUMIFS(LANÇ_MOV[VALOR LÍQUIDO],LANÇ_MOV[PLANO DE CONTAS],Apoio!$W6,LANÇ_MOV[MÊS PAGAMENTO CORRESPONDENTE],Apoio!AG$4,LANÇ_MOV[ANO PAGAMENTO],DASH_MENSAL!$B$4,LANÇ_MOV[EMPRESA],DASH_MENSAL!$D$4,LANÇ_MOV[CENTRO DE CUSTOS],DASH_MENSAL!$E$4)</f>
        <v>0</v>
      </c>
      <c r="AH6" s="11">
        <f>SUMIFS(LANÇ_MOV[VALOR LÍQUIDO],LANÇ_MOV[PLANO DE CONTAS],Apoio!$W6,LANÇ_MOV[MÊS PAGAMENTO CORRESPONDENTE],Apoio!AH$4,LANÇ_MOV[ANO PAGAMENTO],DASH_MENSAL!$B$4,LANÇ_MOV[EMPRESA],DASH_MENSAL!$D$4,LANÇ_MOV[CENTRO DE CUSTOS],DASH_MENSAL!$E$4)</f>
        <v>0</v>
      </c>
      <c r="AI6" s="11">
        <f>SUMIFS(LANÇ_MOV[VALOR LÍQUIDO],LANÇ_MOV[PLANO DE CONTAS],Apoio!$W6,LANÇ_MOV[MÊS PAGAMENTO CORRESPONDENTE],Apoio!AI$4,LANÇ_MOV[ANO PAGAMENTO],DASH_MENSAL!$B$4,LANÇ_MOV[EMPRESA],DASH_MENSAL!$D$4,LANÇ_MOV[CENTRO DE CUSTOS],DASH_MENSAL!$E$4)</f>
        <v>0</v>
      </c>
      <c r="AJ6" s="11">
        <f t="shared" ref="AJ6:AJ16" si="5">SUM(X6:AI6)</f>
        <v>0</v>
      </c>
      <c r="AK6" s="9"/>
      <c r="AL6" s="11">
        <f t="shared" si="1"/>
        <v>0</v>
      </c>
      <c r="AM6" s="9"/>
      <c r="AN6" s="9"/>
      <c r="AO6" s="229">
        <v>1</v>
      </c>
      <c r="AP6" s="229">
        <v>2</v>
      </c>
      <c r="AQ6" s="229">
        <v>3</v>
      </c>
      <c r="AR6" s="229">
        <v>4</v>
      </c>
      <c r="AS6" s="229">
        <v>5</v>
      </c>
      <c r="AT6" s="229">
        <v>6</v>
      </c>
      <c r="AU6" s="229">
        <v>7</v>
      </c>
      <c r="AV6" s="229">
        <v>8</v>
      </c>
      <c r="AW6" s="229">
        <v>9</v>
      </c>
      <c r="AX6" s="229">
        <v>10</v>
      </c>
      <c r="AY6" s="229">
        <v>11</v>
      </c>
      <c r="AZ6" s="229">
        <v>12</v>
      </c>
      <c r="BA6" s="229"/>
      <c r="BB6" s="9"/>
      <c r="BC6" s="9"/>
      <c r="BD6" s="10"/>
      <c r="BE6" s="10" t="s">
        <v>1044</v>
      </c>
      <c r="BF6" s="10" t="s">
        <v>1045</v>
      </c>
      <c r="BG6" s="10" t="s">
        <v>1046</v>
      </c>
      <c r="BH6" s="10" t="s">
        <v>1047</v>
      </c>
      <c r="BI6" s="10" t="s">
        <v>1048</v>
      </c>
      <c r="BJ6" s="10" t="s">
        <v>1049</v>
      </c>
      <c r="BK6" s="10" t="s">
        <v>1050</v>
      </c>
      <c r="BL6" s="10" t="s">
        <v>1051</v>
      </c>
      <c r="BM6" s="10" t="s">
        <v>1052</v>
      </c>
      <c r="BN6" s="10" t="s">
        <v>1053</v>
      </c>
      <c r="BO6" s="10" t="s">
        <v>1054</v>
      </c>
      <c r="BP6" s="10" t="s">
        <v>1055</v>
      </c>
      <c r="BQ6" s="10"/>
      <c r="BR6" s="9" t="str">
        <f t="shared" si="2"/>
        <v>RECEITAS NÃO OPERACIONAIS</v>
      </c>
      <c r="BS6" s="224">
        <f>MATCH(W6,REL_DRE_FINANCEIRO!$B$30:$B$1264,0)</f>
        <v>520</v>
      </c>
      <c r="BT6" s="9"/>
      <c r="BU6" s="9" t="str">
        <f t="shared" ref="BU6:BU14" si="6">W6</f>
        <v>RECEITAS NÃO OPERACIONAIS</v>
      </c>
      <c r="BV6" s="11">
        <f t="shared" si="3"/>
        <v>0</v>
      </c>
      <c r="BW6" s="9"/>
      <c r="BX6" s="9"/>
      <c r="BY6" s="254" t="s">
        <v>1169</v>
      </c>
      <c r="BZ6"/>
      <c r="CA6"/>
      <c r="CB6" s="254" t="s">
        <v>1169</v>
      </c>
      <c r="CC6"/>
      <c r="CD6"/>
      <c r="CE6" s="254" t="s">
        <v>1169</v>
      </c>
      <c r="CF6"/>
      <c r="CG6"/>
      <c r="CH6" s="254" t="s">
        <v>1169</v>
      </c>
      <c r="CI6"/>
      <c r="CJ6"/>
      <c r="CK6" s="254" t="s">
        <v>1169</v>
      </c>
      <c r="CL6"/>
      <c r="CM6"/>
      <c r="CN6" s="254" t="s">
        <v>1169</v>
      </c>
      <c r="CO6"/>
      <c r="CP6"/>
      <c r="CQ6" s="254" t="s">
        <v>1169</v>
      </c>
      <c r="CR6"/>
      <c r="CS6"/>
      <c r="CT6" s="254" t="s">
        <v>1169</v>
      </c>
      <c r="CU6"/>
      <c r="CV6"/>
      <c r="CW6" s="254" t="s">
        <v>1169</v>
      </c>
      <c r="CX6"/>
      <c r="CY6"/>
      <c r="CZ6" s="254" t="s">
        <v>1169</v>
      </c>
      <c r="DA6"/>
      <c r="DB6"/>
      <c r="DC6" s="254" t="s">
        <v>1169</v>
      </c>
      <c r="DD6"/>
      <c r="DE6"/>
      <c r="DF6" s="254" t="s">
        <v>1169</v>
      </c>
      <c r="DG6"/>
      <c r="DI6" s="57" t="s">
        <v>1512</v>
      </c>
      <c r="DJ6" s="366">
        <v>0</v>
      </c>
      <c r="DK6" s="366">
        <v>2217202.709999999</v>
      </c>
      <c r="DL6" s="366">
        <v>955.91</v>
      </c>
      <c r="DM6" s="366">
        <v>2218158.6199999992</v>
      </c>
      <c r="DN6"/>
      <c r="DO6"/>
      <c r="DP6"/>
      <c r="DQ6"/>
      <c r="DR6"/>
      <c r="DS6"/>
      <c r="DT6"/>
      <c r="DU6"/>
      <c r="DV6"/>
      <c r="DW6"/>
      <c r="DX6"/>
      <c r="DY6" s="57" t="s">
        <v>1512</v>
      </c>
      <c r="DZ6" s="366">
        <v>0</v>
      </c>
      <c r="EA6" s="366">
        <v>2217202.709999999</v>
      </c>
      <c r="EB6" s="366">
        <v>955.91</v>
      </c>
      <c r="EC6" s="366">
        <v>2218158.6199999992</v>
      </c>
      <c r="ED6"/>
      <c r="EE6"/>
      <c r="EF6"/>
      <c r="EG6"/>
      <c r="EH6"/>
      <c r="EI6"/>
      <c r="EJ6"/>
      <c r="EK6"/>
      <c r="EL6"/>
      <c r="EM6"/>
      <c r="EN6"/>
    </row>
    <row r="7" spans="2:144" ht="20.100000000000001" customHeight="1" x14ac:dyDescent="0.35">
      <c r="B7" s="215">
        <v>3</v>
      </c>
      <c r="C7" s="216" t="s">
        <v>1045</v>
      </c>
      <c r="D7" s="9" t="s">
        <v>14</v>
      </c>
      <c r="F7" s="10">
        <v>3</v>
      </c>
      <c r="G7" s="10">
        <f t="shared" si="4"/>
        <v>0</v>
      </c>
      <c r="I7" s="10">
        <v>3</v>
      </c>
      <c r="J7" s="217" t="s">
        <v>1441</v>
      </c>
      <c r="K7" s="251" t="s">
        <v>1227</v>
      </c>
      <c r="L7" s="251" t="s">
        <v>1041</v>
      </c>
      <c r="N7" s="227" t="s">
        <v>1439</v>
      </c>
      <c r="O7" s="228">
        <v>2</v>
      </c>
      <c r="P7" s="227" t="str">
        <f>VLOOKUP($O7,EMPRESA[],2,0)</f>
        <v>CENTRO CULTURAL FRANCO-BRASILEIRO ALIANCA FRANCESA DE GOIAS</v>
      </c>
      <c r="R7" s="9"/>
      <c r="S7" s="223" t="s">
        <v>1056</v>
      </c>
      <c r="T7" s="11">
        <f>IF($O$12=1,'REL_FC'!O12,INDEX('REL_FC'!B12:O12,1,$O$12))</f>
        <v>3996.5500000000011</v>
      </c>
      <c r="U7" s="9"/>
      <c r="V7" s="10">
        <v>3</v>
      </c>
      <c r="W7" s="9" t="str">
        <f t="shared" si="0"/>
        <v>OUTROS CRÉDITOS (NÃO ENTRA NA DRE)</v>
      </c>
      <c r="X7" s="11">
        <f>SUMIFS(LANÇ_MOV[VALOR LÍQUIDO],LANÇ_MOV[PLANO DE CONTAS],Apoio!$W7,LANÇ_MOV[MÊS PAGAMENTO CORRESPONDENTE],Apoio!X$4,LANÇ_MOV[ANO PAGAMENTO],DASH_MENSAL!$B$4,LANÇ_MOV[EMPRESA],DASH_MENSAL!$D$4,LANÇ_MOV[CENTRO DE CUSTOS],DASH_MENSAL!$E$4)</f>
        <v>0</v>
      </c>
      <c r="Y7" s="11">
        <f>SUMIFS(LANÇ_MOV[VALOR LÍQUIDO],LANÇ_MOV[PLANO DE CONTAS],Apoio!$W7,LANÇ_MOV[MÊS PAGAMENTO CORRESPONDENTE],Apoio!Y$4,LANÇ_MOV[ANO PAGAMENTO],DASH_MENSAL!$B$4,LANÇ_MOV[EMPRESA],DASH_MENSAL!$D$4,LANÇ_MOV[CENTRO DE CUSTOS],DASH_MENSAL!$E$4)</f>
        <v>0</v>
      </c>
      <c r="Z7" s="11">
        <f>SUMIFS(LANÇ_MOV[VALOR LÍQUIDO],LANÇ_MOV[PLANO DE CONTAS],Apoio!$W7,LANÇ_MOV[MÊS PAGAMENTO CORRESPONDENTE],Apoio!Z$4,LANÇ_MOV[ANO PAGAMENTO],DASH_MENSAL!$B$4,LANÇ_MOV[EMPRESA],DASH_MENSAL!$D$4,LANÇ_MOV[CENTRO DE CUSTOS],DASH_MENSAL!$E$4)</f>
        <v>0</v>
      </c>
      <c r="AA7" s="11">
        <f>SUMIFS(LANÇ_MOV[VALOR LÍQUIDO],LANÇ_MOV[PLANO DE CONTAS],Apoio!$W7,LANÇ_MOV[MÊS PAGAMENTO CORRESPONDENTE],Apoio!AA$4,LANÇ_MOV[ANO PAGAMENTO],DASH_MENSAL!$B$4,LANÇ_MOV[EMPRESA],DASH_MENSAL!$D$4,LANÇ_MOV[CENTRO DE CUSTOS],DASH_MENSAL!$E$4)</f>
        <v>0</v>
      </c>
      <c r="AB7" s="11">
        <f>SUMIFS(LANÇ_MOV[VALOR LÍQUIDO],LANÇ_MOV[PLANO DE CONTAS],Apoio!$W7,LANÇ_MOV[MÊS PAGAMENTO CORRESPONDENTE],Apoio!AB$4,LANÇ_MOV[ANO PAGAMENTO],DASH_MENSAL!$B$4,LANÇ_MOV[EMPRESA],DASH_MENSAL!$D$4,LANÇ_MOV[CENTRO DE CUSTOS],DASH_MENSAL!$E$4)</f>
        <v>0</v>
      </c>
      <c r="AC7" s="11">
        <f>SUMIFS(LANÇ_MOV[VALOR LÍQUIDO],LANÇ_MOV[PLANO DE CONTAS],Apoio!$W7,LANÇ_MOV[MÊS PAGAMENTO CORRESPONDENTE],Apoio!AC$4,LANÇ_MOV[ANO PAGAMENTO],DASH_MENSAL!$B$4,LANÇ_MOV[EMPRESA],DASH_MENSAL!$D$4,LANÇ_MOV[CENTRO DE CUSTOS],DASH_MENSAL!$E$4)</f>
        <v>0</v>
      </c>
      <c r="AD7" s="11">
        <f>SUMIFS(LANÇ_MOV[VALOR LÍQUIDO],LANÇ_MOV[PLANO DE CONTAS],Apoio!$W7,LANÇ_MOV[MÊS PAGAMENTO CORRESPONDENTE],Apoio!AD$4,LANÇ_MOV[ANO PAGAMENTO],DASH_MENSAL!$B$4,LANÇ_MOV[EMPRESA],DASH_MENSAL!$D$4,LANÇ_MOV[CENTRO DE CUSTOS],DASH_MENSAL!$E$4)</f>
        <v>0</v>
      </c>
      <c r="AE7" s="11">
        <f>SUMIFS(LANÇ_MOV[VALOR LÍQUIDO],LANÇ_MOV[PLANO DE CONTAS],Apoio!$W7,LANÇ_MOV[MÊS PAGAMENTO CORRESPONDENTE],Apoio!AE$4,LANÇ_MOV[ANO PAGAMENTO],DASH_MENSAL!$B$4,LANÇ_MOV[EMPRESA],DASH_MENSAL!$D$4,LANÇ_MOV[CENTRO DE CUSTOS],DASH_MENSAL!$E$4)</f>
        <v>0</v>
      </c>
      <c r="AF7" s="11">
        <f>SUMIFS(LANÇ_MOV[VALOR LÍQUIDO],LANÇ_MOV[PLANO DE CONTAS],Apoio!$W7,LANÇ_MOV[MÊS PAGAMENTO CORRESPONDENTE],Apoio!AF$4,LANÇ_MOV[ANO PAGAMENTO],DASH_MENSAL!$B$4,LANÇ_MOV[EMPRESA],DASH_MENSAL!$D$4,LANÇ_MOV[CENTRO DE CUSTOS],DASH_MENSAL!$E$4)</f>
        <v>0</v>
      </c>
      <c r="AG7" s="11">
        <f>SUMIFS(LANÇ_MOV[VALOR LÍQUIDO],LANÇ_MOV[PLANO DE CONTAS],Apoio!$W7,LANÇ_MOV[MÊS PAGAMENTO CORRESPONDENTE],Apoio!AG$4,LANÇ_MOV[ANO PAGAMENTO],DASH_MENSAL!$B$4,LANÇ_MOV[EMPRESA],DASH_MENSAL!$D$4,LANÇ_MOV[CENTRO DE CUSTOS],DASH_MENSAL!$E$4)</f>
        <v>2697.85</v>
      </c>
      <c r="AH7" s="11">
        <f>SUMIFS(LANÇ_MOV[VALOR LÍQUIDO],LANÇ_MOV[PLANO DE CONTAS],Apoio!$W7,LANÇ_MOV[MÊS PAGAMENTO CORRESPONDENTE],Apoio!AH$4,LANÇ_MOV[ANO PAGAMENTO],DASH_MENSAL!$B$4,LANÇ_MOV[EMPRESA],DASH_MENSAL!$D$4,LANÇ_MOV[CENTRO DE CUSTOS],DASH_MENSAL!$E$4)</f>
        <v>551.30999999999995</v>
      </c>
      <c r="AI7" s="11">
        <f>SUMIFS(LANÇ_MOV[VALOR LÍQUIDO],LANÇ_MOV[PLANO DE CONTAS],Apoio!$W7,LANÇ_MOV[MÊS PAGAMENTO CORRESPONDENTE],Apoio!AI$4,LANÇ_MOV[ANO PAGAMENTO],DASH_MENSAL!$B$4,LANÇ_MOV[EMPRESA],DASH_MENSAL!$D$4,LANÇ_MOV[CENTRO DE CUSTOS],DASH_MENSAL!$E$4)</f>
        <v>0</v>
      </c>
      <c r="AJ7" s="11">
        <f t="shared" si="5"/>
        <v>3249.16</v>
      </c>
      <c r="AL7" s="11">
        <f t="shared" si="1"/>
        <v>3249.16</v>
      </c>
      <c r="AM7" s="9"/>
      <c r="AN7" s="223" t="s">
        <v>1082</v>
      </c>
      <c r="AO7" s="232" t="s">
        <v>1084</v>
      </c>
      <c r="AP7" s="232" t="s">
        <v>1085</v>
      </c>
      <c r="AQ7" s="232" t="s">
        <v>1086</v>
      </c>
      <c r="AR7" s="232" t="s">
        <v>1087</v>
      </c>
      <c r="AS7" s="232" t="s">
        <v>1088</v>
      </c>
      <c r="AT7" s="232" t="s">
        <v>1089</v>
      </c>
      <c r="AU7" s="232" t="s">
        <v>1090</v>
      </c>
      <c r="AV7" s="232" t="s">
        <v>1091</v>
      </c>
      <c r="AW7" s="232" t="s">
        <v>1092</v>
      </c>
      <c r="AX7" s="232" t="s">
        <v>1093</v>
      </c>
      <c r="AY7" s="232" t="s">
        <v>1094</v>
      </c>
      <c r="AZ7" s="232" t="s">
        <v>1095</v>
      </c>
      <c r="BA7" s="232" t="s">
        <v>1043</v>
      </c>
      <c r="BB7" s="9"/>
      <c r="BC7" s="9"/>
      <c r="BD7" s="10"/>
      <c r="BE7" s="243">
        <f t="shared" ref="BE7:BP7" si="7">INDEX($X$5:$AI$15,$O$14,BE5)</f>
        <v>0</v>
      </c>
      <c r="BF7" s="243">
        <f t="shared" si="7"/>
        <v>0</v>
      </c>
      <c r="BG7" s="243">
        <f t="shared" si="7"/>
        <v>0</v>
      </c>
      <c r="BH7" s="243">
        <f t="shared" si="7"/>
        <v>0</v>
      </c>
      <c r="BI7" s="243">
        <f t="shared" si="7"/>
        <v>0</v>
      </c>
      <c r="BJ7" s="243">
        <f t="shared" si="7"/>
        <v>0</v>
      </c>
      <c r="BK7" s="243">
        <f t="shared" si="7"/>
        <v>0</v>
      </c>
      <c r="BL7" s="243">
        <f t="shared" si="7"/>
        <v>0</v>
      </c>
      <c r="BM7" s="243">
        <f t="shared" si="7"/>
        <v>0</v>
      </c>
      <c r="BN7" s="243">
        <f t="shared" si="7"/>
        <v>22067.45</v>
      </c>
      <c r="BO7" s="243">
        <f t="shared" si="7"/>
        <v>7421.12</v>
      </c>
      <c r="BP7" s="243">
        <f t="shared" si="7"/>
        <v>0</v>
      </c>
      <c r="BQ7" s="243"/>
      <c r="BR7" s="9" t="str">
        <f t="shared" si="2"/>
        <v>OUTROS CRÉDITOS (NÃO ENTRA NA DRE)</v>
      </c>
      <c r="BS7" s="224">
        <f>MATCH(W7,REL_DRE_FINANCEIRO!$B$30:$B$1264,0)</f>
        <v>1033</v>
      </c>
      <c r="BT7" s="9"/>
      <c r="BU7" s="9" t="str">
        <f t="shared" si="6"/>
        <v>OUTROS CRÉDITOS (NÃO ENTRA NA DRE)</v>
      </c>
      <c r="BV7" s="11">
        <f t="shared" si="3"/>
        <v>3249.16</v>
      </c>
      <c r="BW7" s="9"/>
      <c r="BX7" s="9"/>
      <c r="BY7" s="257" t="s">
        <v>1514</v>
      </c>
      <c r="BZ7"/>
      <c r="CA7"/>
      <c r="CB7" s="257" t="s">
        <v>1471</v>
      </c>
      <c r="CC7"/>
      <c r="CD7"/>
      <c r="CE7" s="257" t="s">
        <v>1502</v>
      </c>
      <c r="CF7"/>
      <c r="CG7"/>
      <c r="CH7" s="257" t="s">
        <v>1468</v>
      </c>
      <c r="CI7"/>
      <c r="CJ7"/>
      <c r="CK7" s="257" t="s">
        <v>1486</v>
      </c>
      <c r="CL7"/>
      <c r="CM7"/>
      <c r="CN7" s="257" t="s">
        <v>1462</v>
      </c>
      <c r="CO7"/>
      <c r="CP7"/>
      <c r="CQ7" s="257" t="s">
        <v>1600</v>
      </c>
      <c r="CR7"/>
      <c r="CS7"/>
      <c r="CT7" s="257" t="s">
        <v>1553</v>
      </c>
      <c r="CU7"/>
      <c r="CV7"/>
      <c r="CW7" s="257" t="s">
        <v>1498</v>
      </c>
      <c r="CX7"/>
      <c r="CY7"/>
      <c r="CZ7" s="257" t="s">
        <v>1499</v>
      </c>
      <c r="DA7"/>
      <c r="DB7"/>
      <c r="DC7" s="257" t="s">
        <v>1501</v>
      </c>
      <c r="DD7"/>
      <c r="DE7"/>
      <c r="DF7" s="257" t="s">
        <v>1503</v>
      </c>
      <c r="DG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</row>
    <row r="8" spans="2:144" ht="18.8" customHeight="1" x14ac:dyDescent="0.35">
      <c r="B8" s="215">
        <v>4</v>
      </c>
      <c r="C8" s="216" t="s">
        <v>1046</v>
      </c>
      <c r="D8" s="9" t="s">
        <v>15</v>
      </c>
      <c r="F8" s="10">
        <v>4</v>
      </c>
      <c r="G8" s="10">
        <f t="shared" si="4"/>
        <v>0</v>
      </c>
      <c r="I8" s="10">
        <v>4</v>
      </c>
      <c r="J8" s="217" t="s">
        <v>1213</v>
      </c>
      <c r="K8" s="251" t="s">
        <v>1228</v>
      </c>
      <c r="L8" s="251" t="s">
        <v>1042</v>
      </c>
      <c r="N8" s="227" t="s">
        <v>1211</v>
      </c>
      <c r="O8" s="228">
        <v>1</v>
      </c>
      <c r="P8" s="227" t="str">
        <f>VLOOKUP($O8,CENTROS_CUSTOS[],2,0)</f>
        <v>TOTAL CENTRO DE CUSTOS</v>
      </c>
      <c r="R8" s="9"/>
      <c r="S8" s="223" t="s">
        <v>1057</v>
      </c>
      <c r="T8" s="287">
        <f>IF($O$12=1,'REL_FC'!O14,INDEX('REL_FC'!B14:O14,1,$O$12))</f>
        <v>0.19146603381704527</v>
      </c>
      <c r="U8" s="9"/>
      <c r="V8" s="10">
        <v>4</v>
      </c>
      <c r="W8" s="9" t="str">
        <f t="shared" si="0"/>
        <v>DESPESAS OPERACIONAIS</v>
      </c>
      <c r="X8" s="11">
        <f>SUMIFS(LANÇ_MOV[VALOR LÍQUIDO],LANÇ_MOV[PLANO DE CONTAS],Apoio!$W8,LANÇ_MOV[MÊS PAGAMENTO CORRESPONDENTE],Apoio!X$4,LANÇ_MOV[ANO PAGAMENTO],DASH_MENSAL!$B$4,LANÇ_MOV[EMPRESA],DASH_MENSAL!$D$4,LANÇ_MOV[CENTRO DE CUSTOS],DASH_MENSAL!$E$4)</f>
        <v>0</v>
      </c>
      <c r="Y8" s="11">
        <f>SUMIFS(LANÇ_MOV[VALOR LÍQUIDO],LANÇ_MOV[PLANO DE CONTAS],Apoio!$W8,LANÇ_MOV[MÊS PAGAMENTO CORRESPONDENTE],Apoio!Y$4,LANÇ_MOV[ANO PAGAMENTO],DASH_MENSAL!$B$4,LANÇ_MOV[EMPRESA],DASH_MENSAL!$D$4,LANÇ_MOV[CENTRO DE CUSTOS],DASH_MENSAL!$E$4)</f>
        <v>0</v>
      </c>
      <c r="Z8" s="11">
        <f>SUMIFS(LANÇ_MOV[VALOR LÍQUIDO],LANÇ_MOV[PLANO DE CONTAS],Apoio!$W8,LANÇ_MOV[MÊS PAGAMENTO CORRESPONDENTE],Apoio!Z$4,LANÇ_MOV[ANO PAGAMENTO],DASH_MENSAL!$B$4,LANÇ_MOV[EMPRESA],DASH_MENSAL!$D$4,LANÇ_MOV[CENTRO DE CUSTOS],DASH_MENSAL!$E$4)</f>
        <v>0</v>
      </c>
      <c r="AA8" s="11">
        <f>SUMIFS(LANÇ_MOV[VALOR LÍQUIDO],LANÇ_MOV[PLANO DE CONTAS],Apoio!$W8,LANÇ_MOV[MÊS PAGAMENTO CORRESPONDENTE],Apoio!AA$4,LANÇ_MOV[ANO PAGAMENTO],DASH_MENSAL!$B$4,LANÇ_MOV[EMPRESA],DASH_MENSAL!$D$4,LANÇ_MOV[CENTRO DE CUSTOS],DASH_MENSAL!$E$4)</f>
        <v>0</v>
      </c>
      <c r="AB8" s="11">
        <f>SUMIFS(LANÇ_MOV[VALOR LÍQUIDO],LANÇ_MOV[PLANO DE CONTAS],Apoio!$W8,LANÇ_MOV[MÊS PAGAMENTO CORRESPONDENTE],Apoio!AB$4,LANÇ_MOV[ANO PAGAMENTO],DASH_MENSAL!$B$4,LANÇ_MOV[EMPRESA],DASH_MENSAL!$D$4,LANÇ_MOV[CENTRO DE CUSTOS],DASH_MENSAL!$E$4)</f>
        <v>0</v>
      </c>
      <c r="AC8" s="11">
        <f>SUMIFS(LANÇ_MOV[VALOR LÍQUIDO],LANÇ_MOV[PLANO DE CONTAS],Apoio!$W8,LANÇ_MOV[MÊS PAGAMENTO CORRESPONDENTE],Apoio!AC$4,LANÇ_MOV[ANO PAGAMENTO],DASH_MENSAL!$B$4,LANÇ_MOV[EMPRESA],DASH_MENSAL!$D$4,LANÇ_MOV[CENTRO DE CUSTOS],DASH_MENSAL!$E$4)</f>
        <v>0</v>
      </c>
      <c r="AD8" s="11">
        <f>SUMIFS(LANÇ_MOV[VALOR LÍQUIDO],LANÇ_MOV[PLANO DE CONTAS],Apoio!$W8,LANÇ_MOV[MÊS PAGAMENTO CORRESPONDENTE],Apoio!AD$4,LANÇ_MOV[ANO PAGAMENTO],DASH_MENSAL!$B$4,LANÇ_MOV[EMPRESA],DASH_MENSAL!$D$4,LANÇ_MOV[CENTRO DE CUSTOS],DASH_MENSAL!$E$4)</f>
        <v>0</v>
      </c>
      <c r="AE8" s="11">
        <f>SUMIFS(LANÇ_MOV[VALOR LÍQUIDO],LANÇ_MOV[PLANO DE CONTAS],Apoio!$W8,LANÇ_MOV[MÊS PAGAMENTO CORRESPONDENTE],Apoio!AE$4,LANÇ_MOV[ANO PAGAMENTO],DASH_MENSAL!$B$4,LANÇ_MOV[EMPRESA],DASH_MENSAL!$D$4,LANÇ_MOV[CENTRO DE CUSTOS],DASH_MENSAL!$E$4)</f>
        <v>0</v>
      </c>
      <c r="AF8" s="11">
        <f>SUMIFS(LANÇ_MOV[VALOR LÍQUIDO],LANÇ_MOV[PLANO DE CONTAS],Apoio!$W8,LANÇ_MOV[MÊS PAGAMENTO CORRESPONDENTE],Apoio!AF$4,LANÇ_MOV[ANO PAGAMENTO],DASH_MENSAL!$B$4,LANÇ_MOV[EMPRESA],DASH_MENSAL!$D$4,LANÇ_MOV[CENTRO DE CUSTOS],DASH_MENSAL!$E$4)</f>
        <v>0</v>
      </c>
      <c r="AG8" s="11">
        <f>SUMIFS(LANÇ_MOV[VALOR LÍQUIDO],LANÇ_MOV[PLANO DE CONTAS],Apoio!$W8,LANÇ_MOV[MÊS PAGAMENTO CORRESPONDENTE],Apoio!AG$4,LANÇ_MOV[ANO PAGAMENTO],DASH_MENSAL!$B$4,LANÇ_MOV[EMPRESA],DASH_MENSAL!$D$4,LANÇ_MOV[CENTRO DE CUSTOS],DASH_MENSAL!$E$4)</f>
        <v>0</v>
      </c>
      <c r="AH8" s="11">
        <f>SUMIFS(LANÇ_MOV[VALOR LÍQUIDO],LANÇ_MOV[PLANO DE CONTAS],Apoio!$W8,LANÇ_MOV[MÊS PAGAMENTO CORRESPONDENTE],Apoio!AH$4,LANÇ_MOV[ANO PAGAMENTO],DASH_MENSAL!$B$4,LANÇ_MOV[EMPRESA],DASH_MENSAL!$D$4,LANÇ_MOV[CENTRO DE CUSTOS],DASH_MENSAL!$E$4)</f>
        <v>0</v>
      </c>
      <c r="AI8" s="11">
        <f>SUMIFS(LANÇ_MOV[VALOR LÍQUIDO],LANÇ_MOV[PLANO DE CONTAS],Apoio!$W8,LANÇ_MOV[MÊS PAGAMENTO CORRESPONDENTE],Apoio!AI$4,LANÇ_MOV[ANO PAGAMENTO],DASH_MENSAL!$B$4,LANÇ_MOV[EMPRESA],DASH_MENSAL!$D$4,LANÇ_MOV[CENTRO DE CUSTOS],DASH_MENSAL!$E$4)</f>
        <v>0</v>
      </c>
      <c r="AJ8" s="11">
        <f t="shared" si="5"/>
        <v>0</v>
      </c>
      <c r="AK8" s="9"/>
      <c r="AL8" s="11">
        <f t="shared" si="1"/>
        <v>0</v>
      </c>
      <c r="AM8" s="9"/>
      <c r="AN8" s="223" t="s">
        <v>1112</v>
      </c>
      <c r="AO8" s="218" t="e">
        <f>INDEX(#REF!,$AQ$5,AO$6)</f>
        <v>#REF!</v>
      </c>
      <c r="AP8" s="218" t="e">
        <f>INDEX(#REF!,$AQ$5,AP$6)</f>
        <v>#REF!</v>
      </c>
      <c r="AQ8" s="218" t="e">
        <f>INDEX(#REF!,$AQ$5,AQ$6)</f>
        <v>#REF!</v>
      </c>
      <c r="AR8" s="218" t="e">
        <f>INDEX(#REF!,$AQ$5,AR$6)</f>
        <v>#REF!</v>
      </c>
      <c r="AS8" s="218" t="e">
        <f>INDEX(#REF!,$AQ$5,AS$6)</f>
        <v>#REF!</v>
      </c>
      <c r="AT8" s="218" t="e">
        <f>INDEX(#REF!,$AQ$5,AT$6)</f>
        <v>#REF!</v>
      </c>
      <c r="AU8" s="218" t="e">
        <f>INDEX(#REF!,$AQ$5,AU$6)</f>
        <v>#REF!</v>
      </c>
      <c r="AV8" s="218" t="e">
        <f>INDEX(#REF!,$AQ$5,AV$6)</f>
        <v>#REF!</v>
      </c>
      <c r="AW8" s="218" t="e">
        <f>INDEX(#REF!,$AQ$5,AW$6)</f>
        <v>#REF!</v>
      </c>
      <c r="AX8" s="218" t="e">
        <f>INDEX(#REF!,$AQ$5,AX$6)</f>
        <v>#REF!</v>
      </c>
      <c r="AY8" s="218" t="e">
        <f>INDEX(#REF!,$AQ$5,AY$6)</f>
        <v>#REF!</v>
      </c>
      <c r="AZ8" s="218" t="e">
        <f>INDEX(#REF!,$AQ$5,AZ$6)</f>
        <v>#REF!</v>
      </c>
      <c r="BA8" s="218" t="e">
        <f>SUM(AO8:AZ8)</f>
        <v>#REF!</v>
      </c>
      <c r="BB8" s="9"/>
      <c r="BC8" s="245" t="s">
        <v>1161</v>
      </c>
      <c r="BD8" s="10"/>
      <c r="BE8" s="9"/>
      <c r="BR8" s="9" t="str">
        <f t="shared" si="2"/>
        <v>DESPESAS OPERACIONAIS</v>
      </c>
      <c r="BS8" s="224">
        <f>MATCH(W8,REL_DRE_FINANCEIRO!$B$30:$B$1264,0)</f>
        <v>106</v>
      </c>
      <c r="BT8" s="9"/>
      <c r="BU8" s="9" t="str">
        <f t="shared" si="6"/>
        <v>DESPESAS OPERACIONAIS</v>
      </c>
      <c r="BV8" s="11">
        <f t="shared" si="3"/>
        <v>0</v>
      </c>
      <c r="BW8" s="9"/>
      <c r="BX8" s="9"/>
      <c r="BY8" s="257" t="s">
        <v>1505</v>
      </c>
      <c r="BZ8"/>
      <c r="CA8"/>
      <c r="CB8" s="257" t="s">
        <v>1589</v>
      </c>
      <c r="CC8"/>
      <c r="CD8"/>
      <c r="CE8" s="257" t="s">
        <v>1553</v>
      </c>
      <c r="CF8"/>
      <c r="CG8"/>
      <c r="CH8" s="257" t="s">
        <v>1460</v>
      </c>
      <c r="CI8"/>
      <c r="CJ8"/>
      <c r="CK8" s="257" t="s">
        <v>1463</v>
      </c>
      <c r="CL8"/>
      <c r="CM8"/>
      <c r="CN8" s="257" t="s">
        <v>1491</v>
      </c>
      <c r="CO8"/>
      <c r="CP8"/>
      <c r="CQ8" s="257" t="s">
        <v>1613</v>
      </c>
      <c r="CR8"/>
      <c r="CS8"/>
      <c r="CT8" s="257" t="s">
        <v>1496</v>
      </c>
      <c r="CU8"/>
      <c r="CV8"/>
      <c r="CW8" s="257" t="s">
        <v>1504</v>
      </c>
      <c r="CX8"/>
      <c r="CY8"/>
      <c r="CZ8" s="257" t="s">
        <v>1574</v>
      </c>
      <c r="DA8"/>
      <c r="DB8"/>
      <c r="DC8" s="257" t="s">
        <v>1500</v>
      </c>
      <c r="DD8"/>
      <c r="DE8"/>
      <c r="DF8" s="257" t="s">
        <v>1479</v>
      </c>
      <c r="DG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</row>
    <row r="9" spans="2:144" ht="20.100000000000001" customHeight="1" x14ac:dyDescent="0.35">
      <c r="B9" s="215">
        <v>5</v>
      </c>
      <c r="C9" s="216" t="s">
        <v>1047</v>
      </c>
      <c r="D9" s="9" t="s">
        <v>16</v>
      </c>
      <c r="F9" s="10">
        <v>5</v>
      </c>
      <c r="G9" s="10">
        <f t="shared" si="4"/>
        <v>0</v>
      </c>
      <c r="I9" s="10">
        <v>5</v>
      </c>
      <c r="J9" s="217" t="s">
        <v>1144</v>
      </c>
      <c r="K9" s="251" t="s">
        <v>1229</v>
      </c>
      <c r="L9" s="251" t="s">
        <v>1042</v>
      </c>
      <c r="N9" s="227" t="s">
        <v>1182</v>
      </c>
      <c r="O9" s="228">
        <v>2</v>
      </c>
      <c r="P9" s="227" t="str">
        <f>VLOOKUP($O9,BANCOS[],2,0)</f>
        <v>PAGBANK</v>
      </c>
      <c r="R9" s="9"/>
      <c r="S9" s="223" t="s">
        <v>1065</v>
      </c>
      <c r="T9" s="11" t="e">
        <f>IF($O$12=1,#REF!,INDEX(#REF!,1,$O$12))</f>
        <v>#REF!</v>
      </c>
      <c r="U9" s="9"/>
      <c r="V9" s="10">
        <v>5</v>
      </c>
      <c r="W9" s="9" t="str">
        <f t="shared" si="0"/>
        <v>DESPESAS ADMINISTRATIVAS</v>
      </c>
      <c r="X9" s="11">
        <f>SUMIFS(LANÇ_MOV[VALOR LÍQUIDO],LANÇ_MOV[PLANO DE CONTAS],Apoio!$W9,LANÇ_MOV[MÊS PAGAMENTO CORRESPONDENTE],Apoio!X$4,LANÇ_MOV[ANO PAGAMENTO],DASH_MENSAL!$B$4,LANÇ_MOV[EMPRESA],DASH_MENSAL!$D$4,LANÇ_MOV[CENTRO DE CUSTOS],DASH_MENSAL!$E$4)</f>
        <v>0</v>
      </c>
      <c r="Y9" s="11">
        <f>SUMIFS(LANÇ_MOV[VALOR LÍQUIDO],LANÇ_MOV[PLANO DE CONTAS],Apoio!$W9,LANÇ_MOV[MÊS PAGAMENTO CORRESPONDENTE],Apoio!Y$4,LANÇ_MOV[ANO PAGAMENTO],DASH_MENSAL!$B$4,LANÇ_MOV[EMPRESA],DASH_MENSAL!$D$4,LANÇ_MOV[CENTRO DE CUSTOS],DASH_MENSAL!$E$4)</f>
        <v>0</v>
      </c>
      <c r="Z9" s="11">
        <f>SUMIFS(LANÇ_MOV[VALOR LÍQUIDO],LANÇ_MOV[PLANO DE CONTAS],Apoio!$W9,LANÇ_MOV[MÊS PAGAMENTO CORRESPONDENTE],Apoio!Z$4,LANÇ_MOV[ANO PAGAMENTO],DASH_MENSAL!$B$4,LANÇ_MOV[EMPRESA],DASH_MENSAL!$D$4,LANÇ_MOV[CENTRO DE CUSTOS],DASH_MENSAL!$E$4)</f>
        <v>0</v>
      </c>
      <c r="AA9" s="11">
        <f>SUMIFS(LANÇ_MOV[VALOR LÍQUIDO],LANÇ_MOV[PLANO DE CONTAS],Apoio!$W9,LANÇ_MOV[MÊS PAGAMENTO CORRESPONDENTE],Apoio!AA$4,LANÇ_MOV[ANO PAGAMENTO],DASH_MENSAL!$B$4,LANÇ_MOV[EMPRESA],DASH_MENSAL!$D$4,LANÇ_MOV[CENTRO DE CUSTOS],DASH_MENSAL!$E$4)</f>
        <v>0</v>
      </c>
      <c r="AB9" s="11">
        <f>SUMIFS(LANÇ_MOV[VALOR LÍQUIDO],LANÇ_MOV[PLANO DE CONTAS],Apoio!$W9,LANÇ_MOV[MÊS PAGAMENTO CORRESPONDENTE],Apoio!AB$4,LANÇ_MOV[ANO PAGAMENTO],DASH_MENSAL!$B$4,LANÇ_MOV[EMPRESA],DASH_MENSAL!$D$4,LANÇ_MOV[CENTRO DE CUSTOS],DASH_MENSAL!$E$4)</f>
        <v>0</v>
      </c>
      <c r="AC9" s="11">
        <f>SUMIFS(LANÇ_MOV[VALOR LÍQUIDO],LANÇ_MOV[PLANO DE CONTAS],Apoio!$W9,LANÇ_MOV[MÊS PAGAMENTO CORRESPONDENTE],Apoio!AC$4,LANÇ_MOV[ANO PAGAMENTO],DASH_MENSAL!$B$4,LANÇ_MOV[EMPRESA],DASH_MENSAL!$D$4,LANÇ_MOV[CENTRO DE CUSTOS],DASH_MENSAL!$E$4)</f>
        <v>0</v>
      </c>
      <c r="AD9" s="11">
        <f>SUMIFS(LANÇ_MOV[VALOR LÍQUIDO],LANÇ_MOV[PLANO DE CONTAS],Apoio!$W9,LANÇ_MOV[MÊS PAGAMENTO CORRESPONDENTE],Apoio!AD$4,LANÇ_MOV[ANO PAGAMENTO],DASH_MENSAL!$B$4,LANÇ_MOV[EMPRESA],DASH_MENSAL!$D$4,LANÇ_MOV[CENTRO DE CUSTOS],DASH_MENSAL!$E$4)</f>
        <v>0</v>
      </c>
      <c r="AE9" s="11">
        <f>SUMIFS(LANÇ_MOV[VALOR LÍQUIDO],LANÇ_MOV[PLANO DE CONTAS],Apoio!$W9,LANÇ_MOV[MÊS PAGAMENTO CORRESPONDENTE],Apoio!AE$4,LANÇ_MOV[ANO PAGAMENTO],DASH_MENSAL!$B$4,LANÇ_MOV[EMPRESA],DASH_MENSAL!$D$4,LANÇ_MOV[CENTRO DE CUSTOS],DASH_MENSAL!$E$4)</f>
        <v>0</v>
      </c>
      <c r="AF9" s="11">
        <f>SUMIFS(LANÇ_MOV[VALOR LÍQUIDO],LANÇ_MOV[PLANO DE CONTAS],Apoio!$W9,LANÇ_MOV[MÊS PAGAMENTO CORRESPONDENTE],Apoio!AF$4,LANÇ_MOV[ANO PAGAMENTO],DASH_MENSAL!$B$4,LANÇ_MOV[EMPRESA],DASH_MENSAL!$D$4,LANÇ_MOV[CENTRO DE CUSTOS],DASH_MENSAL!$E$4)</f>
        <v>0</v>
      </c>
      <c r="AG9" s="11">
        <f>SUMIFS(LANÇ_MOV[VALOR LÍQUIDO],LANÇ_MOV[PLANO DE CONTAS],Apoio!$W9,LANÇ_MOV[MÊS PAGAMENTO CORRESPONDENTE],Apoio!AG$4,LANÇ_MOV[ANO PAGAMENTO],DASH_MENSAL!$B$4,LANÇ_MOV[EMPRESA],DASH_MENSAL!$D$4,LANÇ_MOV[CENTRO DE CUSTOS],DASH_MENSAL!$E$4)</f>
        <v>12624.569999999998</v>
      </c>
      <c r="AH9" s="11">
        <f>SUMIFS(LANÇ_MOV[VALOR LÍQUIDO],LANÇ_MOV[PLANO DE CONTAS],Apoio!$W9,LANÇ_MOV[MÊS PAGAMENTO CORRESPONDENTE],Apoio!AH$4,LANÇ_MOV[ANO PAGAMENTO],DASH_MENSAL!$B$4,LANÇ_MOV[EMPRESA],DASH_MENSAL!$D$4,LANÇ_MOV[CENTRO DE CUSTOS],DASH_MENSAL!$E$4)</f>
        <v>2500</v>
      </c>
      <c r="AI9" s="11">
        <f>SUMIFS(LANÇ_MOV[VALOR LÍQUIDO],LANÇ_MOV[PLANO DE CONTAS],Apoio!$W9,LANÇ_MOV[MÊS PAGAMENTO CORRESPONDENTE],Apoio!AI$4,LANÇ_MOV[ANO PAGAMENTO],DASH_MENSAL!$B$4,LANÇ_MOV[EMPRESA],DASH_MENSAL!$D$4,LANÇ_MOV[CENTRO DE CUSTOS],DASH_MENSAL!$E$4)</f>
        <v>0</v>
      </c>
      <c r="AJ9" s="11">
        <f t="shared" si="5"/>
        <v>15124.569999999998</v>
      </c>
      <c r="AK9" s="9"/>
      <c r="AL9" s="11">
        <f t="shared" si="1"/>
        <v>15124.569999999998</v>
      </c>
      <c r="AM9" s="9"/>
      <c r="AN9" s="223" t="s">
        <v>1039</v>
      </c>
      <c r="AO9" s="218">
        <f>INDEX('REL_FC'!$C$8:$N$12,$AP$5,AO$6)</f>
        <v>0</v>
      </c>
      <c r="AP9" s="218">
        <f>INDEX('REL_FC'!$C$8:$N$12,$AP$5,AP$6)</f>
        <v>0</v>
      </c>
      <c r="AQ9" s="218">
        <f>INDEX('REL_FC'!$C$8:$N$12,$AP$5,AQ$6)</f>
        <v>0</v>
      </c>
      <c r="AR9" s="218">
        <f>INDEX('REL_FC'!$C$8:$N$12,$AP$5,AR$6)</f>
        <v>0</v>
      </c>
      <c r="AS9" s="218">
        <f>INDEX('REL_FC'!$C$8:$N$12,$AP$5,AS$6)</f>
        <v>0</v>
      </c>
      <c r="AT9" s="218">
        <f>INDEX('REL_FC'!$C$8:$N$12,$AP$5,AT$6)</f>
        <v>0</v>
      </c>
      <c r="AU9" s="218">
        <f>INDEX('REL_FC'!$C$8:$N$12,$AP$5,AU$6)</f>
        <v>0</v>
      </c>
      <c r="AV9" s="218">
        <f>INDEX('REL_FC'!$C$8:$N$12,$AP$5,AV$6)</f>
        <v>0</v>
      </c>
      <c r="AW9" s="218">
        <f>INDEX('REL_FC'!$C$8:$N$12,$AP$5,AW$6)</f>
        <v>0</v>
      </c>
      <c r="AX9" s="218">
        <f>INDEX('REL_FC'!$C$8:$N$12,$AP$5,AX$6)</f>
        <v>24765.300000000003</v>
      </c>
      <c r="AY9" s="218">
        <f>INDEX('REL_FC'!$C$8:$N$12,$AP$5,AY$6)</f>
        <v>7972.4299999999994</v>
      </c>
      <c r="AZ9" s="218">
        <f>INDEX('REL_FC'!$C$8:$N$12,$AP$5,AZ$6)</f>
        <v>0</v>
      </c>
      <c r="BA9" s="218">
        <f>SUM(AO9:AZ9)</f>
        <v>32737.730000000003</v>
      </c>
      <c r="BB9" s="9"/>
      <c r="BC9" s="233" t="str">
        <f>DASH_CONTAS!$G$4</f>
        <v>OBRA 1</v>
      </c>
      <c r="BD9" s="224" t="e">
        <f>MATCH($BC9,REL_DRE_FINANCEIRO!C31,0)</f>
        <v>#N/A</v>
      </c>
      <c r="BE9" s="244" cm="1">
        <f t="array" ref="BE9">IFERROR(INDEX(REL_DRE_FINANCEIRO!$D$31:$O$1057,$BD9,BE$5),0)</f>
        <v>0</v>
      </c>
      <c r="BF9" s="244" cm="1">
        <f t="array" ref="BF9">IFERROR(INDEX(REL_DRE_FINANCEIRO!$D$31:$O$1057,$BD9,BF$5),0)</f>
        <v>0</v>
      </c>
      <c r="BG9" s="244" cm="1">
        <f t="array" ref="BG9">IFERROR(INDEX(REL_DRE_FINANCEIRO!$D$31:$O$1057,$BD9,BG$5),0)</f>
        <v>0</v>
      </c>
      <c r="BH9" s="244" cm="1">
        <f t="array" ref="BH9">IFERROR(INDEX(REL_DRE_FINANCEIRO!$D$31:$O$1057,$BD9,BH$5),0)</f>
        <v>0</v>
      </c>
      <c r="BI9" s="244" cm="1">
        <f t="array" ref="BI9">IFERROR(INDEX(REL_DRE_FINANCEIRO!$D$31:$O$1057,$BD9,BI$5),0)</f>
        <v>0</v>
      </c>
      <c r="BJ9" s="244" cm="1">
        <f t="array" ref="BJ9">IFERROR(INDEX(REL_DRE_FINANCEIRO!$D$31:$O$1057,$BD9,BJ$5),0)</f>
        <v>0</v>
      </c>
      <c r="BK9" s="244" cm="1">
        <f t="array" ref="BK9">IFERROR(INDEX(REL_DRE_FINANCEIRO!$D$31:$O$1057,$BD9,BK$5),0)</f>
        <v>0</v>
      </c>
      <c r="BL9" s="244" cm="1">
        <f t="array" ref="BL9">IFERROR(INDEX(REL_DRE_FINANCEIRO!$D$31:$O$1057,$BD9,BL$5),0)</f>
        <v>0</v>
      </c>
      <c r="BM9" s="244" cm="1">
        <f t="array" ref="BM9">IFERROR(INDEX(REL_DRE_FINANCEIRO!$D$31:$O$1057,$BD9,BM$5),0)</f>
        <v>0</v>
      </c>
      <c r="BN9" s="244" cm="1">
        <f t="array" ref="BN9">IFERROR(INDEX(REL_DRE_FINANCEIRO!$D$31:$O$1057,$BD9,BN$5),0)</f>
        <v>0</v>
      </c>
      <c r="BO9" s="244" cm="1">
        <f t="array" ref="BO9">IFERROR(INDEX(REL_DRE_FINANCEIRO!$D$31:$O$1057,$BD9,BO$5),0)</f>
        <v>0</v>
      </c>
      <c r="BP9" s="244" cm="1">
        <f t="array" ref="BP9">IFERROR(INDEX(REL_DRE_FINANCEIRO!$D$31:$O$1057,$BD9,BP$5),0)</f>
        <v>0</v>
      </c>
      <c r="BQ9" s="244"/>
      <c r="BR9" s="9" t="str">
        <f t="shared" si="2"/>
        <v>DESPESAS ADMINISTRATIVAS</v>
      </c>
      <c r="BS9" s="224">
        <f>MATCH(W9,REL_DRE_FINANCEIRO!$B$30:$B$1264,0)</f>
        <v>212</v>
      </c>
      <c r="BT9" s="9"/>
      <c r="BU9" s="9" t="str">
        <f t="shared" si="6"/>
        <v>DESPESAS ADMINISTRATIVAS</v>
      </c>
      <c r="BV9" s="11">
        <f t="shared" si="3"/>
        <v>15124.569999999998</v>
      </c>
      <c r="BW9" s="9"/>
      <c r="BX9" s="9"/>
      <c r="BY9" s="257" t="s">
        <v>1472</v>
      </c>
      <c r="BZ9"/>
      <c r="CA9"/>
      <c r="CB9" s="257" t="s">
        <v>1484</v>
      </c>
      <c r="CC9"/>
      <c r="CD9"/>
      <c r="CE9" s="257" t="s">
        <v>1556</v>
      </c>
      <c r="CF9"/>
      <c r="CG9"/>
      <c r="CH9" s="257" t="s">
        <v>1605</v>
      </c>
      <c r="CI9"/>
      <c r="CJ9"/>
      <c r="CK9" s="257" t="s">
        <v>1518</v>
      </c>
      <c r="CL9"/>
      <c r="CM9"/>
      <c r="CN9" s="257" t="s">
        <v>1490</v>
      </c>
      <c r="CO9"/>
      <c r="CP9"/>
      <c r="CQ9" s="257" t="s">
        <v>1582</v>
      </c>
      <c r="CR9"/>
      <c r="CS9"/>
      <c r="CT9" s="257" t="s">
        <v>1552</v>
      </c>
      <c r="CU9"/>
      <c r="CV9"/>
      <c r="CW9" s="257" t="s">
        <v>1497</v>
      </c>
      <c r="CX9"/>
      <c r="CY9"/>
      <c r="CZ9" s="257" t="s">
        <v>1572</v>
      </c>
      <c r="DA9"/>
      <c r="DB9"/>
      <c r="DC9" s="257" t="s">
        <v>1589</v>
      </c>
      <c r="DD9"/>
      <c r="DE9"/>
      <c r="DF9" s="257" t="s">
        <v>1507</v>
      </c>
      <c r="DG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</row>
    <row r="10" spans="2:144" ht="20.100000000000001" customHeight="1" x14ac:dyDescent="0.35">
      <c r="B10" s="215">
        <v>6</v>
      </c>
      <c r="C10" s="216" t="s">
        <v>1048</v>
      </c>
      <c r="D10" s="9" t="s">
        <v>17</v>
      </c>
      <c r="F10" s="10">
        <v>6</v>
      </c>
      <c r="G10" s="10">
        <f t="shared" si="4"/>
        <v>0</v>
      </c>
      <c r="I10" s="10">
        <v>6</v>
      </c>
      <c r="J10" s="217" t="s">
        <v>1145</v>
      </c>
      <c r="K10" s="251" t="s">
        <v>1230</v>
      </c>
      <c r="L10" s="251" t="s">
        <v>1042</v>
      </c>
      <c r="N10" s="227" t="s">
        <v>1174</v>
      </c>
      <c r="O10" s="228">
        <v>2</v>
      </c>
      <c r="P10" s="227" t="str">
        <f>VLOOKUP($O10,Mês[],2,0)</f>
        <v>Janeiro</v>
      </c>
      <c r="R10" s="9"/>
      <c r="S10" s="223" t="s">
        <v>1066</v>
      </c>
      <c r="T10" s="11" t="e">
        <f>IF($O$12=1,#REF!,INDEX(#REF!,1,$O$12))</f>
        <v>#REF!</v>
      </c>
      <c r="U10" s="9"/>
      <c r="V10" s="10">
        <v>6</v>
      </c>
      <c r="W10" s="9" t="str">
        <f t="shared" si="0"/>
        <v>DESPESAS COMERCIAIS</v>
      </c>
      <c r="X10" s="11">
        <f>SUMIFS(LANÇ_MOV[VALOR LÍQUIDO],LANÇ_MOV[PLANO DE CONTAS],Apoio!$W10,LANÇ_MOV[MÊS PAGAMENTO CORRESPONDENTE],Apoio!X$4,LANÇ_MOV[ANO PAGAMENTO],DASH_MENSAL!$B$4,LANÇ_MOV[EMPRESA],DASH_MENSAL!$D$4,LANÇ_MOV[CENTRO DE CUSTOS],DASH_MENSAL!$E$4)</f>
        <v>0</v>
      </c>
      <c r="Y10" s="11">
        <f>SUMIFS(LANÇ_MOV[VALOR LÍQUIDO],LANÇ_MOV[PLANO DE CONTAS],Apoio!$W10,LANÇ_MOV[MÊS PAGAMENTO CORRESPONDENTE],Apoio!Y$4,LANÇ_MOV[ANO PAGAMENTO],DASH_MENSAL!$B$4,LANÇ_MOV[EMPRESA],DASH_MENSAL!$D$4,LANÇ_MOV[CENTRO DE CUSTOS],DASH_MENSAL!$E$4)</f>
        <v>0</v>
      </c>
      <c r="Z10" s="11">
        <f>SUMIFS(LANÇ_MOV[VALOR LÍQUIDO],LANÇ_MOV[PLANO DE CONTAS],Apoio!$W10,LANÇ_MOV[MÊS PAGAMENTO CORRESPONDENTE],Apoio!Z$4,LANÇ_MOV[ANO PAGAMENTO],DASH_MENSAL!$B$4,LANÇ_MOV[EMPRESA],DASH_MENSAL!$D$4,LANÇ_MOV[CENTRO DE CUSTOS],DASH_MENSAL!$E$4)</f>
        <v>0</v>
      </c>
      <c r="AA10" s="11">
        <f>SUMIFS(LANÇ_MOV[VALOR LÍQUIDO],LANÇ_MOV[PLANO DE CONTAS],Apoio!$W10,LANÇ_MOV[MÊS PAGAMENTO CORRESPONDENTE],Apoio!AA$4,LANÇ_MOV[ANO PAGAMENTO],DASH_MENSAL!$B$4,LANÇ_MOV[EMPRESA],DASH_MENSAL!$D$4,LANÇ_MOV[CENTRO DE CUSTOS],DASH_MENSAL!$E$4)</f>
        <v>0</v>
      </c>
      <c r="AB10" s="11">
        <f>SUMIFS(LANÇ_MOV[VALOR LÍQUIDO],LANÇ_MOV[PLANO DE CONTAS],Apoio!$W10,LANÇ_MOV[MÊS PAGAMENTO CORRESPONDENTE],Apoio!AB$4,LANÇ_MOV[ANO PAGAMENTO],DASH_MENSAL!$B$4,LANÇ_MOV[EMPRESA],DASH_MENSAL!$D$4,LANÇ_MOV[CENTRO DE CUSTOS],DASH_MENSAL!$E$4)</f>
        <v>0</v>
      </c>
      <c r="AC10" s="11">
        <f>SUMIFS(LANÇ_MOV[VALOR LÍQUIDO],LANÇ_MOV[PLANO DE CONTAS],Apoio!$W10,LANÇ_MOV[MÊS PAGAMENTO CORRESPONDENTE],Apoio!AC$4,LANÇ_MOV[ANO PAGAMENTO],DASH_MENSAL!$B$4,LANÇ_MOV[EMPRESA],DASH_MENSAL!$D$4,LANÇ_MOV[CENTRO DE CUSTOS],DASH_MENSAL!$E$4)</f>
        <v>0</v>
      </c>
      <c r="AD10" s="11">
        <f>SUMIFS(LANÇ_MOV[VALOR LÍQUIDO],LANÇ_MOV[PLANO DE CONTAS],Apoio!$W10,LANÇ_MOV[MÊS PAGAMENTO CORRESPONDENTE],Apoio!AD$4,LANÇ_MOV[ANO PAGAMENTO],DASH_MENSAL!$B$4,LANÇ_MOV[EMPRESA],DASH_MENSAL!$D$4,LANÇ_MOV[CENTRO DE CUSTOS],DASH_MENSAL!$E$4)</f>
        <v>0</v>
      </c>
      <c r="AE10" s="11">
        <f>SUMIFS(LANÇ_MOV[VALOR LÍQUIDO],LANÇ_MOV[PLANO DE CONTAS],Apoio!$W10,LANÇ_MOV[MÊS PAGAMENTO CORRESPONDENTE],Apoio!AE$4,LANÇ_MOV[ANO PAGAMENTO],DASH_MENSAL!$B$4,LANÇ_MOV[EMPRESA],DASH_MENSAL!$D$4,LANÇ_MOV[CENTRO DE CUSTOS],DASH_MENSAL!$E$4)</f>
        <v>0</v>
      </c>
      <c r="AF10" s="11">
        <f>SUMIFS(LANÇ_MOV[VALOR LÍQUIDO],LANÇ_MOV[PLANO DE CONTAS],Apoio!$W10,LANÇ_MOV[MÊS PAGAMENTO CORRESPONDENTE],Apoio!AF$4,LANÇ_MOV[ANO PAGAMENTO],DASH_MENSAL!$B$4,LANÇ_MOV[EMPRESA],DASH_MENSAL!$D$4,LANÇ_MOV[CENTRO DE CUSTOS],DASH_MENSAL!$E$4)</f>
        <v>0</v>
      </c>
      <c r="AG10" s="11">
        <f>SUMIFS(LANÇ_MOV[VALOR LÍQUIDO],LANÇ_MOV[PLANO DE CONTAS],Apoio!$W10,LANÇ_MOV[MÊS PAGAMENTO CORRESPONDENTE],Apoio!AG$4,LANÇ_MOV[ANO PAGAMENTO],DASH_MENSAL!$B$4,LANÇ_MOV[EMPRESA],DASH_MENSAL!$D$4,LANÇ_MOV[CENTRO DE CUSTOS],DASH_MENSAL!$E$4)</f>
        <v>0</v>
      </c>
      <c r="AH10" s="11">
        <f>SUMIFS(LANÇ_MOV[VALOR LÍQUIDO],LANÇ_MOV[PLANO DE CONTAS],Apoio!$W10,LANÇ_MOV[MÊS PAGAMENTO CORRESPONDENTE],Apoio!AH$4,LANÇ_MOV[ANO PAGAMENTO],DASH_MENSAL!$B$4,LANÇ_MOV[EMPRESA],DASH_MENSAL!$D$4,LANÇ_MOV[CENTRO DE CUSTOS],DASH_MENSAL!$E$4)</f>
        <v>0</v>
      </c>
      <c r="AI10" s="11">
        <f>SUMIFS(LANÇ_MOV[VALOR LÍQUIDO],LANÇ_MOV[PLANO DE CONTAS],Apoio!$W10,LANÇ_MOV[MÊS PAGAMENTO CORRESPONDENTE],Apoio!AI$4,LANÇ_MOV[ANO PAGAMENTO],DASH_MENSAL!$B$4,LANÇ_MOV[EMPRESA],DASH_MENSAL!$D$4,LANÇ_MOV[CENTRO DE CUSTOS],DASH_MENSAL!$E$4)</f>
        <v>0</v>
      </c>
      <c r="AJ10" s="11">
        <f t="shared" si="5"/>
        <v>0</v>
      </c>
      <c r="AK10" s="9"/>
      <c r="AL10" s="11">
        <f t="shared" si="1"/>
        <v>0</v>
      </c>
      <c r="AM10" s="9"/>
      <c r="AN10" s="223" t="s">
        <v>1114</v>
      </c>
      <c r="AO10" s="234" t="e">
        <f>IF(AO9&gt;=AO8,AO9,"")</f>
        <v>#REF!</v>
      </c>
      <c r="AP10" s="234" t="e">
        <f t="shared" ref="AP10:AY10" si="8">IF(AP9&gt;=AP8,AP9,"")</f>
        <v>#REF!</v>
      </c>
      <c r="AQ10" s="234" t="e">
        <f t="shared" si="8"/>
        <v>#REF!</v>
      </c>
      <c r="AR10" s="234" t="e">
        <f t="shared" si="8"/>
        <v>#REF!</v>
      </c>
      <c r="AS10" s="234" t="e">
        <f t="shared" si="8"/>
        <v>#REF!</v>
      </c>
      <c r="AT10" s="234" t="e">
        <f t="shared" si="8"/>
        <v>#REF!</v>
      </c>
      <c r="AU10" s="234" t="e">
        <f t="shared" si="8"/>
        <v>#REF!</v>
      </c>
      <c r="AV10" s="234" t="e">
        <f t="shared" si="8"/>
        <v>#REF!</v>
      </c>
      <c r="AW10" s="234" t="e">
        <f t="shared" si="8"/>
        <v>#REF!</v>
      </c>
      <c r="AX10" s="234" t="e">
        <f t="shared" si="8"/>
        <v>#REF!</v>
      </c>
      <c r="AY10" s="234" t="e">
        <f t="shared" si="8"/>
        <v>#REF!</v>
      </c>
      <c r="AZ10" s="234" t="e">
        <f>IF(AZ9&gt;=AZ8,AZ9,"")</f>
        <v>#REF!</v>
      </c>
      <c r="BA10" s="218" t="e">
        <f>SUM(AO10:AZ10)</f>
        <v>#REF!</v>
      </c>
      <c r="BB10" s="9"/>
      <c r="BC10" s="233" t="str">
        <f>DASH_CONTAS!$K$4</f>
        <v>OBRA 1</v>
      </c>
      <c r="BD10" s="224" t="e">
        <f>MATCH($BC10,REL_DRE_FINANCEIRO!C31,0)</f>
        <v>#N/A</v>
      </c>
      <c r="BE10" s="244" cm="1">
        <f t="array" ref="BE10">IFERROR(INDEX(REL_DRE_FINANCEIRO!$D$31:$O$1057,$BD10,BE$5),0)</f>
        <v>0</v>
      </c>
      <c r="BF10" s="244" cm="1">
        <f t="array" ref="BF10">IFERROR(INDEX(REL_DRE_FINANCEIRO!$D$31:$O$1057,$BD10,BF$5),0)</f>
        <v>0</v>
      </c>
      <c r="BG10" s="244" cm="1">
        <f t="array" ref="BG10">IFERROR(INDEX(REL_DRE_FINANCEIRO!$D$31:$O$1057,$BD10,BG$5),0)</f>
        <v>0</v>
      </c>
      <c r="BH10" s="244" cm="1">
        <f t="array" ref="BH10">IFERROR(INDEX(REL_DRE_FINANCEIRO!$D$31:$O$1057,$BD10,BH$5),0)</f>
        <v>0</v>
      </c>
      <c r="BI10" s="244" cm="1">
        <f t="array" ref="BI10">IFERROR(INDEX(REL_DRE_FINANCEIRO!$D$31:$O$1057,$BD10,BI$5),0)</f>
        <v>0</v>
      </c>
      <c r="BJ10" s="244" cm="1">
        <f t="array" ref="BJ10">IFERROR(INDEX(REL_DRE_FINANCEIRO!$D$31:$O$1057,$BD10,BJ$5),0)</f>
        <v>0</v>
      </c>
      <c r="BK10" s="244" cm="1">
        <f t="array" ref="BK10">IFERROR(INDEX(REL_DRE_FINANCEIRO!$D$31:$O$1057,$BD10,BK$5),0)</f>
        <v>0</v>
      </c>
      <c r="BL10" s="244" cm="1">
        <f t="array" ref="BL10">IFERROR(INDEX(REL_DRE_FINANCEIRO!$D$31:$O$1057,$BD10,BL$5),0)</f>
        <v>0</v>
      </c>
      <c r="BM10" s="244" cm="1">
        <f t="array" ref="BM10">IFERROR(INDEX(REL_DRE_FINANCEIRO!$D$31:$O$1057,$BD10,BM$5),0)</f>
        <v>0</v>
      </c>
      <c r="BN10" s="244" cm="1">
        <f t="array" ref="BN10">IFERROR(INDEX(REL_DRE_FINANCEIRO!$D$31:$O$1057,$BD10,BN$5),0)</f>
        <v>0</v>
      </c>
      <c r="BO10" s="244" cm="1">
        <f t="array" ref="BO10">IFERROR(INDEX(REL_DRE_FINANCEIRO!$D$31:$O$1057,$BD10,BO$5),0)</f>
        <v>0</v>
      </c>
      <c r="BP10" s="244" cm="1">
        <f t="array" ref="BP10">IFERROR(INDEX(REL_DRE_FINANCEIRO!$D$31:$O$1057,$BD10,BP$5),0)</f>
        <v>0</v>
      </c>
      <c r="BQ10" s="244"/>
      <c r="BR10" s="9" t="str">
        <f t="shared" si="2"/>
        <v>DESPESAS COMERCIAIS</v>
      </c>
      <c r="BS10" s="224">
        <f>MATCH(W10,REL_DRE_FINANCEIRO!$B$30:$B$1264,0)</f>
        <v>314</v>
      </c>
      <c r="BT10" s="9"/>
      <c r="BU10" s="9" t="str">
        <f t="shared" si="6"/>
        <v>DESPESAS COMERCIAIS</v>
      </c>
      <c r="BV10" s="11">
        <f t="shared" si="3"/>
        <v>0</v>
      </c>
      <c r="BW10" s="9"/>
      <c r="BX10" s="9"/>
      <c r="BY10" s="257" t="s">
        <v>1549</v>
      </c>
      <c r="BZ10"/>
      <c r="CA10"/>
      <c r="CB10" s="257" t="s">
        <v>1483</v>
      </c>
      <c r="CC10"/>
      <c r="CD10"/>
      <c r="CE10" s="257" t="s">
        <v>1561</v>
      </c>
      <c r="CF10"/>
      <c r="CG10"/>
      <c r="CH10" s="257" t="s">
        <v>1470</v>
      </c>
      <c r="CI10"/>
      <c r="CJ10"/>
      <c r="CK10" s="257" t="s">
        <v>1540</v>
      </c>
      <c r="CL10"/>
      <c r="CM10"/>
      <c r="CN10"/>
      <c r="CO10"/>
      <c r="CP10"/>
      <c r="CQ10" s="257" t="s">
        <v>1585</v>
      </c>
      <c r="CR10"/>
      <c r="CS10"/>
      <c r="CT10"/>
      <c r="CU10"/>
      <c r="CV10"/>
      <c r="CW10" s="257" t="s">
        <v>1508</v>
      </c>
      <c r="CX10"/>
      <c r="CY10"/>
      <c r="CZ10" s="257" t="s">
        <v>1573</v>
      </c>
      <c r="DA10"/>
      <c r="DB10"/>
      <c r="DC10"/>
      <c r="DD10"/>
      <c r="DE10"/>
      <c r="DF10" s="257" t="s">
        <v>1553</v>
      </c>
      <c r="DG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</row>
    <row r="11" spans="2:144" ht="20.100000000000001" customHeight="1" x14ac:dyDescent="0.35">
      <c r="B11" s="215">
        <v>7</v>
      </c>
      <c r="C11" s="216" t="s">
        <v>1049</v>
      </c>
      <c r="D11" s="9" t="s">
        <v>18</v>
      </c>
      <c r="F11" s="10">
        <v>7</v>
      </c>
      <c r="G11" s="10">
        <f t="shared" si="4"/>
        <v>0</v>
      </c>
      <c r="I11" s="10">
        <v>7</v>
      </c>
      <c r="J11" s="217" t="s">
        <v>228</v>
      </c>
      <c r="K11" s="251" t="s">
        <v>1231</v>
      </c>
      <c r="L11" s="251" t="s">
        <v>1042</v>
      </c>
      <c r="N11" s="227" t="s">
        <v>1175</v>
      </c>
      <c r="O11" s="228">
        <v>7</v>
      </c>
      <c r="P11" s="227" t="str">
        <f>VLOOKUP($O11,Mês[],2,0)</f>
        <v>Junho</v>
      </c>
      <c r="R11" s="9"/>
      <c r="S11" s="223" t="s">
        <v>1110</v>
      </c>
      <c r="T11" s="11" t="e">
        <f>IF($O$12=1,#REF!,INDEX(#REF!,1,$O$12))</f>
        <v>#REF!</v>
      </c>
      <c r="U11" s="9"/>
      <c r="V11" s="10">
        <v>7</v>
      </c>
      <c r="W11" s="9" t="str">
        <f t="shared" si="0"/>
        <v>DESPESAS COM RH</v>
      </c>
      <c r="X11" s="11">
        <f>SUMIFS(LANÇ_MOV[VALOR LÍQUIDO],LANÇ_MOV[PLANO DE CONTAS],Apoio!$W11,LANÇ_MOV[MÊS PAGAMENTO CORRESPONDENTE],Apoio!X$4,LANÇ_MOV[ANO PAGAMENTO],DASH_MENSAL!$B$4,LANÇ_MOV[EMPRESA],DASH_MENSAL!$D$4,LANÇ_MOV[CENTRO DE CUSTOS],DASH_MENSAL!$E$4)</f>
        <v>0</v>
      </c>
      <c r="Y11" s="11">
        <f>SUMIFS(LANÇ_MOV[VALOR LÍQUIDO],LANÇ_MOV[PLANO DE CONTAS],Apoio!$W11,LANÇ_MOV[MÊS PAGAMENTO CORRESPONDENTE],Apoio!Y$4,LANÇ_MOV[ANO PAGAMENTO],DASH_MENSAL!$B$4,LANÇ_MOV[EMPRESA],DASH_MENSAL!$D$4,LANÇ_MOV[CENTRO DE CUSTOS],DASH_MENSAL!$E$4)</f>
        <v>0</v>
      </c>
      <c r="Z11" s="11">
        <f>SUMIFS(LANÇ_MOV[VALOR LÍQUIDO],LANÇ_MOV[PLANO DE CONTAS],Apoio!$W11,LANÇ_MOV[MÊS PAGAMENTO CORRESPONDENTE],Apoio!Z$4,LANÇ_MOV[ANO PAGAMENTO],DASH_MENSAL!$B$4,LANÇ_MOV[EMPRESA],DASH_MENSAL!$D$4,LANÇ_MOV[CENTRO DE CUSTOS],DASH_MENSAL!$E$4)</f>
        <v>0</v>
      </c>
      <c r="AA11" s="11">
        <f>SUMIFS(LANÇ_MOV[VALOR LÍQUIDO],LANÇ_MOV[PLANO DE CONTAS],Apoio!$W11,LANÇ_MOV[MÊS PAGAMENTO CORRESPONDENTE],Apoio!AA$4,LANÇ_MOV[ANO PAGAMENTO],DASH_MENSAL!$B$4,LANÇ_MOV[EMPRESA],DASH_MENSAL!$D$4,LANÇ_MOV[CENTRO DE CUSTOS],DASH_MENSAL!$E$4)</f>
        <v>0</v>
      </c>
      <c r="AB11" s="11">
        <f>SUMIFS(LANÇ_MOV[VALOR LÍQUIDO],LANÇ_MOV[PLANO DE CONTAS],Apoio!$W11,LANÇ_MOV[MÊS PAGAMENTO CORRESPONDENTE],Apoio!AB$4,LANÇ_MOV[ANO PAGAMENTO],DASH_MENSAL!$B$4,LANÇ_MOV[EMPRESA],DASH_MENSAL!$D$4,LANÇ_MOV[CENTRO DE CUSTOS],DASH_MENSAL!$E$4)</f>
        <v>0</v>
      </c>
      <c r="AC11" s="11">
        <f>SUMIFS(LANÇ_MOV[VALOR LÍQUIDO],LANÇ_MOV[PLANO DE CONTAS],Apoio!$W11,LANÇ_MOV[MÊS PAGAMENTO CORRESPONDENTE],Apoio!AC$4,LANÇ_MOV[ANO PAGAMENTO],DASH_MENSAL!$B$4,LANÇ_MOV[EMPRESA],DASH_MENSAL!$D$4,LANÇ_MOV[CENTRO DE CUSTOS],DASH_MENSAL!$E$4)</f>
        <v>0</v>
      </c>
      <c r="AD11" s="11">
        <f>SUMIFS(LANÇ_MOV[VALOR LÍQUIDO],LANÇ_MOV[PLANO DE CONTAS],Apoio!$W11,LANÇ_MOV[MÊS PAGAMENTO CORRESPONDENTE],Apoio!AD$4,LANÇ_MOV[ANO PAGAMENTO],DASH_MENSAL!$B$4,LANÇ_MOV[EMPRESA],DASH_MENSAL!$D$4,LANÇ_MOV[CENTRO DE CUSTOS],DASH_MENSAL!$E$4)</f>
        <v>0</v>
      </c>
      <c r="AE11" s="11">
        <f>SUMIFS(LANÇ_MOV[VALOR LÍQUIDO],LANÇ_MOV[PLANO DE CONTAS],Apoio!$W11,LANÇ_MOV[MÊS PAGAMENTO CORRESPONDENTE],Apoio!AE$4,LANÇ_MOV[ANO PAGAMENTO],DASH_MENSAL!$B$4,LANÇ_MOV[EMPRESA],DASH_MENSAL!$D$4,LANÇ_MOV[CENTRO DE CUSTOS],DASH_MENSAL!$E$4)</f>
        <v>0</v>
      </c>
      <c r="AF11" s="11">
        <f>SUMIFS(LANÇ_MOV[VALOR LÍQUIDO],LANÇ_MOV[PLANO DE CONTAS],Apoio!$W11,LANÇ_MOV[MÊS PAGAMENTO CORRESPONDENTE],Apoio!AF$4,LANÇ_MOV[ANO PAGAMENTO],DASH_MENSAL!$B$4,LANÇ_MOV[EMPRESA],DASH_MENSAL!$D$4,LANÇ_MOV[CENTRO DE CUSTOS],DASH_MENSAL!$E$4)</f>
        <v>0</v>
      </c>
      <c r="AG11" s="11">
        <f>SUMIFS(LANÇ_MOV[VALOR LÍQUIDO],LANÇ_MOV[PLANO DE CONTAS],Apoio!$W11,LANÇ_MOV[MÊS PAGAMENTO CORRESPONDENTE],Apoio!AG$4,LANÇ_MOV[ANO PAGAMENTO],DASH_MENSAL!$B$4,LANÇ_MOV[EMPRESA],DASH_MENSAL!$D$4,LANÇ_MOV[CENTRO DE CUSTOS],DASH_MENSAL!$E$4)</f>
        <v>10749.080000000002</v>
      </c>
      <c r="AH11" s="11">
        <f>SUMIFS(LANÇ_MOV[VALOR LÍQUIDO],LANÇ_MOV[PLANO DE CONTAS],Apoio!$W11,LANÇ_MOV[MÊS PAGAMENTO CORRESPONDENTE],Apoio!AH$4,LANÇ_MOV[ANO PAGAMENTO],DASH_MENSAL!$B$4,LANÇ_MOV[EMPRESA],DASH_MENSAL!$D$4,LANÇ_MOV[CENTRO DE CUSTOS],DASH_MENSAL!$E$4)</f>
        <v>2867.5299999999997</v>
      </c>
      <c r="AI11" s="11">
        <f>SUMIFS(LANÇ_MOV[VALOR LÍQUIDO],LANÇ_MOV[PLANO DE CONTAS],Apoio!$W11,LANÇ_MOV[MÊS PAGAMENTO CORRESPONDENTE],Apoio!AI$4,LANÇ_MOV[ANO PAGAMENTO],DASH_MENSAL!$B$4,LANÇ_MOV[EMPRESA],DASH_MENSAL!$D$4,LANÇ_MOV[CENTRO DE CUSTOS],DASH_MENSAL!$E$4)</f>
        <v>0</v>
      </c>
      <c r="AJ11" s="11">
        <f t="shared" si="5"/>
        <v>13616.61</v>
      </c>
      <c r="AK11" s="9"/>
      <c r="AL11" s="11">
        <f t="shared" si="1"/>
        <v>13616.61</v>
      </c>
      <c r="AM11" s="9"/>
      <c r="AN11" s="223" t="s">
        <v>1115</v>
      </c>
      <c r="AO11" s="234" t="e">
        <f>IF(AO9&lt;AO8,AO9,"")</f>
        <v>#REF!</v>
      </c>
      <c r="AP11" s="234" t="e">
        <f t="shared" ref="AP11:AZ11" si="9">IF(AP9&lt;AP8,AP9,"")</f>
        <v>#REF!</v>
      </c>
      <c r="AQ11" s="234" t="e">
        <f t="shared" si="9"/>
        <v>#REF!</v>
      </c>
      <c r="AR11" s="234" t="e">
        <f t="shared" si="9"/>
        <v>#REF!</v>
      </c>
      <c r="AS11" s="234" t="e">
        <f t="shared" si="9"/>
        <v>#REF!</v>
      </c>
      <c r="AT11" s="234" t="e">
        <f t="shared" si="9"/>
        <v>#REF!</v>
      </c>
      <c r="AU11" s="234" t="e">
        <f t="shared" si="9"/>
        <v>#REF!</v>
      </c>
      <c r="AV11" s="234" t="e">
        <f t="shared" si="9"/>
        <v>#REF!</v>
      </c>
      <c r="AW11" s="234" t="e">
        <f t="shared" si="9"/>
        <v>#REF!</v>
      </c>
      <c r="AX11" s="234" t="e">
        <f t="shared" si="9"/>
        <v>#REF!</v>
      </c>
      <c r="AY11" s="234" t="e">
        <f t="shared" si="9"/>
        <v>#REF!</v>
      </c>
      <c r="AZ11" s="234" t="e">
        <f t="shared" si="9"/>
        <v>#REF!</v>
      </c>
      <c r="BA11" s="234"/>
      <c r="BB11" s="9"/>
      <c r="BC11" s="9"/>
      <c r="BD11" s="10"/>
      <c r="BE11" s="9"/>
      <c r="BR11" s="9" t="str">
        <f t="shared" si="2"/>
        <v>DESPESAS COM RH</v>
      </c>
      <c r="BS11" s="224">
        <f>MATCH(W11,REL_DRE_FINANCEIRO!$B$30:$B$1264,0)</f>
        <v>416</v>
      </c>
      <c r="BT11" s="9"/>
      <c r="BU11" s="9" t="str">
        <f t="shared" si="6"/>
        <v>DESPESAS COM RH</v>
      </c>
      <c r="BV11" s="11">
        <f t="shared" si="3"/>
        <v>13616.61</v>
      </c>
      <c r="BW11" s="9"/>
      <c r="BX11" s="9"/>
      <c r="BY11" s="257" t="s">
        <v>1210</v>
      </c>
      <c r="BZ11"/>
      <c r="CA11"/>
      <c r="CB11" s="257" t="s">
        <v>1554</v>
      </c>
      <c r="CC11"/>
      <c r="CD11"/>
      <c r="CE11" s="257" t="s">
        <v>1562</v>
      </c>
      <c r="CF11"/>
      <c r="CG11"/>
      <c r="CH11" s="257" t="s">
        <v>1476</v>
      </c>
      <c r="CI11"/>
      <c r="CJ11"/>
      <c r="CK11" s="257" t="s">
        <v>1580</v>
      </c>
      <c r="CL11"/>
      <c r="CM11"/>
      <c r="CN11"/>
      <c r="CO11"/>
      <c r="CP11"/>
      <c r="CQ11" s="257" t="s">
        <v>1601</v>
      </c>
      <c r="CR11"/>
      <c r="CS11"/>
      <c r="CT11"/>
      <c r="CU11"/>
      <c r="CV11"/>
      <c r="CW11" s="257" t="s">
        <v>1511</v>
      </c>
      <c r="CX11"/>
      <c r="CY11"/>
      <c r="CZ11" s="257" t="s">
        <v>1575</v>
      </c>
      <c r="DA11"/>
      <c r="DB11"/>
      <c r="DC11"/>
      <c r="DD11"/>
      <c r="DE11"/>
      <c r="DF11" s="257" t="s">
        <v>1556</v>
      </c>
      <c r="DG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</row>
    <row r="12" spans="2:144" ht="20.100000000000001" customHeight="1" x14ac:dyDescent="0.35">
      <c r="B12" s="215">
        <v>8</v>
      </c>
      <c r="C12" s="216" t="s">
        <v>1050</v>
      </c>
      <c r="D12" s="9" t="s">
        <v>19</v>
      </c>
      <c r="F12" s="10">
        <v>8</v>
      </c>
      <c r="G12" s="10">
        <f t="shared" si="4"/>
        <v>0</v>
      </c>
      <c r="I12" s="10">
        <v>8</v>
      </c>
      <c r="J12" s="217" t="s">
        <v>227</v>
      </c>
      <c r="K12" s="251" t="s">
        <v>1232</v>
      </c>
      <c r="L12" s="251" t="s">
        <v>1042</v>
      </c>
      <c r="N12" s="227" t="s">
        <v>1202</v>
      </c>
      <c r="O12" s="228">
        <v>1</v>
      </c>
      <c r="P12" s="227" t="str">
        <f>VLOOKUP($O12,Mês[],2,0)</f>
        <v>TOTAL MESES</v>
      </c>
      <c r="R12" s="9"/>
      <c r="S12" s="223" t="s">
        <v>1111</v>
      </c>
      <c r="T12" s="219" t="e">
        <f>IF($O$12=1,#REF!,INDEX(#REF!,1,$O$12))</f>
        <v>#REF!</v>
      </c>
      <c r="U12" s="9"/>
      <c r="V12" s="10">
        <v>8</v>
      </c>
      <c r="W12" s="9" t="str">
        <f t="shared" si="0"/>
        <v>DESPESAS NÃO OPERACIONAIS</v>
      </c>
      <c r="X12" s="11">
        <f>SUMIFS(LANÇ_MOV[VALOR LÍQUIDO],LANÇ_MOV[PLANO DE CONTAS],Apoio!$W12,LANÇ_MOV[MÊS PAGAMENTO CORRESPONDENTE],Apoio!X$4,LANÇ_MOV[ANO PAGAMENTO],DASH_MENSAL!$B$4,LANÇ_MOV[EMPRESA],DASH_MENSAL!$D$4,LANÇ_MOV[CENTRO DE CUSTOS],DASH_MENSAL!$E$4)</f>
        <v>0</v>
      </c>
      <c r="Y12" s="11">
        <f>SUMIFS(LANÇ_MOV[VALOR LÍQUIDO],LANÇ_MOV[PLANO DE CONTAS],Apoio!$W12,LANÇ_MOV[MÊS PAGAMENTO CORRESPONDENTE],Apoio!Y$4,LANÇ_MOV[ANO PAGAMENTO],DASH_MENSAL!$B$4,LANÇ_MOV[EMPRESA],DASH_MENSAL!$D$4,LANÇ_MOV[CENTRO DE CUSTOS],DASH_MENSAL!$E$4)</f>
        <v>0</v>
      </c>
      <c r="Z12" s="11">
        <f>SUMIFS(LANÇ_MOV[VALOR LÍQUIDO],LANÇ_MOV[PLANO DE CONTAS],Apoio!$W12,LANÇ_MOV[MÊS PAGAMENTO CORRESPONDENTE],Apoio!Z$4,LANÇ_MOV[ANO PAGAMENTO],DASH_MENSAL!$B$4,LANÇ_MOV[EMPRESA],DASH_MENSAL!$D$4,LANÇ_MOV[CENTRO DE CUSTOS],DASH_MENSAL!$E$4)</f>
        <v>0</v>
      </c>
      <c r="AA12" s="11">
        <f>SUMIFS(LANÇ_MOV[VALOR LÍQUIDO],LANÇ_MOV[PLANO DE CONTAS],Apoio!$W12,LANÇ_MOV[MÊS PAGAMENTO CORRESPONDENTE],Apoio!AA$4,LANÇ_MOV[ANO PAGAMENTO],DASH_MENSAL!$B$4,LANÇ_MOV[EMPRESA],DASH_MENSAL!$D$4,LANÇ_MOV[CENTRO DE CUSTOS],DASH_MENSAL!$E$4)</f>
        <v>0</v>
      </c>
      <c r="AB12" s="11">
        <f>SUMIFS(LANÇ_MOV[VALOR LÍQUIDO],LANÇ_MOV[PLANO DE CONTAS],Apoio!$W12,LANÇ_MOV[MÊS PAGAMENTO CORRESPONDENTE],Apoio!AB$4,LANÇ_MOV[ANO PAGAMENTO],DASH_MENSAL!$B$4,LANÇ_MOV[EMPRESA],DASH_MENSAL!$D$4,LANÇ_MOV[CENTRO DE CUSTOS],DASH_MENSAL!$E$4)</f>
        <v>0</v>
      </c>
      <c r="AC12" s="11">
        <f>SUMIFS(LANÇ_MOV[VALOR LÍQUIDO],LANÇ_MOV[PLANO DE CONTAS],Apoio!$W12,LANÇ_MOV[MÊS PAGAMENTO CORRESPONDENTE],Apoio!AC$4,LANÇ_MOV[ANO PAGAMENTO],DASH_MENSAL!$B$4,LANÇ_MOV[EMPRESA],DASH_MENSAL!$D$4,LANÇ_MOV[CENTRO DE CUSTOS],DASH_MENSAL!$E$4)</f>
        <v>0</v>
      </c>
      <c r="AD12" s="11">
        <f>SUMIFS(LANÇ_MOV[VALOR LÍQUIDO],LANÇ_MOV[PLANO DE CONTAS],Apoio!$W12,LANÇ_MOV[MÊS PAGAMENTO CORRESPONDENTE],Apoio!AD$4,LANÇ_MOV[ANO PAGAMENTO],DASH_MENSAL!$B$4,LANÇ_MOV[EMPRESA],DASH_MENSAL!$D$4,LANÇ_MOV[CENTRO DE CUSTOS],DASH_MENSAL!$E$4)</f>
        <v>0</v>
      </c>
      <c r="AE12" s="11">
        <f>SUMIFS(LANÇ_MOV[VALOR LÍQUIDO],LANÇ_MOV[PLANO DE CONTAS],Apoio!$W12,LANÇ_MOV[MÊS PAGAMENTO CORRESPONDENTE],Apoio!AE$4,LANÇ_MOV[ANO PAGAMENTO],DASH_MENSAL!$B$4,LANÇ_MOV[EMPRESA],DASH_MENSAL!$D$4,LANÇ_MOV[CENTRO DE CUSTOS],DASH_MENSAL!$E$4)</f>
        <v>0</v>
      </c>
      <c r="AF12" s="11">
        <f>SUMIFS(LANÇ_MOV[VALOR LÍQUIDO],LANÇ_MOV[PLANO DE CONTAS],Apoio!$W12,LANÇ_MOV[MÊS PAGAMENTO CORRESPONDENTE],Apoio!AF$4,LANÇ_MOV[ANO PAGAMENTO],DASH_MENSAL!$B$4,LANÇ_MOV[EMPRESA],DASH_MENSAL!$D$4,LANÇ_MOV[CENTRO DE CUSTOS],DASH_MENSAL!$E$4)</f>
        <v>0</v>
      </c>
      <c r="AG12" s="11">
        <f>SUMIFS(LANÇ_MOV[VALOR LÍQUIDO],LANÇ_MOV[PLANO DE CONTAS],Apoio!$W12,LANÇ_MOV[MÊS PAGAMENTO CORRESPONDENTE],Apoio!AG$4,LANÇ_MOV[ANO PAGAMENTO],DASH_MENSAL!$B$4,LANÇ_MOV[EMPRESA],DASH_MENSAL!$D$4,LANÇ_MOV[CENTRO DE CUSTOS],DASH_MENSAL!$E$4)</f>
        <v>0</v>
      </c>
      <c r="AH12" s="11">
        <f>SUMIFS(LANÇ_MOV[VALOR LÍQUIDO],LANÇ_MOV[PLANO DE CONTAS],Apoio!$W12,LANÇ_MOV[MÊS PAGAMENTO CORRESPONDENTE],Apoio!AH$4,LANÇ_MOV[ANO PAGAMENTO],DASH_MENSAL!$B$4,LANÇ_MOV[EMPRESA],DASH_MENSAL!$D$4,LANÇ_MOV[CENTRO DE CUSTOS],DASH_MENSAL!$E$4)</f>
        <v>0</v>
      </c>
      <c r="AI12" s="11">
        <f>SUMIFS(LANÇ_MOV[VALOR LÍQUIDO],LANÇ_MOV[PLANO DE CONTAS],Apoio!$W12,LANÇ_MOV[MÊS PAGAMENTO CORRESPONDENTE],Apoio!AI$4,LANÇ_MOV[ANO PAGAMENTO],DASH_MENSAL!$B$4,LANÇ_MOV[EMPRESA],DASH_MENSAL!$D$4,LANÇ_MOV[CENTRO DE CUSTOS],DASH_MENSAL!$E$4)</f>
        <v>0</v>
      </c>
      <c r="AJ12" s="11">
        <f t="shared" si="5"/>
        <v>0</v>
      </c>
      <c r="AK12" s="9"/>
      <c r="AL12" s="11">
        <f t="shared" si="1"/>
        <v>0</v>
      </c>
      <c r="AM12" s="9"/>
      <c r="AN12" s="9"/>
      <c r="AV12" s="11"/>
      <c r="AW12" s="11"/>
      <c r="AX12" s="11"/>
      <c r="AZ12" s="11"/>
      <c r="BA12" s="11"/>
      <c r="BB12" s="9"/>
      <c r="BC12" s="223" t="str">
        <f>VLOOKUP($O$14,$V$5:$W$16,2,FALSE)</f>
        <v>RECEITAS OPERACIONAIS</v>
      </c>
      <c r="BE12" s="9"/>
      <c r="BR12" s="9" t="str">
        <f t="shared" si="2"/>
        <v>DESPESAS NÃO OPERACIONAIS</v>
      </c>
      <c r="BS12" s="224">
        <f>MATCH(W12,REL_DRE_FINANCEIRO!$B$30:$B$1264,0)</f>
        <v>622</v>
      </c>
      <c r="BT12" s="9"/>
      <c r="BU12" s="9" t="str">
        <f t="shared" si="6"/>
        <v>DESPESAS NÃO OPERACIONAIS</v>
      </c>
      <c r="BV12" s="11">
        <f t="shared" si="3"/>
        <v>0</v>
      </c>
      <c r="BW12" s="9"/>
      <c r="BX12" s="9"/>
      <c r="BY12" s="257" t="s">
        <v>1467</v>
      </c>
      <c r="BZ12"/>
      <c r="CA12"/>
      <c r="CB12" s="257" t="s">
        <v>1481</v>
      </c>
      <c r="CC12"/>
      <c r="CD12"/>
      <c r="CE12" s="257" t="s">
        <v>1566</v>
      </c>
      <c r="CF12"/>
      <c r="CG12"/>
      <c r="CH12" s="257" t="s">
        <v>1458</v>
      </c>
      <c r="CI12"/>
      <c r="CJ12"/>
      <c r="CK12" s="257" t="s">
        <v>1539</v>
      </c>
      <c r="CL12"/>
      <c r="CM12"/>
      <c r="CN12"/>
      <c r="CO12"/>
      <c r="CP12"/>
      <c r="CQ12" s="257" t="s">
        <v>1617</v>
      </c>
      <c r="CR12"/>
      <c r="CS12"/>
      <c r="CT12"/>
      <c r="CU12"/>
      <c r="CV12"/>
      <c r="CW12" s="257" t="s">
        <v>1571</v>
      </c>
      <c r="CX12"/>
      <c r="CY12"/>
      <c r="CZ12" s="257" t="s">
        <v>1576</v>
      </c>
      <c r="DA12"/>
      <c r="DB12"/>
      <c r="DC12"/>
      <c r="DD12"/>
      <c r="DE12"/>
      <c r="DF12" s="257" t="s">
        <v>1558</v>
      </c>
      <c r="DG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</row>
    <row r="13" spans="2:144" ht="20.100000000000001" customHeight="1" x14ac:dyDescent="0.35">
      <c r="B13" s="215">
        <v>9</v>
      </c>
      <c r="C13" s="216" t="s">
        <v>1051</v>
      </c>
      <c r="D13" s="9" t="s">
        <v>20</v>
      </c>
      <c r="F13" s="10">
        <v>9</v>
      </c>
      <c r="G13" s="10">
        <f t="shared" si="4"/>
        <v>0</v>
      </c>
      <c r="I13" s="10">
        <v>9</v>
      </c>
      <c r="J13" s="217" t="s">
        <v>229</v>
      </c>
      <c r="K13" s="251" t="s">
        <v>1233</v>
      </c>
      <c r="L13" s="251" t="s">
        <v>1042</v>
      </c>
      <c r="N13" s="230" t="s">
        <v>1189</v>
      </c>
      <c r="O13" s="231">
        <v>1</v>
      </c>
      <c r="P13" s="230" t="str">
        <f>VLOOKUP($O13,ANO[],2,0)</f>
        <v>TOTAL ANO</v>
      </c>
      <c r="R13" s="9"/>
      <c r="S13" s="223"/>
      <c r="U13" s="9"/>
      <c r="V13" s="10">
        <v>9</v>
      </c>
      <c r="W13" s="9" t="str">
        <f t="shared" si="0"/>
        <v>IMPOSTOS</v>
      </c>
      <c r="X13" s="11">
        <f>SUMIFS(LANÇ_MOV[VALOR LÍQUIDO],LANÇ_MOV[PLANO DE CONTAS],Apoio!$W13,LANÇ_MOV[MÊS PAGAMENTO CORRESPONDENTE],Apoio!X$4,LANÇ_MOV[ANO PAGAMENTO],DASH_MENSAL!$B$4,LANÇ_MOV[EMPRESA],DASH_MENSAL!$D$4,LANÇ_MOV[CENTRO DE CUSTOS],DASH_MENSAL!$E$4)</f>
        <v>0</v>
      </c>
      <c r="Y13" s="11">
        <f>SUMIFS(LANÇ_MOV[VALOR LÍQUIDO],LANÇ_MOV[PLANO DE CONTAS],Apoio!$W13,LANÇ_MOV[MÊS PAGAMENTO CORRESPONDENTE],Apoio!Y$4,LANÇ_MOV[ANO PAGAMENTO],DASH_MENSAL!$B$4,LANÇ_MOV[EMPRESA],DASH_MENSAL!$D$4,LANÇ_MOV[CENTRO DE CUSTOS],DASH_MENSAL!$E$4)</f>
        <v>0</v>
      </c>
      <c r="Z13" s="11">
        <f>SUMIFS(LANÇ_MOV[VALOR LÍQUIDO],LANÇ_MOV[PLANO DE CONTAS],Apoio!$W13,LANÇ_MOV[MÊS PAGAMENTO CORRESPONDENTE],Apoio!Z$4,LANÇ_MOV[ANO PAGAMENTO],DASH_MENSAL!$B$4,LANÇ_MOV[EMPRESA],DASH_MENSAL!$D$4,LANÇ_MOV[CENTRO DE CUSTOS],DASH_MENSAL!$E$4)</f>
        <v>0</v>
      </c>
      <c r="AA13" s="11">
        <f>SUMIFS(LANÇ_MOV[VALOR LÍQUIDO],LANÇ_MOV[PLANO DE CONTAS],Apoio!$W13,LANÇ_MOV[MÊS PAGAMENTO CORRESPONDENTE],Apoio!AA$4,LANÇ_MOV[ANO PAGAMENTO],DASH_MENSAL!$B$4,LANÇ_MOV[EMPRESA],DASH_MENSAL!$D$4,LANÇ_MOV[CENTRO DE CUSTOS],DASH_MENSAL!$E$4)</f>
        <v>0</v>
      </c>
      <c r="AB13" s="11">
        <f>SUMIFS(LANÇ_MOV[VALOR LÍQUIDO],LANÇ_MOV[PLANO DE CONTAS],Apoio!$W13,LANÇ_MOV[MÊS PAGAMENTO CORRESPONDENTE],Apoio!AB$4,LANÇ_MOV[ANO PAGAMENTO],DASH_MENSAL!$B$4,LANÇ_MOV[EMPRESA],DASH_MENSAL!$D$4,LANÇ_MOV[CENTRO DE CUSTOS],DASH_MENSAL!$E$4)</f>
        <v>0</v>
      </c>
      <c r="AC13" s="11">
        <f>SUMIFS(LANÇ_MOV[VALOR LÍQUIDO],LANÇ_MOV[PLANO DE CONTAS],Apoio!$W13,LANÇ_MOV[MÊS PAGAMENTO CORRESPONDENTE],Apoio!AC$4,LANÇ_MOV[ANO PAGAMENTO],DASH_MENSAL!$B$4,LANÇ_MOV[EMPRESA],DASH_MENSAL!$D$4,LANÇ_MOV[CENTRO DE CUSTOS],DASH_MENSAL!$E$4)</f>
        <v>0</v>
      </c>
      <c r="AD13" s="11">
        <f>SUMIFS(LANÇ_MOV[VALOR LÍQUIDO],LANÇ_MOV[PLANO DE CONTAS],Apoio!$W13,LANÇ_MOV[MÊS PAGAMENTO CORRESPONDENTE],Apoio!AD$4,LANÇ_MOV[ANO PAGAMENTO],DASH_MENSAL!$B$4,LANÇ_MOV[EMPRESA],DASH_MENSAL!$D$4,LANÇ_MOV[CENTRO DE CUSTOS],DASH_MENSAL!$E$4)</f>
        <v>0</v>
      </c>
      <c r="AE13" s="11">
        <f>SUMIFS(LANÇ_MOV[VALOR LÍQUIDO],LANÇ_MOV[PLANO DE CONTAS],Apoio!$W13,LANÇ_MOV[MÊS PAGAMENTO CORRESPONDENTE],Apoio!AE$4,LANÇ_MOV[ANO PAGAMENTO],DASH_MENSAL!$B$4,LANÇ_MOV[EMPRESA],DASH_MENSAL!$D$4,LANÇ_MOV[CENTRO DE CUSTOS],DASH_MENSAL!$E$4)</f>
        <v>0</v>
      </c>
      <c r="AF13" s="11">
        <f>SUMIFS(LANÇ_MOV[VALOR LÍQUIDO],LANÇ_MOV[PLANO DE CONTAS],Apoio!$W13,LANÇ_MOV[MÊS PAGAMENTO CORRESPONDENTE],Apoio!AF$4,LANÇ_MOV[ANO PAGAMENTO],DASH_MENSAL!$B$4,LANÇ_MOV[EMPRESA],DASH_MENSAL!$D$4,LANÇ_MOV[CENTRO DE CUSTOS],DASH_MENSAL!$E$4)</f>
        <v>0</v>
      </c>
      <c r="AG13" s="11">
        <f>SUMIFS(LANÇ_MOV[VALOR LÍQUIDO],LANÇ_MOV[PLANO DE CONTAS],Apoio!$W13,LANÇ_MOV[MÊS PAGAMENTO CORRESPONDENTE],Apoio!AG$4,LANÇ_MOV[ANO PAGAMENTO],DASH_MENSAL!$B$4,LANÇ_MOV[EMPRESA],DASH_MENSAL!$D$4,LANÇ_MOV[CENTRO DE CUSTOS],DASH_MENSAL!$E$4)</f>
        <v>0</v>
      </c>
      <c r="AH13" s="11">
        <f>SUMIFS(LANÇ_MOV[VALOR LÍQUIDO],LANÇ_MOV[PLANO DE CONTAS],Apoio!$W13,LANÇ_MOV[MÊS PAGAMENTO CORRESPONDENTE],Apoio!AH$4,LANÇ_MOV[ANO PAGAMENTO],DASH_MENSAL!$B$4,LANÇ_MOV[EMPRESA],DASH_MENSAL!$D$4,LANÇ_MOV[CENTRO DE CUSTOS],DASH_MENSAL!$E$4)</f>
        <v>0</v>
      </c>
      <c r="AI13" s="11">
        <f>SUMIFS(LANÇ_MOV[VALOR LÍQUIDO],LANÇ_MOV[PLANO DE CONTAS],Apoio!$W13,LANÇ_MOV[MÊS PAGAMENTO CORRESPONDENTE],Apoio!AI$4,LANÇ_MOV[ANO PAGAMENTO],DASH_MENSAL!$B$4,LANÇ_MOV[EMPRESA],DASH_MENSAL!$D$4,LANÇ_MOV[CENTRO DE CUSTOS],DASH_MENSAL!$E$4)</f>
        <v>0</v>
      </c>
      <c r="AJ13" s="11">
        <f t="shared" si="5"/>
        <v>0</v>
      </c>
      <c r="AK13" s="9"/>
      <c r="AL13" s="11">
        <f t="shared" si="1"/>
        <v>0</v>
      </c>
      <c r="AM13" s="9"/>
      <c r="AN13" s="9"/>
      <c r="AO13" s="246" t="s">
        <v>1164</v>
      </c>
      <c r="AV13" s="11"/>
      <c r="AW13" s="11"/>
      <c r="AX13" s="11"/>
      <c r="AZ13" s="11"/>
      <c r="BA13" s="11"/>
      <c r="BB13" s="9"/>
      <c r="BC13" s="11" t="str">
        <f>VLOOKUP(BC12,Plano_Contas[[PLANO DE CONTAS]:[NOMES INTERVALOS]],2,0)</f>
        <v>Receitas_Operacionais</v>
      </c>
      <c r="BE13" s="9"/>
      <c r="BR13" s="9" t="str">
        <f t="shared" si="2"/>
        <v>IMPOSTOS</v>
      </c>
      <c r="BS13" s="224">
        <f>MATCH(W13,REL_DRE_FINANCEIRO!$B$30:$B$1264,0)</f>
        <v>724</v>
      </c>
      <c r="BT13" s="9"/>
      <c r="BU13" s="9" t="str">
        <f t="shared" si="6"/>
        <v>IMPOSTOS</v>
      </c>
      <c r="BV13" s="11">
        <f t="shared" si="3"/>
        <v>0</v>
      </c>
      <c r="BW13" s="9"/>
      <c r="BX13" s="9"/>
      <c r="BY13" s="257" t="s">
        <v>1548</v>
      </c>
      <c r="BZ13"/>
      <c r="CA13"/>
      <c r="CB13"/>
      <c r="CC13"/>
      <c r="CD13"/>
      <c r="CE13" s="257" t="s">
        <v>1599</v>
      </c>
      <c r="CF13"/>
      <c r="CG13"/>
      <c r="CH13" s="257" t="s">
        <v>1480</v>
      </c>
      <c r="CI13"/>
      <c r="CJ13"/>
      <c r="CK13" s="257" t="s">
        <v>1604</v>
      </c>
      <c r="CL13"/>
      <c r="CM13"/>
      <c r="CN13"/>
      <c r="CO13"/>
      <c r="CP13"/>
      <c r="CQ13" s="257" t="s">
        <v>1622</v>
      </c>
      <c r="CR13"/>
      <c r="CS13"/>
      <c r="CT13"/>
      <c r="CU13"/>
      <c r="CV13"/>
      <c r="CW13" s="257" t="s">
        <v>1602</v>
      </c>
      <c r="CX13"/>
      <c r="CY13"/>
      <c r="CZ13" s="257" t="s">
        <v>1577</v>
      </c>
      <c r="DA13"/>
      <c r="DB13"/>
      <c r="DC13"/>
      <c r="DD13"/>
      <c r="DE13"/>
      <c r="DF13" s="257" t="s">
        <v>1561</v>
      </c>
      <c r="DG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</row>
    <row r="14" spans="2:144" ht="20.100000000000001" customHeight="1" x14ac:dyDescent="0.35">
      <c r="B14" s="215">
        <v>10</v>
      </c>
      <c r="C14" s="216" t="s">
        <v>1052</v>
      </c>
      <c r="D14" s="9" t="s">
        <v>21</v>
      </c>
      <c r="F14" s="10">
        <v>10</v>
      </c>
      <c r="G14" s="10">
        <f t="shared" si="4"/>
        <v>0</v>
      </c>
      <c r="I14" s="10">
        <v>10</v>
      </c>
      <c r="J14" s="217" t="s">
        <v>230</v>
      </c>
      <c r="K14" s="251" t="s">
        <v>1234</v>
      </c>
      <c r="L14" s="251" t="s">
        <v>1042</v>
      </c>
      <c r="N14" s="227" t="s">
        <v>1199</v>
      </c>
      <c r="O14" s="228">
        <v>1</v>
      </c>
      <c r="P14" s="227"/>
      <c r="R14" s="9"/>
      <c r="S14" s="631" t="s">
        <v>1163</v>
      </c>
      <c r="T14" s="631"/>
      <c r="U14" s="9"/>
      <c r="V14" s="10">
        <v>10</v>
      </c>
      <c r="W14" s="9" t="str">
        <f t="shared" si="0"/>
        <v>INVESTIMENTOS</v>
      </c>
      <c r="X14" s="11">
        <f>SUMIFS(LANÇ_MOV[VALOR LÍQUIDO],LANÇ_MOV[PLANO DE CONTAS],Apoio!$W14,LANÇ_MOV[MÊS PAGAMENTO CORRESPONDENTE],Apoio!X$4,LANÇ_MOV[ANO PAGAMENTO],DASH_MENSAL!$B$4,LANÇ_MOV[EMPRESA],DASH_MENSAL!$D$4,LANÇ_MOV[CENTRO DE CUSTOS],DASH_MENSAL!$E$4)</f>
        <v>0</v>
      </c>
      <c r="Y14" s="11">
        <f>SUMIFS(LANÇ_MOV[VALOR LÍQUIDO],LANÇ_MOV[PLANO DE CONTAS],Apoio!$W14,LANÇ_MOV[MÊS PAGAMENTO CORRESPONDENTE],Apoio!Y$4,LANÇ_MOV[ANO PAGAMENTO],DASH_MENSAL!$B$4,LANÇ_MOV[EMPRESA],DASH_MENSAL!$D$4,LANÇ_MOV[CENTRO DE CUSTOS],DASH_MENSAL!$E$4)</f>
        <v>0</v>
      </c>
      <c r="Z14" s="11">
        <f>SUMIFS(LANÇ_MOV[VALOR LÍQUIDO],LANÇ_MOV[PLANO DE CONTAS],Apoio!$W14,LANÇ_MOV[MÊS PAGAMENTO CORRESPONDENTE],Apoio!Z$4,LANÇ_MOV[ANO PAGAMENTO],DASH_MENSAL!$B$4,LANÇ_MOV[EMPRESA],DASH_MENSAL!$D$4,LANÇ_MOV[CENTRO DE CUSTOS],DASH_MENSAL!$E$4)</f>
        <v>0</v>
      </c>
      <c r="AA14" s="11">
        <f>SUMIFS(LANÇ_MOV[VALOR LÍQUIDO],LANÇ_MOV[PLANO DE CONTAS],Apoio!$W14,LANÇ_MOV[MÊS PAGAMENTO CORRESPONDENTE],Apoio!AA$4,LANÇ_MOV[ANO PAGAMENTO],DASH_MENSAL!$B$4,LANÇ_MOV[EMPRESA],DASH_MENSAL!$D$4,LANÇ_MOV[CENTRO DE CUSTOS],DASH_MENSAL!$E$4)</f>
        <v>0</v>
      </c>
      <c r="AB14" s="11">
        <f>SUMIFS(LANÇ_MOV[VALOR LÍQUIDO],LANÇ_MOV[PLANO DE CONTAS],Apoio!$W14,LANÇ_MOV[MÊS PAGAMENTO CORRESPONDENTE],Apoio!AB$4,LANÇ_MOV[ANO PAGAMENTO],DASH_MENSAL!$B$4,LANÇ_MOV[EMPRESA],DASH_MENSAL!$D$4,LANÇ_MOV[CENTRO DE CUSTOS],DASH_MENSAL!$E$4)</f>
        <v>0</v>
      </c>
      <c r="AC14" s="11">
        <f>SUMIFS(LANÇ_MOV[VALOR LÍQUIDO],LANÇ_MOV[PLANO DE CONTAS],Apoio!$W14,LANÇ_MOV[MÊS PAGAMENTO CORRESPONDENTE],Apoio!AC$4,LANÇ_MOV[ANO PAGAMENTO],DASH_MENSAL!$B$4,LANÇ_MOV[EMPRESA],DASH_MENSAL!$D$4,LANÇ_MOV[CENTRO DE CUSTOS],DASH_MENSAL!$E$4)</f>
        <v>0</v>
      </c>
      <c r="AD14" s="11">
        <f>SUMIFS(LANÇ_MOV[VALOR LÍQUIDO],LANÇ_MOV[PLANO DE CONTAS],Apoio!$W14,LANÇ_MOV[MÊS PAGAMENTO CORRESPONDENTE],Apoio!AD$4,LANÇ_MOV[ANO PAGAMENTO],DASH_MENSAL!$B$4,LANÇ_MOV[EMPRESA],DASH_MENSAL!$D$4,LANÇ_MOV[CENTRO DE CUSTOS],DASH_MENSAL!$E$4)</f>
        <v>0</v>
      </c>
      <c r="AE14" s="11">
        <f>SUMIFS(LANÇ_MOV[VALOR LÍQUIDO],LANÇ_MOV[PLANO DE CONTAS],Apoio!$W14,LANÇ_MOV[MÊS PAGAMENTO CORRESPONDENTE],Apoio!AE$4,LANÇ_MOV[ANO PAGAMENTO],DASH_MENSAL!$B$4,LANÇ_MOV[EMPRESA],DASH_MENSAL!$D$4,LANÇ_MOV[CENTRO DE CUSTOS],DASH_MENSAL!$E$4)</f>
        <v>0</v>
      </c>
      <c r="AF14" s="11">
        <f>SUMIFS(LANÇ_MOV[VALOR LÍQUIDO],LANÇ_MOV[PLANO DE CONTAS],Apoio!$W14,LANÇ_MOV[MÊS PAGAMENTO CORRESPONDENTE],Apoio!AF$4,LANÇ_MOV[ANO PAGAMENTO],DASH_MENSAL!$B$4,LANÇ_MOV[EMPRESA],DASH_MENSAL!$D$4,LANÇ_MOV[CENTRO DE CUSTOS],DASH_MENSAL!$E$4)</f>
        <v>0</v>
      </c>
      <c r="AG14" s="11">
        <f>SUMIFS(LANÇ_MOV[VALOR LÍQUIDO],LANÇ_MOV[PLANO DE CONTAS],Apoio!$W14,LANÇ_MOV[MÊS PAGAMENTO CORRESPONDENTE],Apoio!AG$4,LANÇ_MOV[ANO PAGAMENTO],DASH_MENSAL!$B$4,LANÇ_MOV[EMPRESA],DASH_MENSAL!$D$4,LANÇ_MOV[CENTRO DE CUSTOS],DASH_MENSAL!$E$4)</f>
        <v>0</v>
      </c>
      <c r="AH14" s="11">
        <f>SUMIFS(LANÇ_MOV[VALOR LÍQUIDO],LANÇ_MOV[PLANO DE CONTAS],Apoio!$W14,LANÇ_MOV[MÊS PAGAMENTO CORRESPONDENTE],Apoio!AH$4,LANÇ_MOV[ANO PAGAMENTO],DASH_MENSAL!$B$4,LANÇ_MOV[EMPRESA],DASH_MENSAL!$D$4,LANÇ_MOV[CENTRO DE CUSTOS],DASH_MENSAL!$E$4)</f>
        <v>0</v>
      </c>
      <c r="AI14" s="11">
        <f>SUMIFS(LANÇ_MOV[VALOR LÍQUIDO],LANÇ_MOV[PLANO DE CONTAS],Apoio!$W14,LANÇ_MOV[MÊS PAGAMENTO CORRESPONDENTE],Apoio!AI$4,LANÇ_MOV[ANO PAGAMENTO],DASH_MENSAL!$B$4,LANÇ_MOV[EMPRESA],DASH_MENSAL!$D$4,LANÇ_MOV[CENTRO DE CUSTOS],DASH_MENSAL!$E$4)</f>
        <v>0</v>
      </c>
      <c r="AJ14" s="11">
        <f t="shared" si="5"/>
        <v>0</v>
      </c>
      <c r="AK14" s="9"/>
      <c r="AL14" s="11">
        <f t="shared" si="1"/>
        <v>0</v>
      </c>
      <c r="AM14" s="9"/>
      <c r="AN14" s="9"/>
      <c r="AO14" s="11">
        <f>'REL_FC'!C12</f>
        <v>0</v>
      </c>
      <c r="AP14" s="11">
        <f>'REL_FC'!D12</f>
        <v>0</v>
      </c>
      <c r="AQ14" s="11">
        <f>'REL_FC'!E12</f>
        <v>0</v>
      </c>
      <c r="AR14" s="11">
        <f>'REL_FC'!F12</f>
        <v>0</v>
      </c>
      <c r="AS14" s="11">
        <f>'REL_FC'!G12</f>
        <v>0</v>
      </c>
      <c r="AT14" s="11">
        <f>'REL_FC'!H12</f>
        <v>0</v>
      </c>
      <c r="AU14" s="11">
        <f>'REL_FC'!I12</f>
        <v>0</v>
      </c>
      <c r="AV14" s="11">
        <f>'REL_FC'!J12</f>
        <v>0</v>
      </c>
      <c r="AW14" s="11">
        <f>'REL_FC'!K12</f>
        <v>0</v>
      </c>
      <c r="AX14" s="11">
        <f>'REL_FC'!L12</f>
        <v>1391.6500000000015</v>
      </c>
      <c r="AY14" s="11">
        <f>'REL_FC'!M12</f>
        <v>2604.8999999999996</v>
      </c>
      <c r="AZ14" s="11">
        <f>'REL_FC'!N12</f>
        <v>0</v>
      </c>
      <c r="BA14" s="11"/>
      <c r="BB14" s="9"/>
      <c r="BC14" s="223" t="str">
        <f>IF(OR($O$14=1,$O$14=2),"Receitas","Despesas")</f>
        <v>Receitas</v>
      </c>
      <c r="BD14" s="225">
        <f>IF(BC14="receitas",DASH_CONTAS!$B$7/SUM($AJ$5:$AJ$8)*100,DASH_CONTAS!$B$7/SUM($AJ$9:$AJ$15)*100)</f>
        <v>90.075182366034539</v>
      </c>
      <c r="BE14" s="9"/>
      <c r="BR14" s="9" t="str">
        <f t="shared" si="2"/>
        <v>INVESTIMENTOS</v>
      </c>
      <c r="BS14" s="224">
        <f>MATCH(W14,REL_DRE_FINANCEIRO!$B$30:$B$1264,0)</f>
        <v>826</v>
      </c>
      <c r="BT14" s="9"/>
      <c r="BU14" s="9" t="str">
        <f t="shared" si="6"/>
        <v>INVESTIMENTOS</v>
      </c>
      <c r="BV14" s="11">
        <f t="shared" si="3"/>
        <v>0</v>
      </c>
      <c r="BW14" s="9"/>
      <c r="BX14" s="9"/>
      <c r="BY14" s="257" t="s">
        <v>1456</v>
      </c>
      <c r="BZ14"/>
      <c r="CA14"/>
      <c r="CB14"/>
      <c r="CC14"/>
      <c r="CD14"/>
      <c r="CE14"/>
      <c r="CF14"/>
      <c r="CG14"/>
      <c r="CH14" s="257" t="s">
        <v>1495</v>
      </c>
      <c r="CI14"/>
      <c r="CJ14"/>
      <c r="CK14" s="257" t="s">
        <v>1464</v>
      </c>
      <c r="CL14"/>
      <c r="CM14"/>
      <c r="CN14"/>
      <c r="CO14"/>
      <c r="CP14"/>
      <c r="CQ14" s="257" t="s">
        <v>1593</v>
      </c>
      <c r="CR14"/>
      <c r="CS14"/>
      <c r="CT14"/>
      <c r="CU14"/>
      <c r="CV14"/>
      <c r="CW14" s="257" t="s">
        <v>1603</v>
      </c>
      <c r="CX14"/>
      <c r="CY14"/>
      <c r="CZ14" s="257" t="s">
        <v>1578</v>
      </c>
      <c r="DA14"/>
      <c r="DB14"/>
      <c r="DC14"/>
      <c r="DD14"/>
      <c r="DE14"/>
      <c r="DF14" s="257" t="s">
        <v>1562</v>
      </c>
      <c r="DG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</row>
    <row r="15" spans="2:144" ht="20.100000000000001" customHeight="1" x14ac:dyDescent="0.35">
      <c r="B15" s="215">
        <v>11</v>
      </c>
      <c r="C15" s="216" t="s">
        <v>1053</v>
      </c>
      <c r="D15" s="9" t="s">
        <v>22</v>
      </c>
      <c r="F15" s="10">
        <v>11</v>
      </c>
      <c r="G15" s="10">
        <f t="shared" si="4"/>
        <v>0</v>
      </c>
      <c r="I15" s="10">
        <v>11</v>
      </c>
      <c r="J15" s="220" t="s">
        <v>1440</v>
      </c>
      <c r="K15" s="251" t="s">
        <v>1235</v>
      </c>
      <c r="L15" s="251" t="s">
        <v>1042</v>
      </c>
      <c r="R15" s="9"/>
      <c r="S15" s="223" t="str">
        <f>S5</f>
        <v>Receitas</v>
      </c>
      <c r="T15" s="11">
        <f>T5</f>
        <v>32737.730000000003</v>
      </c>
      <c r="U15" s="9"/>
      <c r="V15" s="10">
        <v>11</v>
      </c>
      <c r="W15" s="9" t="str">
        <f t="shared" si="0"/>
        <v>ENDIVIDAMENTOS</v>
      </c>
      <c r="X15" s="11">
        <f>SUMIFS(LANÇ_MOV[VALOR LÍQUIDO],LANÇ_MOV[PLANO DE CONTAS],Apoio!$W15,LANÇ_MOV[MÊS PAGAMENTO CORRESPONDENTE],Apoio!X$4,LANÇ_MOV[ANO PAGAMENTO],DASH_MENSAL!$B$4,LANÇ_MOV[EMPRESA],DASH_MENSAL!$D$4,LANÇ_MOV[CENTRO DE CUSTOS],DASH_MENSAL!$E$4)</f>
        <v>0</v>
      </c>
      <c r="Y15" s="11">
        <f>SUMIFS(LANÇ_MOV[VALOR LÍQUIDO],LANÇ_MOV[PLANO DE CONTAS],Apoio!$W15,LANÇ_MOV[MÊS PAGAMENTO CORRESPONDENTE],Apoio!Y$4,LANÇ_MOV[ANO PAGAMENTO],DASH_MENSAL!$B$4,LANÇ_MOV[EMPRESA],DASH_MENSAL!$D$4,LANÇ_MOV[CENTRO DE CUSTOS],DASH_MENSAL!$E$4)</f>
        <v>0</v>
      </c>
      <c r="Z15" s="11">
        <f>SUMIFS(LANÇ_MOV[VALOR LÍQUIDO],LANÇ_MOV[PLANO DE CONTAS],Apoio!$W15,LANÇ_MOV[MÊS PAGAMENTO CORRESPONDENTE],Apoio!Z$4,LANÇ_MOV[ANO PAGAMENTO],DASH_MENSAL!$B$4,LANÇ_MOV[EMPRESA],DASH_MENSAL!$D$4,LANÇ_MOV[CENTRO DE CUSTOS],DASH_MENSAL!$E$4)</f>
        <v>0</v>
      </c>
      <c r="AA15" s="11">
        <f>SUMIFS(LANÇ_MOV[VALOR LÍQUIDO],LANÇ_MOV[PLANO DE CONTAS],Apoio!$W15,LANÇ_MOV[MÊS PAGAMENTO CORRESPONDENTE],Apoio!AA$4,LANÇ_MOV[ANO PAGAMENTO],DASH_MENSAL!$B$4,LANÇ_MOV[EMPRESA],DASH_MENSAL!$D$4,LANÇ_MOV[CENTRO DE CUSTOS],DASH_MENSAL!$E$4)</f>
        <v>0</v>
      </c>
      <c r="AB15" s="11">
        <f>SUMIFS(LANÇ_MOV[VALOR LÍQUIDO],LANÇ_MOV[PLANO DE CONTAS],Apoio!$W15,LANÇ_MOV[MÊS PAGAMENTO CORRESPONDENTE],Apoio!AB$4,LANÇ_MOV[ANO PAGAMENTO],DASH_MENSAL!$B$4,LANÇ_MOV[EMPRESA],DASH_MENSAL!$D$4,LANÇ_MOV[CENTRO DE CUSTOS],DASH_MENSAL!$E$4)</f>
        <v>0</v>
      </c>
      <c r="AC15" s="11">
        <f>SUMIFS(LANÇ_MOV[VALOR LÍQUIDO],LANÇ_MOV[PLANO DE CONTAS],Apoio!$W15,LANÇ_MOV[MÊS PAGAMENTO CORRESPONDENTE],Apoio!AC$4,LANÇ_MOV[ANO PAGAMENTO],DASH_MENSAL!$B$4,LANÇ_MOV[EMPRESA],DASH_MENSAL!$D$4,LANÇ_MOV[CENTRO DE CUSTOS],DASH_MENSAL!$E$4)</f>
        <v>0</v>
      </c>
      <c r="AD15" s="11">
        <f>SUMIFS(LANÇ_MOV[VALOR LÍQUIDO],LANÇ_MOV[PLANO DE CONTAS],Apoio!$W15,LANÇ_MOV[MÊS PAGAMENTO CORRESPONDENTE],Apoio!AD$4,LANÇ_MOV[ANO PAGAMENTO],DASH_MENSAL!$B$4,LANÇ_MOV[EMPRESA],DASH_MENSAL!$D$4,LANÇ_MOV[CENTRO DE CUSTOS],DASH_MENSAL!$E$4)</f>
        <v>0</v>
      </c>
      <c r="AE15" s="11">
        <f>SUMIFS(LANÇ_MOV[VALOR LÍQUIDO],LANÇ_MOV[PLANO DE CONTAS],Apoio!$W15,LANÇ_MOV[MÊS PAGAMENTO CORRESPONDENTE],Apoio!AE$4,LANÇ_MOV[ANO PAGAMENTO],DASH_MENSAL!$B$4,LANÇ_MOV[EMPRESA],DASH_MENSAL!$D$4,LANÇ_MOV[CENTRO DE CUSTOS],DASH_MENSAL!$E$4)</f>
        <v>0</v>
      </c>
      <c r="AF15" s="11">
        <f>SUMIFS(LANÇ_MOV[VALOR LÍQUIDO],LANÇ_MOV[PLANO DE CONTAS],Apoio!$W15,LANÇ_MOV[MÊS PAGAMENTO CORRESPONDENTE],Apoio!AF$4,LANÇ_MOV[ANO PAGAMENTO],DASH_MENSAL!$B$4,LANÇ_MOV[EMPRESA],DASH_MENSAL!$D$4,LANÇ_MOV[CENTRO DE CUSTOS],DASH_MENSAL!$E$4)</f>
        <v>0</v>
      </c>
      <c r="AG15" s="11">
        <f>SUMIFS(LANÇ_MOV[VALOR LÍQUIDO],LANÇ_MOV[PLANO DE CONTAS],Apoio!$W15,LANÇ_MOV[MÊS PAGAMENTO CORRESPONDENTE],Apoio!AG$4,LANÇ_MOV[ANO PAGAMENTO],DASH_MENSAL!$B$4,LANÇ_MOV[EMPRESA],DASH_MENSAL!$D$4,LANÇ_MOV[CENTRO DE CUSTOS],DASH_MENSAL!$E$4)</f>
        <v>0</v>
      </c>
      <c r="AH15" s="11">
        <f>SUMIFS(LANÇ_MOV[VALOR LÍQUIDO],LANÇ_MOV[PLANO DE CONTAS],Apoio!$W15,LANÇ_MOV[MÊS PAGAMENTO CORRESPONDENTE],Apoio!AH$4,LANÇ_MOV[ANO PAGAMENTO],DASH_MENSAL!$B$4,LANÇ_MOV[EMPRESA],DASH_MENSAL!$D$4,LANÇ_MOV[CENTRO DE CUSTOS],DASH_MENSAL!$E$4)</f>
        <v>0</v>
      </c>
      <c r="AI15" s="11">
        <f>SUMIFS(LANÇ_MOV[VALOR LÍQUIDO],LANÇ_MOV[PLANO DE CONTAS],Apoio!$W15,LANÇ_MOV[MÊS PAGAMENTO CORRESPONDENTE],Apoio!AI$4,LANÇ_MOV[ANO PAGAMENTO],DASH_MENSAL!$B$4,LANÇ_MOV[EMPRESA],DASH_MENSAL!$D$4,LANÇ_MOV[CENTRO DE CUSTOS],DASH_MENSAL!$E$4)</f>
        <v>0</v>
      </c>
      <c r="AJ15" s="11">
        <f t="shared" si="5"/>
        <v>0</v>
      </c>
      <c r="AK15" s="9"/>
      <c r="AL15" s="11">
        <f t="shared" si="1"/>
        <v>0</v>
      </c>
      <c r="AM15" s="9"/>
      <c r="AN15" s="9"/>
      <c r="AO15" s="232" t="s">
        <v>1044</v>
      </c>
      <c r="AP15" s="232" t="s">
        <v>1045</v>
      </c>
      <c r="AQ15" s="232" t="s">
        <v>1046</v>
      </c>
      <c r="AR15" s="232" t="s">
        <v>1047</v>
      </c>
      <c r="AS15" s="232" t="s">
        <v>1048</v>
      </c>
      <c r="AT15" s="232" t="s">
        <v>1049</v>
      </c>
      <c r="AU15" s="232" t="s">
        <v>1050</v>
      </c>
      <c r="AV15" s="232" t="s">
        <v>1051</v>
      </c>
      <c r="AW15" s="232" t="s">
        <v>1052</v>
      </c>
      <c r="AX15" s="232" t="s">
        <v>1053</v>
      </c>
      <c r="AY15" s="232" t="s">
        <v>1054</v>
      </c>
      <c r="AZ15" s="232" t="s">
        <v>1055</v>
      </c>
      <c r="BA15" s="232"/>
      <c r="BB15" s="9"/>
      <c r="BC15" s="223"/>
      <c r="BD15" s="223"/>
      <c r="BE15" s="223"/>
      <c r="BR15" s="9" t="str">
        <f t="shared" si="2"/>
        <v>ENDIVIDAMENTOS</v>
      </c>
      <c r="BS15" s="224">
        <f>MATCH(W15,REL_DRE_FINANCEIRO!$B$30:$B$1264,0)</f>
        <v>928</v>
      </c>
      <c r="BT15" s="9"/>
      <c r="BU15" s="9" t="str">
        <f>W15</f>
        <v>ENDIVIDAMENTOS</v>
      </c>
      <c r="BV15" s="11">
        <f t="shared" si="3"/>
        <v>0</v>
      </c>
      <c r="BW15" s="9"/>
      <c r="BX15" s="9"/>
      <c r="BY15" s="257" t="s">
        <v>1517</v>
      </c>
      <c r="BZ15"/>
      <c r="CA15"/>
      <c r="CB15"/>
      <c r="CC15"/>
      <c r="CD15"/>
      <c r="CE15"/>
      <c r="CF15"/>
      <c r="CG15"/>
      <c r="CH15" s="257" t="s">
        <v>1606</v>
      </c>
      <c r="CI15"/>
      <c r="CJ15"/>
      <c r="CK15" s="257" t="s">
        <v>1487</v>
      </c>
      <c r="CL15"/>
      <c r="CM15"/>
      <c r="CN15"/>
      <c r="CO15"/>
      <c r="CP15"/>
      <c r="CQ15" s="257" t="s">
        <v>1559</v>
      </c>
      <c r="CR15"/>
      <c r="CS15"/>
      <c r="CT15"/>
      <c r="CU15"/>
      <c r="CV15"/>
      <c r="CW15" s="257" t="s">
        <v>1612</v>
      </c>
      <c r="CX15"/>
      <c r="CY15"/>
      <c r="CZ15" s="257" t="s">
        <v>1579</v>
      </c>
      <c r="DA15"/>
      <c r="DB15"/>
      <c r="DC15"/>
      <c r="DD15"/>
      <c r="DE15"/>
      <c r="DF15"/>
      <c r="DG15"/>
    </row>
    <row r="16" spans="2:144" ht="20.100000000000001" customHeight="1" x14ac:dyDescent="0.35">
      <c r="B16" s="215">
        <v>12</v>
      </c>
      <c r="C16" s="216" t="s">
        <v>1054</v>
      </c>
      <c r="D16" s="9" t="s">
        <v>23</v>
      </c>
      <c r="F16" s="10">
        <v>12</v>
      </c>
      <c r="G16" s="10">
        <f t="shared" si="4"/>
        <v>0</v>
      </c>
      <c r="I16" s="10">
        <v>12</v>
      </c>
      <c r="J16" s="217" t="s">
        <v>1442</v>
      </c>
      <c r="K16" s="251" t="s">
        <v>1236</v>
      </c>
      <c r="L16" s="251" t="s">
        <v>1042</v>
      </c>
      <c r="R16" s="9"/>
      <c r="S16" s="223" t="s">
        <v>1112</v>
      </c>
      <c r="T16" s="11" t="e">
        <f>T9</f>
        <v>#REF!</v>
      </c>
      <c r="U16" s="9"/>
      <c r="V16" s="10">
        <v>12</v>
      </c>
      <c r="W16" s="9" t="str">
        <f t="shared" si="0"/>
        <v>OUTROS DÉBITOS (NÃO ENTRA NA DRE)</v>
      </c>
      <c r="X16" s="11">
        <f>SUMIFS(LANÇ_MOV[VALOR LÍQUIDO],LANÇ_MOV[PLANO DE CONTAS],Apoio!$W16,LANÇ_MOV[MÊS PAGAMENTO CORRESPONDENTE],Apoio!X$4,LANÇ_MOV[ANO PAGAMENTO],DASH_MENSAL!$B$4,LANÇ_MOV[EMPRESA],DASH_MENSAL!$D$4,LANÇ_MOV[CENTRO DE CUSTOS],DASH_MENSAL!$E$4)</f>
        <v>0</v>
      </c>
      <c r="Y16" s="11">
        <f>SUMIFS(LANÇ_MOV[VALOR LÍQUIDO],LANÇ_MOV[PLANO DE CONTAS],Apoio!$W16,LANÇ_MOV[MÊS PAGAMENTO CORRESPONDENTE],Apoio!Y$4,LANÇ_MOV[ANO PAGAMENTO],DASH_MENSAL!$B$4,LANÇ_MOV[EMPRESA],DASH_MENSAL!$D$4,LANÇ_MOV[CENTRO DE CUSTOS],DASH_MENSAL!$E$4)</f>
        <v>0</v>
      </c>
      <c r="Z16" s="11">
        <f>SUMIFS(LANÇ_MOV[VALOR LÍQUIDO],LANÇ_MOV[PLANO DE CONTAS],Apoio!$W16,LANÇ_MOV[MÊS PAGAMENTO CORRESPONDENTE],Apoio!Z$4,LANÇ_MOV[ANO PAGAMENTO],DASH_MENSAL!$B$4,LANÇ_MOV[EMPRESA],DASH_MENSAL!$D$4,LANÇ_MOV[CENTRO DE CUSTOS],DASH_MENSAL!$E$4)</f>
        <v>0</v>
      </c>
      <c r="AA16" s="11">
        <f>SUMIFS(LANÇ_MOV[VALOR LÍQUIDO],LANÇ_MOV[PLANO DE CONTAS],Apoio!$W16,LANÇ_MOV[MÊS PAGAMENTO CORRESPONDENTE],Apoio!AA$4,LANÇ_MOV[ANO PAGAMENTO],DASH_MENSAL!$B$4,LANÇ_MOV[EMPRESA],DASH_MENSAL!$D$4,LANÇ_MOV[CENTRO DE CUSTOS],DASH_MENSAL!$E$4)</f>
        <v>0</v>
      </c>
      <c r="AB16" s="11">
        <f>SUMIFS(LANÇ_MOV[VALOR LÍQUIDO],LANÇ_MOV[PLANO DE CONTAS],Apoio!$W16,LANÇ_MOV[MÊS PAGAMENTO CORRESPONDENTE],Apoio!AB$4,LANÇ_MOV[ANO PAGAMENTO],DASH_MENSAL!$B$4,LANÇ_MOV[EMPRESA],DASH_MENSAL!$D$4,LANÇ_MOV[CENTRO DE CUSTOS],DASH_MENSAL!$E$4)</f>
        <v>0</v>
      </c>
      <c r="AC16" s="11">
        <f>SUMIFS(LANÇ_MOV[VALOR LÍQUIDO],LANÇ_MOV[PLANO DE CONTAS],Apoio!$W16,LANÇ_MOV[MÊS PAGAMENTO CORRESPONDENTE],Apoio!AC$4,LANÇ_MOV[ANO PAGAMENTO],DASH_MENSAL!$B$4,LANÇ_MOV[EMPRESA],DASH_MENSAL!$D$4,LANÇ_MOV[CENTRO DE CUSTOS],DASH_MENSAL!$E$4)</f>
        <v>0</v>
      </c>
      <c r="AD16" s="11">
        <f>SUMIFS(LANÇ_MOV[VALOR LÍQUIDO],LANÇ_MOV[PLANO DE CONTAS],Apoio!$W16,LANÇ_MOV[MÊS PAGAMENTO CORRESPONDENTE],Apoio!AD$4,LANÇ_MOV[ANO PAGAMENTO],DASH_MENSAL!$B$4,LANÇ_MOV[EMPRESA],DASH_MENSAL!$D$4,LANÇ_MOV[CENTRO DE CUSTOS],DASH_MENSAL!$E$4)</f>
        <v>0</v>
      </c>
      <c r="AE16" s="11">
        <f>SUMIFS(LANÇ_MOV[VALOR LÍQUIDO],LANÇ_MOV[PLANO DE CONTAS],Apoio!$W16,LANÇ_MOV[MÊS PAGAMENTO CORRESPONDENTE],Apoio!AE$4,LANÇ_MOV[ANO PAGAMENTO],DASH_MENSAL!$B$4,LANÇ_MOV[EMPRESA],DASH_MENSAL!$D$4,LANÇ_MOV[CENTRO DE CUSTOS],DASH_MENSAL!$E$4)</f>
        <v>0</v>
      </c>
      <c r="AF16" s="11">
        <f>SUMIFS(LANÇ_MOV[VALOR LÍQUIDO],LANÇ_MOV[PLANO DE CONTAS],Apoio!$W16,LANÇ_MOV[MÊS PAGAMENTO CORRESPONDENTE],Apoio!AF$4,LANÇ_MOV[ANO PAGAMENTO],DASH_MENSAL!$B$4,LANÇ_MOV[EMPRESA],DASH_MENSAL!$D$4,LANÇ_MOV[CENTRO DE CUSTOS],DASH_MENSAL!$E$4)</f>
        <v>0</v>
      </c>
      <c r="AG16" s="11">
        <f>SUMIFS(LANÇ_MOV[VALOR LÍQUIDO],LANÇ_MOV[PLANO DE CONTAS],Apoio!$W16,LANÇ_MOV[MÊS PAGAMENTO CORRESPONDENTE],Apoio!AG$4,LANÇ_MOV[ANO PAGAMENTO],DASH_MENSAL!$B$4,LANÇ_MOV[EMPRESA],DASH_MENSAL!$D$4,LANÇ_MOV[CENTRO DE CUSTOS],DASH_MENSAL!$E$4)</f>
        <v>0</v>
      </c>
      <c r="AH16" s="11">
        <f>SUMIFS(LANÇ_MOV[VALOR LÍQUIDO],LANÇ_MOV[PLANO DE CONTAS],Apoio!$W16,LANÇ_MOV[MÊS PAGAMENTO CORRESPONDENTE],Apoio!AH$4,LANÇ_MOV[ANO PAGAMENTO],DASH_MENSAL!$B$4,LANÇ_MOV[EMPRESA],DASH_MENSAL!$D$4,LANÇ_MOV[CENTRO DE CUSTOS],DASH_MENSAL!$E$4)</f>
        <v>0</v>
      </c>
      <c r="AI16" s="11">
        <f>SUMIFS(LANÇ_MOV[VALOR LÍQUIDO],LANÇ_MOV[PLANO DE CONTAS],Apoio!$W16,LANÇ_MOV[MÊS PAGAMENTO CORRESPONDENTE],Apoio!AI$4,LANÇ_MOV[ANO PAGAMENTO],DASH_MENSAL!$B$4,LANÇ_MOV[EMPRESA],DASH_MENSAL!$D$4,LANÇ_MOV[CENTRO DE CUSTOS],DASH_MENSAL!$E$4)</f>
        <v>0</v>
      </c>
      <c r="AJ16" s="11">
        <f t="shared" si="5"/>
        <v>0</v>
      </c>
      <c r="AK16" s="9"/>
      <c r="AL16" s="11">
        <f t="shared" si="1"/>
        <v>0</v>
      </c>
      <c r="AM16" s="9"/>
      <c r="AN16" s="9"/>
      <c r="AV16" s="11"/>
      <c r="AW16" s="11"/>
      <c r="AX16" s="11"/>
      <c r="AZ16" s="11"/>
      <c r="BA16" s="11"/>
      <c r="BB16" s="9"/>
      <c r="BC16" s="245" t="s">
        <v>1160</v>
      </c>
      <c r="BD16" s="10"/>
      <c r="BE16" s="9"/>
      <c r="BR16" s="9" t="str">
        <f t="shared" si="2"/>
        <v>OUTROS DÉBITOS (NÃO ENTRA NA DRE)</v>
      </c>
      <c r="BS16" s="224">
        <f>MATCH(W16,REL_DRE_FINANCEIRO!$B$30:$B$1264,0)</f>
        <v>1135</v>
      </c>
      <c r="BT16" s="9"/>
      <c r="BU16" s="9" t="str">
        <f>W16</f>
        <v>OUTROS DÉBITOS (NÃO ENTRA NA DRE)</v>
      </c>
      <c r="BV16" s="11">
        <f t="shared" si="3"/>
        <v>0</v>
      </c>
      <c r="BW16" s="9"/>
      <c r="BX16" s="9"/>
      <c r="BY16" s="257" t="s">
        <v>1482</v>
      </c>
      <c r="BZ16"/>
      <c r="CA16"/>
      <c r="CB16"/>
      <c r="CC16"/>
      <c r="CD16"/>
      <c r="CE16"/>
      <c r="CF16"/>
      <c r="CG16"/>
      <c r="CH16" s="257" t="s">
        <v>1610</v>
      </c>
      <c r="CI16"/>
      <c r="CJ16"/>
      <c r="CK16" s="257" t="s">
        <v>1465</v>
      </c>
      <c r="CL16"/>
      <c r="CM16"/>
      <c r="CN16"/>
      <c r="CO16"/>
      <c r="CP16"/>
      <c r="CQ16" s="257" t="s">
        <v>1466</v>
      </c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</row>
    <row r="17" spans="2:111" ht="15.05" customHeight="1" x14ac:dyDescent="0.35">
      <c r="B17" s="215">
        <v>13</v>
      </c>
      <c r="C17" s="216" t="s">
        <v>1055</v>
      </c>
      <c r="D17" s="9" t="s">
        <v>24</v>
      </c>
      <c r="F17" s="10">
        <v>13</v>
      </c>
      <c r="G17" s="10">
        <f t="shared" si="4"/>
        <v>0</v>
      </c>
      <c r="R17" s="9"/>
      <c r="S17" s="223" t="str">
        <f>S6</f>
        <v>Despesas</v>
      </c>
      <c r="T17" s="11">
        <f>T6</f>
        <v>28741.18</v>
      </c>
      <c r="U17" s="9"/>
      <c r="V17" s="10"/>
      <c r="W17" s="9"/>
      <c r="AF17" s="11"/>
      <c r="AG17" s="11"/>
      <c r="AH17" s="11"/>
      <c r="AI17" s="11"/>
      <c r="AJ17" s="11"/>
      <c r="AK17" s="9"/>
      <c r="AL17" s="9"/>
      <c r="AM17" s="9"/>
      <c r="AN17" s="9"/>
      <c r="AV17" s="11"/>
      <c r="AW17" s="11"/>
      <c r="AX17" s="11"/>
      <c r="AZ17" s="11"/>
      <c r="BA17" s="11"/>
      <c r="BB17" s="9"/>
      <c r="BC17" s="226" t="str">
        <f>IF($BC$14="receitas",W5,W8)</f>
        <v>RECEITAS OPERACIONAIS</v>
      </c>
      <c r="BD17" s="10"/>
      <c r="BE17" s="226">
        <f>IF($BC$14="receitas",AJ5,AJ8)</f>
        <v>29488.57</v>
      </c>
      <c r="BR17" s="9"/>
      <c r="BS17" s="9"/>
      <c r="BT17" s="9"/>
      <c r="BU17" s="9"/>
      <c r="BW17" s="9"/>
      <c r="BX17" s="9"/>
      <c r="BY17" s="257" t="s">
        <v>1551</v>
      </c>
      <c r="BZ17"/>
      <c r="CA17"/>
      <c r="CB17"/>
      <c r="CC17"/>
      <c r="CD17"/>
      <c r="CE17"/>
      <c r="CF17"/>
      <c r="CG17"/>
      <c r="CH17" s="257" t="s">
        <v>1457</v>
      </c>
      <c r="CI17"/>
      <c r="CJ17"/>
      <c r="CK17" s="257" t="s">
        <v>1509</v>
      </c>
      <c r="CL17"/>
      <c r="CM17"/>
      <c r="CN17"/>
      <c r="CO17"/>
      <c r="CP17"/>
      <c r="CQ17" s="257" t="s">
        <v>1546</v>
      </c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</row>
    <row r="18" spans="2:111" ht="15.05" customHeight="1" x14ac:dyDescent="0.35">
      <c r="R18" s="9"/>
      <c r="S18" s="223" t="s">
        <v>1112</v>
      </c>
      <c r="T18" s="11" t="e">
        <f>T10</f>
        <v>#REF!</v>
      </c>
      <c r="U18" s="9"/>
      <c r="V18" s="10"/>
      <c r="W18" s="9"/>
      <c r="AF18" s="11"/>
      <c r="AG18" s="11"/>
      <c r="AH18" s="11"/>
      <c r="AI18" s="11"/>
      <c r="AJ18" s="11"/>
      <c r="AK18" s="9"/>
      <c r="AL18" s="9"/>
      <c r="AM18" s="9"/>
      <c r="AN18" s="9"/>
      <c r="AO18" s="223" t="s">
        <v>1126</v>
      </c>
      <c r="AP18" s="213">
        <f>SUMIFS(LANÇ_MOV[VALOR LÍQUIDO],LANÇ_MOV[RECEITA OU DESPESA],"Receita",LANÇ_MOV[PAGO OU NÃO],"Não Pago",LANÇ_MOV[CENTRO DE CUSTOS],DASH_ANUAL!$D$4,LANÇ_MOV[EMPRESA],DASH_ANUAL!$C$4)</f>
        <v>28005.760000000009</v>
      </c>
      <c r="AV18" s="11"/>
      <c r="AW18" s="11"/>
      <c r="AX18" s="11"/>
      <c r="AZ18" s="11"/>
      <c r="BA18" s="11"/>
      <c r="BB18" s="9"/>
      <c r="BC18" s="226" t="str">
        <f>IF($BC$14="receitas",W6,W9)</f>
        <v>RECEITAS NÃO OPERACIONAIS</v>
      </c>
      <c r="BD18" s="10"/>
      <c r="BE18" s="226">
        <f>IF($BC$14="receitas",AJ6,AJ9)</f>
        <v>0</v>
      </c>
      <c r="BR18" s="9"/>
      <c r="BS18" s="9"/>
      <c r="BT18" s="9"/>
      <c r="BU18" s="9"/>
      <c r="BW18" s="9"/>
      <c r="BX18" s="9"/>
      <c r="BY18" s="257" t="s">
        <v>1537</v>
      </c>
      <c r="BZ18"/>
      <c r="CA18"/>
      <c r="CB18"/>
      <c r="CC18"/>
      <c r="CD18"/>
      <c r="CE18"/>
      <c r="CF18"/>
      <c r="CG18"/>
      <c r="CH18" s="257" t="s">
        <v>1535</v>
      </c>
      <c r="CI18"/>
      <c r="CJ18"/>
      <c r="CK18" s="257" t="s">
        <v>1495</v>
      </c>
      <c r="CL18"/>
      <c r="CM18"/>
      <c r="CN18"/>
      <c r="CO18"/>
      <c r="CP18"/>
      <c r="CQ18" s="257" t="s">
        <v>1560</v>
      </c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</row>
    <row r="19" spans="2:111" ht="15.05" customHeight="1" x14ac:dyDescent="0.35">
      <c r="N19" s="254" t="s">
        <v>1169</v>
      </c>
      <c r="O19"/>
      <c r="P19"/>
      <c r="R19" s="9"/>
      <c r="S19" s="9"/>
      <c r="U19" s="9"/>
      <c r="V19" s="10"/>
      <c r="W19" s="9"/>
      <c r="AF19" s="11"/>
      <c r="AG19" s="11"/>
      <c r="AH19" s="11"/>
      <c r="AI19" s="11"/>
      <c r="AJ19" s="11"/>
      <c r="AK19" s="9"/>
      <c r="AL19" s="9"/>
      <c r="AM19" s="9"/>
      <c r="AN19" s="9"/>
      <c r="AO19" s="223" t="s">
        <v>1127</v>
      </c>
      <c r="AP19" s="213">
        <f>SUMIFS(LANÇ_MOV[VALOR LÍQUIDO],LANÇ_MOV[RECEITA OU DESPESA],"Despesa",LANÇ_MOV[PAGO OU NÃO],"Não Pago",LANÇ_MOV[CENTRO DE CUSTOS],DASH_ANUAL!$D$4,LANÇ_MOV[EMPRESA],DASH_ANUAL!$C$4)</f>
        <v>2128673.9499999993</v>
      </c>
      <c r="AV19" s="11"/>
      <c r="AW19" s="11"/>
      <c r="AX19" s="11"/>
      <c r="AZ19" s="11"/>
      <c r="BA19" s="11"/>
      <c r="BB19" s="9"/>
      <c r="BC19" s="226" t="str">
        <f t="shared" ref="BC19:BC24" si="10">IF($BC$14="receitas","",W11)</f>
        <v/>
      </c>
      <c r="BD19" s="10"/>
      <c r="BE19" s="226">
        <f>IF($BC$14="receitas",AJ7,AJ10)</f>
        <v>3249.16</v>
      </c>
      <c r="BR19" s="9"/>
      <c r="BS19" s="9"/>
      <c r="BT19" s="9"/>
      <c r="BU19" s="9"/>
      <c r="BW19" s="9"/>
      <c r="BX19" s="9"/>
      <c r="BY19" s="257" t="s">
        <v>1550</v>
      </c>
      <c r="BZ19"/>
      <c r="CA19"/>
      <c r="CB19"/>
      <c r="CC19"/>
      <c r="CD19"/>
      <c r="CE19"/>
      <c r="CF19"/>
      <c r="CG19"/>
      <c r="CH19" s="257" t="s">
        <v>1469</v>
      </c>
      <c r="CI19"/>
      <c r="CJ19"/>
      <c r="CK19" s="257" t="s">
        <v>1519</v>
      </c>
      <c r="CL19"/>
      <c r="CM19"/>
      <c r="CN19"/>
      <c r="CO19"/>
      <c r="CP19"/>
      <c r="CQ19" s="257" t="s">
        <v>1511</v>
      </c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</row>
    <row r="20" spans="2:111" ht="15.05" customHeight="1" x14ac:dyDescent="0.35">
      <c r="B20" s="15" t="s">
        <v>1083</v>
      </c>
      <c r="C20" s="15" t="s">
        <v>1474</v>
      </c>
      <c r="F20" s="15" t="s">
        <v>1083</v>
      </c>
      <c r="G20" s="15" t="s">
        <v>1203</v>
      </c>
      <c r="H20"/>
      <c r="N20" s="257"/>
      <c r="O20"/>
      <c r="P20"/>
      <c r="R20" s="9"/>
      <c r="S20" s="9"/>
      <c r="U20" s="9"/>
      <c r="V20" s="10"/>
      <c r="W20" s="9"/>
      <c r="AF20" s="11"/>
      <c r="AG20" s="11"/>
      <c r="AH20" s="11"/>
      <c r="AI20" s="11"/>
      <c r="AJ20" s="11"/>
      <c r="AK20" s="9"/>
      <c r="AL20" s="9"/>
      <c r="AM20" s="9"/>
      <c r="AN20" s="9"/>
      <c r="AV20" s="11"/>
      <c r="AW20" s="11"/>
      <c r="AX20" s="11"/>
      <c r="AZ20" s="11"/>
      <c r="BA20" s="11"/>
      <c r="BB20" s="9"/>
      <c r="BC20" s="226" t="str">
        <f t="shared" si="10"/>
        <v/>
      </c>
      <c r="BD20" s="10"/>
      <c r="BE20" s="226" t="str">
        <f>IF($BC$14="receitas","",AJ11)</f>
        <v/>
      </c>
      <c r="BR20" s="9"/>
      <c r="BS20" s="9"/>
      <c r="BT20" s="9"/>
      <c r="BU20" s="9"/>
      <c r="BW20" s="9"/>
      <c r="BX20" s="9"/>
      <c r="BY20" s="257" t="s">
        <v>1515</v>
      </c>
      <c r="BZ20"/>
      <c r="CA20"/>
      <c r="CB20"/>
      <c r="CC20"/>
      <c r="CD20"/>
      <c r="CE20"/>
      <c r="CF20"/>
      <c r="CG20"/>
      <c r="CH20" s="257" t="s">
        <v>1485</v>
      </c>
      <c r="CI20"/>
      <c r="CJ20"/>
      <c r="CK20" s="257" t="s">
        <v>1541</v>
      </c>
      <c r="CL20"/>
      <c r="CM20"/>
      <c r="CN20"/>
      <c r="CO20"/>
      <c r="CP20"/>
      <c r="CQ20" s="257" t="s">
        <v>1611</v>
      </c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</row>
    <row r="21" spans="2:111" ht="15.05" customHeight="1" x14ac:dyDescent="0.35">
      <c r="B21" s="10">
        <v>1</v>
      </c>
      <c r="C21" s="9" t="s">
        <v>1475</v>
      </c>
      <c r="F21" s="10">
        <v>1</v>
      </c>
      <c r="G21" s="9" t="s">
        <v>1224</v>
      </c>
      <c r="H21"/>
      <c r="I21"/>
      <c r="J21" s="15" t="s">
        <v>1083</v>
      </c>
      <c r="K21" s="274" t="s">
        <v>1181</v>
      </c>
      <c r="N21" s="257" t="s">
        <v>2009</v>
      </c>
      <c r="O21"/>
      <c r="P21"/>
      <c r="R21" s="9"/>
      <c r="S21" s="9"/>
      <c r="U21" s="9"/>
      <c r="V21" s="10"/>
      <c r="W21" s="9"/>
      <c r="AF21" s="11"/>
      <c r="AG21" s="11"/>
      <c r="AH21" s="11"/>
      <c r="AI21" s="11"/>
      <c r="AJ21" s="11"/>
      <c r="AK21" s="9"/>
      <c r="AL21" s="9"/>
      <c r="AM21" s="9"/>
      <c r="AN21" s="9"/>
      <c r="AV21" s="11"/>
      <c r="AW21" s="11"/>
      <c r="AX21" s="11"/>
      <c r="AZ21" s="11"/>
      <c r="BA21" s="11"/>
      <c r="BB21" s="9"/>
      <c r="BC21" s="226" t="str">
        <f t="shared" si="10"/>
        <v/>
      </c>
      <c r="BD21" s="10"/>
      <c r="BE21" s="226" t="str">
        <f>IF($BC$14="receitas","",AJ12)</f>
        <v/>
      </c>
      <c r="BR21" s="9"/>
      <c r="BS21" s="9"/>
      <c r="BT21" s="9"/>
      <c r="BU21" s="9"/>
      <c r="BW21" s="9"/>
      <c r="BX21" s="9"/>
      <c r="BY21" s="257" t="s">
        <v>1521</v>
      </c>
      <c r="BZ21"/>
      <c r="CA21"/>
      <c r="CB21"/>
      <c r="CC21"/>
      <c r="CD21"/>
      <c r="CE21"/>
      <c r="CF21"/>
      <c r="CG21"/>
      <c r="CH21" s="257" t="s">
        <v>1522</v>
      </c>
      <c r="CI21"/>
      <c r="CJ21"/>
      <c r="CK21" s="257" t="s">
        <v>1477</v>
      </c>
      <c r="CL21"/>
      <c r="CM21"/>
      <c r="CN21"/>
      <c r="CO21"/>
      <c r="CP21"/>
      <c r="CQ21" s="257" t="s">
        <v>1568</v>
      </c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</row>
    <row r="22" spans="2:111" ht="15.05" customHeight="1" x14ac:dyDescent="0.35">
      <c r="B22" s="10">
        <v>2</v>
      </c>
      <c r="C22" s="9" t="str">
        <f>IF(CAD_CC!B5="","",CAD_CC!B5)</f>
        <v>ADM</v>
      </c>
      <c r="F22" s="10">
        <v>2</v>
      </c>
      <c r="G22" s="9" t="str">
        <f>IF(CAD_EMP!D5="","",CAD_EMP!D5)</f>
        <v>CENTRO CULTURAL FRANCO-BRASILEIRO ALIANCA FRANCESA DE GOIAS</v>
      </c>
      <c r="H22"/>
      <c r="I22"/>
      <c r="J22" s="10">
        <v>1</v>
      </c>
      <c r="K22" s="9" t="s">
        <v>1196</v>
      </c>
      <c r="N22"/>
      <c r="O22"/>
      <c r="P22"/>
      <c r="R22" s="9"/>
      <c r="S22" s="9"/>
      <c r="U22" s="9"/>
      <c r="V22" s="10"/>
      <c r="W22" s="9"/>
      <c r="AF22" s="11"/>
      <c r="AG22" s="11"/>
      <c r="AH22" s="11"/>
      <c r="AI22" s="11"/>
      <c r="AJ22" s="11"/>
      <c r="AK22" s="9"/>
      <c r="AL22" s="9"/>
      <c r="AM22" s="9"/>
      <c r="AN22" s="9"/>
      <c r="AV22" s="11"/>
      <c r="AW22" s="11"/>
      <c r="AX22" s="11"/>
      <c r="AZ22" s="11"/>
      <c r="BA22" s="11"/>
      <c r="BB22" s="9"/>
      <c r="BC22" s="226" t="str">
        <f t="shared" si="10"/>
        <v/>
      </c>
      <c r="BD22" s="10"/>
      <c r="BE22" s="226" t="str">
        <f>IF($BC$14="receitas","",AJ13)</f>
        <v/>
      </c>
      <c r="BR22" s="9"/>
      <c r="BS22" s="9"/>
      <c r="BT22" s="9"/>
      <c r="BU22" s="9"/>
      <c r="BW22" s="9"/>
      <c r="BX22" s="9"/>
      <c r="BY22" s="257" t="s">
        <v>1563</v>
      </c>
      <c r="BZ22"/>
      <c r="CA22"/>
      <c r="CB22"/>
      <c r="CC22"/>
      <c r="CD22"/>
      <c r="CE22"/>
      <c r="CF22"/>
      <c r="CG22"/>
      <c r="CH22" s="257" t="s">
        <v>1616</v>
      </c>
      <c r="CI22"/>
      <c r="CJ22"/>
      <c r="CK22" s="257" t="s">
        <v>1461</v>
      </c>
      <c r="CL22"/>
      <c r="CM22"/>
      <c r="CN22"/>
      <c r="CO22"/>
      <c r="CP22"/>
      <c r="CQ22" s="257" t="s">
        <v>1588</v>
      </c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</row>
    <row r="23" spans="2:111" ht="15.05" customHeight="1" x14ac:dyDescent="0.35">
      <c r="B23" s="10">
        <v>3</v>
      </c>
      <c r="C23" s="9" t="str">
        <f>IF(CAD_CC!B6="","",CAD_CC!B6)</f>
        <v/>
      </c>
      <c r="F23" s="10">
        <v>3</v>
      </c>
      <c r="G23" s="9" t="str">
        <f>IF(CAD_EMP!D6="","",CAD_EMP!D6)</f>
        <v>CLIMA LAURINDA FREITAS</v>
      </c>
      <c r="H23"/>
      <c r="I23"/>
      <c r="J23" s="10">
        <v>2</v>
      </c>
      <c r="K23" s="210" t="str">
        <f>IF('CAD_BANCOS'!F5="","",'CAD_BANCOS'!F5)</f>
        <v>PAGBANK</v>
      </c>
      <c r="N23"/>
      <c r="O23"/>
      <c r="P23"/>
      <c r="R23" s="9"/>
      <c r="S23" s="9"/>
      <c r="U23" s="9"/>
      <c r="V23" s="10"/>
      <c r="W23" s="9"/>
      <c r="AF23" s="11"/>
      <c r="AG23" s="11"/>
      <c r="AH23" s="11"/>
      <c r="AI23" s="11"/>
      <c r="AJ23" s="11"/>
      <c r="AK23" s="9"/>
      <c r="AL23" s="9"/>
      <c r="AM23" s="9"/>
      <c r="AN23" s="9"/>
      <c r="AV23" s="11"/>
      <c r="AW23" s="11"/>
      <c r="AX23" s="11"/>
      <c r="AZ23" s="11"/>
      <c r="BA23" s="11"/>
      <c r="BB23" s="9"/>
      <c r="BC23" s="226" t="str">
        <f t="shared" si="10"/>
        <v/>
      </c>
      <c r="BD23" s="10"/>
      <c r="BE23" s="226" t="str">
        <f>IF($BC$14="receitas","",AJ14)</f>
        <v/>
      </c>
      <c r="BR23" s="9"/>
      <c r="BS23" s="9"/>
      <c r="BT23" s="9"/>
      <c r="BU23" s="9"/>
      <c r="BW23" s="9"/>
      <c r="BX23" s="9"/>
      <c r="BY23" s="257" t="s">
        <v>1516</v>
      </c>
      <c r="BZ23"/>
      <c r="CA23"/>
      <c r="CB23"/>
      <c r="CC23"/>
      <c r="CD23"/>
      <c r="CE23"/>
      <c r="CF23"/>
      <c r="CG23"/>
      <c r="CH23" s="257" t="s">
        <v>1536</v>
      </c>
      <c r="CI23"/>
      <c r="CJ23"/>
      <c r="CK23" s="257" t="s">
        <v>1478</v>
      </c>
      <c r="CL23"/>
      <c r="CM23"/>
      <c r="CN23"/>
      <c r="CO23"/>
      <c r="CP23"/>
      <c r="CQ23" s="257" t="s">
        <v>1494</v>
      </c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</row>
    <row r="24" spans="2:111" ht="15.05" customHeight="1" x14ac:dyDescent="0.35">
      <c r="B24" s="10">
        <v>4</v>
      </c>
      <c r="C24" s="9" t="str">
        <f>IF(CAD_CC!B7="","",CAD_CC!B7)</f>
        <v/>
      </c>
      <c r="F24" s="10">
        <v>4</v>
      </c>
      <c r="G24" s="9" t="str">
        <f>IF(CAD_EMP!D7="","",CAD_EMP!D7)</f>
        <v/>
      </c>
      <c r="H24"/>
      <c r="I24"/>
      <c r="J24" s="10">
        <v>3</v>
      </c>
      <c r="K24" s="210" t="str">
        <f>IF('CAD_BANCOS'!F6="","",'CAD_BANCOS'!F6)</f>
        <v>SICOOB</v>
      </c>
      <c r="N24"/>
      <c r="O24"/>
      <c r="P24"/>
      <c r="R24" s="9"/>
      <c r="S24" s="9"/>
      <c r="U24" s="9"/>
      <c r="V24" s="10"/>
      <c r="W24" s="9"/>
      <c r="AF24" s="11"/>
      <c r="AG24" s="11"/>
      <c r="AH24" s="11"/>
      <c r="AI24" s="11"/>
      <c r="AJ24" s="11"/>
      <c r="AK24" s="9"/>
      <c r="AL24" s="9"/>
      <c r="AM24" s="9"/>
      <c r="AN24" s="9"/>
      <c r="AV24" s="11"/>
      <c r="AW24" s="11"/>
      <c r="AX24" s="11"/>
      <c r="AZ24" s="11"/>
      <c r="BA24" s="11"/>
      <c r="BB24" s="9"/>
      <c r="BC24" s="226" t="str">
        <f t="shared" si="10"/>
        <v/>
      </c>
      <c r="BD24" s="10"/>
      <c r="BE24" s="226" t="str">
        <f>IF($BC$14="receitas","",AJ15)</f>
        <v/>
      </c>
      <c r="BR24" s="9"/>
      <c r="BS24" s="9"/>
      <c r="BT24" s="9"/>
      <c r="BU24" s="9"/>
      <c r="BW24" s="9"/>
      <c r="BX24" s="9"/>
      <c r="BY24"/>
      <c r="CB24"/>
      <c r="CE24"/>
      <c r="CH24" s="257" t="s">
        <v>1547</v>
      </c>
      <c r="CK24" s="257" t="s">
        <v>1489</v>
      </c>
      <c r="CN24"/>
      <c r="CQ24" s="257" t="s">
        <v>1493</v>
      </c>
      <c r="CT24"/>
      <c r="CW24"/>
      <c r="CZ24"/>
      <c r="DC24"/>
      <c r="DF24"/>
    </row>
    <row r="25" spans="2:111" ht="15.05" customHeight="1" x14ac:dyDescent="0.35">
      <c r="B25" s="10">
        <v>5</v>
      </c>
      <c r="C25" s="9" t="str">
        <f>IF(CAD_CC!B8="","",CAD_CC!B8)</f>
        <v/>
      </c>
      <c r="F25" s="10">
        <v>5</v>
      </c>
      <c r="G25" s="9" t="str">
        <f>IF(CAD_EMP!D8="","",CAD_EMP!D8)</f>
        <v/>
      </c>
      <c r="H25"/>
      <c r="I25"/>
      <c r="J25" s="10">
        <v>4</v>
      </c>
      <c r="K25" s="210" t="str">
        <f>IF('CAD_BANCOS'!F7="","",'CAD_BANCOS'!F7)</f>
        <v/>
      </c>
      <c r="N25"/>
      <c r="O25"/>
      <c r="P25"/>
      <c r="R25" s="9"/>
      <c r="S25" s="9"/>
      <c r="U25" s="9"/>
      <c r="V25" s="10"/>
      <c r="W25" s="9"/>
      <c r="AF25" s="11"/>
      <c r="AG25" s="11"/>
      <c r="AH25" s="11"/>
      <c r="AI25" s="11"/>
      <c r="AJ25" s="11"/>
      <c r="AK25" s="9"/>
      <c r="AL25" s="9"/>
      <c r="AM25" s="9"/>
      <c r="AN25" s="9"/>
      <c r="AV25" s="11"/>
      <c r="AW25" s="11"/>
      <c r="AX25" s="11"/>
      <c r="AZ25" s="11"/>
      <c r="BA25" s="11"/>
      <c r="BB25" s="9"/>
      <c r="BC25" s="9"/>
      <c r="BD25" s="10"/>
      <c r="BE25" s="9"/>
      <c r="BR25" s="9"/>
      <c r="BS25" s="9"/>
      <c r="BT25" s="9"/>
      <c r="BU25" s="9"/>
      <c r="BW25" s="9"/>
      <c r="BX25" s="9"/>
      <c r="BY25"/>
      <c r="CB25"/>
      <c r="CE25"/>
      <c r="CH25"/>
      <c r="CK25" s="257" t="s">
        <v>1614</v>
      </c>
      <c r="CN25"/>
      <c r="CQ25" s="257" t="s">
        <v>1543</v>
      </c>
      <c r="CT25"/>
      <c r="CW25"/>
      <c r="CZ25"/>
      <c r="DC25"/>
      <c r="DF25"/>
    </row>
    <row r="26" spans="2:111" ht="15.05" customHeight="1" x14ac:dyDescent="0.35">
      <c r="B26" s="10">
        <v>6</v>
      </c>
      <c r="C26" s="9" t="str">
        <f>IF(CAD_CC!B9="","",CAD_CC!B9)</f>
        <v/>
      </c>
      <c r="F26" s="10">
        <v>6</v>
      </c>
      <c r="G26" s="9" t="str">
        <f>IF(CAD_EMP!D11="","",CAD_EMP!D11)</f>
        <v/>
      </c>
      <c r="H26"/>
      <c r="I26"/>
      <c r="J26" s="10">
        <v>5</v>
      </c>
      <c r="K26" s="210" t="str">
        <f>IF('CAD_BANCOS'!F8="","",'CAD_BANCOS'!F8)</f>
        <v/>
      </c>
      <c r="N26"/>
      <c r="O26"/>
      <c r="P26"/>
      <c r="R26" s="9"/>
      <c r="S26" s="9"/>
      <c r="U26" s="9"/>
      <c r="V26" s="10"/>
      <c r="W26" s="9"/>
      <c r="AF26" s="11"/>
      <c r="AG26" s="11"/>
      <c r="AH26" s="11"/>
      <c r="AI26" s="11"/>
      <c r="AJ26" s="11"/>
      <c r="AK26" s="9"/>
      <c r="AL26" s="9"/>
      <c r="AM26" s="9"/>
      <c r="AN26" s="9"/>
      <c r="AV26" s="11"/>
      <c r="AW26" s="11"/>
      <c r="AX26" s="11"/>
      <c r="AZ26" s="11"/>
      <c r="BA26" s="11"/>
      <c r="BB26" s="9"/>
      <c r="BC26" s="9"/>
      <c r="BD26" s="10"/>
      <c r="BE26" s="9"/>
      <c r="BR26" s="9"/>
      <c r="BS26" s="9"/>
      <c r="BT26" s="9"/>
      <c r="BU26" s="9"/>
      <c r="BW26" s="9"/>
      <c r="BX26" s="9"/>
      <c r="BY26"/>
      <c r="CB26"/>
      <c r="CE26"/>
      <c r="CH26"/>
      <c r="CK26" s="257" t="s">
        <v>1592</v>
      </c>
      <c r="CN26"/>
      <c r="CQ26" s="257" t="s">
        <v>1492</v>
      </c>
      <c r="CT26"/>
      <c r="CW26"/>
      <c r="CZ26"/>
      <c r="DC26"/>
      <c r="DF26"/>
    </row>
    <row r="27" spans="2:111" ht="15.05" customHeight="1" x14ac:dyDescent="0.35">
      <c r="B27" s="10">
        <v>7</v>
      </c>
      <c r="C27" s="9" t="str">
        <f>IF(CAD_CC!B10="","",CAD_CC!B10)</f>
        <v/>
      </c>
      <c r="F27" s="10">
        <v>7</v>
      </c>
      <c r="G27" s="9" t="str">
        <f>IF(CAD_EMP!D12="","",CAD_EMP!D12)</f>
        <v/>
      </c>
      <c r="H27"/>
      <c r="I27"/>
      <c r="J27" s="10">
        <v>6</v>
      </c>
      <c r="K27" s="210" t="str">
        <f>IF('CAD_BANCOS'!F9="","",'CAD_BANCOS'!F9)</f>
        <v/>
      </c>
      <c r="N27"/>
      <c r="O27"/>
      <c r="P27"/>
      <c r="R27" s="9"/>
      <c r="S27" s="9"/>
      <c r="U27" s="9"/>
      <c r="V27" s="10"/>
      <c r="W27" s="9"/>
      <c r="AF27" s="11"/>
      <c r="AG27" s="11"/>
      <c r="AH27" s="11"/>
      <c r="AI27" s="11"/>
      <c r="AJ27" s="11"/>
      <c r="AK27" s="9"/>
      <c r="AL27" s="9"/>
      <c r="AM27" s="9"/>
      <c r="AN27" s="9"/>
      <c r="AV27" s="11"/>
      <c r="AW27" s="11"/>
      <c r="AX27" s="11"/>
      <c r="AZ27" s="11"/>
      <c r="BA27" s="11"/>
      <c r="BB27" s="9"/>
      <c r="BC27" s="9"/>
      <c r="BD27" s="10"/>
      <c r="BE27" s="9"/>
      <c r="BR27" s="9"/>
      <c r="BS27" s="9"/>
      <c r="BT27" s="9"/>
      <c r="BU27" s="9"/>
      <c r="BW27" s="9"/>
      <c r="BX27" s="9"/>
      <c r="BY27"/>
      <c r="CB27"/>
      <c r="CE27"/>
      <c r="CH27"/>
      <c r="CK27" s="257" t="s">
        <v>1542</v>
      </c>
      <c r="CN27"/>
      <c r="CQ27" s="257" t="s">
        <v>1567</v>
      </c>
      <c r="CT27"/>
      <c r="CW27"/>
      <c r="CZ27"/>
      <c r="DC27"/>
      <c r="DF27"/>
    </row>
    <row r="28" spans="2:111" ht="15.05" customHeight="1" x14ac:dyDescent="0.35">
      <c r="B28" s="10">
        <v>8</v>
      </c>
      <c r="C28" s="9" t="str">
        <f>IF(CAD_CC!B11="","",CAD_CC!B11)</f>
        <v/>
      </c>
      <c r="F28" s="10">
        <v>8</v>
      </c>
      <c r="G28" s="9" t="str">
        <f>IF(CAD_EMP!D13="","",CAD_EMP!D13)</f>
        <v/>
      </c>
      <c r="H28"/>
      <c r="I28"/>
      <c r="J28" s="10">
        <v>7</v>
      </c>
      <c r="K28" s="210" t="str">
        <f>IF('CAD_BANCOS'!F10="","",'CAD_BANCOS'!F10)</f>
        <v/>
      </c>
      <c r="N28"/>
      <c r="O28"/>
      <c r="P28"/>
      <c r="R28" s="9"/>
      <c r="S28" s="9"/>
      <c r="U28" s="9"/>
      <c r="V28" s="10"/>
      <c r="W28" s="9"/>
      <c r="AF28" s="11"/>
      <c r="AG28" s="11"/>
      <c r="AH28" s="11"/>
      <c r="AI28" s="11"/>
      <c r="AJ28" s="11"/>
      <c r="AK28" s="9"/>
      <c r="AL28" s="9"/>
      <c r="AM28" s="9"/>
      <c r="AN28" s="9"/>
      <c r="AV28" s="11"/>
      <c r="AW28" s="11"/>
      <c r="AX28" s="11"/>
      <c r="AZ28" s="11"/>
      <c r="BA28" s="11"/>
      <c r="BB28" s="9"/>
      <c r="BC28" s="9"/>
      <c r="BD28" s="10"/>
      <c r="BE28" s="9"/>
      <c r="BR28" s="9"/>
      <c r="BS28" s="9"/>
      <c r="BT28" s="9"/>
      <c r="BU28" s="9"/>
      <c r="BW28" s="9"/>
      <c r="BX28" s="9"/>
      <c r="BY28"/>
      <c r="CB28"/>
      <c r="CE28"/>
      <c r="CH28"/>
      <c r="CK28" s="257" t="s">
        <v>1558</v>
      </c>
      <c r="CN28"/>
      <c r="CQ28" s="257" t="s">
        <v>1544</v>
      </c>
      <c r="CT28"/>
      <c r="CW28"/>
      <c r="CZ28"/>
      <c r="DC28"/>
      <c r="DF28"/>
    </row>
    <row r="29" spans="2:111" ht="15.05" customHeight="1" x14ac:dyDescent="0.35">
      <c r="B29" s="10">
        <v>9</v>
      </c>
      <c r="C29" s="9" t="str">
        <f>IF(CAD_CC!B12="","",CAD_CC!B12)</f>
        <v/>
      </c>
      <c r="F29" s="10">
        <v>9</v>
      </c>
      <c r="G29" s="9" t="str">
        <f>IF(CAD_EMP!D14="","",CAD_EMP!D14)</f>
        <v/>
      </c>
      <c r="H29"/>
      <c r="I29"/>
      <c r="J29" s="10">
        <v>8</v>
      </c>
      <c r="K29" s="210" t="str">
        <f>IF('CAD_BANCOS'!F11="","",'CAD_BANCOS'!F11)</f>
        <v/>
      </c>
      <c r="N29"/>
      <c r="O29"/>
      <c r="P29"/>
      <c r="R29" s="9"/>
      <c r="S29" s="9"/>
      <c r="U29" s="9"/>
      <c r="V29" s="10"/>
      <c r="W29" s="9"/>
      <c r="AF29" s="11"/>
      <c r="AG29" s="11"/>
      <c r="AH29" s="11"/>
      <c r="AI29" s="11"/>
      <c r="AJ29" s="11"/>
      <c r="AK29" s="9"/>
      <c r="AL29" s="9"/>
      <c r="AM29" s="9"/>
      <c r="AN29" s="9"/>
      <c r="AV29" s="11"/>
      <c r="AW29" s="11"/>
      <c r="AX29" s="11"/>
      <c r="AZ29" s="11"/>
      <c r="BA29" s="11"/>
      <c r="BB29" s="9"/>
      <c r="BC29" s="9"/>
      <c r="BD29" s="10"/>
      <c r="BE29" s="9"/>
      <c r="BR29" s="9"/>
      <c r="BS29" s="9"/>
      <c r="BT29" s="9"/>
      <c r="BU29" s="9"/>
      <c r="BW29" s="9"/>
      <c r="BX29" s="9"/>
      <c r="BY29"/>
      <c r="CB29"/>
      <c r="CE29"/>
      <c r="CH29"/>
      <c r="CK29" s="257" t="s">
        <v>1530</v>
      </c>
      <c r="CN29"/>
      <c r="CQ29" s="257" t="s">
        <v>1510</v>
      </c>
      <c r="CT29"/>
      <c r="CW29"/>
      <c r="CZ29"/>
      <c r="DC29"/>
      <c r="DF29"/>
    </row>
    <row r="30" spans="2:111" ht="15.05" customHeight="1" x14ac:dyDescent="0.35">
      <c r="B30" s="10">
        <v>10</v>
      </c>
      <c r="C30" s="9" t="str">
        <f>IF(CAD_CC!B13="","",CAD_CC!B13)</f>
        <v/>
      </c>
      <c r="F30" s="10">
        <v>10</v>
      </c>
      <c r="G30" s="9" t="str">
        <f>IF(CAD_EMP!D15="","",CAD_EMP!D15)</f>
        <v/>
      </c>
      <c r="H30"/>
      <c r="I30"/>
      <c r="J30" s="10">
        <v>9</v>
      </c>
      <c r="K30" s="210" t="str">
        <f>IF('CAD_BANCOS'!F12="","",'CAD_BANCOS'!F12)</f>
        <v/>
      </c>
      <c r="N30"/>
      <c r="O30"/>
      <c r="P30"/>
      <c r="R30" s="9"/>
      <c r="S30" s="9"/>
      <c r="U30" s="9"/>
      <c r="V30" s="10"/>
      <c r="W30" s="9"/>
      <c r="AF30" s="11"/>
      <c r="AG30" s="11"/>
      <c r="AH30" s="11"/>
      <c r="AI30" s="11"/>
      <c r="AJ30" s="11"/>
      <c r="AK30" s="9"/>
      <c r="AL30" s="9"/>
      <c r="AM30" s="9"/>
      <c r="AN30" s="9"/>
      <c r="AV30" s="11"/>
      <c r="AW30" s="11"/>
      <c r="AX30" s="11"/>
      <c r="AZ30" s="11"/>
      <c r="BA30" s="11"/>
      <c r="BB30" s="9"/>
      <c r="BC30" s="9"/>
      <c r="BD30" s="10"/>
      <c r="BE30" s="9"/>
      <c r="BR30" s="9"/>
      <c r="BS30" s="9"/>
      <c r="BT30" s="9"/>
      <c r="BU30" s="9"/>
      <c r="BW30" s="9"/>
      <c r="BX30" s="9"/>
      <c r="BY30"/>
      <c r="CB30"/>
      <c r="CE30"/>
      <c r="CH30"/>
      <c r="CK30" s="257" t="s">
        <v>1459</v>
      </c>
      <c r="CN30"/>
      <c r="CQ30"/>
      <c r="CT30"/>
      <c r="CW30"/>
      <c r="CZ30"/>
      <c r="DC30"/>
      <c r="DF30"/>
    </row>
    <row r="31" spans="2:111" ht="15.05" customHeight="1" x14ac:dyDescent="0.35">
      <c r="B31" s="10">
        <v>11</v>
      </c>
      <c r="C31" s="9" t="str">
        <f>IF(CAD_CC!B14="","",CAD_CC!B14)</f>
        <v/>
      </c>
      <c r="F31" s="10">
        <v>11</v>
      </c>
      <c r="G31" s="9" t="str">
        <f>IF(CAD_EMP!D16="","",CAD_EMP!D16)</f>
        <v/>
      </c>
      <c r="H31"/>
      <c r="I31"/>
      <c r="J31" s="10">
        <v>10</v>
      </c>
      <c r="K31" s="210" t="str">
        <f>IF('CAD_BANCOS'!F13="","",'CAD_BANCOS'!F13)</f>
        <v/>
      </c>
      <c r="N31"/>
      <c r="O31"/>
      <c r="P31"/>
      <c r="R31" s="9"/>
      <c r="S31" s="9"/>
      <c r="U31" s="9"/>
      <c r="V31" s="10"/>
      <c r="W31" s="9"/>
      <c r="AF31" s="11"/>
      <c r="AG31" s="11"/>
      <c r="AH31" s="11"/>
      <c r="AI31" s="11"/>
      <c r="AJ31" s="11"/>
      <c r="AK31" s="9"/>
      <c r="AL31" s="9"/>
      <c r="AM31" s="9"/>
      <c r="AN31" s="9"/>
      <c r="AV31" s="11"/>
      <c r="AW31" s="11"/>
      <c r="AX31" s="11"/>
      <c r="AZ31" s="11"/>
      <c r="BA31" s="11"/>
      <c r="BB31" s="9"/>
      <c r="BC31" s="9"/>
      <c r="BD31" s="10"/>
      <c r="BE31" s="9"/>
      <c r="BR31" s="9"/>
      <c r="BS31" s="9"/>
      <c r="BT31" s="9"/>
      <c r="BU31" s="9"/>
      <c r="BW31" s="9"/>
      <c r="BX31" s="9"/>
      <c r="BY31"/>
      <c r="CB31"/>
      <c r="CE31"/>
      <c r="CH31"/>
      <c r="CK31" s="257" t="s">
        <v>1488</v>
      </c>
      <c r="CN31"/>
      <c r="CQ31"/>
      <c r="CT31"/>
      <c r="CW31"/>
      <c r="CZ31"/>
      <c r="DC31"/>
      <c r="DF31"/>
    </row>
    <row r="32" spans="2:111" ht="15.05" customHeight="1" x14ac:dyDescent="0.35">
      <c r="B32" s="10">
        <v>12</v>
      </c>
      <c r="C32" s="9" t="str">
        <f>IF(CAD_CC!B15="","",CAD_CC!B15)</f>
        <v/>
      </c>
      <c r="F32" s="10">
        <v>12</v>
      </c>
      <c r="G32" s="9" t="str">
        <f>IF(CAD_EMP!D17="","",CAD_EMP!D17)</f>
        <v/>
      </c>
      <c r="H32"/>
      <c r="I32"/>
      <c r="J32" s="10">
        <v>11</v>
      </c>
      <c r="K32" s="210" t="str">
        <f>IF('CAD_BANCOS'!F14="","",'CAD_BANCOS'!F14)</f>
        <v/>
      </c>
      <c r="N32"/>
      <c r="O32"/>
      <c r="P32"/>
      <c r="R32" s="9"/>
      <c r="S32" s="9"/>
      <c r="U32" s="9"/>
      <c r="V32" s="10"/>
      <c r="W32" s="9"/>
      <c r="AF32" s="11"/>
      <c r="AG32" s="11"/>
      <c r="AH32" s="11"/>
      <c r="AI32" s="11"/>
      <c r="AJ32" s="11"/>
      <c r="AK32" s="9"/>
      <c r="AL32" s="9"/>
      <c r="AM32" s="9"/>
      <c r="AN32" s="9"/>
      <c r="AV32" s="11"/>
      <c r="AW32" s="11"/>
      <c r="AX32" s="11"/>
      <c r="AZ32" s="11"/>
      <c r="BA32" s="11"/>
      <c r="BB32" s="9"/>
      <c r="BC32" s="9"/>
      <c r="BD32" s="10"/>
      <c r="BE32" s="9"/>
      <c r="BR32" s="9"/>
      <c r="BS32" s="9"/>
      <c r="BT32" s="9"/>
      <c r="BU32" s="9"/>
      <c r="BW32" s="9"/>
      <c r="BX32" s="9"/>
      <c r="BY32"/>
      <c r="CB32"/>
      <c r="CE32"/>
      <c r="CH32"/>
      <c r="CK32" s="257" t="s">
        <v>1587</v>
      </c>
      <c r="CN32"/>
      <c r="CQ32"/>
      <c r="CT32"/>
      <c r="CW32"/>
      <c r="CZ32"/>
      <c r="DC32"/>
      <c r="DF32"/>
    </row>
    <row r="33" spans="2:110" ht="15.05" customHeight="1" x14ac:dyDescent="0.35">
      <c r="B33" s="10">
        <v>13</v>
      </c>
      <c r="C33" s="9" t="str">
        <f>IF(CAD_CC!B16="","",CAD_CC!B16)</f>
        <v/>
      </c>
      <c r="F33" s="10">
        <v>13</v>
      </c>
      <c r="G33" s="9" t="str">
        <f>IF(CAD_EMP!D18="","",CAD_EMP!D18)</f>
        <v/>
      </c>
      <c r="H33"/>
      <c r="I33"/>
      <c r="J33" s="10">
        <v>12</v>
      </c>
      <c r="K33" s="210" t="str">
        <f>IF('CAD_BANCOS'!F15="","",'CAD_BANCOS'!F15)</f>
        <v/>
      </c>
      <c r="N33"/>
      <c r="O33"/>
      <c r="P33"/>
      <c r="R33" s="9"/>
      <c r="S33" s="9"/>
      <c r="U33" s="9"/>
      <c r="V33" s="10"/>
      <c r="W33" s="9"/>
      <c r="AF33" s="11"/>
      <c r="AG33" s="11"/>
      <c r="AH33" s="11"/>
      <c r="AI33" s="11"/>
      <c r="AJ33" s="11"/>
      <c r="AK33" s="9"/>
      <c r="AL33" s="9"/>
      <c r="AM33" s="9"/>
      <c r="AN33" s="9"/>
      <c r="AV33" s="11"/>
      <c r="AW33" s="11"/>
      <c r="AX33" s="11"/>
      <c r="AZ33" s="11"/>
      <c r="BA33" s="11"/>
      <c r="BB33" s="9"/>
      <c r="BC33" s="9"/>
      <c r="BD33" s="10"/>
      <c r="BE33" s="9"/>
      <c r="BR33" s="9"/>
      <c r="BS33" s="9"/>
      <c r="BT33" s="9"/>
      <c r="BU33" s="9"/>
      <c r="BW33" s="9"/>
      <c r="BX33" s="9"/>
      <c r="BY33"/>
      <c r="CB33"/>
      <c r="CE33"/>
      <c r="CH33"/>
      <c r="CK33"/>
      <c r="CN33"/>
      <c r="CQ33"/>
      <c r="CT33"/>
      <c r="CW33"/>
      <c r="CZ33"/>
      <c r="DC33"/>
      <c r="DF33"/>
    </row>
    <row r="34" spans="2:110" ht="15.05" customHeight="1" x14ac:dyDescent="0.35">
      <c r="B34" s="10">
        <v>14</v>
      </c>
      <c r="C34" s="9" t="str">
        <f>IF(CAD_CC!B17="","",CAD_CC!B17)</f>
        <v/>
      </c>
      <c r="F34" s="10">
        <v>14</v>
      </c>
      <c r="G34" s="9" t="str">
        <f>IF(CAD_EMP!D19="","",CAD_EMP!D19)</f>
        <v/>
      </c>
      <c r="H34"/>
      <c r="I34"/>
      <c r="J34" s="10">
        <v>13</v>
      </c>
      <c r="K34" s="210" t="str">
        <f>IF('CAD_BANCOS'!F16="","",'CAD_BANCOS'!F16)</f>
        <v/>
      </c>
      <c r="N34"/>
      <c r="O34"/>
      <c r="P34"/>
      <c r="R34" s="9"/>
      <c r="S34" s="9"/>
      <c r="U34" s="9"/>
      <c r="V34" s="10"/>
      <c r="W34" s="9"/>
      <c r="AF34" s="11"/>
      <c r="AG34" s="11"/>
      <c r="AH34" s="11"/>
      <c r="AI34" s="11"/>
      <c r="AJ34" s="11"/>
      <c r="AK34" s="9"/>
      <c r="AL34" s="9"/>
      <c r="AM34" s="9"/>
      <c r="AN34" s="9"/>
      <c r="AV34" s="11"/>
      <c r="AW34" s="11"/>
      <c r="AX34" s="11"/>
      <c r="AZ34" s="11"/>
      <c r="BA34" s="11"/>
      <c r="BB34" s="9"/>
      <c r="BC34" s="9"/>
      <c r="BD34" s="10"/>
      <c r="BE34" s="9"/>
      <c r="BR34" s="9"/>
      <c r="BS34" s="9"/>
      <c r="BT34" s="9"/>
      <c r="BU34" s="9"/>
      <c r="BW34" s="9"/>
      <c r="BX34" s="9"/>
      <c r="BY34"/>
      <c r="CB34"/>
      <c r="CE34"/>
      <c r="CH34"/>
      <c r="CK34"/>
      <c r="CN34"/>
      <c r="CQ34"/>
      <c r="CT34"/>
      <c r="CW34"/>
      <c r="CZ34"/>
      <c r="DC34"/>
      <c r="DF34"/>
    </row>
    <row r="35" spans="2:110" ht="15.05" customHeight="1" x14ac:dyDescent="0.35">
      <c r="B35" s="10">
        <v>15</v>
      </c>
      <c r="C35" s="9" t="str">
        <f>IF(CAD_CC!B18="","",CAD_CC!B18)</f>
        <v/>
      </c>
      <c r="F35" s="10">
        <v>15</v>
      </c>
      <c r="G35" s="9" t="str">
        <f>IF(CAD_EMP!D20="","",CAD_EMP!D20)</f>
        <v/>
      </c>
      <c r="H35"/>
      <c r="I35"/>
      <c r="J35" s="10">
        <v>14</v>
      </c>
      <c r="K35" s="210" t="str">
        <f>IF('CAD_BANCOS'!F17="","",'CAD_BANCOS'!F17)</f>
        <v/>
      </c>
      <c r="N35"/>
      <c r="O35"/>
      <c r="P35"/>
      <c r="R35" s="9"/>
      <c r="S35" s="9"/>
      <c r="U35" s="9"/>
      <c r="V35" s="10"/>
      <c r="W35" s="9"/>
      <c r="AF35" s="11"/>
      <c r="AG35" s="11"/>
      <c r="AH35" s="11"/>
      <c r="AI35" s="11"/>
      <c r="AJ35" s="11"/>
      <c r="AK35" s="9"/>
      <c r="AL35" s="9"/>
      <c r="AM35" s="9"/>
      <c r="AN35" s="9"/>
      <c r="AV35" s="11"/>
      <c r="AW35" s="11"/>
      <c r="AX35" s="11"/>
      <c r="AZ35" s="11"/>
      <c r="BA35" s="11"/>
      <c r="BB35" s="9"/>
      <c r="BC35" s="9"/>
      <c r="BD35" s="10"/>
      <c r="BE35" s="9"/>
      <c r="BR35" s="9"/>
      <c r="BS35" s="9"/>
      <c r="BT35" s="9"/>
      <c r="BU35" s="9"/>
      <c r="BW35" s="9"/>
      <c r="BX35" s="9"/>
      <c r="BY35"/>
      <c r="CB35"/>
      <c r="CE35"/>
      <c r="CH35"/>
      <c r="CK35"/>
      <c r="CN35"/>
      <c r="CQ35"/>
      <c r="CT35"/>
      <c r="CW35"/>
      <c r="CZ35"/>
      <c r="DC35"/>
      <c r="DF35"/>
    </row>
    <row r="36" spans="2:110" ht="15.05" customHeight="1" x14ac:dyDescent="0.35">
      <c r="B36" s="10">
        <v>16</v>
      </c>
      <c r="C36" s="9" t="str">
        <f>IF(CAD_CC!B19="","",CAD_CC!B19)</f>
        <v/>
      </c>
      <c r="F36" s="10">
        <v>16</v>
      </c>
      <c r="G36" s="9" t="str">
        <f>IF(CAD_EMP!D21="","",CAD_EMP!D21)</f>
        <v/>
      </c>
      <c r="H36"/>
      <c r="I36"/>
      <c r="J36" s="10">
        <v>15</v>
      </c>
      <c r="K36" s="210" t="str">
        <f>IF('CAD_BANCOS'!F18="","",'CAD_BANCOS'!F18)</f>
        <v/>
      </c>
      <c r="N36"/>
      <c r="O36"/>
      <c r="P36"/>
      <c r="R36" s="9"/>
      <c r="S36" s="9"/>
      <c r="U36" s="9"/>
      <c r="V36" s="10"/>
      <c r="W36" s="9"/>
      <c r="AF36" s="11"/>
      <c r="AG36" s="11"/>
      <c r="AH36" s="11"/>
      <c r="AI36" s="11"/>
      <c r="AJ36" s="11"/>
      <c r="AK36" s="9"/>
      <c r="AL36" s="9"/>
      <c r="AM36" s="9"/>
      <c r="AN36" s="9"/>
      <c r="AV36" s="11"/>
      <c r="AW36" s="11"/>
      <c r="AX36" s="11"/>
      <c r="AZ36" s="11"/>
      <c r="BA36" s="11"/>
      <c r="BB36" s="9"/>
      <c r="BC36" s="9"/>
      <c r="BD36" s="10"/>
      <c r="BE36" s="9"/>
      <c r="BR36" s="9"/>
      <c r="BS36" s="9"/>
      <c r="BT36" s="9"/>
      <c r="BU36" s="9"/>
      <c r="BW36" s="9"/>
      <c r="BX36" s="9"/>
      <c r="BY36"/>
      <c r="CB36"/>
      <c r="CE36"/>
      <c r="CH36"/>
      <c r="CK36"/>
      <c r="CN36"/>
      <c r="CQ36"/>
      <c r="CT36"/>
      <c r="CW36"/>
      <c r="CZ36"/>
      <c r="DC36"/>
      <c r="DF36"/>
    </row>
    <row r="37" spans="2:110" ht="15.05" customHeight="1" x14ac:dyDescent="0.35">
      <c r="B37" s="10">
        <v>17</v>
      </c>
      <c r="C37" s="9" t="str">
        <f>IF(CAD_CC!B20="","",CAD_CC!B20)</f>
        <v/>
      </c>
      <c r="F37" s="10">
        <v>17</v>
      </c>
      <c r="G37" s="9" t="str">
        <f>IF(CAD_EMP!D22="","",CAD_EMP!D22)</f>
        <v/>
      </c>
      <c r="H37"/>
      <c r="I37"/>
      <c r="J37" s="10">
        <v>16</v>
      </c>
      <c r="K37" s="210" t="str">
        <f>IF('CAD_BANCOS'!F19="","",'CAD_BANCOS'!F19)</f>
        <v/>
      </c>
      <c r="N37"/>
      <c r="R37" s="9"/>
      <c r="S37" s="9"/>
      <c r="U37" s="9"/>
      <c r="V37" s="10"/>
      <c r="W37" s="9"/>
      <c r="AF37" s="11"/>
      <c r="AG37" s="11"/>
      <c r="AH37" s="11"/>
      <c r="AI37" s="11"/>
      <c r="AJ37" s="11"/>
      <c r="AK37" s="9"/>
      <c r="AL37" s="9"/>
      <c r="AM37" s="9"/>
      <c r="AN37" s="9"/>
      <c r="AV37" s="11"/>
      <c r="AW37" s="11"/>
      <c r="AX37" s="11"/>
      <c r="AZ37" s="11"/>
      <c r="BA37" s="11"/>
      <c r="BB37" s="9"/>
      <c r="BC37" s="9"/>
      <c r="BD37" s="10"/>
      <c r="BE37" s="9"/>
      <c r="BR37" s="9"/>
      <c r="BS37" s="9"/>
      <c r="BT37" s="9"/>
      <c r="BU37" s="9"/>
      <c r="BW37" s="9"/>
      <c r="BX37" s="9"/>
      <c r="BY37"/>
      <c r="CB37"/>
      <c r="CE37"/>
      <c r="CH37"/>
      <c r="CK37"/>
      <c r="CN37"/>
      <c r="CQ37"/>
      <c r="CT37"/>
      <c r="CW37"/>
      <c r="CZ37"/>
      <c r="DC37"/>
      <c r="DF37"/>
    </row>
    <row r="38" spans="2:110" ht="15.05" customHeight="1" x14ac:dyDescent="0.35">
      <c r="B38" s="10">
        <v>18</v>
      </c>
      <c r="C38" s="9" t="str">
        <f>IF(CAD_CC!B21="","",CAD_CC!B21)</f>
        <v/>
      </c>
      <c r="F38" s="10">
        <v>18</v>
      </c>
      <c r="G38" s="9" t="str">
        <f>IF(CAD_EMP!D23="","",CAD_EMP!D23)</f>
        <v/>
      </c>
      <c r="I38"/>
      <c r="J38" s="10">
        <v>17</v>
      </c>
      <c r="K38" s="210" t="str">
        <f>IF('CAD_BANCOS'!F20="","",'CAD_BANCOS'!F20)</f>
        <v/>
      </c>
      <c r="N38"/>
      <c r="R38" s="9"/>
      <c r="S38" s="9"/>
      <c r="U38" s="9"/>
      <c r="V38" s="10"/>
      <c r="W38" s="9"/>
      <c r="AF38" s="11"/>
      <c r="AG38" s="11"/>
      <c r="AH38" s="11"/>
      <c r="AI38" s="11"/>
      <c r="AJ38" s="11"/>
      <c r="AK38" s="9"/>
      <c r="AL38" s="9"/>
      <c r="AM38" s="9"/>
      <c r="AN38" s="9"/>
      <c r="AV38" s="11"/>
      <c r="AW38" s="11"/>
      <c r="AX38" s="11"/>
      <c r="AZ38" s="11"/>
      <c r="BA38" s="11"/>
      <c r="BB38" s="9"/>
      <c r="BC38" s="9"/>
      <c r="BD38" s="10"/>
      <c r="BE38" s="9"/>
      <c r="BR38" s="9"/>
      <c r="BS38" s="9"/>
      <c r="BT38" s="9"/>
      <c r="BU38" s="9"/>
      <c r="BW38" s="9"/>
      <c r="BX38" s="9"/>
      <c r="BY38"/>
      <c r="CB38"/>
      <c r="CE38"/>
      <c r="CH38"/>
      <c r="CK38"/>
      <c r="CN38"/>
      <c r="CQ38"/>
      <c r="CT38"/>
      <c r="CW38"/>
      <c r="CZ38"/>
      <c r="DC38"/>
      <c r="DF38"/>
    </row>
    <row r="39" spans="2:110" ht="15.05" customHeight="1" x14ac:dyDescent="0.35">
      <c r="B39" s="10">
        <v>19</v>
      </c>
      <c r="C39" s="9" t="str">
        <f>IF(CAD_CC!B22="","",CAD_CC!B22)</f>
        <v/>
      </c>
      <c r="F39" s="10">
        <v>19</v>
      </c>
      <c r="G39" s="9" t="str">
        <f>IF(CAD_EMP!D24="","",CAD_EMP!D24)</f>
        <v/>
      </c>
      <c r="J39" s="10">
        <v>18</v>
      </c>
      <c r="K39" s="210" t="str">
        <f>IF('CAD_BANCOS'!F21="","",'CAD_BANCOS'!F21)</f>
        <v/>
      </c>
      <c r="N39"/>
      <c r="R39" s="9"/>
      <c r="S39" s="9"/>
      <c r="U39" s="9"/>
      <c r="V39" s="10"/>
      <c r="W39" s="9"/>
      <c r="AF39" s="11"/>
      <c r="AG39" s="11"/>
      <c r="AH39" s="11"/>
      <c r="AI39" s="11"/>
      <c r="AJ39" s="11"/>
      <c r="AK39" s="9"/>
      <c r="AL39" s="9"/>
      <c r="AM39" s="9"/>
      <c r="AN39" s="9"/>
      <c r="AV39" s="11"/>
      <c r="AW39" s="11"/>
      <c r="AX39" s="11"/>
      <c r="AZ39" s="11"/>
      <c r="BA39" s="11"/>
      <c r="BB39" s="9"/>
      <c r="BC39" s="9"/>
      <c r="BD39" s="10"/>
      <c r="BE39" s="9"/>
      <c r="BR39" s="9"/>
      <c r="BS39" s="9"/>
      <c r="BT39" s="9"/>
      <c r="BU39" s="9"/>
      <c r="BW39" s="9"/>
      <c r="BX39" s="9"/>
      <c r="BY39"/>
      <c r="CB39"/>
      <c r="CE39"/>
      <c r="CH39"/>
      <c r="CK39"/>
      <c r="CN39"/>
      <c r="CQ39"/>
      <c r="CT39"/>
      <c r="CW39"/>
      <c r="CZ39"/>
      <c r="DC39"/>
      <c r="DF39"/>
    </row>
    <row r="40" spans="2:110" ht="15.05" customHeight="1" x14ac:dyDescent="0.35">
      <c r="B40" s="10">
        <v>20</v>
      </c>
      <c r="C40" s="9" t="str">
        <f>IF(CAD_CC!B23="","",CAD_CC!B23)</f>
        <v/>
      </c>
      <c r="F40" s="10">
        <v>20</v>
      </c>
      <c r="G40" s="9" t="str">
        <f>IF(CAD_EMP!D26="","",CAD_EMP!D26)</f>
        <v/>
      </c>
      <c r="J40" s="10">
        <v>19</v>
      </c>
      <c r="K40" s="210" t="str">
        <f>IF('CAD_BANCOS'!F22="","",'CAD_BANCOS'!F22)</f>
        <v/>
      </c>
      <c r="N40"/>
      <c r="R40" s="9"/>
      <c r="S40" s="9"/>
      <c r="U40" s="9"/>
      <c r="V40" s="10"/>
      <c r="W40" s="9"/>
      <c r="AF40" s="11"/>
      <c r="AG40" s="11"/>
      <c r="AH40" s="11"/>
      <c r="AI40" s="11"/>
      <c r="AJ40" s="11"/>
      <c r="AK40" s="9"/>
      <c r="AL40" s="9"/>
      <c r="AM40" s="9"/>
      <c r="AN40" s="9"/>
      <c r="AV40" s="11"/>
      <c r="AW40" s="11"/>
      <c r="AX40" s="11"/>
      <c r="AZ40" s="11"/>
      <c r="BA40" s="11"/>
      <c r="BB40" s="9"/>
      <c r="BC40" s="9"/>
      <c r="BD40" s="10"/>
      <c r="BE40" s="9"/>
      <c r="BR40" s="9"/>
      <c r="BS40" s="9"/>
      <c r="BT40" s="9"/>
      <c r="BU40" s="9"/>
      <c r="BW40" s="9"/>
      <c r="BX40" s="9"/>
      <c r="BY40"/>
      <c r="CB40"/>
      <c r="CE40"/>
      <c r="CH40"/>
      <c r="CK40"/>
      <c r="CN40"/>
      <c r="CQ40"/>
      <c r="CT40"/>
      <c r="CW40"/>
      <c r="CZ40"/>
      <c r="DC40"/>
      <c r="DF40"/>
    </row>
    <row r="41" spans="2:110" ht="15.05" customHeight="1" x14ac:dyDescent="0.35">
      <c r="B41" s="10">
        <v>21</v>
      </c>
      <c r="C41" s="9" t="str">
        <f>IF(CAD_CC!B24="","",CAD_CC!B24)</f>
        <v/>
      </c>
      <c r="F41" s="10">
        <v>21</v>
      </c>
      <c r="G41" s="9" t="str">
        <f>IF(CAD_EMP!D27="","",CAD_EMP!D27)</f>
        <v/>
      </c>
      <c r="J41" s="10">
        <v>20</v>
      </c>
      <c r="K41" s="210" t="str">
        <f>IF('CAD_BANCOS'!F23="","",'CAD_BANCOS'!F23)</f>
        <v/>
      </c>
      <c r="N41"/>
      <c r="R41" s="9"/>
      <c r="S41" s="9"/>
      <c r="U41" s="9"/>
      <c r="V41" s="10"/>
      <c r="W41" s="9"/>
      <c r="AF41" s="11"/>
      <c r="AG41" s="11"/>
      <c r="AH41" s="11"/>
      <c r="AI41" s="11"/>
      <c r="AJ41" s="11"/>
      <c r="AK41" s="9"/>
      <c r="AL41" s="9"/>
      <c r="AM41" s="9"/>
      <c r="AN41" s="9"/>
      <c r="AV41" s="11"/>
      <c r="AW41" s="11"/>
      <c r="AX41" s="11"/>
      <c r="AZ41" s="11"/>
      <c r="BA41" s="11"/>
      <c r="BB41" s="9"/>
      <c r="BC41" s="9"/>
      <c r="BD41" s="10"/>
      <c r="BE41" s="9"/>
      <c r="BR41" s="9"/>
      <c r="BS41" s="9"/>
      <c r="BT41" s="9"/>
      <c r="BU41" s="9"/>
      <c r="BW41" s="9"/>
      <c r="BX41" s="9"/>
      <c r="BY41"/>
      <c r="CB41"/>
      <c r="CE41"/>
      <c r="CH41"/>
      <c r="CK41"/>
      <c r="CN41"/>
      <c r="CQ41"/>
      <c r="CT41"/>
      <c r="CW41"/>
      <c r="CZ41"/>
      <c r="DC41"/>
      <c r="DF41"/>
    </row>
    <row r="42" spans="2:110" ht="15.05" customHeight="1" x14ac:dyDescent="0.35">
      <c r="B42" s="10">
        <v>22</v>
      </c>
      <c r="C42" s="9" t="str">
        <f>IF(CAD_CC!B25="","",CAD_CC!B25)</f>
        <v/>
      </c>
      <c r="F42" s="10">
        <v>22</v>
      </c>
      <c r="G42" s="9" t="str">
        <f>IF(CAD_EMP!D29="","",CAD_EMP!D29)</f>
        <v/>
      </c>
      <c r="J42" s="10">
        <v>21</v>
      </c>
      <c r="K42" s="210" t="str">
        <f>IF('CAD_BANCOS'!F24="","",'CAD_BANCOS'!F24)</f>
        <v/>
      </c>
      <c r="N42"/>
      <c r="R42" s="9"/>
      <c r="S42" s="9"/>
      <c r="U42" s="9"/>
      <c r="V42" s="10"/>
      <c r="W42" s="9"/>
      <c r="AF42" s="11"/>
      <c r="AG42" s="11"/>
      <c r="AH42" s="11"/>
      <c r="AI42" s="11"/>
      <c r="AJ42" s="11"/>
      <c r="AK42" s="9"/>
      <c r="AL42" s="9"/>
      <c r="AM42" s="9"/>
      <c r="AN42" s="9"/>
      <c r="AV42" s="11"/>
      <c r="AW42" s="11"/>
      <c r="AX42" s="11"/>
      <c r="AZ42" s="11"/>
      <c r="BA42" s="11"/>
      <c r="BB42" s="9"/>
      <c r="BC42" s="9"/>
      <c r="BD42" s="10"/>
      <c r="BE42" s="9"/>
      <c r="BR42" s="9"/>
      <c r="BS42" s="9"/>
      <c r="BT42" s="9"/>
      <c r="BU42" s="9"/>
      <c r="BW42" s="9"/>
      <c r="BX42" s="9"/>
      <c r="BY42"/>
      <c r="CB42"/>
      <c r="CE42"/>
      <c r="CH42"/>
      <c r="CK42"/>
      <c r="CN42"/>
      <c r="CQ42"/>
      <c r="CT42"/>
      <c r="CW42"/>
      <c r="CZ42"/>
      <c r="DC42"/>
      <c r="DF42"/>
    </row>
    <row r="43" spans="2:110" ht="15.05" customHeight="1" x14ac:dyDescent="0.35">
      <c r="B43" s="10">
        <v>23</v>
      </c>
      <c r="C43" s="9" t="str">
        <f>IF(CAD_CC!B26="","",CAD_CC!B26)</f>
        <v/>
      </c>
      <c r="F43" s="10">
        <v>23</v>
      </c>
      <c r="G43" s="9" t="str">
        <f>IF(CAD_EMP!I28="","",CAD_EMP!I28)</f>
        <v/>
      </c>
      <c r="J43" s="10">
        <v>22</v>
      </c>
      <c r="K43" s="210" t="str">
        <f>IF('CAD_BANCOS'!F25="","",'CAD_BANCOS'!F25)</f>
        <v/>
      </c>
      <c r="N43"/>
      <c r="R43" s="9"/>
      <c r="S43" s="9"/>
      <c r="U43" s="9"/>
      <c r="V43" s="10"/>
      <c r="W43" s="9"/>
      <c r="AF43" s="11"/>
      <c r="AG43" s="11"/>
      <c r="AH43" s="11"/>
      <c r="AI43" s="11"/>
      <c r="AJ43" s="11"/>
      <c r="AK43" s="9"/>
      <c r="AL43" s="9"/>
      <c r="AM43" s="9"/>
      <c r="AN43" s="9"/>
      <c r="AV43" s="11"/>
      <c r="AW43" s="11"/>
      <c r="AX43" s="11"/>
      <c r="AZ43" s="11"/>
      <c r="BA43" s="11"/>
      <c r="BB43" s="9"/>
      <c r="BC43" s="9"/>
      <c r="BD43" s="10"/>
      <c r="BE43" s="9"/>
      <c r="BR43" s="9"/>
      <c r="BS43" s="9"/>
      <c r="BT43" s="9"/>
      <c r="BU43" s="9"/>
      <c r="BW43" s="9"/>
      <c r="BX43" s="9"/>
      <c r="BY43"/>
      <c r="CB43"/>
      <c r="CE43"/>
      <c r="CH43"/>
      <c r="CK43"/>
      <c r="CN43"/>
      <c r="CQ43"/>
      <c r="CT43"/>
      <c r="CW43"/>
      <c r="CZ43"/>
      <c r="DC43"/>
      <c r="DF43"/>
    </row>
    <row r="44" spans="2:110" ht="15.05" customHeight="1" x14ac:dyDescent="0.35">
      <c r="B44" s="10">
        <v>24</v>
      </c>
      <c r="C44" s="9" t="str">
        <f>IF(CAD_CC!B27="","",CAD_CC!B27)</f>
        <v/>
      </c>
      <c r="F44" s="10">
        <v>24</v>
      </c>
      <c r="G44" s="9" t="str">
        <f>IF(CAD_EMP!I29="","",CAD_EMP!I29)</f>
        <v/>
      </c>
      <c r="J44" s="10">
        <v>23</v>
      </c>
      <c r="K44" s="210" t="str">
        <f>IF('CAD_BANCOS'!F27="","",'CAD_BANCOS'!F27)</f>
        <v/>
      </c>
      <c r="N44"/>
      <c r="R44" s="9"/>
      <c r="S44" s="9"/>
      <c r="U44" s="9"/>
      <c r="V44" s="10"/>
      <c r="W44" s="9"/>
      <c r="AF44" s="11"/>
      <c r="AG44" s="11"/>
      <c r="AH44" s="11"/>
      <c r="AI44" s="11"/>
      <c r="AJ44" s="11"/>
      <c r="AK44" s="9"/>
      <c r="AL44" s="9"/>
      <c r="AM44" s="9"/>
      <c r="AN44" s="9"/>
      <c r="AV44" s="11"/>
      <c r="AW44" s="11"/>
      <c r="AX44" s="11"/>
      <c r="AZ44" s="11"/>
      <c r="BA44" s="11"/>
      <c r="BB44" s="9"/>
      <c r="BC44" s="9"/>
      <c r="BD44" s="10"/>
      <c r="BE44" s="9"/>
      <c r="BR44" s="9"/>
      <c r="BS44" s="9"/>
      <c r="BT44" s="9"/>
      <c r="BU44" s="9"/>
      <c r="BW44" s="9"/>
      <c r="BX44" s="9"/>
      <c r="BY44"/>
      <c r="CB44"/>
      <c r="CE44"/>
      <c r="CH44"/>
      <c r="CK44"/>
      <c r="CN44"/>
      <c r="CQ44"/>
      <c r="CT44"/>
      <c r="CW44"/>
      <c r="CZ44"/>
      <c r="DC44"/>
      <c r="DF44"/>
    </row>
    <row r="45" spans="2:110" ht="15.05" customHeight="1" x14ac:dyDescent="0.35">
      <c r="B45" s="10">
        <v>25</v>
      </c>
      <c r="C45" s="9" t="str">
        <f>IF(CAD_CC!B28="","",CAD_CC!B28)</f>
        <v/>
      </c>
      <c r="F45" s="10">
        <v>25</v>
      </c>
      <c r="G45" s="9" t="str">
        <f>IF(CAD_EMP!I30="","",CAD_EMP!I30)</f>
        <v/>
      </c>
      <c r="J45" s="10">
        <v>24</v>
      </c>
      <c r="K45" s="210" t="str">
        <f>IF('CAD_BANCOS'!F28="","",'CAD_BANCOS'!F28)</f>
        <v/>
      </c>
      <c r="N45"/>
      <c r="R45" s="9"/>
      <c r="S45" s="9"/>
      <c r="U45" s="9"/>
      <c r="V45" s="10"/>
      <c r="W45" s="9"/>
      <c r="AF45" s="11"/>
      <c r="AG45" s="11"/>
      <c r="AH45" s="11"/>
      <c r="AI45" s="11"/>
      <c r="AJ45" s="11"/>
      <c r="AK45" s="9"/>
      <c r="AL45" s="9"/>
      <c r="AM45" s="9"/>
      <c r="AN45" s="9"/>
      <c r="AV45" s="11"/>
      <c r="AW45" s="11"/>
      <c r="AX45" s="11"/>
      <c r="AZ45" s="11"/>
      <c r="BA45" s="11"/>
      <c r="BB45" s="9"/>
      <c r="BC45" s="9"/>
      <c r="BD45" s="10"/>
      <c r="BE45" s="9"/>
      <c r="BR45" s="9"/>
      <c r="BS45" s="9"/>
      <c r="BT45" s="9"/>
      <c r="BU45" s="9"/>
      <c r="BW45" s="9"/>
      <c r="BX45" s="9"/>
      <c r="BY45"/>
      <c r="CB45"/>
      <c r="CE45"/>
      <c r="CH45"/>
      <c r="CK45"/>
      <c r="CN45"/>
      <c r="CQ45"/>
      <c r="CT45"/>
      <c r="CW45"/>
      <c r="CZ45"/>
      <c r="DC45"/>
      <c r="DF45"/>
    </row>
    <row r="46" spans="2:110" ht="15.05" customHeight="1" x14ac:dyDescent="0.35">
      <c r="B46" s="10">
        <v>26</v>
      </c>
      <c r="C46" s="9" t="str">
        <f>IF(CAD_CC!B29="","",CAD_CC!B29)</f>
        <v/>
      </c>
      <c r="F46" s="10">
        <v>26</v>
      </c>
      <c r="G46" s="9" t="str">
        <f>IF(CAD_EMP!I31="","",CAD_EMP!I31)</f>
        <v/>
      </c>
      <c r="J46" s="10">
        <v>25</v>
      </c>
      <c r="K46" s="210" t="str">
        <f>IF('CAD_BANCOS'!F29="","",'CAD_BANCOS'!F29)</f>
        <v/>
      </c>
      <c r="N46"/>
      <c r="R46" s="9"/>
      <c r="S46" s="9"/>
      <c r="U46" s="9"/>
      <c r="V46" s="10"/>
      <c r="W46" s="9"/>
      <c r="AF46" s="11"/>
      <c r="AG46" s="11"/>
      <c r="AH46" s="11"/>
      <c r="AI46" s="11"/>
      <c r="AJ46" s="11"/>
      <c r="AK46" s="9"/>
      <c r="AL46" s="9"/>
      <c r="AM46" s="9"/>
      <c r="AN46" s="9"/>
      <c r="AV46" s="11"/>
      <c r="AW46" s="11"/>
      <c r="AX46" s="11"/>
      <c r="AZ46" s="11"/>
      <c r="BA46" s="11"/>
      <c r="BB46" s="9"/>
      <c r="BC46" s="9"/>
      <c r="BD46" s="10"/>
      <c r="BE46" s="9"/>
      <c r="BR46" s="9"/>
      <c r="BS46" s="9"/>
      <c r="BT46" s="9"/>
      <c r="BU46" s="9"/>
      <c r="BW46" s="9"/>
      <c r="BX46" s="9"/>
      <c r="BY46"/>
      <c r="CB46"/>
      <c r="CE46"/>
      <c r="CH46"/>
      <c r="CK46"/>
      <c r="CN46"/>
      <c r="CQ46"/>
      <c r="CT46"/>
      <c r="CW46"/>
      <c r="CZ46"/>
      <c r="DC46"/>
      <c r="DF46"/>
    </row>
    <row r="47" spans="2:110" ht="15.05" customHeight="1" x14ac:dyDescent="0.35">
      <c r="B47" s="10">
        <v>27</v>
      </c>
      <c r="C47" s="9" t="str">
        <f>IF(CAD_CC!B30="","",CAD_CC!B30)</f>
        <v/>
      </c>
      <c r="F47" s="10">
        <v>27</v>
      </c>
      <c r="G47" s="9" t="str">
        <f>IF(CAD_EMP!I32="","",CAD_EMP!I32)</f>
        <v/>
      </c>
      <c r="J47" s="10">
        <v>26</v>
      </c>
      <c r="K47" s="210" t="str">
        <f>IF('CAD_BANCOS'!F30="","",'CAD_BANCOS'!F30)</f>
        <v/>
      </c>
      <c r="N47"/>
      <c r="R47" s="9"/>
      <c r="S47" s="9"/>
      <c r="U47" s="9"/>
      <c r="V47" s="10"/>
      <c r="W47" s="9"/>
      <c r="AF47" s="11"/>
      <c r="AG47" s="11"/>
      <c r="AH47" s="11"/>
      <c r="AI47" s="11"/>
      <c r="AJ47" s="11"/>
      <c r="AK47" s="9"/>
      <c r="AL47" s="9"/>
      <c r="AM47" s="9"/>
      <c r="AN47" s="9"/>
      <c r="AV47" s="11"/>
      <c r="AW47" s="11"/>
      <c r="AX47" s="11"/>
      <c r="AZ47" s="11"/>
      <c r="BA47" s="11"/>
      <c r="BB47" s="9"/>
      <c r="BC47" s="9"/>
      <c r="BD47" s="10"/>
      <c r="BE47" s="9"/>
      <c r="BR47" s="9"/>
      <c r="BS47" s="9"/>
      <c r="BT47" s="9"/>
      <c r="BU47" s="9"/>
      <c r="BW47" s="9"/>
      <c r="BX47" s="9"/>
      <c r="BY47"/>
      <c r="CB47"/>
      <c r="CE47"/>
      <c r="CH47"/>
      <c r="CK47"/>
      <c r="CN47"/>
      <c r="CQ47"/>
      <c r="CT47"/>
      <c r="CW47"/>
      <c r="CZ47"/>
      <c r="DC47"/>
      <c r="DF47"/>
    </row>
    <row r="48" spans="2:110" ht="15.05" customHeight="1" x14ac:dyDescent="0.35">
      <c r="B48" s="10">
        <v>28</v>
      </c>
      <c r="C48" s="9" t="str">
        <f>IF(CAD_CC!B31="","",CAD_CC!B31)</f>
        <v/>
      </c>
      <c r="F48" s="10">
        <v>28</v>
      </c>
      <c r="G48" s="9" t="str">
        <f>IF(CAD_EMP!I33="","",CAD_EMP!I33)</f>
        <v/>
      </c>
      <c r="J48" s="10">
        <v>27</v>
      </c>
      <c r="K48" s="210" t="str">
        <f>IF('CAD_BANCOS'!F31="","",'CAD_BANCOS'!F31)</f>
        <v/>
      </c>
      <c r="N48"/>
      <c r="R48" s="9"/>
      <c r="S48" s="9"/>
      <c r="U48" s="9"/>
      <c r="V48" s="10"/>
      <c r="W48" s="9"/>
      <c r="AF48" s="11"/>
      <c r="AG48" s="11"/>
      <c r="AH48" s="11"/>
      <c r="AI48" s="11"/>
      <c r="AJ48" s="11"/>
      <c r="AK48" s="9"/>
      <c r="AL48" s="9"/>
      <c r="AM48" s="9"/>
      <c r="AN48" s="9"/>
      <c r="AV48" s="11"/>
      <c r="AW48" s="11"/>
      <c r="AX48" s="11"/>
      <c r="AZ48" s="11"/>
      <c r="BA48" s="11"/>
      <c r="BB48" s="9"/>
      <c r="BC48" s="9"/>
      <c r="BD48" s="10"/>
      <c r="BE48" s="9"/>
      <c r="BR48" s="9"/>
      <c r="BS48" s="9"/>
      <c r="BT48" s="9"/>
      <c r="BU48" s="9"/>
      <c r="BW48" s="9"/>
      <c r="BX48" s="9"/>
      <c r="BY48"/>
      <c r="CB48"/>
      <c r="CE48"/>
      <c r="CH48"/>
      <c r="CK48"/>
      <c r="CN48"/>
      <c r="CQ48"/>
      <c r="CT48"/>
      <c r="CW48"/>
      <c r="CZ48"/>
      <c r="DC48"/>
      <c r="DF48"/>
    </row>
    <row r="49" spans="2:110" ht="15.05" customHeight="1" x14ac:dyDescent="0.35">
      <c r="B49" s="10">
        <v>29</v>
      </c>
      <c r="C49" s="9" t="str">
        <f>IF(CAD_CC!B32="","",CAD_CC!B32)</f>
        <v/>
      </c>
      <c r="F49" s="10">
        <v>29</v>
      </c>
      <c r="G49" s="9" t="str">
        <f>IF(CAD_EMP!I34="","",CAD_EMP!I34)</f>
        <v/>
      </c>
      <c r="J49" s="10">
        <v>28</v>
      </c>
      <c r="K49" s="210" t="str">
        <f>IF('CAD_BANCOS'!F32="","",'CAD_BANCOS'!F32)</f>
        <v/>
      </c>
      <c r="N49"/>
      <c r="R49" s="9"/>
      <c r="S49" s="9"/>
      <c r="U49" s="9"/>
      <c r="V49" s="10"/>
      <c r="W49" s="9"/>
      <c r="AF49" s="11"/>
      <c r="AG49" s="11"/>
      <c r="AH49" s="11"/>
      <c r="AI49" s="11"/>
      <c r="AJ49" s="11"/>
      <c r="AK49" s="9"/>
      <c r="AL49" s="9"/>
      <c r="AM49" s="9"/>
      <c r="AN49" s="9"/>
      <c r="AV49" s="11"/>
      <c r="AW49" s="11"/>
      <c r="AX49" s="11"/>
      <c r="AZ49" s="11"/>
      <c r="BA49" s="11"/>
      <c r="BB49" s="9"/>
      <c r="BC49" s="9"/>
      <c r="BD49" s="10"/>
      <c r="BE49" s="9"/>
      <c r="BR49" s="9"/>
      <c r="BS49" s="9"/>
      <c r="BT49" s="9"/>
      <c r="BU49" s="9"/>
      <c r="BW49" s="9"/>
      <c r="BX49" s="9"/>
      <c r="BY49"/>
      <c r="CB49"/>
      <c r="CE49"/>
      <c r="CH49"/>
      <c r="CK49"/>
      <c r="CN49"/>
      <c r="CQ49"/>
      <c r="CT49"/>
      <c r="CW49"/>
      <c r="CZ49"/>
      <c r="DC49"/>
      <c r="DF49"/>
    </row>
    <row r="50" spans="2:110" ht="15.05" customHeight="1" x14ac:dyDescent="0.35">
      <c r="B50" s="10">
        <v>30</v>
      </c>
      <c r="C50" s="9" t="str">
        <f>IF(CAD_CC!B33="","",CAD_CC!B33)</f>
        <v/>
      </c>
      <c r="F50" s="10">
        <v>30</v>
      </c>
      <c r="G50" s="9" t="str">
        <f>IF(CAD_EMP!I35="","",CAD_EMP!I35)</f>
        <v/>
      </c>
      <c r="J50" s="10">
        <v>29</v>
      </c>
      <c r="K50" s="210" t="str">
        <f>IF('CAD_BANCOS'!F33="","",'CAD_BANCOS'!F33)</f>
        <v/>
      </c>
      <c r="N50"/>
      <c r="R50" s="9"/>
      <c r="S50" s="9"/>
      <c r="U50" s="9"/>
      <c r="V50" s="10"/>
      <c r="W50" s="9"/>
      <c r="AF50" s="11"/>
      <c r="AG50" s="11"/>
      <c r="AH50" s="11"/>
      <c r="AI50" s="11"/>
      <c r="AJ50" s="11"/>
      <c r="AK50" s="9"/>
      <c r="AL50" s="9"/>
      <c r="AM50" s="9"/>
      <c r="AN50" s="9"/>
      <c r="AV50" s="11"/>
      <c r="AW50" s="11"/>
      <c r="AX50" s="11"/>
      <c r="AZ50" s="11"/>
      <c r="BA50" s="11"/>
      <c r="BB50" s="9"/>
      <c r="BC50" s="9"/>
      <c r="BD50" s="10"/>
      <c r="BE50" s="9"/>
      <c r="BR50" s="9"/>
      <c r="BS50" s="9"/>
      <c r="BT50" s="9"/>
      <c r="BU50" s="9"/>
      <c r="BW50" s="9"/>
      <c r="BX50" s="9"/>
      <c r="BY50"/>
      <c r="CB50"/>
      <c r="CE50"/>
      <c r="CH50"/>
      <c r="CK50"/>
      <c r="CN50"/>
      <c r="CQ50"/>
      <c r="CT50"/>
      <c r="CW50"/>
      <c r="CZ50"/>
      <c r="DC50"/>
      <c r="DF50"/>
    </row>
    <row r="51" spans="2:110" ht="15.05" customHeight="1" x14ac:dyDescent="0.35">
      <c r="B51" s="10">
        <v>31</v>
      </c>
      <c r="C51" s="9" t="str">
        <f>IF(CAD_CC!B34="","",CAD_CC!B34)</f>
        <v/>
      </c>
      <c r="F51" s="10">
        <v>31</v>
      </c>
      <c r="G51" s="9" t="str">
        <f>IF(CAD_EMP!I36="","",CAD_EMP!I36)</f>
        <v/>
      </c>
      <c r="J51" s="10">
        <v>30</v>
      </c>
      <c r="K51" s="210" t="str">
        <f>IF('CAD_BANCOS'!F34="","",'CAD_BANCOS'!F34)</f>
        <v/>
      </c>
      <c r="N51"/>
      <c r="R51" s="9"/>
      <c r="S51" s="9"/>
      <c r="U51" s="9"/>
      <c r="V51" s="10"/>
      <c r="W51" s="9"/>
      <c r="AF51" s="11"/>
      <c r="AG51" s="11"/>
      <c r="AH51" s="11"/>
      <c r="AI51" s="11"/>
      <c r="AJ51" s="11"/>
      <c r="AK51" s="9"/>
      <c r="AL51" s="9"/>
      <c r="AM51" s="9"/>
      <c r="AN51" s="9"/>
      <c r="AV51" s="11"/>
      <c r="AW51" s="11"/>
      <c r="AX51" s="11"/>
      <c r="AZ51" s="11"/>
      <c r="BA51" s="11"/>
      <c r="BB51" s="9"/>
      <c r="BC51" s="9"/>
      <c r="BD51" s="10"/>
      <c r="BE51" s="9"/>
      <c r="BR51" s="9"/>
      <c r="BS51" s="9"/>
      <c r="BT51" s="9"/>
      <c r="BU51" s="9"/>
      <c r="BW51" s="9"/>
      <c r="BX51" s="9"/>
      <c r="BY51"/>
      <c r="CB51"/>
      <c r="CE51"/>
      <c r="CH51"/>
      <c r="CK51"/>
      <c r="CN51"/>
      <c r="CQ51"/>
      <c r="CT51"/>
      <c r="CW51"/>
      <c r="CZ51"/>
      <c r="DC51"/>
      <c r="DF51"/>
    </row>
    <row r="52" spans="2:110" ht="15.05" customHeight="1" x14ac:dyDescent="0.35">
      <c r="B52" s="10">
        <v>32</v>
      </c>
      <c r="C52" s="9" t="str">
        <f>IF(CAD_CC!B35="","",CAD_CC!B35)</f>
        <v/>
      </c>
      <c r="F52" s="10">
        <v>32</v>
      </c>
      <c r="G52" s="9" t="str">
        <f>IF(CAD_EMP!I37="","",CAD_EMP!I37)</f>
        <v/>
      </c>
      <c r="J52" s="10">
        <v>31</v>
      </c>
      <c r="K52" s="210" t="str">
        <f>IF('CAD_BANCOS'!F35="","",'CAD_BANCOS'!F35)</f>
        <v/>
      </c>
      <c r="N52"/>
      <c r="R52" s="9"/>
      <c r="S52" s="9"/>
      <c r="U52" s="9"/>
      <c r="V52" s="10"/>
      <c r="W52" s="9"/>
      <c r="AF52" s="11"/>
      <c r="AG52" s="11"/>
      <c r="AH52" s="11"/>
      <c r="AI52" s="11"/>
      <c r="AJ52" s="11"/>
      <c r="AK52" s="9"/>
      <c r="AL52" s="9"/>
      <c r="AM52" s="9"/>
      <c r="AN52" s="9"/>
      <c r="AV52" s="11"/>
      <c r="AW52" s="11"/>
      <c r="AX52" s="11"/>
      <c r="AZ52" s="11"/>
      <c r="BA52" s="11"/>
      <c r="BB52" s="9"/>
      <c r="BC52" s="9"/>
      <c r="BD52" s="10"/>
      <c r="BE52" s="9"/>
      <c r="BR52" s="9"/>
      <c r="BS52" s="9"/>
      <c r="BT52" s="9"/>
      <c r="BU52" s="9"/>
      <c r="BW52" s="9"/>
      <c r="BX52" s="9"/>
      <c r="BY52"/>
      <c r="CB52"/>
      <c r="CE52"/>
      <c r="CH52"/>
      <c r="CK52"/>
      <c r="CN52"/>
      <c r="CQ52"/>
      <c r="CT52"/>
      <c r="CW52"/>
      <c r="CZ52"/>
      <c r="DC52"/>
      <c r="DF52"/>
    </row>
    <row r="53" spans="2:110" ht="15.05" customHeight="1" x14ac:dyDescent="0.35">
      <c r="B53" s="10">
        <v>33</v>
      </c>
      <c r="C53" s="9" t="str">
        <f>IF(CAD_CC!B36="","",CAD_CC!B36)</f>
        <v/>
      </c>
      <c r="F53" s="10">
        <v>33</v>
      </c>
      <c r="G53" s="9" t="str">
        <f>IF(CAD_EMP!I38="","",CAD_EMP!I38)</f>
        <v/>
      </c>
      <c r="J53" s="10">
        <v>32</v>
      </c>
      <c r="K53" s="210" t="str">
        <f>IF('CAD_BANCOS'!F36="","",'CAD_BANCOS'!F36)</f>
        <v/>
      </c>
      <c r="N53"/>
      <c r="R53" s="9"/>
      <c r="S53" s="9"/>
      <c r="U53" s="9"/>
      <c r="V53" s="10"/>
      <c r="W53" s="9"/>
      <c r="AF53" s="11"/>
      <c r="AG53" s="11"/>
      <c r="AH53" s="11"/>
      <c r="AI53" s="11"/>
      <c r="AJ53" s="11"/>
      <c r="AK53" s="9"/>
      <c r="AL53" s="9"/>
      <c r="AM53" s="9"/>
      <c r="AN53" s="9"/>
      <c r="AV53" s="11"/>
      <c r="AW53" s="11"/>
      <c r="AX53" s="11"/>
      <c r="AZ53" s="11"/>
      <c r="BA53" s="11"/>
      <c r="BB53" s="9"/>
      <c r="BC53" s="9"/>
      <c r="BD53" s="10"/>
      <c r="BE53" s="9"/>
      <c r="BR53" s="9"/>
      <c r="BS53" s="9"/>
      <c r="BT53" s="9"/>
      <c r="BU53" s="9"/>
      <c r="BW53" s="9"/>
      <c r="BX53" s="9"/>
      <c r="BY53"/>
      <c r="CB53"/>
      <c r="CE53"/>
      <c r="CH53"/>
      <c r="CK53"/>
      <c r="CN53"/>
      <c r="CQ53"/>
      <c r="CT53"/>
      <c r="CW53"/>
      <c r="CZ53"/>
      <c r="DC53"/>
      <c r="DF53"/>
    </row>
    <row r="54" spans="2:110" ht="15.05" customHeight="1" x14ac:dyDescent="0.35">
      <c r="B54" s="10">
        <v>34</v>
      </c>
      <c r="C54" s="9" t="str">
        <f>IF(CAD_CC!B37="","",CAD_CC!B37)</f>
        <v/>
      </c>
      <c r="F54" s="10">
        <v>34</v>
      </c>
      <c r="G54" s="9" t="str">
        <f>IF(CAD_EMP!I39="","",CAD_EMP!I39)</f>
        <v/>
      </c>
      <c r="J54" s="10">
        <v>33</v>
      </c>
      <c r="K54" s="210" t="str">
        <f>IF('CAD_BANCOS'!F37="","",'CAD_BANCOS'!F37)</f>
        <v/>
      </c>
      <c r="N54"/>
      <c r="R54" s="9"/>
      <c r="S54" s="9"/>
      <c r="U54" s="9"/>
      <c r="V54" s="10"/>
      <c r="W54" s="9"/>
      <c r="AF54" s="11"/>
      <c r="AG54" s="11"/>
      <c r="AH54" s="11"/>
      <c r="AI54" s="11"/>
      <c r="AJ54" s="11"/>
      <c r="AK54" s="9"/>
      <c r="AL54" s="9"/>
      <c r="AM54" s="9"/>
      <c r="AN54" s="9"/>
      <c r="AV54" s="11"/>
      <c r="AW54" s="11"/>
      <c r="AX54" s="11"/>
      <c r="AZ54" s="11"/>
      <c r="BA54" s="11"/>
      <c r="BB54" s="9"/>
      <c r="BC54" s="9"/>
      <c r="BD54" s="10"/>
      <c r="BE54" s="9"/>
      <c r="BR54" s="9"/>
      <c r="BS54" s="9"/>
      <c r="BT54" s="9"/>
      <c r="BU54" s="9"/>
      <c r="BW54" s="9"/>
      <c r="BX54" s="9"/>
      <c r="BY54"/>
      <c r="CB54"/>
      <c r="CE54"/>
      <c r="CH54"/>
      <c r="CK54"/>
      <c r="CN54"/>
      <c r="CQ54"/>
      <c r="CT54"/>
      <c r="CW54"/>
      <c r="CZ54"/>
      <c r="DC54"/>
      <c r="DF54"/>
    </row>
    <row r="55" spans="2:110" ht="15.05" customHeight="1" x14ac:dyDescent="0.35">
      <c r="B55" s="10">
        <v>35</v>
      </c>
      <c r="C55" s="9" t="str">
        <f>IF(CAD_CC!B38="","",CAD_CC!B38)</f>
        <v/>
      </c>
      <c r="F55" s="10">
        <v>35</v>
      </c>
      <c r="G55" s="9" t="str">
        <f>IF(CAD_EMP!I40="","",CAD_EMP!I40)</f>
        <v/>
      </c>
      <c r="J55" s="10">
        <v>34</v>
      </c>
      <c r="K55" s="210" t="str">
        <f>IF('CAD_BANCOS'!F38="","",'CAD_BANCOS'!F38)</f>
        <v/>
      </c>
      <c r="N55"/>
      <c r="R55" s="9"/>
      <c r="S55" s="9"/>
      <c r="U55" s="9"/>
      <c r="V55" s="10"/>
      <c r="W55" s="9"/>
      <c r="AF55" s="11"/>
      <c r="AG55" s="11"/>
      <c r="AH55" s="11"/>
      <c r="AI55" s="11"/>
      <c r="AJ55" s="11"/>
      <c r="AK55" s="9"/>
      <c r="AL55" s="9"/>
      <c r="AM55" s="9"/>
      <c r="AN55" s="9"/>
      <c r="AV55" s="11"/>
      <c r="AW55" s="11"/>
      <c r="AX55" s="11"/>
      <c r="AZ55" s="11"/>
      <c r="BA55" s="11"/>
      <c r="BB55" s="9"/>
      <c r="BC55" s="9"/>
      <c r="BD55" s="10"/>
      <c r="BE55" s="9"/>
      <c r="BR55" s="9"/>
      <c r="BS55" s="9"/>
      <c r="BT55" s="9"/>
      <c r="BU55" s="9"/>
      <c r="BW55" s="9"/>
      <c r="BX55" s="9"/>
      <c r="BY55"/>
      <c r="CB55"/>
      <c r="CE55"/>
      <c r="CH55"/>
      <c r="CK55"/>
      <c r="CN55"/>
      <c r="CQ55"/>
      <c r="CT55"/>
      <c r="CW55"/>
      <c r="CZ55"/>
      <c r="DC55"/>
      <c r="DF55"/>
    </row>
    <row r="56" spans="2:110" ht="15.05" customHeight="1" x14ac:dyDescent="0.35">
      <c r="B56" s="10">
        <v>36</v>
      </c>
      <c r="C56" s="9" t="str">
        <f>IF(CAD_CC!B39="","",CAD_CC!B39)</f>
        <v/>
      </c>
      <c r="F56" s="10">
        <v>36</v>
      </c>
      <c r="G56" s="9" t="str">
        <f>IF(CAD_EMP!I41="","",CAD_EMP!I41)</f>
        <v/>
      </c>
      <c r="J56" s="10">
        <v>35</v>
      </c>
      <c r="K56" s="210" t="str">
        <f>IF('CAD_BANCOS'!F39="","",'CAD_BANCOS'!F39)</f>
        <v/>
      </c>
      <c r="N56"/>
      <c r="R56" s="9"/>
      <c r="S56" s="9"/>
      <c r="U56" s="9"/>
      <c r="V56" s="10"/>
      <c r="W56" s="9"/>
      <c r="AF56" s="11"/>
      <c r="AG56" s="11"/>
      <c r="AH56" s="11"/>
      <c r="AI56" s="11"/>
      <c r="AJ56" s="11"/>
      <c r="AK56" s="9"/>
      <c r="AL56" s="9"/>
      <c r="AM56" s="9"/>
      <c r="AN56" s="9"/>
      <c r="AV56" s="11"/>
      <c r="AW56" s="11"/>
      <c r="AX56" s="11"/>
      <c r="AZ56" s="11"/>
      <c r="BA56" s="11"/>
      <c r="BB56" s="9"/>
      <c r="BC56" s="9"/>
      <c r="BD56" s="10"/>
      <c r="BE56" s="9"/>
      <c r="BR56" s="9"/>
      <c r="BS56" s="9"/>
      <c r="BT56" s="9"/>
      <c r="BU56" s="9"/>
      <c r="BW56" s="9"/>
      <c r="BX56" s="9"/>
      <c r="BY56"/>
      <c r="CB56"/>
      <c r="CE56"/>
      <c r="CH56"/>
      <c r="CK56"/>
      <c r="CN56"/>
      <c r="CQ56"/>
      <c r="CT56"/>
      <c r="CW56"/>
      <c r="CZ56"/>
      <c r="DC56"/>
      <c r="DF56"/>
    </row>
    <row r="57" spans="2:110" ht="15.05" customHeight="1" x14ac:dyDescent="0.35">
      <c r="B57" s="10">
        <v>37</v>
      </c>
      <c r="C57" s="9" t="str">
        <f>IF(CAD_CC!B40="","",CAD_CC!B40)</f>
        <v/>
      </c>
      <c r="F57" s="10">
        <v>37</v>
      </c>
      <c r="G57" s="9" t="str">
        <f>IF(CAD_EMP!I42="","",CAD_EMP!I42)</f>
        <v/>
      </c>
      <c r="J57" s="10">
        <v>36</v>
      </c>
      <c r="K57" s="210" t="str">
        <f>IF('CAD_BANCOS'!F40="","",'CAD_BANCOS'!F40)</f>
        <v/>
      </c>
      <c r="N57"/>
      <c r="R57" s="9"/>
      <c r="S57" s="9"/>
      <c r="U57" s="9"/>
      <c r="V57" s="10"/>
      <c r="W57" s="9"/>
      <c r="AF57" s="11"/>
      <c r="AG57" s="11"/>
      <c r="AH57" s="11"/>
      <c r="AI57" s="11"/>
      <c r="AJ57" s="11"/>
      <c r="AK57" s="9"/>
      <c r="AL57" s="9"/>
      <c r="AM57" s="9"/>
      <c r="AN57" s="9"/>
      <c r="AV57" s="11"/>
      <c r="AW57" s="11"/>
      <c r="AX57" s="11"/>
      <c r="AZ57" s="11"/>
      <c r="BA57" s="11"/>
      <c r="BB57" s="9"/>
      <c r="BC57" s="9"/>
      <c r="BD57" s="10"/>
      <c r="BE57" s="9"/>
      <c r="BR57" s="9"/>
      <c r="BS57" s="9"/>
      <c r="BT57" s="9"/>
      <c r="BU57" s="9"/>
      <c r="BW57" s="9"/>
      <c r="BX57" s="9"/>
      <c r="BY57"/>
      <c r="CB57"/>
      <c r="CE57"/>
      <c r="CH57"/>
      <c r="CK57"/>
      <c r="CN57"/>
      <c r="CQ57"/>
      <c r="CT57"/>
      <c r="CW57"/>
      <c r="CZ57"/>
      <c r="DC57"/>
      <c r="DF57"/>
    </row>
    <row r="58" spans="2:110" ht="15.05" customHeight="1" x14ac:dyDescent="0.35">
      <c r="B58" s="10">
        <v>38</v>
      </c>
      <c r="C58" s="9" t="str">
        <f>IF(CAD_CC!B41="","",CAD_CC!B41)</f>
        <v/>
      </c>
      <c r="F58" s="10">
        <v>38</v>
      </c>
      <c r="G58" s="9" t="str">
        <f>IF(CAD_EMP!I43="","",CAD_EMP!I43)</f>
        <v/>
      </c>
      <c r="J58" s="10">
        <v>37</v>
      </c>
      <c r="K58" s="210" t="str">
        <f>IF('CAD_BANCOS'!F41="","",'CAD_BANCOS'!F41)</f>
        <v/>
      </c>
      <c r="N58"/>
      <c r="R58" s="9"/>
      <c r="S58" s="9"/>
      <c r="U58" s="9"/>
      <c r="V58" s="10"/>
      <c r="W58" s="9"/>
      <c r="AF58" s="11"/>
      <c r="AG58" s="11"/>
      <c r="AH58" s="11"/>
      <c r="AI58" s="11"/>
      <c r="AJ58" s="11"/>
      <c r="AK58" s="9"/>
      <c r="AL58" s="9"/>
      <c r="AM58" s="9"/>
      <c r="AN58" s="9"/>
      <c r="AV58" s="11"/>
      <c r="AW58" s="11"/>
      <c r="AX58" s="11"/>
      <c r="AZ58" s="11"/>
      <c r="BA58" s="11"/>
      <c r="BB58" s="9"/>
      <c r="BC58" s="9"/>
      <c r="BD58" s="10"/>
      <c r="BE58" s="9"/>
      <c r="BR58" s="9"/>
      <c r="BS58" s="9"/>
      <c r="BT58" s="9"/>
      <c r="BU58" s="9"/>
      <c r="BW58" s="9"/>
      <c r="BX58" s="9"/>
      <c r="BY58"/>
      <c r="CB58"/>
      <c r="CE58"/>
      <c r="CH58"/>
      <c r="CK58"/>
      <c r="CN58"/>
      <c r="CQ58"/>
      <c r="CT58"/>
      <c r="CW58"/>
      <c r="CZ58"/>
      <c r="DC58"/>
      <c r="DF58"/>
    </row>
    <row r="59" spans="2:110" ht="15.05" customHeight="1" x14ac:dyDescent="0.35">
      <c r="B59" s="10">
        <v>39</v>
      </c>
      <c r="C59" s="9" t="str">
        <f>IF(CAD_CC!B42="","",CAD_CC!B42)</f>
        <v/>
      </c>
      <c r="F59" s="10">
        <v>39</v>
      </c>
      <c r="G59" s="9" t="str">
        <f>IF(CAD_EMP!I44="","",CAD_EMP!I44)</f>
        <v/>
      </c>
      <c r="J59" s="10">
        <v>38</v>
      </c>
      <c r="K59" s="210" t="str">
        <f>IF('CAD_BANCOS'!F42="","",'CAD_BANCOS'!F42)</f>
        <v/>
      </c>
      <c r="N59"/>
      <c r="R59" s="9"/>
      <c r="S59" s="9"/>
      <c r="U59" s="9"/>
      <c r="V59" s="10"/>
      <c r="W59" s="9"/>
      <c r="AF59" s="11"/>
      <c r="AG59" s="11"/>
      <c r="AH59" s="11"/>
      <c r="AI59" s="11"/>
      <c r="AJ59" s="11"/>
      <c r="AK59" s="9"/>
      <c r="AL59" s="9"/>
      <c r="AM59" s="9"/>
      <c r="AN59" s="9"/>
      <c r="AV59" s="11"/>
      <c r="AW59" s="11"/>
      <c r="AX59" s="11"/>
      <c r="AZ59" s="11"/>
      <c r="BA59" s="11"/>
      <c r="BB59" s="9"/>
      <c r="BC59" s="9"/>
      <c r="BD59" s="10"/>
      <c r="BE59" s="9"/>
      <c r="BR59" s="9"/>
      <c r="BS59" s="9"/>
      <c r="BT59" s="9"/>
      <c r="BU59" s="9"/>
      <c r="BW59" s="9"/>
      <c r="BX59" s="9"/>
      <c r="BY59"/>
      <c r="CB59"/>
      <c r="CE59"/>
      <c r="CH59"/>
      <c r="CK59"/>
      <c r="CN59"/>
      <c r="CQ59"/>
      <c r="CT59"/>
      <c r="CW59"/>
      <c r="CZ59"/>
      <c r="DC59"/>
      <c r="DF59"/>
    </row>
    <row r="60" spans="2:110" ht="15.05" customHeight="1" x14ac:dyDescent="0.35">
      <c r="B60" s="10">
        <v>40</v>
      </c>
      <c r="C60" s="9" t="str">
        <f>IF(CAD_CC!B43="","",CAD_CC!B43)</f>
        <v/>
      </c>
      <c r="F60" s="10">
        <v>40</v>
      </c>
      <c r="G60" s="9" t="str">
        <f>IF(CAD_EMP!I45="","",CAD_EMP!I45)</f>
        <v/>
      </c>
      <c r="J60" s="10">
        <v>39</v>
      </c>
      <c r="K60" s="210" t="str">
        <f>IF('CAD_BANCOS'!F43="","",'CAD_BANCOS'!F43)</f>
        <v/>
      </c>
      <c r="N60"/>
      <c r="R60" s="9"/>
      <c r="S60" s="9"/>
      <c r="U60" s="9"/>
      <c r="V60" s="10"/>
      <c r="W60" s="9"/>
      <c r="AF60" s="11"/>
      <c r="AG60" s="11"/>
      <c r="AH60" s="11"/>
      <c r="AI60" s="11"/>
      <c r="AJ60" s="11"/>
      <c r="AK60" s="9"/>
      <c r="AL60" s="9"/>
      <c r="AM60" s="9"/>
      <c r="AN60" s="9"/>
      <c r="AV60" s="11"/>
      <c r="AW60" s="11"/>
      <c r="AX60" s="11"/>
      <c r="AZ60" s="11"/>
      <c r="BA60" s="11"/>
      <c r="BB60" s="9"/>
      <c r="BC60" s="9"/>
      <c r="BD60" s="10"/>
      <c r="BE60" s="9"/>
      <c r="BR60" s="9"/>
      <c r="BS60" s="9"/>
      <c r="BT60" s="9"/>
      <c r="BU60" s="9"/>
      <c r="BW60" s="9"/>
      <c r="BX60" s="9"/>
      <c r="BY60"/>
      <c r="CB60"/>
      <c r="CE60"/>
      <c r="CH60"/>
      <c r="CK60"/>
      <c r="CN60"/>
      <c r="CQ60"/>
      <c r="CT60"/>
      <c r="CW60"/>
      <c r="CZ60"/>
      <c r="DC60"/>
      <c r="DF60"/>
    </row>
    <row r="61" spans="2:110" ht="15.05" customHeight="1" x14ac:dyDescent="0.35">
      <c r="B61" s="10">
        <v>41</v>
      </c>
      <c r="C61" s="9" t="str">
        <f>IF(CAD_CC!B44="","",CAD_CC!B44)</f>
        <v/>
      </c>
      <c r="F61" s="10">
        <v>41</v>
      </c>
      <c r="G61" s="9" t="str">
        <f>IF(CAD_EMP!I46="","",CAD_EMP!I46)</f>
        <v/>
      </c>
      <c r="J61" s="10">
        <v>40</v>
      </c>
      <c r="K61" s="210" t="str">
        <f>IF('CAD_BANCOS'!F44="","",'CAD_BANCOS'!F44)</f>
        <v/>
      </c>
      <c r="N61"/>
      <c r="R61" s="9"/>
      <c r="S61" s="9"/>
      <c r="U61" s="9"/>
      <c r="V61" s="10"/>
      <c r="W61" s="9"/>
      <c r="AF61" s="11"/>
      <c r="AG61" s="11"/>
      <c r="AH61" s="11"/>
      <c r="AI61" s="11"/>
      <c r="AJ61" s="11"/>
      <c r="AK61" s="9"/>
      <c r="AL61" s="9"/>
      <c r="AM61" s="9"/>
      <c r="AN61" s="9"/>
      <c r="AV61" s="11"/>
      <c r="AW61" s="11"/>
      <c r="AX61" s="11"/>
      <c r="AZ61" s="11"/>
      <c r="BA61" s="11"/>
      <c r="BB61" s="9"/>
      <c r="BC61" s="9"/>
      <c r="BD61" s="10"/>
      <c r="BE61" s="9"/>
      <c r="BR61" s="9"/>
      <c r="BS61" s="9"/>
      <c r="BT61" s="9"/>
      <c r="BU61" s="9"/>
      <c r="BW61" s="9"/>
      <c r="BX61" s="9"/>
      <c r="BY61"/>
      <c r="CB61"/>
      <c r="CE61"/>
      <c r="CH61"/>
      <c r="CK61"/>
      <c r="CN61"/>
      <c r="CQ61"/>
      <c r="CT61"/>
      <c r="CW61"/>
      <c r="CZ61"/>
      <c r="DC61"/>
      <c r="DF61"/>
    </row>
    <row r="62" spans="2:110" ht="15.05" customHeight="1" x14ac:dyDescent="0.35">
      <c r="B62" s="10">
        <v>42</v>
      </c>
      <c r="C62" s="9" t="str">
        <f>IF(CAD_CC!B45="","",CAD_CC!B45)</f>
        <v/>
      </c>
      <c r="F62" s="10">
        <v>42</v>
      </c>
      <c r="G62" s="9" t="str">
        <f>IF(CAD_EMP!I47="","",CAD_EMP!I47)</f>
        <v/>
      </c>
      <c r="J62" s="10">
        <v>41</v>
      </c>
      <c r="K62" s="210" t="str">
        <f>IF('CAD_BANCOS'!F45="","",'CAD_BANCOS'!F45)</f>
        <v/>
      </c>
      <c r="R62" s="9"/>
      <c r="S62" s="9"/>
      <c r="U62" s="9"/>
      <c r="V62" s="10"/>
      <c r="W62" s="9"/>
      <c r="AF62" s="11"/>
      <c r="AG62" s="11"/>
      <c r="AH62" s="11"/>
      <c r="AI62" s="11"/>
      <c r="AJ62" s="11"/>
      <c r="AK62" s="9"/>
      <c r="AL62" s="9"/>
      <c r="AM62" s="9"/>
      <c r="AN62" s="9"/>
      <c r="AV62" s="11"/>
      <c r="AW62" s="11"/>
      <c r="AX62" s="11"/>
      <c r="AZ62" s="11"/>
      <c r="BA62" s="11"/>
      <c r="BB62" s="9"/>
      <c r="BC62" s="9"/>
      <c r="BD62" s="10"/>
      <c r="BE62" s="9"/>
      <c r="BR62" s="9"/>
      <c r="BS62" s="9"/>
      <c r="BT62" s="9"/>
      <c r="BU62" s="9"/>
      <c r="BW62" s="9"/>
      <c r="BX62" s="9"/>
      <c r="BY62"/>
      <c r="CB62"/>
      <c r="CE62"/>
      <c r="CH62"/>
      <c r="CK62"/>
      <c r="CN62"/>
      <c r="CQ62"/>
      <c r="CT62"/>
      <c r="CW62"/>
      <c r="CZ62"/>
      <c r="DC62"/>
      <c r="DF62"/>
    </row>
    <row r="63" spans="2:110" ht="15.05" customHeight="1" x14ac:dyDescent="0.35">
      <c r="B63" s="10">
        <v>43</v>
      </c>
      <c r="C63" s="9" t="str">
        <f>IF(CAD_CC!B46="","",CAD_CC!B46)</f>
        <v/>
      </c>
      <c r="F63" s="10">
        <v>43</v>
      </c>
      <c r="G63" s="9" t="str">
        <f>IF(CAD_EMP!I48="","",CAD_EMP!I48)</f>
        <v/>
      </c>
      <c r="J63" s="10">
        <v>42</v>
      </c>
      <c r="K63" s="210" t="str">
        <f>IF('CAD_BANCOS'!F46="","",'CAD_BANCOS'!F46)</f>
        <v/>
      </c>
      <c r="R63" s="9"/>
      <c r="S63" s="9"/>
      <c r="U63" s="9"/>
      <c r="V63" s="10"/>
      <c r="W63" s="9"/>
      <c r="AF63" s="11"/>
      <c r="AG63" s="11"/>
      <c r="AH63" s="11"/>
      <c r="AI63" s="11"/>
      <c r="AJ63" s="11"/>
      <c r="AK63" s="9"/>
      <c r="AL63" s="9"/>
      <c r="AM63" s="9"/>
      <c r="AN63" s="9"/>
      <c r="AV63" s="11"/>
      <c r="AW63" s="11"/>
      <c r="AX63" s="11"/>
      <c r="AZ63" s="11"/>
      <c r="BA63" s="11"/>
      <c r="BB63" s="9"/>
      <c r="BC63" s="9"/>
      <c r="BD63" s="10"/>
      <c r="BE63" s="9"/>
      <c r="BR63" s="9"/>
      <c r="BS63" s="9"/>
      <c r="BT63" s="9"/>
      <c r="BU63" s="9"/>
      <c r="BW63" s="9"/>
      <c r="BX63" s="9"/>
      <c r="BY63"/>
      <c r="CB63"/>
      <c r="CE63"/>
      <c r="CH63"/>
      <c r="CK63"/>
      <c r="CN63"/>
      <c r="CQ63"/>
      <c r="CT63"/>
      <c r="CW63"/>
      <c r="CZ63"/>
      <c r="DC63"/>
      <c r="DF63"/>
    </row>
    <row r="64" spans="2:110" ht="15.05" customHeight="1" x14ac:dyDescent="0.35">
      <c r="B64" s="10">
        <v>44</v>
      </c>
      <c r="C64" s="9" t="str">
        <f>IF(CAD_CC!B47="","",CAD_CC!B47)</f>
        <v/>
      </c>
      <c r="F64" s="10">
        <v>44</v>
      </c>
      <c r="G64" s="9" t="str">
        <f>IF(CAD_EMP!I49="","",CAD_EMP!I49)</f>
        <v/>
      </c>
      <c r="J64" s="10">
        <v>43</v>
      </c>
      <c r="K64" s="210" t="str">
        <f>IF('CAD_BANCOS'!F47="","",'CAD_BANCOS'!F47)</f>
        <v/>
      </c>
      <c r="R64" s="9"/>
      <c r="S64" s="9"/>
      <c r="U64" s="9"/>
      <c r="V64" s="10"/>
      <c r="W64" s="9"/>
      <c r="AF64" s="11"/>
      <c r="AG64" s="11"/>
      <c r="AH64" s="11"/>
      <c r="AI64" s="11"/>
      <c r="AJ64" s="11"/>
      <c r="AK64" s="9"/>
      <c r="AL64" s="9"/>
      <c r="AM64" s="9"/>
      <c r="AN64" s="9"/>
      <c r="AV64" s="11"/>
      <c r="AW64" s="11"/>
      <c r="AX64" s="11"/>
      <c r="AZ64" s="11"/>
      <c r="BA64" s="11"/>
      <c r="BB64" s="9"/>
      <c r="BC64" s="9"/>
      <c r="BD64" s="10"/>
      <c r="BE64" s="9"/>
      <c r="BR64" s="9"/>
      <c r="BS64" s="9"/>
      <c r="BT64" s="9"/>
      <c r="BU64" s="9"/>
      <c r="BW64" s="9"/>
      <c r="BX64" s="9"/>
      <c r="BY64"/>
      <c r="CB64"/>
      <c r="CE64"/>
      <c r="CH64"/>
      <c r="CK64"/>
      <c r="CN64"/>
      <c r="CQ64"/>
      <c r="CT64"/>
      <c r="CW64"/>
      <c r="CZ64"/>
      <c r="DC64"/>
      <c r="DF64"/>
    </row>
    <row r="65" spans="2:110" ht="15.05" customHeight="1" x14ac:dyDescent="0.35">
      <c r="B65" s="10">
        <v>45</v>
      </c>
      <c r="C65" s="9" t="str">
        <f>IF(CAD_CC!B48="","",CAD_CC!B48)</f>
        <v/>
      </c>
      <c r="F65" s="10">
        <v>45</v>
      </c>
      <c r="G65" s="9" t="str">
        <f>IF(CAD_EMP!I50="","",CAD_EMP!I50)</f>
        <v/>
      </c>
      <c r="J65" s="10">
        <v>44</v>
      </c>
      <c r="K65" s="210" t="str">
        <f>IF('CAD_BANCOS'!F48="","",'CAD_BANCOS'!F48)</f>
        <v/>
      </c>
      <c r="R65" s="9"/>
      <c r="S65" s="9"/>
      <c r="U65" s="9"/>
      <c r="V65" s="10"/>
      <c r="W65" s="9"/>
      <c r="AF65" s="11"/>
      <c r="AG65" s="11"/>
      <c r="AH65" s="11"/>
      <c r="AI65" s="11"/>
      <c r="AJ65" s="11"/>
      <c r="AK65" s="9"/>
      <c r="AL65" s="9"/>
      <c r="AM65" s="9"/>
      <c r="AN65" s="9"/>
      <c r="AV65" s="11"/>
      <c r="AW65" s="11"/>
      <c r="AX65" s="11"/>
      <c r="AZ65" s="11"/>
      <c r="BA65" s="11"/>
      <c r="BB65" s="9"/>
      <c r="BC65" s="9"/>
      <c r="BD65" s="10"/>
      <c r="BE65" s="9"/>
      <c r="BR65" s="9"/>
      <c r="BS65" s="9"/>
      <c r="BT65" s="9"/>
      <c r="BU65" s="9"/>
      <c r="BW65" s="9"/>
      <c r="BX65" s="9"/>
      <c r="BY65"/>
      <c r="CB65"/>
      <c r="CE65"/>
      <c r="CH65"/>
      <c r="CK65"/>
      <c r="CN65"/>
      <c r="CQ65"/>
      <c r="CT65"/>
      <c r="CW65"/>
      <c r="CZ65"/>
      <c r="DC65"/>
      <c r="DF65"/>
    </row>
    <row r="66" spans="2:110" ht="15.05" customHeight="1" x14ac:dyDescent="0.35">
      <c r="B66" s="10">
        <v>46</v>
      </c>
      <c r="C66" s="9" t="str">
        <f>IF(CAD_CC!B49="","",CAD_CC!B49)</f>
        <v/>
      </c>
      <c r="F66" s="10">
        <v>46</v>
      </c>
      <c r="G66" s="9" t="str">
        <f>IF(CAD_EMP!I51="","",CAD_EMP!I51)</f>
        <v/>
      </c>
      <c r="J66" s="10">
        <v>45</v>
      </c>
      <c r="K66" s="210" t="str">
        <f>IF('CAD_BANCOS'!F49="","",'CAD_BANCOS'!F49)</f>
        <v/>
      </c>
      <c r="R66" s="9"/>
      <c r="S66" s="9"/>
      <c r="U66" s="9"/>
      <c r="V66" s="10"/>
      <c r="W66" s="9"/>
      <c r="AF66" s="11"/>
      <c r="AG66" s="11"/>
      <c r="AH66" s="11"/>
      <c r="AI66" s="11"/>
      <c r="AJ66" s="11"/>
      <c r="AK66" s="9"/>
      <c r="AL66" s="9"/>
      <c r="AM66" s="9"/>
      <c r="AN66" s="9"/>
      <c r="AV66" s="11"/>
      <c r="AW66" s="11"/>
      <c r="AX66" s="11"/>
      <c r="AZ66" s="11"/>
      <c r="BA66" s="11"/>
      <c r="BB66" s="9"/>
      <c r="BC66" s="9"/>
      <c r="BD66" s="10"/>
      <c r="BE66" s="9"/>
      <c r="BR66" s="9"/>
      <c r="BS66" s="9"/>
      <c r="BT66" s="9"/>
      <c r="BU66" s="9"/>
      <c r="BW66" s="9"/>
      <c r="BX66" s="9"/>
      <c r="BY66"/>
      <c r="CB66"/>
      <c r="CE66"/>
      <c r="CH66"/>
      <c r="CK66"/>
      <c r="CN66"/>
      <c r="CQ66"/>
      <c r="CT66"/>
      <c r="CW66"/>
      <c r="CZ66"/>
      <c r="DC66"/>
      <c r="DF66"/>
    </row>
    <row r="67" spans="2:110" ht="15.05" customHeight="1" x14ac:dyDescent="0.35">
      <c r="B67" s="10">
        <v>47</v>
      </c>
      <c r="C67" s="9" t="str">
        <f>IF(CAD_CC!B50="","",CAD_CC!B50)</f>
        <v/>
      </c>
      <c r="F67" s="10">
        <v>47</v>
      </c>
      <c r="G67" s="9" t="str">
        <f>IF(CAD_EMP!I52="","",CAD_EMP!I52)</f>
        <v/>
      </c>
      <c r="J67" s="10">
        <v>46</v>
      </c>
      <c r="K67" s="210" t="str">
        <f>IF('CAD_BANCOS'!F50="","",'CAD_BANCOS'!F50)</f>
        <v/>
      </c>
      <c r="R67" s="9"/>
      <c r="S67" s="9"/>
      <c r="U67" s="9"/>
      <c r="V67" s="10"/>
      <c r="W67" s="9"/>
      <c r="AF67" s="11"/>
      <c r="AG67" s="11"/>
      <c r="AH67" s="11"/>
      <c r="AI67" s="11"/>
      <c r="AJ67" s="11"/>
      <c r="AK67" s="9"/>
      <c r="AL67" s="9"/>
      <c r="AM67" s="9"/>
      <c r="AN67" s="9"/>
      <c r="AV67" s="11"/>
      <c r="AW67" s="11"/>
      <c r="AX67" s="11"/>
      <c r="AZ67" s="11"/>
      <c r="BA67" s="11"/>
      <c r="BB67" s="9"/>
      <c r="BC67" s="9"/>
      <c r="BD67" s="10"/>
      <c r="BE67" s="9"/>
      <c r="BR67" s="9"/>
      <c r="BS67" s="9"/>
      <c r="BT67" s="9"/>
      <c r="BU67" s="9"/>
      <c r="BW67" s="9"/>
      <c r="BX67" s="9"/>
      <c r="BY67"/>
      <c r="CB67"/>
      <c r="CE67"/>
      <c r="CH67"/>
      <c r="CK67"/>
      <c r="CN67"/>
      <c r="CQ67"/>
      <c r="CT67"/>
      <c r="CW67"/>
      <c r="CZ67"/>
      <c r="DC67"/>
      <c r="DF67"/>
    </row>
    <row r="68" spans="2:110" ht="15.05" customHeight="1" x14ac:dyDescent="0.35">
      <c r="B68" s="10">
        <v>48</v>
      </c>
      <c r="C68" s="9" t="str">
        <f>IF(CAD_CC!B51="","",CAD_CC!B51)</f>
        <v/>
      </c>
      <c r="F68" s="10">
        <v>48</v>
      </c>
      <c r="G68" s="9" t="str">
        <f>IF(CAD_EMP!I53="","",CAD_EMP!I53)</f>
        <v/>
      </c>
      <c r="J68" s="10">
        <v>47</v>
      </c>
      <c r="K68" s="210" t="str">
        <f>IF('CAD_BANCOS'!F51="","",'CAD_BANCOS'!F51)</f>
        <v/>
      </c>
      <c r="R68" s="9"/>
      <c r="S68" s="9"/>
      <c r="U68" s="9"/>
      <c r="V68" s="10"/>
      <c r="W68" s="9"/>
      <c r="AF68" s="11"/>
      <c r="AG68" s="11"/>
      <c r="AH68" s="11"/>
      <c r="AI68" s="11"/>
      <c r="AJ68" s="11"/>
      <c r="AK68" s="9"/>
      <c r="AL68" s="9"/>
      <c r="AM68" s="9"/>
      <c r="AN68" s="9"/>
      <c r="AV68" s="11"/>
      <c r="AW68" s="11"/>
      <c r="AX68" s="11"/>
      <c r="AZ68" s="11"/>
      <c r="BA68" s="11"/>
      <c r="BB68" s="9"/>
      <c r="BC68" s="9"/>
      <c r="BD68" s="10"/>
      <c r="BE68" s="9"/>
      <c r="BR68" s="9"/>
      <c r="BS68" s="9"/>
      <c r="BT68" s="9"/>
      <c r="BU68" s="9"/>
      <c r="BW68" s="9"/>
      <c r="BX68" s="9"/>
      <c r="BY68"/>
      <c r="CB68"/>
      <c r="CE68"/>
      <c r="CH68"/>
      <c r="CK68"/>
      <c r="CN68"/>
      <c r="CQ68"/>
      <c r="CT68"/>
      <c r="CW68"/>
      <c r="CZ68"/>
      <c r="DC68"/>
      <c r="DF68"/>
    </row>
    <row r="69" spans="2:110" ht="15.05" customHeight="1" x14ac:dyDescent="0.35">
      <c r="B69" s="10">
        <v>49</v>
      </c>
      <c r="C69" s="9" t="str">
        <f>IF(CAD_CC!B52="","",CAD_CC!B52)</f>
        <v/>
      </c>
      <c r="F69" s="10">
        <v>49</v>
      </c>
      <c r="G69" s="9" t="str">
        <f>IF(CAD_EMP!I54="","",CAD_EMP!I54)</f>
        <v/>
      </c>
      <c r="J69" s="10">
        <v>48</v>
      </c>
      <c r="K69" s="210" t="str">
        <f>IF('CAD_BANCOS'!F52="","",'CAD_BANCOS'!F52)</f>
        <v/>
      </c>
      <c r="R69" s="9"/>
      <c r="S69" s="9"/>
      <c r="U69" s="9"/>
      <c r="V69" s="10"/>
      <c r="W69" s="9"/>
      <c r="AF69" s="11"/>
      <c r="AG69" s="11"/>
      <c r="AH69" s="11"/>
      <c r="AI69" s="11"/>
      <c r="AJ69" s="11"/>
      <c r="AK69" s="9"/>
      <c r="AL69" s="9"/>
      <c r="AM69" s="9"/>
      <c r="AN69" s="9"/>
      <c r="AV69" s="11"/>
      <c r="AW69" s="11"/>
      <c r="AX69" s="11"/>
      <c r="AZ69" s="11"/>
      <c r="BA69" s="11"/>
      <c r="BB69" s="9"/>
      <c r="BC69" s="9"/>
      <c r="BD69" s="10"/>
      <c r="BE69" s="9"/>
      <c r="BR69" s="9"/>
      <c r="BS69" s="9"/>
      <c r="BT69" s="9"/>
      <c r="BU69" s="9"/>
      <c r="BW69" s="9"/>
      <c r="BX69" s="9"/>
      <c r="BY69"/>
      <c r="CB69"/>
      <c r="CE69"/>
      <c r="CH69"/>
      <c r="CK69"/>
      <c r="CN69"/>
      <c r="CQ69"/>
      <c r="CT69"/>
      <c r="CW69"/>
      <c r="CZ69"/>
      <c r="DC69"/>
      <c r="DF69"/>
    </row>
    <row r="70" spans="2:110" ht="15.05" customHeight="1" x14ac:dyDescent="0.35">
      <c r="B70" s="10">
        <v>50</v>
      </c>
      <c r="C70" s="9" t="str">
        <f>IF(CAD_CC!B53="","",CAD_CC!B53)</f>
        <v/>
      </c>
      <c r="F70" s="10">
        <v>50</v>
      </c>
      <c r="G70" s="9" t="str">
        <f>IF(CAD_EMP!I55="","",CAD_EMP!I55)</f>
        <v/>
      </c>
      <c r="J70" s="10">
        <v>49</v>
      </c>
      <c r="K70" s="210" t="str">
        <f>IF('CAD_BANCOS'!F53="","",'CAD_BANCOS'!F53)</f>
        <v/>
      </c>
      <c r="R70" s="9"/>
      <c r="S70" s="9"/>
      <c r="U70" s="9"/>
      <c r="V70" s="10"/>
      <c r="W70" s="9"/>
      <c r="AF70" s="11"/>
      <c r="AG70" s="11"/>
      <c r="AH70" s="11"/>
      <c r="AI70" s="11"/>
      <c r="AJ70" s="11"/>
      <c r="AK70" s="9"/>
      <c r="AL70" s="9"/>
      <c r="AM70" s="9"/>
      <c r="AN70" s="9"/>
      <c r="AV70" s="11"/>
      <c r="AW70" s="11"/>
      <c r="AX70" s="11"/>
      <c r="AZ70" s="11"/>
      <c r="BA70" s="11"/>
      <c r="BB70" s="9"/>
      <c r="BC70" s="9"/>
      <c r="BD70" s="10"/>
      <c r="BE70" s="9"/>
      <c r="BR70" s="9"/>
      <c r="BS70" s="9"/>
      <c r="BT70" s="9"/>
      <c r="BU70" s="9"/>
      <c r="BW70" s="9"/>
      <c r="BX70" s="9"/>
      <c r="BY70"/>
      <c r="CB70"/>
      <c r="CE70"/>
      <c r="CH70"/>
      <c r="CK70"/>
      <c r="CN70"/>
      <c r="CQ70"/>
      <c r="CT70"/>
      <c r="CW70"/>
      <c r="CZ70"/>
      <c r="DC70"/>
      <c r="DF70"/>
    </row>
    <row r="71" spans="2:110" ht="15.05" customHeight="1" x14ac:dyDescent="0.35">
      <c r="B71" s="10">
        <v>51</v>
      </c>
      <c r="C71" s="9" t="str">
        <f>IF(CAD_CC!B54="","",CAD_CC!B54)</f>
        <v/>
      </c>
      <c r="F71" s="10">
        <v>51</v>
      </c>
      <c r="G71" s="9" t="str">
        <f>IF(CAD_EMP!I56="","",CAD_EMP!I56)</f>
        <v/>
      </c>
      <c r="J71" s="10">
        <v>50</v>
      </c>
      <c r="K71" s="210" t="str">
        <f>IF('CAD_BANCOS'!F54="","",'CAD_BANCOS'!F54)</f>
        <v/>
      </c>
      <c r="R71" s="9"/>
      <c r="S71" s="9"/>
      <c r="U71" s="9"/>
      <c r="V71" s="10"/>
      <c r="W71" s="9"/>
      <c r="AF71" s="11"/>
      <c r="AG71" s="11"/>
      <c r="AH71" s="11"/>
      <c r="AI71" s="11"/>
      <c r="AJ71" s="11"/>
      <c r="AK71" s="9"/>
      <c r="AL71" s="9"/>
      <c r="AM71" s="9"/>
      <c r="AN71" s="9"/>
      <c r="AV71" s="11"/>
      <c r="AW71" s="11"/>
      <c r="AX71" s="11"/>
      <c r="AZ71" s="11"/>
      <c r="BA71" s="11"/>
      <c r="BB71" s="9"/>
      <c r="BC71" s="9"/>
      <c r="BD71" s="10"/>
      <c r="BE71" s="9"/>
      <c r="BR71" s="9"/>
      <c r="BS71" s="9"/>
      <c r="BT71" s="9"/>
      <c r="BU71" s="9"/>
      <c r="BW71" s="9"/>
      <c r="BX71" s="9"/>
      <c r="BY71"/>
      <c r="CB71"/>
      <c r="CE71"/>
      <c r="CH71"/>
      <c r="CK71"/>
      <c r="CN71"/>
      <c r="CQ71"/>
      <c r="CT71"/>
      <c r="CW71"/>
      <c r="CZ71"/>
      <c r="DC71"/>
      <c r="DF71"/>
    </row>
    <row r="72" spans="2:110" ht="15.05" customHeight="1" x14ac:dyDescent="0.35">
      <c r="B72" s="10">
        <v>52</v>
      </c>
      <c r="C72" s="9" t="str">
        <f>IF(CAD_CC!B55="","",CAD_CC!B55)</f>
        <v/>
      </c>
      <c r="F72" s="10">
        <v>52</v>
      </c>
      <c r="G72" s="9" t="str">
        <f>IF(CAD_EMP!I57="","",CAD_EMP!I57)</f>
        <v/>
      </c>
      <c r="J72" s="10">
        <v>51</v>
      </c>
      <c r="K72" s="210" t="str">
        <f>IF('CAD_BANCOS'!F55="","",'CAD_BANCOS'!F55)</f>
        <v/>
      </c>
      <c r="R72" s="9"/>
      <c r="S72" s="9"/>
      <c r="U72" s="9"/>
      <c r="V72" s="10"/>
      <c r="W72" s="9"/>
      <c r="AF72" s="11"/>
      <c r="AG72" s="11"/>
      <c r="AH72" s="11"/>
      <c r="AI72" s="11"/>
      <c r="AJ72" s="11"/>
      <c r="AK72" s="9"/>
      <c r="AL72" s="9"/>
      <c r="AM72" s="9"/>
      <c r="AN72" s="9"/>
      <c r="AV72" s="11"/>
      <c r="AW72" s="11"/>
      <c r="AX72" s="11"/>
      <c r="AZ72" s="11"/>
      <c r="BA72" s="11"/>
      <c r="BB72" s="9"/>
      <c r="BC72" s="9"/>
      <c r="BD72" s="10"/>
      <c r="BE72" s="9"/>
      <c r="BR72" s="9"/>
      <c r="BS72" s="9"/>
      <c r="BT72" s="9"/>
      <c r="BU72" s="9"/>
      <c r="BW72" s="9"/>
      <c r="BX72" s="9"/>
      <c r="BY72"/>
      <c r="CB72"/>
      <c r="CE72"/>
      <c r="CH72"/>
      <c r="CK72"/>
      <c r="CN72"/>
      <c r="CQ72"/>
      <c r="CT72"/>
      <c r="CW72"/>
      <c r="CZ72"/>
      <c r="DC72"/>
      <c r="DF72"/>
    </row>
    <row r="73" spans="2:110" ht="15.05" customHeight="1" x14ac:dyDescent="0.35">
      <c r="B73" s="10">
        <v>53</v>
      </c>
      <c r="C73" s="9" t="str">
        <f>IF(CAD_CC!B56="","",CAD_CC!B56)</f>
        <v/>
      </c>
      <c r="F73" s="10">
        <v>53</v>
      </c>
      <c r="G73" s="9" t="str">
        <f>IF(CAD_EMP!I58="","",CAD_EMP!I58)</f>
        <v/>
      </c>
      <c r="J73" s="10">
        <v>52</v>
      </c>
      <c r="K73" s="210" t="str">
        <f>IF('CAD_BANCOS'!F56="","",'CAD_BANCOS'!F56)</f>
        <v/>
      </c>
      <c r="R73" s="9"/>
      <c r="S73" s="9"/>
      <c r="U73" s="9"/>
      <c r="V73" s="10"/>
      <c r="W73" s="9"/>
      <c r="AF73" s="11"/>
      <c r="AG73" s="11"/>
      <c r="AH73" s="11"/>
      <c r="AI73" s="11"/>
      <c r="AJ73" s="11"/>
      <c r="AK73" s="9"/>
      <c r="AL73" s="9"/>
      <c r="AM73" s="9"/>
      <c r="AN73" s="9"/>
      <c r="AV73" s="11"/>
      <c r="AW73" s="11"/>
      <c r="AX73" s="11"/>
      <c r="AZ73" s="11"/>
      <c r="BA73" s="11"/>
      <c r="BB73" s="9"/>
      <c r="BC73" s="9"/>
      <c r="BD73" s="10"/>
      <c r="BE73" s="9"/>
      <c r="BR73" s="9"/>
      <c r="BS73" s="9"/>
      <c r="BT73" s="9"/>
      <c r="BU73" s="9"/>
      <c r="BW73" s="9"/>
      <c r="BX73" s="9"/>
      <c r="BY73"/>
      <c r="CB73"/>
      <c r="CE73"/>
      <c r="CH73"/>
      <c r="CK73"/>
      <c r="CN73"/>
      <c r="CQ73"/>
      <c r="CT73"/>
      <c r="CW73"/>
      <c r="CZ73"/>
      <c r="DC73"/>
      <c r="DF73"/>
    </row>
    <row r="74" spans="2:110" ht="15.05" customHeight="1" x14ac:dyDescent="0.35">
      <c r="B74" s="10">
        <v>54</v>
      </c>
      <c r="C74" s="9" t="str">
        <f>IF(CAD_CC!B57="","",CAD_CC!B57)</f>
        <v/>
      </c>
      <c r="F74" s="10">
        <v>54</v>
      </c>
      <c r="G74" s="9" t="str">
        <f>IF(CAD_EMP!I59="","",CAD_EMP!I59)</f>
        <v/>
      </c>
      <c r="J74" s="10">
        <v>53</v>
      </c>
      <c r="K74" s="210" t="str">
        <f>IF('CAD_BANCOS'!F57="","",'CAD_BANCOS'!F57)</f>
        <v/>
      </c>
      <c r="R74" s="9"/>
      <c r="S74" s="9"/>
      <c r="U74" s="9"/>
      <c r="V74" s="10"/>
      <c r="W74" s="9"/>
      <c r="AF74" s="11"/>
      <c r="AG74" s="11"/>
      <c r="AH74" s="11"/>
      <c r="AI74" s="11"/>
      <c r="AJ74" s="11"/>
      <c r="AK74" s="9"/>
      <c r="AL74" s="9"/>
      <c r="AM74" s="9"/>
      <c r="AN74" s="9"/>
      <c r="AV74" s="11"/>
      <c r="AW74" s="11"/>
      <c r="AX74" s="11"/>
      <c r="AZ74" s="11"/>
      <c r="BA74" s="11"/>
      <c r="BB74" s="9"/>
      <c r="BC74" s="9"/>
      <c r="BD74" s="10"/>
      <c r="BE74" s="9"/>
      <c r="BR74" s="9"/>
      <c r="BS74" s="9"/>
      <c r="BT74" s="9"/>
      <c r="BU74" s="9"/>
      <c r="BW74" s="9"/>
      <c r="BX74" s="9"/>
      <c r="BY74"/>
      <c r="CB74"/>
      <c r="CE74"/>
      <c r="CH74"/>
      <c r="CK74"/>
      <c r="CN74"/>
      <c r="CQ74"/>
      <c r="CT74"/>
      <c r="CW74"/>
      <c r="CZ74"/>
      <c r="DC74"/>
      <c r="DF74"/>
    </row>
    <row r="75" spans="2:110" ht="15.05" customHeight="1" x14ac:dyDescent="0.35">
      <c r="B75" s="10">
        <v>55</v>
      </c>
      <c r="C75" s="9" t="str">
        <f>IF(CAD_CC!B58="","",CAD_CC!B58)</f>
        <v/>
      </c>
      <c r="F75" s="10">
        <v>55</v>
      </c>
      <c r="G75" s="9" t="str">
        <f>IF(CAD_EMP!I60="","",CAD_EMP!I60)</f>
        <v/>
      </c>
      <c r="J75" s="10">
        <v>54</v>
      </c>
      <c r="K75" s="210" t="str">
        <f>IF('CAD_BANCOS'!F58="","",'CAD_BANCOS'!F58)</f>
        <v/>
      </c>
      <c r="R75" s="9"/>
      <c r="S75" s="9"/>
      <c r="U75" s="9"/>
      <c r="V75" s="10"/>
      <c r="W75" s="9"/>
      <c r="AF75" s="11"/>
      <c r="AG75" s="11"/>
      <c r="AH75" s="11"/>
      <c r="AI75" s="11"/>
      <c r="AJ75" s="11"/>
      <c r="AK75" s="9"/>
      <c r="AL75" s="9"/>
      <c r="AM75" s="9"/>
      <c r="AN75" s="9"/>
      <c r="AV75" s="11"/>
      <c r="AW75" s="11"/>
      <c r="AX75" s="11"/>
      <c r="AZ75" s="11"/>
      <c r="BA75" s="11"/>
      <c r="BB75" s="9"/>
      <c r="BC75" s="9"/>
      <c r="BD75" s="10"/>
      <c r="BE75" s="9"/>
      <c r="BR75" s="9"/>
      <c r="BS75" s="9"/>
      <c r="BT75" s="9"/>
      <c r="BU75" s="9"/>
      <c r="BW75" s="9"/>
      <c r="BX75" s="9"/>
      <c r="BY75"/>
      <c r="CB75"/>
      <c r="CE75"/>
      <c r="CH75"/>
      <c r="CK75"/>
      <c r="CN75"/>
      <c r="CQ75"/>
      <c r="CT75"/>
      <c r="CW75"/>
      <c r="CZ75"/>
      <c r="DC75"/>
      <c r="DF75"/>
    </row>
    <row r="76" spans="2:110" ht="15.05" customHeight="1" x14ac:dyDescent="0.35">
      <c r="B76" s="10">
        <v>56</v>
      </c>
      <c r="C76" s="9" t="str">
        <f>IF(CAD_CC!B59="","",CAD_CC!B59)</f>
        <v/>
      </c>
      <c r="F76" s="10">
        <v>56</v>
      </c>
      <c r="G76" s="9" t="str">
        <f>IF(CAD_EMP!I61="","",CAD_EMP!I61)</f>
        <v/>
      </c>
      <c r="J76" s="10">
        <v>55</v>
      </c>
      <c r="K76" s="210" t="str">
        <f>IF('CAD_BANCOS'!F59="","",'CAD_BANCOS'!F59)</f>
        <v/>
      </c>
      <c r="R76" s="9"/>
      <c r="S76" s="9"/>
      <c r="U76" s="9"/>
      <c r="V76" s="10"/>
      <c r="W76" s="9"/>
      <c r="AF76" s="11"/>
      <c r="AG76" s="11"/>
      <c r="AH76" s="11"/>
      <c r="AI76" s="11"/>
      <c r="AJ76" s="11"/>
      <c r="AK76" s="9"/>
      <c r="AL76" s="9"/>
      <c r="AM76" s="9"/>
      <c r="AN76" s="9"/>
      <c r="AV76" s="11"/>
      <c r="AW76" s="11"/>
      <c r="AX76" s="11"/>
      <c r="AZ76" s="11"/>
      <c r="BA76" s="11"/>
      <c r="BB76" s="9"/>
      <c r="BC76" s="9"/>
      <c r="BD76" s="10"/>
      <c r="BE76" s="9"/>
      <c r="BR76" s="9"/>
      <c r="BS76" s="9"/>
      <c r="BT76" s="9"/>
      <c r="BU76" s="9"/>
      <c r="BW76" s="9"/>
      <c r="BX76" s="9"/>
      <c r="BY76"/>
      <c r="CB76"/>
      <c r="CE76"/>
      <c r="CH76"/>
      <c r="CK76"/>
      <c r="CN76"/>
      <c r="CQ76"/>
      <c r="CT76"/>
      <c r="CW76"/>
      <c r="CZ76"/>
      <c r="DC76"/>
      <c r="DF76"/>
    </row>
    <row r="77" spans="2:110" ht="15.05" customHeight="1" x14ac:dyDescent="0.35">
      <c r="B77" s="10">
        <v>57</v>
      </c>
      <c r="C77" s="9" t="str">
        <f>IF(CAD_CC!B60="","",CAD_CC!B60)</f>
        <v/>
      </c>
      <c r="F77" s="10">
        <v>57</v>
      </c>
      <c r="G77" s="9" t="str">
        <f>IF(CAD_EMP!I62="","",CAD_EMP!I62)</f>
        <v/>
      </c>
      <c r="J77" s="10">
        <v>56</v>
      </c>
      <c r="K77" s="210" t="str">
        <f>IF('CAD_BANCOS'!F60="","",'CAD_BANCOS'!F60)</f>
        <v/>
      </c>
      <c r="R77" s="9"/>
      <c r="S77" s="9"/>
      <c r="U77" s="9"/>
      <c r="V77" s="10"/>
      <c r="W77" s="9"/>
      <c r="AF77" s="11"/>
      <c r="AG77" s="11"/>
      <c r="AH77" s="11"/>
      <c r="AI77" s="11"/>
      <c r="AJ77" s="11"/>
      <c r="AK77" s="9"/>
      <c r="AL77" s="9"/>
      <c r="AM77" s="9"/>
      <c r="AN77" s="9"/>
      <c r="AV77" s="11"/>
      <c r="AW77" s="11"/>
      <c r="AX77" s="11"/>
      <c r="AZ77" s="11"/>
      <c r="BA77" s="11"/>
      <c r="BB77" s="9"/>
      <c r="BC77" s="9"/>
      <c r="BD77" s="10"/>
      <c r="BE77" s="9"/>
      <c r="BR77" s="9"/>
      <c r="BS77" s="9"/>
      <c r="BT77" s="9"/>
      <c r="BU77" s="9"/>
      <c r="BW77" s="9"/>
      <c r="BX77" s="9"/>
      <c r="BY77"/>
      <c r="CB77"/>
      <c r="CE77"/>
      <c r="CH77"/>
      <c r="CK77"/>
      <c r="CN77"/>
      <c r="CQ77"/>
      <c r="CT77"/>
      <c r="CW77"/>
      <c r="CZ77"/>
      <c r="DC77"/>
      <c r="DF77"/>
    </row>
    <row r="78" spans="2:110" ht="15.05" customHeight="1" x14ac:dyDescent="0.35">
      <c r="B78" s="10">
        <v>58</v>
      </c>
      <c r="C78" s="9" t="str">
        <f>IF(CAD_CC!B61="","",CAD_CC!B61)</f>
        <v/>
      </c>
      <c r="F78" s="10">
        <v>58</v>
      </c>
      <c r="G78" s="9" t="str">
        <f>IF(CAD_EMP!I63="","",CAD_EMP!I63)</f>
        <v/>
      </c>
      <c r="J78" s="10">
        <v>57</v>
      </c>
      <c r="K78" s="210" t="str">
        <f>IF('CAD_BANCOS'!F61="","",'CAD_BANCOS'!F61)</f>
        <v/>
      </c>
      <c r="R78" s="9"/>
      <c r="S78" s="9"/>
      <c r="U78" s="9"/>
      <c r="V78" s="10"/>
      <c r="W78" s="9"/>
      <c r="AF78" s="11"/>
      <c r="AG78" s="11"/>
      <c r="AH78" s="11"/>
      <c r="AI78" s="11"/>
      <c r="AJ78" s="11"/>
      <c r="AK78" s="9"/>
      <c r="AL78" s="9"/>
      <c r="AM78" s="9"/>
      <c r="AN78" s="9"/>
      <c r="AV78" s="11"/>
      <c r="AW78" s="11"/>
      <c r="AX78" s="11"/>
      <c r="AZ78" s="11"/>
      <c r="BA78" s="11"/>
      <c r="BB78" s="9"/>
      <c r="BC78" s="9"/>
      <c r="BD78" s="10"/>
      <c r="BE78" s="9"/>
      <c r="BR78" s="9"/>
      <c r="BS78" s="9"/>
      <c r="BT78" s="9"/>
      <c r="BU78" s="9"/>
      <c r="BW78" s="9"/>
      <c r="BX78" s="9"/>
      <c r="BY78"/>
      <c r="CB78"/>
      <c r="CE78"/>
      <c r="CH78"/>
      <c r="CK78"/>
      <c r="CN78"/>
      <c r="CQ78"/>
      <c r="CT78"/>
      <c r="CW78"/>
      <c r="CZ78"/>
      <c r="DC78"/>
      <c r="DF78"/>
    </row>
    <row r="79" spans="2:110" ht="15.05" customHeight="1" x14ac:dyDescent="0.35">
      <c r="B79" s="10">
        <v>59</v>
      </c>
      <c r="C79" s="9" t="str">
        <f>IF(CAD_CC!B62="","",CAD_CC!B62)</f>
        <v/>
      </c>
      <c r="F79" s="10">
        <v>59</v>
      </c>
      <c r="G79" s="9" t="str">
        <f>IF(CAD_EMP!I64="","",CAD_EMP!I64)</f>
        <v/>
      </c>
      <c r="J79" s="10">
        <v>58</v>
      </c>
      <c r="K79" s="210" t="str">
        <f>IF('CAD_BANCOS'!F62="","",'CAD_BANCOS'!F62)</f>
        <v/>
      </c>
      <c r="R79" s="9"/>
      <c r="S79" s="9"/>
      <c r="U79" s="9"/>
      <c r="V79" s="10"/>
      <c r="W79" s="9"/>
      <c r="AF79" s="11"/>
      <c r="AG79" s="11"/>
      <c r="AH79" s="11"/>
      <c r="AI79" s="11"/>
      <c r="AJ79" s="11"/>
      <c r="AK79" s="9"/>
      <c r="AL79" s="9"/>
      <c r="AM79" s="9"/>
      <c r="AN79" s="9"/>
      <c r="AV79" s="11"/>
      <c r="AW79" s="11"/>
      <c r="AX79" s="11"/>
      <c r="AZ79" s="11"/>
      <c r="BA79" s="11"/>
      <c r="BB79" s="9"/>
      <c r="BC79" s="9"/>
      <c r="BD79" s="10"/>
      <c r="BE79" s="9"/>
      <c r="BR79" s="9"/>
      <c r="BS79" s="9"/>
      <c r="BT79" s="9"/>
      <c r="BU79" s="9"/>
      <c r="BW79" s="9"/>
      <c r="BX79" s="9"/>
      <c r="BY79"/>
      <c r="CB79"/>
      <c r="CE79"/>
      <c r="CH79"/>
      <c r="CK79"/>
      <c r="CN79"/>
      <c r="CQ79"/>
      <c r="CT79"/>
      <c r="CW79"/>
      <c r="CZ79"/>
      <c r="DC79"/>
      <c r="DF79"/>
    </row>
    <row r="80" spans="2:110" ht="15.05" customHeight="1" x14ac:dyDescent="0.35">
      <c r="B80" s="10">
        <v>60</v>
      </c>
      <c r="C80" s="9" t="str">
        <f>IF(CAD_CC!B63="","",CAD_CC!B63)</f>
        <v/>
      </c>
      <c r="F80" s="10">
        <v>60</v>
      </c>
      <c r="G80" s="9" t="str">
        <f>IF(CAD_EMP!I65="","",CAD_EMP!I65)</f>
        <v/>
      </c>
      <c r="J80" s="10">
        <v>59</v>
      </c>
      <c r="K80" s="210" t="str">
        <f>IF('CAD_BANCOS'!F63="","",'CAD_BANCOS'!F63)</f>
        <v/>
      </c>
      <c r="R80" s="9"/>
      <c r="S80" s="9"/>
      <c r="U80" s="9"/>
      <c r="V80" s="10"/>
      <c r="W80" s="9"/>
      <c r="AF80" s="11"/>
      <c r="AG80" s="11"/>
      <c r="AH80" s="11"/>
      <c r="AI80" s="11"/>
      <c r="AJ80" s="11"/>
      <c r="AK80" s="9"/>
      <c r="AL80" s="9"/>
      <c r="AM80" s="9"/>
      <c r="AN80" s="9"/>
      <c r="AV80" s="11"/>
      <c r="AW80" s="11"/>
      <c r="AX80" s="11"/>
      <c r="AZ80" s="11"/>
      <c r="BA80" s="11"/>
      <c r="BB80" s="9"/>
      <c r="BC80" s="9"/>
      <c r="BD80" s="10"/>
      <c r="BE80" s="9"/>
      <c r="BR80" s="9"/>
      <c r="BS80" s="9"/>
      <c r="BT80" s="9"/>
      <c r="BU80" s="9"/>
      <c r="BW80" s="9"/>
      <c r="BX80" s="9"/>
      <c r="BY80"/>
      <c r="CB80"/>
      <c r="CE80"/>
      <c r="CH80"/>
      <c r="CK80"/>
      <c r="CN80"/>
      <c r="CQ80"/>
      <c r="CT80"/>
      <c r="CW80"/>
      <c r="CZ80"/>
      <c r="DC80"/>
      <c r="DF80"/>
    </row>
    <row r="81" spans="2:110" ht="15.05" customHeight="1" x14ac:dyDescent="0.35">
      <c r="B81" s="10">
        <v>61</v>
      </c>
      <c r="C81" s="9" t="str">
        <f>IF(CAD_CC!B64="","",CAD_CC!B64)</f>
        <v/>
      </c>
      <c r="F81" s="10">
        <v>61</v>
      </c>
      <c r="G81" s="9" t="str">
        <f>IF(CAD_EMP!I66="","",CAD_EMP!I66)</f>
        <v/>
      </c>
      <c r="J81" s="10">
        <v>60</v>
      </c>
      <c r="K81" s="210" t="str">
        <f>IF('CAD_BANCOS'!F64="","",'CAD_BANCOS'!F64)</f>
        <v/>
      </c>
      <c r="R81" s="9"/>
      <c r="S81" s="9"/>
      <c r="U81" s="9"/>
      <c r="V81" s="10"/>
      <c r="W81" s="9"/>
      <c r="AF81" s="11"/>
      <c r="AG81" s="11"/>
      <c r="AH81" s="11"/>
      <c r="AI81" s="11"/>
      <c r="AJ81" s="11"/>
      <c r="AK81" s="9"/>
      <c r="AL81" s="9"/>
      <c r="AM81" s="9"/>
      <c r="AN81" s="9"/>
      <c r="AV81" s="11"/>
      <c r="AW81" s="11"/>
      <c r="AX81" s="11"/>
      <c r="AZ81" s="11"/>
      <c r="BA81" s="11"/>
      <c r="BB81" s="9"/>
      <c r="BC81" s="9"/>
      <c r="BD81" s="10"/>
      <c r="BE81" s="9"/>
      <c r="BR81" s="9"/>
      <c r="BS81" s="9"/>
      <c r="BT81" s="9"/>
      <c r="BU81" s="9"/>
      <c r="BW81" s="9"/>
      <c r="BX81" s="9"/>
      <c r="BY81"/>
      <c r="CB81"/>
      <c r="CE81"/>
      <c r="CH81"/>
      <c r="CK81"/>
      <c r="CN81"/>
      <c r="CQ81"/>
      <c r="CT81"/>
      <c r="CW81"/>
      <c r="CZ81"/>
      <c r="DC81"/>
      <c r="DF81"/>
    </row>
    <row r="82" spans="2:110" ht="15.05" customHeight="1" x14ac:dyDescent="0.35">
      <c r="B82" s="10">
        <v>62</v>
      </c>
      <c r="C82" s="9" t="str">
        <f>IF(CAD_CC!B65="","",CAD_CC!B65)</f>
        <v/>
      </c>
      <c r="F82" s="10">
        <v>62</v>
      </c>
      <c r="G82" s="9" t="str">
        <f>IF(CAD_EMP!I67="","",CAD_EMP!I67)</f>
        <v/>
      </c>
      <c r="J82" s="10">
        <v>61</v>
      </c>
      <c r="K82" s="210" t="str">
        <f>IF('CAD_BANCOS'!F65="","",'CAD_BANCOS'!F65)</f>
        <v/>
      </c>
      <c r="R82" s="9"/>
      <c r="S82" s="9"/>
      <c r="U82" s="9"/>
      <c r="V82" s="10"/>
      <c r="W82" s="9"/>
      <c r="AF82" s="11"/>
      <c r="AG82" s="11"/>
      <c r="AH82" s="11"/>
      <c r="AI82" s="11"/>
      <c r="AJ82" s="11"/>
      <c r="AK82" s="9"/>
      <c r="AL82" s="9"/>
      <c r="AM82" s="9"/>
      <c r="AN82" s="9"/>
      <c r="AV82" s="11"/>
      <c r="AW82" s="11"/>
      <c r="AX82" s="11"/>
      <c r="AZ82" s="11"/>
      <c r="BA82" s="11"/>
      <c r="BB82" s="9"/>
      <c r="BC82" s="9"/>
      <c r="BD82" s="10"/>
      <c r="BE82" s="9"/>
      <c r="BR82" s="9"/>
      <c r="BS82" s="9"/>
      <c r="BT82" s="9"/>
      <c r="BU82" s="9"/>
      <c r="BW82" s="9"/>
      <c r="BX82" s="9"/>
      <c r="BY82"/>
      <c r="CB82"/>
      <c r="CE82"/>
      <c r="CH82"/>
      <c r="CK82"/>
      <c r="CN82"/>
      <c r="CQ82"/>
      <c r="CT82"/>
      <c r="CW82"/>
      <c r="CZ82"/>
      <c r="DC82"/>
      <c r="DF82"/>
    </row>
    <row r="83" spans="2:110" ht="15.05" customHeight="1" x14ac:dyDescent="0.35">
      <c r="B83" s="10">
        <v>63</v>
      </c>
      <c r="C83" s="9" t="str">
        <f>IF(CAD_CC!B66="","",CAD_CC!B66)</f>
        <v/>
      </c>
      <c r="F83" s="10">
        <v>63</v>
      </c>
      <c r="G83" s="9" t="str">
        <f>IF(CAD_EMP!I68="","",CAD_EMP!I68)</f>
        <v/>
      </c>
      <c r="J83" s="10">
        <v>62</v>
      </c>
      <c r="K83" s="210" t="str">
        <f>IF('CAD_BANCOS'!F66="","",'CAD_BANCOS'!F66)</f>
        <v/>
      </c>
      <c r="R83" s="9"/>
      <c r="S83" s="9"/>
      <c r="U83" s="9"/>
      <c r="V83" s="10"/>
      <c r="W83" s="9"/>
      <c r="AF83" s="11"/>
      <c r="AG83" s="11"/>
      <c r="AH83" s="11"/>
      <c r="AI83" s="11"/>
      <c r="AJ83" s="11"/>
      <c r="AK83" s="9"/>
      <c r="AL83" s="9"/>
      <c r="AM83" s="9"/>
      <c r="AN83" s="9"/>
      <c r="AV83" s="11"/>
      <c r="AW83" s="11"/>
      <c r="AX83" s="11"/>
      <c r="AZ83" s="11"/>
      <c r="BA83" s="11"/>
      <c r="BB83" s="9"/>
      <c r="BC83" s="9"/>
      <c r="BD83" s="10"/>
      <c r="BE83" s="9"/>
      <c r="BR83" s="9"/>
      <c r="BS83" s="9"/>
      <c r="BT83" s="9"/>
      <c r="BU83" s="9"/>
      <c r="BW83" s="9"/>
      <c r="BX83" s="9"/>
      <c r="BY83"/>
      <c r="CB83"/>
      <c r="CE83"/>
      <c r="CH83"/>
      <c r="CK83"/>
      <c r="CN83"/>
      <c r="CQ83"/>
      <c r="CT83"/>
      <c r="CW83"/>
      <c r="CZ83"/>
      <c r="DC83"/>
      <c r="DF83"/>
    </row>
    <row r="84" spans="2:110" ht="15.05" customHeight="1" x14ac:dyDescent="0.35">
      <c r="B84" s="10">
        <v>64</v>
      </c>
      <c r="C84" s="9" t="str">
        <f>IF(CAD_CC!B67="","",CAD_CC!B67)</f>
        <v/>
      </c>
      <c r="F84" s="10">
        <v>64</v>
      </c>
      <c r="G84" s="9" t="str">
        <f>IF(CAD_EMP!I69="","",CAD_EMP!I69)</f>
        <v/>
      </c>
      <c r="J84" s="10">
        <v>63</v>
      </c>
      <c r="K84" s="210" t="str">
        <f>IF('CAD_BANCOS'!F67="","",'CAD_BANCOS'!F67)</f>
        <v/>
      </c>
      <c r="R84" s="9"/>
      <c r="S84" s="9"/>
      <c r="U84" s="9"/>
      <c r="V84" s="10"/>
      <c r="W84" s="9"/>
      <c r="AF84" s="11"/>
      <c r="AG84" s="11"/>
      <c r="AH84" s="11"/>
      <c r="AI84" s="11"/>
      <c r="AJ84" s="11"/>
      <c r="AK84" s="9"/>
      <c r="AL84" s="9"/>
      <c r="AM84" s="9"/>
      <c r="AN84" s="9"/>
      <c r="AV84" s="11"/>
      <c r="AW84" s="11"/>
      <c r="AX84" s="11"/>
      <c r="AZ84" s="11"/>
      <c r="BA84" s="11"/>
      <c r="BB84" s="9"/>
      <c r="BC84" s="9"/>
      <c r="BD84" s="10"/>
      <c r="BE84" s="9"/>
      <c r="BR84" s="9"/>
      <c r="BS84" s="9"/>
      <c r="BT84" s="9"/>
      <c r="BU84" s="9"/>
      <c r="BW84" s="9"/>
      <c r="BX84" s="9"/>
      <c r="BY84"/>
      <c r="CB84"/>
      <c r="CE84"/>
      <c r="CH84"/>
      <c r="CK84"/>
      <c r="CN84"/>
      <c r="CQ84"/>
      <c r="CT84"/>
      <c r="CW84"/>
      <c r="CZ84"/>
      <c r="DC84"/>
      <c r="DF84"/>
    </row>
    <row r="85" spans="2:110" ht="15.05" customHeight="1" x14ac:dyDescent="0.35">
      <c r="B85" s="10">
        <v>65</v>
      </c>
      <c r="C85" s="9" t="str">
        <f>IF(CAD_CC!B68="","",CAD_CC!B68)</f>
        <v/>
      </c>
      <c r="F85" s="10">
        <v>65</v>
      </c>
      <c r="G85" s="9" t="str">
        <f>IF(CAD_EMP!I70="","",CAD_EMP!I70)</f>
        <v/>
      </c>
      <c r="J85" s="10">
        <v>64</v>
      </c>
      <c r="K85" s="210" t="str">
        <f>IF('CAD_BANCOS'!F68="","",'CAD_BANCOS'!F68)</f>
        <v/>
      </c>
      <c r="R85" s="9"/>
      <c r="S85" s="9"/>
      <c r="U85" s="9"/>
      <c r="V85" s="10"/>
      <c r="W85" s="9"/>
      <c r="AF85" s="11"/>
      <c r="AG85" s="11"/>
      <c r="AH85" s="11"/>
      <c r="AI85" s="11"/>
      <c r="AJ85" s="11"/>
      <c r="AK85" s="9"/>
      <c r="AL85" s="9"/>
      <c r="AM85" s="9"/>
      <c r="AN85" s="9"/>
      <c r="AV85" s="11"/>
      <c r="AW85" s="11"/>
      <c r="AX85" s="11"/>
      <c r="AZ85" s="11"/>
      <c r="BA85" s="11"/>
      <c r="BB85" s="9"/>
      <c r="BC85" s="9"/>
      <c r="BD85" s="10"/>
      <c r="BE85" s="9"/>
      <c r="BR85" s="9"/>
      <c r="BS85" s="9"/>
      <c r="BT85" s="9"/>
      <c r="BU85" s="9"/>
      <c r="BW85" s="9"/>
      <c r="BX85" s="9"/>
      <c r="BY85"/>
      <c r="CB85"/>
      <c r="CE85"/>
      <c r="CH85"/>
      <c r="CK85"/>
      <c r="CN85"/>
      <c r="CQ85"/>
      <c r="CT85"/>
      <c r="CW85"/>
      <c r="CZ85"/>
      <c r="DC85"/>
      <c r="DF85"/>
    </row>
    <row r="86" spans="2:110" ht="15.05" customHeight="1" x14ac:dyDescent="0.35">
      <c r="B86" s="10">
        <v>66</v>
      </c>
      <c r="C86" s="9" t="str">
        <f>IF(CAD_CC!B69="","",CAD_CC!B69)</f>
        <v/>
      </c>
      <c r="F86" s="10">
        <v>66</v>
      </c>
      <c r="G86" s="9" t="str">
        <f>IF(CAD_EMP!I71="","",CAD_EMP!I71)</f>
        <v/>
      </c>
      <c r="J86" s="10">
        <v>65</v>
      </c>
      <c r="K86" s="210" t="str">
        <f>IF('CAD_BANCOS'!F69="","",'CAD_BANCOS'!F69)</f>
        <v/>
      </c>
      <c r="R86" s="9"/>
      <c r="S86" s="9"/>
      <c r="U86" s="9"/>
      <c r="V86" s="10"/>
      <c r="W86" s="9"/>
      <c r="AF86" s="11"/>
      <c r="AG86" s="11"/>
      <c r="AH86" s="11"/>
      <c r="AI86" s="11"/>
      <c r="AJ86" s="11"/>
      <c r="AK86" s="9"/>
      <c r="AL86" s="9"/>
      <c r="AM86" s="9"/>
      <c r="AN86" s="9"/>
      <c r="AV86" s="11"/>
      <c r="AW86" s="11"/>
      <c r="AX86" s="11"/>
      <c r="AZ86" s="11"/>
      <c r="BA86" s="11"/>
      <c r="BB86" s="9"/>
      <c r="BC86" s="9"/>
      <c r="BD86" s="10"/>
      <c r="BE86" s="9"/>
      <c r="BR86" s="9"/>
      <c r="BS86" s="9"/>
      <c r="BT86" s="9"/>
      <c r="BU86" s="9"/>
      <c r="BW86" s="9"/>
      <c r="BX86" s="9"/>
      <c r="BY86"/>
      <c r="CB86"/>
      <c r="CE86"/>
      <c r="CH86"/>
      <c r="CK86"/>
      <c r="CN86"/>
      <c r="CQ86"/>
      <c r="CT86"/>
      <c r="CW86"/>
      <c r="CZ86"/>
      <c r="DC86"/>
      <c r="DF86"/>
    </row>
    <row r="87" spans="2:110" ht="15.05" customHeight="1" x14ac:dyDescent="0.35">
      <c r="B87" s="10">
        <v>67</v>
      </c>
      <c r="C87" s="9" t="str">
        <f>IF(CAD_CC!B70="","",CAD_CC!B70)</f>
        <v/>
      </c>
      <c r="F87" s="10">
        <v>67</v>
      </c>
      <c r="G87" s="9" t="str">
        <f>IF(CAD_EMP!I72="","",CAD_EMP!I72)</f>
        <v/>
      </c>
      <c r="J87" s="10">
        <v>66</v>
      </c>
      <c r="K87" s="210" t="str">
        <f>IF('CAD_BANCOS'!F70="","",'CAD_BANCOS'!F70)</f>
        <v/>
      </c>
      <c r="R87" s="9"/>
      <c r="S87" s="9"/>
      <c r="U87" s="9"/>
      <c r="V87" s="10"/>
      <c r="W87" s="9"/>
      <c r="AF87" s="11"/>
      <c r="AG87" s="11"/>
      <c r="AH87" s="11"/>
      <c r="AI87" s="11"/>
      <c r="AJ87" s="11"/>
      <c r="AK87" s="9"/>
      <c r="AL87" s="9"/>
      <c r="AM87" s="9"/>
      <c r="AN87" s="9"/>
      <c r="AV87" s="11"/>
      <c r="AW87" s="11"/>
      <c r="AX87" s="11"/>
      <c r="AZ87" s="11"/>
      <c r="BA87" s="11"/>
      <c r="BB87" s="9"/>
      <c r="BC87" s="9"/>
      <c r="BD87" s="10"/>
      <c r="BE87" s="9"/>
      <c r="BR87" s="9"/>
      <c r="BS87" s="9"/>
      <c r="BT87" s="9"/>
      <c r="BU87" s="9"/>
      <c r="BW87" s="9"/>
      <c r="BX87" s="9"/>
      <c r="BY87"/>
      <c r="CB87"/>
      <c r="CE87"/>
      <c r="CH87"/>
      <c r="CK87"/>
      <c r="CN87"/>
      <c r="CQ87"/>
      <c r="CT87"/>
      <c r="CW87"/>
      <c r="CZ87"/>
      <c r="DC87"/>
      <c r="DF87"/>
    </row>
    <row r="88" spans="2:110" ht="15.05" customHeight="1" x14ac:dyDescent="0.35">
      <c r="B88" s="10">
        <v>68</v>
      </c>
      <c r="C88" s="9" t="str">
        <f>IF(CAD_CC!B71="","",CAD_CC!B71)</f>
        <v/>
      </c>
      <c r="F88" s="10">
        <v>68</v>
      </c>
      <c r="G88" s="9" t="str">
        <f>IF(CAD_EMP!I73="","",CAD_EMP!I73)</f>
        <v/>
      </c>
      <c r="J88" s="10">
        <v>67</v>
      </c>
      <c r="K88" s="210" t="str">
        <f>IF('CAD_BANCOS'!F71="","",'CAD_BANCOS'!F71)</f>
        <v/>
      </c>
      <c r="R88" s="9"/>
      <c r="S88" s="9"/>
      <c r="U88" s="9"/>
      <c r="V88" s="10"/>
      <c r="W88" s="9"/>
      <c r="AF88" s="11"/>
      <c r="AG88" s="11"/>
      <c r="AH88" s="11"/>
      <c r="AI88" s="11"/>
      <c r="AJ88" s="11"/>
      <c r="AK88" s="9"/>
      <c r="AL88" s="9"/>
      <c r="AM88" s="9"/>
      <c r="AN88" s="9"/>
      <c r="AV88" s="11"/>
      <c r="AW88" s="11"/>
      <c r="AX88" s="11"/>
      <c r="AZ88" s="11"/>
      <c r="BA88" s="11"/>
      <c r="BB88" s="9"/>
      <c r="BC88" s="9"/>
      <c r="BD88" s="10"/>
      <c r="BE88" s="9"/>
      <c r="BR88" s="9"/>
      <c r="BS88" s="9"/>
      <c r="BT88" s="9"/>
      <c r="BU88" s="9"/>
      <c r="BW88" s="9"/>
      <c r="BX88" s="9"/>
      <c r="BY88"/>
      <c r="CB88"/>
      <c r="CE88"/>
      <c r="CH88"/>
      <c r="CK88"/>
      <c r="CN88"/>
      <c r="CQ88"/>
      <c r="CT88"/>
      <c r="CW88"/>
      <c r="CZ88"/>
      <c r="DC88"/>
      <c r="DF88"/>
    </row>
    <row r="89" spans="2:110" ht="15.05" customHeight="1" x14ac:dyDescent="0.35">
      <c r="B89" s="10">
        <v>69</v>
      </c>
      <c r="C89" s="9" t="str">
        <f>IF(CAD_CC!B72="","",CAD_CC!B72)</f>
        <v/>
      </c>
      <c r="F89" s="10">
        <v>69</v>
      </c>
      <c r="G89" s="9" t="str">
        <f>IF(CAD_EMP!I74="","",CAD_EMP!I74)</f>
        <v/>
      </c>
      <c r="J89" s="10">
        <v>68</v>
      </c>
      <c r="K89" s="210" t="str">
        <f>IF('CAD_BANCOS'!F72="","",'CAD_BANCOS'!F72)</f>
        <v/>
      </c>
      <c r="R89" s="9"/>
      <c r="S89" s="9"/>
      <c r="U89" s="9"/>
      <c r="V89" s="10"/>
      <c r="W89" s="9"/>
      <c r="AF89" s="11"/>
      <c r="AG89" s="11"/>
      <c r="AH89" s="11"/>
      <c r="AI89" s="11"/>
      <c r="AJ89" s="11"/>
      <c r="AK89" s="9"/>
      <c r="AL89" s="9"/>
      <c r="AM89" s="9"/>
      <c r="AN89" s="9"/>
      <c r="AV89" s="11"/>
      <c r="AW89" s="11"/>
      <c r="AX89" s="11"/>
      <c r="AZ89" s="11"/>
      <c r="BA89" s="11"/>
      <c r="BB89" s="9"/>
      <c r="BC89" s="9"/>
      <c r="BD89" s="10"/>
      <c r="BE89" s="9"/>
      <c r="BR89" s="9"/>
      <c r="BS89" s="9"/>
      <c r="BT89" s="9"/>
      <c r="BU89" s="9"/>
      <c r="BW89" s="9"/>
      <c r="BX89" s="9"/>
      <c r="BY89"/>
      <c r="CB89"/>
      <c r="CE89"/>
      <c r="CH89"/>
      <c r="CK89"/>
      <c r="CN89"/>
      <c r="CQ89"/>
      <c r="CT89"/>
      <c r="CW89"/>
      <c r="CZ89"/>
      <c r="DC89"/>
      <c r="DF89"/>
    </row>
    <row r="90" spans="2:110" ht="15.05" customHeight="1" x14ac:dyDescent="0.35">
      <c r="B90" s="10">
        <v>70</v>
      </c>
      <c r="C90" s="9" t="str">
        <f>IF(CAD_CC!B73="","",CAD_CC!B73)</f>
        <v/>
      </c>
      <c r="F90" s="10">
        <v>70</v>
      </c>
      <c r="G90" s="9" t="str">
        <f>IF(CAD_EMP!I75="","",CAD_EMP!I75)</f>
        <v/>
      </c>
      <c r="J90" s="10">
        <v>69</v>
      </c>
      <c r="K90" s="210" t="str">
        <f>IF('CAD_BANCOS'!F73="","",'CAD_BANCOS'!F73)</f>
        <v/>
      </c>
      <c r="R90" s="9"/>
      <c r="S90" s="9"/>
      <c r="U90" s="9"/>
      <c r="V90" s="10"/>
      <c r="W90" s="9"/>
      <c r="AF90" s="11"/>
      <c r="AG90" s="11"/>
      <c r="AH90" s="11"/>
      <c r="AI90" s="11"/>
      <c r="AJ90" s="11"/>
      <c r="AK90" s="9"/>
      <c r="AL90" s="9"/>
      <c r="AM90" s="9"/>
      <c r="AN90" s="9"/>
      <c r="AV90" s="11"/>
      <c r="AW90" s="11"/>
      <c r="AX90" s="11"/>
      <c r="AZ90" s="11"/>
      <c r="BA90" s="11"/>
      <c r="BB90" s="9"/>
      <c r="BC90" s="9"/>
      <c r="BD90" s="10"/>
      <c r="BE90" s="9"/>
      <c r="BR90" s="9"/>
      <c r="BS90" s="9"/>
      <c r="BT90" s="9"/>
      <c r="BU90" s="9"/>
      <c r="BW90" s="9"/>
      <c r="BX90" s="9"/>
      <c r="BY90"/>
      <c r="CB90"/>
      <c r="CE90"/>
      <c r="CH90"/>
      <c r="CK90"/>
      <c r="CN90"/>
      <c r="CQ90"/>
      <c r="CT90"/>
      <c r="CW90"/>
      <c r="CZ90"/>
      <c r="DC90"/>
      <c r="DF90"/>
    </row>
    <row r="91" spans="2:110" ht="15.05" customHeight="1" x14ac:dyDescent="0.35">
      <c r="B91" s="10">
        <v>71</v>
      </c>
      <c r="C91" s="9" t="str">
        <f>IF(CAD_CC!B74="","",CAD_CC!B74)</f>
        <v/>
      </c>
      <c r="F91" s="10">
        <v>71</v>
      </c>
      <c r="G91" s="9" t="str">
        <f>IF(CAD_EMP!I76="","",CAD_EMP!I76)</f>
        <v/>
      </c>
      <c r="J91" s="10">
        <v>70</v>
      </c>
      <c r="K91" s="210" t="str">
        <f>IF('CAD_BANCOS'!F74="","",'CAD_BANCOS'!F74)</f>
        <v/>
      </c>
      <c r="R91" s="9"/>
      <c r="S91" s="9"/>
      <c r="U91" s="9"/>
      <c r="V91" s="10"/>
      <c r="W91" s="9"/>
      <c r="AF91" s="11"/>
      <c r="AG91" s="11"/>
      <c r="AH91" s="11"/>
      <c r="AI91" s="11"/>
      <c r="AJ91" s="11"/>
      <c r="AK91" s="9"/>
      <c r="AL91" s="9"/>
      <c r="AM91" s="9"/>
      <c r="AN91" s="9"/>
      <c r="AV91" s="11"/>
      <c r="AW91" s="11"/>
      <c r="AX91" s="11"/>
      <c r="AZ91" s="11"/>
      <c r="BA91" s="11"/>
      <c r="BB91" s="9"/>
      <c r="BC91" s="9"/>
      <c r="BD91" s="10"/>
      <c r="BE91" s="9"/>
      <c r="BR91" s="9"/>
      <c r="BS91" s="9"/>
      <c r="BT91" s="9"/>
      <c r="BU91" s="9"/>
      <c r="BW91" s="9"/>
      <c r="BX91" s="9"/>
      <c r="BY91"/>
      <c r="CB91"/>
      <c r="CE91"/>
      <c r="CH91"/>
      <c r="CK91"/>
      <c r="CN91"/>
      <c r="CQ91"/>
      <c r="CT91"/>
      <c r="CW91"/>
      <c r="CZ91"/>
      <c r="DC91"/>
      <c r="DF91"/>
    </row>
    <row r="92" spans="2:110" ht="15.05" customHeight="1" x14ac:dyDescent="0.35">
      <c r="B92" s="10">
        <v>72</v>
      </c>
      <c r="C92" s="9" t="str">
        <f>IF(CAD_CC!B75="","",CAD_CC!B75)</f>
        <v/>
      </c>
      <c r="F92" s="10">
        <v>72</v>
      </c>
      <c r="G92" s="9" t="str">
        <f>IF(CAD_EMP!I77="","",CAD_EMP!I77)</f>
        <v/>
      </c>
      <c r="J92" s="10">
        <v>71</v>
      </c>
      <c r="K92" s="210" t="str">
        <f>IF('CAD_BANCOS'!F75="","",'CAD_BANCOS'!F75)</f>
        <v/>
      </c>
      <c r="R92" s="9"/>
      <c r="S92" s="9"/>
      <c r="U92" s="9"/>
      <c r="V92" s="10"/>
      <c r="W92" s="9"/>
      <c r="AF92" s="11"/>
      <c r="AG92" s="11"/>
      <c r="AH92" s="11"/>
      <c r="AI92" s="11"/>
      <c r="AJ92" s="11"/>
      <c r="AK92" s="9"/>
      <c r="AL92" s="9"/>
      <c r="AM92" s="9"/>
      <c r="AN92" s="9"/>
      <c r="AV92" s="11"/>
      <c r="AW92" s="11"/>
      <c r="AX92" s="11"/>
      <c r="AZ92" s="11"/>
      <c r="BA92" s="11"/>
      <c r="BB92" s="9"/>
      <c r="BC92" s="9"/>
      <c r="BD92" s="10"/>
      <c r="BE92" s="9"/>
      <c r="BR92" s="9"/>
      <c r="BS92" s="9"/>
      <c r="BT92" s="9"/>
      <c r="BU92" s="9"/>
      <c r="BW92" s="9"/>
      <c r="BX92" s="9"/>
      <c r="BY92"/>
      <c r="CB92"/>
      <c r="CE92"/>
      <c r="CH92"/>
      <c r="CK92"/>
      <c r="CN92"/>
      <c r="CQ92"/>
      <c r="CT92"/>
      <c r="CW92"/>
      <c r="CZ92"/>
      <c r="DC92"/>
      <c r="DF92"/>
    </row>
    <row r="93" spans="2:110" ht="15.05" customHeight="1" x14ac:dyDescent="0.35">
      <c r="B93" s="10">
        <v>73</v>
      </c>
      <c r="C93" s="9" t="str">
        <f>IF(CAD_CC!B76="","",CAD_CC!B76)</f>
        <v/>
      </c>
      <c r="F93" s="10">
        <v>73</v>
      </c>
      <c r="G93" s="9" t="str">
        <f>IF(CAD_EMP!I78="","",CAD_EMP!I78)</f>
        <v/>
      </c>
      <c r="J93" s="10">
        <v>72</v>
      </c>
      <c r="K93" s="210" t="str">
        <f>IF('CAD_BANCOS'!F76="","",'CAD_BANCOS'!F76)</f>
        <v/>
      </c>
      <c r="R93" s="9"/>
      <c r="S93" s="9"/>
      <c r="U93" s="9"/>
      <c r="V93" s="10"/>
      <c r="W93" s="9"/>
      <c r="AF93" s="11"/>
      <c r="AG93" s="11"/>
      <c r="AH93" s="11"/>
      <c r="AI93" s="11"/>
      <c r="AJ93" s="11"/>
      <c r="AK93" s="9"/>
      <c r="AL93" s="9"/>
      <c r="AM93" s="9"/>
      <c r="AN93" s="9"/>
      <c r="AV93" s="11"/>
      <c r="AW93" s="11"/>
      <c r="AX93" s="11"/>
      <c r="AZ93" s="11"/>
      <c r="BA93" s="11"/>
      <c r="BB93" s="9"/>
      <c r="BC93" s="9"/>
      <c r="BD93" s="10"/>
      <c r="BE93" s="9"/>
      <c r="BR93" s="9"/>
      <c r="BS93" s="9"/>
      <c r="BT93" s="9"/>
      <c r="BU93" s="9"/>
      <c r="BW93" s="9"/>
      <c r="BX93" s="9"/>
      <c r="BY93"/>
      <c r="CB93"/>
      <c r="CE93"/>
      <c r="CH93"/>
      <c r="CK93"/>
      <c r="CN93"/>
      <c r="CQ93"/>
      <c r="CT93"/>
      <c r="CW93"/>
      <c r="CZ93"/>
      <c r="DC93"/>
      <c r="DF93"/>
    </row>
    <row r="94" spans="2:110" ht="15.05" customHeight="1" x14ac:dyDescent="0.35">
      <c r="B94" s="10">
        <v>74</v>
      </c>
      <c r="C94" s="9" t="str">
        <f>IF(CAD_CC!B77="","",CAD_CC!B77)</f>
        <v/>
      </c>
      <c r="F94" s="10">
        <v>74</v>
      </c>
      <c r="G94" s="9" t="str">
        <f>IF(CAD_EMP!I79="","",CAD_EMP!I79)</f>
        <v/>
      </c>
      <c r="J94" s="10">
        <v>73</v>
      </c>
      <c r="K94" s="210" t="str">
        <f>IF('CAD_BANCOS'!F77="","",'CAD_BANCOS'!F77)</f>
        <v/>
      </c>
      <c r="R94" s="9"/>
      <c r="S94" s="9"/>
      <c r="U94" s="9"/>
      <c r="V94" s="10"/>
      <c r="W94" s="9"/>
      <c r="AF94" s="11"/>
      <c r="AG94" s="11"/>
      <c r="AH94" s="11"/>
      <c r="AI94" s="11"/>
      <c r="AJ94" s="11"/>
      <c r="AK94" s="9"/>
      <c r="AL94" s="9"/>
      <c r="AM94" s="9"/>
      <c r="AN94" s="9"/>
      <c r="AV94" s="11"/>
      <c r="AW94" s="11"/>
      <c r="AX94" s="11"/>
      <c r="AZ94" s="11"/>
      <c r="BA94" s="11"/>
      <c r="BB94" s="9"/>
      <c r="BC94" s="9"/>
      <c r="BD94" s="10"/>
      <c r="BE94" s="9"/>
      <c r="BR94" s="9"/>
      <c r="BS94" s="9"/>
      <c r="BT94" s="9"/>
      <c r="BU94" s="9"/>
      <c r="BW94" s="9"/>
      <c r="BX94" s="9"/>
      <c r="BY94"/>
      <c r="CB94"/>
      <c r="CE94"/>
      <c r="CH94"/>
      <c r="CK94"/>
      <c r="CN94"/>
      <c r="CQ94"/>
      <c r="CT94"/>
      <c r="CW94"/>
      <c r="CZ94"/>
      <c r="DC94"/>
      <c r="DF94"/>
    </row>
    <row r="95" spans="2:110" ht="15.05" customHeight="1" x14ac:dyDescent="0.35">
      <c r="B95" s="10">
        <v>75</v>
      </c>
      <c r="C95" s="9" t="str">
        <f>IF(CAD_CC!B78="","",CAD_CC!B78)</f>
        <v/>
      </c>
      <c r="F95" s="10">
        <v>75</v>
      </c>
      <c r="G95" s="9" t="str">
        <f>IF(CAD_EMP!I80="","",CAD_EMP!I80)</f>
        <v/>
      </c>
      <c r="J95" s="10">
        <v>74</v>
      </c>
      <c r="K95" s="210" t="str">
        <f>IF('CAD_BANCOS'!F78="","",'CAD_BANCOS'!F78)</f>
        <v/>
      </c>
      <c r="R95" s="9"/>
      <c r="S95" s="9"/>
      <c r="U95" s="9"/>
      <c r="V95" s="10"/>
      <c r="W95" s="9"/>
      <c r="AF95" s="11"/>
      <c r="AG95" s="11"/>
      <c r="AH95" s="11"/>
      <c r="AI95" s="11"/>
      <c r="AJ95" s="11"/>
      <c r="AK95" s="9"/>
      <c r="AL95" s="9"/>
      <c r="AM95" s="9"/>
      <c r="AN95" s="9"/>
      <c r="AV95" s="11"/>
      <c r="AW95" s="11"/>
      <c r="AX95" s="11"/>
      <c r="AZ95" s="11"/>
      <c r="BA95" s="11"/>
      <c r="BB95" s="9"/>
      <c r="BC95" s="9"/>
      <c r="BD95" s="10"/>
      <c r="BE95" s="9"/>
      <c r="BR95" s="9"/>
      <c r="BS95" s="9"/>
      <c r="BT95" s="9"/>
      <c r="BU95" s="9"/>
      <c r="BW95" s="9"/>
      <c r="BX95" s="9"/>
      <c r="BY95"/>
      <c r="CB95"/>
      <c r="CE95"/>
      <c r="CH95"/>
      <c r="CK95"/>
      <c r="CN95"/>
      <c r="CQ95"/>
      <c r="CT95"/>
      <c r="CW95"/>
      <c r="CZ95"/>
      <c r="DC95"/>
      <c r="DF95"/>
    </row>
    <row r="96" spans="2:110" ht="15.05" customHeight="1" x14ac:dyDescent="0.35">
      <c r="B96" s="10">
        <v>76</v>
      </c>
      <c r="C96" s="9" t="str">
        <f>IF(CAD_CC!B79="","",CAD_CC!B79)</f>
        <v/>
      </c>
      <c r="F96" s="10">
        <v>76</v>
      </c>
      <c r="G96" s="9" t="str">
        <f>IF(CAD_EMP!I81="","",CAD_EMP!I81)</f>
        <v/>
      </c>
      <c r="J96" s="10">
        <v>75</v>
      </c>
      <c r="K96" s="210" t="str">
        <f>IF('CAD_BANCOS'!F79="","",'CAD_BANCOS'!F79)</f>
        <v/>
      </c>
      <c r="R96" s="9"/>
      <c r="S96" s="9"/>
      <c r="U96" s="9"/>
      <c r="V96" s="10"/>
      <c r="W96" s="9"/>
      <c r="AF96" s="11"/>
      <c r="AG96" s="11"/>
      <c r="AH96" s="11"/>
      <c r="AI96" s="11"/>
      <c r="AJ96" s="11"/>
      <c r="AK96" s="9"/>
      <c r="AL96" s="9"/>
      <c r="AM96" s="9"/>
      <c r="AN96" s="9"/>
      <c r="AV96" s="11"/>
      <c r="AW96" s="11"/>
      <c r="AX96" s="11"/>
      <c r="AZ96" s="11"/>
      <c r="BA96" s="11"/>
      <c r="BB96" s="9"/>
      <c r="BC96" s="9"/>
      <c r="BD96" s="10"/>
      <c r="BE96" s="9"/>
      <c r="BR96" s="9"/>
      <c r="BS96" s="9"/>
      <c r="BT96" s="9"/>
      <c r="BU96" s="9"/>
      <c r="BW96" s="9"/>
      <c r="BX96" s="9"/>
      <c r="BY96"/>
      <c r="CB96"/>
      <c r="CE96"/>
      <c r="CH96"/>
      <c r="CK96"/>
      <c r="CN96"/>
      <c r="CQ96"/>
      <c r="CT96"/>
      <c r="CW96"/>
      <c r="CZ96"/>
      <c r="DC96"/>
      <c r="DF96"/>
    </row>
    <row r="97" spans="2:110" ht="15.05" customHeight="1" x14ac:dyDescent="0.35">
      <c r="B97" s="10">
        <v>77</v>
      </c>
      <c r="C97" s="9" t="str">
        <f>IF(CAD_CC!B80="","",CAD_CC!B80)</f>
        <v/>
      </c>
      <c r="F97" s="10">
        <v>77</v>
      </c>
      <c r="G97" s="9" t="str">
        <f>IF(CAD_EMP!I82="","",CAD_EMP!I82)</f>
        <v/>
      </c>
      <c r="J97" s="10">
        <v>76</v>
      </c>
      <c r="K97" s="210" t="str">
        <f>IF('CAD_BANCOS'!F80="","",'CAD_BANCOS'!F80)</f>
        <v/>
      </c>
      <c r="R97" s="9"/>
      <c r="S97" s="9"/>
      <c r="U97" s="9"/>
      <c r="V97" s="10"/>
      <c r="W97" s="9"/>
      <c r="AF97" s="11"/>
      <c r="AG97" s="11"/>
      <c r="AH97" s="11"/>
      <c r="AI97" s="11"/>
      <c r="AJ97" s="11"/>
      <c r="AK97" s="9"/>
      <c r="AL97" s="9"/>
      <c r="AM97" s="9"/>
      <c r="AN97" s="9"/>
      <c r="AV97" s="11"/>
      <c r="AW97" s="11"/>
      <c r="AX97" s="11"/>
      <c r="AZ97" s="11"/>
      <c r="BA97" s="11"/>
      <c r="BB97" s="9"/>
      <c r="BC97" s="9"/>
      <c r="BD97" s="10"/>
      <c r="BE97" s="9"/>
      <c r="BR97" s="9"/>
      <c r="BS97" s="9"/>
      <c r="BT97" s="9"/>
      <c r="BU97" s="9"/>
      <c r="BW97" s="9"/>
      <c r="BX97" s="9"/>
      <c r="BY97"/>
      <c r="CB97"/>
      <c r="CE97"/>
      <c r="CH97"/>
      <c r="CK97"/>
      <c r="CN97"/>
      <c r="CQ97"/>
      <c r="CT97"/>
      <c r="CW97"/>
      <c r="CZ97"/>
      <c r="DC97"/>
      <c r="DF97"/>
    </row>
    <row r="98" spans="2:110" ht="15.05" customHeight="1" x14ac:dyDescent="0.35">
      <c r="B98" s="10">
        <v>78</v>
      </c>
      <c r="C98" s="9" t="str">
        <f>IF(CAD_CC!B81="","",CAD_CC!B81)</f>
        <v/>
      </c>
      <c r="F98" s="10">
        <v>78</v>
      </c>
      <c r="G98" s="9" t="str">
        <f>IF(CAD_EMP!I83="","",CAD_EMP!I83)</f>
        <v/>
      </c>
      <c r="J98" s="10">
        <v>77</v>
      </c>
      <c r="K98" s="210" t="str">
        <f>IF('CAD_BANCOS'!F81="","",'CAD_BANCOS'!F81)</f>
        <v/>
      </c>
      <c r="R98" s="9"/>
      <c r="S98" s="9"/>
      <c r="U98" s="9"/>
      <c r="V98" s="10"/>
      <c r="W98" s="9"/>
      <c r="AF98" s="11"/>
      <c r="AG98" s="11"/>
      <c r="AH98" s="11"/>
      <c r="AI98" s="11"/>
      <c r="AJ98" s="11"/>
      <c r="AK98" s="9"/>
      <c r="AL98" s="9"/>
      <c r="AM98" s="9"/>
      <c r="AN98" s="9"/>
      <c r="AV98" s="11"/>
      <c r="AW98" s="11"/>
      <c r="AX98" s="11"/>
      <c r="AZ98" s="11"/>
      <c r="BA98" s="11"/>
      <c r="BB98" s="9"/>
      <c r="BC98" s="9"/>
      <c r="BD98" s="10"/>
      <c r="BE98" s="9"/>
      <c r="BR98" s="9"/>
      <c r="BS98" s="9"/>
      <c r="BT98" s="9"/>
      <c r="BU98" s="9"/>
      <c r="BW98" s="9"/>
      <c r="BX98" s="9"/>
      <c r="BY98"/>
      <c r="CB98"/>
      <c r="CE98"/>
      <c r="CH98"/>
      <c r="CK98"/>
      <c r="CN98"/>
      <c r="CQ98"/>
      <c r="CT98"/>
      <c r="CW98"/>
      <c r="CZ98"/>
      <c r="DC98"/>
      <c r="DF98"/>
    </row>
    <row r="99" spans="2:110" ht="15.05" customHeight="1" x14ac:dyDescent="0.35">
      <c r="B99" s="10">
        <v>79</v>
      </c>
      <c r="C99" s="9" t="str">
        <f>IF(CAD_CC!B82="","",CAD_CC!B82)</f>
        <v/>
      </c>
      <c r="F99" s="10">
        <v>79</v>
      </c>
      <c r="G99" s="9" t="str">
        <f>IF(CAD_EMP!I84="","",CAD_EMP!I84)</f>
        <v/>
      </c>
      <c r="J99" s="10">
        <v>78</v>
      </c>
      <c r="K99" s="210" t="str">
        <f>IF('CAD_BANCOS'!F82="","",'CAD_BANCOS'!F82)</f>
        <v/>
      </c>
      <c r="R99" s="9"/>
      <c r="S99" s="9"/>
      <c r="U99" s="9"/>
      <c r="V99" s="10"/>
      <c r="W99" s="9"/>
      <c r="AF99" s="11"/>
      <c r="AG99" s="11"/>
      <c r="AH99" s="11"/>
      <c r="AI99" s="11"/>
      <c r="AJ99" s="11"/>
      <c r="AK99" s="9"/>
      <c r="AL99" s="9"/>
      <c r="AM99" s="9"/>
      <c r="AN99" s="9"/>
      <c r="AV99" s="11"/>
      <c r="AW99" s="11"/>
      <c r="AX99" s="11"/>
      <c r="AZ99" s="11"/>
      <c r="BA99" s="11"/>
      <c r="BB99" s="9"/>
      <c r="BC99" s="9"/>
      <c r="BD99" s="10"/>
      <c r="BE99" s="9"/>
      <c r="BR99" s="9"/>
      <c r="BS99" s="9"/>
      <c r="BT99" s="9"/>
      <c r="BU99" s="9"/>
      <c r="BW99" s="9"/>
      <c r="BX99" s="9"/>
      <c r="BY99"/>
      <c r="CB99"/>
      <c r="CE99"/>
      <c r="CH99"/>
      <c r="CK99"/>
      <c r="CN99"/>
      <c r="CQ99"/>
      <c r="CT99"/>
      <c r="CW99"/>
      <c r="CZ99"/>
      <c r="DC99"/>
      <c r="DF99"/>
    </row>
    <row r="100" spans="2:110" ht="15.05" customHeight="1" x14ac:dyDescent="0.35">
      <c r="B100" s="10">
        <v>80</v>
      </c>
      <c r="C100" s="9" t="str">
        <f>IF(CAD_CC!B83="","",CAD_CC!B83)</f>
        <v/>
      </c>
      <c r="F100" s="10">
        <v>80</v>
      </c>
      <c r="G100" s="9" t="str">
        <f>IF(CAD_EMP!I85="","",CAD_EMP!I85)</f>
        <v/>
      </c>
      <c r="J100" s="10">
        <v>79</v>
      </c>
      <c r="K100" s="210" t="str">
        <f>IF('CAD_BANCOS'!F83="","",'CAD_BANCOS'!F83)</f>
        <v/>
      </c>
      <c r="R100" s="9"/>
      <c r="S100" s="9"/>
      <c r="U100" s="9"/>
      <c r="V100" s="10"/>
      <c r="W100" s="9"/>
      <c r="AF100" s="11"/>
      <c r="AG100" s="11"/>
      <c r="AH100" s="11"/>
      <c r="AI100" s="11"/>
      <c r="AJ100" s="11"/>
      <c r="AK100" s="9"/>
      <c r="AL100" s="9"/>
      <c r="AM100" s="9"/>
      <c r="AN100" s="9"/>
      <c r="AV100" s="11"/>
      <c r="AW100" s="11"/>
      <c r="AX100" s="11"/>
      <c r="AZ100" s="11"/>
      <c r="BA100" s="11"/>
      <c r="BB100" s="9"/>
      <c r="BC100" s="9"/>
      <c r="BD100" s="10"/>
      <c r="BE100" s="9"/>
      <c r="BR100" s="9"/>
      <c r="BS100" s="9"/>
      <c r="BT100" s="9"/>
      <c r="BU100" s="9"/>
      <c r="BW100" s="9"/>
      <c r="BX100" s="9"/>
      <c r="BY100"/>
      <c r="CB100"/>
      <c r="CE100"/>
      <c r="CH100"/>
      <c r="CK100"/>
      <c r="CN100"/>
      <c r="CQ100"/>
      <c r="CT100"/>
      <c r="CW100"/>
      <c r="CZ100"/>
      <c r="DC100"/>
      <c r="DF100"/>
    </row>
    <row r="101" spans="2:110" ht="15.05" customHeight="1" x14ac:dyDescent="0.35">
      <c r="B101" s="10">
        <v>81</v>
      </c>
      <c r="C101" s="9" t="str">
        <f>IF(CAD_CC!B84="","",CAD_CC!B84)</f>
        <v/>
      </c>
      <c r="F101" s="10">
        <v>81</v>
      </c>
      <c r="G101" s="9" t="str">
        <f>IF(CAD_EMP!I86="","",CAD_EMP!I86)</f>
        <v/>
      </c>
      <c r="J101" s="10">
        <v>80</v>
      </c>
      <c r="K101" s="210" t="str">
        <f>IF('CAD_BANCOS'!F84="","",'CAD_BANCOS'!F84)</f>
        <v/>
      </c>
      <c r="R101" s="9"/>
      <c r="S101" s="9"/>
      <c r="U101" s="9"/>
      <c r="V101" s="10"/>
      <c r="W101" s="9"/>
      <c r="AF101" s="11"/>
      <c r="AG101" s="11"/>
      <c r="AH101" s="11"/>
      <c r="AI101" s="11"/>
      <c r="AJ101" s="11"/>
      <c r="AK101" s="9"/>
      <c r="AL101" s="9"/>
      <c r="AM101" s="9"/>
      <c r="AN101" s="9"/>
      <c r="AV101" s="11"/>
      <c r="AW101" s="11"/>
      <c r="AX101" s="11"/>
      <c r="AZ101" s="11"/>
      <c r="BA101" s="11"/>
      <c r="BB101" s="9"/>
      <c r="BC101" s="9"/>
      <c r="BD101" s="10"/>
      <c r="BE101" s="9"/>
      <c r="BR101" s="9"/>
      <c r="BS101" s="9"/>
      <c r="BT101" s="9"/>
      <c r="BU101" s="9"/>
      <c r="BW101" s="9"/>
      <c r="BX101" s="9"/>
      <c r="BY101"/>
      <c r="CB101"/>
      <c r="CE101"/>
      <c r="CH101"/>
      <c r="CK101"/>
      <c r="CN101"/>
      <c r="CQ101"/>
      <c r="CT101"/>
      <c r="CW101"/>
      <c r="CZ101"/>
      <c r="DC101"/>
      <c r="DF101"/>
    </row>
    <row r="102" spans="2:110" ht="15.05" customHeight="1" x14ac:dyDescent="0.35">
      <c r="B102" s="10">
        <v>82</v>
      </c>
      <c r="C102" s="9" t="str">
        <f>IF(CAD_CC!B85="","",CAD_CC!B85)</f>
        <v/>
      </c>
      <c r="F102" s="10">
        <v>82</v>
      </c>
      <c r="G102" s="9" t="str">
        <f>IF(CAD_EMP!I87="","",CAD_EMP!I87)</f>
        <v/>
      </c>
      <c r="J102" s="10">
        <v>81</v>
      </c>
      <c r="K102" s="210" t="str">
        <f>IF('CAD_BANCOS'!F85="","",'CAD_BANCOS'!F85)</f>
        <v/>
      </c>
      <c r="R102" s="9"/>
      <c r="S102" s="9"/>
      <c r="U102" s="9"/>
      <c r="V102" s="10"/>
      <c r="W102" s="9"/>
      <c r="AF102" s="11"/>
      <c r="AG102" s="11"/>
      <c r="AH102" s="11"/>
      <c r="AI102" s="11"/>
      <c r="AJ102" s="11"/>
      <c r="AK102" s="9"/>
      <c r="AL102" s="9"/>
      <c r="AM102" s="9"/>
      <c r="AN102" s="9"/>
      <c r="AV102" s="11"/>
      <c r="AW102" s="11"/>
      <c r="AX102" s="11"/>
      <c r="AZ102" s="11"/>
      <c r="BA102" s="11"/>
      <c r="BB102" s="9"/>
      <c r="BC102" s="9"/>
      <c r="BD102" s="10"/>
      <c r="BE102" s="9"/>
      <c r="BR102" s="9"/>
      <c r="BS102" s="9"/>
      <c r="BT102" s="9"/>
      <c r="BU102" s="9"/>
      <c r="BW102" s="9"/>
      <c r="BX102" s="9"/>
      <c r="BY102"/>
      <c r="CB102"/>
      <c r="CE102"/>
      <c r="CH102"/>
      <c r="CK102"/>
      <c r="CN102"/>
      <c r="CQ102"/>
      <c r="CT102"/>
      <c r="CW102"/>
      <c r="CZ102"/>
      <c r="DC102"/>
      <c r="DF102"/>
    </row>
    <row r="103" spans="2:110" ht="15.05" customHeight="1" x14ac:dyDescent="0.35">
      <c r="B103" s="10">
        <v>83</v>
      </c>
      <c r="C103" s="9" t="str">
        <f>IF(CAD_CC!B86="","",CAD_CC!B86)</f>
        <v/>
      </c>
      <c r="F103" s="10">
        <v>83</v>
      </c>
      <c r="G103" s="9" t="str">
        <f>IF(CAD_EMP!I88="","",CAD_EMP!I88)</f>
        <v/>
      </c>
      <c r="J103" s="10">
        <v>82</v>
      </c>
      <c r="K103" s="210" t="str">
        <f>IF('CAD_BANCOS'!F86="","",'CAD_BANCOS'!F86)</f>
        <v/>
      </c>
      <c r="R103" s="9"/>
      <c r="S103" s="9"/>
      <c r="U103" s="9"/>
      <c r="V103" s="10"/>
      <c r="W103" s="9"/>
      <c r="AF103" s="11"/>
      <c r="AG103" s="11"/>
      <c r="AH103" s="11"/>
      <c r="AI103" s="11"/>
      <c r="AJ103" s="11"/>
      <c r="AK103" s="9"/>
      <c r="AL103" s="9"/>
      <c r="AM103" s="9"/>
      <c r="AN103" s="9"/>
      <c r="AV103" s="11"/>
      <c r="AW103" s="11"/>
      <c r="AX103" s="11"/>
      <c r="AZ103" s="11"/>
      <c r="BA103" s="11"/>
      <c r="BB103" s="9"/>
      <c r="BC103" s="9"/>
      <c r="BD103" s="10"/>
      <c r="BE103" s="9"/>
      <c r="BR103" s="9"/>
      <c r="BS103" s="9"/>
      <c r="BT103" s="9"/>
      <c r="BU103" s="9"/>
      <c r="BW103" s="9"/>
      <c r="BX103" s="9"/>
      <c r="BY103"/>
      <c r="CB103"/>
      <c r="CE103"/>
      <c r="CH103"/>
      <c r="CK103"/>
      <c r="CN103"/>
      <c r="CQ103"/>
      <c r="CT103"/>
      <c r="CW103"/>
      <c r="CZ103"/>
      <c r="DC103"/>
      <c r="DF103"/>
    </row>
    <row r="104" spans="2:110" ht="15.05" customHeight="1" x14ac:dyDescent="0.35">
      <c r="B104" s="10">
        <v>84</v>
      </c>
      <c r="C104" s="9" t="str">
        <f>IF(CAD_CC!B87="","",CAD_CC!B87)</f>
        <v/>
      </c>
      <c r="F104" s="10">
        <v>84</v>
      </c>
      <c r="G104" s="9" t="str">
        <f>IF(CAD_EMP!I89="","",CAD_EMP!I89)</f>
        <v/>
      </c>
      <c r="J104" s="10">
        <v>83</v>
      </c>
      <c r="K104" s="210" t="str">
        <f>IF('CAD_BANCOS'!F87="","",'CAD_BANCOS'!F87)</f>
        <v/>
      </c>
      <c r="R104" s="9"/>
      <c r="S104" s="9"/>
      <c r="U104" s="9"/>
      <c r="V104" s="10"/>
      <c r="W104" s="9"/>
      <c r="AF104" s="11"/>
      <c r="AG104" s="11"/>
      <c r="AH104" s="11"/>
      <c r="AI104" s="11"/>
      <c r="AJ104" s="11"/>
      <c r="AK104" s="9"/>
      <c r="AL104" s="9"/>
      <c r="AM104" s="9"/>
      <c r="AN104" s="9"/>
      <c r="AV104" s="11"/>
      <c r="AW104" s="11"/>
      <c r="AX104" s="11"/>
      <c r="AZ104" s="11"/>
      <c r="BA104" s="11"/>
      <c r="BB104" s="9"/>
      <c r="BC104" s="9"/>
      <c r="BD104" s="10"/>
      <c r="BE104" s="9"/>
      <c r="BR104" s="9"/>
      <c r="BS104" s="9"/>
      <c r="BT104" s="9"/>
      <c r="BU104" s="9"/>
      <c r="BW104" s="9"/>
      <c r="BX104" s="9"/>
      <c r="BY104"/>
      <c r="CB104"/>
      <c r="CE104"/>
      <c r="CH104"/>
      <c r="CK104"/>
      <c r="CN104"/>
      <c r="CQ104"/>
      <c r="CT104"/>
      <c r="CW104"/>
      <c r="CZ104"/>
      <c r="DC104"/>
      <c r="DF104"/>
    </row>
    <row r="105" spans="2:110" ht="15.05" customHeight="1" x14ac:dyDescent="0.35">
      <c r="B105" s="10">
        <v>85</v>
      </c>
      <c r="C105" s="9" t="str">
        <f>IF(CAD_CC!B88="","",CAD_CC!B88)</f>
        <v/>
      </c>
      <c r="F105" s="10">
        <v>85</v>
      </c>
      <c r="G105" s="9" t="str">
        <f>IF(CAD_EMP!I90="","",CAD_EMP!I90)</f>
        <v/>
      </c>
      <c r="J105" s="10">
        <v>84</v>
      </c>
      <c r="K105" s="210" t="str">
        <f>IF('CAD_BANCOS'!F88="","",'CAD_BANCOS'!F88)</f>
        <v/>
      </c>
      <c r="R105" s="9"/>
      <c r="S105" s="9"/>
      <c r="U105" s="9"/>
      <c r="V105" s="10"/>
      <c r="W105" s="9"/>
      <c r="AF105" s="11"/>
      <c r="AG105" s="11"/>
      <c r="AH105" s="11"/>
      <c r="AI105" s="11"/>
      <c r="AJ105" s="11"/>
      <c r="AK105" s="9"/>
      <c r="AL105" s="9"/>
      <c r="AM105" s="9"/>
      <c r="AN105" s="9"/>
      <c r="AV105" s="11"/>
      <c r="AW105" s="11"/>
      <c r="AX105" s="11"/>
      <c r="AZ105" s="11"/>
      <c r="BA105" s="11"/>
      <c r="BB105" s="9"/>
      <c r="BC105" s="9"/>
      <c r="BD105" s="10"/>
      <c r="BE105" s="9"/>
      <c r="BR105" s="9"/>
      <c r="BS105" s="9"/>
      <c r="BT105" s="9"/>
      <c r="BU105" s="9"/>
      <c r="BW105" s="9"/>
      <c r="BX105" s="9"/>
      <c r="BY105"/>
      <c r="CB105"/>
      <c r="CE105"/>
      <c r="CH105"/>
      <c r="CK105"/>
      <c r="CN105"/>
      <c r="CQ105"/>
      <c r="CT105"/>
      <c r="CW105"/>
      <c r="CZ105"/>
      <c r="DC105"/>
      <c r="DF105"/>
    </row>
    <row r="106" spans="2:110" ht="15.05" customHeight="1" x14ac:dyDescent="0.35">
      <c r="B106" s="10">
        <v>86</v>
      </c>
      <c r="C106" s="9" t="str">
        <f>IF(CAD_CC!B89="","",CAD_CC!B89)</f>
        <v/>
      </c>
      <c r="F106" s="10">
        <v>86</v>
      </c>
      <c r="G106" s="9" t="str">
        <f>IF(CAD_EMP!I91="","",CAD_EMP!I91)</f>
        <v/>
      </c>
      <c r="J106" s="10">
        <v>85</v>
      </c>
      <c r="K106" s="210" t="str">
        <f>IF('CAD_BANCOS'!F89="","",'CAD_BANCOS'!F89)</f>
        <v/>
      </c>
      <c r="R106" s="9"/>
      <c r="S106" s="9"/>
      <c r="U106" s="9"/>
      <c r="V106" s="10"/>
      <c r="W106" s="9"/>
      <c r="AF106" s="11"/>
      <c r="AG106" s="11"/>
      <c r="AH106" s="11"/>
      <c r="AI106" s="11"/>
      <c r="AJ106" s="11"/>
      <c r="AK106" s="9"/>
      <c r="AL106" s="9"/>
      <c r="AM106" s="9"/>
      <c r="AN106" s="9"/>
      <c r="AV106" s="11"/>
      <c r="AW106" s="11"/>
      <c r="AX106" s="11"/>
      <c r="AZ106" s="11"/>
      <c r="BA106" s="11"/>
      <c r="BB106" s="9"/>
      <c r="BC106" s="9"/>
      <c r="BD106" s="10"/>
      <c r="BE106" s="9"/>
      <c r="BR106" s="9"/>
      <c r="BS106" s="9"/>
      <c r="BT106" s="9"/>
      <c r="BU106" s="9"/>
      <c r="BW106" s="9"/>
      <c r="BX106" s="9"/>
      <c r="BY106"/>
      <c r="CB106"/>
      <c r="CE106"/>
      <c r="CH106"/>
      <c r="CK106"/>
      <c r="CN106"/>
      <c r="CQ106"/>
      <c r="CT106"/>
      <c r="CW106"/>
      <c r="CZ106"/>
      <c r="DC106"/>
      <c r="DF106"/>
    </row>
    <row r="107" spans="2:110" ht="15.05" customHeight="1" x14ac:dyDescent="0.35">
      <c r="B107" s="10">
        <v>87</v>
      </c>
      <c r="C107" s="9" t="str">
        <f>IF(CAD_CC!B90="","",CAD_CC!B90)</f>
        <v/>
      </c>
      <c r="F107" s="10">
        <v>87</v>
      </c>
      <c r="G107" s="9" t="str">
        <f>IF(CAD_EMP!I92="","",CAD_EMP!I92)</f>
        <v/>
      </c>
      <c r="J107" s="10">
        <v>86</v>
      </c>
      <c r="K107" s="210" t="str">
        <f>IF('CAD_BANCOS'!F90="","",'CAD_BANCOS'!F90)</f>
        <v/>
      </c>
      <c r="R107" s="9"/>
      <c r="S107" s="9"/>
      <c r="U107" s="9"/>
      <c r="V107" s="10"/>
      <c r="W107" s="9"/>
      <c r="AF107" s="11"/>
      <c r="AG107" s="11"/>
      <c r="AH107" s="11"/>
      <c r="AI107" s="11"/>
      <c r="AJ107" s="11"/>
      <c r="AK107" s="9"/>
      <c r="AL107" s="9"/>
      <c r="AM107" s="9"/>
      <c r="AN107" s="9"/>
      <c r="AV107" s="11"/>
      <c r="AW107" s="11"/>
      <c r="AX107" s="11"/>
      <c r="AZ107" s="11"/>
      <c r="BA107" s="11"/>
      <c r="BB107" s="9"/>
      <c r="BC107" s="9"/>
      <c r="BD107" s="10"/>
      <c r="BE107" s="9"/>
      <c r="BR107" s="9"/>
      <c r="BS107" s="9"/>
      <c r="BT107" s="9"/>
      <c r="BU107" s="9"/>
      <c r="BW107" s="9"/>
      <c r="BX107" s="9"/>
      <c r="BY107"/>
      <c r="CB107"/>
      <c r="CE107"/>
      <c r="CH107"/>
      <c r="CK107"/>
      <c r="CN107"/>
      <c r="CQ107"/>
      <c r="CT107"/>
      <c r="CW107"/>
      <c r="CZ107"/>
      <c r="DC107"/>
      <c r="DF107"/>
    </row>
    <row r="108" spans="2:110" ht="15.05" customHeight="1" x14ac:dyDescent="0.35">
      <c r="B108" s="10">
        <v>88</v>
      </c>
      <c r="C108" s="9" t="str">
        <f>IF(CAD_CC!B91="","",CAD_CC!B91)</f>
        <v/>
      </c>
      <c r="F108" s="10">
        <v>88</v>
      </c>
      <c r="G108" s="9" t="str">
        <f>IF(CAD_EMP!I93="","",CAD_EMP!I93)</f>
        <v/>
      </c>
      <c r="J108" s="10">
        <v>87</v>
      </c>
      <c r="K108" s="210" t="str">
        <f>IF('CAD_BANCOS'!F91="","",'CAD_BANCOS'!F91)</f>
        <v/>
      </c>
      <c r="R108" s="9"/>
      <c r="S108" s="9"/>
      <c r="U108" s="9"/>
      <c r="V108" s="10"/>
      <c r="W108" s="9"/>
      <c r="AF108" s="11"/>
      <c r="AG108" s="11"/>
      <c r="AH108" s="11"/>
      <c r="AI108" s="11"/>
      <c r="AJ108" s="11"/>
      <c r="AK108" s="9"/>
      <c r="AL108" s="9"/>
      <c r="AM108" s="9"/>
      <c r="AN108" s="9"/>
      <c r="AV108" s="11"/>
      <c r="AW108" s="11"/>
      <c r="AX108" s="11"/>
      <c r="AZ108" s="11"/>
      <c r="BA108" s="11"/>
      <c r="BB108" s="9"/>
      <c r="BC108" s="9"/>
      <c r="BD108" s="10"/>
      <c r="BE108" s="9"/>
      <c r="BR108" s="9"/>
      <c r="BS108" s="9"/>
      <c r="BT108" s="9"/>
      <c r="BU108" s="9"/>
      <c r="BW108" s="9"/>
      <c r="BX108" s="9"/>
      <c r="BY108"/>
      <c r="CB108"/>
      <c r="CE108"/>
      <c r="CH108"/>
      <c r="CK108"/>
      <c r="CN108"/>
      <c r="CQ108"/>
      <c r="CT108"/>
      <c r="CW108"/>
      <c r="CZ108"/>
      <c r="DC108"/>
      <c r="DF108"/>
    </row>
    <row r="109" spans="2:110" ht="15.05" customHeight="1" x14ac:dyDescent="0.35">
      <c r="B109" s="10">
        <v>89</v>
      </c>
      <c r="C109" s="9" t="str">
        <f>IF(CAD_CC!B92="","",CAD_CC!B92)</f>
        <v/>
      </c>
      <c r="F109" s="10">
        <v>89</v>
      </c>
      <c r="G109" s="9" t="str">
        <f>IF(CAD_EMP!I94="","",CAD_EMP!I94)</f>
        <v/>
      </c>
      <c r="J109" s="10">
        <v>88</v>
      </c>
      <c r="K109" s="210" t="str">
        <f>IF('CAD_BANCOS'!F92="","",'CAD_BANCOS'!F92)</f>
        <v/>
      </c>
      <c r="R109" s="9"/>
      <c r="S109" s="9"/>
      <c r="U109" s="9"/>
      <c r="V109" s="10"/>
      <c r="W109" s="9"/>
      <c r="AF109" s="11"/>
      <c r="AG109" s="11"/>
      <c r="AH109" s="11"/>
      <c r="AI109" s="11"/>
      <c r="AJ109" s="11"/>
      <c r="AK109" s="9"/>
      <c r="AL109" s="9"/>
      <c r="AM109" s="9"/>
      <c r="AN109" s="9"/>
      <c r="AV109" s="11"/>
      <c r="AW109" s="11"/>
      <c r="AX109" s="11"/>
      <c r="AZ109" s="11"/>
      <c r="BA109" s="11"/>
      <c r="BB109" s="9"/>
      <c r="BC109" s="9"/>
      <c r="BD109" s="10"/>
      <c r="BE109" s="9"/>
      <c r="BR109" s="9"/>
      <c r="BS109" s="9"/>
      <c r="BT109" s="9"/>
      <c r="BU109" s="9"/>
      <c r="BW109" s="9"/>
      <c r="BX109" s="9"/>
      <c r="BY109"/>
      <c r="CB109"/>
      <c r="CE109"/>
      <c r="CH109"/>
      <c r="CK109"/>
      <c r="CN109"/>
      <c r="CQ109"/>
      <c r="CT109"/>
      <c r="CW109"/>
      <c r="CZ109"/>
      <c r="DC109"/>
      <c r="DF109"/>
    </row>
    <row r="110" spans="2:110" ht="15.05" customHeight="1" x14ac:dyDescent="0.35">
      <c r="B110" s="10">
        <v>90</v>
      </c>
      <c r="C110" s="9" t="str">
        <f>IF(CAD_CC!B93="","",CAD_CC!B93)</f>
        <v/>
      </c>
      <c r="F110" s="10">
        <v>90</v>
      </c>
      <c r="G110" s="9" t="str">
        <f>IF(CAD_EMP!I95="","",CAD_EMP!I95)</f>
        <v/>
      </c>
      <c r="J110" s="10">
        <v>89</v>
      </c>
      <c r="K110" s="210" t="str">
        <f>IF('CAD_BANCOS'!F93="","",'CAD_BANCOS'!F93)</f>
        <v/>
      </c>
      <c r="R110" s="9"/>
      <c r="S110" s="9"/>
      <c r="U110" s="9"/>
      <c r="V110" s="10"/>
      <c r="W110" s="9"/>
      <c r="AF110" s="11"/>
      <c r="AG110" s="11"/>
      <c r="AH110" s="11"/>
      <c r="AI110" s="11"/>
      <c r="AJ110" s="11"/>
      <c r="AK110" s="9"/>
      <c r="AL110" s="9"/>
      <c r="AM110" s="9"/>
      <c r="AN110" s="9"/>
      <c r="AV110" s="11"/>
      <c r="AW110" s="11"/>
      <c r="AX110" s="11"/>
      <c r="AZ110" s="11"/>
      <c r="BA110" s="11"/>
      <c r="BB110" s="9"/>
      <c r="BC110" s="9"/>
      <c r="BD110" s="10"/>
      <c r="BE110" s="9"/>
      <c r="BR110" s="9"/>
      <c r="BS110" s="9"/>
      <c r="BT110" s="9"/>
      <c r="BU110" s="9"/>
      <c r="BW110" s="9"/>
      <c r="BX110" s="9"/>
      <c r="BY110"/>
      <c r="CB110"/>
      <c r="CE110"/>
      <c r="CH110"/>
      <c r="CK110"/>
      <c r="CN110"/>
      <c r="CQ110"/>
      <c r="CT110"/>
      <c r="CW110"/>
      <c r="CZ110"/>
      <c r="DC110"/>
      <c r="DF110"/>
    </row>
    <row r="111" spans="2:110" ht="15.05" customHeight="1" x14ac:dyDescent="0.35">
      <c r="B111" s="10">
        <v>91</v>
      </c>
      <c r="C111" s="9" t="str">
        <f>IF(CAD_CC!B94="","",CAD_CC!B94)</f>
        <v/>
      </c>
      <c r="F111" s="10">
        <v>91</v>
      </c>
      <c r="G111" s="9" t="str">
        <f>IF(CAD_EMP!I96="","",CAD_EMP!I96)</f>
        <v/>
      </c>
      <c r="J111" s="10">
        <v>90</v>
      </c>
      <c r="K111" s="210" t="str">
        <f>IF('CAD_BANCOS'!F94="","",'CAD_BANCOS'!F94)</f>
        <v/>
      </c>
      <c r="R111" s="9"/>
      <c r="S111" s="9"/>
      <c r="U111" s="9"/>
      <c r="V111" s="10"/>
      <c r="W111" s="9"/>
      <c r="AF111" s="11"/>
      <c r="AG111" s="11"/>
      <c r="AH111" s="11"/>
      <c r="AI111" s="11"/>
      <c r="AJ111" s="11"/>
      <c r="AK111" s="9"/>
      <c r="AL111" s="9"/>
      <c r="AM111" s="9"/>
      <c r="AN111" s="9"/>
      <c r="AV111" s="11"/>
      <c r="AW111" s="11"/>
      <c r="AX111" s="11"/>
      <c r="AZ111" s="11"/>
      <c r="BA111" s="11"/>
      <c r="BB111" s="9"/>
      <c r="BC111" s="9"/>
      <c r="BD111" s="10"/>
      <c r="BE111" s="9"/>
      <c r="BR111" s="9"/>
      <c r="BS111" s="9"/>
      <c r="BT111" s="9"/>
      <c r="BU111" s="9"/>
      <c r="BW111" s="9"/>
      <c r="BX111" s="9"/>
      <c r="BY111"/>
      <c r="CB111"/>
      <c r="CE111"/>
      <c r="CH111"/>
      <c r="CK111"/>
      <c r="CN111"/>
      <c r="CQ111"/>
      <c r="CT111"/>
      <c r="CW111"/>
      <c r="CZ111"/>
      <c r="DC111"/>
      <c r="DF111"/>
    </row>
    <row r="112" spans="2:110" ht="15.05" customHeight="1" x14ac:dyDescent="0.35">
      <c r="B112" s="10">
        <v>92</v>
      </c>
      <c r="C112" s="9" t="str">
        <f>IF(CAD_CC!B95="","",CAD_CC!B95)</f>
        <v/>
      </c>
      <c r="F112" s="10">
        <v>92</v>
      </c>
      <c r="G112" s="9" t="str">
        <f>IF(CAD_EMP!I97="","",CAD_EMP!I97)</f>
        <v/>
      </c>
      <c r="J112" s="10">
        <v>91</v>
      </c>
      <c r="K112" s="210" t="str">
        <f>IF('CAD_BANCOS'!F95="","",'CAD_BANCOS'!F95)</f>
        <v/>
      </c>
      <c r="R112" s="9"/>
      <c r="S112" s="9"/>
      <c r="U112" s="9"/>
      <c r="V112" s="10"/>
      <c r="W112" s="9"/>
      <c r="AF112" s="11"/>
      <c r="AG112" s="11"/>
      <c r="AH112" s="11"/>
      <c r="AI112" s="11"/>
      <c r="AJ112" s="11"/>
      <c r="AK112" s="9"/>
      <c r="AL112" s="9"/>
      <c r="AM112" s="9"/>
      <c r="AN112" s="9"/>
      <c r="AV112" s="11"/>
      <c r="AW112" s="11"/>
      <c r="AX112" s="11"/>
      <c r="AZ112" s="11"/>
      <c r="BA112" s="11"/>
      <c r="BB112" s="9"/>
      <c r="BC112" s="9"/>
      <c r="BD112" s="10"/>
      <c r="BE112" s="9"/>
      <c r="BR112" s="9"/>
      <c r="BS112" s="9"/>
      <c r="BT112" s="9"/>
      <c r="BU112" s="9"/>
      <c r="BW112" s="9"/>
      <c r="BX112" s="9"/>
      <c r="BY112"/>
      <c r="CB112"/>
      <c r="CE112"/>
      <c r="CH112"/>
      <c r="CK112"/>
      <c r="CN112"/>
      <c r="CQ112"/>
      <c r="CT112"/>
      <c r="CW112"/>
      <c r="CZ112"/>
      <c r="DC112"/>
      <c r="DF112"/>
    </row>
    <row r="113" spans="2:110" ht="15.05" customHeight="1" x14ac:dyDescent="0.35">
      <c r="B113" s="10">
        <v>93</v>
      </c>
      <c r="C113" s="9" t="str">
        <f>IF(CAD_CC!B96="","",CAD_CC!B96)</f>
        <v/>
      </c>
      <c r="F113" s="10">
        <v>93</v>
      </c>
      <c r="G113" s="9" t="str">
        <f>IF(CAD_EMP!I98="","",CAD_EMP!I98)</f>
        <v/>
      </c>
      <c r="J113" s="10">
        <v>92</v>
      </c>
      <c r="K113" s="210" t="str">
        <f>IF('CAD_BANCOS'!F96="","",'CAD_BANCOS'!F96)</f>
        <v/>
      </c>
      <c r="R113" s="9"/>
      <c r="S113" s="9"/>
      <c r="U113" s="9"/>
      <c r="V113" s="10"/>
      <c r="W113" s="9"/>
      <c r="AF113" s="11"/>
      <c r="AG113" s="11"/>
      <c r="AH113" s="11"/>
      <c r="AI113" s="11"/>
      <c r="AJ113" s="11"/>
      <c r="AK113" s="9"/>
      <c r="AL113" s="9"/>
      <c r="AM113" s="9"/>
      <c r="AN113" s="9"/>
      <c r="AV113" s="11"/>
      <c r="AW113" s="11"/>
      <c r="AX113" s="11"/>
      <c r="AZ113" s="11"/>
      <c r="BA113" s="11"/>
      <c r="BB113" s="9"/>
      <c r="BC113" s="9"/>
      <c r="BD113" s="10"/>
      <c r="BE113" s="9"/>
      <c r="BR113" s="9"/>
      <c r="BS113" s="9"/>
      <c r="BT113" s="9"/>
      <c r="BU113" s="9"/>
      <c r="BW113" s="9"/>
      <c r="BX113" s="9"/>
      <c r="BY113"/>
      <c r="CB113"/>
      <c r="CE113"/>
      <c r="CH113"/>
      <c r="CK113"/>
      <c r="CN113"/>
      <c r="CQ113"/>
      <c r="CT113"/>
      <c r="CW113"/>
      <c r="CZ113"/>
      <c r="DC113"/>
      <c r="DF113"/>
    </row>
    <row r="114" spans="2:110" ht="15.05" customHeight="1" x14ac:dyDescent="0.35">
      <c r="B114" s="10">
        <v>94</v>
      </c>
      <c r="C114" s="9" t="str">
        <f>IF(CAD_CC!B97="","",CAD_CC!B97)</f>
        <v/>
      </c>
      <c r="F114" s="10">
        <v>94</v>
      </c>
      <c r="G114" s="9" t="str">
        <f>IF(CAD_EMP!I99="","",CAD_EMP!I99)</f>
        <v/>
      </c>
      <c r="J114" s="10">
        <v>93</v>
      </c>
      <c r="K114" s="210" t="str">
        <f>IF('CAD_BANCOS'!F97="","",'CAD_BANCOS'!F97)</f>
        <v/>
      </c>
      <c r="R114" s="9"/>
      <c r="S114" s="9"/>
      <c r="U114" s="9"/>
      <c r="V114" s="10"/>
      <c r="W114" s="9"/>
      <c r="AF114" s="11"/>
      <c r="AG114" s="11"/>
      <c r="AH114" s="11"/>
      <c r="AI114" s="11"/>
      <c r="AJ114" s="11"/>
      <c r="AK114" s="9"/>
      <c r="AL114" s="9"/>
      <c r="AM114" s="9"/>
      <c r="AN114" s="9"/>
      <c r="AV114" s="11"/>
      <c r="AW114" s="11"/>
      <c r="AX114" s="11"/>
      <c r="AZ114" s="11"/>
      <c r="BA114" s="11"/>
      <c r="BB114" s="9"/>
      <c r="BC114" s="9"/>
      <c r="BD114" s="10"/>
      <c r="BE114" s="9"/>
      <c r="BR114" s="9"/>
      <c r="BS114" s="9"/>
      <c r="BT114" s="9"/>
      <c r="BU114" s="9"/>
      <c r="BW114" s="9"/>
      <c r="BX114" s="9"/>
      <c r="BY114"/>
      <c r="CB114"/>
      <c r="CE114"/>
      <c r="CH114"/>
      <c r="CK114"/>
      <c r="CN114"/>
      <c r="CQ114"/>
      <c r="CT114"/>
      <c r="CW114"/>
      <c r="CZ114"/>
      <c r="DC114"/>
      <c r="DF114"/>
    </row>
    <row r="115" spans="2:110" ht="15.05" customHeight="1" x14ac:dyDescent="0.35">
      <c r="B115" s="10">
        <v>95</v>
      </c>
      <c r="C115" s="9" t="str">
        <f>IF(CAD_CC!B98="","",CAD_CC!B98)</f>
        <v/>
      </c>
      <c r="F115" s="10">
        <v>95</v>
      </c>
      <c r="G115" s="9" t="str">
        <f>IF(CAD_EMP!I100="","",CAD_EMP!I100)</f>
        <v/>
      </c>
      <c r="J115" s="10">
        <v>94</v>
      </c>
      <c r="K115" s="210" t="str">
        <f>IF('CAD_BANCOS'!F98="","",'CAD_BANCOS'!F98)</f>
        <v/>
      </c>
      <c r="R115" s="9"/>
      <c r="S115" s="9"/>
      <c r="U115" s="9"/>
      <c r="V115" s="10"/>
      <c r="W115" s="9"/>
      <c r="AF115" s="11"/>
      <c r="AG115" s="11"/>
      <c r="AH115" s="11"/>
      <c r="AI115" s="11"/>
      <c r="AJ115" s="11"/>
      <c r="AK115" s="9"/>
      <c r="AL115" s="9"/>
      <c r="AM115" s="9"/>
      <c r="AN115" s="9"/>
      <c r="AV115" s="11"/>
      <c r="AW115" s="11"/>
      <c r="AX115" s="11"/>
      <c r="AZ115" s="11"/>
      <c r="BA115" s="11"/>
      <c r="BB115" s="9"/>
      <c r="BC115" s="9"/>
      <c r="BD115" s="10"/>
      <c r="BE115" s="9"/>
      <c r="BR115" s="9"/>
      <c r="BS115" s="9"/>
      <c r="BT115" s="9"/>
      <c r="BU115" s="9"/>
      <c r="BW115" s="9"/>
      <c r="BX115" s="9"/>
      <c r="BY115"/>
      <c r="CB115"/>
      <c r="CE115"/>
      <c r="CH115"/>
      <c r="CK115"/>
      <c r="CN115"/>
      <c r="CQ115"/>
      <c r="CT115"/>
      <c r="CW115"/>
      <c r="CZ115"/>
      <c r="DC115"/>
      <c r="DF115"/>
    </row>
    <row r="116" spans="2:110" ht="15.05" customHeight="1" x14ac:dyDescent="0.35">
      <c r="B116" s="10">
        <v>96</v>
      </c>
      <c r="C116" s="9" t="str">
        <f>IF(CAD_CC!B99="","",CAD_CC!B99)</f>
        <v/>
      </c>
      <c r="F116" s="10">
        <v>96</v>
      </c>
      <c r="G116" s="9" t="str">
        <f>IF(CAD_EMP!I101="","",CAD_EMP!I101)</f>
        <v/>
      </c>
      <c r="J116" s="10">
        <v>95</v>
      </c>
      <c r="K116" s="210" t="str">
        <f>IF('CAD_BANCOS'!F99="","",'CAD_BANCOS'!F99)</f>
        <v/>
      </c>
      <c r="R116" s="9"/>
      <c r="S116" s="9"/>
      <c r="U116" s="9"/>
      <c r="V116" s="10"/>
      <c r="W116" s="9"/>
      <c r="AF116" s="11"/>
      <c r="AG116" s="11"/>
      <c r="AH116" s="11"/>
      <c r="AI116" s="11"/>
      <c r="AJ116" s="11"/>
      <c r="AK116" s="9"/>
      <c r="AL116" s="9"/>
      <c r="AM116" s="9"/>
      <c r="AN116" s="9"/>
      <c r="AV116" s="11"/>
      <c r="AW116" s="11"/>
      <c r="AX116" s="11"/>
      <c r="AZ116" s="11"/>
      <c r="BA116" s="11"/>
      <c r="BB116" s="9"/>
      <c r="BC116" s="9"/>
      <c r="BD116" s="10"/>
      <c r="BE116" s="9"/>
      <c r="BR116" s="9"/>
      <c r="BS116" s="9"/>
      <c r="BT116" s="9"/>
      <c r="BU116" s="9"/>
      <c r="BW116" s="9"/>
      <c r="BX116" s="9"/>
      <c r="BY116"/>
      <c r="CB116"/>
      <c r="CE116"/>
      <c r="CH116"/>
      <c r="CK116"/>
      <c r="CN116"/>
      <c r="CQ116"/>
      <c r="CT116"/>
      <c r="CW116"/>
      <c r="CZ116"/>
      <c r="DC116"/>
      <c r="DF116"/>
    </row>
    <row r="117" spans="2:110" ht="15.05" customHeight="1" x14ac:dyDescent="0.35">
      <c r="B117" s="10">
        <v>97</v>
      </c>
      <c r="C117" s="9" t="str">
        <f>IF(CAD_CC!B100="","",CAD_CC!B100)</f>
        <v/>
      </c>
      <c r="F117" s="10">
        <v>97</v>
      </c>
      <c r="G117" s="9" t="str">
        <f>IF(CAD_EMP!I102="","",CAD_EMP!I102)</f>
        <v/>
      </c>
      <c r="J117" s="10">
        <v>96</v>
      </c>
      <c r="K117" s="210" t="str">
        <f>IF('CAD_BANCOS'!F100="","",'CAD_BANCOS'!F100)</f>
        <v/>
      </c>
      <c r="R117" s="9"/>
      <c r="S117" s="9"/>
      <c r="U117" s="9"/>
      <c r="V117" s="10"/>
      <c r="W117" s="9"/>
      <c r="AF117" s="11"/>
      <c r="AG117" s="11"/>
      <c r="AH117" s="11"/>
      <c r="AI117" s="11"/>
      <c r="AJ117" s="11"/>
      <c r="AK117" s="9"/>
      <c r="AL117" s="9"/>
      <c r="AM117" s="9"/>
      <c r="AN117" s="9"/>
      <c r="AV117" s="11"/>
      <c r="AW117" s="11"/>
      <c r="AX117" s="11"/>
      <c r="AZ117" s="11"/>
      <c r="BA117" s="11"/>
      <c r="BB117" s="9"/>
      <c r="BC117" s="9"/>
      <c r="BD117" s="10"/>
      <c r="BE117" s="9"/>
      <c r="BR117" s="9"/>
      <c r="BS117" s="9"/>
      <c r="BT117" s="9"/>
      <c r="BU117" s="9"/>
      <c r="BW117" s="9"/>
      <c r="BX117" s="9"/>
      <c r="BY117"/>
      <c r="CB117"/>
      <c r="CE117"/>
      <c r="CH117"/>
      <c r="CK117"/>
      <c r="CN117"/>
      <c r="CQ117"/>
      <c r="CT117"/>
      <c r="CW117"/>
      <c r="CZ117"/>
      <c r="DC117"/>
      <c r="DF117"/>
    </row>
    <row r="118" spans="2:110" ht="15.05" customHeight="1" x14ac:dyDescent="0.35">
      <c r="B118" s="10">
        <v>98</v>
      </c>
      <c r="C118" s="9" t="str">
        <f>IF(CAD_CC!B101="","",CAD_CC!B101)</f>
        <v/>
      </c>
      <c r="F118" s="10">
        <v>98</v>
      </c>
      <c r="G118" s="9" t="str">
        <f>IF(CAD_EMP!I103="","",CAD_EMP!I103)</f>
        <v/>
      </c>
      <c r="J118" s="10">
        <v>97</v>
      </c>
      <c r="K118" s="210" t="str">
        <f>IF('CAD_BANCOS'!F101="","",'CAD_BANCOS'!F101)</f>
        <v/>
      </c>
      <c r="R118" s="9"/>
      <c r="S118" s="9"/>
      <c r="U118" s="9"/>
      <c r="V118" s="10"/>
      <c r="W118" s="9"/>
      <c r="AF118" s="11"/>
      <c r="AG118" s="11"/>
      <c r="AH118" s="11"/>
      <c r="AI118" s="11"/>
      <c r="AJ118" s="11"/>
      <c r="AK118" s="9"/>
      <c r="AL118" s="9"/>
      <c r="AM118" s="9"/>
      <c r="AN118" s="9"/>
      <c r="AV118" s="11"/>
      <c r="AW118" s="11"/>
      <c r="AX118" s="11"/>
      <c r="AZ118" s="11"/>
      <c r="BA118" s="11"/>
      <c r="BB118" s="9"/>
      <c r="BC118" s="9"/>
      <c r="BD118" s="10"/>
      <c r="BE118" s="9"/>
      <c r="BR118" s="9"/>
      <c r="BS118" s="9"/>
      <c r="BT118" s="9"/>
      <c r="BU118" s="9"/>
      <c r="BW118" s="9"/>
      <c r="BX118" s="9"/>
      <c r="BY118"/>
      <c r="CB118"/>
      <c r="CE118"/>
      <c r="CH118"/>
      <c r="CK118"/>
      <c r="CN118"/>
      <c r="CQ118"/>
      <c r="CT118"/>
      <c r="CW118"/>
      <c r="CZ118"/>
      <c r="DC118"/>
      <c r="DF118"/>
    </row>
    <row r="119" spans="2:110" ht="15.05" customHeight="1" x14ac:dyDescent="0.35">
      <c r="B119" s="10">
        <v>99</v>
      </c>
      <c r="C119" s="9" t="str">
        <f>IF(CAD_CC!B102="","",CAD_CC!B102)</f>
        <v/>
      </c>
      <c r="F119" s="10">
        <v>99</v>
      </c>
      <c r="G119" s="9" t="str">
        <f>IF(CAD_EMP!I104="","",CAD_EMP!I104)</f>
        <v/>
      </c>
      <c r="J119" s="10">
        <v>98</v>
      </c>
      <c r="K119" s="210" t="str">
        <f>IF('CAD_BANCOS'!F102="","",'CAD_BANCOS'!F102)</f>
        <v/>
      </c>
      <c r="R119" s="9"/>
      <c r="S119" s="9"/>
      <c r="U119" s="9"/>
      <c r="V119" s="10"/>
      <c r="W119" s="9"/>
      <c r="AF119" s="11"/>
      <c r="AG119" s="11"/>
      <c r="AH119" s="11"/>
      <c r="AI119" s="11"/>
      <c r="AJ119" s="11"/>
      <c r="AK119" s="9"/>
      <c r="AL119" s="9"/>
      <c r="AM119" s="9"/>
      <c r="AN119" s="9"/>
      <c r="AV119" s="11"/>
      <c r="AW119" s="11"/>
      <c r="AX119" s="11"/>
      <c r="AZ119" s="11"/>
      <c r="BA119" s="11"/>
      <c r="BB119" s="9"/>
      <c r="BC119" s="9"/>
      <c r="BD119" s="10"/>
      <c r="BE119" s="9"/>
      <c r="BR119" s="9"/>
      <c r="BS119" s="9"/>
      <c r="BT119" s="9"/>
      <c r="BU119" s="9"/>
      <c r="BW119" s="9"/>
      <c r="BX119" s="9"/>
      <c r="BY119"/>
      <c r="CB119"/>
      <c r="CE119"/>
      <c r="CH119"/>
      <c r="CK119"/>
      <c r="CN119"/>
      <c r="CQ119"/>
      <c r="CT119"/>
      <c r="CW119"/>
      <c r="CZ119"/>
      <c r="DC119"/>
      <c r="DF119"/>
    </row>
    <row r="120" spans="2:110" ht="15.05" customHeight="1" x14ac:dyDescent="0.35">
      <c r="B120" s="10">
        <v>100</v>
      </c>
      <c r="C120" s="9" t="str">
        <f>IF(CAD_CC!B103="","",CAD_CC!B103)</f>
        <v/>
      </c>
      <c r="F120" s="10">
        <v>100</v>
      </c>
      <c r="G120" s="9" t="str">
        <f>IF(CAD_EMP!I105="","",CAD_EMP!I105)</f>
        <v/>
      </c>
      <c r="J120" s="10">
        <v>99</v>
      </c>
      <c r="K120" s="210" t="str">
        <f>IF('CAD_BANCOS'!F103="","",'CAD_BANCOS'!F103)</f>
        <v/>
      </c>
      <c r="R120" s="9"/>
      <c r="S120" s="9"/>
      <c r="U120" s="9"/>
      <c r="V120" s="10"/>
      <c r="W120" s="9"/>
      <c r="AF120" s="11"/>
      <c r="AG120" s="11"/>
      <c r="AH120" s="11"/>
      <c r="AI120" s="11"/>
      <c r="AJ120" s="11"/>
      <c r="AK120" s="9"/>
      <c r="AL120" s="9"/>
      <c r="AM120" s="9"/>
      <c r="AN120" s="9"/>
      <c r="AV120" s="11"/>
      <c r="AW120" s="11"/>
      <c r="AX120" s="11"/>
      <c r="AZ120" s="11"/>
      <c r="BA120" s="11"/>
      <c r="BB120" s="9"/>
      <c r="BC120" s="9"/>
      <c r="BD120" s="10"/>
      <c r="BE120" s="9"/>
      <c r="BR120" s="9"/>
      <c r="BS120" s="9"/>
      <c r="BT120" s="9"/>
      <c r="BU120" s="9"/>
      <c r="BW120" s="9"/>
      <c r="BX120" s="9"/>
      <c r="BY120"/>
      <c r="CB120"/>
      <c r="CE120"/>
      <c r="CH120"/>
      <c r="CK120"/>
      <c r="CN120"/>
      <c r="CQ120"/>
      <c r="CT120"/>
      <c r="CW120"/>
      <c r="CZ120"/>
      <c r="DC120"/>
      <c r="DF120"/>
    </row>
    <row r="121" spans="2:110" ht="15.05" customHeight="1" x14ac:dyDescent="0.35">
      <c r="B121" s="10">
        <v>101</v>
      </c>
      <c r="C121" s="9" t="str">
        <f>IF(CAD_CC!B104="","",CAD_CC!B104)</f>
        <v/>
      </c>
      <c r="F121" s="10">
        <v>101</v>
      </c>
      <c r="G121" s="9" t="str">
        <f>IF(CAD_EMP!I106="","",CAD_EMP!I106)</f>
        <v/>
      </c>
      <c r="J121" s="10">
        <v>100</v>
      </c>
      <c r="K121" s="210" t="str">
        <f>IF('CAD_BANCOS'!F104="","",'CAD_BANCOS'!F104)</f>
        <v/>
      </c>
      <c r="R121" s="9"/>
      <c r="S121" s="9"/>
      <c r="U121" s="9"/>
      <c r="V121" s="10"/>
      <c r="W121" s="9"/>
      <c r="AF121" s="11"/>
      <c r="AG121" s="11"/>
      <c r="AH121" s="11"/>
      <c r="AI121" s="11"/>
      <c r="AJ121" s="11"/>
      <c r="AK121" s="9"/>
      <c r="AL121" s="9"/>
      <c r="AM121" s="9"/>
      <c r="AN121" s="9"/>
      <c r="AV121" s="11"/>
      <c r="AW121" s="11"/>
      <c r="AX121" s="11"/>
      <c r="AZ121" s="11"/>
      <c r="BA121" s="11"/>
      <c r="BB121" s="9"/>
      <c r="BC121" s="9"/>
      <c r="BD121" s="10"/>
      <c r="BE121" s="9"/>
      <c r="BR121" s="9"/>
      <c r="BS121" s="9"/>
      <c r="BT121" s="9"/>
      <c r="BU121" s="9"/>
      <c r="BW121" s="9"/>
      <c r="BX121" s="9"/>
      <c r="BY121"/>
      <c r="CB121"/>
      <c r="CE121"/>
      <c r="CH121"/>
      <c r="CK121"/>
      <c r="CN121"/>
      <c r="CQ121"/>
      <c r="CT121"/>
      <c r="CW121"/>
      <c r="CZ121"/>
      <c r="DC121"/>
      <c r="DF121"/>
    </row>
    <row r="122" spans="2:110" ht="15.05" customHeight="1" x14ac:dyDescent="0.35">
      <c r="B122" s="10">
        <v>102</v>
      </c>
      <c r="C122" s="9" t="str">
        <f>IF(CAD_CC!B105="","",CAD_CC!B105)</f>
        <v/>
      </c>
      <c r="F122" s="10">
        <v>102</v>
      </c>
      <c r="G122" s="9" t="str">
        <f>IF(CAD_EMP!I107="","",CAD_EMP!I107)</f>
        <v/>
      </c>
      <c r="J122" s="10">
        <v>101</v>
      </c>
      <c r="K122" s="210" t="str">
        <f>IF('CAD_BANCOS'!F105="","",'CAD_BANCOS'!F105)</f>
        <v/>
      </c>
      <c r="R122" s="9"/>
      <c r="S122" s="9"/>
      <c r="U122" s="9"/>
      <c r="V122" s="10"/>
      <c r="W122" s="9"/>
      <c r="AF122" s="11"/>
      <c r="AG122" s="11"/>
      <c r="AH122" s="11"/>
      <c r="AI122" s="11"/>
      <c r="AJ122" s="11"/>
      <c r="AK122" s="9"/>
      <c r="AL122" s="9"/>
      <c r="AM122" s="9"/>
      <c r="AN122" s="9"/>
      <c r="AV122" s="11"/>
      <c r="AW122" s="11"/>
      <c r="AX122" s="11"/>
      <c r="AZ122" s="11"/>
      <c r="BA122" s="11"/>
      <c r="BB122" s="9"/>
      <c r="BC122" s="9"/>
      <c r="BD122" s="10"/>
      <c r="BE122" s="9"/>
      <c r="BR122" s="9"/>
      <c r="BS122" s="9"/>
      <c r="BT122" s="9"/>
      <c r="BU122" s="9"/>
      <c r="BW122" s="9"/>
      <c r="BX122" s="9"/>
      <c r="BY122"/>
      <c r="CB122"/>
      <c r="CE122"/>
      <c r="CH122"/>
      <c r="CK122"/>
      <c r="CN122"/>
      <c r="CQ122"/>
      <c r="CT122"/>
      <c r="CW122"/>
      <c r="CZ122"/>
      <c r="DC122"/>
      <c r="DF122"/>
    </row>
    <row r="123" spans="2:110" ht="15.05" customHeight="1" x14ac:dyDescent="0.35">
      <c r="B123" s="10">
        <v>103</v>
      </c>
      <c r="C123" s="9" t="str">
        <f>IF(CAD_CC!B106="","",CAD_CC!B106)</f>
        <v/>
      </c>
      <c r="F123" s="10">
        <v>103</v>
      </c>
      <c r="G123" s="9" t="str">
        <f>IF(CAD_EMP!I108="","",CAD_EMP!I108)</f>
        <v/>
      </c>
      <c r="J123" s="10">
        <v>102</v>
      </c>
      <c r="K123" s="210" t="str">
        <f>IF('CAD_BANCOS'!F106="","",'CAD_BANCOS'!F106)</f>
        <v/>
      </c>
      <c r="R123" s="9"/>
      <c r="S123" s="9"/>
      <c r="U123" s="9"/>
      <c r="V123" s="10"/>
      <c r="W123" s="9"/>
      <c r="AF123" s="11"/>
      <c r="AG123" s="11"/>
      <c r="AH123" s="11"/>
      <c r="AI123" s="11"/>
      <c r="AJ123" s="11"/>
      <c r="AK123" s="9"/>
      <c r="AL123" s="9"/>
      <c r="AM123" s="9"/>
      <c r="AN123" s="9"/>
      <c r="AV123" s="11"/>
      <c r="AW123" s="11"/>
      <c r="AX123" s="11"/>
      <c r="AZ123" s="11"/>
      <c r="BA123" s="11"/>
      <c r="BB123" s="9"/>
      <c r="BC123" s="9"/>
      <c r="BD123" s="10"/>
      <c r="BE123" s="9"/>
      <c r="BR123" s="9"/>
      <c r="BS123" s="9"/>
      <c r="BT123" s="9"/>
      <c r="BU123" s="9"/>
      <c r="BW123" s="9"/>
      <c r="BX123" s="9"/>
      <c r="BY123"/>
      <c r="CB123"/>
      <c r="CE123"/>
      <c r="CH123"/>
      <c r="CK123"/>
      <c r="CN123"/>
      <c r="CQ123"/>
      <c r="CT123"/>
      <c r="CW123"/>
      <c r="CZ123"/>
      <c r="DC123"/>
      <c r="DF123"/>
    </row>
    <row r="124" spans="2:110" ht="15.05" customHeight="1" x14ac:dyDescent="0.35">
      <c r="B124" s="10">
        <v>104</v>
      </c>
      <c r="C124" s="9" t="str">
        <f>IF(CAD_CC!B107="","",CAD_CC!B107)</f>
        <v/>
      </c>
      <c r="F124" s="10">
        <v>104</v>
      </c>
      <c r="G124" s="9" t="str">
        <f>IF(CAD_EMP!I109="","",CAD_EMP!I109)</f>
        <v/>
      </c>
      <c r="J124" s="10">
        <v>103</v>
      </c>
      <c r="K124" s="210" t="str">
        <f>IF('CAD_BANCOS'!F107="","",'CAD_BANCOS'!F107)</f>
        <v/>
      </c>
      <c r="R124" s="9"/>
      <c r="S124" s="9"/>
      <c r="U124" s="9"/>
      <c r="V124" s="10"/>
      <c r="W124" s="9"/>
      <c r="AF124" s="11"/>
      <c r="AG124" s="11"/>
      <c r="AH124" s="11"/>
      <c r="AI124" s="11"/>
      <c r="AJ124" s="11"/>
      <c r="AK124" s="9"/>
      <c r="AL124" s="9"/>
      <c r="AM124" s="9"/>
      <c r="AN124" s="9"/>
      <c r="AV124" s="11"/>
      <c r="AW124" s="11"/>
      <c r="AX124" s="11"/>
      <c r="AZ124" s="11"/>
      <c r="BA124" s="11"/>
      <c r="BB124" s="9"/>
      <c r="BC124" s="9"/>
      <c r="BD124" s="10"/>
      <c r="BE124" s="9"/>
      <c r="BR124" s="9"/>
      <c r="BS124" s="9"/>
      <c r="BT124" s="9"/>
      <c r="BU124" s="9"/>
      <c r="BW124" s="9"/>
      <c r="BX124" s="9"/>
      <c r="BY124"/>
      <c r="CB124"/>
      <c r="CE124"/>
      <c r="CH124"/>
      <c r="CK124"/>
      <c r="CN124"/>
      <c r="CQ124"/>
      <c r="CT124"/>
      <c r="CW124"/>
      <c r="CZ124"/>
      <c r="DC124"/>
      <c r="DF124"/>
    </row>
    <row r="125" spans="2:110" ht="15.05" customHeight="1" x14ac:dyDescent="0.35">
      <c r="B125" s="10">
        <v>105</v>
      </c>
      <c r="C125" s="9" t="str">
        <f>IF(CAD_CC!B108="","",CAD_CC!B108)</f>
        <v/>
      </c>
      <c r="F125" s="10">
        <v>105</v>
      </c>
      <c r="G125" s="9" t="str">
        <f>IF(CAD_EMP!I110="","",CAD_EMP!I110)</f>
        <v/>
      </c>
      <c r="J125" s="10">
        <v>104</v>
      </c>
      <c r="K125" s="210" t="str">
        <f>IF('CAD_BANCOS'!F108="","",'CAD_BANCOS'!F108)</f>
        <v/>
      </c>
      <c r="R125" s="9"/>
      <c r="S125" s="9"/>
      <c r="U125" s="9"/>
      <c r="V125" s="10"/>
      <c r="W125" s="9"/>
      <c r="AF125" s="11"/>
      <c r="AG125" s="11"/>
      <c r="AH125" s="11"/>
      <c r="AI125" s="11"/>
      <c r="AJ125" s="11"/>
      <c r="AK125" s="9"/>
      <c r="AL125" s="9"/>
      <c r="AM125" s="9"/>
      <c r="AN125" s="9"/>
      <c r="AV125" s="11"/>
      <c r="AW125" s="11"/>
      <c r="AX125" s="11"/>
      <c r="AZ125" s="11"/>
      <c r="BA125" s="11"/>
      <c r="BB125" s="9"/>
      <c r="BC125" s="9"/>
      <c r="BD125" s="10"/>
      <c r="BE125" s="9"/>
      <c r="BR125" s="9"/>
      <c r="BS125" s="9"/>
      <c r="BT125" s="9"/>
      <c r="BU125" s="9"/>
      <c r="BW125" s="9"/>
      <c r="BX125" s="9"/>
      <c r="BY125"/>
      <c r="CB125"/>
      <c r="CE125"/>
      <c r="CH125"/>
      <c r="CK125"/>
      <c r="CN125"/>
      <c r="CQ125"/>
      <c r="CT125"/>
      <c r="CW125"/>
      <c r="CZ125"/>
      <c r="DC125"/>
      <c r="DF125"/>
    </row>
    <row r="126" spans="2:110" ht="15.05" customHeight="1" x14ac:dyDescent="0.35">
      <c r="B126" s="10">
        <v>106</v>
      </c>
      <c r="C126" s="9" t="str">
        <f>IF(CAD_CC!B109="","",CAD_CC!B109)</f>
        <v/>
      </c>
      <c r="F126" s="10">
        <v>106</v>
      </c>
      <c r="G126" s="9" t="str">
        <f>IF(CAD_EMP!I111="","",CAD_EMP!I111)</f>
        <v/>
      </c>
      <c r="J126" s="10">
        <v>105</v>
      </c>
      <c r="K126" s="210" t="str">
        <f>IF('CAD_BANCOS'!F109="","",'CAD_BANCOS'!F109)</f>
        <v/>
      </c>
      <c r="R126" s="9"/>
      <c r="S126" s="9"/>
      <c r="U126" s="9"/>
      <c r="V126" s="10"/>
      <c r="W126" s="9"/>
      <c r="AF126" s="11"/>
      <c r="AG126" s="11"/>
      <c r="AH126" s="11"/>
      <c r="AI126" s="11"/>
      <c r="AJ126" s="11"/>
      <c r="AK126" s="9"/>
      <c r="AL126" s="9"/>
      <c r="AM126" s="9"/>
      <c r="AN126" s="9"/>
      <c r="AV126" s="11"/>
      <c r="AW126" s="11"/>
      <c r="AX126" s="11"/>
      <c r="AZ126" s="11"/>
      <c r="BA126" s="11"/>
      <c r="BB126" s="9"/>
      <c r="BC126" s="9"/>
      <c r="BD126" s="10"/>
      <c r="BE126" s="9"/>
      <c r="BR126" s="9"/>
      <c r="BS126" s="9"/>
      <c r="BT126" s="9"/>
      <c r="BU126" s="9"/>
      <c r="BW126" s="9"/>
      <c r="BX126" s="9"/>
      <c r="BY126"/>
      <c r="CB126"/>
      <c r="CE126"/>
      <c r="CH126"/>
      <c r="CK126"/>
      <c r="CN126"/>
      <c r="CQ126"/>
      <c r="CT126"/>
      <c r="CW126"/>
      <c r="CZ126"/>
      <c r="DC126"/>
      <c r="DF126"/>
    </row>
    <row r="127" spans="2:110" ht="15.05" customHeight="1" x14ac:dyDescent="0.35">
      <c r="B127" s="10">
        <v>107</v>
      </c>
      <c r="C127" s="9" t="str">
        <f>IF(CAD_CC!B110="","",CAD_CC!B110)</f>
        <v/>
      </c>
      <c r="F127" s="10">
        <v>107</v>
      </c>
      <c r="G127" s="9" t="str">
        <f>IF(CAD_EMP!I112="","",CAD_EMP!I112)</f>
        <v/>
      </c>
      <c r="J127" s="10">
        <v>106</v>
      </c>
      <c r="K127" s="210" t="str">
        <f>IF('CAD_BANCOS'!F110="","",'CAD_BANCOS'!F110)</f>
        <v/>
      </c>
      <c r="R127" s="9"/>
      <c r="S127" s="9"/>
      <c r="U127" s="9"/>
      <c r="V127" s="10"/>
      <c r="W127" s="9"/>
      <c r="AF127" s="11"/>
      <c r="AG127" s="11"/>
      <c r="AH127" s="11"/>
      <c r="AI127" s="11"/>
      <c r="AJ127" s="11"/>
      <c r="AK127" s="9"/>
      <c r="AL127" s="9"/>
      <c r="AM127" s="9"/>
      <c r="AN127" s="9"/>
      <c r="AV127" s="11"/>
      <c r="AW127" s="11"/>
      <c r="AX127" s="11"/>
      <c r="AZ127" s="11"/>
      <c r="BA127" s="11"/>
      <c r="BB127" s="9"/>
      <c r="BC127" s="9"/>
      <c r="BD127" s="10"/>
      <c r="BE127" s="9"/>
      <c r="BR127" s="9"/>
      <c r="BS127" s="9"/>
      <c r="BT127" s="9"/>
      <c r="BU127" s="9"/>
      <c r="BW127" s="9"/>
      <c r="BX127" s="9"/>
      <c r="BY127"/>
      <c r="CB127"/>
      <c r="CE127"/>
      <c r="CH127"/>
      <c r="CK127"/>
      <c r="CN127"/>
      <c r="CQ127"/>
      <c r="CT127"/>
      <c r="CW127"/>
      <c r="CZ127"/>
      <c r="DC127"/>
      <c r="DF127"/>
    </row>
    <row r="128" spans="2:110" ht="15.05" customHeight="1" x14ac:dyDescent="0.35">
      <c r="J128" s="10">
        <v>107</v>
      </c>
      <c r="K128" s="210" t="str">
        <f>IF('CAD_BANCOS'!F111="","",'CAD_BANCOS'!F111)</f>
        <v/>
      </c>
      <c r="R128" s="9"/>
      <c r="S128" s="9"/>
      <c r="U128" s="9"/>
      <c r="V128" s="10"/>
      <c r="W128" s="9"/>
      <c r="AF128" s="11"/>
      <c r="AG128" s="11"/>
      <c r="AH128" s="11"/>
      <c r="AI128" s="11"/>
      <c r="AJ128" s="11"/>
      <c r="AK128" s="9"/>
      <c r="AL128" s="9"/>
      <c r="AM128" s="9"/>
      <c r="AN128" s="9"/>
      <c r="AV128" s="11"/>
      <c r="AW128" s="11"/>
      <c r="AX128" s="11"/>
      <c r="AZ128" s="11"/>
      <c r="BA128" s="11"/>
      <c r="BB128" s="9"/>
      <c r="BC128" s="9"/>
      <c r="BD128" s="10"/>
      <c r="BE128" s="9"/>
      <c r="BR128" s="9"/>
      <c r="BS128" s="9"/>
      <c r="BT128" s="9"/>
      <c r="BU128" s="9"/>
      <c r="BW128" s="9"/>
      <c r="BX128" s="9"/>
      <c r="BY128"/>
      <c r="CB128"/>
      <c r="CE128"/>
      <c r="CH128"/>
      <c r="CK128"/>
      <c r="CN128"/>
      <c r="CQ128"/>
      <c r="CT128"/>
      <c r="CW128"/>
      <c r="CZ128"/>
      <c r="DC128"/>
      <c r="DF128"/>
    </row>
    <row r="129" spans="18:110" ht="15.05" customHeight="1" x14ac:dyDescent="0.35">
      <c r="R129" s="9"/>
      <c r="S129" s="9"/>
      <c r="U129" s="9"/>
      <c r="V129" s="10"/>
      <c r="W129" s="9"/>
      <c r="AF129" s="11"/>
      <c r="AG129" s="11"/>
      <c r="AH129" s="11"/>
      <c r="AI129" s="11"/>
      <c r="AJ129" s="11"/>
      <c r="AK129" s="9"/>
      <c r="AL129" s="9"/>
      <c r="AM129" s="9"/>
      <c r="AN129" s="9"/>
      <c r="AV129" s="11"/>
      <c r="AW129" s="11"/>
      <c r="AX129" s="11"/>
      <c r="AZ129" s="11"/>
      <c r="BA129" s="11"/>
      <c r="BB129" s="9"/>
      <c r="BC129" s="9"/>
      <c r="BD129" s="10"/>
      <c r="BE129" s="9"/>
      <c r="BR129" s="9"/>
      <c r="BS129" s="9"/>
      <c r="BT129" s="9"/>
      <c r="BU129" s="9"/>
      <c r="BW129" s="9"/>
      <c r="BX129" s="9"/>
      <c r="BY129"/>
      <c r="CB129"/>
      <c r="CE129"/>
      <c r="CH129"/>
      <c r="CK129"/>
      <c r="CN129"/>
      <c r="CQ129"/>
      <c r="CT129"/>
      <c r="CW129"/>
      <c r="CZ129"/>
      <c r="DC129"/>
      <c r="DF129"/>
    </row>
    <row r="130" spans="18:110" ht="15.05" customHeight="1" x14ac:dyDescent="0.35">
      <c r="R130" s="9"/>
      <c r="S130" s="9"/>
      <c r="U130" s="9"/>
      <c r="V130" s="10"/>
      <c r="W130" s="9"/>
      <c r="AF130" s="11"/>
      <c r="AG130" s="11"/>
      <c r="AH130" s="11"/>
      <c r="AI130" s="11"/>
      <c r="AJ130" s="11"/>
      <c r="AK130" s="9"/>
      <c r="AL130" s="9"/>
      <c r="AM130" s="9"/>
      <c r="AN130" s="9"/>
      <c r="AV130" s="11"/>
      <c r="AW130" s="11"/>
      <c r="AX130" s="11"/>
      <c r="AZ130" s="11"/>
      <c r="BA130" s="11"/>
      <c r="BB130" s="9"/>
      <c r="BC130" s="9"/>
      <c r="BD130" s="10"/>
      <c r="BE130" s="9"/>
      <c r="BR130" s="9"/>
      <c r="BS130" s="9"/>
      <c r="BT130" s="9"/>
      <c r="BU130" s="9"/>
      <c r="BW130" s="9"/>
      <c r="BX130" s="9"/>
      <c r="BY130"/>
      <c r="CB130"/>
      <c r="CE130"/>
      <c r="CH130"/>
      <c r="CK130"/>
      <c r="CN130"/>
      <c r="CQ130"/>
      <c r="CT130"/>
      <c r="CW130"/>
      <c r="CZ130"/>
      <c r="DC130"/>
      <c r="DF130"/>
    </row>
    <row r="131" spans="18:110" ht="15.05" customHeight="1" x14ac:dyDescent="0.35">
      <c r="R131" s="9"/>
      <c r="S131" s="9"/>
      <c r="U131" s="9"/>
      <c r="V131" s="10"/>
      <c r="W131" s="9"/>
      <c r="AF131" s="11"/>
      <c r="AG131" s="11"/>
      <c r="AH131" s="11"/>
      <c r="AI131" s="11"/>
      <c r="AJ131" s="11"/>
      <c r="AK131" s="9"/>
      <c r="AL131" s="9"/>
      <c r="AM131" s="9"/>
      <c r="AN131" s="9"/>
      <c r="AV131" s="11"/>
      <c r="AW131" s="11"/>
      <c r="AX131" s="11"/>
      <c r="AZ131" s="11"/>
      <c r="BA131" s="11"/>
      <c r="BB131" s="9"/>
      <c r="BC131" s="9"/>
      <c r="BD131" s="10"/>
      <c r="BE131" s="9"/>
      <c r="BR131" s="9"/>
      <c r="BS131" s="9"/>
      <c r="BT131" s="9"/>
      <c r="BU131" s="9"/>
      <c r="BW131" s="9"/>
      <c r="BX131" s="9"/>
      <c r="BY131"/>
      <c r="CB131"/>
      <c r="CE131"/>
      <c r="CH131"/>
      <c r="CK131"/>
      <c r="CN131"/>
      <c r="CQ131"/>
      <c r="CT131"/>
      <c r="CW131"/>
      <c r="CZ131"/>
      <c r="DC131"/>
      <c r="DF131"/>
    </row>
    <row r="132" spans="18:110" ht="15.05" customHeight="1" x14ac:dyDescent="0.35">
      <c r="R132" s="9"/>
      <c r="S132" s="9"/>
      <c r="U132" s="9"/>
      <c r="V132" s="10"/>
      <c r="W132" s="9"/>
      <c r="AF132" s="11"/>
      <c r="AG132" s="11"/>
      <c r="AH132" s="11"/>
      <c r="AI132" s="11"/>
      <c r="AJ132" s="11"/>
      <c r="AK132" s="9"/>
      <c r="AL132" s="9"/>
      <c r="AM132" s="9"/>
      <c r="AN132" s="9"/>
      <c r="AV132" s="11"/>
      <c r="AW132" s="11"/>
      <c r="AX132" s="11"/>
      <c r="AZ132" s="11"/>
      <c r="BA132" s="11"/>
      <c r="BB132" s="9"/>
      <c r="BC132" s="9"/>
      <c r="BD132" s="10"/>
      <c r="BE132" s="9"/>
      <c r="BR132" s="9"/>
      <c r="BS132" s="9"/>
      <c r="BT132" s="9"/>
      <c r="BU132" s="9"/>
      <c r="BW132" s="9"/>
      <c r="BX132" s="9"/>
      <c r="BY132"/>
      <c r="CB132"/>
      <c r="CE132"/>
      <c r="CH132"/>
      <c r="CK132"/>
      <c r="CN132"/>
      <c r="CQ132"/>
      <c r="CT132"/>
      <c r="CW132"/>
      <c r="CZ132"/>
      <c r="DC132"/>
      <c r="DF132"/>
    </row>
    <row r="133" spans="18:110" ht="15.05" customHeight="1" x14ac:dyDescent="0.35">
      <c r="R133" s="9"/>
      <c r="S133" s="9"/>
      <c r="U133" s="9"/>
      <c r="V133" s="10"/>
      <c r="W133" s="9"/>
      <c r="AF133" s="11"/>
      <c r="AG133" s="11"/>
      <c r="AH133" s="11"/>
      <c r="AI133" s="11"/>
      <c r="AJ133" s="11"/>
      <c r="AK133" s="9"/>
      <c r="AL133" s="9"/>
      <c r="AM133" s="9"/>
      <c r="AN133" s="9"/>
      <c r="AV133" s="11"/>
      <c r="AW133" s="11"/>
      <c r="AX133" s="11"/>
      <c r="AZ133" s="11"/>
      <c r="BA133" s="11"/>
      <c r="BB133" s="9"/>
      <c r="BC133" s="9"/>
      <c r="BD133" s="10"/>
      <c r="BE133" s="9"/>
      <c r="BR133" s="9"/>
      <c r="BS133" s="9"/>
      <c r="BT133" s="9"/>
      <c r="BU133" s="9"/>
      <c r="BW133" s="9"/>
      <c r="BX133" s="9"/>
      <c r="BY133"/>
      <c r="CB133"/>
      <c r="CE133"/>
      <c r="CH133"/>
      <c r="CK133"/>
      <c r="CN133"/>
      <c r="CQ133"/>
      <c r="CT133"/>
      <c r="CW133"/>
      <c r="CZ133"/>
      <c r="DC133"/>
      <c r="DF133"/>
    </row>
    <row r="134" spans="18:110" ht="15.05" customHeight="1" x14ac:dyDescent="0.35">
      <c r="R134" s="9"/>
      <c r="S134" s="9"/>
      <c r="U134" s="9"/>
      <c r="V134" s="10"/>
      <c r="W134" s="9"/>
      <c r="AF134" s="11"/>
      <c r="AG134" s="11"/>
      <c r="AH134" s="11"/>
      <c r="AI134" s="11"/>
      <c r="AJ134" s="11"/>
      <c r="AK134" s="9"/>
      <c r="AL134" s="9"/>
      <c r="AM134" s="9"/>
      <c r="AN134" s="9"/>
      <c r="AV134" s="11"/>
      <c r="AW134" s="11"/>
      <c r="AX134" s="11"/>
      <c r="AZ134" s="11"/>
      <c r="BA134" s="11"/>
      <c r="BB134" s="9"/>
      <c r="BC134" s="9"/>
      <c r="BD134" s="10"/>
      <c r="BE134" s="9"/>
      <c r="BR134" s="9"/>
      <c r="BS134" s="9"/>
      <c r="BT134" s="9"/>
      <c r="BU134" s="9"/>
      <c r="BW134" s="9"/>
      <c r="BX134" s="9"/>
      <c r="BY134"/>
      <c r="CB134"/>
      <c r="CE134"/>
      <c r="CH134"/>
      <c r="CK134"/>
      <c r="CN134"/>
      <c r="CQ134"/>
      <c r="CT134"/>
      <c r="CW134"/>
      <c r="CZ134"/>
      <c r="DC134"/>
      <c r="DF134"/>
    </row>
    <row r="135" spans="18:110" ht="15.05" customHeight="1" x14ac:dyDescent="0.35">
      <c r="R135" s="9"/>
      <c r="S135" s="9"/>
      <c r="U135" s="9"/>
      <c r="V135" s="10"/>
      <c r="W135" s="9"/>
      <c r="AF135" s="11"/>
      <c r="AG135" s="11"/>
      <c r="AH135" s="11"/>
      <c r="AI135" s="11"/>
      <c r="AJ135" s="11"/>
      <c r="AK135" s="9"/>
      <c r="AL135" s="9"/>
      <c r="AM135" s="9"/>
      <c r="AN135" s="9"/>
      <c r="AV135" s="11"/>
      <c r="AW135" s="11"/>
      <c r="AX135" s="11"/>
      <c r="AZ135" s="11"/>
      <c r="BA135" s="11"/>
      <c r="BB135" s="9"/>
      <c r="BC135" s="9"/>
      <c r="BD135" s="10"/>
      <c r="BE135" s="9"/>
      <c r="BR135" s="9"/>
      <c r="BS135" s="9"/>
      <c r="BT135" s="9"/>
      <c r="BU135" s="9"/>
      <c r="BW135" s="9"/>
      <c r="BX135" s="9"/>
      <c r="BY135"/>
      <c r="CB135"/>
      <c r="CE135"/>
      <c r="CH135"/>
      <c r="CK135"/>
      <c r="CN135"/>
      <c r="CQ135"/>
      <c r="CT135"/>
      <c r="CW135"/>
      <c r="CZ135"/>
      <c r="DC135"/>
      <c r="DF135"/>
    </row>
    <row r="136" spans="18:110" ht="15.05" customHeight="1" x14ac:dyDescent="0.35">
      <c r="R136" s="9"/>
      <c r="S136" s="9"/>
      <c r="U136" s="9"/>
      <c r="V136" s="10"/>
      <c r="W136" s="9"/>
      <c r="AF136" s="11"/>
      <c r="AG136" s="11"/>
      <c r="AH136" s="11"/>
      <c r="AI136" s="11"/>
      <c r="AJ136" s="11"/>
      <c r="AK136" s="9"/>
      <c r="AL136" s="9"/>
      <c r="AM136" s="9"/>
      <c r="AN136" s="9"/>
      <c r="AV136" s="11"/>
      <c r="AW136" s="11"/>
      <c r="AX136" s="11"/>
      <c r="AZ136" s="11"/>
      <c r="BA136" s="11"/>
      <c r="BB136" s="9"/>
      <c r="BC136" s="9"/>
      <c r="BD136" s="10"/>
      <c r="BE136" s="9"/>
      <c r="BR136" s="9"/>
      <c r="BS136" s="9"/>
      <c r="BT136" s="9"/>
      <c r="BU136" s="9"/>
      <c r="BW136" s="9"/>
      <c r="BX136" s="9"/>
      <c r="BY136"/>
      <c r="CB136"/>
      <c r="CE136"/>
      <c r="CH136"/>
      <c r="CK136"/>
      <c r="CN136"/>
      <c r="CQ136"/>
      <c r="CT136"/>
      <c r="CW136"/>
      <c r="CZ136"/>
      <c r="DC136"/>
      <c r="DF136"/>
    </row>
    <row r="137" spans="18:110" ht="15.05" customHeight="1" x14ac:dyDescent="0.35">
      <c r="R137" s="9"/>
      <c r="S137" s="9"/>
      <c r="U137" s="9"/>
      <c r="V137" s="10"/>
      <c r="W137" s="9"/>
      <c r="AF137" s="11"/>
      <c r="AG137" s="11"/>
      <c r="AH137" s="11"/>
      <c r="AI137" s="11"/>
      <c r="AJ137" s="11"/>
      <c r="AK137" s="9"/>
      <c r="AL137" s="9"/>
      <c r="AM137" s="9"/>
      <c r="AN137" s="9"/>
      <c r="AV137" s="11"/>
      <c r="AW137" s="11"/>
      <c r="AX137" s="11"/>
      <c r="AZ137" s="11"/>
      <c r="BA137" s="11"/>
      <c r="BB137" s="9"/>
      <c r="BC137" s="9"/>
      <c r="BD137" s="10"/>
      <c r="BE137" s="9"/>
      <c r="BR137" s="9"/>
      <c r="BS137" s="9"/>
      <c r="BT137" s="9"/>
      <c r="BU137" s="9"/>
      <c r="BW137" s="9"/>
      <c r="BX137" s="9"/>
      <c r="BY137"/>
      <c r="CB137"/>
      <c r="CE137"/>
      <c r="CH137"/>
      <c r="CK137"/>
      <c r="CN137"/>
      <c r="CQ137"/>
      <c r="CT137"/>
      <c r="CW137"/>
      <c r="CZ137"/>
      <c r="DC137"/>
      <c r="DF137"/>
    </row>
    <row r="138" spans="18:110" ht="15.05" customHeight="1" x14ac:dyDescent="0.35">
      <c r="R138" s="9"/>
      <c r="S138" s="9"/>
      <c r="U138" s="9"/>
      <c r="V138" s="10"/>
      <c r="W138" s="9"/>
      <c r="AF138" s="11"/>
      <c r="AG138" s="11"/>
      <c r="AH138" s="11"/>
      <c r="AI138" s="11"/>
      <c r="AJ138" s="11"/>
      <c r="AK138" s="9"/>
      <c r="AL138" s="9"/>
      <c r="AM138" s="9"/>
      <c r="AN138" s="9"/>
      <c r="AV138" s="11"/>
      <c r="AW138" s="11"/>
      <c r="AX138" s="11"/>
      <c r="AZ138" s="11"/>
      <c r="BA138" s="11"/>
      <c r="BB138" s="9"/>
      <c r="BC138" s="9"/>
      <c r="BD138" s="10"/>
      <c r="BE138" s="9"/>
      <c r="BR138" s="9"/>
      <c r="BS138" s="9"/>
      <c r="BT138" s="9"/>
      <c r="BU138" s="9"/>
      <c r="BW138" s="9"/>
      <c r="BX138" s="9"/>
      <c r="BY138"/>
      <c r="CB138"/>
      <c r="CE138"/>
      <c r="CH138"/>
      <c r="CK138"/>
      <c r="CN138"/>
      <c r="CQ138"/>
      <c r="CT138"/>
      <c r="CW138"/>
      <c r="CZ138"/>
      <c r="DC138"/>
      <c r="DF138"/>
    </row>
    <row r="139" spans="18:110" ht="15.05" customHeight="1" x14ac:dyDescent="0.35">
      <c r="R139" s="9"/>
      <c r="S139" s="9"/>
      <c r="U139" s="9"/>
      <c r="V139" s="10"/>
      <c r="W139" s="9"/>
      <c r="AF139" s="11"/>
      <c r="AG139" s="11"/>
      <c r="AH139" s="11"/>
      <c r="AI139" s="11"/>
      <c r="AJ139" s="11"/>
      <c r="AK139" s="9"/>
      <c r="AL139" s="9"/>
      <c r="AM139" s="9"/>
      <c r="AN139" s="9"/>
      <c r="AV139" s="11"/>
      <c r="AW139" s="11"/>
      <c r="AX139" s="11"/>
      <c r="AZ139" s="11"/>
      <c r="BA139" s="11"/>
      <c r="BB139" s="9"/>
      <c r="BC139" s="9"/>
      <c r="BD139" s="10"/>
      <c r="BE139" s="9"/>
      <c r="BR139" s="9"/>
      <c r="BS139" s="9"/>
      <c r="BT139" s="9"/>
      <c r="BU139" s="9"/>
      <c r="BW139" s="9"/>
      <c r="BX139" s="9"/>
      <c r="BY139"/>
      <c r="CB139"/>
      <c r="CE139"/>
      <c r="CH139"/>
      <c r="CK139"/>
      <c r="CN139"/>
      <c r="CQ139"/>
      <c r="CT139"/>
      <c r="CW139"/>
      <c r="CZ139"/>
      <c r="DC139"/>
      <c r="DF139"/>
    </row>
    <row r="140" spans="18:110" ht="15.05" customHeight="1" x14ac:dyDescent="0.35">
      <c r="R140" s="9"/>
      <c r="S140" s="9"/>
      <c r="U140" s="9"/>
      <c r="V140" s="10"/>
      <c r="W140" s="9"/>
      <c r="AF140" s="11"/>
      <c r="AG140" s="11"/>
      <c r="AH140" s="11"/>
      <c r="AI140" s="11"/>
      <c r="AJ140" s="11"/>
      <c r="AK140" s="9"/>
      <c r="AL140" s="9"/>
      <c r="AM140" s="9"/>
      <c r="AN140" s="9"/>
      <c r="AV140" s="11"/>
      <c r="AW140" s="11"/>
      <c r="AX140" s="11"/>
      <c r="AZ140" s="11"/>
      <c r="BA140" s="11"/>
      <c r="BB140" s="9"/>
      <c r="BC140" s="9"/>
      <c r="BD140" s="10"/>
      <c r="BE140" s="9"/>
      <c r="BR140" s="9"/>
      <c r="BS140" s="9"/>
      <c r="BT140" s="9"/>
      <c r="BU140" s="9"/>
      <c r="BW140" s="9"/>
      <c r="BX140" s="9"/>
      <c r="BY140"/>
      <c r="CB140"/>
      <c r="CE140"/>
      <c r="CH140"/>
      <c r="CK140"/>
      <c r="CN140"/>
      <c r="CQ140"/>
      <c r="CT140"/>
      <c r="CW140"/>
      <c r="CZ140"/>
      <c r="DC140"/>
      <c r="DF140"/>
    </row>
    <row r="141" spans="18:110" ht="15.05" customHeight="1" x14ac:dyDescent="0.35">
      <c r="R141" s="9"/>
      <c r="S141" s="9"/>
      <c r="U141" s="9"/>
      <c r="V141" s="10"/>
      <c r="W141" s="9"/>
      <c r="AF141" s="11"/>
      <c r="AG141" s="11"/>
      <c r="AH141" s="11"/>
      <c r="AI141" s="11"/>
      <c r="AJ141" s="11"/>
      <c r="AK141" s="9"/>
      <c r="AL141" s="9"/>
      <c r="AM141" s="9"/>
      <c r="AN141" s="9"/>
      <c r="AV141" s="11"/>
      <c r="AW141" s="11"/>
      <c r="AX141" s="11"/>
      <c r="AZ141" s="11"/>
      <c r="BA141" s="11"/>
      <c r="BB141" s="9"/>
      <c r="BC141" s="9"/>
      <c r="BD141" s="10"/>
      <c r="BE141" s="9"/>
      <c r="BR141" s="9"/>
      <c r="BS141" s="9"/>
      <c r="BT141" s="9"/>
      <c r="BU141" s="9"/>
      <c r="BW141" s="9"/>
      <c r="BX141" s="9"/>
      <c r="BY141"/>
      <c r="CB141"/>
      <c r="CE141"/>
      <c r="CH141"/>
      <c r="CK141"/>
      <c r="CN141"/>
      <c r="CQ141"/>
      <c r="CT141"/>
      <c r="CW141"/>
      <c r="CZ141"/>
      <c r="DC141"/>
      <c r="DF141"/>
    </row>
    <row r="142" spans="18:110" ht="15.05" customHeight="1" x14ac:dyDescent="0.35">
      <c r="R142" s="9"/>
      <c r="S142" s="9"/>
      <c r="U142" s="9"/>
      <c r="V142" s="10"/>
      <c r="W142" s="9"/>
      <c r="AF142" s="11"/>
      <c r="AG142" s="11"/>
      <c r="AH142" s="11"/>
      <c r="AI142" s="11"/>
      <c r="AJ142" s="11"/>
      <c r="AK142" s="9"/>
      <c r="AL142" s="9"/>
      <c r="AM142" s="9"/>
      <c r="AN142" s="9"/>
      <c r="AV142" s="11"/>
      <c r="AW142" s="11"/>
      <c r="AX142" s="11"/>
      <c r="AZ142" s="11"/>
      <c r="BA142" s="11"/>
      <c r="BB142" s="9"/>
      <c r="BC142" s="9"/>
      <c r="BD142" s="10"/>
      <c r="BE142" s="9"/>
      <c r="BR142" s="9"/>
      <c r="BS142" s="9"/>
      <c r="BT142" s="9"/>
      <c r="BU142" s="9"/>
      <c r="BW142" s="9"/>
      <c r="BX142" s="9"/>
      <c r="BY142"/>
      <c r="CB142"/>
      <c r="CE142"/>
      <c r="CH142"/>
      <c r="CK142"/>
      <c r="CN142"/>
      <c r="CQ142"/>
      <c r="CT142"/>
      <c r="CW142"/>
      <c r="CZ142"/>
      <c r="DC142"/>
      <c r="DF142"/>
    </row>
    <row r="143" spans="18:110" ht="15.05" customHeight="1" x14ac:dyDescent="0.35">
      <c r="R143" s="9"/>
      <c r="S143" s="9"/>
      <c r="U143" s="9"/>
      <c r="V143" s="10"/>
      <c r="W143" s="9"/>
      <c r="AF143" s="11"/>
      <c r="AG143" s="11"/>
      <c r="AH143" s="11"/>
      <c r="AI143" s="11"/>
      <c r="AJ143" s="11"/>
      <c r="AK143" s="9"/>
      <c r="AL143" s="9"/>
      <c r="AM143" s="9"/>
      <c r="AN143" s="9"/>
      <c r="AV143" s="11"/>
      <c r="AW143" s="11"/>
      <c r="AX143" s="11"/>
      <c r="AZ143" s="11"/>
      <c r="BA143" s="11"/>
      <c r="BB143" s="9"/>
      <c r="BC143" s="9"/>
      <c r="BD143" s="10"/>
      <c r="BE143" s="9"/>
      <c r="BR143" s="9"/>
      <c r="BS143" s="9"/>
      <c r="BT143" s="9"/>
      <c r="BU143" s="9"/>
      <c r="BW143" s="9"/>
      <c r="BX143" s="9"/>
      <c r="BY143"/>
      <c r="CB143"/>
      <c r="CE143"/>
      <c r="CH143"/>
      <c r="CK143"/>
      <c r="CN143"/>
      <c r="CQ143"/>
      <c r="CT143"/>
      <c r="CW143"/>
      <c r="CZ143"/>
      <c r="DC143"/>
      <c r="DF143"/>
    </row>
  </sheetData>
  <mergeCells count="6">
    <mergeCell ref="BU4:BV4"/>
    <mergeCell ref="S14:T14"/>
    <mergeCell ref="V3:AJ3"/>
    <mergeCell ref="S4:T4"/>
    <mergeCell ref="AN4:AZ4"/>
    <mergeCell ref="BC4:BS4"/>
  </mergeCells>
  <phoneticPr fontId="36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6"/>
  <ignoredErrors>
    <ignoredError sqref="G5 P5:P13" calculatedColumn="1"/>
  </ignoredErrors>
  <legacyDrawing r:id="rId17"/>
  <tableParts count="7">
    <tablePart r:id="rId18"/>
    <tablePart r:id="rId19"/>
    <tablePart r:id="rId20"/>
    <tablePart r:id="rId21"/>
    <tablePart r:id="rId22"/>
    <tablePart r:id="rId23"/>
    <tablePart r:id="rId2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25</vt:i4>
      </vt:variant>
      <vt:variant>
        <vt:lpstr>Intervalos Nomeados</vt:lpstr>
      </vt:variant>
      <vt:variant>
        <vt:i4>228</vt:i4>
      </vt:variant>
    </vt:vector>
  </HeadingPairs>
  <TitlesOfParts>
    <vt:vector size="253" baseType="lpstr">
      <vt:lpstr>MENU</vt:lpstr>
      <vt:lpstr>CAD_EMP</vt:lpstr>
      <vt:lpstr>CAD_CLIENTES</vt:lpstr>
      <vt:lpstr>CAD_FORN</vt:lpstr>
      <vt:lpstr>CAD_BANCOS</vt:lpstr>
      <vt:lpstr>CAD_CC</vt:lpstr>
      <vt:lpstr>CAD_PL_REC-DESP</vt:lpstr>
      <vt:lpstr>CAD_ORÇ</vt:lpstr>
      <vt:lpstr>LANÇ_MOV</vt:lpstr>
      <vt:lpstr>REL_FATURAMENTO_BRUTO</vt:lpstr>
      <vt:lpstr>REL_RECEBIMENTO _LÍQUIDO</vt:lpstr>
      <vt:lpstr>REL_DESPESAS__FIN</vt:lpstr>
      <vt:lpstr>REL_RES_DIA</vt:lpstr>
      <vt:lpstr>REL_FC</vt:lpstr>
      <vt:lpstr>REL_CR  </vt:lpstr>
      <vt:lpstr>REL_CP</vt:lpstr>
      <vt:lpstr>REL_VA</vt:lpstr>
      <vt:lpstr>REL_DRE_FINANCEIRO</vt:lpstr>
      <vt:lpstr>REL_BC</vt:lpstr>
      <vt:lpstr>DASH_MENSAL</vt:lpstr>
      <vt:lpstr>DASH_ANUAL</vt:lpstr>
      <vt:lpstr>DASH_CONTAS</vt:lpstr>
      <vt:lpstr>DASH_RECEITAS</vt:lpstr>
      <vt:lpstr>DASH_DESPESAS</vt:lpstr>
      <vt:lpstr>Apoio</vt:lpstr>
      <vt:lpstr>'CAD_BANCOS'!Area_de_impressao</vt:lpstr>
      <vt:lpstr>CAD_CC!Area_de_impressao</vt:lpstr>
      <vt:lpstr>'CAD_CLIENTES'!Area_de_impressao</vt:lpstr>
      <vt:lpstr>CAD_EMP!Area_de_impressao</vt:lpstr>
      <vt:lpstr>CAD_FORN!Area_de_impressao</vt:lpstr>
      <vt:lpstr>'CAD_PL_REC-DESP'!Area_de_impressao</vt:lpstr>
      <vt:lpstr>DASH_ANUAL!Area_de_impressao</vt:lpstr>
      <vt:lpstr>DASH_CONTAS!Area_de_impressao</vt:lpstr>
      <vt:lpstr>DASH_DESPESAS!Area_de_impressao</vt:lpstr>
      <vt:lpstr>DASH_MENSAL!Area_de_impressao</vt:lpstr>
      <vt:lpstr>DASH_RECEITAS!Area_de_impressao</vt:lpstr>
      <vt:lpstr>'LANÇ_MOV'!Area_de_impressao</vt:lpstr>
      <vt:lpstr>MENU!Area_de_impressao</vt:lpstr>
      <vt:lpstr>'REL_BC'!Area_de_impressao</vt:lpstr>
      <vt:lpstr>REL_CP!Area_de_impressao</vt:lpstr>
      <vt:lpstr>'REL_CR  '!Area_de_impressao</vt:lpstr>
      <vt:lpstr>REL_DESPESAS__FIN!Area_de_impressao</vt:lpstr>
      <vt:lpstr>REL_DRE_FINANCEIRO!Area_de_impressao</vt:lpstr>
      <vt:lpstr>REL_FATURAMENTO_BRUTO!Area_de_impressao</vt:lpstr>
      <vt:lpstr>'REL_FC'!Area_de_impressao</vt:lpstr>
      <vt:lpstr>'REL_RECEBIMENTO _LÍQUIDO'!Area_de_impressao</vt:lpstr>
      <vt:lpstr>REL_RES_DIA!Area_de_impressao</vt:lpstr>
      <vt:lpstr>REL_VA!Area_de_impressao</vt:lpstr>
      <vt:lpstr>'CAD_BANCOS'!Despesa_com_RH</vt:lpstr>
      <vt:lpstr>CAD_CC!Despesa_com_RH</vt:lpstr>
      <vt:lpstr>CAD_EMP!Despesa_com_RH</vt:lpstr>
      <vt:lpstr>CAD_ORÇ!Despesa_com_RH</vt:lpstr>
      <vt:lpstr>'LANÇ_MOV'!Despesa_com_RH</vt:lpstr>
      <vt:lpstr>'REL_BC'!Despesa_com_RH</vt:lpstr>
      <vt:lpstr>REL_CP!Despesa_com_RH</vt:lpstr>
      <vt:lpstr>'REL_CR  '!Despesa_com_RH</vt:lpstr>
      <vt:lpstr>REL_DESPESAS__FIN!Despesa_com_RH</vt:lpstr>
      <vt:lpstr>REL_DRE_FINANCEIRO!Despesa_com_RH</vt:lpstr>
      <vt:lpstr>REL_FATURAMENTO_BRUTO!Despesa_com_RH</vt:lpstr>
      <vt:lpstr>'REL_RECEBIMENTO _LÍQUIDO'!Despesa_com_RH</vt:lpstr>
      <vt:lpstr>REL_VA!Despesa_com_RH</vt:lpstr>
      <vt:lpstr>Despesa_com_RH</vt:lpstr>
      <vt:lpstr>'CAD_BANCOS'!DESPESAS_ADMINISTRATIVAS</vt:lpstr>
      <vt:lpstr>CAD_CC!DESPESAS_ADMINISTRATIVAS</vt:lpstr>
      <vt:lpstr>CAD_EMP!DESPESAS_ADMINISTRATIVAS</vt:lpstr>
      <vt:lpstr>CAD_ORÇ!DESPESAS_ADMINISTRATIVAS</vt:lpstr>
      <vt:lpstr>'LANÇ_MOV'!DESPESAS_ADMINISTRATIVAS</vt:lpstr>
      <vt:lpstr>'REL_BC'!DESPESAS_ADMINISTRATIVAS</vt:lpstr>
      <vt:lpstr>'REL_CR  '!DESPESAS_ADMINISTRATIVAS</vt:lpstr>
      <vt:lpstr>REL_DESPESAS__FIN!DESPESAS_ADMINISTRATIVAS</vt:lpstr>
      <vt:lpstr>REL_DRE_FINANCEIRO!DESPESAS_ADMINISTRATIVAS</vt:lpstr>
      <vt:lpstr>REL_FATURAMENTO_BRUTO!DESPESAS_ADMINISTRATIVAS</vt:lpstr>
      <vt:lpstr>'REL_RECEBIMENTO _LÍQUIDO'!DESPESAS_ADMINISTRATIVAS</vt:lpstr>
      <vt:lpstr>DESPESAS_ADMINISTRATIVAS</vt:lpstr>
      <vt:lpstr>'CAD_BANCOS'!DESPESAS_COM_RH</vt:lpstr>
      <vt:lpstr>CAD_CC!DESPESAS_COM_RH</vt:lpstr>
      <vt:lpstr>CAD_EMP!DESPESAS_COM_RH</vt:lpstr>
      <vt:lpstr>CAD_ORÇ!DESPESAS_COM_RH</vt:lpstr>
      <vt:lpstr>'LANÇ_MOV'!DESPESAS_COM_RH</vt:lpstr>
      <vt:lpstr>'REL_BC'!DESPESAS_COM_RH</vt:lpstr>
      <vt:lpstr>'REL_CR  '!DESPESAS_COM_RH</vt:lpstr>
      <vt:lpstr>REL_DESPESAS__FIN!DESPESAS_COM_RH</vt:lpstr>
      <vt:lpstr>REL_DRE_FINANCEIRO!DESPESAS_COM_RH</vt:lpstr>
      <vt:lpstr>REL_FATURAMENTO_BRUTO!DESPESAS_COM_RH</vt:lpstr>
      <vt:lpstr>'REL_RECEBIMENTO _LÍQUIDO'!DESPESAS_COM_RH</vt:lpstr>
      <vt:lpstr>DESPESAS_COM_RH</vt:lpstr>
      <vt:lpstr>'CAD_BANCOS'!Despesas_comercia</vt:lpstr>
      <vt:lpstr>CAD_CC!Despesas_comercia</vt:lpstr>
      <vt:lpstr>CAD_EMP!Despesas_comercia</vt:lpstr>
      <vt:lpstr>CAD_ORÇ!Despesas_comercia</vt:lpstr>
      <vt:lpstr>'LANÇ_MOV'!Despesas_comercia</vt:lpstr>
      <vt:lpstr>'REL_BC'!Despesas_comercia</vt:lpstr>
      <vt:lpstr>REL_CP!Despesas_comercia</vt:lpstr>
      <vt:lpstr>'REL_CR  '!Despesas_comercia</vt:lpstr>
      <vt:lpstr>REL_DESPESAS__FIN!Despesas_comercia</vt:lpstr>
      <vt:lpstr>REL_DRE_FINANCEIRO!Despesas_comercia</vt:lpstr>
      <vt:lpstr>REL_FATURAMENTO_BRUTO!Despesas_comercia</vt:lpstr>
      <vt:lpstr>'REL_RECEBIMENTO _LÍQUIDO'!Despesas_comercia</vt:lpstr>
      <vt:lpstr>REL_VA!Despesas_comercia</vt:lpstr>
      <vt:lpstr>Despesas_comercia</vt:lpstr>
      <vt:lpstr>'CAD_BANCOS'!DESPESAS_COMERCIAIS</vt:lpstr>
      <vt:lpstr>CAD_CC!DESPESAS_COMERCIAIS</vt:lpstr>
      <vt:lpstr>CAD_EMP!DESPESAS_COMERCIAIS</vt:lpstr>
      <vt:lpstr>CAD_ORÇ!DESPESAS_COMERCIAIS</vt:lpstr>
      <vt:lpstr>'LANÇ_MOV'!DESPESAS_COMERCIAIS</vt:lpstr>
      <vt:lpstr>'REL_BC'!DESPESAS_COMERCIAIS</vt:lpstr>
      <vt:lpstr>'REL_CR  '!DESPESAS_COMERCIAIS</vt:lpstr>
      <vt:lpstr>REL_DESPESAS__FIN!DESPESAS_COMERCIAIS</vt:lpstr>
      <vt:lpstr>REL_DRE_FINANCEIRO!DESPESAS_COMERCIAIS</vt:lpstr>
      <vt:lpstr>REL_FATURAMENTO_BRUTO!DESPESAS_COMERCIAIS</vt:lpstr>
      <vt:lpstr>'REL_RECEBIMENTO _LÍQUIDO'!DESPESAS_COMERCIAIS</vt:lpstr>
      <vt:lpstr>DESPESAS_COMERCIAIS</vt:lpstr>
      <vt:lpstr>'CAD_BANCOS'!DESPESAS_ENDIVIDAMENTO</vt:lpstr>
      <vt:lpstr>CAD_CC!DESPESAS_ENDIVIDAMENTO</vt:lpstr>
      <vt:lpstr>CAD_EMP!DESPESAS_ENDIVIDAMENTO</vt:lpstr>
      <vt:lpstr>'LANÇ_MOV'!DESPESAS_ENDIVIDAMENTO</vt:lpstr>
      <vt:lpstr>'REL_BC'!DESPESAS_ENDIVIDAMENTO</vt:lpstr>
      <vt:lpstr>CAD_ORÇ!DESPESAS_ENDIVIDAMENTOS</vt:lpstr>
      <vt:lpstr>'REL_CR  '!DESPESAS_ENDIVIDAMENTOS</vt:lpstr>
      <vt:lpstr>REL_DESPESAS__FIN!DESPESAS_ENDIVIDAMENTOS</vt:lpstr>
      <vt:lpstr>REL_DRE_FINANCEIRO!DESPESAS_ENDIVIDAMENTOS</vt:lpstr>
      <vt:lpstr>REL_FATURAMENTO_BRUTO!DESPESAS_ENDIVIDAMENTOS</vt:lpstr>
      <vt:lpstr>'REL_RECEBIMENTO _LÍQUIDO'!DESPESAS_ENDIVIDAMENTOS</vt:lpstr>
      <vt:lpstr>DESPESAS_ENDIVIDAMENTOS</vt:lpstr>
      <vt:lpstr>'CAD_BANCOS'!DESPESAS_IMPOSTOS</vt:lpstr>
      <vt:lpstr>CAD_CC!DESPESAS_IMPOSTOS</vt:lpstr>
      <vt:lpstr>CAD_EMP!DESPESAS_IMPOSTOS</vt:lpstr>
      <vt:lpstr>CAD_ORÇ!DESPESAS_IMPOSTOS</vt:lpstr>
      <vt:lpstr>'LANÇ_MOV'!DESPESAS_IMPOSTOS</vt:lpstr>
      <vt:lpstr>'REL_BC'!DESPESAS_IMPOSTOS</vt:lpstr>
      <vt:lpstr>'REL_CR  '!DESPESAS_IMPOSTOS</vt:lpstr>
      <vt:lpstr>REL_DESPESAS__FIN!DESPESAS_IMPOSTOS</vt:lpstr>
      <vt:lpstr>REL_DRE_FINANCEIRO!DESPESAS_IMPOSTOS</vt:lpstr>
      <vt:lpstr>REL_FATURAMENTO_BRUTO!DESPESAS_IMPOSTOS</vt:lpstr>
      <vt:lpstr>'REL_RECEBIMENTO _LÍQUIDO'!DESPESAS_IMPOSTOS</vt:lpstr>
      <vt:lpstr>DESPESAS_IMPOSTOS</vt:lpstr>
      <vt:lpstr>'CAD_BANCOS'!DESPESAS_INVESTIMENTOS</vt:lpstr>
      <vt:lpstr>CAD_CC!DESPESAS_INVESTIMENTOS</vt:lpstr>
      <vt:lpstr>CAD_EMP!DESPESAS_INVESTIMENTOS</vt:lpstr>
      <vt:lpstr>CAD_ORÇ!DESPESAS_INVESTIMENTOS</vt:lpstr>
      <vt:lpstr>'LANÇ_MOV'!DESPESAS_INVESTIMENTOS</vt:lpstr>
      <vt:lpstr>'REL_BC'!DESPESAS_INVESTIMENTOS</vt:lpstr>
      <vt:lpstr>'REL_CR  '!DESPESAS_INVESTIMENTOS</vt:lpstr>
      <vt:lpstr>REL_DESPESAS__FIN!DESPESAS_INVESTIMENTOS</vt:lpstr>
      <vt:lpstr>REL_DRE_FINANCEIRO!DESPESAS_INVESTIMENTOS</vt:lpstr>
      <vt:lpstr>REL_FATURAMENTO_BRUTO!DESPESAS_INVESTIMENTOS</vt:lpstr>
      <vt:lpstr>'REL_RECEBIMENTO _LÍQUIDO'!DESPESAS_INVESTIMENTOS</vt:lpstr>
      <vt:lpstr>DESPESAS_INVESTIMENTOS</vt:lpstr>
      <vt:lpstr>'CAD_BANCOS'!DESPESAS_N_OPERACIONAIS</vt:lpstr>
      <vt:lpstr>CAD_CC!DESPESAS_N_OPERACIONAIS</vt:lpstr>
      <vt:lpstr>CAD_EMP!DESPESAS_N_OPERACIONAIS</vt:lpstr>
      <vt:lpstr>CAD_ORÇ!DESPESAS_N_OPERACIONAIS</vt:lpstr>
      <vt:lpstr>'LANÇ_MOV'!DESPESAS_N_OPERACIONAIS</vt:lpstr>
      <vt:lpstr>'REL_BC'!DESPESAS_N_OPERACIONAIS</vt:lpstr>
      <vt:lpstr>REL_CP!Despesas_n_operacionais</vt:lpstr>
      <vt:lpstr>'REL_CR  '!DESPESAS_N_OPERACIONAIS</vt:lpstr>
      <vt:lpstr>REL_DESPESAS__FIN!DESPESAS_N_OPERACIONAIS</vt:lpstr>
      <vt:lpstr>REL_DRE_FINANCEIRO!DESPESAS_N_OPERACIONAIS</vt:lpstr>
      <vt:lpstr>REL_FATURAMENTO_BRUTO!DESPESAS_N_OPERACIONAIS</vt:lpstr>
      <vt:lpstr>'REL_RECEBIMENTO _LÍQUIDO'!DESPESAS_N_OPERACIONAIS</vt:lpstr>
      <vt:lpstr>DESPESAS_N_OPERACIONAIS</vt:lpstr>
      <vt:lpstr>'CAD_BANCOS'!Despesas_não_operac</vt:lpstr>
      <vt:lpstr>CAD_CC!Despesas_não_operac</vt:lpstr>
      <vt:lpstr>CAD_EMP!Despesas_não_operac</vt:lpstr>
      <vt:lpstr>CAD_ORÇ!Despesas_não_operac</vt:lpstr>
      <vt:lpstr>'LANÇ_MOV'!Despesas_não_operac</vt:lpstr>
      <vt:lpstr>'REL_BC'!Despesas_não_operac</vt:lpstr>
      <vt:lpstr>'REL_CR  '!Despesas_não_operac</vt:lpstr>
      <vt:lpstr>REL_DESPESAS__FIN!Despesas_não_operac</vt:lpstr>
      <vt:lpstr>REL_DRE_FINANCEIRO!Despesas_não_operac</vt:lpstr>
      <vt:lpstr>REL_FATURAMENTO_BRUTO!Despesas_não_operac</vt:lpstr>
      <vt:lpstr>'REL_RECEBIMENTO _LÍQUIDO'!Despesas_não_operac</vt:lpstr>
      <vt:lpstr>REL_VA!Despesas_não_operac</vt:lpstr>
      <vt:lpstr>Despesas_não_operac</vt:lpstr>
      <vt:lpstr>'CAD_BANCOS'!DESPESAS_OPERACIONAIS</vt:lpstr>
      <vt:lpstr>CAD_CC!DESPESAS_OPERACIONAIS</vt:lpstr>
      <vt:lpstr>CAD_EMP!DESPESAS_OPERACIONAIS</vt:lpstr>
      <vt:lpstr>CAD_ORÇ!DESPESAS_OPERACIONAIS</vt:lpstr>
      <vt:lpstr>'LANÇ_MOV'!DESPESAS_OPERACIONAIS</vt:lpstr>
      <vt:lpstr>'REL_BC'!DESPESAS_OPERACIONAIS</vt:lpstr>
      <vt:lpstr>'REL_CR  '!DESPESAS_OPERACIONAIS</vt:lpstr>
      <vt:lpstr>REL_DESPESAS__FIN!DESPESAS_OPERACIONAIS</vt:lpstr>
      <vt:lpstr>REL_DRE_FINANCEIRO!DESPESAS_OPERACIONAIS</vt:lpstr>
      <vt:lpstr>REL_FATURAMENTO_BRUTO!DESPESAS_OPERACIONAIS</vt:lpstr>
      <vt:lpstr>'REL_RECEBIMENTO _LÍQUIDO'!DESPESAS_OPERACIONAIS</vt:lpstr>
      <vt:lpstr>DESPESAS_OPERACIONAIS</vt:lpstr>
      <vt:lpstr>CAD_ORÇ!DESPESAS_OUTROS_DEBITOS</vt:lpstr>
      <vt:lpstr>'REL_CR  '!DESPESAS_OUTROS_DEBITOS</vt:lpstr>
      <vt:lpstr>REL_DESPESAS__FIN!DESPESAS_OUTROS_DEBITOS</vt:lpstr>
      <vt:lpstr>REL_DRE_FINANCEIRO!DESPESAS_OUTROS_DEBITOS</vt:lpstr>
      <vt:lpstr>REL_FATURAMENTO_BRUTO!DESPESAS_OUTROS_DEBITOS</vt:lpstr>
      <vt:lpstr>'REL_RECEBIMENTO _LÍQUIDO'!DESPESAS_OUTROS_DEBITOS</vt:lpstr>
      <vt:lpstr>DESPESAS_OUTROS_DEBITOS</vt:lpstr>
      <vt:lpstr>'CAD_BANCOS'!Endividamento</vt:lpstr>
      <vt:lpstr>CAD_CC!Endividamento</vt:lpstr>
      <vt:lpstr>CAD_EMP!Endividamento</vt:lpstr>
      <vt:lpstr>CAD_ORÇ!Endividamento</vt:lpstr>
      <vt:lpstr>'LANÇ_MOV'!Endividamento</vt:lpstr>
      <vt:lpstr>'REL_BC'!Endividamento</vt:lpstr>
      <vt:lpstr>REL_CP!Endividamento</vt:lpstr>
      <vt:lpstr>'REL_CR  '!Endividamento</vt:lpstr>
      <vt:lpstr>REL_DESPESAS__FIN!Endividamento</vt:lpstr>
      <vt:lpstr>REL_DRE_FINANCEIRO!Endividamento</vt:lpstr>
      <vt:lpstr>REL_FATURAMENTO_BRUTO!Endividamento</vt:lpstr>
      <vt:lpstr>'REL_RECEBIMENTO _LÍQUIDO'!Endividamento</vt:lpstr>
      <vt:lpstr>REL_VA!Endividamento</vt:lpstr>
      <vt:lpstr>Endividamento</vt:lpstr>
      <vt:lpstr>'CAD_BANCOS'!Investimentos</vt:lpstr>
      <vt:lpstr>CAD_CC!Investimentos</vt:lpstr>
      <vt:lpstr>CAD_EMP!Investimentos</vt:lpstr>
      <vt:lpstr>CAD_ORÇ!Investimentos</vt:lpstr>
      <vt:lpstr>'LANÇ_MOV'!Investimentos</vt:lpstr>
      <vt:lpstr>'REL_BC'!Investimentos</vt:lpstr>
      <vt:lpstr>REL_CP!Investimentos</vt:lpstr>
      <vt:lpstr>'REL_CR  '!Investimentos</vt:lpstr>
      <vt:lpstr>REL_DESPESAS__FIN!Investimentos</vt:lpstr>
      <vt:lpstr>REL_DRE_FINANCEIRO!Investimentos</vt:lpstr>
      <vt:lpstr>REL_FATURAMENTO_BRUTO!Investimentos</vt:lpstr>
      <vt:lpstr>'REL_RECEBIMENTO _LÍQUIDO'!Investimentos</vt:lpstr>
      <vt:lpstr>REL_VA!Investimentos</vt:lpstr>
      <vt:lpstr>Investimentos</vt:lpstr>
      <vt:lpstr>Plano_de_contas</vt:lpstr>
      <vt:lpstr>'CAD_BANCOS'!RECEITAS_N_OPERACIONAIS</vt:lpstr>
      <vt:lpstr>CAD_CC!RECEITAS_N_OPERACIONAIS</vt:lpstr>
      <vt:lpstr>CAD_EMP!RECEITAS_N_OPERACIONAIS</vt:lpstr>
      <vt:lpstr>CAD_ORÇ!RECEITAS_N_OPERACIONAIS</vt:lpstr>
      <vt:lpstr>'LANÇ_MOV'!RECEITAS_N_OPERACIONAIS</vt:lpstr>
      <vt:lpstr>'REL_BC'!RECEITAS_N_OPERACIONAIS</vt:lpstr>
      <vt:lpstr>'REL_CR  '!RECEITAS_N_OPERACIONAIS</vt:lpstr>
      <vt:lpstr>REL_DESPESAS__FIN!RECEITAS_N_OPERACIONAIS</vt:lpstr>
      <vt:lpstr>REL_DRE_FINANCEIRO!RECEITAS_N_OPERACIONAIS</vt:lpstr>
      <vt:lpstr>REL_FATURAMENTO_BRUTO!RECEITAS_N_OPERACIONAIS</vt:lpstr>
      <vt:lpstr>'REL_RECEBIMENTO _LÍQUIDO'!RECEITAS_N_OPERACIONAIS</vt:lpstr>
      <vt:lpstr>RECEITAS_N_OPERACIONAIS</vt:lpstr>
      <vt:lpstr>'CAD_BANCOS'!RECEITAS_OPERACIONAIS</vt:lpstr>
      <vt:lpstr>CAD_CC!RECEITAS_OPERACIONAIS</vt:lpstr>
      <vt:lpstr>CAD_EMP!RECEITAS_OPERACIONAIS</vt:lpstr>
      <vt:lpstr>CAD_ORÇ!RECEITAS_OPERACIONAIS</vt:lpstr>
      <vt:lpstr>'LANÇ_MOV'!RECEITAS_OPERACIONAIS</vt:lpstr>
      <vt:lpstr>'REL_BC'!RECEITAS_OPERACIONAIS</vt:lpstr>
      <vt:lpstr>'REL_CR  '!RECEITAS_OPERACIONAIS</vt:lpstr>
      <vt:lpstr>REL_DESPESAS__FIN!RECEITAS_OPERACIONAIS</vt:lpstr>
      <vt:lpstr>REL_DRE_FINANCEIRO!RECEITAS_OPERACIONAIS</vt:lpstr>
      <vt:lpstr>REL_FATURAMENTO_BRUTO!RECEITAS_OPERACIONAIS</vt:lpstr>
      <vt:lpstr>'REL_RECEBIMENTO _LÍQUIDO'!RECEITAS_OPERACIONAIS</vt:lpstr>
      <vt:lpstr>RECEITAS_OPERACIONAIS</vt:lpstr>
      <vt:lpstr>CAD_ORÇ!RECEITAS_OUTROS_CREDITOS</vt:lpstr>
      <vt:lpstr>'REL_CR  '!RECEITAS_OUTROS_CREDITOS</vt:lpstr>
      <vt:lpstr>REL_DESPESAS__FIN!RECEITAS_OUTROS_CREDITOS</vt:lpstr>
      <vt:lpstr>REL_DRE_FINANCEIRO!RECEITAS_OUTROS_CREDITOS</vt:lpstr>
      <vt:lpstr>REL_FATURAMENTO_BRUTO!RECEITAS_OUTROS_CREDITOS</vt:lpstr>
      <vt:lpstr>'REL_RECEBIMENTO _LÍQUIDO'!RECEITAS_OUTROS_CREDITOS</vt:lpstr>
      <vt:lpstr>RECEITAS_OUTROS_CREDITOS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Frignan Karla</dc:creator>
  <cp:lastModifiedBy>Frignan Karla</cp:lastModifiedBy>
  <cp:lastPrinted>2025-11-25T11:21:45Z</cp:lastPrinted>
  <dcterms:created xsi:type="dcterms:W3CDTF">2019-04-26T14:12:42Z</dcterms:created>
  <dcterms:modified xsi:type="dcterms:W3CDTF">2025-11-26T19:54:08Z</dcterms:modified>
</cp:coreProperties>
</file>